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5f1fb83a6e4fd1" /></Relationships>
</file>

<file path=xl/workbook.xml><?xml version="1.0" encoding="utf-8"?>
<x:workbook xmlns:x="http://schemas.openxmlformats.org/spreadsheetml/2006/main">
  <x:sheets>
    <x:sheet xmlns:r="http://schemas.openxmlformats.org/officeDocument/2006/relationships" name="Summary" sheetId="1" r:id="R2a52533fba4b457f"/>
    <x:sheet xmlns:r="http://schemas.openxmlformats.org/officeDocument/2006/relationships" name="Sector and Size" sheetId="2" r:id="R64a72ff0d43b4c9e"/>
    <x:sheet xmlns:r="http://schemas.openxmlformats.org/officeDocument/2006/relationships" name="Costing" sheetId="3" r:id="R4e2b22edbc8e4884"/>
    <x:sheet xmlns:r="http://schemas.openxmlformats.org/officeDocument/2006/relationships" name="Inventory" sheetId="4" r:id="Rfffc613a518347f0"/>
    <x:sheet xmlns:r="http://schemas.openxmlformats.org/officeDocument/2006/relationships" name="Tenant Directory" sheetId="5" r:id="R0a980828bffb4a88"/>
    <x:sheet xmlns:r="http://schemas.openxmlformats.org/officeDocument/2006/relationships" name="Tenant Associations" sheetId="6" r:id="R91533394484d46e6"/>
    <x:sheet xmlns:r="http://schemas.openxmlformats.org/officeDocument/2006/relationships" name="Category Packages" sheetId="7" r:id="R07db94177d3e411f"/>
    <x:sheet xmlns:r="http://schemas.openxmlformats.org/officeDocument/2006/relationships" name="Apartment Options" sheetId="8" r:id="R56f18384b2804d7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quot;–&quot;"/>
    <x:numFmt numFmtId="201" formatCode="0.000000"/>
    <x:numFmt numFmtId="202" formatCode="0%"/>
    <x:numFmt numFmtId="203" formatCode="&quot;₹&quot;#,##0.00;(&quot;₹&quot;#,##0.00);&quot;–&quot;"/>
    <x:numFmt numFmtId="204" formatCode="0.00"/>
  </x:numFmts>
  <x:fonts count="8">
    <x:font>
      <x:sz val="11"/>
      <x:name val="Carlito"/>
    </x:font>
    <x:font>
      <x:sz val="10"/>
      <x:color rgb="FF173B4C"/>
      <x:name val="Arial"/>
    </x:font>
    <x:font>
      <x:b/>
      <x:sz val="16"/>
      <x:color rgb="FF12364A"/>
      <x:name val="Arial"/>
    </x:font>
    <x:font>
      <x:b/>
      <x:sz val="10"/>
      <x:color rgb="FFFFFFFF"/>
      <x:name val="Arial"/>
    </x:font>
    <x:font>
      <x:sz val="10"/>
      <x:color rgb="FF0000FF"/>
      <x:name val="Arial"/>
    </x:font>
    <x:font>
      <x:b/>
      <x:sz val="10"/>
      <x:color rgb="FF173B4C"/>
      <x:name val="Arial"/>
    </x:font>
    <x:font>
      <x:sz val="11"/>
      <x:color rgb="FF173B4C"/>
      <x:name val="Arial"/>
    </x:font>
    <x:font>
      <x:b/>
      <x:sz val="11"/>
      <x:color rgb="FFFFFFFF"/>
      <x:name val="Arial"/>
    </x:font>
  </x:fonts>
  <x:fills count="4">
    <x:fill>
      <x:patternFill patternType="none"/>
    </x:fill>
    <x:fill>
      <x:patternFill patternType="gray125"/>
    </x:fill>
    <x:fill>
      <x:patternFill patternType="solid">
        <x:fgColor rgb="FF12364A"/>
      </x:patternFill>
    </x:fill>
    <x:fill>
      <x:patternFill patternType="solid">
        <x:fgColor rgb="FFFFF0CC"/>
      </x:patternFill>
    </x:fill>
  </x:fills>
  <x:borders count="2">
    <x:border/>
    <x:border>
      <x:bottom style="thin">
        <x:color rgb="FF007B83"/>
      </x:bottom>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0" xfId="0" applyNumberFormat="1" applyFont="1" applyFill="1" applyBorder="1" applyAlignment="1">
      <x:alignment horizontal="center" vertical="center"/>
    </x:xf>
    <x:xf numFmtId="202" fontId="4" fillId="3" borderId="0" xfId="0" applyNumberFormat="1" applyFont="1" applyFill="1" applyBorder="1" applyAlignment="1">
      <x:alignment vertical="center"/>
    </x:xf>
    <x:xf numFmtId="203" fontId="1" fillId="0" borderId="0" xfId="0" applyNumberFormat="1" applyFont="1" applyFill="1" applyBorder="1" applyAlignment="1">
      <x:alignment vertical="center"/>
    </x:xf>
    <x:xf numFmtId="203" fontId="1" fillId="3" borderId="0" xfId="0" applyNumberFormat="1" applyFont="1" applyFill="1" applyBorder="1" applyAlignment="1">
      <x:alignment vertical="center"/>
    </x:xf>
    <x:xf numFmtId="203" fontId="4" fillId="3"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203"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7" fillId="2" borderId="0" xfId="0" applyNumberFormat="1" applyFont="1" applyFill="1" applyBorder="1" applyAlignment="1">
      <x:alignment vertical="center"/>
    </x:xf>
  </x:cellXfs>
  <x:cellStyles count="1">
    <x:cellStyle name="Normal" xfId="0"/>
  </x:cellStyles>
  <x:dxfs count="3">
    <x:dxf>
      <x:font>
        <x:b/>
        <x:color rgb="FF9C0006"/>
      </x:font>
      <x:fill>
        <x:patternFill patternType="solid">
          <x:bgColor rgb="FFFCE8E6"/>
        </x:patternFill>
      </x:fill>
    </x:dxf>
    <x:dxf>
      <x:font>
        <x:b/>
        <x:color rgb="FF9C0006"/>
      </x:font>
      <x:fill>
        <x:patternFill patternType="solid">
          <x:bgColor rgb="FFFCE8E6"/>
        </x:patternFill>
      </x:fill>
    </x:dxf>
    <x:dxf>
      <x:font>
        <x:b/>
        <x:color rgb="FF9C000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fb8fc645d9f4ed9" /><Relationship Type="http://schemas.openxmlformats.org/officeDocument/2006/relationships/theme" Target="/xl/theme/theme1.xml" Id="Rcff5d5d630e9448d" /><Relationship Type="http://schemas.openxmlformats.org/officeDocument/2006/relationships/sharedStrings" Target="/xl/sharedStrings.xml" Id="R66ec4567f16b4b84" /><Relationship Type="http://schemas.openxmlformats.org/officeDocument/2006/relationships/worksheet" Target="/xl/worksheets/sheet1.xml" Id="R2a52533fba4b457f" /><Relationship Type="http://schemas.openxmlformats.org/officeDocument/2006/relationships/worksheet" Target="/xl/worksheets/sheet2.xml" Id="R64a72ff0d43b4c9e" /><Relationship Type="http://schemas.openxmlformats.org/officeDocument/2006/relationships/worksheet" Target="/xl/worksheets/sheet3.xml" Id="R4e2b22edbc8e4884" /><Relationship Type="http://schemas.openxmlformats.org/officeDocument/2006/relationships/worksheet" Target="/xl/worksheets/sheet4.xml" Id="Rfffc613a518347f0" /><Relationship Type="http://schemas.openxmlformats.org/officeDocument/2006/relationships/worksheet" Target="/xl/worksheets/sheet5.xml" Id="R0a980828bffb4a88" /><Relationship Type="http://schemas.openxmlformats.org/officeDocument/2006/relationships/worksheet" Target="/xl/worksheets/sheet6.xml" Id="R91533394484d46e6" /><Relationship Type="http://schemas.openxmlformats.org/officeDocument/2006/relationships/worksheet" Target="/xl/worksheets/sheet7.xml" Id="R07db94177d3e411f" /><Relationship Type="http://schemas.openxmlformats.org/officeDocument/2006/relationships/worksheet" Target="/xl/worksheets/sheet8.xml" Id="R56f18384b2804d78" /></Relationships>
</file>

<file path=xl/tables/table1.xml><?xml version="1.0" encoding="utf-8"?>
<x:table xmlns:x="http://schemas.openxmlformats.org/spreadsheetml/2006/main" id="5" name="SectorandSizeTable" displayName="SectorandSizeTable" ref="A6:Q23" headerRowCount="1" totalsRowCount="0" totalsRowShown="0">
  <x:autoFilter ref="A6:Q23"/>
  <x:tableColumns count="17">
    <x:tableColumn id="1" name="Category type"/>
    <x:tableColumn id="2" name="Category"/>
    <x:tableColumn id="3" name="Tenants"/>
    <x:tableColumn id="4" name="Inventory rows"/>
    <x:tableColumn id="5" name="Associated screens"/>
    <x:tableColumn id="6" name="Package delivery screens"/>
    <x:tableColumn id="7" name="Additional package screens"/>
    <x:tableColumn id="8" name="Corporate option ex GST"/>
    <x:tableColumn id="9" name="GST"/>
    <x:tableColumn id="10" name="Corporate option incl GST"/>
    <x:tableColumn id="11" name="Nearby apartment locations"/>
    <x:tableColumn id="12" name="Apartment screens"/>
    <x:tableColumn id="13" name="Optional apartments ex GST"/>
    <x:tableColumn id="14" name="GST on apartment option"/>
    <x:tableColumn id="15" name="Optional apartments incl GST"/>
    <x:tableColumn id="16" name="Classification status"/>
    <x:tableColumn id="17" name="Property groups"/>
  </x:tableColumns>
  <x:tableStyleInfo name="TableStyleMedium2" showFirstColumn="0" showLastColumn="0" showRowStripes="1" showColumnStripes="0"/>
</x:table>
</file>

<file path=xl/tables/table2.xml><?xml version="1.0" encoding="utf-8"?>
<x:table xmlns:x="http://schemas.openxmlformats.org/spreadsheetml/2006/main" id="2" name="CostingTable" displayName="CostingTable" ref="A8:AB492" headerRowCount="1" totalsRowCount="0" totalsRowShown="0">
  <x:autoFilter ref="A8:AB492"/>
  <x:tableColumns count="28">
    <x:tableColumn id="1" name="Cost unit"/>
    <x:tableColumn id="2" name="Network"/>
    <x:tableColumn id="3" name="Market"/>
    <x:tableColumn id="4" name="Property / package"/>
    <x:tableColumn id="5" name="Formats"/>
    <x:tableColumn id="6" name="Inventory rows"/>
    <x:tableColumn id="7" name="Package screens"/>
    <x:tableColumn id="8" name="Selected rows"/>
    <x:tableColumn id="9" name="Selected screens"/>
    <x:tableColumn id="10" name="Budget basis"/>
    <x:tableColumn id="11" name="Retained listed budget ex GST"/>
    <x:tableColumn id="12" name="Campaign / estimate rate per screen"/>
    <x:tableColumn id="13" name="Campaign / held package budget"/>
    <x:tableColumn id="14" name="Quote input for selection"/>
    <x:tableColumn id="15" name="Campaign / estimate budget ex GST"/>
    <x:tableColumn id="16" name="Full budget ex GST"/>
    <x:tableColumn id="17" name="Selected budget ex GST"/>
    <x:tableColumn id="18" name="GST"/>
    <x:tableColumn id="19" name="Selected incl GST"/>
    <x:tableColumn id="20" name="Selection status"/>
    <x:tableColumn id="21" name="Tenant IDs"/>
    <x:tableColumn id="22" name="Business sectors"/>
    <x:tableColumn id="23" name="Outreach segments (indicative)"/>
    <x:tableColumn id="24" name="Selected listed amount"/>
    <x:tableColumn id="25" name="Selected campaign / estimate amount"/>
    <x:tableColumn id="26" name="Selected quote amount"/>
    <x:tableColumn id="27" name="Missing price flag"/>
    <x:tableColumn id="28" name="Invalid quote flag"/>
  </x:tableColumns>
  <x:tableStyleInfo name="TableStyleMedium2" showFirstColumn="0" showLastColumn="0" showRowStripes="1" showColumnStripes="0"/>
</x:table>
</file>

<file path=xl/tables/table3.xml><?xml version="1.0" encoding="utf-8"?>
<x:table xmlns:x="http://schemas.openxmlformats.org/spreadsheetml/2006/main" id="1" name="InventoryTable" displayName="InventoryTable" ref="A6:T783" headerRowCount="1" totalsRowCount="0" totalsRowShown="0">
  <x:autoFilter ref="A6:T783"/>
  <x:tableColumns count="20">
    <x:tableColumn id="1" name="Include 1 / 0"/>
    <x:tableColumn id="2" name="Inventory reference"/>
    <x:tableColumn id="3" name="Market"/>
    <x:tableColumn id="4" name="Media site ID"/>
    <x:tableColumn id="5" name="Property"/>
    <x:tableColumn id="6" name="Locality"/>
    <x:tableColumn id="7" name="Screens"/>
    <x:tableColumn id="8" name="Format"/>
    <x:tableColumn id="9" name="Tenant names"/>
    <x:tableColumn id="10" name="Named tenants"/>
    <x:tableColumn id="11" name="Tenant status"/>
    <x:tableColumn id="12" name="Business sectors"/>
    <x:tableColumn id="13" name="Outreach segment (indicative)"/>
    <x:tableColumn id="14" name="Cost unit"/>
    <x:tableColumn id="15" name="Latitude"/>
    <x:tableColumn id="16" name="Longitude"/>
    <x:tableColumn id="17" name="Map location"/>
    <x:tableColumn id="18" name="Tenant IDs"/>
    <x:tableColumn id="19" name="Audience profile"/>
    <x:tableColumn id="20" name="Segment basis"/>
  </x:tableColumns>
  <x:tableStyleInfo name="TableStyleMedium2" showFirstColumn="0" showLastColumn="0" showRowStripes="1" showColumnStripes="0"/>
</x:table>
</file>

<file path=xl/tables/table4.xml><?xml version="1.0" encoding="utf-8"?>
<x:table xmlns:x="http://schemas.openxmlformats.org/spreadsheetml/2006/main" id="3" name="TenantDirectoryTable" displayName="TenantDirectoryTable" ref="A6:Q2867" headerRowCount="1" totalsRowCount="0" totalsRowShown="0">
  <x:autoFilter ref="A6:Q2867"/>
  <x:tableColumns count="17">
    <x:tableColumn id="1" name="Tenant ID"/>
    <x:tableColumn id="2" name="Tenant / business name"/>
    <x:tableColumn id="3" name="Role"/>
    <x:tableColumn id="4" name="Business sector"/>
    <x:tableColumn id="5" name="Subsector"/>
    <x:tableColumn id="6" name="Outreach segment (indicative)"/>
    <x:tableColumn id="7" name="Segment basis"/>
    <x:tableColumn id="8" name="Inventory rows"/>
    <x:tableColumn id="9" name="Associated screens"/>
    <x:tableColumn id="10" name="Package delivery screens"/>
    <x:tableColumn id="11" name="Additional package screens"/>
    <x:tableColumn id="12" name="Full-package option ex GST"/>
    <x:tableColumn id="13" name="GST"/>
    <x:tableColumn id="14" name="Full-package option incl GST"/>
    <x:tableColumn id="15" name="Markets"/>
    <x:tableColumn id="16" name="Inventory references"/>
    <x:tableColumn id="17" name="Alternative names"/>
  </x:tableColumns>
  <x:tableStyleInfo name="TableStyleMedium2" showFirstColumn="0" showLastColumn="0" showRowStripes="1" showColumnStripes="0"/>
</x:table>
</file>

<file path=xl/tables/table5.xml><?xml version="1.0" encoding="utf-8"?>
<x:table xmlns:x="http://schemas.openxmlformats.org/spreadsheetml/2006/main" id="4" name="TenantAssociationsTable" displayName="TenantAssociationsTable" ref="A6:K8359" headerRowCount="1" totalsRowCount="0" totalsRowShown="0">
  <x:autoFilter ref="A6:K8359"/>
  <x:tableColumns count="11">
    <x:tableColumn id="1" name="Tenant ID"/>
    <x:tableColumn id="2" name="Tenant / business name"/>
    <x:tableColumn id="3" name="Inventory reference"/>
    <x:tableColumn id="4" name="Market"/>
    <x:tableColumn id="5" name="Property"/>
    <x:tableColumn id="6" name="Format"/>
    <x:tableColumn id="7" name="Associated screens"/>
    <x:tableColumn id="8" name="Association scope"/>
    <x:tableColumn id="9" name="Outreach segment (indicative)"/>
    <x:tableColumn id="10" name="Business sector"/>
    <x:tableColumn id="11" name="Shared cost unit"/>
  </x:tableColumns>
  <x:tableStyleInfo name="TableStyleMedium2" showFirstColumn="0" showLastColumn="0" showRowStripes="1" showColumnStripes="0"/>
</x:table>
</file>

<file path=xl/tables/table6.xml><?xml version="1.0" encoding="utf-8"?>
<x:table xmlns:x="http://schemas.openxmlformats.org/spreadsheetml/2006/main" id="6" name="CategoryPackagesTable" displayName="CategoryPackagesTable" ref="A6:K2669" headerRowCount="1" totalsRowCount="0" totalsRowShown="0">
  <x:autoFilter ref="A6:K2669"/>
  <x:tableColumns count="11">
    <x:tableColumn id="1" name="Category type"/>
    <x:tableColumn id="2" name="Category"/>
    <x:tableColumn id="3" name="Market"/>
    <x:tableColumn id="4" name="Cost unit"/>
    <x:tableColumn id="5" name="Property / package"/>
    <x:tableColumn id="6" name="Associated screens"/>
    <x:tableColumn id="7" name="Delivery screens"/>
    <x:tableColumn id="8" name="Additional screens"/>
    <x:tableColumn id="9" name="Full-package option ex GST"/>
    <x:tableColumn id="10" name="GST"/>
    <x:tableColumn id="11" name="Full-package option incl GST"/>
  </x:tableColumns>
  <x:tableStyleInfo name="TableStyleMedium2" showFirstColumn="0" showLastColumn="0" showRowStripes="1" showColumnStripes="0"/>
</x:table>
</file>

<file path=xl/tables/table7.xml><?xml version="1.0" encoding="utf-8"?>
<x:table xmlns:x="http://schemas.openxmlformats.org/spreadsheetml/2006/main" id="7" name="ApartmentOptionsTable" displayName="ApartmentOptionsTable" ref="A6:P330" headerRowCount="1" totalsRowCount="0" totalsRowShown="0">
  <x:autoFilter ref="A6:P330"/>
  <x:tableColumns count="16">
    <x:tableColumn id="1" name="Include 1 / 0"/>
    <x:tableColumn id="2" name="Media site ID"/>
    <x:tableColumn id="3" name="Market"/>
    <x:tableColumn id="4" name="Apartment community"/>
    <x:tableColumn id="5" name="Locality"/>
    <x:tableColumn id="6" name="Screens"/>
    <x:tableColumn id="7" name="Households"/>
    <x:tableColumn id="8" name="Indicative price band up to ₹ crore"/>
    <x:tableColumn id="9" name="Nearest anchor km"/>
    <x:tableColumn id="10" name="30-day budget ex GST"/>
    <x:tableColumn id="11" name="GST"/>
    <x:tableColumn id="12" name="30-day budget incl GST"/>
    <x:tableColumn id="13" name="Latitude"/>
    <x:tableColumn id="14" name="Longitude"/>
    <x:tableColumn id="15" name="Map location"/>
    <x:tableColumn id="16" name="Nearby corporate referenc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5e0dddb43c43b0" /></Relationships>
</file>

<file path=xl/worksheets/_rels/sheet3.xml.rels>&#65279;<?xml version="1.0" encoding="utf-8"?><Relationships xmlns="http://schemas.openxmlformats.org/package/2006/relationships"><Relationship Type="http://schemas.openxmlformats.org/officeDocument/2006/relationships/table" Target="/xl/tables/table2.xml" Id="Rd19558334edc4cd1" /></Relationships>
</file>

<file path=xl/worksheets/_rels/sheet4.xml.rels>&#65279;<?xml version="1.0" encoding="utf-8"?><Relationships xmlns="http://schemas.openxmlformats.org/package/2006/relationships"><Relationship Type="http://schemas.openxmlformats.org/officeDocument/2006/relationships/table" Target="/xl/tables/table3.xml" Id="R53fd56413f204db3" /></Relationships>
</file>

<file path=xl/worksheets/_rels/sheet5.xml.rels>&#65279;<?xml version="1.0" encoding="utf-8"?><Relationships xmlns="http://schemas.openxmlformats.org/package/2006/relationships"><Relationship Type="http://schemas.openxmlformats.org/officeDocument/2006/relationships/table" Target="/xl/tables/table4.xml" Id="Rfdf0518f17324249" /></Relationships>
</file>

<file path=xl/worksheets/_rels/sheet6.xml.rels>&#65279;<?xml version="1.0" encoding="utf-8"?><Relationships xmlns="http://schemas.openxmlformats.org/package/2006/relationships"><Relationship Type="http://schemas.openxmlformats.org/officeDocument/2006/relationships/table" Target="/xl/tables/table5.xml" Id="Rf70226de75ba4478" /></Relationships>
</file>

<file path=xl/worksheets/_rels/sheet7.xml.rels>&#65279;<?xml version="1.0" encoding="utf-8"?><Relationships xmlns="http://schemas.openxmlformats.org/package/2006/relationships"><Relationship Type="http://schemas.openxmlformats.org/officeDocument/2006/relationships/table" Target="/xl/tables/table6.xml" Id="Re9ca56ca5af14a53" /></Relationships>
</file>

<file path=xl/worksheets/_rels/sheet8.xml.rels>&#65279;<?xml version="1.0" encoding="utf-8"?><Relationships xmlns="http://schemas.openxmlformats.org/package/2006/relationships"><Relationship Type="http://schemas.openxmlformats.org/officeDocument/2006/relationships/table" Target="/xl/tables/table7.xml" Id="Ra830f87ff2e74ac3" /></Relationships>
</file>

<file path=xl/worksheets/sheet1.xml><?xml version="1.0" encoding="utf-8"?>
<x:worksheet xmlns:x="http://schemas.openxmlformats.org/spreadsheetml/2006/main">
  <x:sheetPr>
    <x:tabColor rgb="FF12364A"/>
  </x:sheetPr>
  <x:sheetViews>
    <x:sheetView showGridLines="0" workbookViewId="0"/>
  </x:sheetViews>
  <x:sheetFormatPr defaultRowHeight="15"/>
  <x:cols>
    <x:col min="1" max="1" width="4" hidden="0" customWidth="1"/>
    <x:col min="2" max="2" width="46" hidden="0" customWidth="1"/>
    <x:col min="3" max="3" width="24" hidden="0" customWidth="1"/>
    <x:col min="4" max="4" width="4" hidden="0" customWidth="1"/>
    <x:col min="5" max="5" width="40" hidden="0" customWidth="1"/>
    <x:col min="6" max="6" width="24" hidden="0" customWidth="1"/>
    <x:col min="7" max="7" width="16" hidden="0" customWidth="1"/>
    <x:col min="8" max="8" width="16" hidden="0" customWidth="1"/>
  </x:cols>
  <x:sheetData>
    <x:row r="1" ht="27" customHeight="1">
      <x:c r="A1" s="23"/>
      <x:c r="B1" s="23"/>
      <x:c r="C1" s="23"/>
      <x:c r="D1" s="23"/>
      <x:c r="E1" s="23"/>
      <x:c r="F1" s="23"/>
      <x:c r="G1" s="23"/>
      <x:c r="H1" s="23"/>
    </x:row>
    <x:row r="2" ht="27" customHeight="1">
      <x:c r="A2" s="23"/>
      <x:c r="B2" s="3" t="str">
        <x:v>PFRDA • Corporate tenant inventory and costing</x:v>
      </x:c>
      <x:c r="C2" s="23"/>
      <x:c r="D2" s="23"/>
      <x:c r="E2" s="23"/>
      <x:c r="F2" s="23"/>
      <x:c r="G2" s="23"/>
      <x:c r="H2" s="23"/>
    </x:row>
    <x:row r="3" ht="27" customHeight="1">
      <x:c r="A3" s="23"/>
      <x:c r="B3" s="24"/>
      <x:c r="C3" s="24"/>
      <x:c r="D3" s="24"/>
      <x:c r="E3" s="24"/>
      <x:c r="F3" s="24"/>
      <x:c r="G3" s="23"/>
      <x:c r="H3" s="23"/>
    </x:row>
    <x:row r="4" ht="27" customHeight="1">
      <x:c r="A4" s="23"/>
      <x:c r="B4" s="23" t="str">
        <x:v>11 September 2026 · 30-day indicative budget</x:v>
      </x:c>
      <x:c r="C4" s="23"/>
      <x:c r="D4" s="23"/>
      <x:c r="E4" s="23"/>
      <x:c r="F4" s="23"/>
      <x:c r="G4" s="23"/>
      <x:c r="H4" s="23"/>
    </x:row>
    <x:row r="5" ht="27" customHeight="1">
      <x:c r="A5" s="23"/>
      <x:c r="B5" s="23"/>
      <x:c r="C5" s="23"/>
      <x:c r="D5" s="23"/>
      <x:c r="E5" s="23"/>
      <x:c r="F5" s="23"/>
      <x:c r="G5" s="23"/>
      <x:c r="H5" s="23"/>
    </x:row>
    <x:row r="6" ht="30" customHeight="1">
      <x:c r="A6" s="23"/>
      <x:c r="B6" s="28" t="str">
        <x:v>Corporate inventory</x:v>
      </x:c>
      <x:c r="C6" s="28" t="str">
        <x:v>Campaign scope</x:v>
      </x:c>
      <x:c r="D6" s="23"/>
      <x:c r="E6" s="28" t="str">
        <x:v>Selected corporate budget</x:v>
      </x:c>
      <x:c r="F6" s="28" t="str">
        <x:v>INR</x:v>
      </x:c>
      <x:c r="G6" s="23"/>
      <x:c r="H6" s="23"/>
    </x:row>
    <x:row r="7" ht="27" customHeight="1">
      <x:c r="A7" s="23"/>
      <x:c r="B7" s="23" t="str">
        <x:v>Inventory rows</x:v>
      </x:c>
      <x:c r="C7" s="26" t="n">
        <x:v>777</x:v>
      </x:c>
      <x:c r="D7" s="23"/>
      <x:c r="E7" s="23" t="str">
        <x:v>Selected screens</x:v>
      </x:c>
      <x:c r="F7" s="26" t="n">
        <x:f>SUM('Costing'!I9:I492)</x:f>
        <x:v>2030</x:v>
      </x:c>
      <x:c r="G7" s="23"/>
      <x:c r="H7" s="23"/>
    </x:row>
    <x:row r="8" ht="27" customHeight="1">
      <x:c r="A8" s="23"/>
      <x:c r="B8" s="23" t="str">
        <x:v>Screens</x:v>
      </x:c>
      <x:c r="C8" s="26" t="n">
        <x:v>2030</x:v>
      </x:c>
      <x:c r="D8" s="23"/>
      <x:c r="E8" s="23" t="str">
        <x:v>Retained listed budgets</x:v>
      </x:c>
      <x:c r="F8" s="25" t="n">
        <x:f>SUM('Costing'!X9:X492)</x:f>
        <x:v>13422500</x:v>
      </x:c>
      <x:c r="G8" s="23"/>
      <x:c r="H8" s="23"/>
    </x:row>
    <x:row r="9" ht="27" customHeight="1">
      <x:c r="A9" s="23"/>
      <x:c r="B9" s="23" t="str">
        <x:v>Cost units</x:v>
      </x:c>
      <x:c r="C9" s="26" t="n">
        <x:v>484</x:v>
      </x:c>
      <x:c r="D9" s="23"/>
      <x:c r="E9" s="23" t="str">
        <x:v>Campaign rates / estimates</x:v>
      </x:c>
      <x:c r="F9" s="25" t="n">
        <x:f>SUM('Costing'!Y9:Y492)</x:f>
        <x:v>37445000</x:v>
      </x:c>
      <x:c r="G9" s="23"/>
      <x:c r="H9" s="23"/>
    </x:row>
    <x:row r="10" ht="27" customHeight="1">
      <x:c r="A10" s="23"/>
      <x:c r="B10" s="23" t="str">
        <x:v>Directory records</x:v>
      </x:c>
      <x:c r="C10" s="26" t="n">
        <x:v>2861</x:v>
      </x:c>
      <x:c r="D10" s="23"/>
      <x:c r="E10" s="23" t="str">
        <x:v>Entered quotes</x:v>
      </x:c>
      <x:c r="F10" s="25" t="n">
        <x:f>SUM('Costing'!Z9:Z492)</x:f>
        <x:v>0</x:v>
      </x:c>
      <x:c r="G10" s="23"/>
      <x:c r="H10" s="23"/>
    </x:row>
    <x:row r="11" ht="27" customHeight="1">
      <x:c r="A11" s="23"/>
      <x:c r="B11" s="23" t="str">
        <x:v>Screens with named associations</x:v>
      </x:c>
      <x:c r="C11" s="26" t="n">
        <x:v>1844</x:v>
      </x:c>
      <x:c r="D11" s="23"/>
      <x:c r="E11" s="23" t="str">
        <x:v>Budget before GST</x:v>
      </x:c>
      <x:c r="F11" s="25" t="n">
        <x:f>SUM('Costing'!Q9:Q492)</x:f>
        <x:v>50867500</x:v>
      </x:c>
      <x:c r="G11" s="23"/>
      <x:c r="H11" s="23"/>
    </x:row>
    <x:row r="12" ht="27" customHeight="1">
      <x:c r="A12" s="23"/>
      <x:c r="B12" s="23" t="str">
        <x:v>Properties with audience segments</x:v>
      </x:c>
      <x:c r="C12" s="26" t="n">
        <x:v>484</x:v>
      </x:c>
      <x:c r="D12" s="23"/>
      <x:c r="E12" s="23" t="str">
        <x:v>GST</x:v>
      </x:c>
      <x:c r="F12" s="25" t="n">
        <x:f>SUM('Costing'!R9:R492)</x:f>
        <x:v>9156150</x:v>
      </x:c>
      <x:c r="G12" s="23"/>
      <x:c r="H12" s="23"/>
    </x:row>
    <x:row r="13" ht="27" customHeight="1">
      <x:c r="A13" s="23"/>
      <x:c r="B13" s="23" t="str">
        <x:v>Named businesses / organisations</x:v>
      </x:c>
      <x:c r="C13" s="26" t="n">
        <x:v>2837</x:v>
      </x:c>
      <x:c r="D13" s="23"/>
      <x:c r="E13" s="23" t="str">
        <x:v>Budget including GST</x:v>
      </x:c>
      <x:c r="F13" s="25" t="n">
        <x:f>SUM('Costing'!S9:S492)</x:f>
        <x:v>60023650</x:v>
      </x:c>
      <x:c r="G13" s="23"/>
      <x:c r="H13" s="23"/>
    </x:row>
    <x:row r="14" ht="27" customHeight="1">
      <x:c r="A14" s="23"/>
      <x:c r="B14" s="23" t="str">
        <x:v>Unresolved names / contacts</x:v>
      </x:c>
      <x:c r="C14" s="26" t="n">
        <x:v>24</x:v>
      </x:c>
      <x:c r="D14" s="23"/>
      <x:c r="E14" s="23" t="str">
        <x:v>Selections requiring a price</x:v>
      </x:c>
      <x:c r="F14" s="23" t="n">
        <x:f>SUM('Costing'!AA9:AA492)</x:f>
        <x:v>0</x:v>
      </x:c>
      <x:c r="G14" s="23"/>
      <x:c r="H14" s="23"/>
    </x:row>
    <x:row r="15" ht="27" customHeight="1">
      <x:c r="A15" s="23"/>
      <x:c r="B15" s="23"/>
      <x:c r="C15" s="23"/>
      <x:c r="D15" s="23"/>
      <x:c r="E15" s="23" t="str">
        <x:v>Invalid quote inputs</x:v>
      </x:c>
      <x:c r="F15" s="23" t="n">
        <x:f>SUM('Costing'!AB9:AB492)</x:f>
        <x:v>0</x:v>
      </x:c>
      <x:c r="G15" s="23"/>
      <x:c r="H15" s="23"/>
    </x:row>
    <x:row r="16" ht="27" customHeight="1">
      <x:c r="A16" s="23"/>
      <x:c r="B16" s="23"/>
      <x:c r="C16" s="23"/>
      <x:c r="D16" s="23"/>
      <x:c r="E16" s="23" t="str">
        <x:v>Budget status</x:v>
      </x:c>
      <x:c r="F16" s="23" t="str">
        <x:f>IF(F14+F15&gt;0,"Incomplete: prices needed","Indicative total")</x:f>
        <x:v>Indicative total</x:v>
      </x:c>
      <x:c r="G16" s="23"/>
      <x:c r="H16" s="23"/>
    </x:row>
    <x:row r="17" ht="27" customHeight="1">
      <x:c r="A17" s="23"/>
      <x:c r="B17" s="23"/>
      <x:c r="C17" s="23"/>
      <x:c r="D17" s="23"/>
      <x:c r="E17" s="23"/>
      <x:c r="F17" s="23"/>
      <x:c r="G17" s="23"/>
      <x:c r="H17" s="23"/>
    </x:row>
    <x:row r="18" ht="27" customHeight="1">
      <x:c r="A18" s="23"/>
      <x:c r="B18" s="23"/>
      <x:c r="C18" s="23"/>
      <x:c r="D18" s="23"/>
      <x:c r="E18" s="23"/>
      <x:c r="F18" s="23"/>
      <x:c r="G18" s="23"/>
      <x:c r="H18" s="23"/>
    </x:row>
    <x:row r="19" ht="30" customHeight="1">
      <x:c r="A19" s="23"/>
      <x:c r="B19" s="28" t="str">
        <x:v>Optional apartment inventory</x:v>
      </x:c>
      <x:c r="C19" s="28" t="str">
        <x:v>Available options</x:v>
      </x:c>
      <x:c r="D19" s="23"/>
      <x:c r="E19" s="28" t="str">
        <x:v>Selected apartment option</x:v>
      </x:c>
      <x:c r="F19" s="28" t="str">
        <x:v>Separate from corporate</x:v>
      </x:c>
      <x:c r="G19" s="23"/>
      <x:c r="H19" s="23"/>
    </x:row>
    <x:row r="20" ht="27" customHeight="1">
      <x:c r="A20" s="23"/>
      <x:c r="B20" s="23" t="str">
        <x:v>Apartment locations</x:v>
      </x:c>
      <x:c r="C20" s="26" t="n">
        <x:v>324</x:v>
      </x:c>
      <x:c r="D20" s="23"/>
      <x:c r="E20" s="23" t="str">
        <x:v>Selected apartment locations</x:v>
      </x:c>
      <x:c r="F20" s="23" t="n">
        <x:f>COUNTIFS('Apartment Options'!A7:A330,1)</x:f>
        <x:v>0</x:v>
      </x:c>
      <x:c r="G20" s="23"/>
      <x:c r="H20" s="23"/>
    </x:row>
    <x:row r="21" ht="27" customHeight="1">
      <x:c r="A21" s="23"/>
      <x:c r="B21" s="23" t="str">
        <x:v>Apartment screens</x:v>
      </x:c>
      <x:c r="C21" s="26" t="n">
        <x:v>4490</x:v>
      </x:c>
      <x:c r="D21" s="23"/>
      <x:c r="E21" s="23" t="str">
        <x:v>Selected apartment screens</x:v>
      </x:c>
      <x:c r="F21" s="23" t="n">
        <x:f>SUMIFS('Apartment Options'!F7:F330,'Apartment Options'!A7:A330,1)</x:f>
        <x:v>0</x:v>
      </x:c>
      <x:c r="G21" s="23"/>
      <x:c r="H21" s="23"/>
    </x:row>
    <x:row r="22" ht="27" customHeight="1">
      <x:c r="A22" s="23"/>
      <x:c r="B22" s="23" t="str">
        <x:v>30-day budget before GST</x:v>
      </x:c>
      <x:c r="C22" s="25" t="n">
        <x:f>SUM('Apartment Options'!J7:J330)</x:f>
        <x:v>6788880</x:v>
      </x:c>
      <x:c r="D22" s="23"/>
      <x:c r="E22" s="23" t="str">
        <x:v>Selected budget before GST</x:v>
      </x:c>
      <x:c r="F22" s="25" t="n">
        <x:f>SUMIFS('Apartment Options'!J7:J330,'Apartment Options'!A7:A330,1)</x:f>
        <x:v>0</x:v>
      </x:c>
      <x:c r="G22" s="23"/>
      <x:c r="H22" s="23"/>
    </x:row>
    <x:row r="23" ht="27" customHeight="1">
      <x:c r="A23" s="23"/>
      <x:c r="B23" s="23" t="str">
        <x:v>GST</x:v>
      </x:c>
      <x:c r="C23" s="25" t="n">
        <x:f>SUM('Apartment Options'!K7:K330)</x:f>
        <x:v>1221998.399999999</x:v>
      </x:c>
      <x:c r="D23" s="23"/>
      <x:c r="E23" s="23" t="str">
        <x:v>GST</x:v>
      </x:c>
      <x:c r="F23" s="25" t="n">
        <x:f>SUMIFS('Apartment Options'!K7:K330,'Apartment Options'!A7:A330,1)</x:f>
        <x:v>0</x:v>
      </x:c>
      <x:c r="G23" s="23"/>
      <x:c r="H23" s="23"/>
    </x:row>
    <x:row r="24" ht="27" customHeight="1">
      <x:c r="A24" s="23"/>
      <x:c r="B24" s="23" t="str">
        <x:v>30-day budget including GST</x:v>
      </x:c>
      <x:c r="C24" s="25" t="n">
        <x:f>SUM('Apartment Options'!L7:L330)</x:f>
        <x:v>8010878.399999988</x:v>
      </x:c>
      <x:c r="D24" s="23"/>
      <x:c r="E24" s="23" t="str">
        <x:v>Selected budget including GST</x:v>
      </x:c>
      <x:c r="F24" s="25" t="n">
        <x:f>SUMIFS('Apartment Options'!L7:L330,'Apartment Options'!A7:A330,1)</x:f>
        <x:v>0</x:v>
      </x:c>
      <x:c r="G24" s="23"/>
      <x:c r="H24" s="23"/>
    </x:row>
    <x:row r="25" ht="27" customHeight="1">
      <x:c r="A25" s="23"/>
      <x:c r="B25" s="23"/>
      <x:c r="C25" s="23"/>
      <x:c r="D25" s="23"/>
      <x:c r="E25" s="23"/>
      <x:c r="F25" s="23"/>
      <x:c r="G25" s="23"/>
      <x:c r="H25" s="23"/>
    </x:row>
    <x:row r="26" ht="27" customHeight="1">
      <x:c r="A26" s="23"/>
      <x:c r="B26" s="23"/>
      <x:c r="C26" s="23"/>
      <x:c r="D26" s="23"/>
      <x:c r="E26" s="23"/>
      <x:c r="F26" s="23"/>
      <x:c r="G26" s="23"/>
      <x:c r="H26" s="23"/>
    </x:row>
    <x:row r="27" ht="27" customHeight="1">
      <x:c r="A27" s="23"/>
      <x:c r="B27" s="23" t="str">
        <x:v>Tenant and category screens overlap. Combine unique inventory references or cost units.</x:v>
      </x:c>
      <x:c r="C27" s="23"/>
      <x:c r="D27" s="23"/>
      <x:c r="E27" s="23"/>
      <x:c r="F27" s="23"/>
      <x:c r="G27" s="23"/>
      <x:c r="H27" s="23"/>
    </x:row>
    <x:row r="28" ht="27" customHeight="1">
      <x:c r="A28" s="23"/>
      <x:c r="B28" s="23"/>
      <x:c r="C28" s="23"/>
      <x:c r="D28" s="23"/>
      <x:c r="E28" s="23"/>
      <x:c r="F28" s="23"/>
      <x:c r="G28" s="23"/>
      <x:c r="H28" s="23"/>
    </x:row>
    <x:row r="29" ht="27" customHeight="1">
      <x:c r="A29" s="23"/>
      <x:c r="B29" s="23" t="str">
        <x:v>Revised 43-inch / 55-inch campaign rates. Other retained budgets and estimates remain indicative.</x:v>
      </x:c>
      <x:c r="C29" s="23"/>
      <x:c r="D29" s="23"/>
      <x:c r="E29" s="23"/>
      <x:c r="F29" s="23"/>
      <x:c r="G29" s="23"/>
      <x:c r="H29" s="23"/>
    </x:row>
    <x:row r="30" ht="27" customHeight="1">
      <x:c r="A30" s="23"/>
      <x:c r="B30" s="23"/>
      <x:c r="C30" s="23"/>
      <x:c r="D30" s="23"/>
      <x:c r="E30" s="23"/>
      <x:c r="F30" s="23"/>
      <x:c r="G30" s="23"/>
      <x:c r="H30" s="23"/>
    </x:row>
    <x:row r="31" ht="27" customHeight="1">
      <x:c r="A31" s="23"/>
      <x:c r="B31" s="23" t="str">
        <x:v>Partner package terms: 15-second spots / 180-second loop. Main plan: 10-second / 120-second.</x:v>
      </x:c>
      <x:c r="C31" s="23"/>
      <x:c r="D31" s="23"/>
      <x:c r="E31" s="23"/>
      <x:c r="F31" s="23"/>
      <x:c r="G31" s="23"/>
      <x:c r="H31" s="23"/>
    </x:row>
    <x:row r="32" ht="27" customHeight="1">
      <x:c r="A32" s="23"/>
      <x:c r="B32" s="23"/>
      <x:c r="C32" s="23"/>
      <x:c r="D32" s="23"/>
      <x:c r="E32" s="23"/>
      <x:c r="F32" s="23"/>
      <x:c r="G32" s="23"/>
      <x:c r="H32" s="23"/>
    </x:row>
    <x:row r="33" ht="27" customHeight="1">
      <x:c r="A33" s="23"/>
      <x:c r="B33" s="23" t="str">
        <x:v>Audience bands are indicative prospect segments, not statutory MSME classifications.</x:v>
      </x:c>
      <x:c r="C33" s="23"/>
      <x:c r="D33" s="23"/>
      <x:c r="E33" s="23"/>
      <x:c r="F33" s="23"/>
      <x:c r="G33" s="23"/>
      <x:c r="H33" s="23"/>
    </x:row>
    <x:row r="34" ht="27" customHeight="1">
      <x:c r="A34" s="23"/>
      <x:c r="B34" s="23"/>
      <x:c r="C34" s="23"/>
      <x:c r="D34" s="23"/>
      <x:c r="E34" s="23"/>
      <x:c r="F34" s="23"/>
      <x:c r="G34" s="23"/>
      <x:c r="H34" s="23"/>
    </x:row>
    <x:row r="35" ht="27" customHeight="1">
      <x:c r="A35" s="23"/>
      <x:c r="B35" s="23" t="str">
        <x:v>Apartment options are geographic contexts, not verified employee residences or income.</x:v>
      </x:c>
      <x:c r="C35" s="23"/>
      <x:c r="D35" s="23"/>
      <x:c r="E35" s="23"/>
      <x:c r="F35" s="23"/>
      <x:c r="G35" s="23"/>
      <x:c r="H35" s="23"/>
    </x:row>
    <x:row r="36" ht="27" customHeight="1">
      <x:c r="A36" s="23"/>
      <x:c r="B36" s="23"/>
      <x:c r="C36" s="23"/>
      <x:c r="D36" s="23"/>
      <x:c r="E36" s="23"/>
      <x:c r="F36" s="23"/>
      <x:c r="G36" s="23"/>
      <x:c r="H36" s="23"/>
    </x:row>
    <x:row r="37" ht="27" customHeight="1">
      <x:c r="A37" s="23"/>
      <x:c r="B37" s="23" t="str">
        <x:v>Edit amber cells to select inventory, update estimates or enter a partial-package quotation.</x:v>
      </x:c>
      <x:c r="C37" s="23"/>
      <x:c r="D37" s="23"/>
      <x:c r="E37" s="23"/>
      <x:c r="F37" s="23"/>
      <x:c r="G37" s="23"/>
      <x:c r="H37" s="23"/>
    </x:row>
    <x:row r="38" ht="27" customHeight="1">
      <x:c r="A38" s="23"/>
      <x:c r="B38" s="23"/>
      <x:c r="C38" s="23"/>
      <x:c r="D38" s="23"/>
      <x:c r="E38" s="23"/>
      <x:c r="F38" s="23"/>
      <x:c r="G38" s="23"/>
      <x:c r="H38" s="23"/>
    </x:row>
    <x:row r="39" ht="27" customHeight="1">
      <x:c r="A39" s="23"/>
      <x:c r="B39" s="23"/>
      <x:c r="C39" s="23"/>
      <x:c r="D39" s="23"/>
      <x:c r="E39" s="23"/>
      <x:c r="F39" s="23"/>
      <x:c r="G39" s="23"/>
      <x:c r="H39" s="23"/>
    </x:row>
  </x:sheetData>
  <x:conditionalFormatting sqref="F14:F15">
    <x:cfRule type="cellIs" dxfId="2"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Pr>
    <x:tabColor rgb="FF12364A"/>
  </x:sheetPr>
  <x:sheetViews>
    <x:sheetView showGridLines="0" workbookViewId="0"/>
  </x:sheetViews>
  <x:sheetFormatPr defaultRowHeight="15"/>
  <x:cols>
    <x:col min="1" max="1" width="21" hidden="0" customWidth="1"/>
    <x:col min="2" max="2" width="38" hidden="0" customWidth="1"/>
    <x:col min="3" max="3" width="12" hidden="0" customWidth="1"/>
    <x:col min="4" max="4" width="13" hidden="0" customWidth="1"/>
    <x:col min="5" max="5" width="15" hidden="0" customWidth="1"/>
    <x:col min="6" max="6" width="18" hidden="0" customWidth="1"/>
    <x:col min="7" max="7" width="18" hidden="0" customWidth="1"/>
    <x:col min="8" max="8" width="24" hidden="0" customWidth="1"/>
    <x:col min="9" max="9" width="20" hidden="0" customWidth="1"/>
    <x:col min="10" max="10" width="25" hidden="0" customWidth="1"/>
    <x:col min="11" max="11" width="20" hidden="0" customWidth="1"/>
    <x:col min="12" max="12" width="18" hidden="0" customWidth="1"/>
    <x:col min="13" max="13" width="25" hidden="0" customWidth="1"/>
    <x:col min="14" max="14" width="22" hidden="0" customWidth="1"/>
    <x:col min="15" max="15" width="26" hidden="0" customWidth="1"/>
    <x:col min="16" max="16" width="36" hidden="0" customWidth="1"/>
    <x:col min="17" max="17" width="18" hidden="0" customWidth="1"/>
  </x:cols>
  <x:sheetData>
    <x:row r="1">
      <x:c r="A1" s="2"/>
      <x:c r="B1" s="2"/>
      <x:c r="C1" s="2"/>
      <x:c r="D1" s="2"/>
      <x:c r="E1" s="2"/>
      <x:c r="F1" s="2"/>
      <x:c r="G1" s="2"/>
      <x:c r="H1" s="2"/>
      <x:c r="I1" s="2"/>
      <x:c r="J1" s="2"/>
      <x:c r="K1" s="2"/>
      <x:c r="L1" s="2"/>
      <x:c r="M1" s="2"/>
      <x:c r="N1" s="2"/>
      <x:c r="O1" s="2"/>
      <x:c r="P1" s="2"/>
      <x:c r="Q1" s="2"/>
    </x:row>
    <x:row r="2">
      <x:c r="A2" s="3" t="str">
        <x:v>Sector and audience options</x:v>
      </x:c>
      <x:c r="B2" s="2"/>
      <x:c r="C2" s="2"/>
      <x:c r="D2" s="2"/>
      <x:c r="E2" s="2"/>
      <x:c r="F2" s="2"/>
      <x:c r="G2" s="2"/>
      <x:c r="H2" s="2"/>
      <x:c r="I2" s="2"/>
      <x:c r="J2" s="2"/>
      <x:c r="K2" s="2"/>
      <x:c r="L2" s="2"/>
      <x:c r="M2" s="2"/>
      <x:c r="N2" s="2"/>
      <x:c r="O2" s="2"/>
      <x:c r="P2" s="2"/>
      <x:c r="Q2" s="2"/>
    </x:row>
    <x:row r="3">
      <x:c r="A3" s="4"/>
      <x:c r="B3" s="4"/>
      <x:c r="C3" s="4"/>
      <x:c r="D3" s="4"/>
      <x:c r="E3" s="4"/>
      <x:c r="F3" s="4"/>
      <x:c r="G3" s="4"/>
      <x:c r="H3" s="4"/>
      <x:c r="I3" s="4"/>
      <x:c r="J3" s="4"/>
      <x:c r="K3" s="4"/>
      <x:c r="L3" s="4"/>
      <x:c r="M3" s="4"/>
      <x:c r="N3" s="4"/>
      <x:c r="O3" s="4"/>
      <x:c r="P3" s="4"/>
      <x:c r="Q3" s="4"/>
    </x:row>
    <x:row r="4">
      <x:c r="A4" s="2" t="str">
        <x:v>Each category buys complete touched packages once. Category totals overlap; apartment options are separate from corporate costs.</x:v>
      </x:c>
      <x:c r="B4" s="2"/>
      <x:c r="C4" s="2"/>
      <x:c r="D4" s="2"/>
      <x:c r="E4" s="2"/>
      <x:c r="F4" s="2"/>
      <x:c r="G4" s="2"/>
      <x:c r="H4" s="2"/>
      <x:c r="I4" s="2"/>
      <x:c r="J4" s="2"/>
      <x:c r="K4" s="2"/>
      <x:c r="L4" s="2"/>
      <x:c r="M4" s="2"/>
      <x:c r="N4" s="2"/>
      <x:c r="O4" s="2"/>
      <x:c r="P4" s="2"/>
      <x:c r="Q4" s="2"/>
    </x:row>
    <x:row r="5">
      <x:c r="A5" s="2" t="str">
        <x:v>Size segments guide outreach. They use company evidence and business-type assumptions, not statutory MSME certification.</x:v>
      </x:c>
      <x:c r="B5" s="2"/>
      <x:c r="C5" s="2"/>
      <x:c r="D5" s="2"/>
      <x:c r="E5" s="2"/>
      <x:c r="F5" s="2"/>
      <x:c r="G5" s="2"/>
      <x:c r="H5" s="2"/>
      <x:c r="I5" s="2"/>
      <x:c r="J5" s="2"/>
      <x:c r="K5" s="2"/>
      <x:c r="L5" s="2"/>
      <x:c r="M5" s="2"/>
      <x:c r="N5" s="2"/>
      <x:c r="O5" s="2"/>
      <x:c r="P5" s="2"/>
      <x:c r="Q5" s="2"/>
    </x:row>
    <x:row r="6" ht="42" customHeight="1">
      <x:c r="A6" s="8" t="str">
        <x:v>Category type</x:v>
      </x:c>
      <x:c r="B6" s="8" t="str">
        <x:v>Category</x:v>
      </x:c>
      <x:c r="C6" s="8" t="str">
        <x:v>Tenants</x:v>
      </x:c>
      <x:c r="D6" s="8" t="str">
        <x:v>Inventory rows</x:v>
      </x:c>
      <x:c r="E6" s="8" t="str">
        <x:v>Associated screens</x:v>
      </x:c>
      <x:c r="F6" s="8" t="str">
        <x:v>Package delivery screens</x:v>
      </x:c>
      <x:c r="G6" s="8" t="str">
        <x:v>Additional package screens</x:v>
      </x:c>
      <x:c r="H6" s="8" t="str">
        <x:v>Corporate option ex GST</x:v>
      </x:c>
      <x:c r="I6" s="8" t="str">
        <x:v>GST</x:v>
      </x:c>
      <x:c r="J6" s="8" t="str">
        <x:v>Corporate option incl GST</x:v>
      </x:c>
      <x:c r="K6" s="8" t="str">
        <x:v>Nearby apartment locations</x:v>
      </x:c>
      <x:c r="L6" s="8" t="str">
        <x:v>Apartment screens</x:v>
      </x:c>
      <x:c r="M6" s="8" t="str">
        <x:v>Optional apartments ex GST</x:v>
      </x:c>
      <x:c r="N6" s="8" t="str">
        <x:v>GST on apartment option</x:v>
      </x:c>
      <x:c r="O6" s="8" t="str">
        <x:v>Optional apartments incl GST</x:v>
      </x:c>
      <x:c r="P6" s="8" t="str">
        <x:v>Classification status</x:v>
      </x:c>
      <x:c r="Q6" s="8" t="str">
        <x:v>Property groups</x:v>
      </x:c>
    </x:row>
    <x:row r="7" ht="30" customHeight="1">
      <x:c r="A7" s="12" t="str">
        <x:v>Indicative size</x:v>
      </x:c>
      <x:c r="B7" s="12" t="str">
        <x:v>Micro-scale prospects</x:v>
      </x:c>
      <x:c r="C7" s="11" t="n">
        <x:v>10</x:v>
      </x:c>
      <x:c r="D7" s="11" t="n">
        <x:v>14</x:v>
      </x:c>
      <x:c r="E7" s="11" t="n">
        <x:v>48</x:v>
      </x:c>
      <x:c r="F7" s="11" t="n">
        <x:v>48</x:v>
      </x:c>
      <x:c r="G7" s="11" t="n">
        <x:v>0</x:v>
      </x:c>
      <x:c r="H7" s="17" t="n">
        <x:f>SUMIFS('Category Packages'!$I$7:$I$2669,'Category Packages'!$B$7:$B$2669,B7,'Category Packages'!$A$7:$A$2669,A7)</x:f>
        <x:v>1035000</x:v>
      </x:c>
      <x:c r="I7" s="17" t="n">
        <x:f>ROUND(H7*'Costing'!$C$4,2)</x:f>
        <x:v>186300</x:v>
      </x:c>
      <x:c r="J7" s="17" t="n">
        <x:f>H7+I7</x:f>
        <x:v>1221300</x:v>
      </x:c>
      <x:c r="K7" s="11" t="n">
        <x:v>20</x:v>
      </x:c>
      <x:c r="L7" s="11" t="n">
        <x:v>205</x:v>
      </x:c>
      <x:c r="M7" s="17" t="n">
        <x:f>L7*'Costing'!$H$4</x:f>
        <x:v>309960</x:v>
      </x:c>
      <x:c r="N7" s="17" t="n">
        <x:f>ROUND(M7*'Costing'!$C$4,2)</x:f>
        <x:v>55792.8</x:v>
      </x:c>
      <x:c r="O7" s="17" t="n">
        <x:f>M7+N7</x:f>
        <x:v>365752.8</x:v>
      </x:c>
      <x:c r="P7" s="2" t="str">
        <x:v>Indicative audience segment</x:v>
      </x:c>
      <x:c r="Q7" s="11" t="n">
        <x:v>10</x:v>
      </x:c>
    </x:row>
    <x:row r="8" ht="30" customHeight="1">
      <x:c r="A8" s="12" t="str">
        <x:v>Indicative size</x:v>
      </x:c>
      <x:c r="B8" s="12" t="str">
        <x:v>Small-scale prospects</x:v>
      </x:c>
      <x:c r="C8" s="11" t="n">
        <x:v>778</x:v>
      </x:c>
      <x:c r="D8" s="11" t="n">
        <x:v>559</x:v>
      </x:c>
      <x:c r="E8" s="11" t="n">
        <x:v>1407</x:v>
      </x:c>
      <x:c r="F8" s="11" t="n">
        <x:v>1407</x:v>
      </x:c>
      <x:c r="G8" s="11" t="n">
        <x:v>0</x:v>
      </x:c>
      <x:c r="H8" s="17" t="n">
        <x:f>SUMIFS('Category Packages'!$I$7:$I$2669,'Category Packages'!$B$7:$B$2669,B8,'Category Packages'!$A$7:$A$2669,A8)</x:f>
        <x:v>35078000</x:v>
      </x:c>
      <x:c r="I8" s="17" t="n">
        <x:f>ROUND(H8*'Costing'!$C$4,2)</x:f>
        <x:v>6314040</x:v>
      </x:c>
      <x:c r="J8" s="17" t="n">
        <x:f>H8+I8</x:f>
        <x:v>41392040</x:v>
      </x:c>
      <x:c r="K8" s="11" t="n">
        <x:v>252</x:v>
      </x:c>
      <x:c r="L8" s="11" t="n">
        <x:v>3664</x:v>
      </x:c>
      <x:c r="M8" s="17" t="n">
        <x:f>L8*'Costing'!$H$4</x:f>
        <x:v>5539968</x:v>
      </x:c>
      <x:c r="N8" s="17" t="n">
        <x:f>ROUND(M8*'Costing'!$C$4,2)</x:f>
        <x:v>997194.24</x:v>
      </x:c>
      <x:c r="O8" s="17" t="n">
        <x:f>M8+N8</x:f>
        <x:v>6537162.24</x:v>
      </x:c>
      <x:c r="P8" s="2" t="str">
        <x:v>Indicative audience segment</x:v>
      </x:c>
      <x:c r="Q8" s="11" t="n">
        <x:v>323</x:v>
      </x:c>
    </x:row>
    <x:row r="9" ht="30" customHeight="1">
      <x:c r="A9" s="12" t="str">
        <x:v>Indicative size</x:v>
      </x:c>
      <x:c r="B9" s="12" t="str">
        <x:v>Medium-scale prospects</x:v>
      </x:c>
      <x:c r="C9" s="11" t="n">
        <x:v>226</x:v>
      </x:c>
      <x:c r="D9" s="11" t="n">
        <x:v>307</x:v>
      </x:c>
      <x:c r="E9" s="11" t="n">
        <x:v>778</x:v>
      </x:c>
      <x:c r="F9" s="11" t="n">
        <x:v>778</x:v>
      </x:c>
      <x:c r="G9" s="11" t="n">
        <x:v>0</x:v>
      </x:c>
      <x:c r="H9" s="17" t="n">
        <x:f>SUMIFS('Category Packages'!$I$7:$I$2669,'Category Packages'!$B$7:$B$2669,B9,'Category Packages'!$A$7:$A$2669,A9)</x:f>
        <x:v>18635000</x:v>
      </x:c>
      <x:c r="I9" s="17" t="n">
        <x:f>ROUND(H9*'Costing'!$C$4,2)</x:f>
        <x:v>3354300</x:v>
      </x:c>
      <x:c r="J9" s="17" t="n">
        <x:f>H9+I9</x:f>
        <x:v>21989300</x:v>
      </x:c>
      <x:c r="K9" s="11" t="n">
        <x:v>166</x:v>
      </x:c>
      <x:c r="L9" s="11" t="n">
        <x:v>2297</x:v>
      </x:c>
      <x:c r="M9" s="17" t="n">
        <x:f>L9*'Costing'!$H$4</x:f>
        <x:v>3473064</x:v>
      </x:c>
      <x:c r="N9" s="17" t="n">
        <x:f>ROUND(M9*'Costing'!$C$4,2)</x:f>
        <x:v>625151.52</x:v>
      </x:c>
      <x:c r="O9" s="17" t="n">
        <x:f>M9+N9</x:f>
        <x:v>4098215.52</x:v>
      </x:c>
      <x:c r="P9" s="2" t="str">
        <x:v>Indicative audience segment</x:v>
      </x:c>
      <x:c r="Q9" s="11" t="n">
        <x:v>154</x:v>
      </x:c>
    </x:row>
    <x:row r="10" ht="30" customHeight="1">
      <x:c r="A10" s="12" t="str">
        <x:v>Indicative size</x:v>
      </x:c>
      <x:c r="B10" s="12" t="str">
        <x:v>Large enterprise</x:v>
      </x:c>
      <x:c r="C10" s="11" t="n">
        <x:v>237</x:v>
      </x:c>
      <x:c r="D10" s="11" t="n">
        <x:v>353</x:v>
      </x:c>
      <x:c r="E10" s="11" t="n">
        <x:v>799</x:v>
      </x:c>
      <x:c r="F10" s="11" t="n">
        <x:v>799</x:v>
      </x:c>
      <x:c r="G10" s="11" t="n">
        <x:v>0</x:v>
      </x:c>
      <x:c r="H10" s="17" t="n">
        <x:f>SUMIFS('Category Packages'!$I$7:$I$2669,'Category Packages'!$B$7:$B$2669,B10,'Category Packages'!$A$7:$A$2669,A10)</x:f>
        <x:v>22260000</x:v>
      </x:c>
      <x:c r="I10" s="17" t="n">
        <x:f>ROUND(H10*'Costing'!$C$4,2)</x:f>
        <x:v>4006800</x:v>
      </x:c>
      <x:c r="J10" s="17" t="n">
        <x:f>H10+I10</x:f>
        <x:v>26266800</x:v>
      </x:c>
      <x:c r="K10" s="11" t="n">
        <x:v>150</x:v>
      </x:c>
      <x:c r="L10" s="11" t="n">
        <x:v>2232</x:v>
      </x:c>
      <x:c r="M10" s="17" t="n">
        <x:f>L10*'Costing'!$H$4</x:f>
        <x:v>3374784</x:v>
      </x:c>
      <x:c r="N10" s="17" t="n">
        <x:f>ROUND(M10*'Costing'!$C$4,2)</x:f>
        <x:v>607461.12</x:v>
      </x:c>
      <x:c r="O10" s="17" t="n">
        <x:f>M10+N10</x:f>
        <x:v>3982245.12</x:v>
      </x:c>
      <x:c r="P10" s="2" t="str">
        <x:v>Indicative audience segment</x:v>
      </x:c>
      <x:c r="Q10" s="11" t="n">
        <x:v>150</x:v>
      </x:c>
    </x:row>
    <x:row r="11" ht="30" customHeight="1">
      <x:c r="A11" s="12" t="str">
        <x:v>Indicative size</x:v>
      </x:c>
      <x:c r="B11" s="12" t="str">
        <x:v>Institutional</x:v>
      </x:c>
      <x:c r="C11" s="11" t="n">
        <x:v>25</x:v>
      </x:c>
      <x:c r="D11" s="11" t="n">
        <x:v>55</x:v>
      </x:c>
      <x:c r="E11" s="11" t="n">
        <x:v>83</x:v>
      </x:c>
      <x:c r="F11" s="11" t="n">
        <x:v>83</x:v>
      </x:c>
      <x:c r="G11" s="11" t="n">
        <x:v>0</x:v>
      </x:c>
      <x:c r="H11" s="17" t="n">
        <x:f>SUMIFS('Category Packages'!$I$7:$I$2669,'Category Packages'!$B$7:$B$2669,B11,'Category Packages'!$A$7:$A$2669,A11)</x:f>
        <x:v>2715000</x:v>
      </x:c>
      <x:c r="I11" s="17" t="n">
        <x:f>ROUND(H11*'Costing'!$C$4,2)</x:f>
        <x:v>488700</x:v>
      </x:c>
      <x:c r="J11" s="17" t="n">
        <x:f>H11+I11</x:f>
        <x:v>3203700</x:v>
      </x:c>
      <x:c r="K11" s="11" t="n">
        <x:v>36</x:v>
      </x:c>
      <x:c r="L11" s="11" t="n">
        <x:v>513</x:v>
      </x:c>
      <x:c r="M11" s="17" t="n">
        <x:f>L11*'Costing'!$H$4</x:f>
        <x:v>775656</x:v>
      </x:c>
      <x:c r="N11" s="17" t="n">
        <x:f>ROUND(M11*'Costing'!$C$4,2)</x:f>
        <x:v>139618.08</x:v>
      </x:c>
      <x:c r="O11" s="17" t="n">
        <x:f>M11+N11</x:f>
        <x:v>915274.08</x:v>
      </x:c>
      <x:c r="P11" s="2" t="str">
        <x:v>Indicative audience segment</x:v>
      </x:c>
      <x:c r="Q11" s="11" t="n">
        <x:v>28</x:v>
      </x:c>
    </x:row>
    <x:row r="12" ht="30" customHeight="1">
      <x:c r="A12" s="12" t="str">
        <x:v>Indicative size</x:v>
      </x:c>
      <x:c r="B12" s="12" t="str">
        <x:v>Mixed business audience</x:v>
      </x:c>
      <x:c r="C12" s="11" t="n">
        <x:v>1561</x:v>
      </x:c>
      <x:c r="D12" s="11" t="n">
        <x:v>715</x:v>
      </x:c>
      <x:c r="E12" s="11" t="n">
        <x:v>1816</x:v>
      </x:c>
      <x:c r="F12" s="11" t="n">
        <x:v>1816</x:v>
      </x:c>
      <x:c r="G12" s="11" t="n">
        <x:v>0</x:v>
      </x:c>
      <x:c r="H12" s="17" t="n">
        <x:f>SUMIFS('Category Packages'!$I$7:$I$2669,'Category Packages'!$B$7:$B$2669,B12,'Category Packages'!$A$7:$A$2669,A12)</x:f>
        <x:v>46466000</x:v>
      </x:c>
      <x:c r="I12" s="17" t="n">
        <x:f>ROUND(H12*'Costing'!$C$4,2)</x:f>
        <x:v>8363880</x:v>
      </x:c>
      <x:c r="J12" s="17" t="n">
        <x:f>H12+I12</x:f>
        <x:v>54829880</x:v>
      </x:c>
      <x:c r="K12" s="11" t="n">
        <x:v>303</x:v>
      </x:c>
      <x:c r="L12" s="11" t="n">
        <x:v>4118</x:v>
      </x:c>
      <x:c r="M12" s="17" t="n">
        <x:f>L12*'Costing'!$H$4</x:f>
        <x:v>6226416</x:v>
      </x:c>
      <x:c r="N12" s="17" t="n">
        <x:f>ROUND(M12*'Costing'!$C$4,2)</x:f>
        <x:v>1120754.88</x:v>
      </x:c>
      <x:c r="O12" s="17" t="n">
        <x:f>M12+N12</x:f>
        <x:v>7347170.88</x:v>
      </x:c>
      <x:c r="P12" s="2" t="str">
        <x:v>Indicative audience segment</x:v>
      </x:c>
      <x:c r="Q12" s="11" t="n">
        <x:v>429</x:v>
      </x:c>
    </x:row>
    <x:row r="13" ht="30" customHeight="1">
      <x:c r="A13" s="12" t="str">
        <x:v>Sector</x:v>
      </x:c>
      <x:c r="B13" s="12" t="str">
        <x:v>Education</x:v>
      </x:c>
      <x:c r="C13" s="11" t="n">
        <x:v>80</x:v>
      </x:c>
      <x:c r="D13" s="11" t="n">
        <x:v>128</x:v>
      </x:c>
      <x:c r="E13" s="11" t="n">
        <x:v>384</x:v>
      </x:c>
      <x:c r="F13" s="11" t="n">
        <x:v>384</x:v>
      </x:c>
      <x:c r="G13" s="11" t="n">
        <x:v>0</x:v>
      </x:c>
      <x:c r="H13" s="17" t="n">
        <x:f>SUMIFS('Category Packages'!$I$7:$I$2669,'Category Packages'!$B$7:$B$2669,B13,'Category Packages'!$A$7:$A$2669,A13)</x:f>
        <x:v>8575000</x:v>
      </x:c>
      <x:c r="I13" s="17" t="n">
        <x:f>ROUND(H13*'Costing'!$C$4,2)</x:f>
        <x:v>1543500</x:v>
      </x:c>
      <x:c r="J13" s="17" t="n">
        <x:f>H13+I13</x:f>
        <x:v>10118500</x:v>
      </x:c>
      <x:c r="K13" s="11" t="n">
        <x:v>108</x:v>
      </x:c>
      <x:c r="L13" s="11" t="n">
        <x:v>1633</x:v>
      </x:c>
      <x:c r="M13" s="17" t="n">
        <x:f>L13*'Costing'!$H$4</x:f>
        <x:v>2469096</x:v>
      </x:c>
      <x:c r="N13" s="17" t="n">
        <x:f>ROUND(M13*'Costing'!$C$4,2)</x:f>
        <x:v>444437.28</x:v>
      </x:c>
      <x:c r="O13" s="17" t="n">
        <x:f>M13+N13</x:f>
        <x:v>2913533.2800000003</x:v>
      </x:c>
      <x:c r="P13" s="2" t="str">
        <x:v>Indicative business-activity category</x:v>
      </x:c>
      <x:c r="Q13" s="11" t="n">
        <x:v>71</x:v>
      </x:c>
    </x:row>
    <x:row r="14" ht="30" customHeight="1">
      <x:c r="A14" s="12" t="str">
        <x:v>Sector</x:v>
      </x:c>
      <x:c r="B14" s="12" t="str">
        <x:v>Engineering &amp; manufacturing</x:v>
      </x:c>
      <x:c r="C14" s="11" t="n">
        <x:v>354</x:v>
      </x:c>
      <x:c r="D14" s="11" t="n">
        <x:v>412</x:v>
      </x:c>
      <x:c r="E14" s="11" t="n">
        <x:v>1001</x:v>
      </x:c>
      <x:c r="F14" s="11" t="n">
        <x:v>1001</x:v>
      </x:c>
      <x:c r="G14" s="11" t="n">
        <x:v>0</x:v>
      </x:c>
      <x:c r="H14" s="17" t="n">
        <x:f>SUMIFS('Category Packages'!$I$7:$I$2669,'Category Packages'!$B$7:$B$2669,B14,'Category Packages'!$A$7:$A$2669,A14)</x:f>
        <x:v>26906500</x:v>
      </x:c>
      <x:c r="I14" s="17" t="n">
        <x:f>ROUND(H14*'Costing'!$C$4,2)</x:f>
        <x:v>4843170</x:v>
      </x:c>
      <x:c r="J14" s="17" t="n">
        <x:f>H14+I14</x:f>
        <x:v>31749670</x:v>
      </x:c>
      <x:c r="K14" s="11" t="n">
        <x:v>189</x:v>
      </x:c>
      <x:c r="L14" s="11" t="n">
        <x:v>2634</x:v>
      </x:c>
      <x:c r="M14" s="17" t="n">
        <x:f>L14*'Costing'!$H$4</x:f>
        <x:v>3982608</x:v>
      </x:c>
      <x:c r="N14" s="17" t="n">
        <x:f>ROUND(M14*'Costing'!$C$4,2)</x:f>
        <x:v>716869.44</x:v>
      </x:c>
      <x:c r="O14" s="17" t="n">
        <x:f>M14+N14</x:f>
        <x:v>4699477.4399999995</x:v>
      </x:c>
      <x:c r="P14" s="2" t="str">
        <x:v>Indicative business-activity category</x:v>
      </x:c>
      <x:c r="Q14" s="11" t="n">
        <x:v>197</x:v>
      </x:c>
    </x:row>
    <x:row r="15" ht="30" customHeight="1">
      <x:c r="A15" s="12" t="str">
        <x:v>Sector</x:v>
      </x:c>
      <x:c r="B15" s="12" t="str">
        <x:v>Finance &amp; insurance</x:v>
      </x:c>
      <x:c r="C15" s="11" t="n">
        <x:v>230</x:v>
      </x:c>
      <x:c r="D15" s="11" t="n">
        <x:v>316</x:v>
      </x:c>
      <x:c r="E15" s="11" t="n">
        <x:v>787</x:v>
      </x:c>
      <x:c r="F15" s="11" t="n">
        <x:v>787</x:v>
      </x:c>
      <x:c r="G15" s="11" t="n">
        <x:v>0</x:v>
      </x:c>
      <x:c r="H15" s="17" t="n">
        <x:f>SUMIFS('Category Packages'!$I$7:$I$2669,'Category Packages'!$B$7:$B$2669,B15,'Category Packages'!$A$7:$A$2669,A15)</x:f>
        <x:v>20935000</x:v>
      </x:c>
      <x:c r="I15" s="17" t="n">
        <x:f>ROUND(H15*'Costing'!$C$4,2)</x:f>
        <x:v>3768300</x:v>
      </x:c>
      <x:c r="J15" s="17" t="n">
        <x:f>H15+I15</x:f>
        <x:v>24703300</x:v>
      </x:c>
      <x:c r="K15" s="11" t="n">
        <x:v>155</x:v>
      </x:c>
      <x:c r="L15" s="11" t="n">
        <x:v>2039</x:v>
      </x:c>
      <x:c r="M15" s="17" t="n">
        <x:f>L15*'Costing'!$H$4</x:f>
        <x:v>3082968</x:v>
      </x:c>
      <x:c r="N15" s="17" t="n">
        <x:f>ROUND(M15*'Costing'!$C$4,2)</x:f>
        <x:v>554934.24</x:v>
      </x:c>
      <x:c r="O15" s="17" t="n">
        <x:f>M15+N15</x:f>
        <x:v>3637902.24</x:v>
      </x:c>
      <x:c r="P15" s="2" t="str">
        <x:v>Indicative business-activity category</x:v>
      </x:c>
      <x:c r="Q15" s="11" t="n">
        <x:v>153</x:v>
      </x:c>
    </x:row>
    <x:row r="16" ht="30" customHeight="1">
      <x:c r="A16" s="12" t="str">
        <x:v>Sector</x:v>
      </x:c>
      <x:c r="B16" s="12" t="str">
        <x:v>Government &amp; nonprofit</x:v>
      </x:c>
      <x:c r="C16" s="11" t="n">
        <x:v>21</x:v>
      </x:c>
      <x:c r="D16" s="11" t="n">
        <x:v>44</x:v>
      </x:c>
      <x:c r="E16" s="11" t="n">
        <x:v>72</x:v>
      </x:c>
      <x:c r="F16" s="11" t="n">
        <x:v>72</x:v>
      </x:c>
      <x:c r="G16" s="11" t="n">
        <x:v>0</x:v>
      </x:c>
      <x:c r="H16" s="17" t="n">
        <x:f>SUMIFS('Category Packages'!$I$7:$I$2669,'Category Packages'!$B$7:$B$2669,B16,'Category Packages'!$A$7:$A$2669,A16)</x:f>
        <x:v>2320000</x:v>
      </x:c>
      <x:c r="I16" s="17" t="n">
        <x:f>ROUND(H16*'Costing'!$C$4,2)</x:f>
        <x:v>417600</x:v>
      </x:c>
      <x:c r="J16" s="17" t="n">
        <x:f>H16+I16</x:f>
        <x:v>2737600</x:v>
      </x:c>
      <x:c r="K16" s="11" t="n">
        <x:v>33</x:v>
      </x:c>
      <x:c r="L16" s="11" t="n">
        <x:v>366</x:v>
      </x:c>
      <x:c r="M16" s="17" t="n">
        <x:f>L16*'Costing'!$H$4</x:f>
        <x:v>553392</x:v>
      </x:c>
      <x:c r="N16" s="17" t="n">
        <x:f>ROUND(M16*'Costing'!$C$4,2)</x:f>
        <x:v>99610.56</x:v>
      </x:c>
      <x:c r="O16" s="17" t="n">
        <x:f>M16+N16</x:f>
        <x:v>653002.56</x:v>
      </x:c>
      <x:c r="P16" s="2" t="str">
        <x:v>Indicative business-activity category</x:v>
      </x:c>
      <x:c r="Q16" s="11" t="n">
        <x:v>24</x:v>
      </x:c>
    </x:row>
    <x:row r="17" ht="30" customHeight="1">
      <x:c r="A17" s="12" t="str">
        <x:v>Sector</x:v>
      </x:c>
      <x:c r="B17" s="12" t="str">
        <x:v>Healthcare &amp; life sciences</x:v>
      </x:c>
      <x:c r="C17" s="11" t="n">
        <x:v>125</x:v>
      </x:c>
      <x:c r="D17" s="11" t="n">
        <x:v>240</x:v>
      </x:c>
      <x:c r="E17" s="11" t="n">
        <x:v>570</x:v>
      </x:c>
      <x:c r="F17" s="11" t="n">
        <x:v>570</x:v>
      </x:c>
      <x:c r="G17" s="11" t="n">
        <x:v>0</x:v>
      </x:c>
      <x:c r="H17" s="17" t="n">
        <x:f>SUMIFS('Category Packages'!$I$7:$I$2669,'Category Packages'!$B$7:$B$2669,B17,'Category Packages'!$A$7:$A$2669,A17)</x:f>
        <x:v>14795000</x:v>
      </x:c>
      <x:c r="I17" s="17" t="n">
        <x:f>ROUND(H17*'Costing'!$C$4,2)</x:f>
        <x:v>2663100</x:v>
      </x:c>
      <x:c r="J17" s="17" t="n">
        <x:f>H17+I17</x:f>
        <x:v>17458100</x:v>
      </x:c>
      <x:c r="K17" s="11" t="n">
        <x:v>132</x:v>
      </x:c>
      <x:c r="L17" s="11" t="n">
        <x:v>2043</x:v>
      </x:c>
      <x:c r="M17" s="17" t="n">
        <x:f>L17*'Costing'!$H$4</x:f>
        <x:v>3089016</x:v>
      </x:c>
      <x:c r="N17" s="17" t="n">
        <x:f>ROUND(M17*'Costing'!$C$4,2)</x:f>
        <x:v>556022.88</x:v>
      </x:c>
      <x:c r="O17" s="17" t="n">
        <x:f>M17+N17</x:f>
        <x:v>3645038.88</x:v>
      </x:c>
      <x:c r="P17" s="2" t="str">
        <x:v>Indicative business-activity category</x:v>
      </x:c>
      <x:c r="Q17" s="11" t="n">
        <x:v>113</x:v>
      </x:c>
    </x:row>
    <x:row r="18" ht="30" customHeight="1">
      <x:c r="A18" s="12" t="str">
        <x:v>Sector</x:v>
      </x:c>
      <x:c r="B18" s="12" t="str">
        <x:v>IT &amp; digital</x:v>
      </x:c>
      <x:c r="C18" s="11" t="n">
        <x:v>726</x:v>
      </x:c>
      <x:c r="D18" s="11" t="n">
        <x:v>528</x:v>
      </x:c>
      <x:c r="E18" s="11" t="n">
        <x:v>1325</x:v>
      </x:c>
      <x:c r="F18" s="11" t="n">
        <x:v>1325</x:v>
      </x:c>
      <x:c r="G18" s="11" t="n">
        <x:v>0</x:v>
      </x:c>
      <x:c r="H18" s="17" t="n">
        <x:f>SUMIFS('Category Packages'!$I$7:$I$2669,'Category Packages'!$B$7:$B$2669,B18,'Category Packages'!$A$7:$A$2669,A18)</x:f>
        <x:v>33436500</x:v>
      </x:c>
      <x:c r="I18" s="17" t="n">
        <x:f>ROUND(H18*'Costing'!$C$4,2)</x:f>
        <x:v>6018570</x:v>
      </x:c>
      <x:c r="J18" s="17" t="n">
        <x:f>H18+I18</x:f>
        <x:v>39455070</x:v>
      </x:c>
      <x:c r="K18" s="11" t="n">
        <x:v>233</x:v>
      </x:c>
      <x:c r="L18" s="11" t="n">
        <x:v>3341</x:v>
      </x:c>
      <x:c r="M18" s="17" t="n">
        <x:f>L18*'Costing'!$H$4</x:f>
        <x:v>5051592</x:v>
      </x:c>
      <x:c r="N18" s="17" t="n">
        <x:f>ROUND(M18*'Costing'!$C$4,2)</x:f>
        <x:v>909286.56</x:v>
      </x:c>
      <x:c r="O18" s="17" t="n">
        <x:f>M18+N18</x:f>
        <x:v>5960878.5600000005</x:v>
      </x:c>
      <x:c r="P18" s="2" t="str">
        <x:v>Indicative business-activity category</x:v>
      </x:c>
      <x:c r="Q18" s="11" t="n">
        <x:v>271</x:v>
      </x:c>
    </x:row>
    <x:row r="19" ht="30" customHeight="1">
      <x:c r="A19" s="12" t="str">
        <x:v>Sector</x:v>
      </x:c>
      <x:c r="B19" s="12" t="str">
        <x:v>Professional services</x:v>
      </x:c>
      <x:c r="C19" s="11" t="n">
        <x:v>231</x:v>
      </x:c>
      <x:c r="D19" s="11" t="n">
        <x:v>356</x:v>
      </x:c>
      <x:c r="E19" s="11" t="n">
        <x:v>809</x:v>
      </x:c>
      <x:c r="F19" s="11" t="n">
        <x:v>809</x:v>
      </x:c>
      <x:c r="G19" s="11" t="n">
        <x:v>0</x:v>
      </x:c>
      <x:c r="H19" s="17" t="n">
        <x:f>SUMIFS('Category Packages'!$I$7:$I$2669,'Category Packages'!$B$7:$B$2669,B19,'Category Packages'!$A$7:$A$2669,A19)</x:f>
        <x:v>21294000</x:v>
      </x:c>
      <x:c r="I19" s="17" t="n">
        <x:f>ROUND(H19*'Costing'!$C$4,2)</x:f>
        <x:v>3832920</x:v>
      </x:c>
      <x:c r="J19" s="17" t="n">
        <x:f>H19+I19</x:f>
        <x:v>25126920</x:v>
      </x:c>
      <x:c r="K19" s="11" t="n">
        <x:v>186</x:v>
      </x:c>
      <x:c r="L19" s="11" t="n">
        <x:v>2657</x:v>
      </x:c>
      <x:c r="M19" s="17" t="n">
        <x:f>L19*'Costing'!$H$4</x:f>
        <x:v>4017384</x:v>
      </x:c>
      <x:c r="N19" s="17" t="n">
        <x:f>ROUND(M19*'Costing'!$C$4,2)</x:f>
        <x:v>723129.12</x:v>
      </x:c>
      <x:c r="O19" s="17" t="n">
        <x:f>M19+N19</x:f>
        <x:v>4740513.12</x:v>
      </x:c>
      <x:c r="P19" s="2" t="str">
        <x:v>Indicative business-activity category</x:v>
      </x:c>
      <x:c r="Q19" s="11" t="n">
        <x:v>183</x:v>
      </x:c>
    </x:row>
    <x:row r="20" ht="30" customHeight="1">
      <x:c r="A20" s="12" t="str">
        <x:v>Sector</x:v>
      </x:c>
      <x:c r="B20" s="12" t="str">
        <x:v>Trade, consumer &amp; logistics</x:v>
      </x:c>
      <x:c r="C20" s="11" t="n">
        <x:v>435</x:v>
      </x:c>
      <x:c r="D20" s="11" t="n">
        <x:v>429</x:v>
      </x:c>
      <x:c r="E20" s="11" t="n">
        <x:v>1067</x:v>
      </x:c>
      <x:c r="F20" s="11" t="n">
        <x:v>1067</x:v>
      </x:c>
      <x:c r="G20" s="11" t="n">
        <x:v>0</x:v>
      </x:c>
      <x:c r="H20" s="17" t="n">
        <x:f>SUMIFS('Category Packages'!$I$7:$I$2669,'Category Packages'!$B$7:$B$2669,B20,'Category Packages'!$A$7:$A$2669,A20)</x:f>
        <x:v>26576500</x:v>
      </x:c>
      <x:c r="I20" s="17" t="n">
        <x:f>ROUND(H20*'Costing'!$C$4,2)</x:f>
        <x:v>4783770</x:v>
      </x:c>
      <x:c r="J20" s="17" t="n">
        <x:f>H20+I20</x:f>
        <x:v>31360270</x:v>
      </x:c>
      <x:c r="K20" s="11" t="n">
        <x:v>224</x:v>
      </x:c>
      <x:c r="L20" s="11" t="n">
        <x:v>3263</x:v>
      </x:c>
      <x:c r="M20" s="17" t="n">
        <x:f>L20*'Costing'!$H$4</x:f>
        <x:v>4933656</x:v>
      </x:c>
      <x:c r="N20" s="17" t="n">
        <x:f>ROUND(M20*'Costing'!$C$4,2)</x:f>
        <x:v>888058.08</x:v>
      </x:c>
      <x:c r="O20" s="17" t="n">
        <x:f>M20+N20</x:f>
        <x:v>5821714.08</x:v>
      </x:c>
      <x:c r="P20" s="2" t="str">
        <x:v>Indicative business-activity category</x:v>
      </x:c>
      <x:c r="Q20" s="11" t="n">
        <x:v>241</x:v>
      </x:c>
    </x:row>
    <x:row r="21" ht="30" customHeight="1">
      <x:c r="A21" s="12" t="str">
        <x:v>Sector</x:v>
      </x:c>
      <x:c r="B21" s="12" t="str">
        <x:v>Unclassified</x:v>
      </x:c>
      <x:c r="C21" s="11" t="n">
        <x:v>0</x:v>
      </x:c>
      <x:c r="D21" s="11" t="n">
        <x:v>50</x:v>
      </x:c>
      <x:c r="E21" s="11" t="n">
        <x:v>186</x:v>
      </x:c>
      <x:c r="F21" s="11" t="n">
        <x:v>186</x:v>
      </x:c>
      <x:c r="G21" s="11" t="n">
        <x:v>0</x:v>
      </x:c>
      <x:c r="H21" s="17" t="n">
        <x:f>SUMIFS('Category Packages'!$I$7:$I$2669,'Category Packages'!$B$7:$B$2669,B21,'Category Packages'!$A$7:$A$2669,A21)</x:f>
        <x:v>5284500</x:v>
      </x:c>
      <x:c r="I21" s="17" t="n">
        <x:f>ROUND(H21*'Costing'!$C$4,2)</x:f>
        <x:v>951210</x:v>
      </x:c>
      <x:c r="J21" s="17" t="n">
        <x:f>H21+I21</x:f>
        <x:v>6235710</x:v>
      </x:c>
      <x:c r="K21" s="11" t="n">
        <x:v>107</x:v>
      </x:c>
      <x:c r="L21" s="11" t="n">
        <x:v>1409</x:v>
      </x:c>
      <x:c r="M21" s="17" t="n">
        <x:f>L21*'Costing'!$H$4</x:f>
        <x:v>2130408</x:v>
      </x:c>
      <x:c r="N21" s="17" t="n">
        <x:f>ROUND(M21*'Costing'!$C$4,2)</x:f>
        <x:v>383473.44</x:v>
      </x:c>
      <x:c r="O21" s="17" t="n">
        <x:f>M21+N21</x:f>
        <x:v>2513881.44</x:v>
      </x:c>
      <x:c r="P21" s="2" t="str">
        <x:v>Indicative business-activity category</x:v>
      </x:c>
      <x:c r="Q21" s="11" t="n">
        <x:v>49</x:v>
      </x:c>
    </x:row>
    <x:row r="22" ht="30" customHeight="1">
      <x:c r="A22" s="12" t="str">
        <x:v>Sector</x:v>
      </x:c>
      <x:c r="B22" s="12" t="str">
        <x:v>Unresolved</x:v>
      </x:c>
      <x:c r="C22" s="11" t="n">
        <x:v>664</x:v>
      </x:c>
      <x:c r="D22" s="11" t="n">
        <x:v>478</x:v>
      </x:c>
      <x:c r="E22" s="11" t="n">
        <x:v>1229</x:v>
      </x:c>
      <x:c r="F22" s="11" t="n">
        <x:v>1229</x:v>
      </x:c>
      <x:c r="G22" s="11" t="n">
        <x:v>0</x:v>
      </x:c>
      <x:c r="H22" s="17" t="n">
        <x:f>SUMIFS('Category Packages'!$I$7:$I$2669,'Category Packages'!$B$7:$B$2669,B22,'Category Packages'!$A$7:$A$2669,A22)</x:f>
        <x:v>30302500</x:v>
      </x:c>
      <x:c r="I22" s="17" t="n">
        <x:f>ROUND(H22*'Costing'!$C$4,2)</x:f>
        <x:v>5454450</x:v>
      </x:c>
      <x:c r="J22" s="17" t="n">
        <x:f>H22+I22</x:f>
        <x:v>35756950</x:v>
      </x:c>
      <x:c r="K22" s="11" t="n">
        <x:v>226</x:v>
      </x:c>
      <x:c r="L22" s="11" t="n">
        <x:v>3273</x:v>
      </x:c>
      <x:c r="M22" s="17" t="n">
        <x:f>L22*'Costing'!$H$4</x:f>
        <x:v>4948776</x:v>
      </x:c>
      <x:c r="N22" s="17" t="n">
        <x:f>ROUND(M22*'Costing'!$C$4,2)</x:f>
        <x:v>890779.68</x:v>
      </x:c>
      <x:c r="O22" s="17" t="n">
        <x:f>M22+N22</x:f>
        <x:v>5839555.68</x:v>
      </x:c>
      <x:c r="P22" s="2" t="str">
        <x:v>Indicative business-activity category</x:v>
      </x:c>
      <x:c r="Q22" s="11" t="n">
        <x:v>262</x:v>
      </x:c>
    </x:row>
    <x:row r="23" ht="30" customHeight="1">
      <x:c r="A23" s="12" t="str">
        <x:v>Sector</x:v>
      </x:c>
      <x:c r="B23" s="12" t="str">
        <x:v>Workspace &amp; property operations</x:v>
      </x:c>
      <x:c r="C23" s="11" t="n">
        <x:v>36</x:v>
      </x:c>
      <x:c r="D23" s="11" t="n">
        <x:v>116</x:v>
      </x:c>
      <x:c r="E23" s="11" t="n">
        <x:v>186</x:v>
      </x:c>
      <x:c r="F23" s="11" t="n">
        <x:v>186</x:v>
      </x:c>
      <x:c r="G23" s="11" t="n">
        <x:v>0</x:v>
      </x:c>
      <x:c r="H23" s="17" t="n">
        <x:f>SUMIFS('Category Packages'!$I$7:$I$2669,'Category Packages'!$B$7:$B$2669,B23,'Category Packages'!$A$7:$A$2669,A23)</x:f>
        <x:v>5720000</x:v>
      </x:c>
      <x:c r="I23" s="17" t="n">
        <x:f>ROUND(H23*'Costing'!$C$4,2)</x:f>
        <x:v>1029600</x:v>
      </x:c>
      <x:c r="J23" s="17" t="n">
        <x:f>H23+I23</x:f>
        <x:v>6749600</x:v>
      </x:c>
      <x:c r="K23" s="11" t="n">
        <x:v>81</x:v>
      </x:c>
      <x:c r="L23" s="11" t="n">
        <x:v>1075</x:v>
      </x:c>
      <x:c r="M23" s="17" t="n">
        <x:f>L23*'Costing'!$H$4</x:f>
        <x:v>1625400</x:v>
      </x:c>
      <x:c r="N23" s="17" t="n">
        <x:f>ROUND(M23*'Costing'!$C$4,2)</x:f>
        <x:v>292572</x:v>
      </x:c>
      <x:c r="O23" s="17" t="n">
        <x:f>M23+N23</x:f>
        <x:v>1917972</x:v>
      </x:c>
      <x:c r="P23" s="2" t="str">
        <x:v>Indicative business-activity category</x:v>
      </x:c>
      <x:c r="Q23" s="11" t="n">
        <x:v>61</x:v>
      </x:c>
    </x:row>
  </x:sheetData>
  <x:pageMargins left="0.7" right="0.7" top="0.75" bottom="0.75" header="0.3" footer="0.3"/>
  <x:tableParts count="1">
    <x:tablePart xmlns:r="http://schemas.openxmlformats.org/officeDocument/2006/relationships" r:id="R725e0dddb43c43b0"/>
  </x:tableParts>
</x:worksheet>
</file>

<file path=xl/worksheets/sheet3.xml><?xml version="1.0" encoding="utf-8"?>
<x:worksheet xmlns:x="http://schemas.openxmlformats.org/spreadsheetml/2006/main">
  <x:sheetViews>
    <x:sheetView showGridLines="0" workbookViewId="0">
      <x:pane xSplit="1" ySplit="8" topLeftCell="B9" activePane="bottomRight" state="frozen"/>
    </x:sheetView>
  </x:sheetViews>
  <x:sheetFormatPr defaultRowHeight="15"/>
  <x:cols>
    <x:col min="1" max="1" width="21" hidden="0" customWidth="1"/>
    <x:col min="2" max="2" width="14" hidden="0" customWidth="1"/>
    <x:col min="3" max="3" width="18" hidden="0" customWidth="1"/>
    <x:col min="4" max="4" width="46" hidden="0" customWidth="1"/>
    <x:col min="5" max="5" width="28" hidden="0" customWidth="1"/>
    <x:col min="6" max="6" width="12" hidden="0" customWidth="1"/>
    <x:col min="7" max="7" width="12" hidden="0" customWidth="1"/>
    <x:col min="8" max="8" width="12" hidden="0" customWidth="1"/>
    <x:col min="9" max="9" width="12" hidden="0" customWidth="1"/>
    <x:col min="10" max="10" width="30" hidden="0" customWidth="1"/>
    <x:col min="11" max="11" width="21" hidden="0" customWidth="1"/>
    <x:col min="12" max="12" width="23" hidden="0" customWidth="1"/>
    <x:col min="13" max="13" width="23" hidden="0" customWidth="1"/>
    <x:col min="14" max="14" width="22" hidden="0" customWidth="1"/>
    <x:col min="15" max="15" width="23" hidden="0" customWidth="1"/>
    <x:col min="16" max="16" width="22" hidden="0" customWidth="1"/>
    <x:col min="17" max="17" width="22" hidden="0" customWidth="1"/>
    <x:col min="18" max="18" width="20" hidden="0" customWidth="1"/>
    <x:col min="19" max="19" width="23" hidden="0" customWidth="1"/>
    <x:col min="20" max="20" width="27" hidden="0" customWidth="1"/>
    <x:col min="21" max="21" width="45" hidden="0" customWidth="1"/>
    <x:col min="22" max="22" width="40" hidden="0" customWidth="1"/>
    <x:col min="23" max="23" width="22" hidden="0" customWidth="1"/>
    <x:col min="24" max="24" width="22" hidden="0" customWidth="1"/>
    <x:col min="25" max="25" width="24" hidden="0" customWidth="1"/>
    <x:col min="26" max="26" width="22" hidden="0" customWidth="1"/>
    <x:col min="27" max="27" width="18" hidden="0" customWidth="1"/>
    <x:col min="28" max="28" width="18"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row>
    <x:row r="2">
      <x:c r="A2" s="3" t="str">
        <x:v>Corporate 30-day costing</x:v>
      </x:c>
      <x:c r="B2" s="2"/>
      <x:c r="C2" s="2"/>
      <x:c r="D2" s="2"/>
      <x:c r="E2" s="2"/>
      <x:c r="F2" s="2"/>
      <x:c r="G2" s="2"/>
      <x:c r="H2" s="2"/>
      <x:c r="I2" s="2"/>
      <x:c r="J2" s="2"/>
      <x:c r="K2" s="2"/>
      <x:c r="L2" s="2"/>
      <x:c r="M2" s="2"/>
      <x:c r="N2" s="2"/>
      <x:c r="O2" s="2"/>
      <x:c r="P2" s="2"/>
      <x:c r="Q2" s="2"/>
      <x:c r="R2" s="2"/>
      <x:c r="S2" s="2"/>
      <x:c r="T2" s="2"/>
      <x:c r="U2" s="2"/>
      <x:c r="V2" s="2"/>
      <x:c r="W2" s="2"/>
      <x:c r="X2" s="2"/>
      <x:c r="Y2" s="2"/>
      <x:c r="Z2" s="2"/>
      <x:c r="AA2" s="2"/>
      <x:c r="AB2" s="2"/>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row>
    <x:row r="4">
      <x:c r="A4" s="2"/>
      <x:c r="B4" s="2" t="str">
        <x:v>GST</x:v>
      </x:c>
      <x:c r="C4" s="16" t="n">
        <x:v>0.18</x:v>
      </x:c>
      <x:c r="D4" s="2"/>
      <x:c r="E4" s="2" t="str">
        <x:v>Period</x:v>
      </x:c>
      <x:c r="F4" s="2" t="str">
        <x:v>30 days</x:v>
      </x:c>
      <x:c r="G4" s="2" t="str">
        <x:v>Res. rate</x:v>
      </x:c>
      <x:c r="H4" s="10" t="n">
        <x:v>1512</x:v>
      </x:c>
      <x:c r="I4" s="2"/>
      <x:c r="J4" s="2"/>
      <x:c r="K4" s="2" t="str">
        <x:v>All rates are indicative. Confirm pricing, availability and spot/loop terms before booking.</x:v>
      </x:c>
      <x:c r="L4" s="2"/>
      <x:c r="M4" s="2"/>
      <x:c r="N4" s="2"/>
      <x:c r="O4" s="2"/>
      <x:c r="P4" s="2"/>
      <x:c r="Q4" s="2"/>
      <x:c r="R4" s="2"/>
      <x:c r="S4" s="2"/>
      <x:c r="T4" s="2"/>
      <x:c r="U4" s="2"/>
      <x:c r="V4" s="2"/>
      <x:c r="W4" s="2"/>
      <x:c r="X4" s="2"/>
      <x:c r="Y4" s="2"/>
      <x:c r="Z4" s="2"/>
      <x:c r="AA4" s="2"/>
      <x:c r="AB4" s="2"/>
    </x:row>
    <x:row r="5">
      <x:c r="A5" s="2"/>
      <x:c r="B5" s="15" t="str">
        <x:v>32-inch</x:v>
      </x:c>
      <x:c r="C5" s="10" t="n">
        <x:v>12000</x:v>
      </x:c>
      <x:c r="D5" s="15" t="str">
        <x:v>43-inch</x:v>
      </x:c>
      <x:c r="E5" s="10" t="n">
        <x:v>20000</x:v>
      </x:c>
      <x:c r="F5" s="15" t="str">
        <x:v>43in WeWork</x:v>
      </x:c>
      <x:c r="G5" s="10" t="n">
        <x:v>25000</x:v>
      </x:c>
      <x:c r="H5" s="15" t="str">
        <x:v>55-inch</x:v>
      </x:c>
      <x:c r="I5" s="10" t="n">
        <x:v>40000</x:v>
      </x:c>
      <x:c r="J5" s="2"/>
      <x:c r="K5" s="2" t="str">
        <x:v>Partner packages: 15-second spot / 180-second loop. Main planning: 10-second / 120-second loop.</x:v>
      </x:c>
      <x:c r="L5" s="2"/>
      <x:c r="M5" s="2"/>
      <x:c r="N5" s="2"/>
      <x:c r="O5" s="2"/>
      <x:c r="P5" s="2"/>
      <x:c r="Q5" s="2"/>
      <x:c r="R5" s="2"/>
      <x:c r="S5" s="2"/>
      <x:c r="T5" s="2"/>
      <x:c r="U5" s="2"/>
      <x:c r="V5" s="2"/>
      <x:c r="W5" s="2"/>
      <x:c r="X5" s="2"/>
      <x:c r="Y5" s="2"/>
      <x:c r="Z5" s="2"/>
      <x:c r="AA5" s="2"/>
      <x:c r="AB5" s="2"/>
    </x:row>
    <x:row r="6">
      <x:c r="A6" s="2"/>
      <x:c r="B6" s="2"/>
      <x:c r="C6" s="2"/>
      <x:c r="D6" s="2"/>
      <x:c r="E6" s="2"/>
      <x:c r="F6" s="2"/>
      <x:c r="G6" s="2"/>
      <x:c r="H6" s="2"/>
      <x:c r="I6" s="2"/>
      <x:c r="J6" s="2"/>
      <x:c r="K6" s="2" t="str">
        <x:v>Novel package: retained 2 × 32-inch component ₹40,000 plus 4 × 43-inch campaign rate. No partial 32-inch quote.</x:v>
      </x:c>
      <x:c r="L6" s="2"/>
      <x:c r="M6" s="2"/>
      <x:c r="N6" s="2"/>
      <x:c r="O6" s="2"/>
      <x:c r="P6" s="2"/>
      <x:c r="Q6" s="2"/>
      <x:c r="R6" s="2"/>
      <x:c r="S6" s="2"/>
      <x:c r="T6" s="2"/>
      <x:c r="U6" s="2"/>
      <x:c r="V6" s="2"/>
      <x:c r="W6" s="2"/>
      <x:c r="X6" s="2"/>
      <x:c r="Y6" s="2"/>
      <x:c r="Z6" s="2"/>
      <x:c r="AA6" s="2"/>
      <x:c r="AB6" s="2"/>
    </x:row>
    <x:row r="7">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row>
    <x:row r="8" ht="42" customHeight="1">
      <x:c r="A8" s="8" t="str">
        <x:v>Cost unit</x:v>
      </x:c>
      <x:c r="B8" s="8" t="str">
        <x:v>Network</x:v>
      </x:c>
      <x:c r="C8" s="8" t="str">
        <x:v>Market</x:v>
      </x:c>
      <x:c r="D8" s="8" t="str">
        <x:v>Property / package</x:v>
      </x:c>
      <x:c r="E8" s="8" t="str">
        <x:v>Formats</x:v>
      </x:c>
      <x:c r="F8" s="8" t="str">
        <x:v>Inventory rows</x:v>
      </x:c>
      <x:c r="G8" s="8" t="str">
        <x:v>Package screens</x:v>
      </x:c>
      <x:c r="H8" s="8" t="str">
        <x:v>Selected rows</x:v>
      </x:c>
      <x:c r="I8" s="8" t="str">
        <x:v>Selected screens</x:v>
      </x:c>
      <x:c r="J8" s="8" t="str">
        <x:v>Budget basis</x:v>
      </x:c>
      <x:c r="K8" s="8" t="str">
        <x:v>Retained listed budget ex GST</x:v>
      </x:c>
      <x:c r="L8" s="8" t="str">
        <x:v>Campaign / estimate rate per screen</x:v>
      </x:c>
      <x:c r="M8" s="8" t="str">
        <x:v>Campaign / held package budget</x:v>
      </x:c>
      <x:c r="N8" s="8" t="str">
        <x:v>Quote input for selection</x:v>
      </x:c>
      <x:c r="O8" s="8" t="str">
        <x:v>Campaign / estimate budget ex GST</x:v>
      </x:c>
      <x:c r="P8" s="8" t="str">
        <x:v>Full budget ex GST</x:v>
      </x:c>
      <x:c r="Q8" s="8" t="str">
        <x:v>Selected budget ex GST</x:v>
      </x:c>
      <x:c r="R8" s="8" t="str">
        <x:v>GST</x:v>
      </x:c>
      <x:c r="S8" s="8" t="str">
        <x:v>Selected incl GST</x:v>
      </x:c>
      <x:c r="T8" s="8" t="str">
        <x:v>Selection status</x:v>
      </x:c>
      <x:c r="U8" s="8" t="str">
        <x:v>Tenant IDs</x:v>
      </x:c>
      <x:c r="V8" s="8" t="str">
        <x:v>Business sectors</x:v>
      </x:c>
      <x:c r="W8" s="8" t="str">
        <x:v>Outreach segments (indicative)</x:v>
      </x:c>
      <x:c r="X8" s="8" t="str">
        <x:v>Selected listed amount</x:v>
      </x:c>
      <x:c r="Y8" s="8" t="str">
        <x:v>Selected campaign / estimate amount</x:v>
      </x:c>
      <x:c r="Z8" s="8" t="str">
        <x:v>Selected quote amount</x:v>
      </x:c>
      <x:c r="AA8" s="8" t="str">
        <x:v>Missing price flag</x:v>
      </x:c>
      <x:c r="AB8" s="8" t="str">
        <x:v>Invalid quote flag</x:v>
      </x:c>
    </x:row>
    <x:row r="9" ht="48" customHeight="1">
      <x:c r="A9" s="2" t="str">
        <x:v>MAIN-005</x:v>
      </x:c>
      <x:c r="B9" s="2" t="str">
        <x:v>Main</x:v>
      </x:c>
      <x:c r="C9" s="2" t="str">
        <x:v>Ahmedabad</x:v>
      </x:c>
      <x:c r="D9" s="12" t="str">
        <x:v>Awfis - Krish Cubical</x:v>
      </x:c>
      <x:c r="E9" s="12" t="str">
        <x:v>32 inch LED TV</x:v>
      </x:c>
      <x:c r="F9" s="2" t="n">
        <x:v>1</x:v>
      </x:c>
      <x:c r="G9" s="2" t="n">
        <x:v>1</x:v>
      </x:c>
      <x:c r="H9" s="2" t="n">
        <x:f>COUNTIFS('Inventory'!$N$7:$N$783,A9,'Inventory'!$A$7:$A$783,1)</x:f>
        <x:v>1</x:v>
      </x:c>
      <x:c r="I9" s="2" t="n">
        <x:f>SUMIFS('Inventory'!$G$7:$G$783,'Inventory'!$N$7:$N$783,A9,'Inventory'!$A$7:$A$783,1)</x:f>
        <x:v>1</x:v>
      </x:c>
      <x:c r="J9" s="12" t="str">
        <x:v>Listed budget</x:v>
      </x:c>
      <x:c r="K9" s="17" t="n">
        <x:v>15000</x:v>
      </x:c>
      <x:c r="L9" s="17"/>
      <x:c r="M9" s="17"/>
      <x:c r="N9" s="19"/>
      <x:c r="O9" s="17" t="str">
        <x:f>IF(ISNUMBER(L9),G9*L9,IF(ISNUMBER(M9),M9,""))</x:f>
      </x:c>
      <x:c r="P9" s="17" t="n">
        <x:f>IF(ISNUMBER(K9),K9,IF(ISNUMBER(O9),O9,""))</x:f>
        <x:v>15000</x:v>
      </x:c>
      <x:c r="Q9" s="17" t="n">
        <x:f>IF(H9=0,0,IF(ISNUMBER(N9),N9,IF(N9="",IF(H9=F9,P9,""),"")))</x:f>
        <x:v>15000</x:v>
      </x:c>
      <x:c r="R9" s="17" t="n">
        <x:f>IF(ISNUMBER(Q9),ROUND(Q9*$C$4,2),"")</x:f>
        <x:v>2700</x:v>
      </x:c>
      <x:c r="S9" s="17" t="n">
        <x:f>IF(ISNUMBER(Q9),Q9+R9,"")</x:f>
        <x:v>17700</x:v>
      </x:c>
      <x:c r="T9" s="2" t="str">
        <x:f>IF(H9=0,"Not selected",IF(ISNUMBER(N9),"Quote entered",IF(N9&lt;&gt;"","Enter numeric quote",IF(H9=F9,IF(ISNUMBER(P9),"Complete unit","Price required"),"Partial package: price required"))))</x:f>
        <x:v>Complete unit</x:v>
      </x:c>
      <x:c r="U9" s="2" t="str">
        <x:v>TEN-2D2BD6458539; TEN-CBCCDBFD029C; TEN-EFEC1FDBFFA5</x:v>
      </x:c>
      <x:c r="V9" s="2" t="str">
        <x:v>Professional services; Engineering &amp; manufacturing; Trade, consumer &amp; logistics</x:v>
      </x:c>
      <x:c r="W9" s="2" t="str">
        <x:v>Small-scale prospects; Medium-scale prospects; Mixed business audience</x:v>
      </x:c>
      <x:c r="X9" s="17" t="n">
        <x:f>IF(AND(H9=F9,NOT(ISNUMBER(N9)),N9="",ISNUMBER(K9)),K9,0)</x:f>
        <x:v>15000</x:v>
      </x:c>
      <x:c r="Y9" s="17" t="n">
        <x:f>IF(AND(H9=F9,NOT(ISNUMBER(N9)),N9="",K9="",ISNUMBER(O9)),O9,0)</x:f>
        <x:v>0</x:v>
      </x:c>
      <x:c r="Z9" s="17" t="n">
        <x:f>IF(AND(H9&gt;0,ISNUMBER(N9)),N9,0)</x:f>
        <x:v>0</x:v>
      </x:c>
      <x:c r="AA9" s="2" t="n">
        <x:f>IF(AND(H9&gt;0,N9="",NOT(ISNUMBER(Q9))),1,0)</x:f>
        <x:v>0</x:v>
      </x:c>
      <x:c r="AB9" s="2" t="n">
        <x:f>IF(AND(H9&gt;0,N9&lt;&gt;"",NOT(ISNUMBER(N9))),1,0)</x:f>
        <x:v>0</x:v>
      </x:c>
    </x:row>
    <x:row r="10" ht="48" customHeight="1">
      <x:c r="A10" s="2" t="str">
        <x:v>MAIN-006</x:v>
      </x:c>
      <x:c r="B10" s="2" t="str">
        <x:v>Main</x:v>
      </x:c>
      <x:c r="C10" s="2" t="str">
        <x:v>Ahmedabad</x:v>
      </x:c>
      <x:c r="D10" s="12" t="str">
        <x:v>Awfis - RE11</x:v>
      </x:c>
      <x:c r="E10" s="12" t="str">
        <x:v>32 inch LED TV</x:v>
      </x:c>
      <x:c r="F10" s="2" t="n">
        <x:v>1</x:v>
      </x:c>
      <x:c r="G10" s="2" t="n">
        <x:v>1</x:v>
      </x:c>
      <x:c r="H10" s="2" t="n">
        <x:f>COUNTIFS('Inventory'!$N$7:$N$783,A10,'Inventory'!$A$7:$A$783,1)</x:f>
        <x:v>1</x:v>
      </x:c>
      <x:c r="I10" s="2" t="n">
        <x:f>SUMIFS('Inventory'!$G$7:$G$783,'Inventory'!$N$7:$N$783,A10,'Inventory'!$A$7:$A$783,1)</x:f>
        <x:v>1</x:v>
      </x:c>
      <x:c r="J10" s="12" t="str">
        <x:v>Estimate: same-site rate</x:v>
      </x:c>
      <x:c r="K10" s="17"/>
      <x:c r="L10" s="17" t="n">
        <x:v>15000</x:v>
      </x:c>
      <x:c r="M10" s="17"/>
      <x:c r="N10" s="19"/>
      <x:c r="O10" s="17" t="n">
        <x:f>IF(ISNUMBER(L10),G10*L10,IF(ISNUMBER(M10),M10,""))</x:f>
        <x:v>15000</x:v>
      </x:c>
      <x:c r="P10" s="17" t="n">
        <x:f>IF(ISNUMBER(K10),K10,IF(ISNUMBER(O10),O10,""))</x:f>
        <x:v>15000</x:v>
      </x:c>
      <x:c r="Q10" s="17" t="n">
        <x:f>IF(H10=0,0,IF(ISNUMBER(N10),N10,IF(N10="",IF(H10=F10,P10,""),"")))</x:f>
        <x:v>15000</x:v>
      </x:c>
      <x:c r="R10" s="17" t="n">
        <x:f>IF(ISNUMBER(Q10),ROUND(Q10*$C$4,2),"")</x:f>
        <x:v>2700</x:v>
      </x:c>
      <x:c r="S10" s="17" t="n">
        <x:f>IF(ISNUMBER(Q10),Q10+R10,"")</x:f>
        <x:v>17700</x:v>
      </x:c>
      <x:c r="T10" s="2" t="str">
        <x:f>IF(H10=0,"Not selected",IF(ISNUMBER(N10),"Quote entered",IF(N10&lt;&gt;"","Enter numeric quote",IF(H10=F10,IF(ISNUMBER(P10),"Complete unit","Price required"),"Partial package: price required"))))</x:f>
        <x:v>Complete unit</x:v>
      </x:c>
      <x:c r="U10" s="2" t="str">
        <x:v>TEN-E2460C5B469B; TEN-E730D0261178</x:v>
      </x:c>
      <x:c r="V10" s="2" t="str">
        <x:v>IT &amp; digital; Education</x:v>
      </x:c>
      <x:c r="W10" s="2" t="str">
        <x:v>Micro-scale prospects; Small-scale prospects</x:v>
      </x:c>
      <x:c r="X10" s="17" t="n">
        <x:f>IF(AND(H10=F10,NOT(ISNUMBER(N10)),N10="",ISNUMBER(K10)),K10,0)</x:f>
        <x:v>0</x:v>
      </x:c>
      <x:c r="Y10" s="17" t="n">
        <x:f>IF(AND(H10=F10,NOT(ISNUMBER(N10)),N10="",K10="",ISNUMBER(O10)),O10,0)</x:f>
        <x:v>15000</x:v>
      </x:c>
      <x:c r="Z10" s="17" t="n">
        <x:f>IF(AND(H10&gt;0,ISNUMBER(N10)),N10,0)</x:f>
        <x:v>0</x:v>
      </x:c>
      <x:c r="AA10" s="2" t="n">
        <x:f>IF(AND(H10&gt;0,N10="",NOT(ISNUMBER(Q10))),1,0)</x:f>
        <x:v>0</x:v>
      </x:c>
      <x:c r="AB10" s="2" t="n">
        <x:f>IF(AND(H10&gt;0,N10&lt;&gt;"",NOT(ISNUMBER(N10))),1,0)</x:f>
        <x:v>0</x:v>
      </x:c>
    </x:row>
    <x:row r="11" ht="48" customHeight="1">
      <x:c r="A11" s="2" t="str">
        <x:v>MAIN-007</x:v>
      </x:c>
      <x:c r="B11" s="2" t="str">
        <x:v>Main</x:v>
      </x:c>
      <x:c r="C11" s="2" t="str">
        <x:v>Ahmedabad</x:v>
      </x:c>
      <x:c r="D11" s="12" t="str">
        <x:v>Oyo Workspace - Mauryansh Elanza</x:v>
      </x:c>
      <x:c r="E11" s="12" t="str">
        <x:v>32 inch LED TV</x:v>
      </x:c>
      <x:c r="F11" s="2" t="n">
        <x:v>1</x:v>
      </x:c>
      <x:c r="G11" s="2" t="n">
        <x:v>2</x:v>
      </x:c>
      <x:c r="H11" s="2" t="n">
        <x:f>COUNTIFS('Inventory'!$N$7:$N$783,A11,'Inventory'!$A$7:$A$783,1)</x:f>
        <x:v>1</x:v>
      </x:c>
      <x:c r="I11" s="2" t="n">
        <x:f>SUMIFS('Inventory'!$G$7:$G$783,'Inventory'!$N$7:$N$783,A11,'Inventory'!$A$7:$A$783,1)</x:f>
        <x:v>2</x:v>
      </x:c>
      <x:c r="J11" s="12" t="str">
        <x:v>Listed budget</x:v>
      </x:c>
      <x:c r="K11" s="17" t="n">
        <x:v>30000</x:v>
      </x:c>
      <x:c r="L11" s="17"/>
      <x:c r="M11" s="17"/>
      <x:c r="N11" s="19"/>
      <x:c r="O11" s="17" t="str">
        <x:f>IF(ISNUMBER(L11),G11*L11,IF(ISNUMBER(M11),M11,""))</x:f>
      </x:c>
      <x:c r="P11" s="17" t="n">
        <x:f>IF(ISNUMBER(K11),K11,IF(ISNUMBER(O11),O11,""))</x:f>
        <x:v>30000</x:v>
      </x:c>
      <x:c r="Q11" s="17" t="n">
        <x:f>IF(H11=0,0,IF(ISNUMBER(N11),N11,IF(N11="",IF(H11=F11,P11,""),"")))</x:f>
        <x:v>30000</x:v>
      </x:c>
      <x:c r="R11" s="17" t="n">
        <x:f>IF(ISNUMBER(Q11),ROUND(Q11*$C$4,2),"")</x:f>
        <x:v>5400</x:v>
      </x:c>
      <x:c r="S11" s="17" t="n">
        <x:f>IF(ISNUMBER(Q11),Q11+R11,"")</x:f>
        <x:v>35400</x:v>
      </x:c>
      <x:c r="T11" s="2" t="str">
        <x:f>IF(H11=0,"Not selected",IF(ISNUMBER(N11),"Quote entered",IF(N11&lt;&gt;"","Enter numeric quote",IF(H11=F11,IF(ISNUMBER(P11),"Complete unit","Price required"),"Partial package: price required"))))</x:f>
        <x:v>Complete unit</x:v>
      </x:c>
      <x:c r="U11" s="2" t="str">
        <x:v>TEN-3BAC052E3DDF; TEN-ADF3ECE39127; TEN-F01481C57FC4</x:v>
      </x:c>
      <x:c r="V11" s="2" t="str">
        <x:v>Professional services; Trade, consumer &amp; logistics; Unresolved</x:v>
      </x:c>
      <x:c r="W11" s="2" t="str">
        <x:v>Micro-scale prospects; Small-scale prospects; Mixed business audience</x:v>
      </x:c>
      <x:c r="X11" s="17" t="n">
        <x:f>IF(AND(H11=F11,NOT(ISNUMBER(N11)),N11="",ISNUMBER(K11)),K11,0)</x:f>
        <x:v>30000</x:v>
      </x:c>
      <x:c r="Y11" s="17" t="n">
        <x:f>IF(AND(H11=F11,NOT(ISNUMBER(N11)),N11="",K11="",ISNUMBER(O11)),O11,0)</x:f>
        <x:v>0</x:v>
      </x:c>
      <x:c r="Z11" s="17" t="n">
        <x:f>IF(AND(H11&gt;0,ISNUMBER(N11)),N11,0)</x:f>
        <x:v>0</x:v>
      </x:c>
      <x:c r="AA11" s="2" t="n">
        <x:f>IF(AND(H11&gt;0,N11="",NOT(ISNUMBER(Q11))),1,0)</x:f>
        <x:v>0</x:v>
      </x:c>
      <x:c r="AB11" s="2" t="n">
        <x:f>IF(AND(H11&gt;0,N11&lt;&gt;"",NOT(ISNUMBER(N11))),1,0)</x:f>
        <x:v>0</x:v>
      </x:c>
    </x:row>
    <x:row r="12" ht="48" customHeight="1">
      <x:c r="A12" s="2" t="str">
        <x:v>MAIN-008</x:v>
      </x:c>
      <x:c r="B12" s="2" t="str">
        <x:v>Main</x:v>
      </x:c>
      <x:c r="C12" s="2" t="str">
        <x:v>Ahmedabad</x:v>
      </x:c>
      <x:c r="D12" s="12" t="str">
        <x:v>Solaris Business Park</x:v>
      </x:c>
      <x:c r="E12" s="12" t="str">
        <x:v>24 inch LED TV</x:v>
      </x:c>
      <x:c r="F12" s="2" t="n">
        <x:v>1</x:v>
      </x:c>
      <x:c r="G12" s="2" t="n">
        <x:v>8</x:v>
      </x:c>
      <x:c r="H12" s="2" t="n">
        <x:f>COUNTIFS('Inventory'!$N$7:$N$783,A12,'Inventory'!$A$7:$A$783,1)</x:f>
        <x:v>1</x:v>
      </x:c>
      <x:c r="I12" s="2" t="n">
        <x:f>SUMIFS('Inventory'!$G$7:$G$783,'Inventory'!$N$7:$N$783,A12,'Inventory'!$A$7:$A$783,1)</x:f>
        <x:v>8</x:v>
      </x:c>
      <x:c r="J12" s="12" t="str">
        <x:v>Listed budget</x:v>
      </x:c>
      <x:c r="K12" s="17" t="n">
        <x:v>120000</x:v>
      </x:c>
      <x:c r="L12" s="17"/>
      <x:c r="M12" s="17"/>
      <x:c r="N12" s="19"/>
      <x:c r="O12" s="17" t="str">
        <x:f>IF(ISNUMBER(L12),G12*L12,IF(ISNUMBER(M12),M12,""))</x:f>
      </x:c>
      <x:c r="P12" s="17" t="n">
        <x:f>IF(ISNUMBER(K12),K12,IF(ISNUMBER(O12),O12,""))</x:f>
        <x:v>120000</x:v>
      </x:c>
      <x:c r="Q12" s="17" t="n">
        <x:f>IF(H12=0,0,IF(ISNUMBER(N12),N12,IF(N12="",IF(H12=F12,P12,""),"")))</x:f>
        <x:v>120000</x:v>
      </x:c>
      <x:c r="R12" s="17" t="n">
        <x:f>IF(ISNUMBER(Q12),ROUND(Q12*$C$4,2),"")</x:f>
        <x:v>21600</x:v>
      </x:c>
      <x:c r="S12" s="17" t="n">
        <x:f>IF(ISNUMBER(Q12),Q12+R12,"")</x:f>
        <x:v>141600</x:v>
      </x:c>
      <x:c r="T12" s="2" t="str">
        <x:f>IF(H12=0,"Not selected",IF(ISNUMBER(N12),"Quote entered",IF(N12&lt;&gt;"","Enter numeric quote",IF(H12=F12,IF(ISNUMBER(P12),"Complete unit","Price required"),"Partial package: price required"))))</x:f>
        <x:v>Complete unit</x:v>
      </x:c>
      <x:c r="U12" s="2" t="str"/>
      <x:c r="V12" s="2" t="str">
        <x:v>Unclassified</x:v>
      </x:c>
      <x:c r="W12" s="2" t="str">
        <x:v>Mixed business audience</x:v>
      </x:c>
      <x:c r="X12" s="17" t="n">
        <x:f>IF(AND(H12=F12,NOT(ISNUMBER(N12)),N12="",ISNUMBER(K12)),K12,0)</x:f>
        <x:v>120000</x:v>
      </x:c>
      <x:c r="Y12" s="17" t="n">
        <x:f>IF(AND(H12=F12,NOT(ISNUMBER(N12)),N12="",K12="",ISNUMBER(O12)),O12,0)</x:f>
        <x:v>0</x:v>
      </x:c>
      <x:c r="Z12" s="17" t="n">
        <x:f>IF(AND(H12&gt;0,ISNUMBER(N12)),N12,0)</x:f>
        <x:v>0</x:v>
      </x:c>
      <x:c r="AA12" s="2" t="n">
        <x:f>IF(AND(H12&gt;0,N12="",NOT(ISNUMBER(Q12))),1,0)</x:f>
        <x:v>0</x:v>
      </x:c>
      <x:c r="AB12" s="2" t="n">
        <x:f>IF(AND(H12&gt;0,N12&lt;&gt;"",NOT(ISNUMBER(N12))),1,0)</x:f>
        <x:v>0</x:v>
      </x:c>
    </x:row>
    <x:row r="13" ht="48" customHeight="1">
      <x:c r="A13" s="2" t="str">
        <x:v>MAIN-009</x:v>
      </x:c>
      <x:c r="B13" s="2" t="str">
        <x:v>Main</x:v>
      </x:c>
      <x:c r="C13" s="2" t="str">
        <x:v>Bengaluru</x:v>
      </x:c>
      <x:c r="D13" s="12" t="str">
        <x:v>Akshay Tech Park</x:v>
      </x:c>
      <x:c r="E13" s="12" t="str">
        <x:v>32 inch LED TV</x:v>
      </x:c>
      <x:c r="F13" s="2" t="n">
        <x:v>1</x:v>
      </x:c>
      <x:c r="G13" s="2" t="n">
        <x:v>8</x:v>
      </x:c>
      <x:c r="H13" s="2" t="n">
        <x:f>COUNTIFS('Inventory'!$N$7:$N$783,A13,'Inventory'!$A$7:$A$783,1)</x:f>
        <x:v>1</x:v>
      </x:c>
      <x:c r="I13" s="2" t="n">
        <x:f>SUMIFS('Inventory'!$G$7:$G$783,'Inventory'!$N$7:$N$783,A13,'Inventory'!$A$7:$A$783,1)</x:f>
        <x:v>8</x:v>
      </x:c>
      <x:c r="J13" s="12" t="str">
        <x:v>Listed budget</x:v>
      </x:c>
      <x:c r="K13" s="17" t="n">
        <x:v>120000</x:v>
      </x:c>
      <x:c r="L13" s="17"/>
      <x:c r="M13" s="17"/>
      <x:c r="N13" s="19"/>
      <x:c r="O13" s="17" t="str">
        <x:f>IF(ISNUMBER(L13),G13*L13,IF(ISNUMBER(M13),M13,""))</x:f>
      </x:c>
      <x:c r="P13" s="17" t="n">
        <x:f>IF(ISNUMBER(K13),K13,IF(ISNUMBER(O13),O13,""))</x:f>
        <x:v>120000</x:v>
      </x:c>
      <x:c r="Q13" s="17" t="n">
        <x:f>IF(H13=0,0,IF(ISNUMBER(N13),N13,IF(N13="",IF(H13=F13,P13,""),"")))</x:f>
        <x:v>120000</x:v>
      </x:c>
      <x:c r="R13" s="17" t="n">
        <x:f>IF(ISNUMBER(Q13),ROUND(Q13*$C$4,2),"")</x:f>
        <x:v>21600</x:v>
      </x:c>
      <x:c r="S13" s="17" t="n">
        <x:f>IF(ISNUMBER(Q13),Q13+R13,"")</x:f>
        <x:v>141600</x:v>
      </x:c>
      <x:c r="T13" s="2" t="str">
        <x:f>IF(H13=0,"Not selected",IF(ISNUMBER(N13),"Quote entered",IF(N13&lt;&gt;"","Enter numeric quote",IF(H13=F13,IF(ISNUMBER(P13),"Complete unit","Price required"),"Partial package: price required"))))</x:f>
        <x:v>Complete unit</x:v>
      </x:c>
      <x:c r="U13" s="2" t="str">
        <x:v>TEN-25CDB46D8D21; TEN-4D5ABFAB0D72; TEN-53488A70F413; TEN-89B79C32DF1D; TEN-B1431D1B5AF5; TEN-C6E3A023B2FA; TEN-D4A0022B593B; TEN-D77A75DAFFAB; TEN-ECADA1AE0F98; TEN-F920AA980FA1; TEN-FB91131C276B</x:v>
      </x:c>
      <x:c r="V13" s="2" t="str">
        <x:v>IT &amp; digital; Professional services; Finance &amp; insurance; Trade, consumer &amp; logistics; Workspace &amp; property operations; Unresolved</x:v>
      </x:c>
      <x:c r="W13" s="2" t="str">
        <x:v>Small-scale prospects; Mixed business audience</x:v>
      </x:c>
      <x:c r="X13" s="17" t="n">
        <x:f>IF(AND(H13=F13,NOT(ISNUMBER(N13)),N13="",ISNUMBER(K13)),K13,0)</x:f>
        <x:v>120000</x:v>
      </x:c>
      <x:c r="Y13" s="17" t="n">
        <x:f>IF(AND(H13=F13,NOT(ISNUMBER(N13)),N13="",K13="",ISNUMBER(O13)),O13,0)</x:f>
        <x:v>0</x:v>
      </x:c>
      <x:c r="Z13" s="17" t="n">
        <x:f>IF(AND(H13&gt;0,ISNUMBER(N13)),N13,0)</x:f>
        <x:v>0</x:v>
      </x:c>
      <x:c r="AA13" s="2" t="n">
        <x:f>IF(AND(H13&gt;0,N13="",NOT(ISNUMBER(Q13))),1,0)</x:f>
        <x:v>0</x:v>
      </x:c>
      <x:c r="AB13" s="2" t="n">
        <x:f>IF(AND(H13&gt;0,N13&lt;&gt;"",NOT(ISNUMBER(N13))),1,0)</x:f>
        <x:v>0</x:v>
      </x:c>
    </x:row>
    <x:row r="14" ht="48" customHeight="1">
      <x:c r="A14" s="2" t="str">
        <x:v>MAIN-010</x:v>
      </x:c>
      <x:c r="B14" s="2" t="str">
        <x:v>Main</x:v>
      </x:c>
      <x:c r="C14" s="2" t="str">
        <x:v>Bengaluru</x:v>
      </x:c>
      <x:c r="D14" s="12" t="str">
        <x:v>Ataura Business Centre</x:v>
      </x:c>
      <x:c r="E14" s="12" t="str">
        <x:v>32 inch LED TV</x:v>
      </x:c>
      <x:c r="F14" s="2" t="n">
        <x:v>1</x:v>
      </x:c>
      <x:c r="G14" s="2" t="n">
        <x:v>1</x:v>
      </x:c>
      <x:c r="H14" s="2" t="n">
        <x:f>COUNTIFS('Inventory'!$N$7:$N$783,A14,'Inventory'!$A$7:$A$783,1)</x:f>
        <x:v>1</x:v>
      </x:c>
      <x:c r="I14" s="2" t="n">
        <x:f>SUMIFS('Inventory'!$G$7:$G$783,'Inventory'!$N$7:$N$783,A14,'Inventory'!$A$7:$A$783,1)</x:f>
        <x:v>1</x:v>
      </x:c>
      <x:c r="J14" s="12" t="str">
        <x:v>Estimate: same-site rate</x:v>
      </x:c>
      <x:c r="K14" s="17"/>
      <x:c r="L14" s="17" t="n">
        <x:v>15000</x:v>
      </x:c>
      <x:c r="M14" s="17"/>
      <x:c r="N14" s="19"/>
      <x:c r="O14" s="17" t="n">
        <x:f>IF(ISNUMBER(L14),G14*L14,IF(ISNUMBER(M14),M14,""))</x:f>
        <x:v>15000</x:v>
      </x:c>
      <x:c r="P14" s="17" t="n">
        <x:f>IF(ISNUMBER(K14),K14,IF(ISNUMBER(O14),O14,""))</x:f>
        <x:v>15000</x:v>
      </x:c>
      <x:c r="Q14" s="17" t="n">
        <x:f>IF(H14=0,0,IF(ISNUMBER(N14),N14,IF(N14="",IF(H14=F14,P14,""),"")))</x:f>
        <x:v>15000</x:v>
      </x:c>
      <x:c r="R14" s="17" t="n">
        <x:f>IF(ISNUMBER(Q14),ROUND(Q14*$C$4,2),"")</x:f>
        <x:v>2700</x:v>
      </x:c>
      <x:c r="S14" s="17" t="n">
        <x:f>IF(ISNUMBER(Q14),Q14+R14,"")</x:f>
        <x:v>17700</x:v>
      </x:c>
      <x:c r="T14" s="2" t="str">
        <x:f>IF(H14=0,"Not selected",IF(ISNUMBER(N14),"Quote entered",IF(N14&lt;&gt;"","Enter numeric quote",IF(H14=F14,IF(ISNUMBER(P14),"Complete unit","Price required"),"Partial package: price required"))))</x:f>
        <x:v>Complete unit</x:v>
      </x:c>
      <x:c r="U14" s="2" t="str">
        <x:v>TEN-08BA913363E2; TEN-2A148617E1B4; TEN-40F283DADDAE; TEN-55C9DB2EBA8B; TEN-80AE4E40F9CD; TEN-84E37ADD7FEC; TEN-A5E183486EFD; TEN-B4897F7ABC8F; TEN-DE5E974C017A</x:v>
      </x:c>
      <x:c r="V14" s="2" t="str">
        <x:v>IT &amp; digital; Professional services; Trade, consumer &amp; logistics; Unresolved</x:v>
      </x:c>
      <x:c r="W14" s="2" t="str">
        <x:v>Micro-scale prospects; Small-scale prospects; Medium-scale prospects; Mixed business audience</x:v>
      </x:c>
      <x:c r="X14" s="17" t="n">
        <x:f>IF(AND(H14=F14,NOT(ISNUMBER(N14)),N14="",ISNUMBER(K14)),K14,0)</x:f>
        <x:v>0</x:v>
      </x:c>
      <x:c r="Y14" s="17" t="n">
        <x:f>IF(AND(H14=F14,NOT(ISNUMBER(N14)),N14="",K14="",ISNUMBER(O14)),O14,0)</x:f>
        <x:v>15000</x:v>
      </x:c>
      <x:c r="Z14" s="17" t="n">
        <x:f>IF(AND(H14&gt;0,ISNUMBER(N14)),N14,0)</x:f>
        <x:v>0</x:v>
      </x:c>
      <x:c r="AA14" s="2" t="n">
        <x:f>IF(AND(H14&gt;0,N14="",NOT(ISNUMBER(Q14))),1,0)</x:f>
        <x:v>0</x:v>
      </x:c>
      <x:c r="AB14" s="2" t="n">
        <x:f>IF(AND(H14&gt;0,N14&lt;&gt;"",NOT(ISNUMBER(N14))),1,0)</x:f>
        <x:v>0</x:v>
      </x:c>
    </x:row>
    <x:row r="15" ht="48" customHeight="1">
      <x:c r="A15" s="2" t="str">
        <x:v>MAIN-011</x:v>
      </x:c>
      <x:c r="B15" s="2" t="str">
        <x:v>Main</x:v>
      </x:c>
      <x:c r="C15" s="2" t="str">
        <x:v>Bengaluru</x:v>
      </x:c>
      <x:c r="D15" s="12" t="str">
        <x:v>Awfis - Brigade Metropolis</x:v>
      </x:c>
      <x:c r="E15" s="12" t="str">
        <x:v>32 inch LED TV</x:v>
      </x:c>
      <x:c r="F15" s="2" t="n">
        <x:v>1</x:v>
      </x:c>
      <x:c r="G15" s="2" t="n">
        <x:v>1</x:v>
      </x:c>
      <x:c r="H15" s="2" t="n">
        <x:f>COUNTIFS('Inventory'!$N$7:$N$783,A15,'Inventory'!$A$7:$A$783,1)</x:f>
        <x:v>1</x:v>
      </x:c>
      <x:c r="I15" s="2" t="n">
        <x:f>SUMIFS('Inventory'!$G$7:$G$783,'Inventory'!$N$7:$N$783,A15,'Inventory'!$A$7:$A$783,1)</x:f>
        <x:v>1</x:v>
      </x:c>
      <x:c r="J15" s="12" t="str">
        <x:v>Listed budget</x:v>
      </x:c>
      <x:c r="K15" s="17" t="n">
        <x:v>15000</x:v>
      </x:c>
      <x:c r="L15" s="17"/>
      <x:c r="M15" s="17"/>
      <x:c r="N15" s="19"/>
      <x:c r="O15" s="17" t="str">
        <x:f>IF(ISNUMBER(L15),G15*L15,IF(ISNUMBER(M15),M15,""))</x:f>
      </x:c>
      <x:c r="P15" s="17" t="n">
        <x:f>IF(ISNUMBER(K15),K15,IF(ISNUMBER(O15),O15,""))</x:f>
        <x:v>15000</x:v>
      </x:c>
      <x:c r="Q15" s="17" t="n">
        <x:f>IF(H15=0,0,IF(ISNUMBER(N15),N15,IF(N15="",IF(H15=F15,P15,""),"")))</x:f>
        <x:v>15000</x:v>
      </x:c>
      <x:c r="R15" s="17" t="n">
        <x:f>IF(ISNUMBER(Q15),ROUND(Q15*$C$4,2),"")</x:f>
        <x:v>2700</x:v>
      </x:c>
      <x:c r="S15" s="17" t="n">
        <x:f>IF(ISNUMBER(Q15),Q15+R15,"")</x:f>
        <x:v>17700</x:v>
      </x:c>
      <x:c r="T15" s="2" t="str">
        <x:f>IF(H15=0,"Not selected",IF(ISNUMBER(N15),"Quote entered",IF(N15&lt;&gt;"","Enter numeric quote",IF(H15=F15,IF(ISNUMBER(P15),"Complete unit","Price required"),"Partial package: price required"))))</x:f>
        <x:v>Complete unit</x:v>
      </x:c>
      <x:c r="U15" s="2" t="str">
        <x:v>TEN-1B2AB90246EE; TEN-1DE6F8F03AAB; TEN-3AFBF365C56B; TEN-69A068939DEA; TEN-81BA36E7B3F1; TEN-E1F3AEFC4A1F</x:v>
      </x:c>
      <x:c r="V15" s="2" t="str">
        <x:v>IT &amp; digital; Professional services; Unresolved</x:v>
      </x:c>
      <x:c r="W15" s="2" t="str">
        <x:v>Small-scale prospects; Large enterprise; Mixed business audience</x:v>
      </x:c>
      <x:c r="X15" s="17" t="n">
        <x:f>IF(AND(H15=F15,NOT(ISNUMBER(N15)),N15="",ISNUMBER(K15)),K15,0)</x:f>
        <x:v>15000</x:v>
      </x:c>
      <x:c r="Y15" s="17" t="n">
        <x:f>IF(AND(H15=F15,NOT(ISNUMBER(N15)),N15="",K15="",ISNUMBER(O15)),O15,0)</x:f>
        <x:v>0</x:v>
      </x:c>
      <x:c r="Z15" s="17" t="n">
        <x:f>IF(AND(H15&gt;0,ISNUMBER(N15)),N15,0)</x:f>
        <x:v>0</x:v>
      </x:c>
      <x:c r="AA15" s="2" t="n">
        <x:f>IF(AND(H15&gt;0,N15="",NOT(ISNUMBER(Q15))),1,0)</x:f>
        <x:v>0</x:v>
      </x:c>
      <x:c r="AB15" s="2" t="n">
        <x:f>IF(AND(H15&gt;0,N15&lt;&gt;"",NOT(ISNUMBER(N15))),1,0)</x:f>
        <x:v>0</x:v>
      </x:c>
    </x:row>
    <x:row r="16" ht="48" customHeight="1">
      <x:c r="A16" s="2" t="str">
        <x:v>MAIN-012</x:v>
      </x:c>
      <x:c r="B16" s="2" t="str">
        <x:v>Main</x:v>
      </x:c>
      <x:c r="C16" s="2" t="str">
        <x:v>Bengaluru</x:v>
      </x:c>
      <x:c r="D16" s="12" t="str">
        <x:v>Awfis - Kirloskar Tech Park</x:v>
      </x:c>
      <x:c r="E16" s="12" t="str">
        <x:v>32 inch LED TV</x:v>
      </x:c>
      <x:c r="F16" s="2" t="n">
        <x:v>1</x:v>
      </x:c>
      <x:c r="G16" s="2" t="n">
        <x:v>2</x:v>
      </x:c>
      <x:c r="H16" s="2" t="n">
        <x:f>COUNTIFS('Inventory'!$N$7:$N$783,A16,'Inventory'!$A$7:$A$783,1)</x:f>
        <x:v>1</x:v>
      </x:c>
      <x:c r="I16" s="2" t="n">
        <x:f>SUMIFS('Inventory'!$G$7:$G$783,'Inventory'!$N$7:$N$783,A16,'Inventory'!$A$7:$A$783,1)</x:f>
        <x:v>2</x:v>
      </x:c>
      <x:c r="J16" s="12" t="str">
        <x:v>Listed budget</x:v>
      </x:c>
      <x:c r="K16" s="17" t="n">
        <x:v>30000</x:v>
      </x:c>
      <x:c r="L16" s="17"/>
      <x:c r="M16" s="17"/>
      <x:c r="N16" s="19"/>
      <x:c r="O16" s="17" t="str">
        <x:f>IF(ISNUMBER(L16),G16*L16,IF(ISNUMBER(M16),M16,""))</x:f>
      </x:c>
      <x:c r="P16" s="17" t="n">
        <x:f>IF(ISNUMBER(K16),K16,IF(ISNUMBER(O16),O16,""))</x:f>
        <x:v>30000</x:v>
      </x:c>
      <x:c r="Q16" s="17" t="n">
        <x:f>IF(H16=0,0,IF(ISNUMBER(N16),N16,IF(N16="",IF(H16=F16,P16,""),"")))</x:f>
        <x:v>30000</x:v>
      </x:c>
      <x:c r="R16" s="17" t="n">
        <x:f>IF(ISNUMBER(Q16),ROUND(Q16*$C$4,2),"")</x:f>
        <x:v>5400</x:v>
      </x:c>
      <x:c r="S16" s="17" t="n">
        <x:f>IF(ISNUMBER(Q16),Q16+R16,"")</x:f>
        <x:v>35400</x:v>
      </x:c>
      <x:c r="T16" s="2" t="str">
        <x:f>IF(H16=0,"Not selected",IF(ISNUMBER(N16),"Quote entered",IF(N16&lt;&gt;"","Enter numeric quote",IF(H16=F16,IF(ISNUMBER(P16),"Complete unit","Price required"),"Partial package: price required"))))</x:f>
        <x:v>Complete unit</x:v>
      </x:c>
      <x:c r="U16" s="2" t="str">
        <x:v>TEN-5A6E2962D1EB</x:v>
      </x:c>
      <x:c r="V16" s="2" t="str">
        <x:v>IT &amp; digital</x:v>
      </x:c>
      <x:c r="W16" s="2" t="str">
        <x:v>Small-scale prospects</x:v>
      </x:c>
      <x:c r="X16" s="17" t="n">
        <x:f>IF(AND(H16=F16,NOT(ISNUMBER(N16)),N16="",ISNUMBER(K16)),K16,0)</x:f>
        <x:v>30000</x:v>
      </x:c>
      <x:c r="Y16" s="17" t="n">
        <x:f>IF(AND(H16=F16,NOT(ISNUMBER(N16)),N16="",K16="",ISNUMBER(O16)),O16,0)</x:f>
        <x:v>0</x:v>
      </x:c>
      <x:c r="Z16" s="17" t="n">
        <x:f>IF(AND(H16&gt;0,ISNUMBER(N16)),N16,0)</x:f>
        <x:v>0</x:v>
      </x:c>
      <x:c r="AA16" s="2" t="n">
        <x:f>IF(AND(H16&gt;0,N16="",NOT(ISNUMBER(Q16))),1,0)</x:f>
        <x:v>0</x:v>
      </x:c>
      <x:c r="AB16" s="2" t="n">
        <x:f>IF(AND(H16&gt;0,N16&lt;&gt;"",NOT(ISNUMBER(N16))),1,0)</x:f>
        <x:v>0</x:v>
      </x:c>
    </x:row>
    <x:row r="17" ht="48" customHeight="1">
      <x:c r="A17" s="2" t="str">
        <x:v>MAIN-013</x:v>
      </x:c>
      <x:c r="B17" s="2" t="str">
        <x:v>Main</x:v>
      </x:c>
      <x:c r="C17" s="2" t="str">
        <x:v>Bengaluru</x:v>
      </x:c>
      <x:c r="D17" s="12" t="str">
        <x:v>Awfis - Mantri Commerce</x:v>
      </x:c>
      <x:c r="E17" s="12" t="str">
        <x:v>32 inch LED TV</x:v>
      </x:c>
      <x:c r="F17" s="2" t="n">
        <x:v>1</x:v>
      </x:c>
      <x:c r="G17" s="2" t="n">
        <x:v>2</x:v>
      </x:c>
      <x:c r="H17" s="2" t="n">
        <x:f>COUNTIFS('Inventory'!$N$7:$N$783,A17,'Inventory'!$A$7:$A$783,1)</x:f>
        <x:v>1</x:v>
      </x:c>
      <x:c r="I17" s="2" t="n">
        <x:f>SUMIFS('Inventory'!$G$7:$G$783,'Inventory'!$N$7:$N$783,A17,'Inventory'!$A$7:$A$783,1)</x:f>
        <x:v>2</x:v>
      </x:c>
      <x:c r="J17" s="12" t="str">
        <x:v>Listed budget</x:v>
      </x:c>
      <x:c r="K17" s="17" t="n">
        <x:v>30000</x:v>
      </x:c>
      <x:c r="L17" s="17"/>
      <x:c r="M17" s="17"/>
      <x:c r="N17" s="19"/>
      <x:c r="O17" s="17" t="str">
        <x:f>IF(ISNUMBER(L17),G17*L17,IF(ISNUMBER(M17),M17,""))</x:f>
      </x:c>
      <x:c r="P17" s="17" t="n">
        <x:f>IF(ISNUMBER(K17),K17,IF(ISNUMBER(O17),O17,""))</x:f>
        <x:v>30000</x:v>
      </x:c>
      <x:c r="Q17" s="17" t="n">
        <x:f>IF(H17=0,0,IF(ISNUMBER(N17),N17,IF(N17="",IF(H17=F17,P17,""),"")))</x:f>
        <x:v>30000</x:v>
      </x:c>
      <x:c r="R17" s="17" t="n">
        <x:f>IF(ISNUMBER(Q17),ROUND(Q17*$C$4,2),"")</x:f>
        <x:v>5400</x:v>
      </x:c>
      <x:c r="S17" s="17" t="n">
        <x:f>IF(ISNUMBER(Q17),Q17+R17,"")</x:f>
        <x:v>35400</x:v>
      </x:c>
      <x:c r="T17" s="2" t="str">
        <x:f>IF(H17=0,"Not selected",IF(ISNUMBER(N17),"Quote entered",IF(N17&lt;&gt;"","Enter numeric quote",IF(H17=F17,IF(ISNUMBER(P17),"Complete unit","Price required"),"Partial package: price required"))))</x:f>
        <x:v>Complete unit</x:v>
      </x:c>
      <x:c r="U17" s="2" t="str">
        <x:v>TEN-341AA59EDF1F; TEN-D8D88329A6BC</x:v>
      </x:c>
      <x:c r="V17" s="2" t="str">
        <x:v>IT &amp; digital; Trade, consumer &amp; logistics</x:v>
      </x:c>
      <x:c r="W17" s="2" t="str">
        <x:v>Mixed business audience</x:v>
      </x:c>
      <x:c r="X17" s="17" t="n">
        <x:f>IF(AND(H17=F17,NOT(ISNUMBER(N17)),N17="",ISNUMBER(K17)),K17,0)</x:f>
        <x:v>30000</x:v>
      </x:c>
      <x:c r="Y17" s="17" t="n">
        <x:f>IF(AND(H17=F17,NOT(ISNUMBER(N17)),N17="",K17="",ISNUMBER(O17)),O17,0)</x:f>
        <x:v>0</x:v>
      </x:c>
      <x:c r="Z17" s="17" t="n">
        <x:f>IF(AND(H17&gt;0,ISNUMBER(N17)),N17,0)</x:f>
        <x:v>0</x:v>
      </x:c>
      <x:c r="AA17" s="2" t="n">
        <x:f>IF(AND(H17&gt;0,N17="",NOT(ISNUMBER(Q17))),1,0)</x:f>
        <x:v>0</x:v>
      </x:c>
      <x:c r="AB17" s="2" t="n">
        <x:f>IF(AND(H17&gt;0,N17&lt;&gt;"",NOT(ISNUMBER(N17))),1,0)</x:f>
        <x:v>0</x:v>
      </x:c>
    </x:row>
    <x:row r="18" ht="48" customHeight="1">
      <x:c r="A18" s="2" t="str">
        <x:v>MAIN-014</x:v>
      </x:c>
      <x:c r="B18" s="2" t="str">
        <x:v>Main</x:v>
      </x:c>
      <x:c r="C18" s="2" t="str">
        <x:v>Bengaluru</x:v>
      </x:c>
      <x:c r="D18" s="12" t="str">
        <x:v>Awfis - Mission Road</x:v>
      </x:c>
      <x:c r="E18" s="12" t="str">
        <x:v>32 inch LED TV</x:v>
      </x:c>
      <x:c r="F18" s="2" t="n">
        <x:v>1</x:v>
      </x:c>
      <x:c r="G18" s="2" t="n">
        <x:v>4</x:v>
      </x:c>
      <x:c r="H18" s="2" t="n">
        <x:f>COUNTIFS('Inventory'!$N$7:$N$783,A18,'Inventory'!$A$7:$A$783,1)</x:f>
        <x:v>1</x:v>
      </x:c>
      <x:c r="I18" s="2" t="n">
        <x:f>SUMIFS('Inventory'!$G$7:$G$783,'Inventory'!$N$7:$N$783,A18,'Inventory'!$A$7:$A$783,1)</x:f>
        <x:v>4</x:v>
      </x:c>
      <x:c r="J18" s="12" t="str">
        <x:v>Listed budget</x:v>
      </x:c>
      <x:c r="K18" s="17" t="n">
        <x:v>60000</x:v>
      </x:c>
      <x:c r="L18" s="17"/>
      <x:c r="M18" s="17"/>
      <x:c r="N18" s="19"/>
      <x:c r="O18" s="17" t="str">
        <x:f>IF(ISNUMBER(L18),G18*L18,IF(ISNUMBER(M18),M18,""))</x:f>
      </x:c>
      <x:c r="P18" s="17" t="n">
        <x:f>IF(ISNUMBER(K18),K18,IF(ISNUMBER(O18),O18,""))</x:f>
        <x:v>60000</x:v>
      </x:c>
      <x:c r="Q18" s="17" t="n">
        <x:f>IF(H18=0,0,IF(ISNUMBER(N18),N18,IF(N18="",IF(H18=F18,P18,""),"")))</x:f>
        <x:v>60000</x:v>
      </x:c>
      <x:c r="R18" s="17" t="n">
        <x:f>IF(ISNUMBER(Q18),ROUND(Q18*$C$4,2),"")</x:f>
        <x:v>10800</x:v>
      </x:c>
      <x:c r="S18" s="17" t="n">
        <x:f>IF(ISNUMBER(Q18),Q18+R18,"")</x:f>
        <x:v>70800</x:v>
      </x:c>
      <x:c r="T18" s="2" t="str">
        <x:f>IF(H18=0,"Not selected",IF(ISNUMBER(N18),"Quote entered",IF(N18&lt;&gt;"","Enter numeric quote",IF(H18=F18,IF(ISNUMBER(P18),"Complete unit","Price required"),"Partial package: price required"))))</x:f>
        <x:v>Complete unit</x:v>
      </x:c>
      <x:c r="U18" s="2" t="str">
        <x:v>TEN-04238E6BAC8F; TEN-52DEDECEAB90; TEN-60D63EAE0667; TEN-9A14611F66A4; TEN-B9245A5BADFE; TEN-CC657A30A7F0</x:v>
      </x:c>
      <x:c r="V18" s="2" t="str">
        <x:v>IT &amp; digital; Unresolved</x:v>
      </x:c>
      <x:c r="W18" s="2" t="str">
        <x:v>Small-scale prospects; Mixed business audience</x:v>
      </x:c>
      <x:c r="X18" s="17" t="n">
        <x:f>IF(AND(H18=F18,NOT(ISNUMBER(N18)),N18="",ISNUMBER(K18)),K18,0)</x:f>
        <x:v>60000</x:v>
      </x:c>
      <x:c r="Y18" s="17" t="n">
        <x:f>IF(AND(H18=F18,NOT(ISNUMBER(N18)),N18="",K18="",ISNUMBER(O18)),O18,0)</x:f>
        <x:v>0</x:v>
      </x:c>
      <x:c r="Z18" s="17" t="n">
        <x:f>IF(AND(H18&gt;0,ISNUMBER(N18)),N18,0)</x:f>
        <x:v>0</x:v>
      </x:c>
      <x:c r="AA18" s="2" t="n">
        <x:f>IF(AND(H18&gt;0,N18="",NOT(ISNUMBER(Q18))),1,0)</x:f>
        <x:v>0</x:v>
      </x:c>
      <x:c r="AB18" s="2" t="n">
        <x:f>IF(AND(H18&gt;0,N18&lt;&gt;"",NOT(ISNUMBER(N18))),1,0)</x:f>
        <x:v>0</x:v>
      </x:c>
    </x:row>
    <x:row r="19" ht="48" customHeight="1">
      <x:c r="A19" s="2" t="str">
        <x:v>MAIN-015</x:v>
      </x:c>
      <x:c r="B19" s="2" t="str">
        <x:v>Main</x:v>
      </x:c>
      <x:c r="C19" s="2" t="str">
        <x:v>Bengaluru</x:v>
      </x:c>
      <x:c r="D19" s="12" t="str">
        <x:v>Awfis - Prestige Blue Chip</x:v>
      </x:c>
      <x:c r="E19" s="12" t="str">
        <x:v>32 inch LED TV</x:v>
      </x:c>
      <x:c r="F19" s="2" t="n">
        <x:v>1</x:v>
      </x:c>
      <x:c r="G19" s="2" t="n">
        <x:v>1</x:v>
      </x:c>
      <x:c r="H19" s="2" t="n">
        <x:f>COUNTIFS('Inventory'!$N$7:$N$783,A19,'Inventory'!$A$7:$A$783,1)</x:f>
        <x:v>1</x:v>
      </x:c>
      <x:c r="I19" s="2" t="n">
        <x:f>SUMIFS('Inventory'!$G$7:$G$783,'Inventory'!$N$7:$N$783,A19,'Inventory'!$A$7:$A$783,1)</x:f>
        <x:v>1</x:v>
      </x:c>
      <x:c r="J19" s="12" t="str">
        <x:v>Listed budget</x:v>
      </x:c>
      <x:c r="K19" s="17" t="n">
        <x:v>15000</x:v>
      </x:c>
      <x:c r="L19" s="17"/>
      <x:c r="M19" s="17"/>
      <x:c r="N19" s="19"/>
      <x:c r="O19" s="17" t="str">
        <x:f>IF(ISNUMBER(L19),G19*L19,IF(ISNUMBER(M19),M19,""))</x:f>
      </x:c>
      <x:c r="P19" s="17" t="n">
        <x:f>IF(ISNUMBER(K19),K19,IF(ISNUMBER(O19),O19,""))</x:f>
        <x:v>15000</x:v>
      </x:c>
      <x:c r="Q19" s="17" t="n">
        <x:f>IF(H19=0,0,IF(ISNUMBER(N19),N19,IF(N19="",IF(H19=F19,P19,""),"")))</x:f>
        <x:v>15000</x:v>
      </x:c>
      <x:c r="R19" s="17" t="n">
        <x:f>IF(ISNUMBER(Q19),ROUND(Q19*$C$4,2),"")</x:f>
        <x:v>2700</x:v>
      </x:c>
      <x:c r="S19" s="17" t="n">
        <x:f>IF(ISNUMBER(Q19),Q19+R19,"")</x:f>
        <x:v>17700</x:v>
      </x:c>
      <x:c r="T19" s="2" t="str">
        <x:f>IF(H19=0,"Not selected",IF(ISNUMBER(N19),"Quote entered",IF(N19&lt;&gt;"","Enter numeric quote",IF(H19=F19,IF(ISNUMBER(P19),"Complete unit","Price required"),"Partial package: price required"))))</x:f>
        <x:v>Complete unit</x:v>
      </x:c>
      <x:c r="U19" s="2" t="str">
        <x:v>TEN-03226AD79BD1; TEN-2E92046B6F07; TEN-363435ED1329; TEN-3DA83F161DB1; TEN-593912EBC21F; TEN-5F9DB4EAC423; TEN-C0FF93EA8927; TEN-C2D4B446A44C; TEN-C7267F9A1E45; TEN-EF5C70BAD0AA; TEN-F2743CB33EB1</x:v>
      </x:c>
      <x:c r="V19" s="2" t="str">
        <x:v>IT &amp; digital; Professional services; Finance &amp; insurance; Engineering &amp; manufacturing; Healthcare &amp; life sciences; Unresolved</x:v>
      </x:c>
      <x:c r="W19" s="2" t="str">
        <x:v>Mixed business audience</x:v>
      </x:c>
      <x:c r="X19" s="17" t="n">
        <x:f>IF(AND(H19=F19,NOT(ISNUMBER(N19)),N19="",ISNUMBER(K19)),K19,0)</x:f>
        <x:v>15000</x:v>
      </x:c>
      <x:c r="Y19" s="17" t="n">
        <x:f>IF(AND(H19=F19,NOT(ISNUMBER(N19)),N19="",K19="",ISNUMBER(O19)),O19,0)</x:f>
        <x:v>0</x:v>
      </x:c>
      <x:c r="Z19" s="17" t="n">
        <x:f>IF(AND(H19&gt;0,ISNUMBER(N19)),N19,0)</x:f>
        <x:v>0</x:v>
      </x:c>
      <x:c r="AA19" s="2" t="n">
        <x:f>IF(AND(H19&gt;0,N19="",NOT(ISNUMBER(Q19))),1,0)</x:f>
        <x:v>0</x:v>
      </x:c>
      <x:c r="AB19" s="2" t="n">
        <x:f>IF(AND(H19&gt;0,N19&lt;&gt;"",NOT(ISNUMBER(N19))),1,0)</x:f>
        <x:v>0</x:v>
      </x:c>
    </x:row>
    <x:row r="20" ht="48" customHeight="1">
      <x:c r="A20" s="2" t="str">
        <x:v>MAIN-016</x:v>
      </x:c>
      <x:c r="B20" s="2" t="str">
        <x:v>Main</x:v>
      </x:c>
      <x:c r="C20" s="2" t="str">
        <x:v>Bengaluru</x:v>
      </x:c>
      <x:c r="D20" s="12" t="str">
        <x:v>Awfis - Prestige Dotcom</x:v>
      </x:c>
      <x:c r="E20" s="12" t="str">
        <x:v>32 inch LED TV</x:v>
      </x:c>
      <x:c r="F20" s="2" t="n">
        <x:v>1</x:v>
      </x:c>
      <x:c r="G20" s="2" t="n">
        <x:v>4</x:v>
      </x:c>
      <x:c r="H20" s="2" t="n">
        <x:f>COUNTIFS('Inventory'!$N$7:$N$783,A20,'Inventory'!$A$7:$A$783,1)</x:f>
        <x:v>1</x:v>
      </x:c>
      <x:c r="I20" s="2" t="n">
        <x:f>SUMIFS('Inventory'!$G$7:$G$783,'Inventory'!$N$7:$N$783,A20,'Inventory'!$A$7:$A$783,1)</x:f>
        <x:v>4</x:v>
      </x:c>
      <x:c r="J20" s="12" t="str">
        <x:v>Listed budget</x:v>
      </x:c>
      <x:c r="K20" s="17" t="n">
        <x:v>60000</x:v>
      </x:c>
      <x:c r="L20" s="17"/>
      <x:c r="M20" s="17"/>
      <x:c r="N20" s="19"/>
      <x:c r="O20" s="17" t="str">
        <x:f>IF(ISNUMBER(L20),G20*L20,IF(ISNUMBER(M20),M20,""))</x:f>
      </x:c>
      <x:c r="P20" s="17" t="n">
        <x:f>IF(ISNUMBER(K20),K20,IF(ISNUMBER(O20),O20,""))</x:f>
        <x:v>60000</x:v>
      </x:c>
      <x:c r="Q20" s="17" t="n">
        <x:f>IF(H20=0,0,IF(ISNUMBER(N20),N20,IF(N20="",IF(H20=F20,P20,""),"")))</x:f>
        <x:v>60000</x:v>
      </x:c>
      <x:c r="R20" s="17" t="n">
        <x:f>IF(ISNUMBER(Q20),ROUND(Q20*$C$4,2),"")</x:f>
        <x:v>10800</x:v>
      </x:c>
      <x:c r="S20" s="17" t="n">
        <x:f>IF(ISNUMBER(Q20),Q20+R20,"")</x:f>
        <x:v>70800</x:v>
      </x:c>
      <x:c r="T20" s="2" t="str">
        <x:f>IF(H20=0,"Not selected",IF(ISNUMBER(N20),"Quote entered",IF(N20&lt;&gt;"","Enter numeric quote",IF(H20=F20,IF(ISNUMBER(P20),"Complete unit","Price required"),"Partial package: price required"))))</x:f>
        <x:v>Complete unit</x:v>
      </x:c>
      <x:c r="U20" s="2" t="str">
        <x:v>TEN-1E27AF402EC5; TEN-4DE4E8CC2F04; TEN-8DF8FD56D1D2; TEN-B7F72869D568; TEN-CE5F67CFFACA</x:v>
      </x:c>
      <x:c r="V20" s="2" t="str">
        <x:v>Finance &amp; insurance; Engineering &amp; manufacturing; Trade, consumer &amp; logistics; Unresolved</x:v>
      </x:c>
      <x:c r="W20" s="2" t="str">
        <x:v>Medium-scale prospects; Mixed business audience</x:v>
      </x:c>
      <x:c r="X20" s="17" t="n">
        <x:f>IF(AND(H20=F20,NOT(ISNUMBER(N20)),N20="",ISNUMBER(K20)),K20,0)</x:f>
        <x:v>60000</x:v>
      </x:c>
      <x:c r="Y20" s="17" t="n">
        <x:f>IF(AND(H20=F20,NOT(ISNUMBER(N20)),N20="",K20="",ISNUMBER(O20)),O20,0)</x:f>
        <x:v>0</x:v>
      </x:c>
      <x:c r="Z20" s="17" t="n">
        <x:f>IF(AND(H20&gt;0,ISNUMBER(N20)),N20,0)</x:f>
        <x:v>0</x:v>
      </x:c>
      <x:c r="AA20" s="2" t="n">
        <x:f>IF(AND(H20&gt;0,N20="",NOT(ISNUMBER(Q20))),1,0)</x:f>
        <x:v>0</x:v>
      </x:c>
      <x:c r="AB20" s="2" t="n">
        <x:f>IF(AND(H20&gt;0,N20&lt;&gt;"",NOT(ISNUMBER(N20))),1,0)</x:f>
        <x:v>0</x:v>
      </x:c>
    </x:row>
    <x:row r="21" ht="48" customHeight="1">
      <x:c r="A21" s="2" t="str">
        <x:v>MAIN-017</x:v>
      </x:c>
      <x:c r="B21" s="2" t="str">
        <x:v>Main</x:v>
      </x:c>
      <x:c r="C21" s="2" t="str">
        <x:v>Bengaluru</x:v>
      </x:c>
      <x:c r="D21" s="12" t="str">
        <x:v>Awfis - Prestige Shantiniketan</x:v>
      </x:c>
      <x:c r="E21" s="12" t="str">
        <x:v>32 inch LED TV</x:v>
      </x:c>
      <x:c r="F21" s="2" t="n">
        <x:v>1</x:v>
      </x:c>
      <x:c r="G21" s="2" t="n">
        <x:v>2</x:v>
      </x:c>
      <x:c r="H21" s="2" t="n">
        <x:f>COUNTIFS('Inventory'!$N$7:$N$783,A21,'Inventory'!$A$7:$A$783,1)</x:f>
        <x:v>1</x:v>
      </x:c>
      <x:c r="I21" s="2" t="n">
        <x:f>SUMIFS('Inventory'!$G$7:$G$783,'Inventory'!$N$7:$N$783,A21,'Inventory'!$A$7:$A$783,1)</x:f>
        <x:v>2</x:v>
      </x:c>
      <x:c r="J21" s="12" t="str">
        <x:v>Listed budget</x:v>
      </x:c>
      <x:c r="K21" s="17" t="n">
        <x:v>30000</x:v>
      </x:c>
      <x:c r="L21" s="17"/>
      <x:c r="M21" s="17"/>
      <x:c r="N21" s="19"/>
      <x:c r="O21" s="17" t="str">
        <x:f>IF(ISNUMBER(L21),G21*L21,IF(ISNUMBER(M21),M21,""))</x:f>
      </x:c>
      <x:c r="P21" s="17" t="n">
        <x:f>IF(ISNUMBER(K21),K21,IF(ISNUMBER(O21),O21,""))</x:f>
        <x:v>30000</x:v>
      </x:c>
      <x:c r="Q21" s="17" t="n">
        <x:f>IF(H21=0,0,IF(ISNUMBER(N21),N21,IF(N21="",IF(H21=F21,P21,""),"")))</x:f>
        <x:v>30000</x:v>
      </x:c>
      <x:c r="R21" s="17" t="n">
        <x:f>IF(ISNUMBER(Q21),ROUND(Q21*$C$4,2),"")</x:f>
        <x:v>5400</x:v>
      </x:c>
      <x:c r="S21" s="17" t="n">
        <x:f>IF(ISNUMBER(Q21),Q21+R21,"")</x:f>
        <x:v>35400</x:v>
      </x:c>
      <x:c r="T21" s="2" t="str">
        <x:f>IF(H21=0,"Not selected",IF(ISNUMBER(N21),"Quote entered",IF(N21&lt;&gt;"","Enter numeric quote",IF(H21=F21,IF(ISNUMBER(P21),"Complete unit","Price required"),"Partial package: price required"))))</x:f>
        <x:v>Complete unit</x:v>
      </x:c>
      <x:c r="U21" s="2" t="str">
        <x:v>TEN-084E2EC3A700; TEN-8409366CFBB2; TEN-8AD337DA4F25; TEN-9CDD1B64DEF0; TEN-A28C5273EF9B; TEN-A7C7B2FB5107; TEN-B01D8FD40501; TEN-FECD2DA15F6C</x:v>
      </x:c>
      <x:c r="V21" s="2" t="str">
        <x:v>IT &amp; digital; Engineering &amp; manufacturing; Healthcare &amp; life sciences; Trade, consumer &amp; logistics</x:v>
      </x:c>
      <x:c r="W21" s="2" t="str">
        <x:v>Small-scale prospects; Medium-scale prospects; Large enterprise; Mixed business audience</x:v>
      </x:c>
      <x:c r="X21" s="17" t="n">
        <x:f>IF(AND(H21=F21,NOT(ISNUMBER(N21)),N21="",ISNUMBER(K21)),K21,0)</x:f>
        <x:v>30000</x:v>
      </x:c>
      <x:c r="Y21" s="17" t="n">
        <x:f>IF(AND(H21=F21,NOT(ISNUMBER(N21)),N21="",K21="",ISNUMBER(O21)),O21,0)</x:f>
        <x:v>0</x:v>
      </x:c>
      <x:c r="Z21" s="17" t="n">
        <x:f>IF(AND(H21&gt;0,ISNUMBER(N21)),N21,0)</x:f>
        <x:v>0</x:v>
      </x:c>
      <x:c r="AA21" s="2" t="n">
        <x:f>IF(AND(H21&gt;0,N21="",NOT(ISNUMBER(Q21))),1,0)</x:f>
        <x:v>0</x:v>
      </x:c>
      <x:c r="AB21" s="2" t="n">
        <x:f>IF(AND(H21&gt;0,N21&lt;&gt;"",NOT(ISNUMBER(N21))),1,0)</x:f>
        <x:v>0</x:v>
      </x:c>
    </x:row>
    <x:row r="22" ht="48" customHeight="1">
      <x:c r="A22" s="2" t="str">
        <x:v>MAIN-018</x:v>
      </x:c>
      <x:c r="B22" s="2" t="str">
        <x:v>Main</x:v>
      </x:c>
      <x:c r="C22" s="2" t="str">
        <x:v>Bengaluru</x:v>
      </x:c>
      <x:c r="D22" s="12" t="str">
        <x:v>Awfis - Prestige Tech Park</x:v>
      </x:c>
      <x:c r="E22" s="12" t="str">
        <x:v>32 inch LED TV</x:v>
      </x:c>
      <x:c r="F22" s="2" t="n">
        <x:v>1</x:v>
      </x:c>
      <x:c r="G22" s="2" t="n">
        <x:v>3</x:v>
      </x:c>
      <x:c r="H22" s="2" t="n">
        <x:f>COUNTIFS('Inventory'!$N$7:$N$783,A22,'Inventory'!$A$7:$A$783,1)</x:f>
        <x:v>1</x:v>
      </x:c>
      <x:c r="I22" s="2" t="n">
        <x:f>SUMIFS('Inventory'!$G$7:$G$783,'Inventory'!$N$7:$N$783,A22,'Inventory'!$A$7:$A$783,1)</x:f>
        <x:v>3</x:v>
      </x:c>
      <x:c r="J22" s="12" t="str">
        <x:v>Listed budget</x:v>
      </x:c>
      <x:c r="K22" s="17" t="n">
        <x:v>45000</x:v>
      </x:c>
      <x:c r="L22" s="17"/>
      <x:c r="M22" s="17"/>
      <x:c r="N22" s="19"/>
      <x:c r="O22" s="17" t="str">
        <x:f>IF(ISNUMBER(L22),G22*L22,IF(ISNUMBER(M22),M22,""))</x:f>
      </x:c>
      <x:c r="P22" s="17" t="n">
        <x:f>IF(ISNUMBER(K22),K22,IF(ISNUMBER(O22),O22,""))</x:f>
        <x:v>45000</x:v>
      </x:c>
      <x:c r="Q22" s="17" t="n">
        <x:f>IF(H22=0,0,IF(ISNUMBER(N22),N22,IF(N22="",IF(H22=F22,P22,""),"")))</x:f>
        <x:v>45000</x:v>
      </x:c>
      <x:c r="R22" s="17" t="n">
        <x:f>IF(ISNUMBER(Q22),ROUND(Q22*$C$4,2),"")</x:f>
        <x:v>8100</x:v>
      </x:c>
      <x:c r="S22" s="17" t="n">
        <x:f>IF(ISNUMBER(Q22),Q22+R22,"")</x:f>
        <x:v>53100</x:v>
      </x:c>
      <x:c r="T22" s="2" t="str">
        <x:f>IF(H22=0,"Not selected",IF(ISNUMBER(N22),"Quote entered",IF(N22&lt;&gt;"","Enter numeric quote",IF(H22=F22,IF(ISNUMBER(P22),"Complete unit","Price required"),"Partial package: price required"))))</x:f>
        <x:v>Complete unit</x:v>
      </x:c>
      <x:c r="U22" s="2" t="str">
        <x:v>TEN-3E808ECE8227</x:v>
      </x:c>
      <x:c r="V22" s="2" t="str">
        <x:v>Professional services</x:v>
      </x:c>
      <x:c r="W22" s="2" t="str">
        <x:v>Large enterprise</x:v>
      </x:c>
      <x:c r="X22" s="17" t="n">
        <x:f>IF(AND(H22=F22,NOT(ISNUMBER(N22)),N22="",ISNUMBER(K22)),K22,0)</x:f>
        <x:v>45000</x:v>
      </x:c>
      <x:c r="Y22" s="17" t="n">
        <x:f>IF(AND(H22=F22,NOT(ISNUMBER(N22)),N22="",K22="",ISNUMBER(O22)),O22,0)</x:f>
        <x:v>0</x:v>
      </x:c>
      <x:c r="Z22" s="17" t="n">
        <x:f>IF(AND(H22&gt;0,ISNUMBER(N22)),N22,0)</x:f>
        <x:v>0</x:v>
      </x:c>
      <x:c r="AA22" s="2" t="n">
        <x:f>IF(AND(H22&gt;0,N22="",NOT(ISNUMBER(Q22))),1,0)</x:f>
        <x:v>0</x:v>
      </x:c>
      <x:c r="AB22" s="2" t="n">
        <x:f>IF(AND(H22&gt;0,N22&lt;&gt;"",NOT(ISNUMBER(N22))),1,0)</x:f>
        <x:v>0</x:v>
      </x:c>
    </x:row>
    <x:row r="23" ht="48" customHeight="1">
      <x:c r="A23" s="2" t="str">
        <x:v>MAIN-019</x:v>
      </x:c>
      <x:c r="B23" s="2" t="str">
        <x:v>Main</x:v>
      </x:c>
      <x:c r="C23" s="2" t="str">
        <x:v>Bengaluru</x:v>
      </x:c>
      <x:c r="D23" s="12" t="str">
        <x:v>Awfis - Prestige Tech Park 2 (Mercury)</x:v>
      </x:c>
      <x:c r="E23" s="12" t="str">
        <x:v>32 inch LED TV</x:v>
      </x:c>
      <x:c r="F23" s="2" t="n">
        <x:v>1</x:v>
      </x:c>
      <x:c r="G23" s="2" t="n">
        <x:v>4</x:v>
      </x:c>
      <x:c r="H23" s="2" t="n">
        <x:f>COUNTIFS('Inventory'!$N$7:$N$783,A23,'Inventory'!$A$7:$A$783,1)</x:f>
        <x:v>1</x:v>
      </x:c>
      <x:c r="I23" s="2" t="n">
        <x:f>SUMIFS('Inventory'!$G$7:$G$783,'Inventory'!$N$7:$N$783,A23,'Inventory'!$A$7:$A$783,1)</x:f>
        <x:v>4</x:v>
      </x:c>
      <x:c r="J23" s="12" t="str">
        <x:v>Listed budget</x:v>
      </x:c>
      <x:c r="K23" s="17" t="n">
        <x:v>60000</x:v>
      </x:c>
      <x:c r="L23" s="17"/>
      <x:c r="M23" s="17"/>
      <x:c r="N23" s="19"/>
      <x:c r="O23" s="17" t="str">
        <x:f>IF(ISNUMBER(L23),G23*L23,IF(ISNUMBER(M23),M23,""))</x:f>
      </x:c>
      <x:c r="P23" s="17" t="n">
        <x:f>IF(ISNUMBER(K23),K23,IF(ISNUMBER(O23),O23,""))</x:f>
        <x:v>60000</x:v>
      </x:c>
      <x:c r="Q23" s="17" t="n">
        <x:f>IF(H23=0,0,IF(ISNUMBER(N23),N23,IF(N23="",IF(H23=F23,P23,""),"")))</x:f>
        <x:v>60000</x:v>
      </x:c>
      <x:c r="R23" s="17" t="n">
        <x:f>IF(ISNUMBER(Q23),ROUND(Q23*$C$4,2),"")</x:f>
        <x:v>10800</x:v>
      </x:c>
      <x:c r="S23" s="17" t="n">
        <x:f>IF(ISNUMBER(Q23),Q23+R23,"")</x:f>
        <x:v>70800</x:v>
      </x:c>
      <x:c r="T23" s="2" t="str">
        <x:f>IF(H23=0,"Not selected",IF(ISNUMBER(N23),"Quote entered",IF(N23&lt;&gt;"","Enter numeric quote",IF(H23=F23,IF(ISNUMBER(P23),"Complete unit","Price required"),"Partial package: price required"))))</x:f>
        <x:v>Complete unit</x:v>
      </x:c>
      <x:c r="U23" s="2" t="str">
        <x:v>TEN-2D6976ADE238; TEN-62B33B9D15E1; TEN-C0693165E3AF; TEN-D8D1BC06B2BE</x:v>
      </x:c>
      <x:c r="V23" s="2" t="str">
        <x:v>IT &amp; digital; Professional services; Unresolved</x:v>
      </x:c>
      <x:c r="W23" s="2" t="str">
        <x:v>Small-scale prospects; Large enterprise; Mixed business audience</x:v>
      </x:c>
      <x:c r="X23" s="17" t="n">
        <x:f>IF(AND(H23=F23,NOT(ISNUMBER(N23)),N23="",ISNUMBER(K23)),K23,0)</x:f>
        <x:v>60000</x:v>
      </x:c>
      <x:c r="Y23" s="17" t="n">
        <x:f>IF(AND(H23=F23,NOT(ISNUMBER(N23)),N23="",K23="",ISNUMBER(O23)),O23,0)</x:f>
        <x:v>0</x:v>
      </x:c>
      <x:c r="Z23" s="17" t="n">
        <x:f>IF(AND(H23&gt;0,ISNUMBER(N23)),N23,0)</x:f>
        <x:v>0</x:v>
      </x:c>
      <x:c r="AA23" s="2" t="n">
        <x:f>IF(AND(H23&gt;0,N23="",NOT(ISNUMBER(Q23))),1,0)</x:f>
        <x:v>0</x:v>
      </x:c>
      <x:c r="AB23" s="2" t="n">
        <x:f>IF(AND(H23&gt;0,N23&lt;&gt;"",NOT(ISNUMBER(N23))),1,0)</x:f>
        <x:v>0</x:v>
      </x:c>
    </x:row>
    <x:row r="24" ht="48" customHeight="1">
      <x:c r="A24" s="2" t="str">
        <x:v>MAIN-020</x:v>
      </x:c>
      <x:c r="B24" s="2" t="str">
        <x:v>Main</x:v>
      </x:c>
      <x:c r="C24" s="2" t="str">
        <x:v>Bengaluru</x:v>
      </x:c>
      <x:c r="D24" s="12" t="str">
        <x:v>AWFIS - PTP 4 Jupiter</x:v>
      </x:c>
      <x:c r="E24" s="12" t="str">
        <x:v>32 inch LED TV</x:v>
      </x:c>
      <x:c r="F24" s="2" t="n">
        <x:v>1</x:v>
      </x:c>
      <x:c r="G24" s="2" t="n">
        <x:v>1</x:v>
      </x:c>
      <x:c r="H24" s="2" t="n">
        <x:f>COUNTIFS('Inventory'!$N$7:$N$783,A24,'Inventory'!$A$7:$A$783,1)</x:f>
        <x:v>1</x:v>
      </x:c>
      <x:c r="I24" s="2" t="n">
        <x:f>SUMIFS('Inventory'!$G$7:$G$783,'Inventory'!$N$7:$N$783,A24,'Inventory'!$A$7:$A$783,1)</x:f>
        <x:v>1</x:v>
      </x:c>
      <x:c r="J24" s="12" t="str">
        <x:v>Listed budget</x:v>
      </x:c>
      <x:c r="K24" s="17" t="n">
        <x:v>15000</x:v>
      </x:c>
      <x:c r="L24" s="17"/>
      <x:c r="M24" s="17"/>
      <x:c r="N24" s="19"/>
      <x:c r="O24" s="17" t="str">
        <x:f>IF(ISNUMBER(L24),G24*L24,IF(ISNUMBER(M24),M24,""))</x:f>
      </x:c>
      <x:c r="P24" s="17" t="n">
        <x:f>IF(ISNUMBER(K24),K24,IF(ISNUMBER(O24),O24,""))</x:f>
        <x:v>15000</x:v>
      </x:c>
      <x:c r="Q24" s="17" t="n">
        <x:f>IF(H24=0,0,IF(ISNUMBER(N24),N24,IF(N24="",IF(H24=F24,P24,""),"")))</x:f>
        <x:v>15000</x:v>
      </x:c>
      <x:c r="R24" s="17" t="n">
        <x:f>IF(ISNUMBER(Q24),ROUND(Q24*$C$4,2),"")</x:f>
        <x:v>2700</x:v>
      </x:c>
      <x:c r="S24" s="17" t="n">
        <x:f>IF(ISNUMBER(Q24),Q24+R24,"")</x:f>
        <x:v>17700</x:v>
      </x:c>
      <x:c r="T24" s="2" t="str">
        <x:f>IF(H24=0,"Not selected",IF(ISNUMBER(N24),"Quote entered",IF(N24&lt;&gt;"","Enter numeric quote",IF(H24=F24,IF(ISNUMBER(P24),"Complete unit","Price required"),"Partial package: price required"))))</x:f>
        <x:v>Complete unit</x:v>
      </x:c>
      <x:c r="U24" s="2" t="str">
        <x:v>TEN-0E45FC6E55A1; TEN-5A77600C2DAB; TEN-74F11F226AA1</x:v>
      </x:c>
      <x:c r="V24" s="2" t="str">
        <x:v>IT &amp; digital; Professional services; Engineering &amp; manufacturing</x:v>
      </x:c>
      <x:c r="W24" s="2" t="str">
        <x:v>Medium-scale prospects; Mixed business audience</x:v>
      </x:c>
      <x:c r="X24" s="17" t="n">
        <x:f>IF(AND(H24=F24,NOT(ISNUMBER(N24)),N24="",ISNUMBER(K24)),K24,0)</x:f>
        <x:v>15000</x:v>
      </x:c>
      <x:c r="Y24" s="17" t="n">
        <x:f>IF(AND(H24=F24,NOT(ISNUMBER(N24)),N24="",K24="",ISNUMBER(O24)),O24,0)</x:f>
        <x:v>0</x:v>
      </x:c>
      <x:c r="Z24" s="17" t="n">
        <x:f>IF(AND(H24&gt;0,ISNUMBER(N24)),N24,0)</x:f>
        <x:v>0</x:v>
      </x:c>
      <x:c r="AA24" s="2" t="n">
        <x:f>IF(AND(H24&gt;0,N24="",NOT(ISNUMBER(Q24))),1,0)</x:f>
        <x:v>0</x:v>
      </x:c>
      <x:c r="AB24" s="2" t="n">
        <x:f>IF(AND(H24&gt;0,N24&lt;&gt;"",NOT(ISNUMBER(N24))),1,0)</x:f>
        <x:v>0</x:v>
      </x:c>
    </x:row>
    <x:row r="25" ht="48" customHeight="1">
      <x:c r="A25" s="2" t="str">
        <x:v>MAIN-021</x:v>
      </x:c>
      <x:c r="B25" s="2" t="str">
        <x:v>Main</x:v>
      </x:c>
      <x:c r="C25" s="2" t="str">
        <x:v>Bengaluru</x:v>
      </x:c>
      <x:c r="D25" s="12" t="str">
        <x:v>AWFIS - PTP 4 Venus</x:v>
      </x:c>
      <x:c r="E25" s="12" t="str">
        <x:v>32 inch LED TV</x:v>
      </x:c>
      <x:c r="F25" s="2" t="n">
        <x:v>1</x:v>
      </x:c>
      <x:c r="G25" s="2" t="n">
        <x:v>1</x:v>
      </x:c>
      <x:c r="H25" s="2" t="n">
        <x:f>COUNTIFS('Inventory'!$N$7:$N$783,A25,'Inventory'!$A$7:$A$783,1)</x:f>
        <x:v>1</x:v>
      </x:c>
      <x:c r="I25" s="2" t="n">
        <x:f>SUMIFS('Inventory'!$G$7:$G$783,'Inventory'!$N$7:$N$783,A25,'Inventory'!$A$7:$A$783,1)</x:f>
        <x:v>1</x:v>
      </x:c>
      <x:c r="J25" s="12" t="str">
        <x:v>Listed budget</x:v>
      </x:c>
      <x:c r="K25" s="17" t="n">
        <x:v>15000</x:v>
      </x:c>
      <x:c r="L25" s="17"/>
      <x:c r="M25" s="17"/>
      <x:c r="N25" s="19"/>
      <x:c r="O25" s="17" t="str">
        <x:f>IF(ISNUMBER(L25),G25*L25,IF(ISNUMBER(M25),M25,""))</x:f>
      </x:c>
      <x:c r="P25" s="17" t="n">
        <x:f>IF(ISNUMBER(K25),K25,IF(ISNUMBER(O25),O25,""))</x:f>
        <x:v>15000</x:v>
      </x:c>
      <x:c r="Q25" s="17" t="n">
        <x:f>IF(H25=0,0,IF(ISNUMBER(N25),N25,IF(N25="",IF(H25=F25,P25,""),"")))</x:f>
        <x:v>15000</x:v>
      </x:c>
      <x:c r="R25" s="17" t="n">
        <x:f>IF(ISNUMBER(Q25),ROUND(Q25*$C$4,2),"")</x:f>
        <x:v>2700</x:v>
      </x:c>
      <x:c r="S25" s="17" t="n">
        <x:f>IF(ISNUMBER(Q25),Q25+R25,"")</x:f>
        <x:v>17700</x:v>
      </x:c>
      <x:c r="T25" s="2" t="str">
        <x:f>IF(H25=0,"Not selected",IF(ISNUMBER(N25),"Quote entered",IF(N25&lt;&gt;"","Enter numeric quote",IF(H25=F25,IF(ISNUMBER(P25),"Complete unit","Price required"),"Partial package: price required"))))</x:f>
        <x:v>Complete unit</x:v>
      </x:c>
      <x:c r="U25" s="2" t="str">
        <x:v>TEN-22AB01C3CE3F</x:v>
      </x:c>
      <x:c r="V25" s="2" t="str">
        <x:v>Unresolved</x:v>
      </x:c>
      <x:c r="W25" s="2" t="str">
        <x:v>Mixed business audience</x:v>
      </x:c>
      <x:c r="X25" s="17" t="n">
        <x:f>IF(AND(H25=F25,NOT(ISNUMBER(N25)),N25="",ISNUMBER(K25)),K25,0)</x:f>
        <x:v>15000</x:v>
      </x:c>
      <x:c r="Y25" s="17" t="n">
        <x:f>IF(AND(H25=F25,NOT(ISNUMBER(N25)),N25="",K25="",ISNUMBER(O25)),O25,0)</x:f>
        <x:v>0</x:v>
      </x:c>
      <x:c r="Z25" s="17" t="n">
        <x:f>IF(AND(H25&gt;0,ISNUMBER(N25)),N25,0)</x:f>
        <x:v>0</x:v>
      </x:c>
      <x:c r="AA25" s="2" t="n">
        <x:f>IF(AND(H25&gt;0,N25="",NOT(ISNUMBER(Q25))),1,0)</x:f>
        <x:v>0</x:v>
      </x:c>
      <x:c r="AB25" s="2" t="n">
        <x:f>IF(AND(H25&gt;0,N25&lt;&gt;"",NOT(ISNUMBER(N25))),1,0)</x:f>
        <x:v>0</x:v>
      </x:c>
    </x:row>
    <x:row r="26" ht="48" customHeight="1">
      <x:c r="A26" s="2" t="str">
        <x:v>MAIN-022</x:v>
      </x:c>
      <x:c r="B26" s="2" t="str">
        <x:v>Main</x:v>
      </x:c>
      <x:c r="C26" s="2" t="str">
        <x:v>Bengaluru</x:v>
      </x:c>
      <x:c r="D26" s="12" t="str">
        <x:v>Awfis - Residency Road</x:v>
      </x:c>
      <x:c r="E26" s="12" t="str">
        <x:v>32 inch LED TV</x:v>
      </x:c>
      <x:c r="F26" s="2" t="n">
        <x:v>1</x:v>
      </x:c>
      <x:c r="G26" s="2" t="n">
        <x:v>2</x:v>
      </x:c>
      <x:c r="H26" s="2" t="n">
        <x:f>COUNTIFS('Inventory'!$N$7:$N$783,A26,'Inventory'!$A$7:$A$783,1)</x:f>
        <x:v>1</x:v>
      </x:c>
      <x:c r="I26" s="2" t="n">
        <x:f>SUMIFS('Inventory'!$G$7:$G$783,'Inventory'!$N$7:$N$783,A26,'Inventory'!$A$7:$A$783,1)</x:f>
        <x:v>2</x:v>
      </x:c>
      <x:c r="J26" s="12" t="str">
        <x:v>Listed budget</x:v>
      </x:c>
      <x:c r="K26" s="17" t="n">
        <x:v>30000</x:v>
      </x:c>
      <x:c r="L26" s="17"/>
      <x:c r="M26" s="17"/>
      <x:c r="N26" s="19"/>
      <x:c r="O26" s="17" t="str">
        <x:f>IF(ISNUMBER(L26),G26*L26,IF(ISNUMBER(M26),M26,""))</x:f>
      </x:c>
      <x:c r="P26" s="17" t="n">
        <x:f>IF(ISNUMBER(K26),K26,IF(ISNUMBER(O26),O26,""))</x:f>
        <x:v>30000</x:v>
      </x:c>
      <x:c r="Q26" s="17" t="n">
        <x:f>IF(H26=0,0,IF(ISNUMBER(N26),N26,IF(N26="",IF(H26=F26,P26,""),"")))</x:f>
        <x:v>30000</x:v>
      </x:c>
      <x:c r="R26" s="17" t="n">
        <x:f>IF(ISNUMBER(Q26),ROUND(Q26*$C$4,2),"")</x:f>
        <x:v>5400</x:v>
      </x:c>
      <x:c r="S26" s="17" t="n">
        <x:f>IF(ISNUMBER(Q26),Q26+R26,"")</x:f>
        <x:v>35400</x:v>
      </x:c>
      <x:c r="T26" s="2" t="str">
        <x:f>IF(H26=0,"Not selected",IF(ISNUMBER(N26),"Quote entered",IF(N26&lt;&gt;"","Enter numeric quote",IF(H26=F26,IF(ISNUMBER(P26),"Complete unit","Price required"),"Partial package: price required"))))</x:f>
        <x:v>Complete unit</x:v>
      </x:c>
      <x:c r="U26" s="2" t="str">
        <x:v>TEN-2154BACB4876; TEN-2A043F714A5D; TEN-38F159E0F563; TEN-789152CEB14A; TEN-9798C1F06070; TEN-CBF7D0A12825; TEN-D898066E6A61</x:v>
      </x:c>
      <x:c r="V26" s="2" t="str">
        <x:v>IT &amp; digital; Trade, consumer &amp; logistics; Unresolved</x:v>
      </x:c>
      <x:c r="W26" s="2" t="str">
        <x:v>Small-scale prospects; Large enterprise; Mixed business audience</x:v>
      </x:c>
      <x:c r="X26" s="17" t="n">
        <x:f>IF(AND(H26=F26,NOT(ISNUMBER(N26)),N26="",ISNUMBER(K26)),K26,0)</x:f>
        <x:v>30000</x:v>
      </x:c>
      <x:c r="Y26" s="17" t="n">
        <x:f>IF(AND(H26=F26,NOT(ISNUMBER(N26)),N26="",K26="",ISNUMBER(O26)),O26,0)</x:f>
        <x:v>0</x:v>
      </x:c>
      <x:c r="Z26" s="17" t="n">
        <x:f>IF(AND(H26&gt;0,ISNUMBER(N26)),N26,0)</x:f>
        <x:v>0</x:v>
      </x:c>
      <x:c r="AA26" s="2" t="n">
        <x:f>IF(AND(H26&gt;0,N26="",NOT(ISNUMBER(Q26))),1,0)</x:f>
        <x:v>0</x:v>
      </x:c>
      <x:c r="AB26" s="2" t="n">
        <x:f>IF(AND(H26&gt;0,N26&lt;&gt;"",NOT(ISNUMBER(N26))),1,0)</x:f>
        <x:v>0</x:v>
      </x:c>
    </x:row>
    <x:row r="27" ht="48" customHeight="1">
      <x:c r="A27" s="2" t="str">
        <x:v>MAIN-023</x:v>
      </x:c>
      <x:c r="B27" s="2" t="str">
        <x:v>Main</x:v>
      </x:c>
      <x:c r="C27" s="2" t="str">
        <x:v>Bengaluru</x:v>
      </x:c>
      <x:c r="D27" s="12" t="str">
        <x:v>Awfis - Residency Square</x:v>
      </x:c>
      <x:c r="E27" s="12" t="str">
        <x:v>32 inch LED TV</x:v>
      </x:c>
      <x:c r="F27" s="2" t="n">
        <x:v>1</x:v>
      </x:c>
      <x:c r="G27" s="2" t="n">
        <x:v>6</x:v>
      </x:c>
      <x:c r="H27" s="2" t="n">
        <x:f>COUNTIFS('Inventory'!$N$7:$N$783,A27,'Inventory'!$A$7:$A$783,1)</x:f>
        <x:v>1</x:v>
      </x:c>
      <x:c r="I27" s="2" t="n">
        <x:f>SUMIFS('Inventory'!$G$7:$G$783,'Inventory'!$N$7:$N$783,A27,'Inventory'!$A$7:$A$783,1)</x:f>
        <x:v>6</x:v>
      </x:c>
      <x:c r="J27" s="12" t="str">
        <x:v>Listed budget</x:v>
      </x:c>
      <x:c r="K27" s="17" t="n">
        <x:v>90000</x:v>
      </x:c>
      <x:c r="L27" s="17"/>
      <x:c r="M27" s="17"/>
      <x:c r="N27" s="19"/>
      <x:c r="O27" s="17" t="str">
        <x:f>IF(ISNUMBER(L27),G27*L27,IF(ISNUMBER(M27),M27,""))</x:f>
      </x:c>
      <x:c r="P27" s="17" t="n">
        <x:f>IF(ISNUMBER(K27),K27,IF(ISNUMBER(O27),O27,""))</x:f>
        <x:v>90000</x:v>
      </x:c>
      <x:c r="Q27" s="17" t="n">
        <x:f>IF(H27=0,0,IF(ISNUMBER(N27),N27,IF(N27="",IF(H27=F27,P27,""),"")))</x:f>
        <x:v>90000</x:v>
      </x:c>
      <x:c r="R27" s="17" t="n">
        <x:f>IF(ISNUMBER(Q27),ROUND(Q27*$C$4,2),"")</x:f>
        <x:v>16200</x:v>
      </x:c>
      <x:c r="S27" s="17" t="n">
        <x:f>IF(ISNUMBER(Q27),Q27+R27,"")</x:f>
        <x:v>106200</x:v>
      </x:c>
      <x:c r="T27" s="2" t="str">
        <x:f>IF(H27=0,"Not selected",IF(ISNUMBER(N27),"Quote entered",IF(N27&lt;&gt;"","Enter numeric quote",IF(H27=F27,IF(ISNUMBER(P27),"Complete unit","Price required"),"Partial package: price required"))))</x:f>
        <x:v>Complete unit</x:v>
      </x:c>
      <x:c r="U27" s="2" t="str">
        <x:v>TEN-278F9A56272F; TEN-BF2CB5C4CB25</x:v>
      </x:c>
      <x:c r="V27" s="2" t="str">
        <x:v>IT &amp; digital; Education</x:v>
      </x:c>
      <x:c r="W27" s="2" t="str">
        <x:v>Small-scale prospects; Large enterprise</x:v>
      </x:c>
      <x:c r="X27" s="17" t="n">
        <x:f>IF(AND(H27=F27,NOT(ISNUMBER(N27)),N27="",ISNUMBER(K27)),K27,0)</x:f>
        <x:v>90000</x:v>
      </x:c>
      <x:c r="Y27" s="17" t="n">
        <x:f>IF(AND(H27=F27,NOT(ISNUMBER(N27)),N27="",K27="",ISNUMBER(O27)),O27,0)</x:f>
        <x:v>0</x:v>
      </x:c>
      <x:c r="Z27" s="17" t="n">
        <x:f>IF(AND(H27&gt;0,ISNUMBER(N27)),N27,0)</x:f>
        <x:v>0</x:v>
      </x:c>
      <x:c r="AA27" s="2" t="n">
        <x:f>IF(AND(H27&gt;0,N27="",NOT(ISNUMBER(Q27))),1,0)</x:f>
        <x:v>0</x:v>
      </x:c>
      <x:c r="AB27" s="2" t="n">
        <x:f>IF(AND(H27&gt;0,N27&lt;&gt;"",NOT(ISNUMBER(N27))),1,0)</x:f>
        <x:v>0</x:v>
      </x:c>
    </x:row>
    <x:row r="28" ht="48" customHeight="1">
      <x:c r="A28" s="2" t="str">
        <x:v>MAIN-024</x:v>
      </x:c>
      <x:c r="B28" s="2" t="str">
        <x:v>Main</x:v>
      </x:c>
      <x:c r="C28" s="2" t="str">
        <x:v>Bengaluru</x:v>
      </x:c>
      <x:c r="D28" s="12" t="str">
        <x:v>Awfis - Soul Space Paradigm</x:v>
      </x:c>
      <x:c r="E28" s="12" t="str">
        <x:v>32 inch LED TV</x:v>
      </x:c>
      <x:c r="F28" s="2" t="n">
        <x:v>1</x:v>
      </x:c>
      <x:c r="G28" s="2" t="n">
        <x:v>2</x:v>
      </x:c>
      <x:c r="H28" s="2" t="n">
        <x:f>COUNTIFS('Inventory'!$N$7:$N$783,A28,'Inventory'!$A$7:$A$783,1)</x:f>
        <x:v>1</x:v>
      </x:c>
      <x:c r="I28" s="2" t="n">
        <x:f>SUMIFS('Inventory'!$G$7:$G$783,'Inventory'!$N$7:$N$783,A28,'Inventory'!$A$7:$A$783,1)</x:f>
        <x:v>2</x:v>
      </x:c>
      <x:c r="J28" s="12" t="str">
        <x:v>Listed budget</x:v>
      </x:c>
      <x:c r="K28" s="17" t="n">
        <x:v>30000</x:v>
      </x:c>
      <x:c r="L28" s="17"/>
      <x:c r="M28" s="17"/>
      <x:c r="N28" s="19"/>
      <x:c r="O28" s="17" t="str">
        <x:f>IF(ISNUMBER(L28),G28*L28,IF(ISNUMBER(M28),M28,""))</x:f>
      </x:c>
      <x:c r="P28" s="17" t="n">
        <x:f>IF(ISNUMBER(K28),K28,IF(ISNUMBER(O28),O28,""))</x:f>
        <x:v>30000</x:v>
      </x:c>
      <x:c r="Q28" s="17" t="n">
        <x:f>IF(H28=0,0,IF(ISNUMBER(N28),N28,IF(N28="",IF(H28=F28,P28,""),"")))</x:f>
        <x:v>30000</x:v>
      </x:c>
      <x:c r="R28" s="17" t="n">
        <x:f>IF(ISNUMBER(Q28),ROUND(Q28*$C$4,2),"")</x:f>
        <x:v>5400</x:v>
      </x:c>
      <x:c r="S28" s="17" t="n">
        <x:f>IF(ISNUMBER(Q28),Q28+R28,"")</x:f>
        <x:v>35400</x:v>
      </x:c>
      <x:c r="T28" s="2" t="str">
        <x:f>IF(H28=0,"Not selected",IF(ISNUMBER(N28),"Quote entered",IF(N28&lt;&gt;"","Enter numeric quote",IF(H28=F28,IF(ISNUMBER(P28),"Complete unit","Price required"),"Partial package: price required"))))</x:f>
        <x:v>Complete unit</x:v>
      </x:c>
      <x:c r="U28" s="2" t="str">
        <x:v>TEN-21D8CC8F4466; TEN-3E2A5D865C6E</x:v>
      </x:c>
      <x:c r="V28" s="2" t="str">
        <x:v>Education; Trade, consumer &amp; logistics</x:v>
      </x:c>
      <x:c r="W28" s="2" t="str">
        <x:v>Small-scale prospects</x:v>
      </x:c>
      <x:c r="X28" s="17" t="n">
        <x:f>IF(AND(H28=F28,NOT(ISNUMBER(N28)),N28="",ISNUMBER(K28)),K28,0)</x:f>
        <x:v>30000</x:v>
      </x:c>
      <x:c r="Y28" s="17" t="n">
        <x:f>IF(AND(H28=F28,NOT(ISNUMBER(N28)),N28="",K28="",ISNUMBER(O28)),O28,0)</x:f>
        <x:v>0</x:v>
      </x:c>
      <x:c r="Z28" s="17" t="n">
        <x:f>IF(AND(H28&gt;0,ISNUMBER(N28)),N28,0)</x:f>
        <x:v>0</x:v>
      </x:c>
      <x:c r="AA28" s="2" t="n">
        <x:f>IF(AND(H28&gt;0,N28="",NOT(ISNUMBER(Q28))),1,0)</x:f>
        <x:v>0</x:v>
      </x:c>
      <x:c r="AB28" s="2" t="n">
        <x:f>IF(AND(H28&gt;0,N28&lt;&gt;"",NOT(ISNUMBER(N28))),1,0)</x:f>
        <x:v>0</x:v>
      </x:c>
    </x:row>
    <x:row r="29" ht="48" customHeight="1">
      <x:c r="A29" s="2" t="str">
        <x:v>MAIN-025</x:v>
      </x:c>
      <x:c r="B29" s="2" t="str">
        <x:v>Main</x:v>
      </x:c>
      <x:c r="C29" s="2" t="str">
        <x:v>Bengaluru</x:v>
      </x:c>
      <x:c r="D29" s="12" t="str">
        <x:v>Awfis - ST Mark's Road</x:v>
      </x:c>
      <x:c r="E29" s="12" t="str">
        <x:v>32 inch LED TV</x:v>
      </x:c>
      <x:c r="F29" s="2" t="n">
        <x:v>1</x:v>
      </x:c>
      <x:c r="G29" s="2" t="n">
        <x:v>5</x:v>
      </x:c>
      <x:c r="H29" s="2" t="n">
        <x:f>COUNTIFS('Inventory'!$N$7:$N$783,A29,'Inventory'!$A$7:$A$783,1)</x:f>
        <x:v>1</x:v>
      </x:c>
      <x:c r="I29" s="2" t="n">
        <x:f>SUMIFS('Inventory'!$G$7:$G$783,'Inventory'!$N$7:$N$783,A29,'Inventory'!$A$7:$A$783,1)</x:f>
        <x:v>5</x:v>
      </x:c>
      <x:c r="J29" s="12" t="str">
        <x:v>Listed budget</x:v>
      </x:c>
      <x:c r="K29" s="17" t="n">
        <x:v>75000</x:v>
      </x:c>
      <x:c r="L29" s="17"/>
      <x:c r="M29" s="17"/>
      <x:c r="N29" s="19"/>
      <x:c r="O29" s="17" t="str">
        <x:f>IF(ISNUMBER(L29),G29*L29,IF(ISNUMBER(M29),M29,""))</x:f>
      </x:c>
      <x:c r="P29" s="17" t="n">
        <x:f>IF(ISNUMBER(K29),K29,IF(ISNUMBER(O29),O29,""))</x:f>
        <x:v>75000</x:v>
      </x:c>
      <x:c r="Q29" s="17" t="n">
        <x:f>IF(H29=0,0,IF(ISNUMBER(N29),N29,IF(N29="",IF(H29=F29,P29,""),"")))</x:f>
        <x:v>75000</x:v>
      </x:c>
      <x:c r="R29" s="17" t="n">
        <x:f>IF(ISNUMBER(Q29),ROUND(Q29*$C$4,2),"")</x:f>
        <x:v>13500</x:v>
      </x:c>
      <x:c r="S29" s="17" t="n">
        <x:f>IF(ISNUMBER(Q29),Q29+R29,"")</x:f>
        <x:v>88500</x:v>
      </x:c>
      <x:c r="T29" s="2" t="str">
        <x:f>IF(H29=0,"Not selected",IF(ISNUMBER(N29),"Quote entered",IF(N29&lt;&gt;"","Enter numeric quote",IF(H29=F29,IF(ISNUMBER(P29),"Complete unit","Price required"),"Partial package: price required"))))</x:f>
        <x:v>Complete unit</x:v>
      </x:c>
      <x:c r="U29" s="2" t="str">
        <x:v>TEN-1C3B3DE3D7AC; TEN-6301EA260891; TEN-7C36EE850090; TEN-AF8F13CB7306; TEN-B68573D869BB; TEN-CD1E3E30F0DB; TEN-DAD06958BAD2; TEN-EEB196C4318F</x:v>
      </x:c>
      <x:c r="V29" s="2" t="str">
        <x:v>IT &amp; digital; Professional services; Engineering &amp; manufacturing; Unresolved</x:v>
      </x:c>
      <x:c r="W29" s="2" t="str">
        <x:v>Small-scale prospects; Medium-scale prospects; Mixed business audience</x:v>
      </x:c>
      <x:c r="X29" s="17" t="n">
        <x:f>IF(AND(H29=F29,NOT(ISNUMBER(N29)),N29="",ISNUMBER(K29)),K29,0)</x:f>
        <x:v>75000</x:v>
      </x:c>
      <x:c r="Y29" s="17" t="n">
        <x:f>IF(AND(H29=F29,NOT(ISNUMBER(N29)),N29="",K29="",ISNUMBER(O29)),O29,0)</x:f>
        <x:v>0</x:v>
      </x:c>
      <x:c r="Z29" s="17" t="n">
        <x:f>IF(AND(H29&gt;0,ISNUMBER(N29)),N29,0)</x:f>
        <x:v>0</x:v>
      </x:c>
      <x:c r="AA29" s="2" t="n">
        <x:f>IF(AND(H29&gt;0,N29="",NOT(ISNUMBER(Q29))),1,0)</x:f>
        <x:v>0</x:v>
      </x:c>
      <x:c r="AB29" s="2" t="n">
        <x:f>IF(AND(H29&gt;0,N29&lt;&gt;"",NOT(ISNUMBER(N29))),1,0)</x:f>
        <x:v>0</x:v>
      </x:c>
    </x:row>
    <x:row r="30" ht="48" customHeight="1">
      <x:c r="A30" s="2" t="str">
        <x:v>MAIN-026</x:v>
      </x:c>
      <x:c r="B30" s="2" t="str">
        <x:v>Main</x:v>
      </x:c>
      <x:c r="C30" s="2" t="str">
        <x:v>Bengaluru</x:v>
      </x:c>
      <x:c r="D30" s="12" t="str">
        <x:v>Awfis - Vajram Esteva</x:v>
      </x:c>
      <x:c r="E30" s="12" t="str">
        <x:v>32 inch LED TV</x:v>
      </x:c>
      <x:c r="F30" s="2" t="n">
        <x:v>1</x:v>
      </x:c>
      <x:c r="G30" s="2" t="n">
        <x:v>4</x:v>
      </x:c>
      <x:c r="H30" s="2" t="n">
        <x:f>COUNTIFS('Inventory'!$N$7:$N$783,A30,'Inventory'!$A$7:$A$783,1)</x:f>
        <x:v>1</x:v>
      </x:c>
      <x:c r="I30" s="2" t="n">
        <x:f>SUMIFS('Inventory'!$G$7:$G$783,'Inventory'!$N$7:$N$783,A30,'Inventory'!$A$7:$A$783,1)</x:f>
        <x:v>4</x:v>
      </x:c>
      <x:c r="J30" s="12" t="str">
        <x:v>Estimate: same-site rate</x:v>
      </x:c>
      <x:c r="K30" s="17"/>
      <x:c r="L30" s="17" t="n">
        <x:v>15000</x:v>
      </x:c>
      <x:c r="M30" s="17"/>
      <x:c r="N30" s="19"/>
      <x:c r="O30" s="17" t="n">
        <x:f>IF(ISNUMBER(L30),G30*L30,IF(ISNUMBER(M30),M30,""))</x:f>
        <x:v>60000</x:v>
      </x:c>
      <x:c r="P30" s="17" t="n">
        <x:f>IF(ISNUMBER(K30),K30,IF(ISNUMBER(O30),O30,""))</x:f>
        <x:v>60000</x:v>
      </x:c>
      <x:c r="Q30" s="17" t="n">
        <x:f>IF(H30=0,0,IF(ISNUMBER(N30),N30,IF(N30="",IF(H30=F30,P30,""),"")))</x:f>
        <x:v>60000</x:v>
      </x:c>
      <x:c r="R30" s="17" t="n">
        <x:f>IF(ISNUMBER(Q30),ROUND(Q30*$C$4,2),"")</x:f>
        <x:v>10800</x:v>
      </x:c>
      <x:c r="S30" s="17" t="n">
        <x:f>IF(ISNUMBER(Q30),Q30+R30,"")</x:f>
        <x:v>70800</x:v>
      </x:c>
      <x:c r="T30" s="2" t="str">
        <x:f>IF(H30=0,"Not selected",IF(ISNUMBER(N30),"Quote entered",IF(N30&lt;&gt;"","Enter numeric quote",IF(H30=F30,IF(ISNUMBER(P30),"Complete unit","Price required"),"Partial package: price required"))))</x:f>
        <x:v>Complete unit</x:v>
      </x:c>
      <x:c r="U30" s="2" t="str">
        <x:v>TEN-197BE48BE03D; TEN-7AA934A270B5; TEN-918C82EDA072</x:v>
      </x:c>
      <x:c r="V30" s="2" t="str">
        <x:v>IT &amp; digital; Professional services; Trade, consumer &amp; logistics</x:v>
      </x:c>
      <x:c r="W30" s="2" t="str">
        <x:v>Small-scale prospects</x:v>
      </x:c>
      <x:c r="X30" s="17" t="n">
        <x:f>IF(AND(H30=F30,NOT(ISNUMBER(N30)),N30="",ISNUMBER(K30)),K30,0)</x:f>
        <x:v>0</x:v>
      </x:c>
      <x:c r="Y30" s="17" t="n">
        <x:f>IF(AND(H30=F30,NOT(ISNUMBER(N30)),N30="",K30="",ISNUMBER(O30)),O30,0)</x:f>
        <x:v>60000</x:v>
      </x:c>
      <x:c r="Z30" s="17" t="n">
        <x:f>IF(AND(H30&gt;0,ISNUMBER(N30)),N30,0)</x:f>
        <x:v>0</x:v>
      </x:c>
      <x:c r="AA30" s="2" t="n">
        <x:f>IF(AND(H30&gt;0,N30="",NOT(ISNUMBER(Q30))),1,0)</x:f>
        <x:v>0</x:v>
      </x:c>
      <x:c r="AB30" s="2" t="n">
        <x:f>IF(AND(H30&gt;0,N30&lt;&gt;"",NOT(ISNUMBER(N30))),1,0)</x:f>
        <x:v>0</x:v>
      </x:c>
    </x:row>
    <x:row r="31" ht="48" customHeight="1">
      <x:c r="A31" s="2" t="str">
        <x:v>MAIN-027</x:v>
      </x:c>
      <x:c r="B31" s="2" t="str">
        <x:v>Main</x:v>
      </x:c>
      <x:c r="C31" s="2" t="str">
        <x:v>Bengaluru</x:v>
      </x:c>
      <x:c r="D31" s="12" t="str">
        <x:v>Bhive Workspace - AKR Tech Park</x:v>
      </x:c>
      <x:c r="E31" s="12" t="str">
        <x:v>32 inch LED TV</x:v>
      </x:c>
      <x:c r="F31" s="2" t="n">
        <x:v>1</x:v>
      </x:c>
      <x:c r="G31" s="2" t="n">
        <x:v>6</x:v>
      </x:c>
      <x:c r="H31" s="2" t="n">
        <x:f>COUNTIFS('Inventory'!$N$7:$N$783,A31,'Inventory'!$A$7:$A$783,1)</x:f>
        <x:v>1</x:v>
      </x:c>
      <x:c r="I31" s="2" t="n">
        <x:f>SUMIFS('Inventory'!$G$7:$G$783,'Inventory'!$N$7:$N$783,A31,'Inventory'!$A$7:$A$783,1)</x:f>
        <x:v>6</x:v>
      </x:c>
      <x:c r="J31" s="12" t="str">
        <x:v>Listed budget</x:v>
      </x:c>
      <x:c r="K31" s="17" t="n">
        <x:v>90000</x:v>
      </x:c>
      <x:c r="L31" s="17"/>
      <x:c r="M31" s="17"/>
      <x:c r="N31" s="19"/>
      <x:c r="O31" s="17" t="str">
        <x:f>IF(ISNUMBER(L31),G31*L31,IF(ISNUMBER(M31),M31,""))</x:f>
      </x:c>
      <x:c r="P31" s="17" t="n">
        <x:f>IF(ISNUMBER(K31),K31,IF(ISNUMBER(O31),O31,""))</x:f>
        <x:v>90000</x:v>
      </x:c>
      <x:c r="Q31" s="17" t="n">
        <x:f>IF(H31=0,0,IF(ISNUMBER(N31),N31,IF(N31="",IF(H31=F31,P31,""),"")))</x:f>
        <x:v>90000</x:v>
      </x:c>
      <x:c r="R31" s="17" t="n">
        <x:f>IF(ISNUMBER(Q31),ROUND(Q31*$C$4,2),"")</x:f>
        <x:v>16200</x:v>
      </x:c>
      <x:c r="S31" s="17" t="n">
        <x:f>IF(ISNUMBER(Q31),Q31+R31,"")</x:f>
        <x:v>106200</x:v>
      </x:c>
      <x:c r="T31" s="2" t="str">
        <x:f>IF(H31=0,"Not selected",IF(ISNUMBER(N31),"Quote entered",IF(N31&lt;&gt;"","Enter numeric quote",IF(H31=F31,IF(ISNUMBER(P31),"Complete unit","Price required"),"Partial package: price required"))))</x:f>
        <x:v>Complete unit</x:v>
      </x:c>
      <x:c r="U31" s="2" t="str">
        <x:v>TEN-46217CA33338; TEN-4B0E7517D5F2; TEN-A627CC7CE64B; TEN-B27BEC4C0CF2</x:v>
      </x:c>
      <x:c r="V31" s="2" t="str">
        <x:v>IT &amp; digital; Professional services; Engineering &amp; manufacturing</x:v>
      </x:c>
      <x:c r="W31" s="2" t="str">
        <x:v>Small-scale prospects; Medium-scale prospects; Mixed business audience</x:v>
      </x:c>
      <x:c r="X31" s="17" t="n">
        <x:f>IF(AND(H31=F31,NOT(ISNUMBER(N31)),N31="",ISNUMBER(K31)),K31,0)</x:f>
        <x:v>90000</x:v>
      </x:c>
      <x:c r="Y31" s="17" t="n">
        <x:f>IF(AND(H31=F31,NOT(ISNUMBER(N31)),N31="",K31="",ISNUMBER(O31)),O31,0)</x:f>
        <x:v>0</x:v>
      </x:c>
      <x:c r="Z31" s="17" t="n">
        <x:f>IF(AND(H31&gt;0,ISNUMBER(N31)),N31,0)</x:f>
        <x:v>0</x:v>
      </x:c>
      <x:c r="AA31" s="2" t="n">
        <x:f>IF(AND(H31&gt;0,N31="",NOT(ISNUMBER(Q31))),1,0)</x:f>
        <x:v>0</x:v>
      </x:c>
      <x:c r="AB31" s="2" t="n">
        <x:f>IF(AND(H31&gt;0,N31&lt;&gt;"",NOT(ISNUMBER(N31))),1,0)</x:f>
        <x:v>0</x:v>
      </x:c>
    </x:row>
    <x:row r="32" ht="48" customHeight="1">
      <x:c r="A32" s="2" t="str">
        <x:v>MAIN-028</x:v>
      </x:c>
      <x:c r="B32" s="2" t="str">
        <x:v>Main</x:v>
      </x:c>
      <x:c r="C32" s="2" t="str">
        <x:v>Bengaluru</x:v>
      </x:c>
      <x:c r="D32" s="12" t="str">
        <x:v>Bhive Workspace - HSR Layout 27Th Main</x:v>
      </x:c>
      <x:c r="E32" s="12" t="str">
        <x:v>32 inch LED TV</x:v>
      </x:c>
      <x:c r="F32" s="2" t="n">
        <x:v>1</x:v>
      </x:c>
      <x:c r="G32" s="2" t="n">
        <x:v>1</x:v>
      </x:c>
      <x:c r="H32" s="2" t="n">
        <x:f>COUNTIFS('Inventory'!$N$7:$N$783,A32,'Inventory'!$A$7:$A$783,1)</x:f>
        <x:v>1</x:v>
      </x:c>
      <x:c r="I32" s="2" t="n">
        <x:f>SUMIFS('Inventory'!$G$7:$G$783,'Inventory'!$N$7:$N$783,A32,'Inventory'!$A$7:$A$783,1)</x:f>
        <x:v>1</x:v>
      </x:c>
      <x:c r="J32" s="12" t="str">
        <x:v>Listed budget</x:v>
      </x:c>
      <x:c r="K32" s="17" t="n">
        <x:v>15000</x:v>
      </x:c>
      <x:c r="L32" s="17"/>
      <x:c r="M32" s="17"/>
      <x:c r="N32" s="19"/>
      <x:c r="O32" s="17" t="str">
        <x:f>IF(ISNUMBER(L32),G32*L32,IF(ISNUMBER(M32),M32,""))</x:f>
      </x:c>
      <x:c r="P32" s="17" t="n">
        <x:f>IF(ISNUMBER(K32),K32,IF(ISNUMBER(O32),O32,""))</x:f>
        <x:v>15000</x:v>
      </x:c>
      <x:c r="Q32" s="17" t="n">
        <x:f>IF(H32=0,0,IF(ISNUMBER(N32),N32,IF(N32="",IF(H32=F32,P32,""),"")))</x:f>
        <x:v>15000</x:v>
      </x:c>
      <x:c r="R32" s="17" t="n">
        <x:f>IF(ISNUMBER(Q32),ROUND(Q32*$C$4,2),"")</x:f>
        <x:v>2700</x:v>
      </x:c>
      <x:c r="S32" s="17" t="n">
        <x:f>IF(ISNUMBER(Q32),Q32+R32,"")</x:f>
        <x:v>17700</x:v>
      </x:c>
      <x:c r="T32" s="2" t="str">
        <x:f>IF(H32=0,"Not selected",IF(ISNUMBER(N32),"Quote entered",IF(N32&lt;&gt;"","Enter numeric quote",IF(H32=F32,IF(ISNUMBER(P32),"Complete unit","Price required"),"Partial package: price required"))))</x:f>
        <x:v>Complete unit</x:v>
      </x:c>
      <x:c r="U32" s="2" t="str">
        <x:v>TEN-0E9A282DFFCB; TEN-1C5B10435526; TEN-1F1E5E68B842; TEN-21D1AC1A15C8; TEN-53CEEF981FF3; TEN-5530B09CCCE4; TEN-C2614279D52E; TEN-CC59F257497B; TEN-D718C642648D; TEN-EDB7F8479A70; TEN-F0A871FED375</x:v>
      </x:c>
      <x:c r="V32" s="2" t="str">
        <x:v>IT &amp; digital; Professional services; Education; Unresolved</x:v>
      </x:c>
      <x:c r="W32" s="2" t="str">
        <x:v>Small-scale prospects; Mixed business audience</x:v>
      </x:c>
      <x:c r="X32" s="17" t="n">
        <x:f>IF(AND(H32=F32,NOT(ISNUMBER(N32)),N32="",ISNUMBER(K32)),K32,0)</x:f>
        <x:v>15000</x:v>
      </x:c>
      <x:c r="Y32" s="17" t="n">
        <x:f>IF(AND(H32=F32,NOT(ISNUMBER(N32)),N32="",K32="",ISNUMBER(O32)),O32,0)</x:f>
        <x:v>0</x:v>
      </x:c>
      <x:c r="Z32" s="17" t="n">
        <x:f>IF(AND(H32&gt;0,ISNUMBER(N32)),N32,0)</x:f>
        <x:v>0</x:v>
      </x:c>
      <x:c r="AA32" s="2" t="n">
        <x:f>IF(AND(H32&gt;0,N32="",NOT(ISNUMBER(Q32))),1,0)</x:f>
        <x:v>0</x:v>
      </x:c>
      <x:c r="AB32" s="2" t="n">
        <x:f>IF(AND(H32&gt;0,N32&lt;&gt;"",NOT(ISNUMBER(N32))),1,0)</x:f>
        <x:v>0</x:v>
      </x:c>
    </x:row>
    <x:row r="33" ht="48" customHeight="1">
      <x:c r="A33" s="2" t="str">
        <x:v>MAIN-029</x:v>
      </x:c>
      <x:c r="B33" s="2" t="str">
        <x:v>Main</x:v>
      </x:c>
      <x:c r="C33" s="2" t="str">
        <x:v>Bengaluru</x:v>
      </x:c>
      <x:c r="D33" s="12" t="str">
        <x:v>Bhive Workspace - HSR Sector 6 Service Road Unit A</x:v>
      </x:c>
      <x:c r="E33" s="12" t="str">
        <x:v>32 inch LED TV</x:v>
      </x:c>
      <x:c r="F33" s="2" t="n">
        <x:v>1</x:v>
      </x:c>
      <x:c r="G33" s="2" t="n">
        <x:v>3</x:v>
      </x:c>
      <x:c r="H33" s="2" t="n">
        <x:f>COUNTIFS('Inventory'!$N$7:$N$783,A33,'Inventory'!$A$7:$A$783,1)</x:f>
        <x:v>1</x:v>
      </x:c>
      <x:c r="I33" s="2" t="n">
        <x:f>SUMIFS('Inventory'!$G$7:$G$783,'Inventory'!$N$7:$N$783,A33,'Inventory'!$A$7:$A$783,1)</x:f>
        <x:v>3</x:v>
      </x:c>
      <x:c r="J33" s="12" t="str">
        <x:v>Listed budget</x:v>
      </x:c>
      <x:c r="K33" s="17" t="n">
        <x:v>45000</x:v>
      </x:c>
      <x:c r="L33" s="17"/>
      <x:c r="M33" s="17"/>
      <x:c r="N33" s="19"/>
      <x:c r="O33" s="17" t="str">
        <x:f>IF(ISNUMBER(L33),G33*L33,IF(ISNUMBER(M33),M33,""))</x:f>
      </x:c>
      <x:c r="P33" s="17" t="n">
        <x:f>IF(ISNUMBER(K33),K33,IF(ISNUMBER(O33),O33,""))</x:f>
        <x:v>45000</x:v>
      </x:c>
      <x:c r="Q33" s="17" t="n">
        <x:f>IF(H33=0,0,IF(ISNUMBER(N33),N33,IF(N33="",IF(H33=F33,P33,""),"")))</x:f>
        <x:v>45000</x:v>
      </x:c>
      <x:c r="R33" s="17" t="n">
        <x:f>IF(ISNUMBER(Q33),ROUND(Q33*$C$4,2),"")</x:f>
        <x:v>8100</x:v>
      </x:c>
      <x:c r="S33" s="17" t="n">
        <x:f>IF(ISNUMBER(Q33),Q33+R33,"")</x:f>
        <x:v>53100</x:v>
      </x:c>
      <x:c r="T33" s="2" t="str">
        <x:f>IF(H33=0,"Not selected",IF(ISNUMBER(N33),"Quote entered",IF(N33&lt;&gt;"","Enter numeric quote",IF(H33=F33,IF(ISNUMBER(P33),"Complete unit","Price required"),"Partial package: price required"))))</x:f>
        <x:v>Complete unit</x:v>
      </x:c>
      <x:c r="U33" s="2" t="str">
        <x:v>TEN-45324BA64065; TEN-912465DAB3C4; TEN-A37CB298D632; TEN-C6AEEBB4913C; TEN-DF08715E63C4</x:v>
      </x:c>
      <x:c r="V33" s="2" t="str">
        <x:v>Professional services; Trade, consumer &amp; logistics; Workspace &amp; property operations; Unresolved</x:v>
      </x:c>
      <x:c r="W33" s="2" t="str">
        <x:v>Small-scale prospects; Mixed business audience</x:v>
      </x:c>
      <x:c r="X33" s="17" t="n">
        <x:f>IF(AND(H33=F33,NOT(ISNUMBER(N33)),N33="",ISNUMBER(K33)),K33,0)</x:f>
        <x:v>45000</x:v>
      </x:c>
      <x:c r="Y33" s="17" t="n">
        <x:f>IF(AND(H33=F33,NOT(ISNUMBER(N33)),N33="",K33="",ISNUMBER(O33)),O33,0)</x:f>
        <x:v>0</x:v>
      </x:c>
      <x:c r="Z33" s="17" t="n">
        <x:f>IF(AND(H33&gt;0,ISNUMBER(N33)),N33,0)</x:f>
        <x:v>0</x:v>
      </x:c>
      <x:c r="AA33" s="2" t="n">
        <x:f>IF(AND(H33&gt;0,N33="",NOT(ISNUMBER(Q33))),1,0)</x:f>
        <x:v>0</x:v>
      </x:c>
      <x:c r="AB33" s="2" t="n">
        <x:f>IF(AND(H33&gt;0,N33&lt;&gt;"",NOT(ISNUMBER(N33))),1,0)</x:f>
        <x:v>0</x:v>
      </x:c>
    </x:row>
    <x:row r="34" ht="48" customHeight="1">
      <x:c r="A34" s="2" t="str">
        <x:v>MAIN-030</x:v>
      </x:c>
      <x:c r="B34" s="2" t="str">
        <x:v>Main</x:v>
      </x:c>
      <x:c r="C34" s="2" t="str">
        <x:v>Bengaluru</x:v>
      </x:c>
      <x:c r="D34" s="12" t="str">
        <x:v>Bhive Workspace - Indiranagar</x:v>
      </x:c>
      <x:c r="E34" s="12" t="str">
        <x:v>32 inch LED TV</x:v>
      </x:c>
      <x:c r="F34" s="2" t="n">
        <x:v>1</x:v>
      </x:c>
      <x:c r="G34" s="2" t="n">
        <x:v>6</x:v>
      </x:c>
      <x:c r="H34" s="2" t="n">
        <x:f>COUNTIFS('Inventory'!$N$7:$N$783,A34,'Inventory'!$A$7:$A$783,1)</x:f>
        <x:v>1</x:v>
      </x:c>
      <x:c r="I34" s="2" t="n">
        <x:f>SUMIFS('Inventory'!$G$7:$G$783,'Inventory'!$N$7:$N$783,A34,'Inventory'!$A$7:$A$783,1)</x:f>
        <x:v>6</x:v>
      </x:c>
      <x:c r="J34" s="12" t="str">
        <x:v>Listed budget</x:v>
      </x:c>
      <x:c r="K34" s="17" t="n">
        <x:v>90000</x:v>
      </x:c>
      <x:c r="L34" s="17"/>
      <x:c r="M34" s="17"/>
      <x:c r="N34" s="19"/>
      <x:c r="O34" s="17" t="str">
        <x:f>IF(ISNUMBER(L34),G34*L34,IF(ISNUMBER(M34),M34,""))</x:f>
      </x:c>
      <x:c r="P34" s="17" t="n">
        <x:f>IF(ISNUMBER(K34),K34,IF(ISNUMBER(O34),O34,""))</x:f>
        <x:v>90000</x:v>
      </x:c>
      <x:c r="Q34" s="17" t="n">
        <x:f>IF(H34=0,0,IF(ISNUMBER(N34),N34,IF(N34="",IF(H34=F34,P34,""),"")))</x:f>
        <x:v>90000</x:v>
      </x:c>
      <x:c r="R34" s="17" t="n">
        <x:f>IF(ISNUMBER(Q34),ROUND(Q34*$C$4,2),"")</x:f>
        <x:v>16200</x:v>
      </x:c>
      <x:c r="S34" s="17" t="n">
        <x:f>IF(ISNUMBER(Q34),Q34+R34,"")</x:f>
        <x:v>106200</x:v>
      </x:c>
      <x:c r="T34" s="2" t="str">
        <x:f>IF(H34=0,"Not selected",IF(ISNUMBER(N34),"Quote entered",IF(N34&lt;&gt;"","Enter numeric quote",IF(H34=F34,IF(ISNUMBER(P34),"Complete unit","Price required"),"Partial package: price required"))))</x:f>
        <x:v>Complete unit</x:v>
      </x:c>
      <x:c r="U34" s="2" t="str">
        <x:v>TEN-01198AB1CD80; TEN-057756A71604; TEN-11D3882F484B; TEN-1DE8CBBDF5B3; TEN-2CE860A5EC59; TEN-3FAD6CDAE2DF; TEN-93CA6984E0A1; TEN-96311B221568; TEN-97B55E7BDDF1; TEN-D3DBB73A0C6F; TEN-E457419AAEE3</x:v>
      </x:c>
      <x:c r="V34" s="2" t="str">
        <x:v>IT &amp; digital; Professional services; Trade, consumer &amp; logistics; Unresolved</x:v>
      </x:c>
      <x:c r="W34" s="2" t="str">
        <x:v>Small-scale prospects; Mixed business audience</x:v>
      </x:c>
      <x:c r="X34" s="17" t="n">
        <x:f>IF(AND(H34=F34,NOT(ISNUMBER(N34)),N34="",ISNUMBER(K34)),K34,0)</x:f>
        <x:v>90000</x:v>
      </x:c>
      <x:c r="Y34" s="17" t="n">
        <x:f>IF(AND(H34=F34,NOT(ISNUMBER(N34)),N34="",K34="",ISNUMBER(O34)),O34,0)</x:f>
        <x:v>0</x:v>
      </x:c>
      <x:c r="Z34" s="17" t="n">
        <x:f>IF(AND(H34&gt;0,ISNUMBER(N34)),N34,0)</x:f>
        <x:v>0</x:v>
      </x:c>
      <x:c r="AA34" s="2" t="n">
        <x:f>IF(AND(H34&gt;0,N34="",NOT(ISNUMBER(Q34))),1,0)</x:f>
        <x:v>0</x:v>
      </x:c>
      <x:c r="AB34" s="2" t="n">
        <x:f>IF(AND(H34&gt;0,N34&lt;&gt;"",NOT(ISNUMBER(N34))),1,0)</x:f>
        <x:v>0</x:v>
      </x:c>
    </x:row>
    <x:row r="35" ht="48" customHeight="1">
      <x:c r="A35" s="2" t="str">
        <x:v>MAIN-031</x:v>
      </x:c>
      <x:c r="B35" s="2" t="str">
        <x:v>Main</x:v>
      </x:c>
      <x:c r="C35" s="2" t="str">
        <x:v>Bengaluru</x:v>
      </x:c>
      <x:c r="D35" s="12" t="str">
        <x:v>Bhive Workspace - Koramangala 5TH Block</x:v>
      </x:c>
      <x:c r="E35" s="12" t="str">
        <x:v>32 inch LED TV</x:v>
      </x:c>
      <x:c r="F35" s="2" t="n">
        <x:v>1</x:v>
      </x:c>
      <x:c r="G35" s="2" t="n">
        <x:v>2</x:v>
      </x:c>
      <x:c r="H35" s="2" t="n">
        <x:f>COUNTIFS('Inventory'!$N$7:$N$783,A35,'Inventory'!$A$7:$A$783,1)</x:f>
        <x:v>1</x:v>
      </x:c>
      <x:c r="I35" s="2" t="n">
        <x:f>SUMIFS('Inventory'!$G$7:$G$783,'Inventory'!$N$7:$N$783,A35,'Inventory'!$A$7:$A$783,1)</x:f>
        <x:v>2</x:v>
      </x:c>
      <x:c r="J35" s="12" t="str">
        <x:v>Listed budget</x:v>
      </x:c>
      <x:c r="K35" s="17" t="n">
        <x:v>30000</x:v>
      </x:c>
      <x:c r="L35" s="17"/>
      <x:c r="M35" s="17"/>
      <x:c r="N35" s="19"/>
      <x:c r="O35" s="17" t="str">
        <x:f>IF(ISNUMBER(L35),G35*L35,IF(ISNUMBER(M35),M35,""))</x:f>
      </x:c>
      <x:c r="P35" s="17" t="n">
        <x:f>IF(ISNUMBER(K35),K35,IF(ISNUMBER(O35),O35,""))</x:f>
        <x:v>30000</x:v>
      </x:c>
      <x:c r="Q35" s="17" t="n">
        <x:f>IF(H35=0,0,IF(ISNUMBER(N35),N35,IF(N35="",IF(H35=F35,P35,""),"")))</x:f>
        <x:v>30000</x:v>
      </x:c>
      <x:c r="R35" s="17" t="n">
        <x:f>IF(ISNUMBER(Q35),ROUND(Q35*$C$4,2),"")</x:f>
        <x:v>5400</x:v>
      </x:c>
      <x:c r="S35" s="17" t="n">
        <x:f>IF(ISNUMBER(Q35),Q35+R35,"")</x:f>
        <x:v>35400</x:v>
      </x:c>
      <x:c r="T35" s="2" t="str">
        <x:f>IF(H35=0,"Not selected",IF(ISNUMBER(N35),"Quote entered",IF(N35&lt;&gt;"","Enter numeric quote",IF(H35=F35,IF(ISNUMBER(P35),"Complete unit","Price required"),"Partial package: price required"))))</x:f>
        <x:v>Complete unit</x:v>
      </x:c>
      <x:c r="U35" s="2" t="str">
        <x:v>TEN-04D50CB55236; TEN-0932D55AA74D; TEN-442034601B25; TEN-4CC77A869D12; TEN-8780B4FF8456; TEN-91B387646AE7; TEN-9C17595C000B; TEN-AE331F7CF136; TEN-BDCF2FEA9EB0; TEN-DE8400B24025; TEN-EF524E426F94</x:v>
      </x:c>
      <x:c r="V35" s="2" t="str">
        <x:v>Finance &amp; insurance; Education; Trade, consumer &amp; logistics; Unresolved</x:v>
      </x:c>
      <x:c r="W35" s="2" t="str">
        <x:v>Small-scale prospects; Medium-scale prospects; Mixed business audience</x:v>
      </x:c>
      <x:c r="X35" s="17" t="n">
        <x:f>IF(AND(H35=F35,NOT(ISNUMBER(N35)),N35="",ISNUMBER(K35)),K35,0)</x:f>
        <x:v>30000</x:v>
      </x:c>
      <x:c r="Y35" s="17" t="n">
        <x:f>IF(AND(H35=F35,NOT(ISNUMBER(N35)),N35="",K35="",ISNUMBER(O35)),O35,0)</x:f>
        <x:v>0</x:v>
      </x:c>
      <x:c r="Z35" s="17" t="n">
        <x:f>IF(AND(H35&gt;0,ISNUMBER(N35)),N35,0)</x:f>
        <x:v>0</x:v>
      </x:c>
      <x:c r="AA35" s="2" t="n">
        <x:f>IF(AND(H35&gt;0,N35="",NOT(ISNUMBER(Q35))),1,0)</x:f>
        <x:v>0</x:v>
      </x:c>
      <x:c r="AB35" s="2" t="n">
        <x:f>IF(AND(H35&gt;0,N35&lt;&gt;"",NOT(ISNUMBER(N35))),1,0)</x:f>
        <x:v>0</x:v>
      </x:c>
    </x:row>
    <x:row r="36" ht="48" customHeight="1">
      <x:c r="A36" s="2" t="str">
        <x:v>MAIN-032</x:v>
      </x:c>
      <x:c r="B36" s="2" t="str">
        <x:v>Main</x:v>
      </x:c>
      <x:c r="C36" s="2" t="str">
        <x:v>Bengaluru</x:v>
      </x:c>
      <x:c r="D36" s="12" t="str">
        <x:v>Bhive Workspace - MG Road</x:v>
      </x:c>
      <x:c r="E36" s="12" t="str">
        <x:v>32 inch LED TV</x:v>
      </x:c>
      <x:c r="F36" s="2" t="n">
        <x:v>1</x:v>
      </x:c>
      <x:c r="G36" s="2" t="n">
        <x:v>2</x:v>
      </x:c>
      <x:c r="H36" s="2" t="n">
        <x:f>COUNTIFS('Inventory'!$N$7:$N$783,A36,'Inventory'!$A$7:$A$783,1)</x:f>
        <x:v>1</x:v>
      </x:c>
      <x:c r="I36" s="2" t="n">
        <x:f>SUMIFS('Inventory'!$G$7:$G$783,'Inventory'!$N$7:$N$783,A36,'Inventory'!$A$7:$A$783,1)</x:f>
        <x:v>2</x:v>
      </x:c>
      <x:c r="J36" s="12" t="str">
        <x:v>Listed budget</x:v>
      </x:c>
      <x:c r="K36" s="17" t="n">
        <x:v>30000</x:v>
      </x:c>
      <x:c r="L36" s="17"/>
      <x:c r="M36" s="17"/>
      <x:c r="N36" s="19"/>
      <x:c r="O36" s="17" t="str">
        <x:f>IF(ISNUMBER(L36),G36*L36,IF(ISNUMBER(M36),M36,""))</x:f>
      </x:c>
      <x:c r="P36" s="17" t="n">
        <x:f>IF(ISNUMBER(K36),K36,IF(ISNUMBER(O36),O36,""))</x:f>
        <x:v>30000</x:v>
      </x:c>
      <x:c r="Q36" s="17" t="n">
        <x:f>IF(H36=0,0,IF(ISNUMBER(N36),N36,IF(N36="",IF(H36=F36,P36,""),"")))</x:f>
        <x:v>30000</x:v>
      </x:c>
      <x:c r="R36" s="17" t="n">
        <x:f>IF(ISNUMBER(Q36),ROUND(Q36*$C$4,2),"")</x:f>
        <x:v>5400</x:v>
      </x:c>
      <x:c r="S36" s="17" t="n">
        <x:f>IF(ISNUMBER(Q36),Q36+R36,"")</x:f>
        <x:v>35400</x:v>
      </x:c>
      <x:c r="T36" s="2" t="str">
        <x:f>IF(H36=0,"Not selected",IF(ISNUMBER(N36),"Quote entered",IF(N36&lt;&gt;"","Enter numeric quote",IF(H36=F36,IF(ISNUMBER(P36),"Complete unit","Price required"),"Partial package: price required"))))</x:f>
        <x:v>Complete unit</x:v>
      </x:c>
      <x:c r="U36" s="2" t="str">
        <x:v>TEN-05E5855E29EC; TEN-0B6A8948E21D; TEN-16CA3200A70E; TEN-2F13FED7698A; TEN-389E9A21EACC; TEN-51CFE7F8A5FA; TEN-9504045C2AB3; TEN-9504C9232320; TEN-9B9A4AB08A56; TEN-B32819CCF671; TEN-F405EA0EE2B7</x:v>
      </x:c>
      <x:c r="V36" s="2" t="str">
        <x:v>Trade, consumer &amp; logistics; Unresolved</x:v>
      </x:c>
      <x:c r="W36" s="2" t="str">
        <x:v>Small-scale prospects; Mixed business audience</x:v>
      </x:c>
      <x:c r="X36" s="17" t="n">
        <x:f>IF(AND(H36=F36,NOT(ISNUMBER(N36)),N36="",ISNUMBER(K36)),K36,0)</x:f>
        <x:v>30000</x:v>
      </x:c>
      <x:c r="Y36" s="17" t="n">
        <x:f>IF(AND(H36=F36,NOT(ISNUMBER(N36)),N36="",K36="",ISNUMBER(O36)),O36,0)</x:f>
        <x:v>0</x:v>
      </x:c>
      <x:c r="Z36" s="17" t="n">
        <x:f>IF(AND(H36&gt;0,ISNUMBER(N36)),N36,0)</x:f>
        <x:v>0</x:v>
      </x:c>
      <x:c r="AA36" s="2" t="n">
        <x:f>IF(AND(H36&gt;0,N36="",NOT(ISNUMBER(Q36))),1,0)</x:f>
        <x:v>0</x:v>
      </x:c>
      <x:c r="AB36" s="2" t="n">
        <x:f>IF(AND(H36&gt;0,N36&lt;&gt;"",NOT(ISNUMBER(N36))),1,0)</x:f>
        <x:v>0</x:v>
      </x:c>
    </x:row>
    <x:row r="37" ht="48" customHeight="1">
      <x:c r="A37" s="2" t="str">
        <x:v>MAIN-033</x:v>
      </x:c>
      <x:c r="B37" s="2" t="str">
        <x:v>Main</x:v>
      </x:c>
      <x:c r="C37" s="2" t="str">
        <x:v>Bengaluru</x:v>
      </x:c>
      <x:c r="D37" s="12" t="str">
        <x:v>Bridge - Excel</x:v>
      </x:c>
      <x:c r="E37" s="12" t="str">
        <x:v>32 inch LED TV</x:v>
      </x:c>
      <x:c r="F37" s="2" t="n">
        <x:v>1</x:v>
      </x:c>
      <x:c r="G37" s="2" t="n">
        <x:v>1</x:v>
      </x:c>
      <x:c r="H37" s="2" t="n">
        <x:f>COUNTIFS('Inventory'!$N$7:$N$783,A37,'Inventory'!$A$7:$A$783,1)</x:f>
        <x:v>1</x:v>
      </x:c>
      <x:c r="I37" s="2" t="n">
        <x:f>SUMIFS('Inventory'!$G$7:$G$783,'Inventory'!$N$7:$N$783,A37,'Inventory'!$A$7:$A$783,1)</x:f>
        <x:v>1</x:v>
      </x:c>
      <x:c r="J37" s="12" t="str">
        <x:v>Listed budget</x:v>
      </x:c>
      <x:c r="K37" s="17" t="n">
        <x:v>15000</x:v>
      </x:c>
      <x:c r="L37" s="17"/>
      <x:c r="M37" s="17"/>
      <x:c r="N37" s="19"/>
      <x:c r="O37" s="17" t="str">
        <x:f>IF(ISNUMBER(L37),G37*L37,IF(ISNUMBER(M37),M37,""))</x:f>
      </x:c>
      <x:c r="P37" s="17" t="n">
        <x:f>IF(ISNUMBER(K37),K37,IF(ISNUMBER(O37),O37,""))</x:f>
        <x:v>15000</x:v>
      </x:c>
      <x:c r="Q37" s="17" t="n">
        <x:f>IF(H37=0,0,IF(ISNUMBER(N37),N37,IF(N37="",IF(H37=F37,P37,""),"")))</x:f>
        <x:v>15000</x:v>
      </x:c>
      <x:c r="R37" s="17" t="n">
        <x:f>IF(ISNUMBER(Q37),ROUND(Q37*$C$4,2),"")</x:f>
        <x:v>2700</x:v>
      </x:c>
      <x:c r="S37" s="17" t="n">
        <x:f>IF(ISNUMBER(Q37),Q37+R37,"")</x:f>
        <x:v>17700</x:v>
      </x:c>
      <x:c r="T37" s="2" t="str">
        <x:f>IF(H37=0,"Not selected",IF(ISNUMBER(N37),"Quote entered",IF(N37&lt;&gt;"","Enter numeric quote",IF(H37=F37,IF(ISNUMBER(P37),"Complete unit","Price required"),"Partial package: price required"))))</x:f>
        <x:v>Complete unit</x:v>
      </x:c>
      <x:c r="U37" s="2" t="str">
        <x:v>TEN-5B3F0160CC24; TEN-A5525ED3A856</x:v>
      </x:c>
      <x:c r="V37" s="2" t="str">
        <x:v>Engineering &amp; manufacturing; Unresolved</x:v>
      </x:c>
      <x:c r="W37" s="2" t="str">
        <x:v>Mixed business audience</x:v>
      </x:c>
      <x:c r="X37" s="17" t="n">
        <x:f>IF(AND(H37=F37,NOT(ISNUMBER(N37)),N37="",ISNUMBER(K37)),K37,0)</x:f>
        <x:v>15000</x:v>
      </x:c>
      <x:c r="Y37" s="17" t="n">
        <x:f>IF(AND(H37=F37,NOT(ISNUMBER(N37)),N37="",K37="",ISNUMBER(O37)),O37,0)</x:f>
        <x:v>0</x:v>
      </x:c>
      <x:c r="Z37" s="17" t="n">
        <x:f>IF(AND(H37&gt;0,ISNUMBER(N37)),N37,0)</x:f>
        <x:v>0</x:v>
      </x:c>
      <x:c r="AA37" s="2" t="n">
        <x:f>IF(AND(H37&gt;0,N37="",NOT(ISNUMBER(Q37))),1,0)</x:f>
        <x:v>0</x:v>
      </x:c>
      <x:c r="AB37" s="2" t="n">
        <x:f>IF(AND(H37&gt;0,N37&lt;&gt;"",NOT(ISNUMBER(N37))),1,0)</x:f>
        <x:v>0</x:v>
      </x:c>
    </x:row>
    <x:row r="38" ht="48" customHeight="1">
      <x:c r="A38" s="2" t="str">
        <x:v>MAIN-034</x:v>
      </x:c>
      <x:c r="B38" s="2" t="str">
        <x:v>Main</x:v>
      </x:c>
      <x:c r="C38" s="2" t="str">
        <x:v>Bengaluru</x:v>
      </x:c>
      <x:c r="D38" s="12" t="str">
        <x:v>Bridge - Landmark</x:v>
      </x:c>
      <x:c r="E38" s="12" t="str">
        <x:v>32 inch LED TV</x:v>
      </x:c>
      <x:c r="F38" s="2" t="n">
        <x:v>1</x:v>
      </x:c>
      <x:c r="G38" s="2" t="n">
        <x:v>1</x:v>
      </x:c>
      <x:c r="H38" s="2" t="n">
        <x:f>COUNTIFS('Inventory'!$N$7:$N$783,A38,'Inventory'!$A$7:$A$783,1)</x:f>
        <x:v>1</x:v>
      </x:c>
      <x:c r="I38" s="2" t="n">
        <x:f>SUMIFS('Inventory'!$G$7:$G$783,'Inventory'!$N$7:$N$783,A38,'Inventory'!$A$7:$A$783,1)</x:f>
        <x:v>1</x:v>
      </x:c>
      <x:c r="J38" s="12" t="str">
        <x:v>Listed budget</x:v>
      </x:c>
      <x:c r="K38" s="17" t="n">
        <x:v>15000</x:v>
      </x:c>
      <x:c r="L38" s="17"/>
      <x:c r="M38" s="17"/>
      <x:c r="N38" s="19"/>
      <x:c r="O38" s="17" t="str">
        <x:f>IF(ISNUMBER(L38),G38*L38,IF(ISNUMBER(M38),M38,""))</x:f>
      </x:c>
      <x:c r="P38" s="17" t="n">
        <x:f>IF(ISNUMBER(K38),K38,IF(ISNUMBER(O38),O38,""))</x:f>
        <x:v>15000</x:v>
      </x:c>
      <x:c r="Q38" s="17" t="n">
        <x:f>IF(H38=0,0,IF(ISNUMBER(N38),N38,IF(N38="",IF(H38=F38,P38,""),"")))</x:f>
        <x:v>15000</x:v>
      </x:c>
      <x:c r="R38" s="17" t="n">
        <x:f>IF(ISNUMBER(Q38),ROUND(Q38*$C$4,2),"")</x:f>
        <x:v>2700</x:v>
      </x:c>
      <x:c r="S38" s="17" t="n">
        <x:f>IF(ISNUMBER(Q38),Q38+R38,"")</x:f>
        <x:v>17700</x:v>
      </x:c>
      <x:c r="T38" s="2" t="str">
        <x:f>IF(H38=0,"Not selected",IF(ISNUMBER(N38),"Quote entered",IF(N38&lt;&gt;"","Enter numeric quote",IF(H38=F38,IF(ISNUMBER(P38),"Complete unit","Price required"),"Partial package: price required"))))</x:f>
        <x:v>Complete unit</x:v>
      </x:c>
      <x:c r="U38" s="2" t="str"/>
      <x:c r="V38" s="2" t="str">
        <x:v>Unclassified</x:v>
      </x:c>
      <x:c r="W38" s="2" t="str">
        <x:v>Mixed business audience</x:v>
      </x:c>
      <x:c r="X38" s="17" t="n">
        <x:f>IF(AND(H38=F38,NOT(ISNUMBER(N38)),N38="",ISNUMBER(K38)),K38,0)</x:f>
        <x:v>15000</x:v>
      </x:c>
      <x:c r="Y38" s="17" t="n">
        <x:f>IF(AND(H38=F38,NOT(ISNUMBER(N38)),N38="",K38="",ISNUMBER(O38)),O38,0)</x:f>
        <x:v>0</x:v>
      </x:c>
      <x:c r="Z38" s="17" t="n">
        <x:f>IF(AND(H38&gt;0,ISNUMBER(N38)),N38,0)</x:f>
        <x:v>0</x:v>
      </x:c>
      <x:c r="AA38" s="2" t="n">
        <x:f>IF(AND(H38&gt;0,N38="",NOT(ISNUMBER(Q38))),1,0)</x:f>
        <x:v>0</x:v>
      </x:c>
      <x:c r="AB38" s="2" t="n">
        <x:f>IF(AND(H38&gt;0,N38&lt;&gt;"",NOT(ISNUMBER(N38))),1,0)</x:f>
        <x:v>0</x:v>
      </x:c>
    </x:row>
    <x:row r="39" ht="48" customHeight="1">
      <x:c r="A39" s="2" t="str">
        <x:v>MAIN-035</x:v>
      </x:c>
      <x:c r="B39" s="2" t="str">
        <x:v>Main</x:v>
      </x:c>
      <x:c r="C39" s="2" t="str">
        <x:v>Bengaluru</x:v>
      </x:c>
      <x:c r="D39" s="12" t="str">
        <x:v>Bridge - Work 365 Space</x:v>
      </x:c>
      <x:c r="E39" s="12" t="str">
        <x:v>32 inch LED TV</x:v>
      </x:c>
      <x:c r="F39" s="2" t="n">
        <x:v>1</x:v>
      </x:c>
      <x:c r="G39" s="2" t="n">
        <x:v>1</x:v>
      </x:c>
      <x:c r="H39" s="2" t="n">
        <x:f>COUNTIFS('Inventory'!$N$7:$N$783,A39,'Inventory'!$A$7:$A$783,1)</x:f>
        <x:v>1</x:v>
      </x:c>
      <x:c r="I39" s="2" t="n">
        <x:f>SUMIFS('Inventory'!$G$7:$G$783,'Inventory'!$N$7:$N$783,A39,'Inventory'!$A$7:$A$783,1)</x:f>
        <x:v>1</x:v>
      </x:c>
      <x:c r="J39" s="12" t="str">
        <x:v>Listed budget</x:v>
      </x:c>
      <x:c r="K39" s="17" t="n">
        <x:v>15000</x:v>
      </x:c>
      <x:c r="L39" s="17"/>
      <x:c r="M39" s="17"/>
      <x:c r="N39" s="19"/>
      <x:c r="O39" s="17" t="str">
        <x:f>IF(ISNUMBER(L39),G39*L39,IF(ISNUMBER(M39),M39,""))</x:f>
      </x:c>
      <x:c r="P39" s="17" t="n">
        <x:f>IF(ISNUMBER(K39),K39,IF(ISNUMBER(O39),O39,""))</x:f>
        <x:v>15000</x:v>
      </x:c>
      <x:c r="Q39" s="17" t="n">
        <x:f>IF(H39=0,0,IF(ISNUMBER(N39),N39,IF(N39="",IF(H39=F39,P39,""),"")))</x:f>
        <x:v>15000</x:v>
      </x:c>
      <x:c r="R39" s="17" t="n">
        <x:f>IF(ISNUMBER(Q39),ROUND(Q39*$C$4,2),"")</x:f>
        <x:v>2700</x:v>
      </x:c>
      <x:c r="S39" s="17" t="n">
        <x:f>IF(ISNUMBER(Q39),Q39+R39,"")</x:f>
        <x:v>17700</x:v>
      </x:c>
      <x:c r="T39" s="2" t="str">
        <x:f>IF(H39=0,"Not selected",IF(ISNUMBER(N39),"Quote entered",IF(N39&lt;&gt;"","Enter numeric quote",IF(H39=F39,IF(ISNUMBER(P39),"Complete unit","Price required"),"Partial package: price required"))))</x:f>
        <x:v>Complete unit</x:v>
      </x:c>
      <x:c r="U39" s="2" t="str">
        <x:v>TEN-3A4504E28AA9; TEN-4D017C35F549; TEN-65F6D553633D; TEN-AB266C5DBB39; TEN-CF788C68A5A1; TEN-F750F88F10BD</x:v>
      </x:c>
      <x:c r="V39" s="2" t="str">
        <x:v>Education; Unresolved</x:v>
      </x:c>
      <x:c r="W39" s="2" t="str">
        <x:v>Small-scale prospects; Mixed business audience</x:v>
      </x:c>
      <x:c r="X39" s="17" t="n">
        <x:f>IF(AND(H39=F39,NOT(ISNUMBER(N39)),N39="",ISNUMBER(K39)),K39,0)</x:f>
        <x:v>15000</x:v>
      </x:c>
      <x:c r="Y39" s="17" t="n">
        <x:f>IF(AND(H39=F39,NOT(ISNUMBER(N39)),N39="",K39="",ISNUMBER(O39)),O39,0)</x:f>
        <x:v>0</x:v>
      </x:c>
      <x:c r="Z39" s="17" t="n">
        <x:f>IF(AND(H39&gt;0,ISNUMBER(N39)),N39,0)</x:f>
        <x:v>0</x:v>
      </x:c>
      <x:c r="AA39" s="2" t="n">
        <x:f>IF(AND(H39&gt;0,N39="",NOT(ISNUMBER(Q39))),1,0)</x:f>
        <x:v>0</x:v>
      </x:c>
      <x:c r="AB39" s="2" t="n">
        <x:f>IF(AND(H39&gt;0,N39&lt;&gt;"",NOT(ISNUMBER(N39))),1,0)</x:f>
        <x:v>0</x:v>
      </x:c>
    </x:row>
    <x:row r="40" ht="48" customHeight="1">
      <x:c r="A40" s="2" t="str">
        <x:v>MAIN-036</x:v>
      </x:c>
      <x:c r="B40" s="2" t="str">
        <x:v>Main</x:v>
      </x:c>
      <x:c r="C40" s="2" t="str">
        <x:v>Bengaluru</x:v>
      </x:c>
      <x:c r="D40" s="12" t="str">
        <x:v>Brookfield - Azure</x:v>
      </x:c>
      <x:c r="E40" s="12" t="str">
        <x:v>55 inch LED TV</x:v>
      </x:c>
      <x:c r="F40" s="2" t="n">
        <x:v>1</x:v>
      </x:c>
      <x:c r="G40" s="2" t="n">
        <x:v>2</x:v>
      </x:c>
      <x:c r="H40" s="2" t="n">
        <x:f>COUNTIFS('Inventory'!$N$7:$N$783,A40,'Inventory'!$A$7:$A$783,1)</x:f>
        <x:v>1</x:v>
      </x:c>
      <x:c r="I40" s="2" t="n">
        <x:f>SUMIFS('Inventory'!$G$7:$G$783,'Inventory'!$N$7:$N$783,A40,'Inventory'!$A$7:$A$783,1)</x:f>
        <x:v>2</x:v>
      </x:c>
      <x:c r="J40" s="12" t="str">
        <x:v>Campaign format rate</x:v>
      </x:c>
      <x:c r="K40" s="17"/>
      <x:c r="L40" s="17" t="n">
        <x:f>$I$5</x:f>
        <x:v>40000</x:v>
      </x:c>
      <x:c r="M40" s="17"/>
      <x:c r="N40" s="19"/>
      <x:c r="O40" s="17" t="n">
        <x:f>IF(ISNUMBER(L40),G40*L40,IF(ISNUMBER(M40),M40,""))</x:f>
        <x:v>80000</x:v>
      </x:c>
      <x:c r="P40" s="17" t="n">
        <x:f>IF(ISNUMBER(K40),K40,IF(ISNUMBER(O40),O40,""))</x:f>
        <x:v>80000</x:v>
      </x:c>
      <x:c r="Q40" s="17" t="n">
        <x:f>IF(H40=0,0,IF(ISNUMBER(N40),N40,IF(N40="",IF(H40=F40,P40,""),"")))</x:f>
        <x:v>80000</x:v>
      </x:c>
      <x:c r="R40" s="17" t="n">
        <x:f>IF(ISNUMBER(Q40),ROUND(Q40*$C$4,2),"")</x:f>
        <x:v>14400</x:v>
      </x:c>
      <x:c r="S40" s="17" t="n">
        <x:f>IF(ISNUMBER(Q40),Q40+R40,"")</x:f>
        <x:v>94400</x:v>
      </x:c>
      <x:c r="T40" s="2" t="str">
        <x:f>IF(H40=0,"Not selected",IF(ISNUMBER(N40),"Quote entered",IF(N40&lt;&gt;"","Enter numeric quote",IF(H40=F40,IF(ISNUMBER(P40),"Complete unit","Price required"),"Partial package: price required"))))</x:f>
        <x:v>Complete unit</x:v>
      </x:c>
      <x:c r="U40" s="2" t="str"/>
      <x:c r="V40" s="2" t="str">
        <x:v>Unclassified</x:v>
      </x:c>
      <x:c r="W40" s="2" t="str">
        <x:v>Mixed business audience</x:v>
      </x:c>
      <x:c r="X40" s="17" t="n">
        <x:f>IF(AND(H40=F40,NOT(ISNUMBER(N40)),N40="",ISNUMBER(K40)),K40,0)</x:f>
        <x:v>0</x:v>
      </x:c>
      <x:c r="Y40" s="17" t="n">
        <x:f>IF(AND(H40=F40,NOT(ISNUMBER(N40)),N40="",K40="",ISNUMBER(O40)),O40,0)</x:f>
        <x:v>80000</x:v>
      </x:c>
      <x:c r="Z40" s="17" t="n">
        <x:f>IF(AND(H40&gt;0,ISNUMBER(N40)),N40,0)</x:f>
        <x:v>0</x:v>
      </x:c>
      <x:c r="AA40" s="2" t="n">
        <x:f>IF(AND(H40&gt;0,N40="",NOT(ISNUMBER(Q40))),1,0)</x:f>
        <x:v>0</x:v>
      </x:c>
      <x:c r="AB40" s="2" t="n">
        <x:f>IF(AND(H40&gt;0,N40&lt;&gt;"",NOT(ISNUMBER(N40))),1,0)</x:f>
        <x:v>0</x:v>
      </x:c>
    </x:row>
    <x:row r="41" ht="48" customHeight="1">
      <x:c r="A41" s="2" t="str">
        <x:v>MAIN-037</x:v>
      </x:c>
      <x:c r="B41" s="2" t="str">
        <x:v>Main</x:v>
      </x:c>
      <x:c r="C41" s="2" t="str">
        <x:v>Bengaluru</x:v>
      </x:c>
      <x:c r="D41" s="12" t="str">
        <x:v>Brookfield - Centennial</x:v>
      </x:c>
      <x:c r="E41" s="12" t="str">
        <x:v>55 inch LED TV</x:v>
      </x:c>
      <x:c r="F41" s="2" t="n">
        <x:v>1</x:v>
      </x:c>
      <x:c r="G41" s="2" t="n">
        <x:v>2</x:v>
      </x:c>
      <x:c r="H41" s="2" t="n">
        <x:f>COUNTIFS('Inventory'!$N$7:$N$783,A41,'Inventory'!$A$7:$A$783,1)</x:f>
        <x:v>1</x:v>
      </x:c>
      <x:c r="I41" s="2" t="n">
        <x:f>SUMIFS('Inventory'!$G$7:$G$783,'Inventory'!$N$7:$N$783,A41,'Inventory'!$A$7:$A$783,1)</x:f>
        <x:v>2</x:v>
      </x:c>
      <x:c r="J41" s="12" t="str">
        <x:v>Campaign format rate</x:v>
      </x:c>
      <x:c r="K41" s="17"/>
      <x:c r="L41" s="17" t="n">
        <x:f>$I$5</x:f>
        <x:v>40000</x:v>
      </x:c>
      <x:c r="M41" s="17"/>
      <x:c r="N41" s="19"/>
      <x:c r="O41" s="17" t="n">
        <x:f>IF(ISNUMBER(L41),G41*L41,IF(ISNUMBER(M41),M41,""))</x:f>
        <x:v>80000</x:v>
      </x:c>
      <x:c r="P41" s="17" t="n">
        <x:f>IF(ISNUMBER(K41),K41,IF(ISNUMBER(O41),O41,""))</x:f>
        <x:v>80000</x:v>
      </x:c>
      <x:c r="Q41" s="17" t="n">
        <x:f>IF(H41=0,0,IF(ISNUMBER(N41),N41,IF(N41="",IF(H41=F41,P41,""),"")))</x:f>
        <x:v>80000</x:v>
      </x:c>
      <x:c r="R41" s="17" t="n">
        <x:f>IF(ISNUMBER(Q41),ROUND(Q41*$C$4,2),"")</x:f>
        <x:v>14400</x:v>
      </x:c>
      <x:c r="S41" s="17" t="n">
        <x:f>IF(ISNUMBER(Q41),Q41+R41,"")</x:f>
        <x:v>94400</x:v>
      </x:c>
      <x:c r="T41" s="2" t="str">
        <x:f>IF(H41=0,"Not selected",IF(ISNUMBER(N41),"Quote entered",IF(N41&lt;&gt;"","Enter numeric quote",IF(H41=F41,IF(ISNUMBER(P41),"Complete unit","Price required"),"Partial package: price required"))))</x:f>
        <x:v>Complete unit</x:v>
      </x:c>
      <x:c r="U41" s="2" t="str">
        <x:v>TEN-482FDA90611F; TEN-A3B1C08CAD5D; TEN-A59639D4A5A6; TEN-D18D18F1C7DA</x:v>
      </x:c>
      <x:c r="V41" s="2" t="str">
        <x:v>IT &amp; digital</x:v>
      </x:c>
      <x:c r="W41" s="2" t="str">
        <x:v>Large enterprise</x:v>
      </x:c>
      <x:c r="X41" s="17" t="n">
        <x:f>IF(AND(H41=F41,NOT(ISNUMBER(N41)),N41="",ISNUMBER(K41)),K41,0)</x:f>
        <x:v>0</x:v>
      </x:c>
      <x:c r="Y41" s="17" t="n">
        <x:f>IF(AND(H41=F41,NOT(ISNUMBER(N41)),N41="",K41="",ISNUMBER(O41)),O41,0)</x:f>
        <x:v>80000</x:v>
      </x:c>
      <x:c r="Z41" s="17" t="n">
        <x:f>IF(AND(H41&gt;0,ISNUMBER(N41)),N41,0)</x:f>
        <x:v>0</x:v>
      </x:c>
      <x:c r="AA41" s="2" t="n">
        <x:f>IF(AND(H41&gt;0,N41="",NOT(ISNUMBER(Q41))),1,0)</x:f>
        <x:v>0</x:v>
      </x:c>
      <x:c r="AB41" s="2" t="n">
        <x:f>IF(AND(H41&gt;0,N41&lt;&gt;"",NOT(ISNUMBER(N41))),1,0)</x:f>
        <x:v>0</x:v>
      </x:c>
    </x:row>
    <x:row r="42" ht="48" customHeight="1">
      <x:c r="A42" s="2" t="str">
        <x:v>MAIN-038</x:v>
      </x:c>
      <x:c r="B42" s="2" t="str">
        <x:v>Main</x:v>
      </x:c>
      <x:c r="C42" s="2" t="str">
        <x:v>Bengaluru</x:v>
      </x:c>
      <x:c r="D42" s="12" t="str">
        <x:v>Brookfield - Ecospace</x:v>
      </x:c>
      <x:c r="E42" s="12" t="str">
        <x:v>55 inch LED TV</x:v>
      </x:c>
      <x:c r="F42" s="2" t="n">
        <x:v>1</x:v>
      </x:c>
      <x:c r="G42" s="2" t="n">
        <x:v>4</x:v>
      </x:c>
      <x:c r="H42" s="2" t="n">
        <x:f>COUNTIFS('Inventory'!$N$7:$N$783,A42,'Inventory'!$A$7:$A$783,1)</x:f>
        <x:v>1</x:v>
      </x:c>
      <x:c r="I42" s="2" t="n">
        <x:f>SUMIFS('Inventory'!$G$7:$G$783,'Inventory'!$N$7:$N$783,A42,'Inventory'!$A$7:$A$783,1)</x:f>
        <x:v>4</x:v>
      </x:c>
      <x:c r="J42" s="12" t="str">
        <x:v>Campaign format rate</x:v>
      </x:c>
      <x:c r="K42" s="17"/>
      <x:c r="L42" s="17" t="n">
        <x:f>$I$5</x:f>
        <x:v>40000</x:v>
      </x:c>
      <x:c r="M42" s="17"/>
      <x:c r="N42" s="19"/>
      <x:c r="O42" s="17" t="n">
        <x:f>IF(ISNUMBER(L42),G42*L42,IF(ISNUMBER(M42),M42,""))</x:f>
        <x:v>160000</x:v>
      </x:c>
      <x:c r="P42" s="17" t="n">
        <x:f>IF(ISNUMBER(K42),K42,IF(ISNUMBER(O42),O42,""))</x:f>
        <x:v>160000</x:v>
      </x:c>
      <x:c r="Q42" s="17" t="n">
        <x:f>IF(H42=0,0,IF(ISNUMBER(N42),N42,IF(N42="",IF(H42=F42,P42,""),"")))</x:f>
        <x:v>160000</x:v>
      </x:c>
      <x:c r="R42" s="17" t="n">
        <x:f>IF(ISNUMBER(Q42),ROUND(Q42*$C$4,2),"")</x:f>
        <x:v>28800</x:v>
      </x:c>
      <x:c r="S42" s="17" t="n">
        <x:f>IF(ISNUMBER(Q42),Q42+R42,"")</x:f>
        <x:v>188800</x:v>
      </x:c>
      <x:c r="T42" s="2" t="str">
        <x:f>IF(H42=0,"Not selected",IF(ISNUMBER(N42),"Quote entered",IF(N42&lt;&gt;"","Enter numeric quote",IF(H42=F42,IF(ISNUMBER(P42),"Complete unit","Price required"),"Partial package: price required"))))</x:f>
        <x:v>Complete unit</x:v>
      </x:c>
      <x:c r="U42" s="2" t="str"/>
      <x:c r="V42" s="2" t="str">
        <x:v>Unclassified</x:v>
      </x:c>
      <x:c r="W42" s="2" t="str">
        <x:v>Mixed business audience</x:v>
      </x:c>
      <x:c r="X42" s="17" t="n">
        <x:f>IF(AND(H42=F42,NOT(ISNUMBER(N42)),N42="",ISNUMBER(K42)),K42,0)</x:f>
        <x:v>0</x:v>
      </x:c>
      <x:c r="Y42" s="17" t="n">
        <x:f>IF(AND(H42=F42,NOT(ISNUMBER(N42)),N42="",K42="",ISNUMBER(O42)),O42,0)</x:f>
        <x:v>160000</x:v>
      </x:c>
      <x:c r="Z42" s="17" t="n">
        <x:f>IF(AND(H42&gt;0,ISNUMBER(N42)),N42,0)</x:f>
        <x:v>0</x:v>
      </x:c>
      <x:c r="AA42" s="2" t="n">
        <x:f>IF(AND(H42&gt;0,N42="",NOT(ISNUMBER(Q42))),1,0)</x:f>
        <x:v>0</x:v>
      </x:c>
      <x:c r="AB42" s="2" t="n">
        <x:f>IF(AND(H42&gt;0,N42&lt;&gt;"",NOT(ISNUMBER(N42))),1,0)</x:f>
        <x:v>0</x:v>
      </x:c>
    </x:row>
    <x:row r="43" ht="48" customHeight="1">
      <x:c r="A43" s="2" t="str">
        <x:v>MAIN-039</x:v>
      </x:c>
      <x:c r="B43" s="2" t="str">
        <x:v>Main</x:v>
      </x:c>
      <x:c r="C43" s="2" t="str">
        <x:v>Bengaluru</x:v>
      </x:c>
      <x:c r="D43" s="12" t="str">
        <x:v>Brookfield - EcoWorld</x:v>
      </x:c>
      <x:c r="E43" s="12" t="str">
        <x:v>55 inch LED TV</x:v>
      </x:c>
      <x:c r="F43" s="2" t="n">
        <x:v>1</x:v>
      </x:c>
      <x:c r="G43" s="2" t="n">
        <x:v>16</x:v>
      </x:c>
      <x:c r="H43" s="2" t="n">
        <x:f>COUNTIFS('Inventory'!$N$7:$N$783,A43,'Inventory'!$A$7:$A$783,1)</x:f>
        <x:v>1</x:v>
      </x:c>
      <x:c r="I43" s="2" t="n">
        <x:f>SUMIFS('Inventory'!$G$7:$G$783,'Inventory'!$N$7:$N$783,A43,'Inventory'!$A$7:$A$783,1)</x:f>
        <x:v>16</x:v>
      </x:c>
      <x:c r="J43" s="12" t="str">
        <x:v>Campaign format rate</x:v>
      </x:c>
      <x:c r="K43" s="17"/>
      <x:c r="L43" s="17" t="n">
        <x:f>$I$5</x:f>
        <x:v>40000</x:v>
      </x:c>
      <x:c r="M43" s="17"/>
      <x:c r="N43" s="19"/>
      <x:c r="O43" s="17" t="n">
        <x:f>IF(ISNUMBER(L43),G43*L43,IF(ISNUMBER(M43),M43,""))</x:f>
        <x:v>640000</x:v>
      </x:c>
      <x:c r="P43" s="17" t="n">
        <x:f>IF(ISNUMBER(K43),K43,IF(ISNUMBER(O43),O43,""))</x:f>
        <x:v>640000</x:v>
      </x:c>
      <x:c r="Q43" s="17" t="n">
        <x:f>IF(H43=0,0,IF(ISNUMBER(N43),N43,IF(N43="",IF(H43=F43,P43,""),"")))</x:f>
        <x:v>640000</x:v>
      </x:c>
      <x:c r="R43" s="17" t="n">
        <x:f>IF(ISNUMBER(Q43),ROUND(Q43*$C$4,2),"")</x:f>
        <x:v>115200</x:v>
      </x:c>
      <x:c r="S43" s="17" t="n">
        <x:f>IF(ISNUMBER(Q43),Q43+R43,"")</x:f>
        <x:v>755200</x:v>
      </x:c>
      <x:c r="T43" s="2" t="str">
        <x:f>IF(H43=0,"Not selected",IF(ISNUMBER(N43),"Quote entered",IF(N43&lt;&gt;"","Enter numeric quote",IF(H43=F43,IF(ISNUMBER(P43),"Complete unit","Price required"),"Partial package: price required"))))</x:f>
        <x:v>Complete unit</x:v>
      </x:c>
      <x:c r="U43" s="2" t="str">
        <x:v>TEN-6228A5824A1E; TEN-CB8F9497136D; TEN-E1F3AEFC4A1F; TEN-E2FECF32E1CD</x:v>
      </x:c>
      <x:c r="V43" s="2" t="str">
        <x:v>IT &amp; digital; Finance &amp; insurance; Engineering &amp; manufacturing; Workspace &amp; property operations</x:v>
      </x:c>
      <x:c r="W43" s="2" t="str">
        <x:v>Large enterprise; Mixed business audience</x:v>
      </x:c>
      <x:c r="X43" s="17" t="n">
        <x:f>IF(AND(H43=F43,NOT(ISNUMBER(N43)),N43="",ISNUMBER(K43)),K43,0)</x:f>
        <x:v>0</x:v>
      </x:c>
      <x:c r="Y43" s="17" t="n">
        <x:f>IF(AND(H43=F43,NOT(ISNUMBER(N43)),N43="",K43="",ISNUMBER(O43)),O43,0)</x:f>
        <x:v>640000</x:v>
      </x:c>
      <x:c r="Z43" s="17" t="n">
        <x:f>IF(AND(H43&gt;0,ISNUMBER(N43)),N43,0)</x:f>
        <x:v>0</x:v>
      </x:c>
      <x:c r="AA43" s="2" t="n">
        <x:f>IF(AND(H43&gt;0,N43="",NOT(ISNUMBER(Q43))),1,0)</x:f>
        <x:v>0</x:v>
      </x:c>
      <x:c r="AB43" s="2" t="n">
        <x:f>IF(AND(H43&gt;0,N43&lt;&gt;"",NOT(ISNUMBER(N43))),1,0)</x:f>
        <x:v>0</x:v>
      </x:c>
    </x:row>
    <x:row r="44" ht="48" customHeight="1">
      <x:c r="A44" s="2" t="str">
        <x:v>MAIN-040</x:v>
      </x:c>
      <x:c r="B44" s="2" t="str">
        <x:v>Main</x:v>
      </x:c>
      <x:c r="C44" s="2" t="str">
        <x:v>Bengaluru</x:v>
      </x:c>
      <x:c r="D44" s="12" t="str">
        <x:v>Brookfield - North Star</x:v>
      </x:c>
      <x:c r="E44" s="12" t="str">
        <x:v>55 inch LED TV</x:v>
      </x:c>
      <x:c r="F44" s="2" t="n">
        <x:v>1</x:v>
      </x:c>
      <x:c r="G44" s="2" t="n">
        <x:v>2</x:v>
      </x:c>
      <x:c r="H44" s="2" t="n">
        <x:f>COUNTIFS('Inventory'!$N$7:$N$783,A44,'Inventory'!$A$7:$A$783,1)</x:f>
        <x:v>1</x:v>
      </x:c>
      <x:c r="I44" s="2" t="n">
        <x:f>SUMIFS('Inventory'!$G$7:$G$783,'Inventory'!$N$7:$N$783,A44,'Inventory'!$A$7:$A$783,1)</x:f>
        <x:v>2</x:v>
      </x:c>
      <x:c r="J44" s="12" t="str">
        <x:v>Campaign format rate</x:v>
      </x:c>
      <x:c r="K44" s="17"/>
      <x:c r="L44" s="17" t="n">
        <x:f>$I$5</x:f>
        <x:v>40000</x:v>
      </x:c>
      <x:c r="M44" s="17"/>
      <x:c r="N44" s="19"/>
      <x:c r="O44" s="17" t="n">
        <x:f>IF(ISNUMBER(L44),G44*L44,IF(ISNUMBER(M44),M44,""))</x:f>
        <x:v>80000</x:v>
      </x:c>
      <x:c r="P44" s="17" t="n">
        <x:f>IF(ISNUMBER(K44),K44,IF(ISNUMBER(O44),O44,""))</x:f>
        <x:v>80000</x:v>
      </x:c>
      <x:c r="Q44" s="17" t="n">
        <x:f>IF(H44=0,0,IF(ISNUMBER(N44),N44,IF(N44="",IF(H44=F44,P44,""),"")))</x:f>
        <x:v>80000</x:v>
      </x:c>
      <x:c r="R44" s="17" t="n">
        <x:f>IF(ISNUMBER(Q44),ROUND(Q44*$C$4,2),"")</x:f>
        <x:v>14400</x:v>
      </x:c>
      <x:c r="S44" s="17" t="n">
        <x:f>IF(ISNUMBER(Q44),Q44+R44,"")</x:f>
        <x:v>94400</x:v>
      </x:c>
      <x:c r="T44" s="2" t="str">
        <x:f>IF(H44=0,"Not selected",IF(ISNUMBER(N44),"Quote entered",IF(N44&lt;&gt;"","Enter numeric quote",IF(H44=F44,IF(ISNUMBER(P44),"Complete unit","Price required"),"Partial package: price required"))))</x:f>
        <x:v>Complete unit</x:v>
      </x:c>
      <x:c r="U44" s="2" t="str"/>
      <x:c r="V44" s="2" t="str">
        <x:v>Unclassified</x:v>
      </x:c>
      <x:c r="W44" s="2" t="str">
        <x:v>Mixed business audience</x:v>
      </x:c>
      <x:c r="X44" s="17" t="n">
        <x:f>IF(AND(H44=F44,NOT(ISNUMBER(N44)),N44="",ISNUMBER(K44)),K44,0)</x:f>
        <x:v>0</x:v>
      </x:c>
      <x:c r="Y44" s="17" t="n">
        <x:f>IF(AND(H44=F44,NOT(ISNUMBER(N44)),N44="",K44="",ISNUMBER(O44)),O44,0)</x:f>
        <x:v>80000</x:v>
      </x:c>
      <x:c r="Z44" s="17" t="n">
        <x:f>IF(AND(H44&gt;0,ISNUMBER(N44)),N44,0)</x:f>
        <x:v>0</x:v>
      </x:c>
      <x:c r="AA44" s="2" t="n">
        <x:f>IF(AND(H44&gt;0,N44="",NOT(ISNUMBER(Q44))),1,0)</x:f>
        <x:v>0</x:v>
      </x:c>
      <x:c r="AB44" s="2" t="n">
        <x:f>IF(AND(H44&gt;0,N44&lt;&gt;"",NOT(ISNUMBER(N44))),1,0)</x:f>
        <x:v>0</x:v>
      </x:c>
    </x:row>
    <x:row r="45" ht="48" customHeight="1">
      <x:c r="A45" s="2" t="str">
        <x:v>MAIN-041</x:v>
      </x:c>
      <x:c r="B45" s="2" t="str">
        <x:v>Main</x:v>
      </x:c>
      <x:c r="C45" s="2" t="str">
        <x:v>Bengaluru</x:v>
      </x:c>
      <x:c r="D45" s="12" t="str">
        <x:v>Brookfield - NXT</x:v>
      </x:c>
      <x:c r="E45" s="12" t="str">
        <x:v>55 inch LED TV</x:v>
      </x:c>
      <x:c r="F45" s="2" t="n">
        <x:v>1</x:v>
      </x:c>
      <x:c r="G45" s="2" t="n">
        <x:v>4</x:v>
      </x:c>
      <x:c r="H45" s="2" t="n">
        <x:f>COUNTIFS('Inventory'!$N$7:$N$783,A45,'Inventory'!$A$7:$A$783,1)</x:f>
        <x:v>1</x:v>
      </x:c>
      <x:c r="I45" s="2" t="n">
        <x:f>SUMIFS('Inventory'!$G$7:$G$783,'Inventory'!$N$7:$N$783,A45,'Inventory'!$A$7:$A$783,1)</x:f>
        <x:v>4</x:v>
      </x:c>
      <x:c r="J45" s="12" t="str">
        <x:v>Campaign format rate</x:v>
      </x:c>
      <x:c r="K45" s="17"/>
      <x:c r="L45" s="17" t="n">
        <x:f>$I$5</x:f>
        <x:v>40000</x:v>
      </x:c>
      <x:c r="M45" s="17"/>
      <x:c r="N45" s="19"/>
      <x:c r="O45" s="17" t="n">
        <x:f>IF(ISNUMBER(L45),G45*L45,IF(ISNUMBER(M45),M45,""))</x:f>
        <x:v>160000</x:v>
      </x:c>
      <x:c r="P45" s="17" t="n">
        <x:f>IF(ISNUMBER(K45),K45,IF(ISNUMBER(O45),O45,""))</x:f>
        <x:v>160000</x:v>
      </x:c>
      <x:c r="Q45" s="17" t="n">
        <x:f>IF(H45=0,0,IF(ISNUMBER(N45),N45,IF(N45="",IF(H45=F45,P45,""),"")))</x:f>
        <x:v>160000</x:v>
      </x:c>
      <x:c r="R45" s="17" t="n">
        <x:f>IF(ISNUMBER(Q45),ROUND(Q45*$C$4,2),"")</x:f>
        <x:v>28800</x:v>
      </x:c>
      <x:c r="S45" s="17" t="n">
        <x:f>IF(ISNUMBER(Q45),Q45+R45,"")</x:f>
        <x:v>188800</x:v>
      </x:c>
      <x:c r="T45" s="2" t="str">
        <x:f>IF(H45=0,"Not selected",IF(ISNUMBER(N45),"Quote entered",IF(N45&lt;&gt;"","Enter numeric quote",IF(H45=F45,IF(ISNUMBER(P45),"Complete unit","Price required"),"Partial package: price required"))))</x:f>
        <x:v>Complete unit</x:v>
      </x:c>
      <x:c r="U45" s="2" t="str"/>
      <x:c r="V45" s="2" t="str">
        <x:v>Unclassified</x:v>
      </x:c>
      <x:c r="W45" s="2" t="str">
        <x:v>Mixed business audience</x:v>
      </x:c>
      <x:c r="X45" s="17" t="n">
        <x:f>IF(AND(H45=F45,NOT(ISNUMBER(N45)),N45="",ISNUMBER(K45)),K45,0)</x:f>
        <x:v>0</x:v>
      </x:c>
      <x:c r="Y45" s="17" t="n">
        <x:f>IF(AND(H45=F45,NOT(ISNUMBER(N45)),N45="",K45="",ISNUMBER(O45)),O45,0)</x:f>
        <x:v>160000</x:v>
      </x:c>
      <x:c r="Z45" s="17" t="n">
        <x:f>IF(AND(H45&gt;0,ISNUMBER(N45)),N45,0)</x:f>
        <x:v>0</x:v>
      </x:c>
      <x:c r="AA45" s="2" t="n">
        <x:f>IF(AND(H45&gt;0,N45="",NOT(ISNUMBER(Q45))),1,0)</x:f>
        <x:v>0</x:v>
      </x:c>
      <x:c r="AB45" s="2" t="n">
        <x:f>IF(AND(H45&gt;0,N45&lt;&gt;"",NOT(ISNUMBER(N45))),1,0)</x:f>
        <x:v>0</x:v>
      </x:c>
    </x:row>
    <x:row r="46" ht="48" customHeight="1">
      <x:c r="A46" s="2" t="str">
        <x:v>MAIN-043</x:v>
      </x:c>
      <x:c r="B46" s="2" t="str">
        <x:v>Main</x:v>
      </x:c>
      <x:c r="C46" s="2" t="str">
        <x:v>Bengaluru</x:v>
      </x:c>
      <x:c r="D46" s="12" t="str">
        <x:v>Coffee Day Square(TST)</x:v>
      </x:c>
      <x:c r="E46" s="12" t="str">
        <x:v>55 inch LED TV</x:v>
      </x:c>
      <x:c r="F46" s="2" t="n">
        <x:v>1</x:v>
      </x:c>
      <x:c r="G46" s="2" t="n">
        <x:v>4</x:v>
      </x:c>
      <x:c r="H46" s="2" t="n">
        <x:f>COUNTIFS('Inventory'!$N$7:$N$783,A46,'Inventory'!$A$7:$A$783,1)</x:f>
        <x:v>1</x:v>
      </x:c>
      <x:c r="I46" s="2" t="n">
        <x:f>SUMIFS('Inventory'!$G$7:$G$783,'Inventory'!$N$7:$N$783,A46,'Inventory'!$A$7:$A$783,1)</x:f>
        <x:v>4</x:v>
      </x:c>
      <x:c r="J46" s="12" t="str">
        <x:v>Campaign format rate</x:v>
      </x:c>
      <x:c r="K46" s="17"/>
      <x:c r="L46" s="17" t="n">
        <x:f>$I$5</x:f>
        <x:v>40000</x:v>
      </x:c>
      <x:c r="M46" s="17"/>
      <x:c r="N46" s="19"/>
      <x:c r="O46" s="17" t="n">
        <x:f>IF(ISNUMBER(L46),G46*L46,IF(ISNUMBER(M46),M46,""))</x:f>
        <x:v>160000</x:v>
      </x:c>
      <x:c r="P46" s="17" t="n">
        <x:f>IF(ISNUMBER(K46),K46,IF(ISNUMBER(O46),O46,""))</x:f>
        <x:v>160000</x:v>
      </x:c>
      <x:c r="Q46" s="17" t="n">
        <x:f>IF(H46=0,0,IF(ISNUMBER(N46),N46,IF(N46="",IF(H46=F46,P46,""),"")))</x:f>
        <x:v>160000</x:v>
      </x:c>
      <x:c r="R46" s="17" t="n">
        <x:f>IF(ISNUMBER(Q46),ROUND(Q46*$C$4,2),"")</x:f>
        <x:v>28800</x:v>
      </x:c>
      <x:c r="S46" s="17" t="n">
        <x:f>IF(ISNUMBER(Q46),Q46+R46,"")</x:f>
        <x:v>188800</x:v>
      </x:c>
      <x:c r="T46" s="2" t="str">
        <x:f>IF(H46=0,"Not selected",IF(ISNUMBER(N46),"Quote entered",IF(N46&lt;&gt;"","Enter numeric quote",IF(H46=F46,IF(ISNUMBER(P46),"Complete unit","Price required"),"Partial package: price required"))))</x:f>
        <x:v>Complete unit</x:v>
      </x:c>
      <x:c r="U46" s="2" t="str"/>
      <x:c r="V46" s="2" t="str">
        <x:v>Unclassified</x:v>
      </x:c>
      <x:c r="W46" s="2" t="str">
        <x:v>Mixed business audience</x:v>
      </x:c>
      <x:c r="X46" s="17" t="n">
        <x:f>IF(AND(H46=F46,NOT(ISNUMBER(N46)),N46="",ISNUMBER(K46)),K46,0)</x:f>
        <x:v>0</x:v>
      </x:c>
      <x:c r="Y46" s="17" t="n">
        <x:f>IF(AND(H46=F46,NOT(ISNUMBER(N46)),N46="",K46="",ISNUMBER(O46)),O46,0)</x:f>
        <x:v>160000</x:v>
      </x:c>
      <x:c r="Z46" s="17" t="n">
        <x:f>IF(AND(H46&gt;0,ISNUMBER(N46)),N46,0)</x:f>
        <x:v>0</x:v>
      </x:c>
      <x:c r="AA46" s="2" t="n">
        <x:f>IF(AND(H46&gt;0,N46="",NOT(ISNUMBER(Q46))),1,0)</x:f>
        <x:v>0</x:v>
      </x:c>
      <x:c r="AB46" s="2" t="n">
        <x:f>IF(AND(H46&gt;0,N46&lt;&gt;"",NOT(ISNUMBER(N46))),1,0)</x:f>
        <x:v>0</x:v>
      </x:c>
    </x:row>
    <x:row r="47" ht="48" customHeight="1">
      <x:c r="A47" s="2" t="str">
        <x:v>MAIN-044</x:v>
      </x:c>
      <x:c r="B47" s="2" t="str">
        <x:v>Main</x:v>
      </x:c>
      <x:c r="C47" s="2" t="str">
        <x:v>Bengaluru</x:v>
      </x:c>
      <x:c r="D47" s="12" t="str">
        <x:v>DSR Techno Cube IT Park</x:v>
      </x:c>
      <x:c r="E47" s="12" t="str">
        <x:v>43 inch LED TV</x:v>
      </x:c>
      <x:c r="F47" s="2" t="n">
        <x:v>1</x:v>
      </x:c>
      <x:c r="G47" s="2" t="n">
        <x:v>2</x:v>
      </x:c>
      <x:c r="H47" s="2" t="n">
        <x:f>COUNTIFS('Inventory'!$N$7:$N$783,A47,'Inventory'!$A$7:$A$783,1)</x:f>
        <x:v>1</x:v>
      </x:c>
      <x:c r="I47" s="2" t="n">
        <x:f>SUMIFS('Inventory'!$G$7:$G$783,'Inventory'!$N$7:$N$783,A47,'Inventory'!$A$7:$A$783,1)</x:f>
        <x:v>2</x:v>
      </x:c>
      <x:c r="J47" s="12" t="str">
        <x:v>Campaign format rate</x:v>
      </x:c>
      <x:c r="K47" s="17"/>
      <x:c r="L47" s="17" t="n">
        <x:f>$E$5</x:f>
        <x:v>20000</x:v>
      </x:c>
      <x:c r="M47" s="17"/>
      <x:c r="N47" s="19"/>
      <x:c r="O47" s="17" t="n">
        <x:f>IF(ISNUMBER(L47),G47*L47,IF(ISNUMBER(M47),M47,""))</x:f>
        <x:v>40000</x:v>
      </x:c>
      <x:c r="P47" s="17" t="n">
        <x:f>IF(ISNUMBER(K47),K47,IF(ISNUMBER(O47),O47,""))</x:f>
        <x:v>40000</x:v>
      </x:c>
      <x:c r="Q47" s="17" t="n">
        <x:f>IF(H47=0,0,IF(ISNUMBER(N47),N47,IF(N47="",IF(H47=F47,P47,""),"")))</x:f>
        <x:v>40000</x:v>
      </x:c>
      <x:c r="R47" s="17" t="n">
        <x:f>IF(ISNUMBER(Q47),ROUND(Q47*$C$4,2),"")</x:f>
        <x:v>7200</x:v>
      </x:c>
      <x:c r="S47" s="17" t="n">
        <x:f>IF(ISNUMBER(Q47),Q47+R47,"")</x:f>
        <x:v>47200</x:v>
      </x:c>
      <x:c r="T47" s="2" t="str">
        <x:f>IF(H47=0,"Not selected",IF(ISNUMBER(N47),"Quote entered",IF(N47&lt;&gt;"","Enter numeric quote",IF(H47=F47,IF(ISNUMBER(P47),"Complete unit","Price required"),"Partial package: price required"))))</x:f>
        <x:v>Complete unit</x:v>
      </x:c>
      <x:c r="U47" s="2" t="str">
        <x:v>TEN-26965549D9A4; TEN-4ACDF81AA293; TEN-ACC1CC2BE8B0; TEN-CBE8E62BDCBE</x:v>
      </x:c>
      <x:c r="V47" s="2" t="str">
        <x:v>IT &amp; digital; Professional services</x:v>
      </x:c>
      <x:c r="W47" s="2" t="str">
        <x:v>Small-scale prospects</x:v>
      </x:c>
      <x:c r="X47" s="17" t="n">
        <x:f>IF(AND(H47=F47,NOT(ISNUMBER(N47)),N47="",ISNUMBER(K47)),K47,0)</x:f>
        <x:v>0</x:v>
      </x:c>
      <x:c r="Y47" s="17" t="n">
        <x:f>IF(AND(H47=F47,NOT(ISNUMBER(N47)),N47="",K47="",ISNUMBER(O47)),O47,0)</x:f>
        <x:v>40000</x:v>
      </x:c>
      <x:c r="Z47" s="17" t="n">
        <x:f>IF(AND(H47&gt;0,ISNUMBER(N47)),N47,0)</x:f>
        <x:v>0</x:v>
      </x:c>
      <x:c r="AA47" s="2" t="n">
        <x:f>IF(AND(H47&gt;0,N47="",NOT(ISNUMBER(Q47))),1,0)</x:f>
        <x:v>0</x:v>
      </x:c>
      <x:c r="AB47" s="2" t="n">
        <x:f>IF(AND(H47&gt;0,N47&lt;&gt;"",NOT(ISNUMBER(N47))),1,0)</x:f>
        <x:v>0</x:v>
      </x:c>
    </x:row>
    <x:row r="48" ht="48" customHeight="1">
      <x:c r="A48" s="2" t="str">
        <x:v>MAIN-045</x:v>
      </x:c>
      <x:c r="B48" s="2" t="str">
        <x:v>Main</x:v>
      </x:c>
      <x:c r="C48" s="2" t="str">
        <x:v>Bengaluru</x:v>
      </x:c>
      <x:c r="D48" s="12" t="str">
        <x:v>Ecradle Coworking Space</x:v>
      </x:c>
      <x:c r="E48" s="12" t="str">
        <x:v>32 inch LED TV</x:v>
      </x:c>
      <x:c r="F48" s="2" t="n">
        <x:v>1</x:v>
      </x:c>
      <x:c r="G48" s="2" t="n">
        <x:v>2</x:v>
      </x:c>
      <x:c r="H48" s="2" t="n">
        <x:f>COUNTIFS('Inventory'!$N$7:$N$783,A48,'Inventory'!$A$7:$A$783,1)</x:f>
        <x:v>1</x:v>
      </x:c>
      <x:c r="I48" s="2" t="n">
        <x:f>SUMIFS('Inventory'!$G$7:$G$783,'Inventory'!$N$7:$N$783,A48,'Inventory'!$A$7:$A$783,1)</x:f>
        <x:v>2</x:v>
      </x:c>
      <x:c r="J48" s="12" t="str">
        <x:v>Listed budget</x:v>
      </x:c>
      <x:c r="K48" s="17" t="n">
        <x:v>30000</x:v>
      </x:c>
      <x:c r="L48" s="17"/>
      <x:c r="M48" s="17"/>
      <x:c r="N48" s="19"/>
      <x:c r="O48" s="17" t="str">
        <x:f>IF(ISNUMBER(L48),G48*L48,IF(ISNUMBER(M48),M48,""))</x:f>
      </x:c>
      <x:c r="P48" s="17" t="n">
        <x:f>IF(ISNUMBER(K48),K48,IF(ISNUMBER(O48),O48,""))</x:f>
        <x:v>30000</x:v>
      </x:c>
      <x:c r="Q48" s="17" t="n">
        <x:f>IF(H48=0,0,IF(ISNUMBER(N48),N48,IF(N48="",IF(H48=F48,P48,""),"")))</x:f>
        <x:v>30000</x:v>
      </x:c>
      <x:c r="R48" s="17" t="n">
        <x:f>IF(ISNUMBER(Q48),ROUND(Q48*$C$4,2),"")</x:f>
        <x:v>5400</x:v>
      </x:c>
      <x:c r="S48" s="17" t="n">
        <x:f>IF(ISNUMBER(Q48),Q48+R48,"")</x:f>
        <x:v>35400</x:v>
      </x:c>
      <x:c r="T48" s="2" t="str">
        <x:f>IF(H48=0,"Not selected",IF(ISNUMBER(N48),"Quote entered",IF(N48&lt;&gt;"","Enter numeric quote",IF(H48=F48,IF(ISNUMBER(P48),"Complete unit","Price required"),"Partial package: price required"))))</x:f>
        <x:v>Complete unit</x:v>
      </x:c>
      <x:c r="U48" s="2" t="str">
        <x:v>TEN-16362ADD6C25; TEN-1F166FC93DD9; TEN-58991ECEAA88; TEN-676234A77596; TEN-786F7AC509DC; TEN-883B582891E2; TEN-8D2FC7FF868A; TEN-981025AEFE37; TEN-BC35E03468A2; TEN-BF362F202CF6; TEN-E76AB53619A7</x:v>
      </x:c>
      <x:c r="V48" s="2" t="str">
        <x:v>IT &amp; digital; Engineering &amp; manufacturing; Trade, consumer &amp; logistics; Unresolved</x:v>
      </x:c>
      <x:c r="W48" s="2" t="str">
        <x:v>Small-scale prospects; Mixed business audience</x:v>
      </x:c>
      <x:c r="X48" s="17" t="n">
        <x:f>IF(AND(H48=F48,NOT(ISNUMBER(N48)),N48="",ISNUMBER(K48)),K48,0)</x:f>
        <x:v>30000</x:v>
      </x:c>
      <x:c r="Y48" s="17" t="n">
        <x:f>IF(AND(H48=F48,NOT(ISNUMBER(N48)),N48="",K48="",ISNUMBER(O48)),O48,0)</x:f>
        <x:v>0</x:v>
      </x:c>
      <x:c r="Z48" s="17" t="n">
        <x:f>IF(AND(H48&gt;0,ISNUMBER(N48)),N48,0)</x:f>
        <x:v>0</x:v>
      </x:c>
      <x:c r="AA48" s="2" t="n">
        <x:f>IF(AND(H48&gt;0,N48="",NOT(ISNUMBER(Q48))),1,0)</x:f>
        <x:v>0</x:v>
      </x:c>
      <x:c r="AB48" s="2" t="n">
        <x:f>IF(AND(H48&gt;0,N48&lt;&gt;"",NOT(ISNUMBER(N48))),1,0)</x:f>
        <x:v>0</x:v>
      </x:c>
    </x:row>
    <x:row r="49" ht="48" customHeight="1">
      <x:c r="A49" s="2" t="str">
        <x:v>MAIN-046</x:v>
      </x:c>
      <x:c r="B49" s="2" t="str">
        <x:v>Main</x:v>
      </x:c>
      <x:c r="C49" s="2" t="str">
        <x:v>Bengaluru</x:v>
      </x:c>
      <x:c r="D49" s="12" t="str">
        <x:v>Global Technology Park</x:v>
      </x:c>
      <x:c r="E49" s="12" t="str">
        <x:v>43 inch LED TV</x:v>
      </x:c>
      <x:c r="F49" s="2" t="n">
        <x:v>1</x:v>
      </x:c>
      <x:c r="G49" s="2" t="n">
        <x:v>2</x:v>
      </x:c>
      <x:c r="H49" s="2" t="n">
        <x:f>COUNTIFS('Inventory'!$N$7:$N$783,A49,'Inventory'!$A$7:$A$783,1)</x:f>
        <x:v>1</x:v>
      </x:c>
      <x:c r="I49" s="2" t="n">
        <x:f>SUMIFS('Inventory'!$G$7:$G$783,'Inventory'!$N$7:$N$783,A49,'Inventory'!$A$7:$A$783,1)</x:f>
        <x:v>2</x:v>
      </x:c>
      <x:c r="J49" s="12" t="str">
        <x:v>Campaign format rate</x:v>
      </x:c>
      <x:c r="K49" s="17"/>
      <x:c r="L49" s="17" t="n">
        <x:f>$E$5</x:f>
        <x:v>20000</x:v>
      </x:c>
      <x:c r="M49" s="17"/>
      <x:c r="N49" s="19"/>
      <x:c r="O49" s="17" t="n">
        <x:f>IF(ISNUMBER(L49),G49*L49,IF(ISNUMBER(M49),M49,""))</x:f>
        <x:v>40000</x:v>
      </x:c>
      <x:c r="P49" s="17" t="n">
        <x:f>IF(ISNUMBER(K49),K49,IF(ISNUMBER(O49),O49,""))</x:f>
        <x:v>40000</x:v>
      </x:c>
      <x:c r="Q49" s="17" t="n">
        <x:f>IF(H49=0,0,IF(ISNUMBER(N49),N49,IF(N49="",IF(H49=F49,P49,""),"")))</x:f>
        <x:v>40000</x:v>
      </x:c>
      <x:c r="R49" s="17" t="n">
        <x:f>IF(ISNUMBER(Q49),ROUND(Q49*$C$4,2),"")</x:f>
        <x:v>7200</x:v>
      </x:c>
      <x:c r="S49" s="17" t="n">
        <x:f>IF(ISNUMBER(Q49),Q49+R49,"")</x:f>
        <x:v>47200</x:v>
      </x:c>
      <x:c r="T49" s="2" t="str">
        <x:f>IF(H49=0,"Not selected",IF(ISNUMBER(N49),"Quote entered",IF(N49&lt;&gt;"","Enter numeric quote",IF(H49=F49,IF(ISNUMBER(P49),"Complete unit","Price required"),"Partial package: price required"))))</x:f>
        <x:v>Complete unit</x:v>
      </x:c>
      <x:c r="U49" s="2" t="str">
        <x:v>TEN-0DC405922287; TEN-4D748EBD71AF; TEN-8B2321A1E6EF; TEN-F4CEA31C825C</x:v>
      </x:c>
      <x:c r="V49" s="2" t="str">
        <x:v>IT &amp; digital; Finance &amp; insurance</x:v>
      </x:c>
      <x:c r="W49" s="2" t="str">
        <x:v>Large enterprise; Mixed business audience</x:v>
      </x:c>
      <x:c r="X49" s="17" t="n">
        <x:f>IF(AND(H49=F49,NOT(ISNUMBER(N49)),N49="",ISNUMBER(K49)),K49,0)</x:f>
        <x:v>0</x:v>
      </x:c>
      <x:c r="Y49" s="17" t="n">
        <x:f>IF(AND(H49=F49,NOT(ISNUMBER(N49)),N49="",K49="",ISNUMBER(O49)),O49,0)</x:f>
        <x:v>40000</x:v>
      </x:c>
      <x:c r="Z49" s="17" t="n">
        <x:f>IF(AND(H49&gt;0,ISNUMBER(N49)),N49,0)</x:f>
        <x:v>0</x:v>
      </x:c>
      <x:c r="AA49" s="2" t="n">
        <x:f>IF(AND(H49&gt;0,N49="",NOT(ISNUMBER(Q49))),1,0)</x:f>
        <x:v>0</x:v>
      </x:c>
      <x:c r="AB49" s="2" t="n">
        <x:f>IF(AND(H49&gt;0,N49&lt;&gt;"",NOT(ISNUMBER(N49))),1,0)</x:f>
        <x:v>0</x:v>
      </x:c>
    </x:row>
    <x:row r="50" ht="48" customHeight="1">
      <x:c r="A50" s="2" t="str">
        <x:v>MAIN-047</x:v>
      </x:c>
      <x:c r="B50" s="2" t="str">
        <x:v>Main</x:v>
      </x:c>
      <x:c r="C50" s="2" t="str">
        <x:v>Bengaluru</x:v>
      </x:c>
      <x:c r="D50" s="12" t="str">
        <x:v>Global Technology park </x:v>
      </x:c>
      <x:c r="E50" s="12" t="str">
        <x:v>43 inch LED TV</x:v>
      </x:c>
      <x:c r="F50" s="2" t="n">
        <x:v>1</x:v>
      </x:c>
      <x:c r="G50" s="2" t="n">
        <x:v>4</x:v>
      </x:c>
      <x:c r="H50" s="2" t="n">
        <x:f>COUNTIFS('Inventory'!$N$7:$N$783,A50,'Inventory'!$A$7:$A$783,1)</x:f>
        <x:v>1</x:v>
      </x:c>
      <x:c r="I50" s="2" t="n">
        <x:f>SUMIFS('Inventory'!$G$7:$G$783,'Inventory'!$N$7:$N$783,A50,'Inventory'!$A$7:$A$783,1)</x:f>
        <x:v>4</x:v>
      </x:c>
      <x:c r="J50" s="12" t="str">
        <x:v>Campaign format rate</x:v>
      </x:c>
      <x:c r="K50" s="17"/>
      <x:c r="L50" s="17" t="n">
        <x:f>$E$5</x:f>
        <x:v>20000</x:v>
      </x:c>
      <x:c r="M50" s="17"/>
      <x:c r="N50" s="19"/>
      <x:c r="O50" s="17" t="n">
        <x:f>IF(ISNUMBER(L50),G50*L50,IF(ISNUMBER(M50),M50,""))</x:f>
        <x:v>80000</x:v>
      </x:c>
      <x:c r="P50" s="17" t="n">
        <x:f>IF(ISNUMBER(K50),K50,IF(ISNUMBER(O50),O50,""))</x:f>
        <x:v>80000</x:v>
      </x:c>
      <x:c r="Q50" s="17" t="n">
        <x:f>IF(H50=0,0,IF(ISNUMBER(N50),N50,IF(N50="",IF(H50=F50,P50,""),"")))</x:f>
        <x:v>80000</x:v>
      </x:c>
      <x:c r="R50" s="17" t="n">
        <x:f>IF(ISNUMBER(Q50),ROUND(Q50*$C$4,2),"")</x:f>
        <x:v>14400</x:v>
      </x:c>
      <x:c r="S50" s="17" t="n">
        <x:f>IF(ISNUMBER(Q50),Q50+R50,"")</x:f>
        <x:v>94400</x:v>
      </x:c>
      <x:c r="T50" s="2" t="str">
        <x:f>IF(H50=0,"Not selected",IF(ISNUMBER(N50),"Quote entered",IF(N50&lt;&gt;"","Enter numeric quote",IF(H50=F50,IF(ISNUMBER(P50),"Complete unit","Price required"),"Partial package: price required"))))</x:f>
        <x:v>Complete unit</x:v>
      </x:c>
      <x:c r="U50" s="2" t="str">
        <x:v>TEN-0DC405922287; TEN-4D748EBD71AF; TEN-8B2321A1E6EF; TEN-F4CEA31C825C</x:v>
      </x:c>
      <x:c r="V50" s="2" t="str">
        <x:v>IT &amp; digital; Finance &amp; insurance</x:v>
      </x:c>
      <x:c r="W50" s="2" t="str">
        <x:v>Large enterprise; Mixed business audience</x:v>
      </x:c>
      <x:c r="X50" s="17" t="n">
        <x:f>IF(AND(H50=F50,NOT(ISNUMBER(N50)),N50="",ISNUMBER(K50)),K50,0)</x:f>
        <x:v>0</x:v>
      </x:c>
      <x:c r="Y50" s="17" t="n">
        <x:f>IF(AND(H50=F50,NOT(ISNUMBER(N50)),N50="",K50="",ISNUMBER(O50)),O50,0)</x:f>
        <x:v>80000</x:v>
      </x:c>
      <x:c r="Z50" s="17" t="n">
        <x:f>IF(AND(H50&gt;0,ISNUMBER(N50)),N50,0)</x:f>
        <x:v>0</x:v>
      </x:c>
      <x:c r="AA50" s="2" t="n">
        <x:f>IF(AND(H50&gt;0,N50="",NOT(ISNUMBER(Q50))),1,0)</x:f>
        <x:v>0</x:v>
      </x:c>
      <x:c r="AB50" s="2" t="n">
        <x:f>IF(AND(H50&gt;0,N50&lt;&gt;"",NOT(ISNUMBER(N50))),1,0)</x:f>
        <x:v>0</x:v>
      </x:c>
    </x:row>
    <x:row r="51" ht="48" customHeight="1">
      <x:c r="A51" s="2" t="str">
        <x:v>MAIN-048</x:v>
      </x:c>
      <x:c r="B51" s="2" t="str">
        <x:v>Main</x:v>
      </x:c>
      <x:c r="C51" s="2" t="str">
        <x:v>Bengaluru</x:v>
      </x:c>
      <x:c r="D51" s="12" t="str">
        <x:v>Golden Millenium Tech Park</x:v>
      </x:c>
      <x:c r="E51" s="12" t="str">
        <x:v>43 inch LED TV</x:v>
      </x:c>
      <x:c r="F51" s="2" t="n">
        <x:v>1</x:v>
      </x:c>
      <x:c r="G51" s="2" t="n">
        <x:v>3</x:v>
      </x:c>
      <x:c r="H51" s="2" t="n">
        <x:f>COUNTIFS('Inventory'!$N$7:$N$783,A51,'Inventory'!$A$7:$A$783,1)</x:f>
        <x:v>1</x:v>
      </x:c>
      <x:c r="I51" s="2" t="n">
        <x:f>SUMIFS('Inventory'!$G$7:$G$783,'Inventory'!$N$7:$N$783,A51,'Inventory'!$A$7:$A$783,1)</x:f>
        <x:v>3</x:v>
      </x:c>
      <x:c r="J51" s="12" t="str">
        <x:v>Campaign format rate</x:v>
      </x:c>
      <x:c r="K51" s="17"/>
      <x:c r="L51" s="17" t="n">
        <x:f>$E$5</x:f>
        <x:v>20000</x:v>
      </x:c>
      <x:c r="M51" s="17"/>
      <x:c r="N51" s="19"/>
      <x:c r="O51" s="17" t="n">
        <x:f>IF(ISNUMBER(L51),G51*L51,IF(ISNUMBER(M51),M51,""))</x:f>
        <x:v>60000</x:v>
      </x:c>
      <x:c r="P51" s="17" t="n">
        <x:f>IF(ISNUMBER(K51),K51,IF(ISNUMBER(O51),O51,""))</x:f>
        <x:v>60000</x:v>
      </x:c>
      <x:c r="Q51" s="17" t="n">
        <x:f>IF(H51=0,0,IF(ISNUMBER(N51),N51,IF(N51="",IF(H51=F51,P51,""),"")))</x:f>
        <x:v>60000</x:v>
      </x:c>
      <x:c r="R51" s="17" t="n">
        <x:f>IF(ISNUMBER(Q51),ROUND(Q51*$C$4,2),"")</x:f>
        <x:v>10800</x:v>
      </x:c>
      <x:c r="S51" s="17" t="n">
        <x:f>IF(ISNUMBER(Q51),Q51+R51,"")</x:f>
        <x:v>70800</x:v>
      </x:c>
      <x:c r="T51" s="2" t="str">
        <x:f>IF(H51=0,"Not selected",IF(ISNUMBER(N51),"Quote entered",IF(N51&lt;&gt;"","Enter numeric quote",IF(H51=F51,IF(ISNUMBER(P51),"Complete unit","Price required"),"Partial package: price required"))))</x:f>
        <x:v>Complete unit</x:v>
      </x:c>
      <x:c r="U51" s="2" t="str">
        <x:v>TEN-1C7A49CFBD0F; TEN-70FB189454F7; TEN-F0FE959E9D6B</x:v>
      </x:c>
      <x:c r="V51" s="2" t="str">
        <x:v>Professional services; Engineering &amp; manufacturing; Trade, consumer &amp; logistics</x:v>
      </x:c>
      <x:c r="W51" s="2" t="str">
        <x:v>Small-scale prospects; Mixed business audience</x:v>
      </x:c>
      <x:c r="X51" s="17" t="n">
        <x:f>IF(AND(H51=F51,NOT(ISNUMBER(N51)),N51="",ISNUMBER(K51)),K51,0)</x:f>
        <x:v>0</x:v>
      </x:c>
      <x:c r="Y51" s="17" t="n">
        <x:f>IF(AND(H51=F51,NOT(ISNUMBER(N51)),N51="",K51="",ISNUMBER(O51)),O51,0)</x:f>
        <x:v>60000</x:v>
      </x:c>
      <x:c r="Z51" s="17" t="n">
        <x:f>IF(AND(H51&gt;0,ISNUMBER(N51)),N51,0)</x:f>
        <x:v>0</x:v>
      </x:c>
      <x:c r="AA51" s="2" t="n">
        <x:f>IF(AND(H51&gt;0,N51="",NOT(ISNUMBER(Q51))),1,0)</x:f>
        <x:v>0</x:v>
      </x:c>
      <x:c r="AB51" s="2" t="n">
        <x:f>IF(AND(H51&gt;0,N51&lt;&gt;"",NOT(ISNUMBER(N51))),1,0)</x:f>
        <x:v>0</x:v>
      </x:c>
    </x:row>
    <x:row r="52" ht="48" customHeight="1">
      <x:c r="A52" s="2" t="str">
        <x:v>MAIN-049</x:v>
      </x:c>
      <x:c r="B52" s="2" t="str">
        <x:v>Main</x:v>
      </x:c>
      <x:c r="C52" s="2" t="str">
        <x:v>Bengaluru</x:v>
      </x:c>
      <x:c r="D52" s="12" t="str">
        <x:v>Golden Millenium Tech Park (Pod Screens)</x:v>
      </x:c>
      <x:c r="E52" s="12" t="str">
        <x:v>43 inch LED TV</x:v>
      </x:c>
      <x:c r="F52" s="2" t="n">
        <x:v>1</x:v>
      </x:c>
      <x:c r="G52" s="2" t="n">
        <x:v>2</x:v>
      </x:c>
      <x:c r="H52" s="2" t="n">
        <x:f>COUNTIFS('Inventory'!$N$7:$N$783,A52,'Inventory'!$A$7:$A$783,1)</x:f>
        <x:v>1</x:v>
      </x:c>
      <x:c r="I52" s="2" t="n">
        <x:f>SUMIFS('Inventory'!$G$7:$G$783,'Inventory'!$N$7:$N$783,A52,'Inventory'!$A$7:$A$783,1)</x:f>
        <x:v>2</x:v>
      </x:c>
      <x:c r="J52" s="12" t="str">
        <x:v>Campaign format rate</x:v>
      </x:c>
      <x:c r="K52" s="17"/>
      <x:c r="L52" s="17" t="n">
        <x:f>$E$5</x:f>
        <x:v>20000</x:v>
      </x:c>
      <x:c r="M52" s="17"/>
      <x:c r="N52" s="19"/>
      <x:c r="O52" s="17" t="n">
        <x:f>IF(ISNUMBER(L52),G52*L52,IF(ISNUMBER(M52),M52,""))</x:f>
        <x:v>40000</x:v>
      </x:c>
      <x:c r="P52" s="17" t="n">
        <x:f>IF(ISNUMBER(K52),K52,IF(ISNUMBER(O52),O52,""))</x:f>
        <x:v>40000</x:v>
      </x:c>
      <x:c r="Q52" s="17" t="n">
        <x:f>IF(H52=0,0,IF(ISNUMBER(N52),N52,IF(N52="",IF(H52=F52,P52,""),"")))</x:f>
        <x:v>40000</x:v>
      </x:c>
      <x:c r="R52" s="17" t="n">
        <x:f>IF(ISNUMBER(Q52),ROUND(Q52*$C$4,2),"")</x:f>
        <x:v>7200</x:v>
      </x:c>
      <x:c r="S52" s="17" t="n">
        <x:f>IF(ISNUMBER(Q52),Q52+R52,"")</x:f>
        <x:v>47200</x:v>
      </x:c>
      <x:c r="T52" s="2" t="str">
        <x:f>IF(H52=0,"Not selected",IF(ISNUMBER(N52),"Quote entered",IF(N52&lt;&gt;"","Enter numeric quote",IF(H52=F52,IF(ISNUMBER(P52),"Complete unit","Price required"),"Partial package: price required"))))</x:f>
        <x:v>Complete unit</x:v>
      </x:c>
      <x:c r="U52" s="2" t="str">
        <x:v>TEN-1C7A49CFBD0F; TEN-70FB189454F7; TEN-87E2BA2B12A3; TEN-CAC431BD1CA4; TEN-F0FE959E9D6B</x:v>
      </x:c>
      <x:c r="V52" s="2" t="str">
        <x:v>IT &amp; digital; Professional services; Engineering &amp; manufacturing; Trade, consumer &amp; logistics</x:v>
      </x:c>
      <x:c r="W52" s="2" t="str">
        <x:v>Small-scale prospects; Mixed business audience</x:v>
      </x:c>
      <x:c r="X52" s="17" t="n">
        <x:f>IF(AND(H52=F52,NOT(ISNUMBER(N52)),N52="",ISNUMBER(K52)),K52,0)</x:f>
        <x:v>0</x:v>
      </x:c>
      <x:c r="Y52" s="17" t="n">
        <x:f>IF(AND(H52=F52,NOT(ISNUMBER(N52)),N52="",K52="",ISNUMBER(O52)),O52,0)</x:f>
        <x:v>40000</x:v>
      </x:c>
      <x:c r="Z52" s="17" t="n">
        <x:f>IF(AND(H52&gt;0,ISNUMBER(N52)),N52,0)</x:f>
        <x:v>0</x:v>
      </x:c>
      <x:c r="AA52" s="2" t="n">
        <x:f>IF(AND(H52&gt;0,N52="",NOT(ISNUMBER(Q52))),1,0)</x:f>
        <x:v>0</x:v>
      </x:c>
      <x:c r="AB52" s="2" t="n">
        <x:f>IF(AND(H52&gt;0,N52&lt;&gt;"",NOT(ISNUMBER(N52))),1,0)</x:f>
        <x:v>0</x:v>
      </x:c>
    </x:row>
    <x:row r="53" ht="48" customHeight="1">
      <x:c r="A53" s="2" t="str">
        <x:v>MAIN-050</x:v>
      </x:c>
      <x:c r="B53" s="2" t="str">
        <x:v>Main</x:v>
      </x:c>
      <x:c r="C53" s="2" t="str">
        <x:v>Bengaluru</x:v>
      </x:c>
      <x:c r="D53" s="12" t="str">
        <x:v>Golden Square</x:v>
      </x:c>
      <x:c r="E53" s="12" t="str">
        <x:v>32 inch LED TV</x:v>
      </x:c>
      <x:c r="F53" s="2" t="n">
        <x:v>1</x:v>
      </x:c>
      <x:c r="G53" s="2" t="n">
        <x:v>1</x:v>
      </x:c>
      <x:c r="H53" s="2" t="n">
        <x:f>COUNTIFS('Inventory'!$N$7:$N$783,A53,'Inventory'!$A$7:$A$783,1)</x:f>
        <x:v>1</x:v>
      </x:c>
      <x:c r="I53" s="2" t="n">
        <x:f>SUMIFS('Inventory'!$G$7:$G$783,'Inventory'!$N$7:$N$783,A53,'Inventory'!$A$7:$A$783,1)</x:f>
        <x:v>1</x:v>
      </x:c>
      <x:c r="J53" s="12" t="str">
        <x:v>Listed budget</x:v>
      </x:c>
      <x:c r="K53" s="17" t="n">
        <x:v>15000</x:v>
      </x:c>
      <x:c r="L53" s="17"/>
      <x:c r="M53" s="17"/>
      <x:c r="N53" s="19"/>
      <x:c r="O53" s="17" t="str">
        <x:f>IF(ISNUMBER(L53),G53*L53,IF(ISNUMBER(M53),M53,""))</x:f>
      </x:c>
      <x:c r="P53" s="17" t="n">
        <x:f>IF(ISNUMBER(K53),K53,IF(ISNUMBER(O53),O53,""))</x:f>
        <x:v>15000</x:v>
      </x:c>
      <x:c r="Q53" s="17" t="n">
        <x:f>IF(H53=0,0,IF(ISNUMBER(N53),N53,IF(N53="",IF(H53=F53,P53,""),"")))</x:f>
        <x:v>15000</x:v>
      </x:c>
      <x:c r="R53" s="17" t="n">
        <x:f>IF(ISNUMBER(Q53),ROUND(Q53*$C$4,2),"")</x:f>
        <x:v>2700</x:v>
      </x:c>
      <x:c r="S53" s="17" t="n">
        <x:f>IF(ISNUMBER(Q53),Q53+R53,"")</x:f>
        <x:v>17700</x:v>
      </x:c>
      <x:c r="T53" s="2" t="str">
        <x:f>IF(H53=0,"Not selected",IF(ISNUMBER(N53),"Quote entered",IF(N53&lt;&gt;"","Enter numeric quote",IF(H53=F53,IF(ISNUMBER(P53),"Complete unit","Price required"),"Partial package: price required"))))</x:f>
        <x:v>Complete unit</x:v>
      </x:c>
      <x:c r="U53" s="2" t="str">
        <x:v>TEN-350D5C6F5255; TEN-4DD0879CF20C; TEN-5CBF5F7BE7A6; TEN-84B3A38783C4; TEN-872F9565D946; TEN-95D77927F473; TEN-9B4FBAB33228; TEN-A9FCC2041375; TEN-AA2312B42CA4; TEN-E5E162DE2CA1; TEN-E63F4ABE40AA</x:v>
      </x:c>
      <x:c r="V53" s="2" t="str">
        <x:v>IT &amp; digital; Healthcare &amp; life sciences; Trade, consumer &amp; logistics; Unresolved</x:v>
      </x:c>
      <x:c r="W53" s="2" t="str">
        <x:v>Small-scale prospects; Medium-scale prospects; Mixed business audience</x:v>
      </x:c>
      <x:c r="X53" s="17" t="n">
        <x:f>IF(AND(H53=F53,NOT(ISNUMBER(N53)),N53="",ISNUMBER(K53)),K53,0)</x:f>
        <x:v>15000</x:v>
      </x:c>
      <x:c r="Y53" s="17" t="n">
        <x:f>IF(AND(H53=F53,NOT(ISNUMBER(N53)),N53="",K53="",ISNUMBER(O53)),O53,0)</x:f>
        <x:v>0</x:v>
      </x:c>
      <x:c r="Z53" s="17" t="n">
        <x:f>IF(AND(H53&gt;0,ISNUMBER(N53)),N53,0)</x:f>
        <x:v>0</x:v>
      </x:c>
      <x:c r="AA53" s="2" t="n">
        <x:f>IF(AND(H53&gt;0,N53="",NOT(ISNUMBER(Q53))),1,0)</x:f>
        <x:v>0</x:v>
      </x:c>
      <x:c r="AB53" s="2" t="n">
        <x:f>IF(AND(H53&gt;0,N53&lt;&gt;"",NOT(ISNUMBER(N53))),1,0)</x:f>
        <x:v>0</x:v>
      </x:c>
    </x:row>
    <x:row r="54" ht="48" customHeight="1">
      <x:c r="A54" s="2" t="str">
        <x:v>MAIN-051</x:v>
      </x:c>
      <x:c r="B54" s="2" t="str">
        <x:v>Main</x:v>
      </x:c>
      <x:c r="C54" s="2" t="str">
        <x:v>Bengaluru</x:v>
      </x:c>
      <x:c r="D54" s="12" t="str">
        <x:v>Kalyani Camellia (TST Whitefield)</x:v>
      </x:c>
      <x:c r="E54" s="12" t="str">
        <x:v>55 inch LED TV</x:v>
      </x:c>
      <x:c r="F54" s="2" t="n">
        <x:v>1</x:v>
      </x:c>
      <x:c r="G54" s="2" t="n">
        <x:v>2</x:v>
      </x:c>
      <x:c r="H54" s="2" t="n">
        <x:f>COUNTIFS('Inventory'!$N$7:$N$783,A54,'Inventory'!$A$7:$A$783,1)</x:f>
        <x:v>1</x:v>
      </x:c>
      <x:c r="I54" s="2" t="n">
        <x:f>SUMIFS('Inventory'!$G$7:$G$783,'Inventory'!$N$7:$N$783,A54,'Inventory'!$A$7:$A$783,1)</x:f>
        <x:v>2</x:v>
      </x:c>
      <x:c r="J54" s="12" t="str">
        <x:v>Campaign format rate</x:v>
      </x:c>
      <x:c r="K54" s="17"/>
      <x:c r="L54" s="17" t="n">
        <x:f>$I$5</x:f>
        <x:v>40000</x:v>
      </x:c>
      <x:c r="M54" s="17"/>
      <x:c r="N54" s="19"/>
      <x:c r="O54" s="17" t="n">
        <x:f>IF(ISNUMBER(L54),G54*L54,IF(ISNUMBER(M54),M54,""))</x:f>
        <x:v>80000</x:v>
      </x:c>
      <x:c r="P54" s="17" t="n">
        <x:f>IF(ISNUMBER(K54),K54,IF(ISNUMBER(O54),O54,""))</x:f>
        <x:v>80000</x:v>
      </x:c>
      <x:c r="Q54" s="17" t="n">
        <x:f>IF(H54=0,0,IF(ISNUMBER(N54),N54,IF(N54="",IF(H54=F54,P54,""),"")))</x:f>
        <x:v>80000</x:v>
      </x:c>
      <x:c r="R54" s="17" t="n">
        <x:f>IF(ISNUMBER(Q54),ROUND(Q54*$C$4,2),"")</x:f>
        <x:v>14400</x:v>
      </x:c>
      <x:c r="S54" s="17" t="n">
        <x:f>IF(ISNUMBER(Q54),Q54+R54,"")</x:f>
        <x:v>94400</x:v>
      </x:c>
      <x:c r="T54" s="2" t="str">
        <x:f>IF(H54=0,"Not selected",IF(ISNUMBER(N54),"Quote entered",IF(N54&lt;&gt;"","Enter numeric quote",IF(H54=F54,IF(ISNUMBER(P54),"Complete unit","Price required"),"Partial package: price required"))))</x:f>
        <x:v>Complete unit</x:v>
      </x:c>
      <x:c r="U54" s="2" t="str"/>
      <x:c r="V54" s="2" t="str">
        <x:v>Unclassified</x:v>
      </x:c>
      <x:c r="W54" s="2" t="str">
        <x:v>Mixed business audience</x:v>
      </x:c>
      <x:c r="X54" s="17" t="n">
        <x:f>IF(AND(H54=F54,NOT(ISNUMBER(N54)),N54="",ISNUMBER(K54)),K54,0)</x:f>
        <x:v>0</x:v>
      </x:c>
      <x:c r="Y54" s="17" t="n">
        <x:f>IF(AND(H54=F54,NOT(ISNUMBER(N54)),N54="",K54="",ISNUMBER(O54)),O54,0)</x:f>
        <x:v>80000</x:v>
      </x:c>
      <x:c r="Z54" s="17" t="n">
        <x:f>IF(AND(H54&gt;0,ISNUMBER(N54)),N54,0)</x:f>
        <x:v>0</x:v>
      </x:c>
      <x:c r="AA54" s="2" t="n">
        <x:f>IF(AND(H54&gt;0,N54="",NOT(ISNUMBER(Q54))),1,0)</x:f>
        <x:v>0</x:v>
      </x:c>
      <x:c r="AB54" s="2" t="n">
        <x:f>IF(AND(H54&gt;0,N54&lt;&gt;"",NOT(ISNUMBER(N54))),1,0)</x:f>
        <x:v>0</x:v>
      </x:c>
    </x:row>
    <x:row r="55" ht="48" customHeight="1">
      <x:c r="A55" s="2" t="str">
        <x:v>MAIN-052</x:v>
      </x:c>
      <x:c r="B55" s="2" t="str">
        <x:v>Main</x:v>
      </x:c>
      <x:c r="C55" s="2" t="str">
        <x:v>Bengaluru</x:v>
      </x:c>
      <x:c r="D55" s="12" t="str">
        <x:v>Mantri Commercio</x:v>
      </x:c>
      <x:c r="E55" s="12" t="str">
        <x:v>32 inch LED TV</x:v>
      </x:c>
      <x:c r="F55" s="2" t="n">
        <x:v>1</x:v>
      </x:c>
      <x:c r="G55" s="2" t="n">
        <x:v>18</x:v>
      </x:c>
      <x:c r="H55" s="2" t="n">
        <x:f>COUNTIFS('Inventory'!$N$7:$N$783,A55,'Inventory'!$A$7:$A$783,1)</x:f>
        <x:v>1</x:v>
      </x:c>
      <x:c r="I55" s="2" t="n">
        <x:f>SUMIFS('Inventory'!$G$7:$G$783,'Inventory'!$N$7:$N$783,A55,'Inventory'!$A$7:$A$783,1)</x:f>
        <x:v>18</x:v>
      </x:c>
      <x:c r="J55" s="12" t="str">
        <x:v>Listed budget</x:v>
      </x:c>
      <x:c r="K55" s="17" t="n">
        <x:v>270000</x:v>
      </x:c>
      <x:c r="L55" s="17"/>
      <x:c r="M55" s="17"/>
      <x:c r="N55" s="19"/>
      <x:c r="O55" s="17" t="str">
        <x:f>IF(ISNUMBER(L55),G55*L55,IF(ISNUMBER(M55),M55,""))</x:f>
      </x:c>
      <x:c r="P55" s="17" t="n">
        <x:f>IF(ISNUMBER(K55),K55,IF(ISNUMBER(O55),O55,""))</x:f>
        <x:v>270000</x:v>
      </x:c>
      <x:c r="Q55" s="17" t="n">
        <x:f>IF(H55=0,0,IF(ISNUMBER(N55),N55,IF(N55="",IF(H55=F55,P55,""),"")))</x:f>
        <x:v>270000</x:v>
      </x:c>
      <x:c r="R55" s="17" t="n">
        <x:f>IF(ISNUMBER(Q55),ROUND(Q55*$C$4,2),"")</x:f>
        <x:v>48600</x:v>
      </x:c>
      <x:c r="S55" s="17" t="n">
        <x:f>IF(ISNUMBER(Q55),Q55+R55,"")</x:f>
        <x:v>318600</x:v>
      </x:c>
      <x:c r="T55" s="2" t="str">
        <x:f>IF(H55=0,"Not selected",IF(ISNUMBER(N55),"Quote entered",IF(N55&lt;&gt;"","Enter numeric quote",IF(H55=F55,IF(ISNUMBER(P55),"Complete unit","Price required"),"Partial package: price required"))))</x:f>
        <x:v>Complete unit</x:v>
      </x:c>
      <x:c r="U55" s="2" t="str">
        <x:v>TEN-023FA99679B2; TEN-071009974983; TEN-BB424F07FC73; TEN-CF08FCCD9D8B</x:v>
      </x:c>
      <x:c r="V55" s="2" t="str">
        <x:v>IT &amp; digital; Engineering &amp; manufacturing; Unresolved</x:v>
      </x:c>
      <x:c r="W55" s="2" t="str">
        <x:v>Large enterprise; Mixed business audience</x:v>
      </x:c>
      <x:c r="X55" s="17" t="n">
        <x:f>IF(AND(H55=F55,NOT(ISNUMBER(N55)),N55="",ISNUMBER(K55)),K55,0)</x:f>
        <x:v>270000</x:v>
      </x:c>
      <x:c r="Y55" s="17" t="n">
        <x:f>IF(AND(H55=F55,NOT(ISNUMBER(N55)),N55="",K55="",ISNUMBER(O55)),O55,0)</x:f>
        <x:v>0</x:v>
      </x:c>
      <x:c r="Z55" s="17" t="n">
        <x:f>IF(AND(H55&gt;0,ISNUMBER(N55)),N55,0)</x:f>
        <x:v>0</x:v>
      </x:c>
      <x:c r="AA55" s="2" t="n">
        <x:f>IF(AND(H55&gt;0,N55="",NOT(ISNUMBER(Q55))),1,0)</x:f>
        <x:v>0</x:v>
      </x:c>
      <x:c r="AB55" s="2" t="n">
        <x:f>IF(AND(H55&gt;0,N55&lt;&gt;"",NOT(ISNUMBER(N55))),1,0)</x:f>
        <x:v>0</x:v>
      </x:c>
    </x:row>
    <x:row r="56" ht="48" customHeight="1">
      <x:c r="A56" s="2" t="str">
        <x:v>MAIN-053</x:v>
      </x:c>
      <x:c r="B56" s="2" t="str">
        <x:v>Main</x:v>
      </x:c>
      <x:c r="C56" s="2" t="str">
        <x:v>Bengaluru</x:v>
      </x:c>
      <x:c r="D56" s="12" t="str">
        <x:v>Maruthi Mansion</x:v>
      </x:c>
      <x:c r="E56" s="12" t="str">
        <x:v>32 inch LED TV</x:v>
      </x:c>
      <x:c r="F56" s="2" t="n">
        <x:v>1</x:v>
      </x:c>
      <x:c r="G56" s="2" t="n">
        <x:v>4</x:v>
      </x:c>
      <x:c r="H56" s="2" t="n">
        <x:f>COUNTIFS('Inventory'!$N$7:$N$783,A56,'Inventory'!$A$7:$A$783,1)</x:f>
        <x:v>1</x:v>
      </x:c>
      <x:c r="I56" s="2" t="n">
        <x:f>SUMIFS('Inventory'!$G$7:$G$783,'Inventory'!$N$7:$N$783,A56,'Inventory'!$A$7:$A$783,1)</x:f>
        <x:v>4</x:v>
      </x:c>
      <x:c r="J56" s="12" t="str">
        <x:v>Listed budget</x:v>
      </x:c>
      <x:c r="K56" s="17" t="n">
        <x:v>60000</x:v>
      </x:c>
      <x:c r="L56" s="17"/>
      <x:c r="M56" s="17"/>
      <x:c r="N56" s="19"/>
      <x:c r="O56" s="17" t="str">
        <x:f>IF(ISNUMBER(L56),G56*L56,IF(ISNUMBER(M56),M56,""))</x:f>
      </x:c>
      <x:c r="P56" s="17" t="n">
        <x:f>IF(ISNUMBER(K56),K56,IF(ISNUMBER(O56),O56,""))</x:f>
        <x:v>60000</x:v>
      </x:c>
      <x:c r="Q56" s="17" t="n">
        <x:f>IF(H56=0,0,IF(ISNUMBER(N56),N56,IF(N56="",IF(H56=F56,P56,""),"")))</x:f>
        <x:v>60000</x:v>
      </x:c>
      <x:c r="R56" s="17" t="n">
        <x:f>IF(ISNUMBER(Q56),ROUND(Q56*$C$4,2),"")</x:f>
        <x:v>10800</x:v>
      </x:c>
      <x:c r="S56" s="17" t="n">
        <x:f>IF(ISNUMBER(Q56),Q56+R56,"")</x:f>
        <x:v>70800</x:v>
      </x:c>
      <x:c r="T56" s="2" t="str">
        <x:f>IF(H56=0,"Not selected",IF(ISNUMBER(N56),"Quote entered",IF(N56&lt;&gt;"","Enter numeric quote",IF(H56=F56,IF(ISNUMBER(P56),"Complete unit","Price required"),"Partial package: price required"))))</x:f>
        <x:v>Complete unit</x:v>
      </x:c>
      <x:c r="U56" s="2" t="str">
        <x:v>TEN-3C994B7C46CE; TEN-94E4888B30AD; TEN-D8AA00083F8E</x:v>
      </x:c>
      <x:c r="V56" s="2" t="str">
        <x:v>Finance &amp; insurance; Unresolved</x:v>
      </x:c>
      <x:c r="W56" s="2" t="str">
        <x:v>Large enterprise; Mixed business audience</x:v>
      </x:c>
      <x:c r="X56" s="17" t="n">
        <x:f>IF(AND(H56=F56,NOT(ISNUMBER(N56)),N56="",ISNUMBER(K56)),K56,0)</x:f>
        <x:v>60000</x:v>
      </x:c>
      <x:c r="Y56" s="17" t="n">
        <x:f>IF(AND(H56=F56,NOT(ISNUMBER(N56)),N56="",K56="",ISNUMBER(O56)),O56,0)</x:f>
        <x:v>0</x:v>
      </x:c>
      <x:c r="Z56" s="17" t="n">
        <x:f>IF(AND(H56&gt;0,ISNUMBER(N56)),N56,0)</x:f>
        <x:v>0</x:v>
      </x:c>
      <x:c r="AA56" s="2" t="n">
        <x:f>IF(AND(H56&gt;0,N56="",NOT(ISNUMBER(Q56))),1,0)</x:f>
        <x:v>0</x:v>
      </x:c>
      <x:c r="AB56" s="2" t="n">
        <x:f>IF(AND(H56&gt;0,N56&lt;&gt;"",NOT(ISNUMBER(N56))),1,0)</x:f>
        <x:v>0</x:v>
      </x:c>
    </x:row>
    <x:row r="57" ht="48" customHeight="1">
      <x:c r="A57" s="2" t="str">
        <x:v>MAIN-054</x:v>
      </x:c>
      <x:c r="B57" s="2" t="str">
        <x:v>Main</x:v>
      </x:c>
      <x:c r="C57" s="2" t="str">
        <x:v>Bengaluru</x:v>
      </x:c>
      <x:c r="D57" s="12" t="str">
        <x:v>Maruthi Platinum</x:v>
      </x:c>
      <x:c r="E57" s="12" t="str">
        <x:v>32 inch LED TV</x:v>
      </x:c>
      <x:c r="F57" s="2" t="n">
        <x:v>1</x:v>
      </x:c>
      <x:c r="G57" s="2" t="n">
        <x:v>19</x:v>
      </x:c>
      <x:c r="H57" s="2" t="n">
        <x:f>COUNTIFS('Inventory'!$N$7:$N$783,A57,'Inventory'!$A$7:$A$783,1)</x:f>
        <x:v>1</x:v>
      </x:c>
      <x:c r="I57" s="2" t="n">
        <x:f>SUMIFS('Inventory'!$G$7:$G$783,'Inventory'!$N$7:$N$783,A57,'Inventory'!$A$7:$A$783,1)</x:f>
        <x:v>19</x:v>
      </x:c>
      <x:c r="J57" s="12" t="str">
        <x:v>Estimate: same-site rate</x:v>
      </x:c>
      <x:c r="K57" s="17"/>
      <x:c r="L57" s="17" t="n">
        <x:v>15000</x:v>
      </x:c>
      <x:c r="M57" s="17"/>
      <x:c r="N57" s="19"/>
      <x:c r="O57" s="17" t="n">
        <x:f>IF(ISNUMBER(L57),G57*L57,IF(ISNUMBER(M57),M57,""))</x:f>
        <x:v>285000</x:v>
      </x:c>
      <x:c r="P57" s="17" t="n">
        <x:f>IF(ISNUMBER(K57),K57,IF(ISNUMBER(O57),O57,""))</x:f>
        <x:v>285000</x:v>
      </x:c>
      <x:c r="Q57" s="17" t="n">
        <x:f>IF(H57=0,0,IF(ISNUMBER(N57),N57,IF(N57="",IF(H57=F57,P57,""),"")))</x:f>
        <x:v>285000</x:v>
      </x:c>
      <x:c r="R57" s="17" t="n">
        <x:f>IF(ISNUMBER(Q57),ROUND(Q57*$C$4,2),"")</x:f>
        <x:v>51300</x:v>
      </x:c>
      <x:c r="S57" s="17" t="n">
        <x:f>IF(ISNUMBER(Q57),Q57+R57,"")</x:f>
        <x:v>336300</x:v>
      </x:c>
      <x:c r="T57" s="2" t="str">
        <x:f>IF(H57=0,"Not selected",IF(ISNUMBER(N57),"Quote entered",IF(N57&lt;&gt;"","Enter numeric quote",IF(H57=F57,IF(ISNUMBER(P57),"Complete unit","Price required"),"Partial package: price required"))))</x:f>
        <x:v>Complete unit</x:v>
      </x:c>
      <x:c r="U57" s="2" t="str">
        <x:v>TEN-29F13F64AB10; TEN-391E3B1AA5D2; TEN-65326AA32AB9</x:v>
      </x:c>
      <x:c r="V57" s="2" t="str">
        <x:v>IT &amp; digital; Finance &amp; insurance</x:v>
      </x:c>
      <x:c r="W57" s="2" t="str">
        <x:v>Small-scale prospects; Large enterprise; Mixed business audience</x:v>
      </x:c>
      <x:c r="X57" s="17" t="n">
        <x:f>IF(AND(H57=F57,NOT(ISNUMBER(N57)),N57="",ISNUMBER(K57)),K57,0)</x:f>
        <x:v>0</x:v>
      </x:c>
      <x:c r="Y57" s="17" t="n">
        <x:f>IF(AND(H57=F57,NOT(ISNUMBER(N57)),N57="",K57="",ISNUMBER(O57)),O57,0)</x:f>
        <x:v>285000</x:v>
      </x:c>
      <x:c r="Z57" s="17" t="n">
        <x:f>IF(AND(H57&gt;0,ISNUMBER(N57)),N57,0)</x:f>
        <x:v>0</x:v>
      </x:c>
      <x:c r="AA57" s="2" t="n">
        <x:f>IF(AND(H57&gt;0,N57="",NOT(ISNUMBER(Q57))),1,0)</x:f>
        <x:v>0</x:v>
      </x:c>
      <x:c r="AB57" s="2" t="n">
        <x:f>IF(AND(H57&gt;0,N57&lt;&gt;"",NOT(ISNUMBER(N57))),1,0)</x:f>
        <x:v>0</x:v>
      </x:c>
    </x:row>
    <x:row r="58" ht="48" customHeight="1">
      <x:c r="A58" s="2" t="str">
        <x:v>MAIN-MSRY7ANC</x:v>
      </x:c>
      <x:c r="B58" s="2" t="str">
        <x:v>Main</x:v>
      </x:c>
      <x:c r="C58" s="2" t="str">
        <x:v>Bengaluru</x:v>
      </x:c>
      <x:c r="D58" s="12" t="str">
        <x:v>Novel Offices - MSR Novel</x:v>
      </x:c>
      <x:c r="E58" s="12" t="str">
        <x:v>32 inch LED TV, 43 inch LED TV</x:v>
      </x:c>
      <x:c r="F58" s="2" t="n">
        <x:v>2</x:v>
      </x:c>
      <x:c r="G58" s="2" t="n">
        <x:v>6</x:v>
      </x:c>
      <x:c r="H58" s="2" t="n">
        <x:f>COUNTIFS('Inventory'!$N$7:$N$783,A58,'Inventory'!$A$7:$A$783,1)</x:f>
        <x:v>2</x:v>
      </x:c>
      <x:c r="I58" s="2" t="n">
        <x:f>SUMIFS('Inventory'!$G$7:$G$783,'Inventory'!$N$7:$N$783,A58,'Inventory'!$A$7:$A$783,1)</x:f>
        <x:v>6</x:v>
      </x:c>
      <x:c r="J58" s="12" t="str">
        <x:v>Campaign whole-site budget</x:v>
      </x:c>
      <x:c r="K58" s="17"/>
      <x:c r="L58" s="17"/>
      <x:c r="M58" s="17" t="n">
        <x:f>40000+4*$E$5</x:f>
        <x:v>120000</x:v>
      </x:c>
      <x:c r="N58" s="19"/>
      <x:c r="O58" s="17" t="n">
        <x:f>IF(ISNUMBER(L58),G58*L58,IF(ISNUMBER(M58),M58,""))</x:f>
        <x:v>120000</x:v>
      </x:c>
      <x:c r="P58" s="17" t="n">
        <x:f>IF(ISNUMBER(K58),K58,IF(ISNUMBER(O58),O58,""))</x:f>
        <x:v>120000</x:v>
      </x:c>
      <x:c r="Q58" s="17" t="n">
        <x:f>IF(H58=0,0,IF(ISNUMBER(N58),N58,IF(N58="",IF(H58=F58,P58,""),"")))</x:f>
        <x:v>120000</x:v>
      </x:c>
      <x:c r="R58" s="17" t="n">
        <x:f>IF(ISNUMBER(Q58),ROUND(Q58*$C$4,2),"")</x:f>
        <x:v>21600</x:v>
      </x:c>
      <x:c r="S58" s="17" t="n">
        <x:f>IF(ISNUMBER(Q58),Q58+R58,"")</x:f>
        <x:v>141600</x:v>
      </x:c>
      <x:c r="T58" s="2" t="str">
        <x:f>IF(H58=0,"Not selected",IF(ISNUMBER(N58),"Quote entered",IF(N58&lt;&gt;"","Enter numeric quote",IF(H58=F58,IF(ISNUMBER(P58),"Complete unit","Price required"),"Partial package: price required"))))</x:f>
        <x:v>Complete unit</x:v>
      </x:c>
      <x:c r="U58" s="2" t="str">
        <x:v>TEN-0A5D7E2C01FC; TEN-4EEAB8193C3F; TEN-9A5A957FDC10; TEN-9B3AF305EFBE</x:v>
      </x:c>
      <x:c r="V58" s="2" t="str">
        <x:v>IT &amp; digital; Education; Trade, consumer &amp; logistics; Unresolved</x:v>
      </x:c>
      <x:c r="W58" s="2" t="str">
        <x:v>Small-scale prospects; Mixed business audience</x:v>
      </x:c>
      <x:c r="X58" s="17" t="n">
        <x:f>IF(AND(H58=F58,NOT(ISNUMBER(N58)),N58="",ISNUMBER(K58)),K58,0)</x:f>
        <x:v>0</x:v>
      </x:c>
      <x:c r="Y58" s="17" t="n">
        <x:f>IF(AND(H58=F58,NOT(ISNUMBER(N58)),N58="",K58="",ISNUMBER(O58)),O58,0)</x:f>
        <x:v>120000</x:v>
      </x:c>
      <x:c r="Z58" s="17" t="n">
        <x:f>IF(AND(H58&gt;0,ISNUMBER(N58)),N58,0)</x:f>
        <x:v>0</x:v>
      </x:c>
      <x:c r="AA58" s="2" t="n">
        <x:f>IF(AND(H58&gt;0,N58="",NOT(ISNUMBER(Q58))),1,0)</x:f>
        <x:v>0</x:v>
      </x:c>
      <x:c r="AB58" s="2" t="n">
        <x:f>IF(AND(H58&gt;0,N58&lt;&gt;"",NOT(ISNUMBER(N58))),1,0)</x:f>
        <x:v>0</x:v>
      </x:c>
    </x:row>
    <x:row r="59" ht="48" customHeight="1">
      <x:c r="A59" s="2" t="str">
        <x:v>MAIN-057</x:v>
      </x:c>
      <x:c r="B59" s="2" t="str">
        <x:v>Main</x:v>
      </x:c>
      <x:c r="C59" s="2" t="str">
        <x:v>Bengaluru</x:v>
      </x:c>
      <x:c r="D59" s="12" t="str">
        <x:v>Novel Offices - Queens Road</x:v>
      </x:c>
      <x:c r="E59" s="12" t="str">
        <x:v>32 inch LED TV</x:v>
      </x:c>
      <x:c r="F59" s="2" t="n">
        <x:v>1</x:v>
      </x:c>
      <x:c r="G59" s="2" t="n">
        <x:v>3</x:v>
      </x:c>
      <x:c r="H59" s="2" t="n">
        <x:f>COUNTIFS('Inventory'!$N$7:$N$783,A59,'Inventory'!$A$7:$A$783,1)</x:f>
        <x:v>1</x:v>
      </x:c>
      <x:c r="I59" s="2" t="n">
        <x:f>SUMIFS('Inventory'!$G$7:$G$783,'Inventory'!$N$7:$N$783,A59,'Inventory'!$A$7:$A$783,1)</x:f>
        <x:v>3</x:v>
      </x:c>
      <x:c r="J59" s="12" t="str">
        <x:v>Listed budget</x:v>
      </x:c>
      <x:c r="K59" s="17" t="n">
        <x:v>45000</x:v>
      </x:c>
      <x:c r="L59" s="17"/>
      <x:c r="M59" s="17"/>
      <x:c r="N59" s="19"/>
      <x:c r="O59" s="17" t="str">
        <x:f>IF(ISNUMBER(L59),G59*L59,IF(ISNUMBER(M59),M59,""))</x:f>
      </x:c>
      <x:c r="P59" s="17" t="n">
        <x:f>IF(ISNUMBER(K59),K59,IF(ISNUMBER(O59),O59,""))</x:f>
        <x:v>45000</x:v>
      </x:c>
      <x:c r="Q59" s="17" t="n">
        <x:f>IF(H59=0,0,IF(ISNUMBER(N59),N59,IF(N59="",IF(H59=F59,P59,""),"")))</x:f>
        <x:v>45000</x:v>
      </x:c>
      <x:c r="R59" s="17" t="n">
        <x:f>IF(ISNUMBER(Q59),ROUND(Q59*$C$4,2),"")</x:f>
        <x:v>8100</x:v>
      </x:c>
      <x:c r="S59" s="17" t="n">
        <x:f>IF(ISNUMBER(Q59),Q59+R59,"")</x:f>
        <x:v>53100</x:v>
      </x:c>
      <x:c r="T59" s="2" t="str">
        <x:f>IF(H59=0,"Not selected",IF(ISNUMBER(N59),"Quote entered",IF(N59&lt;&gt;"","Enter numeric quote",IF(H59=F59,IF(ISNUMBER(P59),"Complete unit","Price required"),"Partial package: price required"))))</x:f>
        <x:v>Complete unit</x:v>
      </x:c>
      <x:c r="U59" s="2" t="str">
        <x:v>TEN-CBDE5EAC5F77</x:v>
      </x:c>
      <x:c r="V59" s="2" t="str">
        <x:v>Workspace &amp; property operations</x:v>
      </x:c>
      <x:c r="W59" s="2" t="str">
        <x:v>Mixed business audience</x:v>
      </x:c>
      <x:c r="X59" s="17" t="n">
        <x:f>IF(AND(H59=F59,NOT(ISNUMBER(N59)),N59="",ISNUMBER(K59)),K59,0)</x:f>
        <x:v>45000</x:v>
      </x:c>
      <x:c r="Y59" s="17" t="n">
        <x:f>IF(AND(H59=F59,NOT(ISNUMBER(N59)),N59="",K59="",ISNUMBER(O59)),O59,0)</x:f>
        <x:v>0</x:v>
      </x:c>
      <x:c r="Z59" s="17" t="n">
        <x:f>IF(AND(H59&gt;0,ISNUMBER(N59)),N59,0)</x:f>
        <x:v>0</x:v>
      </x:c>
      <x:c r="AA59" s="2" t="n">
        <x:f>IF(AND(H59&gt;0,N59="",NOT(ISNUMBER(Q59))),1,0)</x:f>
        <x:v>0</x:v>
      </x:c>
      <x:c r="AB59" s="2" t="n">
        <x:f>IF(AND(H59&gt;0,N59&lt;&gt;"",NOT(ISNUMBER(N59))),1,0)</x:f>
        <x:v>0</x:v>
      </x:c>
    </x:row>
    <x:row r="60" ht="48" customHeight="1">
      <x:c r="A60" s="2" t="str">
        <x:v>MAIN-058</x:v>
      </x:c>
      <x:c r="B60" s="2" t="str">
        <x:v>Main</x:v>
      </x:c>
      <x:c r="C60" s="2" t="str">
        <x:v>Bengaluru</x:v>
      </x:c>
      <x:c r="D60" s="12" t="str">
        <x:v>Novel Offices - WorkHub</x:v>
      </x:c>
      <x:c r="E60" s="12" t="str">
        <x:v>43 inch LED TV</x:v>
      </x:c>
      <x:c r="F60" s="2" t="n">
        <x:v>1</x:v>
      </x:c>
      <x:c r="G60" s="2" t="n">
        <x:v>4</x:v>
      </x:c>
      <x:c r="H60" s="2" t="n">
        <x:f>COUNTIFS('Inventory'!$N$7:$N$783,A60,'Inventory'!$A$7:$A$783,1)</x:f>
        <x:v>1</x:v>
      </x:c>
      <x:c r="I60" s="2" t="n">
        <x:f>SUMIFS('Inventory'!$G$7:$G$783,'Inventory'!$N$7:$N$783,A60,'Inventory'!$A$7:$A$783,1)</x:f>
        <x:v>4</x:v>
      </x:c>
      <x:c r="J60" s="12" t="str">
        <x:v>Campaign format rate</x:v>
      </x:c>
      <x:c r="K60" s="17"/>
      <x:c r="L60" s="17" t="n">
        <x:f>$E$5</x:f>
        <x:v>20000</x:v>
      </x:c>
      <x:c r="M60" s="17"/>
      <x:c r="N60" s="19"/>
      <x:c r="O60" s="17" t="n">
        <x:f>IF(ISNUMBER(L60),G60*L60,IF(ISNUMBER(M60),M60,""))</x:f>
        <x:v>80000</x:v>
      </x:c>
      <x:c r="P60" s="17" t="n">
        <x:f>IF(ISNUMBER(K60),K60,IF(ISNUMBER(O60),O60,""))</x:f>
        <x:v>80000</x:v>
      </x:c>
      <x:c r="Q60" s="17" t="n">
        <x:f>IF(H60=0,0,IF(ISNUMBER(N60),N60,IF(N60="",IF(H60=F60,P60,""),"")))</x:f>
        <x:v>80000</x:v>
      </x:c>
      <x:c r="R60" s="17" t="n">
        <x:f>IF(ISNUMBER(Q60),ROUND(Q60*$C$4,2),"")</x:f>
        <x:v>14400</x:v>
      </x:c>
      <x:c r="S60" s="17" t="n">
        <x:f>IF(ISNUMBER(Q60),Q60+R60,"")</x:f>
        <x:v>94400</x:v>
      </x:c>
      <x:c r="T60" s="2" t="str">
        <x:f>IF(H60=0,"Not selected",IF(ISNUMBER(N60),"Quote entered",IF(N60&lt;&gt;"","Enter numeric quote",IF(H60=F60,IF(ISNUMBER(P60),"Complete unit","Price required"),"Partial package: price required"))))</x:f>
        <x:v>Complete unit</x:v>
      </x:c>
      <x:c r="U60" s="2" t="str">
        <x:v>TEN-CBDE5EAC5F77</x:v>
      </x:c>
      <x:c r="V60" s="2" t="str">
        <x:v>Workspace &amp; property operations</x:v>
      </x:c>
      <x:c r="W60" s="2" t="str">
        <x:v>Mixed business audience</x:v>
      </x:c>
      <x:c r="X60" s="17" t="n">
        <x:f>IF(AND(H60=F60,NOT(ISNUMBER(N60)),N60="",ISNUMBER(K60)),K60,0)</x:f>
        <x:v>0</x:v>
      </x:c>
      <x:c r="Y60" s="17" t="n">
        <x:f>IF(AND(H60=F60,NOT(ISNUMBER(N60)),N60="",K60="",ISNUMBER(O60)),O60,0)</x:f>
        <x:v>80000</x:v>
      </x:c>
      <x:c r="Z60" s="17" t="n">
        <x:f>IF(AND(H60&gt;0,ISNUMBER(N60)),N60,0)</x:f>
        <x:v>0</x:v>
      </x:c>
      <x:c r="AA60" s="2" t="n">
        <x:f>IF(AND(H60&gt;0,N60="",NOT(ISNUMBER(Q60))),1,0)</x:f>
        <x:v>0</x:v>
      </x:c>
      <x:c r="AB60" s="2" t="n">
        <x:f>IF(AND(H60&gt;0,N60&lt;&gt;"",NOT(ISNUMBER(N60))),1,0)</x:f>
        <x:v>0</x:v>
      </x:c>
    </x:row>
    <x:row r="61" ht="48" customHeight="1">
      <x:c r="A61" s="2" t="str">
        <x:v>MAIN-059</x:v>
      </x:c>
      <x:c r="B61" s="2" t="str">
        <x:v>Main</x:v>
      </x:c>
      <x:c r="C61" s="2" t="str">
        <x:v>Bengaluru</x:v>
      </x:c>
      <x:c r="D61" s="12" t="str">
        <x:v>Novel Tech Park</x:v>
      </x:c>
      <x:c r="E61" s="12" t="str">
        <x:v>32 inch LED TV</x:v>
      </x:c>
      <x:c r="F61" s="2" t="n">
        <x:v>1</x:v>
      </x:c>
      <x:c r="G61" s="2" t="n">
        <x:v>8</x:v>
      </x:c>
      <x:c r="H61" s="2" t="n">
        <x:f>COUNTIFS('Inventory'!$N$7:$N$783,A61,'Inventory'!$A$7:$A$783,1)</x:f>
        <x:v>1</x:v>
      </x:c>
      <x:c r="I61" s="2" t="n">
        <x:f>SUMIFS('Inventory'!$G$7:$G$783,'Inventory'!$N$7:$N$783,A61,'Inventory'!$A$7:$A$783,1)</x:f>
        <x:v>8</x:v>
      </x:c>
      <x:c r="J61" s="12" t="str">
        <x:v>Listed budget</x:v>
      </x:c>
      <x:c r="K61" s="17" t="n">
        <x:v>120000</x:v>
      </x:c>
      <x:c r="L61" s="17"/>
      <x:c r="M61" s="17"/>
      <x:c r="N61" s="19"/>
      <x:c r="O61" s="17" t="str">
        <x:f>IF(ISNUMBER(L61),G61*L61,IF(ISNUMBER(M61),M61,""))</x:f>
      </x:c>
      <x:c r="P61" s="17" t="n">
        <x:f>IF(ISNUMBER(K61),K61,IF(ISNUMBER(O61),O61,""))</x:f>
        <x:v>120000</x:v>
      </x:c>
      <x:c r="Q61" s="17" t="n">
        <x:f>IF(H61=0,0,IF(ISNUMBER(N61),N61,IF(N61="",IF(H61=F61,P61,""),"")))</x:f>
        <x:v>120000</x:v>
      </x:c>
      <x:c r="R61" s="17" t="n">
        <x:f>IF(ISNUMBER(Q61),ROUND(Q61*$C$4,2),"")</x:f>
        <x:v>21600</x:v>
      </x:c>
      <x:c r="S61" s="17" t="n">
        <x:f>IF(ISNUMBER(Q61),Q61+R61,"")</x:f>
        <x:v>141600</x:v>
      </x:c>
      <x:c r="T61" s="2" t="str">
        <x:f>IF(H61=0,"Not selected",IF(ISNUMBER(N61),"Quote entered",IF(N61&lt;&gt;"","Enter numeric quote",IF(H61=F61,IF(ISNUMBER(P61),"Complete unit","Price required"),"Partial package: price required"))))</x:f>
        <x:v>Complete unit</x:v>
      </x:c>
      <x:c r="U61" s="2" t="str">
        <x:v>TEN-04F202FBF5EA; TEN-142E170DC497; TEN-2A6BCCCC6FFB; TEN-65A73EFC76E1; TEN-7390097A224B; TEN-7F563D349816; TEN-8DA2C436460E; TEN-9EC6F680C0E5; TEN-AEB35762B6A7; TEN-B4CCCBDBA7EA; TEN-E47B93135ACE</x:v>
      </x:c>
      <x:c r="V61" s="2" t="str">
        <x:v>IT &amp; digital; Professional services; Engineering &amp; manufacturing; Healthcare &amp; life sciences; Unresolved</x:v>
      </x:c>
      <x:c r="W61" s="2" t="str">
        <x:v>Small-scale prospects; Medium-scale prospects; Mixed business audience</x:v>
      </x:c>
      <x:c r="X61" s="17" t="n">
        <x:f>IF(AND(H61=F61,NOT(ISNUMBER(N61)),N61="",ISNUMBER(K61)),K61,0)</x:f>
        <x:v>120000</x:v>
      </x:c>
      <x:c r="Y61" s="17" t="n">
        <x:f>IF(AND(H61=F61,NOT(ISNUMBER(N61)),N61="",K61="",ISNUMBER(O61)),O61,0)</x:f>
        <x:v>0</x:v>
      </x:c>
      <x:c r="Z61" s="17" t="n">
        <x:f>IF(AND(H61&gt;0,ISNUMBER(N61)),N61,0)</x:f>
        <x:v>0</x:v>
      </x:c>
      <x:c r="AA61" s="2" t="n">
        <x:f>IF(AND(H61&gt;0,N61="",NOT(ISNUMBER(Q61))),1,0)</x:f>
        <x:v>0</x:v>
      </x:c>
      <x:c r="AB61" s="2" t="n">
        <x:f>IF(AND(H61&gt;0,N61&lt;&gt;"",NOT(ISNUMBER(N61))),1,0)</x:f>
        <x:v>0</x:v>
      </x:c>
    </x:row>
    <x:row r="62" ht="48" customHeight="1">
      <x:c r="A62" s="2" t="str">
        <x:v>MAIN-060</x:v>
      </x:c>
      <x:c r="B62" s="2" t="str">
        <x:v>Main</x:v>
      </x:c>
      <x:c r="C62" s="2" t="str">
        <x:v>Bengaluru</x:v>
      </x:c>
      <x:c r="D62" s="12" t="str">
        <x:v>Nucleus - Cessna Business Park</x:v>
      </x:c>
      <x:c r="E62" s="12" t="str">
        <x:v>55 inch LED TV</x:v>
      </x:c>
      <x:c r="F62" s="2" t="n">
        <x:v>1</x:v>
      </x:c>
      <x:c r="G62" s="2" t="n">
        <x:v>6</x:v>
      </x:c>
      <x:c r="H62" s="2" t="n">
        <x:f>COUNTIFS('Inventory'!$N$7:$N$783,A62,'Inventory'!$A$7:$A$783,1)</x:f>
        <x:v>1</x:v>
      </x:c>
      <x:c r="I62" s="2" t="n">
        <x:f>SUMIFS('Inventory'!$G$7:$G$783,'Inventory'!$N$7:$N$783,A62,'Inventory'!$A$7:$A$783,1)</x:f>
        <x:v>6</x:v>
      </x:c>
      <x:c r="J62" s="12" t="str">
        <x:v>Campaign format rate</x:v>
      </x:c>
      <x:c r="K62" s="17"/>
      <x:c r="L62" s="17" t="n">
        <x:f>$I$5</x:f>
        <x:v>40000</x:v>
      </x:c>
      <x:c r="M62" s="17"/>
      <x:c r="N62" s="19"/>
      <x:c r="O62" s="17" t="n">
        <x:f>IF(ISNUMBER(L62),G62*L62,IF(ISNUMBER(M62),M62,""))</x:f>
        <x:v>240000</x:v>
      </x:c>
      <x:c r="P62" s="17" t="n">
        <x:f>IF(ISNUMBER(K62),K62,IF(ISNUMBER(O62),O62,""))</x:f>
        <x:v>240000</x:v>
      </x:c>
      <x:c r="Q62" s="17" t="n">
        <x:f>IF(H62=0,0,IF(ISNUMBER(N62),N62,IF(N62="",IF(H62=F62,P62,""),"")))</x:f>
        <x:v>240000</x:v>
      </x:c>
      <x:c r="R62" s="17" t="n">
        <x:f>IF(ISNUMBER(Q62),ROUND(Q62*$C$4,2),"")</x:f>
        <x:v>43200</x:v>
      </x:c>
      <x:c r="S62" s="17" t="n">
        <x:f>IF(ISNUMBER(Q62),Q62+R62,"")</x:f>
        <x:v>283200</x:v>
      </x:c>
      <x:c r="T62" s="2" t="str">
        <x:f>IF(H62=0,"Not selected",IF(ISNUMBER(N62),"Quote entered",IF(N62&lt;&gt;"","Enter numeric quote",IF(H62=F62,IF(ISNUMBER(P62),"Complete unit","Price required"),"Partial package: price required"))))</x:f>
        <x:v>Complete unit</x:v>
      </x:c>
      <x:c r="U62" s="2" t="str">
        <x:v>TEN-943C3EEB252D; TEN-B91BF0E0084F; TEN-D297BBA735FE; TEN-E73B79A0B10F; TEN-F43D0727CFB6; TEN-F55A85B2F2EB</x:v>
      </x:c>
      <x:c r="V62" s="2" t="str">
        <x:v>IT &amp; digital; Finance &amp; insurance; Trade, consumer &amp; logistics; Unresolved</x:v>
      </x:c>
      <x:c r="W62" s="2" t="str">
        <x:v>Large enterprise; Mixed business audience</x:v>
      </x:c>
      <x:c r="X62" s="17" t="n">
        <x:f>IF(AND(H62=F62,NOT(ISNUMBER(N62)),N62="",ISNUMBER(K62)),K62,0)</x:f>
        <x:v>0</x:v>
      </x:c>
      <x:c r="Y62" s="17" t="n">
        <x:f>IF(AND(H62=F62,NOT(ISNUMBER(N62)),N62="",K62="",ISNUMBER(O62)),O62,0)</x:f>
        <x:v>240000</x:v>
      </x:c>
      <x:c r="Z62" s="17" t="n">
        <x:f>IF(AND(H62&gt;0,ISNUMBER(N62)),N62,0)</x:f>
        <x:v>0</x:v>
      </x:c>
      <x:c r="AA62" s="2" t="n">
        <x:f>IF(AND(H62&gt;0,N62="",NOT(ISNUMBER(Q62))),1,0)</x:f>
        <x:v>0</x:v>
      </x:c>
      <x:c r="AB62" s="2" t="n">
        <x:f>IF(AND(H62&gt;0,N62&lt;&gt;"",NOT(ISNUMBER(N62))),1,0)</x:f>
        <x:v>0</x:v>
      </x:c>
    </x:row>
    <x:row r="63" ht="48" customHeight="1">
      <x:c r="A63" s="2" t="str">
        <x:v>MAIN-062</x:v>
      </x:c>
      <x:c r="B63" s="2" t="str">
        <x:v>Main</x:v>
      </x:c>
      <x:c r="C63" s="2" t="str">
        <x:v>Bengaluru</x:v>
      </x:c>
      <x:c r="D63" s="12" t="str">
        <x:v>Nucleus - Exora Business Park</x:v>
      </x:c>
      <x:c r="E63" s="12" t="str">
        <x:v>55 inch LED TV</x:v>
      </x:c>
      <x:c r="F63" s="2" t="n">
        <x:v>1</x:v>
      </x:c>
      <x:c r="G63" s="2" t="n">
        <x:v>5</x:v>
      </x:c>
      <x:c r="H63" s="2" t="n">
        <x:f>COUNTIFS('Inventory'!$N$7:$N$783,A63,'Inventory'!$A$7:$A$783,1)</x:f>
        <x:v>1</x:v>
      </x:c>
      <x:c r="I63" s="2" t="n">
        <x:f>SUMIFS('Inventory'!$G$7:$G$783,'Inventory'!$N$7:$N$783,A63,'Inventory'!$A$7:$A$783,1)</x:f>
        <x:v>5</x:v>
      </x:c>
      <x:c r="J63" s="12" t="str">
        <x:v>Campaign format rate</x:v>
      </x:c>
      <x:c r="K63" s="17"/>
      <x:c r="L63" s="17" t="n">
        <x:f>$I$5</x:f>
        <x:v>40000</x:v>
      </x:c>
      <x:c r="M63" s="17"/>
      <x:c r="N63" s="19"/>
      <x:c r="O63" s="17" t="n">
        <x:f>IF(ISNUMBER(L63),G63*L63,IF(ISNUMBER(M63),M63,""))</x:f>
        <x:v>200000</x:v>
      </x:c>
      <x:c r="P63" s="17" t="n">
        <x:f>IF(ISNUMBER(K63),K63,IF(ISNUMBER(O63),O63,""))</x:f>
        <x:v>200000</x:v>
      </x:c>
      <x:c r="Q63" s="17" t="n">
        <x:f>IF(H63=0,0,IF(ISNUMBER(N63),N63,IF(N63="",IF(H63=F63,P63,""),"")))</x:f>
        <x:v>200000</x:v>
      </x:c>
      <x:c r="R63" s="17" t="n">
        <x:f>IF(ISNUMBER(Q63),ROUND(Q63*$C$4,2),"")</x:f>
        <x:v>36000</x:v>
      </x:c>
      <x:c r="S63" s="17" t="n">
        <x:f>IF(ISNUMBER(Q63),Q63+R63,"")</x:f>
        <x:v>236000</x:v>
      </x:c>
      <x:c r="T63" s="2" t="str">
        <x:f>IF(H63=0,"Not selected",IF(ISNUMBER(N63),"Quote entered",IF(N63&lt;&gt;"","Enter numeric quote",IF(H63=F63,IF(ISNUMBER(P63),"Complete unit","Price required"),"Partial package: price required"))))</x:f>
        <x:v>Complete unit</x:v>
      </x:c>
      <x:c r="U63" s="2" t="str">
        <x:v>TEN-1AAF3025033C; TEN-28CBC5A35638; TEN-BC00765320D0; TEN-CC1BF7890031; TEN-DFAD7388CC62; TEN-ECB57128BCE9</x:v>
      </x:c>
      <x:c r="V63" s="2" t="str">
        <x:v>IT &amp; digital; Engineering &amp; manufacturing; Government &amp; nonprofit; Unresolved</x:v>
      </x:c>
      <x:c r="W63" s="2" t="str">
        <x:v>Large enterprise; Institutional; Mixed business audience</x:v>
      </x:c>
      <x:c r="X63" s="17" t="n">
        <x:f>IF(AND(H63=F63,NOT(ISNUMBER(N63)),N63="",ISNUMBER(K63)),K63,0)</x:f>
        <x:v>0</x:v>
      </x:c>
      <x:c r="Y63" s="17" t="n">
        <x:f>IF(AND(H63=F63,NOT(ISNUMBER(N63)),N63="",K63="",ISNUMBER(O63)),O63,0)</x:f>
        <x:v>200000</x:v>
      </x:c>
      <x:c r="Z63" s="17" t="n">
        <x:f>IF(AND(H63&gt;0,ISNUMBER(N63)),N63,0)</x:f>
        <x:v>0</x:v>
      </x:c>
      <x:c r="AA63" s="2" t="n">
        <x:f>IF(AND(H63&gt;0,N63="",NOT(ISNUMBER(Q63))),1,0)</x:f>
        <x:v>0</x:v>
      </x:c>
      <x:c r="AB63" s="2" t="n">
        <x:f>IF(AND(H63&gt;0,N63&lt;&gt;"",NOT(ISNUMBER(N63))),1,0)</x:f>
        <x:v>0</x:v>
      </x:c>
    </x:row>
    <x:row r="64" ht="48" customHeight="1">
      <x:c r="A64" s="2" t="str">
        <x:v>MAIN-063</x:v>
      </x:c>
      <x:c r="B64" s="2" t="str">
        <x:v>Main</x:v>
      </x:c>
      <x:c r="C64" s="2" t="str">
        <x:v>Bengaluru</x:v>
      </x:c>
      <x:c r="D64" s="12" t="str">
        <x:v>Nucleus - Prestige One Trade Tower</x:v>
      </x:c>
      <x:c r="E64" s="12" t="str">
        <x:v>55 inch LED TV</x:v>
      </x:c>
      <x:c r="F64" s="2" t="n">
        <x:v>1</x:v>
      </x:c>
      <x:c r="G64" s="2" t="n">
        <x:v>2</x:v>
      </x:c>
      <x:c r="H64" s="2" t="n">
        <x:f>COUNTIFS('Inventory'!$N$7:$N$783,A64,'Inventory'!$A$7:$A$783,1)</x:f>
        <x:v>1</x:v>
      </x:c>
      <x:c r="I64" s="2" t="n">
        <x:f>SUMIFS('Inventory'!$G$7:$G$783,'Inventory'!$N$7:$N$783,A64,'Inventory'!$A$7:$A$783,1)</x:f>
        <x:v>2</x:v>
      </x:c>
      <x:c r="J64" s="12" t="str">
        <x:v>Campaign format rate</x:v>
      </x:c>
      <x:c r="K64" s="17"/>
      <x:c r="L64" s="17" t="n">
        <x:f>$I$5</x:f>
        <x:v>40000</x:v>
      </x:c>
      <x:c r="M64" s="17"/>
      <x:c r="N64" s="19"/>
      <x:c r="O64" s="17" t="n">
        <x:f>IF(ISNUMBER(L64),G64*L64,IF(ISNUMBER(M64),M64,""))</x:f>
        <x:v>80000</x:v>
      </x:c>
      <x:c r="P64" s="17" t="n">
        <x:f>IF(ISNUMBER(K64),K64,IF(ISNUMBER(O64),O64,""))</x:f>
        <x:v>80000</x:v>
      </x:c>
      <x:c r="Q64" s="17" t="n">
        <x:f>IF(H64=0,0,IF(ISNUMBER(N64),N64,IF(N64="",IF(H64=F64,P64,""),"")))</x:f>
        <x:v>80000</x:v>
      </x:c>
      <x:c r="R64" s="17" t="n">
        <x:f>IF(ISNUMBER(Q64),ROUND(Q64*$C$4,2),"")</x:f>
        <x:v>14400</x:v>
      </x:c>
      <x:c r="S64" s="17" t="n">
        <x:f>IF(ISNUMBER(Q64),Q64+R64,"")</x:f>
        <x:v>94400</x:v>
      </x:c>
      <x:c r="T64" s="2" t="str">
        <x:f>IF(H64=0,"Not selected",IF(ISNUMBER(N64),"Quote entered",IF(N64&lt;&gt;"","Enter numeric quote",IF(H64=F64,IF(ISNUMBER(P64),"Complete unit","Price required"),"Partial package: price required"))))</x:f>
        <x:v>Complete unit</x:v>
      </x:c>
      <x:c r="U64" s="2" t="str">
        <x:v>TEN-15DD2ABC35D5; TEN-3821E9F1FF90; TEN-3DC171281801; TEN-3E808ECE8227; TEN-4F90BB2CBD83; TEN-528DA6917A84; TEN-5F1955B90E63; TEN-69AFDF39DA60; TEN-6BFCEA63FC2C; TEN-9FFBD94DEBEC; TEN-B8719DBA3547</x:v>
      </x:c>
      <x:c r="V64" s="2" t="str">
        <x:v>IT &amp; digital; Professional services; Engineering &amp; manufacturing; Healthcare &amp; life sciences; Trade, consumer &amp; logistics; Workspace &amp; property operations; Unresolved</x:v>
      </x:c>
      <x:c r="W64" s="2" t="str">
        <x:v>Small-scale prospects; Large enterprise; Mixed business audience</x:v>
      </x:c>
      <x:c r="X64" s="17" t="n">
        <x:f>IF(AND(H64=F64,NOT(ISNUMBER(N64)),N64="",ISNUMBER(K64)),K64,0)</x:f>
        <x:v>0</x:v>
      </x:c>
      <x:c r="Y64" s="17" t="n">
        <x:f>IF(AND(H64=F64,NOT(ISNUMBER(N64)),N64="",K64="",ISNUMBER(O64)),O64,0)</x:f>
        <x:v>80000</x:v>
      </x:c>
      <x:c r="Z64" s="17" t="n">
        <x:f>IF(AND(H64&gt;0,ISNUMBER(N64)),N64,0)</x:f>
        <x:v>0</x:v>
      </x:c>
      <x:c r="AA64" s="2" t="n">
        <x:f>IF(AND(H64&gt;0,N64="",NOT(ISNUMBER(Q64))),1,0)</x:f>
        <x:v>0</x:v>
      </x:c>
      <x:c r="AB64" s="2" t="n">
        <x:f>IF(AND(H64&gt;0,N64&lt;&gt;"",NOT(ISNUMBER(N64))),1,0)</x:f>
        <x:v>0</x:v>
      </x:c>
    </x:row>
    <x:row r="65" ht="48" customHeight="1">
      <x:c r="A65" s="2" t="str">
        <x:v>MAIN-064</x:v>
      </x:c>
      <x:c r="B65" s="2" t="str">
        <x:v>Main</x:v>
      </x:c>
      <x:c r="C65" s="2" t="str">
        <x:v>Bengaluru</x:v>
      </x:c>
      <x:c r="D65" s="12" t="str">
        <x:v>Obeya - Brio</x:v>
      </x:c>
      <x:c r="E65" s="12" t="str">
        <x:v>32 inch LED TV</x:v>
      </x:c>
      <x:c r="F65" s="2" t="n">
        <x:v>1</x:v>
      </x:c>
      <x:c r="G65" s="2" t="n">
        <x:v>1</x:v>
      </x:c>
      <x:c r="H65" s="2" t="n">
        <x:f>COUNTIFS('Inventory'!$N$7:$N$783,A65,'Inventory'!$A$7:$A$783,1)</x:f>
        <x:v>1</x:v>
      </x:c>
      <x:c r="I65" s="2" t="n">
        <x:f>SUMIFS('Inventory'!$G$7:$G$783,'Inventory'!$N$7:$N$783,A65,'Inventory'!$A$7:$A$783,1)</x:f>
        <x:v>1</x:v>
      </x:c>
      <x:c r="J65" s="12" t="str">
        <x:v>Listed budget</x:v>
      </x:c>
      <x:c r="K65" s="17" t="n">
        <x:v>15000</x:v>
      </x:c>
      <x:c r="L65" s="17"/>
      <x:c r="M65" s="17"/>
      <x:c r="N65" s="19"/>
      <x:c r="O65" s="17" t="str">
        <x:f>IF(ISNUMBER(L65),G65*L65,IF(ISNUMBER(M65),M65,""))</x:f>
      </x:c>
      <x:c r="P65" s="17" t="n">
        <x:f>IF(ISNUMBER(K65),K65,IF(ISNUMBER(O65),O65,""))</x:f>
        <x:v>15000</x:v>
      </x:c>
      <x:c r="Q65" s="17" t="n">
        <x:f>IF(H65=0,0,IF(ISNUMBER(N65),N65,IF(N65="",IF(H65=F65,P65,""),"")))</x:f>
        <x:v>15000</x:v>
      </x:c>
      <x:c r="R65" s="17" t="n">
        <x:f>IF(ISNUMBER(Q65),ROUND(Q65*$C$4,2),"")</x:f>
        <x:v>2700</x:v>
      </x:c>
      <x:c r="S65" s="17" t="n">
        <x:f>IF(ISNUMBER(Q65),Q65+R65,"")</x:f>
        <x:v>17700</x:v>
      </x:c>
      <x:c r="T65" s="2" t="str">
        <x:f>IF(H65=0,"Not selected",IF(ISNUMBER(N65),"Quote entered",IF(N65&lt;&gt;"","Enter numeric quote",IF(H65=F65,IF(ISNUMBER(P65),"Complete unit","Price required"),"Partial package: price required"))))</x:f>
        <x:v>Complete unit</x:v>
      </x:c>
      <x:c r="U65" s="2" t="str">
        <x:v>TEN-2789E0ED91DF; TEN-768BAA309EEE</x:v>
      </x:c>
      <x:c r="V65" s="2" t="str">
        <x:v>IT &amp; digital; Unresolved</x:v>
      </x:c>
      <x:c r="W65" s="2" t="str">
        <x:v>Small-scale prospects; Mixed business audience</x:v>
      </x:c>
      <x:c r="X65" s="17" t="n">
        <x:f>IF(AND(H65=F65,NOT(ISNUMBER(N65)),N65="",ISNUMBER(K65)),K65,0)</x:f>
        <x:v>15000</x:v>
      </x:c>
      <x:c r="Y65" s="17" t="n">
        <x:f>IF(AND(H65=F65,NOT(ISNUMBER(N65)),N65="",K65="",ISNUMBER(O65)),O65,0)</x:f>
        <x:v>0</x:v>
      </x:c>
      <x:c r="Z65" s="17" t="n">
        <x:f>IF(AND(H65&gt;0,ISNUMBER(N65)),N65,0)</x:f>
        <x:v>0</x:v>
      </x:c>
      <x:c r="AA65" s="2" t="n">
        <x:f>IF(AND(H65&gt;0,N65="",NOT(ISNUMBER(Q65))),1,0)</x:f>
        <x:v>0</x:v>
      </x:c>
      <x:c r="AB65" s="2" t="n">
        <x:f>IF(AND(H65&gt;0,N65&lt;&gt;"",NOT(ISNUMBER(N65))),1,0)</x:f>
        <x:v>0</x:v>
      </x:c>
    </x:row>
    <x:row r="66" ht="48" customHeight="1">
      <x:c r="A66" s="2" t="str">
        <x:v>MAIN-065</x:v>
      </x:c>
      <x:c r="B66" s="2" t="str">
        <x:v>Main</x:v>
      </x:c>
      <x:c r="C66" s="2" t="str">
        <x:v>Bengaluru</x:v>
      </x:c>
      <x:c r="D66" s="12" t="str">
        <x:v>Obeya - Elan</x:v>
      </x:c>
      <x:c r="E66" s="12" t="str">
        <x:v>32 inch LED TV</x:v>
      </x:c>
      <x:c r="F66" s="2" t="n">
        <x:v>1</x:v>
      </x:c>
      <x:c r="G66" s="2" t="n">
        <x:v>1</x:v>
      </x:c>
      <x:c r="H66" s="2" t="n">
        <x:f>COUNTIFS('Inventory'!$N$7:$N$783,A66,'Inventory'!$A$7:$A$783,1)</x:f>
        <x:v>1</x:v>
      </x:c>
      <x:c r="I66" s="2" t="n">
        <x:f>SUMIFS('Inventory'!$G$7:$G$783,'Inventory'!$N$7:$N$783,A66,'Inventory'!$A$7:$A$783,1)</x:f>
        <x:v>1</x:v>
      </x:c>
      <x:c r="J66" s="12" t="str">
        <x:v>Listed budget</x:v>
      </x:c>
      <x:c r="K66" s="17" t="n">
        <x:v>15000</x:v>
      </x:c>
      <x:c r="L66" s="17"/>
      <x:c r="M66" s="17"/>
      <x:c r="N66" s="19"/>
      <x:c r="O66" s="17" t="str">
        <x:f>IF(ISNUMBER(L66),G66*L66,IF(ISNUMBER(M66),M66,""))</x:f>
      </x:c>
      <x:c r="P66" s="17" t="n">
        <x:f>IF(ISNUMBER(K66),K66,IF(ISNUMBER(O66),O66,""))</x:f>
        <x:v>15000</x:v>
      </x:c>
      <x:c r="Q66" s="17" t="n">
        <x:f>IF(H66=0,0,IF(ISNUMBER(N66),N66,IF(N66="",IF(H66=F66,P66,""),"")))</x:f>
        <x:v>15000</x:v>
      </x:c>
      <x:c r="R66" s="17" t="n">
        <x:f>IF(ISNUMBER(Q66),ROUND(Q66*$C$4,2),"")</x:f>
        <x:v>2700</x:v>
      </x:c>
      <x:c r="S66" s="17" t="n">
        <x:f>IF(ISNUMBER(Q66),Q66+R66,"")</x:f>
        <x:v>17700</x:v>
      </x:c>
      <x:c r="T66" s="2" t="str">
        <x:f>IF(H66=0,"Not selected",IF(ISNUMBER(N66),"Quote entered",IF(N66&lt;&gt;"","Enter numeric quote",IF(H66=F66,IF(ISNUMBER(P66),"Complete unit","Price required"),"Partial package: price required"))))</x:f>
        <x:v>Complete unit</x:v>
      </x:c>
      <x:c r="U66" s="2" t="str">
        <x:v>TEN-82B0C843061B; TEN-95FE0A4B6AB9; TEN-99215B383888; TEN-B20DF9F5D980</x:v>
      </x:c>
      <x:c r="V66" s="2" t="str">
        <x:v>IT &amp; digital; Professional services; Engineering &amp; manufacturing; Education</x:v>
      </x:c>
      <x:c r="W66" s="2" t="str">
        <x:v>Small-scale prospects; Medium-scale prospects; Mixed business audience</x:v>
      </x:c>
      <x:c r="X66" s="17" t="n">
        <x:f>IF(AND(H66=F66,NOT(ISNUMBER(N66)),N66="",ISNUMBER(K66)),K66,0)</x:f>
        <x:v>15000</x:v>
      </x:c>
      <x:c r="Y66" s="17" t="n">
        <x:f>IF(AND(H66=F66,NOT(ISNUMBER(N66)),N66="",K66="",ISNUMBER(O66)),O66,0)</x:f>
        <x:v>0</x:v>
      </x:c>
      <x:c r="Z66" s="17" t="n">
        <x:f>IF(AND(H66&gt;0,ISNUMBER(N66)),N66,0)</x:f>
        <x:v>0</x:v>
      </x:c>
      <x:c r="AA66" s="2" t="n">
        <x:f>IF(AND(H66&gt;0,N66="",NOT(ISNUMBER(Q66))),1,0)</x:f>
        <x:v>0</x:v>
      </x:c>
      <x:c r="AB66" s="2" t="n">
        <x:f>IF(AND(H66&gt;0,N66&lt;&gt;"",NOT(ISNUMBER(N66))),1,0)</x:f>
        <x:v>0</x:v>
      </x:c>
    </x:row>
    <x:row r="67" ht="48" customHeight="1">
      <x:c r="A67" s="2" t="str">
        <x:v>MAIN-066</x:v>
      </x:c>
      <x:c r="B67" s="2" t="str">
        <x:v>Main</x:v>
      </x:c>
      <x:c r="C67" s="2" t="str">
        <x:v>Bengaluru</x:v>
      </x:c>
      <x:c r="D67" s="12" t="str">
        <x:v>Obeya - Gusto</x:v>
      </x:c>
      <x:c r="E67" s="12" t="str">
        <x:v>32 inch LED TV</x:v>
      </x:c>
      <x:c r="F67" s="2" t="n">
        <x:v>1</x:v>
      </x:c>
      <x:c r="G67" s="2" t="n">
        <x:v>1</x:v>
      </x:c>
      <x:c r="H67" s="2" t="n">
        <x:f>COUNTIFS('Inventory'!$N$7:$N$783,A67,'Inventory'!$A$7:$A$783,1)</x:f>
        <x:v>1</x:v>
      </x:c>
      <x:c r="I67" s="2" t="n">
        <x:f>SUMIFS('Inventory'!$G$7:$G$783,'Inventory'!$N$7:$N$783,A67,'Inventory'!$A$7:$A$783,1)</x:f>
        <x:v>1</x:v>
      </x:c>
      <x:c r="J67" s="12" t="str">
        <x:v>Listed budget</x:v>
      </x:c>
      <x:c r="K67" s="17" t="n">
        <x:v>15000</x:v>
      </x:c>
      <x:c r="L67" s="17"/>
      <x:c r="M67" s="17"/>
      <x:c r="N67" s="19"/>
      <x:c r="O67" s="17" t="str">
        <x:f>IF(ISNUMBER(L67),G67*L67,IF(ISNUMBER(M67),M67,""))</x:f>
      </x:c>
      <x:c r="P67" s="17" t="n">
        <x:f>IF(ISNUMBER(K67),K67,IF(ISNUMBER(O67),O67,""))</x:f>
        <x:v>15000</x:v>
      </x:c>
      <x:c r="Q67" s="17" t="n">
        <x:f>IF(H67=0,0,IF(ISNUMBER(N67),N67,IF(N67="",IF(H67=F67,P67,""),"")))</x:f>
        <x:v>15000</x:v>
      </x:c>
      <x:c r="R67" s="17" t="n">
        <x:f>IF(ISNUMBER(Q67),ROUND(Q67*$C$4,2),"")</x:f>
        <x:v>2700</x:v>
      </x:c>
      <x:c r="S67" s="17" t="n">
        <x:f>IF(ISNUMBER(Q67),Q67+R67,"")</x:f>
        <x:v>17700</x:v>
      </x:c>
      <x:c r="T67" s="2" t="str">
        <x:f>IF(H67=0,"Not selected",IF(ISNUMBER(N67),"Quote entered",IF(N67&lt;&gt;"","Enter numeric quote",IF(H67=F67,IF(ISNUMBER(P67),"Complete unit","Price required"),"Partial package: price required"))))</x:f>
        <x:v>Complete unit</x:v>
      </x:c>
      <x:c r="U67" s="2" t="str">
        <x:v>TEN-05D0DCE8B2C4; TEN-1CFBC06C3B3F; TEN-5741AB36EBF3; TEN-D957E432757E</x:v>
      </x:c>
      <x:c r="V67" s="2" t="str">
        <x:v>Professional services; Trade, consumer &amp; logistics; Unresolved</x:v>
      </x:c>
      <x:c r="W67" s="2" t="str">
        <x:v>Small-scale prospects; Mixed business audience</x:v>
      </x:c>
      <x:c r="X67" s="17" t="n">
        <x:f>IF(AND(H67=F67,NOT(ISNUMBER(N67)),N67="",ISNUMBER(K67)),K67,0)</x:f>
        <x:v>15000</x:v>
      </x:c>
      <x:c r="Y67" s="17" t="n">
        <x:f>IF(AND(H67=F67,NOT(ISNUMBER(N67)),N67="",K67="",ISNUMBER(O67)),O67,0)</x:f>
        <x:v>0</x:v>
      </x:c>
      <x:c r="Z67" s="17" t="n">
        <x:f>IF(AND(H67&gt;0,ISNUMBER(N67)),N67,0)</x:f>
        <x:v>0</x:v>
      </x:c>
      <x:c r="AA67" s="2" t="n">
        <x:f>IF(AND(H67&gt;0,N67="",NOT(ISNUMBER(Q67))),1,0)</x:f>
        <x:v>0</x:v>
      </x:c>
      <x:c r="AB67" s="2" t="n">
        <x:f>IF(AND(H67&gt;0,N67&lt;&gt;"",NOT(ISNUMBER(N67))),1,0)</x:f>
        <x:v>0</x:v>
      </x:c>
    </x:row>
    <x:row r="68" ht="48" customHeight="1">
      <x:c r="A68" s="2" t="str">
        <x:v>MAIN-067</x:v>
      </x:c>
      <x:c r="B68" s="2" t="str">
        <x:v>Main</x:v>
      </x:c>
      <x:c r="C68" s="2" t="str">
        <x:v>Bengaluru</x:v>
      </x:c>
      <x:c r="D68" s="12" t="str">
        <x:v>Obeya - Pulse</x:v>
      </x:c>
      <x:c r="E68" s="12" t="str">
        <x:v>32 inch LED TV</x:v>
      </x:c>
      <x:c r="F68" s="2" t="n">
        <x:v>1</x:v>
      </x:c>
      <x:c r="G68" s="2" t="n">
        <x:v>2</x:v>
      </x:c>
      <x:c r="H68" s="2" t="n">
        <x:f>COUNTIFS('Inventory'!$N$7:$N$783,A68,'Inventory'!$A$7:$A$783,1)</x:f>
        <x:v>1</x:v>
      </x:c>
      <x:c r="I68" s="2" t="n">
        <x:f>SUMIFS('Inventory'!$G$7:$G$783,'Inventory'!$N$7:$N$783,A68,'Inventory'!$A$7:$A$783,1)</x:f>
        <x:v>2</x:v>
      </x:c>
      <x:c r="J68" s="12" t="str">
        <x:v>Listed budget</x:v>
      </x:c>
      <x:c r="K68" s="17" t="n">
        <x:v>30000</x:v>
      </x:c>
      <x:c r="L68" s="17"/>
      <x:c r="M68" s="17"/>
      <x:c r="N68" s="19"/>
      <x:c r="O68" s="17" t="str">
        <x:f>IF(ISNUMBER(L68),G68*L68,IF(ISNUMBER(M68),M68,""))</x:f>
      </x:c>
      <x:c r="P68" s="17" t="n">
        <x:f>IF(ISNUMBER(K68),K68,IF(ISNUMBER(O68),O68,""))</x:f>
        <x:v>30000</x:v>
      </x:c>
      <x:c r="Q68" s="17" t="n">
        <x:f>IF(H68=0,0,IF(ISNUMBER(N68),N68,IF(N68="",IF(H68=F68,P68,""),"")))</x:f>
        <x:v>30000</x:v>
      </x:c>
      <x:c r="R68" s="17" t="n">
        <x:f>IF(ISNUMBER(Q68),ROUND(Q68*$C$4,2),"")</x:f>
        <x:v>5400</x:v>
      </x:c>
      <x:c r="S68" s="17" t="n">
        <x:f>IF(ISNUMBER(Q68),Q68+R68,"")</x:f>
        <x:v>35400</x:v>
      </x:c>
      <x:c r="T68" s="2" t="str">
        <x:f>IF(H68=0,"Not selected",IF(ISNUMBER(N68),"Quote entered",IF(N68&lt;&gt;"","Enter numeric quote",IF(H68=F68,IF(ISNUMBER(P68),"Complete unit","Price required"),"Partial package: price required"))))</x:f>
        <x:v>Complete unit</x:v>
      </x:c>
      <x:c r="U68" s="2" t="str">
        <x:v>TEN-52D1010C4A30; TEN-56139C97F2DA; TEN-7C8285B4AA0D; TEN-A90DFC47A741; TEN-DA77AD889F5F</x:v>
      </x:c>
      <x:c r="V68" s="2" t="str">
        <x:v>IT &amp; digital; Healthcare &amp; life sciences; Trade, consumer &amp; logistics; Unresolved</x:v>
      </x:c>
      <x:c r="W68" s="2" t="str">
        <x:v>Small-scale prospects; Mixed business audience</x:v>
      </x:c>
      <x:c r="X68" s="17" t="n">
        <x:f>IF(AND(H68=F68,NOT(ISNUMBER(N68)),N68="",ISNUMBER(K68)),K68,0)</x:f>
        <x:v>30000</x:v>
      </x:c>
      <x:c r="Y68" s="17" t="n">
        <x:f>IF(AND(H68=F68,NOT(ISNUMBER(N68)),N68="",K68="",ISNUMBER(O68)),O68,0)</x:f>
        <x:v>0</x:v>
      </x:c>
      <x:c r="Z68" s="17" t="n">
        <x:f>IF(AND(H68&gt;0,ISNUMBER(N68)),N68,0)</x:f>
        <x:v>0</x:v>
      </x:c>
      <x:c r="AA68" s="2" t="n">
        <x:f>IF(AND(H68&gt;0,N68="",NOT(ISNUMBER(Q68))),1,0)</x:f>
        <x:v>0</x:v>
      </x:c>
      <x:c r="AB68" s="2" t="n">
        <x:f>IF(AND(H68&gt;0,N68&lt;&gt;"",NOT(ISNUMBER(N68))),1,0)</x:f>
        <x:v>0</x:v>
      </x:c>
    </x:row>
    <x:row r="69" ht="48" customHeight="1">
      <x:c r="A69" s="2" t="str">
        <x:v>MAIN-068</x:v>
      </x:c>
      <x:c r="B69" s="2" t="str">
        <x:v>Main</x:v>
      </x:c>
      <x:c r="C69" s="2" t="str">
        <x:v>Bengaluru</x:v>
      </x:c>
      <x:c r="D69" s="12" t="str">
        <x:v>Obeya - Roses</x:v>
      </x:c>
      <x:c r="E69" s="12" t="str">
        <x:v>32 inch LED TV</x:v>
      </x:c>
      <x:c r="F69" s="2" t="n">
        <x:v>1</x:v>
      </x:c>
      <x:c r="G69" s="2" t="n">
        <x:v>1</x:v>
      </x:c>
      <x:c r="H69" s="2" t="n">
        <x:f>COUNTIFS('Inventory'!$N$7:$N$783,A69,'Inventory'!$A$7:$A$783,1)</x:f>
        <x:v>1</x:v>
      </x:c>
      <x:c r="I69" s="2" t="n">
        <x:f>SUMIFS('Inventory'!$G$7:$G$783,'Inventory'!$N$7:$N$783,A69,'Inventory'!$A$7:$A$783,1)</x:f>
        <x:v>1</x:v>
      </x:c>
      <x:c r="J69" s="12" t="str">
        <x:v>Listed budget</x:v>
      </x:c>
      <x:c r="K69" s="17" t="n">
        <x:v>15000</x:v>
      </x:c>
      <x:c r="L69" s="17"/>
      <x:c r="M69" s="17"/>
      <x:c r="N69" s="19"/>
      <x:c r="O69" s="17" t="str">
        <x:f>IF(ISNUMBER(L69),G69*L69,IF(ISNUMBER(M69),M69,""))</x:f>
      </x:c>
      <x:c r="P69" s="17" t="n">
        <x:f>IF(ISNUMBER(K69),K69,IF(ISNUMBER(O69),O69,""))</x:f>
        <x:v>15000</x:v>
      </x:c>
      <x:c r="Q69" s="17" t="n">
        <x:f>IF(H69=0,0,IF(ISNUMBER(N69),N69,IF(N69="",IF(H69=F69,P69,""),"")))</x:f>
        <x:v>15000</x:v>
      </x:c>
      <x:c r="R69" s="17" t="n">
        <x:f>IF(ISNUMBER(Q69),ROUND(Q69*$C$4,2),"")</x:f>
        <x:v>2700</x:v>
      </x:c>
      <x:c r="S69" s="17" t="n">
        <x:f>IF(ISNUMBER(Q69),Q69+R69,"")</x:f>
        <x:v>17700</x:v>
      </x:c>
      <x:c r="T69" s="2" t="str">
        <x:f>IF(H69=0,"Not selected",IF(ISNUMBER(N69),"Quote entered",IF(N69&lt;&gt;"","Enter numeric quote",IF(H69=F69,IF(ISNUMBER(P69),"Complete unit","Price required"),"Partial package: price required"))))</x:f>
        <x:v>Complete unit</x:v>
      </x:c>
      <x:c r="U69" s="2" t="str">
        <x:v>TEN-912570EAC05D; TEN-CBC12151BBB3</x:v>
      </x:c>
      <x:c r="V69" s="2" t="str">
        <x:v>IT &amp; digital</x:v>
      </x:c>
      <x:c r="W69" s="2" t="str">
        <x:v>Small-scale prospects</x:v>
      </x:c>
      <x:c r="X69" s="17" t="n">
        <x:f>IF(AND(H69=F69,NOT(ISNUMBER(N69)),N69="",ISNUMBER(K69)),K69,0)</x:f>
        <x:v>15000</x:v>
      </x:c>
      <x:c r="Y69" s="17" t="n">
        <x:f>IF(AND(H69=F69,NOT(ISNUMBER(N69)),N69="",K69="",ISNUMBER(O69)),O69,0)</x:f>
        <x:v>0</x:v>
      </x:c>
      <x:c r="Z69" s="17" t="n">
        <x:f>IF(AND(H69&gt;0,ISNUMBER(N69)),N69,0)</x:f>
        <x:v>0</x:v>
      </x:c>
      <x:c r="AA69" s="2" t="n">
        <x:f>IF(AND(H69&gt;0,N69="",NOT(ISNUMBER(Q69))),1,0)</x:f>
        <x:v>0</x:v>
      </x:c>
      <x:c r="AB69" s="2" t="n">
        <x:f>IF(AND(H69&gt;0,N69&lt;&gt;"",NOT(ISNUMBER(N69))),1,0)</x:f>
        <x:v>0</x:v>
      </x:c>
    </x:row>
    <x:row r="70" ht="48" customHeight="1">
      <x:c r="A70" s="2" t="str">
        <x:v>MAIN-069</x:v>
      </x:c>
      <x:c r="B70" s="2" t="str">
        <x:v>Main</x:v>
      </x:c>
      <x:c r="C70" s="2" t="str">
        <x:v>Bengaluru</x:v>
      </x:c>
      <x:c r="D70" s="12" t="str">
        <x:v>Obeya - Spurce</x:v>
      </x:c>
      <x:c r="E70" s="12" t="str">
        <x:v>32 inch LED TV</x:v>
      </x:c>
      <x:c r="F70" s="2" t="n">
        <x:v>1</x:v>
      </x:c>
      <x:c r="G70" s="2" t="n">
        <x:v>2</x:v>
      </x:c>
      <x:c r="H70" s="2" t="n">
        <x:f>COUNTIFS('Inventory'!$N$7:$N$783,A70,'Inventory'!$A$7:$A$783,1)</x:f>
        <x:v>1</x:v>
      </x:c>
      <x:c r="I70" s="2" t="n">
        <x:f>SUMIFS('Inventory'!$G$7:$G$783,'Inventory'!$N$7:$N$783,A70,'Inventory'!$A$7:$A$783,1)</x:f>
        <x:v>2</x:v>
      </x:c>
      <x:c r="J70" s="12" t="str">
        <x:v>Listed budget</x:v>
      </x:c>
      <x:c r="K70" s="17" t="n">
        <x:v>30000</x:v>
      </x:c>
      <x:c r="L70" s="17"/>
      <x:c r="M70" s="17"/>
      <x:c r="N70" s="19"/>
      <x:c r="O70" s="17" t="str">
        <x:f>IF(ISNUMBER(L70),G70*L70,IF(ISNUMBER(M70),M70,""))</x:f>
      </x:c>
      <x:c r="P70" s="17" t="n">
        <x:f>IF(ISNUMBER(K70),K70,IF(ISNUMBER(O70),O70,""))</x:f>
        <x:v>30000</x:v>
      </x:c>
      <x:c r="Q70" s="17" t="n">
        <x:f>IF(H70=0,0,IF(ISNUMBER(N70),N70,IF(N70="",IF(H70=F70,P70,""),"")))</x:f>
        <x:v>30000</x:v>
      </x:c>
      <x:c r="R70" s="17" t="n">
        <x:f>IF(ISNUMBER(Q70),ROUND(Q70*$C$4,2),"")</x:f>
        <x:v>5400</x:v>
      </x:c>
      <x:c r="S70" s="17" t="n">
        <x:f>IF(ISNUMBER(Q70),Q70+R70,"")</x:f>
        <x:v>35400</x:v>
      </x:c>
      <x:c r="T70" s="2" t="str">
        <x:f>IF(H70=0,"Not selected",IF(ISNUMBER(N70),"Quote entered",IF(N70&lt;&gt;"","Enter numeric quote",IF(H70=F70,IF(ISNUMBER(P70),"Complete unit","Price required"),"Partial package: price required"))))</x:f>
        <x:v>Complete unit</x:v>
      </x:c>
      <x:c r="U70" s="2" t="str">
        <x:v>TEN-5F9D50990EA1; TEN-7DF0FE268FFA; TEN-B7562CCFBAFA; TEN-ED83BB1519D2</x:v>
      </x:c>
      <x:c r="V70" s="2" t="str">
        <x:v>IT &amp; digital; Professional services; Unresolved</x:v>
      </x:c>
      <x:c r="W70" s="2" t="str">
        <x:v>Small-scale prospects; Mixed business audience</x:v>
      </x:c>
      <x:c r="X70" s="17" t="n">
        <x:f>IF(AND(H70=F70,NOT(ISNUMBER(N70)),N70="",ISNUMBER(K70)),K70,0)</x:f>
        <x:v>30000</x:v>
      </x:c>
      <x:c r="Y70" s="17" t="n">
        <x:f>IF(AND(H70=F70,NOT(ISNUMBER(N70)),N70="",K70="",ISNUMBER(O70)),O70,0)</x:f>
        <x:v>0</x:v>
      </x:c>
      <x:c r="Z70" s="17" t="n">
        <x:f>IF(AND(H70&gt;0,ISNUMBER(N70)),N70,0)</x:f>
        <x:v>0</x:v>
      </x:c>
      <x:c r="AA70" s="2" t="n">
        <x:f>IF(AND(H70&gt;0,N70="",NOT(ISNUMBER(Q70))),1,0)</x:f>
        <x:v>0</x:v>
      </x:c>
      <x:c r="AB70" s="2" t="n">
        <x:f>IF(AND(H70&gt;0,N70&lt;&gt;"",NOT(ISNUMBER(N70))),1,0)</x:f>
        <x:v>0</x:v>
      </x:c>
    </x:row>
    <x:row r="71" ht="48" customHeight="1">
      <x:c r="A71" s="2" t="str">
        <x:v>MAIN-070</x:v>
      </x:c>
      <x:c r="B71" s="2" t="str">
        <x:v>Main</x:v>
      </x:c>
      <x:c r="C71" s="2" t="str">
        <x:v>Bengaluru</x:v>
      </x:c>
      <x:c r="D71" s="12" t="str">
        <x:v>Obeya - Tranquil</x:v>
      </x:c>
      <x:c r="E71" s="12" t="str">
        <x:v>32 inch LED TV</x:v>
      </x:c>
      <x:c r="F71" s="2" t="n">
        <x:v>1</x:v>
      </x:c>
      <x:c r="G71" s="2" t="n">
        <x:v>1</x:v>
      </x:c>
      <x:c r="H71" s="2" t="n">
        <x:f>COUNTIFS('Inventory'!$N$7:$N$783,A71,'Inventory'!$A$7:$A$783,1)</x:f>
        <x:v>1</x:v>
      </x:c>
      <x:c r="I71" s="2" t="n">
        <x:f>SUMIFS('Inventory'!$G$7:$G$783,'Inventory'!$N$7:$N$783,A71,'Inventory'!$A$7:$A$783,1)</x:f>
        <x:v>1</x:v>
      </x:c>
      <x:c r="J71" s="12" t="str">
        <x:v>Listed budget</x:v>
      </x:c>
      <x:c r="K71" s="17" t="n">
        <x:v>15000</x:v>
      </x:c>
      <x:c r="L71" s="17"/>
      <x:c r="M71" s="17"/>
      <x:c r="N71" s="19"/>
      <x:c r="O71" s="17" t="str">
        <x:f>IF(ISNUMBER(L71),G71*L71,IF(ISNUMBER(M71),M71,""))</x:f>
      </x:c>
      <x:c r="P71" s="17" t="n">
        <x:f>IF(ISNUMBER(K71),K71,IF(ISNUMBER(O71),O71,""))</x:f>
        <x:v>15000</x:v>
      </x:c>
      <x:c r="Q71" s="17" t="n">
        <x:f>IF(H71=0,0,IF(ISNUMBER(N71),N71,IF(N71="",IF(H71=F71,P71,""),"")))</x:f>
        <x:v>15000</x:v>
      </x:c>
      <x:c r="R71" s="17" t="n">
        <x:f>IF(ISNUMBER(Q71),ROUND(Q71*$C$4,2),"")</x:f>
        <x:v>2700</x:v>
      </x:c>
      <x:c r="S71" s="17" t="n">
        <x:f>IF(ISNUMBER(Q71),Q71+R71,"")</x:f>
        <x:v>17700</x:v>
      </x:c>
      <x:c r="T71" s="2" t="str">
        <x:f>IF(H71=0,"Not selected",IF(ISNUMBER(N71),"Quote entered",IF(N71&lt;&gt;"","Enter numeric quote",IF(H71=F71,IF(ISNUMBER(P71),"Complete unit","Price required"),"Partial package: price required"))))</x:f>
        <x:v>Complete unit</x:v>
      </x:c>
      <x:c r="U71" s="2" t="str">
        <x:v>TEN-687E08E2CB17; TEN-A98310C4E2EE; TEN-D4180954D964; TEN-E5D9071CFFE6; TEN-F81028DE58EF</x:v>
      </x:c>
      <x:c r="V71" s="2" t="str">
        <x:v>Finance &amp; insurance; Trade, consumer &amp; logistics; Unresolved</x:v>
      </x:c>
      <x:c r="W71" s="2" t="str">
        <x:v>Medium-scale prospects; Mixed business audience</x:v>
      </x:c>
      <x:c r="X71" s="17" t="n">
        <x:f>IF(AND(H71=F71,NOT(ISNUMBER(N71)),N71="",ISNUMBER(K71)),K71,0)</x:f>
        <x:v>15000</x:v>
      </x:c>
      <x:c r="Y71" s="17" t="n">
        <x:f>IF(AND(H71=F71,NOT(ISNUMBER(N71)),N71="",K71="",ISNUMBER(O71)),O71,0)</x:f>
        <x:v>0</x:v>
      </x:c>
      <x:c r="Z71" s="17" t="n">
        <x:f>IF(AND(H71&gt;0,ISNUMBER(N71)),N71,0)</x:f>
        <x:v>0</x:v>
      </x:c>
      <x:c r="AA71" s="2" t="n">
        <x:f>IF(AND(H71&gt;0,N71="",NOT(ISNUMBER(Q71))),1,0)</x:f>
        <x:v>0</x:v>
      </x:c>
      <x:c r="AB71" s="2" t="n">
        <x:f>IF(AND(H71&gt;0,N71&lt;&gt;"",NOT(ISNUMBER(N71))),1,0)</x:f>
        <x:v>0</x:v>
      </x:c>
    </x:row>
    <x:row r="72" ht="48" customHeight="1">
      <x:c r="A72" s="2" t="str">
        <x:v>MAIN-071</x:v>
      </x:c>
      <x:c r="B72" s="2" t="str">
        <x:v>Main</x:v>
      </x:c>
      <x:c r="C72" s="2" t="str">
        <x:v>Bengaluru</x:v>
      </x:c>
      <x:c r="D72" s="12" t="str">
        <x:v>Obeya - Verve</x:v>
      </x:c>
      <x:c r="E72" s="12" t="str">
        <x:v>32 inch LED TV</x:v>
      </x:c>
      <x:c r="F72" s="2" t="n">
        <x:v>1</x:v>
      </x:c>
      <x:c r="G72" s="2" t="n">
        <x:v>1</x:v>
      </x:c>
      <x:c r="H72" s="2" t="n">
        <x:f>COUNTIFS('Inventory'!$N$7:$N$783,A72,'Inventory'!$A$7:$A$783,1)</x:f>
        <x:v>1</x:v>
      </x:c>
      <x:c r="I72" s="2" t="n">
        <x:f>SUMIFS('Inventory'!$G$7:$G$783,'Inventory'!$N$7:$N$783,A72,'Inventory'!$A$7:$A$783,1)</x:f>
        <x:v>1</x:v>
      </x:c>
      <x:c r="J72" s="12" t="str">
        <x:v>Listed budget</x:v>
      </x:c>
      <x:c r="K72" s="17" t="n">
        <x:v>15000</x:v>
      </x:c>
      <x:c r="L72" s="17"/>
      <x:c r="M72" s="17"/>
      <x:c r="N72" s="19"/>
      <x:c r="O72" s="17" t="str">
        <x:f>IF(ISNUMBER(L72),G72*L72,IF(ISNUMBER(M72),M72,""))</x:f>
      </x:c>
      <x:c r="P72" s="17" t="n">
        <x:f>IF(ISNUMBER(K72),K72,IF(ISNUMBER(O72),O72,""))</x:f>
        <x:v>15000</x:v>
      </x:c>
      <x:c r="Q72" s="17" t="n">
        <x:f>IF(H72=0,0,IF(ISNUMBER(N72),N72,IF(N72="",IF(H72=F72,P72,""),"")))</x:f>
        <x:v>15000</x:v>
      </x:c>
      <x:c r="R72" s="17" t="n">
        <x:f>IF(ISNUMBER(Q72),ROUND(Q72*$C$4,2),"")</x:f>
        <x:v>2700</x:v>
      </x:c>
      <x:c r="S72" s="17" t="n">
        <x:f>IF(ISNUMBER(Q72),Q72+R72,"")</x:f>
        <x:v>17700</x:v>
      </x:c>
      <x:c r="T72" s="2" t="str">
        <x:f>IF(H72=0,"Not selected",IF(ISNUMBER(N72),"Quote entered",IF(N72&lt;&gt;"","Enter numeric quote",IF(H72=F72,IF(ISNUMBER(P72),"Complete unit","Price required"),"Partial package: price required"))))</x:f>
        <x:v>Complete unit</x:v>
      </x:c>
      <x:c r="U72" s="2" t="str">
        <x:v>TEN-14394EB753CA; TEN-3F096CC5D9DD; TEN-5B0F75D66A88; TEN-60C01465DD42; TEN-6B86B1AF6901; TEN-85A2BCA26E54; TEN-E7ECD96DD676</x:v>
      </x:c>
      <x:c r="V72" s="2" t="str">
        <x:v>IT &amp; digital; Finance &amp; insurance; Healthcare &amp; life sciences; Trade, consumer &amp; logistics; Unresolved</x:v>
      </x:c>
      <x:c r="W72" s="2" t="str">
        <x:v>Small-scale prospects; Medium-scale prospects; Mixed business audience</x:v>
      </x:c>
      <x:c r="X72" s="17" t="n">
        <x:f>IF(AND(H72=F72,NOT(ISNUMBER(N72)),N72="",ISNUMBER(K72)),K72,0)</x:f>
        <x:v>15000</x:v>
      </x:c>
      <x:c r="Y72" s="17" t="n">
        <x:f>IF(AND(H72=F72,NOT(ISNUMBER(N72)),N72="",K72="",ISNUMBER(O72)),O72,0)</x:f>
        <x:v>0</x:v>
      </x:c>
      <x:c r="Z72" s="17" t="n">
        <x:f>IF(AND(H72&gt;0,ISNUMBER(N72)),N72,0)</x:f>
        <x:v>0</x:v>
      </x:c>
      <x:c r="AA72" s="2" t="n">
        <x:f>IF(AND(H72&gt;0,N72="",NOT(ISNUMBER(Q72))),1,0)</x:f>
        <x:v>0</x:v>
      </x:c>
      <x:c r="AB72" s="2" t="n">
        <x:f>IF(AND(H72&gt;0,N72&lt;&gt;"",NOT(ISNUMBER(N72))),1,0)</x:f>
        <x:v>0</x:v>
      </x:c>
    </x:row>
    <x:row r="73" ht="48" customHeight="1">
      <x:c r="A73" s="2" t="str">
        <x:v>MAIN-072</x:v>
      </x:c>
      <x:c r="B73" s="2" t="str">
        <x:v>Main</x:v>
      </x:c>
      <x:c r="C73" s="2" t="str">
        <x:v>Bengaluru</x:v>
      </x:c>
      <x:c r="D73" s="12" t="str">
        <x:v>Prestige Etamin (Redbrick Offices)</x:v>
      </x:c>
      <x:c r="E73" s="12" t="str">
        <x:v>32 inch LED TV</x:v>
      </x:c>
      <x:c r="F73" s="2" t="n">
        <x:v>1</x:v>
      </x:c>
      <x:c r="G73" s="2" t="n">
        <x:v>1</x:v>
      </x:c>
      <x:c r="H73" s="2" t="n">
        <x:f>COUNTIFS('Inventory'!$N$7:$N$783,A73,'Inventory'!$A$7:$A$783,1)</x:f>
        <x:v>1</x:v>
      </x:c>
      <x:c r="I73" s="2" t="n">
        <x:f>SUMIFS('Inventory'!$G$7:$G$783,'Inventory'!$N$7:$N$783,A73,'Inventory'!$A$7:$A$783,1)</x:f>
        <x:v>1</x:v>
      </x:c>
      <x:c r="J73" s="12" t="str">
        <x:v>Listed budget</x:v>
      </x:c>
      <x:c r="K73" s="17" t="n">
        <x:v>15000</x:v>
      </x:c>
      <x:c r="L73" s="17"/>
      <x:c r="M73" s="17"/>
      <x:c r="N73" s="19"/>
      <x:c r="O73" s="17" t="str">
        <x:f>IF(ISNUMBER(L73),G73*L73,IF(ISNUMBER(M73),M73,""))</x:f>
      </x:c>
      <x:c r="P73" s="17" t="n">
        <x:f>IF(ISNUMBER(K73),K73,IF(ISNUMBER(O73),O73,""))</x:f>
        <x:v>15000</x:v>
      </x:c>
      <x:c r="Q73" s="17" t="n">
        <x:f>IF(H73=0,0,IF(ISNUMBER(N73),N73,IF(N73="",IF(H73=F73,P73,""),"")))</x:f>
        <x:v>15000</x:v>
      </x:c>
      <x:c r="R73" s="17" t="n">
        <x:f>IF(ISNUMBER(Q73),ROUND(Q73*$C$4,2),"")</x:f>
        <x:v>2700</x:v>
      </x:c>
      <x:c r="S73" s="17" t="n">
        <x:f>IF(ISNUMBER(Q73),Q73+R73,"")</x:f>
        <x:v>17700</x:v>
      </x:c>
      <x:c r="T73" s="2" t="str">
        <x:f>IF(H73=0,"Not selected",IF(ISNUMBER(N73),"Quote entered",IF(N73&lt;&gt;"","Enter numeric quote",IF(H73=F73,IF(ISNUMBER(P73),"Complete unit","Price required"),"Partial package: price required"))))</x:f>
        <x:v>Complete unit</x:v>
      </x:c>
      <x:c r="U73" s="2" t="str">
        <x:v>TEN-1368D08A6983; TEN-1AAF3025033C; TEN-28CBC5A35638; TEN-7EC7B0FA329F; TEN-BC3067AC45DF; TEN-DFAD7388CC62; TEN-FEDED0C77570</x:v>
      </x:c>
      <x:c r="V73" s="2" t="str">
        <x:v>IT &amp; digital; Professional services; Engineering &amp; manufacturing; Healthcare &amp; life sciences; Government &amp; nonprofit</x:v>
      </x:c>
      <x:c r="W73" s="2" t="str">
        <x:v>Micro-scale prospects; Large enterprise; Institutional; Mixed business audience</x:v>
      </x:c>
      <x:c r="X73" s="17" t="n">
        <x:f>IF(AND(H73=F73,NOT(ISNUMBER(N73)),N73="",ISNUMBER(K73)),K73,0)</x:f>
        <x:v>15000</x:v>
      </x:c>
      <x:c r="Y73" s="17" t="n">
        <x:f>IF(AND(H73=F73,NOT(ISNUMBER(N73)),N73="",K73="",ISNUMBER(O73)),O73,0)</x:f>
        <x:v>0</x:v>
      </x:c>
      <x:c r="Z73" s="17" t="n">
        <x:f>IF(AND(H73&gt;0,ISNUMBER(N73)),N73,0)</x:f>
        <x:v>0</x:v>
      </x:c>
      <x:c r="AA73" s="2" t="n">
        <x:f>IF(AND(H73&gt;0,N73="",NOT(ISNUMBER(Q73))),1,0)</x:f>
        <x:v>0</x:v>
      </x:c>
      <x:c r="AB73" s="2" t="n">
        <x:f>IF(AND(H73&gt;0,N73&lt;&gt;"",NOT(ISNUMBER(N73))),1,0)</x:f>
        <x:v>0</x:v>
      </x:c>
    </x:row>
    <x:row r="74" ht="48" customHeight="1">
      <x:c r="A74" s="2" t="str">
        <x:v>MAIN-073</x:v>
      </x:c>
      <x:c r="B74" s="2" t="str">
        <x:v>Main</x:v>
      </x:c>
      <x:c r="C74" s="2" t="str">
        <x:v>Bengaluru</x:v>
      </x:c>
      <x:c r="D74" s="12" t="str">
        <x:v>Prestige Obelisk</x:v>
      </x:c>
      <x:c r="E74" s="12" t="str">
        <x:v>55 inch LED TV</x:v>
      </x:c>
      <x:c r="F74" s="2" t="n">
        <x:v>1</x:v>
      </x:c>
      <x:c r="G74" s="2" t="n">
        <x:v>1</x:v>
      </x:c>
      <x:c r="H74" s="2" t="n">
        <x:f>COUNTIFS('Inventory'!$N$7:$N$783,A74,'Inventory'!$A$7:$A$783,1)</x:f>
        <x:v>1</x:v>
      </x:c>
      <x:c r="I74" s="2" t="n">
        <x:f>SUMIFS('Inventory'!$G$7:$G$783,'Inventory'!$N$7:$N$783,A74,'Inventory'!$A$7:$A$783,1)</x:f>
        <x:v>1</x:v>
      </x:c>
      <x:c r="J74" s="12" t="str">
        <x:v>Campaign format rate</x:v>
      </x:c>
      <x:c r="K74" s="17"/>
      <x:c r="L74" s="17" t="n">
        <x:f>$I$5</x:f>
        <x:v>40000</x:v>
      </x:c>
      <x:c r="M74" s="17"/>
      <x:c r="N74" s="19"/>
      <x:c r="O74" s="17" t="n">
        <x:f>IF(ISNUMBER(L74),G74*L74,IF(ISNUMBER(M74),M74,""))</x:f>
        <x:v>40000</x:v>
      </x:c>
      <x:c r="P74" s="17" t="n">
        <x:f>IF(ISNUMBER(K74),K74,IF(ISNUMBER(O74),O74,""))</x:f>
        <x:v>40000</x:v>
      </x:c>
      <x:c r="Q74" s="17" t="n">
        <x:f>IF(H74=0,0,IF(ISNUMBER(N74),N74,IF(N74="",IF(H74=F74,P74,""),"")))</x:f>
        <x:v>40000</x:v>
      </x:c>
      <x:c r="R74" s="17" t="n">
        <x:f>IF(ISNUMBER(Q74),ROUND(Q74*$C$4,2),"")</x:f>
        <x:v>7200</x:v>
      </x:c>
      <x:c r="S74" s="17" t="n">
        <x:f>IF(ISNUMBER(Q74),Q74+R74,"")</x:f>
        <x:v>47200</x:v>
      </x:c>
      <x:c r="T74" s="2" t="str">
        <x:f>IF(H74=0,"Not selected",IF(ISNUMBER(N74),"Quote entered",IF(N74&lt;&gt;"","Enter numeric quote",IF(H74=F74,IF(ISNUMBER(P74),"Complete unit","Price required"),"Partial package: price required"))))</x:f>
        <x:v>Complete unit</x:v>
      </x:c>
      <x:c r="U74" s="2" t="str">
        <x:v>TEN-05C3EA2B409C; TEN-13258F6CB706; TEN-1C593F87A18C; TEN-2E1A93A8B010; TEN-47445949BEEF; TEN-6CF5FB813A56; TEN-7D7278F45745; TEN-8A72227343A9; TEN-8EDB9C45B20E; TEN-907D11AE3179; TEN-A04E8DBF862F; TEN-A7F7AF8EB3A5; TEN-AABF376657C0; TEN-B3FD6E87E781; TEN-D6FCC16B02C8; TEN-E9968F77222F</x:v>
      </x:c>
      <x:c r="V74" s="2" t="str">
        <x:v>IT &amp; digital; Professional services; Finance &amp; insurance; Engineering &amp; manufacturing; Healthcare &amp; life sciences; Workspace &amp; property operations; Government &amp; nonprofit; Unresolved</x:v>
      </x:c>
      <x:c r="W74" s="2" t="str">
        <x:v>Small-scale prospects; Medium-scale prospects; Large enterprise; Institutional; Mixed business audience</x:v>
      </x:c>
      <x:c r="X74" s="17" t="n">
        <x:f>IF(AND(H74=F74,NOT(ISNUMBER(N74)),N74="",ISNUMBER(K74)),K74,0)</x:f>
        <x:v>0</x:v>
      </x:c>
      <x:c r="Y74" s="17" t="n">
        <x:f>IF(AND(H74=F74,NOT(ISNUMBER(N74)),N74="",K74="",ISNUMBER(O74)),O74,0)</x:f>
        <x:v>40000</x:v>
      </x:c>
      <x:c r="Z74" s="17" t="n">
        <x:f>IF(AND(H74&gt;0,ISNUMBER(N74)),N74,0)</x:f>
        <x:v>0</x:v>
      </x:c>
      <x:c r="AA74" s="2" t="n">
        <x:f>IF(AND(H74&gt;0,N74="",NOT(ISNUMBER(Q74))),1,0)</x:f>
        <x:v>0</x:v>
      </x:c>
      <x:c r="AB74" s="2" t="n">
        <x:f>IF(AND(H74&gt;0,N74&lt;&gt;"",NOT(ISNUMBER(N74))),1,0)</x:f>
        <x:v>0</x:v>
      </x:c>
    </x:row>
    <x:row r="75" ht="48" customHeight="1">
      <x:c r="A75" s="2" t="str">
        <x:v>MAIN-074</x:v>
      </x:c>
      <x:c r="B75" s="2" t="str">
        <x:v>Main</x:v>
      </x:c>
      <x:c r="C75" s="2" t="str">
        <x:v>Bengaluru</x:v>
      </x:c>
      <x:c r="D75" s="12" t="str">
        <x:v>Prestige Trade Tower</x:v>
      </x:c>
      <x:c r="E75" s="12" t="str">
        <x:v>55 inch LED TV</x:v>
      </x:c>
      <x:c r="F75" s="2" t="n">
        <x:v>1</x:v>
      </x:c>
      <x:c r="G75" s="2" t="n">
        <x:v>3</x:v>
      </x:c>
      <x:c r="H75" s="2" t="n">
        <x:f>COUNTIFS('Inventory'!$N$7:$N$783,A75,'Inventory'!$A$7:$A$783,1)</x:f>
        <x:v>1</x:v>
      </x:c>
      <x:c r="I75" s="2" t="n">
        <x:f>SUMIFS('Inventory'!$G$7:$G$783,'Inventory'!$N$7:$N$783,A75,'Inventory'!$A$7:$A$783,1)</x:f>
        <x:v>3</x:v>
      </x:c>
      <x:c r="J75" s="12" t="str">
        <x:v>Campaign format rate</x:v>
      </x:c>
      <x:c r="K75" s="17"/>
      <x:c r="L75" s="17" t="n">
        <x:f>$I$5</x:f>
        <x:v>40000</x:v>
      </x:c>
      <x:c r="M75" s="17"/>
      <x:c r="N75" s="19"/>
      <x:c r="O75" s="17" t="n">
        <x:f>IF(ISNUMBER(L75),G75*L75,IF(ISNUMBER(M75),M75,""))</x:f>
        <x:v>120000</x:v>
      </x:c>
      <x:c r="P75" s="17" t="n">
        <x:f>IF(ISNUMBER(K75),K75,IF(ISNUMBER(O75),O75,""))</x:f>
        <x:v>120000</x:v>
      </x:c>
      <x:c r="Q75" s="17" t="n">
        <x:f>IF(H75=0,0,IF(ISNUMBER(N75),N75,IF(N75="",IF(H75=F75,P75,""),"")))</x:f>
        <x:v>120000</x:v>
      </x:c>
      <x:c r="R75" s="17" t="n">
        <x:f>IF(ISNUMBER(Q75),ROUND(Q75*$C$4,2),"")</x:f>
        <x:v>21600</x:v>
      </x:c>
      <x:c r="S75" s="17" t="n">
        <x:f>IF(ISNUMBER(Q75),Q75+R75,"")</x:f>
        <x:v>141600</x:v>
      </x:c>
      <x:c r="T75" s="2" t="str">
        <x:f>IF(H75=0,"Not selected",IF(ISNUMBER(N75),"Quote entered",IF(N75&lt;&gt;"","Enter numeric quote",IF(H75=F75,IF(ISNUMBER(P75),"Complete unit","Price required"),"Partial package: price required"))))</x:f>
        <x:v>Complete unit</x:v>
      </x:c>
      <x:c r="U75" s="2" t="str"/>
      <x:c r="V75" s="2" t="str">
        <x:v>Unclassified</x:v>
      </x:c>
      <x:c r="W75" s="2" t="str">
        <x:v>Mixed business audience</x:v>
      </x:c>
      <x:c r="X75" s="17" t="n">
        <x:f>IF(AND(H75=F75,NOT(ISNUMBER(N75)),N75="",ISNUMBER(K75)),K75,0)</x:f>
        <x:v>0</x:v>
      </x:c>
      <x:c r="Y75" s="17" t="n">
        <x:f>IF(AND(H75=F75,NOT(ISNUMBER(N75)),N75="",K75="",ISNUMBER(O75)),O75,0)</x:f>
        <x:v>120000</x:v>
      </x:c>
      <x:c r="Z75" s="17" t="n">
        <x:f>IF(AND(H75&gt;0,ISNUMBER(N75)),N75,0)</x:f>
        <x:v>0</x:v>
      </x:c>
      <x:c r="AA75" s="2" t="n">
        <x:f>IF(AND(H75&gt;0,N75="",NOT(ISNUMBER(Q75))),1,0)</x:f>
        <x:v>0</x:v>
      </x:c>
      <x:c r="AB75" s="2" t="n">
        <x:f>IF(AND(H75&gt;0,N75&lt;&gt;"",NOT(ISNUMBER(N75))),1,0)</x:f>
        <x:v>0</x:v>
      </x:c>
    </x:row>
    <x:row r="76" ht="48" customHeight="1">
      <x:c r="A76" s="2" t="str">
        <x:v>MAIN-075</x:v>
      </x:c>
      <x:c r="B76" s="2" t="str">
        <x:v>Main</x:v>
      </x:c>
      <x:c r="C76" s="2" t="str">
        <x:v>Bengaluru</x:v>
      </x:c>
      <x:c r="D76" s="12" t="str">
        <x:v>Prestige Tristar (Redbrick Offices)</x:v>
      </x:c>
      <x:c r="E76" s="12" t="str">
        <x:v>32 inch LED TV</x:v>
      </x:c>
      <x:c r="F76" s="2" t="n">
        <x:v>1</x:v>
      </x:c>
      <x:c r="G76" s="2" t="n">
        <x:v>3</x:v>
      </x:c>
      <x:c r="H76" s="2" t="n">
        <x:f>COUNTIFS('Inventory'!$N$7:$N$783,A76,'Inventory'!$A$7:$A$783,1)</x:f>
        <x:v>1</x:v>
      </x:c>
      <x:c r="I76" s="2" t="n">
        <x:f>SUMIFS('Inventory'!$G$7:$G$783,'Inventory'!$N$7:$N$783,A76,'Inventory'!$A$7:$A$783,1)</x:f>
        <x:v>3</x:v>
      </x:c>
      <x:c r="J76" s="12" t="str">
        <x:v>Listed budget</x:v>
      </x:c>
      <x:c r="K76" s="17" t="n">
        <x:v>45000</x:v>
      </x:c>
      <x:c r="L76" s="17"/>
      <x:c r="M76" s="17"/>
      <x:c r="N76" s="19"/>
      <x:c r="O76" s="17" t="str">
        <x:f>IF(ISNUMBER(L76),G76*L76,IF(ISNUMBER(M76),M76,""))</x:f>
      </x:c>
      <x:c r="P76" s="17" t="n">
        <x:f>IF(ISNUMBER(K76),K76,IF(ISNUMBER(O76),O76,""))</x:f>
        <x:v>45000</x:v>
      </x:c>
      <x:c r="Q76" s="17" t="n">
        <x:f>IF(H76=0,0,IF(ISNUMBER(N76),N76,IF(N76="",IF(H76=F76,P76,""),"")))</x:f>
        <x:v>45000</x:v>
      </x:c>
      <x:c r="R76" s="17" t="n">
        <x:f>IF(ISNUMBER(Q76),ROUND(Q76*$C$4,2),"")</x:f>
        <x:v>8100</x:v>
      </x:c>
      <x:c r="S76" s="17" t="n">
        <x:f>IF(ISNUMBER(Q76),Q76+R76,"")</x:f>
        <x:v>53100</x:v>
      </x:c>
      <x:c r="T76" s="2" t="str">
        <x:f>IF(H76=0,"Not selected",IF(ISNUMBER(N76),"Quote entered",IF(N76&lt;&gt;"","Enter numeric quote",IF(H76=F76,IF(ISNUMBER(P76),"Complete unit","Price required"),"Partial package: price required"))))</x:f>
        <x:v>Complete unit</x:v>
      </x:c>
      <x:c r="U76" s="2" t="str">
        <x:v>TEN-83D1C43212E5</x:v>
      </x:c>
      <x:c r="V76" s="2" t="str">
        <x:v>Engineering &amp; manufacturing</x:v>
      </x:c>
      <x:c r="W76" s="2" t="str">
        <x:v>Medium-scale prospects</x:v>
      </x:c>
      <x:c r="X76" s="17" t="n">
        <x:f>IF(AND(H76=F76,NOT(ISNUMBER(N76)),N76="",ISNUMBER(K76)),K76,0)</x:f>
        <x:v>45000</x:v>
      </x:c>
      <x:c r="Y76" s="17" t="n">
        <x:f>IF(AND(H76=F76,NOT(ISNUMBER(N76)),N76="",K76="",ISNUMBER(O76)),O76,0)</x:f>
        <x:v>0</x:v>
      </x:c>
      <x:c r="Z76" s="17" t="n">
        <x:f>IF(AND(H76&gt;0,ISNUMBER(N76)),N76,0)</x:f>
        <x:v>0</x:v>
      </x:c>
      <x:c r="AA76" s="2" t="n">
        <x:f>IF(AND(H76&gt;0,N76="",NOT(ISNUMBER(Q76))),1,0)</x:f>
        <x:v>0</x:v>
      </x:c>
      <x:c r="AB76" s="2" t="n">
        <x:f>IF(AND(H76&gt;0,N76&lt;&gt;"",NOT(ISNUMBER(N76))),1,0)</x:f>
        <x:v>0</x:v>
      </x:c>
    </x:row>
    <x:row r="77" ht="48" customHeight="1">
      <x:c r="A77" s="2" t="str">
        <x:v>MAIN-076</x:v>
      </x:c>
      <x:c r="B77" s="2" t="str">
        <x:v>Main</x:v>
      </x:c>
      <x:c r="C77" s="2" t="str">
        <x:v>Bengaluru</x:v>
      </x:c>
      <x:c r="D77" s="12" t="str">
        <x:v>Quest Office</x:v>
      </x:c>
      <x:c r="E77" s="12" t="str">
        <x:v>32 inch LED TV</x:v>
      </x:c>
      <x:c r="F77" s="2" t="n">
        <x:v>1</x:v>
      </x:c>
      <x:c r="G77" s="2" t="n">
        <x:v>1</x:v>
      </x:c>
      <x:c r="H77" s="2" t="n">
        <x:f>COUNTIFS('Inventory'!$N$7:$N$783,A77,'Inventory'!$A$7:$A$783,1)</x:f>
        <x:v>1</x:v>
      </x:c>
      <x:c r="I77" s="2" t="n">
        <x:f>SUMIFS('Inventory'!$G$7:$G$783,'Inventory'!$N$7:$N$783,A77,'Inventory'!$A$7:$A$783,1)</x:f>
        <x:v>1</x:v>
      </x:c>
      <x:c r="J77" s="12" t="str">
        <x:v>Listed budget</x:v>
      </x:c>
      <x:c r="K77" s="17" t="n">
        <x:v>15000</x:v>
      </x:c>
      <x:c r="L77" s="17"/>
      <x:c r="M77" s="17"/>
      <x:c r="N77" s="19"/>
      <x:c r="O77" s="17" t="str">
        <x:f>IF(ISNUMBER(L77),G77*L77,IF(ISNUMBER(M77),M77,""))</x:f>
      </x:c>
      <x:c r="P77" s="17" t="n">
        <x:f>IF(ISNUMBER(K77),K77,IF(ISNUMBER(O77),O77,""))</x:f>
        <x:v>15000</x:v>
      </x:c>
      <x:c r="Q77" s="17" t="n">
        <x:f>IF(H77=0,0,IF(ISNUMBER(N77),N77,IF(N77="",IF(H77=F77,P77,""),"")))</x:f>
        <x:v>15000</x:v>
      </x:c>
      <x:c r="R77" s="17" t="n">
        <x:f>IF(ISNUMBER(Q77),ROUND(Q77*$C$4,2),"")</x:f>
        <x:v>2700</x:v>
      </x:c>
      <x:c r="S77" s="17" t="n">
        <x:f>IF(ISNUMBER(Q77),Q77+R77,"")</x:f>
        <x:v>17700</x:v>
      </x:c>
      <x:c r="T77" s="2" t="str">
        <x:f>IF(H77=0,"Not selected",IF(ISNUMBER(N77),"Quote entered",IF(N77&lt;&gt;"","Enter numeric quote",IF(H77=F77,IF(ISNUMBER(P77),"Complete unit","Price required"),"Partial package: price required"))))</x:f>
        <x:v>Complete unit</x:v>
      </x:c>
      <x:c r="U77" s="2" t="str">
        <x:v>TEN-F17C5FB2D022</x:v>
      </x:c>
      <x:c r="V77" s="2" t="str">
        <x:v>Workspace &amp; property operations</x:v>
      </x:c>
      <x:c r="W77" s="2" t="str">
        <x:v>Mixed business audience</x:v>
      </x:c>
      <x:c r="X77" s="17" t="n">
        <x:f>IF(AND(H77=F77,NOT(ISNUMBER(N77)),N77="",ISNUMBER(K77)),K77,0)</x:f>
        <x:v>15000</x:v>
      </x:c>
      <x:c r="Y77" s="17" t="n">
        <x:f>IF(AND(H77=F77,NOT(ISNUMBER(N77)),N77="",K77="",ISNUMBER(O77)),O77,0)</x:f>
        <x:v>0</x:v>
      </x:c>
      <x:c r="Z77" s="17" t="n">
        <x:f>IF(AND(H77&gt;0,ISNUMBER(N77)),N77,0)</x:f>
        <x:v>0</x:v>
      </x:c>
      <x:c r="AA77" s="2" t="n">
        <x:f>IF(AND(H77&gt;0,N77="",NOT(ISNUMBER(Q77))),1,0)</x:f>
        <x:v>0</x:v>
      </x:c>
      <x:c r="AB77" s="2" t="n">
        <x:f>IF(AND(H77&gt;0,N77&lt;&gt;"",NOT(ISNUMBER(N77))),1,0)</x:f>
        <x:v>0</x:v>
      </x:c>
    </x:row>
    <x:row r="78" ht="48" customHeight="1">
      <x:c r="A78" s="2" t="str">
        <x:v>MAIN-077</x:v>
      </x:c>
      <x:c r="B78" s="2" t="str">
        <x:v>Main</x:v>
      </x:c>
      <x:c r="C78" s="2" t="str">
        <x:v>Bengaluru</x:v>
      </x:c>
      <x:c r="D78" s="12" t="str">
        <x:v>Raheja Towers</x:v>
      </x:c>
      <x:c r="E78" s="12" t="str">
        <x:v>32 inch LED TV</x:v>
      </x:c>
      <x:c r="F78" s="2" t="n">
        <x:v>1</x:v>
      </x:c>
      <x:c r="G78" s="2" t="n">
        <x:v>11</x:v>
      </x:c>
      <x:c r="H78" s="2" t="n">
        <x:f>COUNTIFS('Inventory'!$N$7:$N$783,A78,'Inventory'!$A$7:$A$783,1)</x:f>
        <x:v>1</x:v>
      </x:c>
      <x:c r="I78" s="2" t="n">
        <x:f>SUMIFS('Inventory'!$G$7:$G$783,'Inventory'!$N$7:$N$783,A78,'Inventory'!$A$7:$A$783,1)</x:f>
        <x:v>11</x:v>
      </x:c>
      <x:c r="J78" s="12" t="str">
        <x:v>Listed budget</x:v>
      </x:c>
      <x:c r="K78" s="17" t="n">
        <x:v>165000</x:v>
      </x:c>
      <x:c r="L78" s="17"/>
      <x:c r="M78" s="17"/>
      <x:c r="N78" s="19"/>
      <x:c r="O78" s="17" t="str">
        <x:f>IF(ISNUMBER(L78),G78*L78,IF(ISNUMBER(M78),M78,""))</x:f>
      </x:c>
      <x:c r="P78" s="17" t="n">
        <x:f>IF(ISNUMBER(K78),K78,IF(ISNUMBER(O78),O78,""))</x:f>
        <x:v>165000</x:v>
      </x:c>
      <x:c r="Q78" s="17" t="n">
        <x:f>IF(H78=0,0,IF(ISNUMBER(N78),N78,IF(N78="",IF(H78=F78,P78,""),"")))</x:f>
        <x:v>165000</x:v>
      </x:c>
      <x:c r="R78" s="17" t="n">
        <x:f>IF(ISNUMBER(Q78),ROUND(Q78*$C$4,2),"")</x:f>
        <x:v>29700</x:v>
      </x:c>
      <x:c r="S78" s="17" t="n">
        <x:f>IF(ISNUMBER(Q78),Q78+R78,"")</x:f>
        <x:v>194700</x:v>
      </x:c>
      <x:c r="T78" s="2" t="str">
        <x:f>IF(H78=0,"Not selected",IF(ISNUMBER(N78),"Quote entered",IF(N78&lt;&gt;"","Enter numeric quote",IF(H78=F78,IF(ISNUMBER(P78),"Complete unit","Price required"),"Partial package: price required"))))</x:f>
        <x:v>Complete unit</x:v>
      </x:c>
      <x:c r="U78" s="2" t="str">
        <x:v>TEN-28D1E16E18A8; TEN-2BFB7DC3AEC8; TEN-64F695501113; TEN-7954016EF06C; TEN-8E5EF5C92C7D; TEN-B2C75F70B174; TEN-C0A774A885BE; TEN-DC79DAAE1127; TEN-E57705276ACD</x:v>
      </x:c>
      <x:c r="V78" s="2" t="str">
        <x:v>IT &amp; digital; Professional services; Trade, consumer &amp; logistics; Workspace &amp; property operations; Government &amp; nonprofit; Unresolved</x:v>
      </x:c>
      <x:c r="W78" s="2" t="str">
        <x:v>Small-scale prospects; Institutional; Mixed business audience</x:v>
      </x:c>
      <x:c r="X78" s="17" t="n">
        <x:f>IF(AND(H78=F78,NOT(ISNUMBER(N78)),N78="",ISNUMBER(K78)),K78,0)</x:f>
        <x:v>165000</x:v>
      </x:c>
      <x:c r="Y78" s="17" t="n">
        <x:f>IF(AND(H78=F78,NOT(ISNUMBER(N78)),N78="",K78="",ISNUMBER(O78)),O78,0)</x:f>
        <x:v>0</x:v>
      </x:c>
      <x:c r="Z78" s="17" t="n">
        <x:f>IF(AND(H78&gt;0,ISNUMBER(N78)),N78,0)</x:f>
        <x:v>0</x:v>
      </x:c>
      <x:c r="AA78" s="2" t="n">
        <x:f>IF(AND(H78&gt;0,N78="",NOT(ISNUMBER(Q78))),1,0)</x:f>
        <x:v>0</x:v>
      </x:c>
      <x:c r="AB78" s="2" t="n">
        <x:f>IF(AND(H78&gt;0,N78&lt;&gt;"",NOT(ISNUMBER(N78))),1,0)</x:f>
        <x:v>0</x:v>
      </x:c>
    </x:row>
    <x:row r="79" ht="48" customHeight="1">
      <x:c r="A79" s="2" t="str">
        <x:v>MAIN-078</x:v>
      </x:c>
      <x:c r="B79" s="2" t="str">
        <x:v>Main</x:v>
      </x:c>
      <x:c r="C79" s="2" t="str">
        <x:v>Bengaluru</x:v>
      </x:c>
      <x:c r="D79" s="12" t="str">
        <x:v>Sargod Imperial Tech Park</x:v>
      </x:c>
      <x:c r="E79" s="12" t="str">
        <x:v>43 inch LED TV</x:v>
      </x:c>
      <x:c r="F79" s="2" t="n">
        <x:v>1</x:v>
      </x:c>
      <x:c r="G79" s="2" t="n">
        <x:v>5</x:v>
      </x:c>
      <x:c r="H79" s="2" t="n">
        <x:f>COUNTIFS('Inventory'!$N$7:$N$783,A79,'Inventory'!$A$7:$A$783,1)</x:f>
        <x:v>1</x:v>
      </x:c>
      <x:c r="I79" s="2" t="n">
        <x:f>SUMIFS('Inventory'!$G$7:$G$783,'Inventory'!$N$7:$N$783,A79,'Inventory'!$A$7:$A$783,1)</x:f>
        <x:v>5</x:v>
      </x:c>
      <x:c r="J79" s="12" t="str">
        <x:v>Campaign format rate</x:v>
      </x:c>
      <x:c r="K79" s="17"/>
      <x:c r="L79" s="17" t="n">
        <x:f>$E$5</x:f>
        <x:v>20000</x:v>
      </x:c>
      <x:c r="M79" s="17"/>
      <x:c r="N79" s="19"/>
      <x:c r="O79" s="17" t="n">
        <x:f>IF(ISNUMBER(L79),G79*L79,IF(ISNUMBER(M79),M79,""))</x:f>
        <x:v>100000</x:v>
      </x:c>
      <x:c r="P79" s="17" t="n">
        <x:f>IF(ISNUMBER(K79),K79,IF(ISNUMBER(O79),O79,""))</x:f>
        <x:v>100000</x:v>
      </x:c>
      <x:c r="Q79" s="17" t="n">
        <x:f>IF(H79=0,0,IF(ISNUMBER(N79),N79,IF(N79="",IF(H79=F79,P79,""),"")))</x:f>
        <x:v>100000</x:v>
      </x:c>
      <x:c r="R79" s="17" t="n">
        <x:f>IF(ISNUMBER(Q79),ROUND(Q79*$C$4,2),"")</x:f>
        <x:v>18000</x:v>
      </x:c>
      <x:c r="S79" s="17" t="n">
        <x:f>IF(ISNUMBER(Q79),Q79+R79,"")</x:f>
        <x:v>118000</x:v>
      </x:c>
      <x:c r="T79" s="2" t="str">
        <x:f>IF(H79=0,"Not selected",IF(ISNUMBER(N79),"Quote entered",IF(N79&lt;&gt;"","Enter numeric quote",IF(H79=F79,IF(ISNUMBER(P79),"Complete unit","Price required"),"Partial package: price required"))))</x:f>
        <x:v>Complete unit</x:v>
      </x:c>
      <x:c r="U79" s="2" t="str">
        <x:v>TEN-9F4CA485123F; TEN-B6F590BF9615</x:v>
      </x:c>
      <x:c r="V79" s="2" t="str">
        <x:v>IT &amp; digital</x:v>
      </x:c>
      <x:c r="W79" s="2" t="str">
        <x:v>Mixed business audience</x:v>
      </x:c>
      <x:c r="X79" s="17" t="n">
        <x:f>IF(AND(H79=F79,NOT(ISNUMBER(N79)),N79="",ISNUMBER(K79)),K79,0)</x:f>
        <x:v>0</x:v>
      </x:c>
      <x:c r="Y79" s="17" t="n">
        <x:f>IF(AND(H79=F79,NOT(ISNUMBER(N79)),N79="",K79="",ISNUMBER(O79)),O79,0)</x:f>
        <x:v>100000</x:v>
      </x:c>
      <x:c r="Z79" s="17" t="n">
        <x:f>IF(AND(H79&gt;0,ISNUMBER(N79)),N79,0)</x:f>
        <x:v>0</x:v>
      </x:c>
      <x:c r="AA79" s="2" t="n">
        <x:f>IF(AND(H79&gt;0,N79="",NOT(ISNUMBER(Q79))),1,0)</x:f>
        <x:v>0</x:v>
      </x:c>
      <x:c r="AB79" s="2" t="n">
        <x:f>IF(AND(H79&gt;0,N79&lt;&gt;"",NOT(ISNUMBER(N79))),1,0)</x:f>
        <x:v>0</x:v>
      </x:c>
    </x:row>
    <x:row r="80" ht="48" customHeight="1">
      <x:c r="A80" s="2" t="str">
        <x:v>MAIN-079</x:v>
      </x:c>
      <x:c r="B80" s="2" t="str">
        <x:v>Main</x:v>
      </x:c>
      <x:c r="C80" s="2" t="str">
        <x:v>Bengaluru</x:v>
      </x:c>
      <x:c r="D80" s="12" t="str">
        <x:v>Senate </x:v>
      </x:c>
      <x:c r="E80" s="12" t="str">
        <x:v>55 inch LED TV</x:v>
      </x:c>
      <x:c r="F80" s="2" t="n">
        <x:v>1</x:v>
      </x:c>
      <x:c r="G80" s="2" t="n">
        <x:v>2</x:v>
      </x:c>
      <x:c r="H80" s="2" t="n">
        <x:f>COUNTIFS('Inventory'!$N$7:$N$783,A80,'Inventory'!$A$7:$A$783,1)</x:f>
        <x:v>1</x:v>
      </x:c>
      <x:c r="I80" s="2" t="n">
        <x:f>SUMIFS('Inventory'!$G$7:$G$783,'Inventory'!$N$7:$N$783,A80,'Inventory'!$A$7:$A$783,1)</x:f>
        <x:v>2</x:v>
      </x:c>
      <x:c r="J80" s="12" t="str">
        <x:v>Campaign format rate</x:v>
      </x:c>
      <x:c r="K80" s="17"/>
      <x:c r="L80" s="17" t="n">
        <x:f>$I$5</x:f>
        <x:v>40000</x:v>
      </x:c>
      <x:c r="M80" s="17"/>
      <x:c r="N80" s="19"/>
      <x:c r="O80" s="17" t="n">
        <x:f>IF(ISNUMBER(L80),G80*L80,IF(ISNUMBER(M80),M80,""))</x:f>
        <x:v>80000</x:v>
      </x:c>
      <x:c r="P80" s="17" t="n">
        <x:f>IF(ISNUMBER(K80),K80,IF(ISNUMBER(O80),O80,""))</x:f>
        <x:v>80000</x:v>
      </x:c>
      <x:c r="Q80" s="17" t="n">
        <x:f>IF(H80=0,0,IF(ISNUMBER(N80),N80,IF(N80="",IF(H80=F80,P80,""),"")))</x:f>
        <x:v>80000</x:v>
      </x:c>
      <x:c r="R80" s="17" t="n">
        <x:f>IF(ISNUMBER(Q80),ROUND(Q80*$C$4,2),"")</x:f>
        <x:v>14400</x:v>
      </x:c>
      <x:c r="S80" s="17" t="n">
        <x:f>IF(ISNUMBER(Q80),Q80+R80,"")</x:f>
        <x:v>94400</x:v>
      </x:c>
      <x:c r="T80" s="2" t="str">
        <x:f>IF(H80=0,"Not selected",IF(ISNUMBER(N80),"Quote entered",IF(N80&lt;&gt;"","Enter numeric quote",IF(H80=F80,IF(ISNUMBER(P80),"Complete unit","Price required"),"Partial package: price required"))))</x:f>
        <x:v>Complete unit</x:v>
      </x:c>
      <x:c r="U80" s="2" t="str"/>
      <x:c r="V80" s="2" t="str">
        <x:v>Unclassified</x:v>
      </x:c>
      <x:c r="W80" s="2" t="str">
        <x:v>Mixed business audience</x:v>
      </x:c>
      <x:c r="X80" s="17" t="n">
        <x:f>IF(AND(H80=F80,NOT(ISNUMBER(N80)),N80="",ISNUMBER(K80)),K80,0)</x:f>
        <x:v>0</x:v>
      </x:c>
      <x:c r="Y80" s="17" t="n">
        <x:f>IF(AND(H80=F80,NOT(ISNUMBER(N80)),N80="",K80="",ISNUMBER(O80)),O80,0)</x:f>
        <x:v>80000</x:v>
      </x:c>
      <x:c r="Z80" s="17" t="n">
        <x:f>IF(AND(H80&gt;0,ISNUMBER(N80)),N80,0)</x:f>
        <x:v>0</x:v>
      </x:c>
      <x:c r="AA80" s="2" t="n">
        <x:f>IF(AND(H80&gt;0,N80="",NOT(ISNUMBER(Q80))),1,0)</x:f>
        <x:v>0</x:v>
      </x:c>
      <x:c r="AB80" s="2" t="n">
        <x:f>IF(AND(H80&gt;0,N80&lt;&gt;"",NOT(ISNUMBER(N80))),1,0)</x:f>
        <x:v>0</x:v>
      </x:c>
    </x:row>
    <x:row r="81" ht="48" customHeight="1">
      <x:c r="A81" s="2" t="str">
        <x:v>MAIN-080</x:v>
      </x:c>
      <x:c r="B81" s="2" t="str">
        <x:v>Main</x:v>
      </x:c>
      <x:c r="C81" s="2" t="str">
        <x:v>Bengaluru</x:v>
      </x:c>
      <x:c r="D81" s="12" t="str">
        <x:v>Shankar Hospital</x:v>
      </x:c>
      <x:c r="E81" s="12" t="str">
        <x:v>32 inch LED TV</x:v>
      </x:c>
      <x:c r="F81" s="2" t="n">
        <x:v>1</x:v>
      </x:c>
      <x:c r="G81" s="2" t="n">
        <x:v>1</x:v>
      </x:c>
      <x:c r="H81" s="2" t="n">
        <x:f>COUNTIFS('Inventory'!$N$7:$N$783,A81,'Inventory'!$A$7:$A$783,1)</x:f>
        <x:v>1</x:v>
      </x:c>
      <x:c r="I81" s="2" t="n">
        <x:f>SUMIFS('Inventory'!$G$7:$G$783,'Inventory'!$N$7:$N$783,A81,'Inventory'!$A$7:$A$783,1)</x:f>
        <x:v>1</x:v>
      </x:c>
      <x:c r="J81" s="12" t="str">
        <x:v>Estimate: standard rate</x:v>
      </x:c>
      <x:c r="K81" s="17"/>
      <x:c r="L81" s="17" t="n">
        <x:f>$C$5</x:f>
        <x:v>12000</x:v>
      </x:c>
      <x:c r="M81" s="17"/>
      <x:c r="N81" s="19"/>
      <x:c r="O81" s="17" t="n">
        <x:f>IF(ISNUMBER(L81),G81*L81,IF(ISNUMBER(M81),M81,""))</x:f>
        <x:v>12000</x:v>
      </x:c>
      <x:c r="P81" s="17" t="n">
        <x:f>IF(ISNUMBER(K81),K81,IF(ISNUMBER(O81),O81,""))</x:f>
        <x:v>12000</x:v>
      </x:c>
      <x:c r="Q81" s="17" t="n">
        <x:f>IF(H81=0,0,IF(ISNUMBER(N81),N81,IF(N81="",IF(H81=F81,P81,""),"")))</x:f>
        <x:v>12000</x:v>
      </x:c>
      <x:c r="R81" s="17" t="n">
        <x:f>IF(ISNUMBER(Q81),ROUND(Q81*$C$4,2),"")</x:f>
        <x:v>2160</x:v>
      </x:c>
      <x:c r="S81" s="17" t="n">
        <x:f>IF(ISNUMBER(Q81),Q81+R81,"")</x:f>
        <x:v>14160</x:v>
      </x:c>
      <x:c r="T81" s="2" t="str">
        <x:f>IF(H81=0,"Not selected",IF(ISNUMBER(N81),"Quote entered",IF(N81&lt;&gt;"","Enter numeric quote",IF(H81=F81,IF(ISNUMBER(P81),"Complete unit","Price required"),"Partial package: price required"))))</x:f>
        <x:v>Complete unit</x:v>
      </x:c>
      <x:c r="U81" s="2" t="str"/>
      <x:c r="V81" s="2" t="str">
        <x:v>Unclassified</x:v>
      </x:c>
      <x:c r="W81" s="2" t="str">
        <x:v>Mixed business audience</x:v>
      </x:c>
      <x:c r="X81" s="17" t="n">
        <x:f>IF(AND(H81=F81,NOT(ISNUMBER(N81)),N81="",ISNUMBER(K81)),K81,0)</x:f>
        <x:v>0</x:v>
      </x:c>
      <x:c r="Y81" s="17" t="n">
        <x:f>IF(AND(H81=F81,NOT(ISNUMBER(N81)),N81="",K81="",ISNUMBER(O81)),O81,0)</x:f>
        <x:v>12000</x:v>
      </x:c>
      <x:c r="Z81" s="17" t="n">
        <x:f>IF(AND(H81&gt;0,ISNUMBER(N81)),N81,0)</x:f>
        <x:v>0</x:v>
      </x:c>
      <x:c r="AA81" s="2" t="n">
        <x:f>IF(AND(H81&gt;0,N81="",NOT(ISNUMBER(Q81))),1,0)</x:f>
        <x:v>0</x:v>
      </x:c>
      <x:c r="AB81" s="2" t="n">
        <x:f>IF(AND(H81&gt;0,N81&lt;&gt;"",NOT(ISNUMBER(N81))),1,0)</x:f>
        <x:v>0</x:v>
      </x:c>
    </x:row>
    <x:row r="82" ht="48" customHeight="1">
      <x:c r="A82" s="2" t="str">
        <x:v>MAIN-081</x:v>
      </x:c>
      <x:c r="B82" s="2" t="str">
        <x:v>Main</x:v>
      </x:c>
      <x:c r="C82" s="2" t="str">
        <x:v>Bengaluru</x:v>
      </x:c>
      <x:c r="D82" s="12" t="str">
        <x:v>Sierra Cartel</x:v>
      </x:c>
      <x:c r="E82" s="12" t="str">
        <x:v>32 inch LED TV</x:v>
      </x:c>
      <x:c r="F82" s="2" t="n">
        <x:v>1</x:v>
      </x:c>
      <x:c r="G82" s="2" t="n">
        <x:v>2</x:v>
      </x:c>
      <x:c r="H82" s="2" t="n">
        <x:f>COUNTIFS('Inventory'!$N$7:$N$783,A82,'Inventory'!$A$7:$A$783,1)</x:f>
        <x:v>1</x:v>
      </x:c>
      <x:c r="I82" s="2" t="n">
        <x:f>SUMIFS('Inventory'!$G$7:$G$783,'Inventory'!$N$7:$N$783,A82,'Inventory'!$A$7:$A$783,1)</x:f>
        <x:v>2</x:v>
      </x:c>
      <x:c r="J82" s="12" t="str">
        <x:v>Listed budget</x:v>
      </x:c>
      <x:c r="K82" s="17" t="n">
        <x:v>30000</x:v>
      </x:c>
      <x:c r="L82" s="17"/>
      <x:c r="M82" s="17"/>
      <x:c r="N82" s="19"/>
      <x:c r="O82" s="17" t="str">
        <x:f>IF(ISNUMBER(L82),G82*L82,IF(ISNUMBER(M82),M82,""))</x:f>
      </x:c>
      <x:c r="P82" s="17" t="n">
        <x:f>IF(ISNUMBER(K82),K82,IF(ISNUMBER(O82),O82,""))</x:f>
        <x:v>30000</x:v>
      </x:c>
      <x:c r="Q82" s="17" t="n">
        <x:f>IF(H82=0,0,IF(ISNUMBER(N82),N82,IF(N82="",IF(H82=F82,P82,""),"")))</x:f>
        <x:v>30000</x:v>
      </x:c>
      <x:c r="R82" s="17" t="n">
        <x:f>IF(ISNUMBER(Q82),ROUND(Q82*$C$4,2),"")</x:f>
        <x:v>5400</x:v>
      </x:c>
      <x:c r="S82" s="17" t="n">
        <x:f>IF(ISNUMBER(Q82),Q82+R82,"")</x:f>
        <x:v>35400</x:v>
      </x:c>
      <x:c r="T82" s="2" t="str">
        <x:f>IF(H82=0,"Not selected",IF(ISNUMBER(N82),"Quote entered",IF(N82&lt;&gt;"","Enter numeric quote",IF(H82=F82,IF(ISNUMBER(P82),"Complete unit","Price required"),"Partial package: price required"))))</x:f>
        <x:v>Complete unit</x:v>
      </x:c>
      <x:c r="U82" s="2" t="str">
        <x:v>TEN-322746B1C9C3; TEN-419FFC22FB32; TEN-4407D65F4D09; TEN-57408D93A706; TEN-6613992388BF; TEN-6E8D723B53AA; TEN-8B9791537146; TEN-9B83D7804FE5; TEN-C2A223C25123; TEN-D0F5589E5FAE; TEN-D260B37CCDE9</x:v>
      </x:c>
      <x:c r="V82" s="2" t="str">
        <x:v>IT &amp; digital; Professional services; Finance &amp; insurance; Healthcare &amp; life sciences; Trade, consumer &amp; logistics; Unresolved</x:v>
      </x:c>
      <x:c r="W82" s="2" t="str">
        <x:v>Small-scale prospects; Large enterprise; Mixed business audience</x:v>
      </x:c>
      <x:c r="X82" s="17" t="n">
        <x:f>IF(AND(H82=F82,NOT(ISNUMBER(N82)),N82="",ISNUMBER(K82)),K82,0)</x:f>
        <x:v>30000</x:v>
      </x:c>
      <x:c r="Y82" s="17" t="n">
        <x:f>IF(AND(H82=F82,NOT(ISNUMBER(N82)),N82="",K82="",ISNUMBER(O82)),O82,0)</x:f>
        <x:v>0</x:v>
      </x:c>
      <x:c r="Z82" s="17" t="n">
        <x:f>IF(AND(H82&gt;0,ISNUMBER(N82)),N82,0)</x:f>
        <x:v>0</x:v>
      </x:c>
      <x:c r="AA82" s="2" t="n">
        <x:f>IF(AND(H82&gt;0,N82="",NOT(ISNUMBER(Q82))),1,0)</x:f>
        <x:v>0</x:v>
      </x:c>
      <x:c r="AB82" s="2" t="n">
        <x:f>IF(AND(H82&gt;0,N82&lt;&gt;"",NOT(ISNUMBER(N82))),1,0)</x:f>
        <x:v>0</x:v>
      </x:c>
    </x:row>
    <x:row r="83" ht="48" customHeight="1">
      <x:c r="A83" s="2" t="str">
        <x:v>MAIN-082</x:v>
      </x:c>
      <x:c r="B83" s="2" t="str">
        <x:v>Main</x:v>
      </x:c>
      <x:c r="C83" s="2" t="str">
        <x:v>Bengaluru</x:v>
      </x:c>
      <x:c r="D83" s="12" t="str">
        <x:v>Sirius Building (Pod Screens)</x:v>
      </x:c>
      <x:c r="E83" s="12" t="str">
        <x:v>43 inch LED TV</x:v>
      </x:c>
      <x:c r="F83" s="2" t="n">
        <x:v>1</x:v>
      </x:c>
      <x:c r="G83" s="2" t="n">
        <x:v>2</x:v>
      </x:c>
      <x:c r="H83" s="2" t="n">
        <x:f>COUNTIFS('Inventory'!$N$7:$N$783,A83,'Inventory'!$A$7:$A$783,1)</x:f>
        <x:v>1</x:v>
      </x:c>
      <x:c r="I83" s="2" t="n">
        <x:f>SUMIFS('Inventory'!$G$7:$G$783,'Inventory'!$N$7:$N$783,A83,'Inventory'!$A$7:$A$783,1)</x:f>
        <x:v>2</x:v>
      </x:c>
      <x:c r="J83" s="12" t="str">
        <x:v>Campaign format rate</x:v>
      </x:c>
      <x:c r="K83" s="17"/>
      <x:c r="L83" s="17" t="n">
        <x:f>$E$5</x:f>
        <x:v>20000</x:v>
      </x:c>
      <x:c r="M83" s="17"/>
      <x:c r="N83" s="19"/>
      <x:c r="O83" s="17" t="n">
        <x:f>IF(ISNUMBER(L83),G83*L83,IF(ISNUMBER(M83),M83,""))</x:f>
        <x:v>40000</x:v>
      </x:c>
      <x:c r="P83" s="17" t="n">
        <x:f>IF(ISNUMBER(K83),K83,IF(ISNUMBER(O83),O83,""))</x:f>
        <x:v>40000</x:v>
      </x:c>
      <x:c r="Q83" s="17" t="n">
        <x:f>IF(H83=0,0,IF(ISNUMBER(N83),N83,IF(N83="",IF(H83=F83,P83,""),"")))</x:f>
        <x:v>40000</x:v>
      </x:c>
      <x:c r="R83" s="17" t="n">
        <x:f>IF(ISNUMBER(Q83),ROUND(Q83*$C$4,2),"")</x:f>
        <x:v>7200</x:v>
      </x:c>
      <x:c r="S83" s="17" t="n">
        <x:f>IF(ISNUMBER(Q83),Q83+R83,"")</x:f>
        <x:v>47200</x:v>
      </x:c>
      <x:c r="T83" s="2" t="str">
        <x:f>IF(H83=0,"Not selected",IF(ISNUMBER(N83),"Quote entered",IF(N83&lt;&gt;"","Enter numeric quote",IF(H83=F83,IF(ISNUMBER(P83),"Complete unit","Price required"),"Partial package: price required"))))</x:f>
        <x:v>Complete unit</x:v>
      </x:c>
      <x:c r="U83" s="2" t="str">
        <x:v>TEN-DBD359CDEA8A; TEN-F00072705532</x:v>
      </x:c>
      <x:c r="V83" s="2" t="str">
        <x:v>Trade, consumer &amp; logistics</x:v>
      </x:c>
      <x:c r="W83" s="2" t="str">
        <x:v>Small-scale prospects</x:v>
      </x:c>
      <x:c r="X83" s="17" t="n">
        <x:f>IF(AND(H83=F83,NOT(ISNUMBER(N83)),N83="",ISNUMBER(K83)),K83,0)</x:f>
        <x:v>0</x:v>
      </x:c>
      <x:c r="Y83" s="17" t="n">
        <x:f>IF(AND(H83=F83,NOT(ISNUMBER(N83)),N83="",K83="",ISNUMBER(O83)),O83,0)</x:f>
        <x:v>40000</x:v>
      </x:c>
      <x:c r="Z83" s="17" t="n">
        <x:f>IF(AND(H83&gt;0,ISNUMBER(N83)),N83,0)</x:f>
        <x:v>0</x:v>
      </x:c>
      <x:c r="AA83" s="2" t="n">
        <x:f>IF(AND(H83&gt;0,N83="",NOT(ISNUMBER(Q83))),1,0)</x:f>
        <x:v>0</x:v>
      </x:c>
      <x:c r="AB83" s="2" t="n">
        <x:f>IF(AND(H83&gt;0,N83&lt;&gt;"",NOT(ISNUMBER(N83))),1,0)</x:f>
        <x:v>0</x:v>
      </x:c>
    </x:row>
    <x:row r="84" ht="48" customHeight="1">
      <x:c r="A84" s="2" t="str">
        <x:v>MAIN-083</x:v>
      </x:c>
      <x:c r="B84" s="2" t="str">
        <x:v>Main</x:v>
      </x:c>
      <x:c r="C84" s="2" t="str">
        <x:v>Bengaluru</x:v>
      </x:c>
      <x:c r="D84" s="12" t="str">
        <x:v>Sirius Building Tech Park</x:v>
      </x:c>
      <x:c r="E84" s="12" t="str">
        <x:v>32 inch LED TV</x:v>
      </x:c>
      <x:c r="F84" s="2" t="n">
        <x:v>1</x:v>
      </x:c>
      <x:c r="G84" s="2" t="n">
        <x:v>3</x:v>
      </x:c>
      <x:c r="H84" s="2" t="n">
        <x:f>COUNTIFS('Inventory'!$N$7:$N$783,A84,'Inventory'!$A$7:$A$783,1)</x:f>
        <x:v>1</x:v>
      </x:c>
      <x:c r="I84" s="2" t="n">
        <x:f>SUMIFS('Inventory'!$G$7:$G$783,'Inventory'!$N$7:$N$783,A84,'Inventory'!$A$7:$A$783,1)</x:f>
        <x:v>3</x:v>
      </x:c>
      <x:c r="J84" s="12" t="str">
        <x:v>Listed budget</x:v>
      </x:c>
      <x:c r="K84" s="17" t="n">
        <x:v>97500</x:v>
      </x:c>
      <x:c r="L84" s="17"/>
      <x:c r="M84" s="17"/>
      <x:c r="N84" s="19"/>
      <x:c r="O84" s="17" t="str">
        <x:f>IF(ISNUMBER(L84),G84*L84,IF(ISNUMBER(M84),M84,""))</x:f>
      </x:c>
      <x:c r="P84" s="17" t="n">
        <x:f>IF(ISNUMBER(K84),K84,IF(ISNUMBER(O84),O84,""))</x:f>
        <x:v>97500</x:v>
      </x:c>
      <x:c r="Q84" s="17" t="n">
        <x:f>IF(H84=0,0,IF(ISNUMBER(N84),N84,IF(N84="",IF(H84=F84,P84,""),"")))</x:f>
        <x:v>97500</x:v>
      </x:c>
      <x:c r="R84" s="17" t="n">
        <x:f>IF(ISNUMBER(Q84),ROUND(Q84*$C$4,2),"")</x:f>
        <x:v>17550</x:v>
      </x:c>
      <x:c r="S84" s="17" t="n">
        <x:f>IF(ISNUMBER(Q84),Q84+R84,"")</x:f>
        <x:v>115050</x:v>
      </x:c>
      <x:c r="T84" s="2" t="str">
        <x:f>IF(H84=0,"Not selected",IF(ISNUMBER(N84),"Quote entered",IF(N84&lt;&gt;"","Enter numeric quote",IF(H84=F84,IF(ISNUMBER(P84),"Complete unit","Price required"),"Partial package: price required"))))</x:f>
        <x:v>Complete unit</x:v>
      </x:c>
      <x:c r="U84" s="2" t="str">
        <x:v>TEN-DBD359CDEA8A; TEN-F00072705532</x:v>
      </x:c>
      <x:c r="V84" s="2" t="str">
        <x:v>Trade, consumer &amp; logistics</x:v>
      </x:c>
      <x:c r="W84" s="2" t="str">
        <x:v>Small-scale prospects</x:v>
      </x:c>
      <x:c r="X84" s="17" t="n">
        <x:f>IF(AND(H84=F84,NOT(ISNUMBER(N84)),N84="",ISNUMBER(K84)),K84,0)</x:f>
        <x:v>97500</x:v>
      </x:c>
      <x:c r="Y84" s="17" t="n">
        <x:f>IF(AND(H84=F84,NOT(ISNUMBER(N84)),N84="",K84="",ISNUMBER(O84)),O84,0)</x:f>
        <x:v>0</x:v>
      </x:c>
      <x:c r="Z84" s="17" t="n">
        <x:f>IF(AND(H84&gt;0,ISNUMBER(N84)),N84,0)</x:f>
        <x:v>0</x:v>
      </x:c>
      <x:c r="AA84" s="2" t="n">
        <x:f>IF(AND(H84&gt;0,N84="",NOT(ISNUMBER(Q84))),1,0)</x:f>
        <x:v>0</x:v>
      </x:c>
      <x:c r="AB84" s="2" t="n">
        <x:f>IF(AND(H84&gt;0,N84&lt;&gt;"",NOT(ISNUMBER(N84))),1,0)</x:f>
        <x:v>0</x:v>
      </x:c>
    </x:row>
    <x:row r="85" ht="48" customHeight="1">
      <x:c r="A85" s="2" t="str">
        <x:v>MAIN-084</x:v>
      </x:c>
      <x:c r="B85" s="2" t="str">
        <x:v>Main</x:v>
      </x:c>
      <x:c r="C85" s="2" t="str">
        <x:v>Bengaluru</x:v>
      </x:c>
      <x:c r="D85" s="12" t="str">
        <x:v>SJR Union City</x:v>
      </x:c>
      <x:c r="E85" s="12" t="str">
        <x:v>55 inch LED TV</x:v>
      </x:c>
      <x:c r="F85" s="2" t="n">
        <x:v>1</x:v>
      </x:c>
      <x:c r="G85" s="2" t="n">
        <x:v>2</x:v>
      </x:c>
      <x:c r="H85" s="2" t="n">
        <x:f>COUNTIFS('Inventory'!$N$7:$N$783,A85,'Inventory'!$A$7:$A$783,1)</x:f>
        <x:v>1</x:v>
      </x:c>
      <x:c r="I85" s="2" t="n">
        <x:f>SUMIFS('Inventory'!$G$7:$G$783,'Inventory'!$N$7:$N$783,A85,'Inventory'!$A$7:$A$783,1)</x:f>
        <x:v>2</x:v>
      </x:c>
      <x:c r="J85" s="12" t="str">
        <x:v>Campaign format rate</x:v>
      </x:c>
      <x:c r="K85" s="17"/>
      <x:c r="L85" s="17" t="n">
        <x:f>$I$5</x:f>
        <x:v>40000</x:v>
      </x:c>
      <x:c r="M85" s="17"/>
      <x:c r="N85" s="19"/>
      <x:c r="O85" s="17" t="n">
        <x:f>IF(ISNUMBER(L85),G85*L85,IF(ISNUMBER(M85),M85,""))</x:f>
        <x:v>80000</x:v>
      </x:c>
      <x:c r="P85" s="17" t="n">
        <x:f>IF(ISNUMBER(K85),K85,IF(ISNUMBER(O85),O85,""))</x:f>
        <x:v>80000</x:v>
      </x:c>
      <x:c r="Q85" s="17" t="n">
        <x:f>IF(H85=0,0,IF(ISNUMBER(N85),N85,IF(N85="",IF(H85=F85,P85,""),"")))</x:f>
        <x:v>80000</x:v>
      </x:c>
      <x:c r="R85" s="17" t="n">
        <x:f>IF(ISNUMBER(Q85),ROUND(Q85*$C$4,2),"")</x:f>
        <x:v>14400</x:v>
      </x:c>
      <x:c r="S85" s="17" t="n">
        <x:f>IF(ISNUMBER(Q85),Q85+R85,"")</x:f>
        <x:v>94400</x:v>
      </x:c>
      <x:c r="T85" s="2" t="str">
        <x:f>IF(H85=0,"Not selected",IF(ISNUMBER(N85),"Quote entered",IF(N85&lt;&gt;"","Enter numeric quote",IF(H85=F85,IF(ISNUMBER(P85),"Complete unit","Price required"),"Partial package: price required"))))</x:f>
        <x:v>Complete unit</x:v>
      </x:c>
      <x:c r="U85" s="2" t="str"/>
      <x:c r="V85" s="2" t="str">
        <x:v>Unclassified</x:v>
      </x:c>
      <x:c r="W85" s="2" t="str">
        <x:v>Mixed business audience</x:v>
      </x:c>
      <x:c r="X85" s="17" t="n">
        <x:f>IF(AND(H85=F85,NOT(ISNUMBER(N85)),N85="",ISNUMBER(K85)),K85,0)</x:f>
        <x:v>0</x:v>
      </x:c>
      <x:c r="Y85" s="17" t="n">
        <x:f>IF(AND(H85=F85,NOT(ISNUMBER(N85)),N85="",K85="",ISNUMBER(O85)),O85,0)</x:f>
        <x:v>80000</x:v>
      </x:c>
      <x:c r="Z85" s="17" t="n">
        <x:f>IF(AND(H85&gt;0,ISNUMBER(N85)),N85,0)</x:f>
        <x:v>0</x:v>
      </x:c>
      <x:c r="AA85" s="2" t="n">
        <x:f>IF(AND(H85&gt;0,N85="",NOT(ISNUMBER(Q85))),1,0)</x:f>
        <x:v>0</x:v>
      </x:c>
      <x:c r="AB85" s="2" t="n">
        <x:f>IF(AND(H85&gt;0,N85&lt;&gt;"",NOT(ISNUMBER(N85))),1,0)</x:f>
        <x:v>0</x:v>
      </x:c>
    </x:row>
    <x:row r="86" ht="48" customHeight="1">
      <x:c r="A86" s="2" t="str">
        <x:v>MAIN-085</x:v>
      </x:c>
      <x:c r="B86" s="2" t="str">
        <x:v>Main</x:v>
      </x:c>
      <x:c r="C86" s="2" t="str">
        <x:v>Bengaluru</x:v>
      </x:c>
      <x:c r="D86" s="12" t="str">
        <x:v>Smartworks The Cube</x:v>
      </x:c>
      <x:c r="E86" s="12" t="str">
        <x:v>43 inch LED TV</x:v>
      </x:c>
      <x:c r="F86" s="2" t="n">
        <x:v>1</x:v>
      </x:c>
      <x:c r="G86" s="2" t="n">
        <x:v>3</x:v>
      </x:c>
      <x:c r="H86" s="2" t="n">
        <x:f>COUNTIFS('Inventory'!$N$7:$N$783,A86,'Inventory'!$A$7:$A$783,1)</x:f>
        <x:v>1</x:v>
      </x:c>
      <x:c r="I86" s="2" t="n">
        <x:f>SUMIFS('Inventory'!$G$7:$G$783,'Inventory'!$N$7:$N$783,A86,'Inventory'!$A$7:$A$783,1)</x:f>
        <x:v>3</x:v>
      </x:c>
      <x:c r="J86" s="12" t="str">
        <x:v>Campaign format rate</x:v>
      </x:c>
      <x:c r="K86" s="17"/>
      <x:c r="L86" s="17" t="n">
        <x:f>$E$5</x:f>
        <x:v>20000</x:v>
      </x:c>
      <x:c r="M86" s="17"/>
      <x:c r="N86" s="19"/>
      <x:c r="O86" s="17" t="n">
        <x:f>IF(ISNUMBER(L86),G86*L86,IF(ISNUMBER(M86),M86,""))</x:f>
        <x:v>60000</x:v>
      </x:c>
      <x:c r="P86" s="17" t="n">
        <x:f>IF(ISNUMBER(K86),K86,IF(ISNUMBER(O86),O86,""))</x:f>
        <x:v>60000</x:v>
      </x:c>
      <x:c r="Q86" s="17" t="n">
        <x:f>IF(H86=0,0,IF(ISNUMBER(N86),N86,IF(N86="",IF(H86=F86,P86,""),"")))</x:f>
        <x:v>60000</x:v>
      </x:c>
      <x:c r="R86" s="17" t="n">
        <x:f>IF(ISNUMBER(Q86),ROUND(Q86*$C$4,2),"")</x:f>
        <x:v>10800</x:v>
      </x:c>
      <x:c r="S86" s="17" t="n">
        <x:f>IF(ISNUMBER(Q86),Q86+R86,"")</x:f>
        <x:v>70800</x:v>
      </x:c>
      <x:c r="T86" s="2" t="str">
        <x:f>IF(H86=0,"Not selected",IF(ISNUMBER(N86),"Quote entered",IF(N86&lt;&gt;"","Enter numeric quote",IF(H86=F86,IF(ISNUMBER(P86),"Complete unit","Price required"),"Partial package: price required"))))</x:f>
        <x:v>Complete unit</x:v>
      </x:c>
      <x:c r="U86" s="2" t="str">
        <x:v>TEN-956E5A41DB14; TEN-C63644CF5B4D; TEN-CF8B634D45D8; TEN-ECC7EC65401A</x:v>
      </x:c>
      <x:c r="V86" s="2" t="str">
        <x:v>IT &amp; digital</x:v>
      </x:c>
      <x:c r="W86" s="2" t="str">
        <x:v>Small-scale prospects; Large enterprise; Mixed business audience</x:v>
      </x:c>
      <x:c r="X86" s="17" t="n">
        <x:f>IF(AND(H86=F86,NOT(ISNUMBER(N86)),N86="",ISNUMBER(K86)),K86,0)</x:f>
        <x:v>0</x:v>
      </x:c>
      <x:c r="Y86" s="17" t="n">
        <x:f>IF(AND(H86=F86,NOT(ISNUMBER(N86)),N86="",K86="",ISNUMBER(O86)),O86,0)</x:f>
        <x:v>60000</x:v>
      </x:c>
      <x:c r="Z86" s="17" t="n">
        <x:f>IF(AND(H86&gt;0,ISNUMBER(N86)),N86,0)</x:f>
        <x:v>0</x:v>
      </x:c>
      <x:c r="AA86" s="2" t="n">
        <x:f>IF(AND(H86&gt;0,N86="",NOT(ISNUMBER(Q86))),1,0)</x:f>
        <x:v>0</x:v>
      </x:c>
      <x:c r="AB86" s="2" t="n">
        <x:f>IF(AND(H86&gt;0,N86&lt;&gt;"",NOT(ISNUMBER(N86))),1,0)</x:f>
        <x:v>0</x:v>
      </x:c>
    </x:row>
    <x:row r="87" ht="48" customHeight="1">
      <x:c r="A87" s="2" t="str">
        <x:v>MAIN-086</x:v>
      </x:c>
      <x:c r="B87" s="2" t="str">
        <x:v>Main</x:v>
      </x:c>
      <x:c r="C87" s="2" t="str">
        <x:v>Bengaluru</x:v>
      </x:c>
      <x:c r="D87" s="12" t="str">
        <x:v>Startuphuts- Unit 1</x:v>
      </x:c>
      <x:c r="E87" s="12" t="str">
        <x:v>32 inch LED TV</x:v>
      </x:c>
      <x:c r="F87" s="2" t="n">
        <x:v>1</x:v>
      </x:c>
      <x:c r="G87" s="2" t="n">
        <x:v>1</x:v>
      </x:c>
      <x:c r="H87" s="2" t="n">
        <x:f>COUNTIFS('Inventory'!$N$7:$N$783,A87,'Inventory'!$A$7:$A$783,1)</x:f>
        <x:v>1</x:v>
      </x:c>
      <x:c r="I87" s="2" t="n">
        <x:f>SUMIFS('Inventory'!$G$7:$G$783,'Inventory'!$N$7:$N$783,A87,'Inventory'!$A$7:$A$783,1)</x:f>
        <x:v>1</x:v>
      </x:c>
      <x:c r="J87" s="12" t="str">
        <x:v>Listed budget</x:v>
      </x:c>
      <x:c r="K87" s="17" t="n">
        <x:v>15000</x:v>
      </x:c>
      <x:c r="L87" s="17"/>
      <x:c r="M87" s="17"/>
      <x:c r="N87" s="19"/>
      <x:c r="O87" s="17" t="str">
        <x:f>IF(ISNUMBER(L87),G87*L87,IF(ISNUMBER(M87),M87,""))</x:f>
      </x:c>
      <x:c r="P87" s="17" t="n">
        <x:f>IF(ISNUMBER(K87),K87,IF(ISNUMBER(O87),O87,""))</x:f>
        <x:v>15000</x:v>
      </x:c>
      <x:c r="Q87" s="17" t="n">
        <x:f>IF(H87=0,0,IF(ISNUMBER(N87),N87,IF(N87="",IF(H87=F87,P87,""),"")))</x:f>
        <x:v>15000</x:v>
      </x:c>
      <x:c r="R87" s="17" t="n">
        <x:f>IF(ISNUMBER(Q87),ROUND(Q87*$C$4,2),"")</x:f>
        <x:v>2700</x:v>
      </x:c>
      <x:c r="S87" s="17" t="n">
        <x:f>IF(ISNUMBER(Q87),Q87+R87,"")</x:f>
        <x:v>17700</x:v>
      </x:c>
      <x:c r="T87" s="2" t="str">
        <x:f>IF(H87=0,"Not selected",IF(ISNUMBER(N87),"Quote entered",IF(N87&lt;&gt;"","Enter numeric quote",IF(H87=F87,IF(ISNUMBER(P87),"Complete unit","Price required"),"Partial package: price required"))))</x:f>
        <x:v>Complete unit</x:v>
      </x:c>
      <x:c r="U87" s="2" t="str">
        <x:v>TEN-0F0CFC68477E; TEN-0F9E04732186; TEN-30C4D20E1CBE; TEN-9104E1CC29F2; TEN-BF501ACCCD71</x:v>
      </x:c>
      <x:c r="V87" s="2" t="str">
        <x:v>IT &amp; digital; Finance &amp; insurance; Trade, consumer &amp; logistics; Unresolved</x:v>
      </x:c>
      <x:c r="W87" s="2" t="str">
        <x:v>Small-scale prospects; Medium-scale prospects; Mixed business audience</x:v>
      </x:c>
      <x:c r="X87" s="17" t="n">
        <x:f>IF(AND(H87=F87,NOT(ISNUMBER(N87)),N87="",ISNUMBER(K87)),K87,0)</x:f>
        <x:v>15000</x:v>
      </x:c>
      <x:c r="Y87" s="17" t="n">
        <x:f>IF(AND(H87=F87,NOT(ISNUMBER(N87)),N87="",K87="",ISNUMBER(O87)),O87,0)</x:f>
        <x:v>0</x:v>
      </x:c>
      <x:c r="Z87" s="17" t="n">
        <x:f>IF(AND(H87&gt;0,ISNUMBER(N87)),N87,0)</x:f>
        <x:v>0</x:v>
      </x:c>
      <x:c r="AA87" s="2" t="n">
        <x:f>IF(AND(H87&gt;0,N87="",NOT(ISNUMBER(Q87))),1,0)</x:f>
        <x:v>0</x:v>
      </x:c>
      <x:c r="AB87" s="2" t="n">
        <x:f>IF(AND(H87&gt;0,N87&lt;&gt;"",NOT(ISNUMBER(N87))),1,0)</x:f>
        <x:v>0</x:v>
      </x:c>
    </x:row>
    <x:row r="88" ht="48" customHeight="1">
      <x:c r="A88" s="2" t="str">
        <x:v>MAIN-087</x:v>
      </x:c>
      <x:c r="B88" s="2" t="str">
        <x:v>Main</x:v>
      </x:c>
      <x:c r="C88" s="2" t="str">
        <x:v>Bengaluru</x:v>
      </x:c>
      <x:c r="D88" s="12" t="str">
        <x:v>Startuphuts- Unit 3</x:v>
      </x:c>
      <x:c r="E88" s="12" t="str">
        <x:v>32 inch LED TV</x:v>
      </x:c>
      <x:c r="F88" s="2" t="n">
        <x:v>1</x:v>
      </x:c>
      <x:c r="G88" s="2" t="n">
        <x:v>1</x:v>
      </x:c>
      <x:c r="H88" s="2" t="n">
        <x:f>COUNTIFS('Inventory'!$N$7:$N$783,A88,'Inventory'!$A$7:$A$783,1)</x:f>
        <x:v>1</x:v>
      </x:c>
      <x:c r="I88" s="2" t="n">
        <x:f>SUMIFS('Inventory'!$G$7:$G$783,'Inventory'!$N$7:$N$783,A88,'Inventory'!$A$7:$A$783,1)</x:f>
        <x:v>1</x:v>
      </x:c>
      <x:c r="J88" s="12" t="str">
        <x:v>Listed budget</x:v>
      </x:c>
      <x:c r="K88" s="17" t="n">
        <x:v>15000</x:v>
      </x:c>
      <x:c r="L88" s="17"/>
      <x:c r="M88" s="17"/>
      <x:c r="N88" s="19"/>
      <x:c r="O88" s="17" t="str">
        <x:f>IF(ISNUMBER(L88),G88*L88,IF(ISNUMBER(M88),M88,""))</x:f>
      </x:c>
      <x:c r="P88" s="17" t="n">
        <x:f>IF(ISNUMBER(K88),K88,IF(ISNUMBER(O88),O88,""))</x:f>
        <x:v>15000</x:v>
      </x:c>
      <x:c r="Q88" s="17" t="n">
        <x:f>IF(H88=0,0,IF(ISNUMBER(N88),N88,IF(N88="",IF(H88=F88,P88,""),"")))</x:f>
        <x:v>15000</x:v>
      </x:c>
      <x:c r="R88" s="17" t="n">
        <x:f>IF(ISNUMBER(Q88),ROUND(Q88*$C$4,2),"")</x:f>
        <x:v>2700</x:v>
      </x:c>
      <x:c r="S88" s="17" t="n">
        <x:f>IF(ISNUMBER(Q88),Q88+R88,"")</x:f>
        <x:v>17700</x:v>
      </x:c>
      <x:c r="T88" s="2" t="str">
        <x:f>IF(H88=0,"Not selected",IF(ISNUMBER(N88),"Quote entered",IF(N88&lt;&gt;"","Enter numeric quote",IF(H88=F88,IF(ISNUMBER(P88),"Complete unit","Price required"),"Partial package: price required"))))</x:f>
        <x:v>Complete unit</x:v>
      </x:c>
      <x:c r="U88" s="2" t="str">
        <x:v>TEN-08ED8C16AC6E; TEN-13AE387FC0B7</x:v>
      </x:c>
      <x:c r="V88" s="2" t="str">
        <x:v>Trade, consumer &amp; logistics; Unresolved</x:v>
      </x:c>
      <x:c r="W88" s="2" t="str">
        <x:v>Medium-scale prospects; Mixed business audience</x:v>
      </x:c>
      <x:c r="X88" s="17" t="n">
        <x:f>IF(AND(H88=F88,NOT(ISNUMBER(N88)),N88="",ISNUMBER(K88)),K88,0)</x:f>
        <x:v>15000</x:v>
      </x:c>
      <x:c r="Y88" s="17" t="n">
        <x:f>IF(AND(H88=F88,NOT(ISNUMBER(N88)),N88="",K88="",ISNUMBER(O88)),O88,0)</x:f>
        <x:v>0</x:v>
      </x:c>
      <x:c r="Z88" s="17" t="n">
        <x:f>IF(AND(H88&gt;0,ISNUMBER(N88)),N88,0)</x:f>
        <x:v>0</x:v>
      </x:c>
      <x:c r="AA88" s="2" t="n">
        <x:f>IF(AND(H88&gt;0,N88="",NOT(ISNUMBER(Q88))),1,0)</x:f>
        <x:v>0</x:v>
      </x:c>
      <x:c r="AB88" s="2" t="n">
        <x:f>IF(AND(H88&gt;0,N88&lt;&gt;"",NOT(ISNUMBER(N88))),1,0)</x:f>
        <x:v>0</x:v>
      </x:c>
    </x:row>
    <x:row r="89" ht="48" customHeight="1">
      <x:c r="A89" s="2" t="str">
        <x:v>MAIN-088</x:v>
      </x:c>
      <x:c r="B89" s="2" t="str">
        <x:v>Main</x:v>
      </x:c>
      <x:c r="C89" s="2" t="str">
        <x:v>Bengaluru</x:v>
      </x:c>
      <x:c r="D89" s="12" t="str">
        <x:v>Startuphuts- Unit 4</x:v>
      </x:c>
      <x:c r="E89" s="12" t="str">
        <x:v>32 inch LED TV</x:v>
      </x:c>
      <x:c r="F89" s="2" t="n">
        <x:v>1</x:v>
      </x:c>
      <x:c r="G89" s="2" t="n">
        <x:v>2</x:v>
      </x:c>
      <x:c r="H89" s="2" t="n">
        <x:f>COUNTIFS('Inventory'!$N$7:$N$783,A89,'Inventory'!$A$7:$A$783,1)</x:f>
        <x:v>1</x:v>
      </x:c>
      <x:c r="I89" s="2" t="n">
        <x:f>SUMIFS('Inventory'!$G$7:$G$783,'Inventory'!$N$7:$N$783,A89,'Inventory'!$A$7:$A$783,1)</x:f>
        <x:v>2</x:v>
      </x:c>
      <x:c r="J89" s="12" t="str">
        <x:v>Listed budget</x:v>
      </x:c>
      <x:c r="K89" s="17" t="n">
        <x:v>30000</x:v>
      </x:c>
      <x:c r="L89" s="17"/>
      <x:c r="M89" s="17"/>
      <x:c r="N89" s="19"/>
      <x:c r="O89" s="17" t="str">
        <x:f>IF(ISNUMBER(L89),G89*L89,IF(ISNUMBER(M89),M89,""))</x:f>
      </x:c>
      <x:c r="P89" s="17" t="n">
        <x:f>IF(ISNUMBER(K89),K89,IF(ISNUMBER(O89),O89,""))</x:f>
        <x:v>30000</x:v>
      </x:c>
      <x:c r="Q89" s="17" t="n">
        <x:f>IF(H89=0,0,IF(ISNUMBER(N89),N89,IF(N89="",IF(H89=F89,P89,""),"")))</x:f>
        <x:v>30000</x:v>
      </x:c>
      <x:c r="R89" s="17" t="n">
        <x:f>IF(ISNUMBER(Q89),ROUND(Q89*$C$4,2),"")</x:f>
        <x:v>5400</x:v>
      </x:c>
      <x:c r="S89" s="17" t="n">
        <x:f>IF(ISNUMBER(Q89),Q89+R89,"")</x:f>
        <x:v>35400</x:v>
      </x:c>
      <x:c r="T89" s="2" t="str">
        <x:f>IF(H89=0,"Not selected",IF(ISNUMBER(N89),"Quote entered",IF(N89&lt;&gt;"","Enter numeric quote",IF(H89=F89,IF(ISNUMBER(P89),"Complete unit","Price required"),"Partial package: price required"))))</x:f>
        <x:v>Complete unit</x:v>
      </x:c>
      <x:c r="U89" s="2" t="str">
        <x:v>TEN-F0BA5FA690D0; TEN-F9DD0973ACFC</x:v>
      </x:c>
      <x:c r="V89" s="2" t="str">
        <x:v>IT &amp; digital; Education</x:v>
      </x:c>
      <x:c r="W89" s="2" t="str">
        <x:v>Small-scale prospects; Mixed business audience</x:v>
      </x:c>
      <x:c r="X89" s="17" t="n">
        <x:f>IF(AND(H89=F89,NOT(ISNUMBER(N89)),N89="",ISNUMBER(K89)),K89,0)</x:f>
        <x:v>30000</x:v>
      </x:c>
      <x:c r="Y89" s="17" t="n">
        <x:f>IF(AND(H89=F89,NOT(ISNUMBER(N89)),N89="",K89="",ISNUMBER(O89)),O89,0)</x:f>
        <x:v>0</x:v>
      </x:c>
      <x:c r="Z89" s="17" t="n">
        <x:f>IF(AND(H89&gt;0,ISNUMBER(N89)),N89,0)</x:f>
        <x:v>0</x:v>
      </x:c>
      <x:c r="AA89" s="2" t="n">
        <x:f>IF(AND(H89&gt;0,N89="",NOT(ISNUMBER(Q89))),1,0)</x:f>
        <x:v>0</x:v>
      </x:c>
      <x:c r="AB89" s="2" t="n">
        <x:f>IF(AND(H89&gt;0,N89&lt;&gt;"",NOT(ISNUMBER(N89))),1,0)</x:f>
        <x:v>0</x:v>
      </x:c>
    </x:row>
    <x:row r="90" ht="48" customHeight="1">
      <x:c r="A90" s="2" t="str">
        <x:v>MAIN-089</x:v>
      </x:c>
      <x:c r="B90" s="2" t="str">
        <x:v>Main</x:v>
      </x:c>
      <x:c r="C90" s="2" t="str">
        <x:v>Bengaluru</x:v>
      </x:c>
      <x:c r="D90" s="12" t="str">
        <x:v>Startuphuts- Unit 6</x:v>
      </x:c>
      <x:c r="E90" s="12" t="str">
        <x:v>32 inch LED TV</x:v>
      </x:c>
      <x:c r="F90" s="2" t="n">
        <x:v>1</x:v>
      </x:c>
      <x:c r="G90" s="2" t="n">
        <x:v>1</x:v>
      </x:c>
      <x:c r="H90" s="2" t="n">
        <x:f>COUNTIFS('Inventory'!$N$7:$N$783,A90,'Inventory'!$A$7:$A$783,1)</x:f>
        <x:v>1</x:v>
      </x:c>
      <x:c r="I90" s="2" t="n">
        <x:f>SUMIFS('Inventory'!$G$7:$G$783,'Inventory'!$N$7:$N$783,A90,'Inventory'!$A$7:$A$783,1)</x:f>
        <x:v>1</x:v>
      </x:c>
      <x:c r="J90" s="12" t="str">
        <x:v>Listed budget</x:v>
      </x:c>
      <x:c r="K90" s="17" t="n">
        <x:v>15000</x:v>
      </x:c>
      <x:c r="L90" s="17"/>
      <x:c r="M90" s="17"/>
      <x:c r="N90" s="19"/>
      <x:c r="O90" s="17" t="str">
        <x:f>IF(ISNUMBER(L90),G90*L90,IF(ISNUMBER(M90),M90,""))</x:f>
      </x:c>
      <x:c r="P90" s="17" t="n">
        <x:f>IF(ISNUMBER(K90),K90,IF(ISNUMBER(O90),O90,""))</x:f>
        <x:v>15000</x:v>
      </x:c>
      <x:c r="Q90" s="17" t="n">
        <x:f>IF(H90=0,0,IF(ISNUMBER(N90),N90,IF(N90="",IF(H90=F90,P90,""),"")))</x:f>
        <x:v>15000</x:v>
      </x:c>
      <x:c r="R90" s="17" t="n">
        <x:f>IF(ISNUMBER(Q90),ROUND(Q90*$C$4,2),"")</x:f>
        <x:v>2700</x:v>
      </x:c>
      <x:c r="S90" s="17" t="n">
        <x:f>IF(ISNUMBER(Q90),Q90+R90,"")</x:f>
        <x:v>17700</x:v>
      </x:c>
      <x:c r="T90" s="2" t="str">
        <x:f>IF(H90=0,"Not selected",IF(ISNUMBER(N90),"Quote entered",IF(N90&lt;&gt;"","Enter numeric quote",IF(H90=F90,IF(ISNUMBER(P90),"Complete unit","Price required"),"Partial package: price required"))))</x:f>
        <x:v>Complete unit</x:v>
      </x:c>
      <x:c r="U90" s="2" t="str">
        <x:v>TEN-79FC67E012A7; TEN-7EB2F6F01F1B; TEN-8D8F469ED2EF</x:v>
      </x:c>
      <x:c r="V90" s="2" t="str">
        <x:v>IT &amp; digital; Professional services; Unresolved</x:v>
      </x:c>
      <x:c r="W90" s="2" t="str">
        <x:v>Small-scale prospects; Mixed business audience</x:v>
      </x:c>
      <x:c r="X90" s="17" t="n">
        <x:f>IF(AND(H90=F90,NOT(ISNUMBER(N90)),N90="",ISNUMBER(K90)),K90,0)</x:f>
        <x:v>15000</x:v>
      </x:c>
      <x:c r="Y90" s="17" t="n">
        <x:f>IF(AND(H90=F90,NOT(ISNUMBER(N90)),N90="",K90="",ISNUMBER(O90)),O90,0)</x:f>
        <x:v>0</x:v>
      </x:c>
      <x:c r="Z90" s="17" t="n">
        <x:f>IF(AND(H90&gt;0,ISNUMBER(N90)),N90,0)</x:f>
        <x:v>0</x:v>
      </x:c>
      <x:c r="AA90" s="2" t="n">
        <x:f>IF(AND(H90&gt;0,N90="",NOT(ISNUMBER(Q90))),1,0)</x:f>
        <x:v>0</x:v>
      </x:c>
      <x:c r="AB90" s="2" t="n">
        <x:f>IF(AND(H90&gt;0,N90&lt;&gt;"",NOT(ISNUMBER(N90))),1,0)</x:f>
        <x:v>0</x:v>
      </x:c>
    </x:row>
    <x:row r="91" ht="48" customHeight="1">
      <x:c r="A91" s="2" t="str">
        <x:v>MAIN-090</x:v>
      </x:c>
      <x:c r="B91" s="2" t="str">
        <x:v>Main</x:v>
      </x:c>
      <x:c r="C91" s="2" t="str">
        <x:v>Bengaluru</x:v>
      </x:c>
      <x:c r="D91" s="12" t="str">
        <x:v>Startuphuts- Unit 7</x:v>
      </x:c>
      <x:c r="E91" s="12" t="str">
        <x:v>32 inch LED TV</x:v>
      </x:c>
      <x:c r="F91" s="2" t="n">
        <x:v>1</x:v>
      </x:c>
      <x:c r="G91" s="2" t="n">
        <x:v>2</x:v>
      </x:c>
      <x:c r="H91" s="2" t="n">
        <x:f>COUNTIFS('Inventory'!$N$7:$N$783,A91,'Inventory'!$A$7:$A$783,1)</x:f>
        <x:v>1</x:v>
      </x:c>
      <x:c r="I91" s="2" t="n">
        <x:f>SUMIFS('Inventory'!$G$7:$G$783,'Inventory'!$N$7:$N$783,A91,'Inventory'!$A$7:$A$783,1)</x:f>
        <x:v>2</x:v>
      </x:c>
      <x:c r="J91" s="12" t="str">
        <x:v>Listed budget</x:v>
      </x:c>
      <x:c r="K91" s="17" t="n">
        <x:v>30000</x:v>
      </x:c>
      <x:c r="L91" s="17"/>
      <x:c r="M91" s="17"/>
      <x:c r="N91" s="19"/>
      <x:c r="O91" s="17" t="str">
        <x:f>IF(ISNUMBER(L91),G91*L91,IF(ISNUMBER(M91),M91,""))</x:f>
      </x:c>
      <x:c r="P91" s="17" t="n">
        <x:f>IF(ISNUMBER(K91),K91,IF(ISNUMBER(O91),O91,""))</x:f>
        <x:v>30000</x:v>
      </x:c>
      <x:c r="Q91" s="17" t="n">
        <x:f>IF(H91=0,0,IF(ISNUMBER(N91),N91,IF(N91="",IF(H91=F91,P91,""),"")))</x:f>
        <x:v>30000</x:v>
      </x:c>
      <x:c r="R91" s="17" t="n">
        <x:f>IF(ISNUMBER(Q91),ROUND(Q91*$C$4,2),"")</x:f>
        <x:v>5400</x:v>
      </x:c>
      <x:c r="S91" s="17" t="n">
        <x:f>IF(ISNUMBER(Q91),Q91+R91,"")</x:f>
        <x:v>35400</x:v>
      </x:c>
      <x:c r="T91" s="2" t="str">
        <x:f>IF(H91=0,"Not selected",IF(ISNUMBER(N91),"Quote entered",IF(N91&lt;&gt;"","Enter numeric quote",IF(H91=F91,IF(ISNUMBER(P91),"Complete unit","Price required"),"Partial package: price required"))))</x:f>
        <x:v>Complete unit</x:v>
      </x:c>
      <x:c r="U91" s="2" t="str">
        <x:v>TEN-1152FAEF57CF; TEN-5BC7BE6ECE7C; TEN-CBFA5A6E37BE; TEN-FDEE430D40BD</x:v>
      </x:c>
      <x:c r="V91" s="2" t="str">
        <x:v>Healthcare &amp; life sciences; Education; Unresolved</x:v>
      </x:c>
      <x:c r="W91" s="2" t="str">
        <x:v>Small-scale prospects; Mixed business audience</x:v>
      </x:c>
      <x:c r="X91" s="17" t="n">
        <x:f>IF(AND(H91=F91,NOT(ISNUMBER(N91)),N91="",ISNUMBER(K91)),K91,0)</x:f>
        <x:v>30000</x:v>
      </x:c>
      <x:c r="Y91" s="17" t="n">
        <x:f>IF(AND(H91=F91,NOT(ISNUMBER(N91)),N91="",K91="",ISNUMBER(O91)),O91,0)</x:f>
        <x:v>0</x:v>
      </x:c>
      <x:c r="Z91" s="17" t="n">
        <x:f>IF(AND(H91&gt;0,ISNUMBER(N91)),N91,0)</x:f>
        <x:v>0</x:v>
      </x:c>
      <x:c r="AA91" s="2" t="n">
        <x:f>IF(AND(H91&gt;0,N91="",NOT(ISNUMBER(Q91))),1,0)</x:f>
        <x:v>0</x:v>
      </x:c>
      <x:c r="AB91" s="2" t="n">
        <x:f>IF(AND(H91&gt;0,N91&lt;&gt;"",NOT(ISNUMBER(N91))),1,0)</x:f>
        <x:v>0</x:v>
      </x:c>
    </x:row>
    <x:row r="92" ht="48" customHeight="1">
      <x:c r="A92" s="2" t="str">
        <x:v>MAIN-091</x:v>
      </x:c>
      <x:c r="B92" s="2" t="str">
        <x:v>Main</x:v>
      </x:c>
      <x:c r="C92" s="2" t="str">
        <x:v>Bengaluru</x:v>
      </x:c>
      <x:c r="D92" s="12" t="str">
        <x:v>Startuphuts- Unit 8</x:v>
      </x:c>
      <x:c r="E92" s="12" t="str">
        <x:v>32 inch LED TV</x:v>
      </x:c>
      <x:c r="F92" s="2" t="n">
        <x:v>1</x:v>
      </x:c>
      <x:c r="G92" s="2" t="n">
        <x:v>2</x:v>
      </x:c>
      <x:c r="H92" s="2" t="n">
        <x:f>COUNTIFS('Inventory'!$N$7:$N$783,A92,'Inventory'!$A$7:$A$783,1)</x:f>
        <x:v>1</x:v>
      </x:c>
      <x:c r="I92" s="2" t="n">
        <x:f>SUMIFS('Inventory'!$G$7:$G$783,'Inventory'!$N$7:$N$783,A92,'Inventory'!$A$7:$A$783,1)</x:f>
        <x:v>2</x:v>
      </x:c>
      <x:c r="J92" s="12" t="str">
        <x:v>Listed budget</x:v>
      </x:c>
      <x:c r="K92" s="17" t="n">
        <x:v>30000</x:v>
      </x:c>
      <x:c r="L92" s="17"/>
      <x:c r="M92" s="17"/>
      <x:c r="N92" s="19"/>
      <x:c r="O92" s="17" t="str">
        <x:f>IF(ISNUMBER(L92),G92*L92,IF(ISNUMBER(M92),M92,""))</x:f>
      </x:c>
      <x:c r="P92" s="17" t="n">
        <x:f>IF(ISNUMBER(K92),K92,IF(ISNUMBER(O92),O92,""))</x:f>
        <x:v>30000</x:v>
      </x:c>
      <x:c r="Q92" s="17" t="n">
        <x:f>IF(H92=0,0,IF(ISNUMBER(N92),N92,IF(N92="",IF(H92=F92,P92,""),"")))</x:f>
        <x:v>30000</x:v>
      </x:c>
      <x:c r="R92" s="17" t="n">
        <x:f>IF(ISNUMBER(Q92),ROUND(Q92*$C$4,2),"")</x:f>
        <x:v>5400</x:v>
      </x:c>
      <x:c r="S92" s="17" t="n">
        <x:f>IF(ISNUMBER(Q92),Q92+R92,"")</x:f>
        <x:v>35400</x:v>
      </x:c>
      <x:c r="T92" s="2" t="str">
        <x:f>IF(H92=0,"Not selected",IF(ISNUMBER(N92),"Quote entered",IF(N92&lt;&gt;"","Enter numeric quote",IF(H92=F92,IF(ISNUMBER(P92),"Complete unit","Price required"),"Partial package: price required"))))</x:f>
        <x:v>Complete unit</x:v>
      </x:c>
      <x:c r="U92" s="2" t="str">
        <x:v>TEN-28788F1DD8EE; TEN-722C60CE3D88; TEN-A8A4F777A65C</x:v>
      </x:c>
      <x:c r="V92" s="2" t="str">
        <x:v>IT &amp; digital; Finance &amp; insurance; Engineering &amp; manufacturing</x:v>
      </x:c>
      <x:c r="W92" s="2" t="str">
        <x:v>Small-scale prospects; Medium-scale prospects</x:v>
      </x:c>
      <x:c r="X92" s="17" t="n">
        <x:f>IF(AND(H92=F92,NOT(ISNUMBER(N92)),N92="",ISNUMBER(K92)),K92,0)</x:f>
        <x:v>30000</x:v>
      </x:c>
      <x:c r="Y92" s="17" t="n">
        <x:f>IF(AND(H92=F92,NOT(ISNUMBER(N92)),N92="",K92="",ISNUMBER(O92)),O92,0)</x:f>
        <x:v>0</x:v>
      </x:c>
      <x:c r="Z92" s="17" t="n">
        <x:f>IF(AND(H92&gt;0,ISNUMBER(N92)),N92,0)</x:f>
        <x:v>0</x:v>
      </x:c>
      <x:c r="AA92" s="2" t="n">
        <x:f>IF(AND(H92&gt;0,N92="",NOT(ISNUMBER(Q92))),1,0)</x:f>
        <x:v>0</x:v>
      </x:c>
      <x:c r="AB92" s="2" t="n">
        <x:f>IF(AND(H92&gt;0,N92&lt;&gt;"",NOT(ISNUMBER(N92))),1,0)</x:f>
        <x:v>0</x:v>
      </x:c>
    </x:row>
    <x:row r="93" ht="48" customHeight="1">
      <x:c r="A93" s="2" t="str">
        <x:v>MAIN-092</x:v>
      </x:c>
      <x:c r="B93" s="2" t="str">
        <x:v>Main</x:v>
      </x:c>
      <x:c r="C93" s="2" t="str">
        <x:v>Bengaluru</x:v>
      </x:c>
      <x:c r="D93" s="12" t="str">
        <x:v>The Cube (Karle)It Park (Pod Screens)</x:v>
      </x:c>
      <x:c r="E93" s="12" t="str">
        <x:v>43 inch LED TV</x:v>
      </x:c>
      <x:c r="F93" s="2" t="n">
        <x:v>1</x:v>
      </x:c>
      <x:c r="G93" s="2" t="n">
        <x:v>2</x:v>
      </x:c>
      <x:c r="H93" s="2" t="n">
        <x:f>COUNTIFS('Inventory'!$N$7:$N$783,A93,'Inventory'!$A$7:$A$783,1)</x:f>
        <x:v>1</x:v>
      </x:c>
      <x:c r="I93" s="2" t="n">
        <x:f>SUMIFS('Inventory'!$G$7:$G$783,'Inventory'!$N$7:$N$783,A93,'Inventory'!$A$7:$A$783,1)</x:f>
        <x:v>2</x:v>
      </x:c>
      <x:c r="J93" s="12" t="str">
        <x:v>Campaign format rate</x:v>
      </x:c>
      <x:c r="K93" s="17"/>
      <x:c r="L93" s="17" t="n">
        <x:f>$E$5</x:f>
        <x:v>20000</x:v>
      </x:c>
      <x:c r="M93" s="17"/>
      <x:c r="N93" s="19"/>
      <x:c r="O93" s="17" t="n">
        <x:f>IF(ISNUMBER(L93),G93*L93,IF(ISNUMBER(M93),M93,""))</x:f>
        <x:v>40000</x:v>
      </x:c>
      <x:c r="P93" s="17" t="n">
        <x:f>IF(ISNUMBER(K93),K93,IF(ISNUMBER(O93),O93,""))</x:f>
        <x:v>40000</x:v>
      </x:c>
      <x:c r="Q93" s="17" t="n">
        <x:f>IF(H93=0,0,IF(ISNUMBER(N93),N93,IF(N93="",IF(H93=F93,P93,""),"")))</x:f>
        <x:v>40000</x:v>
      </x:c>
      <x:c r="R93" s="17" t="n">
        <x:f>IF(ISNUMBER(Q93),ROUND(Q93*$C$4,2),"")</x:f>
        <x:v>7200</x:v>
      </x:c>
      <x:c r="S93" s="17" t="n">
        <x:f>IF(ISNUMBER(Q93),Q93+R93,"")</x:f>
        <x:v>47200</x:v>
      </x:c>
      <x:c r="T93" s="2" t="str">
        <x:f>IF(H93=0,"Not selected",IF(ISNUMBER(N93),"Quote entered",IF(N93&lt;&gt;"","Enter numeric quote",IF(H93=F93,IF(ISNUMBER(P93),"Complete unit","Price required"),"Partial package: price required"))))</x:f>
        <x:v>Complete unit</x:v>
      </x:c>
      <x:c r="U93" s="2" t="str">
        <x:v>TEN-1DCB318D6FA6; TEN-956E5A41DB14; TEN-C63644CF5B4D; TEN-CF8B634D45D8; TEN-ECC7EC65401A</x:v>
      </x:c>
      <x:c r="V93" s="2" t="str">
        <x:v>IT &amp; digital</x:v>
      </x:c>
      <x:c r="W93" s="2" t="str">
        <x:v>Small-scale prospects; Large enterprise; Mixed business audience</x:v>
      </x:c>
      <x:c r="X93" s="17" t="n">
        <x:f>IF(AND(H93=F93,NOT(ISNUMBER(N93)),N93="",ISNUMBER(K93)),K93,0)</x:f>
        <x:v>0</x:v>
      </x:c>
      <x:c r="Y93" s="17" t="n">
        <x:f>IF(AND(H93=F93,NOT(ISNUMBER(N93)),N93="",K93="",ISNUMBER(O93)),O93,0)</x:f>
        <x:v>40000</x:v>
      </x:c>
      <x:c r="Z93" s="17" t="n">
        <x:f>IF(AND(H93&gt;0,ISNUMBER(N93)),N93,0)</x:f>
        <x:v>0</x:v>
      </x:c>
      <x:c r="AA93" s="2" t="n">
        <x:f>IF(AND(H93&gt;0,N93="",NOT(ISNUMBER(Q93))),1,0)</x:f>
        <x:v>0</x:v>
      </x:c>
      <x:c r="AB93" s="2" t="n">
        <x:f>IF(AND(H93&gt;0,N93&lt;&gt;"",NOT(ISNUMBER(N93))),1,0)</x:f>
        <x:v>0</x:v>
      </x:c>
    </x:row>
    <x:row r="94" ht="48" customHeight="1">
      <x:c r="A94" s="2" t="str">
        <x:v>MAIN-093</x:v>
      </x:c>
      <x:c r="B94" s="2" t="str">
        <x:v>Main</x:v>
      </x:c>
      <x:c r="C94" s="2" t="str">
        <x:v>Bengaluru</x:v>
      </x:c>
      <x:c r="D94" s="12" t="str">
        <x:v>The Venture Studios</x:v>
      </x:c>
      <x:c r="E94" s="12" t="str">
        <x:v>32 inch LED TV</x:v>
      </x:c>
      <x:c r="F94" s="2" t="n">
        <x:v>1</x:v>
      </x:c>
      <x:c r="G94" s="2" t="n">
        <x:v>1</x:v>
      </x:c>
      <x:c r="H94" s="2" t="n">
        <x:f>COUNTIFS('Inventory'!$N$7:$N$783,A94,'Inventory'!$A$7:$A$783,1)</x:f>
        <x:v>1</x:v>
      </x:c>
      <x:c r="I94" s="2" t="n">
        <x:f>SUMIFS('Inventory'!$G$7:$G$783,'Inventory'!$N$7:$N$783,A94,'Inventory'!$A$7:$A$783,1)</x:f>
        <x:v>1</x:v>
      </x:c>
      <x:c r="J94" s="12" t="str">
        <x:v>Listed budget</x:v>
      </x:c>
      <x:c r="K94" s="17" t="n">
        <x:v>15000</x:v>
      </x:c>
      <x:c r="L94" s="17"/>
      <x:c r="M94" s="17"/>
      <x:c r="N94" s="19"/>
      <x:c r="O94" s="17" t="str">
        <x:f>IF(ISNUMBER(L94),G94*L94,IF(ISNUMBER(M94),M94,""))</x:f>
      </x:c>
      <x:c r="P94" s="17" t="n">
        <x:f>IF(ISNUMBER(K94),K94,IF(ISNUMBER(O94),O94,""))</x:f>
        <x:v>15000</x:v>
      </x:c>
      <x:c r="Q94" s="17" t="n">
        <x:f>IF(H94=0,0,IF(ISNUMBER(N94),N94,IF(N94="",IF(H94=F94,P94,""),"")))</x:f>
        <x:v>15000</x:v>
      </x:c>
      <x:c r="R94" s="17" t="n">
        <x:f>IF(ISNUMBER(Q94),ROUND(Q94*$C$4,2),"")</x:f>
        <x:v>2700</x:v>
      </x:c>
      <x:c r="S94" s="17" t="n">
        <x:f>IF(ISNUMBER(Q94),Q94+R94,"")</x:f>
        <x:v>17700</x:v>
      </x:c>
      <x:c r="T94" s="2" t="str">
        <x:f>IF(H94=0,"Not selected",IF(ISNUMBER(N94),"Quote entered",IF(N94&lt;&gt;"","Enter numeric quote",IF(H94=F94,IF(ISNUMBER(P94),"Complete unit","Price required"),"Partial package: price required"))))</x:f>
        <x:v>Complete unit</x:v>
      </x:c>
      <x:c r="U94" s="2" t="str">
        <x:v>TEN-12AA2A79B0A6; TEN-731DBD118BBD; TEN-82C3BFFEEF29; TEN-894BD711A108; TEN-9CB90BDA82CB; TEN-C40F3464BCD7; TEN-E32A2C3696BC</x:v>
      </x:c>
      <x:c r="V94" s="2" t="str">
        <x:v>IT &amp; digital; Trade, consumer &amp; logistics; Unresolved</x:v>
      </x:c>
      <x:c r="W94" s="2" t="str">
        <x:v>Small-scale prospects; Mixed business audience</x:v>
      </x:c>
      <x:c r="X94" s="17" t="n">
        <x:f>IF(AND(H94=F94,NOT(ISNUMBER(N94)),N94="",ISNUMBER(K94)),K94,0)</x:f>
        <x:v>15000</x:v>
      </x:c>
      <x:c r="Y94" s="17" t="n">
        <x:f>IF(AND(H94=F94,NOT(ISNUMBER(N94)),N94="",K94="",ISNUMBER(O94)),O94,0)</x:f>
        <x:v>0</x:v>
      </x:c>
      <x:c r="Z94" s="17" t="n">
        <x:f>IF(AND(H94&gt;0,ISNUMBER(N94)),N94,0)</x:f>
        <x:v>0</x:v>
      </x:c>
      <x:c r="AA94" s="2" t="n">
        <x:f>IF(AND(H94&gt;0,N94="",NOT(ISNUMBER(Q94))),1,0)</x:f>
        <x:v>0</x:v>
      </x:c>
      <x:c r="AB94" s="2" t="n">
        <x:f>IF(AND(H94&gt;0,N94&lt;&gt;"",NOT(ISNUMBER(N94))),1,0)</x:f>
        <x:v>0</x:v>
      </x:c>
    </x:row>
    <x:row r="95" ht="48" customHeight="1">
      <x:c r="A95" s="2" t="str">
        <x:v>MAIN-094</x:v>
      </x:c>
      <x:c r="B95" s="2" t="str">
        <x:v>Main</x:v>
      </x:c>
      <x:c r="C95" s="2" t="str">
        <x:v>Bengaluru</x:v>
      </x:c>
      <x:c r="D95" s="12" t="str">
        <x:v>UB City</x:v>
      </x:c>
      <x:c r="E95" s="12" t="str">
        <x:v>55 inch LED TV</x:v>
      </x:c>
      <x:c r="F95" s="2" t="n">
        <x:v>1</x:v>
      </x:c>
      <x:c r="G95" s="2" t="n">
        <x:v>1</x:v>
      </x:c>
      <x:c r="H95" s="2" t="n">
        <x:f>COUNTIFS('Inventory'!$N$7:$N$783,A95,'Inventory'!$A$7:$A$783,1)</x:f>
        <x:v>1</x:v>
      </x:c>
      <x:c r="I95" s="2" t="n">
        <x:f>SUMIFS('Inventory'!$G$7:$G$783,'Inventory'!$N$7:$N$783,A95,'Inventory'!$A$7:$A$783,1)</x:f>
        <x:v>1</x:v>
      </x:c>
      <x:c r="J95" s="12" t="str">
        <x:v>Campaign format rate</x:v>
      </x:c>
      <x:c r="K95" s="17"/>
      <x:c r="L95" s="17" t="n">
        <x:f>$I$5</x:f>
        <x:v>40000</x:v>
      </x:c>
      <x:c r="M95" s="17"/>
      <x:c r="N95" s="19"/>
      <x:c r="O95" s="17" t="n">
        <x:f>IF(ISNUMBER(L95),G95*L95,IF(ISNUMBER(M95),M95,""))</x:f>
        <x:v>40000</x:v>
      </x:c>
      <x:c r="P95" s="17" t="n">
        <x:f>IF(ISNUMBER(K95),K95,IF(ISNUMBER(O95),O95,""))</x:f>
        <x:v>40000</x:v>
      </x:c>
      <x:c r="Q95" s="17" t="n">
        <x:f>IF(H95=0,0,IF(ISNUMBER(N95),N95,IF(N95="",IF(H95=F95,P95,""),"")))</x:f>
        <x:v>40000</x:v>
      </x:c>
      <x:c r="R95" s="17" t="n">
        <x:f>IF(ISNUMBER(Q95),ROUND(Q95*$C$4,2),"")</x:f>
        <x:v>7200</x:v>
      </x:c>
      <x:c r="S95" s="17" t="n">
        <x:f>IF(ISNUMBER(Q95),Q95+R95,"")</x:f>
        <x:v>47200</x:v>
      </x:c>
      <x:c r="T95" s="2" t="str">
        <x:f>IF(H95=0,"Not selected",IF(ISNUMBER(N95),"Quote entered",IF(N95&lt;&gt;"","Enter numeric quote",IF(H95=F95,IF(ISNUMBER(P95),"Complete unit","Price required"),"Partial package: price required"))))</x:f>
        <x:v>Complete unit</x:v>
      </x:c>
      <x:c r="U95" s="2" t="str"/>
      <x:c r="V95" s="2" t="str">
        <x:v>Unclassified</x:v>
      </x:c>
      <x:c r="W95" s="2" t="str">
        <x:v>Mixed business audience</x:v>
      </x:c>
      <x:c r="X95" s="17" t="n">
        <x:f>IF(AND(H95=F95,NOT(ISNUMBER(N95)),N95="",ISNUMBER(K95)),K95,0)</x:f>
        <x:v>0</x:v>
      </x:c>
      <x:c r="Y95" s="17" t="n">
        <x:f>IF(AND(H95=F95,NOT(ISNUMBER(N95)),N95="",K95="",ISNUMBER(O95)),O95,0)</x:f>
        <x:v>40000</x:v>
      </x:c>
      <x:c r="Z95" s="17" t="n">
        <x:f>IF(AND(H95&gt;0,ISNUMBER(N95)),N95,0)</x:f>
        <x:v>0</x:v>
      </x:c>
      <x:c r="AA95" s="2" t="n">
        <x:f>IF(AND(H95&gt;0,N95="",NOT(ISNUMBER(Q95))),1,0)</x:f>
        <x:v>0</x:v>
      </x:c>
      <x:c r="AB95" s="2" t="n">
        <x:f>IF(AND(H95&gt;0,N95&lt;&gt;"",NOT(ISNUMBER(N95))),1,0)</x:f>
        <x:v>0</x:v>
      </x:c>
    </x:row>
    <x:row r="96" ht="48" customHeight="1">
      <x:c r="A96" s="2" t="str">
        <x:v>MAIN-103</x:v>
      </x:c>
      <x:c r="B96" s="2" t="str">
        <x:v>Main</x:v>
      </x:c>
      <x:c r="C96" s="2" t="str">
        <x:v>Bengaluru</x:v>
      </x:c>
      <x:c r="D96" s="12" t="str">
        <x:v>Urban Vault- 1086</x:v>
      </x:c>
      <x:c r="E96" s="12" t="str">
        <x:v>32 inch LED TV</x:v>
      </x:c>
      <x:c r="F96" s="2" t="n">
        <x:v>1</x:v>
      </x:c>
      <x:c r="G96" s="2" t="n">
        <x:v>1</x:v>
      </x:c>
      <x:c r="H96" s="2" t="n">
        <x:f>COUNTIFS('Inventory'!$N$7:$N$783,A96,'Inventory'!$A$7:$A$783,1)</x:f>
        <x:v>1</x:v>
      </x:c>
      <x:c r="I96" s="2" t="n">
        <x:f>SUMIFS('Inventory'!$G$7:$G$783,'Inventory'!$N$7:$N$783,A96,'Inventory'!$A$7:$A$783,1)</x:f>
        <x:v>1</x:v>
      </x:c>
      <x:c r="J96" s="12" t="str">
        <x:v>Listed budget</x:v>
      </x:c>
      <x:c r="K96" s="17" t="n">
        <x:v>15000</x:v>
      </x:c>
      <x:c r="L96" s="17"/>
      <x:c r="M96" s="17"/>
      <x:c r="N96" s="19"/>
      <x:c r="O96" s="17" t="str">
        <x:f>IF(ISNUMBER(L96),G96*L96,IF(ISNUMBER(M96),M96,""))</x:f>
      </x:c>
      <x:c r="P96" s="17" t="n">
        <x:f>IF(ISNUMBER(K96),K96,IF(ISNUMBER(O96),O96,""))</x:f>
        <x:v>15000</x:v>
      </x:c>
      <x:c r="Q96" s="17" t="n">
        <x:f>IF(H96=0,0,IF(ISNUMBER(N96),N96,IF(N96="",IF(H96=F96,P96,""),"")))</x:f>
        <x:v>15000</x:v>
      </x:c>
      <x:c r="R96" s="17" t="n">
        <x:f>IF(ISNUMBER(Q96),ROUND(Q96*$C$4,2),"")</x:f>
        <x:v>2700</x:v>
      </x:c>
      <x:c r="S96" s="17" t="n">
        <x:f>IF(ISNUMBER(Q96),Q96+R96,"")</x:f>
        <x:v>17700</x:v>
      </x:c>
      <x:c r="T96" s="2" t="str">
        <x:f>IF(H96=0,"Not selected",IF(ISNUMBER(N96),"Quote entered",IF(N96&lt;&gt;"","Enter numeric quote",IF(H96=F96,IF(ISNUMBER(P96),"Complete unit","Price required"),"Partial package: price required"))))</x:f>
        <x:v>Complete unit</x:v>
      </x:c>
      <x:c r="U96" s="2" t="str">
        <x:v>TEN-1D81EC4AC755; TEN-5065EDF9A8BE; TEN-85792A69F213; TEN-91ED2EF15EEE</x:v>
      </x:c>
      <x:c r="V96" s="2" t="str">
        <x:v>IT &amp; digital; Professional services; Trade, consumer &amp; logistics; Unresolved</x:v>
      </x:c>
      <x:c r="W96" s="2" t="str">
        <x:v>Small-scale prospects; Mixed business audience</x:v>
      </x:c>
      <x:c r="X96" s="17" t="n">
        <x:f>IF(AND(H96=F96,NOT(ISNUMBER(N96)),N96="",ISNUMBER(K96)),K96,0)</x:f>
        <x:v>15000</x:v>
      </x:c>
      <x:c r="Y96" s="17" t="n">
        <x:f>IF(AND(H96=F96,NOT(ISNUMBER(N96)),N96="",K96="",ISNUMBER(O96)),O96,0)</x:f>
        <x:v>0</x:v>
      </x:c>
      <x:c r="Z96" s="17" t="n">
        <x:f>IF(AND(H96&gt;0,ISNUMBER(N96)),N96,0)</x:f>
        <x:v>0</x:v>
      </x:c>
      <x:c r="AA96" s="2" t="n">
        <x:f>IF(AND(H96&gt;0,N96="",NOT(ISNUMBER(Q96))),1,0)</x:f>
        <x:v>0</x:v>
      </x:c>
      <x:c r="AB96" s="2" t="n">
        <x:f>IF(AND(H96&gt;0,N96&lt;&gt;"",NOT(ISNUMBER(N96))),1,0)</x:f>
        <x:v>0</x:v>
      </x:c>
    </x:row>
    <x:row r="97" ht="48" customHeight="1">
      <x:c r="A97" s="2" t="str">
        <x:v>MAIN-104</x:v>
      </x:c>
      <x:c r="B97" s="2" t="str">
        <x:v>Main</x:v>
      </x:c>
      <x:c r="C97" s="2" t="str">
        <x:v>Bengaluru</x:v>
      </x:c>
      <x:c r="D97" s="12" t="str">
        <x:v>Urban Vault- 1090/A</x:v>
      </x:c>
      <x:c r="E97" s="12" t="str">
        <x:v>32 inch LED TV</x:v>
      </x:c>
      <x:c r="F97" s="2" t="n">
        <x:v>1</x:v>
      </x:c>
      <x:c r="G97" s="2" t="n">
        <x:v>1</x:v>
      </x:c>
      <x:c r="H97" s="2" t="n">
        <x:f>COUNTIFS('Inventory'!$N$7:$N$783,A97,'Inventory'!$A$7:$A$783,1)</x:f>
        <x:v>1</x:v>
      </x:c>
      <x:c r="I97" s="2" t="n">
        <x:f>SUMIFS('Inventory'!$G$7:$G$783,'Inventory'!$N$7:$N$783,A97,'Inventory'!$A$7:$A$783,1)</x:f>
        <x:v>1</x:v>
      </x:c>
      <x:c r="J97" s="12" t="str">
        <x:v>Listed budget</x:v>
      </x:c>
      <x:c r="K97" s="17" t="n">
        <x:v>15000</x:v>
      </x:c>
      <x:c r="L97" s="17"/>
      <x:c r="M97" s="17"/>
      <x:c r="N97" s="19"/>
      <x:c r="O97" s="17" t="str">
        <x:f>IF(ISNUMBER(L97),G97*L97,IF(ISNUMBER(M97),M97,""))</x:f>
      </x:c>
      <x:c r="P97" s="17" t="n">
        <x:f>IF(ISNUMBER(K97),K97,IF(ISNUMBER(O97),O97,""))</x:f>
        <x:v>15000</x:v>
      </x:c>
      <x:c r="Q97" s="17" t="n">
        <x:f>IF(H97=0,0,IF(ISNUMBER(N97),N97,IF(N97="",IF(H97=F97,P97,""),"")))</x:f>
        <x:v>15000</x:v>
      </x:c>
      <x:c r="R97" s="17" t="n">
        <x:f>IF(ISNUMBER(Q97),ROUND(Q97*$C$4,2),"")</x:f>
        <x:v>2700</x:v>
      </x:c>
      <x:c r="S97" s="17" t="n">
        <x:f>IF(ISNUMBER(Q97),Q97+R97,"")</x:f>
        <x:v>17700</x:v>
      </x:c>
      <x:c r="T97" s="2" t="str">
        <x:f>IF(H97=0,"Not selected",IF(ISNUMBER(N97),"Quote entered",IF(N97&lt;&gt;"","Enter numeric quote",IF(H97=F97,IF(ISNUMBER(P97),"Complete unit","Price required"),"Partial package: price required"))))</x:f>
        <x:v>Complete unit</x:v>
      </x:c>
      <x:c r="U97" s="2" t="str">
        <x:v>TEN-6EE34828A4B0; TEN-BDC65A4AB4C4</x:v>
      </x:c>
      <x:c r="V97" s="2" t="str">
        <x:v>IT &amp; digital; Trade, consumer &amp; logistics</x:v>
      </x:c>
      <x:c r="W97" s="2" t="str">
        <x:v>Small-scale prospects</x:v>
      </x:c>
      <x:c r="X97" s="17" t="n">
        <x:f>IF(AND(H97=F97,NOT(ISNUMBER(N97)),N97="",ISNUMBER(K97)),K97,0)</x:f>
        <x:v>15000</x:v>
      </x:c>
      <x:c r="Y97" s="17" t="n">
        <x:f>IF(AND(H97=F97,NOT(ISNUMBER(N97)),N97="",K97="",ISNUMBER(O97)),O97,0)</x:f>
        <x:v>0</x:v>
      </x:c>
      <x:c r="Z97" s="17" t="n">
        <x:f>IF(AND(H97&gt;0,ISNUMBER(N97)),N97,0)</x:f>
        <x:v>0</x:v>
      </x:c>
      <x:c r="AA97" s="2" t="n">
        <x:f>IF(AND(H97&gt;0,N97="",NOT(ISNUMBER(Q97))),1,0)</x:f>
        <x:v>0</x:v>
      </x:c>
      <x:c r="AB97" s="2" t="n">
        <x:f>IF(AND(H97&gt;0,N97&lt;&gt;"",NOT(ISNUMBER(N97))),1,0)</x:f>
        <x:v>0</x:v>
      </x:c>
    </x:row>
    <x:row r="98" ht="48" customHeight="1">
      <x:c r="A98" s="2" t="str">
        <x:v>MAIN-098</x:v>
      </x:c>
      <x:c r="B98" s="2" t="str">
        <x:v>Main</x:v>
      </x:c>
      <x:c r="C98" s="2" t="str">
        <x:v>Bengaluru</x:v>
      </x:c>
      <x:c r="D98" s="12" t="str">
        <x:v>Urban Vault- 145</x:v>
      </x:c>
      <x:c r="E98" s="12" t="str">
        <x:v>32 inch LED TV</x:v>
      </x:c>
      <x:c r="F98" s="2" t="n">
        <x:v>1</x:v>
      </x:c>
      <x:c r="G98" s="2" t="n">
        <x:v>2</x:v>
      </x:c>
      <x:c r="H98" s="2" t="n">
        <x:f>COUNTIFS('Inventory'!$N$7:$N$783,A98,'Inventory'!$A$7:$A$783,1)</x:f>
        <x:v>1</x:v>
      </x:c>
      <x:c r="I98" s="2" t="n">
        <x:f>SUMIFS('Inventory'!$G$7:$G$783,'Inventory'!$N$7:$N$783,A98,'Inventory'!$A$7:$A$783,1)</x:f>
        <x:v>2</x:v>
      </x:c>
      <x:c r="J98" s="12" t="str">
        <x:v>Listed budget</x:v>
      </x:c>
      <x:c r="K98" s="17" t="n">
        <x:v>30000</x:v>
      </x:c>
      <x:c r="L98" s="17"/>
      <x:c r="M98" s="17"/>
      <x:c r="N98" s="19"/>
      <x:c r="O98" s="17" t="str">
        <x:f>IF(ISNUMBER(L98),G98*L98,IF(ISNUMBER(M98),M98,""))</x:f>
      </x:c>
      <x:c r="P98" s="17" t="n">
        <x:f>IF(ISNUMBER(K98),K98,IF(ISNUMBER(O98),O98,""))</x:f>
        <x:v>30000</x:v>
      </x:c>
      <x:c r="Q98" s="17" t="n">
        <x:f>IF(H98=0,0,IF(ISNUMBER(N98),N98,IF(N98="",IF(H98=F98,P98,""),"")))</x:f>
        <x:v>30000</x:v>
      </x:c>
      <x:c r="R98" s="17" t="n">
        <x:f>IF(ISNUMBER(Q98),ROUND(Q98*$C$4,2),"")</x:f>
        <x:v>5400</x:v>
      </x:c>
      <x:c r="S98" s="17" t="n">
        <x:f>IF(ISNUMBER(Q98),Q98+R98,"")</x:f>
        <x:v>35400</x:v>
      </x:c>
      <x:c r="T98" s="2" t="str">
        <x:f>IF(H98=0,"Not selected",IF(ISNUMBER(N98),"Quote entered",IF(N98&lt;&gt;"","Enter numeric quote",IF(H98=F98,IF(ISNUMBER(P98),"Complete unit","Price required"),"Partial package: price required"))))</x:f>
        <x:v>Complete unit</x:v>
      </x:c>
      <x:c r="U98" s="2" t="str">
        <x:v>TEN-36266ED012C5; TEN-4372F5F2C226; TEN-FC16200FF43D</x:v>
      </x:c>
      <x:c r="V98" s="2" t="str">
        <x:v>Healthcare &amp; life sciences; Education; Trade, consumer &amp; logistics</x:v>
      </x:c>
      <x:c r="W98" s="2" t="str">
        <x:v>Small-scale prospects; Medium-scale prospects</x:v>
      </x:c>
      <x:c r="X98" s="17" t="n">
        <x:f>IF(AND(H98=F98,NOT(ISNUMBER(N98)),N98="",ISNUMBER(K98)),K98,0)</x:f>
        <x:v>30000</x:v>
      </x:c>
      <x:c r="Y98" s="17" t="n">
        <x:f>IF(AND(H98=F98,NOT(ISNUMBER(N98)),N98="",K98="",ISNUMBER(O98)),O98,0)</x:f>
        <x:v>0</x:v>
      </x:c>
      <x:c r="Z98" s="17" t="n">
        <x:f>IF(AND(H98&gt;0,ISNUMBER(N98)),N98,0)</x:f>
        <x:v>0</x:v>
      </x:c>
      <x:c r="AA98" s="2" t="n">
        <x:f>IF(AND(H98&gt;0,N98="",NOT(ISNUMBER(Q98))),1,0)</x:f>
        <x:v>0</x:v>
      </x:c>
      <x:c r="AB98" s="2" t="n">
        <x:f>IF(AND(H98&gt;0,N98&lt;&gt;"",NOT(ISNUMBER(N98))),1,0)</x:f>
        <x:v>0</x:v>
      </x:c>
    </x:row>
    <x:row r="99" ht="48" customHeight="1">
      <x:c r="A99" s="2" t="str">
        <x:v>MAIN-105</x:v>
      </x:c>
      <x:c r="B99" s="2" t="str">
        <x:v>Main</x:v>
      </x:c>
      <x:c r="C99" s="2" t="str">
        <x:v>Bengaluru</x:v>
      </x:c>
      <x:c r="D99" s="12" t="str">
        <x:v>Urban Vault- 1498</x:v>
      </x:c>
      <x:c r="E99" s="12" t="str">
        <x:v>32 inch LED TV</x:v>
      </x:c>
      <x:c r="F99" s="2" t="n">
        <x:v>1</x:v>
      </x:c>
      <x:c r="G99" s="2" t="n">
        <x:v>1</x:v>
      </x:c>
      <x:c r="H99" s="2" t="n">
        <x:f>COUNTIFS('Inventory'!$N$7:$N$783,A99,'Inventory'!$A$7:$A$783,1)</x:f>
        <x:v>1</x:v>
      </x:c>
      <x:c r="I99" s="2" t="n">
        <x:f>SUMIFS('Inventory'!$G$7:$G$783,'Inventory'!$N$7:$N$783,A99,'Inventory'!$A$7:$A$783,1)</x:f>
        <x:v>1</x:v>
      </x:c>
      <x:c r="J99" s="12" t="str">
        <x:v>Listed budget</x:v>
      </x:c>
      <x:c r="K99" s="17" t="n">
        <x:v>15000</x:v>
      </x:c>
      <x:c r="L99" s="17"/>
      <x:c r="M99" s="17"/>
      <x:c r="N99" s="19"/>
      <x:c r="O99" s="17" t="str">
        <x:f>IF(ISNUMBER(L99),G99*L99,IF(ISNUMBER(M99),M99,""))</x:f>
      </x:c>
      <x:c r="P99" s="17" t="n">
        <x:f>IF(ISNUMBER(K99),K99,IF(ISNUMBER(O99),O99,""))</x:f>
        <x:v>15000</x:v>
      </x:c>
      <x:c r="Q99" s="17" t="n">
        <x:f>IF(H99=0,0,IF(ISNUMBER(N99),N99,IF(N99="",IF(H99=F99,P99,""),"")))</x:f>
        <x:v>15000</x:v>
      </x:c>
      <x:c r="R99" s="17" t="n">
        <x:f>IF(ISNUMBER(Q99),ROUND(Q99*$C$4,2),"")</x:f>
        <x:v>2700</x:v>
      </x:c>
      <x:c r="S99" s="17" t="n">
        <x:f>IF(ISNUMBER(Q99),Q99+R99,"")</x:f>
        <x:v>17700</x:v>
      </x:c>
      <x:c r="T99" s="2" t="str">
        <x:f>IF(H99=0,"Not selected",IF(ISNUMBER(N99),"Quote entered",IF(N99&lt;&gt;"","Enter numeric quote",IF(H99=F99,IF(ISNUMBER(P99),"Complete unit","Price required"),"Partial package: price required"))))</x:f>
        <x:v>Complete unit</x:v>
      </x:c>
      <x:c r="U99" s="2" t="str">
        <x:v>TEN-0D77911E21C0; TEN-357493962351</x:v>
      </x:c>
      <x:c r="V99" s="2" t="str">
        <x:v>IT &amp; digital; Engineering &amp; manufacturing</x:v>
      </x:c>
      <x:c r="W99" s="2" t="str">
        <x:v>Small-scale prospects; Medium-scale prospects</x:v>
      </x:c>
      <x:c r="X99" s="17" t="n">
        <x:f>IF(AND(H99=F99,NOT(ISNUMBER(N99)),N99="",ISNUMBER(K99)),K99,0)</x:f>
        <x:v>15000</x:v>
      </x:c>
      <x:c r="Y99" s="17" t="n">
        <x:f>IF(AND(H99=F99,NOT(ISNUMBER(N99)),N99="",K99="",ISNUMBER(O99)),O99,0)</x:f>
        <x:v>0</x:v>
      </x:c>
      <x:c r="Z99" s="17" t="n">
        <x:f>IF(AND(H99&gt;0,ISNUMBER(N99)),N99,0)</x:f>
        <x:v>0</x:v>
      </x:c>
      <x:c r="AA99" s="2" t="n">
        <x:f>IF(AND(H99&gt;0,N99="",NOT(ISNUMBER(Q99))),1,0)</x:f>
        <x:v>0</x:v>
      </x:c>
      <x:c r="AB99" s="2" t="n">
        <x:f>IF(AND(H99&gt;0,N99&lt;&gt;"",NOT(ISNUMBER(N99))),1,0)</x:f>
        <x:v>0</x:v>
      </x:c>
    </x:row>
    <x:row r="100" ht="48" customHeight="1">
      <x:c r="A100" s="2" t="str">
        <x:v>MAIN-106</x:v>
      </x:c>
      <x:c r="B100" s="2" t="str">
        <x:v>Main</x:v>
      </x:c>
      <x:c r="C100" s="2" t="str">
        <x:v>Bengaluru</x:v>
      </x:c>
      <x:c r="D100" s="12" t="str">
        <x:v>Urban Vault- 1515</x:v>
      </x:c>
      <x:c r="E100" s="12" t="str">
        <x:v>32 inch LED TV</x:v>
      </x:c>
      <x:c r="F100" s="2" t="n">
        <x:v>1</x:v>
      </x:c>
      <x:c r="G100" s="2" t="n">
        <x:v>2</x:v>
      </x:c>
      <x:c r="H100" s="2" t="n">
        <x:f>COUNTIFS('Inventory'!$N$7:$N$783,A100,'Inventory'!$A$7:$A$783,1)</x:f>
        <x:v>1</x:v>
      </x:c>
      <x:c r="I100" s="2" t="n">
        <x:f>SUMIFS('Inventory'!$G$7:$G$783,'Inventory'!$N$7:$N$783,A100,'Inventory'!$A$7:$A$783,1)</x:f>
        <x:v>2</x:v>
      </x:c>
      <x:c r="J100" s="12" t="str">
        <x:v>Listed budget</x:v>
      </x:c>
      <x:c r="K100" s="17" t="n">
        <x:v>30000</x:v>
      </x:c>
      <x:c r="L100" s="17"/>
      <x:c r="M100" s="17"/>
      <x:c r="N100" s="19"/>
      <x:c r="O100" s="17" t="str">
        <x:f>IF(ISNUMBER(L100),G100*L100,IF(ISNUMBER(M100),M100,""))</x:f>
      </x:c>
      <x:c r="P100" s="17" t="n">
        <x:f>IF(ISNUMBER(K100),K100,IF(ISNUMBER(O100),O100,""))</x:f>
        <x:v>30000</x:v>
      </x:c>
      <x:c r="Q100" s="17" t="n">
        <x:f>IF(H100=0,0,IF(ISNUMBER(N100),N100,IF(N100="",IF(H100=F100,P100,""),"")))</x:f>
        <x:v>30000</x:v>
      </x:c>
      <x:c r="R100" s="17" t="n">
        <x:f>IF(ISNUMBER(Q100),ROUND(Q100*$C$4,2),"")</x:f>
        <x:v>5400</x:v>
      </x:c>
      <x:c r="S100" s="17" t="n">
        <x:f>IF(ISNUMBER(Q100),Q100+R100,"")</x:f>
        <x:v>35400</x:v>
      </x:c>
      <x:c r="T100" s="2" t="str">
        <x:f>IF(H100=0,"Not selected",IF(ISNUMBER(N100),"Quote entered",IF(N100&lt;&gt;"","Enter numeric quote",IF(H100=F100,IF(ISNUMBER(P100),"Complete unit","Price required"),"Partial package: price required"))))</x:f>
        <x:v>Complete unit</x:v>
      </x:c>
      <x:c r="U100" s="2" t="str">
        <x:v>TEN-1A5AFEDA973D; TEN-254637F72EFC; TEN-28EC12D4E890; TEN-E2DF8D4882CE</x:v>
      </x:c>
      <x:c r="V100" s="2" t="str">
        <x:v>Finance &amp; insurance; Trade, consumer &amp; logistics; Unresolved</x:v>
      </x:c>
      <x:c r="W100" s="2" t="str">
        <x:v>Small-scale prospects; Medium-scale prospects; Mixed business audience</x:v>
      </x:c>
      <x:c r="X100" s="17" t="n">
        <x:f>IF(AND(H100=F100,NOT(ISNUMBER(N100)),N100="",ISNUMBER(K100)),K100,0)</x:f>
        <x:v>30000</x:v>
      </x:c>
      <x:c r="Y100" s="17" t="n">
        <x:f>IF(AND(H100=F100,NOT(ISNUMBER(N100)),N100="",K100="",ISNUMBER(O100)),O100,0)</x:f>
        <x:v>0</x:v>
      </x:c>
      <x:c r="Z100" s="17" t="n">
        <x:f>IF(AND(H100&gt;0,ISNUMBER(N100)),N100,0)</x:f>
        <x:v>0</x:v>
      </x:c>
      <x:c r="AA100" s="2" t="n">
        <x:f>IF(AND(H100&gt;0,N100="",NOT(ISNUMBER(Q100))),1,0)</x:f>
        <x:v>0</x:v>
      </x:c>
      <x:c r="AB100" s="2" t="n">
        <x:f>IF(AND(H100&gt;0,N100&lt;&gt;"",NOT(ISNUMBER(N100))),1,0)</x:f>
        <x:v>0</x:v>
      </x:c>
    </x:row>
    <x:row r="101" ht="48" customHeight="1">
      <x:c r="A101" s="2" t="str">
        <x:v>MAIN-107</x:v>
      </x:c>
      <x:c r="B101" s="2" t="str">
        <x:v>Main</x:v>
      </x:c>
      <x:c r="C101" s="2" t="str">
        <x:v>Bengaluru</x:v>
      </x:c>
      <x:c r="D101" s="12" t="str">
        <x:v>Urban Vault- 1608</x:v>
      </x:c>
      <x:c r="E101" s="12" t="str">
        <x:v>32 inch LED TV</x:v>
      </x:c>
      <x:c r="F101" s="2" t="n">
        <x:v>1</x:v>
      </x:c>
      <x:c r="G101" s="2" t="n">
        <x:v>2</x:v>
      </x:c>
      <x:c r="H101" s="2" t="n">
        <x:f>COUNTIFS('Inventory'!$N$7:$N$783,A101,'Inventory'!$A$7:$A$783,1)</x:f>
        <x:v>1</x:v>
      </x:c>
      <x:c r="I101" s="2" t="n">
        <x:f>SUMIFS('Inventory'!$G$7:$G$783,'Inventory'!$N$7:$N$783,A101,'Inventory'!$A$7:$A$783,1)</x:f>
        <x:v>2</x:v>
      </x:c>
      <x:c r="J101" s="12" t="str">
        <x:v>Listed budget</x:v>
      </x:c>
      <x:c r="K101" s="17" t="n">
        <x:v>30000</x:v>
      </x:c>
      <x:c r="L101" s="17"/>
      <x:c r="M101" s="17"/>
      <x:c r="N101" s="19"/>
      <x:c r="O101" s="17" t="str">
        <x:f>IF(ISNUMBER(L101),G101*L101,IF(ISNUMBER(M101),M101,""))</x:f>
      </x:c>
      <x:c r="P101" s="17" t="n">
        <x:f>IF(ISNUMBER(K101),K101,IF(ISNUMBER(O101),O101,""))</x:f>
        <x:v>30000</x:v>
      </x:c>
      <x:c r="Q101" s="17" t="n">
        <x:f>IF(H101=0,0,IF(ISNUMBER(N101),N101,IF(N101="",IF(H101=F101,P101,""),"")))</x:f>
        <x:v>30000</x:v>
      </x:c>
      <x:c r="R101" s="17" t="n">
        <x:f>IF(ISNUMBER(Q101),ROUND(Q101*$C$4,2),"")</x:f>
        <x:v>5400</x:v>
      </x:c>
      <x:c r="S101" s="17" t="n">
        <x:f>IF(ISNUMBER(Q101),Q101+R101,"")</x:f>
        <x:v>35400</x:v>
      </x:c>
      <x:c r="T101" s="2" t="str">
        <x:f>IF(H101=0,"Not selected",IF(ISNUMBER(N101),"Quote entered",IF(N101&lt;&gt;"","Enter numeric quote",IF(H101=F101,IF(ISNUMBER(P101),"Complete unit","Price required"),"Partial package: price required"))))</x:f>
        <x:v>Complete unit</x:v>
      </x:c>
      <x:c r="U101" s="2" t="str">
        <x:v>TEN-0533EE71FB65; TEN-8027B5AD4104; TEN-A5790B06F63B</x:v>
      </x:c>
      <x:c r="V101" s="2" t="str">
        <x:v>IT &amp; digital; Unresolved</x:v>
      </x:c>
      <x:c r="W101" s="2" t="str">
        <x:v>Small-scale prospects; Mixed business audience</x:v>
      </x:c>
      <x:c r="X101" s="17" t="n">
        <x:f>IF(AND(H101=F101,NOT(ISNUMBER(N101)),N101="",ISNUMBER(K101)),K101,0)</x:f>
        <x:v>30000</x:v>
      </x:c>
      <x:c r="Y101" s="17" t="n">
        <x:f>IF(AND(H101=F101,NOT(ISNUMBER(N101)),N101="",K101="",ISNUMBER(O101)),O101,0)</x:f>
        <x:v>0</x:v>
      </x:c>
      <x:c r="Z101" s="17" t="n">
        <x:f>IF(AND(H101&gt;0,ISNUMBER(N101)),N101,0)</x:f>
        <x:v>0</x:v>
      </x:c>
      <x:c r="AA101" s="2" t="n">
        <x:f>IF(AND(H101&gt;0,N101="",NOT(ISNUMBER(Q101))),1,0)</x:f>
        <x:v>0</x:v>
      </x:c>
      <x:c r="AB101" s="2" t="n">
        <x:f>IF(AND(H101&gt;0,N101&lt;&gt;"",NOT(ISNUMBER(N101))),1,0)</x:f>
        <x:v>0</x:v>
      </x:c>
    </x:row>
    <x:row r="102" ht="48" customHeight="1">
      <x:c r="A102" s="2" t="str">
        <x:v>MAIN-108</x:v>
      </x:c>
      <x:c r="B102" s="2" t="str">
        <x:v>Main</x:v>
      </x:c>
      <x:c r="C102" s="2" t="str">
        <x:v>Bengaluru</x:v>
      </x:c>
      <x:c r="D102" s="12" t="str">
        <x:v>Urban Vault- 1781</x:v>
      </x:c>
      <x:c r="E102" s="12" t="str">
        <x:v>32 inch LED TV</x:v>
      </x:c>
      <x:c r="F102" s="2" t="n">
        <x:v>1</x:v>
      </x:c>
      <x:c r="G102" s="2" t="n">
        <x:v>2</x:v>
      </x:c>
      <x:c r="H102" s="2" t="n">
        <x:f>COUNTIFS('Inventory'!$N$7:$N$783,A102,'Inventory'!$A$7:$A$783,1)</x:f>
        <x:v>1</x:v>
      </x:c>
      <x:c r="I102" s="2" t="n">
        <x:f>SUMIFS('Inventory'!$G$7:$G$783,'Inventory'!$N$7:$N$783,A102,'Inventory'!$A$7:$A$783,1)</x:f>
        <x:v>2</x:v>
      </x:c>
      <x:c r="J102" s="12" t="str">
        <x:v>Listed budget</x:v>
      </x:c>
      <x:c r="K102" s="17" t="n">
        <x:v>30000</x:v>
      </x:c>
      <x:c r="L102" s="17"/>
      <x:c r="M102" s="17"/>
      <x:c r="N102" s="19"/>
      <x:c r="O102" s="17" t="str">
        <x:f>IF(ISNUMBER(L102),G102*L102,IF(ISNUMBER(M102),M102,""))</x:f>
      </x:c>
      <x:c r="P102" s="17" t="n">
        <x:f>IF(ISNUMBER(K102),K102,IF(ISNUMBER(O102),O102,""))</x:f>
        <x:v>30000</x:v>
      </x:c>
      <x:c r="Q102" s="17" t="n">
        <x:f>IF(H102=0,0,IF(ISNUMBER(N102),N102,IF(N102="",IF(H102=F102,P102,""),"")))</x:f>
        <x:v>30000</x:v>
      </x:c>
      <x:c r="R102" s="17" t="n">
        <x:f>IF(ISNUMBER(Q102),ROUND(Q102*$C$4,2),"")</x:f>
        <x:v>5400</x:v>
      </x:c>
      <x:c r="S102" s="17" t="n">
        <x:f>IF(ISNUMBER(Q102),Q102+R102,"")</x:f>
        <x:v>35400</x:v>
      </x:c>
      <x:c r="T102" s="2" t="str">
        <x:f>IF(H102=0,"Not selected",IF(ISNUMBER(N102),"Quote entered",IF(N102&lt;&gt;"","Enter numeric quote",IF(H102=F102,IF(ISNUMBER(P102),"Complete unit","Price required"),"Partial package: price required"))))</x:f>
        <x:v>Complete unit</x:v>
      </x:c>
      <x:c r="U102" s="2" t="str">
        <x:v>TEN-8320B886DB16; TEN-95175E23C3CB; TEN-9C57863DFC76; TEN-A320EB654686; TEN-B769DB8ED13F; TEN-FE21BDC7D5BD</x:v>
      </x:c>
      <x:c r="V102" s="2" t="str">
        <x:v>IT &amp; digital; Education; Trade, consumer &amp; logistics</x:v>
      </x:c>
      <x:c r="W102" s="2" t="str">
        <x:v>Small-scale prospects</x:v>
      </x:c>
      <x:c r="X102" s="17" t="n">
        <x:f>IF(AND(H102=F102,NOT(ISNUMBER(N102)),N102="",ISNUMBER(K102)),K102,0)</x:f>
        <x:v>30000</x:v>
      </x:c>
      <x:c r="Y102" s="17" t="n">
        <x:f>IF(AND(H102=F102,NOT(ISNUMBER(N102)),N102="",K102="",ISNUMBER(O102)),O102,0)</x:f>
        <x:v>0</x:v>
      </x:c>
      <x:c r="Z102" s="17" t="n">
        <x:f>IF(AND(H102&gt;0,ISNUMBER(N102)),N102,0)</x:f>
        <x:v>0</x:v>
      </x:c>
      <x:c r="AA102" s="2" t="n">
        <x:f>IF(AND(H102&gt;0,N102="",NOT(ISNUMBER(Q102))),1,0)</x:f>
        <x:v>0</x:v>
      </x:c>
      <x:c r="AB102" s="2" t="n">
        <x:f>IF(AND(H102&gt;0,N102&lt;&gt;"",NOT(ISNUMBER(N102))),1,0)</x:f>
        <x:v>0</x:v>
      </x:c>
    </x:row>
    <x:row r="103" ht="48" customHeight="1">
      <x:c r="A103" s="2" t="str">
        <x:v>MAIN-109</x:v>
      </x:c>
      <x:c r="B103" s="2" t="str">
        <x:v>Main</x:v>
      </x:c>
      <x:c r="C103" s="2" t="str">
        <x:v>Bengaluru</x:v>
      </x:c>
      <x:c r="D103" s="12" t="str">
        <x:v>Urban Vault- 2907</x:v>
      </x:c>
      <x:c r="E103" s="12" t="str">
        <x:v>32 inch LED TV</x:v>
      </x:c>
      <x:c r="F103" s="2" t="n">
        <x:v>1</x:v>
      </x:c>
      <x:c r="G103" s="2" t="n">
        <x:v>2</x:v>
      </x:c>
      <x:c r="H103" s="2" t="n">
        <x:f>COUNTIFS('Inventory'!$N$7:$N$783,A103,'Inventory'!$A$7:$A$783,1)</x:f>
        <x:v>1</x:v>
      </x:c>
      <x:c r="I103" s="2" t="n">
        <x:f>SUMIFS('Inventory'!$G$7:$G$783,'Inventory'!$N$7:$N$783,A103,'Inventory'!$A$7:$A$783,1)</x:f>
        <x:v>2</x:v>
      </x:c>
      <x:c r="J103" s="12" t="str">
        <x:v>Listed budget</x:v>
      </x:c>
      <x:c r="K103" s="17" t="n">
        <x:v>30000</x:v>
      </x:c>
      <x:c r="L103" s="17"/>
      <x:c r="M103" s="17"/>
      <x:c r="N103" s="19"/>
      <x:c r="O103" s="17" t="str">
        <x:f>IF(ISNUMBER(L103),G103*L103,IF(ISNUMBER(M103),M103,""))</x:f>
      </x:c>
      <x:c r="P103" s="17" t="n">
        <x:f>IF(ISNUMBER(K103),K103,IF(ISNUMBER(O103),O103,""))</x:f>
        <x:v>30000</x:v>
      </x:c>
      <x:c r="Q103" s="17" t="n">
        <x:f>IF(H103=0,0,IF(ISNUMBER(N103),N103,IF(N103="",IF(H103=F103,P103,""),"")))</x:f>
        <x:v>30000</x:v>
      </x:c>
      <x:c r="R103" s="17" t="n">
        <x:f>IF(ISNUMBER(Q103),ROUND(Q103*$C$4,2),"")</x:f>
        <x:v>5400</x:v>
      </x:c>
      <x:c r="S103" s="17" t="n">
        <x:f>IF(ISNUMBER(Q103),Q103+R103,"")</x:f>
        <x:v>35400</x:v>
      </x:c>
      <x:c r="T103" s="2" t="str">
        <x:f>IF(H103=0,"Not selected",IF(ISNUMBER(N103),"Quote entered",IF(N103&lt;&gt;"","Enter numeric quote",IF(H103=F103,IF(ISNUMBER(P103),"Complete unit","Price required"),"Partial package: price required"))))</x:f>
        <x:v>Complete unit</x:v>
      </x:c>
      <x:c r="U103" s="2" t="str">
        <x:v>TEN-20FDC37C36AD; TEN-848822CFB226; TEN-849CC660E855; TEN-A33603BF79F7; TEN-E681BA589DB7</x:v>
      </x:c>
      <x:c r="V103" s="2" t="str">
        <x:v>Trade, consumer &amp; logistics; Unresolved</x:v>
      </x:c>
      <x:c r="W103" s="2" t="str">
        <x:v>Medium-scale prospects; Mixed business audience</x:v>
      </x:c>
      <x:c r="X103" s="17" t="n">
        <x:f>IF(AND(H103=F103,NOT(ISNUMBER(N103)),N103="",ISNUMBER(K103)),K103,0)</x:f>
        <x:v>30000</x:v>
      </x:c>
      <x:c r="Y103" s="17" t="n">
        <x:f>IF(AND(H103=F103,NOT(ISNUMBER(N103)),N103="",K103="",ISNUMBER(O103)),O103,0)</x:f>
        <x:v>0</x:v>
      </x:c>
      <x:c r="Z103" s="17" t="n">
        <x:f>IF(AND(H103&gt;0,ISNUMBER(N103)),N103,0)</x:f>
        <x:v>0</x:v>
      </x:c>
      <x:c r="AA103" s="2" t="n">
        <x:f>IF(AND(H103&gt;0,N103="",NOT(ISNUMBER(Q103))),1,0)</x:f>
        <x:v>0</x:v>
      </x:c>
      <x:c r="AB103" s="2" t="n">
        <x:f>IF(AND(H103&gt;0,N103&lt;&gt;"",NOT(ISNUMBER(N103))),1,0)</x:f>
        <x:v>0</x:v>
      </x:c>
    </x:row>
    <x:row r="104" ht="48" customHeight="1">
      <x:c r="A104" s="2" t="str">
        <x:v>MAIN-110</x:v>
      </x:c>
      <x:c r="B104" s="2" t="str">
        <x:v>Main</x:v>
      </x:c>
      <x:c r="C104" s="2" t="str">
        <x:v>Bengaluru</x:v>
      </x:c>
      <x:c r="D104" s="12" t="str">
        <x:v>Urban Vault- 2908</x:v>
      </x:c>
      <x:c r="E104" s="12" t="str">
        <x:v>32 inch LED TV</x:v>
      </x:c>
      <x:c r="F104" s="2" t="n">
        <x:v>1</x:v>
      </x:c>
      <x:c r="G104" s="2" t="n">
        <x:v>2</x:v>
      </x:c>
      <x:c r="H104" s="2" t="n">
        <x:f>COUNTIFS('Inventory'!$N$7:$N$783,A104,'Inventory'!$A$7:$A$783,1)</x:f>
        <x:v>1</x:v>
      </x:c>
      <x:c r="I104" s="2" t="n">
        <x:f>SUMIFS('Inventory'!$G$7:$G$783,'Inventory'!$N$7:$N$783,A104,'Inventory'!$A$7:$A$783,1)</x:f>
        <x:v>2</x:v>
      </x:c>
      <x:c r="J104" s="12" t="str">
        <x:v>Listed budget</x:v>
      </x:c>
      <x:c r="K104" s="17" t="n">
        <x:v>30000</x:v>
      </x:c>
      <x:c r="L104" s="17"/>
      <x:c r="M104" s="17"/>
      <x:c r="N104" s="19"/>
      <x:c r="O104" s="17" t="str">
        <x:f>IF(ISNUMBER(L104),G104*L104,IF(ISNUMBER(M104),M104,""))</x:f>
      </x:c>
      <x:c r="P104" s="17" t="n">
        <x:f>IF(ISNUMBER(K104),K104,IF(ISNUMBER(O104),O104,""))</x:f>
        <x:v>30000</x:v>
      </x:c>
      <x:c r="Q104" s="17" t="n">
        <x:f>IF(H104=0,0,IF(ISNUMBER(N104),N104,IF(N104="",IF(H104=F104,P104,""),"")))</x:f>
        <x:v>30000</x:v>
      </x:c>
      <x:c r="R104" s="17" t="n">
        <x:f>IF(ISNUMBER(Q104),ROUND(Q104*$C$4,2),"")</x:f>
        <x:v>5400</x:v>
      </x:c>
      <x:c r="S104" s="17" t="n">
        <x:f>IF(ISNUMBER(Q104),Q104+R104,"")</x:f>
        <x:v>35400</x:v>
      </x:c>
      <x:c r="T104" s="2" t="str">
        <x:f>IF(H104=0,"Not selected",IF(ISNUMBER(N104),"Quote entered",IF(N104&lt;&gt;"","Enter numeric quote",IF(H104=F104,IF(ISNUMBER(P104),"Complete unit","Price required"),"Partial package: price required"))))</x:f>
        <x:v>Complete unit</x:v>
      </x:c>
      <x:c r="U104" s="2" t="str">
        <x:v>TEN-442159F9AF42; TEN-4EE0FA710885; TEN-5AC89DBAD1DE; TEN-EED2FD71A969</x:v>
      </x:c>
      <x:c r="V104" s="2" t="str">
        <x:v>Finance &amp; insurance; Trade, consumer &amp; logistics; Unresolved</x:v>
      </x:c>
      <x:c r="W104" s="2" t="str">
        <x:v>Small-scale prospects; Mixed business audience</x:v>
      </x:c>
      <x:c r="X104" s="17" t="n">
        <x:f>IF(AND(H104=F104,NOT(ISNUMBER(N104)),N104="",ISNUMBER(K104)),K104,0)</x:f>
        <x:v>30000</x:v>
      </x:c>
      <x:c r="Y104" s="17" t="n">
        <x:f>IF(AND(H104=F104,NOT(ISNUMBER(N104)),N104="",K104="",ISNUMBER(O104)),O104,0)</x:f>
        <x:v>0</x:v>
      </x:c>
      <x:c r="Z104" s="17" t="n">
        <x:f>IF(AND(H104&gt;0,ISNUMBER(N104)),N104,0)</x:f>
        <x:v>0</x:v>
      </x:c>
      <x:c r="AA104" s="2" t="n">
        <x:f>IF(AND(H104&gt;0,N104="",NOT(ISNUMBER(Q104))),1,0)</x:f>
        <x:v>0</x:v>
      </x:c>
      <x:c r="AB104" s="2" t="n">
        <x:f>IF(AND(H104&gt;0,N104&lt;&gt;"",NOT(ISNUMBER(N104))),1,0)</x:f>
        <x:v>0</x:v>
      </x:c>
    </x:row>
    <x:row r="105" ht="48" customHeight="1">
      <x:c r="A105" s="2" t="str">
        <x:v>MAIN-099</x:v>
      </x:c>
      <x:c r="B105" s="2" t="str">
        <x:v>Main</x:v>
      </x:c>
      <x:c r="C105" s="2" t="str">
        <x:v>Bengaluru</x:v>
      </x:c>
      <x:c r="D105" s="12" t="str">
        <x:v>Urban Vault- 316</x:v>
      </x:c>
      <x:c r="E105" s="12" t="str">
        <x:v>32 inch LED TV</x:v>
      </x:c>
      <x:c r="F105" s="2" t="n">
        <x:v>1</x:v>
      </x:c>
      <x:c r="G105" s="2" t="n">
        <x:v>2</x:v>
      </x:c>
      <x:c r="H105" s="2" t="n">
        <x:f>COUNTIFS('Inventory'!$N$7:$N$783,A105,'Inventory'!$A$7:$A$783,1)</x:f>
        <x:v>1</x:v>
      </x:c>
      <x:c r="I105" s="2" t="n">
        <x:f>SUMIFS('Inventory'!$G$7:$G$783,'Inventory'!$N$7:$N$783,A105,'Inventory'!$A$7:$A$783,1)</x:f>
        <x:v>2</x:v>
      </x:c>
      <x:c r="J105" s="12" t="str">
        <x:v>Listed budget</x:v>
      </x:c>
      <x:c r="K105" s="17" t="n">
        <x:v>30000</x:v>
      </x:c>
      <x:c r="L105" s="17"/>
      <x:c r="M105" s="17"/>
      <x:c r="N105" s="19"/>
      <x:c r="O105" s="17" t="str">
        <x:f>IF(ISNUMBER(L105),G105*L105,IF(ISNUMBER(M105),M105,""))</x:f>
      </x:c>
      <x:c r="P105" s="17" t="n">
        <x:f>IF(ISNUMBER(K105),K105,IF(ISNUMBER(O105),O105,""))</x:f>
        <x:v>30000</x:v>
      </x:c>
      <x:c r="Q105" s="17" t="n">
        <x:f>IF(H105=0,0,IF(ISNUMBER(N105),N105,IF(N105="",IF(H105=F105,P105,""),"")))</x:f>
        <x:v>30000</x:v>
      </x:c>
      <x:c r="R105" s="17" t="n">
        <x:f>IF(ISNUMBER(Q105),ROUND(Q105*$C$4,2),"")</x:f>
        <x:v>5400</x:v>
      </x:c>
      <x:c r="S105" s="17" t="n">
        <x:f>IF(ISNUMBER(Q105),Q105+R105,"")</x:f>
        <x:v>35400</x:v>
      </x:c>
      <x:c r="T105" s="2" t="str">
        <x:f>IF(H105=0,"Not selected",IF(ISNUMBER(N105),"Quote entered",IF(N105&lt;&gt;"","Enter numeric quote",IF(H105=F105,IF(ISNUMBER(P105),"Complete unit","Price required"),"Partial package: price required"))))</x:f>
        <x:v>Complete unit</x:v>
      </x:c>
      <x:c r="U105" s="2" t="str">
        <x:v>TEN-71D66DBB439D; TEN-D071DE59348F</x:v>
      </x:c>
      <x:c r="V105" s="2" t="str">
        <x:v>IT &amp; digital</x:v>
      </x:c>
      <x:c r="W105" s="2" t="str">
        <x:v>Small-scale prospects</x:v>
      </x:c>
      <x:c r="X105" s="17" t="n">
        <x:f>IF(AND(H105=F105,NOT(ISNUMBER(N105)),N105="",ISNUMBER(K105)),K105,0)</x:f>
        <x:v>30000</x:v>
      </x:c>
      <x:c r="Y105" s="17" t="n">
        <x:f>IF(AND(H105=F105,NOT(ISNUMBER(N105)),N105="",K105="",ISNUMBER(O105)),O105,0)</x:f>
        <x:v>0</x:v>
      </x:c>
      <x:c r="Z105" s="17" t="n">
        <x:f>IF(AND(H105&gt;0,ISNUMBER(N105)),N105,0)</x:f>
        <x:v>0</x:v>
      </x:c>
      <x:c r="AA105" s="2" t="n">
        <x:f>IF(AND(H105&gt;0,N105="",NOT(ISNUMBER(Q105))),1,0)</x:f>
        <x:v>0</x:v>
      </x:c>
      <x:c r="AB105" s="2" t="n">
        <x:f>IF(AND(H105&gt;0,N105&lt;&gt;"",NOT(ISNUMBER(N105))),1,0)</x:f>
        <x:v>0</x:v>
      </x:c>
    </x:row>
    <x:row r="106" ht="48" customHeight="1">
      <x:c r="A106" s="2" t="str">
        <x:v>MAIN-100</x:v>
      </x:c>
      <x:c r="B106" s="2" t="str">
        <x:v>Main</x:v>
      </x:c>
      <x:c r="C106" s="2" t="str">
        <x:v>Bengaluru</x:v>
      </x:c>
      <x:c r="D106" s="12" t="str">
        <x:v>Urban Vault- 591</x:v>
      </x:c>
      <x:c r="E106" s="12" t="str">
        <x:v>32 inch LED TV</x:v>
      </x:c>
      <x:c r="F106" s="2" t="n">
        <x:v>1</x:v>
      </x:c>
      <x:c r="G106" s="2" t="n">
        <x:v>2</x:v>
      </x:c>
      <x:c r="H106" s="2" t="n">
        <x:f>COUNTIFS('Inventory'!$N$7:$N$783,A106,'Inventory'!$A$7:$A$783,1)</x:f>
        <x:v>1</x:v>
      </x:c>
      <x:c r="I106" s="2" t="n">
        <x:f>SUMIFS('Inventory'!$G$7:$G$783,'Inventory'!$N$7:$N$783,A106,'Inventory'!$A$7:$A$783,1)</x:f>
        <x:v>2</x:v>
      </x:c>
      <x:c r="J106" s="12" t="str">
        <x:v>Listed budget</x:v>
      </x:c>
      <x:c r="K106" s="17" t="n">
        <x:v>30000</x:v>
      </x:c>
      <x:c r="L106" s="17"/>
      <x:c r="M106" s="17"/>
      <x:c r="N106" s="19"/>
      <x:c r="O106" s="17" t="str">
        <x:f>IF(ISNUMBER(L106),G106*L106,IF(ISNUMBER(M106),M106,""))</x:f>
      </x:c>
      <x:c r="P106" s="17" t="n">
        <x:f>IF(ISNUMBER(K106),K106,IF(ISNUMBER(O106),O106,""))</x:f>
        <x:v>30000</x:v>
      </x:c>
      <x:c r="Q106" s="17" t="n">
        <x:f>IF(H106=0,0,IF(ISNUMBER(N106),N106,IF(N106="",IF(H106=F106,P106,""),"")))</x:f>
        <x:v>30000</x:v>
      </x:c>
      <x:c r="R106" s="17" t="n">
        <x:f>IF(ISNUMBER(Q106),ROUND(Q106*$C$4,2),"")</x:f>
        <x:v>5400</x:v>
      </x:c>
      <x:c r="S106" s="17" t="n">
        <x:f>IF(ISNUMBER(Q106),Q106+R106,"")</x:f>
        <x:v>35400</x:v>
      </x:c>
      <x:c r="T106" s="2" t="str">
        <x:f>IF(H106=0,"Not selected",IF(ISNUMBER(N106),"Quote entered",IF(N106&lt;&gt;"","Enter numeric quote",IF(H106=F106,IF(ISNUMBER(P106),"Complete unit","Price required"),"Partial package: price required"))))</x:f>
        <x:v>Complete unit</x:v>
      </x:c>
      <x:c r="U106" s="2" t="str">
        <x:v>TEN-28EC12D4E890; TEN-40CDA80E2C11; TEN-593C230D0BE4; TEN-5FED48060BC2; TEN-6C48A85FAF3B; TEN-C9015464958C</x:v>
      </x:c>
      <x:c r="V106" s="2" t="str">
        <x:v>Finance &amp; insurance; Education; Unresolved</x:v>
      </x:c>
      <x:c r="W106" s="2" t="str">
        <x:v>Small-scale prospects; Medium-scale prospects; Mixed business audience</x:v>
      </x:c>
      <x:c r="X106" s="17" t="n">
        <x:f>IF(AND(H106=F106,NOT(ISNUMBER(N106)),N106="",ISNUMBER(K106)),K106,0)</x:f>
        <x:v>30000</x:v>
      </x:c>
      <x:c r="Y106" s="17" t="n">
        <x:f>IF(AND(H106=F106,NOT(ISNUMBER(N106)),N106="",K106="",ISNUMBER(O106)),O106,0)</x:f>
        <x:v>0</x:v>
      </x:c>
      <x:c r="Z106" s="17" t="n">
        <x:f>IF(AND(H106&gt;0,ISNUMBER(N106)),N106,0)</x:f>
        <x:v>0</x:v>
      </x:c>
      <x:c r="AA106" s="2" t="n">
        <x:f>IF(AND(H106&gt;0,N106="",NOT(ISNUMBER(Q106))),1,0)</x:f>
        <x:v>0</x:v>
      </x:c>
      <x:c r="AB106" s="2" t="n">
        <x:f>IF(AND(H106&gt;0,N106&lt;&gt;"",NOT(ISNUMBER(N106))),1,0)</x:f>
        <x:v>0</x:v>
      </x:c>
    </x:row>
    <x:row r="107" ht="48" customHeight="1">
      <x:c r="A107" s="2" t="str">
        <x:v>MAIN-095</x:v>
      </x:c>
      <x:c r="B107" s="2" t="str">
        <x:v>Main</x:v>
      </x:c>
      <x:c r="C107" s="2" t="str">
        <x:v>Bengaluru</x:v>
      </x:c>
      <x:c r="D107" s="12" t="str">
        <x:v>Urban Vault- 6/A</x:v>
      </x:c>
      <x:c r="E107" s="12" t="str">
        <x:v>32 inch LED TV</x:v>
      </x:c>
      <x:c r="F107" s="2" t="n">
        <x:v>1</x:v>
      </x:c>
      <x:c r="G107" s="2" t="n">
        <x:v>2</x:v>
      </x:c>
      <x:c r="H107" s="2" t="n">
        <x:f>COUNTIFS('Inventory'!$N$7:$N$783,A107,'Inventory'!$A$7:$A$783,1)</x:f>
        <x:v>1</x:v>
      </x:c>
      <x:c r="I107" s="2" t="n">
        <x:f>SUMIFS('Inventory'!$G$7:$G$783,'Inventory'!$N$7:$N$783,A107,'Inventory'!$A$7:$A$783,1)</x:f>
        <x:v>2</x:v>
      </x:c>
      <x:c r="J107" s="12" t="str">
        <x:v>Listed budget</x:v>
      </x:c>
      <x:c r="K107" s="17" t="n">
        <x:v>30000</x:v>
      </x:c>
      <x:c r="L107" s="17"/>
      <x:c r="M107" s="17"/>
      <x:c r="N107" s="19"/>
      <x:c r="O107" s="17" t="str">
        <x:f>IF(ISNUMBER(L107),G107*L107,IF(ISNUMBER(M107),M107,""))</x:f>
      </x:c>
      <x:c r="P107" s="17" t="n">
        <x:f>IF(ISNUMBER(K107),K107,IF(ISNUMBER(O107),O107,""))</x:f>
        <x:v>30000</x:v>
      </x:c>
      <x:c r="Q107" s="17" t="n">
        <x:f>IF(H107=0,0,IF(ISNUMBER(N107),N107,IF(N107="",IF(H107=F107,P107,""),"")))</x:f>
        <x:v>30000</x:v>
      </x:c>
      <x:c r="R107" s="17" t="n">
        <x:f>IF(ISNUMBER(Q107),ROUND(Q107*$C$4,2),"")</x:f>
        <x:v>5400</x:v>
      </x:c>
      <x:c r="S107" s="17" t="n">
        <x:f>IF(ISNUMBER(Q107),Q107+R107,"")</x:f>
        <x:v>35400</x:v>
      </x:c>
      <x:c r="T107" s="2" t="str">
        <x:f>IF(H107=0,"Not selected",IF(ISNUMBER(N107),"Quote entered",IF(N107&lt;&gt;"","Enter numeric quote",IF(H107=F107,IF(ISNUMBER(P107),"Complete unit","Price required"),"Partial package: price required"))))</x:f>
        <x:v>Complete unit</x:v>
      </x:c>
      <x:c r="U107" s="2" t="str">
        <x:v>TEN-674252DF0AE9; TEN-B1AD052757E7; TEN-C180FD5F29F8</x:v>
      </x:c>
      <x:c r="V107" s="2" t="str">
        <x:v>Unresolved</x:v>
      </x:c>
      <x:c r="W107" s="2" t="str">
        <x:v>Mixed business audience</x:v>
      </x:c>
      <x:c r="X107" s="17" t="n">
        <x:f>IF(AND(H107=F107,NOT(ISNUMBER(N107)),N107="",ISNUMBER(K107)),K107,0)</x:f>
        <x:v>30000</x:v>
      </x:c>
      <x:c r="Y107" s="17" t="n">
        <x:f>IF(AND(H107=F107,NOT(ISNUMBER(N107)),N107="",K107="",ISNUMBER(O107)),O107,0)</x:f>
        <x:v>0</x:v>
      </x:c>
      <x:c r="Z107" s="17" t="n">
        <x:f>IF(AND(H107&gt;0,ISNUMBER(N107)),N107,0)</x:f>
        <x:v>0</x:v>
      </x:c>
      <x:c r="AA107" s="2" t="n">
        <x:f>IF(AND(H107&gt;0,N107="",NOT(ISNUMBER(Q107))),1,0)</x:f>
        <x:v>0</x:v>
      </x:c>
      <x:c r="AB107" s="2" t="n">
        <x:f>IF(AND(H107&gt;0,N107&lt;&gt;"",NOT(ISNUMBER(N107))),1,0)</x:f>
        <x:v>0</x:v>
      </x:c>
    </x:row>
    <x:row r="108" ht="48" customHeight="1">
      <x:c r="A108" s="2" t="str">
        <x:v>MAIN-096</x:v>
      </x:c>
      <x:c r="B108" s="2" t="str">
        <x:v>Main</x:v>
      </x:c>
      <x:c r="C108" s="2" t="str">
        <x:v>Bengaluru</x:v>
      </x:c>
      <x:c r="D108" s="12" t="str">
        <x:v>Urban Vault- 65</x:v>
      </x:c>
      <x:c r="E108" s="12" t="str">
        <x:v>32 inch LED TV</x:v>
      </x:c>
      <x:c r="F108" s="2" t="n">
        <x:v>1</x:v>
      </x:c>
      <x:c r="G108" s="2" t="n">
        <x:v>2</x:v>
      </x:c>
      <x:c r="H108" s="2" t="n">
        <x:f>COUNTIFS('Inventory'!$N$7:$N$783,A108,'Inventory'!$A$7:$A$783,1)</x:f>
        <x:v>1</x:v>
      </x:c>
      <x:c r="I108" s="2" t="n">
        <x:f>SUMIFS('Inventory'!$G$7:$G$783,'Inventory'!$N$7:$N$783,A108,'Inventory'!$A$7:$A$783,1)</x:f>
        <x:v>2</x:v>
      </x:c>
      <x:c r="J108" s="12" t="str">
        <x:v>Listed budget</x:v>
      </x:c>
      <x:c r="K108" s="17" t="n">
        <x:v>30000</x:v>
      </x:c>
      <x:c r="L108" s="17"/>
      <x:c r="M108" s="17"/>
      <x:c r="N108" s="19"/>
      <x:c r="O108" s="17" t="str">
        <x:f>IF(ISNUMBER(L108),G108*L108,IF(ISNUMBER(M108),M108,""))</x:f>
      </x:c>
      <x:c r="P108" s="17" t="n">
        <x:f>IF(ISNUMBER(K108),K108,IF(ISNUMBER(O108),O108,""))</x:f>
        <x:v>30000</x:v>
      </x:c>
      <x:c r="Q108" s="17" t="n">
        <x:f>IF(H108=0,0,IF(ISNUMBER(N108),N108,IF(N108="",IF(H108=F108,P108,""),"")))</x:f>
        <x:v>30000</x:v>
      </x:c>
      <x:c r="R108" s="17" t="n">
        <x:f>IF(ISNUMBER(Q108),ROUND(Q108*$C$4,2),"")</x:f>
        <x:v>5400</x:v>
      </x:c>
      <x:c r="S108" s="17" t="n">
        <x:f>IF(ISNUMBER(Q108),Q108+R108,"")</x:f>
        <x:v>35400</x:v>
      </x:c>
      <x:c r="T108" s="2" t="str">
        <x:f>IF(H108=0,"Not selected",IF(ISNUMBER(N108),"Quote entered",IF(N108&lt;&gt;"","Enter numeric quote",IF(H108=F108,IF(ISNUMBER(P108),"Complete unit","Price required"),"Partial package: price required"))))</x:f>
        <x:v>Complete unit</x:v>
      </x:c>
      <x:c r="U108" s="2" t="str">
        <x:v>TEN-07D066428D01; TEN-2CBDDD182E39; TEN-8443D2DCCA7C; TEN-B02D68728E8B; TEN-D0D0FF9462AA</x:v>
      </x:c>
      <x:c r="V108" s="2" t="str">
        <x:v>IT &amp; digital; Finance &amp; insurance</x:v>
      </x:c>
      <x:c r="W108" s="2" t="str">
        <x:v>Small-scale prospects; Medium-scale prospects</x:v>
      </x:c>
      <x:c r="X108" s="17" t="n">
        <x:f>IF(AND(H108=F108,NOT(ISNUMBER(N108)),N108="",ISNUMBER(K108)),K108,0)</x:f>
        <x:v>30000</x:v>
      </x:c>
      <x:c r="Y108" s="17" t="n">
        <x:f>IF(AND(H108=F108,NOT(ISNUMBER(N108)),N108="",K108="",ISNUMBER(O108)),O108,0)</x:f>
        <x:v>0</x:v>
      </x:c>
      <x:c r="Z108" s="17" t="n">
        <x:f>IF(AND(H108&gt;0,ISNUMBER(N108)),N108,0)</x:f>
        <x:v>0</x:v>
      </x:c>
      <x:c r="AA108" s="2" t="n">
        <x:f>IF(AND(H108&gt;0,N108="",NOT(ISNUMBER(Q108))),1,0)</x:f>
        <x:v>0</x:v>
      </x:c>
      <x:c r="AB108" s="2" t="n">
        <x:f>IF(AND(H108&gt;0,N108&lt;&gt;"",NOT(ISNUMBER(N108))),1,0)</x:f>
        <x:v>0</x:v>
      </x:c>
    </x:row>
    <x:row r="109" ht="48" customHeight="1">
      <x:c r="A109" s="2" t="str">
        <x:v>MAIN-101</x:v>
      </x:c>
      <x:c r="B109" s="2" t="str">
        <x:v>Main</x:v>
      </x:c>
      <x:c r="C109" s="2" t="str">
        <x:v>Bengaluru</x:v>
      </x:c>
      <x:c r="D109" s="12" t="str">
        <x:v>Urban Vault- 761</x:v>
      </x:c>
      <x:c r="E109" s="12" t="str">
        <x:v>32 inch LED TV</x:v>
      </x:c>
      <x:c r="F109" s="2" t="n">
        <x:v>1</x:v>
      </x:c>
      <x:c r="G109" s="2" t="n">
        <x:v>2</x:v>
      </x:c>
      <x:c r="H109" s="2" t="n">
        <x:f>COUNTIFS('Inventory'!$N$7:$N$783,A109,'Inventory'!$A$7:$A$783,1)</x:f>
        <x:v>1</x:v>
      </x:c>
      <x:c r="I109" s="2" t="n">
        <x:f>SUMIFS('Inventory'!$G$7:$G$783,'Inventory'!$N$7:$N$783,A109,'Inventory'!$A$7:$A$783,1)</x:f>
        <x:v>2</x:v>
      </x:c>
      <x:c r="J109" s="12" t="str">
        <x:v>Listed budget</x:v>
      </x:c>
      <x:c r="K109" s="17" t="n">
        <x:v>30000</x:v>
      </x:c>
      <x:c r="L109" s="17"/>
      <x:c r="M109" s="17"/>
      <x:c r="N109" s="19"/>
      <x:c r="O109" s="17" t="str">
        <x:f>IF(ISNUMBER(L109),G109*L109,IF(ISNUMBER(M109),M109,""))</x:f>
      </x:c>
      <x:c r="P109" s="17" t="n">
        <x:f>IF(ISNUMBER(K109),K109,IF(ISNUMBER(O109),O109,""))</x:f>
        <x:v>30000</x:v>
      </x:c>
      <x:c r="Q109" s="17" t="n">
        <x:f>IF(H109=0,0,IF(ISNUMBER(N109),N109,IF(N109="",IF(H109=F109,P109,""),"")))</x:f>
        <x:v>30000</x:v>
      </x:c>
      <x:c r="R109" s="17" t="n">
        <x:f>IF(ISNUMBER(Q109),ROUND(Q109*$C$4,2),"")</x:f>
        <x:v>5400</x:v>
      </x:c>
      <x:c r="S109" s="17" t="n">
        <x:f>IF(ISNUMBER(Q109),Q109+R109,"")</x:f>
        <x:v>35400</x:v>
      </x:c>
      <x:c r="T109" s="2" t="str">
        <x:f>IF(H109=0,"Not selected",IF(ISNUMBER(N109),"Quote entered",IF(N109&lt;&gt;"","Enter numeric quote",IF(H109=F109,IF(ISNUMBER(P109),"Complete unit","Price required"),"Partial package: price required"))))</x:f>
        <x:v>Complete unit</x:v>
      </x:c>
      <x:c r="U109" s="2" t="str">
        <x:v>TEN-458B5BB6E9BE; TEN-BA9461CED01A</x:v>
      </x:c>
      <x:c r="V109" s="2" t="str">
        <x:v>IT &amp; digital; Trade, consumer &amp; logistics</x:v>
      </x:c>
      <x:c r="W109" s="2" t="str">
        <x:v>Small-scale prospects</x:v>
      </x:c>
      <x:c r="X109" s="17" t="n">
        <x:f>IF(AND(H109=F109,NOT(ISNUMBER(N109)),N109="",ISNUMBER(K109)),K109,0)</x:f>
        <x:v>30000</x:v>
      </x:c>
      <x:c r="Y109" s="17" t="n">
        <x:f>IF(AND(H109=F109,NOT(ISNUMBER(N109)),N109="",K109="",ISNUMBER(O109)),O109,0)</x:f>
        <x:v>0</x:v>
      </x:c>
      <x:c r="Z109" s="17" t="n">
        <x:f>IF(AND(H109&gt;0,ISNUMBER(N109)),N109,0)</x:f>
        <x:v>0</x:v>
      </x:c>
      <x:c r="AA109" s="2" t="n">
        <x:f>IF(AND(H109&gt;0,N109="",NOT(ISNUMBER(Q109))),1,0)</x:f>
        <x:v>0</x:v>
      </x:c>
      <x:c r="AB109" s="2" t="n">
        <x:f>IF(AND(H109&gt;0,N109&lt;&gt;"",NOT(ISNUMBER(N109))),1,0)</x:f>
        <x:v>0</x:v>
      </x:c>
    </x:row>
    <x:row r="110" ht="48" customHeight="1">
      <x:c r="A110" s="2" t="str">
        <x:v>MAIN-102</x:v>
      </x:c>
      <x:c r="B110" s="2" t="str">
        <x:v>Main</x:v>
      </x:c>
      <x:c r="C110" s="2" t="str">
        <x:v>Bengaluru</x:v>
      </x:c>
      <x:c r="D110" s="12" t="str">
        <x:v>Urban Vault- 762</x:v>
      </x:c>
      <x:c r="E110" s="12" t="str">
        <x:v>32 inch LED TV</x:v>
      </x:c>
      <x:c r="F110" s="2" t="n">
        <x:v>1</x:v>
      </x:c>
      <x:c r="G110" s="2" t="n">
        <x:v>2</x:v>
      </x:c>
      <x:c r="H110" s="2" t="n">
        <x:f>COUNTIFS('Inventory'!$N$7:$N$783,A110,'Inventory'!$A$7:$A$783,1)</x:f>
        <x:v>1</x:v>
      </x:c>
      <x:c r="I110" s="2" t="n">
        <x:f>SUMIFS('Inventory'!$G$7:$G$783,'Inventory'!$N$7:$N$783,A110,'Inventory'!$A$7:$A$783,1)</x:f>
        <x:v>2</x:v>
      </x:c>
      <x:c r="J110" s="12" t="str">
        <x:v>Listed budget</x:v>
      </x:c>
      <x:c r="K110" s="17" t="n">
        <x:v>30000</x:v>
      </x:c>
      <x:c r="L110" s="17"/>
      <x:c r="M110" s="17"/>
      <x:c r="N110" s="19"/>
      <x:c r="O110" s="17" t="str">
        <x:f>IF(ISNUMBER(L110),G110*L110,IF(ISNUMBER(M110),M110,""))</x:f>
      </x:c>
      <x:c r="P110" s="17" t="n">
        <x:f>IF(ISNUMBER(K110),K110,IF(ISNUMBER(O110),O110,""))</x:f>
        <x:v>30000</x:v>
      </x:c>
      <x:c r="Q110" s="17" t="n">
        <x:f>IF(H110=0,0,IF(ISNUMBER(N110),N110,IF(N110="",IF(H110=F110,P110,""),"")))</x:f>
        <x:v>30000</x:v>
      </x:c>
      <x:c r="R110" s="17" t="n">
        <x:f>IF(ISNUMBER(Q110),ROUND(Q110*$C$4,2),"")</x:f>
        <x:v>5400</x:v>
      </x:c>
      <x:c r="S110" s="17" t="n">
        <x:f>IF(ISNUMBER(Q110),Q110+R110,"")</x:f>
        <x:v>35400</x:v>
      </x:c>
      <x:c r="T110" s="2" t="str">
        <x:f>IF(H110=0,"Not selected",IF(ISNUMBER(N110),"Quote entered",IF(N110&lt;&gt;"","Enter numeric quote",IF(H110=F110,IF(ISNUMBER(P110),"Complete unit","Price required"),"Partial package: price required"))))</x:f>
        <x:v>Complete unit</x:v>
      </x:c>
      <x:c r="U110" s="2" t="str">
        <x:v>TEN-854944265FFF; TEN-BAA6D3865F7F</x:v>
      </x:c>
      <x:c r="V110" s="2" t="str">
        <x:v>IT &amp; digital; Professional services</x:v>
      </x:c>
      <x:c r="W110" s="2" t="str">
        <x:v>Small-scale prospects</x:v>
      </x:c>
      <x:c r="X110" s="17" t="n">
        <x:f>IF(AND(H110=F110,NOT(ISNUMBER(N110)),N110="",ISNUMBER(K110)),K110,0)</x:f>
        <x:v>30000</x:v>
      </x:c>
      <x:c r="Y110" s="17" t="n">
        <x:f>IF(AND(H110=F110,NOT(ISNUMBER(N110)),N110="",K110="",ISNUMBER(O110)),O110,0)</x:f>
        <x:v>0</x:v>
      </x:c>
      <x:c r="Z110" s="17" t="n">
        <x:f>IF(AND(H110&gt;0,ISNUMBER(N110)),N110,0)</x:f>
        <x:v>0</x:v>
      </x:c>
      <x:c r="AA110" s="2" t="n">
        <x:f>IF(AND(H110&gt;0,N110="",NOT(ISNUMBER(Q110))),1,0)</x:f>
        <x:v>0</x:v>
      </x:c>
      <x:c r="AB110" s="2" t="n">
        <x:f>IF(AND(H110&gt;0,N110&lt;&gt;"",NOT(ISNUMBER(N110))),1,0)</x:f>
        <x:v>0</x:v>
      </x:c>
    </x:row>
    <x:row r="111" ht="48" customHeight="1">
      <x:c r="A111" s="2" t="str">
        <x:v>MAIN-097</x:v>
      </x:c>
      <x:c r="B111" s="2" t="str">
        <x:v>Main</x:v>
      </x:c>
      <x:c r="C111" s="2" t="str">
        <x:v>Bengaluru</x:v>
      </x:c>
      <x:c r="D111" s="12" t="str">
        <x:v>Urban Vault- 97</x:v>
      </x:c>
      <x:c r="E111" s="12" t="str">
        <x:v>32 inch LED TV</x:v>
      </x:c>
      <x:c r="F111" s="2" t="n">
        <x:v>1</x:v>
      </x:c>
      <x:c r="G111" s="2" t="n">
        <x:v>1</x:v>
      </x:c>
      <x:c r="H111" s="2" t="n">
        <x:f>COUNTIFS('Inventory'!$N$7:$N$783,A111,'Inventory'!$A$7:$A$783,1)</x:f>
        <x:v>1</x:v>
      </x:c>
      <x:c r="I111" s="2" t="n">
        <x:f>SUMIFS('Inventory'!$G$7:$G$783,'Inventory'!$N$7:$N$783,A111,'Inventory'!$A$7:$A$783,1)</x:f>
        <x:v>1</x:v>
      </x:c>
      <x:c r="J111" s="12" t="str">
        <x:v>Listed budget</x:v>
      </x:c>
      <x:c r="K111" s="17" t="n">
        <x:v>15000</x:v>
      </x:c>
      <x:c r="L111" s="17"/>
      <x:c r="M111" s="17"/>
      <x:c r="N111" s="19"/>
      <x:c r="O111" s="17" t="str">
        <x:f>IF(ISNUMBER(L111),G111*L111,IF(ISNUMBER(M111),M111,""))</x:f>
      </x:c>
      <x:c r="P111" s="17" t="n">
        <x:f>IF(ISNUMBER(K111),K111,IF(ISNUMBER(O111),O111,""))</x:f>
        <x:v>15000</x:v>
      </x:c>
      <x:c r="Q111" s="17" t="n">
        <x:f>IF(H111=0,0,IF(ISNUMBER(N111),N111,IF(N111="",IF(H111=F111,P111,""),"")))</x:f>
        <x:v>15000</x:v>
      </x:c>
      <x:c r="R111" s="17" t="n">
        <x:f>IF(ISNUMBER(Q111),ROUND(Q111*$C$4,2),"")</x:f>
        <x:v>2700</x:v>
      </x:c>
      <x:c r="S111" s="17" t="n">
        <x:f>IF(ISNUMBER(Q111),Q111+R111,"")</x:f>
        <x:v>17700</x:v>
      </x:c>
      <x:c r="T111" s="2" t="str">
        <x:f>IF(H111=0,"Not selected",IF(ISNUMBER(N111),"Quote entered",IF(N111&lt;&gt;"","Enter numeric quote",IF(H111=F111,IF(ISNUMBER(P111),"Complete unit","Price required"),"Partial package: price required"))))</x:f>
        <x:v>Complete unit</x:v>
      </x:c>
      <x:c r="U111" s="2" t="str">
        <x:v>TEN-50B0085E2E91; TEN-EB3A79B604CA</x:v>
      </x:c>
      <x:c r="V111" s="2" t="str">
        <x:v>IT &amp; digital; Trade, consumer &amp; logistics</x:v>
      </x:c>
      <x:c r="W111" s="2" t="str">
        <x:v>Small-scale prospects</x:v>
      </x:c>
      <x:c r="X111" s="17" t="n">
        <x:f>IF(AND(H111=F111,NOT(ISNUMBER(N111)),N111="",ISNUMBER(K111)),K111,0)</x:f>
        <x:v>15000</x:v>
      </x:c>
      <x:c r="Y111" s="17" t="n">
        <x:f>IF(AND(H111=F111,NOT(ISNUMBER(N111)),N111="",K111="",ISNUMBER(O111)),O111,0)</x:f>
        <x:v>0</x:v>
      </x:c>
      <x:c r="Z111" s="17" t="n">
        <x:f>IF(AND(H111&gt;0,ISNUMBER(N111)),N111,0)</x:f>
        <x:v>0</x:v>
      </x:c>
      <x:c r="AA111" s="2" t="n">
        <x:f>IF(AND(H111&gt;0,N111="",NOT(ISNUMBER(Q111))),1,0)</x:f>
        <x:v>0</x:v>
      </x:c>
      <x:c r="AB111" s="2" t="n">
        <x:f>IF(AND(H111&gt;0,N111&lt;&gt;"",NOT(ISNUMBER(N111))),1,0)</x:f>
        <x:v>0</x:v>
      </x:c>
    </x:row>
    <x:row r="112" ht="48" customHeight="1">
      <x:c r="A112" s="2" t="str">
        <x:v>MAIN-111</x:v>
      </x:c>
      <x:c r="B112" s="2" t="str">
        <x:v>Main</x:v>
      </x:c>
      <x:c r="C112" s="2" t="str">
        <x:v>Bengaluru</x:v>
      </x:c>
      <x:c r="D112" s="12" t="str">
        <x:v>Urban Vault- Head Quarters</x:v>
      </x:c>
      <x:c r="E112" s="12" t="str">
        <x:v>32 inch LED TV</x:v>
      </x:c>
      <x:c r="F112" s="2" t="n">
        <x:v>1</x:v>
      </x:c>
      <x:c r="G112" s="2" t="n">
        <x:v>1</x:v>
      </x:c>
      <x:c r="H112" s="2" t="n">
        <x:f>COUNTIFS('Inventory'!$N$7:$N$783,A112,'Inventory'!$A$7:$A$783,1)</x:f>
        <x:v>1</x:v>
      </x:c>
      <x:c r="I112" s="2" t="n">
        <x:f>SUMIFS('Inventory'!$G$7:$G$783,'Inventory'!$N$7:$N$783,A112,'Inventory'!$A$7:$A$783,1)</x:f>
        <x:v>1</x:v>
      </x:c>
      <x:c r="J112" s="12" t="str">
        <x:v>Listed budget</x:v>
      </x:c>
      <x:c r="K112" s="17" t="n">
        <x:v>15000</x:v>
      </x:c>
      <x:c r="L112" s="17"/>
      <x:c r="M112" s="17"/>
      <x:c r="N112" s="19"/>
      <x:c r="O112" s="17" t="str">
        <x:f>IF(ISNUMBER(L112),G112*L112,IF(ISNUMBER(M112),M112,""))</x:f>
      </x:c>
      <x:c r="P112" s="17" t="n">
        <x:f>IF(ISNUMBER(K112),K112,IF(ISNUMBER(O112),O112,""))</x:f>
        <x:v>15000</x:v>
      </x:c>
      <x:c r="Q112" s="17" t="n">
        <x:f>IF(H112=0,0,IF(ISNUMBER(N112),N112,IF(N112="",IF(H112=F112,P112,""),"")))</x:f>
        <x:v>15000</x:v>
      </x:c>
      <x:c r="R112" s="17" t="n">
        <x:f>IF(ISNUMBER(Q112),ROUND(Q112*$C$4,2),"")</x:f>
        <x:v>2700</x:v>
      </x:c>
      <x:c r="S112" s="17" t="n">
        <x:f>IF(ISNUMBER(Q112),Q112+R112,"")</x:f>
        <x:v>17700</x:v>
      </x:c>
      <x:c r="T112" s="2" t="str">
        <x:f>IF(H112=0,"Not selected",IF(ISNUMBER(N112),"Quote entered",IF(N112&lt;&gt;"","Enter numeric quote",IF(H112=F112,IF(ISNUMBER(P112),"Complete unit","Price required"),"Partial package: price required"))))</x:f>
        <x:v>Complete unit</x:v>
      </x:c>
      <x:c r="U112" s="2" t="str">
        <x:v>TEN-0A260D0BDF2D; TEN-6833ABA80C52; TEN-766583A204E4; TEN-D1D0F589C024; TEN-F203D8BBAC6A</x:v>
      </x:c>
      <x:c r="V112" s="2" t="str">
        <x:v>IT &amp; digital; Trade, consumer &amp; logistics</x:v>
      </x:c>
      <x:c r="W112" s="2" t="str">
        <x:v>Micro-scale prospects; Small-scale prospects; Mixed business audience</x:v>
      </x:c>
      <x:c r="X112" s="17" t="n">
        <x:f>IF(AND(H112=F112,NOT(ISNUMBER(N112)),N112="",ISNUMBER(K112)),K112,0)</x:f>
        <x:v>15000</x:v>
      </x:c>
      <x:c r="Y112" s="17" t="n">
        <x:f>IF(AND(H112=F112,NOT(ISNUMBER(N112)),N112="",K112="",ISNUMBER(O112)),O112,0)</x:f>
        <x:v>0</x:v>
      </x:c>
      <x:c r="Z112" s="17" t="n">
        <x:f>IF(AND(H112&gt;0,ISNUMBER(N112)),N112,0)</x:f>
        <x:v>0</x:v>
      </x:c>
      <x:c r="AA112" s="2" t="n">
        <x:f>IF(AND(H112&gt;0,N112="",NOT(ISNUMBER(Q112))),1,0)</x:f>
        <x:v>0</x:v>
      </x:c>
      <x:c r="AB112" s="2" t="n">
        <x:f>IF(AND(H112&gt;0,N112&lt;&gt;"",NOT(ISNUMBER(N112))),1,0)</x:f>
        <x:v>0</x:v>
      </x:c>
    </x:row>
    <x:row r="113" ht="48" customHeight="1">
      <x:c r="A113" s="2" t="str">
        <x:v>MAIN-112</x:v>
      </x:c>
      <x:c r="B113" s="2" t="str">
        <x:v>Main</x:v>
      </x:c>
      <x:c r="C113" s="2" t="str">
        <x:v>Bengaluru</x:v>
      </x:c>
      <x:c r="D113" s="12" t="str">
        <x:v>WeWork - Cherry Hills</x:v>
      </x:c>
      <x:c r="E113" s="12" t="str">
        <x:v>43 inch LED TV</x:v>
      </x:c>
      <x:c r="F113" s="2" t="n">
        <x:v>1</x:v>
      </x:c>
      <x:c r="G113" s="2" t="n">
        <x:v>1</x:v>
      </x:c>
      <x:c r="H113" s="2" t="n">
        <x:f>COUNTIFS('Inventory'!$N$7:$N$783,A113,'Inventory'!$A$7:$A$783,1)</x:f>
        <x:v>1</x:v>
      </x:c>
      <x:c r="I113" s="2" t="n">
        <x:f>SUMIFS('Inventory'!$G$7:$G$783,'Inventory'!$N$7:$N$783,A113,'Inventory'!$A$7:$A$783,1)</x:f>
        <x:v>1</x:v>
      </x:c>
      <x:c r="J113" s="12" t="str">
        <x:v>Campaign format rate</x:v>
      </x:c>
      <x:c r="K113" s="17"/>
      <x:c r="L113" s="17" t="n">
        <x:f>$G$5</x:f>
        <x:v>25000</x:v>
      </x:c>
      <x:c r="M113" s="17"/>
      <x:c r="N113" s="19"/>
      <x:c r="O113" s="17" t="n">
        <x:f>IF(ISNUMBER(L113),G113*L113,IF(ISNUMBER(M113),M113,""))</x:f>
        <x:v>25000</x:v>
      </x:c>
      <x:c r="P113" s="17" t="n">
        <x:f>IF(ISNUMBER(K113),K113,IF(ISNUMBER(O113),O113,""))</x:f>
        <x:v>25000</x:v>
      </x:c>
      <x:c r="Q113" s="17" t="n">
        <x:f>IF(H113=0,0,IF(ISNUMBER(N113),N113,IF(N113="",IF(H113=F113,P113,""),"")))</x:f>
        <x:v>25000</x:v>
      </x:c>
      <x:c r="R113" s="17" t="n">
        <x:f>IF(ISNUMBER(Q113),ROUND(Q113*$C$4,2),"")</x:f>
        <x:v>4500</x:v>
      </x:c>
      <x:c r="S113" s="17" t="n">
        <x:f>IF(ISNUMBER(Q113),Q113+R113,"")</x:f>
        <x:v>29500</x:v>
      </x:c>
      <x:c r="T113" s="2" t="str">
        <x:f>IF(H113=0,"Not selected",IF(ISNUMBER(N113),"Quote entered",IF(N113&lt;&gt;"","Enter numeric quote",IF(H113=F113,IF(ISNUMBER(P113),"Complete unit","Price required"),"Partial package: price required"))))</x:f>
        <x:v>Complete unit</x:v>
      </x:c>
      <x:c r="U113" s="2" t="str">
        <x:v>TEN-7105A46CB4C2; TEN-901D155A2AAB; TEN-BB5042D9B00B; TEN-C89B9174C0F0; TEN-EDA2DFE8C935</x:v>
      </x:c>
      <x:c r="V113" s="2" t="str">
        <x:v>IT &amp; digital; Finance &amp; insurance; Trade, consumer &amp; logistics</x:v>
      </x:c>
      <x:c r="W113" s="2" t="str">
        <x:v>Mixed business audience</x:v>
      </x:c>
      <x:c r="X113" s="17" t="n">
        <x:f>IF(AND(H113=F113,NOT(ISNUMBER(N113)),N113="",ISNUMBER(K113)),K113,0)</x:f>
        <x:v>0</x:v>
      </x:c>
      <x:c r="Y113" s="17" t="n">
        <x:f>IF(AND(H113=F113,NOT(ISNUMBER(N113)),N113="",K113="",ISNUMBER(O113)),O113,0)</x:f>
        <x:v>25000</x:v>
      </x:c>
      <x:c r="Z113" s="17" t="n">
        <x:f>IF(AND(H113&gt;0,ISNUMBER(N113)),N113,0)</x:f>
        <x:v>0</x:v>
      </x:c>
      <x:c r="AA113" s="2" t="n">
        <x:f>IF(AND(H113&gt;0,N113="",NOT(ISNUMBER(Q113))),1,0)</x:f>
        <x:v>0</x:v>
      </x:c>
      <x:c r="AB113" s="2" t="n">
        <x:f>IF(AND(H113&gt;0,N113&lt;&gt;"",NOT(ISNUMBER(N113))),1,0)</x:f>
        <x:v>0</x:v>
      </x:c>
    </x:row>
    <x:row r="114" ht="48" customHeight="1">
      <x:c r="A114" s="2" t="str">
        <x:v>MAIN-113</x:v>
      </x:c>
      <x:c r="B114" s="2" t="str">
        <x:v>Main</x:v>
      </x:c>
      <x:c r="C114" s="2" t="str">
        <x:v>Bengaluru</x:v>
      </x:c>
      <x:c r="D114" s="12" t="str">
        <x:v>WeWork - EGL</x:v>
      </x:c>
      <x:c r="E114" s="12" t="str">
        <x:v>43 inch LED TV</x:v>
      </x:c>
      <x:c r="F114" s="2" t="n">
        <x:v>1</x:v>
      </x:c>
      <x:c r="G114" s="2" t="n">
        <x:v>4</x:v>
      </x:c>
      <x:c r="H114" s="2" t="n">
        <x:f>COUNTIFS('Inventory'!$N$7:$N$783,A114,'Inventory'!$A$7:$A$783,1)</x:f>
        <x:v>1</x:v>
      </x:c>
      <x:c r="I114" s="2" t="n">
        <x:f>SUMIFS('Inventory'!$G$7:$G$783,'Inventory'!$N$7:$N$783,A114,'Inventory'!$A$7:$A$783,1)</x:f>
        <x:v>4</x:v>
      </x:c>
      <x:c r="J114" s="12" t="str">
        <x:v>Campaign format rate</x:v>
      </x:c>
      <x:c r="K114" s="17"/>
      <x:c r="L114" s="17" t="n">
        <x:f>$G$5</x:f>
        <x:v>25000</x:v>
      </x:c>
      <x:c r="M114" s="17"/>
      <x:c r="N114" s="19"/>
      <x:c r="O114" s="17" t="n">
        <x:f>IF(ISNUMBER(L114),G114*L114,IF(ISNUMBER(M114),M114,""))</x:f>
        <x:v>100000</x:v>
      </x:c>
      <x:c r="P114" s="17" t="n">
        <x:f>IF(ISNUMBER(K114),K114,IF(ISNUMBER(O114),O114,""))</x:f>
        <x:v>100000</x:v>
      </x:c>
      <x:c r="Q114" s="17" t="n">
        <x:f>IF(H114=0,0,IF(ISNUMBER(N114),N114,IF(N114="",IF(H114=F114,P114,""),"")))</x:f>
        <x:v>100000</x:v>
      </x:c>
      <x:c r="R114" s="17" t="n">
        <x:f>IF(ISNUMBER(Q114),ROUND(Q114*$C$4,2),"")</x:f>
        <x:v>18000</x:v>
      </x:c>
      <x:c r="S114" s="17" t="n">
        <x:f>IF(ISNUMBER(Q114),Q114+R114,"")</x:f>
        <x:v>118000</x:v>
      </x:c>
      <x:c r="T114" s="2" t="str">
        <x:f>IF(H114=0,"Not selected",IF(ISNUMBER(N114),"Quote entered",IF(N114&lt;&gt;"","Enter numeric quote",IF(H114=F114,IF(ISNUMBER(P114),"Complete unit","Price required"),"Partial package: price required"))))</x:f>
        <x:v>Complete unit</x:v>
      </x:c>
      <x:c r="U114" s="2" t="str">
        <x:v>TEN-34ACAFF17988; TEN-78346E1DD33E; TEN-BD06E0108A69; TEN-C044E2C928F5; TEN-CC236CA9F0D8; TEN-D218324446AC</x:v>
      </x:c>
      <x:c r="V114" s="2" t="str">
        <x:v>IT &amp; digital; Professional services; Engineering &amp; manufacturing; Unresolved</x:v>
      </x:c>
      <x:c r="W114" s="2" t="str">
        <x:v>Small-scale prospects; Large enterprise; Mixed business audience</x:v>
      </x:c>
      <x:c r="X114" s="17" t="n">
        <x:f>IF(AND(H114=F114,NOT(ISNUMBER(N114)),N114="",ISNUMBER(K114)),K114,0)</x:f>
        <x:v>0</x:v>
      </x:c>
      <x:c r="Y114" s="17" t="n">
        <x:f>IF(AND(H114=F114,NOT(ISNUMBER(N114)),N114="",K114="",ISNUMBER(O114)),O114,0)</x:f>
        <x:v>100000</x:v>
      </x:c>
      <x:c r="Z114" s="17" t="n">
        <x:f>IF(AND(H114&gt;0,ISNUMBER(N114)),N114,0)</x:f>
        <x:v>0</x:v>
      </x:c>
      <x:c r="AA114" s="2" t="n">
        <x:f>IF(AND(H114&gt;0,N114="",NOT(ISNUMBER(Q114))),1,0)</x:f>
        <x:v>0</x:v>
      </x:c>
      <x:c r="AB114" s="2" t="n">
        <x:f>IF(AND(H114&gt;0,N114&lt;&gt;"",NOT(ISNUMBER(N114))),1,0)</x:f>
        <x:v>0</x:v>
      </x:c>
    </x:row>
    <x:row r="115" ht="48" customHeight="1">
      <x:c r="A115" s="2" t="str">
        <x:v>MAIN-114</x:v>
      </x:c>
      <x:c r="B115" s="2" t="str">
        <x:v>Main</x:v>
      </x:c>
      <x:c r="C115" s="2" t="str">
        <x:v>Bengaluru</x:v>
      </x:c>
      <x:c r="D115" s="12" t="str">
        <x:v>Wework - Embassy One</x:v>
      </x:c>
      <x:c r="E115" s="12" t="str">
        <x:v>43 inch LED TV</x:v>
      </x:c>
      <x:c r="F115" s="2" t="n">
        <x:v>1</x:v>
      </x:c>
      <x:c r="G115" s="2" t="n">
        <x:v>2</x:v>
      </x:c>
      <x:c r="H115" s="2" t="n">
        <x:f>COUNTIFS('Inventory'!$N$7:$N$783,A115,'Inventory'!$A$7:$A$783,1)</x:f>
        <x:v>1</x:v>
      </x:c>
      <x:c r="I115" s="2" t="n">
        <x:f>SUMIFS('Inventory'!$G$7:$G$783,'Inventory'!$N$7:$N$783,A115,'Inventory'!$A$7:$A$783,1)</x:f>
        <x:v>2</x:v>
      </x:c>
      <x:c r="J115" s="12" t="str">
        <x:v>Campaign format rate</x:v>
      </x:c>
      <x:c r="K115" s="17"/>
      <x:c r="L115" s="17" t="n">
        <x:f>$G$5</x:f>
        <x:v>25000</x:v>
      </x:c>
      <x:c r="M115" s="17"/>
      <x:c r="N115" s="19"/>
      <x:c r="O115" s="17" t="n">
        <x:f>IF(ISNUMBER(L115),G115*L115,IF(ISNUMBER(M115),M115,""))</x:f>
        <x:v>50000</x:v>
      </x:c>
      <x:c r="P115" s="17" t="n">
        <x:f>IF(ISNUMBER(K115),K115,IF(ISNUMBER(O115),O115,""))</x:f>
        <x:v>50000</x:v>
      </x:c>
      <x:c r="Q115" s="17" t="n">
        <x:f>IF(H115=0,0,IF(ISNUMBER(N115),N115,IF(N115="",IF(H115=F115,P115,""),"")))</x:f>
        <x:v>50000</x:v>
      </x:c>
      <x:c r="R115" s="17" t="n">
        <x:f>IF(ISNUMBER(Q115),ROUND(Q115*$C$4,2),"")</x:f>
        <x:v>9000</x:v>
      </x:c>
      <x:c r="S115" s="17" t="n">
        <x:f>IF(ISNUMBER(Q115),Q115+R115,"")</x:f>
        <x:v>59000</x:v>
      </x:c>
      <x:c r="T115" s="2" t="str">
        <x:f>IF(H115=0,"Not selected",IF(ISNUMBER(N115),"Quote entered",IF(N115&lt;&gt;"","Enter numeric quote",IF(H115=F115,IF(ISNUMBER(P115),"Complete unit","Price required"),"Partial package: price required"))))</x:f>
        <x:v>Complete unit</x:v>
      </x:c>
      <x:c r="U115" s="2" t="str">
        <x:v>TEN-4B0ECD1B387D; TEN-4F3101461825; TEN-7989E7FF0546; TEN-873037B174A4; TEN-C1340F89DF88; TEN-CB23CDD2295E</x:v>
      </x:c>
      <x:c r="V115" s="2" t="str">
        <x:v>IT &amp; digital; Engineering &amp; manufacturing; Healthcare &amp; life sciences; Trade, consumer &amp; logistics; Government &amp; nonprofit</x:v>
      </x:c>
      <x:c r="W115" s="2" t="str">
        <x:v>Institutional; Mixed business audience</x:v>
      </x:c>
      <x:c r="X115" s="17" t="n">
        <x:f>IF(AND(H115=F115,NOT(ISNUMBER(N115)),N115="",ISNUMBER(K115)),K115,0)</x:f>
        <x:v>0</x:v>
      </x:c>
      <x:c r="Y115" s="17" t="n">
        <x:f>IF(AND(H115=F115,NOT(ISNUMBER(N115)),N115="",K115="",ISNUMBER(O115)),O115,0)</x:f>
        <x:v>50000</x:v>
      </x:c>
      <x:c r="Z115" s="17" t="n">
        <x:f>IF(AND(H115&gt;0,ISNUMBER(N115)),N115,0)</x:f>
        <x:v>0</x:v>
      </x:c>
      <x:c r="AA115" s="2" t="n">
        <x:f>IF(AND(H115&gt;0,N115="",NOT(ISNUMBER(Q115))),1,0)</x:f>
        <x:v>0</x:v>
      </x:c>
      <x:c r="AB115" s="2" t="n">
        <x:f>IF(AND(H115&gt;0,N115&lt;&gt;"",NOT(ISNUMBER(N115))),1,0)</x:f>
        <x:v>0</x:v>
      </x:c>
    </x:row>
    <x:row r="116" ht="48" customHeight="1">
      <x:c r="A116" s="2" t="str">
        <x:v>MAIN-115</x:v>
      </x:c>
      <x:c r="B116" s="2" t="str">
        <x:v>Main</x:v>
      </x:c>
      <x:c r="C116" s="2" t="str">
        <x:v>Bengaluru</x:v>
      </x:c>
      <x:c r="D116" s="12" t="str">
        <x:v>Wework - Embassy Quest</x:v>
      </x:c>
      <x:c r="E116" s="12" t="str">
        <x:v>43 inch LED TV</x:v>
      </x:c>
      <x:c r="F116" s="2" t="n">
        <x:v>1</x:v>
      </x:c>
      <x:c r="G116" s="2" t="n">
        <x:v>4</x:v>
      </x:c>
      <x:c r="H116" s="2" t="n">
        <x:f>COUNTIFS('Inventory'!$N$7:$N$783,A116,'Inventory'!$A$7:$A$783,1)</x:f>
        <x:v>1</x:v>
      </x:c>
      <x:c r="I116" s="2" t="n">
        <x:f>SUMIFS('Inventory'!$G$7:$G$783,'Inventory'!$N$7:$N$783,A116,'Inventory'!$A$7:$A$783,1)</x:f>
        <x:v>4</x:v>
      </x:c>
      <x:c r="J116" s="12" t="str">
        <x:v>Campaign format rate</x:v>
      </x:c>
      <x:c r="K116" s="17"/>
      <x:c r="L116" s="17" t="n">
        <x:f>$G$5</x:f>
        <x:v>25000</x:v>
      </x:c>
      <x:c r="M116" s="17"/>
      <x:c r="N116" s="19"/>
      <x:c r="O116" s="17" t="n">
        <x:f>IF(ISNUMBER(L116),G116*L116,IF(ISNUMBER(M116),M116,""))</x:f>
        <x:v>100000</x:v>
      </x:c>
      <x:c r="P116" s="17" t="n">
        <x:f>IF(ISNUMBER(K116),K116,IF(ISNUMBER(O116),O116,""))</x:f>
        <x:v>100000</x:v>
      </x:c>
      <x:c r="Q116" s="17" t="n">
        <x:f>IF(H116=0,0,IF(ISNUMBER(N116),N116,IF(N116="",IF(H116=F116,P116,""),"")))</x:f>
        <x:v>100000</x:v>
      </x:c>
      <x:c r="R116" s="17" t="n">
        <x:f>IF(ISNUMBER(Q116),ROUND(Q116*$C$4,2),"")</x:f>
        <x:v>18000</x:v>
      </x:c>
      <x:c r="S116" s="17" t="n">
        <x:f>IF(ISNUMBER(Q116),Q116+R116,"")</x:f>
        <x:v>118000</x:v>
      </x:c>
      <x:c r="T116" s="2" t="str">
        <x:f>IF(H116=0,"Not selected",IF(ISNUMBER(N116),"Quote entered",IF(N116&lt;&gt;"","Enter numeric quote",IF(H116=F116,IF(ISNUMBER(P116),"Complete unit","Price required"),"Partial package: price required"))))</x:f>
        <x:v>Complete unit</x:v>
      </x:c>
      <x:c r="U116" s="2" t="str">
        <x:v>TEN-0343379BA4A0; TEN-1C20B1A4BABD; TEN-306C8F629100; TEN-C0EA8E7C1508</x:v>
      </x:c>
      <x:c r="V116" s="2" t="str">
        <x:v>Professional services; Education; Trade, consumer &amp; logistics; Unresolved</x:v>
      </x:c>
      <x:c r="W116" s="2" t="str">
        <x:v>Small-scale prospects; Large enterprise; Mixed business audience</x:v>
      </x:c>
      <x:c r="X116" s="17" t="n">
        <x:f>IF(AND(H116=F116,NOT(ISNUMBER(N116)),N116="",ISNUMBER(K116)),K116,0)</x:f>
        <x:v>0</x:v>
      </x:c>
      <x:c r="Y116" s="17" t="n">
        <x:f>IF(AND(H116=F116,NOT(ISNUMBER(N116)),N116="",K116="",ISNUMBER(O116)),O116,0)</x:f>
        <x:v>100000</x:v>
      </x:c>
      <x:c r="Z116" s="17" t="n">
        <x:f>IF(AND(H116&gt;0,ISNUMBER(N116)),N116,0)</x:f>
        <x:v>0</x:v>
      </x:c>
      <x:c r="AA116" s="2" t="n">
        <x:f>IF(AND(H116&gt;0,N116="",NOT(ISNUMBER(Q116))),1,0)</x:f>
        <x:v>0</x:v>
      </x:c>
      <x:c r="AB116" s="2" t="n">
        <x:f>IF(AND(H116&gt;0,N116&lt;&gt;"",NOT(ISNUMBER(N116))),1,0)</x:f>
        <x:v>0</x:v>
      </x:c>
    </x:row>
    <x:row r="117" ht="48" customHeight="1">
      <x:c r="A117" s="2" t="str">
        <x:v>MAIN-116</x:v>
      </x:c>
      <x:c r="B117" s="2" t="str">
        <x:v>Main</x:v>
      </x:c>
      <x:c r="C117" s="2" t="str">
        <x:v>Bengaluru</x:v>
      </x:c>
      <x:c r="D117" s="12" t="str">
        <x:v>WeWork - ETV</x:v>
      </x:c>
      <x:c r="E117" s="12" t="str">
        <x:v>43 inch LED TV</x:v>
      </x:c>
      <x:c r="F117" s="2" t="n">
        <x:v>1</x:v>
      </x:c>
      <x:c r="G117" s="2" t="n">
        <x:v>7</x:v>
      </x:c>
      <x:c r="H117" s="2" t="n">
        <x:f>COUNTIFS('Inventory'!$N$7:$N$783,A117,'Inventory'!$A$7:$A$783,1)</x:f>
        <x:v>1</x:v>
      </x:c>
      <x:c r="I117" s="2" t="n">
        <x:f>SUMIFS('Inventory'!$G$7:$G$783,'Inventory'!$N$7:$N$783,A117,'Inventory'!$A$7:$A$783,1)</x:f>
        <x:v>7</x:v>
      </x:c>
      <x:c r="J117" s="12" t="str">
        <x:v>Campaign format rate</x:v>
      </x:c>
      <x:c r="K117" s="17"/>
      <x:c r="L117" s="17" t="n">
        <x:f>$G$5</x:f>
        <x:v>25000</x:v>
      </x:c>
      <x:c r="M117" s="17"/>
      <x:c r="N117" s="19"/>
      <x:c r="O117" s="17" t="n">
        <x:f>IF(ISNUMBER(L117),G117*L117,IF(ISNUMBER(M117),M117,""))</x:f>
        <x:v>175000</x:v>
      </x:c>
      <x:c r="P117" s="17" t="n">
        <x:f>IF(ISNUMBER(K117),K117,IF(ISNUMBER(O117),O117,""))</x:f>
        <x:v>175000</x:v>
      </x:c>
      <x:c r="Q117" s="17" t="n">
        <x:f>IF(H117=0,0,IF(ISNUMBER(N117),N117,IF(N117="",IF(H117=F117,P117,""),"")))</x:f>
        <x:v>175000</x:v>
      </x:c>
      <x:c r="R117" s="17" t="n">
        <x:f>IF(ISNUMBER(Q117),ROUND(Q117*$C$4,2),"")</x:f>
        <x:v>31500</x:v>
      </x:c>
      <x:c r="S117" s="17" t="n">
        <x:f>IF(ISNUMBER(Q117),Q117+R117,"")</x:f>
        <x:v>206500</x:v>
      </x:c>
      <x:c r="T117" s="2" t="str">
        <x:f>IF(H117=0,"Not selected",IF(ISNUMBER(N117),"Quote entered",IF(N117&lt;&gt;"","Enter numeric quote",IF(H117=F117,IF(ISNUMBER(P117),"Complete unit","Price required"),"Partial package: price required"))))</x:f>
        <x:v>Complete unit</x:v>
      </x:c>
      <x:c r="U117" s="2" t="str">
        <x:v>TEN-34C2FF8C28F0; TEN-55E4D63DB5A3; TEN-6A068657AA54; TEN-9E3EBC1B58D6; TEN-A4DF6C46B83A; TEN-B3AD9B3F9232; TEN-C911002E4318; TEN-CE4BF0FAF396; TEN-ED1ACD68C76E; TEN-F4768D7D29EC; TEN-F6C7E6892C6F</x:v>
      </x:c>
      <x:c r="V117" s="2" t="str">
        <x:v>IT &amp; digital; Professional services; Engineering &amp; manufacturing; Trade, consumer &amp; logistics; Unresolved</x:v>
      </x:c>
      <x:c r="W117" s="2" t="str">
        <x:v>Small-scale prospects; Medium-scale prospects; Large enterprise; Mixed business audience</x:v>
      </x:c>
      <x:c r="X117" s="17" t="n">
        <x:f>IF(AND(H117=F117,NOT(ISNUMBER(N117)),N117="",ISNUMBER(K117)),K117,0)</x:f>
        <x:v>0</x:v>
      </x:c>
      <x:c r="Y117" s="17" t="n">
        <x:f>IF(AND(H117=F117,NOT(ISNUMBER(N117)),N117="",K117="",ISNUMBER(O117)),O117,0)</x:f>
        <x:v>175000</x:v>
      </x:c>
      <x:c r="Z117" s="17" t="n">
        <x:f>IF(AND(H117&gt;0,ISNUMBER(N117)),N117,0)</x:f>
        <x:v>0</x:v>
      </x:c>
      <x:c r="AA117" s="2" t="n">
        <x:f>IF(AND(H117&gt;0,N117="",NOT(ISNUMBER(Q117))),1,0)</x:f>
        <x:v>0</x:v>
      </x:c>
      <x:c r="AB117" s="2" t="n">
        <x:f>IF(AND(H117&gt;0,N117&lt;&gt;"",NOT(ISNUMBER(N117))),1,0)</x:f>
        <x:v>0</x:v>
      </x:c>
    </x:row>
    <x:row r="118" ht="48" customHeight="1">
      <x:c r="A118" s="2" t="str">
        <x:v>MAIN-117</x:v>
      </x:c>
      <x:c r="B118" s="2" t="str">
        <x:v>Main</x:v>
      </x:c>
      <x:c r="C118" s="2" t="str">
        <x:v>Bengaluru</x:v>
      </x:c>
      <x:c r="D118" s="12" t="str">
        <x:v>WeWork - Jupiter</x:v>
      </x:c>
      <x:c r="E118" s="12" t="str">
        <x:v>43 inch LED TV</x:v>
      </x:c>
      <x:c r="F118" s="2" t="n">
        <x:v>1</x:v>
      </x:c>
      <x:c r="G118" s="2" t="n">
        <x:v>2</x:v>
      </x:c>
      <x:c r="H118" s="2" t="n">
        <x:f>COUNTIFS('Inventory'!$N$7:$N$783,A118,'Inventory'!$A$7:$A$783,1)</x:f>
        <x:v>1</x:v>
      </x:c>
      <x:c r="I118" s="2" t="n">
        <x:f>SUMIFS('Inventory'!$G$7:$G$783,'Inventory'!$N$7:$N$783,A118,'Inventory'!$A$7:$A$783,1)</x:f>
        <x:v>2</x:v>
      </x:c>
      <x:c r="J118" s="12" t="str">
        <x:v>Campaign format rate</x:v>
      </x:c>
      <x:c r="K118" s="17"/>
      <x:c r="L118" s="17" t="n">
        <x:f>$G$5</x:f>
        <x:v>25000</x:v>
      </x:c>
      <x:c r="M118" s="17"/>
      <x:c r="N118" s="19"/>
      <x:c r="O118" s="17" t="n">
        <x:f>IF(ISNUMBER(L118),G118*L118,IF(ISNUMBER(M118),M118,""))</x:f>
        <x:v>50000</x:v>
      </x:c>
      <x:c r="P118" s="17" t="n">
        <x:f>IF(ISNUMBER(K118),K118,IF(ISNUMBER(O118),O118,""))</x:f>
        <x:v>50000</x:v>
      </x:c>
      <x:c r="Q118" s="17" t="n">
        <x:f>IF(H118=0,0,IF(ISNUMBER(N118),N118,IF(N118="",IF(H118=F118,P118,""),"")))</x:f>
        <x:v>50000</x:v>
      </x:c>
      <x:c r="R118" s="17" t="n">
        <x:f>IF(ISNUMBER(Q118),ROUND(Q118*$C$4,2),"")</x:f>
        <x:v>9000</x:v>
      </x:c>
      <x:c r="S118" s="17" t="n">
        <x:f>IF(ISNUMBER(Q118),Q118+R118,"")</x:f>
        <x:v>59000</x:v>
      </x:c>
      <x:c r="T118" s="2" t="str">
        <x:f>IF(H118=0,"Not selected",IF(ISNUMBER(N118),"Quote entered",IF(N118&lt;&gt;"","Enter numeric quote",IF(H118=F118,IF(ISNUMBER(P118),"Complete unit","Price required"),"Partial package: price required"))))</x:f>
        <x:v>Complete unit</x:v>
      </x:c>
      <x:c r="U118" s="2" t="str">
        <x:v>TEN-0AA7D6A50FF6</x:v>
      </x:c>
      <x:c r="V118" s="2" t="str">
        <x:v>Professional services</x:v>
      </x:c>
      <x:c r="W118" s="2" t="str">
        <x:v>Mixed business audience</x:v>
      </x:c>
      <x:c r="X118" s="17" t="n">
        <x:f>IF(AND(H118=F118,NOT(ISNUMBER(N118)),N118="",ISNUMBER(K118)),K118,0)</x:f>
        <x:v>0</x:v>
      </x:c>
      <x:c r="Y118" s="17" t="n">
        <x:f>IF(AND(H118=F118,NOT(ISNUMBER(N118)),N118="",K118="",ISNUMBER(O118)),O118,0)</x:f>
        <x:v>50000</x:v>
      </x:c>
      <x:c r="Z118" s="17" t="n">
        <x:f>IF(AND(H118&gt;0,ISNUMBER(N118)),N118,0)</x:f>
        <x:v>0</x:v>
      </x:c>
      <x:c r="AA118" s="2" t="n">
        <x:f>IF(AND(H118&gt;0,N118="",NOT(ISNUMBER(Q118))),1,0)</x:f>
        <x:v>0</x:v>
      </x:c>
      <x:c r="AB118" s="2" t="n">
        <x:f>IF(AND(H118&gt;0,N118&lt;&gt;"",NOT(ISNUMBER(N118))),1,0)</x:f>
        <x:v>0</x:v>
      </x:c>
    </x:row>
    <x:row r="119" ht="48" customHeight="1">
      <x:c r="A119" s="2" t="str">
        <x:v>MAIN-118</x:v>
      </x:c>
      <x:c r="B119" s="2" t="str">
        <x:v>Main</x:v>
      </x:c>
      <x:c r="C119" s="2" t="str">
        <x:v>Bengaluru</x:v>
      </x:c>
      <x:c r="D119" s="12" t="str">
        <x:v>WeWork - Manyata Mahogany</x:v>
      </x:c>
      <x:c r="E119" s="12" t="str">
        <x:v>43 inch LED TV</x:v>
      </x:c>
      <x:c r="F119" s="2" t="n">
        <x:v>1</x:v>
      </x:c>
      <x:c r="G119" s="2" t="n">
        <x:v>2</x:v>
      </x:c>
      <x:c r="H119" s="2" t="n">
        <x:f>COUNTIFS('Inventory'!$N$7:$N$783,A119,'Inventory'!$A$7:$A$783,1)</x:f>
        <x:v>1</x:v>
      </x:c>
      <x:c r="I119" s="2" t="n">
        <x:f>SUMIFS('Inventory'!$G$7:$G$783,'Inventory'!$N$7:$N$783,A119,'Inventory'!$A$7:$A$783,1)</x:f>
        <x:v>2</x:v>
      </x:c>
      <x:c r="J119" s="12" t="str">
        <x:v>Campaign format rate</x:v>
      </x:c>
      <x:c r="K119" s="17"/>
      <x:c r="L119" s="17" t="n">
        <x:f>$G$5</x:f>
        <x:v>25000</x:v>
      </x:c>
      <x:c r="M119" s="17"/>
      <x:c r="N119" s="19"/>
      <x:c r="O119" s="17" t="n">
        <x:f>IF(ISNUMBER(L119),G119*L119,IF(ISNUMBER(M119),M119,""))</x:f>
        <x:v>50000</x:v>
      </x:c>
      <x:c r="P119" s="17" t="n">
        <x:f>IF(ISNUMBER(K119),K119,IF(ISNUMBER(O119),O119,""))</x:f>
        <x:v>50000</x:v>
      </x:c>
      <x:c r="Q119" s="17" t="n">
        <x:f>IF(H119=0,0,IF(ISNUMBER(N119),N119,IF(N119="",IF(H119=F119,P119,""),"")))</x:f>
        <x:v>50000</x:v>
      </x:c>
      <x:c r="R119" s="17" t="n">
        <x:f>IF(ISNUMBER(Q119),ROUND(Q119*$C$4,2),"")</x:f>
        <x:v>9000</x:v>
      </x:c>
      <x:c r="S119" s="17" t="n">
        <x:f>IF(ISNUMBER(Q119),Q119+R119,"")</x:f>
        <x:v>59000</x:v>
      </x:c>
      <x:c r="T119" s="2" t="str">
        <x:f>IF(H119=0,"Not selected",IF(ISNUMBER(N119),"Quote entered",IF(N119&lt;&gt;"","Enter numeric quote",IF(H119=F119,IF(ISNUMBER(P119),"Complete unit","Price required"),"Partial package: price required"))))</x:f>
        <x:v>Complete unit</x:v>
      </x:c>
      <x:c r="U119" s="2" t="str">
        <x:v>TEN-7488A822E29F; TEN-758EF4462DE3; TEN-B6572C5BA0FF</x:v>
      </x:c>
      <x:c r="V119" s="2" t="str">
        <x:v>IT &amp; digital; Professional services; Unresolved</x:v>
      </x:c>
      <x:c r="W119" s="2" t="str">
        <x:v>Small-scale prospects; Mixed business audience</x:v>
      </x:c>
      <x:c r="X119" s="17" t="n">
        <x:f>IF(AND(H119=F119,NOT(ISNUMBER(N119)),N119="",ISNUMBER(K119)),K119,0)</x:f>
        <x:v>0</x:v>
      </x:c>
      <x:c r="Y119" s="17" t="n">
        <x:f>IF(AND(H119=F119,NOT(ISNUMBER(N119)),N119="",K119="",ISNUMBER(O119)),O119,0)</x:f>
        <x:v>50000</x:v>
      </x:c>
      <x:c r="Z119" s="17" t="n">
        <x:f>IF(AND(H119&gt;0,ISNUMBER(N119)),N119,0)</x:f>
        <x:v>0</x:v>
      </x:c>
      <x:c r="AA119" s="2" t="n">
        <x:f>IF(AND(H119&gt;0,N119="",NOT(ISNUMBER(Q119))),1,0)</x:f>
        <x:v>0</x:v>
      </x:c>
      <x:c r="AB119" s="2" t="n">
        <x:f>IF(AND(H119&gt;0,N119&lt;&gt;"",NOT(ISNUMBER(N119))),1,0)</x:f>
        <x:v>0</x:v>
      </x:c>
    </x:row>
    <x:row r="120" ht="48" customHeight="1">
      <x:c r="A120" s="2" t="str">
        <x:v>MAIN-119</x:v>
      </x:c>
      <x:c r="B120" s="2" t="str">
        <x:v>Main</x:v>
      </x:c>
      <x:c r="C120" s="2" t="str">
        <x:v>Bengaluru</x:v>
      </x:c>
      <x:c r="D120" s="12" t="str">
        <x:v>WeWork - Prestige Atlanta</x:v>
      </x:c>
      <x:c r="E120" s="12" t="str">
        <x:v>43 inch LED TV</x:v>
      </x:c>
      <x:c r="F120" s="2" t="n">
        <x:v>1</x:v>
      </x:c>
      <x:c r="G120" s="2" t="n">
        <x:v>5</x:v>
      </x:c>
      <x:c r="H120" s="2" t="n">
        <x:f>COUNTIFS('Inventory'!$N$7:$N$783,A120,'Inventory'!$A$7:$A$783,1)</x:f>
        <x:v>1</x:v>
      </x:c>
      <x:c r="I120" s="2" t="n">
        <x:f>SUMIFS('Inventory'!$G$7:$G$783,'Inventory'!$N$7:$N$783,A120,'Inventory'!$A$7:$A$783,1)</x:f>
        <x:v>5</x:v>
      </x:c>
      <x:c r="J120" s="12" t="str">
        <x:v>Campaign format rate</x:v>
      </x:c>
      <x:c r="K120" s="17"/>
      <x:c r="L120" s="17" t="n">
        <x:f>$G$5</x:f>
        <x:v>25000</x:v>
      </x:c>
      <x:c r="M120" s="17"/>
      <x:c r="N120" s="19"/>
      <x:c r="O120" s="17" t="n">
        <x:f>IF(ISNUMBER(L120),G120*L120,IF(ISNUMBER(M120),M120,""))</x:f>
        <x:v>125000</x:v>
      </x:c>
      <x:c r="P120" s="17" t="n">
        <x:f>IF(ISNUMBER(K120),K120,IF(ISNUMBER(O120),O120,""))</x:f>
        <x:v>125000</x:v>
      </x:c>
      <x:c r="Q120" s="17" t="n">
        <x:f>IF(H120=0,0,IF(ISNUMBER(N120),N120,IF(N120="",IF(H120=F120,P120,""),"")))</x:f>
        <x:v>125000</x:v>
      </x:c>
      <x:c r="R120" s="17" t="n">
        <x:f>IF(ISNUMBER(Q120),ROUND(Q120*$C$4,2),"")</x:f>
        <x:v>22500</x:v>
      </x:c>
      <x:c r="S120" s="17" t="n">
        <x:f>IF(ISNUMBER(Q120),Q120+R120,"")</x:f>
        <x:v>147500</x:v>
      </x:c>
      <x:c r="T120" s="2" t="str">
        <x:f>IF(H120=0,"Not selected",IF(ISNUMBER(N120),"Quote entered",IF(N120&lt;&gt;"","Enter numeric quote",IF(H120=F120,IF(ISNUMBER(P120),"Complete unit","Price required"),"Partial package: price required"))))</x:f>
        <x:v>Complete unit</x:v>
      </x:c>
      <x:c r="U120" s="2" t="str">
        <x:v>TEN-1E664D2C3EAB; TEN-4E3ADD43CDF9; TEN-57F46E8C661D; TEN-A1609153A053; TEN-BC728F0E1BE2; TEN-C034EAA2E032; TEN-C257FB17CEAF; TEN-FD35A90C9F34</x:v>
      </x:c>
      <x:c r="V120" s="2" t="str">
        <x:v>IT &amp; digital; Professional services; Education; Unresolved</x:v>
      </x:c>
      <x:c r="W120" s="2" t="str">
        <x:v>Small-scale prospects; Mixed business audience</x:v>
      </x:c>
      <x:c r="X120" s="17" t="n">
        <x:f>IF(AND(H120=F120,NOT(ISNUMBER(N120)),N120="",ISNUMBER(K120)),K120,0)</x:f>
        <x:v>0</x:v>
      </x:c>
      <x:c r="Y120" s="17" t="n">
        <x:f>IF(AND(H120=F120,NOT(ISNUMBER(N120)),N120="",K120="",ISNUMBER(O120)),O120,0)</x:f>
        <x:v>125000</x:v>
      </x:c>
      <x:c r="Z120" s="17" t="n">
        <x:f>IF(AND(H120&gt;0,ISNUMBER(N120)),N120,0)</x:f>
        <x:v>0</x:v>
      </x:c>
      <x:c r="AA120" s="2" t="n">
        <x:f>IF(AND(H120&gt;0,N120="",NOT(ISNUMBER(Q120))),1,0)</x:f>
        <x:v>0</x:v>
      </x:c>
      <x:c r="AB120" s="2" t="n">
        <x:f>IF(AND(H120&gt;0,N120&lt;&gt;"",NOT(ISNUMBER(N120))),1,0)</x:f>
        <x:v>0</x:v>
      </x:c>
    </x:row>
    <x:row r="121" ht="48" customHeight="1">
      <x:c r="A121" s="2" t="str">
        <x:v>MAIN-120</x:v>
      </x:c>
      <x:c r="B121" s="2" t="str">
        <x:v>Main</x:v>
      </x:c>
      <x:c r="C121" s="2" t="str">
        <x:v>Bengaluru</x:v>
      </x:c>
      <x:c r="D121" s="12" t="str">
        <x:v>WeWork - Prestige Central</x:v>
      </x:c>
      <x:c r="E121" s="12" t="str">
        <x:v>43 inch LED TV</x:v>
      </x:c>
      <x:c r="F121" s="2" t="n">
        <x:v>1</x:v>
      </x:c>
      <x:c r="G121" s="2" t="n">
        <x:v>8</x:v>
      </x:c>
      <x:c r="H121" s="2" t="n">
        <x:f>COUNTIFS('Inventory'!$N$7:$N$783,A121,'Inventory'!$A$7:$A$783,1)</x:f>
        <x:v>1</x:v>
      </x:c>
      <x:c r="I121" s="2" t="n">
        <x:f>SUMIFS('Inventory'!$G$7:$G$783,'Inventory'!$N$7:$N$783,A121,'Inventory'!$A$7:$A$783,1)</x:f>
        <x:v>8</x:v>
      </x:c>
      <x:c r="J121" s="12" t="str">
        <x:v>Campaign format rate</x:v>
      </x:c>
      <x:c r="K121" s="17"/>
      <x:c r="L121" s="17" t="n">
        <x:f>$G$5</x:f>
        <x:v>25000</x:v>
      </x:c>
      <x:c r="M121" s="17"/>
      <x:c r="N121" s="19"/>
      <x:c r="O121" s="17" t="n">
        <x:f>IF(ISNUMBER(L121),G121*L121,IF(ISNUMBER(M121),M121,""))</x:f>
        <x:v>200000</x:v>
      </x:c>
      <x:c r="P121" s="17" t="n">
        <x:f>IF(ISNUMBER(K121),K121,IF(ISNUMBER(O121),O121,""))</x:f>
        <x:v>200000</x:v>
      </x:c>
      <x:c r="Q121" s="17" t="n">
        <x:f>IF(H121=0,0,IF(ISNUMBER(N121),N121,IF(N121="",IF(H121=F121,P121,""),"")))</x:f>
        <x:v>200000</x:v>
      </x:c>
      <x:c r="R121" s="17" t="n">
        <x:f>IF(ISNUMBER(Q121),ROUND(Q121*$C$4,2),"")</x:f>
        <x:v>36000</x:v>
      </x:c>
      <x:c r="S121" s="17" t="n">
        <x:f>IF(ISNUMBER(Q121),Q121+R121,"")</x:f>
        <x:v>236000</x:v>
      </x:c>
      <x:c r="T121" s="2" t="str">
        <x:f>IF(H121=0,"Not selected",IF(ISNUMBER(N121),"Quote entered",IF(N121&lt;&gt;"","Enter numeric quote",IF(H121=F121,IF(ISNUMBER(P121),"Complete unit","Price required"),"Partial package: price required"))))</x:f>
        <x:v>Complete unit</x:v>
      </x:c>
      <x:c r="U121" s="2" t="str">
        <x:v>TEN-5B81D52D4310</x:v>
      </x:c>
      <x:c r="V121" s="2" t="str">
        <x:v>Workspace &amp; property operations</x:v>
      </x:c>
      <x:c r="W121" s="2" t="str">
        <x:v>Mixed business audience</x:v>
      </x:c>
      <x:c r="X121" s="17" t="n">
        <x:f>IF(AND(H121=F121,NOT(ISNUMBER(N121)),N121="",ISNUMBER(K121)),K121,0)</x:f>
        <x:v>0</x:v>
      </x:c>
      <x:c r="Y121" s="17" t="n">
        <x:f>IF(AND(H121=F121,NOT(ISNUMBER(N121)),N121="",K121="",ISNUMBER(O121)),O121,0)</x:f>
        <x:v>200000</x:v>
      </x:c>
      <x:c r="Z121" s="17" t="n">
        <x:f>IF(AND(H121&gt;0,ISNUMBER(N121)),N121,0)</x:f>
        <x:v>0</x:v>
      </x:c>
      <x:c r="AA121" s="2" t="n">
        <x:f>IF(AND(H121&gt;0,N121="",NOT(ISNUMBER(Q121))),1,0)</x:f>
        <x:v>0</x:v>
      </x:c>
      <x:c r="AB121" s="2" t="n">
        <x:f>IF(AND(H121&gt;0,N121&lt;&gt;"",NOT(ISNUMBER(N121))),1,0)</x:f>
        <x:v>0</x:v>
      </x:c>
    </x:row>
    <x:row r="122" ht="48" customHeight="1">
      <x:c r="A122" s="2" t="str">
        <x:v>MAIN-121</x:v>
      </x:c>
      <x:c r="B122" s="2" t="str">
        <x:v>Main</x:v>
      </x:c>
      <x:c r="C122" s="2" t="str">
        <x:v>Bengaluru</x:v>
      </x:c>
      <x:c r="D122" s="12" t="str">
        <x:v>Wework - Prestige Cube</x:v>
      </x:c>
      <x:c r="E122" s="12" t="str">
        <x:v>43 inch LED TV</x:v>
      </x:c>
      <x:c r="F122" s="2" t="n">
        <x:v>1</x:v>
      </x:c>
      <x:c r="G122" s="2" t="n">
        <x:v>4</x:v>
      </x:c>
      <x:c r="H122" s="2" t="n">
        <x:f>COUNTIFS('Inventory'!$N$7:$N$783,A122,'Inventory'!$A$7:$A$783,1)</x:f>
        <x:v>1</x:v>
      </x:c>
      <x:c r="I122" s="2" t="n">
        <x:f>SUMIFS('Inventory'!$G$7:$G$783,'Inventory'!$N$7:$N$783,A122,'Inventory'!$A$7:$A$783,1)</x:f>
        <x:v>4</x:v>
      </x:c>
      <x:c r="J122" s="12" t="str">
        <x:v>Campaign format rate</x:v>
      </x:c>
      <x:c r="K122" s="17"/>
      <x:c r="L122" s="17" t="n">
        <x:f>$G$5</x:f>
        <x:v>25000</x:v>
      </x:c>
      <x:c r="M122" s="17"/>
      <x:c r="N122" s="19"/>
      <x:c r="O122" s="17" t="n">
        <x:f>IF(ISNUMBER(L122),G122*L122,IF(ISNUMBER(M122),M122,""))</x:f>
        <x:v>100000</x:v>
      </x:c>
      <x:c r="P122" s="17" t="n">
        <x:f>IF(ISNUMBER(K122),K122,IF(ISNUMBER(O122),O122,""))</x:f>
        <x:v>100000</x:v>
      </x:c>
      <x:c r="Q122" s="17" t="n">
        <x:f>IF(H122=0,0,IF(ISNUMBER(N122),N122,IF(N122="",IF(H122=F122,P122,""),"")))</x:f>
        <x:v>100000</x:v>
      </x:c>
      <x:c r="R122" s="17" t="n">
        <x:f>IF(ISNUMBER(Q122),ROUND(Q122*$C$4,2),"")</x:f>
        <x:v>18000</x:v>
      </x:c>
      <x:c r="S122" s="17" t="n">
        <x:f>IF(ISNUMBER(Q122),Q122+R122,"")</x:f>
        <x:v>118000</x:v>
      </x:c>
      <x:c r="T122" s="2" t="str">
        <x:f>IF(H122=0,"Not selected",IF(ISNUMBER(N122),"Quote entered",IF(N122&lt;&gt;"","Enter numeric quote",IF(H122=F122,IF(ISNUMBER(P122),"Complete unit","Price required"),"Partial package: price required"))))</x:f>
        <x:v>Complete unit</x:v>
      </x:c>
      <x:c r="U122" s="2" t="str">
        <x:v>TEN-B2049BFB027D; TEN-B46369E6981D; TEN-C9C6B572276E; TEN-E381AEDD9876</x:v>
      </x:c>
      <x:c r="V122" s="2" t="str">
        <x:v>IT &amp; digital; Professional services; Education</x:v>
      </x:c>
      <x:c r="W122" s="2" t="str">
        <x:v>Small-scale prospects</x:v>
      </x:c>
      <x:c r="X122" s="17" t="n">
        <x:f>IF(AND(H122=F122,NOT(ISNUMBER(N122)),N122="",ISNUMBER(K122)),K122,0)</x:f>
        <x:v>0</x:v>
      </x:c>
      <x:c r="Y122" s="17" t="n">
        <x:f>IF(AND(H122=F122,NOT(ISNUMBER(N122)),N122="",K122="",ISNUMBER(O122)),O122,0)</x:f>
        <x:v>100000</x:v>
      </x:c>
      <x:c r="Z122" s="17" t="n">
        <x:f>IF(AND(H122&gt;0,ISNUMBER(N122)),N122,0)</x:f>
        <x:v>0</x:v>
      </x:c>
      <x:c r="AA122" s="2" t="n">
        <x:f>IF(AND(H122&gt;0,N122="",NOT(ISNUMBER(Q122))),1,0)</x:f>
        <x:v>0</x:v>
      </x:c>
      <x:c r="AB122" s="2" t="n">
        <x:f>IF(AND(H122&gt;0,N122&lt;&gt;"",NOT(ISNUMBER(N122))),1,0)</x:f>
        <x:v>0</x:v>
      </x:c>
    </x:row>
    <x:row r="123" ht="48" customHeight="1">
      <x:c r="A123" s="2" t="str">
        <x:v>MAIN-122</x:v>
      </x:c>
      <x:c r="B123" s="2" t="str">
        <x:v>Main</x:v>
      </x:c>
      <x:c r="C123" s="2" t="str">
        <x:v>Bengaluru</x:v>
      </x:c>
      <x:c r="D123" s="12" t="str">
        <x:v>Wework - Princeville</x:v>
      </x:c>
      <x:c r="E123" s="12" t="str">
        <x:v>43 inch LED TV</x:v>
      </x:c>
      <x:c r="F123" s="2" t="n">
        <x:v>1</x:v>
      </x:c>
      <x:c r="G123" s="2" t="n">
        <x:v>3</x:v>
      </x:c>
      <x:c r="H123" s="2" t="n">
        <x:f>COUNTIFS('Inventory'!$N$7:$N$783,A123,'Inventory'!$A$7:$A$783,1)</x:f>
        <x:v>1</x:v>
      </x:c>
      <x:c r="I123" s="2" t="n">
        <x:f>SUMIFS('Inventory'!$G$7:$G$783,'Inventory'!$N$7:$N$783,A123,'Inventory'!$A$7:$A$783,1)</x:f>
        <x:v>3</x:v>
      </x:c>
      <x:c r="J123" s="12" t="str">
        <x:v>Campaign format rate</x:v>
      </x:c>
      <x:c r="K123" s="17"/>
      <x:c r="L123" s="17" t="n">
        <x:f>$G$5</x:f>
        <x:v>25000</x:v>
      </x:c>
      <x:c r="M123" s="17"/>
      <x:c r="N123" s="19"/>
      <x:c r="O123" s="17" t="n">
        <x:f>IF(ISNUMBER(L123),G123*L123,IF(ISNUMBER(M123),M123,""))</x:f>
        <x:v>75000</x:v>
      </x:c>
      <x:c r="P123" s="17" t="n">
        <x:f>IF(ISNUMBER(K123),K123,IF(ISNUMBER(O123),O123,""))</x:f>
        <x:v>75000</x:v>
      </x:c>
      <x:c r="Q123" s="17" t="n">
        <x:f>IF(H123=0,0,IF(ISNUMBER(N123),N123,IF(N123="",IF(H123=F123,P123,""),"")))</x:f>
        <x:v>75000</x:v>
      </x:c>
      <x:c r="R123" s="17" t="n">
        <x:f>IF(ISNUMBER(Q123),ROUND(Q123*$C$4,2),"")</x:f>
        <x:v>13500</x:v>
      </x:c>
      <x:c r="S123" s="17" t="n">
        <x:f>IF(ISNUMBER(Q123),Q123+R123,"")</x:f>
        <x:v>88500</x:v>
      </x:c>
      <x:c r="T123" s="2" t="str">
        <x:f>IF(H123=0,"Not selected",IF(ISNUMBER(N123),"Quote entered",IF(N123&lt;&gt;"","Enter numeric quote",IF(H123=F123,IF(ISNUMBER(P123),"Complete unit","Price required"),"Partial package: price required"))))</x:f>
        <x:v>Complete unit</x:v>
      </x:c>
      <x:c r="U123" s="2" t="str">
        <x:v>TEN-9102A007CE45</x:v>
      </x:c>
      <x:c r="V123" s="2" t="str">
        <x:v>IT &amp; digital</x:v>
      </x:c>
      <x:c r="W123" s="2" t="str">
        <x:v>Small-scale prospects</x:v>
      </x:c>
      <x:c r="X123" s="17" t="n">
        <x:f>IF(AND(H123=F123,NOT(ISNUMBER(N123)),N123="",ISNUMBER(K123)),K123,0)</x:f>
        <x:v>0</x:v>
      </x:c>
      <x:c r="Y123" s="17" t="n">
        <x:f>IF(AND(H123=F123,NOT(ISNUMBER(N123)),N123="",K123="",ISNUMBER(O123)),O123,0)</x:f>
        <x:v>75000</x:v>
      </x:c>
      <x:c r="Z123" s="17" t="n">
        <x:f>IF(AND(H123&gt;0,ISNUMBER(N123)),N123,0)</x:f>
        <x:v>0</x:v>
      </x:c>
      <x:c r="AA123" s="2" t="n">
        <x:f>IF(AND(H123&gt;0,N123="",NOT(ISNUMBER(Q123))),1,0)</x:f>
        <x:v>0</x:v>
      </x:c>
      <x:c r="AB123" s="2" t="n">
        <x:f>IF(AND(H123&gt;0,N123&lt;&gt;"",NOT(ISNUMBER(N123))),1,0)</x:f>
        <x:v>0</x:v>
      </x:c>
    </x:row>
    <x:row r="124" ht="48" customHeight="1">
      <x:c r="A124" s="2" t="str">
        <x:v>MAIN-123</x:v>
      </x:c>
      <x:c r="B124" s="2" t="str">
        <x:v>Main</x:v>
      </x:c>
      <x:c r="C124" s="2" t="str">
        <x:v>Bengaluru</x:v>
      </x:c>
      <x:c r="D124" s="12" t="str">
        <x:v>WeWork - Redwood</x:v>
      </x:c>
      <x:c r="E124" s="12" t="str">
        <x:v>43 inch LED TV</x:v>
      </x:c>
      <x:c r="F124" s="2" t="n">
        <x:v>1</x:v>
      </x:c>
      <x:c r="G124" s="2" t="n">
        <x:v>2</x:v>
      </x:c>
      <x:c r="H124" s="2" t="n">
        <x:f>COUNTIFS('Inventory'!$N$7:$N$783,A124,'Inventory'!$A$7:$A$783,1)</x:f>
        <x:v>1</x:v>
      </x:c>
      <x:c r="I124" s="2" t="n">
        <x:f>SUMIFS('Inventory'!$G$7:$G$783,'Inventory'!$N$7:$N$783,A124,'Inventory'!$A$7:$A$783,1)</x:f>
        <x:v>2</x:v>
      </x:c>
      <x:c r="J124" s="12" t="str">
        <x:v>Campaign format rate</x:v>
      </x:c>
      <x:c r="K124" s="17"/>
      <x:c r="L124" s="17" t="n">
        <x:f>$G$5</x:f>
        <x:v>25000</x:v>
      </x:c>
      <x:c r="M124" s="17"/>
      <x:c r="N124" s="19"/>
      <x:c r="O124" s="17" t="n">
        <x:f>IF(ISNUMBER(L124),G124*L124,IF(ISNUMBER(M124),M124,""))</x:f>
        <x:v>50000</x:v>
      </x:c>
      <x:c r="P124" s="17" t="n">
        <x:f>IF(ISNUMBER(K124),K124,IF(ISNUMBER(O124),O124,""))</x:f>
        <x:v>50000</x:v>
      </x:c>
      <x:c r="Q124" s="17" t="n">
        <x:f>IF(H124=0,0,IF(ISNUMBER(N124),N124,IF(N124="",IF(H124=F124,P124,""),"")))</x:f>
        <x:v>50000</x:v>
      </x:c>
      <x:c r="R124" s="17" t="n">
        <x:f>IF(ISNUMBER(Q124),ROUND(Q124*$C$4,2),"")</x:f>
        <x:v>9000</x:v>
      </x:c>
      <x:c r="S124" s="17" t="n">
        <x:f>IF(ISNUMBER(Q124),Q124+R124,"")</x:f>
        <x:v>59000</x:v>
      </x:c>
      <x:c r="T124" s="2" t="str">
        <x:f>IF(H124=0,"Not selected",IF(ISNUMBER(N124),"Quote entered",IF(N124&lt;&gt;"","Enter numeric quote",IF(H124=F124,IF(ISNUMBER(P124),"Complete unit","Price required"),"Partial package: price required"))))</x:f>
        <x:v>Complete unit</x:v>
      </x:c>
      <x:c r="U124" s="2" t="str">
        <x:v>TEN-5B81D52D4310</x:v>
      </x:c>
      <x:c r="V124" s="2" t="str">
        <x:v>Workspace &amp; property operations</x:v>
      </x:c>
      <x:c r="W124" s="2" t="str">
        <x:v>Mixed business audience</x:v>
      </x:c>
      <x:c r="X124" s="17" t="n">
        <x:f>IF(AND(H124=F124,NOT(ISNUMBER(N124)),N124="",ISNUMBER(K124)),K124,0)</x:f>
        <x:v>0</x:v>
      </x:c>
      <x:c r="Y124" s="17" t="n">
        <x:f>IF(AND(H124=F124,NOT(ISNUMBER(N124)),N124="",K124="",ISNUMBER(O124)),O124,0)</x:f>
        <x:v>50000</x:v>
      </x:c>
      <x:c r="Z124" s="17" t="n">
        <x:f>IF(AND(H124&gt;0,ISNUMBER(N124)),N124,0)</x:f>
        <x:v>0</x:v>
      </x:c>
      <x:c r="AA124" s="2" t="n">
        <x:f>IF(AND(H124&gt;0,N124="",NOT(ISNUMBER(Q124))),1,0)</x:f>
        <x:v>0</x:v>
      </x:c>
      <x:c r="AB124" s="2" t="n">
        <x:f>IF(AND(H124&gt;0,N124&lt;&gt;"",NOT(ISNUMBER(N124))),1,0)</x:f>
        <x:v>0</x:v>
      </x:c>
    </x:row>
    <x:row r="125" ht="48" customHeight="1">
      <x:c r="A125" s="2" t="str">
        <x:v>MAIN-124</x:v>
      </x:c>
      <x:c r="B125" s="2" t="str">
        <x:v>Main</x:v>
      </x:c>
      <x:c r="C125" s="2" t="str">
        <x:v>Bengaluru</x:v>
      </x:c>
      <x:c r="D125" s="12" t="str">
        <x:v>WeWork - RMZ Latitude</x:v>
      </x:c>
      <x:c r="E125" s="12" t="str">
        <x:v>43 inch LED TV</x:v>
      </x:c>
      <x:c r="F125" s="2" t="n">
        <x:v>1</x:v>
      </x:c>
      <x:c r="G125" s="2" t="n">
        <x:v>4</x:v>
      </x:c>
      <x:c r="H125" s="2" t="n">
        <x:f>COUNTIFS('Inventory'!$N$7:$N$783,A125,'Inventory'!$A$7:$A$783,1)</x:f>
        <x:v>1</x:v>
      </x:c>
      <x:c r="I125" s="2" t="n">
        <x:f>SUMIFS('Inventory'!$G$7:$G$783,'Inventory'!$N$7:$N$783,A125,'Inventory'!$A$7:$A$783,1)</x:f>
        <x:v>4</x:v>
      </x:c>
      <x:c r="J125" s="12" t="str">
        <x:v>Campaign format rate</x:v>
      </x:c>
      <x:c r="K125" s="17"/>
      <x:c r="L125" s="17" t="n">
        <x:f>$G$5</x:f>
        <x:v>25000</x:v>
      </x:c>
      <x:c r="M125" s="17"/>
      <x:c r="N125" s="19"/>
      <x:c r="O125" s="17" t="n">
        <x:f>IF(ISNUMBER(L125),G125*L125,IF(ISNUMBER(M125),M125,""))</x:f>
        <x:v>100000</x:v>
      </x:c>
      <x:c r="P125" s="17" t="n">
        <x:f>IF(ISNUMBER(K125),K125,IF(ISNUMBER(O125),O125,""))</x:f>
        <x:v>100000</x:v>
      </x:c>
      <x:c r="Q125" s="17" t="n">
        <x:f>IF(H125=0,0,IF(ISNUMBER(N125),N125,IF(N125="",IF(H125=F125,P125,""),"")))</x:f>
        <x:v>100000</x:v>
      </x:c>
      <x:c r="R125" s="17" t="n">
        <x:f>IF(ISNUMBER(Q125),ROUND(Q125*$C$4,2),"")</x:f>
        <x:v>18000</x:v>
      </x:c>
      <x:c r="S125" s="17" t="n">
        <x:f>IF(ISNUMBER(Q125),Q125+R125,"")</x:f>
        <x:v>118000</x:v>
      </x:c>
      <x:c r="T125" s="2" t="str">
        <x:f>IF(H125=0,"Not selected",IF(ISNUMBER(N125),"Quote entered",IF(N125&lt;&gt;"","Enter numeric quote",IF(H125=F125,IF(ISNUMBER(P125),"Complete unit","Price required"),"Partial package: price required"))))</x:f>
        <x:v>Complete unit</x:v>
      </x:c>
      <x:c r="U125" s="2" t="str">
        <x:v>TEN-1A928963EA58; TEN-4E4EABF6E4C9; TEN-57FDEDC0DEC7; TEN-8339DA98BD73; TEN-881CB9BE282C; TEN-906A7F314B08; TEN-9FFDE6DEDC6D; TEN-A4B489F44A39; TEN-B82219A14E90; TEN-EC305B6618A4; TEN-FB464099276C</x:v>
      </x:c>
      <x:c r="V125" s="2" t="str">
        <x:v>IT &amp; digital; Professional services; Education; Trade, consumer &amp; logistics; Unresolved</x:v>
      </x:c>
      <x:c r="W125" s="2" t="str">
        <x:v>Small-scale prospects; Large enterprise; Mixed business audience</x:v>
      </x:c>
      <x:c r="X125" s="17" t="n">
        <x:f>IF(AND(H125=F125,NOT(ISNUMBER(N125)),N125="",ISNUMBER(K125)),K125,0)</x:f>
        <x:v>0</x:v>
      </x:c>
      <x:c r="Y125" s="17" t="n">
        <x:f>IF(AND(H125=F125,NOT(ISNUMBER(N125)),N125="",K125="",ISNUMBER(O125)),O125,0)</x:f>
        <x:v>100000</x:v>
      </x:c>
      <x:c r="Z125" s="17" t="n">
        <x:f>IF(AND(H125&gt;0,ISNUMBER(N125)),N125,0)</x:f>
        <x:v>0</x:v>
      </x:c>
      <x:c r="AA125" s="2" t="n">
        <x:f>IF(AND(H125&gt;0,N125="",NOT(ISNUMBER(Q125))),1,0)</x:f>
        <x:v>0</x:v>
      </x:c>
      <x:c r="AB125" s="2" t="n">
        <x:f>IF(AND(H125&gt;0,N125&lt;&gt;"",NOT(ISNUMBER(N125))),1,0)</x:f>
        <x:v>0</x:v>
      </x:c>
    </x:row>
    <x:row r="126" ht="48" customHeight="1">
      <x:c r="A126" s="2" t="str">
        <x:v>MAIN-125</x:v>
      </x:c>
      <x:c r="B126" s="2" t="str">
        <x:v>Main</x:v>
      </x:c>
      <x:c r="C126" s="2" t="str">
        <x:v>Bengaluru</x:v>
      </x:c>
      <x:c r="D126" s="12" t="str">
        <x:v>WeWork - Roshni TH</x:v>
      </x:c>
      <x:c r="E126" s="12" t="str">
        <x:v>43 inch LED TV</x:v>
      </x:c>
      <x:c r="F126" s="2" t="n">
        <x:v>1</x:v>
      </x:c>
      <x:c r="G126" s="2" t="n">
        <x:v>2</x:v>
      </x:c>
      <x:c r="H126" s="2" t="n">
        <x:f>COUNTIFS('Inventory'!$N$7:$N$783,A126,'Inventory'!$A$7:$A$783,1)</x:f>
        <x:v>1</x:v>
      </x:c>
      <x:c r="I126" s="2" t="n">
        <x:f>SUMIFS('Inventory'!$G$7:$G$783,'Inventory'!$N$7:$N$783,A126,'Inventory'!$A$7:$A$783,1)</x:f>
        <x:v>2</x:v>
      </x:c>
      <x:c r="J126" s="12" t="str">
        <x:v>Campaign format rate</x:v>
      </x:c>
      <x:c r="K126" s="17"/>
      <x:c r="L126" s="17" t="n">
        <x:f>$G$5</x:f>
        <x:v>25000</x:v>
      </x:c>
      <x:c r="M126" s="17"/>
      <x:c r="N126" s="19"/>
      <x:c r="O126" s="17" t="n">
        <x:f>IF(ISNUMBER(L126),G126*L126,IF(ISNUMBER(M126),M126,""))</x:f>
        <x:v>50000</x:v>
      </x:c>
      <x:c r="P126" s="17" t="n">
        <x:f>IF(ISNUMBER(K126),K126,IF(ISNUMBER(O126),O126,""))</x:f>
        <x:v>50000</x:v>
      </x:c>
      <x:c r="Q126" s="17" t="n">
        <x:f>IF(H126=0,0,IF(ISNUMBER(N126),N126,IF(N126="",IF(H126=F126,P126,""),"")))</x:f>
        <x:v>50000</x:v>
      </x:c>
      <x:c r="R126" s="17" t="n">
        <x:f>IF(ISNUMBER(Q126),ROUND(Q126*$C$4,2),"")</x:f>
        <x:v>9000</x:v>
      </x:c>
      <x:c r="S126" s="17" t="n">
        <x:f>IF(ISNUMBER(Q126),Q126+R126,"")</x:f>
        <x:v>59000</x:v>
      </x:c>
      <x:c r="T126" s="2" t="str">
        <x:f>IF(H126=0,"Not selected",IF(ISNUMBER(N126),"Quote entered",IF(N126&lt;&gt;"","Enter numeric quote",IF(H126=F126,IF(ISNUMBER(P126),"Complete unit","Price required"),"Partial package: price required"))))</x:f>
        <x:v>Complete unit</x:v>
      </x:c>
      <x:c r="U126" s="2" t="str">
        <x:v>TEN-5B81D52D4310</x:v>
      </x:c>
      <x:c r="V126" s="2" t="str">
        <x:v>Workspace &amp; property operations</x:v>
      </x:c>
      <x:c r="W126" s="2" t="str">
        <x:v>Mixed business audience</x:v>
      </x:c>
      <x:c r="X126" s="17" t="n">
        <x:f>IF(AND(H126=F126,NOT(ISNUMBER(N126)),N126="",ISNUMBER(K126)),K126,0)</x:f>
        <x:v>0</x:v>
      </x:c>
      <x:c r="Y126" s="17" t="n">
        <x:f>IF(AND(H126=F126,NOT(ISNUMBER(N126)),N126="",K126="",ISNUMBER(O126)),O126,0)</x:f>
        <x:v>50000</x:v>
      </x:c>
      <x:c r="Z126" s="17" t="n">
        <x:f>IF(AND(H126&gt;0,ISNUMBER(N126)),N126,0)</x:f>
        <x:v>0</x:v>
      </x:c>
      <x:c r="AA126" s="2" t="n">
        <x:f>IF(AND(H126&gt;0,N126="",NOT(ISNUMBER(Q126))),1,0)</x:f>
        <x:v>0</x:v>
      </x:c>
      <x:c r="AB126" s="2" t="n">
        <x:f>IF(AND(H126&gt;0,N126&lt;&gt;"",NOT(ISNUMBER(N126))),1,0)</x:f>
        <x:v>0</x:v>
      </x:c>
    </x:row>
    <x:row r="127" ht="48" customHeight="1">
      <x:c r="A127" s="2" t="str">
        <x:v>MAIN-126</x:v>
      </x:c>
      <x:c r="B127" s="2" t="str">
        <x:v>Main</x:v>
      </x:c>
      <x:c r="C127" s="2" t="str">
        <x:v>Bengaluru</x:v>
      </x:c>
      <x:c r="D127" s="12" t="str">
        <x:v>WeWork - Salarpuria Magnificia</x:v>
      </x:c>
      <x:c r="E127" s="12" t="str">
        <x:v>43 inch LED TV</x:v>
      </x:c>
      <x:c r="F127" s="2" t="n">
        <x:v>1</x:v>
      </x:c>
      <x:c r="G127" s="2" t="n">
        <x:v>8</x:v>
      </x:c>
      <x:c r="H127" s="2" t="n">
        <x:f>COUNTIFS('Inventory'!$N$7:$N$783,A127,'Inventory'!$A$7:$A$783,1)</x:f>
        <x:v>1</x:v>
      </x:c>
      <x:c r="I127" s="2" t="n">
        <x:f>SUMIFS('Inventory'!$G$7:$G$783,'Inventory'!$N$7:$N$783,A127,'Inventory'!$A$7:$A$783,1)</x:f>
        <x:v>8</x:v>
      </x:c>
      <x:c r="J127" s="12" t="str">
        <x:v>Campaign format rate</x:v>
      </x:c>
      <x:c r="K127" s="17"/>
      <x:c r="L127" s="17" t="n">
        <x:f>$G$5</x:f>
        <x:v>25000</x:v>
      </x:c>
      <x:c r="M127" s="17"/>
      <x:c r="N127" s="19"/>
      <x:c r="O127" s="17" t="n">
        <x:f>IF(ISNUMBER(L127),G127*L127,IF(ISNUMBER(M127),M127,""))</x:f>
        <x:v>200000</x:v>
      </x:c>
      <x:c r="P127" s="17" t="n">
        <x:f>IF(ISNUMBER(K127),K127,IF(ISNUMBER(O127),O127,""))</x:f>
        <x:v>200000</x:v>
      </x:c>
      <x:c r="Q127" s="17" t="n">
        <x:f>IF(H127=0,0,IF(ISNUMBER(N127),N127,IF(N127="",IF(H127=F127,P127,""),"")))</x:f>
        <x:v>200000</x:v>
      </x:c>
      <x:c r="R127" s="17" t="n">
        <x:f>IF(ISNUMBER(Q127),ROUND(Q127*$C$4,2),"")</x:f>
        <x:v>36000</x:v>
      </x:c>
      <x:c r="S127" s="17" t="n">
        <x:f>IF(ISNUMBER(Q127),Q127+R127,"")</x:f>
        <x:v>236000</x:v>
      </x:c>
      <x:c r="T127" s="2" t="str">
        <x:f>IF(H127=0,"Not selected",IF(ISNUMBER(N127),"Quote entered",IF(N127&lt;&gt;"","Enter numeric quote",IF(H127=F127,IF(ISNUMBER(P127),"Complete unit","Price required"),"Partial package: price required"))))</x:f>
        <x:v>Complete unit</x:v>
      </x:c>
      <x:c r="U127" s="2" t="str">
        <x:v>TEN-1719E5D67F49; TEN-1CD245F812EB; TEN-27E5329AC430; TEN-47542BC197FE; TEN-5FA790F3630F; TEN-894090F78BDD; TEN-98D6043D3E03; TEN-A7F0F4E06BC5; TEN-A95FFCA723A6; TEN-AB43FD6C420A</x:v>
      </x:c>
      <x:c r="V127" s="2" t="str">
        <x:v>IT &amp; digital; Professional services; Engineering &amp; manufacturing; Education; Unresolved</x:v>
      </x:c>
      <x:c r="W127" s="2" t="str">
        <x:v>Small-scale prospects; Large enterprise; Mixed business audience</x:v>
      </x:c>
      <x:c r="X127" s="17" t="n">
        <x:f>IF(AND(H127=F127,NOT(ISNUMBER(N127)),N127="",ISNUMBER(K127)),K127,0)</x:f>
        <x:v>0</x:v>
      </x:c>
      <x:c r="Y127" s="17" t="n">
        <x:f>IF(AND(H127=F127,NOT(ISNUMBER(N127)),N127="",K127="",ISNUMBER(O127)),O127,0)</x:f>
        <x:v>200000</x:v>
      </x:c>
      <x:c r="Z127" s="17" t="n">
        <x:f>IF(AND(H127&gt;0,ISNUMBER(N127)),N127,0)</x:f>
        <x:v>0</x:v>
      </x:c>
      <x:c r="AA127" s="2" t="n">
        <x:f>IF(AND(H127&gt;0,N127="",NOT(ISNUMBER(Q127))),1,0)</x:f>
        <x:v>0</x:v>
      </x:c>
      <x:c r="AB127" s="2" t="n">
        <x:f>IF(AND(H127&gt;0,N127&lt;&gt;"",NOT(ISNUMBER(N127))),1,0)</x:f>
        <x:v>0</x:v>
      </x:c>
    </x:row>
    <x:row r="128" ht="48" customHeight="1">
      <x:c r="A128" s="2" t="str">
        <x:v>MAIN-127</x:v>
      </x:c>
      <x:c r="B128" s="2" t="str">
        <x:v>Main</x:v>
      </x:c>
      <x:c r="C128" s="2" t="str">
        <x:v>Bengaluru</x:v>
      </x:c>
      <x:c r="D128" s="12" t="str">
        <x:v>WeWork - Salarpuria Symbiosis</x:v>
      </x:c>
      <x:c r="E128" s="12" t="str">
        <x:v>43 inch LED TV</x:v>
      </x:c>
      <x:c r="F128" s="2" t="n">
        <x:v>1</x:v>
      </x:c>
      <x:c r="G128" s="2" t="n">
        <x:v>5</x:v>
      </x:c>
      <x:c r="H128" s="2" t="n">
        <x:f>COUNTIFS('Inventory'!$N$7:$N$783,A128,'Inventory'!$A$7:$A$783,1)</x:f>
        <x:v>1</x:v>
      </x:c>
      <x:c r="I128" s="2" t="n">
        <x:f>SUMIFS('Inventory'!$G$7:$G$783,'Inventory'!$N$7:$N$783,A128,'Inventory'!$A$7:$A$783,1)</x:f>
        <x:v>5</x:v>
      </x:c>
      <x:c r="J128" s="12" t="str">
        <x:v>Campaign format rate</x:v>
      </x:c>
      <x:c r="K128" s="17"/>
      <x:c r="L128" s="17" t="n">
        <x:f>$G$5</x:f>
        <x:v>25000</x:v>
      </x:c>
      <x:c r="M128" s="17"/>
      <x:c r="N128" s="19"/>
      <x:c r="O128" s="17" t="n">
        <x:f>IF(ISNUMBER(L128),G128*L128,IF(ISNUMBER(M128),M128,""))</x:f>
        <x:v>125000</x:v>
      </x:c>
      <x:c r="P128" s="17" t="n">
        <x:f>IF(ISNUMBER(K128),K128,IF(ISNUMBER(O128),O128,""))</x:f>
        <x:v>125000</x:v>
      </x:c>
      <x:c r="Q128" s="17" t="n">
        <x:f>IF(H128=0,0,IF(ISNUMBER(N128),N128,IF(N128="",IF(H128=F128,P128,""),"")))</x:f>
        <x:v>125000</x:v>
      </x:c>
      <x:c r="R128" s="17" t="n">
        <x:f>IF(ISNUMBER(Q128),ROUND(Q128*$C$4,2),"")</x:f>
        <x:v>22500</x:v>
      </x:c>
      <x:c r="S128" s="17" t="n">
        <x:f>IF(ISNUMBER(Q128),Q128+R128,"")</x:f>
        <x:v>147500</x:v>
      </x:c>
      <x:c r="T128" s="2" t="str">
        <x:f>IF(H128=0,"Not selected",IF(ISNUMBER(N128),"Quote entered",IF(N128&lt;&gt;"","Enter numeric quote",IF(H128=F128,IF(ISNUMBER(P128),"Complete unit","Price required"),"Partial package: price required"))))</x:f>
        <x:v>Complete unit</x:v>
      </x:c>
      <x:c r="U128" s="2" t="str">
        <x:v>TEN-17FB8DB6E637; TEN-379CF8E21D6F; TEN-99FA68C349B3; TEN-9FD66800C491; TEN-A636D088018E; TEN-B79A492C4FE0; TEN-E5D3BFD31881; TEN-F122850E25D2; TEN-F537587C0EE8</x:v>
      </x:c>
      <x:c r="V128" s="2" t="str">
        <x:v>IT &amp; digital; Professional services; Trade, consumer &amp; logistics; Unresolved</x:v>
      </x:c>
      <x:c r="W128" s="2" t="str">
        <x:v>Small-scale prospects; Mixed business audience</x:v>
      </x:c>
      <x:c r="X128" s="17" t="n">
        <x:f>IF(AND(H128=F128,NOT(ISNUMBER(N128)),N128="",ISNUMBER(K128)),K128,0)</x:f>
        <x:v>0</x:v>
      </x:c>
      <x:c r="Y128" s="17" t="n">
        <x:f>IF(AND(H128=F128,NOT(ISNUMBER(N128)),N128="",K128="",ISNUMBER(O128)),O128,0)</x:f>
        <x:v>125000</x:v>
      </x:c>
      <x:c r="Z128" s="17" t="n">
        <x:f>IF(AND(H128&gt;0,ISNUMBER(N128)),N128,0)</x:f>
        <x:v>0</x:v>
      </x:c>
      <x:c r="AA128" s="2" t="n">
        <x:f>IF(AND(H128&gt;0,N128="",NOT(ISNUMBER(Q128))),1,0)</x:f>
        <x:v>0</x:v>
      </x:c>
      <x:c r="AB128" s="2" t="n">
        <x:f>IF(AND(H128&gt;0,N128&lt;&gt;"",NOT(ISNUMBER(N128))),1,0)</x:f>
        <x:v>0</x:v>
      </x:c>
    </x:row>
    <x:row r="129" ht="48" customHeight="1">
      <x:c r="A129" s="2" t="str">
        <x:v>MAIN-128</x:v>
      </x:c>
      <x:c r="B129" s="2" t="str">
        <x:v>Main</x:v>
      </x:c>
      <x:c r="C129" s="2" t="str">
        <x:v>Bengaluru</x:v>
      </x:c>
      <x:c r="D129" s="12" t="str">
        <x:v>Wework - Sunriver</x:v>
      </x:c>
      <x:c r="E129" s="12" t="str">
        <x:v>43 inch LED TV</x:v>
      </x:c>
      <x:c r="F129" s="2" t="n">
        <x:v>1</x:v>
      </x:c>
      <x:c r="G129" s="2" t="n">
        <x:v>1</x:v>
      </x:c>
      <x:c r="H129" s="2" t="n">
        <x:f>COUNTIFS('Inventory'!$N$7:$N$783,A129,'Inventory'!$A$7:$A$783,1)</x:f>
        <x:v>1</x:v>
      </x:c>
      <x:c r="I129" s="2" t="n">
        <x:f>SUMIFS('Inventory'!$G$7:$G$783,'Inventory'!$N$7:$N$783,A129,'Inventory'!$A$7:$A$783,1)</x:f>
        <x:v>1</x:v>
      </x:c>
      <x:c r="J129" s="12" t="str">
        <x:v>Campaign format rate</x:v>
      </x:c>
      <x:c r="K129" s="17"/>
      <x:c r="L129" s="17" t="n">
        <x:f>$G$5</x:f>
        <x:v>25000</x:v>
      </x:c>
      <x:c r="M129" s="17"/>
      <x:c r="N129" s="19"/>
      <x:c r="O129" s="17" t="n">
        <x:f>IF(ISNUMBER(L129),G129*L129,IF(ISNUMBER(M129),M129,""))</x:f>
        <x:v>25000</x:v>
      </x:c>
      <x:c r="P129" s="17" t="n">
        <x:f>IF(ISNUMBER(K129),K129,IF(ISNUMBER(O129),O129,""))</x:f>
        <x:v>25000</x:v>
      </x:c>
      <x:c r="Q129" s="17" t="n">
        <x:f>IF(H129=0,0,IF(ISNUMBER(N129),N129,IF(N129="",IF(H129=F129,P129,""),"")))</x:f>
        <x:v>25000</x:v>
      </x:c>
      <x:c r="R129" s="17" t="n">
        <x:f>IF(ISNUMBER(Q129),ROUND(Q129*$C$4,2),"")</x:f>
        <x:v>4500</x:v>
      </x:c>
      <x:c r="S129" s="17" t="n">
        <x:f>IF(ISNUMBER(Q129),Q129+R129,"")</x:f>
        <x:v>29500</x:v>
      </x:c>
      <x:c r="T129" s="2" t="str">
        <x:f>IF(H129=0,"Not selected",IF(ISNUMBER(N129),"Quote entered",IF(N129&lt;&gt;"","Enter numeric quote",IF(H129=F129,IF(ISNUMBER(P129),"Complete unit","Price required"),"Partial package: price required"))))</x:f>
        <x:v>Complete unit</x:v>
      </x:c>
      <x:c r="U129" s="2" t="str">
        <x:v>TEN-34ACAFF17988; TEN-78346E1DD33E; TEN-BD06E0108A69; TEN-C044E2C928F5; TEN-CC236CA9F0D8; TEN-D218324446AC</x:v>
      </x:c>
      <x:c r="V129" s="2" t="str">
        <x:v>IT &amp; digital; Professional services; Engineering &amp; manufacturing; Unresolved</x:v>
      </x:c>
      <x:c r="W129" s="2" t="str">
        <x:v>Small-scale prospects; Large enterprise; Mixed business audience</x:v>
      </x:c>
      <x:c r="X129" s="17" t="n">
        <x:f>IF(AND(H129=F129,NOT(ISNUMBER(N129)),N129="",ISNUMBER(K129)),K129,0)</x:f>
        <x:v>0</x:v>
      </x:c>
      <x:c r="Y129" s="17" t="n">
        <x:f>IF(AND(H129=F129,NOT(ISNUMBER(N129)),N129="",K129="",ISNUMBER(O129)),O129,0)</x:f>
        <x:v>25000</x:v>
      </x:c>
      <x:c r="Z129" s="17" t="n">
        <x:f>IF(AND(H129&gt;0,ISNUMBER(N129)),N129,0)</x:f>
        <x:v>0</x:v>
      </x:c>
      <x:c r="AA129" s="2" t="n">
        <x:f>IF(AND(H129&gt;0,N129="",NOT(ISNUMBER(Q129))),1,0)</x:f>
        <x:v>0</x:v>
      </x:c>
      <x:c r="AB129" s="2" t="n">
        <x:f>IF(AND(H129&gt;0,N129&lt;&gt;"",NOT(ISNUMBER(N129))),1,0)</x:f>
        <x:v>0</x:v>
      </x:c>
    </x:row>
    <x:row r="130" ht="48" customHeight="1">
      <x:c r="A130" s="2" t="str">
        <x:v>MAIN-129</x:v>
      </x:c>
      <x:c r="B130" s="2" t="str">
        <x:v>Main</x:v>
      </x:c>
      <x:c r="C130" s="2" t="str">
        <x:v>Bengaluru</x:v>
      </x:c>
      <x:c r="D130" s="12" t="str">
        <x:v>WeWork - The Galaxy</x:v>
      </x:c>
      <x:c r="E130" s="12" t="str">
        <x:v>43 inch LED TV</x:v>
      </x:c>
      <x:c r="F130" s="2" t="n">
        <x:v>1</x:v>
      </x:c>
      <x:c r="G130" s="2" t="n">
        <x:v>7</x:v>
      </x:c>
      <x:c r="H130" s="2" t="n">
        <x:f>COUNTIFS('Inventory'!$N$7:$N$783,A130,'Inventory'!$A$7:$A$783,1)</x:f>
        <x:v>1</x:v>
      </x:c>
      <x:c r="I130" s="2" t="n">
        <x:f>SUMIFS('Inventory'!$G$7:$G$783,'Inventory'!$N$7:$N$783,A130,'Inventory'!$A$7:$A$783,1)</x:f>
        <x:v>7</x:v>
      </x:c>
      <x:c r="J130" s="12" t="str">
        <x:v>Campaign format rate</x:v>
      </x:c>
      <x:c r="K130" s="17"/>
      <x:c r="L130" s="17" t="n">
        <x:f>$G$5</x:f>
        <x:v>25000</x:v>
      </x:c>
      <x:c r="M130" s="17"/>
      <x:c r="N130" s="19"/>
      <x:c r="O130" s="17" t="n">
        <x:f>IF(ISNUMBER(L130),G130*L130,IF(ISNUMBER(M130),M130,""))</x:f>
        <x:v>175000</x:v>
      </x:c>
      <x:c r="P130" s="17" t="n">
        <x:f>IF(ISNUMBER(K130),K130,IF(ISNUMBER(O130),O130,""))</x:f>
        <x:v>175000</x:v>
      </x:c>
      <x:c r="Q130" s="17" t="n">
        <x:f>IF(H130=0,0,IF(ISNUMBER(N130),N130,IF(N130="",IF(H130=F130,P130,""),"")))</x:f>
        <x:v>175000</x:v>
      </x:c>
      <x:c r="R130" s="17" t="n">
        <x:f>IF(ISNUMBER(Q130),ROUND(Q130*$C$4,2),"")</x:f>
        <x:v>31500</x:v>
      </x:c>
      <x:c r="S130" s="17" t="n">
        <x:f>IF(ISNUMBER(Q130),Q130+R130,"")</x:f>
        <x:v>206500</x:v>
      </x:c>
      <x:c r="T130" s="2" t="str">
        <x:f>IF(H130=0,"Not selected",IF(ISNUMBER(N130),"Quote entered",IF(N130&lt;&gt;"","Enter numeric quote",IF(H130=F130,IF(ISNUMBER(P130),"Complete unit","Price required"),"Partial package: price required"))))</x:f>
        <x:v>Complete unit</x:v>
      </x:c>
      <x:c r="U130" s="2" t="str">
        <x:v>TEN-070EA3276414; TEN-0C938E21B4E2; TEN-0CDB38A6A30B; TEN-6A551DA31D50; TEN-6CA4D108C413; TEN-764410B207C5; TEN-837526D88A14; TEN-A296D95DED54; TEN-B3F99731DE4E</x:v>
      </x:c>
      <x:c r="V130" s="2" t="str">
        <x:v>Professional services; Finance &amp; insurance; Healthcare &amp; life sciences; Education; Unresolved</x:v>
      </x:c>
      <x:c r="W130" s="2" t="str">
        <x:v>Small-scale prospects; Medium-scale prospects; Mixed business audience</x:v>
      </x:c>
      <x:c r="X130" s="17" t="n">
        <x:f>IF(AND(H130=F130,NOT(ISNUMBER(N130)),N130="",ISNUMBER(K130)),K130,0)</x:f>
        <x:v>0</x:v>
      </x:c>
      <x:c r="Y130" s="17" t="n">
        <x:f>IF(AND(H130=F130,NOT(ISNUMBER(N130)),N130="",K130="",ISNUMBER(O130)),O130,0)</x:f>
        <x:v>175000</x:v>
      </x:c>
      <x:c r="Z130" s="17" t="n">
        <x:f>IF(AND(H130&gt;0,ISNUMBER(N130)),N130,0)</x:f>
        <x:v>0</x:v>
      </x:c>
      <x:c r="AA130" s="2" t="n">
        <x:f>IF(AND(H130&gt;0,N130="",NOT(ISNUMBER(Q130))),1,0)</x:f>
        <x:v>0</x:v>
      </x:c>
      <x:c r="AB130" s="2" t="n">
        <x:f>IF(AND(H130&gt;0,N130&lt;&gt;"",NOT(ISNUMBER(N130))),1,0)</x:f>
        <x:v>0</x:v>
      </x:c>
    </x:row>
    <x:row r="131" ht="48" customHeight="1">
      <x:c r="A131" s="2" t="str">
        <x:v>MAIN-130</x:v>
      </x:c>
      <x:c r="B131" s="2" t="str">
        <x:v>Main</x:v>
      </x:c>
      <x:c r="C131" s="2" t="str">
        <x:v>Bengaluru</x:v>
      </x:c>
      <x:c r="D131" s="12" t="str">
        <x:v>WeWork - The Pavilion</x:v>
      </x:c>
      <x:c r="E131" s="12" t="str">
        <x:v>43 inch LED TV</x:v>
      </x:c>
      <x:c r="F131" s="2" t="n">
        <x:v>1</x:v>
      </x:c>
      <x:c r="G131" s="2" t="n">
        <x:v>4</x:v>
      </x:c>
      <x:c r="H131" s="2" t="n">
        <x:f>COUNTIFS('Inventory'!$N$7:$N$783,A131,'Inventory'!$A$7:$A$783,1)</x:f>
        <x:v>1</x:v>
      </x:c>
      <x:c r="I131" s="2" t="n">
        <x:f>SUMIFS('Inventory'!$G$7:$G$783,'Inventory'!$N$7:$N$783,A131,'Inventory'!$A$7:$A$783,1)</x:f>
        <x:v>4</x:v>
      </x:c>
      <x:c r="J131" s="12" t="str">
        <x:v>Campaign format rate</x:v>
      </x:c>
      <x:c r="K131" s="17"/>
      <x:c r="L131" s="17" t="n">
        <x:f>$G$5</x:f>
        <x:v>25000</x:v>
      </x:c>
      <x:c r="M131" s="17"/>
      <x:c r="N131" s="19"/>
      <x:c r="O131" s="17" t="n">
        <x:f>IF(ISNUMBER(L131),G131*L131,IF(ISNUMBER(M131),M131,""))</x:f>
        <x:v>100000</x:v>
      </x:c>
      <x:c r="P131" s="17" t="n">
        <x:f>IF(ISNUMBER(K131),K131,IF(ISNUMBER(O131),O131,""))</x:f>
        <x:v>100000</x:v>
      </x:c>
      <x:c r="Q131" s="17" t="n">
        <x:f>IF(H131=0,0,IF(ISNUMBER(N131),N131,IF(N131="",IF(H131=F131,P131,""),"")))</x:f>
        <x:v>100000</x:v>
      </x:c>
      <x:c r="R131" s="17" t="n">
        <x:f>IF(ISNUMBER(Q131),ROUND(Q131*$C$4,2),"")</x:f>
        <x:v>18000</x:v>
      </x:c>
      <x:c r="S131" s="17" t="n">
        <x:f>IF(ISNUMBER(Q131),Q131+R131,"")</x:f>
        <x:v>118000</x:v>
      </x:c>
      <x:c r="T131" s="2" t="str">
        <x:f>IF(H131=0,"Not selected",IF(ISNUMBER(N131),"Quote entered",IF(N131&lt;&gt;"","Enter numeric quote",IF(H131=F131,IF(ISNUMBER(P131),"Complete unit","Price required"),"Partial package: price required"))))</x:f>
        <x:v>Complete unit</x:v>
      </x:c>
      <x:c r="U131" s="2" t="str">
        <x:v>TEN-36C8EBC108EE; TEN-37C0A4119F06; TEN-3897B0BACDB2; TEN-9F93AD55A758; TEN-E27BBBA05F44; TEN-F955F62DAB66</x:v>
      </x:c>
      <x:c r="V131" s="2" t="str">
        <x:v>Finance &amp; insurance; Education; Trade, consumer &amp; logistics; Unresolved</x:v>
      </x:c>
      <x:c r="W131" s="2" t="str">
        <x:v>Small-scale prospects; Medium-scale prospects; Mixed business audience</x:v>
      </x:c>
      <x:c r="X131" s="17" t="n">
        <x:f>IF(AND(H131=F131,NOT(ISNUMBER(N131)),N131="",ISNUMBER(K131)),K131,0)</x:f>
        <x:v>0</x:v>
      </x:c>
      <x:c r="Y131" s="17" t="n">
        <x:f>IF(AND(H131=F131,NOT(ISNUMBER(N131)),N131="",K131="",ISNUMBER(O131)),O131,0)</x:f>
        <x:v>100000</x:v>
      </x:c>
      <x:c r="Z131" s="17" t="n">
        <x:f>IF(AND(H131&gt;0,ISNUMBER(N131)),N131,0)</x:f>
        <x:v>0</x:v>
      </x:c>
      <x:c r="AA131" s="2" t="n">
        <x:f>IF(AND(H131&gt;0,N131="",NOT(ISNUMBER(Q131))),1,0)</x:f>
        <x:v>0</x:v>
      </x:c>
      <x:c r="AB131" s="2" t="n">
        <x:f>IF(AND(H131&gt;0,N131&lt;&gt;"",NOT(ISNUMBER(N131))),1,0)</x:f>
        <x:v>0</x:v>
      </x:c>
    </x:row>
    <x:row r="132" ht="48" customHeight="1">
      <x:c r="A132" s="2" t="str">
        <x:v>MAIN-131</x:v>
      </x:c>
      <x:c r="B132" s="2" t="str">
        <x:v>Main</x:v>
      </x:c>
      <x:c r="C132" s="2" t="str">
        <x:v>Bengaluru</x:v>
      </x:c>
      <x:c r="D132" s="12" t="str">
        <x:v>Wework - Vaishnavi Signature</x:v>
      </x:c>
      <x:c r="E132" s="12" t="str">
        <x:v>43 inch LED TV</x:v>
      </x:c>
      <x:c r="F132" s="2" t="n">
        <x:v>1</x:v>
      </x:c>
      <x:c r="G132" s="2" t="n">
        <x:v>11</x:v>
      </x:c>
      <x:c r="H132" s="2" t="n">
        <x:f>COUNTIFS('Inventory'!$N$7:$N$783,A132,'Inventory'!$A$7:$A$783,1)</x:f>
        <x:v>1</x:v>
      </x:c>
      <x:c r="I132" s="2" t="n">
        <x:f>SUMIFS('Inventory'!$G$7:$G$783,'Inventory'!$N$7:$N$783,A132,'Inventory'!$A$7:$A$783,1)</x:f>
        <x:v>11</x:v>
      </x:c>
      <x:c r="J132" s="12" t="str">
        <x:v>Campaign format rate</x:v>
      </x:c>
      <x:c r="K132" s="17"/>
      <x:c r="L132" s="17" t="n">
        <x:f>$G$5</x:f>
        <x:v>25000</x:v>
      </x:c>
      <x:c r="M132" s="17"/>
      <x:c r="N132" s="19"/>
      <x:c r="O132" s="17" t="n">
        <x:f>IF(ISNUMBER(L132),G132*L132,IF(ISNUMBER(M132),M132,""))</x:f>
        <x:v>275000</x:v>
      </x:c>
      <x:c r="P132" s="17" t="n">
        <x:f>IF(ISNUMBER(K132),K132,IF(ISNUMBER(O132),O132,""))</x:f>
        <x:v>275000</x:v>
      </x:c>
      <x:c r="Q132" s="17" t="n">
        <x:f>IF(H132=0,0,IF(ISNUMBER(N132),N132,IF(N132="",IF(H132=F132,P132,""),"")))</x:f>
        <x:v>275000</x:v>
      </x:c>
      <x:c r="R132" s="17" t="n">
        <x:f>IF(ISNUMBER(Q132),ROUND(Q132*$C$4,2),"")</x:f>
        <x:v>49500</x:v>
      </x:c>
      <x:c r="S132" s="17" t="n">
        <x:f>IF(ISNUMBER(Q132),Q132+R132,"")</x:f>
        <x:v>324500</x:v>
      </x:c>
      <x:c r="T132" s="2" t="str">
        <x:f>IF(H132=0,"Not selected",IF(ISNUMBER(N132),"Quote entered",IF(N132&lt;&gt;"","Enter numeric quote",IF(H132=F132,IF(ISNUMBER(P132),"Complete unit","Price required"),"Partial package: price required"))))</x:f>
        <x:v>Complete unit</x:v>
      </x:c>
      <x:c r="U132" s="2" t="str">
        <x:v>TEN-02B5417A7C79; TEN-410DCA695D2B; TEN-5D20CA1753A5; TEN-6A334590C904; TEN-8A4ED1CC4A06; TEN-9C3C0E56B4EE; TEN-C66147931584; TEN-D74F5318167A; TEN-EC3BB4E16FE2</x:v>
      </x:c>
      <x:c r="V132" s="2" t="str">
        <x:v>IT &amp; digital; Professional services; Unresolved</x:v>
      </x:c>
      <x:c r="W132" s="2" t="str">
        <x:v>Small-scale prospects; Mixed business audience</x:v>
      </x:c>
      <x:c r="X132" s="17" t="n">
        <x:f>IF(AND(H132=F132,NOT(ISNUMBER(N132)),N132="",ISNUMBER(K132)),K132,0)</x:f>
        <x:v>0</x:v>
      </x:c>
      <x:c r="Y132" s="17" t="n">
        <x:f>IF(AND(H132=F132,NOT(ISNUMBER(N132)),N132="",K132="",ISNUMBER(O132)),O132,0)</x:f>
        <x:v>275000</x:v>
      </x:c>
      <x:c r="Z132" s="17" t="n">
        <x:f>IF(AND(H132&gt;0,ISNUMBER(N132)),N132,0)</x:f>
        <x:v>0</x:v>
      </x:c>
      <x:c r="AA132" s="2" t="n">
        <x:f>IF(AND(H132&gt;0,N132="",NOT(ISNUMBER(Q132))),1,0)</x:f>
        <x:v>0</x:v>
      </x:c>
      <x:c r="AB132" s="2" t="n">
        <x:f>IF(AND(H132&gt;0,N132&lt;&gt;"",NOT(ISNUMBER(N132))),1,0)</x:f>
        <x:v>0</x:v>
      </x:c>
    </x:row>
    <x:row r="133" ht="48" customHeight="1">
      <x:c r="A133" s="2" t="str">
        <x:v>MAIN-132</x:v>
      </x:c>
      <x:c r="B133" s="2" t="str">
        <x:v>Main</x:v>
      </x:c>
      <x:c r="C133" s="2" t="str">
        <x:v>Bengaluru</x:v>
      </x:c>
      <x:c r="D133" s="12" t="str">
        <x:v>WeWork-Iwf Campus</x:v>
      </x:c>
      <x:c r="E133" s="12" t="str">
        <x:v>43 inch LED TV</x:v>
      </x:c>
      <x:c r="F133" s="2" t="n">
        <x:v>1</x:v>
      </x:c>
      <x:c r="G133" s="2" t="n">
        <x:v>3</x:v>
      </x:c>
      <x:c r="H133" s="2" t="n">
        <x:f>COUNTIFS('Inventory'!$N$7:$N$783,A133,'Inventory'!$A$7:$A$783,1)</x:f>
        <x:v>1</x:v>
      </x:c>
      <x:c r="I133" s="2" t="n">
        <x:f>SUMIFS('Inventory'!$G$7:$G$783,'Inventory'!$N$7:$N$783,A133,'Inventory'!$A$7:$A$783,1)</x:f>
        <x:v>3</x:v>
      </x:c>
      <x:c r="J133" s="12" t="str">
        <x:v>Campaign format rate</x:v>
      </x:c>
      <x:c r="K133" s="17"/>
      <x:c r="L133" s="17" t="n">
        <x:f>$G$5</x:f>
        <x:v>25000</x:v>
      </x:c>
      <x:c r="M133" s="17"/>
      <x:c r="N133" s="19"/>
      <x:c r="O133" s="17" t="n">
        <x:f>IF(ISNUMBER(L133),G133*L133,IF(ISNUMBER(M133),M133,""))</x:f>
        <x:v>75000</x:v>
      </x:c>
      <x:c r="P133" s="17" t="n">
        <x:f>IF(ISNUMBER(K133),K133,IF(ISNUMBER(O133),O133,""))</x:f>
        <x:v>75000</x:v>
      </x:c>
      <x:c r="Q133" s="17" t="n">
        <x:f>IF(H133=0,0,IF(ISNUMBER(N133),N133,IF(N133="",IF(H133=F133,P133,""),"")))</x:f>
        <x:v>75000</x:v>
      </x:c>
      <x:c r="R133" s="17" t="n">
        <x:f>IF(ISNUMBER(Q133),ROUND(Q133*$C$4,2),"")</x:f>
        <x:v>13500</x:v>
      </x:c>
      <x:c r="S133" s="17" t="n">
        <x:f>IF(ISNUMBER(Q133),Q133+R133,"")</x:f>
        <x:v>88500</x:v>
      </x:c>
      <x:c r="T133" s="2" t="str">
        <x:f>IF(H133=0,"Not selected",IF(ISNUMBER(N133),"Quote entered",IF(N133&lt;&gt;"","Enter numeric quote",IF(H133=F133,IF(ISNUMBER(P133),"Complete unit","Price required"),"Partial package: price required"))))</x:f>
        <x:v>Complete unit</x:v>
      </x:c>
      <x:c r="U133" s="2" t="str">
        <x:v>TEN-5B81D52D4310</x:v>
      </x:c>
      <x:c r="V133" s="2" t="str">
        <x:v>Workspace &amp; property operations</x:v>
      </x:c>
      <x:c r="W133" s="2" t="str">
        <x:v>Mixed business audience</x:v>
      </x:c>
      <x:c r="X133" s="17" t="n">
        <x:f>IF(AND(H133=F133,NOT(ISNUMBER(N133)),N133="",ISNUMBER(K133)),K133,0)</x:f>
        <x:v>0</x:v>
      </x:c>
      <x:c r="Y133" s="17" t="n">
        <x:f>IF(AND(H133=F133,NOT(ISNUMBER(N133)),N133="",K133="",ISNUMBER(O133)),O133,0)</x:f>
        <x:v>75000</x:v>
      </x:c>
      <x:c r="Z133" s="17" t="n">
        <x:f>IF(AND(H133&gt;0,ISNUMBER(N133)),N133,0)</x:f>
        <x:v>0</x:v>
      </x:c>
      <x:c r="AA133" s="2" t="n">
        <x:f>IF(AND(H133&gt;0,N133="",NOT(ISNUMBER(Q133))),1,0)</x:f>
        <x:v>0</x:v>
      </x:c>
      <x:c r="AB133" s="2" t="n">
        <x:f>IF(AND(H133&gt;0,N133&lt;&gt;"",NOT(ISNUMBER(N133))),1,0)</x:f>
        <x:v>0</x:v>
      </x:c>
    </x:row>
    <x:row r="134" ht="48" customHeight="1">
      <x:c r="A134" s="2" t="str">
        <x:v>MAIN-133</x:v>
      </x:c>
      <x:c r="B134" s="2" t="str">
        <x:v>Main</x:v>
      </x:c>
      <x:c r="C134" s="2" t="str">
        <x:v>Bengaluru</x:v>
      </x:c>
      <x:c r="D134" s="12" t="str">
        <x:v>Workflow by Oyo - Ranka</x:v>
      </x:c>
      <x:c r="E134" s="12" t="str">
        <x:v>32 inch LED TV</x:v>
      </x:c>
      <x:c r="F134" s="2" t="n">
        <x:v>1</x:v>
      </x:c>
      <x:c r="G134" s="2" t="n">
        <x:v>2</x:v>
      </x:c>
      <x:c r="H134" s="2" t="n">
        <x:f>COUNTIFS('Inventory'!$N$7:$N$783,A134,'Inventory'!$A$7:$A$783,1)</x:f>
        <x:v>1</x:v>
      </x:c>
      <x:c r="I134" s="2" t="n">
        <x:f>SUMIFS('Inventory'!$G$7:$G$783,'Inventory'!$N$7:$N$783,A134,'Inventory'!$A$7:$A$783,1)</x:f>
        <x:v>2</x:v>
      </x:c>
      <x:c r="J134" s="12" t="str">
        <x:v>Listed budget</x:v>
      </x:c>
      <x:c r="K134" s="17" t="n">
        <x:v>30000</x:v>
      </x:c>
      <x:c r="L134" s="17"/>
      <x:c r="M134" s="17"/>
      <x:c r="N134" s="19"/>
      <x:c r="O134" s="17" t="str">
        <x:f>IF(ISNUMBER(L134),G134*L134,IF(ISNUMBER(M134),M134,""))</x:f>
      </x:c>
      <x:c r="P134" s="17" t="n">
        <x:f>IF(ISNUMBER(K134),K134,IF(ISNUMBER(O134),O134,""))</x:f>
        <x:v>30000</x:v>
      </x:c>
      <x:c r="Q134" s="17" t="n">
        <x:f>IF(H134=0,0,IF(ISNUMBER(N134),N134,IF(N134="",IF(H134=F134,P134,""),"")))</x:f>
        <x:v>30000</x:v>
      </x:c>
      <x:c r="R134" s="17" t="n">
        <x:f>IF(ISNUMBER(Q134),ROUND(Q134*$C$4,2),"")</x:f>
        <x:v>5400</x:v>
      </x:c>
      <x:c r="S134" s="17" t="n">
        <x:f>IF(ISNUMBER(Q134),Q134+R134,"")</x:f>
        <x:v>35400</x:v>
      </x:c>
      <x:c r="T134" s="2" t="str">
        <x:f>IF(H134=0,"Not selected",IF(ISNUMBER(N134),"Quote entered",IF(N134&lt;&gt;"","Enter numeric quote",IF(H134=F134,IF(ISNUMBER(P134),"Complete unit","Price required"),"Partial package: price required"))))</x:f>
        <x:v>Complete unit</x:v>
      </x:c>
      <x:c r="U134" s="2" t="str">
        <x:v>TEN-3CA1AAB723EB; TEN-9C4F70484B81; TEN-AAEEDBF5BC96; TEN-B49D5403D442; TEN-EB0F5FEA7995</x:v>
      </x:c>
      <x:c r="V134" s="2" t="str">
        <x:v>Professional services; Education; Unresolved</x:v>
      </x:c>
      <x:c r="W134" s="2" t="str">
        <x:v>Small-scale prospects; Mixed business audience</x:v>
      </x:c>
      <x:c r="X134" s="17" t="n">
        <x:f>IF(AND(H134=F134,NOT(ISNUMBER(N134)),N134="",ISNUMBER(K134)),K134,0)</x:f>
        <x:v>30000</x:v>
      </x:c>
      <x:c r="Y134" s="17" t="n">
        <x:f>IF(AND(H134=F134,NOT(ISNUMBER(N134)),N134="",K134="",ISNUMBER(O134)),O134,0)</x:f>
        <x:v>0</x:v>
      </x:c>
      <x:c r="Z134" s="17" t="n">
        <x:f>IF(AND(H134&gt;0,ISNUMBER(N134)),N134,0)</x:f>
        <x:v>0</x:v>
      </x:c>
      <x:c r="AA134" s="2" t="n">
        <x:f>IF(AND(H134&gt;0,N134="",NOT(ISNUMBER(Q134))),1,0)</x:f>
        <x:v>0</x:v>
      </x:c>
      <x:c r="AB134" s="2" t="n">
        <x:f>IF(AND(H134&gt;0,N134&lt;&gt;"",NOT(ISNUMBER(N134))),1,0)</x:f>
        <x:v>0</x:v>
      </x:c>
    </x:row>
    <x:row r="135" ht="48" customHeight="1">
      <x:c r="A135" s="2" t="str">
        <x:v>MAIN-134</x:v>
      </x:c>
      <x:c r="B135" s="2" t="str">
        <x:v>Main</x:v>
      </x:c>
      <x:c r="C135" s="2" t="str">
        <x:v>Bengaluru</x:v>
      </x:c>
      <x:c r="D135" s="12" t="str">
        <x:v>Workhome - Coworking Space</x:v>
      </x:c>
      <x:c r="E135" s="12" t="str">
        <x:v>32 inch LED TV</x:v>
      </x:c>
      <x:c r="F135" s="2" t="n">
        <x:v>1</x:v>
      </x:c>
      <x:c r="G135" s="2" t="n">
        <x:v>2</x:v>
      </x:c>
      <x:c r="H135" s="2" t="n">
        <x:f>COUNTIFS('Inventory'!$N$7:$N$783,A135,'Inventory'!$A$7:$A$783,1)</x:f>
        <x:v>1</x:v>
      </x:c>
      <x:c r="I135" s="2" t="n">
        <x:f>SUMIFS('Inventory'!$G$7:$G$783,'Inventory'!$N$7:$N$783,A135,'Inventory'!$A$7:$A$783,1)</x:f>
        <x:v>2</x:v>
      </x:c>
      <x:c r="J135" s="12" t="str">
        <x:v>Listed budget</x:v>
      </x:c>
      <x:c r="K135" s="17" t="n">
        <x:v>30000</x:v>
      </x:c>
      <x:c r="L135" s="17"/>
      <x:c r="M135" s="17"/>
      <x:c r="N135" s="19"/>
      <x:c r="O135" s="17" t="str">
        <x:f>IF(ISNUMBER(L135),G135*L135,IF(ISNUMBER(M135),M135,""))</x:f>
      </x:c>
      <x:c r="P135" s="17" t="n">
        <x:f>IF(ISNUMBER(K135),K135,IF(ISNUMBER(O135),O135,""))</x:f>
        <x:v>30000</x:v>
      </x:c>
      <x:c r="Q135" s="17" t="n">
        <x:f>IF(H135=0,0,IF(ISNUMBER(N135),N135,IF(N135="",IF(H135=F135,P135,""),"")))</x:f>
        <x:v>30000</x:v>
      </x:c>
      <x:c r="R135" s="17" t="n">
        <x:f>IF(ISNUMBER(Q135),ROUND(Q135*$C$4,2),"")</x:f>
        <x:v>5400</x:v>
      </x:c>
      <x:c r="S135" s="17" t="n">
        <x:f>IF(ISNUMBER(Q135),Q135+R135,"")</x:f>
        <x:v>35400</x:v>
      </x:c>
      <x:c r="T135" s="2" t="str">
        <x:f>IF(H135=0,"Not selected",IF(ISNUMBER(N135),"Quote entered",IF(N135&lt;&gt;"","Enter numeric quote",IF(H135=F135,IF(ISNUMBER(P135),"Complete unit","Price required"),"Partial package: price required"))))</x:f>
        <x:v>Complete unit</x:v>
      </x:c>
      <x:c r="U135" s="2" t="str">
        <x:v>TEN-1437B6073554; TEN-AD047657DCA2</x:v>
      </x:c>
      <x:c r="V135" s="2" t="str">
        <x:v>Trade, consumer &amp; logistics; Unresolved</x:v>
      </x:c>
      <x:c r="W135" s="2" t="str">
        <x:v>Small-scale prospects; Mixed business audience</x:v>
      </x:c>
      <x:c r="X135" s="17" t="n">
        <x:f>IF(AND(H135=F135,NOT(ISNUMBER(N135)),N135="",ISNUMBER(K135)),K135,0)</x:f>
        <x:v>30000</x:v>
      </x:c>
      <x:c r="Y135" s="17" t="n">
        <x:f>IF(AND(H135=F135,NOT(ISNUMBER(N135)),N135="",K135="",ISNUMBER(O135)),O135,0)</x:f>
        <x:v>0</x:v>
      </x:c>
      <x:c r="Z135" s="17" t="n">
        <x:f>IF(AND(H135&gt;0,ISNUMBER(N135)),N135,0)</x:f>
        <x:v>0</x:v>
      </x:c>
      <x:c r="AA135" s="2" t="n">
        <x:f>IF(AND(H135&gt;0,N135="",NOT(ISNUMBER(Q135))),1,0)</x:f>
        <x:v>0</x:v>
      </x:c>
      <x:c r="AB135" s="2" t="n">
        <x:f>IF(AND(H135&gt;0,N135&lt;&gt;"",NOT(ISNUMBER(N135))),1,0)</x:f>
        <x:v>0</x:v>
      </x:c>
    </x:row>
    <x:row r="136" ht="48" customHeight="1">
      <x:c r="A136" s="2" t="str">
        <x:v>MAIN-135</x:v>
      </x:c>
      <x:c r="B136" s="2" t="str">
        <x:v>Main</x:v>
      </x:c>
      <x:c r="C136" s="2" t="str">
        <x:v>Bengaluru</x:v>
      </x:c>
      <x:c r="D136" s="12" t="str">
        <x:v>Zonasha Frontier</x:v>
      </x:c>
      <x:c r="E136" s="12" t="str">
        <x:v>55 inch LED TV</x:v>
      </x:c>
      <x:c r="F136" s="2" t="n">
        <x:v>1</x:v>
      </x:c>
      <x:c r="G136" s="2" t="n">
        <x:v>1</x:v>
      </x:c>
      <x:c r="H136" s="2" t="n">
        <x:f>COUNTIFS('Inventory'!$N$7:$N$783,A136,'Inventory'!$A$7:$A$783,1)</x:f>
        <x:v>1</x:v>
      </x:c>
      <x:c r="I136" s="2" t="n">
        <x:f>SUMIFS('Inventory'!$G$7:$G$783,'Inventory'!$N$7:$N$783,A136,'Inventory'!$A$7:$A$783,1)</x:f>
        <x:v>1</x:v>
      </x:c>
      <x:c r="J136" s="12" t="str">
        <x:v>Campaign format rate</x:v>
      </x:c>
      <x:c r="K136" s="17"/>
      <x:c r="L136" s="17" t="n">
        <x:f>$I$5</x:f>
        <x:v>40000</x:v>
      </x:c>
      <x:c r="M136" s="17"/>
      <x:c r="N136" s="19"/>
      <x:c r="O136" s="17" t="n">
        <x:f>IF(ISNUMBER(L136),G136*L136,IF(ISNUMBER(M136),M136,""))</x:f>
        <x:v>40000</x:v>
      </x:c>
      <x:c r="P136" s="17" t="n">
        <x:f>IF(ISNUMBER(K136),K136,IF(ISNUMBER(O136),O136,""))</x:f>
        <x:v>40000</x:v>
      </x:c>
      <x:c r="Q136" s="17" t="n">
        <x:f>IF(H136=0,0,IF(ISNUMBER(N136),N136,IF(N136="",IF(H136=F136,P136,""),"")))</x:f>
        <x:v>40000</x:v>
      </x:c>
      <x:c r="R136" s="17" t="n">
        <x:f>IF(ISNUMBER(Q136),ROUND(Q136*$C$4,2),"")</x:f>
        <x:v>7200</x:v>
      </x:c>
      <x:c r="S136" s="17" t="n">
        <x:f>IF(ISNUMBER(Q136),Q136+R136,"")</x:f>
        <x:v>47200</x:v>
      </x:c>
      <x:c r="T136" s="2" t="str">
        <x:f>IF(H136=0,"Not selected",IF(ISNUMBER(N136),"Quote entered",IF(N136&lt;&gt;"","Enter numeric quote",IF(H136=F136,IF(ISNUMBER(P136),"Complete unit","Price required"),"Partial package: price required"))))</x:f>
        <x:v>Complete unit</x:v>
      </x:c>
      <x:c r="U136" s="2" t="str">
        <x:v>TEN-7C0CB89957C8; TEN-D0E2ECE166BD</x:v>
      </x:c>
      <x:c r="V136" s="2" t="str">
        <x:v>Engineering &amp; manufacturing; Trade, consumer &amp; logistics</x:v>
      </x:c>
      <x:c r="W136" s="2" t="str">
        <x:v>Small-scale prospects; Large enterprise</x:v>
      </x:c>
      <x:c r="X136" s="17" t="n">
        <x:f>IF(AND(H136=F136,NOT(ISNUMBER(N136)),N136="",ISNUMBER(K136)),K136,0)</x:f>
        <x:v>0</x:v>
      </x:c>
      <x:c r="Y136" s="17" t="n">
        <x:f>IF(AND(H136=F136,NOT(ISNUMBER(N136)),N136="",K136="",ISNUMBER(O136)),O136,0)</x:f>
        <x:v>40000</x:v>
      </x:c>
      <x:c r="Z136" s="17" t="n">
        <x:f>IF(AND(H136&gt;0,ISNUMBER(N136)),N136,0)</x:f>
        <x:v>0</x:v>
      </x:c>
      <x:c r="AA136" s="2" t="n">
        <x:f>IF(AND(H136&gt;0,N136="",NOT(ISNUMBER(Q136))),1,0)</x:f>
        <x:v>0</x:v>
      </x:c>
      <x:c r="AB136" s="2" t="n">
        <x:f>IF(AND(H136&gt;0,N136&lt;&gt;"",NOT(ISNUMBER(N136))),1,0)</x:f>
        <x:v>0</x:v>
      </x:c>
    </x:row>
    <x:row r="137" ht="48" customHeight="1">
      <x:c r="A137" s="2" t="str">
        <x:v>MAIN-136</x:v>
      </x:c>
      <x:c r="B137" s="2" t="str">
        <x:v>Main</x:v>
      </x:c>
      <x:c r="C137" s="2" t="str">
        <x:v>Bhubaneswar</x:v>
      </x:c>
      <x:c r="D137" s="12" t="str">
        <x:v>Awfis - Ginger</x:v>
      </x:c>
      <x:c r="E137" s="12" t="str">
        <x:v>32 inch LED TV</x:v>
      </x:c>
      <x:c r="F137" s="2" t="n">
        <x:v>1</x:v>
      </x:c>
      <x:c r="G137" s="2" t="n">
        <x:v>2</x:v>
      </x:c>
      <x:c r="H137" s="2" t="n">
        <x:f>COUNTIFS('Inventory'!$N$7:$N$783,A137,'Inventory'!$A$7:$A$783,1)</x:f>
        <x:v>1</x:v>
      </x:c>
      <x:c r="I137" s="2" t="n">
        <x:f>SUMIFS('Inventory'!$G$7:$G$783,'Inventory'!$N$7:$N$783,A137,'Inventory'!$A$7:$A$783,1)</x:f>
        <x:v>2</x:v>
      </x:c>
      <x:c r="J137" s="12" t="str">
        <x:v>Listed budget</x:v>
      </x:c>
      <x:c r="K137" s="17" t="n">
        <x:v>30000</x:v>
      </x:c>
      <x:c r="L137" s="17"/>
      <x:c r="M137" s="17"/>
      <x:c r="N137" s="19"/>
      <x:c r="O137" s="17" t="str">
        <x:f>IF(ISNUMBER(L137),G137*L137,IF(ISNUMBER(M137),M137,""))</x:f>
      </x:c>
      <x:c r="P137" s="17" t="n">
        <x:f>IF(ISNUMBER(K137),K137,IF(ISNUMBER(O137),O137,""))</x:f>
        <x:v>30000</x:v>
      </x:c>
      <x:c r="Q137" s="17" t="n">
        <x:f>IF(H137=0,0,IF(ISNUMBER(N137),N137,IF(N137="",IF(H137=F137,P137,""),"")))</x:f>
        <x:v>30000</x:v>
      </x:c>
      <x:c r="R137" s="17" t="n">
        <x:f>IF(ISNUMBER(Q137),ROUND(Q137*$C$4,2),"")</x:f>
        <x:v>5400</x:v>
      </x:c>
      <x:c r="S137" s="17" t="n">
        <x:f>IF(ISNUMBER(Q137),Q137+R137,"")</x:f>
        <x:v>35400</x:v>
      </x:c>
      <x:c r="T137" s="2" t="str">
        <x:f>IF(H137=0,"Not selected",IF(ISNUMBER(N137),"Quote entered",IF(N137&lt;&gt;"","Enter numeric quote",IF(H137=F137,IF(ISNUMBER(P137),"Complete unit","Price required"),"Partial package: price required"))))</x:f>
        <x:v>Complete unit</x:v>
      </x:c>
      <x:c r="U137" s="2" t="str">
        <x:v>TEN-65326AA32AB9</x:v>
      </x:c>
      <x:c r="V137" s="2" t="str">
        <x:v>Finance &amp; insurance</x:v>
      </x:c>
      <x:c r="W137" s="2" t="str">
        <x:v>Large enterprise</x:v>
      </x:c>
      <x:c r="X137" s="17" t="n">
        <x:f>IF(AND(H137=F137,NOT(ISNUMBER(N137)),N137="",ISNUMBER(K137)),K137,0)</x:f>
        <x:v>30000</x:v>
      </x:c>
      <x:c r="Y137" s="17" t="n">
        <x:f>IF(AND(H137=F137,NOT(ISNUMBER(N137)),N137="",K137="",ISNUMBER(O137)),O137,0)</x:f>
        <x:v>0</x:v>
      </x:c>
      <x:c r="Z137" s="17" t="n">
        <x:f>IF(AND(H137&gt;0,ISNUMBER(N137)),N137,0)</x:f>
        <x:v>0</x:v>
      </x:c>
      <x:c r="AA137" s="2" t="n">
        <x:f>IF(AND(H137&gt;0,N137="",NOT(ISNUMBER(Q137))),1,0)</x:f>
        <x:v>0</x:v>
      </x:c>
      <x:c r="AB137" s="2" t="n">
        <x:f>IF(AND(H137&gt;0,N137&lt;&gt;"",NOT(ISNUMBER(N137))),1,0)</x:f>
        <x:v>0</x:v>
      </x:c>
    </x:row>
    <x:row r="138" ht="48" customHeight="1">
      <x:c r="A138" s="2" t="str">
        <x:v>MAIN-137</x:v>
      </x:c>
      <x:c r="B138" s="2" t="str">
        <x:v>Main</x:v>
      </x:c>
      <x:c r="C138" s="2" t="str">
        <x:v>Bhubaneswar</x:v>
      </x:c>
      <x:c r="D138" s="12" t="str">
        <x:v>Awfis - SRB Tower</x:v>
      </x:c>
      <x:c r="E138" s="12" t="str">
        <x:v>32 inch LED TV</x:v>
      </x:c>
      <x:c r="F138" s="2" t="n">
        <x:v>1</x:v>
      </x:c>
      <x:c r="G138" s="2" t="n">
        <x:v>2</x:v>
      </x:c>
      <x:c r="H138" s="2" t="n">
        <x:f>COUNTIFS('Inventory'!$N$7:$N$783,A138,'Inventory'!$A$7:$A$783,1)</x:f>
        <x:v>1</x:v>
      </x:c>
      <x:c r="I138" s="2" t="n">
        <x:f>SUMIFS('Inventory'!$G$7:$G$783,'Inventory'!$N$7:$N$783,A138,'Inventory'!$A$7:$A$783,1)</x:f>
        <x:v>2</x:v>
      </x:c>
      <x:c r="J138" s="12" t="str">
        <x:v>Listed budget</x:v>
      </x:c>
      <x:c r="K138" s="17" t="n">
        <x:v>30000</x:v>
      </x:c>
      <x:c r="L138" s="17"/>
      <x:c r="M138" s="17"/>
      <x:c r="N138" s="19"/>
      <x:c r="O138" s="17" t="str">
        <x:f>IF(ISNUMBER(L138),G138*L138,IF(ISNUMBER(M138),M138,""))</x:f>
      </x:c>
      <x:c r="P138" s="17" t="n">
        <x:f>IF(ISNUMBER(K138),K138,IF(ISNUMBER(O138),O138,""))</x:f>
        <x:v>30000</x:v>
      </x:c>
      <x:c r="Q138" s="17" t="n">
        <x:f>IF(H138=0,0,IF(ISNUMBER(N138),N138,IF(N138="",IF(H138=F138,P138,""),"")))</x:f>
        <x:v>30000</x:v>
      </x:c>
      <x:c r="R138" s="17" t="n">
        <x:f>IF(ISNUMBER(Q138),ROUND(Q138*$C$4,2),"")</x:f>
        <x:v>5400</x:v>
      </x:c>
      <x:c r="S138" s="17" t="n">
        <x:f>IF(ISNUMBER(Q138),Q138+R138,"")</x:f>
        <x:v>35400</x:v>
      </x:c>
      <x:c r="T138" s="2" t="str">
        <x:f>IF(H138=0,"Not selected",IF(ISNUMBER(N138),"Quote entered",IF(N138&lt;&gt;"","Enter numeric quote",IF(H138=F138,IF(ISNUMBER(P138),"Complete unit","Price required"),"Partial package: price required"))))</x:f>
        <x:v>Complete unit</x:v>
      </x:c>
      <x:c r="U138" s="2" t="str">
        <x:v>TEN-2CD243D0A3EB; TEN-48C25C3A552B; TEN-5138C32F78E3; TEN-5EEBF120A5F4</x:v>
      </x:c>
      <x:c r="V138" s="2" t="str">
        <x:v>IT &amp; digital; Engineering &amp; manufacturing; Trade, consumer &amp; logistics</x:v>
      </x:c>
      <x:c r="W138" s="2" t="str">
        <x:v>Small-scale prospects; Medium-scale prospects</x:v>
      </x:c>
      <x:c r="X138" s="17" t="n">
        <x:f>IF(AND(H138=F138,NOT(ISNUMBER(N138)),N138="",ISNUMBER(K138)),K138,0)</x:f>
        <x:v>30000</x:v>
      </x:c>
      <x:c r="Y138" s="17" t="n">
        <x:f>IF(AND(H138=F138,NOT(ISNUMBER(N138)),N138="",K138="",ISNUMBER(O138)),O138,0)</x:f>
        <x:v>0</x:v>
      </x:c>
      <x:c r="Z138" s="17" t="n">
        <x:f>IF(AND(H138&gt;0,ISNUMBER(N138)),N138,0)</x:f>
        <x:v>0</x:v>
      </x:c>
      <x:c r="AA138" s="2" t="n">
        <x:f>IF(AND(H138&gt;0,N138="",NOT(ISNUMBER(Q138))),1,0)</x:f>
        <x:v>0</x:v>
      </x:c>
      <x:c r="AB138" s="2" t="n">
        <x:f>IF(AND(H138&gt;0,N138&lt;&gt;"",NOT(ISNUMBER(N138))),1,0)</x:f>
        <x:v>0</x:v>
      </x:c>
    </x:row>
    <x:row r="139" ht="48" customHeight="1">
      <x:c r="A139" s="2" t="str">
        <x:v>MAIN-138</x:v>
      </x:c>
      <x:c r="B139" s="2" t="str">
        <x:v>Main</x:v>
      </x:c>
      <x:c r="C139" s="2" t="str">
        <x:v>Chennai</x:v>
      </x:c>
      <x:c r="D139" s="12" t="str">
        <x:v>Arihant Verge Global Park (Pod Screens)</x:v>
      </x:c>
      <x:c r="E139" s="12" t="str">
        <x:v>43 inch LED TV</x:v>
      </x:c>
      <x:c r="F139" s="2" t="n">
        <x:v>1</x:v>
      </x:c>
      <x:c r="G139" s="2" t="n">
        <x:v>2</x:v>
      </x:c>
      <x:c r="H139" s="2" t="n">
        <x:f>COUNTIFS('Inventory'!$N$7:$N$783,A139,'Inventory'!$A$7:$A$783,1)</x:f>
        <x:v>1</x:v>
      </x:c>
      <x:c r="I139" s="2" t="n">
        <x:f>SUMIFS('Inventory'!$G$7:$G$783,'Inventory'!$N$7:$N$783,A139,'Inventory'!$A$7:$A$783,1)</x:f>
        <x:v>2</x:v>
      </x:c>
      <x:c r="J139" s="12" t="str">
        <x:v>Campaign format rate</x:v>
      </x:c>
      <x:c r="K139" s="17"/>
      <x:c r="L139" s="17" t="n">
        <x:f>$E$5</x:f>
        <x:v>20000</x:v>
      </x:c>
      <x:c r="M139" s="17"/>
      <x:c r="N139" s="19"/>
      <x:c r="O139" s="17" t="n">
        <x:f>IF(ISNUMBER(L139),G139*L139,IF(ISNUMBER(M139),M139,""))</x:f>
        <x:v>40000</x:v>
      </x:c>
      <x:c r="P139" s="17" t="n">
        <x:f>IF(ISNUMBER(K139),K139,IF(ISNUMBER(O139),O139,""))</x:f>
        <x:v>40000</x:v>
      </x:c>
      <x:c r="Q139" s="17" t="n">
        <x:f>IF(H139=0,0,IF(ISNUMBER(N139),N139,IF(N139="",IF(H139=F139,P139,""),"")))</x:f>
        <x:v>40000</x:v>
      </x:c>
      <x:c r="R139" s="17" t="n">
        <x:f>IF(ISNUMBER(Q139),ROUND(Q139*$C$4,2),"")</x:f>
        <x:v>7200</x:v>
      </x:c>
      <x:c r="S139" s="17" t="n">
        <x:f>IF(ISNUMBER(Q139),Q139+R139,"")</x:f>
        <x:v>47200</x:v>
      </x:c>
      <x:c r="T139" s="2" t="str">
        <x:f>IF(H139=0,"Not selected",IF(ISNUMBER(N139),"Quote entered",IF(N139&lt;&gt;"","Enter numeric quote",IF(H139=F139,IF(ISNUMBER(P139),"Complete unit","Price required"),"Partial package: price required"))))</x:f>
        <x:v>Complete unit</x:v>
      </x:c>
      <x:c r="U139" s="2" t="str">
        <x:v>TEN-78925369B27F; TEN-E6F146354586</x:v>
      </x:c>
      <x:c r="V139" s="2" t="str">
        <x:v>IT &amp; digital; Unresolved</x:v>
      </x:c>
      <x:c r="W139" s="2" t="str">
        <x:v>Large enterprise; Mixed business audience</x:v>
      </x:c>
      <x:c r="X139" s="17" t="n">
        <x:f>IF(AND(H139=F139,NOT(ISNUMBER(N139)),N139="",ISNUMBER(K139)),K139,0)</x:f>
        <x:v>0</x:v>
      </x:c>
      <x:c r="Y139" s="17" t="n">
        <x:f>IF(AND(H139=F139,NOT(ISNUMBER(N139)),N139="",K139="",ISNUMBER(O139)),O139,0)</x:f>
        <x:v>40000</x:v>
      </x:c>
      <x:c r="Z139" s="17" t="n">
        <x:f>IF(AND(H139&gt;0,ISNUMBER(N139)),N139,0)</x:f>
        <x:v>0</x:v>
      </x:c>
      <x:c r="AA139" s="2" t="n">
        <x:f>IF(AND(H139&gt;0,N139="",NOT(ISNUMBER(Q139))),1,0)</x:f>
        <x:v>0</x:v>
      </x:c>
      <x:c r="AB139" s="2" t="n">
        <x:f>IF(AND(H139&gt;0,N139&lt;&gt;"",NOT(ISNUMBER(N139))),1,0)</x:f>
        <x:v>0</x:v>
      </x:c>
    </x:row>
    <x:row r="140" ht="48" customHeight="1">
      <x:c r="A140" s="2" t="str">
        <x:v>MAIN-139</x:v>
      </x:c>
      <x:c r="B140" s="2" t="str">
        <x:v>Main</x:v>
      </x:c>
      <x:c r="C140" s="2" t="str">
        <x:v>Chennai</x:v>
      </x:c>
      <x:c r="D140" s="12" t="str">
        <x:v>Awfis - Gemini Circle</x:v>
      </x:c>
      <x:c r="E140" s="12" t="str">
        <x:v>32 inch LED TV</x:v>
      </x:c>
      <x:c r="F140" s="2" t="n">
        <x:v>1</x:v>
      </x:c>
      <x:c r="G140" s="2" t="n">
        <x:v>5</x:v>
      </x:c>
      <x:c r="H140" s="2" t="n">
        <x:f>COUNTIFS('Inventory'!$N$7:$N$783,A140,'Inventory'!$A$7:$A$783,1)</x:f>
        <x:v>1</x:v>
      </x:c>
      <x:c r="I140" s="2" t="n">
        <x:f>SUMIFS('Inventory'!$G$7:$G$783,'Inventory'!$N$7:$N$783,A140,'Inventory'!$A$7:$A$783,1)</x:f>
        <x:v>5</x:v>
      </x:c>
      <x:c r="J140" s="12" t="str">
        <x:v>Listed budget</x:v>
      </x:c>
      <x:c r="K140" s="17" t="n">
        <x:v>75000</x:v>
      </x:c>
      <x:c r="L140" s="17"/>
      <x:c r="M140" s="17"/>
      <x:c r="N140" s="19"/>
      <x:c r="O140" s="17" t="str">
        <x:f>IF(ISNUMBER(L140),G140*L140,IF(ISNUMBER(M140),M140,""))</x:f>
      </x:c>
      <x:c r="P140" s="17" t="n">
        <x:f>IF(ISNUMBER(K140),K140,IF(ISNUMBER(O140),O140,""))</x:f>
        <x:v>75000</x:v>
      </x:c>
      <x:c r="Q140" s="17" t="n">
        <x:f>IF(H140=0,0,IF(ISNUMBER(N140),N140,IF(N140="",IF(H140=F140,P140,""),"")))</x:f>
        <x:v>75000</x:v>
      </x:c>
      <x:c r="R140" s="17" t="n">
        <x:f>IF(ISNUMBER(Q140),ROUND(Q140*$C$4,2),"")</x:f>
        <x:v>13500</x:v>
      </x:c>
      <x:c r="S140" s="17" t="n">
        <x:f>IF(ISNUMBER(Q140),Q140+R140,"")</x:f>
        <x:v>88500</x:v>
      </x:c>
      <x:c r="T140" s="2" t="str">
        <x:f>IF(H140=0,"Not selected",IF(ISNUMBER(N140),"Quote entered",IF(N140&lt;&gt;"","Enter numeric quote",IF(H140=F140,IF(ISNUMBER(P140),"Complete unit","Price required"),"Partial package: price required"))))</x:f>
        <x:v>Complete unit</x:v>
      </x:c>
      <x:c r="U140" s="2" t="str">
        <x:v>TEN-1264CA38DECB; TEN-59F47C57E3E6; TEN-AF3AAC2C86FE; TEN-C8342EFF5C6C; TEN-D425AE684836</x:v>
      </x:c>
      <x:c r="V140" s="2" t="str">
        <x:v>Professional services; Trade, consumer &amp; logistics; Unresolved</x:v>
      </x:c>
      <x:c r="W140" s="2" t="str">
        <x:v>Small-scale prospects; Medium-scale prospects; Mixed business audience</x:v>
      </x:c>
      <x:c r="X140" s="17" t="n">
        <x:f>IF(AND(H140=F140,NOT(ISNUMBER(N140)),N140="",ISNUMBER(K140)),K140,0)</x:f>
        <x:v>75000</x:v>
      </x:c>
      <x:c r="Y140" s="17" t="n">
        <x:f>IF(AND(H140=F140,NOT(ISNUMBER(N140)),N140="",K140="",ISNUMBER(O140)),O140,0)</x:f>
        <x:v>0</x:v>
      </x:c>
      <x:c r="Z140" s="17" t="n">
        <x:f>IF(AND(H140&gt;0,ISNUMBER(N140)),N140,0)</x:f>
        <x:v>0</x:v>
      </x:c>
      <x:c r="AA140" s="2" t="n">
        <x:f>IF(AND(H140&gt;0,N140="",NOT(ISNUMBER(Q140))),1,0)</x:f>
        <x:v>0</x:v>
      </x:c>
      <x:c r="AB140" s="2" t="n">
        <x:f>IF(AND(H140&gt;0,N140&lt;&gt;"",NOT(ISNUMBER(N140))),1,0)</x:f>
        <x:v>0</x:v>
      </x:c>
    </x:row>
    <x:row r="141" ht="48" customHeight="1">
      <x:c r="A141" s="2" t="str">
        <x:v>MAIN-140</x:v>
      </x:c>
      <x:c r="B141" s="2" t="str">
        <x:v>Main</x:v>
      </x:c>
      <x:c r="C141" s="2" t="str">
        <x:v>Chennai</x:v>
      </x:c>
      <x:c r="D141" s="12" t="str">
        <x:v>Awfis - OMR</x:v>
      </x:c>
      <x:c r="E141" s="12" t="str">
        <x:v>32 inch LED TV</x:v>
      </x:c>
      <x:c r="F141" s="2" t="n">
        <x:v>1</x:v>
      </x:c>
      <x:c r="G141" s="2" t="n">
        <x:v>7</x:v>
      </x:c>
      <x:c r="H141" s="2" t="n">
        <x:f>COUNTIFS('Inventory'!$N$7:$N$783,A141,'Inventory'!$A$7:$A$783,1)</x:f>
        <x:v>1</x:v>
      </x:c>
      <x:c r="I141" s="2" t="n">
        <x:f>SUMIFS('Inventory'!$G$7:$G$783,'Inventory'!$N$7:$N$783,A141,'Inventory'!$A$7:$A$783,1)</x:f>
        <x:v>7</x:v>
      </x:c>
      <x:c r="J141" s="12" t="str">
        <x:v>Listed budget</x:v>
      </x:c>
      <x:c r="K141" s="17" t="n">
        <x:v>105000</x:v>
      </x:c>
      <x:c r="L141" s="17"/>
      <x:c r="M141" s="17"/>
      <x:c r="N141" s="19"/>
      <x:c r="O141" s="17" t="str">
        <x:f>IF(ISNUMBER(L141),G141*L141,IF(ISNUMBER(M141),M141,""))</x:f>
      </x:c>
      <x:c r="P141" s="17" t="n">
        <x:f>IF(ISNUMBER(K141),K141,IF(ISNUMBER(O141),O141,""))</x:f>
        <x:v>105000</x:v>
      </x:c>
      <x:c r="Q141" s="17" t="n">
        <x:f>IF(H141=0,0,IF(ISNUMBER(N141),N141,IF(N141="",IF(H141=F141,P141,""),"")))</x:f>
        <x:v>105000</x:v>
      </x:c>
      <x:c r="R141" s="17" t="n">
        <x:f>IF(ISNUMBER(Q141),ROUND(Q141*$C$4,2),"")</x:f>
        <x:v>18900</x:v>
      </x:c>
      <x:c r="S141" s="17" t="n">
        <x:f>IF(ISNUMBER(Q141),Q141+R141,"")</x:f>
        <x:v>123900</x:v>
      </x:c>
      <x:c r="T141" s="2" t="str">
        <x:f>IF(H141=0,"Not selected",IF(ISNUMBER(N141),"Quote entered",IF(N141&lt;&gt;"","Enter numeric quote",IF(H141=F141,IF(ISNUMBER(P141),"Complete unit","Price required"),"Partial package: price required"))))</x:f>
        <x:v>Complete unit</x:v>
      </x:c>
      <x:c r="U141" s="2" t="str">
        <x:v>TEN-05E2B0A1B938; TEN-1E7D193E1AB3; TEN-3A6BC54B4437; TEN-3E13E1C0E061; TEN-5A517687BF13; TEN-757EAEA137D5; TEN-AE0965DF4BB7; TEN-BB7F414379C6; TEN-E0D35E7B9595; TEN-EAF4D7735EC1; TEN-F9337D4627CA</x:v>
      </x:c>
      <x:c r="V141" s="2" t="str">
        <x:v>IT &amp; digital; Professional services; Engineering &amp; manufacturing; Unresolved</x:v>
      </x:c>
      <x:c r="W141" s="2" t="str">
        <x:v>Small-scale prospects; Large enterprise; Mixed business audience</x:v>
      </x:c>
      <x:c r="X141" s="17" t="n">
        <x:f>IF(AND(H141=F141,NOT(ISNUMBER(N141)),N141="",ISNUMBER(K141)),K141,0)</x:f>
        <x:v>105000</x:v>
      </x:c>
      <x:c r="Y141" s="17" t="n">
        <x:f>IF(AND(H141=F141,NOT(ISNUMBER(N141)),N141="",K141="",ISNUMBER(O141)),O141,0)</x:f>
        <x:v>0</x:v>
      </x:c>
      <x:c r="Z141" s="17" t="n">
        <x:f>IF(AND(H141&gt;0,ISNUMBER(N141)),N141,0)</x:f>
        <x:v>0</x:v>
      </x:c>
      <x:c r="AA141" s="2" t="n">
        <x:f>IF(AND(H141&gt;0,N141="",NOT(ISNUMBER(Q141))),1,0)</x:f>
        <x:v>0</x:v>
      </x:c>
      <x:c r="AB141" s="2" t="n">
        <x:f>IF(AND(H141&gt;0,N141&lt;&gt;"",NOT(ISNUMBER(N141))),1,0)</x:f>
        <x:v>0</x:v>
      </x:c>
    </x:row>
    <x:row r="142" ht="48" customHeight="1">
      <x:c r="A142" s="2" t="str">
        <x:v>MAIN-141</x:v>
      </x:c>
      <x:c r="B142" s="2" t="str">
        <x:v>Main</x:v>
      </x:c>
      <x:c r="C142" s="2" t="str">
        <x:v>Chennai</x:v>
      </x:c>
      <x:c r="D142" s="12" t="str">
        <x:v>Awfis - Prestige Cosmopolitan-I</x:v>
      </x:c>
      <x:c r="E142" s="12" t="str">
        <x:v>32 inch LED TV</x:v>
      </x:c>
      <x:c r="F142" s="2" t="n">
        <x:v>1</x:v>
      </x:c>
      <x:c r="G142" s="2" t="n">
        <x:v>4</x:v>
      </x:c>
      <x:c r="H142" s="2" t="n">
        <x:f>COUNTIFS('Inventory'!$N$7:$N$783,A142,'Inventory'!$A$7:$A$783,1)</x:f>
        <x:v>1</x:v>
      </x:c>
      <x:c r="I142" s="2" t="n">
        <x:f>SUMIFS('Inventory'!$G$7:$G$783,'Inventory'!$N$7:$N$783,A142,'Inventory'!$A$7:$A$783,1)</x:f>
        <x:v>4</x:v>
      </x:c>
      <x:c r="J142" s="12" t="str">
        <x:v>Listed budget</x:v>
      </x:c>
      <x:c r="K142" s="17" t="n">
        <x:v>60000</x:v>
      </x:c>
      <x:c r="L142" s="17"/>
      <x:c r="M142" s="17"/>
      <x:c r="N142" s="19"/>
      <x:c r="O142" s="17" t="str">
        <x:f>IF(ISNUMBER(L142),G142*L142,IF(ISNUMBER(M142),M142,""))</x:f>
      </x:c>
      <x:c r="P142" s="17" t="n">
        <x:f>IF(ISNUMBER(K142),K142,IF(ISNUMBER(O142),O142,""))</x:f>
        <x:v>60000</x:v>
      </x:c>
      <x:c r="Q142" s="17" t="n">
        <x:f>IF(H142=0,0,IF(ISNUMBER(N142),N142,IF(N142="",IF(H142=F142,P142,""),"")))</x:f>
        <x:v>60000</x:v>
      </x:c>
      <x:c r="R142" s="17" t="n">
        <x:f>IF(ISNUMBER(Q142),ROUND(Q142*$C$4,2),"")</x:f>
        <x:v>10800</x:v>
      </x:c>
      <x:c r="S142" s="17" t="n">
        <x:f>IF(ISNUMBER(Q142),Q142+R142,"")</x:f>
        <x:v>70800</x:v>
      </x:c>
      <x:c r="T142" s="2" t="str">
        <x:f>IF(H142=0,"Not selected",IF(ISNUMBER(N142),"Quote entered",IF(N142&lt;&gt;"","Enter numeric quote",IF(H142=F142,IF(ISNUMBER(P142),"Complete unit","Price required"),"Partial package: price required"))))</x:f>
        <x:v>Complete unit</x:v>
      </x:c>
      <x:c r="U142" s="2" t="str">
        <x:v>TEN-197BE48BE03D; TEN-462162D29E77; TEN-78B49FB2CC2D; TEN-9E6B337110FE; TEN-AC70DCB61780; TEN-FC69E443209A</x:v>
      </x:c>
      <x:c r="V142" s="2" t="str">
        <x:v>Professional services; Engineering &amp; manufacturing; Trade, consumer &amp; logistics; Unresolved</x:v>
      </x:c>
      <x:c r="W142" s="2" t="str">
        <x:v>Small-scale prospects; Mixed business audience</x:v>
      </x:c>
      <x:c r="X142" s="17" t="n">
        <x:f>IF(AND(H142=F142,NOT(ISNUMBER(N142)),N142="",ISNUMBER(K142)),K142,0)</x:f>
        <x:v>60000</x:v>
      </x:c>
      <x:c r="Y142" s="17" t="n">
        <x:f>IF(AND(H142=F142,NOT(ISNUMBER(N142)),N142="",K142="",ISNUMBER(O142)),O142,0)</x:f>
        <x:v>0</x:v>
      </x:c>
      <x:c r="Z142" s="17" t="n">
        <x:f>IF(AND(H142&gt;0,ISNUMBER(N142)),N142,0)</x:f>
        <x:v>0</x:v>
      </x:c>
      <x:c r="AA142" s="2" t="n">
        <x:f>IF(AND(H142&gt;0,N142="",NOT(ISNUMBER(Q142))),1,0)</x:f>
        <x:v>0</x:v>
      </x:c>
      <x:c r="AB142" s="2" t="n">
        <x:f>IF(AND(H142&gt;0,N142&lt;&gt;"",NOT(ISNUMBER(N142))),1,0)</x:f>
        <x:v>0</x:v>
      </x:c>
    </x:row>
    <x:row r="143" ht="48" customHeight="1">
      <x:c r="A143" s="2" t="str">
        <x:v>MAIN-142</x:v>
      </x:c>
      <x:c r="B143" s="2" t="str">
        <x:v>Main</x:v>
      </x:c>
      <x:c r="C143" s="2" t="str">
        <x:v>Chennai</x:v>
      </x:c>
      <x:c r="D143" s="12" t="str">
        <x:v>Awfis - Sierra</x:v>
      </x:c>
      <x:c r="E143" s="12" t="str">
        <x:v>32 inch LED TV</x:v>
      </x:c>
      <x:c r="F143" s="2" t="n">
        <x:v>1</x:v>
      </x:c>
      <x:c r="G143" s="2" t="n">
        <x:v>3</x:v>
      </x:c>
      <x:c r="H143" s="2" t="n">
        <x:f>COUNTIFS('Inventory'!$N$7:$N$783,A143,'Inventory'!$A$7:$A$783,1)</x:f>
        <x:v>1</x:v>
      </x:c>
      <x:c r="I143" s="2" t="n">
        <x:f>SUMIFS('Inventory'!$G$7:$G$783,'Inventory'!$N$7:$N$783,A143,'Inventory'!$A$7:$A$783,1)</x:f>
        <x:v>3</x:v>
      </x:c>
      <x:c r="J143" s="12" t="str">
        <x:v>Listed budget</x:v>
      </x:c>
      <x:c r="K143" s="17" t="n">
        <x:v>45000</x:v>
      </x:c>
      <x:c r="L143" s="17"/>
      <x:c r="M143" s="17"/>
      <x:c r="N143" s="19"/>
      <x:c r="O143" s="17" t="str">
        <x:f>IF(ISNUMBER(L143),G143*L143,IF(ISNUMBER(M143),M143,""))</x:f>
      </x:c>
      <x:c r="P143" s="17" t="n">
        <x:f>IF(ISNUMBER(K143),K143,IF(ISNUMBER(O143),O143,""))</x:f>
        <x:v>45000</x:v>
      </x:c>
      <x:c r="Q143" s="17" t="n">
        <x:f>IF(H143=0,0,IF(ISNUMBER(N143),N143,IF(N143="",IF(H143=F143,P143,""),"")))</x:f>
        <x:v>45000</x:v>
      </x:c>
      <x:c r="R143" s="17" t="n">
        <x:f>IF(ISNUMBER(Q143),ROUND(Q143*$C$4,2),"")</x:f>
        <x:v>8100</x:v>
      </x:c>
      <x:c r="S143" s="17" t="n">
        <x:f>IF(ISNUMBER(Q143),Q143+R143,"")</x:f>
        <x:v>53100</x:v>
      </x:c>
      <x:c r="T143" s="2" t="str">
        <x:f>IF(H143=0,"Not selected",IF(ISNUMBER(N143),"Quote entered",IF(N143&lt;&gt;"","Enter numeric quote",IF(H143=F143,IF(ISNUMBER(P143),"Complete unit","Price required"),"Partial package: price required"))))</x:f>
        <x:v>Complete unit</x:v>
      </x:c>
      <x:c r="U143" s="2" t="str">
        <x:v>TEN-122B60C0A5AE; TEN-1C939685F784; TEN-3EAF3CE6E89D; TEN-8ADA0F71C1EF</x:v>
      </x:c>
      <x:c r="V143" s="2" t="str">
        <x:v>IT &amp; digital; Professional services; Engineering &amp; manufacturing; Unresolved</x:v>
      </x:c>
      <x:c r="W143" s="2" t="str">
        <x:v>Medium-scale prospects; Mixed business audience</x:v>
      </x:c>
      <x:c r="X143" s="17" t="n">
        <x:f>IF(AND(H143=F143,NOT(ISNUMBER(N143)),N143="",ISNUMBER(K143)),K143,0)</x:f>
        <x:v>45000</x:v>
      </x:c>
      <x:c r="Y143" s="17" t="n">
        <x:f>IF(AND(H143=F143,NOT(ISNUMBER(N143)),N143="",K143="",ISNUMBER(O143)),O143,0)</x:f>
        <x:v>0</x:v>
      </x:c>
      <x:c r="Z143" s="17" t="n">
        <x:f>IF(AND(H143&gt;0,ISNUMBER(N143)),N143,0)</x:f>
        <x:v>0</x:v>
      </x:c>
      <x:c r="AA143" s="2" t="n">
        <x:f>IF(AND(H143&gt;0,N143="",NOT(ISNUMBER(Q143))),1,0)</x:f>
        <x:v>0</x:v>
      </x:c>
      <x:c r="AB143" s="2" t="n">
        <x:f>IF(AND(H143&gt;0,N143&lt;&gt;"",NOT(ISNUMBER(N143))),1,0)</x:f>
        <x:v>0</x:v>
      </x:c>
    </x:row>
    <x:row r="144" ht="48" customHeight="1">
      <x:c r="A144" s="2" t="str">
        <x:v>MAIN-143</x:v>
      </x:c>
      <x:c r="B144" s="2" t="str">
        <x:v>Main</x:v>
      </x:c>
      <x:c r="C144" s="2" t="str">
        <x:v>Chennai</x:v>
      </x:c>
      <x:c r="D144" s="12" t="str">
        <x:v>Bharati Vilas Tech Park</x:v>
      </x:c>
      <x:c r="E144" s="12" t="str">
        <x:v>43 inch LED TV</x:v>
      </x:c>
      <x:c r="F144" s="2" t="n">
        <x:v>1</x:v>
      </x:c>
      <x:c r="G144" s="2" t="n">
        <x:v>2</x:v>
      </x:c>
      <x:c r="H144" s="2" t="n">
        <x:f>COUNTIFS('Inventory'!$N$7:$N$783,A144,'Inventory'!$A$7:$A$783,1)</x:f>
        <x:v>1</x:v>
      </x:c>
      <x:c r="I144" s="2" t="n">
        <x:f>SUMIFS('Inventory'!$G$7:$G$783,'Inventory'!$N$7:$N$783,A144,'Inventory'!$A$7:$A$783,1)</x:f>
        <x:v>2</x:v>
      </x:c>
      <x:c r="J144" s="12" t="str">
        <x:v>Campaign format rate</x:v>
      </x:c>
      <x:c r="K144" s="17"/>
      <x:c r="L144" s="17" t="n">
        <x:f>$E$5</x:f>
        <x:v>20000</x:v>
      </x:c>
      <x:c r="M144" s="17"/>
      <x:c r="N144" s="19"/>
      <x:c r="O144" s="17" t="n">
        <x:f>IF(ISNUMBER(L144),G144*L144,IF(ISNUMBER(M144),M144,""))</x:f>
        <x:v>40000</x:v>
      </x:c>
      <x:c r="P144" s="17" t="n">
        <x:f>IF(ISNUMBER(K144),K144,IF(ISNUMBER(O144),O144,""))</x:f>
        <x:v>40000</x:v>
      </x:c>
      <x:c r="Q144" s="17" t="n">
        <x:f>IF(H144=0,0,IF(ISNUMBER(N144),N144,IF(N144="",IF(H144=F144,P144,""),"")))</x:f>
        <x:v>40000</x:v>
      </x:c>
      <x:c r="R144" s="17" t="n">
        <x:f>IF(ISNUMBER(Q144),ROUND(Q144*$C$4,2),"")</x:f>
        <x:v>7200</x:v>
      </x:c>
      <x:c r="S144" s="17" t="n">
        <x:f>IF(ISNUMBER(Q144),Q144+R144,"")</x:f>
        <x:v>47200</x:v>
      </x:c>
      <x:c r="T144" s="2" t="str">
        <x:f>IF(H144=0,"Not selected",IF(ISNUMBER(N144),"Quote entered",IF(N144&lt;&gt;"","Enter numeric quote",IF(H144=F144,IF(ISNUMBER(P144),"Complete unit","Price required"),"Partial package: price required"))))</x:f>
        <x:v>Complete unit</x:v>
      </x:c>
      <x:c r="U144" s="2" t="str">
        <x:v>TEN-1E8C28665D38; TEN-30821A93F5E2; TEN-654BE09498F8; TEN-680C934EABCB; TEN-7A7FCCF359A2; TEN-A0548562CF88; TEN-B7B27EA467E4; TEN-BAEEB8F9E40B</x:v>
      </x:c>
      <x:c r="V144" s="2" t="str">
        <x:v>IT &amp; digital; Professional services; Engineering &amp; manufacturing; Unresolved</x:v>
      </x:c>
      <x:c r="W144" s="2" t="str">
        <x:v>Small-scale prospects; Mixed business audience</x:v>
      </x:c>
      <x:c r="X144" s="17" t="n">
        <x:f>IF(AND(H144=F144,NOT(ISNUMBER(N144)),N144="",ISNUMBER(K144)),K144,0)</x:f>
        <x:v>0</x:v>
      </x:c>
      <x:c r="Y144" s="17" t="n">
        <x:f>IF(AND(H144=F144,NOT(ISNUMBER(N144)),N144="",K144="",ISNUMBER(O144)),O144,0)</x:f>
        <x:v>40000</x:v>
      </x:c>
      <x:c r="Z144" s="17" t="n">
        <x:f>IF(AND(H144&gt;0,ISNUMBER(N144)),N144,0)</x:f>
        <x:v>0</x:v>
      </x:c>
      <x:c r="AA144" s="2" t="n">
        <x:f>IF(AND(H144&gt;0,N144="",NOT(ISNUMBER(Q144))),1,0)</x:f>
        <x:v>0</x:v>
      </x:c>
      <x:c r="AB144" s="2" t="n">
        <x:f>IF(AND(H144&gt;0,N144&lt;&gt;"",NOT(ISNUMBER(N144))),1,0)</x:f>
        <x:v>0</x:v>
      </x:c>
    </x:row>
    <x:row r="145" ht="48" customHeight="1">
      <x:c r="A145" s="2" t="str">
        <x:v>MAIN-144</x:v>
      </x:c>
      <x:c r="B145" s="2" t="str">
        <x:v>Main</x:v>
      </x:c>
      <x:c r="C145" s="2" t="str">
        <x:v>Chennai</x:v>
      </x:c>
      <x:c r="D145" s="12" t="str">
        <x:v>Bharati Vilas Tech Park(POD Screens)</x:v>
      </x:c>
      <x:c r="E145" s="12" t="str">
        <x:v>43 inch LED TV</x:v>
      </x:c>
      <x:c r="F145" s="2" t="n">
        <x:v>1</x:v>
      </x:c>
      <x:c r="G145" s="2" t="n">
        <x:v>1</x:v>
      </x:c>
      <x:c r="H145" s="2" t="n">
        <x:f>COUNTIFS('Inventory'!$N$7:$N$783,A145,'Inventory'!$A$7:$A$783,1)</x:f>
        <x:v>1</x:v>
      </x:c>
      <x:c r="I145" s="2" t="n">
        <x:f>SUMIFS('Inventory'!$G$7:$G$783,'Inventory'!$N$7:$N$783,A145,'Inventory'!$A$7:$A$783,1)</x:f>
        <x:v>1</x:v>
      </x:c>
      <x:c r="J145" s="12" t="str">
        <x:v>Campaign format rate</x:v>
      </x:c>
      <x:c r="K145" s="17"/>
      <x:c r="L145" s="17" t="n">
        <x:f>$E$5</x:f>
        <x:v>20000</x:v>
      </x:c>
      <x:c r="M145" s="17"/>
      <x:c r="N145" s="19"/>
      <x:c r="O145" s="17" t="n">
        <x:f>IF(ISNUMBER(L145),G145*L145,IF(ISNUMBER(M145),M145,""))</x:f>
        <x:v>20000</x:v>
      </x:c>
      <x:c r="P145" s="17" t="n">
        <x:f>IF(ISNUMBER(K145),K145,IF(ISNUMBER(O145),O145,""))</x:f>
        <x:v>20000</x:v>
      </x:c>
      <x:c r="Q145" s="17" t="n">
        <x:f>IF(H145=0,0,IF(ISNUMBER(N145),N145,IF(N145="",IF(H145=F145,P145,""),"")))</x:f>
        <x:v>20000</x:v>
      </x:c>
      <x:c r="R145" s="17" t="n">
        <x:f>IF(ISNUMBER(Q145),ROUND(Q145*$C$4,2),"")</x:f>
        <x:v>3600</x:v>
      </x:c>
      <x:c r="S145" s="17" t="n">
        <x:f>IF(ISNUMBER(Q145),Q145+R145,"")</x:f>
        <x:v>23600</x:v>
      </x:c>
      <x:c r="T145" s="2" t="str">
        <x:f>IF(H145=0,"Not selected",IF(ISNUMBER(N145),"Quote entered",IF(N145&lt;&gt;"","Enter numeric quote",IF(H145=F145,IF(ISNUMBER(P145),"Complete unit","Price required"),"Partial package: price required"))))</x:f>
        <x:v>Complete unit</x:v>
      </x:c>
      <x:c r="U145" s="2" t="str">
        <x:v>TEN-1E8C28665D38; TEN-30821A93F5E2; TEN-654BE09498F8; TEN-680C934EABCB; TEN-7A7FCCF359A2; TEN-A0548562CF88; TEN-B7B27EA467E4; TEN-BAEEB8F9E40B</x:v>
      </x:c>
      <x:c r="V145" s="2" t="str">
        <x:v>IT &amp; digital; Professional services; Engineering &amp; manufacturing; Unresolved</x:v>
      </x:c>
      <x:c r="W145" s="2" t="str">
        <x:v>Small-scale prospects; Mixed business audience</x:v>
      </x:c>
      <x:c r="X145" s="17" t="n">
        <x:f>IF(AND(H145=F145,NOT(ISNUMBER(N145)),N145="",ISNUMBER(K145)),K145,0)</x:f>
        <x:v>0</x:v>
      </x:c>
      <x:c r="Y145" s="17" t="n">
        <x:f>IF(AND(H145=F145,NOT(ISNUMBER(N145)),N145="",K145="",ISNUMBER(O145)),O145,0)</x:f>
        <x:v>20000</x:v>
      </x:c>
      <x:c r="Z145" s="17" t="n">
        <x:f>IF(AND(H145&gt;0,ISNUMBER(N145)),N145,0)</x:f>
        <x:v>0</x:v>
      </x:c>
      <x:c r="AA145" s="2" t="n">
        <x:f>IF(AND(H145&gt;0,N145="",NOT(ISNUMBER(Q145))),1,0)</x:f>
        <x:v>0</x:v>
      </x:c>
      <x:c r="AB145" s="2" t="n">
        <x:f>IF(AND(H145&gt;0,N145&lt;&gt;"",NOT(ISNUMBER(N145))),1,0)</x:f>
        <x:v>0</x:v>
      </x:c>
    </x:row>
    <x:row r="146" ht="48" customHeight="1">
      <x:c r="A146" s="2" t="str">
        <x:v>MAIN-146</x:v>
      </x:c>
      <x:c r="B146" s="2" t="str">
        <x:v>Main</x:v>
      </x:c>
      <x:c r="C146" s="2" t="str">
        <x:v>Chennai</x:v>
      </x:c>
      <x:c r="D146" s="12" t="str">
        <x:v>Global Infocity Park</x:v>
      </x:c>
      <x:c r="E146" s="12" t="str">
        <x:v>55 inch LED TV</x:v>
      </x:c>
      <x:c r="F146" s="2" t="n">
        <x:v>1</x:v>
      </x:c>
      <x:c r="G146" s="2" t="n">
        <x:v>4</x:v>
      </x:c>
      <x:c r="H146" s="2" t="n">
        <x:f>COUNTIFS('Inventory'!$N$7:$N$783,A146,'Inventory'!$A$7:$A$783,1)</x:f>
        <x:v>1</x:v>
      </x:c>
      <x:c r="I146" s="2" t="n">
        <x:f>SUMIFS('Inventory'!$G$7:$G$783,'Inventory'!$N$7:$N$783,A146,'Inventory'!$A$7:$A$783,1)</x:f>
        <x:v>4</x:v>
      </x:c>
      <x:c r="J146" s="12" t="str">
        <x:v>Campaign format rate</x:v>
      </x:c>
      <x:c r="K146" s="17"/>
      <x:c r="L146" s="17" t="n">
        <x:f>$I$5</x:f>
        <x:v>40000</x:v>
      </x:c>
      <x:c r="M146" s="17"/>
      <x:c r="N146" s="19"/>
      <x:c r="O146" s="17" t="n">
        <x:f>IF(ISNUMBER(L146),G146*L146,IF(ISNUMBER(M146),M146,""))</x:f>
        <x:v>160000</x:v>
      </x:c>
      <x:c r="P146" s="17" t="n">
        <x:f>IF(ISNUMBER(K146),K146,IF(ISNUMBER(O146),O146,""))</x:f>
        <x:v>160000</x:v>
      </x:c>
      <x:c r="Q146" s="17" t="n">
        <x:f>IF(H146=0,0,IF(ISNUMBER(N146),N146,IF(N146="",IF(H146=F146,P146,""),"")))</x:f>
        <x:v>160000</x:v>
      </x:c>
      <x:c r="R146" s="17" t="n">
        <x:f>IF(ISNUMBER(Q146),ROUND(Q146*$C$4,2),"")</x:f>
        <x:v>28800</x:v>
      </x:c>
      <x:c r="S146" s="17" t="n">
        <x:f>IF(ISNUMBER(Q146),Q146+R146,"")</x:f>
        <x:v>188800</x:v>
      </x:c>
      <x:c r="T146" s="2" t="str">
        <x:f>IF(H146=0,"Not selected",IF(ISNUMBER(N146),"Quote entered",IF(N146&lt;&gt;"","Enter numeric quote",IF(H146=F146,IF(ISNUMBER(P146),"Complete unit","Price required"),"Partial package: price required"))))</x:f>
        <x:v>Complete unit</x:v>
      </x:c>
      <x:c r="U146" s="2" t="str">
        <x:v>TEN-1582793ECA86; TEN-EAF4D7735EC1</x:v>
      </x:c>
      <x:c r="V146" s="2" t="str">
        <x:v>Professional services; Engineering &amp; manufacturing; Trade, consumer &amp; logistics</x:v>
      </x:c>
      <x:c r="W146" s="2" t="str">
        <x:v>Small-scale prospects; Large enterprise</x:v>
      </x:c>
      <x:c r="X146" s="17" t="n">
        <x:f>IF(AND(H146=F146,NOT(ISNUMBER(N146)),N146="",ISNUMBER(K146)),K146,0)</x:f>
        <x:v>0</x:v>
      </x:c>
      <x:c r="Y146" s="17" t="n">
        <x:f>IF(AND(H146=F146,NOT(ISNUMBER(N146)),N146="",K146="",ISNUMBER(O146)),O146,0)</x:f>
        <x:v>160000</x:v>
      </x:c>
      <x:c r="Z146" s="17" t="n">
        <x:f>IF(AND(H146&gt;0,ISNUMBER(N146)),N146,0)</x:f>
        <x:v>0</x:v>
      </x:c>
      <x:c r="AA146" s="2" t="n">
        <x:f>IF(AND(H146&gt;0,N146="",NOT(ISNUMBER(Q146))),1,0)</x:f>
        <x:v>0</x:v>
      </x:c>
      <x:c r="AB146" s="2" t="n">
        <x:f>IF(AND(H146&gt;0,N146&lt;&gt;"",NOT(ISNUMBER(N146))),1,0)</x:f>
        <x:v>0</x:v>
      </x:c>
    </x:row>
    <x:row r="147" ht="48" customHeight="1">
      <x:c r="A147" s="2" t="str">
        <x:v>MAIN-147</x:v>
      </x:c>
      <x:c r="B147" s="2" t="str">
        <x:v>Main</x:v>
      </x:c>
      <x:c r="C147" s="2" t="str">
        <x:v>Chennai</x:v>
      </x:c>
      <x:c r="D147" s="12" t="str">
        <x:v>K Raheja Corp - Commerzone</x:v>
      </x:c>
      <x:c r="E147" s="12" t="str">
        <x:v>55 inch LED TV</x:v>
      </x:c>
      <x:c r="F147" s="2" t="n">
        <x:v>1</x:v>
      </x:c>
      <x:c r="G147" s="2" t="n">
        <x:v>5</x:v>
      </x:c>
      <x:c r="H147" s="2" t="n">
        <x:f>COUNTIFS('Inventory'!$N$7:$N$783,A147,'Inventory'!$A$7:$A$783,1)</x:f>
        <x:v>1</x:v>
      </x:c>
      <x:c r="I147" s="2" t="n">
        <x:f>SUMIFS('Inventory'!$G$7:$G$783,'Inventory'!$N$7:$N$783,A147,'Inventory'!$A$7:$A$783,1)</x:f>
        <x:v>5</x:v>
      </x:c>
      <x:c r="J147" s="12" t="str">
        <x:v>Campaign format rate</x:v>
      </x:c>
      <x:c r="K147" s="17"/>
      <x:c r="L147" s="17" t="n">
        <x:f>$I$5</x:f>
        <x:v>40000</x:v>
      </x:c>
      <x:c r="M147" s="17"/>
      <x:c r="N147" s="19"/>
      <x:c r="O147" s="17" t="n">
        <x:f>IF(ISNUMBER(L147),G147*L147,IF(ISNUMBER(M147),M147,""))</x:f>
        <x:v>200000</x:v>
      </x:c>
      <x:c r="P147" s="17" t="n">
        <x:f>IF(ISNUMBER(K147),K147,IF(ISNUMBER(O147),O147,""))</x:f>
        <x:v>200000</x:v>
      </x:c>
      <x:c r="Q147" s="17" t="n">
        <x:f>IF(H147=0,0,IF(ISNUMBER(N147),N147,IF(N147="",IF(H147=F147,P147,""),"")))</x:f>
        <x:v>200000</x:v>
      </x:c>
      <x:c r="R147" s="17" t="n">
        <x:f>IF(ISNUMBER(Q147),ROUND(Q147*$C$4,2),"")</x:f>
        <x:v>36000</x:v>
      </x:c>
      <x:c r="S147" s="17" t="n">
        <x:f>IF(ISNUMBER(Q147),Q147+R147,"")</x:f>
        <x:v>236000</x:v>
      </x:c>
      <x:c r="T147" s="2" t="str">
        <x:f>IF(H147=0,"Not selected",IF(ISNUMBER(N147),"Quote entered",IF(N147&lt;&gt;"","Enter numeric quote",IF(H147=F147,IF(ISNUMBER(P147),"Complete unit","Price required"),"Partial package: price required"))))</x:f>
        <x:v>Complete unit</x:v>
      </x:c>
      <x:c r="U147" s="2" t="str"/>
      <x:c r="V147" s="2" t="str">
        <x:v>Unclassified</x:v>
      </x:c>
      <x:c r="W147" s="2" t="str">
        <x:v>Mixed business audience</x:v>
      </x:c>
      <x:c r="X147" s="17" t="n">
        <x:f>IF(AND(H147=F147,NOT(ISNUMBER(N147)),N147="",ISNUMBER(K147)),K147,0)</x:f>
        <x:v>0</x:v>
      </x:c>
      <x:c r="Y147" s="17" t="n">
        <x:f>IF(AND(H147=F147,NOT(ISNUMBER(N147)),N147="",K147="",ISNUMBER(O147)),O147,0)</x:f>
        <x:v>200000</x:v>
      </x:c>
      <x:c r="Z147" s="17" t="n">
        <x:f>IF(AND(H147&gt;0,ISNUMBER(N147)),N147,0)</x:f>
        <x:v>0</x:v>
      </x:c>
      <x:c r="AA147" s="2" t="n">
        <x:f>IF(AND(H147&gt;0,N147="",NOT(ISNUMBER(Q147))),1,0)</x:f>
        <x:v>0</x:v>
      </x:c>
      <x:c r="AB147" s="2" t="n">
        <x:f>IF(AND(H147&gt;0,N147&lt;&gt;"",NOT(ISNUMBER(N147))),1,0)</x:f>
        <x:v>0</x:v>
      </x:c>
    </x:row>
    <x:row r="148" ht="48" customHeight="1">
      <x:c r="A148" s="2" t="str">
        <x:v>MAIN-148</x:v>
      </x:c>
      <x:c r="B148" s="2" t="str">
        <x:v>Main</x:v>
      </x:c>
      <x:c r="C148" s="2" t="str">
        <x:v>Chennai</x:v>
      </x:c>
      <x:c r="D148" s="12" t="str">
        <x:v>Kochar Globe Tech Park</x:v>
      </x:c>
      <x:c r="E148" s="12" t="str">
        <x:v>43 inch LED TV</x:v>
      </x:c>
      <x:c r="F148" s="2" t="n">
        <x:v>1</x:v>
      </x:c>
      <x:c r="G148" s="2" t="n">
        <x:v>4</x:v>
      </x:c>
      <x:c r="H148" s="2" t="n">
        <x:f>COUNTIFS('Inventory'!$N$7:$N$783,A148,'Inventory'!$A$7:$A$783,1)</x:f>
        <x:v>1</x:v>
      </x:c>
      <x:c r="I148" s="2" t="n">
        <x:f>SUMIFS('Inventory'!$G$7:$G$783,'Inventory'!$N$7:$N$783,A148,'Inventory'!$A$7:$A$783,1)</x:f>
        <x:v>4</x:v>
      </x:c>
      <x:c r="J148" s="12" t="str">
        <x:v>Campaign format rate</x:v>
      </x:c>
      <x:c r="K148" s="17"/>
      <x:c r="L148" s="17" t="n">
        <x:f>$E$5</x:f>
        <x:v>20000</x:v>
      </x:c>
      <x:c r="M148" s="17"/>
      <x:c r="N148" s="19"/>
      <x:c r="O148" s="17" t="n">
        <x:f>IF(ISNUMBER(L148),G148*L148,IF(ISNUMBER(M148),M148,""))</x:f>
        <x:v>80000</x:v>
      </x:c>
      <x:c r="P148" s="17" t="n">
        <x:f>IF(ISNUMBER(K148),K148,IF(ISNUMBER(O148),O148,""))</x:f>
        <x:v>80000</x:v>
      </x:c>
      <x:c r="Q148" s="17" t="n">
        <x:f>IF(H148=0,0,IF(ISNUMBER(N148),N148,IF(N148="",IF(H148=F148,P148,""),"")))</x:f>
        <x:v>80000</x:v>
      </x:c>
      <x:c r="R148" s="17" t="n">
        <x:f>IF(ISNUMBER(Q148),ROUND(Q148*$C$4,2),"")</x:f>
        <x:v>14400</x:v>
      </x:c>
      <x:c r="S148" s="17" t="n">
        <x:f>IF(ISNUMBER(Q148),Q148+R148,"")</x:f>
        <x:v>94400</x:v>
      </x:c>
      <x:c r="T148" s="2" t="str">
        <x:f>IF(H148=0,"Not selected",IF(ISNUMBER(N148),"Quote entered",IF(N148&lt;&gt;"","Enter numeric quote",IF(H148=F148,IF(ISNUMBER(P148),"Complete unit","Price required"),"Partial package: price required"))))</x:f>
        <x:v>Complete unit</x:v>
      </x:c>
      <x:c r="U148" s="2" t="str">
        <x:v>TEN-2AFEAF10567A; TEN-3762CDCBB25B; TEN-55920F87BD83; TEN-58C8E75727F0; TEN-61616DAE58CF; TEN-B4C545A10172; TEN-BB3DCEEAA381; TEN-F0694C6E2DE4</x:v>
      </x:c>
      <x:c r="V148" s="2" t="str">
        <x:v>IT &amp; digital; Professional services; Finance &amp; insurance; Engineering &amp; manufacturing; Trade, consumer &amp; logistics; Unresolved</x:v>
      </x:c>
      <x:c r="W148" s="2" t="str">
        <x:v>Small-scale prospects; Medium-scale prospects; Mixed business audience</x:v>
      </x:c>
      <x:c r="X148" s="17" t="n">
        <x:f>IF(AND(H148=F148,NOT(ISNUMBER(N148)),N148="",ISNUMBER(K148)),K148,0)</x:f>
        <x:v>0</x:v>
      </x:c>
      <x:c r="Y148" s="17" t="n">
        <x:f>IF(AND(H148=F148,NOT(ISNUMBER(N148)),N148="",K148="",ISNUMBER(O148)),O148,0)</x:f>
        <x:v>80000</x:v>
      </x:c>
      <x:c r="Z148" s="17" t="n">
        <x:f>IF(AND(H148&gt;0,ISNUMBER(N148)),N148,0)</x:f>
        <x:v>0</x:v>
      </x:c>
      <x:c r="AA148" s="2" t="n">
        <x:f>IF(AND(H148&gt;0,N148="",NOT(ISNUMBER(Q148))),1,0)</x:f>
        <x:v>0</x:v>
      </x:c>
      <x:c r="AB148" s="2" t="n">
        <x:f>IF(AND(H148&gt;0,N148&lt;&gt;"",NOT(ISNUMBER(N148))),1,0)</x:f>
        <x:v>0</x:v>
      </x:c>
    </x:row>
    <x:row r="149" ht="48" customHeight="1">
      <x:c r="A149" s="2" t="str">
        <x:v>MAIN-149</x:v>
      </x:c>
      <x:c r="B149" s="2" t="str">
        <x:v>Main</x:v>
      </x:c>
      <x:c r="C149" s="2" t="str">
        <x:v>Chennai</x:v>
      </x:c>
      <x:c r="D149" s="12" t="str">
        <x:v>Kochar Globe Tech Park (Pod Screens)</x:v>
      </x:c>
      <x:c r="E149" s="12" t="str">
        <x:v>43 inch LED TV</x:v>
      </x:c>
      <x:c r="F149" s="2" t="n">
        <x:v>1</x:v>
      </x:c>
      <x:c r="G149" s="2" t="n">
        <x:v>2</x:v>
      </x:c>
      <x:c r="H149" s="2" t="n">
        <x:f>COUNTIFS('Inventory'!$N$7:$N$783,A149,'Inventory'!$A$7:$A$783,1)</x:f>
        <x:v>1</x:v>
      </x:c>
      <x:c r="I149" s="2" t="n">
        <x:f>SUMIFS('Inventory'!$G$7:$G$783,'Inventory'!$N$7:$N$783,A149,'Inventory'!$A$7:$A$783,1)</x:f>
        <x:v>2</x:v>
      </x:c>
      <x:c r="J149" s="12" t="str">
        <x:v>Campaign format rate</x:v>
      </x:c>
      <x:c r="K149" s="17"/>
      <x:c r="L149" s="17" t="n">
        <x:f>$E$5</x:f>
        <x:v>20000</x:v>
      </x:c>
      <x:c r="M149" s="17"/>
      <x:c r="N149" s="19"/>
      <x:c r="O149" s="17" t="n">
        <x:f>IF(ISNUMBER(L149),G149*L149,IF(ISNUMBER(M149),M149,""))</x:f>
        <x:v>40000</x:v>
      </x:c>
      <x:c r="P149" s="17" t="n">
        <x:f>IF(ISNUMBER(K149),K149,IF(ISNUMBER(O149),O149,""))</x:f>
        <x:v>40000</x:v>
      </x:c>
      <x:c r="Q149" s="17" t="n">
        <x:f>IF(H149=0,0,IF(ISNUMBER(N149),N149,IF(N149="",IF(H149=F149,P149,""),"")))</x:f>
        <x:v>40000</x:v>
      </x:c>
      <x:c r="R149" s="17" t="n">
        <x:f>IF(ISNUMBER(Q149),ROUND(Q149*$C$4,2),"")</x:f>
        <x:v>7200</x:v>
      </x:c>
      <x:c r="S149" s="17" t="n">
        <x:f>IF(ISNUMBER(Q149),Q149+R149,"")</x:f>
        <x:v>47200</x:v>
      </x:c>
      <x:c r="T149" s="2" t="str">
        <x:f>IF(H149=0,"Not selected",IF(ISNUMBER(N149),"Quote entered",IF(N149&lt;&gt;"","Enter numeric quote",IF(H149=F149,IF(ISNUMBER(P149),"Complete unit","Price required"),"Partial package: price required"))))</x:f>
        <x:v>Complete unit</x:v>
      </x:c>
      <x:c r="U149" s="2" t="str">
        <x:v>TEN-2AFEAF10567A; TEN-3762CDCBB25B; TEN-55920F87BD83; TEN-58C8E75727F0; TEN-61616DAE58CF; TEN-B4C545A10172; TEN-BB3DCEEAA381; TEN-E0E2154DC268</x:v>
      </x:c>
      <x:c r="V149" s="2" t="str">
        <x:v>IT &amp; digital; Professional services; Finance &amp; insurance; Engineering &amp; manufacturing; Trade, consumer &amp; logistics; Unresolved</x:v>
      </x:c>
      <x:c r="W149" s="2" t="str">
        <x:v>Small-scale prospects; Medium-scale prospects; Mixed business audience</x:v>
      </x:c>
      <x:c r="X149" s="17" t="n">
        <x:f>IF(AND(H149=F149,NOT(ISNUMBER(N149)),N149="",ISNUMBER(K149)),K149,0)</x:f>
        <x:v>0</x:v>
      </x:c>
      <x:c r="Y149" s="17" t="n">
        <x:f>IF(AND(H149=F149,NOT(ISNUMBER(N149)),N149="",K149="",ISNUMBER(O149)),O149,0)</x:f>
        <x:v>40000</x:v>
      </x:c>
      <x:c r="Z149" s="17" t="n">
        <x:f>IF(AND(H149&gt;0,ISNUMBER(N149)),N149,0)</x:f>
        <x:v>0</x:v>
      </x:c>
      <x:c r="AA149" s="2" t="n">
        <x:f>IF(AND(H149&gt;0,N149="",NOT(ISNUMBER(Q149))),1,0)</x:f>
        <x:v>0</x:v>
      </x:c>
      <x:c r="AB149" s="2" t="n">
        <x:f>IF(AND(H149&gt;0,N149&lt;&gt;"",NOT(ISNUMBER(N149))),1,0)</x:f>
        <x:v>0</x:v>
      </x:c>
    </x:row>
    <x:row r="150" ht="48" customHeight="1">
      <x:c r="A150" s="2" t="str">
        <x:v>MAIN-150</x:v>
      </x:c>
      <x:c r="B150" s="2" t="str">
        <x:v>Main</x:v>
      </x:c>
      <x:c r="C150" s="2" t="str">
        <x:v>Chennai</x:v>
      </x:c>
      <x:c r="D150" s="12" t="str">
        <x:v>Millenia Business Park 2</x:v>
      </x:c>
      <x:c r="E150" s="12" t="str">
        <x:v>43 inch LED TV</x:v>
      </x:c>
      <x:c r="F150" s="2" t="n">
        <x:v>1</x:v>
      </x:c>
      <x:c r="G150" s="2" t="n">
        <x:v>2</x:v>
      </x:c>
      <x:c r="H150" s="2" t="n">
        <x:f>COUNTIFS('Inventory'!$N$7:$N$783,A150,'Inventory'!$A$7:$A$783,1)</x:f>
        <x:v>1</x:v>
      </x:c>
      <x:c r="I150" s="2" t="n">
        <x:f>SUMIFS('Inventory'!$G$7:$G$783,'Inventory'!$N$7:$N$783,A150,'Inventory'!$A$7:$A$783,1)</x:f>
        <x:v>2</x:v>
      </x:c>
      <x:c r="J150" s="12" t="str">
        <x:v>Campaign format rate</x:v>
      </x:c>
      <x:c r="K150" s="17"/>
      <x:c r="L150" s="17" t="n">
        <x:f>$E$5</x:f>
        <x:v>20000</x:v>
      </x:c>
      <x:c r="M150" s="17"/>
      <x:c r="N150" s="19"/>
      <x:c r="O150" s="17" t="n">
        <x:f>IF(ISNUMBER(L150),G150*L150,IF(ISNUMBER(M150),M150,""))</x:f>
        <x:v>40000</x:v>
      </x:c>
      <x:c r="P150" s="17" t="n">
        <x:f>IF(ISNUMBER(K150),K150,IF(ISNUMBER(O150),O150,""))</x:f>
        <x:v>40000</x:v>
      </x:c>
      <x:c r="Q150" s="17" t="n">
        <x:f>IF(H150=0,0,IF(ISNUMBER(N150),N150,IF(N150="",IF(H150=F150,P150,""),"")))</x:f>
        <x:v>40000</x:v>
      </x:c>
      <x:c r="R150" s="17" t="n">
        <x:f>IF(ISNUMBER(Q150),ROUND(Q150*$C$4,2),"")</x:f>
        <x:v>7200</x:v>
      </x:c>
      <x:c r="S150" s="17" t="n">
        <x:f>IF(ISNUMBER(Q150),Q150+R150,"")</x:f>
        <x:v>47200</x:v>
      </x:c>
      <x:c r="T150" s="2" t="str">
        <x:f>IF(H150=0,"Not selected",IF(ISNUMBER(N150),"Quote entered",IF(N150&lt;&gt;"","Enter numeric quote",IF(H150=F150,IF(ISNUMBER(P150),"Complete unit","Price required"),"Partial package: price required"))))</x:f>
        <x:v>Complete unit</x:v>
      </x:c>
      <x:c r="U150" s="2" t="str">
        <x:v>TEN-0392C3B9EE62; TEN-04128772C484; TEN-0B724CA91807; TEN-1D4C6B5EB3AF; TEN-33BF340ECE27; TEN-41DC9788C660; TEN-8BD2EBE42538; TEN-ECAE75B33F0B</x:v>
      </x:c>
      <x:c r="V150" s="2" t="str">
        <x:v>IT &amp; digital; Finance &amp; insurance; Engineering &amp; manufacturing</x:v>
      </x:c>
      <x:c r="W150" s="2" t="str">
        <x:v>Small-scale prospects; Medium-scale prospects; Mixed business audience</x:v>
      </x:c>
      <x:c r="X150" s="17" t="n">
        <x:f>IF(AND(H150=F150,NOT(ISNUMBER(N150)),N150="",ISNUMBER(K150)),K150,0)</x:f>
        <x:v>0</x:v>
      </x:c>
      <x:c r="Y150" s="17" t="n">
        <x:f>IF(AND(H150=F150,NOT(ISNUMBER(N150)),N150="",K150="",ISNUMBER(O150)),O150,0)</x:f>
        <x:v>40000</x:v>
      </x:c>
      <x:c r="Z150" s="17" t="n">
        <x:f>IF(AND(H150&gt;0,ISNUMBER(N150)),N150,0)</x:f>
        <x:v>0</x:v>
      </x:c>
      <x:c r="AA150" s="2" t="n">
        <x:f>IF(AND(H150&gt;0,N150="",NOT(ISNUMBER(Q150))),1,0)</x:f>
        <x:v>0</x:v>
      </x:c>
      <x:c r="AB150" s="2" t="n">
        <x:f>IF(AND(H150&gt;0,N150&lt;&gt;"",NOT(ISNUMBER(N150))),1,0)</x:f>
        <x:v>0</x:v>
      </x:c>
    </x:row>
    <x:row r="151" ht="48" customHeight="1">
      <x:c r="A151" s="2" t="str">
        <x:v>MAIN-151</x:v>
      </x:c>
      <x:c r="B151" s="2" t="str">
        <x:v>Main</x:v>
      </x:c>
      <x:c r="C151" s="2" t="str">
        <x:v>Chennai</x:v>
      </x:c>
      <x:c r="D151" s="12" t="str">
        <x:v>Nucleus - Kosmo One</x:v>
      </x:c>
      <x:c r="E151" s="12" t="str">
        <x:v>55 inch LED TV</x:v>
      </x:c>
      <x:c r="F151" s="2" t="n">
        <x:v>1</x:v>
      </x:c>
      <x:c r="G151" s="2" t="n">
        <x:v>4</x:v>
      </x:c>
      <x:c r="H151" s="2" t="n">
        <x:f>COUNTIFS('Inventory'!$N$7:$N$783,A151,'Inventory'!$A$7:$A$783,1)</x:f>
        <x:v>1</x:v>
      </x:c>
      <x:c r="I151" s="2" t="n">
        <x:f>SUMIFS('Inventory'!$G$7:$G$783,'Inventory'!$N$7:$N$783,A151,'Inventory'!$A$7:$A$783,1)</x:f>
        <x:v>4</x:v>
      </x:c>
      <x:c r="J151" s="12" t="str">
        <x:v>Campaign format rate</x:v>
      </x:c>
      <x:c r="K151" s="17"/>
      <x:c r="L151" s="17" t="n">
        <x:f>$I$5</x:f>
        <x:v>40000</x:v>
      </x:c>
      <x:c r="M151" s="17"/>
      <x:c r="N151" s="19"/>
      <x:c r="O151" s="17" t="n">
        <x:f>IF(ISNUMBER(L151),G151*L151,IF(ISNUMBER(M151),M151,""))</x:f>
        <x:v>160000</x:v>
      </x:c>
      <x:c r="P151" s="17" t="n">
        <x:f>IF(ISNUMBER(K151),K151,IF(ISNUMBER(O151),O151,""))</x:f>
        <x:v>160000</x:v>
      </x:c>
      <x:c r="Q151" s="17" t="n">
        <x:f>IF(H151=0,0,IF(ISNUMBER(N151),N151,IF(N151="",IF(H151=F151,P151,""),"")))</x:f>
        <x:v>160000</x:v>
      </x:c>
      <x:c r="R151" s="17" t="n">
        <x:f>IF(ISNUMBER(Q151),ROUND(Q151*$C$4,2),"")</x:f>
        <x:v>28800</x:v>
      </x:c>
      <x:c r="S151" s="17" t="n">
        <x:f>IF(ISNUMBER(Q151),Q151+R151,"")</x:f>
        <x:v>188800</x:v>
      </x:c>
      <x:c r="T151" s="2" t="str">
        <x:f>IF(H151=0,"Not selected",IF(ISNUMBER(N151),"Quote entered",IF(N151&lt;&gt;"","Enter numeric quote",IF(H151=F151,IF(ISNUMBER(P151),"Complete unit","Price required"),"Partial package: price required"))))</x:f>
        <x:v>Complete unit</x:v>
      </x:c>
      <x:c r="U151" s="2" t="str">
        <x:v>TEN-5477F6F03C2C; TEN-5F80F36FD8F7; TEN-80B24726F3BE; TEN-A211E5F0EFE9; TEN-F2F36505A5A1</x:v>
      </x:c>
      <x:c r="V151" s="2" t="str">
        <x:v>IT &amp; digital; Engineering &amp; manufacturing; Unresolved</x:v>
      </x:c>
      <x:c r="W151" s="2" t="str">
        <x:v>Small-scale prospects; Medium-scale prospects; Mixed business audience</x:v>
      </x:c>
      <x:c r="X151" s="17" t="n">
        <x:f>IF(AND(H151=F151,NOT(ISNUMBER(N151)),N151="",ISNUMBER(K151)),K151,0)</x:f>
        <x:v>0</x:v>
      </x:c>
      <x:c r="Y151" s="17" t="n">
        <x:f>IF(AND(H151=F151,NOT(ISNUMBER(N151)),N151="",K151="",ISNUMBER(O151)),O151,0)</x:f>
        <x:v>160000</x:v>
      </x:c>
      <x:c r="Z151" s="17" t="n">
        <x:f>IF(AND(H151&gt;0,ISNUMBER(N151)),N151,0)</x:f>
        <x:v>0</x:v>
      </x:c>
      <x:c r="AA151" s="2" t="n">
        <x:f>IF(AND(H151&gt;0,N151="",NOT(ISNUMBER(Q151))),1,0)</x:f>
        <x:v>0</x:v>
      </x:c>
      <x:c r="AB151" s="2" t="n">
        <x:f>IF(AND(H151&gt;0,N151&lt;&gt;"",NOT(ISNUMBER(N151))),1,0)</x:f>
        <x:v>0</x:v>
      </x:c>
    </x:row>
    <x:row r="152" ht="48" customHeight="1">
      <x:c r="A152" s="2" t="str">
        <x:v>MAIN-152</x:v>
      </x:c>
      <x:c r="B152" s="2" t="str">
        <x:v>Main</x:v>
      </x:c>
      <x:c r="C152" s="2" t="str">
        <x:v>Chennai</x:v>
      </x:c>
      <x:c r="D152" s="12" t="str">
        <x:v>Olympia Cyberspace</x:v>
      </x:c>
      <x:c r="E152" s="12" t="str">
        <x:v>43 inch LED TV</x:v>
      </x:c>
      <x:c r="F152" s="2" t="n">
        <x:v>1</x:v>
      </x:c>
      <x:c r="G152" s="2" t="n">
        <x:v>2</x:v>
      </x:c>
      <x:c r="H152" s="2" t="n">
        <x:f>COUNTIFS('Inventory'!$N$7:$N$783,A152,'Inventory'!$A$7:$A$783,1)</x:f>
        <x:v>1</x:v>
      </x:c>
      <x:c r="I152" s="2" t="n">
        <x:f>SUMIFS('Inventory'!$G$7:$G$783,'Inventory'!$N$7:$N$783,A152,'Inventory'!$A$7:$A$783,1)</x:f>
        <x:v>2</x:v>
      </x:c>
      <x:c r="J152" s="12" t="str">
        <x:v>Campaign format rate</x:v>
      </x:c>
      <x:c r="K152" s="17"/>
      <x:c r="L152" s="17" t="n">
        <x:f>$E$5</x:f>
        <x:v>20000</x:v>
      </x:c>
      <x:c r="M152" s="17"/>
      <x:c r="N152" s="19"/>
      <x:c r="O152" s="17" t="n">
        <x:f>IF(ISNUMBER(L152),G152*L152,IF(ISNUMBER(M152),M152,""))</x:f>
        <x:v>40000</x:v>
      </x:c>
      <x:c r="P152" s="17" t="n">
        <x:f>IF(ISNUMBER(K152),K152,IF(ISNUMBER(O152),O152,""))</x:f>
        <x:v>40000</x:v>
      </x:c>
      <x:c r="Q152" s="17" t="n">
        <x:f>IF(H152=0,0,IF(ISNUMBER(N152),N152,IF(N152="",IF(H152=F152,P152,""),"")))</x:f>
        <x:v>40000</x:v>
      </x:c>
      <x:c r="R152" s="17" t="n">
        <x:f>IF(ISNUMBER(Q152),ROUND(Q152*$C$4,2),"")</x:f>
        <x:v>7200</x:v>
      </x:c>
      <x:c r="S152" s="17" t="n">
        <x:f>IF(ISNUMBER(Q152),Q152+R152,"")</x:f>
        <x:v>47200</x:v>
      </x:c>
      <x:c r="T152" s="2" t="str">
        <x:f>IF(H152=0,"Not selected",IF(ISNUMBER(N152),"Quote entered",IF(N152&lt;&gt;"","Enter numeric quote",IF(H152=F152,IF(ISNUMBER(P152),"Complete unit","Price required"),"Partial package: price required"))))</x:f>
        <x:v>Complete unit</x:v>
      </x:c>
      <x:c r="U152" s="2" t="str">
        <x:v>TEN-0A6CDB8E6C32; TEN-12E6D2D09383; TEN-18DD81D8F636; TEN-CB8CE351BDF8; TEN-DB6C877226A2; TEN-DD4CB9CF52F0; TEN-E2E08B128519; TEN-E833260CE7B6</x:v>
      </x:c>
      <x:c r="V152" s="2" t="str">
        <x:v>IT &amp; digital; Engineering &amp; manufacturing; Healthcare &amp; life sciences; Trade, consumer &amp; logistics; Unresolved</x:v>
      </x:c>
      <x:c r="W152" s="2" t="str">
        <x:v>Small-scale prospects; Medium-scale prospects; Large enterprise; Mixed business audience</x:v>
      </x:c>
      <x:c r="X152" s="17" t="n">
        <x:f>IF(AND(H152=F152,NOT(ISNUMBER(N152)),N152="",ISNUMBER(K152)),K152,0)</x:f>
        <x:v>0</x:v>
      </x:c>
      <x:c r="Y152" s="17" t="n">
        <x:f>IF(AND(H152=F152,NOT(ISNUMBER(N152)),N152="",K152="",ISNUMBER(O152)),O152,0)</x:f>
        <x:v>40000</x:v>
      </x:c>
      <x:c r="Z152" s="17" t="n">
        <x:f>IF(AND(H152&gt;0,ISNUMBER(N152)),N152,0)</x:f>
        <x:v>0</x:v>
      </x:c>
      <x:c r="AA152" s="2" t="n">
        <x:f>IF(AND(H152&gt;0,N152="",NOT(ISNUMBER(Q152))),1,0)</x:f>
        <x:v>0</x:v>
      </x:c>
      <x:c r="AB152" s="2" t="n">
        <x:f>IF(AND(H152&gt;0,N152&lt;&gt;"",NOT(ISNUMBER(N152))),1,0)</x:f>
        <x:v>0</x:v>
      </x:c>
    </x:row>
    <x:row r="153" ht="48" customHeight="1">
      <x:c r="A153" s="2" t="str">
        <x:v>MAIN-153</x:v>
      </x:c>
      <x:c r="B153" s="2" t="str">
        <x:v>Main</x:v>
      </x:c>
      <x:c r="C153" s="2" t="str">
        <x:v>Chennai</x:v>
      </x:c>
      <x:c r="D153" s="12" t="str">
        <x:v>Olympia National Tower</x:v>
      </x:c>
      <x:c r="E153" s="12" t="str">
        <x:v>43 inch LED TV</x:v>
      </x:c>
      <x:c r="F153" s="2" t="n">
        <x:v>1</x:v>
      </x:c>
      <x:c r="G153" s="2" t="n">
        <x:v>4</x:v>
      </x:c>
      <x:c r="H153" s="2" t="n">
        <x:f>COUNTIFS('Inventory'!$N$7:$N$783,A153,'Inventory'!$A$7:$A$783,1)</x:f>
        <x:v>1</x:v>
      </x:c>
      <x:c r="I153" s="2" t="n">
        <x:f>SUMIFS('Inventory'!$G$7:$G$783,'Inventory'!$N$7:$N$783,A153,'Inventory'!$A$7:$A$783,1)</x:f>
        <x:v>4</x:v>
      </x:c>
      <x:c r="J153" s="12" t="str">
        <x:v>Campaign format rate</x:v>
      </x:c>
      <x:c r="K153" s="17"/>
      <x:c r="L153" s="17" t="n">
        <x:f>$E$5</x:f>
        <x:v>20000</x:v>
      </x:c>
      <x:c r="M153" s="17"/>
      <x:c r="N153" s="19"/>
      <x:c r="O153" s="17" t="n">
        <x:f>IF(ISNUMBER(L153),G153*L153,IF(ISNUMBER(M153),M153,""))</x:f>
        <x:v>80000</x:v>
      </x:c>
      <x:c r="P153" s="17" t="n">
        <x:f>IF(ISNUMBER(K153),K153,IF(ISNUMBER(O153),O153,""))</x:f>
        <x:v>80000</x:v>
      </x:c>
      <x:c r="Q153" s="17" t="n">
        <x:f>IF(H153=0,0,IF(ISNUMBER(N153),N153,IF(N153="",IF(H153=F153,P153,""),"")))</x:f>
        <x:v>80000</x:v>
      </x:c>
      <x:c r="R153" s="17" t="n">
        <x:f>IF(ISNUMBER(Q153),ROUND(Q153*$C$4,2),"")</x:f>
        <x:v>14400</x:v>
      </x:c>
      <x:c r="S153" s="17" t="n">
        <x:f>IF(ISNUMBER(Q153),Q153+R153,"")</x:f>
        <x:v>94400</x:v>
      </x:c>
      <x:c r="T153" s="2" t="str">
        <x:f>IF(H153=0,"Not selected",IF(ISNUMBER(N153),"Quote entered",IF(N153&lt;&gt;"","Enter numeric quote",IF(H153=F153,IF(ISNUMBER(P153),"Complete unit","Price required"),"Partial package: price required"))))</x:f>
        <x:v>Complete unit</x:v>
      </x:c>
      <x:c r="U153" s="2" t="str">
        <x:v>TEN-735468BC79FE; TEN-7382C89C2DDF; TEN-86EBE5471EA0; TEN-9A02EA5289C7; TEN-A509A9AAC287; TEN-CF31BC52344C</x:v>
      </x:c>
      <x:c r="V153" s="2" t="str">
        <x:v>IT &amp; digital; Professional services; Engineering &amp; manufacturing; Trade, consumer &amp; logistics; Unresolved</x:v>
      </x:c>
      <x:c r="W153" s="2" t="str">
        <x:v>Small-scale prospects; Large enterprise; Mixed business audience</x:v>
      </x:c>
      <x:c r="X153" s="17" t="n">
        <x:f>IF(AND(H153=F153,NOT(ISNUMBER(N153)),N153="",ISNUMBER(K153)),K153,0)</x:f>
        <x:v>0</x:v>
      </x:c>
      <x:c r="Y153" s="17" t="n">
        <x:f>IF(AND(H153=F153,NOT(ISNUMBER(N153)),N153="",K153="",ISNUMBER(O153)),O153,0)</x:f>
        <x:v>80000</x:v>
      </x:c>
      <x:c r="Z153" s="17" t="n">
        <x:f>IF(AND(H153&gt;0,ISNUMBER(N153)),N153,0)</x:f>
        <x:v>0</x:v>
      </x:c>
      <x:c r="AA153" s="2" t="n">
        <x:f>IF(AND(H153&gt;0,N153="",NOT(ISNUMBER(Q153))),1,0)</x:f>
        <x:v>0</x:v>
      </x:c>
      <x:c r="AB153" s="2" t="n">
        <x:f>IF(AND(H153&gt;0,N153&lt;&gt;"",NOT(ISNUMBER(N153))),1,0)</x:f>
        <x:v>0</x:v>
      </x:c>
    </x:row>
    <x:row r="154" ht="48" customHeight="1">
      <x:c r="A154" s="2" t="str">
        <x:v>MAIN-154</x:v>
      </x:c>
      <x:c r="B154" s="2" t="str">
        <x:v>Main</x:v>
      </x:c>
      <x:c r="C154" s="2" t="str">
        <x:v>Chennai</x:v>
      </x:c>
      <x:c r="D154" s="12" t="str">
        <x:v>Olympia National Tower (Pod Screens)</x:v>
      </x:c>
      <x:c r="E154" s="12" t="str">
        <x:v>43 inch LED TV</x:v>
      </x:c>
      <x:c r="F154" s="2" t="n">
        <x:v>1</x:v>
      </x:c>
      <x:c r="G154" s="2" t="n">
        <x:v>2</x:v>
      </x:c>
      <x:c r="H154" s="2" t="n">
        <x:f>COUNTIFS('Inventory'!$N$7:$N$783,A154,'Inventory'!$A$7:$A$783,1)</x:f>
        <x:v>1</x:v>
      </x:c>
      <x:c r="I154" s="2" t="n">
        <x:f>SUMIFS('Inventory'!$G$7:$G$783,'Inventory'!$N$7:$N$783,A154,'Inventory'!$A$7:$A$783,1)</x:f>
        <x:v>2</x:v>
      </x:c>
      <x:c r="J154" s="12" t="str">
        <x:v>Campaign format rate</x:v>
      </x:c>
      <x:c r="K154" s="17"/>
      <x:c r="L154" s="17" t="n">
        <x:f>$E$5</x:f>
        <x:v>20000</x:v>
      </x:c>
      <x:c r="M154" s="17"/>
      <x:c r="N154" s="19"/>
      <x:c r="O154" s="17" t="n">
        <x:f>IF(ISNUMBER(L154),G154*L154,IF(ISNUMBER(M154),M154,""))</x:f>
        <x:v>40000</x:v>
      </x:c>
      <x:c r="P154" s="17" t="n">
        <x:f>IF(ISNUMBER(K154),K154,IF(ISNUMBER(O154),O154,""))</x:f>
        <x:v>40000</x:v>
      </x:c>
      <x:c r="Q154" s="17" t="n">
        <x:f>IF(H154=0,0,IF(ISNUMBER(N154),N154,IF(N154="",IF(H154=F154,P154,""),"")))</x:f>
        <x:v>40000</x:v>
      </x:c>
      <x:c r="R154" s="17" t="n">
        <x:f>IF(ISNUMBER(Q154),ROUND(Q154*$C$4,2),"")</x:f>
        <x:v>7200</x:v>
      </x:c>
      <x:c r="S154" s="17" t="n">
        <x:f>IF(ISNUMBER(Q154),Q154+R154,"")</x:f>
        <x:v>47200</x:v>
      </x:c>
      <x:c r="T154" s="2" t="str">
        <x:f>IF(H154=0,"Not selected",IF(ISNUMBER(N154),"Quote entered",IF(N154&lt;&gt;"","Enter numeric quote",IF(H154=F154,IF(ISNUMBER(P154),"Complete unit","Price required"),"Partial package: price required"))))</x:f>
        <x:v>Complete unit</x:v>
      </x:c>
      <x:c r="U154" s="2" t="str">
        <x:v>TEN-735468BC79FE; TEN-86EBE5471EA0; TEN-9A02EA5289C7; TEN-A509A9AAC287; TEN-CF31BC52344C</x:v>
      </x:c>
      <x:c r="V154" s="2" t="str">
        <x:v>IT &amp; digital; Professional services; Engineering &amp; manufacturing; Trade, consumer &amp; logistics</x:v>
      </x:c>
      <x:c r="W154" s="2" t="str">
        <x:v>Small-scale prospects; Large enterprise; Mixed business audience</x:v>
      </x:c>
      <x:c r="X154" s="17" t="n">
        <x:f>IF(AND(H154=F154,NOT(ISNUMBER(N154)),N154="",ISNUMBER(K154)),K154,0)</x:f>
        <x:v>0</x:v>
      </x:c>
      <x:c r="Y154" s="17" t="n">
        <x:f>IF(AND(H154=F154,NOT(ISNUMBER(N154)),N154="",K154="",ISNUMBER(O154)),O154,0)</x:f>
        <x:v>40000</x:v>
      </x:c>
      <x:c r="Z154" s="17" t="n">
        <x:f>IF(AND(H154&gt;0,ISNUMBER(N154)),N154,0)</x:f>
        <x:v>0</x:v>
      </x:c>
      <x:c r="AA154" s="2" t="n">
        <x:f>IF(AND(H154&gt;0,N154="",NOT(ISNUMBER(Q154))),1,0)</x:f>
        <x:v>0</x:v>
      </x:c>
      <x:c r="AB154" s="2" t="n">
        <x:f>IF(AND(H154&gt;0,N154&lt;&gt;"",NOT(ISNUMBER(N154))),1,0)</x:f>
        <x:v>0</x:v>
      </x:c>
    </x:row>
    <x:row r="155" ht="48" customHeight="1">
      <x:c r="A155" s="2" t="str">
        <x:v>MAIN-155</x:v>
      </x:c>
      <x:c r="B155" s="2" t="str">
        <x:v>Main</x:v>
      </x:c>
      <x:c r="C155" s="2" t="str">
        <x:v>Chennai</x:v>
      </x:c>
      <x:c r="D155" s="12" t="str">
        <x:v>Olympia Pinnacle Technology Park</x:v>
      </x:c>
      <x:c r="E155" s="12" t="str">
        <x:v>43 inch LED TV</x:v>
      </x:c>
      <x:c r="F155" s="2" t="n">
        <x:v>1</x:v>
      </x:c>
      <x:c r="G155" s="2" t="n">
        <x:v>1</x:v>
      </x:c>
      <x:c r="H155" s="2" t="n">
        <x:f>COUNTIFS('Inventory'!$N$7:$N$783,A155,'Inventory'!$A$7:$A$783,1)</x:f>
        <x:v>1</x:v>
      </x:c>
      <x:c r="I155" s="2" t="n">
        <x:f>SUMIFS('Inventory'!$G$7:$G$783,'Inventory'!$N$7:$N$783,A155,'Inventory'!$A$7:$A$783,1)</x:f>
        <x:v>1</x:v>
      </x:c>
      <x:c r="J155" s="12" t="str">
        <x:v>Campaign format rate</x:v>
      </x:c>
      <x:c r="K155" s="17"/>
      <x:c r="L155" s="17" t="n">
        <x:f>$E$5</x:f>
        <x:v>20000</x:v>
      </x:c>
      <x:c r="M155" s="17"/>
      <x:c r="N155" s="19"/>
      <x:c r="O155" s="17" t="n">
        <x:f>IF(ISNUMBER(L155),G155*L155,IF(ISNUMBER(M155),M155,""))</x:f>
        <x:v>20000</x:v>
      </x:c>
      <x:c r="P155" s="17" t="n">
        <x:f>IF(ISNUMBER(K155),K155,IF(ISNUMBER(O155),O155,""))</x:f>
        <x:v>20000</x:v>
      </x:c>
      <x:c r="Q155" s="17" t="n">
        <x:f>IF(H155=0,0,IF(ISNUMBER(N155),N155,IF(N155="",IF(H155=F155,P155,""),"")))</x:f>
        <x:v>20000</x:v>
      </x:c>
      <x:c r="R155" s="17" t="n">
        <x:f>IF(ISNUMBER(Q155),ROUND(Q155*$C$4,2),"")</x:f>
        <x:v>3600</x:v>
      </x:c>
      <x:c r="S155" s="17" t="n">
        <x:f>IF(ISNUMBER(Q155),Q155+R155,"")</x:f>
        <x:v>23600</x:v>
      </x:c>
      <x:c r="T155" s="2" t="str">
        <x:f>IF(H155=0,"Not selected",IF(ISNUMBER(N155),"Quote entered",IF(N155&lt;&gt;"","Enter numeric quote",IF(H155=F155,IF(ISNUMBER(P155),"Complete unit","Price required"),"Partial package: price required"))))</x:f>
        <x:v>Complete unit</x:v>
      </x:c>
      <x:c r="U155" s="2" t="str">
        <x:v>TEN-337F2DC67A95</x:v>
      </x:c>
      <x:c r="V155" s="2" t="str">
        <x:v>IT &amp; digital</x:v>
      </x:c>
      <x:c r="W155" s="2" t="str">
        <x:v>Small-scale prospects</x:v>
      </x:c>
      <x:c r="X155" s="17" t="n">
        <x:f>IF(AND(H155=F155,NOT(ISNUMBER(N155)),N155="",ISNUMBER(K155)),K155,0)</x:f>
        <x:v>0</x:v>
      </x:c>
      <x:c r="Y155" s="17" t="n">
        <x:f>IF(AND(H155=F155,NOT(ISNUMBER(N155)),N155="",K155="",ISNUMBER(O155)),O155,0)</x:f>
        <x:v>20000</x:v>
      </x:c>
      <x:c r="Z155" s="17" t="n">
        <x:f>IF(AND(H155&gt;0,ISNUMBER(N155)),N155,0)</x:f>
        <x:v>0</x:v>
      </x:c>
      <x:c r="AA155" s="2" t="n">
        <x:f>IF(AND(H155&gt;0,N155="",NOT(ISNUMBER(Q155))),1,0)</x:f>
        <x:v>0</x:v>
      </x:c>
      <x:c r="AB155" s="2" t="n">
        <x:f>IF(AND(H155&gt;0,N155&lt;&gt;"",NOT(ISNUMBER(N155))),1,0)</x:f>
        <x:v>0</x:v>
      </x:c>
    </x:row>
    <x:row r="156" ht="48" customHeight="1">
      <x:c r="A156" s="2" t="str">
        <x:v>MAIN-156</x:v>
      </x:c>
      <x:c r="B156" s="2" t="str">
        <x:v>Main</x:v>
      </x:c>
      <x:c r="C156" s="2" t="str">
        <x:v>Chennai</x:v>
      </x:c>
      <x:c r="D156" s="12" t="str">
        <x:v>Prestige Polygon IT Park</x:v>
      </x:c>
      <x:c r="E156" s="12" t="str">
        <x:v>43 inch LED TV</x:v>
      </x:c>
      <x:c r="F156" s="2" t="n">
        <x:v>1</x:v>
      </x:c>
      <x:c r="G156" s="2" t="n">
        <x:v>1</x:v>
      </x:c>
      <x:c r="H156" s="2" t="n">
        <x:f>COUNTIFS('Inventory'!$N$7:$N$783,A156,'Inventory'!$A$7:$A$783,1)</x:f>
        <x:v>1</x:v>
      </x:c>
      <x:c r="I156" s="2" t="n">
        <x:f>SUMIFS('Inventory'!$G$7:$G$783,'Inventory'!$N$7:$N$783,A156,'Inventory'!$A$7:$A$783,1)</x:f>
        <x:v>1</x:v>
      </x:c>
      <x:c r="J156" s="12" t="str">
        <x:v>Campaign format rate</x:v>
      </x:c>
      <x:c r="K156" s="17"/>
      <x:c r="L156" s="17" t="n">
        <x:f>$E$5</x:f>
        <x:v>20000</x:v>
      </x:c>
      <x:c r="M156" s="17"/>
      <x:c r="N156" s="19"/>
      <x:c r="O156" s="17" t="n">
        <x:f>IF(ISNUMBER(L156),G156*L156,IF(ISNUMBER(M156),M156,""))</x:f>
        <x:v>20000</x:v>
      </x:c>
      <x:c r="P156" s="17" t="n">
        <x:f>IF(ISNUMBER(K156),K156,IF(ISNUMBER(O156),O156,""))</x:f>
        <x:v>20000</x:v>
      </x:c>
      <x:c r="Q156" s="17" t="n">
        <x:f>IF(H156=0,0,IF(ISNUMBER(N156),N156,IF(N156="",IF(H156=F156,P156,""),"")))</x:f>
        <x:v>20000</x:v>
      </x:c>
      <x:c r="R156" s="17" t="n">
        <x:f>IF(ISNUMBER(Q156),ROUND(Q156*$C$4,2),"")</x:f>
        <x:v>3600</x:v>
      </x:c>
      <x:c r="S156" s="17" t="n">
        <x:f>IF(ISNUMBER(Q156),Q156+R156,"")</x:f>
        <x:v>23600</x:v>
      </x:c>
      <x:c r="T156" s="2" t="str">
        <x:f>IF(H156=0,"Not selected",IF(ISNUMBER(N156),"Quote entered",IF(N156&lt;&gt;"","Enter numeric quote",IF(H156=F156,IF(ISNUMBER(P156),"Complete unit","Price required"),"Partial package: price required"))))</x:f>
        <x:v>Complete unit</x:v>
      </x:c>
      <x:c r="U156" s="2" t="str">
        <x:v>TEN-2AD84453C261; TEN-8DF0CA31AB4A; TEN-A8E8785BC584; TEN-C3CA7D8DCA22; TEN-DD6C0292E0C6</x:v>
      </x:c>
      <x:c r="V156" s="2" t="str">
        <x:v>IT &amp; digital; Engineering &amp; manufacturing; Unresolved</x:v>
      </x:c>
      <x:c r="W156" s="2" t="str">
        <x:v>Small-scale prospects; Mixed business audience</x:v>
      </x:c>
      <x:c r="X156" s="17" t="n">
        <x:f>IF(AND(H156=F156,NOT(ISNUMBER(N156)),N156="",ISNUMBER(K156)),K156,0)</x:f>
        <x:v>0</x:v>
      </x:c>
      <x:c r="Y156" s="17" t="n">
        <x:f>IF(AND(H156=F156,NOT(ISNUMBER(N156)),N156="",K156="",ISNUMBER(O156)),O156,0)</x:f>
        <x:v>20000</x:v>
      </x:c>
      <x:c r="Z156" s="17" t="n">
        <x:f>IF(AND(H156&gt;0,ISNUMBER(N156)),N156,0)</x:f>
        <x:v>0</x:v>
      </x:c>
      <x:c r="AA156" s="2" t="n">
        <x:f>IF(AND(H156&gt;0,N156="",NOT(ISNUMBER(Q156))),1,0)</x:f>
        <x:v>0</x:v>
      </x:c>
      <x:c r="AB156" s="2" t="n">
        <x:f>IF(AND(H156&gt;0,N156&lt;&gt;"",NOT(ISNUMBER(N156))),1,0)</x:f>
        <x:v>0</x:v>
      </x:c>
    </x:row>
    <x:row r="157" ht="48" customHeight="1">
      <x:c r="A157" s="2" t="str">
        <x:v>MAIN-157</x:v>
      </x:c>
      <x:c r="B157" s="2" t="str">
        <x:v>Main</x:v>
      </x:c>
      <x:c r="C157" s="2" t="str">
        <x:v>Chennai</x:v>
      </x:c>
      <x:c r="D157" s="12" t="str">
        <x:v>Prestige Polygon Tech Park (Pod Screens)</x:v>
      </x:c>
      <x:c r="E157" s="12" t="str">
        <x:v>32 inch LED TV</x:v>
      </x:c>
      <x:c r="F157" s="2" t="n">
        <x:v>1</x:v>
      </x:c>
      <x:c r="G157" s="2" t="n">
        <x:v>3</x:v>
      </x:c>
      <x:c r="H157" s="2" t="n">
        <x:f>COUNTIFS('Inventory'!$N$7:$N$783,A157,'Inventory'!$A$7:$A$783,1)</x:f>
        <x:v>1</x:v>
      </x:c>
      <x:c r="I157" s="2" t="n">
        <x:f>SUMIFS('Inventory'!$G$7:$G$783,'Inventory'!$N$7:$N$783,A157,'Inventory'!$A$7:$A$783,1)</x:f>
        <x:v>3</x:v>
      </x:c>
      <x:c r="J157" s="12" t="str">
        <x:v>Listed budget</x:v>
      </x:c>
      <x:c r="K157" s="17" t="n">
        <x:v>97500</x:v>
      </x:c>
      <x:c r="L157" s="17"/>
      <x:c r="M157" s="17"/>
      <x:c r="N157" s="19"/>
      <x:c r="O157" s="17" t="str">
        <x:f>IF(ISNUMBER(L157),G157*L157,IF(ISNUMBER(M157),M157,""))</x:f>
      </x:c>
      <x:c r="P157" s="17" t="n">
        <x:f>IF(ISNUMBER(K157),K157,IF(ISNUMBER(O157),O157,""))</x:f>
        <x:v>97500</x:v>
      </x:c>
      <x:c r="Q157" s="17" t="n">
        <x:f>IF(H157=0,0,IF(ISNUMBER(N157),N157,IF(N157="",IF(H157=F157,P157,""),"")))</x:f>
        <x:v>97500</x:v>
      </x:c>
      <x:c r="R157" s="17" t="n">
        <x:f>IF(ISNUMBER(Q157),ROUND(Q157*$C$4,2),"")</x:f>
        <x:v>17550</x:v>
      </x:c>
      <x:c r="S157" s="17" t="n">
        <x:f>IF(ISNUMBER(Q157),Q157+R157,"")</x:f>
        <x:v>115050</x:v>
      </x:c>
      <x:c r="T157" s="2" t="str">
        <x:f>IF(H157=0,"Not selected",IF(ISNUMBER(N157),"Quote entered",IF(N157&lt;&gt;"","Enter numeric quote",IF(H157=F157,IF(ISNUMBER(P157),"Complete unit","Price required"),"Partial package: price required"))))</x:f>
        <x:v>Complete unit</x:v>
      </x:c>
      <x:c r="U157" s="2" t="str">
        <x:v>TEN-2AD84453C261; TEN-8DF0CA31AB4A; TEN-A8E8785BC584; TEN-C3CA7D8DCA22; TEN-DD6C0292E0C6</x:v>
      </x:c>
      <x:c r="V157" s="2" t="str">
        <x:v>IT &amp; digital; Engineering &amp; manufacturing; Unresolved</x:v>
      </x:c>
      <x:c r="W157" s="2" t="str">
        <x:v>Small-scale prospects; Mixed business audience</x:v>
      </x:c>
      <x:c r="X157" s="17" t="n">
        <x:f>IF(AND(H157=F157,NOT(ISNUMBER(N157)),N157="",ISNUMBER(K157)),K157,0)</x:f>
        <x:v>97500</x:v>
      </x:c>
      <x:c r="Y157" s="17" t="n">
        <x:f>IF(AND(H157=F157,NOT(ISNUMBER(N157)),N157="",K157="",ISNUMBER(O157)),O157,0)</x:f>
        <x:v>0</x:v>
      </x:c>
      <x:c r="Z157" s="17" t="n">
        <x:f>IF(AND(H157&gt;0,ISNUMBER(N157)),N157,0)</x:f>
        <x:v>0</x:v>
      </x:c>
      <x:c r="AA157" s="2" t="n">
        <x:f>IF(AND(H157&gt;0,N157="",NOT(ISNUMBER(Q157))),1,0)</x:f>
        <x:v>0</x:v>
      </x:c>
      <x:c r="AB157" s="2" t="n">
        <x:f>IF(AND(H157&gt;0,N157&lt;&gt;"",NOT(ISNUMBER(N157))),1,0)</x:f>
        <x:v>0</x:v>
      </x:c>
    </x:row>
    <x:row r="158" ht="48" customHeight="1">
      <x:c r="A158" s="2" t="str">
        <x:v>MAIN-158</x:v>
      </x:c>
      <x:c r="B158" s="2" t="str">
        <x:v>Main</x:v>
      </x:c>
      <x:c r="C158" s="2" t="str">
        <x:v>Chennai</x:v>
      </x:c>
      <x:c r="D158" s="12" t="str">
        <x:v>Prestige Zackria Metropolitan</x:v>
      </x:c>
      <x:c r="E158" s="12" t="str">
        <x:v>43 inch LED TV</x:v>
      </x:c>
      <x:c r="F158" s="2" t="n">
        <x:v>1</x:v>
      </x:c>
      <x:c r="G158" s="2" t="n">
        <x:v>2</x:v>
      </x:c>
      <x:c r="H158" s="2" t="n">
        <x:f>COUNTIFS('Inventory'!$N$7:$N$783,A158,'Inventory'!$A$7:$A$783,1)</x:f>
        <x:v>1</x:v>
      </x:c>
      <x:c r="I158" s="2" t="n">
        <x:f>SUMIFS('Inventory'!$G$7:$G$783,'Inventory'!$N$7:$N$783,A158,'Inventory'!$A$7:$A$783,1)</x:f>
        <x:v>2</x:v>
      </x:c>
      <x:c r="J158" s="12" t="str">
        <x:v>Campaign format rate</x:v>
      </x:c>
      <x:c r="K158" s="17"/>
      <x:c r="L158" s="17" t="n">
        <x:f>$E$5</x:f>
        <x:v>20000</x:v>
      </x:c>
      <x:c r="M158" s="17"/>
      <x:c r="N158" s="19"/>
      <x:c r="O158" s="17" t="n">
        <x:f>IF(ISNUMBER(L158),G158*L158,IF(ISNUMBER(M158),M158,""))</x:f>
        <x:v>40000</x:v>
      </x:c>
      <x:c r="P158" s="17" t="n">
        <x:f>IF(ISNUMBER(K158),K158,IF(ISNUMBER(O158),O158,""))</x:f>
        <x:v>40000</x:v>
      </x:c>
      <x:c r="Q158" s="17" t="n">
        <x:f>IF(H158=0,0,IF(ISNUMBER(N158),N158,IF(N158="",IF(H158=F158,P158,""),"")))</x:f>
        <x:v>40000</x:v>
      </x:c>
      <x:c r="R158" s="17" t="n">
        <x:f>IF(ISNUMBER(Q158),ROUND(Q158*$C$4,2),"")</x:f>
        <x:v>7200</x:v>
      </x:c>
      <x:c r="S158" s="17" t="n">
        <x:f>IF(ISNUMBER(Q158),Q158+R158,"")</x:f>
        <x:v>47200</x:v>
      </x:c>
      <x:c r="T158" s="2" t="str">
        <x:f>IF(H158=0,"Not selected",IF(ISNUMBER(N158),"Quote entered",IF(N158&lt;&gt;"","Enter numeric quote",IF(H158=F158,IF(ISNUMBER(P158),"Complete unit","Price required"),"Partial package: price required"))))</x:f>
        <x:v>Complete unit</x:v>
      </x:c>
      <x:c r="U158" s="2" t="str">
        <x:v>TEN-0D54E5331AF7; TEN-4A3892E5BC96; TEN-6429D6117F38; TEN-8ADB9CA624D1; TEN-9893181D2970</x:v>
      </x:c>
      <x:c r="V158" s="2" t="str">
        <x:v>IT &amp; digital; Professional services; Finance &amp; insurance; Trade, consumer &amp; logistics; Unresolved</x:v>
      </x:c>
      <x:c r="W158" s="2" t="str">
        <x:v>Mixed business audience</x:v>
      </x:c>
      <x:c r="X158" s="17" t="n">
        <x:f>IF(AND(H158=F158,NOT(ISNUMBER(N158)),N158="",ISNUMBER(K158)),K158,0)</x:f>
        <x:v>0</x:v>
      </x:c>
      <x:c r="Y158" s="17" t="n">
        <x:f>IF(AND(H158=F158,NOT(ISNUMBER(N158)),N158="",K158="",ISNUMBER(O158)),O158,0)</x:f>
        <x:v>40000</x:v>
      </x:c>
      <x:c r="Z158" s="17" t="n">
        <x:f>IF(AND(H158&gt;0,ISNUMBER(N158)),N158,0)</x:f>
        <x:v>0</x:v>
      </x:c>
      <x:c r="AA158" s="2" t="n">
        <x:f>IF(AND(H158&gt;0,N158="",NOT(ISNUMBER(Q158))),1,0)</x:f>
        <x:v>0</x:v>
      </x:c>
      <x:c r="AB158" s="2" t="n">
        <x:f>IF(AND(H158&gt;0,N158&lt;&gt;"",NOT(ISNUMBER(N158))),1,0)</x:f>
        <x:v>0</x:v>
      </x:c>
    </x:row>
    <x:row r="159" ht="48" customHeight="1">
      <x:c r="A159" s="2" t="str">
        <x:v>MAIN-159</x:v>
      </x:c>
      <x:c r="B159" s="2" t="str">
        <x:v>Main</x:v>
      </x:c>
      <x:c r="C159" s="2" t="str">
        <x:v>Chennai</x:v>
      </x:c>
      <x:c r="D159" s="12" t="str">
        <x:v>Wingspace - Coworking Space IN Perungudi</x:v>
      </x:c>
      <x:c r="E159" s="12" t="str">
        <x:v>32 inch LED TV</x:v>
      </x:c>
      <x:c r="F159" s="2" t="n">
        <x:v>1</x:v>
      </x:c>
      <x:c r="G159" s="2" t="n">
        <x:v>1</x:v>
      </x:c>
      <x:c r="H159" s="2" t="n">
        <x:f>COUNTIFS('Inventory'!$N$7:$N$783,A159,'Inventory'!$A$7:$A$783,1)</x:f>
        <x:v>1</x:v>
      </x:c>
      <x:c r="I159" s="2" t="n">
        <x:f>SUMIFS('Inventory'!$G$7:$G$783,'Inventory'!$N$7:$N$783,A159,'Inventory'!$A$7:$A$783,1)</x:f>
        <x:v>1</x:v>
      </x:c>
      <x:c r="J159" s="12" t="str">
        <x:v>Listed budget</x:v>
      </x:c>
      <x:c r="K159" s="17" t="n">
        <x:v>15000</x:v>
      </x:c>
      <x:c r="L159" s="17"/>
      <x:c r="M159" s="17"/>
      <x:c r="N159" s="19"/>
      <x:c r="O159" s="17" t="str">
        <x:f>IF(ISNUMBER(L159),G159*L159,IF(ISNUMBER(M159),M159,""))</x:f>
      </x:c>
      <x:c r="P159" s="17" t="n">
        <x:f>IF(ISNUMBER(K159),K159,IF(ISNUMBER(O159),O159,""))</x:f>
        <x:v>15000</x:v>
      </x:c>
      <x:c r="Q159" s="17" t="n">
        <x:f>IF(H159=0,0,IF(ISNUMBER(N159),N159,IF(N159="",IF(H159=F159,P159,""),"")))</x:f>
        <x:v>15000</x:v>
      </x:c>
      <x:c r="R159" s="17" t="n">
        <x:f>IF(ISNUMBER(Q159),ROUND(Q159*$C$4,2),"")</x:f>
        <x:v>2700</x:v>
      </x:c>
      <x:c r="S159" s="17" t="n">
        <x:f>IF(ISNUMBER(Q159),Q159+R159,"")</x:f>
        <x:v>17700</x:v>
      </x:c>
      <x:c r="T159" s="2" t="str">
        <x:f>IF(H159=0,"Not selected",IF(ISNUMBER(N159),"Quote entered",IF(N159&lt;&gt;"","Enter numeric quote",IF(H159=F159,IF(ISNUMBER(P159),"Complete unit","Price required"),"Partial package: price required"))))</x:f>
        <x:v>Complete unit</x:v>
      </x:c>
      <x:c r="U159" s="2" t="str">
        <x:v>TEN-18BA3D03B696; TEN-1A5E028F30B8; TEN-1FE83FD8C056; TEN-5240559B6AFA; TEN-5A68B9DB37DE; TEN-60F97FFFDBBB; TEN-7E1C21AC33D5; TEN-89BC704C61F9; TEN-933A19328F9C</x:v>
      </x:c>
      <x:c r="V159" s="2" t="str">
        <x:v>IT &amp; digital; Engineering &amp; manufacturing; Education; Trade, consumer &amp; logistics; Unresolved</x:v>
      </x:c>
      <x:c r="W159" s="2" t="str">
        <x:v>Small-scale prospects; Medium-scale prospects; Mixed business audience</x:v>
      </x:c>
      <x:c r="X159" s="17" t="n">
        <x:f>IF(AND(H159=F159,NOT(ISNUMBER(N159)),N159="",ISNUMBER(K159)),K159,0)</x:f>
        <x:v>15000</x:v>
      </x:c>
      <x:c r="Y159" s="17" t="n">
        <x:f>IF(AND(H159=F159,NOT(ISNUMBER(N159)),N159="",K159="",ISNUMBER(O159)),O159,0)</x:f>
        <x:v>0</x:v>
      </x:c>
      <x:c r="Z159" s="17" t="n">
        <x:f>IF(AND(H159&gt;0,ISNUMBER(N159)),N159,0)</x:f>
        <x:v>0</x:v>
      </x:c>
      <x:c r="AA159" s="2" t="n">
        <x:f>IF(AND(H159&gt;0,N159="",NOT(ISNUMBER(Q159))),1,0)</x:f>
        <x:v>0</x:v>
      </x:c>
      <x:c r="AB159" s="2" t="n">
        <x:f>IF(AND(H159&gt;0,N159&lt;&gt;"",NOT(ISNUMBER(N159))),1,0)</x:f>
        <x:v>0</x:v>
      </x:c>
    </x:row>
    <x:row r="160" ht="48" customHeight="1">
      <x:c r="A160" s="2" t="str">
        <x:v>MAIN-160</x:v>
      </x:c>
      <x:c r="B160" s="2" t="str">
        <x:v>Main</x:v>
      </x:c>
      <x:c r="C160" s="2" t="str">
        <x:v>Chennai</x:v>
      </x:c>
      <x:c r="D160" s="12" t="str">
        <x:v>Workflo by Oyo - Innov8 Millenia</x:v>
      </x:c>
      <x:c r="E160" s="12" t="str">
        <x:v>32 inch LED TV</x:v>
      </x:c>
      <x:c r="F160" s="2" t="n">
        <x:v>1</x:v>
      </x:c>
      <x:c r="G160" s="2" t="n">
        <x:v>1</x:v>
      </x:c>
      <x:c r="H160" s="2" t="n">
        <x:f>COUNTIFS('Inventory'!$N$7:$N$783,A160,'Inventory'!$A$7:$A$783,1)</x:f>
        <x:v>1</x:v>
      </x:c>
      <x:c r="I160" s="2" t="n">
        <x:f>SUMIFS('Inventory'!$G$7:$G$783,'Inventory'!$N$7:$N$783,A160,'Inventory'!$A$7:$A$783,1)</x:f>
        <x:v>1</x:v>
      </x:c>
      <x:c r="J160" s="12" t="str">
        <x:v>Listed budget</x:v>
      </x:c>
      <x:c r="K160" s="17" t="n">
        <x:v>15000</x:v>
      </x:c>
      <x:c r="L160" s="17"/>
      <x:c r="M160" s="17"/>
      <x:c r="N160" s="19"/>
      <x:c r="O160" s="17" t="str">
        <x:f>IF(ISNUMBER(L160),G160*L160,IF(ISNUMBER(M160),M160,""))</x:f>
      </x:c>
      <x:c r="P160" s="17" t="n">
        <x:f>IF(ISNUMBER(K160),K160,IF(ISNUMBER(O160),O160,""))</x:f>
        <x:v>15000</x:v>
      </x:c>
      <x:c r="Q160" s="17" t="n">
        <x:f>IF(H160=0,0,IF(ISNUMBER(N160),N160,IF(N160="",IF(H160=F160,P160,""),"")))</x:f>
        <x:v>15000</x:v>
      </x:c>
      <x:c r="R160" s="17" t="n">
        <x:f>IF(ISNUMBER(Q160),ROUND(Q160*$C$4,2),"")</x:f>
        <x:v>2700</x:v>
      </x:c>
      <x:c r="S160" s="17" t="n">
        <x:f>IF(ISNUMBER(Q160),Q160+R160,"")</x:f>
        <x:v>17700</x:v>
      </x:c>
      <x:c r="T160" s="2" t="str">
        <x:f>IF(H160=0,"Not selected",IF(ISNUMBER(N160),"Quote entered",IF(N160&lt;&gt;"","Enter numeric quote",IF(H160=F160,IF(ISNUMBER(P160),"Complete unit","Price required"),"Partial package: price required"))))</x:f>
        <x:v>Complete unit</x:v>
      </x:c>
      <x:c r="U160" s="2" t="str">
        <x:v>TEN-1D4C6B5EB3AF; TEN-AFA9827C3A8D; TEN-B3B549850AA9; TEN-F975ADEAF864; TEN-FFDA1A899520</x:v>
      </x:c>
      <x:c r="V160" s="2" t="str">
        <x:v>IT &amp; digital; Trade, consumer &amp; logistics</x:v>
      </x:c>
      <x:c r="W160" s="2" t="str">
        <x:v>Small-scale prospects; Mixed business audience</x:v>
      </x:c>
      <x:c r="X160" s="17" t="n">
        <x:f>IF(AND(H160=F160,NOT(ISNUMBER(N160)),N160="",ISNUMBER(K160)),K160,0)</x:f>
        <x:v>15000</x:v>
      </x:c>
      <x:c r="Y160" s="17" t="n">
        <x:f>IF(AND(H160=F160,NOT(ISNUMBER(N160)),N160="",K160="",ISNUMBER(O160)),O160,0)</x:f>
        <x:v>0</x:v>
      </x:c>
      <x:c r="Z160" s="17" t="n">
        <x:f>IF(AND(H160&gt;0,ISNUMBER(N160)),N160,0)</x:f>
        <x:v>0</x:v>
      </x:c>
      <x:c r="AA160" s="2" t="n">
        <x:f>IF(AND(H160&gt;0,N160="",NOT(ISNUMBER(Q160))),1,0)</x:f>
        <x:v>0</x:v>
      </x:c>
      <x:c r="AB160" s="2" t="n">
        <x:f>IF(AND(H160&gt;0,N160&lt;&gt;"",NOT(ISNUMBER(N160))),1,0)</x:f>
        <x:v>0</x:v>
      </x:c>
    </x:row>
    <x:row r="161" ht="48" customHeight="1">
      <x:c r="A161" s="2" t="str">
        <x:v>MAIN-161</x:v>
      </x:c>
      <x:c r="B161" s="2" t="str">
        <x:v>Main</x:v>
      </x:c>
      <x:c r="C161" s="2" t="str">
        <x:v>Chennai</x:v>
      </x:c>
      <x:c r="D161" s="12" t="str">
        <x:v>Workflow by Oyo - Guindy</x:v>
      </x:c>
      <x:c r="E161" s="12" t="str">
        <x:v>32 inch LED TV</x:v>
      </x:c>
      <x:c r="F161" s="2" t="n">
        <x:v>1</x:v>
      </x:c>
      <x:c r="G161" s="2" t="n">
        <x:v>1</x:v>
      </x:c>
      <x:c r="H161" s="2" t="n">
        <x:f>COUNTIFS('Inventory'!$N$7:$N$783,A161,'Inventory'!$A$7:$A$783,1)</x:f>
        <x:v>1</x:v>
      </x:c>
      <x:c r="I161" s="2" t="n">
        <x:f>SUMIFS('Inventory'!$G$7:$G$783,'Inventory'!$N$7:$N$783,A161,'Inventory'!$A$7:$A$783,1)</x:f>
        <x:v>1</x:v>
      </x:c>
      <x:c r="J161" s="12" t="str">
        <x:v>Listed budget</x:v>
      </x:c>
      <x:c r="K161" s="17" t="n">
        <x:v>15000</x:v>
      </x:c>
      <x:c r="L161" s="17"/>
      <x:c r="M161" s="17"/>
      <x:c r="N161" s="19"/>
      <x:c r="O161" s="17" t="str">
        <x:f>IF(ISNUMBER(L161),G161*L161,IF(ISNUMBER(M161),M161,""))</x:f>
      </x:c>
      <x:c r="P161" s="17" t="n">
        <x:f>IF(ISNUMBER(K161),K161,IF(ISNUMBER(O161),O161,""))</x:f>
        <x:v>15000</x:v>
      </x:c>
      <x:c r="Q161" s="17" t="n">
        <x:f>IF(H161=0,0,IF(ISNUMBER(N161),N161,IF(N161="",IF(H161=F161,P161,""),"")))</x:f>
        <x:v>15000</x:v>
      </x:c>
      <x:c r="R161" s="17" t="n">
        <x:f>IF(ISNUMBER(Q161),ROUND(Q161*$C$4,2),"")</x:f>
        <x:v>2700</x:v>
      </x:c>
      <x:c r="S161" s="17" t="n">
        <x:f>IF(ISNUMBER(Q161),Q161+R161,"")</x:f>
        <x:v>17700</x:v>
      </x:c>
      <x:c r="T161" s="2" t="str">
        <x:f>IF(H161=0,"Not selected",IF(ISNUMBER(N161),"Quote entered",IF(N161&lt;&gt;"","Enter numeric quote",IF(H161=F161,IF(ISNUMBER(P161),"Complete unit","Price required"),"Partial package: price required"))))</x:f>
        <x:v>Complete unit</x:v>
      </x:c>
      <x:c r="U161" s="2" t="str">
        <x:v>TEN-415DF7078045; TEN-9FD92F05F310; TEN-A3315D1C95D3; TEN-B5F3F71440ED; TEN-E922BA855F02</x:v>
      </x:c>
      <x:c r="V161" s="2" t="str">
        <x:v>Engineering &amp; manufacturing; Healthcare &amp; life sciences; Trade, consumer &amp; logistics; Unresolved</x:v>
      </x:c>
      <x:c r="W161" s="2" t="str">
        <x:v>Small-scale prospects; Mixed business audience</x:v>
      </x:c>
      <x:c r="X161" s="17" t="n">
        <x:f>IF(AND(H161=F161,NOT(ISNUMBER(N161)),N161="",ISNUMBER(K161)),K161,0)</x:f>
        <x:v>15000</x:v>
      </x:c>
      <x:c r="Y161" s="17" t="n">
        <x:f>IF(AND(H161=F161,NOT(ISNUMBER(N161)),N161="",K161="",ISNUMBER(O161)),O161,0)</x:f>
        <x:v>0</x:v>
      </x:c>
      <x:c r="Z161" s="17" t="n">
        <x:f>IF(AND(H161&gt;0,ISNUMBER(N161)),N161,0)</x:f>
        <x:v>0</x:v>
      </x:c>
      <x:c r="AA161" s="2" t="n">
        <x:f>IF(AND(H161&gt;0,N161="",NOT(ISNUMBER(Q161))),1,0)</x:f>
        <x:v>0</x:v>
      </x:c>
      <x:c r="AB161" s="2" t="n">
        <x:f>IF(AND(H161&gt;0,N161&lt;&gt;"",NOT(ISNUMBER(N161))),1,0)</x:f>
        <x:v>0</x:v>
      </x:c>
    </x:row>
    <x:row r="162" ht="48" customHeight="1">
      <x:c r="A162" s="2" t="str">
        <x:v>MAIN-178</x:v>
      </x:c>
      <x:c r="B162" s="2" t="str">
        <x:v>Main</x:v>
      </x:c>
      <x:c r="C162" s="2" t="str">
        <x:v>Delhi NCR</x:v>
      </x:c>
      <x:c r="D162" s="12" t="str">
        <x:v>Atrium Spaces</x:v>
      </x:c>
      <x:c r="E162" s="12" t="str">
        <x:v>55 inch LED TV</x:v>
      </x:c>
      <x:c r="F162" s="2" t="n">
        <x:v>1</x:v>
      </x:c>
      <x:c r="G162" s="2" t="n">
        <x:v>1</x:v>
      </x:c>
      <x:c r="H162" s="2" t="n">
        <x:f>COUNTIFS('Inventory'!$N$7:$N$783,A162,'Inventory'!$A$7:$A$783,1)</x:f>
        <x:v>1</x:v>
      </x:c>
      <x:c r="I162" s="2" t="n">
        <x:f>SUMIFS('Inventory'!$G$7:$G$783,'Inventory'!$N$7:$N$783,A162,'Inventory'!$A$7:$A$783,1)</x:f>
        <x:v>1</x:v>
      </x:c>
      <x:c r="J162" s="12" t="str">
        <x:v>Campaign format rate</x:v>
      </x:c>
      <x:c r="K162" s="17"/>
      <x:c r="L162" s="17" t="n">
        <x:f>$I$5</x:f>
        <x:v>40000</x:v>
      </x:c>
      <x:c r="M162" s="17"/>
      <x:c r="N162" s="19"/>
      <x:c r="O162" s="17" t="n">
        <x:f>IF(ISNUMBER(L162),G162*L162,IF(ISNUMBER(M162),M162,""))</x:f>
        <x:v>40000</x:v>
      </x:c>
      <x:c r="P162" s="17" t="n">
        <x:f>IF(ISNUMBER(K162),K162,IF(ISNUMBER(O162),O162,""))</x:f>
        <x:v>40000</x:v>
      </x:c>
      <x:c r="Q162" s="17" t="n">
        <x:f>IF(H162=0,0,IF(ISNUMBER(N162),N162,IF(N162="",IF(H162=F162,P162,""),"")))</x:f>
        <x:v>40000</x:v>
      </x:c>
      <x:c r="R162" s="17" t="n">
        <x:f>IF(ISNUMBER(Q162),ROUND(Q162*$C$4,2),"")</x:f>
        <x:v>7200</x:v>
      </x:c>
      <x:c r="S162" s="17" t="n">
        <x:f>IF(ISNUMBER(Q162),Q162+R162,"")</x:f>
        <x:v>47200</x:v>
      </x:c>
      <x:c r="T162" s="2" t="str">
        <x:f>IF(H162=0,"Not selected",IF(ISNUMBER(N162),"Quote entered",IF(N162&lt;&gt;"","Enter numeric quote",IF(H162=F162,IF(ISNUMBER(P162),"Complete unit","Price required"),"Partial package: price required"))))</x:f>
        <x:v>Complete unit</x:v>
      </x:c>
      <x:c r="U162" s="2" t="str"/>
      <x:c r="V162" s="2" t="str">
        <x:v>Unclassified</x:v>
      </x:c>
      <x:c r="W162" s="2" t="str">
        <x:v>Mixed business audience</x:v>
      </x:c>
      <x:c r="X162" s="17" t="n">
        <x:f>IF(AND(H162=F162,NOT(ISNUMBER(N162)),N162="",ISNUMBER(K162)),K162,0)</x:f>
        <x:v>0</x:v>
      </x:c>
      <x:c r="Y162" s="17" t="n">
        <x:f>IF(AND(H162=F162,NOT(ISNUMBER(N162)),N162="",K162="",ISNUMBER(O162)),O162,0)</x:f>
        <x:v>40000</x:v>
      </x:c>
      <x:c r="Z162" s="17" t="n">
        <x:f>IF(AND(H162&gt;0,ISNUMBER(N162)),N162,0)</x:f>
        <x:v>0</x:v>
      </x:c>
      <x:c r="AA162" s="2" t="n">
        <x:f>IF(AND(H162&gt;0,N162="",NOT(ISNUMBER(Q162))),1,0)</x:f>
        <x:v>0</x:v>
      </x:c>
      <x:c r="AB162" s="2" t="n">
        <x:f>IF(AND(H162&gt;0,N162&lt;&gt;"",NOT(ISNUMBER(N162))),1,0)</x:f>
        <x:v>0</x:v>
      </x:c>
    </x:row>
    <x:row r="163" ht="48" customHeight="1">
      <x:c r="A163" s="2" t="str">
        <x:v>MAIN-363</x:v>
      </x:c>
      <x:c r="B163" s="2" t="str">
        <x:v>Main</x:v>
      </x:c>
      <x:c r="C163" s="2" t="str">
        <x:v>Delhi NCR</x:v>
      </x:c>
      <x:c r="D163" s="12" t="str">
        <x:v>ATS Bouquet</x:v>
      </x:c>
      <x:c r="E163" s="12" t="str">
        <x:v>55 inch LED TV</x:v>
      </x:c>
      <x:c r="F163" s="2" t="n">
        <x:v>1</x:v>
      </x:c>
      <x:c r="G163" s="2" t="n">
        <x:v>6</x:v>
      </x:c>
      <x:c r="H163" s="2" t="n">
        <x:f>COUNTIFS('Inventory'!$N$7:$N$783,A163,'Inventory'!$A$7:$A$783,1)</x:f>
        <x:v>1</x:v>
      </x:c>
      <x:c r="I163" s="2" t="n">
        <x:f>SUMIFS('Inventory'!$G$7:$G$783,'Inventory'!$N$7:$N$783,A163,'Inventory'!$A$7:$A$783,1)</x:f>
        <x:v>6</x:v>
      </x:c>
      <x:c r="J163" s="12" t="str">
        <x:v>Campaign format rate</x:v>
      </x:c>
      <x:c r="K163" s="17"/>
      <x:c r="L163" s="17" t="n">
        <x:f>$I$5</x:f>
        <x:v>40000</x:v>
      </x:c>
      <x:c r="M163" s="17"/>
      <x:c r="N163" s="19"/>
      <x:c r="O163" s="17" t="n">
        <x:f>IF(ISNUMBER(L163),G163*L163,IF(ISNUMBER(M163),M163,""))</x:f>
        <x:v>240000</x:v>
      </x:c>
      <x:c r="P163" s="17" t="n">
        <x:f>IF(ISNUMBER(K163),K163,IF(ISNUMBER(O163),O163,""))</x:f>
        <x:v>240000</x:v>
      </x:c>
      <x:c r="Q163" s="17" t="n">
        <x:f>IF(H163=0,0,IF(ISNUMBER(N163),N163,IF(N163="",IF(H163=F163,P163,""),"")))</x:f>
        <x:v>240000</x:v>
      </x:c>
      <x:c r="R163" s="17" t="n">
        <x:f>IF(ISNUMBER(Q163),ROUND(Q163*$C$4,2),"")</x:f>
        <x:v>43200</x:v>
      </x:c>
      <x:c r="S163" s="17" t="n">
        <x:f>IF(ISNUMBER(Q163),Q163+R163,"")</x:f>
        <x:v>283200</x:v>
      </x:c>
      <x:c r="T163" s="2" t="str">
        <x:f>IF(H163=0,"Not selected",IF(ISNUMBER(N163),"Quote entered",IF(N163&lt;&gt;"","Enter numeric quote",IF(H163=F163,IF(ISNUMBER(P163),"Complete unit","Price required"),"Partial package: price required"))))</x:f>
        <x:v>Complete unit</x:v>
      </x:c>
      <x:c r="U163" s="2" t="str"/>
      <x:c r="V163" s="2" t="str">
        <x:v>Unclassified</x:v>
      </x:c>
      <x:c r="W163" s="2" t="str">
        <x:v>Mixed business audience</x:v>
      </x:c>
      <x:c r="X163" s="17" t="n">
        <x:f>IF(AND(H163=F163,NOT(ISNUMBER(N163)),N163="",ISNUMBER(K163)),K163,0)</x:f>
        <x:v>0</x:v>
      </x:c>
      <x:c r="Y163" s="17" t="n">
        <x:f>IF(AND(H163=F163,NOT(ISNUMBER(N163)),N163="",K163="",ISNUMBER(O163)),O163,0)</x:f>
        <x:v>240000</x:v>
      </x:c>
      <x:c r="Z163" s="17" t="n">
        <x:f>IF(AND(H163&gt;0,ISNUMBER(N163)),N163,0)</x:f>
        <x:v>0</x:v>
      </x:c>
      <x:c r="AA163" s="2" t="n">
        <x:f>IF(AND(H163&gt;0,N163="",NOT(ISNUMBER(Q163))),1,0)</x:f>
        <x:v>0</x:v>
      </x:c>
      <x:c r="AB163" s="2" t="n">
        <x:f>IF(AND(H163&gt;0,N163&lt;&gt;"",NOT(ISNUMBER(N163))),1,0)</x:f>
        <x:v>0</x:v>
      </x:c>
    </x:row>
    <x:row r="164" ht="48" customHeight="1">
      <x:c r="A164" s="2" t="str">
        <x:v>MAIN-179</x:v>
      </x:c>
      <x:c r="B164" s="2" t="str">
        <x:v>Main</x:v>
      </x:c>
      <x:c r="C164" s="2" t="str">
        <x:v>Delhi NCR</x:v>
      </x:c>
      <x:c r="D164" s="12" t="str">
        <x:v>Awfis - Ambience Mall</x:v>
      </x:c>
      <x:c r="E164" s="12" t="str">
        <x:v>32 inch LED TV</x:v>
      </x:c>
      <x:c r="F164" s="2" t="n">
        <x:v>1</x:v>
      </x:c>
      <x:c r="G164" s="2" t="n">
        <x:v>3</x:v>
      </x:c>
      <x:c r="H164" s="2" t="n">
        <x:f>COUNTIFS('Inventory'!$N$7:$N$783,A164,'Inventory'!$A$7:$A$783,1)</x:f>
        <x:v>1</x:v>
      </x:c>
      <x:c r="I164" s="2" t="n">
        <x:f>SUMIFS('Inventory'!$G$7:$G$783,'Inventory'!$N$7:$N$783,A164,'Inventory'!$A$7:$A$783,1)</x:f>
        <x:v>3</x:v>
      </x:c>
      <x:c r="J164" s="12" t="str">
        <x:v>Listed budget</x:v>
      </x:c>
      <x:c r="K164" s="17" t="n">
        <x:v>45000</x:v>
      </x:c>
      <x:c r="L164" s="17"/>
      <x:c r="M164" s="17"/>
      <x:c r="N164" s="19"/>
      <x:c r="O164" s="17" t="str">
        <x:f>IF(ISNUMBER(L164),G164*L164,IF(ISNUMBER(M164),M164,""))</x:f>
      </x:c>
      <x:c r="P164" s="17" t="n">
        <x:f>IF(ISNUMBER(K164),K164,IF(ISNUMBER(O164),O164,""))</x:f>
        <x:v>45000</x:v>
      </x:c>
      <x:c r="Q164" s="17" t="n">
        <x:f>IF(H164=0,0,IF(ISNUMBER(N164),N164,IF(N164="",IF(H164=F164,P164,""),"")))</x:f>
        <x:v>45000</x:v>
      </x:c>
      <x:c r="R164" s="17" t="n">
        <x:f>IF(ISNUMBER(Q164),ROUND(Q164*$C$4,2),"")</x:f>
        <x:v>8100</x:v>
      </x:c>
      <x:c r="S164" s="17" t="n">
        <x:f>IF(ISNUMBER(Q164),Q164+R164,"")</x:f>
        <x:v>53100</x:v>
      </x:c>
      <x:c r="T164" s="2" t="str">
        <x:f>IF(H164=0,"Not selected",IF(ISNUMBER(N164),"Quote entered",IF(N164&lt;&gt;"","Enter numeric quote",IF(H164=F164,IF(ISNUMBER(P164),"Complete unit","Price required"),"Partial package: price required"))))</x:f>
        <x:v>Complete unit</x:v>
      </x:c>
      <x:c r="U164" s="2" t="str">
        <x:v>TEN-3BF12FCD804F; TEN-987385221605</x:v>
      </x:c>
      <x:c r="V164" s="2" t="str">
        <x:v>Trade, consumer &amp; logistics; Unresolved</x:v>
      </x:c>
      <x:c r="W164" s="2" t="str">
        <x:v>Mixed business audience</x:v>
      </x:c>
      <x:c r="X164" s="17" t="n">
        <x:f>IF(AND(H164=F164,NOT(ISNUMBER(N164)),N164="",ISNUMBER(K164)),K164,0)</x:f>
        <x:v>45000</x:v>
      </x:c>
      <x:c r="Y164" s="17" t="n">
        <x:f>IF(AND(H164=F164,NOT(ISNUMBER(N164)),N164="",K164="",ISNUMBER(O164)),O164,0)</x:f>
        <x:v>0</x:v>
      </x:c>
      <x:c r="Z164" s="17" t="n">
        <x:f>IF(AND(H164&gt;0,ISNUMBER(N164)),N164,0)</x:f>
        <x:v>0</x:v>
      </x:c>
      <x:c r="AA164" s="2" t="n">
        <x:f>IF(AND(H164&gt;0,N164="",NOT(ISNUMBER(Q164))),1,0)</x:f>
        <x:v>0</x:v>
      </x:c>
      <x:c r="AB164" s="2" t="n">
        <x:f>IF(AND(H164&gt;0,N164&lt;&gt;"",NOT(ISNUMBER(N164))),1,0)</x:f>
        <x:v>0</x:v>
      </x:c>
    </x:row>
    <x:row r="165" ht="48" customHeight="1">
      <x:c r="A165" s="2" t="str">
        <x:v>MAIN-364</x:v>
      </x:c>
      <x:c r="B165" s="2" t="str">
        <x:v>Main</x:v>
      </x:c>
      <x:c r="C165" s="2" t="str">
        <x:v>Delhi NCR</x:v>
      </x:c>
      <x:c r="D165" s="12" t="str">
        <x:v>Awfis - Bhutani Technopark</x:v>
      </x:c>
      <x:c r="E165" s="12" t="str">
        <x:v>32 inch LED TV</x:v>
      </x:c>
      <x:c r="F165" s="2" t="n">
        <x:v>1</x:v>
      </x:c>
      <x:c r="G165" s="2" t="n">
        <x:v>1</x:v>
      </x:c>
      <x:c r="H165" s="2" t="n">
        <x:f>COUNTIFS('Inventory'!$N$7:$N$783,A165,'Inventory'!$A$7:$A$783,1)</x:f>
        <x:v>1</x:v>
      </x:c>
      <x:c r="I165" s="2" t="n">
        <x:f>SUMIFS('Inventory'!$G$7:$G$783,'Inventory'!$N$7:$N$783,A165,'Inventory'!$A$7:$A$783,1)</x:f>
        <x:v>1</x:v>
      </x:c>
      <x:c r="J165" s="12" t="str">
        <x:v>Listed budget</x:v>
      </x:c>
      <x:c r="K165" s="17" t="n">
        <x:v>15000</x:v>
      </x:c>
      <x:c r="L165" s="17"/>
      <x:c r="M165" s="17"/>
      <x:c r="N165" s="19"/>
      <x:c r="O165" s="17" t="str">
        <x:f>IF(ISNUMBER(L165),G165*L165,IF(ISNUMBER(M165),M165,""))</x:f>
      </x:c>
      <x:c r="P165" s="17" t="n">
        <x:f>IF(ISNUMBER(K165),K165,IF(ISNUMBER(O165),O165,""))</x:f>
        <x:v>15000</x:v>
      </x:c>
      <x:c r="Q165" s="17" t="n">
        <x:f>IF(H165=0,0,IF(ISNUMBER(N165),N165,IF(N165="",IF(H165=F165,P165,""),"")))</x:f>
        <x:v>15000</x:v>
      </x:c>
      <x:c r="R165" s="17" t="n">
        <x:f>IF(ISNUMBER(Q165),ROUND(Q165*$C$4,2),"")</x:f>
        <x:v>2700</x:v>
      </x:c>
      <x:c r="S165" s="17" t="n">
        <x:f>IF(ISNUMBER(Q165),Q165+R165,"")</x:f>
        <x:v>17700</x:v>
      </x:c>
      <x:c r="T165" s="2" t="str">
        <x:f>IF(H165=0,"Not selected",IF(ISNUMBER(N165),"Quote entered",IF(N165&lt;&gt;"","Enter numeric quote",IF(H165=F165,IF(ISNUMBER(P165),"Complete unit","Price required"),"Partial package: price required"))))</x:f>
        <x:v>Complete unit</x:v>
      </x:c>
      <x:c r="U165" s="2" t="str">
        <x:v>TEN-298147A4B3E2</x:v>
      </x:c>
      <x:c r="V165" s="2" t="str">
        <x:v>Workspace &amp; property operations</x:v>
      </x:c>
      <x:c r="W165" s="2" t="str">
        <x:v>Mixed business audience</x:v>
      </x:c>
      <x:c r="X165" s="17" t="n">
        <x:f>IF(AND(H165=F165,NOT(ISNUMBER(N165)),N165="",ISNUMBER(K165)),K165,0)</x:f>
        <x:v>15000</x:v>
      </x:c>
      <x:c r="Y165" s="17" t="n">
        <x:f>IF(AND(H165=F165,NOT(ISNUMBER(N165)),N165="",K165="",ISNUMBER(O165)),O165,0)</x:f>
        <x:v>0</x:v>
      </x:c>
      <x:c r="Z165" s="17" t="n">
        <x:f>IF(AND(H165&gt;0,ISNUMBER(N165)),N165,0)</x:f>
        <x:v>0</x:v>
      </x:c>
      <x:c r="AA165" s="2" t="n">
        <x:f>IF(AND(H165&gt;0,N165="",NOT(ISNUMBER(Q165))),1,0)</x:f>
        <x:v>0</x:v>
      </x:c>
      <x:c r="AB165" s="2" t="n">
        <x:f>IF(AND(H165&gt;0,N165&lt;&gt;"",NOT(ISNUMBER(N165))),1,0)</x:f>
        <x:v>0</x:v>
      </x:c>
    </x:row>
    <x:row r="166" ht="48" customHeight="1">
      <x:c r="A166" s="2" t="str">
        <x:v>MAIN-162</x:v>
      </x:c>
      <x:c r="B166" s="2" t="str">
        <x:v>Main</x:v>
      </x:c>
      <x:c r="C166" s="2" t="str">
        <x:v>Delhi NCR</x:v>
      </x:c>
      <x:c r="D166" s="12" t="str">
        <x:v>Awfis - Connaught Place</x:v>
      </x:c>
      <x:c r="E166" s="12" t="str">
        <x:v>32 inch LED TV</x:v>
      </x:c>
      <x:c r="F166" s="2" t="n">
        <x:v>1</x:v>
      </x:c>
      <x:c r="G166" s="2" t="n">
        <x:v>2</x:v>
      </x:c>
      <x:c r="H166" s="2" t="n">
        <x:f>COUNTIFS('Inventory'!$N$7:$N$783,A166,'Inventory'!$A$7:$A$783,1)</x:f>
        <x:v>1</x:v>
      </x:c>
      <x:c r="I166" s="2" t="n">
        <x:f>SUMIFS('Inventory'!$G$7:$G$783,'Inventory'!$N$7:$N$783,A166,'Inventory'!$A$7:$A$783,1)</x:f>
        <x:v>2</x:v>
      </x:c>
      <x:c r="J166" s="12" t="str">
        <x:v>Listed budget</x:v>
      </x:c>
      <x:c r="K166" s="17" t="n">
        <x:v>30000</x:v>
      </x:c>
      <x:c r="L166" s="17"/>
      <x:c r="M166" s="17"/>
      <x:c r="N166" s="19"/>
      <x:c r="O166" s="17" t="str">
        <x:f>IF(ISNUMBER(L166),G166*L166,IF(ISNUMBER(M166),M166,""))</x:f>
      </x:c>
      <x:c r="P166" s="17" t="n">
        <x:f>IF(ISNUMBER(K166),K166,IF(ISNUMBER(O166),O166,""))</x:f>
        <x:v>30000</x:v>
      </x:c>
      <x:c r="Q166" s="17" t="n">
        <x:f>IF(H166=0,0,IF(ISNUMBER(N166),N166,IF(N166="",IF(H166=F166,P166,""),"")))</x:f>
        <x:v>30000</x:v>
      </x:c>
      <x:c r="R166" s="17" t="n">
        <x:f>IF(ISNUMBER(Q166),ROUND(Q166*$C$4,2),"")</x:f>
        <x:v>5400</x:v>
      </x:c>
      <x:c r="S166" s="17" t="n">
        <x:f>IF(ISNUMBER(Q166),Q166+R166,"")</x:f>
        <x:v>35400</x:v>
      </x:c>
      <x:c r="T166" s="2" t="str">
        <x:f>IF(H166=0,"Not selected",IF(ISNUMBER(N166),"Quote entered",IF(N166&lt;&gt;"","Enter numeric quote",IF(H166=F166,IF(ISNUMBER(P166),"Complete unit","Price required"),"Partial package: price required"))))</x:f>
        <x:v>Complete unit</x:v>
      </x:c>
      <x:c r="U166" s="2" t="str">
        <x:v>TEN-31041A1A1091; TEN-40A8DB52D8F5; TEN-474177C9CCE2; TEN-47E022B2F6C9; TEN-59DF3EFE3F23; TEN-6808A4E9C9BB; TEN-744696B4409B; TEN-A291C3AB2411; TEN-A50481FFDD48; TEN-EC87D0E0735C</x:v>
      </x:c>
      <x:c r="V166" s="2" t="str">
        <x:v>Engineering &amp; manufacturing; Trade, consumer &amp; logistics; Unresolved</x:v>
      </x:c>
      <x:c r="W166" s="2" t="str">
        <x:v>Medium-scale prospects; Mixed business audience</x:v>
      </x:c>
      <x:c r="X166" s="17" t="n">
        <x:f>IF(AND(H166=F166,NOT(ISNUMBER(N166)),N166="",ISNUMBER(K166)),K166,0)</x:f>
        <x:v>30000</x:v>
      </x:c>
      <x:c r="Y166" s="17" t="n">
        <x:f>IF(AND(H166=F166,NOT(ISNUMBER(N166)),N166="",K166="",ISNUMBER(O166)),O166,0)</x:f>
        <x:v>0</x:v>
      </x:c>
      <x:c r="Z166" s="17" t="n">
        <x:f>IF(AND(H166&gt;0,ISNUMBER(N166)),N166,0)</x:f>
        <x:v>0</x:v>
      </x:c>
      <x:c r="AA166" s="2" t="n">
        <x:f>IF(AND(H166&gt;0,N166="",NOT(ISNUMBER(Q166))),1,0)</x:f>
        <x:v>0</x:v>
      </x:c>
      <x:c r="AB166" s="2" t="n">
        <x:f>IF(AND(H166&gt;0,N166&lt;&gt;"",NOT(ISNUMBER(N166))),1,0)</x:f>
        <x:v>0</x:v>
      </x:c>
    </x:row>
    <x:row r="167" ht="48" customHeight="1">
      <x:c r="A167" s="2" t="str">
        <x:v>MAIN-365</x:v>
      </x:c>
      <x:c r="B167" s="2" t="str">
        <x:v>Main</x:v>
      </x:c>
      <x:c r="C167" s="2" t="str">
        <x:v>Delhi NCR</x:v>
      </x:c>
      <x:c r="D167" s="12" t="str">
        <x:v>Awfis - Connaught Place</x:v>
      </x:c>
      <x:c r="E167" s="12" t="str">
        <x:v>32 inch LED TV</x:v>
      </x:c>
      <x:c r="F167" s="2" t="n">
        <x:v>1</x:v>
      </x:c>
      <x:c r="G167" s="2" t="n">
        <x:v>1</x:v>
      </x:c>
      <x:c r="H167" s="2" t="n">
        <x:f>COUNTIFS('Inventory'!$N$7:$N$783,A167,'Inventory'!$A$7:$A$783,1)</x:f>
        <x:v>1</x:v>
      </x:c>
      <x:c r="I167" s="2" t="n">
        <x:f>SUMIFS('Inventory'!$G$7:$G$783,'Inventory'!$N$7:$N$783,A167,'Inventory'!$A$7:$A$783,1)</x:f>
        <x:v>1</x:v>
      </x:c>
      <x:c r="J167" s="12" t="str">
        <x:v>Listed budget</x:v>
      </x:c>
      <x:c r="K167" s="17" t="n">
        <x:v>15000</x:v>
      </x:c>
      <x:c r="L167" s="17"/>
      <x:c r="M167" s="17"/>
      <x:c r="N167" s="19"/>
      <x:c r="O167" s="17" t="str">
        <x:f>IF(ISNUMBER(L167),G167*L167,IF(ISNUMBER(M167),M167,""))</x:f>
      </x:c>
      <x:c r="P167" s="17" t="n">
        <x:f>IF(ISNUMBER(K167),K167,IF(ISNUMBER(O167),O167,""))</x:f>
        <x:v>15000</x:v>
      </x:c>
      <x:c r="Q167" s="17" t="n">
        <x:f>IF(H167=0,0,IF(ISNUMBER(N167),N167,IF(N167="",IF(H167=F167,P167,""),"")))</x:f>
        <x:v>15000</x:v>
      </x:c>
      <x:c r="R167" s="17" t="n">
        <x:f>IF(ISNUMBER(Q167),ROUND(Q167*$C$4,2),"")</x:f>
        <x:v>2700</x:v>
      </x:c>
      <x:c r="S167" s="17" t="n">
        <x:f>IF(ISNUMBER(Q167),Q167+R167,"")</x:f>
        <x:v>17700</x:v>
      </x:c>
      <x:c r="T167" s="2" t="str">
        <x:f>IF(H167=0,"Not selected",IF(ISNUMBER(N167),"Quote entered",IF(N167&lt;&gt;"","Enter numeric quote",IF(H167=F167,IF(ISNUMBER(P167),"Complete unit","Price required"),"Partial package: price required"))))</x:f>
        <x:v>Complete unit</x:v>
      </x:c>
      <x:c r="U167" s="2" t="str">
        <x:v>TEN-298147A4B3E2</x:v>
      </x:c>
      <x:c r="V167" s="2" t="str">
        <x:v>Workspace &amp; property operations</x:v>
      </x:c>
      <x:c r="W167" s="2" t="str">
        <x:v>Mixed business audience</x:v>
      </x:c>
      <x:c r="X167" s="17" t="n">
        <x:f>IF(AND(H167=F167,NOT(ISNUMBER(N167)),N167="",ISNUMBER(K167)),K167,0)</x:f>
        <x:v>15000</x:v>
      </x:c>
      <x:c r="Y167" s="17" t="n">
        <x:f>IF(AND(H167=F167,NOT(ISNUMBER(N167)),N167="",K167="",ISNUMBER(O167)),O167,0)</x:f>
        <x:v>0</x:v>
      </x:c>
      <x:c r="Z167" s="17" t="n">
        <x:f>IF(AND(H167&gt;0,ISNUMBER(N167)),N167,0)</x:f>
        <x:v>0</x:v>
      </x:c>
      <x:c r="AA167" s="2" t="n">
        <x:f>IF(AND(H167&gt;0,N167="",NOT(ISNUMBER(Q167))),1,0)</x:f>
        <x:v>0</x:v>
      </x:c>
      <x:c r="AB167" s="2" t="n">
        <x:f>IF(AND(H167&gt;0,N167&lt;&gt;"",NOT(ISNUMBER(N167))),1,0)</x:f>
        <x:v>0</x:v>
      </x:c>
    </x:row>
    <x:row r="168" ht="48" customHeight="1">
      <x:c r="A168" s="2" t="str">
        <x:v>MAIN-366</x:v>
      </x:c>
      <x:c r="B168" s="2" t="str">
        <x:v>Main</x:v>
      </x:c>
      <x:c r="C168" s="2" t="str">
        <x:v>Delhi NCR</x:v>
      </x:c>
      <x:c r="D168" s="12" t="str">
        <x:v>Awfis - Knowledge Boulevard</x:v>
      </x:c>
      <x:c r="E168" s="12" t="str">
        <x:v>32 inch LED TV</x:v>
      </x:c>
      <x:c r="F168" s="2" t="n">
        <x:v>1</x:v>
      </x:c>
      <x:c r="G168" s="2" t="n">
        <x:v>3</x:v>
      </x:c>
      <x:c r="H168" s="2" t="n">
        <x:f>COUNTIFS('Inventory'!$N$7:$N$783,A168,'Inventory'!$A$7:$A$783,1)</x:f>
        <x:v>1</x:v>
      </x:c>
      <x:c r="I168" s="2" t="n">
        <x:f>SUMIFS('Inventory'!$G$7:$G$783,'Inventory'!$N$7:$N$783,A168,'Inventory'!$A$7:$A$783,1)</x:f>
        <x:v>3</x:v>
      </x:c>
      <x:c r="J168" s="12" t="str">
        <x:v>Listed budget</x:v>
      </x:c>
      <x:c r="K168" s="17" t="n">
        <x:v>45000</x:v>
      </x:c>
      <x:c r="L168" s="17"/>
      <x:c r="M168" s="17"/>
      <x:c r="N168" s="19"/>
      <x:c r="O168" s="17" t="str">
        <x:f>IF(ISNUMBER(L168),G168*L168,IF(ISNUMBER(M168),M168,""))</x:f>
      </x:c>
      <x:c r="P168" s="17" t="n">
        <x:f>IF(ISNUMBER(K168),K168,IF(ISNUMBER(O168),O168,""))</x:f>
        <x:v>45000</x:v>
      </x:c>
      <x:c r="Q168" s="17" t="n">
        <x:f>IF(H168=0,0,IF(ISNUMBER(N168),N168,IF(N168="",IF(H168=F168,P168,""),"")))</x:f>
        <x:v>45000</x:v>
      </x:c>
      <x:c r="R168" s="17" t="n">
        <x:f>IF(ISNUMBER(Q168),ROUND(Q168*$C$4,2),"")</x:f>
        <x:v>8100</x:v>
      </x:c>
      <x:c r="S168" s="17" t="n">
        <x:f>IF(ISNUMBER(Q168),Q168+R168,"")</x:f>
        <x:v>53100</x:v>
      </x:c>
      <x:c r="T168" s="2" t="str">
        <x:f>IF(H168=0,"Not selected",IF(ISNUMBER(N168),"Quote entered",IF(N168&lt;&gt;"","Enter numeric quote",IF(H168=F168,IF(ISNUMBER(P168),"Complete unit","Price required"),"Partial package: price required"))))</x:f>
        <x:v>Complete unit</x:v>
      </x:c>
      <x:c r="U168" s="2" t="str">
        <x:v>TEN-38E35F68D170; TEN-39DB6EEDD0D0; TEN-9625EE75B676; TEN-C7F623980871; TEN-D1E9A66243A1; TEN-D2930875EE54; TEN-FA64C255E7B6; TEN-FF0B654DAE85</x:v>
      </x:c>
      <x:c r="V168" s="2" t="str">
        <x:v>IT &amp; digital; Professional services; Unresolved</x:v>
      </x:c>
      <x:c r="W168" s="2" t="str">
        <x:v>Large enterprise; Mixed business audience</x:v>
      </x:c>
      <x:c r="X168" s="17" t="n">
        <x:f>IF(AND(H168=F168,NOT(ISNUMBER(N168)),N168="",ISNUMBER(K168)),K168,0)</x:f>
        <x:v>45000</x:v>
      </x:c>
      <x:c r="Y168" s="17" t="n">
        <x:f>IF(AND(H168=F168,NOT(ISNUMBER(N168)),N168="",K168="",ISNUMBER(O168)),O168,0)</x:f>
        <x:v>0</x:v>
      </x:c>
      <x:c r="Z168" s="17" t="n">
        <x:f>IF(AND(H168&gt;0,ISNUMBER(N168)),N168,0)</x:f>
        <x:v>0</x:v>
      </x:c>
      <x:c r="AA168" s="2" t="n">
        <x:f>IF(AND(H168&gt;0,N168="",NOT(ISNUMBER(Q168))),1,0)</x:f>
        <x:v>0</x:v>
      </x:c>
      <x:c r="AB168" s="2" t="n">
        <x:f>IF(AND(H168&gt;0,N168&lt;&gt;"",NOT(ISNUMBER(N168))),1,0)</x:f>
        <x:v>0</x:v>
      </x:c>
    </x:row>
    <x:row r="169" ht="48" customHeight="1">
      <x:c r="A169" s="2" t="str">
        <x:v>MAIN-367</x:v>
      </x:c>
      <x:c r="B169" s="2" t="str">
        <x:v>Main</x:v>
      </x:c>
      <x:c r="C169" s="2" t="str">
        <x:v>Delhi NCR</x:v>
      </x:c>
      <x:c r="D169" s="12" t="str">
        <x:v>Awfis - Majestic Signia</x:v>
      </x:c>
      <x:c r="E169" s="12" t="str">
        <x:v>32 inch LED TV</x:v>
      </x:c>
      <x:c r="F169" s="2" t="n">
        <x:v>1</x:v>
      </x:c>
      <x:c r="G169" s="2" t="n">
        <x:v>2</x:v>
      </x:c>
      <x:c r="H169" s="2" t="n">
        <x:f>COUNTIFS('Inventory'!$N$7:$N$783,A169,'Inventory'!$A$7:$A$783,1)</x:f>
        <x:v>1</x:v>
      </x:c>
      <x:c r="I169" s="2" t="n">
        <x:f>SUMIFS('Inventory'!$G$7:$G$783,'Inventory'!$N$7:$N$783,A169,'Inventory'!$A$7:$A$783,1)</x:f>
        <x:v>2</x:v>
      </x:c>
      <x:c r="J169" s="12" t="str">
        <x:v>Listed budget</x:v>
      </x:c>
      <x:c r="K169" s="17" t="n">
        <x:v>30000</x:v>
      </x:c>
      <x:c r="L169" s="17"/>
      <x:c r="M169" s="17"/>
      <x:c r="N169" s="19"/>
      <x:c r="O169" s="17" t="str">
        <x:f>IF(ISNUMBER(L169),G169*L169,IF(ISNUMBER(M169),M169,""))</x:f>
      </x:c>
      <x:c r="P169" s="17" t="n">
        <x:f>IF(ISNUMBER(K169),K169,IF(ISNUMBER(O169),O169,""))</x:f>
        <x:v>30000</x:v>
      </x:c>
      <x:c r="Q169" s="17" t="n">
        <x:f>IF(H169=0,0,IF(ISNUMBER(N169),N169,IF(N169="",IF(H169=F169,P169,""),"")))</x:f>
        <x:v>30000</x:v>
      </x:c>
      <x:c r="R169" s="17" t="n">
        <x:f>IF(ISNUMBER(Q169),ROUND(Q169*$C$4,2),"")</x:f>
        <x:v>5400</x:v>
      </x:c>
      <x:c r="S169" s="17" t="n">
        <x:f>IF(ISNUMBER(Q169),Q169+R169,"")</x:f>
        <x:v>35400</x:v>
      </x:c>
      <x:c r="T169" s="2" t="str">
        <x:f>IF(H169=0,"Not selected",IF(ISNUMBER(N169),"Quote entered",IF(N169&lt;&gt;"","Enter numeric quote",IF(H169=F169,IF(ISNUMBER(P169),"Complete unit","Price required"),"Partial package: price required"))))</x:f>
        <x:v>Complete unit</x:v>
      </x:c>
      <x:c r="U169" s="2" t="str">
        <x:v>TEN-3AB43178E7C3; TEN-671EB40229E4; TEN-B19C4E0394F9; TEN-BEFD8D06B80C</x:v>
      </x:c>
      <x:c r="V169" s="2" t="str">
        <x:v>IT &amp; digital; Professional services; Unresolved</x:v>
      </x:c>
      <x:c r="W169" s="2" t="str">
        <x:v>Small-scale prospects; Mixed business audience</x:v>
      </x:c>
      <x:c r="X169" s="17" t="n">
        <x:f>IF(AND(H169=F169,NOT(ISNUMBER(N169)),N169="",ISNUMBER(K169)),K169,0)</x:f>
        <x:v>30000</x:v>
      </x:c>
      <x:c r="Y169" s="17" t="n">
        <x:f>IF(AND(H169=F169,NOT(ISNUMBER(N169)),N169="",K169="",ISNUMBER(O169)),O169,0)</x:f>
        <x:v>0</x:v>
      </x:c>
      <x:c r="Z169" s="17" t="n">
        <x:f>IF(AND(H169&gt;0,ISNUMBER(N169)),N169,0)</x:f>
        <x:v>0</x:v>
      </x:c>
      <x:c r="AA169" s="2" t="n">
        <x:f>IF(AND(H169&gt;0,N169="",NOT(ISNUMBER(Q169))),1,0)</x:f>
        <x:v>0</x:v>
      </x:c>
      <x:c r="AB169" s="2" t="n">
        <x:f>IF(AND(H169&gt;0,N169&lt;&gt;"",NOT(ISNUMBER(N169))),1,0)</x:f>
        <x:v>0</x:v>
      </x:c>
    </x:row>
    <x:row r="170" ht="48" customHeight="1">
      <x:c r="A170" s="2" t="str">
        <x:v>MAIN-163</x:v>
      </x:c>
      <x:c r="B170" s="2" t="str">
        <x:v>Main</x:v>
      </x:c>
      <x:c r="C170" s="2" t="str">
        <x:v>Delhi NCR</x:v>
      </x:c>
      <x:c r="D170" s="12" t="str">
        <x:v>Awfis - Mohan Cooperative</x:v>
      </x:c>
      <x:c r="E170" s="12" t="str">
        <x:v>32 inch LED TV</x:v>
      </x:c>
      <x:c r="F170" s="2" t="n">
        <x:v>1</x:v>
      </x:c>
      <x:c r="G170" s="2" t="n">
        <x:v>3</x:v>
      </x:c>
      <x:c r="H170" s="2" t="n">
        <x:f>COUNTIFS('Inventory'!$N$7:$N$783,A170,'Inventory'!$A$7:$A$783,1)</x:f>
        <x:v>1</x:v>
      </x:c>
      <x:c r="I170" s="2" t="n">
        <x:f>SUMIFS('Inventory'!$G$7:$G$783,'Inventory'!$N$7:$N$783,A170,'Inventory'!$A$7:$A$783,1)</x:f>
        <x:v>3</x:v>
      </x:c>
      <x:c r="J170" s="12" t="str">
        <x:v>Listed budget</x:v>
      </x:c>
      <x:c r="K170" s="17" t="n">
        <x:v>45000</x:v>
      </x:c>
      <x:c r="L170" s="17"/>
      <x:c r="M170" s="17"/>
      <x:c r="N170" s="19"/>
      <x:c r="O170" s="17" t="str">
        <x:f>IF(ISNUMBER(L170),G170*L170,IF(ISNUMBER(M170),M170,""))</x:f>
      </x:c>
      <x:c r="P170" s="17" t="n">
        <x:f>IF(ISNUMBER(K170),K170,IF(ISNUMBER(O170),O170,""))</x:f>
        <x:v>45000</x:v>
      </x:c>
      <x:c r="Q170" s="17" t="n">
        <x:f>IF(H170=0,0,IF(ISNUMBER(N170),N170,IF(N170="",IF(H170=F170,P170,""),"")))</x:f>
        <x:v>45000</x:v>
      </x:c>
      <x:c r="R170" s="17" t="n">
        <x:f>IF(ISNUMBER(Q170),ROUND(Q170*$C$4,2),"")</x:f>
        <x:v>8100</x:v>
      </x:c>
      <x:c r="S170" s="17" t="n">
        <x:f>IF(ISNUMBER(Q170),Q170+R170,"")</x:f>
        <x:v>53100</x:v>
      </x:c>
      <x:c r="T170" s="2" t="str">
        <x:f>IF(H170=0,"Not selected",IF(ISNUMBER(N170),"Quote entered",IF(N170&lt;&gt;"","Enter numeric quote",IF(H170=F170,IF(ISNUMBER(P170),"Complete unit","Price required"),"Partial package: price required"))))</x:f>
        <x:v>Complete unit</x:v>
      </x:c>
      <x:c r="U170" s="2" t="str">
        <x:v>TEN-069C6A580D35; TEN-508BB24BB9BD; TEN-61BF9757EB71; TEN-7BE11149A114; TEN-A462520BC920; TEN-E3C920552F7B; TEN-E9EBDCC61F12; TEN-F66746C19057</x:v>
      </x:c>
      <x:c r="V170" s="2" t="str">
        <x:v>IT &amp; digital; Healthcare &amp; life sciences; Education; Unresolved</x:v>
      </x:c>
      <x:c r="W170" s="2" t="str">
        <x:v>Small-scale prospects; Mixed business audience</x:v>
      </x:c>
      <x:c r="X170" s="17" t="n">
        <x:f>IF(AND(H170=F170,NOT(ISNUMBER(N170)),N170="",ISNUMBER(K170)),K170,0)</x:f>
        <x:v>45000</x:v>
      </x:c>
      <x:c r="Y170" s="17" t="n">
        <x:f>IF(AND(H170=F170,NOT(ISNUMBER(N170)),N170="",K170="",ISNUMBER(O170)),O170,0)</x:f>
        <x:v>0</x:v>
      </x:c>
      <x:c r="Z170" s="17" t="n">
        <x:f>IF(AND(H170&gt;0,ISNUMBER(N170)),N170,0)</x:f>
        <x:v>0</x:v>
      </x:c>
      <x:c r="AA170" s="2" t="n">
        <x:f>IF(AND(H170&gt;0,N170="",NOT(ISNUMBER(Q170))),1,0)</x:f>
        <x:v>0</x:v>
      </x:c>
      <x:c r="AB170" s="2" t="n">
        <x:f>IF(AND(H170&gt;0,N170&lt;&gt;"",NOT(ISNUMBER(N170))),1,0)</x:f>
        <x:v>0</x:v>
      </x:c>
    </x:row>
    <x:row r="171" ht="48" customHeight="1">
      <x:c r="A171" s="2" t="str">
        <x:v>MAIN-164</x:v>
      </x:c>
      <x:c r="B171" s="2" t="str">
        <x:v>Main</x:v>
      </x:c>
      <x:c r="C171" s="2" t="str">
        <x:v>Delhi NCR</x:v>
      </x:c>
      <x:c r="D171" s="12" t="str">
        <x:v>Awfis - Mohan Cooperative 2</x:v>
      </x:c>
      <x:c r="E171" s="12" t="str">
        <x:v>32 inch LED TV</x:v>
      </x:c>
      <x:c r="F171" s="2" t="n">
        <x:v>1</x:v>
      </x:c>
      <x:c r="G171" s="2" t="n">
        <x:v>1</x:v>
      </x:c>
      <x:c r="H171" s="2" t="n">
        <x:f>COUNTIFS('Inventory'!$N$7:$N$783,A171,'Inventory'!$A$7:$A$783,1)</x:f>
        <x:v>1</x:v>
      </x:c>
      <x:c r="I171" s="2" t="n">
        <x:f>SUMIFS('Inventory'!$G$7:$G$783,'Inventory'!$N$7:$N$783,A171,'Inventory'!$A$7:$A$783,1)</x:f>
        <x:v>1</x:v>
      </x:c>
      <x:c r="J171" s="12" t="str">
        <x:v>Listed budget</x:v>
      </x:c>
      <x:c r="K171" s="17" t="n">
        <x:v>15000</x:v>
      </x:c>
      <x:c r="L171" s="17"/>
      <x:c r="M171" s="17"/>
      <x:c r="N171" s="19"/>
      <x:c r="O171" s="17" t="str">
        <x:f>IF(ISNUMBER(L171),G171*L171,IF(ISNUMBER(M171),M171,""))</x:f>
      </x:c>
      <x:c r="P171" s="17" t="n">
        <x:f>IF(ISNUMBER(K171),K171,IF(ISNUMBER(O171),O171,""))</x:f>
        <x:v>15000</x:v>
      </x:c>
      <x:c r="Q171" s="17" t="n">
        <x:f>IF(H171=0,0,IF(ISNUMBER(N171),N171,IF(N171="",IF(H171=F171,P171,""),"")))</x:f>
        <x:v>15000</x:v>
      </x:c>
      <x:c r="R171" s="17" t="n">
        <x:f>IF(ISNUMBER(Q171),ROUND(Q171*$C$4,2),"")</x:f>
        <x:v>2700</x:v>
      </x:c>
      <x:c r="S171" s="17" t="n">
        <x:f>IF(ISNUMBER(Q171),Q171+R171,"")</x:f>
        <x:v>17700</x:v>
      </x:c>
      <x:c r="T171" s="2" t="str">
        <x:f>IF(H171=0,"Not selected",IF(ISNUMBER(N171),"Quote entered",IF(N171&lt;&gt;"","Enter numeric quote",IF(H171=F171,IF(ISNUMBER(P171),"Complete unit","Price required"),"Partial package: price required"))))</x:f>
        <x:v>Complete unit</x:v>
      </x:c>
      <x:c r="U171" s="2" t="str">
        <x:v>TEN-069C6A580D35; TEN-508BB24BB9BD; TEN-61BF9757EB71; TEN-7BE11149A114; TEN-A462520BC920; TEN-E3C920552F7B; TEN-E9EBDCC61F12; TEN-F66746C19057</x:v>
      </x:c>
      <x:c r="V171" s="2" t="str">
        <x:v>IT &amp; digital; Healthcare &amp; life sciences; Education; Unresolved</x:v>
      </x:c>
      <x:c r="W171" s="2" t="str">
        <x:v>Small-scale prospects; Mixed business audience</x:v>
      </x:c>
      <x:c r="X171" s="17" t="n">
        <x:f>IF(AND(H171=F171,NOT(ISNUMBER(N171)),N171="",ISNUMBER(K171)),K171,0)</x:f>
        <x:v>15000</x:v>
      </x:c>
      <x:c r="Y171" s="17" t="n">
        <x:f>IF(AND(H171=F171,NOT(ISNUMBER(N171)),N171="",K171="",ISNUMBER(O171)),O171,0)</x:f>
        <x:v>0</x:v>
      </x:c>
      <x:c r="Z171" s="17" t="n">
        <x:f>IF(AND(H171&gt;0,ISNUMBER(N171)),N171,0)</x:f>
        <x:v>0</x:v>
      </x:c>
      <x:c r="AA171" s="2" t="n">
        <x:f>IF(AND(H171&gt;0,N171="",NOT(ISNUMBER(Q171))),1,0)</x:f>
        <x:v>0</x:v>
      </x:c>
      <x:c r="AB171" s="2" t="n">
        <x:f>IF(AND(H171&gt;0,N171&lt;&gt;"",NOT(ISNUMBER(N171))),1,0)</x:f>
        <x:v>0</x:v>
      </x:c>
    </x:row>
    <x:row r="172" ht="48" customHeight="1">
      <x:c r="A172" s="2" t="str">
        <x:v>MAIN-180</x:v>
      </x:c>
      <x:c r="B172" s="2" t="str">
        <x:v>Main</x:v>
      </x:c>
      <x:c r="C172" s="2" t="str">
        <x:v>Delhi NCR</x:v>
      </x:c>
      <x:c r="D172" s="12" t="str">
        <x:v>Awfis - Paras Trinity</x:v>
      </x:c>
      <x:c r="E172" s="12" t="str">
        <x:v>32 inch LED TV</x:v>
      </x:c>
      <x:c r="F172" s="2" t="n">
        <x:v>1</x:v>
      </x:c>
      <x:c r="G172" s="2" t="n">
        <x:v>3</x:v>
      </x:c>
      <x:c r="H172" s="2" t="n">
        <x:f>COUNTIFS('Inventory'!$N$7:$N$783,A172,'Inventory'!$A$7:$A$783,1)</x:f>
        <x:v>1</x:v>
      </x:c>
      <x:c r="I172" s="2" t="n">
        <x:f>SUMIFS('Inventory'!$G$7:$G$783,'Inventory'!$N$7:$N$783,A172,'Inventory'!$A$7:$A$783,1)</x:f>
        <x:v>3</x:v>
      </x:c>
      <x:c r="J172" s="12" t="str">
        <x:v>Listed budget</x:v>
      </x:c>
      <x:c r="K172" s="17" t="n">
        <x:v>45000</x:v>
      </x:c>
      <x:c r="L172" s="17"/>
      <x:c r="M172" s="17"/>
      <x:c r="N172" s="19"/>
      <x:c r="O172" s="17" t="str">
        <x:f>IF(ISNUMBER(L172),G172*L172,IF(ISNUMBER(M172),M172,""))</x:f>
      </x:c>
      <x:c r="P172" s="17" t="n">
        <x:f>IF(ISNUMBER(K172),K172,IF(ISNUMBER(O172),O172,""))</x:f>
        <x:v>45000</x:v>
      </x:c>
      <x:c r="Q172" s="17" t="n">
        <x:f>IF(H172=0,0,IF(ISNUMBER(N172),N172,IF(N172="",IF(H172=F172,P172,""),"")))</x:f>
        <x:v>45000</x:v>
      </x:c>
      <x:c r="R172" s="17" t="n">
        <x:f>IF(ISNUMBER(Q172),ROUND(Q172*$C$4,2),"")</x:f>
        <x:v>8100</x:v>
      </x:c>
      <x:c r="S172" s="17" t="n">
        <x:f>IF(ISNUMBER(Q172),Q172+R172,"")</x:f>
        <x:v>53100</x:v>
      </x:c>
      <x:c r="T172" s="2" t="str">
        <x:f>IF(H172=0,"Not selected",IF(ISNUMBER(N172),"Quote entered",IF(N172&lt;&gt;"","Enter numeric quote",IF(H172=F172,IF(ISNUMBER(P172),"Complete unit","Price required"),"Partial package: price required"))))</x:f>
        <x:v>Complete unit</x:v>
      </x:c>
      <x:c r="U172" s="2" t="str">
        <x:v>TEN-069C6A580D35; TEN-2AD8BDD748C5; TEN-3DDDC2C575B6; TEN-7BE11149A114; TEN-A462520BC920; TEN-E9EBDCC61F12; TEN-F66746C19057</x:v>
      </x:c>
      <x:c r="V172" s="2" t="str">
        <x:v>IT &amp; digital; Healthcare &amp; life sciences; Education; Trade, consumer &amp; logistics; Unresolved</x:v>
      </x:c>
      <x:c r="W172" s="2" t="str">
        <x:v>Small-scale prospects; Mixed business audience</x:v>
      </x:c>
      <x:c r="X172" s="17" t="n">
        <x:f>IF(AND(H172=F172,NOT(ISNUMBER(N172)),N172="",ISNUMBER(K172)),K172,0)</x:f>
        <x:v>45000</x:v>
      </x:c>
      <x:c r="Y172" s="17" t="n">
        <x:f>IF(AND(H172=F172,NOT(ISNUMBER(N172)),N172="",K172="",ISNUMBER(O172)),O172,0)</x:f>
        <x:v>0</x:v>
      </x:c>
      <x:c r="Z172" s="17" t="n">
        <x:f>IF(AND(H172&gt;0,ISNUMBER(N172)),N172,0)</x:f>
        <x:v>0</x:v>
      </x:c>
      <x:c r="AA172" s="2" t="n">
        <x:f>IF(AND(H172&gt;0,N172="",NOT(ISNUMBER(Q172))),1,0)</x:f>
        <x:v>0</x:v>
      </x:c>
      <x:c r="AB172" s="2" t="n">
        <x:f>IF(AND(H172&gt;0,N172&lt;&gt;"",NOT(ISNUMBER(N172))),1,0)</x:f>
        <x:v>0</x:v>
      </x:c>
    </x:row>
    <x:row r="173" ht="48" customHeight="1">
      <x:c r="A173" s="2" t="str">
        <x:v>MAIN-165</x:v>
      </x:c>
      <x:c r="B173" s="2" t="str">
        <x:v>Main</x:v>
      </x:c>
      <x:c r="C173" s="2" t="str">
        <x:v>Delhi NCR</x:v>
      </x:c>
      <x:c r="D173" s="12" t="str">
        <x:v>Awfis - Qutab 2</x:v>
      </x:c>
      <x:c r="E173" s="12" t="str">
        <x:v>32 inch LED TV</x:v>
      </x:c>
      <x:c r="F173" s="2" t="n">
        <x:v>1</x:v>
      </x:c>
      <x:c r="G173" s="2" t="n">
        <x:v>1</x:v>
      </x:c>
      <x:c r="H173" s="2" t="n">
        <x:f>COUNTIFS('Inventory'!$N$7:$N$783,A173,'Inventory'!$A$7:$A$783,1)</x:f>
        <x:v>1</x:v>
      </x:c>
      <x:c r="I173" s="2" t="n">
        <x:f>SUMIFS('Inventory'!$G$7:$G$783,'Inventory'!$N$7:$N$783,A173,'Inventory'!$A$7:$A$783,1)</x:f>
        <x:v>1</x:v>
      </x:c>
      <x:c r="J173" s="12" t="str">
        <x:v>Listed budget</x:v>
      </x:c>
      <x:c r="K173" s="17" t="n">
        <x:v>15000</x:v>
      </x:c>
      <x:c r="L173" s="17"/>
      <x:c r="M173" s="17"/>
      <x:c r="N173" s="19"/>
      <x:c r="O173" s="17" t="str">
        <x:f>IF(ISNUMBER(L173),G173*L173,IF(ISNUMBER(M173),M173,""))</x:f>
      </x:c>
      <x:c r="P173" s="17" t="n">
        <x:f>IF(ISNUMBER(K173),K173,IF(ISNUMBER(O173),O173,""))</x:f>
        <x:v>15000</x:v>
      </x:c>
      <x:c r="Q173" s="17" t="n">
        <x:f>IF(H173=0,0,IF(ISNUMBER(N173),N173,IF(N173="",IF(H173=F173,P173,""),"")))</x:f>
        <x:v>15000</x:v>
      </x:c>
      <x:c r="R173" s="17" t="n">
        <x:f>IF(ISNUMBER(Q173),ROUND(Q173*$C$4,2),"")</x:f>
        <x:v>2700</x:v>
      </x:c>
      <x:c r="S173" s="17" t="n">
        <x:f>IF(ISNUMBER(Q173),Q173+R173,"")</x:f>
        <x:v>17700</x:v>
      </x:c>
      <x:c r="T173" s="2" t="str">
        <x:f>IF(H173=0,"Not selected",IF(ISNUMBER(N173),"Quote entered",IF(N173&lt;&gt;"","Enter numeric quote",IF(H173=F173,IF(ISNUMBER(P173),"Complete unit","Price required"),"Partial package: price required"))))</x:f>
        <x:v>Complete unit</x:v>
      </x:c>
      <x:c r="U173" s="2" t="str">
        <x:v>TEN-298147A4B3E2</x:v>
      </x:c>
      <x:c r="V173" s="2" t="str">
        <x:v>Workspace &amp; property operations</x:v>
      </x:c>
      <x:c r="W173" s="2" t="str">
        <x:v>Mixed business audience</x:v>
      </x:c>
      <x:c r="X173" s="17" t="n">
        <x:f>IF(AND(H173=F173,NOT(ISNUMBER(N173)),N173="",ISNUMBER(K173)),K173,0)</x:f>
        <x:v>15000</x:v>
      </x:c>
      <x:c r="Y173" s="17" t="n">
        <x:f>IF(AND(H173=F173,NOT(ISNUMBER(N173)),N173="",K173="",ISNUMBER(O173)),O173,0)</x:f>
        <x:v>0</x:v>
      </x:c>
      <x:c r="Z173" s="17" t="n">
        <x:f>IF(AND(H173&gt;0,ISNUMBER(N173)),N173,0)</x:f>
        <x:v>0</x:v>
      </x:c>
      <x:c r="AA173" s="2" t="n">
        <x:f>IF(AND(H173&gt;0,N173="",NOT(ISNUMBER(Q173))),1,0)</x:f>
        <x:v>0</x:v>
      </x:c>
      <x:c r="AB173" s="2" t="n">
        <x:f>IF(AND(H173&gt;0,N173&lt;&gt;"",NOT(ISNUMBER(N173))),1,0)</x:f>
        <x:v>0</x:v>
      </x:c>
    </x:row>
    <x:row r="174" ht="48" customHeight="1">
      <x:c r="A174" s="2" t="str">
        <x:v>MAIN-181</x:v>
      </x:c>
      <x:c r="B174" s="2" t="str">
        <x:v>Main</x:v>
      </x:c>
      <x:c r="C174" s="2" t="str">
        <x:v>Delhi NCR</x:v>
      </x:c>
      <x:c r="D174" s="12" t="str">
        <x:v>Awfis - Suncity Success Tower</x:v>
      </x:c>
      <x:c r="E174" s="12" t="str">
        <x:v>32 inch LED TV</x:v>
      </x:c>
      <x:c r="F174" s="2" t="n">
        <x:v>1</x:v>
      </x:c>
      <x:c r="G174" s="2" t="n">
        <x:v>2</x:v>
      </x:c>
      <x:c r="H174" s="2" t="n">
        <x:f>COUNTIFS('Inventory'!$N$7:$N$783,A174,'Inventory'!$A$7:$A$783,1)</x:f>
        <x:v>1</x:v>
      </x:c>
      <x:c r="I174" s="2" t="n">
        <x:f>SUMIFS('Inventory'!$G$7:$G$783,'Inventory'!$N$7:$N$783,A174,'Inventory'!$A$7:$A$783,1)</x:f>
        <x:v>2</x:v>
      </x:c>
      <x:c r="J174" s="12" t="str">
        <x:v>Listed budget</x:v>
      </x:c>
      <x:c r="K174" s="17" t="n">
        <x:v>30000</x:v>
      </x:c>
      <x:c r="L174" s="17"/>
      <x:c r="M174" s="17"/>
      <x:c r="N174" s="19"/>
      <x:c r="O174" s="17" t="str">
        <x:f>IF(ISNUMBER(L174),G174*L174,IF(ISNUMBER(M174),M174,""))</x:f>
      </x:c>
      <x:c r="P174" s="17" t="n">
        <x:f>IF(ISNUMBER(K174),K174,IF(ISNUMBER(O174),O174,""))</x:f>
        <x:v>30000</x:v>
      </x:c>
      <x:c r="Q174" s="17" t="n">
        <x:f>IF(H174=0,0,IF(ISNUMBER(N174),N174,IF(N174="",IF(H174=F174,P174,""),"")))</x:f>
        <x:v>30000</x:v>
      </x:c>
      <x:c r="R174" s="17" t="n">
        <x:f>IF(ISNUMBER(Q174),ROUND(Q174*$C$4,2),"")</x:f>
        <x:v>5400</x:v>
      </x:c>
      <x:c r="S174" s="17" t="n">
        <x:f>IF(ISNUMBER(Q174),Q174+R174,"")</x:f>
        <x:v>35400</x:v>
      </x:c>
      <x:c r="T174" s="2" t="str">
        <x:f>IF(H174=0,"Not selected",IF(ISNUMBER(N174),"Quote entered",IF(N174&lt;&gt;"","Enter numeric quote",IF(H174=F174,IF(ISNUMBER(P174),"Complete unit","Price required"),"Partial package: price required"))))</x:f>
        <x:v>Complete unit</x:v>
      </x:c>
      <x:c r="U174" s="2" t="str">
        <x:v>TEN-9FE870D6A369; TEN-B44EF163E1EE; TEN-ED4013670945</x:v>
      </x:c>
      <x:c r="V174" s="2" t="str">
        <x:v>IT &amp; digital; Finance &amp; insurance</x:v>
      </x:c>
      <x:c r="W174" s="2" t="str">
        <x:v>Small-scale prospects; Medium-scale prospects</x:v>
      </x:c>
      <x:c r="X174" s="17" t="n">
        <x:f>IF(AND(H174=F174,NOT(ISNUMBER(N174)),N174="",ISNUMBER(K174)),K174,0)</x:f>
        <x:v>30000</x:v>
      </x:c>
      <x:c r="Y174" s="17" t="n">
        <x:f>IF(AND(H174=F174,NOT(ISNUMBER(N174)),N174="",K174="",ISNUMBER(O174)),O174,0)</x:f>
        <x:v>0</x:v>
      </x:c>
      <x:c r="Z174" s="17" t="n">
        <x:f>IF(AND(H174&gt;0,ISNUMBER(N174)),N174,0)</x:f>
        <x:v>0</x:v>
      </x:c>
      <x:c r="AA174" s="2" t="n">
        <x:f>IF(AND(H174&gt;0,N174="",NOT(ISNUMBER(Q174))),1,0)</x:f>
        <x:v>0</x:v>
      </x:c>
      <x:c r="AB174" s="2" t="n">
        <x:f>IF(AND(H174&gt;0,N174&lt;&gt;"",NOT(ISNUMBER(N174))),1,0)</x:f>
        <x:v>0</x:v>
      </x:c>
    </x:row>
    <x:row r="175" ht="48" customHeight="1">
      <x:c r="A175" s="2" t="str">
        <x:v>MAIN-182</x:v>
      </x:c>
      <x:c r="B175" s="2" t="str">
        <x:v>Main</x:v>
      </x:c>
      <x:c r="C175" s="2" t="str">
        <x:v>Delhi NCR</x:v>
      </x:c>
      <x:c r="D175" s="12" t="str">
        <x:v>Awfis - Unitech Cyber Park - 2</x:v>
      </x:c>
      <x:c r="E175" s="12" t="str">
        <x:v>32 inch LED TV</x:v>
      </x:c>
      <x:c r="F175" s="2" t="n">
        <x:v>1</x:v>
      </x:c>
      <x:c r="G175" s="2" t="n">
        <x:v>2</x:v>
      </x:c>
      <x:c r="H175" s="2" t="n">
        <x:f>COUNTIFS('Inventory'!$N$7:$N$783,A175,'Inventory'!$A$7:$A$783,1)</x:f>
        <x:v>1</x:v>
      </x:c>
      <x:c r="I175" s="2" t="n">
        <x:f>SUMIFS('Inventory'!$G$7:$G$783,'Inventory'!$N$7:$N$783,A175,'Inventory'!$A$7:$A$783,1)</x:f>
        <x:v>2</x:v>
      </x:c>
      <x:c r="J175" s="12" t="str">
        <x:v>Listed budget</x:v>
      </x:c>
      <x:c r="K175" s="17" t="n">
        <x:v>30000</x:v>
      </x:c>
      <x:c r="L175" s="17"/>
      <x:c r="M175" s="17"/>
      <x:c r="N175" s="19"/>
      <x:c r="O175" s="17" t="str">
        <x:f>IF(ISNUMBER(L175),G175*L175,IF(ISNUMBER(M175),M175,""))</x:f>
      </x:c>
      <x:c r="P175" s="17" t="n">
        <x:f>IF(ISNUMBER(K175),K175,IF(ISNUMBER(O175),O175,""))</x:f>
        <x:v>30000</x:v>
      </x:c>
      <x:c r="Q175" s="17" t="n">
        <x:f>IF(H175=0,0,IF(ISNUMBER(N175),N175,IF(N175="",IF(H175=F175,P175,""),"")))</x:f>
        <x:v>30000</x:v>
      </x:c>
      <x:c r="R175" s="17" t="n">
        <x:f>IF(ISNUMBER(Q175),ROUND(Q175*$C$4,2),"")</x:f>
        <x:v>5400</x:v>
      </x:c>
      <x:c r="S175" s="17" t="n">
        <x:f>IF(ISNUMBER(Q175),Q175+R175,"")</x:f>
        <x:v>35400</x:v>
      </x:c>
      <x:c r="T175" s="2" t="str">
        <x:f>IF(H175=0,"Not selected",IF(ISNUMBER(N175),"Quote entered",IF(N175&lt;&gt;"","Enter numeric quote",IF(H175=F175,IF(ISNUMBER(P175),"Complete unit","Price required"),"Partial package: price required"))))</x:f>
        <x:v>Complete unit</x:v>
      </x:c>
      <x:c r="U175" s="2" t="str">
        <x:v>TEN-0AFDD9743E82; TEN-0E22A9EB7739; TEN-408FF4FBBE84; TEN-75FBE0ACF96A; TEN-845E172C9D1B; TEN-A509A9AAC287; TEN-C848A0DACEA1; TEN-CE212CD84140; TEN-D1645981CBCA; TEN-E7005D82FDA9; TEN-F0D786C6413F</x:v>
      </x:c>
      <x:c r="V175" s="2" t="str">
        <x:v>IT &amp; digital; Professional services; Finance &amp; insurance; Engineering &amp; manufacturing; Trade, consumer &amp; logistics; Workspace &amp; property operations; Unresolved</x:v>
      </x:c>
      <x:c r="W175" s="2" t="str">
        <x:v>Small-scale prospects; Medium-scale prospects; Large enterprise; Mixed business audience</x:v>
      </x:c>
      <x:c r="X175" s="17" t="n">
        <x:f>IF(AND(H175=F175,NOT(ISNUMBER(N175)),N175="",ISNUMBER(K175)),K175,0)</x:f>
        <x:v>30000</x:v>
      </x:c>
      <x:c r="Y175" s="17" t="n">
        <x:f>IF(AND(H175=F175,NOT(ISNUMBER(N175)),N175="",K175="",ISNUMBER(O175)),O175,0)</x:f>
        <x:v>0</x:v>
      </x:c>
      <x:c r="Z175" s="17" t="n">
        <x:f>IF(AND(H175&gt;0,ISNUMBER(N175)),N175,0)</x:f>
        <x:v>0</x:v>
      </x:c>
      <x:c r="AA175" s="2" t="n">
        <x:f>IF(AND(H175&gt;0,N175="",NOT(ISNUMBER(Q175))),1,0)</x:f>
        <x:v>0</x:v>
      </x:c>
      <x:c r="AB175" s="2" t="n">
        <x:f>IF(AND(H175&gt;0,N175&lt;&gt;"",NOT(ISNUMBER(N175))),1,0)</x:f>
        <x:v>0</x:v>
      </x:c>
    </x:row>
    <x:row r="176" ht="48" customHeight="1">
      <x:c r="A176" s="2" t="str">
        <x:v>MAIN-368</x:v>
      </x:c>
      <x:c r="B176" s="2" t="str">
        <x:v>Main</x:v>
      </x:c>
      <x:c r="C176" s="2" t="str">
        <x:v>Delhi NCR</x:v>
      </x:c>
      <x:c r="D176" s="12" t="str">
        <x:v>BPTP Capital City</x:v>
      </x:c>
      <x:c r="E176" s="12" t="str">
        <x:v>55 inch LED TV</x:v>
      </x:c>
      <x:c r="F176" s="2" t="n">
        <x:v>1</x:v>
      </x:c>
      <x:c r="G176" s="2" t="n">
        <x:v>4</x:v>
      </x:c>
      <x:c r="H176" s="2" t="n">
        <x:f>COUNTIFS('Inventory'!$N$7:$N$783,A176,'Inventory'!$A$7:$A$783,1)</x:f>
        <x:v>1</x:v>
      </x:c>
      <x:c r="I176" s="2" t="n">
        <x:f>SUMIFS('Inventory'!$G$7:$G$783,'Inventory'!$N$7:$N$783,A176,'Inventory'!$A$7:$A$783,1)</x:f>
        <x:v>4</x:v>
      </x:c>
      <x:c r="J176" s="12" t="str">
        <x:v>Campaign format rate</x:v>
      </x:c>
      <x:c r="K176" s="17"/>
      <x:c r="L176" s="17" t="n">
        <x:f>$I$5</x:f>
        <x:v>40000</x:v>
      </x:c>
      <x:c r="M176" s="17"/>
      <x:c r="N176" s="19"/>
      <x:c r="O176" s="17" t="n">
        <x:f>IF(ISNUMBER(L176),G176*L176,IF(ISNUMBER(M176),M176,""))</x:f>
        <x:v>160000</x:v>
      </x:c>
      <x:c r="P176" s="17" t="n">
        <x:f>IF(ISNUMBER(K176),K176,IF(ISNUMBER(O176),O176,""))</x:f>
        <x:v>160000</x:v>
      </x:c>
      <x:c r="Q176" s="17" t="n">
        <x:f>IF(H176=0,0,IF(ISNUMBER(N176),N176,IF(N176="",IF(H176=F176,P176,""),"")))</x:f>
        <x:v>160000</x:v>
      </x:c>
      <x:c r="R176" s="17" t="n">
        <x:f>IF(ISNUMBER(Q176),ROUND(Q176*$C$4,2),"")</x:f>
        <x:v>28800</x:v>
      </x:c>
      <x:c r="S176" s="17" t="n">
        <x:f>IF(ISNUMBER(Q176),Q176+R176,"")</x:f>
        <x:v>188800</x:v>
      </x:c>
      <x:c r="T176" s="2" t="str">
        <x:f>IF(H176=0,"Not selected",IF(ISNUMBER(N176),"Quote entered",IF(N176&lt;&gt;"","Enter numeric quote",IF(H176=F176,IF(ISNUMBER(P176),"Complete unit","Price required"),"Partial package: price required"))))</x:f>
        <x:v>Complete unit</x:v>
      </x:c>
      <x:c r="U176" s="2" t="str"/>
      <x:c r="V176" s="2" t="str">
        <x:v>Unclassified</x:v>
      </x:c>
      <x:c r="W176" s="2" t="str">
        <x:v>Mixed business audience</x:v>
      </x:c>
      <x:c r="X176" s="17" t="n">
        <x:f>IF(AND(H176=F176,NOT(ISNUMBER(N176)),N176="",ISNUMBER(K176)),K176,0)</x:f>
        <x:v>0</x:v>
      </x:c>
      <x:c r="Y176" s="17" t="n">
        <x:f>IF(AND(H176=F176,NOT(ISNUMBER(N176)),N176="",K176="",ISNUMBER(O176)),O176,0)</x:f>
        <x:v>160000</x:v>
      </x:c>
      <x:c r="Z176" s="17" t="n">
        <x:f>IF(AND(H176&gt;0,ISNUMBER(N176)),N176,0)</x:f>
        <x:v>0</x:v>
      </x:c>
      <x:c r="AA176" s="2" t="n">
        <x:f>IF(AND(H176&gt;0,N176="",NOT(ISNUMBER(Q176))),1,0)</x:f>
        <x:v>0</x:v>
      </x:c>
      <x:c r="AB176" s="2" t="n">
        <x:f>IF(AND(H176&gt;0,N176&lt;&gt;"",NOT(ISNUMBER(N176))),1,0)</x:f>
        <x:v>0</x:v>
      </x:c>
    </x:row>
    <x:row r="177" ht="48" customHeight="1">
      <x:c r="A177" s="2" t="str">
        <x:v>MAIN-183</x:v>
      </x:c>
      <x:c r="B177" s="2" t="str">
        <x:v>Main</x:v>
      </x:c>
      <x:c r="C177" s="2" t="str">
        <x:v>Delhi NCR</x:v>
      </x:c>
      <x:c r="D177" s="12" t="str">
        <x:v>Centrum Plaza</x:v>
      </x:c>
      <x:c r="E177" s="12" t="str">
        <x:v>32 inch LED TV</x:v>
      </x:c>
      <x:c r="F177" s="2" t="n">
        <x:v>1</x:v>
      </x:c>
      <x:c r="G177" s="2" t="n">
        <x:v>1</x:v>
      </x:c>
      <x:c r="H177" s="2" t="n">
        <x:f>COUNTIFS('Inventory'!$N$7:$N$783,A177,'Inventory'!$A$7:$A$783,1)</x:f>
        <x:v>1</x:v>
      </x:c>
      <x:c r="I177" s="2" t="n">
        <x:f>SUMIFS('Inventory'!$G$7:$G$783,'Inventory'!$N$7:$N$783,A177,'Inventory'!$A$7:$A$783,1)</x:f>
        <x:v>1</x:v>
      </x:c>
      <x:c r="J177" s="12" t="str">
        <x:v>Listed budget</x:v>
      </x:c>
      <x:c r="K177" s="17" t="n">
        <x:v>15000</x:v>
      </x:c>
      <x:c r="L177" s="17"/>
      <x:c r="M177" s="17"/>
      <x:c r="N177" s="19"/>
      <x:c r="O177" s="17" t="str">
        <x:f>IF(ISNUMBER(L177),G177*L177,IF(ISNUMBER(M177),M177,""))</x:f>
      </x:c>
      <x:c r="P177" s="17" t="n">
        <x:f>IF(ISNUMBER(K177),K177,IF(ISNUMBER(O177),O177,""))</x:f>
        <x:v>15000</x:v>
      </x:c>
      <x:c r="Q177" s="17" t="n">
        <x:f>IF(H177=0,0,IF(ISNUMBER(N177),N177,IF(N177="",IF(H177=F177,P177,""),"")))</x:f>
        <x:v>15000</x:v>
      </x:c>
      <x:c r="R177" s="17" t="n">
        <x:f>IF(ISNUMBER(Q177),ROUND(Q177*$C$4,2),"")</x:f>
        <x:v>2700</x:v>
      </x:c>
      <x:c r="S177" s="17" t="n">
        <x:f>IF(ISNUMBER(Q177),Q177+R177,"")</x:f>
        <x:v>17700</x:v>
      </x:c>
      <x:c r="T177" s="2" t="str">
        <x:f>IF(H177=0,"Not selected",IF(ISNUMBER(N177),"Quote entered",IF(N177&lt;&gt;"","Enter numeric quote",IF(H177=F177,IF(ISNUMBER(P177),"Complete unit","Price required"),"Partial package: price required"))))</x:f>
        <x:v>Complete unit</x:v>
      </x:c>
      <x:c r="U177" s="2" t="str">
        <x:v>TEN-44D64AA6DF29; TEN-48EAF2D3C920; TEN-6E91D3983FD3; TEN-7308931D8DAC; TEN-9EA031381EA9; TEN-BBE9B7C570D7; TEN-CCBC3D20E8CE; TEN-FF527D28FF82</x:v>
      </x:c>
      <x:c r="V177" s="2" t="str">
        <x:v>Healthcare &amp; life sciences; Trade, consumer &amp; logistics; Unresolved</x:v>
      </x:c>
      <x:c r="W177" s="2" t="str">
        <x:v>Small-scale prospects; Medium-scale prospects; Mixed business audience</x:v>
      </x:c>
      <x:c r="X177" s="17" t="n">
        <x:f>IF(AND(H177=F177,NOT(ISNUMBER(N177)),N177="",ISNUMBER(K177)),K177,0)</x:f>
        <x:v>15000</x:v>
      </x:c>
      <x:c r="Y177" s="17" t="n">
        <x:f>IF(AND(H177=F177,NOT(ISNUMBER(N177)),N177="",K177="",ISNUMBER(O177)),O177,0)</x:f>
        <x:v>0</x:v>
      </x:c>
      <x:c r="Z177" s="17" t="n">
        <x:f>IF(AND(H177&gt;0,ISNUMBER(N177)),N177,0)</x:f>
        <x:v>0</x:v>
      </x:c>
      <x:c r="AA177" s="2" t="n">
        <x:f>IF(AND(H177&gt;0,N177="",NOT(ISNUMBER(Q177))),1,0)</x:f>
        <x:v>0</x:v>
      </x:c>
      <x:c r="AB177" s="2" t="n">
        <x:f>IF(AND(H177&gt;0,N177&lt;&gt;"",NOT(ISNUMBER(N177))),1,0)</x:f>
        <x:v>0</x:v>
      </x:c>
    </x:row>
    <x:row r="178" ht="48" customHeight="1">
      <x:c r="A178" s="2" t="str">
        <x:v>MAIN-184</x:v>
      </x:c>
      <x:c r="B178" s="2" t="str">
        <x:v>Main</x:v>
      </x:c>
      <x:c r="C178" s="2" t="str">
        <x:v>Delhi NCR</x:v>
      </x:c>
      <x:c r="D178" s="12" t="str">
        <x:v>Centrum Plaza</x:v>
      </x:c>
      <x:c r="E178" s="12" t="str">
        <x:v>43 inch LED TV</x:v>
      </x:c>
      <x:c r="F178" s="2" t="n">
        <x:v>1</x:v>
      </x:c>
      <x:c r="G178" s="2" t="n">
        <x:v>3</x:v>
      </x:c>
      <x:c r="H178" s="2" t="n">
        <x:f>COUNTIFS('Inventory'!$N$7:$N$783,A178,'Inventory'!$A$7:$A$783,1)</x:f>
        <x:v>1</x:v>
      </x:c>
      <x:c r="I178" s="2" t="n">
        <x:f>SUMIFS('Inventory'!$G$7:$G$783,'Inventory'!$N$7:$N$783,A178,'Inventory'!$A$7:$A$783,1)</x:f>
        <x:v>3</x:v>
      </x:c>
      <x:c r="J178" s="12" t="str">
        <x:v>Campaign format rate</x:v>
      </x:c>
      <x:c r="K178" s="17"/>
      <x:c r="L178" s="17" t="n">
        <x:f>$E$5</x:f>
        <x:v>20000</x:v>
      </x:c>
      <x:c r="M178" s="17"/>
      <x:c r="N178" s="19"/>
      <x:c r="O178" s="17" t="n">
        <x:f>IF(ISNUMBER(L178),G178*L178,IF(ISNUMBER(M178),M178,""))</x:f>
        <x:v>60000</x:v>
      </x:c>
      <x:c r="P178" s="17" t="n">
        <x:f>IF(ISNUMBER(K178),K178,IF(ISNUMBER(O178),O178,""))</x:f>
        <x:v>60000</x:v>
      </x:c>
      <x:c r="Q178" s="17" t="n">
        <x:f>IF(H178=0,0,IF(ISNUMBER(N178),N178,IF(N178="",IF(H178=F178,P178,""),"")))</x:f>
        <x:v>60000</x:v>
      </x:c>
      <x:c r="R178" s="17" t="n">
        <x:f>IF(ISNUMBER(Q178),ROUND(Q178*$C$4,2),"")</x:f>
        <x:v>10800</x:v>
      </x:c>
      <x:c r="S178" s="17" t="n">
        <x:f>IF(ISNUMBER(Q178),Q178+R178,"")</x:f>
        <x:v>70800</x:v>
      </x:c>
      <x:c r="T178" s="2" t="str">
        <x:f>IF(H178=0,"Not selected",IF(ISNUMBER(N178),"Quote entered",IF(N178&lt;&gt;"","Enter numeric quote",IF(H178=F178,IF(ISNUMBER(P178),"Complete unit","Price required"),"Partial package: price required"))))</x:f>
        <x:v>Complete unit</x:v>
      </x:c>
      <x:c r="U178" s="2" t="str">
        <x:v>TEN-44D64AA6DF29; TEN-48EAF2D3C920; TEN-6E91D3983FD3; TEN-7308931D8DAC; TEN-9EA031381EA9; TEN-BBE9B7C570D7; TEN-CCBC3D20E8CE; TEN-FF527D28FF82</x:v>
      </x:c>
      <x:c r="V178" s="2" t="str">
        <x:v>Healthcare &amp; life sciences; Trade, consumer &amp; logistics; Unresolved</x:v>
      </x:c>
      <x:c r="W178" s="2" t="str">
        <x:v>Small-scale prospects; Medium-scale prospects; Mixed business audience</x:v>
      </x:c>
      <x:c r="X178" s="17" t="n">
        <x:f>IF(AND(H178=F178,NOT(ISNUMBER(N178)),N178="",ISNUMBER(K178)),K178,0)</x:f>
        <x:v>0</x:v>
      </x:c>
      <x:c r="Y178" s="17" t="n">
        <x:f>IF(AND(H178=F178,NOT(ISNUMBER(N178)),N178="",K178="",ISNUMBER(O178)),O178,0)</x:f>
        <x:v>60000</x:v>
      </x:c>
      <x:c r="Z178" s="17" t="n">
        <x:f>IF(AND(H178&gt;0,ISNUMBER(N178)),N178,0)</x:f>
        <x:v>0</x:v>
      </x:c>
      <x:c r="AA178" s="2" t="n">
        <x:f>IF(AND(H178&gt;0,N178="",NOT(ISNUMBER(Q178))),1,0)</x:f>
        <x:v>0</x:v>
      </x:c>
      <x:c r="AB178" s="2" t="n">
        <x:f>IF(AND(H178&gt;0,N178&lt;&gt;"",NOT(ISNUMBER(N178))),1,0)</x:f>
        <x:v>0</x:v>
      </x:c>
    </x:row>
    <x:row r="179" ht="48" customHeight="1">
      <x:c r="A179" s="2" t="str">
        <x:v>MAIN-166</x:v>
      </x:c>
      <x:c r="B179" s="2" t="str">
        <x:v>Main</x:v>
      </x:c>
      <x:c r="C179" s="2" t="str">
        <x:v>Delhi NCR</x:v>
      </x:c>
      <x:c r="D179" s="12" t="str">
        <x:v>Corporate Park</x:v>
      </x:c>
      <x:c r="E179" s="12" t="str">
        <x:v>43 inch LED TV</x:v>
      </x:c>
      <x:c r="F179" s="2" t="n">
        <x:v>1</x:v>
      </x:c>
      <x:c r="G179" s="2" t="n">
        <x:v>2</x:v>
      </x:c>
      <x:c r="H179" s="2" t="n">
        <x:f>COUNTIFS('Inventory'!$N$7:$N$783,A179,'Inventory'!$A$7:$A$783,1)</x:f>
        <x:v>1</x:v>
      </x:c>
      <x:c r="I179" s="2" t="n">
        <x:f>SUMIFS('Inventory'!$G$7:$G$783,'Inventory'!$N$7:$N$783,A179,'Inventory'!$A$7:$A$783,1)</x:f>
        <x:v>2</x:v>
      </x:c>
      <x:c r="J179" s="12" t="str">
        <x:v>Campaign format rate</x:v>
      </x:c>
      <x:c r="K179" s="17"/>
      <x:c r="L179" s="17" t="n">
        <x:f>$E$5</x:f>
        <x:v>20000</x:v>
      </x:c>
      <x:c r="M179" s="17"/>
      <x:c r="N179" s="19"/>
      <x:c r="O179" s="17" t="n">
        <x:f>IF(ISNUMBER(L179),G179*L179,IF(ISNUMBER(M179),M179,""))</x:f>
        <x:v>40000</x:v>
      </x:c>
      <x:c r="P179" s="17" t="n">
        <x:f>IF(ISNUMBER(K179),K179,IF(ISNUMBER(O179),O179,""))</x:f>
        <x:v>40000</x:v>
      </x:c>
      <x:c r="Q179" s="17" t="n">
        <x:f>IF(H179=0,0,IF(ISNUMBER(N179),N179,IF(N179="",IF(H179=F179,P179,""),"")))</x:f>
        <x:v>40000</x:v>
      </x:c>
      <x:c r="R179" s="17" t="n">
        <x:f>IF(ISNUMBER(Q179),ROUND(Q179*$C$4,2),"")</x:f>
        <x:v>7200</x:v>
      </x:c>
      <x:c r="S179" s="17" t="n">
        <x:f>IF(ISNUMBER(Q179),Q179+R179,"")</x:f>
        <x:v>47200</x:v>
      </x:c>
      <x:c r="T179" s="2" t="str">
        <x:f>IF(H179=0,"Not selected",IF(ISNUMBER(N179),"Quote entered",IF(N179&lt;&gt;"","Enter numeric quote",IF(H179=F179,IF(ISNUMBER(P179),"Complete unit","Price required"),"Partial package: price required"))))</x:f>
        <x:v>Complete unit</x:v>
      </x:c>
      <x:c r="U179" s="2" t="str">
        <x:v>TEN-722C60CE3D88; TEN-792911A1FF69; TEN-DCF9DC421B47; TEN-E4D518380716; TEN-F057355754F4</x:v>
      </x:c>
      <x:c r="V179" s="2" t="str">
        <x:v>IT &amp; digital; Finance &amp; insurance; Engineering &amp; manufacturing</x:v>
      </x:c>
      <x:c r="W179" s="2" t="str">
        <x:v>Small-scale prospects; Medium-scale prospects</x:v>
      </x:c>
      <x:c r="X179" s="17" t="n">
        <x:f>IF(AND(H179=F179,NOT(ISNUMBER(N179)),N179="",ISNUMBER(K179)),K179,0)</x:f>
        <x:v>0</x:v>
      </x:c>
      <x:c r="Y179" s="17" t="n">
        <x:f>IF(AND(H179=F179,NOT(ISNUMBER(N179)),N179="",K179="",ISNUMBER(O179)),O179,0)</x:f>
        <x:v>40000</x:v>
      </x:c>
      <x:c r="Z179" s="17" t="n">
        <x:f>IF(AND(H179&gt;0,ISNUMBER(N179)),N179,0)</x:f>
        <x:v>0</x:v>
      </x:c>
      <x:c r="AA179" s="2" t="n">
        <x:f>IF(AND(H179&gt;0,N179="",NOT(ISNUMBER(Q179))),1,0)</x:f>
        <x:v>0</x:v>
      </x:c>
      <x:c r="AB179" s="2" t="n">
        <x:f>IF(AND(H179&gt;0,N179&lt;&gt;"",NOT(ISNUMBER(N179))),1,0)</x:f>
        <x:v>0</x:v>
      </x:c>
    </x:row>
    <x:row r="180" ht="48" customHeight="1">
      <x:c r="A180" s="2" t="str">
        <x:v>MAIN-369</x:v>
      </x:c>
      <x:c r="B180" s="2" t="str">
        <x:v>Main</x:v>
      </x:c>
      <x:c r="C180" s="2" t="str">
        <x:v>Delhi NCR</x:v>
      </x:c>
      <x:c r="D180" s="12" t="str">
        <x:v>Corporate Park-Maple</x:v>
      </x:c>
      <x:c r="E180" s="12" t="str">
        <x:v>43 inch LED TV</x:v>
      </x:c>
      <x:c r="F180" s="2" t="n">
        <x:v>1</x:v>
      </x:c>
      <x:c r="G180" s="2" t="n">
        <x:v>2</x:v>
      </x:c>
      <x:c r="H180" s="2" t="n">
        <x:f>COUNTIFS('Inventory'!$N$7:$N$783,A180,'Inventory'!$A$7:$A$783,1)</x:f>
        <x:v>1</x:v>
      </x:c>
      <x:c r="I180" s="2" t="n">
        <x:f>SUMIFS('Inventory'!$G$7:$G$783,'Inventory'!$N$7:$N$783,A180,'Inventory'!$A$7:$A$783,1)</x:f>
        <x:v>2</x:v>
      </x:c>
      <x:c r="J180" s="12" t="str">
        <x:v>Campaign format rate</x:v>
      </x:c>
      <x:c r="K180" s="17"/>
      <x:c r="L180" s="17" t="n">
        <x:f>$E$5</x:f>
        <x:v>20000</x:v>
      </x:c>
      <x:c r="M180" s="17"/>
      <x:c r="N180" s="19"/>
      <x:c r="O180" s="17" t="n">
        <x:f>IF(ISNUMBER(L180),G180*L180,IF(ISNUMBER(M180),M180,""))</x:f>
        <x:v>40000</x:v>
      </x:c>
      <x:c r="P180" s="17" t="n">
        <x:f>IF(ISNUMBER(K180),K180,IF(ISNUMBER(O180),O180,""))</x:f>
        <x:v>40000</x:v>
      </x:c>
      <x:c r="Q180" s="17" t="n">
        <x:f>IF(H180=0,0,IF(ISNUMBER(N180),N180,IF(N180="",IF(H180=F180,P180,""),"")))</x:f>
        <x:v>40000</x:v>
      </x:c>
      <x:c r="R180" s="17" t="n">
        <x:f>IF(ISNUMBER(Q180),ROUND(Q180*$C$4,2),"")</x:f>
        <x:v>7200</x:v>
      </x:c>
      <x:c r="S180" s="17" t="n">
        <x:f>IF(ISNUMBER(Q180),Q180+R180,"")</x:f>
        <x:v>47200</x:v>
      </x:c>
      <x:c r="T180" s="2" t="str">
        <x:f>IF(H180=0,"Not selected",IF(ISNUMBER(N180),"Quote entered",IF(N180&lt;&gt;"","Enter numeric quote",IF(H180=F180,IF(ISNUMBER(P180),"Complete unit","Price required"),"Partial package: price required"))))</x:f>
        <x:v>Complete unit</x:v>
      </x:c>
      <x:c r="U180" s="2" t="str"/>
      <x:c r="V180" s="2" t="str">
        <x:v>Unclassified</x:v>
      </x:c>
      <x:c r="W180" s="2" t="str">
        <x:v>Mixed business audience</x:v>
      </x:c>
      <x:c r="X180" s="17" t="n">
        <x:f>IF(AND(H180=F180,NOT(ISNUMBER(N180)),N180="",ISNUMBER(K180)),K180,0)</x:f>
        <x:v>0</x:v>
      </x:c>
      <x:c r="Y180" s="17" t="n">
        <x:f>IF(AND(H180=F180,NOT(ISNUMBER(N180)),N180="",K180="",ISNUMBER(O180)),O180,0)</x:f>
        <x:v>40000</x:v>
      </x:c>
      <x:c r="Z180" s="17" t="n">
        <x:f>IF(AND(H180&gt;0,ISNUMBER(N180)),N180,0)</x:f>
        <x:v>0</x:v>
      </x:c>
      <x:c r="AA180" s="2" t="n">
        <x:f>IF(AND(H180&gt;0,N180="",NOT(ISNUMBER(Q180))),1,0)</x:f>
        <x:v>0</x:v>
      </x:c>
      <x:c r="AB180" s="2" t="n">
        <x:f>IF(AND(H180&gt;0,N180&lt;&gt;"",NOT(ISNUMBER(N180))),1,0)</x:f>
        <x:v>0</x:v>
      </x:c>
    </x:row>
    <x:row r="181" ht="48" customHeight="1">
      <x:c r="A181" s="2" t="str">
        <x:v>MAIN-186</x:v>
      </x:c>
      <x:c r="B181" s="2" t="str">
        <x:v>Main</x:v>
      </x:c>
      <x:c r="C181" s="2" t="str">
        <x:v>Delhi NCR</x:v>
      </x:c>
      <x:c r="D181" s="12" t="str">
        <x:v>DLF Cyber City Building 10</x:v>
      </x:c>
      <x:c r="E181" s="12" t="str">
        <x:v>55 inch LED TV</x:v>
      </x:c>
      <x:c r="F181" s="2" t="n">
        <x:v>1</x:v>
      </x:c>
      <x:c r="G181" s="2" t="n">
        <x:v>3</x:v>
      </x:c>
      <x:c r="H181" s="2" t="n">
        <x:f>COUNTIFS('Inventory'!$N$7:$N$783,A181,'Inventory'!$A$7:$A$783,1)</x:f>
        <x:v>1</x:v>
      </x:c>
      <x:c r="I181" s="2" t="n">
        <x:f>SUMIFS('Inventory'!$G$7:$G$783,'Inventory'!$N$7:$N$783,A181,'Inventory'!$A$7:$A$783,1)</x:f>
        <x:v>3</x:v>
      </x:c>
      <x:c r="J181" s="12" t="str">
        <x:v>Campaign format rate</x:v>
      </x:c>
      <x:c r="K181" s="17"/>
      <x:c r="L181" s="17" t="n">
        <x:f>$I$5</x:f>
        <x:v>40000</x:v>
      </x:c>
      <x:c r="M181" s="17"/>
      <x:c r="N181" s="19"/>
      <x:c r="O181" s="17" t="n">
        <x:f>IF(ISNUMBER(L181),G181*L181,IF(ISNUMBER(M181),M181,""))</x:f>
        <x:v>120000</x:v>
      </x:c>
      <x:c r="P181" s="17" t="n">
        <x:f>IF(ISNUMBER(K181),K181,IF(ISNUMBER(O181),O181,""))</x:f>
        <x:v>120000</x:v>
      </x:c>
      <x:c r="Q181" s="17" t="n">
        <x:f>IF(H181=0,0,IF(ISNUMBER(N181),N181,IF(N181="",IF(H181=F181,P181,""),"")))</x:f>
        <x:v>120000</x:v>
      </x:c>
      <x:c r="R181" s="17" t="n">
        <x:f>IF(ISNUMBER(Q181),ROUND(Q181*$C$4,2),"")</x:f>
        <x:v>21600</x:v>
      </x:c>
      <x:c r="S181" s="17" t="n">
        <x:f>IF(ISNUMBER(Q181),Q181+R181,"")</x:f>
        <x:v>141600</x:v>
      </x:c>
      <x:c r="T181" s="2" t="str">
        <x:f>IF(H181=0,"Not selected",IF(ISNUMBER(N181),"Quote entered",IF(N181&lt;&gt;"","Enter numeric quote",IF(H181=F181,IF(ISNUMBER(P181),"Complete unit","Price required"),"Partial package: price required"))))</x:f>
        <x:v>Complete unit</x:v>
      </x:c>
      <x:c r="U181" s="2" t="str"/>
      <x:c r="V181" s="2" t="str">
        <x:v>Unclassified</x:v>
      </x:c>
      <x:c r="W181" s="2" t="str">
        <x:v>Mixed business audience</x:v>
      </x:c>
      <x:c r="X181" s="17" t="n">
        <x:f>IF(AND(H181=F181,NOT(ISNUMBER(N181)),N181="",ISNUMBER(K181)),K181,0)</x:f>
        <x:v>0</x:v>
      </x:c>
      <x:c r="Y181" s="17" t="n">
        <x:f>IF(AND(H181=F181,NOT(ISNUMBER(N181)),N181="",K181="",ISNUMBER(O181)),O181,0)</x:f>
        <x:v>120000</x:v>
      </x:c>
      <x:c r="Z181" s="17" t="n">
        <x:f>IF(AND(H181&gt;0,ISNUMBER(N181)),N181,0)</x:f>
        <x:v>0</x:v>
      </x:c>
      <x:c r="AA181" s="2" t="n">
        <x:f>IF(AND(H181&gt;0,N181="",NOT(ISNUMBER(Q181))),1,0)</x:f>
        <x:v>0</x:v>
      </x:c>
      <x:c r="AB181" s="2" t="n">
        <x:f>IF(AND(H181&gt;0,N181&lt;&gt;"",NOT(ISNUMBER(N181))),1,0)</x:f>
        <x:v>0</x:v>
      </x:c>
    </x:row>
    <x:row r="182" ht="48" customHeight="1">
      <x:c r="A182" s="2" t="str">
        <x:v>MAIN-185</x:v>
      </x:c>
      <x:c r="B182" s="2" t="str">
        <x:v>Main</x:v>
      </x:c>
      <x:c r="C182" s="2" t="str">
        <x:v>Delhi NCR</x:v>
      </x:c>
      <x:c r="D182" s="12" t="str">
        <x:v>DLF Cyber City Building 8</x:v>
      </x:c>
      <x:c r="E182" s="12" t="str">
        <x:v>55 inch LED TV</x:v>
      </x:c>
      <x:c r="F182" s="2" t="n">
        <x:v>1</x:v>
      </x:c>
      <x:c r="G182" s="2" t="n">
        <x:v>2</x:v>
      </x:c>
      <x:c r="H182" s="2" t="n">
        <x:f>COUNTIFS('Inventory'!$N$7:$N$783,A182,'Inventory'!$A$7:$A$783,1)</x:f>
        <x:v>1</x:v>
      </x:c>
      <x:c r="I182" s="2" t="n">
        <x:f>SUMIFS('Inventory'!$G$7:$G$783,'Inventory'!$N$7:$N$783,A182,'Inventory'!$A$7:$A$783,1)</x:f>
        <x:v>2</x:v>
      </x:c>
      <x:c r="J182" s="12" t="str">
        <x:v>Campaign format rate</x:v>
      </x:c>
      <x:c r="K182" s="17"/>
      <x:c r="L182" s="17" t="n">
        <x:f>$I$5</x:f>
        <x:v>40000</x:v>
      </x:c>
      <x:c r="M182" s="17"/>
      <x:c r="N182" s="19"/>
      <x:c r="O182" s="17" t="n">
        <x:f>IF(ISNUMBER(L182),G182*L182,IF(ISNUMBER(M182),M182,""))</x:f>
        <x:v>80000</x:v>
      </x:c>
      <x:c r="P182" s="17" t="n">
        <x:f>IF(ISNUMBER(K182),K182,IF(ISNUMBER(O182),O182,""))</x:f>
        <x:v>80000</x:v>
      </x:c>
      <x:c r="Q182" s="17" t="n">
        <x:f>IF(H182=0,0,IF(ISNUMBER(N182),N182,IF(N182="",IF(H182=F182,P182,""),"")))</x:f>
        <x:v>80000</x:v>
      </x:c>
      <x:c r="R182" s="17" t="n">
        <x:f>IF(ISNUMBER(Q182),ROUND(Q182*$C$4,2),"")</x:f>
        <x:v>14400</x:v>
      </x:c>
      <x:c r="S182" s="17" t="n">
        <x:f>IF(ISNUMBER(Q182),Q182+R182,"")</x:f>
        <x:v>94400</x:v>
      </x:c>
      <x:c r="T182" s="2" t="str">
        <x:f>IF(H182=0,"Not selected",IF(ISNUMBER(N182),"Quote entered",IF(N182&lt;&gt;"","Enter numeric quote",IF(H182=F182,IF(ISNUMBER(P182),"Complete unit","Price required"),"Partial package: price required"))))</x:f>
        <x:v>Complete unit</x:v>
      </x:c>
      <x:c r="U182" s="2" t="str"/>
      <x:c r="V182" s="2" t="str">
        <x:v>Unclassified</x:v>
      </x:c>
      <x:c r="W182" s="2" t="str">
        <x:v>Mixed business audience</x:v>
      </x:c>
      <x:c r="X182" s="17" t="n">
        <x:f>IF(AND(H182=F182,NOT(ISNUMBER(N182)),N182="",ISNUMBER(K182)),K182,0)</x:f>
        <x:v>0</x:v>
      </x:c>
      <x:c r="Y182" s="17" t="n">
        <x:f>IF(AND(H182=F182,NOT(ISNUMBER(N182)),N182="",K182="",ISNUMBER(O182)),O182,0)</x:f>
        <x:v>80000</x:v>
      </x:c>
      <x:c r="Z182" s="17" t="n">
        <x:f>IF(AND(H182&gt;0,ISNUMBER(N182)),N182,0)</x:f>
        <x:v>0</x:v>
      </x:c>
      <x:c r="AA182" s="2" t="n">
        <x:f>IF(AND(H182&gt;0,N182="",NOT(ISNUMBER(Q182))),1,0)</x:f>
        <x:v>0</x:v>
      </x:c>
      <x:c r="AB182" s="2" t="n">
        <x:f>IF(AND(H182&gt;0,N182&lt;&gt;"",NOT(ISNUMBER(N182))),1,0)</x:f>
        <x:v>0</x:v>
      </x:c>
    </x:row>
    <x:row r="183" ht="48" customHeight="1">
      <x:c r="A183" s="2" t="str">
        <x:v>MAIN-187</x:v>
      </x:c>
      <x:c r="B183" s="2" t="str">
        <x:v>Main</x:v>
      </x:c>
      <x:c r="C183" s="2" t="str">
        <x:v>Delhi NCR</x:v>
      </x:c>
      <x:c r="D183" s="12" t="str">
        <x:v>DLF Downtown 4</x:v>
      </x:c>
      <x:c r="E183" s="12" t="str">
        <x:v>55 inch LED TV</x:v>
      </x:c>
      <x:c r="F183" s="2" t="n">
        <x:v>1</x:v>
      </x:c>
      <x:c r="G183" s="2" t="n">
        <x:v>1</x:v>
      </x:c>
      <x:c r="H183" s="2" t="n">
        <x:f>COUNTIFS('Inventory'!$N$7:$N$783,A183,'Inventory'!$A$7:$A$783,1)</x:f>
        <x:v>1</x:v>
      </x:c>
      <x:c r="I183" s="2" t="n">
        <x:f>SUMIFS('Inventory'!$G$7:$G$783,'Inventory'!$N$7:$N$783,A183,'Inventory'!$A$7:$A$783,1)</x:f>
        <x:v>1</x:v>
      </x:c>
      <x:c r="J183" s="12" t="str">
        <x:v>Campaign format rate</x:v>
      </x:c>
      <x:c r="K183" s="17"/>
      <x:c r="L183" s="17" t="n">
        <x:f>$I$5</x:f>
        <x:v>40000</x:v>
      </x:c>
      <x:c r="M183" s="17"/>
      <x:c r="N183" s="19"/>
      <x:c r="O183" s="17" t="n">
        <x:f>IF(ISNUMBER(L183),G183*L183,IF(ISNUMBER(M183),M183,""))</x:f>
        <x:v>40000</x:v>
      </x:c>
      <x:c r="P183" s="17" t="n">
        <x:f>IF(ISNUMBER(K183),K183,IF(ISNUMBER(O183),O183,""))</x:f>
        <x:v>40000</x:v>
      </x:c>
      <x:c r="Q183" s="17" t="n">
        <x:f>IF(H183=0,0,IF(ISNUMBER(N183),N183,IF(N183="",IF(H183=F183,P183,""),"")))</x:f>
        <x:v>40000</x:v>
      </x:c>
      <x:c r="R183" s="17" t="n">
        <x:f>IF(ISNUMBER(Q183),ROUND(Q183*$C$4,2),"")</x:f>
        <x:v>7200</x:v>
      </x:c>
      <x:c r="S183" s="17" t="n">
        <x:f>IF(ISNUMBER(Q183),Q183+R183,"")</x:f>
        <x:v>47200</x:v>
      </x:c>
      <x:c r="T183" s="2" t="str">
        <x:f>IF(H183=0,"Not selected",IF(ISNUMBER(N183),"Quote entered",IF(N183&lt;&gt;"","Enter numeric quote",IF(H183=F183,IF(ISNUMBER(P183),"Complete unit","Price required"),"Partial package: price required"))))</x:f>
        <x:v>Complete unit</x:v>
      </x:c>
      <x:c r="U183" s="2" t="str">
        <x:v>TEN-4607AC0710AC</x:v>
      </x:c>
      <x:c r="V183" s="2" t="str">
        <x:v>Engineering &amp; manufacturing</x:v>
      </x:c>
      <x:c r="W183" s="2" t="str">
        <x:v>Medium-scale prospects</x:v>
      </x:c>
      <x:c r="X183" s="17" t="n">
        <x:f>IF(AND(H183=F183,NOT(ISNUMBER(N183)),N183="",ISNUMBER(K183)),K183,0)</x:f>
        <x:v>0</x:v>
      </x:c>
      <x:c r="Y183" s="17" t="n">
        <x:f>IF(AND(H183=F183,NOT(ISNUMBER(N183)),N183="",K183="",ISNUMBER(O183)),O183,0)</x:f>
        <x:v>40000</x:v>
      </x:c>
      <x:c r="Z183" s="17" t="n">
        <x:f>IF(AND(H183&gt;0,ISNUMBER(N183)),N183,0)</x:f>
        <x:v>0</x:v>
      </x:c>
      <x:c r="AA183" s="2" t="n">
        <x:f>IF(AND(H183&gt;0,N183="",NOT(ISNUMBER(Q183))),1,0)</x:f>
        <x:v>0</x:v>
      </x:c>
      <x:c r="AB183" s="2" t="n">
        <x:f>IF(AND(H183&gt;0,N183&lt;&gt;"",NOT(ISNUMBER(N183))),1,0)</x:f>
        <x:v>0</x:v>
      </x:c>
    </x:row>
    <x:row r="184" ht="48" customHeight="1">
      <x:c r="A184" s="2" t="str">
        <x:v>MAIN-370</x:v>
      </x:c>
      <x:c r="B184" s="2" t="str">
        <x:v>Main</x:v>
      </x:c>
      <x:c r="C184" s="2" t="str">
        <x:v>Delhi NCR</x:v>
      </x:c>
      <x:c r="D184" s="12" t="str">
        <x:v>DLF Tech Park</x:v>
      </x:c>
      <x:c r="E184" s="12" t="str">
        <x:v>55 inch LED TV</x:v>
      </x:c>
      <x:c r="F184" s="2" t="n">
        <x:v>1</x:v>
      </x:c>
      <x:c r="G184" s="2" t="n">
        <x:v>3</x:v>
      </x:c>
      <x:c r="H184" s="2" t="n">
        <x:f>COUNTIFS('Inventory'!$N$7:$N$783,A184,'Inventory'!$A$7:$A$783,1)</x:f>
        <x:v>1</x:v>
      </x:c>
      <x:c r="I184" s="2" t="n">
        <x:f>SUMIFS('Inventory'!$G$7:$G$783,'Inventory'!$N$7:$N$783,A184,'Inventory'!$A$7:$A$783,1)</x:f>
        <x:v>3</x:v>
      </x:c>
      <x:c r="J184" s="12" t="str">
        <x:v>Campaign format rate</x:v>
      </x:c>
      <x:c r="K184" s="17"/>
      <x:c r="L184" s="17" t="n">
        <x:f>$I$5</x:f>
        <x:v>40000</x:v>
      </x:c>
      <x:c r="M184" s="17"/>
      <x:c r="N184" s="19"/>
      <x:c r="O184" s="17" t="n">
        <x:f>IF(ISNUMBER(L184),G184*L184,IF(ISNUMBER(M184),M184,""))</x:f>
        <x:v>120000</x:v>
      </x:c>
      <x:c r="P184" s="17" t="n">
        <x:f>IF(ISNUMBER(K184),K184,IF(ISNUMBER(O184),O184,""))</x:f>
        <x:v>120000</x:v>
      </x:c>
      <x:c r="Q184" s="17" t="n">
        <x:f>IF(H184=0,0,IF(ISNUMBER(N184),N184,IF(N184="",IF(H184=F184,P184,""),"")))</x:f>
        <x:v>120000</x:v>
      </x:c>
      <x:c r="R184" s="17" t="n">
        <x:f>IF(ISNUMBER(Q184),ROUND(Q184*$C$4,2),"")</x:f>
        <x:v>21600</x:v>
      </x:c>
      <x:c r="S184" s="17" t="n">
        <x:f>IF(ISNUMBER(Q184),Q184+R184,"")</x:f>
        <x:v>141600</x:v>
      </x:c>
      <x:c r="T184" s="2" t="str">
        <x:f>IF(H184=0,"Not selected",IF(ISNUMBER(N184),"Quote entered",IF(N184&lt;&gt;"","Enter numeric quote",IF(H184=F184,IF(ISNUMBER(P184),"Complete unit","Price required"),"Partial package: price required"))))</x:f>
        <x:v>Complete unit</x:v>
      </x:c>
      <x:c r="U184" s="2" t="str"/>
      <x:c r="V184" s="2" t="str">
        <x:v>Unclassified</x:v>
      </x:c>
      <x:c r="W184" s="2" t="str">
        <x:v>Mixed business audience</x:v>
      </x:c>
      <x:c r="X184" s="17" t="n">
        <x:f>IF(AND(H184=F184,NOT(ISNUMBER(N184)),N184="",ISNUMBER(K184)),K184,0)</x:f>
        <x:v>0</x:v>
      </x:c>
      <x:c r="Y184" s="17" t="n">
        <x:f>IF(AND(H184=F184,NOT(ISNUMBER(N184)),N184="",K184="",ISNUMBER(O184)),O184,0)</x:f>
        <x:v>120000</x:v>
      </x:c>
      <x:c r="Z184" s="17" t="n">
        <x:f>IF(AND(H184&gt;0,ISNUMBER(N184)),N184,0)</x:f>
        <x:v>0</x:v>
      </x:c>
      <x:c r="AA184" s="2" t="n">
        <x:f>IF(AND(H184&gt;0,N184="",NOT(ISNUMBER(Q184))),1,0)</x:f>
        <x:v>0</x:v>
      </x:c>
      <x:c r="AB184" s="2" t="n">
        <x:f>IF(AND(H184&gt;0,N184&lt;&gt;"",NOT(ISNUMBER(N184))),1,0)</x:f>
        <x:v>0</x:v>
      </x:c>
    </x:row>
    <x:row r="185" ht="48" customHeight="1">
      <x:c r="A185" s="2" t="str">
        <x:v>MAIN-188</x:v>
      </x:c>
      <x:c r="B185" s="2" t="str">
        <x:v>Main</x:v>
      </x:c>
      <x:c r="C185" s="2" t="str">
        <x:v>Delhi NCR</x:v>
      </x:c>
      <x:c r="D185" s="12" t="str">
        <x:v>DLF Two Horizon Center</x:v>
      </x:c>
      <x:c r="E185" s="12" t="str">
        <x:v>55 inch LED TV</x:v>
      </x:c>
      <x:c r="F185" s="2" t="n">
        <x:v>1</x:v>
      </x:c>
      <x:c r="G185" s="2" t="n">
        <x:v>2</x:v>
      </x:c>
      <x:c r="H185" s="2" t="n">
        <x:f>COUNTIFS('Inventory'!$N$7:$N$783,A185,'Inventory'!$A$7:$A$783,1)</x:f>
        <x:v>1</x:v>
      </x:c>
      <x:c r="I185" s="2" t="n">
        <x:f>SUMIFS('Inventory'!$G$7:$G$783,'Inventory'!$N$7:$N$783,A185,'Inventory'!$A$7:$A$783,1)</x:f>
        <x:v>2</x:v>
      </x:c>
      <x:c r="J185" s="12" t="str">
        <x:v>Campaign format rate</x:v>
      </x:c>
      <x:c r="K185" s="17"/>
      <x:c r="L185" s="17" t="n">
        <x:f>$I$5</x:f>
        <x:v>40000</x:v>
      </x:c>
      <x:c r="M185" s="17"/>
      <x:c r="N185" s="19"/>
      <x:c r="O185" s="17" t="n">
        <x:f>IF(ISNUMBER(L185),G185*L185,IF(ISNUMBER(M185),M185,""))</x:f>
        <x:v>80000</x:v>
      </x:c>
      <x:c r="P185" s="17" t="n">
        <x:f>IF(ISNUMBER(K185),K185,IF(ISNUMBER(O185),O185,""))</x:f>
        <x:v>80000</x:v>
      </x:c>
      <x:c r="Q185" s="17" t="n">
        <x:f>IF(H185=0,0,IF(ISNUMBER(N185),N185,IF(N185="",IF(H185=F185,P185,""),"")))</x:f>
        <x:v>80000</x:v>
      </x:c>
      <x:c r="R185" s="17" t="n">
        <x:f>IF(ISNUMBER(Q185),ROUND(Q185*$C$4,2),"")</x:f>
        <x:v>14400</x:v>
      </x:c>
      <x:c r="S185" s="17" t="n">
        <x:f>IF(ISNUMBER(Q185),Q185+R185,"")</x:f>
        <x:v>94400</x:v>
      </x:c>
      <x:c r="T185" s="2" t="str">
        <x:f>IF(H185=0,"Not selected",IF(ISNUMBER(N185),"Quote entered",IF(N185&lt;&gt;"","Enter numeric quote",IF(H185=F185,IF(ISNUMBER(P185),"Complete unit","Price required"),"Partial package: price required"))))</x:f>
        <x:v>Complete unit</x:v>
      </x:c>
      <x:c r="U185" s="2" t="str"/>
      <x:c r="V185" s="2" t="str">
        <x:v>Unclassified</x:v>
      </x:c>
      <x:c r="W185" s="2" t="str">
        <x:v>Mixed business audience</x:v>
      </x:c>
      <x:c r="X185" s="17" t="n">
        <x:f>IF(AND(H185=F185,NOT(ISNUMBER(N185)),N185="",ISNUMBER(K185)),K185,0)</x:f>
        <x:v>0</x:v>
      </x:c>
      <x:c r="Y185" s="17" t="n">
        <x:f>IF(AND(H185=F185,NOT(ISNUMBER(N185)),N185="",K185="",ISNUMBER(O185)),O185,0)</x:f>
        <x:v>80000</x:v>
      </x:c>
      <x:c r="Z185" s="17" t="n">
        <x:f>IF(AND(H185&gt;0,ISNUMBER(N185)),N185,0)</x:f>
        <x:v>0</x:v>
      </x:c>
      <x:c r="AA185" s="2" t="n">
        <x:f>IF(AND(H185&gt;0,N185="",NOT(ISNUMBER(Q185))),1,0)</x:f>
        <x:v>0</x:v>
      </x:c>
      <x:c r="AB185" s="2" t="n">
        <x:f>IF(AND(H185&gt;0,N185&lt;&gt;"",NOT(ISNUMBER(N185))),1,0)</x:f>
        <x:v>0</x:v>
      </x:c>
    </x:row>
    <x:row r="186" ht="48" customHeight="1">
      <x:c r="A186" s="2" t="str">
        <x:v>MAIN-167</x:v>
      </x:c>
      <x:c r="B186" s="2" t="str">
        <x:v>Main</x:v>
      </x:c>
      <x:c r="C186" s="2" t="str">
        <x:v>Delhi NCR</x:v>
      </x:c>
      <x:c r="D186" s="12" t="str">
        <x:v>Emaar Colonnade</x:v>
      </x:c>
      <x:c r="E186" s="12" t="str">
        <x:v>55 inch LED TV</x:v>
      </x:c>
      <x:c r="F186" s="2" t="n">
        <x:v>1</x:v>
      </x:c>
      <x:c r="G186" s="2" t="n">
        <x:v>5</x:v>
      </x:c>
      <x:c r="H186" s="2" t="n">
        <x:f>COUNTIFS('Inventory'!$N$7:$N$783,A186,'Inventory'!$A$7:$A$783,1)</x:f>
        <x:v>1</x:v>
      </x:c>
      <x:c r="I186" s="2" t="n">
        <x:f>SUMIFS('Inventory'!$G$7:$G$783,'Inventory'!$N$7:$N$783,A186,'Inventory'!$A$7:$A$783,1)</x:f>
        <x:v>5</x:v>
      </x:c>
      <x:c r="J186" s="12" t="str">
        <x:v>Campaign format rate</x:v>
      </x:c>
      <x:c r="K186" s="17"/>
      <x:c r="L186" s="17" t="n">
        <x:f>$I$5</x:f>
        <x:v>40000</x:v>
      </x:c>
      <x:c r="M186" s="17"/>
      <x:c r="N186" s="19"/>
      <x:c r="O186" s="17" t="n">
        <x:f>IF(ISNUMBER(L186),G186*L186,IF(ISNUMBER(M186),M186,""))</x:f>
        <x:v>200000</x:v>
      </x:c>
      <x:c r="P186" s="17" t="n">
        <x:f>IF(ISNUMBER(K186),K186,IF(ISNUMBER(O186),O186,""))</x:f>
        <x:v>200000</x:v>
      </x:c>
      <x:c r="Q186" s="17" t="n">
        <x:f>IF(H186=0,0,IF(ISNUMBER(N186),N186,IF(N186="",IF(H186=F186,P186,""),"")))</x:f>
        <x:v>200000</x:v>
      </x:c>
      <x:c r="R186" s="17" t="n">
        <x:f>IF(ISNUMBER(Q186),ROUND(Q186*$C$4,2),"")</x:f>
        <x:v>36000</x:v>
      </x:c>
      <x:c r="S186" s="17" t="n">
        <x:f>IF(ISNUMBER(Q186),Q186+R186,"")</x:f>
        <x:v>236000</x:v>
      </x:c>
      <x:c r="T186" s="2" t="str">
        <x:f>IF(H186=0,"Not selected",IF(ISNUMBER(N186),"Quote entered",IF(N186&lt;&gt;"","Enter numeric quote",IF(H186=F186,IF(ISNUMBER(P186),"Complete unit","Price required"),"Partial package: price required"))))</x:f>
        <x:v>Complete unit</x:v>
      </x:c>
      <x:c r="U186" s="2" t="str">
        <x:v>TEN-0BF923F90AB2; TEN-20B144369BB5; TEN-3792C75A4225; TEN-587D392B6C76; TEN-597730F8975C; TEN-5CC2D9AD4311</x:v>
      </x:c>
      <x:c r="V186" s="2" t="str">
        <x:v>Finance &amp; insurance; Engineering &amp; manufacturing; Trade, consumer &amp; logistics; Unresolved</x:v>
      </x:c>
      <x:c r="W186" s="2" t="str">
        <x:v>Small-scale prospects; Large enterprise; Mixed business audience</x:v>
      </x:c>
      <x:c r="X186" s="17" t="n">
        <x:f>IF(AND(H186=F186,NOT(ISNUMBER(N186)),N186="",ISNUMBER(K186)),K186,0)</x:f>
        <x:v>0</x:v>
      </x:c>
      <x:c r="Y186" s="17" t="n">
        <x:f>IF(AND(H186=F186,NOT(ISNUMBER(N186)),N186="",K186="",ISNUMBER(O186)),O186,0)</x:f>
        <x:v>200000</x:v>
      </x:c>
      <x:c r="Z186" s="17" t="n">
        <x:f>IF(AND(H186&gt;0,ISNUMBER(N186)),N186,0)</x:f>
        <x:v>0</x:v>
      </x:c>
      <x:c r="AA186" s="2" t="n">
        <x:f>IF(AND(H186&gt;0,N186="",NOT(ISNUMBER(Q186))),1,0)</x:f>
        <x:v>0</x:v>
      </x:c>
      <x:c r="AB186" s="2" t="n">
        <x:f>IF(AND(H186&gt;0,N186&lt;&gt;"",NOT(ISNUMBER(N186))),1,0)</x:f>
        <x:v>0</x:v>
      </x:c>
    </x:row>
    <x:row r="187" ht="48" customHeight="1">
      <x:c r="A187" s="2" t="str">
        <x:v>MAIN-371</x:v>
      </x:c>
      <x:c r="B187" s="2" t="str">
        <x:v>Main</x:v>
      </x:c>
      <x:c r="C187" s="2" t="str">
        <x:v>Delhi NCR</x:v>
      </x:c>
      <x:c r="D187" s="12" t="str">
        <x:v>Etherea - Coworking Space</x:v>
      </x:c>
      <x:c r="E187" s="12" t="str">
        <x:v>32 inch LED TV</x:v>
      </x:c>
      <x:c r="F187" s="2" t="n">
        <x:v>1</x:v>
      </x:c>
      <x:c r="G187" s="2" t="n">
        <x:v>3</x:v>
      </x:c>
      <x:c r="H187" s="2" t="n">
        <x:f>COUNTIFS('Inventory'!$N$7:$N$783,A187,'Inventory'!$A$7:$A$783,1)</x:f>
        <x:v>1</x:v>
      </x:c>
      <x:c r="I187" s="2" t="n">
        <x:f>SUMIFS('Inventory'!$G$7:$G$783,'Inventory'!$N$7:$N$783,A187,'Inventory'!$A$7:$A$783,1)</x:f>
        <x:v>3</x:v>
      </x:c>
      <x:c r="J187" s="12" t="str">
        <x:v>Listed budget</x:v>
      </x:c>
      <x:c r="K187" s="17" t="n">
        <x:v>45000</x:v>
      </x:c>
      <x:c r="L187" s="17"/>
      <x:c r="M187" s="17"/>
      <x:c r="N187" s="19"/>
      <x:c r="O187" s="17" t="str">
        <x:f>IF(ISNUMBER(L187),G187*L187,IF(ISNUMBER(M187),M187,""))</x:f>
      </x:c>
      <x:c r="P187" s="17" t="n">
        <x:f>IF(ISNUMBER(K187),K187,IF(ISNUMBER(O187),O187,""))</x:f>
        <x:v>45000</x:v>
      </x:c>
      <x:c r="Q187" s="17" t="n">
        <x:f>IF(H187=0,0,IF(ISNUMBER(N187),N187,IF(N187="",IF(H187=F187,P187,""),"")))</x:f>
        <x:v>45000</x:v>
      </x:c>
      <x:c r="R187" s="17" t="n">
        <x:f>IF(ISNUMBER(Q187),ROUND(Q187*$C$4,2),"")</x:f>
        <x:v>8100</x:v>
      </x:c>
      <x:c r="S187" s="17" t="n">
        <x:f>IF(ISNUMBER(Q187),Q187+R187,"")</x:f>
        <x:v>53100</x:v>
      </x:c>
      <x:c r="T187" s="2" t="str">
        <x:f>IF(H187=0,"Not selected",IF(ISNUMBER(N187),"Quote entered",IF(N187&lt;&gt;"","Enter numeric quote",IF(H187=F187,IF(ISNUMBER(P187),"Complete unit","Price required"),"Partial package: price required"))))</x:f>
        <x:v>Complete unit</x:v>
      </x:c>
      <x:c r="U187" s="2" t="str">
        <x:v>TEN-51377B2CA4B8; TEN-761A47C104F3; TEN-9E29CC6A4F3E</x:v>
      </x:c>
      <x:c r="V187" s="2" t="str">
        <x:v>Unresolved</x:v>
      </x:c>
      <x:c r="W187" s="2" t="str">
        <x:v>Mixed business audience</x:v>
      </x:c>
      <x:c r="X187" s="17" t="n">
        <x:f>IF(AND(H187=F187,NOT(ISNUMBER(N187)),N187="",ISNUMBER(K187)),K187,0)</x:f>
        <x:v>45000</x:v>
      </x:c>
      <x:c r="Y187" s="17" t="n">
        <x:f>IF(AND(H187=F187,NOT(ISNUMBER(N187)),N187="",K187="",ISNUMBER(O187)),O187,0)</x:f>
        <x:v>0</x:v>
      </x:c>
      <x:c r="Z187" s="17" t="n">
        <x:f>IF(AND(H187&gt;0,ISNUMBER(N187)),N187,0)</x:f>
        <x:v>0</x:v>
      </x:c>
      <x:c r="AA187" s="2" t="n">
        <x:f>IF(AND(H187&gt;0,N187="",NOT(ISNUMBER(Q187))),1,0)</x:f>
        <x:v>0</x:v>
      </x:c>
      <x:c r="AB187" s="2" t="n">
        <x:f>IF(AND(H187&gt;0,N187&lt;&gt;"",NOT(ISNUMBER(N187))),1,0)</x:f>
        <x:v>0</x:v>
      </x:c>
    </x:row>
    <x:row r="188" ht="48" customHeight="1">
      <x:c r="A188" s="2" t="str">
        <x:v>MAIN-372</x:v>
      </x:c>
      <x:c r="B188" s="2" t="str">
        <x:v>Main</x:v>
      </x:c>
      <x:c r="C188" s="2" t="str">
        <x:v>Delhi NCR</x:v>
      </x:c>
      <x:c r="D188" s="12" t="str">
        <x:v>Express Trade Towers 2</x:v>
      </x:c>
      <x:c r="E188" s="12" t="str">
        <x:v>32 inch LED TV</x:v>
      </x:c>
      <x:c r="F188" s="2" t="n">
        <x:v>1</x:v>
      </x:c>
      <x:c r="G188" s="2" t="n">
        <x:v>48</x:v>
      </x:c>
      <x:c r="H188" s="2" t="n">
        <x:f>COUNTIFS('Inventory'!$N$7:$N$783,A188,'Inventory'!$A$7:$A$783,1)</x:f>
        <x:v>1</x:v>
      </x:c>
      <x:c r="I188" s="2" t="n">
        <x:f>SUMIFS('Inventory'!$G$7:$G$783,'Inventory'!$N$7:$N$783,A188,'Inventory'!$A$7:$A$783,1)</x:f>
        <x:v>48</x:v>
      </x:c>
      <x:c r="J188" s="12" t="str">
        <x:v>Listed budget</x:v>
      </x:c>
      <x:c r="K188" s="17" t="n">
        <x:v>720000</x:v>
      </x:c>
      <x:c r="L188" s="17"/>
      <x:c r="M188" s="17"/>
      <x:c r="N188" s="19"/>
      <x:c r="O188" s="17" t="str">
        <x:f>IF(ISNUMBER(L188),G188*L188,IF(ISNUMBER(M188),M188,""))</x:f>
      </x:c>
      <x:c r="P188" s="17" t="n">
        <x:f>IF(ISNUMBER(K188),K188,IF(ISNUMBER(O188),O188,""))</x:f>
        <x:v>720000</x:v>
      </x:c>
      <x:c r="Q188" s="17" t="n">
        <x:f>IF(H188=0,0,IF(ISNUMBER(N188),N188,IF(N188="",IF(H188=F188,P188,""),"")))</x:f>
        <x:v>720000</x:v>
      </x:c>
      <x:c r="R188" s="17" t="n">
        <x:f>IF(ISNUMBER(Q188),ROUND(Q188*$C$4,2),"")</x:f>
        <x:v>129600</x:v>
      </x:c>
      <x:c r="S188" s="17" t="n">
        <x:f>IF(ISNUMBER(Q188),Q188+R188,"")</x:f>
        <x:v>849600</x:v>
      </x:c>
      <x:c r="T188" s="2" t="str">
        <x:f>IF(H188=0,"Not selected",IF(ISNUMBER(N188),"Quote entered",IF(N188&lt;&gt;"","Enter numeric quote",IF(H188=F188,IF(ISNUMBER(P188),"Complete unit","Price required"),"Partial package: price required"))))</x:f>
        <x:v>Complete unit</x:v>
      </x:c>
      <x:c r="U188" s="2" t="str"/>
      <x:c r="V188" s="2" t="str">
        <x:v>Unclassified</x:v>
      </x:c>
      <x:c r="W188" s="2" t="str">
        <x:v>Mixed business audience</x:v>
      </x:c>
      <x:c r="X188" s="17" t="n">
        <x:f>IF(AND(H188=F188,NOT(ISNUMBER(N188)),N188="",ISNUMBER(K188)),K188,0)</x:f>
        <x:v>720000</x:v>
      </x:c>
      <x:c r="Y188" s="17" t="n">
        <x:f>IF(AND(H188=F188,NOT(ISNUMBER(N188)),N188="",K188="",ISNUMBER(O188)),O188,0)</x:f>
        <x:v>0</x:v>
      </x:c>
      <x:c r="Z188" s="17" t="n">
        <x:f>IF(AND(H188&gt;0,ISNUMBER(N188)),N188,0)</x:f>
        <x:v>0</x:v>
      </x:c>
      <x:c r="AA188" s="2" t="n">
        <x:f>IF(AND(H188&gt;0,N188="",NOT(ISNUMBER(Q188))),1,0)</x:f>
        <x:v>0</x:v>
      </x:c>
      <x:c r="AB188" s="2" t="n">
        <x:f>IF(AND(H188&gt;0,N188&lt;&gt;"",NOT(ISNUMBER(N188))),1,0)</x:f>
        <x:v>0</x:v>
      </x:c>
    </x:row>
    <x:row r="189" ht="48" customHeight="1">
      <x:c r="A189" s="2" t="str">
        <x:v>MAIN-189</x:v>
      </x:c>
      <x:c r="B189" s="2" t="str">
        <x:v>Main</x:v>
      </x:c>
      <x:c r="C189" s="2" t="str">
        <x:v>Delhi NCR</x:v>
      </x:c>
      <x:c r="D189" s="12" t="str">
        <x:v>Global Gateway</x:v>
      </x:c>
      <x:c r="E189" s="12" t="str">
        <x:v>55 inch LED TV</x:v>
      </x:c>
      <x:c r="F189" s="2" t="n">
        <x:v>1</x:v>
      </x:c>
      <x:c r="G189" s="2" t="n">
        <x:v>1</x:v>
      </x:c>
      <x:c r="H189" s="2" t="n">
        <x:f>COUNTIFS('Inventory'!$N$7:$N$783,A189,'Inventory'!$A$7:$A$783,1)</x:f>
        <x:v>1</x:v>
      </x:c>
      <x:c r="I189" s="2" t="n">
        <x:f>SUMIFS('Inventory'!$G$7:$G$783,'Inventory'!$N$7:$N$783,A189,'Inventory'!$A$7:$A$783,1)</x:f>
        <x:v>1</x:v>
      </x:c>
      <x:c r="J189" s="12" t="str">
        <x:v>Campaign format rate</x:v>
      </x:c>
      <x:c r="K189" s="17"/>
      <x:c r="L189" s="17" t="n">
        <x:f>$I$5</x:f>
        <x:v>40000</x:v>
      </x:c>
      <x:c r="M189" s="17"/>
      <x:c r="N189" s="19"/>
      <x:c r="O189" s="17" t="n">
        <x:f>IF(ISNUMBER(L189),G189*L189,IF(ISNUMBER(M189),M189,""))</x:f>
        <x:v>40000</x:v>
      </x:c>
      <x:c r="P189" s="17" t="n">
        <x:f>IF(ISNUMBER(K189),K189,IF(ISNUMBER(O189),O189,""))</x:f>
        <x:v>40000</x:v>
      </x:c>
      <x:c r="Q189" s="17" t="n">
        <x:f>IF(H189=0,0,IF(ISNUMBER(N189),N189,IF(N189="",IF(H189=F189,P189,""),"")))</x:f>
        <x:v>40000</x:v>
      </x:c>
      <x:c r="R189" s="17" t="n">
        <x:f>IF(ISNUMBER(Q189),ROUND(Q189*$C$4,2),"")</x:f>
        <x:v>7200</x:v>
      </x:c>
      <x:c r="S189" s="17" t="n">
        <x:f>IF(ISNUMBER(Q189),Q189+R189,"")</x:f>
        <x:v>47200</x:v>
      </x:c>
      <x:c r="T189" s="2" t="str">
        <x:f>IF(H189=0,"Not selected",IF(ISNUMBER(N189),"Quote entered",IF(N189&lt;&gt;"","Enter numeric quote",IF(H189=F189,IF(ISNUMBER(P189),"Complete unit","Price required"),"Partial package: price required"))))</x:f>
        <x:v>Complete unit</x:v>
      </x:c>
      <x:c r="U189" s="2" t="str"/>
      <x:c r="V189" s="2" t="str">
        <x:v>Unclassified</x:v>
      </x:c>
      <x:c r="W189" s="2" t="str">
        <x:v>Mixed business audience</x:v>
      </x:c>
      <x:c r="X189" s="17" t="n">
        <x:f>IF(AND(H189=F189,NOT(ISNUMBER(N189)),N189="",ISNUMBER(K189)),K189,0)</x:f>
        <x:v>0</x:v>
      </x:c>
      <x:c r="Y189" s="17" t="n">
        <x:f>IF(AND(H189=F189,NOT(ISNUMBER(N189)),N189="",K189="",ISNUMBER(O189)),O189,0)</x:f>
        <x:v>40000</x:v>
      </x:c>
      <x:c r="Z189" s="17" t="n">
        <x:f>IF(AND(H189&gt;0,ISNUMBER(N189)),N189,0)</x:f>
        <x:v>0</x:v>
      </x:c>
      <x:c r="AA189" s="2" t="n">
        <x:f>IF(AND(H189&gt;0,N189="",NOT(ISNUMBER(Q189))),1,0)</x:f>
        <x:v>0</x:v>
      </x:c>
      <x:c r="AB189" s="2" t="n">
        <x:f>IF(AND(H189&gt;0,N189&lt;&gt;"",NOT(ISNUMBER(N189))),1,0)</x:f>
        <x:v>0</x:v>
      </x:c>
    </x:row>
    <x:row r="190" ht="48" customHeight="1">
      <x:c r="A190" s="2" t="str">
        <x:v>MAIN-190</x:v>
      </x:c>
      <x:c r="B190" s="2" t="str">
        <x:v>Main</x:v>
      </x:c>
      <x:c r="C190" s="2" t="str">
        <x:v>Delhi NCR</x:v>
      </x:c>
      <x:c r="D190" s="12" t="str">
        <x:v>Good Earth Business Bay</x:v>
      </x:c>
      <x:c r="E190" s="12" t="str">
        <x:v>55 inch LED TV</x:v>
      </x:c>
      <x:c r="F190" s="2" t="n">
        <x:v>1</x:v>
      </x:c>
      <x:c r="G190" s="2" t="n">
        <x:v>2</x:v>
      </x:c>
      <x:c r="H190" s="2" t="n">
        <x:f>COUNTIFS('Inventory'!$N$7:$N$783,A190,'Inventory'!$A$7:$A$783,1)</x:f>
        <x:v>1</x:v>
      </x:c>
      <x:c r="I190" s="2" t="n">
        <x:f>SUMIFS('Inventory'!$G$7:$G$783,'Inventory'!$N$7:$N$783,A190,'Inventory'!$A$7:$A$783,1)</x:f>
        <x:v>2</x:v>
      </x:c>
      <x:c r="J190" s="12" t="str">
        <x:v>Campaign format rate</x:v>
      </x:c>
      <x:c r="K190" s="17"/>
      <x:c r="L190" s="17" t="n">
        <x:f>$I$5</x:f>
        <x:v>40000</x:v>
      </x:c>
      <x:c r="M190" s="17"/>
      <x:c r="N190" s="19"/>
      <x:c r="O190" s="17" t="n">
        <x:f>IF(ISNUMBER(L190),G190*L190,IF(ISNUMBER(M190),M190,""))</x:f>
        <x:v>80000</x:v>
      </x:c>
      <x:c r="P190" s="17" t="n">
        <x:f>IF(ISNUMBER(K190),K190,IF(ISNUMBER(O190),O190,""))</x:f>
        <x:v>80000</x:v>
      </x:c>
      <x:c r="Q190" s="17" t="n">
        <x:f>IF(H190=0,0,IF(ISNUMBER(N190),N190,IF(N190="",IF(H190=F190,P190,""),"")))</x:f>
        <x:v>80000</x:v>
      </x:c>
      <x:c r="R190" s="17" t="n">
        <x:f>IF(ISNUMBER(Q190),ROUND(Q190*$C$4,2),"")</x:f>
        <x:v>14400</x:v>
      </x:c>
      <x:c r="S190" s="17" t="n">
        <x:f>IF(ISNUMBER(Q190),Q190+R190,"")</x:f>
        <x:v>94400</x:v>
      </x:c>
      <x:c r="T190" s="2" t="str">
        <x:f>IF(H190=0,"Not selected",IF(ISNUMBER(N190),"Quote entered",IF(N190&lt;&gt;"","Enter numeric quote",IF(H190=F190,IF(ISNUMBER(P190),"Complete unit","Price required"),"Partial package: price required"))))</x:f>
        <x:v>Complete unit</x:v>
      </x:c>
      <x:c r="U190" s="2" t="str"/>
      <x:c r="V190" s="2" t="str">
        <x:v>Unclassified</x:v>
      </x:c>
      <x:c r="W190" s="2" t="str">
        <x:v>Mixed business audience</x:v>
      </x:c>
      <x:c r="X190" s="17" t="n">
        <x:f>IF(AND(H190=F190,NOT(ISNUMBER(N190)),N190="",ISNUMBER(K190)),K190,0)</x:f>
        <x:v>0</x:v>
      </x:c>
      <x:c r="Y190" s="17" t="n">
        <x:f>IF(AND(H190=F190,NOT(ISNUMBER(N190)),N190="",K190="",ISNUMBER(O190)),O190,0)</x:f>
        <x:v>80000</x:v>
      </x:c>
      <x:c r="Z190" s="17" t="n">
        <x:f>IF(AND(H190&gt;0,ISNUMBER(N190)),N190,0)</x:f>
        <x:v>0</x:v>
      </x:c>
      <x:c r="AA190" s="2" t="n">
        <x:f>IF(AND(H190&gt;0,N190="",NOT(ISNUMBER(Q190))),1,0)</x:f>
        <x:v>0</x:v>
      </x:c>
      <x:c r="AB190" s="2" t="n">
        <x:f>IF(AND(H190&gt;0,N190&lt;&gt;"",NOT(ISNUMBER(N190))),1,0)</x:f>
        <x:v>0</x:v>
      </x:c>
    </x:row>
    <x:row r="191" ht="48" customHeight="1">
      <x:c r="A191" s="2" t="str">
        <x:v>MAIN-191</x:v>
      </x:c>
      <x:c r="B191" s="2" t="str">
        <x:v>Main</x:v>
      </x:c>
      <x:c r="C191" s="2" t="str">
        <x:v>Delhi NCR</x:v>
      </x:c>
      <x:c r="D191" s="12" t="str">
        <x:v>ILD Trade Centre</x:v>
      </x:c>
      <x:c r="E191" s="12" t="str">
        <x:v>55 inch LED TV</x:v>
      </x:c>
      <x:c r="F191" s="2" t="n">
        <x:v>1</x:v>
      </x:c>
      <x:c r="G191" s="2" t="n">
        <x:v>1</x:v>
      </x:c>
      <x:c r="H191" s="2" t="n">
        <x:f>COUNTIFS('Inventory'!$N$7:$N$783,A191,'Inventory'!$A$7:$A$783,1)</x:f>
        <x:v>1</x:v>
      </x:c>
      <x:c r="I191" s="2" t="n">
        <x:f>SUMIFS('Inventory'!$G$7:$G$783,'Inventory'!$N$7:$N$783,A191,'Inventory'!$A$7:$A$783,1)</x:f>
        <x:v>1</x:v>
      </x:c>
      <x:c r="J191" s="12" t="str">
        <x:v>Campaign format rate</x:v>
      </x:c>
      <x:c r="K191" s="17"/>
      <x:c r="L191" s="17" t="n">
        <x:f>$I$5</x:f>
        <x:v>40000</x:v>
      </x:c>
      <x:c r="M191" s="17"/>
      <x:c r="N191" s="19"/>
      <x:c r="O191" s="17" t="n">
        <x:f>IF(ISNUMBER(L191),G191*L191,IF(ISNUMBER(M191),M191,""))</x:f>
        <x:v>40000</x:v>
      </x:c>
      <x:c r="P191" s="17" t="n">
        <x:f>IF(ISNUMBER(K191),K191,IF(ISNUMBER(O191),O191,""))</x:f>
        <x:v>40000</x:v>
      </x:c>
      <x:c r="Q191" s="17" t="n">
        <x:f>IF(H191=0,0,IF(ISNUMBER(N191),N191,IF(N191="",IF(H191=F191,P191,""),"")))</x:f>
        <x:v>40000</x:v>
      </x:c>
      <x:c r="R191" s="17" t="n">
        <x:f>IF(ISNUMBER(Q191),ROUND(Q191*$C$4,2),"")</x:f>
        <x:v>7200</x:v>
      </x:c>
      <x:c r="S191" s="17" t="n">
        <x:f>IF(ISNUMBER(Q191),Q191+R191,"")</x:f>
        <x:v>47200</x:v>
      </x:c>
      <x:c r="T191" s="2" t="str">
        <x:f>IF(H191=0,"Not selected",IF(ISNUMBER(N191),"Quote entered",IF(N191&lt;&gt;"","Enter numeric quote",IF(H191=F191,IF(ISNUMBER(P191),"Complete unit","Price required"),"Partial package: price required"))))</x:f>
        <x:v>Complete unit</x:v>
      </x:c>
      <x:c r="U191" s="2" t="str">
        <x:v>TEN-036736E05B14; TEN-A6A693646399; TEN-AAF89E19ACB5</x:v>
      </x:c>
      <x:c r="V191" s="2" t="str">
        <x:v>Professional services; Unresolved</x:v>
      </x:c>
      <x:c r="W191" s="2" t="str">
        <x:v>Small-scale prospects; Mixed business audience</x:v>
      </x:c>
      <x:c r="X191" s="17" t="n">
        <x:f>IF(AND(H191=F191,NOT(ISNUMBER(N191)),N191="",ISNUMBER(K191)),K191,0)</x:f>
        <x:v>0</x:v>
      </x:c>
      <x:c r="Y191" s="17" t="n">
        <x:f>IF(AND(H191=F191,NOT(ISNUMBER(N191)),N191="",K191="",ISNUMBER(O191)),O191,0)</x:f>
        <x:v>40000</x:v>
      </x:c>
      <x:c r="Z191" s="17" t="n">
        <x:f>IF(AND(H191&gt;0,ISNUMBER(N191)),N191,0)</x:f>
        <x:v>0</x:v>
      </x:c>
      <x:c r="AA191" s="2" t="n">
        <x:f>IF(AND(H191&gt;0,N191="",NOT(ISNUMBER(Q191))),1,0)</x:f>
        <x:v>0</x:v>
      </x:c>
      <x:c r="AB191" s="2" t="n">
        <x:f>IF(AND(H191&gt;0,N191&lt;&gt;"",NOT(ISNUMBER(N191))),1,0)</x:f>
        <x:v>0</x:v>
      </x:c>
    </x:row>
    <x:row r="192" ht="48" customHeight="1">
      <x:c r="A192" s="2" t="str">
        <x:v>MAIN-168</x:v>
      </x:c>
      <x:c r="B192" s="2" t="str">
        <x:v>Main</x:v>
      </x:c>
      <x:c r="C192" s="2" t="str">
        <x:v>Delhi NCR</x:v>
      </x:c>
      <x:c r="D192" s="12" t="str">
        <x:v>India Accelerator Coworking - BPTP Centra One</x:v>
      </x:c>
      <x:c r="E192" s="12" t="str">
        <x:v>55 inch LED TV</x:v>
      </x:c>
      <x:c r="F192" s="2" t="n">
        <x:v>1</x:v>
      </x:c>
      <x:c r="G192" s="2" t="n">
        <x:v>5</x:v>
      </x:c>
      <x:c r="H192" s="2" t="n">
        <x:f>COUNTIFS('Inventory'!$N$7:$N$783,A192,'Inventory'!$A$7:$A$783,1)</x:f>
        <x:v>1</x:v>
      </x:c>
      <x:c r="I192" s="2" t="n">
        <x:f>SUMIFS('Inventory'!$G$7:$G$783,'Inventory'!$N$7:$N$783,A192,'Inventory'!$A$7:$A$783,1)</x:f>
        <x:v>5</x:v>
      </x:c>
      <x:c r="J192" s="12" t="str">
        <x:v>Campaign format rate</x:v>
      </x:c>
      <x:c r="K192" s="17"/>
      <x:c r="L192" s="17" t="n">
        <x:f>$I$5</x:f>
        <x:v>40000</x:v>
      </x:c>
      <x:c r="M192" s="17"/>
      <x:c r="N192" s="19"/>
      <x:c r="O192" s="17" t="n">
        <x:f>IF(ISNUMBER(L192),G192*L192,IF(ISNUMBER(M192),M192,""))</x:f>
        <x:v>200000</x:v>
      </x:c>
      <x:c r="P192" s="17" t="n">
        <x:f>IF(ISNUMBER(K192),K192,IF(ISNUMBER(O192),O192,""))</x:f>
        <x:v>200000</x:v>
      </x:c>
      <x:c r="Q192" s="17" t="n">
        <x:f>IF(H192=0,0,IF(ISNUMBER(N192),N192,IF(N192="",IF(H192=F192,P192,""),"")))</x:f>
        <x:v>200000</x:v>
      </x:c>
      <x:c r="R192" s="17" t="n">
        <x:f>IF(ISNUMBER(Q192),ROUND(Q192*$C$4,2),"")</x:f>
        <x:v>36000</x:v>
      </x:c>
      <x:c r="S192" s="17" t="n">
        <x:f>IF(ISNUMBER(Q192),Q192+R192,"")</x:f>
        <x:v>236000</x:v>
      </x:c>
      <x:c r="T192" s="2" t="str">
        <x:f>IF(H192=0,"Not selected",IF(ISNUMBER(N192),"Quote entered",IF(N192&lt;&gt;"","Enter numeric quote",IF(H192=F192,IF(ISNUMBER(P192),"Complete unit","Price required"),"Partial package: price required"))))</x:f>
        <x:v>Complete unit</x:v>
      </x:c>
      <x:c r="U192" s="2" t="str">
        <x:v>TEN-0DBD6055C8F3; TEN-477AA10EEFDA; TEN-64653706431C; TEN-79E64640C221; TEN-C852B4C0C245; TEN-EB14258F7152</x:v>
      </x:c>
      <x:c r="V192" s="2" t="str">
        <x:v>IT &amp; digital; Professional services; Trade, consumer &amp; logistics; Unresolved</x:v>
      </x:c>
      <x:c r="W192" s="2" t="str">
        <x:v>Small-scale prospects; Mixed business audience</x:v>
      </x:c>
      <x:c r="X192" s="17" t="n">
        <x:f>IF(AND(H192=F192,NOT(ISNUMBER(N192)),N192="",ISNUMBER(K192)),K192,0)</x:f>
        <x:v>0</x:v>
      </x:c>
      <x:c r="Y192" s="17" t="n">
        <x:f>IF(AND(H192=F192,NOT(ISNUMBER(N192)),N192="",K192="",ISNUMBER(O192)),O192,0)</x:f>
        <x:v>200000</x:v>
      </x:c>
      <x:c r="Z192" s="17" t="n">
        <x:f>IF(AND(H192&gt;0,ISNUMBER(N192)),N192,0)</x:f>
        <x:v>0</x:v>
      </x:c>
      <x:c r="AA192" s="2" t="n">
        <x:f>IF(AND(H192&gt;0,N192="",NOT(ISNUMBER(Q192))),1,0)</x:f>
        <x:v>0</x:v>
      </x:c>
      <x:c r="AB192" s="2" t="n">
        <x:f>IF(AND(H192&gt;0,N192&lt;&gt;"",NOT(ISNUMBER(N192))),1,0)</x:f>
        <x:v>0</x:v>
      </x:c>
    </x:row>
    <x:row r="193" ht="48" customHeight="1">
      <x:c r="A193" s="2" t="str">
        <x:v>MAIN-192</x:v>
      </x:c>
      <x:c r="B193" s="2" t="str">
        <x:v>Main</x:v>
      </x:c>
      <x:c r="C193" s="2" t="str">
        <x:v>Delhi NCR</x:v>
      </x:c>
      <x:c r="D193" s="12" t="str">
        <x:v>India Accelerator Coworking - IA Udyog Vihar</x:v>
      </x:c>
      <x:c r="E193" s="12" t="str">
        <x:v>55 inch LED TV</x:v>
      </x:c>
      <x:c r="F193" s="2" t="n">
        <x:v>1</x:v>
      </x:c>
      <x:c r="G193" s="2" t="n">
        <x:v>1</x:v>
      </x:c>
      <x:c r="H193" s="2" t="n">
        <x:f>COUNTIFS('Inventory'!$N$7:$N$783,A193,'Inventory'!$A$7:$A$783,1)</x:f>
        <x:v>1</x:v>
      </x:c>
      <x:c r="I193" s="2" t="n">
        <x:f>SUMIFS('Inventory'!$G$7:$G$783,'Inventory'!$N$7:$N$783,A193,'Inventory'!$A$7:$A$783,1)</x:f>
        <x:v>1</x:v>
      </x:c>
      <x:c r="J193" s="12" t="str">
        <x:v>Campaign format rate</x:v>
      </x:c>
      <x:c r="K193" s="17"/>
      <x:c r="L193" s="17" t="n">
        <x:f>$I$5</x:f>
        <x:v>40000</x:v>
      </x:c>
      <x:c r="M193" s="17"/>
      <x:c r="N193" s="19"/>
      <x:c r="O193" s="17" t="n">
        <x:f>IF(ISNUMBER(L193),G193*L193,IF(ISNUMBER(M193),M193,""))</x:f>
        <x:v>40000</x:v>
      </x:c>
      <x:c r="P193" s="17" t="n">
        <x:f>IF(ISNUMBER(K193),K193,IF(ISNUMBER(O193),O193,""))</x:f>
        <x:v>40000</x:v>
      </x:c>
      <x:c r="Q193" s="17" t="n">
        <x:f>IF(H193=0,0,IF(ISNUMBER(N193),N193,IF(N193="",IF(H193=F193,P193,""),"")))</x:f>
        <x:v>40000</x:v>
      </x:c>
      <x:c r="R193" s="17" t="n">
        <x:f>IF(ISNUMBER(Q193),ROUND(Q193*$C$4,2),"")</x:f>
        <x:v>7200</x:v>
      </x:c>
      <x:c r="S193" s="17" t="n">
        <x:f>IF(ISNUMBER(Q193),Q193+R193,"")</x:f>
        <x:v>47200</x:v>
      </x:c>
      <x:c r="T193" s="2" t="str">
        <x:f>IF(H193=0,"Not selected",IF(ISNUMBER(N193),"Quote entered",IF(N193&lt;&gt;"","Enter numeric quote",IF(H193=F193,IF(ISNUMBER(P193),"Complete unit","Price required"),"Partial package: price required"))))</x:f>
        <x:v>Complete unit</x:v>
      </x:c>
      <x:c r="U193" s="2" t="str">
        <x:v>TEN-5186376CE032</x:v>
      </x:c>
      <x:c r="V193" s="2" t="str">
        <x:v>Workspace &amp; property operations</x:v>
      </x:c>
      <x:c r="W193" s="2" t="str">
        <x:v>Mixed business audience</x:v>
      </x:c>
      <x:c r="X193" s="17" t="n">
        <x:f>IF(AND(H193=F193,NOT(ISNUMBER(N193)),N193="",ISNUMBER(K193)),K193,0)</x:f>
        <x:v>0</x:v>
      </x:c>
      <x:c r="Y193" s="17" t="n">
        <x:f>IF(AND(H193=F193,NOT(ISNUMBER(N193)),N193="",K193="",ISNUMBER(O193)),O193,0)</x:f>
        <x:v>40000</x:v>
      </x:c>
      <x:c r="Z193" s="17" t="n">
        <x:f>IF(AND(H193&gt;0,ISNUMBER(N193)),N193,0)</x:f>
        <x:v>0</x:v>
      </x:c>
      <x:c r="AA193" s="2" t="n">
        <x:f>IF(AND(H193&gt;0,N193="",NOT(ISNUMBER(Q193))),1,0)</x:f>
        <x:v>0</x:v>
      </x:c>
      <x:c r="AB193" s="2" t="n">
        <x:f>IF(AND(H193&gt;0,N193&lt;&gt;"",NOT(ISNUMBER(N193))),1,0)</x:f>
        <x:v>0</x:v>
      </x:c>
    </x:row>
    <x:row r="194" ht="48" customHeight="1">
      <x:c r="A194" s="2" t="str">
        <x:v>MAIN-193</x:v>
      </x:c>
      <x:c r="B194" s="2" t="str">
        <x:v>Main</x:v>
      </x:c>
      <x:c r="C194" s="2" t="str">
        <x:v>Delhi NCR</x:v>
      </x:c>
      <x:c r="D194" s="12" t="str">
        <x:v>India Accelerator Coworking - IA Udyog Vihar</x:v>
      </x:c>
      <x:c r="E194" s="12" t="str">
        <x:v>32 inch LED TV</x:v>
      </x:c>
      <x:c r="F194" s="2" t="n">
        <x:v>1</x:v>
      </x:c>
      <x:c r="G194" s="2" t="n">
        <x:v>3</x:v>
      </x:c>
      <x:c r="H194" s="2" t="n">
        <x:f>COUNTIFS('Inventory'!$N$7:$N$783,A194,'Inventory'!$A$7:$A$783,1)</x:f>
        <x:v>1</x:v>
      </x:c>
      <x:c r="I194" s="2" t="n">
        <x:f>SUMIFS('Inventory'!$G$7:$G$783,'Inventory'!$N$7:$N$783,A194,'Inventory'!$A$7:$A$783,1)</x:f>
        <x:v>3</x:v>
      </x:c>
      <x:c r="J194" s="12" t="str">
        <x:v>Listed budget</x:v>
      </x:c>
      <x:c r="K194" s="17" t="n">
        <x:v>45000</x:v>
      </x:c>
      <x:c r="L194" s="17"/>
      <x:c r="M194" s="17"/>
      <x:c r="N194" s="19"/>
      <x:c r="O194" s="17" t="str">
        <x:f>IF(ISNUMBER(L194),G194*L194,IF(ISNUMBER(M194),M194,""))</x:f>
      </x:c>
      <x:c r="P194" s="17" t="n">
        <x:f>IF(ISNUMBER(K194),K194,IF(ISNUMBER(O194),O194,""))</x:f>
        <x:v>45000</x:v>
      </x:c>
      <x:c r="Q194" s="17" t="n">
        <x:f>IF(H194=0,0,IF(ISNUMBER(N194),N194,IF(N194="",IF(H194=F194,P194,""),"")))</x:f>
        <x:v>45000</x:v>
      </x:c>
      <x:c r="R194" s="17" t="n">
        <x:f>IF(ISNUMBER(Q194),ROUND(Q194*$C$4,2),"")</x:f>
        <x:v>8100</x:v>
      </x:c>
      <x:c r="S194" s="17" t="n">
        <x:f>IF(ISNUMBER(Q194),Q194+R194,"")</x:f>
        <x:v>53100</x:v>
      </x:c>
      <x:c r="T194" s="2" t="str">
        <x:f>IF(H194=0,"Not selected",IF(ISNUMBER(N194),"Quote entered",IF(N194&lt;&gt;"","Enter numeric quote",IF(H194=F194,IF(ISNUMBER(P194),"Complete unit","Price required"),"Partial package: price required"))))</x:f>
        <x:v>Complete unit</x:v>
      </x:c>
      <x:c r="U194" s="2" t="str">
        <x:v>TEN-5186376CE032</x:v>
      </x:c>
      <x:c r="V194" s="2" t="str">
        <x:v>Workspace &amp; property operations</x:v>
      </x:c>
      <x:c r="W194" s="2" t="str">
        <x:v>Mixed business audience</x:v>
      </x:c>
      <x:c r="X194" s="17" t="n">
        <x:f>IF(AND(H194=F194,NOT(ISNUMBER(N194)),N194="",ISNUMBER(K194)),K194,0)</x:f>
        <x:v>45000</x:v>
      </x:c>
      <x:c r="Y194" s="17" t="n">
        <x:f>IF(AND(H194=F194,NOT(ISNUMBER(N194)),N194="",K194="",ISNUMBER(O194)),O194,0)</x:f>
        <x:v>0</x:v>
      </x:c>
      <x:c r="Z194" s="17" t="n">
        <x:f>IF(AND(H194&gt;0,ISNUMBER(N194)),N194,0)</x:f>
        <x:v>0</x:v>
      </x:c>
      <x:c r="AA194" s="2" t="n">
        <x:f>IF(AND(H194&gt;0,N194="",NOT(ISNUMBER(Q194))),1,0)</x:f>
        <x:v>0</x:v>
      </x:c>
      <x:c r="AB194" s="2" t="n">
        <x:f>IF(AND(H194&gt;0,N194&lt;&gt;"",NOT(ISNUMBER(N194))),1,0)</x:f>
        <x:v>0</x:v>
      </x:c>
    </x:row>
    <x:row r="195" ht="48" customHeight="1">
      <x:c r="A195" s="2" t="str">
        <x:v>MAIN-194</x:v>
      </x:c>
      <x:c r="B195" s="2" t="str">
        <x:v>Main</x:v>
      </x:c>
      <x:c r="C195" s="2" t="str">
        <x:v>Delhi NCR</x:v>
      </x:c>
      <x:c r="D195" s="12" t="str">
        <x:v>India Accelerator Coworking - MGF Metropolis Mall</x:v>
      </x:c>
      <x:c r="E195" s="12" t="str">
        <x:v>55 inch LED TV</x:v>
      </x:c>
      <x:c r="F195" s="2" t="n">
        <x:v>1</x:v>
      </x:c>
      <x:c r="G195" s="2" t="n">
        <x:v>6</x:v>
      </x:c>
      <x:c r="H195" s="2" t="n">
        <x:f>COUNTIFS('Inventory'!$N$7:$N$783,A195,'Inventory'!$A$7:$A$783,1)</x:f>
        <x:v>1</x:v>
      </x:c>
      <x:c r="I195" s="2" t="n">
        <x:f>SUMIFS('Inventory'!$G$7:$G$783,'Inventory'!$N$7:$N$783,A195,'Inventory'!$A$7:$A$783,1)</x:f>
        <x:v>6</x:v>
      </x:c>
      <x:c r="J195" s="12" t="str">
        <x:v>Campaign format rate</x:v>
      </x:c>
      <x:c r="K195" s="17"/>
      <x:c r="L195" s="17" t="n">
        <x:f>$I$5</x:f>
        <x:v>40000</x:v>
      </x:c>
      <x:c r="M195" s="17"/>
      <x:c r="N195" s="19"/>
      <x:c r="O195" s="17" t="n">
        <x:f>IF(ISNUMBER(L195),G195*L195,IF(ISNUMBER(M195),M195,""))</x:f>
        <x:v>240000</x:v>
      </x:c>
      <x:c r="P195" s="17" t="n">
        <x:f>IF(ISNUMBER(K195),K195,IF(ISNUMBER(O195),O195,""))</x:f>
        <x:v>240000</x:v>
      </x:c>
      <x:c r="Q195" s="17" t="n">
        <x:f>IF(H195=0,0,IF(ISNUMBER(N195),N195,IF(N195="",IF(H195=F195,P195,""),"")))</x:f>
        <x:v>240000</x:v>
      </x:c>
      <x:c r="R195" s="17" t="n">
        <x:f>IF(ISNUMBER(Q195),ROUND(Q195*$C$4,2),"")</x:f>
        <x:v>43200</x:v>
      </x:c>
      <x:c r="S195" s="17" t="n">
        <x:f>IF(ISNUMBER(Q195),Q195+R195,"")</x:f>
        <x:v>283200</x:v>
      </x:c>
      <x:c r="T195" s="2" t="str">
        <x:f>IF(H195=0,"Not selected",IF(ISNUMBER(N195),"Quote entered",IF(N195&lt;&gt;"","Enter numeric quote",IF(H195=F195,IF(ISNUMBER(P195),"Complete unit","Price required"),"Partial package: price required"))))</x:f>
        <x:v>Complete unit</x:v>
      </x:c>
      <x:c r="U195" s="2" t="str">
        <x:v>TEN-172CBFFE5C71; TEN-73D84E96C940; TEN-A52F83B010B6; TEN-F93408F90DB3</x:v>
      </x:c>
      <x:c r="V195" s="2" t="str">
        <x:v>Professional services; Finance &amp; insurance; Engineering &amp; manufacturing; Trade, consumer &amp; logistics</x:v>
      </x:c>
      <x:c r="W195" s="2" t="str">
        <x:v>Small-scale prospects; Medium-scale prospects; Mixed business audience</x:v>
      </x:c>
      <x:c r="X195" s="17" t="n">
        <x:f>IF(AND(H195=F195,NOT(ISNUMBER(N195)),N195="",ISNUMBER(K195)),K195,0)</x:f>
        <x:v>0</x:v>
      </x:c>
      <x:c r="Y195" s="17" t="n">
        <x:f>IF(AND(H195=F195,NOT(ISNUMBER(N195)),N195="",K195="",ISNUMBER(O195)),O195,0)</x:f>
        <x:v>240000</x:v>
      </x:c>
      <x:c r="Z195" s="17" t="n">
        <x:f>IF(AND(H195&gt;0,ISNUMBER(N195)),N195,0)</x:f>
        <x:v>0</x:v>
      </x:c>
      <x:c r="AA195" s="2" t="n">
        <x:f>IF(AND(H195&gt;0,N195="",NOT(ISNUMBER(Q195))),1,0)</x:f>
        <x:v>0</x:v>
      </x:c>
      <x:c r="AB195" s="2" t="n">
        <x:f>IF(AND(H195&gt;0,N195&lt;&gt;"",NOT(ISNUMBER(N195))),1,0)</x:f>
        <x:v>0</x:v>
      </x:c>
    </x:row>
    <x:row r="196" ht="48" customHeight="1">
      <x:c r="A196" s="2" t="str">
        <x:v>MAIN-373</x:v>
      </x:c>
      <x:c r="B196" s="2" t="str">
        <x:v>Main</x:v>
      </x:c>
      <x:c r="C196" s="2" t="str">
        <x:v>Delhi NCR</x:v>
      </x:c>
      <x:c r="D196" s="12" t="str">
        <x:v>India Accelerator Coworking - The Iconic Corenthum</x:v>
      </x:c>
      <x:c r="E196" s="12" t="str">
        <x:v>55 inch LED TV</x:v>
      </x:c>
      <x:c r="F196" s="2" t="n">
        <x:v>1</x:v>
      </x:c>
      <x:c r="G196" s="2" t="n">
        <x:v>6</x:v>
      </x:c>
      <x:c r="H196" s="2" t="n">
        <x:f>COUNTIFS('Inventory'!$N$7:$N$783,A196,'Inventory'!$A$7:$A$783,1)</x:f>
        <x:v>1</x:v>
      </x:c>
      <x:c r="I196" s="2" t="n">
        <x:f>SUMIFS('Inventory'!$G$7:$G$783,'Inventory'!$N$7:$N$783,A196,'Inventory'!$A$7:$A$783,1)</x:f>
        <x:v>6</x:v>
      </x:c>
      <x:c r="J196" s="12" t="str">
        <x:v>Campaign format rate</x:v>
      </x:c>
      <x:c r="K196" s="17"/>
      <x:c r="L196" s="17" t="n">
        <x:f>$I$5</x:f>
        <x:v>40000</x:v>
      </x:c>
      <x:c r="M196" s="17"/>
      <x:c r="N196" s="19"/>
      <x:c r="O196" s="17" t="n">
        <x:f>IF(ISNUMBER(L196),G196*L196,IF(ISNUMBER(M196),M196,""))</x:f>
        <x:v>240000</x:v>
      </x:c>
      <x:c r="P196" s="17" t="n">
        <x:f>IF(ISNUMBER(K196),K196,IF(ISNUMBER(O196),O196,""))</x:f>
        <x:v>240000</x:v>
      </x:c>
      <x:c r="Q196" s="17" t="n">
        <x:f>IF(H196=0,0,IF(ISNUMBER(N196),N196,IF(N196="",IF(H196=F196,P196,""),"")))</x:f>
        <x:v>240000</x:v>
      </x:c>
      <x:c r="R196" s="17" t="n">
        <x:f>IF(ISNUMBER(Q196),ROUND(Q196*$C$4,2),"")</x:f>
        <x:v>43200</x:v>
      </x:c>
      <x:c r="S196" s="17" t="n">
        <x:f>IF(ISNUMBER(Q196),Q196+R196,"")</x:f>
        <x:v>283200</x:v>
      </x:c>
      <x:c r="T196" s="2" t="str">
        <x:f>IF(H196=0,"Not selected",IF(ISNUMBER(N196),"Quote entered",IF(N196&lt;&gt;"","Enter numeric quote",IF(H196=F196,IF(ISNUMBER(P196),"Complete unit","Price required"),"Partial package: price required"))))</x:f>
        <x:v>Complete unit</x:v>
      </x:c>
      <x:c r="U196" s="2" t="str">
        <x:v>TEN-068C60202969; TEN-1CFBC06C3B3F; TEN-4AEC6EEBDC4E; TEN-4EE91ACB050F; TEN-587750C75D36; TEN-A67355571C1D; TEN-C07185675D77; TEN-E5ACEA4453C8; TEN-E916968E4822; TEN-F640633E9C84</x:v>
      </x:c>
      <x:c r="V196" s="2" t="str">
        <x:v>Professional services; Engineering &amp; manufacturing; Trade, consumer &amp; logistics; Unresolved</x:v>
      </x:c>
      <x:c r="W196" s="2" t="str">
        <x:v>Small-scale prospects; Medium-scale prospects; Mixed business audience</x:v>
      </x:c>
      <x:c r="X196" s="17" t="n">
        <x:f>IF(AND(H196=F196,NOT(ISNUMBER(N196)),N196="",ISNUMBER(K196)),K196,0)</x:f>
        <x:v>0</x:v>
      </x:c>
      <x:c r="Y196" s="17" t="n">
        <x:f>IF(AND(H196=F196,NOT(ISNUMBER(N196)),N196="",K196="",ISNUMBER(O196)),O196,0)</x:f>
        <x:v>240000</x:v>
      </x:c>
      <x:c r="Z196" s="17" t="n">
        <x:f>IF(AND(H196&gt;0,ISNUMBER(N196)),N196,0)</x:f>
        <x:v>0</x:v>
      </x:c>
      <x:c r="AA196" s="2" t="n">
        <x:f>IF(AND(H196&gt;0,N196="",NOT(ISNUMBER(Q196))),1,0)</x:f>
        <x:v>0</x:v>
      </x:c>
      <x:c r="AB196" s="2" t="n">
        <x:f>IF(AND(H196&gt;0,N196&lt;&gt;"",NOT(ISNUMBER(N196))),1,0)</x:f>
        <x:v>0</x:v>
      </x:c>
    </x:row>
    <x:row r="197" ht="48" customHeight="1">
      <x:c r="A197" s="2" t="str">
        <x:v>MAIN-195</x:v>
      </x:c>
      <x:c r="B197" s="2" t="str">
        <x:v>Main</x:v>
      </x:c>
      <x:c r="C197" s="2" t="str">
        <x:v>Delhi NCR</x:v>
      </x:c>
      <x:c r="D197" s="12" t="str">
        <x:v>India Accelerator Coworking - Vatika Triangle</x:v>
      </x:c>
      <x:c r="E197" s="12" t="str">
        <x:v>43 inch LED TV</x:v>
      </x:c>
      <x:c r="F197" s="2" t="n">
        <x:v>1</x:v>
      </x:c>
      <x:c r="G197" s="2" t="n">
        <x:v>3</x:v>
      </x:c>
      <x:c r="H197" s="2" t="n">
        <x:f>COUNTIFS('Inventory'!$N$7:$N$783,A197,'Inventory'!$A$7:$A$783,1)</x:f>
        <x:v>1</x:v>
      </x:c>
      <x:c r="I197" s="2" t="n">
        <x:f>SUMIFS('Inventory'!$G$7:$G$783,'Inventory'!$N$7:$N$783,A197,'Inventory'!$A$7:$A$783,1)</x:f>
        <x:v>3</x:v>
      </x:c>
      <x:c r="J197" s="12" t="str">
        <x:v>Campaign format rate</x:v>
      </x:c>
      <x:c r="K197" s="17"/>
      <x:c r="L197" s="17" t="n">
        <x:f>$E$5</x:f>
        <x:v>20000</x:v>
      </x:c>
      <x:c r="M197" s="17"/>
      <x:c r="N197" s="19"/>
      <x:c r="O197" s="17" t="n">
        <x:f>IF(ISNUMBER(L197),G197*L197,IF(ISNUMBER(M197),M197,""))</x:f>
        <x:v>60000</x:v>
      </x:c>
      <x:c r="P197" s="17" t="n">
        <x:f>IF(ISNUMBER(K197),K197,IF(ISNUMBER(O197),O197,""))</x:f>
        <x:v>60000</x:v>
      </x:c>
      <x:c r="Q197" s="17" t="n">
        <x:f>IF(H197=0,0,IF(ISNUMBER(N197),N197,IF(N197="",IF(H197=F197,P197,""),"")))</x:f>
        <x:v>60000</x:v>
      </x:c>
      <x:c r="R197" s="17" t="n">
        <x:f>IF(ISNUMBER(Q197),ROUND(Q197*$C$4,2),"")</x:f>
        <x:v>10800</x:v>
      </x:c>
      <x:c r="S197" s="17" t="n">
        <x:f>IF(ISNUMBER(Q197),Q197+R197,"")</x:f>
        <x:v>70800</x:v>
      </x:c>
      <x:c r="T197" s="2" t="str">
        <x:f>IF(H197=0,"Not selected",IF(ISNUMBER(N197),"Quote entered",IF(N197&lt;&gt;"","Enter numeric quote",IF(H197=F197,IF(ISNUMBER(P197),"Complete unit","Price required"),"Partial package: price required"))))</x:f>
        <x:v>Complete unit</x:v>
      </x:c>
      <x:c r="U197" s="2" t="str">
        <x:v>TEN-0F816088DDB0; TEN-2AC9A3F3ED06; TEN-45103F2C037D; TEN-8BBE512452EF; TEN-B06027704491; TEN-D38B042527EB; TEN-F6C3D7E2CE93</x:v>
      </x:c>
      <x:c r="V197" s="2" t="str">
        <x:v>Professional services; Engineering &amp; manufacturing; Trade, consumer &amp; logistics; Unresolved</x:v>
      </x:c>
      <x:c r="W197" s="2" t="str">
        <x:v>Small-scale prospects; Medium-scale prospects; Mixed business audience</x:v>
      </x:c>
      <x:c r="X197" s="17" t="n">
        <x:f>IF(AND(H197=F197,NOT(ISNUMBER(N197)),N197="",ISNUMBER(K197)),K197,0)</x:f>
        <x:v>0</x:v>
      </x:c>
      <x:c r="Y197" s="17" t="n">
        <x:f>IF(AND(H197=F197,NOT(ISNUMBER(N197)),N197="",K197="",ISNUMBER(O197)),O197,0)</x:f>
        <x:v>60000</x:v>
      </x:c>
      <x:c r="Z197" s="17" t="n">
        <x:f>IF(AND(H197&gt;0,ISNUMBER(N197)),N197,0)</x:f>
        <x:v>0</x:v>
      </x:c>
      <x:c r="AA197" s="2" t="n">
        <x:f>IF(AND(H197&gt;0,N197="",NOT(ISNUMBER(Q197))),1,0)</x:f>
        <x:v>0</x:v>
      </x:c>
      <x:c r="AB197" s="2" t="n">
        <x:f>IF(AND(H197&gt;0,N197&lt;&gt;"",NOT(ISNUMBER(N197))),1,0)</x:f>
        <x:v>0</x:v>
      </x:c>
    </x:row>
    <x:row r="198" ht="48" customHeight="1">
      <x:c r="A198" s="2" t="str">
        <x:v>MAIN-196</x:v>
      </x:c>
      <x:c r="B198" s="2" t="str">
        <x:v>Main</x:v>
      </x:c>
      <x:c r="C198" s="2" t="str">
        <x:v>Delhi NCR</x:v>
      </x:c>
      <x:c r="D198" s="12" t="str">
        <x:v>Kallton</x:v>
      </x:c>
      <x:c r="E198" s="12" t="str">
        <x:v>55 inch LED TV</x:v>
      </x:c>
      <x:c r="F198" s="2" t="n">
        <x:v>1</x:v>
      </x:c>
      <x:c r="G198" s="2" t="n">
        <x:v>5</x:v>
      </x:c>
      <x:c r="H198" s="2" t="n">
        <x:f>COUNTIFS('Inventory'!$N$7:$N$783,A198,'Inventory'!$A$7:$A$783,1)</x:f>
        <x:v>1</x:v>
      </x:c>
      <x:c r="I198" s="2" t="n">
        <x:f>SUMIFS('Inventory'!$G$7:$G$783,'Inventory'!$N$7:$N$783,A198,'Inventory'!$A$7:$A$783,1)</x:f>
        <x:v>5</x:v>
      </x:c>
      <x:c r="J198" s="12" t="str">
        <x:v>Campaign format rate</x:v>
      </x:c>
      <x:c r="K198" s="17"/>
      <x:c r="L198" s="17" t="n">
        <x:f>$I$5</x:f>
        <x:v>40000</x:v>
      </x:c>
      <x:c r="M198" s="17"/>
      <x:c r="N198" s="19"/>
      <x:c r="O198" s="17" t="n">
        <x:f>IF(ISNUMBER(L198),G198*L198,IF(ISNUMBER(M198),M198,""))</x:f>
        <x:v>200000</x:v>
      </x:c>
      <x:c r="P198" s="17" t="n">
        <x:f>IF(ISNUMBER(K198),K198,IF(ISNUMBER(O198),O198,""))</x:f>
        <x:v>200000</x:v>
      </x:c>
      <x:c r="Q198" s="17" t="n">
        <x:f>IF(H198=0,0,IF(ISNUMBER(N198),N198,IF(N198="",IF(H198=F198,P198,""),"")))</x:f>
        <x:v>200000</x:v>
      </x:c>
      <x:c r="R198" s="17" t="n">
        <x:f>IF(ISNUMBER(Q198),ROUND(Q198*$C$4,2),"")</x:f>
        <x:v>36000</x:v>
      </x:c>
      <x:c r="S198" s="17" t="n">
        <x:f>IF(ISNUMBER(Q198),Q198+R198,"")</x:f>
        <x:v>236000</x:v>
      </x:c>
      <x:c r="T198" s="2" t="str">
        <x:f>IF(H198=0,"Not selected",IF(ISNUMBER(N198),"Quote entered",IF(N198&lt;&gt;"","Enter numeric quote",IF(H198=F198,IF(ISNUMBER(P198),"Complete unit","Price required"),"Partial package: price required"))))</x:f>
        <x:v>Complete unit</x:v>
      </x:c>
      <x:c r="U198" s="2" t="str">
        <x:v>TEN-04F457C9EB4D; TEN-3BF04266C40F; TEN-B9280E6ABABB; TEN-D5D133305413</x:v>
      </x:c>
      <x:c r="V198" s="2" t="str">
        <x:v>IT &amp; digital; Healthcare &amp; life sciences</x:v>
      </x:c>
      <x:c r="W198" s="2" t="str">
        <x:v>Small-scale prospects; Mixed business audience</x:v>
      </x:c>
      <x:c r="X198" s="17" t="n">
        <x:f>IF(AND(H198=F198,NOT(ISNUMBER(N198)),N198="",ISNUMBER(K198)),K198,0)</x:f>
        <x:v>0</x:v>
      </x:c>
      <x:c r="Y198" s="17" t="n">
        <x:f>IF(AND(H198=F198,NOT(ISNUMBER(N198)),N198="",K198="",ISNUMBER(O198)),O198,0)</x:f>
        <x:v>200000</x:v>
      </x:c>
      <x:c r="Z198" s="17" t="n">
        <x:f>IF(AND(H198&gt;0,ISNUMBER(N198)),N198,0)</x:f>
        <x:v>0</x:v>
      </x:c>
      <x:c r="AA198" s="2" t="n">
        <x:f>IF(AND(H198&gt;0,N198="",NOT(ISNUMBER(Q198))),1,0)</x:f>
        <x:v>0</x:v>
      </x:c>
      <x:c r="AB198" s="2" t="n">
        <x:f>IF(AND(H198&gt;0,N198&lt;&gt;"",NOT(ISNUMBER(N198))),1,0)</x:f>
        <x:v>0</x:v>
      </x:c>
    </x:row>
    <x:row r="199" ht="48" customHeight="1">
      <x:c r="A199" s="2" t="str">
        <x:v>MAIN-169</x:v>
      </x:c>
      <x:c r="B199" s="2" t="str">
        <x:v>Main</x:v>
      </x:c>
      <x:c r="C199" s="2" t="str">
        <x:v>Delhi NCR</x:v>
      </x:c>
      <x:c r="D199" s="12" t="str">
        <x:v>Logix Cyber Park</x:v>
      </x:c>
      <x:c r="E199" s="12" t="str">
        <x:v>43 inch LED TV</x:v>
      </x:c>
      <x:c r="F199" s="2" t="n">
        <x:v>1</x:v>
      </x:c>
      <x:c r="G199" s="2" t="n">
        <x:v>15</x:v>
      </x:c>
      <x:c r="H199" s="2" t="n">
        <x:f>COUNTIFS('Inventory'!$N$7:$N$783,A199,'Inventory'!$A$7:$A$783,1)</x:f>
        <x:v>1</x:v>
      </x:c>
      <x:c r="I199" s="2" t="n">
        <x:f>SUMIFS('Inventory'!$G$7:$G$783,'Inventory'!$N$7:$N$783,A199,'Inventory'!$A$7:$A$783,1)</x:f>
        <x:v>15</x:v>
      </x:c>
      <x:c r="J199" s="12" t="str">
        <x:v>Campaign format rate</x:v>
      </x:c>
      <x:c r="K199" s="17"/>
      <x:c r="L199" s="17" t="n">
        <x:f>$E$5</x:f>
        <x:v>20000</x:v>
      </x:c>
      <x:c r="M199" s="17"/>
      <x:c r="N199" s="19"/>
      <x:c r="O199" s="17" t="n">
        <x:f>IF(ISNUMBER(L199),G199*L199,IF(ISNUMBER(M199),M199,""))</x:f>
        <x:v>300000</x:v>
      </x:c>
      <x:c r="P199" s="17" t="n">
        <x:f>IF(ISNUMBER(K199),K199,IF(ISNUMBER(O199),O199,""))</x:f>
        <x:v>300000</x:v>
      </x:c>
      <x:c r="Q199" s="17" t="n">
        <x:f>IF(H199=0,0,IF(ISNUMBER(N199),N199,IF(N199="",IF(H199=F199,P199,""),"")))</x:f>
        <x:v>300000</x:v>
      </x:c>
      <x:c r="R199" s="17" t="n">
        <x:f>IF(ISNUMBER(Q199),ROUND(Q199*$C$4,2),"")</x:f>
        <x:v>54000</x:v>
      </x:c>
      <x:c r="S199" s="17" t="n">
        <x:f>IF(ISNUMBER(Q199),Q199+R199,"")</x:f>
        <x:v>354000</x:v>
      </x:c>
      <x:c r="T199" s="2" t="str">
        <x:f>IF(H199=0,"Not selected",IF(ISNUMBER(N199),"Quote entered",IF(N199&lt;&gt;"","Enter numeric quote",IF(H199=F199,IF(ISNUMBER(P199),"Complete unit","Price required"),"Partial package: price required"))))</x:f>
        <x:v>Complete unit</x:v>
      </x:c>
      <x:c r="U199" s="2" t="str">
        <x:v>TEN-440DA864FC31; TEN-547E42BBB09E; TEN-59A3B078B07D; TEN-9ADCE18F8C92; TEN-A9AF929E65A2; TEN-B6EB7D8C755F; TEN-F9972B840FFF</x:v>
      </x:c>
      <x:c r="V199" s="2" t="str">
        <x:v>IT &amp; digital; Professional services; Engineering &amp; manufacturing; Healthcare &amp; life sciences; Unresolved</x:v>
      </x:c>
      <x:c r="W199" s="2" t="str">
        <x:v>Small-scale prospects; Medium-scale prospects; Large enterprise; Mixed business audience</x:v>
      </x:c>
      <x:c r="X199" s="17" t="n">
        <x:f>IF(AND(H199=F199,NOT(ISNUMBER(N199)),N199="",ISNUMBER(K199)),K199,0)</x:f>
        <x:v>0</x:v>
      </x:c>
      <x:c r="Y199" s="17" t="n">
        <x:f>IF(AND(H199=F199,NOT(ISNUMBER(N199)),N199="",K199="",ISNUMBER(O199)),O199,0)</x:f>
        <x:v>300000</x:v>
      </x:c>
      <x:c r="Z199" s="17" t="n">
        <x:f>IF(AND(H199&gt;0,ISNUMBER(N199)),N199,0)</x:f>
        <x:v>0</x:v>
      </x:c>
      <x:c r="AA199" s="2" t="n">
        <x:f>IF(AND(H199&gt;0,N199="",NOT(ISNUMBER(Q199))),1,0)</x:f>
        <x:v>0</x:v>
      </x:c>
      <x:c r="AB199" s="2" t="n">
        <x:f>IF(AND(H199&gt;0,N199&lt;&gt;"",NOT(ISNUMBER(N199))),1,0)</x:f>
        <x:v>0</x:v>
      </x:c>
    </x:row>
    <x:row r="200" ht="48" customHeight="1">
      <x:c r="A200" s="2" t="str">
        <x:v>MAIN-374</x:v>
      </x:c>
      <x:c r="B200" s="2" t="str">
        <x:v>Main</x:v>
      </x:c>
      <x:c r="C200" s="2" t="str">
        <x:v>Delhi NCR</x:v>
      </x:c>
      <x:c r="D200" s="12" t="str">
        <x:v>Logix Infotech Park</x:v>
      </x:c>
      <x:c r="E200" s="12" t="str">
        <x:v>55 inch LED TV</x:v>
      </x:c>
      <x:c r="F200" s="2" t="n">
        <x:v>1</x:v>
      </x:c>
      <x:c r="G200" s="2" t="n">
        <x:v>2</x:v>
      </x:c>
      <x:c r="H200" s="2" t="n">
        <x:f>COUNTIFS('Inventory'!$N$7:$N$783,A200,'Inventory'!$A$7:$A$783,1)</x:f>
        <x:v>1</x:v>
      </x:c>
      <x:c r="I200" s="2" t="n">
        <x:f>SUMIFS('Inventory'!$G$7:$G$783,'Inventory'!$N$7:$N$783,A200,'Inventory'!$A$7:$A$783,1)</x:f>
        <x:v>2</x:v>
      </x:c>
      <x:c r="J200" s="12" t="str">
        <x:v>Campaign format rate</x:v>
      </x:c>
      <x:c r="K200" s="17"/>
      <x:c r="L200" s="17" t="n">
        <x:f>$I$5</x:f>
        <x:v>40000</x:v>
      </x:c>
      <x:c r="M200" s="17"/>
      <x:c r="N200" s="19"/>
      <x:c r="O200" s="17" t="n">
        <x:f>IF(ISNUMBER(L200),G200*L200,IF(ISNUMBER(M200),M200,""))</x:f>
        <x:v>80000</x:v>
      </x:c>
      <x:c r="P200" s="17" t="n">
        <x:f>IF(ISNUMBER(K200),K200,IF(ISNUMBER(O200),O200,""))</x:f>
        <x:v>80000</x:v>
      </x:c>
      <x:c r="Q200" s="17" t="n">
        <x:f>IF(H200=0,0,IF(ISNUMBER(N200),N200,IF(N200="",IF(H200=F200,P200,""),"")))</x:f>
        <x:v>80000</x:v>
      </x:c>
      <x:c r="R200" s="17" t="n">
        <x:f>IF(ISNUMBER(Q200),ROUND(Q200*$C$4,2),"")</x:f>
        <x:v>14400</x:v>
      </x:c>
      <x:c r="S200" s="17" t="n">
        <x:f>IF(ISNUMBER(Q200),Q200+R200,"")</x:f>
        <x:v>94400</x:v>
      </x:c>
      <x:c r="T200" s="2" t="str">
        <x:f>IF(H200=0,"Not selected",IF(ISNUMBER(N200),"Quote entered",IF(N200&lt;&gt;"","Enter numeric quote",IF(H200=F200,IF(ISNUMBER(P200),"Complete unit","Price required"),"Partial package: price required"))))</x:f>
        <x:v>Complete unit</x:v>
      </x:c>
      <x:c r="U200" s="2" t="str">
        <x:v>TEN-09D0F443DA94; TEN-2D6265593158; TEN-321230932C5B; TEN-6400FD4DD74A; TEN-B116E9D247D3; TEN-D4B4760000F5</x:v>
      </x:c>
      <x:c r="V200" s="2" t="str">
        <x:v>IT &amp; digital; Finance &amp; insurance; Healthcare &amp; life sciences; Unresolved</x:v>
      </x:c>
      <x:c r="W200" s="2" t="str">
        <x:v>Small-scale prospects; Mixed business audience</x:v>
      </x:c>
      <x:c r="X200" s="17" t="n">
        <x:f>IF(AND(H200=F200,NOT(ISNUMBER(N200)),N200="",ISNUMBER(K200)),K200,0)</x:f>
        <x:v>0</x:v>
      </x:c>
      <x:c r="Y200" s="17" t="n">
        <x:f>IF(AND(H200=F200,NOT(ISNUMBER(N200)),N200="",K200="",ISNUMBER(O200)),O200,0)</x:f>
        <x:v>80000</x:v>
      </x:c>
      <x:c r="Z200" s="17" t="n">
        <x:f>IF(AND(H200&gt;0,ISNUMBER(N200)),N200,0)</x:f>
        <x:v>0</x:v>
      </x:c>
      <x:c r="AA200" s="2" t="n">
        <x:f>IF(AND(H200&gt;0,N200="",NOT(ISNUMBER(Q200))),1,0)</x:f>
        <x:v>0</x:v>
      </x:c>
      <x:c r="AB200" s="2" t="n">
        <x:f>IF(AND(H200&gt;0,N200&lt;&gt;"",NOT(ISNUMBER(N200))),1,0)</x:f>
        <x:v>0</x:v>
      </x:c>
    </x:row>
    <x:row r="201" ht="48" customHeight="1">
      <x:c r="A201" s="2" t="str">
        <x:v>MAIN-375</x:v>
      </x:c>
      <x:c r="B201" s="2" t="str">
        <x:v>Main</x:v>
      </x:c>
      <x:c r="C201" s="2" t="str">
        <x:v>Delhi NCR</x:v>
      </x:c>
      <x:c r="D201" s="12" t="str">
        <x:v>Logix Infotech Park</x:v>
      </x:c>
      <x:c r="E201" s="12" t="str">
        <x:v>32 inch LED TV</x:v>
      </x:c>
      <x:c r="F201" s="2" t="n">
        <x:v>1</x:v>
      </x:c>
      <x:c r="G201" s="2" t="n">
        <x:v>4</x:v>
      </x:c>
      <x:c r="H201" s="2" t="n">
        <x:f>COUNTIFS('Inventory'!$N$7:$N$783,A201,'Inventory'!$A$7:$A$783,1)</x:f>
        <x:v>1</x:v>
      </x:c>
      <x:c r="I201" s="2" t="n">
        <x:f>SUMIFS('Inventory'!$G$7:$G$783,'Inventory'!$N$7:$N$783,A201,'Inventory'!$A$7:$A$783,1)</x:f>
        <x:v>4</x:v>
      </x:c>
      <x:c r="J201" s="12" t="str">
        <x:v>Listed budget</x:v>
      </x:c>
      <x:c r="K201" s="17" t="n">
        <x:v>60000</x:v>
      </x:c>
      <x:c r="L201" s="17"/>
      <x:c r="M201" s="17"/>
      <x:c r="N201" s="19"/>
      <x:c r="O201" s="17" t="str">
        <x:f>IF(ISNUMBER(L201),G201*L201,IF(ISNUMBER(M201),M201,""))</x:f>
      </x:c>
      <x:c r="P201" s="17" t="n">
        <x:f>IF(ISNUMBER(K201),K201,IF(ISNUMBER(O201),O201,""))</x:f>
        <x:v>60000</x:v>
      </x:c>
      <x:c r="Q201" s="17" t="n">
        <x:f>IF(H201=0,0,IF(ISNUMBER(N201),N201,IF(N201="",IF(H201=F201,P201,""),"")))</x:f>
        <x:v>60000</x:v>
      </x:c>
      <x:c r="R201" s="17" t="n">
        <x:f>IF(ISNUMBER(Q201),ROUND(Q201*$C$4,2),"")</x:f>
        <x:v>10800</x:v>
      </x:c>
      <x:c r="S201" s="17" t="n">
        <x:f>IF(ISNUMBER(Q201),Q201+R201,"")</x:f>
        <x:v>70800</x:v>
      </x:c>
      <x:c r="T201" s="2" t="str">
        <x:f>IF(H201=0,"Not selected",IF(ISNUMBER(N201),"Quote entered",IF(N201&lt;&gt;"","Enter numeric quote",IF(H201=F201,IF(ISNUMBER(P201),"Complete unit","Price required"),"Partial package: price required"))))</x:f>
        <x:v>Complete unit</x:v>
      </x:c>
      <x:c r="U201" s="2" t="str">
        <x:v>TEN-09D0F443DA94; TEN-2D6265593158; TEN-321230932C5B; TEN-6400FD4DD74A; TEN-B116E9D247D3; TEN-D4B4760000F5</x:v>
      </x:c>
      <x:c r="V201" s="2" t="str">
        <x:v>IT &amp; digital; Finance &amp; insurance; Healthcare &amp; life sciences; Unresolved</x:v>
      </x:c>
      <x:c r="W201" s="2" t="str">
        <x:v>Small-scale prospects; Mixed business audience</x:v>
      </x:c>
      <x:c r="X201" s="17" t="n">
        <x:f>IF(AND(H201=F201,NOT(ISNUMBER(N201)),N201="",ISNUMBER(K201)),K201,0)</x:f>
        <x:v>60000</x:v>
      </x:c>
      <x:c r="Y201" s="17" t="n">
        <x:f>IF(AND(H201=F201,NOT(ISNUMBER(N201)),N201="",K201="",ISNUMBER(O201)),O201,0)</x:f>
        <x:v>0</x:v>
      </x:c>
      <x:c r="Z201" s="17" t="n">
        <x:f>IF(AND(H201&gt;0,ISNUMBER(N201)),N201,0)</x:f>
        <x:v>0</x:v>
      </x:c>
      <x:c r="AA201" s="2" t="n">
        <x:f>IF(AND(H201&gt;0,N201="",NOT(ISNUMBER(Q201))),1,0)</x:f>
        <x:v>0</x:v>
      </x:c>
      <x:c r="AB201" s="2" t="n">
        <x:f>IF(AND(H201&gt;0,N201&lt;&gt;"",NOT(ISNUMBER(N201))),1,0)</x:f>
        <x:v>0</x:v>
      </x:c>
    </x:row>
    <x:row r="202" ht="48" customHeight="1">
      <x:c r="A202" s="2" t="str">
        <x:v>MAIN-170</x:v>
      </x:c>
      <x:c r="B202" s="2" t="str">
        <x:v>Main</x:v>
      </x:c>
      <x:c r="C202" s="2" t="str">
        <x:v>Delhi NCR</x:v>
      </x:c>
      <x:c r="D202" s="12" t="str">
        <x:v>Logix Infotech Park - 2</x:v>
      </x:c>
      <x:c r="E202" s="12" t="str">
        <x:v>32 inch LED TV</x:v>
      </x:c>
      <x:c r="F202" s="2" t="n">
        <x:v>1</x:v>
      </x:c>
      <x:c r="G202" s="2" t="n">
        <x:v>4</x:v>
      </x:c>
      <x:c r="H202" s="2" t="n">
        <x:f>COUNTIFS('Inventory'!$N$7:$N$783,A202,'Inventory'!$A$7:$A$783,1)</x:f>
        <x:v>1</x:v>
      </x:c>
      <x:c r="I202" s="2" t="n">
        <x:f>SUMIFS('Inventory'!$G$7:$G$783,'Inventory'!$N$7:$N$783,A202,'Inventory'!$A$7:$A$783,1)</x:f>
        <x:v>4</x:v>
      </x:c>
      <x:c r="J202" s="12" t="str">
        <x:v>Listed budget</x:v>
      </x:c>
      <x:c r="K202" s="17" t="n">
        <x:v>60000</x:v>
      </x:c>
      <x:c r="L202" s="17"/>
      <x:c r="M202" s="17"/>
      <x:c r="N202" s="19"/>
      <x:c r="O202" s="17" t="str">
        <x:f>IF(ISNUMBER(L202),G202*L202,IF(ISNUMBER(M202),M202,""))</x:f>
      </x:c>
      <x:c r="P202" s="17" t="n">
        <x:f>IF(ISNUMBER(K202),K202,IF(ISNUMBER(O202),O202,""))</x:f>
        <x:v>60000</x:v>
      </x:c>
      <x:c r="Q202" s="17" t="n">
        <x:f>IF(H202=0,0,IF(ISNUMBER(N202),N202,IF(N202="",IF(H202=F202,P202,""),"")))</x:f>
        <x:v>60000</x:v>
      </x:c>
      <x:c r="R202" s="17" t="n">
        <x:f>IF(ISNUMBER(Q202),ROUND(Q202*$C$4,2),"")</x:f>
        <x:v>10800</x:v>
      </x:c>
      <x:c r="S202" s="17" t="n">
        <x:f>IF(ISNUMBER(Q202),Q202+R202,"")</x:f>
        <x:v>70800</x:v>
      </x:c>
      <x:c r="T202" s="2" t="str">
        <x:f>IF(H202=0,"Not selected",IF(ISNUMBER(N202),"Quote entered",IF(N202&lt;&gt;"","Enter numeric quote",IF(H202=F202,IF(ISNUMBER(P202),"Complete unit","Price required"),"Partial package: price required"))))</x:f>
        <x:v>Complete unit</x:v>
      </x:c>
      <x:c r="U202" s="2" t="str"/>
      <x:c r="V202" s="2" t="str">
        <x:v>Unclassified</x:v>
      </x:c>
      <x:c r="W202" s="2" t="str">
        <x:v>Mixed business audience</x:v>
      </x:c>
      <x:c r="X202" s="17" t="n">
        <x:f>IF(AND(H202=F202,NOT(ISNUMBER(N202)),N202="",ISNUMBER(K202)),K202,0)</x:f>
        <x:v>60000</x:v>
      </x:c>
      <x:c r="Y202" s="17" t="n">
        <x:f>IF(AND(H202=F202,NOT(ISNUMBER(N202)),N202="",K202="",ISNUMBER(O202)),O202,0)</x:f>
        <x:v>0</x:v>
      </x:c>
      <x:c r="Z202" s="17" t="n">
        <x:f>IF(AND(H202&gt;0,ISNUMBER(N202)),N202,0)</x:f>
        <x:v>0</x:v>
      </x:c>
      <x:c r="AA202" s="2" t="n">
        <x:f>IF(AND(H202&gt;0,N202="",NOT(ISNUMBER(Q202))),1,0)</x:f>
        <x:v>0</x:v>
      </x:c>
      <x:c r="AB202" s="2" t="n">
        <x:f>IF(AND(H202&gt;0,N202&lt;&gt;"",NOT(ISNUMBER(N202))),1,0)</x:f>
        <x:v>0</x:v>
      </x:c>
    </x:row>
    <x:row r="203" ht="48" customHeight="1">
      <x:c r="A203" s="2" t="str">
        <x:v>MAIN-197</x:v>
      </x:c>
      <x:c r="B203" s="2" t="str">
        <x:v>Main</x:v>
      </x:c>
      <x:c r="C203" s="2" t="str">
        <x:v>Delhi NCR</x:v>
      </x:c>
      <x:c r="D203" s="12" t="str">
        <x:v>Nucleus - One Qube</x:v>
      </x:c>
      <x:c r="E203" s="12" t="str">
        <x:v>55 inch LED TV</x:v>
      </x:c>
      <x:c r="F203" s="2" t="n">
        <x:v>1</x:v>
      </x:c>
      <x:c r="G203" s="2" t="n">
        <x:v>3</x:v>
      </x:c>
      <x:c r="H203" s="2" t="n">
        <x:f>COUNTIFS('Inventory'!$N$7:$N$783,A203,'Inventory'!$A$7:$A$783,1)</x:f>
        <x:v>1</x:v>
      </x:c>
      <x:c r="I203" s="2" t="n">
        <x:f>SUMIFS('Inventory'!$G$7:$G$783,'Inventory'!$N$7:$N$783,A203,'Inventory'!$A$7:$A$783,1)</x:f>
        <x:v>3</x:v>
      </x:c>
      <x:c r="J203" s="12" t="str">
        <x:v>Campaign format rate</x:v>
      </x:c>
      <x:c r="K203" s="17"/>
      <x:c r="L203" s="17" t="n">
        <x:f>$I$5</x:f>
        <x:v>40000</x:v>
      </x:c>
      <x:c r="M203" s="17"/>
      <x:c r="N203" s="19"/>
      <x:c r="O203" s="17" t="n">
        <x:f>IF(ISNUMBER(L203),G203*L203,IF(ISNUMBER(M203),M203,""))</x:f>
        <x:v>120000</x:v>
      </x:c>
      <x:c r="P203" s="17" t="n">
        <x:f>IF(ISNUMBER(K203),K203,IF(ISNUMBER(O203),O203,""))</x:f>
        <x:v>120000</x:v>
      </x:c>
      <x:c r="Q203" s="17" t="n">
        <x:f>IF(H203=0,0,IF(ISNUMBER(N203),N203,IF(N203="",IF(H203=F203,P203,""),"")))</x:f>
        <x:v>120000</x:v>
      </x:c>
      <x:c r="R203" s="17" t="n">
        <x:f>IF(ISNUMBER(Q203),ROUND(Q203*$C$4,2),"")</x:f>
        <x:v>21600</x:v>
      </x:c>
      <x:c r="S203" s="17" t="n">
        <x:f>IF(ISNUMBER(Q203),Q203+R203,"")</x:f>
        <x:v>141600</x:v>
      </x:c>
      <x:c r="T203" s="2" t="str">
        <x:f>IF(H203=0,"Not selected",IF(ISNUMBER(N203),"Quote entered",IF(N203&lt;&gt;"","Enter numeric quote",IF(H203=F203,IF(ISNUMBER(P203),"Complete unit","Price required"),"Partial package: price required"))))</x:f>
        <x:v>Complete unit</x:v>
      </x:c>
      <x:c r="U203" s="2" t="str">
        <x:v>TEN-1A250C4D13AC</x:v>
      </x:c>
      <x:c r="V203" s="2" t="str">
        <x:v>Education</x:v>
      </x:c>
      <x:c r="W203" s="2" t="str">
        <x:v>Mixed business audience</x:v>
      </x:c>
      <x:c r="X203" s="17" t="n">
        <x:f>IF(AND(H203=F203,NOT(ISNUMBER(N203)),N203="",ISNUMBER(K203)),K203,0)</x:f>
        <x:v>0</x:v>
      </x:c>
      <x:c r="Y203" s="17" t="n">
        <x:f>IF(AND(H203=F203,NOT(ISNUMBER(N203)),N203="",K203="",ISNUMBER(O203)),O203,0)</x:f>
        <x:v>120000</x:v>
      </x:c>
      <x:c r="Z203" s="17" t="n">
        <x:f>IF(AND(H203&gt;0,ISNUMBER(N203)),N203,0)</x:f>
        <x:v>0</x:v>
      </x:c>
      <x:c r="AA203" s="2" t="n">
        <x:f>IF(AND(H203&gt;0,N203="",NOT(ISNUMBER(Q203))),1,0)</x:f>
        <x:v>0</x:v>
      </x:c>
      <x:c r="AB203" s="2" t="n">
        <x:f>IF(AND(H203&gt;0,N203&lt;&gt;"",NOT(ISNUMBER(N203))),1,0)</x:f>
        <x:v>0</x:v>
      </x:c>
    </x:row>
    <x:row r="204" ht="48" customHeight="1">
      <x:c r="A204" s="2" t="str">
        <x:v>MAIN-376</x:v>
      </x:c>
      <x:c r="B204" s="2" t="str">
        <x:v>Main</x:v>
      </x:c>
      <x:c r="C204" s="2" t="str">
        <x:v>Delhi NCR</x:v>
      </x:c>
      <x:c r="D204" s="12" t="str">
        <x:v>Qbicals Coworking - Sector 63</x:v>
      </x:c>
      <x:c r="E204" s="12" t="str">
        <x:v>32 inch LED TV</x:v>
      </x:c>
      <x:c r="F204" s="2" t="n">
        <x:v>1</x:v>
      </x:c>
      <x:c r="G204" s="2" t="n">
        <x:v>2</x:v>
      </x:c>
      <x:c r="H204" s="2" t="n">
        <x:f>COUNTIFS('Inventory'!$N$7:$N$783,A204,'Inventory'!$A$7:$A$783,1)</x:f>
        <x:v>1</x:v>
      </x:c>
      <x:c r="I204" s="2" t="n">
        <x:f>SUMIFS('Inventory'!$G$7:$G$783,'Inventory'!$N$7:$N$783,A204,'Inventory'!$A$7:$A$783,1)</x:f>
        <x:v>2</x:v>
      </x:c>
      <x:c r="J204" s="12" t="str">
        <x:v>Listed budget</x:v>
      </x:c>
      <x:c r="K204" s="17" t="n">
        <x:v>40000</x:v>
      </x:c>
      <x:c r="L204" s="17"/>
      <x:c r="M204" s="17"/>
      <x:c r="N204" s="19"/>
      <x:c r="O204" s="17" t="str">
        <x:f>IF(ISNUMBER(L204),G204*L204,IF(ISNUMBER(M204),M204,""))</x:f>
      </x:c>
      <x:c r="P204" s="17" t="n">
        <x:f>IF(ISNUMBER(K204),K204,IF(ISNUMBER(O204),O204,""))</x:f>
        <x:v>40000</x:v>
      </x:c>
      <x:c r="Q204" s="17" t="n">
        <x:f>IF(H204=0,0,IF(ISNUMBER(N204),N204,IF(N204="",IF(H204=F204,P204,""),"")))</x:f>
        <x:v>40000</x:v>
      </x:c>
      <x:c r="R204" s="17" t="n">
        <x:f>IF(ISNUMBER(Q204),ROUND(Q204*$C$4,2),"")</x:f>
        <x:v>7200</x:v>
      </x:c>
      <x:c r="S204" s="17" t="n">
        <x:f>IF(ISNUMBER(Q204),Q204+R204,"")</x:f>
        <x:v>47200</x:v>
      </x:c>
      <x:c r="T204" s="2" t="str">
        <x:f>IF(H204=0,"Not selected",IF(ISNUMBER(N204),"Quote entered",IF(N204&lt;&gt;"","Enter numeric quote",IF(H204=F204,IF(ISNUMBER(P204),"Complete unit","Price required"),"Partial package: price required"))))</x:f>
        <x:v>Complete unit</x:v>
      </x:c>
      <x:c r="U204" s="2" t="str">
        <x:v>TEN-845294EF5247</x:v>
      </x:c>
      <x:c r="V204" s="2" t="str">
        <x:v>Trade, consumer &amp; logistics</x:v>
      </x:c>
      <x:c r="W204" s="2" t="str">
        <x:v>Mixed business audience</x:v>
      </x:c>
      <x:c r="X204" s="17" t="n">
        <x:f>IF(AND(H204=F204,NOT(ISNUMBER(N204)),N204="",ISNUMBER(K204)),K204,0)</x:f>
        <x:v>40000</x:v>
      </x:c>
      <x:c r="Y204" s="17" t="n">
        <x:f>IF(AND(H204=F204,NOT(ISNUMBER(N204)),N204="",K204="",ISNUMBER(O204)),O204,0)</x:f>
        <x:v>0</x:v>
      </x:c>
      <x:c r="Z204" s="17" t="n">
        <x:f>IF(AND(H204&gt;0,ISNUMBER(N204)),N204,0)</x:f>
        <x:v>0</x:v>
      </x:c>
      <x:c r="AA204" s="2" t="n">
        <x:f>IF(AND(H204&gt;0,N204="",NOT(ISNUMBER(Q204))),1,0)</x:f>
        <x:v>0</x:v>
      </x:c>
      <x:c r="AB204" s="2" t="n">
        <x:f>IF(AND(H204&gt;0,N204&lt;&gt;"",NOT(ISNUMBER(N204))),1,0)</x:f>
        <x:v>0</x:v>
      </x:c>
    </x:row>
    <x:row r="205" ht="48" customHeight="1">
      <x:c r="A205" s="2" t="str">
        <x:v>MAIN-198</x:v>
      </x:c>
      <x:c r="B205" s="2" t="str">
        <x:v>Main</x:v>
      </x:c>
      <x:c r="C205" s="2" t="str">
        <x:v>Delhi NCR</x:v>
      </x:c>
      <x:c r="D205" s="12" t="str">
        <x:v>Satya The Element One</x:v>
      </x:c>
      <x:c r="E205" s="12" t="str">
        <x:v>24 inch LED TV</x:v>
      </x:c>
      <x:c r="F205" s="2" t="n">
        <x:v>1</x:v>
      </x:c>
      <x:c r="G205" s="2" t="n">
        <x:v>4</x:v>
      </x:c>
      <x:c r="H205" s="2" t="n">
        <x:f>COUNTIFS('Inventory'!$N$7:$N$783,A205,'Inventory'!$A$7:$A$783,1)</x:f>
        <x:v>1</x:v>
      </x:c>
      <x:c r="I205" s="2" t="n">
        <x:f>SUMIFS('Inventory'!$G$7:$G$783,'Inventory'!$N$7:$N$783,A205,'Inventory'!$A$7:$A$783,1)</x:f>
        <x:v>4</x:v>
      </x:c>
      <x:c r="J205" s="12" t="str">
        <x:v>Listed budget</x:v>
      </x:c>
      <x:c r="K205" s="17" t="n">
        <x:v>60000</x:v>
      </x:c>
      <x:c r="L205" s="17"/>
      <x:c r="M205" s="17"/>
      <x:c r="N205" s="19"/>
      <x:c r="O205" s="17" t="str">
        <x:f>IF(ISNUMBER(L205),G205*L205,IF(ISNUMBER(M205),M205,""))</x:f>
      </x:c>
      <x:c r="P205" s="17" t="n">
        <x:f>IF(ISNUMBER(K205),K205,IF(ISNUMBER(O205),O205,""))</x:f>
        <x:v>60000</x:v>
      </x:c>
      <x:c r="Q205" s="17" t="n">
        <x:f>IF(H205=0,0,IF(ISNUMBER(N205),N205,IF(N205="",IF(H205=F205,P205,""),"")))</x:f>
        <x:v>60000</x:v>
      </x:c>
      <x:c r="R205" s="17" t="n">
        <x:f>IF(ISNUMBER(Q205),ROUND(Q205*$C$4,2),"")</x:f>
        <x:v>10800</x:v>
      </x:c>
      <x:c r="S205" s="17" t="n">
        <x:f>IF(ISNUMBER(Q205),Q205+R205,"")</x:f>
        <x:v>70800</x:v>
      </x:c>
      <x:c r="T205" s="2" t="str">
        <x:f>IF(H205=0,"Not selected",IF(ISNUMBER(N205),"Quote entered",IF(N205&lt;&gt;"","Enter numeric quote",IF(H205=F205,IF(ISNUMBER(P205),"Complete unit","Price required"),"Partial package: price required"))))</x:f>
        <x:v>Complete unit</x:v>
      </x:c>
      <x:c r="U205" s="2" t="str">
        <x:v>TEN-0C640AA2B409; TEN-192B0F3559B4; TEN-2360B838D6B9; TEN-C45C1EA08B3F</x:v>
      </x:c>
      <x:c r="V205" s="2" t="str">
        <x:v>Healthcare &amp; life sciences; Trade, consumer &amp; logistics</x:v>
      </x:c>
      <x:c r="W205" s="2" t="str">
        <x:v>Small-scale prospects</x:v>
      </x:c>
      <x:c r="X205" s="17" t="n">
        <x:f>IF(AND(H205=F205,NOT(ISNUMBER(N205)),N205="",ISNUMBER(K205)),K205,0)</x:f>
        <x:v>60000</x:v>
      </x:c>
      <x:c r="Y205" s="17" t="n">
        <x:f>IF(AND(H205=F205,NOT(ISNUMBER(N205)),N205="",K205="",ISNUMBER(O205)),O205,0)</x:f>
        <x:v>0</x:v>
      </x:c>
      <x:c r="Z205" s="17" t="n">
        <x:f>IF(AND(H205&gt;0,ISNUMBER(N205)),N205,0)</x:f>
        <x:v>0</x:v>
      </x:c>
      <x:c r="AA205" s="2" t="n">
        <x:f>IF(AND(H205&gt;0,N205="",NOT(ISNUMBER(Q205))),1,0)</x:f>
        <x:v>0</x:v>
      </x:c>
      <x:c r="AB205" s="2" t="n">
        <x:f>IF(AND(H205&gt;0,N205&lt;&gt;"",NOT(ISNUMBER(N205))),1,0)</x:f>
        <x:v>0</x:v>
      </x:c>
    </x:row>
    <x:row r="206" ht="48" customHeight="1">
      <x:c r="A206" s="2" t="str">
        <x:v>MAIN-199</x:v>
      </x:c>
      <x:c r="B206" s="2" t="str">
        <x:v>Main</x:v>
      </x:c>
      <x:c r="C206" s="2" t="str">
        <x:v>Delhi NCR</x:v>
      </x:c>
      <x:c r="D206" s="12" t="str">
        <x:v>Satya The Hive</x:v>
      </x:c>
      <x:c r="E206" s="12" t="str">
        <x:v>55 inch LED TV</x:v>
      </x:c>
      <x:c r="F206" s="2" t="n">
        <x:v>1</x:v>
      </x:c>
      <x:c r="G206" s="2" t="n">
        <x:v>1</x:v>
      </x:c>
      <x:c r="H206" s="2" t="n">
        <x:f>COUNTIFS('Inventory'!$N$7:$N$783,A206,'Inventory'!$A$7:$A$783,1)</x:f>
        <x:v>1</x:v>
      </x:c>
      <x:c r="I206" s="2" t="n">
        <x:f>SUMIFS('Inventory'!$G$7:$G$783,'Inventory'!$N$7:$N$783,A206,'Inventory'!$A$7:$A$783,1)</x:f>
        <x:v>1</x:v>
      </x:c>
      <x:c r="J206" s="12" t="str">
        <x:v>Campaign format rate</x:v>
      </x:c>
      <x:c r="K206" s="17"/>
      <x:c r="L206" s="17" t="n">
        <x:f>$I$5</x:f>
        <x:v>40000</x:v>
      </x:c>
      <x:c r="M206" s="17"/>
      <x:c r="N206" s="19"/>
      <x:c r="O206" s="17" t="n">
        <x:f>IF(ISNUMBER(L206),G206*L206,IF(ISNUMBER(M206),M206,""))</x:f>
        <x:v>40000</x:v>
      </x:c>
      <x:c r="P206" s="17" t="n">
        <x:f>IF(ISNUMBER(K206),K206,IF(ISNUMBER(O206),O206,""))</x:f>
        <x:v>40000</x:v>
      </x:c>
      <x:c r="Q206" s="17" t="n">
        <x:f>IF(H206=0,0,IF(ISNUMBER(N206),N206,IF(N206="",IF(H206=F206,P206,""),"")))</x:f>
        <x:v>40000</x:v>
      </x:c>
      <x:c r="R206" s="17" t="n">
        <x:f>IF(ISNUMBER(Q206),ROUND(Q206*$C$4,2),"")</x:f>
        <x:v>7200</x:v>
      </x:c>
      <x:c r="S206" s="17" t="n">
        <x:f>IF(ISNUMBER(Q206),Q206+R206,"")</x:f>
        <x:v>47200</x:v>
      </x:c>
      <x:c r="T206" s="2" t="str">
        <x:f>IF(H206=0,"Not selected",IF(ISNUMBER(N206),"Quote entered",IF(N206&lt;&gt;"","Enter numeric quote",IF(H206=F206,IF(ISNUMBER(P206),"Complete unit","Price required"),"Partial package: price required"))))</x:f>
        <x:v>Complete unit</x:v>
      </x:c>
      <x:c r="U206" s="2" t="str">
        <x:v>TEN-79585655FA86; TEN-830632AB0595; TEN-D7BFD09F399F; TEN-F594EFF6BD97</x:v>
      </x:c>
      <x:c r="V206" s="2" t="str">
        <x:v>IT &amp; digital; Healthcare &amp; life sciences; Trade, consumer &amp; logistics; Unresolved</x:v>
      </x:c>
      <x:c r="W206" s="2" t="str">
        <x:v>Small-scale prospects; Medium-scale prospects; Mixed business audience</x:v>
      </x:c>
      <x:c r="X206" s="17" t="n">
        <x:f>IF(AND(H206=F206,NOT(ISNUMBER(N206)),N206="",ISNUMBER(K206)),K206,0)</x:f>
        <x:v>0</x:v>
      </x:c>
      <x:c r="Y206" s="17" t="n">
        <x:f>IF(AND(H206=F206,NOT(ISNUMBER(N206)),N206="",K206="",ISNUMBER(O206)),O206,0)</x:f>
        <x:v>40000</x:v>
      </x:c>
      <x:c r="Z206" s="17" t="n">
        <x:f>IF(AND(H206&gt;0,ISNUMBER(N206)),N206,0)</x:f>
        <x:v>0</x:v>
      </x:c>
      <x:c r="AA206" s="2" t="n">
        <x:f>IF(AND(H206&gt;0,N206="",NOT(ISNUMBER(Q206))),1,0)</x:f>
        <x:v>0</x:v>
      </x:c>
      <x:c r="AB206" s="2" t="n">
        <x:f>IF(AND(H206&gt;0,N206&lt;&gt;"",NOT(ISNUMBER(N206))),1,0)</x:f>
        <x:v>0</x:v>
      </x:c>
    </x:row>
    <x:row r="207" ht="48" customHeight="1">
      <x:c r="A207" s="2" t="str">
        <x:v>MAIN-200</x:v>
      </x:c>
      <x:c r="B207" s="2" t="str">
        <x:v>Main</x:v>
      </x:c>
      <x:c r="C207" s="2" t="str">
        <x:v>Delhi NCR</x:v>
      </x:c>
      <x:c r="D207" s="12" t="str">
        <x:v>Satya The Hive {IE}</x:v>
      </x:c>
      <x:c r="E207" s="12" t="str">
        <x:v>24 inch LED TV</x:v>
      </x:c>
      <x:c r="F207" s="2" t="n">
        <x:v>1</x:v>
      </x:c>
      <x:c r="G207" s="2" t="n">
        <x:v>7</x:v>
      </x:c>
      <x:c r="H207" s="2" t="n">
        <x:f>COUNTIFS('Inventory'!$N$7:$N$783,A207,'Inventory'!$A$7:$A$783,1)</x:f>
        <x:v>1</x:v>
      </x:c>
      <x:c r="I207" s="2" t="n">
        <x:f>SUMIFS('Inventory'!$G$7:$G$783,'Inventory'!$N$7:$N$783,A207,'Inventory'!$A$7:$A$783,1)</x:f>
        <x:v>7</x:v>
      </x:c>
      <x:c r="J207" s="12" t="str">
        <x:v>Listed budget</x:v>
      </x:c>
      <x:c r="K207" s="17" t="n">
        <x:v>105000</x:v>
      </x:c>
      <x:c r="L207" s="17"/>
      <x:c r="M207" s="17"/>
      <x:c r="N207" s="19"/>
      <x:c r="O207" s="17" t="str">
        <x:f>IF(ISNUMBER(L207),G207*L207,IF(ISNUMBER(M207),M207,""))</x:f>
      </x:c>
      <x:c r="P207" s="17" t="n">
        <x:f>IF(ISNUMBER(K207),K207,IF(ISNUMBER(O207),O207,""))</x:f>
        <x:v>105000</x:v>
      </x:c>
      <x:c r="Q207" s="17" t="n">
        <x:f>IF(H207=0,0,IF(ISNUMBER(N207),N207,IF(N207="",IF(H207=F207,P207,""),"")))</x:f>
        <x:v>105000</x:v>
      </x:c>
      <x:c r="R207" s="17" t="n">
        <x:f>IF(ISNUMBER(Q207),ROUND(Q207*$C$4,2),"")</x:f>
        <x:v>18900</x:v>
      </x:c>
      <x:c r="S207" s="17" t="n">
        <x:f>IF(ISNUMBER(Q207),Q207+R207,"")</x:f>
        <x:v>123900</x:v>
      </x:c>
      <x:c r="T207" s="2" t="str">
        <x:f>IF(H207=0,"Not selected",IF(ISNUMBER(N207),"Quote entered",IF(N207&lt;&gt;"","Enter numeric quote",IF(H207=F207,IF(ISNUMBER(P207),"Complete unit","Price required"),"Partial package: price required"))))</x:f>
        <x:v>Complete unit</x:v>
      </x:c>
      <x:c r="U207" s="2" t="str">
        <x:v>TEN-40D61050D2A8; TEN-4CEEF779B054; TEN-4EF55CFDD5DE; TEN-79585655FA86; TEN-815BBEF4584A; TEN-8282A9D2DF02; TEN-830632AB0595; TEN-D7BFD09F399F</x:v>
      </x:c>
      <x:c r="V207" s="2" t="str">
        <x:v>IT &amp; digital; Professional services; Engineering &amp; manufacturing; Trade, consumer &amp; logistics; Unresolved</x:v>
      </x:c>
      <x:c r="W207" s="2" t="str">
        <x:v>Small-scale prospects; Medium-scale prospects; Mixed business audience</x:v>
      </x:c>
      <x:c r="X207" s="17" t="n">
        <x:f>IF(AND(H207=F207,NOT(ISNUMBER(N207)),N207="",ISNUMBER(K207)),K207,0)</x:f>
        <x:v>105000</x:v>
      </x:c>
      <x:c r="Y207" s="17" t="n">
        <x:f>IF(AND(H207=F207,NOT(ISNUMBER(N207)),N207="",K207="",ISNUMBER(O207)),O207,0)</x:f>
        <x:v>0</x:v>
      </x:c>
      <x:c r="Z207" s="17" t="n">
        <x:f>IF(AND(H207&gt;0,ISNUMBER(N207)),N207,0)</x:f>
        <x:v>0</x:v>
      </x:c>
      <x:c r="AA207" s="2" t="n">
        <x:f>IF(AND(H207&gt;0,N207="",NOT(ISNUMBER(Q207))),1,0)</x:f>
        <x:v>0</x:v>
      </x:c>
      <x:c r="AB207" s="2" t="n">
        <x:f>IF(AND(H207&gt;0,N207&lt;&gt;"",NOT(ISNUMBER(N207))),1,0)</x:f>
        <x:v>0</x:v>
      </x:c>
    </x:row>
    <x:row r="208" ht="48" customHeight="1">
      <x:c r="A208" s="2" t="str">
        <x:v>MAIN-201</x:v>
      </x:c>
      <x:c r="B208" s="2" t="str">
        <x:v>Main</x:v>
      </x:c>
      <x:c r="C208" s="2" t="str">
        <x:v>Delhi NCR</x:v>
      </x:c>
      <x:c r="D208" s="12" t="str">
        <x:v>Unitech - Business Park</x:v>
      </x:c>
      <x:c r="E208" s="12" t="str">
        <x:v>55 inch LED TV</x:v>
      </x:c>
      <x:c r="F208" s="2" t="n">
        <x:v>1</x:v>
      </x:c>
      <x:c r="G208" s="2" t="n">
        <x:v>2</x:v>
      </x:c>
      <x:c r="H208" s="2" t="n">
        <x:f>COUNTIFS('Inventory'!$N$7:$N$783,A208,'Inventory'!$A$7:$A$783,1)</x:f>
        <x:v>1</x:v>
      </x:c>
      <x:c r="I208" s="2" t="n">
        <x:f>SUMIFS('Inventory'!$G$7:$G$783,'Inventory'!$N$7:$N$783,A208,'Inventory'!$A$7:$A$783,1)</x:f>
        <x:v>2</x:v>
      </x:c>
      <x:c r="J208" s="12" t="str">
        <x:v>Campaign format rate</x:v>
      </x:c>
      <x:c r="K208" s="17"/>
      <x:c r="L208" s="17" t="n">
        <x:f>$I$5</x:f>
        <x:v>40000</x:v>
      </x:c>
      <x:c r="M208" s="17"/>
      <x:c r="N208" s="19"/>
      <x:c r="O208" s="17" t="n">
        <x:f>IF(ISNUMBER(L208),G208*L208,IF(ISNUMBER(M208),M208,""))</x:f>
        <x:v>80000</x:v>
      </x:c>
      <x:c r="P208" s="17" t="n">
        <x:f>IF(ISNUMBER(K208),K208,IF(ISNUMBER(O208),O208,""))</x:f>
        <x:v>80000</x:v>
      </x:c>
      <x:c r="Q208" s="17" t="n">
        <x:f>IF(H208=0,0,IF(ISNUMBER(N208),N208,IF(N208="",IF(H208=F208,P208,""),"")))</x:f>
        <x:v>80000</x:v>
      </x:c>
      <x:c r="R208" s="17" t="n">
        <x:f>IF(ISNUMBER(Q208),ROUND(Q208*$C$4,2),"")</x:f>
        <x:v>14400</x:v>
      </x:c>
      <x:c r="S208" s="17" t="n">
        <x:f>IF(ISNUMBER(Q208),Q208+R208,"")</x:f>
        <x:v>94400</x:v>
      </x:c>
      <x:c r="T208" s="2" t="str">
        <x:f>IF(H208=0,"Not selected",IF(ISNUMBER(N208),"Quote entered",IF(N208&lt;&gt;"","Enter numeric quote",IF(H208=F208,IF(ISNUMBER(P208),"Complete unit","Price required"),"Partial package: price required"))))</x:f>
        <x:v>Complete unit</x:v>
      </x:c>
      <x:c r="U208" s="2" t="str">
        <x:v>TEN-02C89D9D3AB3; TEN-30679AB2F724; TEN-38827CAF6040; TEN-8BB187FB202E; TEN-8BB4D44E4590; TEN-B290CA83CB50; TEN-C42EAC9E3B7D; TEN-EDB7D88FB7D1; TEN-F354DF1E461B</x:v>
      </x:c>
      <x:c r="V208" s="2" t="str">
        <x:v>Professional services; Engineering &amp; manufacturing; Trade, consumer &amp; logistics; Unresolved</x:v>
      </x:c>
      <x:c r="W208" s="2" t="str">
        <x:v>Small-scale prospects; Large enterprise; Mixed business audience</x:v>
      </x:c>
      <x:c r="X208" s="17" t="n">
        <x:f>IF(AND(H208=F208,NOT(ISNUMBER(N208)),N208="",ISNUMBER(K208)),K208,0)</x:f>
        <x:v>0</x:v>
      </x:c>
      <x:c r="Y208" s="17" t="n">
        <x:f>IF(AND(H208=F208,NOT(ISNUMBER(N208)),N208="",K208="",ISNUMBER(O208)),O208,0)</x:f>
        <x:v>80000</x:v>
      </x:c>
      <x:c r="Z208" s="17" t="n">
        <x:f>IF(AND(H208&gt;0,ISNUMBER(N208)),N208,0)</x:f>
        <x:v>0</x:v>
      </x:c>
      <x:c r="AA208" s="2" t="n">
        <x:f>IF(AND(H208&gt;0,N208="",NOT(ISNUMBER(Q208))),1,0)</x:f>
        <x:v>0</x:v>
      </x:c>
      <x:c r="AB208" s="2" t="n">
        <x:f>IF(AND(H208&gt;0,N208&lt;&gt;"",NOT(ISNUMBER(N208))),1,0)</x:f>
        <x:v>0</x:v>
      </x:c>
    </x:row>
    <x:row r="209" ht="48" customHeight="1">
      <x:c r="A209" s="2" t="str">
        <x:v>MAIN-202</x:v>
      </x:c>
      <x:c r="B209" s="2" t="str">
        <x:v>Main</x:v>
      </x:c>
      <x:c r="C209" s="2" t="str">
        <x:v>Delhi NCR</x:v>
      </x:c>
      <x:c r="D209" s="12" t="str">
        <x:v>Unitech - Business Zone</x:v>
      </x:c>
      <x:c r="E209" s="12" t="str">
        <x:v>55 inch LED TV</x:v>
      </x:c>
      <x:c r="F209" s="2" t="n">
        <x:v>1</x:v>
      </x:c>
      <x:c r="G209" s="2" t="n">
        <x:v>4</x:v>
      </x:c>
      <x:c r="H209" s="2" t="n">
        <x:f>COUNTIFS('Inventory'!$N$7:$N$783,A209,'Inventory'!$A$7:$A$783,1)</x:f>
        <x:v>1</x:v>
      </x:c>
      <x:c r="I209" s="2" t="n">
        <x:f>SUMIFS('Inventory'!$G$7:$G$783,'Inventory'!$N$7:$N$783,A209,'Inventory'!$A$7:$A$783,1)</x:f>
        <x:v>4</x:v>
      </x:c>
      <x:c r="J209" s="12" t="str">
        <x:v>Campaign format rate</x:v>
      </x:c>
      <x:c r="K209" s="17"/>
      <x:c r="L209" s="17" t="n">
        <x:f>$I$5</x:f>
        <x:v>40000</x:v>
      </x:c>
      <x:c r="M209" s="17"/>
      <x:c r="N209" s="19"/>
      <x:c r="O209" s="17" t="n">
        <x:f>IF(ISNUMBER(L209),G209*L209,IF(ISNUMBER(M209),M209,""))</x:f>
        <x:v>160000</x:v>
      </x:c>
      <x:c r="P209" s="17" t="n">
        <x:f>IF(ISNUMBER(K209),K209,IF(ISNUMBER(O209),O209,""))</x:f>
        <x:v>160000</x:v>
      </x:c>
      <x:c r="Q209" s="17" t="n">
        <x:f>IF(H209=0,0,IF(ISNUMBER(N209),N209,IF(N209="",IF(H209=F209,P209,""),"")))</x:f>
        <x:v>160000</x:v>
      </x:c>
      <x:c r="R209" s="17" t="n">
        <x:f>IF(ISNUMBER(Q209),ROUND(Q209*$C$4,2),"")</x:f>
        <x:v>28800</x:v>
      </x:c>
      <x:c r="S209" s="17" t="n">
        <x:f>IF(ISNUMBER(Q209),Q209+R209,"")</x:f>
        <x:v>188800</x:v>
      </x:c>
      <x:c r="T209" s="2" t="str">
        <x:f>IF(H209=0,"Not selected",IF(ISNUMBER(N209),"Quote entered",IF(N209&lt;&gt;"","Enter numeric quote",IF(H209=F209,IF(ISNUMBER(P209),"Complete unit","Price required"),"Partial package: price required"))))</x:f>
        <x:v>Complete unit</x:v>
      </x:c>
      <x:c r="U209" s="2" t="str">
        <x:v>TEN-52BE44FF1D72; TEN-545B2057211C; TEN-55A25B803D5B; TEN-5FCAB9A3B233; TEN-6450FFFEB53D; TEN-64F651426DF4; TEN-9AAE0E9061B2; TEN-A226C8D1E09A; TEN-BA3AB4FE5F45; TEN-E3B62F0935E9; TEN-F4594632ACFC</x:v>
      </x:c>
      <x:c r="V209" s="2" t="str">
        <x:v>Professional services; Finance &amp; insurance; Engineering &amp; manufacturing; Trade, consumer &amp; logistics; Workspace &amp; property operations; Unresolved</x:v>
      </x:c>
      <x:c r="W209" s="2" t="str">
        <x:v>Small-scale prospects; Medium-scale prospects; Mixed business audience</x:v>
      </x:c>
      <x:c r="X209" s="17" t="n">
        <x:f>IF(AND(H209=F209,NOT(ISNUMBER(N209)),N209="",ISNUMBER(K209)),K209,0)</x:f>
        <x:v>0</x:v>
      </x:c>
      <x:c r="Y209" s="17" t="n">
        <x:f>IF(AND(H209=F209,NOT(ISNUMBER(N209)),N209="",K209="",ISNUMBER(O209)),O209,0)</x:f>
        <x:v>160000</x:v>
      </x:c>
      <x:c r="Z209" s="17" t="n">
        <x:f>IF(AND(H209&gt;0,ISNUMBER(N209)),N209,0)</x:f>
        <x:v>0</x:v>
      </x:c>
      <x:c r="AA209" s="2" t="n">
        <x:f>IF(AND(H209&gt;0,N209="",NOT(ISNUMBER(Q209))),1,0)</x:f>
        <x:v>0</x:v>
      </x:c>
      <x:c r="AB209" s="2" t="n">
        <x:f>IF(AND(H209&gt;0,N209&lt;&gt;"",NOT(ISNUMBER(N209))),1,0)</x:f>
        <x:v>0</x:v>
      </x:c>
    </x:row>
    <x:row r="210" ht="48" customHeight="1">
      <x:c r="A210" s="2" t="str">
        <x:v>MAIN-203</x:v>
      </x:c>
      <x:c r="B210" s="2" t="str">
        <x:v>Main</x:v>
      </x:c>
      <x:c r="C210" s="2" t="str">
        <x:v>Delhi NCR</x:v>
      </x:c>
      <x:c r="D210" s="12" t="str">
        <x:v>Unitech - Commercial Tower 2</x:v>
      </x:c>
      <x:c r="E210" s="12" t="str">
        <x:v>55 inch LED TV</x:v>
      </x:c>
      <x:c r="F210" s="2" t="n">
        <x:v>1</x:v>
      </x:c>
      <x:c r="G210" s="2" t="n">
        <x:v>1</x:v>
      </x:c>
      <x:c r="H210" s="2" t="n">
        <x:f>COUNTIFS('Inventory'!$N$7:$N$783,A210,'Inventory'!$A$7:$A$783,1)</x:f>
        <x:v>1</x:v>
      </x:c>
      <x:c r="I210" s="2" t="n">
        <x:f>SUMIFS('Inventory'!$G$7:$G$783,'Inventory'!$N$7:$N$783,A210,'Inventory'!$A$7:$A$783,1)</x:f>
        <x:v>1</x:v>
      </x:c>
      <x:c r="J210" s="12" t="str">
        <x:v>Campaign format rate</x:v>
      </x:c>
      <x:c r="K210" s="17"/>
      <x:c r="L210" s="17" t="n">
        <x:f>$I$5</x:f>
        <x:v>40000</x:v>
      </x:c>
      <x:c r="M210" s="17"/>
      <x:c r="N210" s="19"/>
      <x:c r="O210" s="17" t="n">
        <x:f>IF(ISNUMBER(L210),G210*L210,IF(ISNUMBER(M210),M210,""))</x:f>
        <x:v>40000</x:v>
      </x:c>
      <x:c r="P210" s="17" t="n">
        <x:f>IF(ISNUMBER(K210),K210,IF(ISNUMBER(O210),O210,""))</x:f>
        <x:v>40000</x:v>
      </x:c>
      <x:c r="Q210" s="17" t="n">
        <x:f>IF(H210=0,0,IF(ISNUMBER(N210),N210,IF(N210="",IF(H210=F210,P210,""),"")))</x:f>
        <x:v>40000</x:v>
      </x:c>
      <x:c r="R210" s="17" t="n">
        <x:f>IF(ISNUMBER(Q210),ROUND(Q210*$C$4,2),"")</x:f>
        <x:v>7200</x:v>
      </x:c>
      <x:c r="S210" s="17" t="n">
        <x:f>IF(ISNUMBER(Q210),Q210+R210,"")</x:f>
        <x:v>47200</x:v>
      </x:c>
      <x:c r="T210" s="2" t="str">
        <x:f>IF(H210=0,"Not selected",IF(ISNUMBER(N210),"Quote entered",IF(N210&lt;&gt;"","Enter numeric quote",IF(H210=F210,IF(ISNUMBER(P210),"Complete unit","Price required"),"Partial package: price required"))))</x:f>
        <x:v>Complete unit</x:v>
      </x:c>
      <x:c r="U210" s="2" t="str">
        <x:v>TEN-256796B02D49; TEN-28872BA7C482; TEN-4860FE88B18A; TEN-4BCB797C8F86; TEN-BA99DD73577A</x:v>
      </x:c>
      <x:c r="V210" s="2" t="str">
        <x:v>Professional services; Finance &amp; insurance; Trade, consumer &amp; logistics; Unresolved</x:v>
      </x:c>
      <x:c r="W210" s="2" t="str">
        <x:v>Small-scale prospects; Medium-scale prospects; Mixed business audience</x:v>
      </x:c>
      <x:c r="X210" s="17" t="n">
        <x:f>IF(AND(H210=F210,NOT(ISNUMBER(N210)),N210="",ISNUMBER(K210)),K210,0)</x:f>
        <x:v>0</x:v>
      </x:c>
      <x:c r="Y210" s="17" t="n">
        <x:f>IF(AND(H210=F210,NOT(ISNUMBER(N210)),N210="",K210="",ISNUMBER(O210)),O210,0)</x:f>
        <x:v>40000</x:v>
      </x:c>
      <x:c r="Z210" s="17" t="n">
        <x:f>IF(AND(H210&gt;0,ISNUMBER(N210)),N210,0)</x:f>
        <x:v>0</x:v>
      </x:c>
      <x:c r="AA210" s="2" t="n">
        <x:f>IF(AND(H210&gt;0,N210="",NOT(ISNUMBER(Q210))),1,0)</x:f>
        <x:v>0</x:v>
      </x:c>
      <x:c r="AB210" s="2" t="n">
        <x:f>IF(AND(H210&gt;0,N210&lt;&gt;"",NOT(ISNUMBER(N210))),1,0)</x:f>
        <x:v>0</x:v>
      </x:c>
    </x:row>
    <x:row r="211" ht="48" customHeight="1">
      <x:c r="A211" s="2" t="str">
        <x:v>MAIN-204</x:v>
      </x:c>
      <x:c r="B211" s="2" t="str">
        <x:v>Main</x:v>
      </x:c>
      <x:c r="C211" s="2" t="str">
        <x:v>Delhi NCR</x:v>
      </x:c>
      <x:c r="D211" s="12" t="str">
        <x:v>Unitech - Cyber Park</x:v>
      </x:c>
      <x:c r="E211" s="12" t="str">
        <x:v>55 inch LED TV</x:v>
      </x:c>
      <x:c r="F211" s="2" t="n">
        <x:v>1</x:v>
      </x:c>
      <x:c r="G211" s="2" t="n">
        <x:v>4</x:v>
      </x:c>
      <x:c r="H211" s="2" t="n">
        <x:f>COUNTIFS('Inventory'!$N$7:$N$783,A211,'Inventory'!$A$7:$A$783,1)</x:f>
        <x:v>1</x:v>
      </x:c>
      <x:c r="I211" s="2" t="n">
        <x:f>SUMIFS('Inventory'!$G$7:$G$783,'Inventory'!$N$7:$N$783,A211,'Inventory'!$A$7:$A$783,1)</x:f>
        <x:v>4</x:v>
      </x:c>
      <x:c r="J211" s="12" t="str">
        <x:v>Campaign format rate</x:v>
      </x:c>
      <x:c r="K211" s="17"/>
      <x:c r="L211" s="17" t="n">
        <x:f>$I$5</x:f>
        <x:v>40000</x:v>
      </x:c>
      <x:c r="M211" s="17"/>
      <x:c r="N211" s="19"/>
      <x:c r="O211" s="17" t="n">
        <x:f>IF(ISNUMBER(L211),G211*L211,IF(ISNUMBER(M211),M211,""))</x:f>
        <x:v>160000</x:v>
      </x:c>
      <x:c r="P211" s="17" t="n">
        <x:f>IF(ISNUMBER(K211),K211,IF(ISNUMBER(O211),O211,""))</x:f>
        <x:v>160000</x:v>
      </x:c>
      <x:c r="Q211" s="17" t="n">
        <x:f>IF(H211=0,0,IF(ISNUMBER(N211),N211,IF(N211="",IF(H211=F211,P211,""),"")))</x:f>
        <x:v>160000</x:v>
      </x:c>
      <x:c r="R211" s="17" t="n">
        <x:f>IF(ISNUMBER(Q211),ROUND(Q211*$C$4,2),"")</x:f>
        <x:v>28800</x:v>
      </x:c>
      <x:c r="S211" s="17" t="n">
        <x:f>IF(ISNUMBER(Q211),Q211+R211,"")</x:f>
        <x:v>188800</x:v>
      </x:c>
      <x:c r="T211" s="2" t="str">
        <x:f>IF(H211=0,"Not selected",IF(ISNUMBER(N211),"Quote entered",IF(N211&lt;&gt;"","Enter numeric quote",IF(H211=F211,IF(ISNUMBER(P211),"Complete unit","Price required"),"Partial package: price required"))))</x:f>
        <x:v>Complete unit</x:v>
      </x:c>
      <x:c r="U211" s="2" t="str">
        <x:v>TEN-08DB387FE18E; TEN-1A66578C0D36; TEN-385E4D0AF812; TEN-4EA5DCC360A3; TEN-4F2219C6EF6C; TEN-554414125D75; TEN-6FA072EC66D1; TEN-9CBC7082FF4F; TEN-A509A9AAC287; TEN-AF0213D0C54B</x:v>
      </x:c>
      <x:c r="V211" s="2" t="str">
        <x:v>IT &amp; digital; Professional services; Education; Trade, consumer &amp; logistics; Unresolved</x:v>
      </x:c>
      <x:c r="W211" s="2" t="str">
        <x:v>Small-scale prospects; Large enterprise; Mixed business audience</x:v>
      </x:c>
      <x:c r="X211" s="17" t="n">
        <x:f>IF(AND(H211=F211,NOT(ISNUMBER(N211)),N211="",ISNUMBER(K211)),K211,0)</x:f>
        <x:v>0</x:v>
      </x:c>
      <x:c r="Y211" s="17" t="n">
        <x:f>IF(AND(H211=F211,NOT(ISNUMBER(N211)),N211="",K211="",ISNUMBER(O211)),O211,0)</x:f>
        <x:v>160000</x:v>
      </x:c>
      <x:c r="Z211" s="17" t="n">
        <x:f>IF(AND(H211&gt;0,ISNUMBER(N211)),N211,0)</x:f>
        <x:v>0</x:v>
      </x:c>
      <x:c r="AA211" s="2" t="n">
        <x:f>IF(AND(H211&gt;0,N211="",NOT(ISNUMBER(Q211))),1,0)</x:f>
        <x:v>0</x:v>
      </x:c>
      <x:c r="AB211" s="2" t="n">
        <x:f>IF(AND(H211&gt;0,N211&lt;&gt;"",NOT(ISNUMBER(N211))),1,0)</x:f>
        <x:v>0</x:v>
      </x:c>
    </x:row>
    <x:row r="212" ht="48" customHeight="1">
      <x:c r="A212" s="2" t="str">
        <x:v>MAIN-205</x:v>
      </x:c>
      <x:c r="B212" s="2" t="str">
        <x:v>Main</x:v>
      </x:c>
      <x:c r="C212" s="2" t="str">
        <x:v>Delhi NCR</x:v>
      </x:c>
      <x:c r="D212" s="12" t="str">
        <x:v>Unitech - Gateway Tower</x:v>
      </x:c>
      <x:c r="E212" s="12" t="str">
        <x:v>55 inch LED TV</x:v>
      </x:c>
      <x:c r="F212" s="2" t="n">
        <x:v>1</x:v>
      </x:c>
      <x:c r="G212" s="2" t="n">
        <x:v>1</x:v>
      </x:c>
      <x:c r="H212" s="2" t="n">
        <x:f>COUNTIFS('Inventory'!$N$7:$N$783,A212,'Inventory'!$A$7:$A$783,1)</x:f>
        <x:v>1</x:v>
      </x:c>
      <x:c r="I212" s="2" t="n">
        <x:f>SUMIFS('Inventory'!$G$7:$G$783,'Inventory'!$N$7:$N$783,A212,'Inventory'!$A$7:$A$783,1)</x:f>
        <x:v>1</x:v>
      </x:c>
      <x:c r="J212" s="12" t="str">
        <x:v>Campaign format rate</x:v>
      </x:c>
      <x:c r="K212" s="17"/>
      <x:c r="L212" s="17" t="n">
        <x:f>$I$5</x:f>
        <x:v>40000</x:v>
      </x:c>
      <x:c r="M212" s="17"/>
      <x:c r="N212" s="19"/>
      <x:c r="O212" s="17" t="n">
        <x:f>IF(ISNUMBER(L212),G212*L212,IF(ISNUMBER(M212),M212,""))</x:f>
        <x:v>40000</x:v>
      </x:c>
      <x:c r="P212" s="17" t="n">
        <x:f>IF(ISNUMBER(K212),K212,IF(ISNUMBER(O212),O212,""))</x:f>
        <x:v>40000</x:v>
      </x:c>
      <x:c r="Q212" s="17" t="n">
        <x:f>IF(H212=0,0,IF(ISNUMBER(N212),N212,IF(N212="",IF(H212=F212,P212,""),"")))</x:f>
        <x:v>40000</x:v>
      </x:c>
      <x:c r="R212" s="17" t="n">
        <x:f>IF(ISNUMBER(Q212),ROUND(Q212*$C$4,2),"")</x:f>
        <x:v>7200</x:v>
      </x:c>
      <x:c r="S212" s="17" t="n">
        <x:f>IF(ISNUMBER(Q212),Q212+R212,"")</x:f>
        <x:v>47200</x:v>
      </x:c>
      <x:c r="T212" s="2" t="str">
        <x:f>IF(H212=0,"Not selected",IF(ISNUMBER(N212),"Quote entered",IF(N212&lt;&gt;"","Enter numeric quote",IF(H212=F212,IF(ISNUMBER(P212),"Complete unit","Price required"),"Partial package: price required"))))</x:f>
        <x:v>Complete unit</x:v>
      </x:c>
      <x:c r="U212" s="2" t="str">
        <x:v>TEN-499BCABB0AA7; TEN-6DEBCA323DCB; TEN-C0A298F426FD</x:v>
      </x:c>
      <x:c r="V212" s="2" t="str">
        <x:v>Engineering &amp; manufacturing; Trade, consumer &amp; logistics</x:v>
      </x:c>
      <x:c r="W212" s="2" t="str">
        <x:v>Mixed business audience</x:v>
      </x:c>
      <x:c r="X212" s="17" t="n">
        <x:f>IF(AND(H212=F212,NOT(ISNUMBER(N212)),N212="",ISNUMBER(K212)),K212,0)</x:f>
        <x:v>0</x:v>
      </x:c>
      <x:c r="Y212" s="17" t="n">
        <x:f>IF(AND(H212=F212,NOT(ISNUMBER(N212)),N212="",K212="",ISNUMBER(O212)),O212,0)</x:f>
        <x:v>40000</x:v>
      </x:c>
      <x:c r="Z212" s="17" t="n">
        <x:f>IF(AND(H212&gt;0,ISNUMBER(N212)),N212,0)</x:f>
        <x:v>0</x:v>
      </x:c>
      <x:c r="AA212" s="2" t="n">
        <x:f>IF(AND(H212&gt;0,N212="",NOT(ISNUMBER(Q212))),1,0)</x:f>
        <x:v>0</x:v>
      </x:c>
      <x:c r="AB212" s="2" t="n">
        <x:f>IF(AND(H212&gt;0,N212&lt;&gt;"",NOT(ISNUMBER(N212))),1,0)</x:f>
        <x:v>0</x:v>
      </x:c>
    </x:row>
    <x:row r="213" ht="48" customHeight="1">
      <x:c r="A213" s="2" t="str">
        <x:v>MAIN-206</x:v>
      </x:c>
      <x:c r="B213" s="2" t="str">
        <x:v>Main</x:v>
      </x:c>
      <x:c r="C213" s="2" t="str">
        <x:v>Delhi NCR</x:v>
      </x:c>
      <x:c r="D213" s="12" t="str">
        <x:v>Unitech - Global Business Park</x:v>
      </x:c>
      <x:c r="E213" s="12" t="str">
        <x:v>55 inch LED TV</x:v>
      </x:c>
      <x:c r="F213" s="2" t="n">
        <x:v>1</x:v>
      </x:c>
      <x:c r="G213" s="2" t="n">
        <x:v>3</x:v>
      </x:c>
      <x:c r="H213" s="2" t="n">
        <x:f>COUNTIFS('Inventory'!$N$7:$N$783,A213,'Inventory'!$A$7:$A$783,1)</x:f>
        <x:v>1</x:v>
      </x:c>
      <x:c r="I213" s="2" t="n">
        <x:f>SUMIFS('Inventory'!$G$7:$G$783,'Inventory'!$N$7:$N$783,A213,'Inventory'!$A$7:$A$783,1)</x:f>
        <x:v>3</x:v>
      </x:c>
      <x:c r="J213" s="12" t="str">
        <x:v>Campaign format rate</x:v>
      </x:c>
      <x:c r="K213" s="17"/>
      <x:c r="L213" s="17" t="n">
        <x:f>$I$5</x:f>
        <x:v>40000</x:v>
      </x:c>
      <x:c r="M213" s="17"/>
      <x:c r="N213" s="19"/>
      <x:c r="O213" s="17" t="n">
        <x:f>IF(ISNUMBER(L213),G213*L213,IF(ISNUMBER(M213),M213,""))</x:f>
        <x:v>120000</x:v>
      </x:c>
      <x:c r="P213" s="17" t="n">
        <x:f>IF(ISNUMBER(K213),K213,IF(ISNUMBER(O213),O213,""))</x:f>
        <x:v>120000</x:v>
      </x:c>
      <x:c r="Q213" s="17" t="n">
        <x:f>IF(H213=0,0,IF(ISNUMBER(N213),N213,IF(N213="",IF(H213=F213,P213,""),"")))</x:f>
        <x:v>120000</x:v>
      </x:c>
      <x:c r="R213" s="17" t="n">
        <x:f>IF(ISNUMBER(Q213),ROUND(Q213*$C$4,2),"")</x:f>
        <x:v>21600</x:v>
      </x:c>
      <x:c r="S213" s="17" t="n">
        <x:f>IF(ISNUMBER(Q213),Q213+R213,"")</x:f>
        <x:v>141600</x:v>
      </x:c>
      <x:c r="T213" s="2" t="str">
        <x:f>IF(H213=0,"Not selected",IF(ISNUMBER(N213),"Quote entered",IF(N213&lt;&gt;"","Enter numeric quote",IF(H213=F213,IF(ISNUMBER(P213),"Complete unit","Price required"),"Partial package: price required"))))</x:f>
        <x:v>Complete unit</x:v>
      </x:c>
      <x:c r="U213" s="2" t="str">
        <x:v>TEN-3CF00757ED3D; TEN-4CC101225BFC; TEN-4E97CF101F1F; TEN-61D7F9904E77; TEN-64E1511D96B7; TEN-7A405702E4CC; TEN-94B8104C6F5F; TEN-A92CF6031CF8; TEN-BFB7EE93F259; TEN-C78AB6EFC57B</x:v>
      </x:c>
      <x:c r="V213" s="2" t="str">
        <x:v>Professional services; Engineering &amp; manufacturing; Healthcare &amp; life sciences; Trade, consumer &amp; logistics; Unresolved</x:v>
      </x:c>
      <x:c r="W213" s="2" t="str">
        <x:v>Small-scale prospects; Medium-scale prospects; Mixed business audience</x:v>
      </x:c>
      <x:c r="X213" s="17" t="n">
        <x:f>IF(AND(H213=F213,NOT(ISNUMBER(N213)),N213="",ISNUMBER(K213)),K213,0)</x:f>
        <x:v>0</x:v>
      </x:c>
      <x:c r="Y213" s="17" t="n">
        <x:f>IF(AND(H213=F213,NOT(ISNUMBER(N213)),N213="",K213="",ISNUMBER(O213)),O213,0)</x:f>
        <x:v>120000</x:v>
      </x:c>
      <x:c r="Z213" s="17" t="n">
        <x:f>IF(AND(H213&gt;0,ISNUMBER(N213)),N213,0)</x:f>
        <x:v>0</x:v>
      </x:c>
      <x:c r="AA213" s="2" t="n">
        <x:f>IF(AND(H213&gt;0,N213="",NOT(ISNUMBER(Q213))),1,0)</x:f>
        <x:v>0</x:v>
      </x:c>
      <x:c r="AB213" s="2" t="n">
        <x:f>IF(AND(H213&gt;0,N213&lt;&gt;"",NOT(ISNUMBER(N213))),1,0)</x:f>
        <x:v>0</x:v>
      </x:c>
    </x:row>
    <x:row r="214" ht="48" customHeight="1">
      <x:c r="A214" s="2" t="str">
        <x:v>MAIN-207</x:v>
      </x:c>
      <x:c r="B214" s="2" t="str">
        <x:v>Main</x:v>
      </x:c>
      <x:c r="C214" s="2" t="str">
        <x:v>Delhi NCR</x:v>
      </x:c>
      <x:c r="D214" s="12" t="str">
        <x:v>Unitech - Signature Tower</x:v>
      </x:c>
      <x:c r="E214" s="12" t="str">
        <x:v>55 inch LED TV</x:v>
      </x:c>
      <x:c r="F214" s="2" t="n">
        <x:v>1</x:v>
      </x:c>
      <x:c r="G214" s="2" t="n">
        <x:v>2</x:v>
      </x:c>
      <x:c r="H214" s="2" t="n">
        <x:f>COUNTIFS('Inventory'!$N$7:$N$783,A214,'Inventory'!$A$7:$A$783,1)</x:f>
        <x:v>1</x:v>
      </x:c>
      <x:c r="I214" s="2" t="n">
        <x:f>SUMIFS('Inventory'!$G$7:$G$783,'Inventory'!$N$7:$N$783,A214,'Inventory'!$A$7:$A$783,1)</x:f>
        <x:v>2</x:v>
      </x:c>
      <x:c r="J214" s="12" t="str">
        <x:v>Campaign format rate</x:v>
      </x:c>
      <x:c r="K214" s="17"/>
      <x:c r="L214" s="17" t="n">
        <x:f>$I$5</x:f>
        <x:v>40000</x:v>
      </x:c>
      <x:c r="M214" s="17"/>
      <x:c r="N214" s="19"/>
      <x:c r="O214" s="17" t="n">
        <x:f>IF(ISNUMBER(L214),G214*L214,IF(ISNUMBER(M214),M214,""))</x:f>
        <x:v>80000</x:v>
      </x:c>
      <x:c r="P214" s="17" t="n">
        <x:f>IF(ISNUMBER(K214),K214,IF(ISNUMBER(O214),O214,""))</x:f>
        <x:v>80000</x:v>
      </x:c>
      <x:c r="Q214" s="17" t="n">
        <x:f>IF(H214=0,0,IF(ISNUMBER(N214),N214,IF(N214="",IF(H214=F214,P214,""),"")))</x:f>
        <x:v>80000</x:v>
      </x:c>
      <x:c r="R214" s="17" t="n">
        <x:f>IF(ISNUMBER(Q214),ROUND(Q214*$C$4,2),"")</x:f>
        <x:v>14400</x:v>
      </x:c>
      <x:c r="S214" s="17" t="n">
        <x:f>IF(ISNUMBER(Q214),Q214+R214,"")</x:f>
        <x:v>94400</x:v>
      </x:c>
      <x:c r="T214" s="2" t="str">
        <x:f>IF(H214=0,"Not selected",IF(ISNUMBER(N214),"Quote entered",IF(N214&lt;&gt;"","Enter numeric quote",IF(H214=F214,IF(ISNUMBER(P214),"Complete unit","Price required"),"Partial package: price required"))))</x:f>
        <x:v>Complete unit</x:v>
      </x:c>
      <x:c r="U214" s="2" t="str">
        <x:v>TEN-0A8BCA93EB03; TEN-0EBD06999016; TEN-5231E575AC27; TEN-55BBAC060EB2; TEN-631DCFEADDEF; TEN-663FA8BBE4DA; TEN-7A076A165601; TEN-87E3DB70689A; TEN-AD30C3FBCD6C; TEN-BB2B0F8A6E69; TEN-CC48C5F170E3</x:v>
      </x:c>
      <x:c r="V214" s="2" t="str">
        <x:v>Professional services; Engineering &amp; manufacturing; Healthcare &amp; life sciences; Education; Trade, consumer &amp; logistics; Workspace &amp; property operations; Unresolved</x:v>
      </x:c>
      <x:c r="W214" s="2" t="str">
        <x:v>Small-scale prospects; Mixed business audience</x:v>
      </x:c>
      <x:c r="X214" s="17" t="n">
        <x:f>IF(AND(H214=F214,NOT(ISNUMBER(N214)),N214="",ISNUMBER(K214)),K214,0)</x:f>
        <x:v>0</x:v>
      </x:c>
      <x:c r="Y214" s="17" t="n">
        <x:f>IF(AND(H214=F214,NOT(ISNUMBER(N214)),N214="",K214="",ISNUMBER(O214)),O214,0)</x:f>
        <x:v>80000</x:v>
      </x:c>
      <x:c r="Z214" s="17" t="n">
        <x:f>IF(AND(H214&gt;0,ISNUMBER(N214)),N214,0)</x:f>
        <x:v>0</x:v>
      </x:c>
      <x:c r="AA214" s="2" t="n">
        <x:f>IF(AND(H214&gt;0,N214="",NOT(ISNUMBER(Q214))),1,0)</x:f>
        <x:v>0</x:v>
      </x:c>
      <x:c r="AB214" s="2" t="n">
        <x:f>IF(AND(H214&gt;0,N214&lt;&gt;"",NOT(ISNUMBER(N214))),1,0)</x:f>
        <x:v>0</x:v>
      </x:c>
    </x:row>
    <x:row r="215" ht="48" customHeight="1">
      <x:c r="A215" s="2" t="str">
        <x:v>MAIN-208</x:v>
      </x:c>
      <x:c r="B215" s="2" t="str">
        <x:v>Main</x:v>
      </x:c>
      <x:c r="C215" s="2" t="str">
        <x:v>Delhi NCR</x:v>
      </x:c>
      <x:c r="D215" s="12" t="str">
        <x:v>Unitech - Trade Center</x:v>
      </x:c>
      <x:c r="E215" s="12" t="str">
        <x:v>55 inch LED TV</x:v>
      </x:c>
      <x:c r="F215" s="2" t="n">
        <x:v>1</x:v>
      </x:c>
      <x:c r="G215" s="2" t="n">
        <x:v>1</x:v>
      </x:c>
      <x:c r="H215" s="2" t="n">
        <x:f>COUNTIFS('Inventory'!$N$7:$N$783,A215,'Inventory'!$A$7:$A$783,1)</x:f>
        <x:v>1</x:v>
      </x:c>
      <x:c r="I215" s="2" t="n">
        <x:f>SUMIFS('Inventory'!$G$7:$G$783,'Inventory'!$N$7:$N$783,A215,'Inventory'!$A$7:$A$783,1)</x:f>
        <x:v>1</x:v>
      </x:c>
      <x:c r="J215" s="12" t="str">
        <x:v>Campaign format rate</x:v>
      </x:c>
      <x:c r="K215" s="17"/>
      <x:c r="L215" s="17" t="n">
        <x:f>$I$5</x:f>
        <x:v>40000</x:v>
      </x:c>
      <x:c r="M215" s="17"/>
      <x:c r="N215" s="19"/>
      <x:c r="O215" s="17" t="n">
        <x:f>IF(ISNUMBER(L215),G215*L215,IF(ISNUMBER(M215),M215,""))</x:f>
        <x:v>40000</x:v>
      </x:c>
      <x:c r="P215" s="17" t="n">
        <x:f>IF(ISNUMBER(K215),K215,IF(ISNUMBER(O215),O215,""))</x:f>
        <x:v>40000</x:v>
      </x:c>
      <x:c r="Q215" s="17" t="n">
        <x:f>IF(H215=0,0,IF(ISNUMBER(N215),N215,IF(N215="",IF(H215=F215,P215,""),"")))</x:f>
        <x:v>40000</x:v>
      </x:c>
      <x:c r="R215" s="17" t="n">
        <x:f>IF(ISNUMBER(Q215),ROUND(Q215*$C$4,2),"")</x:f>
        <x:v>7200</x:v>
      </x:c>
      <x:c r="S215" s="17" t="n">
        <x:f>IF(ISNUMBER(Q215),Q215+R215,"")</x:f>
        <x:v>47200</x:v>
      </x:c>
      <x:c r="T215" s="2" t="str">
        <x:f>IF(H215=0,"Not selected",IF(ISNUMBER(N215),"Quote entered",IF(N215&lt;&gt;"","Enter numeric quote",IF(H215=F215,IF(ISNUMBER(P215),"Complete unit","Price required"),"Partial package: price required"))))</x:f>
        <x:v>Complete unit</x:v>
      </x:c>
      <x:c r="U215" s="2" t="str">
        <x:v>TEN-1B26A1EAB1AF; TEN-55B93C4E3B87; TEN-5D0C383E84BD; TEN-61D3F1332192; TEN-85B7E717ED99; TEN-F66746C19057</x:v>
      </x:c>
      <x:c r="V215" s="2" t="str">
        <x:v>IT &amp; digital; Professional services; Finance &amp; insurance; Education; Unresolved</x:v>
      </x:c>
      <x:c r="W215" s="2" t="str">
        <x:v>Small-scale prospects; Large enterprise; Mixed business audience</x:v>
      </x:c>
      <x:c r="X215" s="17" t="n">
        <x:f>IF(AND(H215=F215,NOT(ISNUMBER(N215)),N215="",ISNUMBER(K215)),K215,0)</x:f>
        <x:v>0</x:v>
      </x:c>
      <x:c r="Y215" s="17" t="n">
        <x:f>IF(AND(H215=F215,NOT(ISNUMBER(N215)),N215="",K215="",ISNUMBER(O215)),O215,0)</x:f>
        <x:v>40000</x:v>
      </x:c>
      <x:c r="Z215" s="17" t="n">
        <x:f>IF(AND(H215&gt;0,ISNUMBER(N215)),N215,0)</x:f>
        <x:v>0</x:v>
      </x:c>
      <x:c r="AA215" s="2" t="n">
        <x:f>IF(AND(H215&gt;0,N215="",NOT(ISNUMBER(Q215))),1,0)</x:f>
        <x:v>0</x:v>
      </x:c>
      <x:c r="AB215" s="2" t="n">
        <x:f>IF(AND(H215&gt;0,N215&lt;&gt;"",NOT(ISNUMBER(N215))),1,0)</x:f>
        <x:v>0</x:v>
      </x:c>
    </x:row>
    <x:row r="216" ht="48" customHeight="1">
      <x:c r="A216" s="2" t="str">
        <x:v>MAIN-377</x:v>
      </x:c>
      <x:c r="B216" s="2" t="str">
        <x:v>Main</x:v>
      </x:c>
      <x:c r="C216" s="2" t="str">
        <x:v>Delhi NCR</x:v>
      </x:c>
      <x:c r="D216" s="12" t="str">
        <x:v>WeWork - Berger One</x:v>
      </x:c>
      <x:c r="E216" s="12" t="str">
        <x:v>43 inch LED TV</x:v>
      </x:c>
      <x:c r="F216" s="2" t="n">
        <x:v>1</x:v>
      </x:c>
      <x:c r="G216" s="2" t="n">
        <x:v>6</x:v>
      </x:c>
      <x:c r="H216" s="2" t="n">
        <x:f>COUNTIFS('Inventory'!$N$7:$N$783,A216,'Inventory'!$A$7:$A$783,1)</x:f>
        <x:v>1</x:v>
      </x:c>
      <x:c r="I216" s="2" t="n">
        <x:f>SUMIFS('Inventory'!$G$7:$G$783,'Inventory'!$N$7:$N$783,A216,'Inventory'!$A$7:$A$783,1)</x:f>
        <x:v>6</x:v>
      </x:c>
      <x:c r="J216" s="12" t="str">
        <x:v>Campaign format rate</x:v>
      </x:c>
      <x:c r="K216" s="17"/>
      <x:c r="L216" s="17" t="n">
        <x:f>$G$5</x:f>
        <x:v>25000</x:v>
      </x:c>
      <x:c r="M216" s="17"/>
      <x:c r="N216" s="19"/>
      <x:c r="O216" s="17" t="n">
        <x:f>IF(ISNUMBER(L216),G216*L216,IF(ISNUMBER(M216),M216,""))</x:f>
        <x:v>150000</x:v>
      </x:c>
      <x:c r="P216" s="17" t="n">
        <x:f>IF(ISNUMBER(K216),K216,IF(ISNUMBER(O216),O216,""))</x:f>
        <x:v>150000</x:v>
      </x:c>
      <x:c r="Q216" s="17" t="n">
        <x:f>IF(H216=0,0,IF(ISNUMBER(N216),N216,IF(N216="",IF(H216=F216,P216,""),"")))</x:f>
        <x:v>150000</x:v>
      </x:c>
      <x:c r="R216" s="17" t="n">
        <x:f>IF(ISNUMBER(Q216),ROUND(Q216*$C$4,2),"")</x:f>
        <x:v>27000</x:v>
      </x:c>
      <x:c r="S216" s="17" t="n">
        <x:f>IF(ISNUMBER(Q216),Q216+R216,"")</x:f>
        <x:v>177000</x:v>
      </x:c>
      <x:c r="T216" s="2" t="str">
        <x:f>IF(H216=0,"Not selected",IF(ISNUMBER(N216),"Quote entered",IF(N216&lt;&gt;"","Enter numeric quote",IF(H216=F216,IF(ISNUMBER(P216),"Complete unit","Price required"),"Partial package: price required"))))</x:f>
        <x:v>Complete unit</x:v>
      </x:c>
      <x:c r="U216" s="2" t="str">
        <x:v>TEN-5B81D52D4310</x:v>
      </x:c>
      <x:c r="V216" s="2" t="str">
        <x:v>Workspace &amp; property operations</x:v>
      </x:c>
      <x:c r="W216" s="2" t="str">
        <x:v>Mixed business audience</x:v>
      </x:c>
      <x:c r="X216" s="17" t="n">
        <x:f>IF(AND(H216=F216,NOT(ISNUMBER(N216)),N216="",ISNUMBER(K216)),K216,0)</x:f>
        <x:v>0</x:v>
      </x:c>
      <x:c r="Y216" s="17" t="n">
        <x:f>IF(AND(H216=F216,NOT(ISNUMBER(N216)),N216="",K216="",ISNUMBER(O216)),O216,0)</x:f>
        <x:v>150000</x:v>
      </x:c>
      <x:c r="Z216" s="17" t="n">
        <x:f>IF(AND(H216&gt;0,ISNUMBER(N216)),N216,0)</x:f>
        <x:v>0</x:v>
      </x:c>
      <x:c r="AA216" s="2" t="n">
        <x:f>IF(AND(H216&gt;0,N216="",NOT(ISNUMBER(Q216))),1,0)</x:f>
        <x:v>0</x:v>
      </x:c>
      <x:c r="AB216" s="2" t="n">
        <x:f>IF(AND(H216&gt;0,N216&lt;&gt;"",NOT(ISNUMBER(N216))),1,0)</x:f>
        <x:v>0</x:v>
      </x:c>
    </x:row>
    <x:row r="217" ht="48" customHeight="1">
      <x:c r="A217" s="2" t="str">
        <x:v>MAIN-209</x:v>
      </x:c>
      <x:c r="B217" s="2" t="str">
        <x:v>Main</x:v>
      </x:c>
      <x:c r="C217" s="2" t="str">
        <x:v>Delhi NCR</x:v>
      </x:c>
      <x:c r="D217" s="12" t="str">
        <x:v>WeWork - Blue One Square</x:v>
      </x:c>
      <x:c r="E217" s="12" t="str">
        <x:v>43 inch LED TV</x:v>
      </x:c>
      <x:c r="F217" s="2" t="n">
        <x:v>1</x:v>
      </x:c>
      <x:c r="G217" s="2" t="n">
        <x:v>10</x:v>
      </x:c>
      <x:c r="H217" s="2" t="n">
        <x:f>COUNTIFS('Inventory'!$N$7:$N$783,A217,'Inventory'!$A$7:$A$783,1)</x:f>
        <x:v>1</x:v>
      </x:c>
      <x:c r="I217" s="2" t="n">
        <x:f>SUMIFS('Inventory'!$G$7:$G$783,'Inventory'!$N$7:$N$783,A217,'Inventory'!$A$7:$A$783,1)</x:f>
        <x:v>10</x:v>
      </x:c>
      <x:c r="J217" s="12" t="str">
        <x:v>Campaign format rate</x:v>
      </x:c>
      <x:c r="K217" s="17"/>
      <x:c r="L217" s="17" t="n">
        <x:f>$G$5</x:f>
        <x:v>25000</x:v>
      </x:c>
      <x:c r="M217" s="17"/>
      <x:c r="N217" s="19"/>
      <x:c r="O217" s="17" t="n">
        <x:f>IF(ISNUMBER(L217),G217*L217,IF(ISNUMBER(M217),M217,""))</x:f>
        <x:v>250000</x:v>
      </x:c>
      <x:c r="P217" s="17" t="n">
        <x:f>IF(ISNUMBER(K217),K217,IF(ISNUMBER(O217),O217,""))</x:f>
        <x:v>250000</x:v>
      </x:c>
      <x:c r="Q217" s="17" t="n">
        <x:f>IF(H217=0,0,IF(ISNUMBER(N217),N217,IF(N217="",IF(H217=F217,P217,""),"")))</x:f>
        <x:v>250000</x:v>
      </x:c>
      <x:c r="R217" s="17" t="n">
        <x:f>IF(ISNUMBER(Q217),ROUND(Q217*$C$4,2),"")</x:f>
        <x:v>45000</x:v>
      </x:c>
      <x:c r="S217" s="17" t="n">
        <x:f>IF(ISNUMBER(Q217),Q217+R217,"")</x:f>
        <x:v>295000</x:v>
      </x:c>
      <x:c r="T217" s="2" t="str">
        <x:f>IF(H217=0,"Not selected",IF(ISNUMBER(N217),"Quote entered",IF(N217&lt;&gt;"","Enter numeric quote",IF(H217=F217,IF(ISNUMBER(P217),"Complete unit","Price required"),"Partial package: price required"))))</x:f>
        <x:v>Complete unit</x:v>
      </x:c>
      <x:c r="U217" s="2" t="str">
        <x:v>TEN-8101C2E2D34F</x:v>
      </x:c>
      <x:c r="V217" s="2" t="str">
        <x:v>Professional services</x:v>
      </x:c>
      <x:c r="W217" s="2" t="str">
        <x:v>Small-scale prospects</x:v>
      </x:c>
      <x:c r="X217" s="17" t="n">
        <x:f>IF(AND(H217=F217,NOT(ISNUMBER(N217)),N217="",ISNUMBER(K217)),K217,0)</x:f>
        <x:v>0</x:v>
      </x:c>
      <x:c r="Y217" s="17" t="n">
        <x:f>IF(AND(H217=F217,NOT(ISNUMBER(N217)),N217="",K217="",ISNUMBER(O217)),O217,0)</x:f>
        <x:v>250000</x:v>
      </x:c>
      <x:c r="Z217" s="17" t="n">
        <x:f>IF(AND(H217&gt;0,ISNUMBER(N217)),N217,0)</x:f>
        <x:v>0</x:v>
      </x:c>
      <x:c r="AA217" s="2" t="n">
        <x:f>IF(AND(H217&gt;0,N217="",NOT(ISNUMBER(Q217))),1,0)</x:f>
        <x:v>0</x:v>
      </x:c>
      <x:c r="AB217" s="2" t="n">
        <x:f>IF(AND(H217&gt;0,N217&lt;&gt;"",NOT(ISNUMBER(N217))),1,0)</x:f>
        <x:v>0</x:v>
      </x:c>
    </x:row>
    <x:row r="218" ht="48" customHeight="1">
      <x:c r="A218" s="2" t="str">
        <x:v>MAIN-171</x:v>
      </x:c>
      <x:c r="B218" s="2" t="str">
        <x:v>Main</x:v>
      </x:c>
      <x:c r="C218" s="2" t="str">
        <x:v>Delhi NCR</x:v>
      </x:c>
      <x:c r="D218" s="12" t="str">
        <x:v>WeWork - Eldeco</x:v>
      </x:c>
      <x:c r="E218" s="12" t="str">
        <x:v>43 inch LED TV</x:v>
      </x:c>
      <x:c r="F218" s="2" t="n">
        <x:v>1</x:v>
      </x:c>
      <x:c r="G218" s="2" t="n">
        <x:v>1</x:v>
      </x:c>
      <x:c r="H218" s="2" t="n">
        <x:f>COUNTIFS('Inventory'!$N$7:$N$783,A218,'Inventory'!$A$7:$A$783,1)</x:f>
        <x:v>1</x:v>
      </x:c>
      <x:c r="I218" s="2" t="n">
        <x:f>SUMIFS('Inventory'!$G$7:$G$783,'Inventory'!$N$7:$N$783,A218,'Inventory'!$A$7:$A$783,1)</x:f>
        <x:v>1</x:v>
      </x:c>
      <x:c r="J218" s="12" t="str">
        <x:v>Campaign format rate</x:v>
      </x:c>
      <x:c r="K218" s="17"/>
      <x:c r="L218" s="17" t="n">
        <x:f>$G$5</x:f>
        <x:v>25000</x:v>
      </x:c>
      <x:c r="M218" s="17"/>
      <x:c r="N218" s="19"/>
      <x:c r="O218" s="17" t="n">
        <x:f>IF(ISNUMBER(L218),G218*L218,IF(ISNUMBER(M218),M218,""))</x:f>
        <x:v>25000</x:v>
      </x:c>
      <x:c r="P218" s="17" t="n">
        <x:f>IF(ISNUMBER(K218),K218,IF(ISNUMBER(O218),O218,""))</x:f>
        <x:v>25000</x:v>
      </x:c>
      <x:c r="Q218" s="17" t="n">
        <x:f>IF(H218=0,0,IF(ISNUMBER(N218),N218,IF(N218="",IF(H218=F218,P218,""),"")))</x:f>
        <x:v>25000</x:v>
      </x:c>
      <x:c r="R218" s="17" t="n">
        <x:f>IF(ISNUMBER(Q218),ROUND(Q218*$C$4,2),"")</x:f>
        <x:v>4500</x:v>
      </x:c>
      <x:c r="S218" s="17" t="n">
        <x:f>IF(ISNUMBER(Q218),Q218+R218,"")</x:f>
        <x:v>29500</x:v>
      </x:c>
      <x:c r="T218" s="2" t="str">
        <x:f>IF(H218=0,"Not selected",IF(ISNUMBER(N218),"Quote entered",IF(N218&lt;&gt;"","Enter numeric quote",IF(H218=F218,IF(ISNUMBER(P218),"Complete unit","Price required"),"Partial package: price required"))))</x:f>
        <x:v>Complete unit</x:v>
      </x:c>
      <x:c r="U218" s="2" t="str">
        <x:v>TEN-522C7A456D3F</x:v>
      </x:c>
      <x:c r="V218" s="2" t="str">
        <x:v>Healthcare &amp; life sciences</x:v>
      </x:c>
      <x:c r="W218" s="2" t="str">
        <x:v>Mixed business audience</x:v>
      </x:c>
      <x:c r="X218" s="17" t="n">
        <x:f>IF(AND(H218=F218,NOT(ISNUMBER(N218)),N218="",ISNUMBER(K218)),K218,0)</x:f>
        <x:v>0</x:v>
      </x:c>
      <x:c r="Y218" s="17" t="n">
        <x:f>IF(AND(H218=F218,NOT(ISNUMBER(N218)),N218="",K218="",ISNUMBER(O218)),O218,0)</x:f>
        <x:v>25000</x:v>
      </x:c>
      <x:c r="Z218" s="17" t="n">
        <x:f>IF(AND(H218&gt;0,ISNUMBER(N218)),N218,0)</x:f>
        <x:v>0</x:v>
      </x:c>
      <x:c r="AA218" s="2" t="n">
        <x:f>IF(AND(H218&gt;0,N218="",NOT(ISNUMBER(Q218))),1,0)</x:f>
        <x:v>0</x:v>
      </x:c>
      <x:c r="AB218" s="2" t="n">
        <x:f>IF(AND(H218&gt;0,N218&lt;&gt;"",NOT(ISNUMBER(N218))),1,0)</x:f>
        <x:v>0</x:v>
      </x:c>
    </x:row>
    <x:row r="219" ht="48" customHeight="1">
      <x:c r="A219" s="2" t="str">
        <x:v>MAIN-210</x:v>
      </x:c>
      <x:c r="B219" s="2" t="str">
        <x:v>Main</x:v>
      </x:c>
      <x:c r="C219" s="2" t="str">
        <x:v>Delhi NCR</x:v>
      </x:c>
      <x:c r="D219" s="12" t="str">
        <x:v>WeWork - Forum</x:v>
      </x:c>
      <x:c r="E219" s="12" t="str">
        <x:v>43 inch LED TV</x:v>
      </x:c>
      <x:c r="F219" s="2" t="n">
        <x:v>1</x:v>
      </x:c>
      <x:c r="G219" s="2" t="n">
        <x:v>14</x:v>
      </x:c>
      <x:c r="H219" s="2" t="n">
        <x:f>COUNTIFS('Inventory'!$N$7:$N$783,A219,'Inventory'!$A$7:$A$783,1)</x:f>
        <x:v>1</x:v>
      </x:c>
      <x:c r="I219" s="2" t="n">
        <x:f>SUMIFS('Inventory'!$G$7:$G$783,'Inventory'!$N$7:$N$783,A219,'Inventory'!$A$7:$A$783,1)</x:f>
        <x:v>14</x:v>
      </x:c>
      <x:c r="J219" s="12" t="str">
        <x:v>Campaign format rate</x:v>
      </x:c>
      <x:c r="K219" s="17"/>
      <x:c r="L219" s="17" t="n">
        <x:f>$G$5</x:f>
        <x:v>25000</x:v>
      </x:c>
      <x:c r="M219" s="17"/>
      <x:c r="N219" s="19"/>
      <x:c r="O219" s="17" t="n">
        <x:f>IF(ISNUMBER(L219),G219*L219,IF(ISNUMBER(M219),M219,""))</x:f>
        <x:v>350000</x:v>
      </x:c>
      <x:c r="P219" s="17" t="n">
        <x:f>IF(ISNUMBER(K219),K219,IF(ISNUMBER(O219),O219,""))</x:f>
        <x:v>350000</x:v>
      </x:c>
      <x:c r="Q219" s="17" t="n">
        <x:f>IF(H219=0,0,IF(ISNUMBER(N219),N219,IF(N219="",IF(H219=F219,P219,""),"")))</x:f>
        <x:v>350000</x:v>
      </x:c>
      <x:c r="R219" s="17" t="n">
        <x:f>IF(ISNUMBER(Q219),ROUND(Q219*$C$4,2),"")</x:f>
        <x:v>63000</x:v>
      </x:c>
      <x:c r="S219" s="17" t="n">
        <x:f>IF(ISNUMBER(Q219),Q219+R219,"")</x:f>
        <x:v>413000</x:v>
      </x:c>
      <x:c r="T219" s="2" t="str">
        <x:f>IF(H219=0,"Not selected",IF(ISNUMBER(N219),"Quote entered",IF(N219&lt;&gt;"","Enter numeric quote",IF(H219=F219,IF(ISNUMBER(P219),"Complete unit","Price required"),"Partial package: price required"))))</x:f>
        <x:v>Complete unit</x:v>
      </x:c>
      <x:c r="U219" s="2" t="str">
        <x:v>TEN-242B52F0117F; TEN-4B4B35DB7BA4; TEN-E64DFB9A7C4E</x:v>
      </x:c>
      <x:c r="V219" s="2" t="str">
        <x:v>Professional services; Trade, consumer &amp; logistics; Unresolved</x:v>
      </x:c>
      <x:c r="W219" s="2" t="str">
        <x:v>Micro-scale prospects; Small-scale prospects; Mixed business audience</x:v>
      </x:c>
      <x:c r="X219" s="17" t="n">
        <x:f>IF(AND(H219=F219,NOT(ISNUMBER(N219)),N219="",ISNUMBER(K219)),K219,0)</x:f>
        <x:v>0</x:v>
      </x:c>
      <x:c r="Y219" s="17" t="n">
        <x:f>IF(AND(H219=F219,NOT(ISNUMBER(N219)),N219="",K219="",ISNUMBER(O219)),O219,0)</x:f>
        <x:v>350000</x:v>
      </x:c>
      <x:c r="Z219" s="17" t="n">
        <x:f>IF(AND(H219&gt;0,ISNUMBER(N219)),N219,0)</x:f>
        <x:v>0</x:v>
      </x:c>
      <x:c r="AA219" s="2" t="n">
        <x:f>IF(AND(H219&gt;0,N219="",NOT(ISNUMBER(Q219))),1,0)</x:f>
        <x:v>0</x:v>
      </x:c>
      <x:c r="AB219" s="2" t="n">
        <x:f>IF(AND(H219&gt;0,N219&lt;&gt;"",NOT(ISNUMBER(N219))),1,0)</x:f>
        <x:v>0</x:v>
      </x:c>
    </x:row>
    <x:row r="220" ht="48" customHeight="1">
      <x:c r="A220" s="2" t="str">
        <x:v>MAIN-211</x:v>
      </x:c>
      <x:c r="B220" s="2" t="str">
        <x:v>Main</x:v>
      </x:c>
      <x:c r="C220" s="2" t="str">
        <x:v>Delhi NCR</x:v>
      </x:c>
      <x:c r="D220" s="12" t="str">
        <x:v>Wework - VI John</x:v>
      </x:c>
      <x:c r="E220" s="12" t="str">
        <x:v>43 inch LED TV</x:v>
      </x:c>
      <x:c r="F220" s="2" t="n">
        <x:v>1</x:v>
      </x:c>
      <x:c r="G220" s="2" t="n">
        <x:v>8</x:v>
      </x:c>
      <x:c r="H220" s="2" t="n">
        <x:f>COUNTIFS('Inventory'!$N$7:$N$783,A220,'Inventory'!$A$7:$A$783,1)</x:f>
        <x:v>1</x:v>
      </x:c>
      <x:c r="I220" s="2" t="n">
        <x:f>SUMIFS('Inventory'!$G$7:$G$783,'Inventory'!$N$7:$N$783,A220,'Inventory'!$A$7:$A$783,1)</x:f>
        <x:v>8</x:v>
      </x:c>
      <x:c r="J220" s="12" t="str">
        <x:v>Campaign format rate</x:v>
      </x:c>
      <x:c r="K220" s="17"/>
      <x:c r="L220" s="17" t="n">
        <x:f>$G$5</x:f>
        <x:v>25000</x:v>
      </x:c>
      <x:c r="M220" s="17"/>
      <x:c r="N220" s="19"/>
      <x:c r="O220" s="17" t="n">
        <x:f>IF(ISNUMBER(L220),G220*L220,IF(ISNUMBER(M220),M220,""))</x:f>
        <x:v>200000</x:v>
      </x:c>
      <x:c r="P220" s="17" t="n">
        <x:f>IF(ISNUMBER(K220),K220,IF(ISNUMBER(O220),O220,""))</x:f>
        <x:v>200000</x:v>
      </x:c>
      <x:c r="Q220" s="17" t="n">
        <x:f>IF(H220=0,0,IF(ISNUMBER(N220),N220,IF(N220="",IF(H220=F220,P220,""),"")))</x:f>
        <x:v>200000</x:v>
      </x:c>
      <x:c r="R220" s="17" t="n">
        <x:f>IF(ISNUMBER(Q220),ROUND(Q220*$C$4,2),"")</x:f>
        <x:v>36000</x:v>
      </x:c>
      <x:c r="S220" s="17" t="n">
        <x:f>IF(ISNUMBER(Q220),Q220+R220,"")</x:f>
        <x:v>236000</x:v>
      </x:c>
      <x:c r="T220" s="2" t="str">
        <x:f>IF(H220=0,"Not selected",IF(ISNUMBER(N220),"Quote entered",IF(N220&lt;&gt;"","Enter numeric quote",IF(H220=F220,IF(ISNUMBER(P220),"Complete unit","Price required"),"Partial package: price required"))))</x:f>
        <x:v>Complete unit</x:v>
      </x:c>
      <x:c r="U220" s="2" t="str">
        <x:v>TEN-9ADF4B12033A; TEN-AD95F6E4E93C; TEN-CC09BF697AED</x:v>
      </x:c>
      <x:c r="V220" s="2" t="str">
        <x:v>Professional services; Trade, consumer &amp; logistics; Unresolved</x:v>
      </x:c>
      <x:c r="W220" s="2" t="str">
        <x:v>Small-scale prospects; Mixed business audience</x:v>
      </x:c>
      <x:c r="X220" s="17" t="n">
        <x:f>IF(AND(H220=F220,NOT(ISNUMBER(N220)),N220="",ISNUMBER(K220)),K220,0)</x:f>
        <x:v>0</x:v>
      </x:c>
      <x:c r="Y220" s="17" t="n">
        <x:f>IF(AND(H220=F220,NOT(ISNUMBER(N220)),N220="",K220="",ISNUMBER(O220)),O220,0)</x:f>
        <x:v>200000</x:v>
      </x:c>
      <x:c r="Z220" s="17" t="n">
        <x:f>IF(AND(H220&gt;0,ISNUMBER(N220)),N220,0)</x:f>
        <x:v>0</x:v>
      </x:c>
      <x:c r="AA220" s="2" t="n">
        <x:f>IF(AND(H220&gt;0,N220="",NOT(ISNUMBER(Q220))),1,0)</x:f>
        <x:v>0</x:v>
      </x:c>
      <x:c r="AB220" s="2" t="n">
        <x:f>IF(AND(H220&gt;0,N220&lt;&gt;"",NOT(ISNUMBER(N220))),1,0)</x:f>
        <x:v>0</x:v>
      </x:c>
    </x:row>
    <x:row r="221" ht="48" customHeight="1">
      <x:c r="A221" s="2" t="str">
        <x:v>MAIN-172</x:v>
      </x:c>
      <x:c r="B221" s="2" t="str">
        <x:v>Main</x:v>
      </x:c>
      <x:c r="C221" s="2" t="str">
        <x:v>Delhi NCR</x:v>
      </x:c>
      <x:c r="D221" s="12" t="str">
        <x:v>Workflow by Oyo - Aerocity</x:v>
      </x:c>
      <x:c r="E221" s="12" t="str">
        <x:v>32 inch LED TV</x:v>
      </x:c>
      <x:c r="F221" s="2" t="n">
        <x:v>1</x:v>
      </x:c>
      <x:c r="G221" s="2" t="n">
        <x:v>3</x:v>
      </x:c>
      <x:c r="H221" s="2" t="n">
        <x:f>COUNTIFS('Inventory'!$N$7:$N$783,A221,'Inventory'!$A$7:$A$783,1)</x:f>
        <x:v>1</x:v>
      </x:c>
      <x:c r="I221" s="2" t="n">
        <x:f>SUMIFS('Inventory'!$G$7:$G$783,'Inventory'!$N$7:$N$783,A221,'Inventory'!$A$7:$A$783,1)</x:f>
        <x:v>3</x:v>
      </x:c>
      <x:c r="J221" s="12" t="str">
        <x:v>Listed budget</x:v>
      </x:c>
      <x:c r="K221" s="17" t="n">
        <x:v>45000</x:v>
      </x:c>
      <x:c r="L221" s="17"/>
      <x:c r="M221" s="17"/>
      <x:c r="N221" s="19"/>
      <x:c r="O221" s="17" t="str">
        <x:f>IF(ISNUMBER(L221),G221*L221,IF(ISNUMBER(M221),M221,""))</x:f>
      </x:c>
      <x:c r="P221" s="17" t="n">
        <x:f>IF(ISNUMBER(K221),K221,IF(ISNUMBER(O221),O221,""))</x:f>
        <x:v>45000</x:v>
      </x:c>
      <x:c r="Q221" s="17" t="n">
        <x:f>IF(H221=0,0,IF(ISNUMBER(N221),N221,IF(N221="",IF(H221=F221,P221,""),"")))</x:f>
        <x:v>45000</x:v>
      </x:c>
      <x:c r="R221" s="17" t="n">
        <x:f>IF(ISNUMBER(Q221),ROUND(Q221*$C$4,2),"")</x:f>
        <x:v>8100</x:v>
      </x:c>
      <x:c r="S221" s="17" t="n">
        <x:f>IF(ISNUMBER(Q221),Q221+R221,"")</x:f>
        <x:v>53100</x:v>
      </x:c>
      <x:c r="T221" s="2" t="str">
        <x:f>IF(H221=0,"Not selected",IF(ISNUMBER(N221),"Quote entered",IF(N221&lt;&gt;"","Enter numeric quote",IF(H221=F221,IF(ISNUMBER(P221),"Complete unit","Price required"),"Partial package: price required"))))</x:f>
        <x:v>Complete unit</x:v>
      </x:c>
      <x:c r="U221" s="2" t="str">
        <x:v>TEN-4912FC070A64; TEN-60F4EF0E242B; TEN-690474F0C5B4; TEN-904E6EA13879; TEN-AD61C2989C09</x:v>
      </x:c>
      <x:c r="V221" s="2" t="str">
        <x:v>Engineering &amp; manufacturing; Education; Unresolved</x:v>
      </x:c>
      <x:c r="W221" s="2" t="str">
        <x:v>Medium-scale prospects; Mixed business audience</x:v>
      </x:c>
      <x:c r="X221" s="17" t="n">
        <x:f>IF(AND(H221=F221,NOT(ISNUMBER(N221)),N221="",ISNUMBER(K221)),K221,0)</x:f>
        <x:v>45000</x:v>
      </x:c>
      <x:c r="Y221" s="17" t="n">
        <x:f>IF(AND(H221=F221,NOT(ISNUMBER(N221)),N221="",K221="",ISNUMBER(O221)),O221,0)</x:f>
        <x:v>0</x:v>
      </x:c>
      <x:c r="Z221" s="17" t="n">
        <x:f>IF(AND(H221&gt;0,ISNUMBER(N221)),N221,0)</x:f>
        <x:v>0</x:v>
      </x:c>
      <x:c r="AA221" s="2" t="n">
        <x:f>IF(AND(H221&gt;0,N221="",NOT(ISNUMBER(Q221))),1,0)</x:f>
        <x:v>0</x:v>
      </x:c>
      <x:c r="AB221" s="2" t="n">
        <x:f>IF(AND(H221&gt;0,N221&lt;&gt;"",NOT(ISNUMBER(N221))),1,0)</x:f>
        <x:v>0</x:v>
      </x:c>
    </x:row>
    <x:row r="222" ht="48" customHeight="1">
      <x:c r="A222" s="2" t="str">
        <x:v>MAIN-173</x:v>
      </x:c>
      <x:c r="B222" s="2" t="str">
        <x:v>Main</x:v>
      </x:c>
      <x:c r="C222" s="2" t="str">
        <x:v>Delhi NCR</x:v>
      </x:c>
      <x:c r="D222" s="12" t="str">
        <x:v>Workflow by Oyo - CP Regal</x:v>
      </x:c>
      <x:c r="E222" s="12" t="str">
        <x:v>32 inch LED TV</x:v>
      </x:c>
      <x:c r="F222" s="2" t="n">
        <x:v>1</x:v>
      </x:c>
      <x:c r="G222" s="2" t="n">
        <x:v>1</x:v>
      </x:c>
      <x:c r="H222" s="2" t="n">
        <x:f>COUNTIFS('Inventory'!$N$7:$N$783,A222,'Inventory'!$A$7:$A$783,1)</x:f>
        <x:v>1</x:v>
      </x:c>
      <x:c r="I222" s="2" t="n">
        <x:f>SUMIFS('Inventory'!$G$7:$G$783,'Inventory'!$N$7:$N$783,A222,'Inventory'!$A$7:$A$783,1)</x:f>
        <x:v>1</x:v>
      </x:c>
      <x:c r="J222" s="12" t="str">
        <x:v>Listed budget</x:v>
      </x:c>
      <x:c r="K222" s="17" t="n">
        <x:v>15000</x:v>
      </x:c>
      <x:c r="L222" s="17"/>
      <x:c r="M222" s="17"/>
      <x:c r="N222" s="19"/>
      <x:c r="O222" s="17" t="str">
        <x:f>IF(ISNUMBER(L222),G222*L222,IF(ISNUMBER(M222),M222,""))</x:f>
      </x:c>
      <x:c r="P222" s="17" t="n">
        <x:f>IF(ISNUMBER(K222),K222,IF(ISNUMBER(O222),O222,""))</x:f>
        <x:v>15000</x:v>
      </x:c>
      <x:c r="Q222" s="17" t="n">
        <x:f>IF(H222=0,0,IF(ISNUMBER(N222),N222,IF(N222="",IF(H222=F222,P222,""),"")))</x:f>
        <x:v>15000</x:v>
      </x:c>
      <x:c r="R222" s="17" t="n">
        <x:f>IF(ISNUMBER(Q222),ROUND(Q222*$C$4,2),"")</x:f>
        <x:v>2700</x:v>
      </x:c>
      <x:c r="S222" s="17" t="n">
        <x:f>IF(ISNUMBER(Q222),Q222+R222,"")</x:f>
        <x:v>17700</x:v>
      </x:c>
      <x:c r="T222" s="2" t="str">
        <x:f>IF(H222=0,"Not selected",IF(ISNUMBER(N222),"Quote entered",IF(N222&lt;&gt;"","Enter numeric quote",IF(H222=F222,IF(ISNUMBER(P222),"Complete unit","Price required"),"Partial package: price required"))))</x:f>
        <x:v>Complete unit</x:v>
      </x:c>
      <x:c r="U222" s="2" t="str">
        <x:v>TEN-07032E5E2F11; TEN-4B3033162A43; TEN-83F49B1ECB34; TEN-B157654CDD7A; TEN-C388B75ED68D</x:v>
      </x:c>
      <x:c r="V222" s="2" t="str">
        <x:v>Education; Trade, consumer &amp; logistics; Unresolved</x:v>
      </x:c>
      <x:c r="W222" s="2" t="str">
        <x:v>Small-scale prospects; Mixed business audience</x:v>
      </x:c>
      <x:c r="X222" s="17" t="n">
        <x:f>IF(AND(H222=F222,NOT(ISNUMBER(N222)),N222="",ISNUMBER(K222)),K222,0)</x:f>
        <x:v>15000</x:v>
      </x:c>
      <x:c r="Y222" s="17" t="n">
        <x:f>IF(AND(H222=F222,NOT(ISNUMBER(N222)),N222="",K222="",ISNUMBER(O222)),O222,0)</x:f>
        <x:v>0</x:v>
      </x:c>
      <x:c r="Z222" s="17" t="n">
        <x:f>IF(AND(H222&gt;0,ISNUMBER(N222)),N222,0)</x:f>
        <x:v>0</x:v>
      </x:c>
      <x:c r="AA222" s="2" t="n">
        <x:f>IF(AND(H222&gt;0,N222="",NOT(ISNUMBER(Q222))),1,0)</x:f>
        <x:v>0</x:v>
      </x:c>
      <x:c r="AB222" s="2" t="n">
        <x:f>IF(AND(H222&gt;0,N222&lt;&gt;"",NOT(ISNUMBER(N222))),1,0)</x:f>
        <x:v>0</x:v>
      </x:c>
    </x:row>
    <x:row r="223" ht="48" customHeight="1">
      <x:c r="A223" s="2" t="str">
        <x:v>MAIN-174</x:v>
      </x:c>
      <x:c r="B223" s="2" t="str">
        <x:v>Main</x:v>
      </x:c>
      <x:c r="C223" s="2" t="str">
        <x:v>Delhi NCR</x:v>
      </x:c>
      <x:c r="D223" s="12" t="str">
        <x:v>Workflow by Oyo - CP2</x:v>
      </x:c>
      <x:c r="E223" s="12" t="str">
        <x:v>32 inch LED TV</x:v>
      </x:c>
      <x:c r="F223" s="2" t="n">
        <x:v>1</x:v>
      </x:c>
      <x:c r="G223" s="2" t="n">
        <x:v>2</x:v>
      </x:c>
      <x:c r="H223" s="2" t="n">
        <x:f>COUNTIFS('Inventory'!$N$7:$N$783,A223,'Inventory'!$A$7:$A$783,1)</x:f>
        <x:v>1</x:v>
      </x:c>
      <x:c r="I223" s="2" t="n">
        <x:f>SUMIFS('Inventory'!$G$7:$G$783,'Inventory'!$N$7:$N$783,A223,'Inventory'!$A$7:$A$783,1)</x:f>
        <x:v>2</x:v>
      </x:c>
      <x:c r="J223" s="12" t="str">
        <x:v>Listed budget</x:v>
      </x:c>
      <x:c r="K223" s="17" t="n">
        <x:v>30000</x:v>
      </x:c>
      <x:c r="L223" s="17"/>
      <x:c r="M223" s="17"/>
      <x:c r="N223" s="19"/>
      <x:c r="O223" s="17" t="str">
        <x:f>IF(ISNUMBER(L223),G223*L223,IF(ISNUMBER(M223),M223,""))</x:f>
      </x:c>
      <x:c r="P223" s="17" t="n">
        <x:f>IF(ISNUMBER(K223),K223,IF(ISNUMBER(O223),O223,""))</x:f>
        <x:v>30000</x:v>
      </x:c>
      <x:c r="Q223" s="17" t="n">
        <x:f>IF(H223=0,0,IF(ISNUMBER(N223),N223,IF(N223="",IF(H223=F223,P223,""),"")))</x:f>
        <x:v>30000</x:v>
      </x:c>
      <x:c r="R223" s="17" t="n">
        <x:f>IF(ISNUMBER(Q223),ROUND(Q223*$C$4,2),"")</x:f>
        <x:v>5400</x:v>
      </x:c>
      <x:c r="S223" s="17" t="n">
        <x:f>IF(ISNUMBER(Q223),Q223+R223,"")</x:f>
        <x:v>35400</x:v>
      </x:c>
      <x:c r="T223" s="2" t="str">
        <x:f>IF(H223=0,"Not selected",IF(ISNUMBER(N223),"Quote entered",IF(N223&lt;&gt;"","Enter numeric quote",IF(H223=F223,IF(ISNUMBER(P223),"Complete unit","Price required"),"Partial package: price required"))))</x:f>
        <x:v>Complete unit</x:v>
      </x:c>
      <x:c r="U223" s="2" t="str">
        <x:v>TEN-3C6BC4EB7AAD</x:v>
      </x:c>
      <x:c r="V223" s="2" t="str">
        <x:v>Workspace &amp; property operations</x:v>
      </x:c>
      <x:c r="W223" s="2" t="str">
        <x:v>Mixed business audience</x:v>
      </x:c>
      <x:c r="X223" s="17" t="n">
        <x:f>IF(AND(H223=F223,NOT(ISNUMBER(N223)),N223="",ISNUMBER(K223)),K223,0)</x:f>
        <x:v>30000</x:v>
      </x:c>
      <x:c r="Y223" s="17" t="n">
        <x:f>IF(AND(H223=F223,NOT(ISNUMBER(N223)),N223="",K223="",ISNUMBER(O223)),O223,0)</x:f>
        <x:v>0</x:v>
      </x:c>
      <x:c r="Z223" s="17" t="n">
        <x:f>IF(AND(H223&gt;0,ISNUMBER(N223)),N223,0)</x:f>
        <x:v>0</x:v>
      </x:c>
      <x:c r="AA223" s="2" t="n">
        <x:f>IF(AND(H223&gt;0,N223="",NOT(ISNUMBER(Q223))),1,0)</x:f>
        <x:v>0</x:v>
      </x:c>
      <x:c r="AB223" s="2" t="n">
        <x:f>IF(AND(H223&gt;0,N223&lt;&gt;"",NOT(ISNUMBER(N223))),1,0)</x:f>
        <x:v>0</x:v>
      </x:c>
    </x:row>
    <x:row r="224" ht="48" customHeight="1">
      <x:c r="A224" s="2" t="str">
        <x:v>MAIN-212</x:v>
      </x:c>
      <x:c r="B224" s="2" t="str">
        <x:v>Main</x:v>
      </x:c>
      <x:c r="C224" s="2" t="str">
        <x:v>Delhi NCR</x:v>
      </x:c>
      <x:c r="D224" s="12" t="str">
        <x:v>Workflow by Oyo - Golf Course Road</x:v>
      </x:c>
      <x:c r="E224" s="12" t="str">
        <x:v>32 inch LED TV</x:v>
      </x:c>
      <x:c r="F224" s="2" t="n">
        <x:v>1</x:v>
      </x:c>
      <x:c r="G224" s="2" t="n">
        <x:v>2</x:v>
      </x:c>
      <x:c r="H224" s="2" t="n">
        <x:f>COUNTIFS('Inventory'!$N$7:$N$783,A224,'Inventory'!$A$7:$A$783,1)</x:f>
        <x:v>1</x:v>
      </x:c>
      <x:c r="I224" s="2" t="n">
        <x:f>SUMIFS('Inventory'!$G$7:$G$783,'Inventory'!$N$7:$N$783,A224,'Inventory'!$A$7:$A$783,1)</x:f>
        <x:v>2</x:v>
      </x:c>
      <x:c r="J224" s="12" t="str">
        <x:v>Listed budget</x:v>
      </x:c>
      <x:c r="K224" s="17" t="n">
        <x:v>30000</x:v>
      </x:c>
      <x:c r="L224" s="17"/>
      <x:c r="M224" s="17"/>
      <x:c r="N224" s="19"/>
      <x:c r="O224" s="17" t="str">
        <x:f>IF(ISNUMBER(L224),G224*L224,IF(ISNUMBER(M224),M224,""))</x:f>
      </x:c>
      <x:c r="P224" s="17" t="n">
        <x:f>IF(ISNUMBER(K224),K224,IF(ISNUMBER(O224),O224,""))</x:f>
        <x:v>30000</x:v>
      </x:c>
      <x:c r="Q224" s="17" t="n">
        <x:f>IF(H224=0,0,IF(ISNUMBER(N224),N224,IF(N224="",IF(H224=F224,P224,""),"")))</x:f>
        <x:v>30000</x:v>
      </x:c>
      <x:c r="R224" s="17" t="n">
        <x:f>IF(ISNUMBER(Q224),ROUND(Q224*$C$4,2),"")</x:f>
        <x:v>5400</x:v>
      </x:c>
      <x:c r="S224" s="17" t="n">
        <x:f>IF(ISNUMBER(Q224),Q224+R224,"")</x:f>
        <x:v>35400</x:v>
      </x:c>
      <x:c r="T224" s="2" t="str">
        <x:f>IF(H224=0,"Not selected",IF(ISNUMBER(N224),"Quote entered",IF(N224&lt;&gt;"","Enter numeric quote",IF(H224=F224,IF(ISNUMBER(P224),"Complete unit","Price required"),"Partial package: price required"))))</x:f>
        <x:v>Complete unit</x:v>
      </x:c>
      <x:c r="U224" s="2" t="str">
        <x:v>TEN-4573DD09A1D9; TEN-81A1D02B9C6A; TEN-B430C8DE7AA8; TEN-C8390D04D3EE; TEN-CFE80234CF49; TEN-EA0570A92324</x:v>
      </x:c>
      <x:c r="V224" s="2" t="str">
        <x:v>IT &amp; digital; Trade, consumer &amp; logistics; Unresolved</x:v>
      </x:c>
      <x:c r="W224" s="2" t="str">
        <x:v>Small-scale prospects; Mixed business audience</x:v>
      </x:c>
      <x:c r="X224" s="17" t="n">
        <x:f>IF(AND(H224=F224,NOT(ISNUMBER(N224)),N224="",ISNUMBER(K224)),K224,0)</x:f>
        <x:v>30000</x:v>
      </x:c>
      <x:c r="Y224" s="17" t="n">
        <x:f>IF(AND(H224=F224,NOT(ISNUMBER(N224)),N224="",K224="",ISNUMBER(O224)),O224,0)</x:f>
        <x:v>0</x:v>
      </x:c>
      <x:c r="Z224" s="17" t="n">
        <x:f>IF(AND(H224&gt;0,ISNUMBER(N224)),N224,0)</x:f>
        <x:v>0</x:v>
      </x:c>
      <x:c r="AA224" s="2" t="n">
        <x:f>IF(AND(H224&gt;0,N224="",NOT(ISNUMBER(Q224))),1,0)</x:f>
        <x:v>0</x:v>
      </x:c>
      <x:c r="AB224" s="2" t="n">
        <x:f>IF(AND(H224&gt;0,N224&lt;&gt;"",NOT(ISNUMBER(N224))),1,0)</x:f>
        <x:v>0</x:v>
      </x:c>
    </x:row>
    <x:row r="225" ht="48" customHeight="1">
      <x:c r="A225" s="2" t="str">
        <x:v>MAIN-175</x:v>
      </x:c>
      <x:c r="B225" s="2" t="str">
        <x:v>Main</x:v>
      </x:c>
      <x:c r="C225" s="2" t="str">
        <x:v>Delhi NCR</x:v>
      </x:c>
      <x:c r="D225" s="12" t="str">
        <x:v>Workflow by Oyo - Old Fort Saket</x:v>
      </x:c>
      <x:c r="E225" s="12" t="str">
        <x:v>32 inch LED TV</x:v>
      </x:c>
      <x:c r="F225" s="2" t="n">
        <x:v>1</x:v>
      </x:c>
      <x:c r="G225" s="2" t="n">
        <x:v>1</x:v>
      </x:c>
      <x:c r="H225" s="2" t="n">
        <x:f>COUNTIFS('Inventory'!$N$7:$N$783,A225,'Inventory'!$A$7:$A$783,1)</x:f>
        <x:v>1</x:v>
      </x:c>
      <x:c r="I225" s="2" t="n">
        <x:f>SUMIFS('Inventory'!$G$7:$G$783,'Inventory'!$N$7:$N$783,A225,'Inventory'!$A$7:$A$783,1)</x:f>
        <x:v>1</x:v>
      </x:c>
      <x:c r="J225" s="12" t="str">
        <x:v>Listed budget</x:v>
      </x:c>
      <x:c r="K225" s="17" t="n">
        <x:v>15000</x:v>
      </x:c>
      <x:c r="L225" s="17"/>
      <x:c r="M225" s="17"/>
      <x:c r="N225" s="19"/>
      <x:c r="O225" s="17" t="str">
        <x:f>IF(ISNUMBER(L225),G225*L225,IF(ISNUMBER(M225),M225,""))</x:f>
      </x:c>
      <x:c r="P225" s="17" t="n">
        <x:f>IF(ISNUMBER(K225),K225,IF(ISNUMBER(O225),O225,""))</x:f>
        <x:v>15000</x:v>
      </x:c>
      <x:c r="Q225" s="17" t="n">
        <x:f>IF(H225=0,0,IF(ISNUMBER(N225),N225,IF(N225="",IF(H225=F225,P225,""),"")))</x:f>
        <x:v>15000</x:v>
      </x:c>
      <x:c r="R225" s="17" t="n">
        <x:f>IF(ISNUMBER(Q225),ROUND(Q225*$C$4,2),"")</x:f>
        <x:v>2700</x:v>
      </x:c>
      <x:c r="S225" s="17" t="n">
        <x:f>IF(ISNUMBER(Q225),Q225+R225,"")</x:f>
        <x:v>17700</x:v>
      </x:c>
      <x:c r="T225" s="2" t="str">
        <x:f>IF(H225=0,"Not selected",IF(ISNUMBER(N225),"Quote entered",IF(N225&lt;&gt;"","Enter numeric quote",IF(H225=F225,IF(ISNUMBER(P225),"Complete unit","Price required"),"Partial package: price required"))))</x:f>
        <x:v>Complete unit</x:v>
      </x:c>
      <x:c r="U225" s="2" t="str">
        <x:v>TEN-05A1DC3C79FD; TEN-1555F6364F01; TEN-38D920B1B6A2; TEN-518A857F7FE9; TEN-52A6BDDA690D; TEN-53DE01F21DAB; TEN-5723C6F86E45; TEN-8566DAFA0898; TEN-BC80F75880B5; TEN-C023C86F4E67; TEN-E1DBFBBDFA3C</x:v>
      </x:c>
      <x:c r="V225" s="2" t="str">
        <x:v>Professional services; Finance &amp; insurance; Trade, consumer &amp; logistics; Unresolved</x:v>
      </x:c>
      <x:c r="W225" s="2" t="str">
        <x:v>Small-scale prospects; Medium-scale prospects; Mixed business audience</x:v>
      </x:c>
      <x:c r="X225" s="17" t="n">
        <x:f>IF(AND(H225=F225,NOT(ISNUMBER(N225)),N225="",ISNUMBER(K225)),K225,0)</x:f>
        <x:v>15000</x:v>
      </x:c>
      <x:c r="Y225" s="17" t="n">
        <x:f>IF(AND(H225=F225,NOT(ISNUMBER(N225)),N225="",K225="",ISNUMBER(O225)),O225,0)</x:f>
        <x:v>0</x:v>
      </x:c>
      <x:c r="Z225" s="17" t="n">
        <x:f>IF(AND(H225&gt;0,ISNUMBER(N225)),N225,0)</x:f>
        <x:v>0</x:v>
      </x:c>
      <x:c r="AA225" s="2" t="n">
        <x:f>IF(AND(H225&gt;0,N225="",NOT(ISNUMBER(Q225))),1,0)</x:f>
        <x:v>0</x:v>
      </x:c>
      <x:c r="AB225" s="2" t="n">
        <x:f>IF(AND(H225&gt;0,N225&lt;&gt;"",NOT(ISNUMBER(N225))),1,0)</x:f>
        <x:v>0</x:v>
      </x:c>
    </x:row>
    <x:row r="226" ht="48" customHeight="1">
      <x:c r="A226" s="2" t="str">
        <x:v>MAIN-176</x:v>
      </x:c>
      <x:c r="B226" s="2" t="str">
        <x:v>Main</x:v>
      </x:c>
      <x:c r="C226" s="2" t="str">
        <x:v>Delhi NCR</x:v>
      </x:c>
      <x:c r="D226" s="12" t="str">
        <x:v>Workflow by Oyo - RV Saket</x:v>
      </x:c>
      <x:c r="E226" s="12" t="str">
        <x:v>32 inch LED TV</x:v>
      </x:c>
      <x:c r="F226" s="2" t="n">
        <x:v>1</x:v>
      </x:c>
      <x:c r="G226" s="2" t="n">
        <x:v>1</x:v>
      </x:c>
      <x:c r="H226" s="2" t="n">
        <x:f>COUNTIFS('Inventory'!$N$7:$N$783,A226,'Inventory'!$A$7:$A$783,1)</x:f>
        <x:v>1</x:v>
      </x:c>
      <x:c r="I226" s="2" t="n">
        <x:f>SUMIFS('Inventory'!$G$7:$G$783,'Inventory'!$N$7:$N$783,A226,'Inventory'!$A$7:$A$783,1)</x:f>
        <x:v>1</x:v>
      </x:c>
      <x:c r="J226" s="12" t="str">
        <x:v>Listed budget</x:v>
      </x:c>
      <x:c r="K226" s="17" t="n">
        <x:v>15000</x:v>
      </x:c>
      <x:c r="L226" s="17"/>
      <x:c r="M226" s="17"/>
      <x:c r="N226" s="19"/>
      <x:c r="O226" s="17" t="str">
        <x:f>IF(ISNUMBER(L226),G226*L226,IF(ISNUMBER(M226),M226,""))</x:f>
      </x:c>
      <x:c r="P226" s="17" t="n">
        <x:f>IF(ISNUMBER(K226),K226,IF(ISNUMBER(O226),O226,""))</x:f>
        <x:v>15000</x:v>
      </x:c>
      <x:c r="Q226" s="17" t="n">
        <x:f>IF(H226=0,0,IF(ISNUMBER(N226),N226,IF(N226="",IF(H226=F226,P226,""),"")))</x:f>
        <x:v>15000</x:v>
      </x:c>
      <x:c r="R226" s="17" t="n">
        <x:f>IF(ISNUMBER(Q226),ROUND(Q226*$C$4,2),"")</x:f>
        <x:v>2700</x:v>
      </x:c>
      <x:c r="S226" s="17" t="n">
        <x:f>IF(ISNUMBER(Q226),Q226+R226,"")</x:f>
        <x:v>17700</x:v>
      </x:c>
      <x:c r="T226" s="2" t="str">
        <x:f>IF(H226=0,"Not selected",IF(ISNUMBER(N226),"Quote entered",IF(N226&lt;&gt;"","Enter numeric quote",IF(H226=F226,IF(ISNUMBER(P226),"Complete unit","Price required"),"Partial package: price required"))))</x:f>
        <x:v>Complete unit</x:v>
      </x:c>
      <x:c r="U226" s="2" t="str">
        <x:v>TEN-3C6BC4EB7AAD</x:v>
      </x:c>
      <x:c r="V226" s="2" t="str">
        <x:v>Workspace &amp; property operations</x:v>
      </x:c>
      <x:c r="W226" s="2" t="str">
        <x:v>Mixed business audience</x:v>
      </x:c>
      <x:c r="X226" s="17" t="n">
        <x:f>IF(AND(H226=F226,NOT(ISNUMBER(N226)),N226="",ISNUMBER(K226)),K226,0)</x:f>
        <x:v>15000</x:v>
      </x:c>
      <x:c r="Y226" s="17" t="n">
        <x:f>IF(AND(H226=F226,NOT(ISNUMBER(N226)),N226="",K226="",ISNUMBER(O226)),O226,0)</x:f>
        <x:v>0</x:v>
      </x:c>
      <x:c r="Z226" s="17" t="n">
        <x:f>IF(AND(H226&gt;0,ISNUMBER(N226)),N226,0)</x:f>
        <x:v>0</x:v>
      </x:c>
      <x:c r="AA226" s="2" t="n">
        <x:f>IF(AND(H226&gt;0,N226="",NOT(ISNUMBER(Q226))),1,0)</x:f>
        <x:v>0</x:v>
      </x:c>
      <x:c r="AB226" s="2" t="n">
        <x:f>IF(AND(H226&gt;0,N226&lt;&gt;"",NOT(ISNUMBER(N226))),1,0)</x:f>
        <x:v>0</x:v>
      </x:c>
    </x:row>
    <x:row r="227" ht="48" customHeight="1">
      <x:c r="A227" s="2" t="str">
        <x:v>MAIN-378</x:v>
      </x:c>
      <x:c r="B227" s="2" t="str">
        <x:v>Main</x:v>
      </x:c>
      <x:c r="C227" s="2" t="str">
        <x:v>Delhi NCR</x:v>
      </x:c>
      <x:c r="D227" s="12" t="str">
        <x:v>World Trade Tower</x:v>
      </x:c>
      <x:c r="E227" s="12" t="str">
        <x:v>43 inch LED TV</x:v>
      </x:c>
      <x:c r="F227" s="2" t="n">
        <x:v>1</x:v>
      </x:c>
      <x:c r="G227" s="2" t="n">
        <x:v>13</x:v>
      </x:c>
      <x:c r="H227" s="2" t="n">
        <x:f>COUNTIFS('Inventory'!$N$7:$N$783,A227,'Inventory'!$A$7:$A$783,1)</x:f>
        <x:v>1</x:v>
      </x:c>
      <x:c r="I227" s="2" t="n">
        <x:f>SUMIFS('Inventory'!$G$7:$G$783,'Inventory'!$N$7:$N$783,A227,'Inventory'!$A$7:$A$783,1)</x:f>
        <x:v>13</x:v>
      </x:c>
      <x:c r="J227" s="12" t="str">
        <x:v>Campaign format rate</x:v>
      </x:c>
      <x:c r="K227" s="17"/>
      <x:c r="L227" s="17" t="n">
        <x:f>$E$5</x:f>
        <x:v>20000</x:v>
      </x:c>
      <x:c r="M227" s="17"/>
      <x:c r="N227" s="19"/>
      <x:c r="O227" s="17" t="n">
        <x:f>IF(ISNUMBER(L227),G227*L227,IF(ISNUMBER(M227),M227,""))</x:f>
        <x:v>260000</x:v>
      </x:c>
      <x:c r="P227" s="17" t="n">
        <x:f>IF(ISNUMBER(K227),K227,IF(ISNUMBER(O227),O227,""))</x:f>
        <x:v>260000</x:v>
      </x:c>
      <x:c r="Q227" s="17" t="n">
        <x:f>IF(H227=0,0,IF(ISNUMBER(N227),N227,IF(N227="",IF(H227=F227,P227,""),"")))</x:f>
        <x:v>260000</x:v>
      </x:c>
      <x:c r="R227" s="17" t="n">
        <x:f>IF(ISNUMBER(Q227),ROUND(Q227*$C$4,2),"")</x:f>
        <x:v>46800</x:v>
      </x:c>
      <x:c r="S227" s="17" t="n">
        <x:f>IF(ISNUMBER(Q227),Q227+R227,"")</x:f>
        <x:v>306800</x:v>
      </x:c>
      <x:c r="T227" s="2" t="str">
        <x:f>IF(H227=0,"Not selected",IF(ISNUMBER(N227),"Quote entered",IF(N227&lt;&gt;"","Enter numeric quote",IF(H227=F227,IF(ISNUMBER(P227),"Complete unit","Price required"),"Partial package: price required"))))</x:f>
        <x:v>Complete unit</x:v>
      </x:c>
      <x:c r="U227" s="2" t="str">
        <x:v>TEN-02E5BF6EE24C; TEN-0574A9A166FD; TEN-64872098ACA9; TEN-66CADC6FE62F; TEN-958DC8F886EA</x:v>
      </x:c>
      <x:c r="V227" s="2" t="str">
        <x:v>Professional services; Engineering &amp; manufacturing; Healthcare &amp; life sciences; Trade, consumer &amp; logistics</x:v>
      </x:c>
      <x:c r="W227" s="2" t="str">
        <x:v>Small-scale prospects; Medium-scale prospects; Large enterprise; Mixed business audience</x:v>
      </x:c>
      <x:c r="X227" s="17" t="n">
        <x:f>IF(AND(H227=F227,NOT(ISNUMBER(N227)),N227="",ISNUMBER(K227)),K227,0)</x:f>
        <x:v>0</x:v>
      </x:c>
      <x:c r="Y227" s="17" t="n">
        <x:f>IF(AND(H227=F227,NOT(ISNUMBER(N227)),N227="",K227="",ISNUMBER(O227)),O227,0)</x:f>
        <x:v>260000</x:v>
      </x:c>
      <x:c r="Z227" s="17" t="n">
        <x:f>IF(AND(H227&gt;0,ISNUMBER(N227)),N227,0)</x:f>
        <x:v>0</x:v>
      </x:c>
      <x:c r="AA227" s="2" t="n">
        <x:f>IF(AND(H227&gt;0,N227="",NOT(ISNUMBER(Q227))),1,0)</x:f>
        <x:v>0</x:v>
      </x:c>
      <x:c r="AB227" s="2" t="n">
        <x:f>IF(AND(H227&gt;0,N227&lt;&gt;"",NOT(ISNUMBER(N227))),1,0)</x:f>
        <x:v>0</x:v>
      </x:c>
    </x:row>
    <x:row r="228" ht="48" customHeight="1">
      <x:c r="A228" s="2" t="str">
        <x:v>MAIN-177</x:v>
      </x:c>
      <x:c r="B228" s="2" t="str">
        <x:v>Main</x:v>
      </x:c>
      <x:c r="C228" s="2" t="str">
        <x:v>Delhi NCR</x:v>
      </x:c>
      <x:c r="D228" s="12" t="str">
        <x:v>Worldmark 4</x:v>
      </x:c>
      <x:c r="E228" s="12" t="str">
        <x:v>55 inch LED TV</x:v>
      </x:c>
      <x:c r="F228" s="2" t="n">
        <x:v>1</x:v>
      </x:c>
      <x:c r="G228" s="2" t="n">
        <x:v>1</x:v>
      </x:c>
      <x:c r="H228" s="2" t="n">
        <x:f>COUNTIFS('Inventory'!$N$7:$N$783,A228,'Inventory'!$A$7:$A$783,1)</x:f>
        <x:v>1</x:v>
      </x:c>
      <x:c r="I228" s="2" t="n">
        <x:f>SUMIFS('Inventory'!$G$7:$G$783,'Inventory'!$N$7:$N$783,A228,'Inventory'!$A$7:$A$783,1)</x:f>
        <x:v>1</x:v>
      </x:c>
      <x:c r="J228" s="12" t="str">
        <x:v>Campaign format rate</x:v>
      </x:c>
      <x:c r="K228" s="17"/>
      <x:c r="L228" s="17" t="n">
        <x:f>$I$5</x:f>
        <x:v>40000</x:v>
      </x:c>
      <x:c r="M228" s="17"/>
      <x:c r="N228" s="19"/>
      <x:c r="O228" s="17" t="n">
        <x:f>IF(ISNUMBER(L228),G228*L228,IF(ISNUMBER(M228),M228,""))</x:f>
        <x:v>40000</x:v>
      </x:c>
      <x:c r="P228" s="17" t="n">
        <x:f>IF(ISNUMBER(K228),K228,IF(ISNUMBER(O228),O228,""))</x:f>
        <x:v>40000</x:v>
      </x:c>
      <x:c r="Q228" s="17" t="n">
        <x:f>IF(H228=0,0,IF(ISNUMBER(N228),N228,IF(N228="",IF(H228=F228,P228,""),"")))</x:f>
        <x:v>40000</x:v>
      </x:c>
      <x:c r="R228" s="17" t="n">
        <x:f>IF(ISNUMBER(Q228),ROUND(Q228*$C$4,2),"")</x:f>
        <x:v>7200</x:v>
      </x:c>
      <x:c r="S228" s="17" t="n">
        <x:f>IF(ISNUMBER(Q228),Q228+R228,"")</x:f>
        <x:v>47200</x:v>
      </x:c>
      <x:c r="T228" s="2" t="str">
        <x:f>IF(H228=0,"Not selected",IF(ISNUMBER(N228),"Quote entered",IF(N228&lt;&gt;"","Enter numeric quote",IF(H228=F228,IF(ISNUMBER(P228),"Complete unit","Price required"),"Partial package: price required"))))</x:f>
        <x:v>Complete unit</x:v>
      </x:c>
      <x:c r="U228" s="2" t="str"/>
      <x:c r="V228" s="2" t="str">
        <x:v>Unclassified</x:v>
      </x:c>
      <x:c r="W228" s="2" t="str">
        <x:v>Mixed business audience</x:v>
      </x:c>
      <x:c r="X228" s="17" t="n">
        <x:f>IF(AND(H228=F228,NOT(ISNUMBER(N228)),N228="",ISNUMBER(K228)),K228,0)</x:f>
        <x:v>0</x:v>
      </x:c>
      <x:c r="Y228" s="17" t="n">
        <x:f>IF(AND(H228=F228,NOT(ISNUMBER(N228)),N228="",K228="",ISNUMBER(O228)),O228,0)</x:f>
        <x:v>40000</x:v>
      </x:c>
      <x:c r="Z228" s="17" t="n">
        <x:f>IF(AND(H228&gt;0,ISNUMBER(N228)),N228,0)</x:f>
        <x:v>0</x:v>
      </x:c>
      <x:c r="AA228" s="2" t="n">
        <x:f>IF(AND(H228&gt;0,N228="",NOT(ISNUMBER(Q228))),1,0)</x:f>
        <x:v>0</x:v>
      </x:c>
      <x:c r="AB228" s="2" t="n">
        <x:f>IF(AND(H228&gt;0,N228&lt;&gt;"",NOT(ISNUMBER(N228))),1,0)</x:f>
        <x:v>0</x:v>
      </x:c>
    </x:row>
    <x:row r="229" ht="48" customHeight="1">
      <x:c r="A229" s="2" t="str">
        <x:v>MAIN-213</x:v>
      </x:c>
      <x:c r="B229" s="2" t="str">
        <x:v>Main</x:v>
      </x:c>
      <x:c r="C229" s="2" t="str">
        <x:v>Hyderabad</x:v>
      </x:c>
      <x:c r="D229" s="12" t="str">
        <x:v>Aurobindo Galaxy (TS)</x:v>
      </x:c>
      <x:c r="E229" s="12" t="str">
        <x:v>55 inch LED TV</x:v>
      </x:c>
      <x:c r="F229" s="2" t="n">
        <x:v>1</x:v>
      </x:c>
      <x:c r="G229" s="2" t="n">
        <x:v>5</x:v>
      </x:c>
      <x:c r="H229" s="2" t="n">
        <x:f>COUNTIFS('Inventory'!$N$7:$N$783,A229,'Inventory'!$A$7:$A$783,1)</x:f>
        <x:v>1</x:v>
      </x:c>
      <x:c r="I229" s="2" t="n">
        <x:f>SUMIFS('Inventory'!$G$7:$G$783,'Inventory'!$N$7:$N$783,A229,'Inventory'!$A$7:$A$783,1)</x:f>
        <x:v>5</x:v>
      </x:c>
      <x:c r="J229" s="12" t="str">
        <x:v>Campaign format rate</x:v>
      </x:c>
      <x:c r="K229" s="17"/>
      <x:c r="L229" s="17" t="n">
        <x:f>$I$5</x:f>
        <x:v>40000</x:v>
      </x:c>
      <x:c r="M229" s="17"/>
      <x:c r="N229" s="19"/>
      <x:c r="O229" s="17" t="n">
        <x:f>IF(ISNUMBER(L229),G229*L229,IF(ISNUMBER(M229),M229,""))</x:f>
        <x:v>200000</x:v>
      </x:c>
      <x:c r="P229" s="17" t="n">
        <x:f>IF(ISNUMBER(K229),K229,IF(ISNUMBER(O229),O229,""))</x:f>
        <x:v>200000</x:v>
      </x:c>
      <x:c r="Q229" s="17" t="n">
        <x:f>IF(H229=0,0,IF(ISNUMBER(N229),N229,IF(N229="",IF(H229=F229,P229,""),"")))</x:f>
        <x:v>200000</x:v>
      </x:c>
      <x:c r="R229" s="17" t="n">
        <x:f>IF(ISNUMBER(Q229),ROUND(Q229*$C$4,2),"")</x:f>
        <x:v>36000</x:v>
      </x:c>
      <x:c r="S229" s="17" t="n">
        <x:f>IF(ISNUMBER(Q229),Q229+R229,"")</x:f>
        <x:v>236000</x:v>
      </x:c>
      <x:c r="T229" s="2" t="str">
        <x:f>IF(H229=0,"Not selected",IF(ISNUMBER(N229),"Quote entered",IF(N229&lt;&gt;"","Enter numeric quote",IF(H229=F229,IF(ISNUMBER(P229),"Complete unit","Price required"),"Partial package: price required"))))</x:f>
        <x:v>Complete unit</x:v>
      </x:c>
      <x:c r="U229" s="2" t="str"/>
      <x:c r="V229" s="2" t="str">
        <x:v>Unclassified</x:v>
      </x:c>
      <x:c r="W229" s="2" t="str">
        <x:v>Mixed business audience</x:v>
      </x:c>
      <x:c r="X229" s="17" t="n">
        <x:f>IF(AND(H229=F229,NOT(ISNUMBER(N229)),N229="",ISNUMBER(K229)),K229,0)</x:f>
        <x:v>0</x:v>
      </x:c>
      <x:c r="Y229" s="17" t="n">
        <x:f>IF(AND(H229=F229,NOT(ISNUMBER(N229)),N229="",K229="",ISNUMBER(O229)),O229,0)</x:f>
        <x:v>200000</x:v>
      </x:c>
      <x:c r="Z229" s="17" t="n">
        <x:f>IF(AND(H229&gt;0,ISNUMBER(N229)),N229,0)</x:f>
        <x:v>0</x:v>
      </x:c>
      <x:c r="AA229" s="2" t="n">
        <x:f>IF(AND(H229&gt;0,N229="",NOT(ISNUMBER(Q229))),1,0)</x:f>
        <x:v>0</x:v>
      </x:c>
      <x:c r="AB229" s="2" t="n">
        <x:f>IF(AND(H229&gt;0,N229&lt;&gt;"",NOT(ISNUMBER(N229))),1,0)</x:f>
        <x:v>0</x:v>
      </x:c>
    </x:row>
    <x:row r="230" ht="48" customHeight="1">
      <x:c r="A230" s="2" t="str">
        <x:v>MAIN-215</x:v>
      </x:c>
      <x:c r="B230" s="2" t="str">
        <x:v>Main</x:v>
      </x:c>
      <x:c r="C230" s="2" t="str">
        <x:v>Hyderabad</x:v>
      </x:c>
      <x:c r="D230" s="12" t="str">
        <x:v>Awfis - B144Lorven Tiara</x:v>
      </x:c>
      <x:c r="E230" s="12" t="str">
        <x:v>32 inch LED TV</x:v>
      </x:c>
      <x:c r="F230" s="2" t="n">
        <x:v>1</x:v>
      </x:c>
      <x:c r="G230" s="2" t="n">
        <x:v>8</x:v>
      </x:c>
      <x:c r="H230" s="2" t="n">
        <x:f>COUNTIFS('Inventory'!$N$7:$N$783,A230,'Inventory'!$A$7:$A$783,1)</x:f>
        <x:v>1</x:v>
      </x:c>
      <x:c r="I230" s="2" t="n">
        <x:f>SUMIFS('Inventory'!$G$7:$G$783,'Inventory'!$N$7:$N$783,A230,'Inventory'!$A$7:$A$783,1)</x:f>
        <x:v>8</x:v>
      </x:c>
      <x:c r="J230" s="12" t="str">
        <x:v>Listed budget</x:v>
      </x:c>
      <x:c r="K230" s="17" t="n">
        <x:v>120000</x:v>
      </x:c>
      <x:c r="L230" s="17"/>
      <x:c r="M230" s="17"/>
      <x:c r="N230" s="19"/>
      <x:c r="O230" s="17" t="str">
        <x:f>IF(ISNUMBER(L230),G230*L230,IF(ISNUMBER(M230),M230,""))</x:f>
      </x:c>
      <x:c r="P230" s="17" t="n">
        <x:f>IF(ISNUMBER(K230),K230,IF(ISNUMBER(O230),O230,""))</x:f>
        <x:v>120000</x:v>
      </x:c>
      <x:c r="Q230" s="17" t="n">
        <x:f>IF(H230=0,0,IF(ISNUMBER(N230),N230,IF(N230="",IF(H230=F230,P230,""),"")))</x:f>
        <x:v>120000</x:v>
      </x:c>
      <x:c r="R230" s="17" t="n">
        <x:f>IF(ISNUMBER(Q230),ROUND(Q230*$C$4,2),"")</x:f>
        <x:v>21600</x:v>
      </x:c>
      <x:c r="S230" s="17" t="n">
        <x:f>IF(ISNUMBER(Q230),Q230+R230,"")</x:f>
        <x:v>141600</x:v>
      </x:c>
      <x:c r="T230" s="2" t="str">
        <x:f>IF(H230=0,"Not selected",IF(ISNUMBER(N230),"Quote entered",IF(N230&lt;&gt;"","Enter numeric quote",IF(H230=F230,IF(ISNUMBER(P230),"Complete unit","Price required"),"Partial package: price required"))))</x:f>
        <x:v>Complete unit</x:v>
      </x:c>
      <x:c r="U230" s="2" t="str">
        <x:v>TEN-20994E8D41B3; TEN-628E4C3127EB; TEN-7DA7E229D048; TEN-81815D26A3F0</x:v>
      </x:c>
      <x:c r="V230" s="2" t="str">
        <x:v>IT &amp; digital; Engineering &amp; manufacturing; Education; Unresolved</x:v>
      </x:c>
      <x:c r="W230" s="2" t="str">
        <x:v>Small-scale prospects; Mixed business audience</x:v>
      </x:c>
      <x:c r="X230" s="17" t="n">
        <x:f>IF(AND(H230=F230,NOT(ISNUMBER(N230)),N230="",ISNUMBER(K230)),K230,0)</x:f>
        <x:v>120000</x:v>
      </x:c>
      <x:c r="Y230" s="17" t="n">
        <x:f>IF(AND(H230=F230,NOT(ISNUMBER(N230)),N230="",K230="",ISNUMBER(O230)),O230,0)</x:f>
        <x:v>0</x:v>
      </x:c>
      <x:c r="Z230" s="17" t="n">
        <x:f>IF(AND(H230&gt;0,ISNUMBER(N230)),N230,0)</x:f>
        <x:v>0</x:v>
      </x:c>
      <x:c r="AA230" s="2" t="n">
        <x:f>IF(AND(H230&gt;0,N230="",NOT(ISNUMBER(Q230))),1,0)</x:f>
        <x:v>0</x:v>
      </x:c>
      <x:c r="AB230" s="2" t="n">
        <x:f>IF(AND(H230&gt;0,N230&lt;&gt;"",NOT(ISNUMBER(N230))),1,0)</x:f>
        <x:v>0</x:v>
      </x:c>
    </x:row>
    <x:row r="231" ht="48" customHeight="1">
      <x:c r="A231" s="2" t="str">
        <x:v>MAIN-216</x:v>
      </x:c>
      <x:c r="B231" s="2" t="str">
        <x:v>Main</x:v>
      </x:c>
      <x:c r="C231" s="2" t="str">
        <x:v>Hyderabad</x:v>
      </x:c>
      <x:c r="D231" s="12" t="str">
        <x:v>Awfis - DSL Abacus IT Park</x:v>
      </x:c>
      <x:c r="E231" s="12" t="str">
        <x:v>32 inch LED TV</x:v>
      </x:c>
      <x:c r="F231" s="2" t="n">
        <x:v>1</x:v>
      </x:c>
      <x:c r="G231" s="2" t="n">
        <x:v>2</x:v>
      </x:c>
      <x:c r="H231" s="2" t="n">
        <x:f>COUNTIFS('Inventory'!$N$7:$N$783,A231,'Inventory'!$A$7:$A$783,1)</x:f>
        <x:v>1</x:v>
      </x:c>
      <x:c r="I231" s="2" t="n">
        <x:f>SUMIFS('Inventory'!$G$7:$G$783,'Inventory'!$N$7:$N$783,A231,'Inventory'!$A$7:$A$783,1)</x:f>
        <x:v>2</x:v>
      </x:c>
      <x:c r="J231" s="12" t="str">
        <x:v>Listed budget</x:v>
      </x:c>
      <x:c r="K231" s="17" t="n">
        <x:v>30000</x:v>
      </x:c>
      <x:c r="L231" s="17"/>
      <x:c r="M231" s="17"/>
      <x:c r="N231" s="19"/>
      <x:c r="O231" s="17" t="str">
        <x:f>IF(ISNUMBER(L231),G231*L231,IF(ISNUMBER(M231),M231,""))</x:f>
      </x:c>
      <x:c r="P231" s="17" t="n">
        <x:f>IF(ISNUMBER(K231),K231,IF(ISNUMBER(O231),O231,""))</x:f>
        <x:v>30000</x:v>
      </x:c>
      <x:c r="Q231" s="17" t="n">
        <x:f>IF(H231=0,0,IF(ISNUMBER(N231),N231,IF(N231="",IF(H231=F231,P231,""),"")))</x:f>
        <x:v>30000</x:v>
      </x:c>
      <x:c r="R231" s="17" t="n">
        <x:f>IF(ISNUMBER(Q231),ROUND(Q231*$C$4,2),"")</x:f>
        <x:v>5400</x:v>
      </x:c>
      <x:c r="S231" s="17" t="n">
        <x:f>IF(ISNUMBER(Q231),Q231+R231,"")</x:f>
        <x:v>35400</x:v>
      </x:c>
      <x:c r="T231" s="2" t="str">
        <x:f>IF(H231=0,"Not selected",IF(ISNUMBER(N231),"Quote entered",IF(N231&lt;&gt;"","Enter numeric quote",IF(H231=F231,IF(ISNUMBER(P231),"Complete unit","Price required"),"Partial package: price required"))))</x:f>
        <x:v>Complete unit</x:v>
      </x:c>
      <x:c r="U231" s="2" t="str">
        <x:v>TEN-29E4A775BC88; TEN-5C5D346958F3; TEN-60EAFC738403; TEN-705C0F9C3F03; TEN-990BC2BC88C9; TEN-9F5A39E11E3A; TEN-AABA7A1D0419; TEN-B90FFE81C61A; TEN-BCB13DC1344E; TEN-C3FC44005541; TEN-E1CBD9AE574D; TEN-F498E1746FB4</x:v>
      </x:c>
      <x:c r="V231" s="2" t="str">
        <x:v>IT &amp; digital; Engineering &amp; manufacturing; Unresolved</x:v>
      </x:c>
      <x:c r="W231" s="2" t="str">
        <x:v>Small-scale prospects; Medium-scale prospects; Mixed business audience</x:v>
      </x:c>
      <x:c r="X231" s="17" t="n">
        <x:f>IF(AND(H231=F231,NOT(ISNUMBER(N231)),N231="",ISNUMBER(K231)),K231,0)</x:f>
        <x:v>30000</x:v>
      </x:c>
      <x:c r="Y231" s="17" t="n">
        <x:f>IF(AND(H231=F231,NOT(ISNUMBER(N231)),N231="",K231="",ISNUMBER(O231)),O231,0)</x:f>
        <x:v>0</x:v>
      </x:c>
      <x:c r="Z231" s="17" t="n">
        <x:f>IF(AND(H231&gt;0,ISNUMBER(N231)),N231,0)</x:f>
        <x:v>0</x:v>
      </x:c>
      <x:c r="AA231" s="2" t="n">
        <x:f>IF(AND(H231&gt;0,N231="",NOT(ISNUMBER(Q231))),1,0)</x:f>
        <x:v>0</x:v>
      </x:c>
      <x:c r="AB231" s="2" t="n">
        <x:f>IF(AND(H231&gt;0,N231&lt;&gt;"",NOT(ISNUMBER(N231))),1,0)</x:f>
        <x:v>0</x:v>
      </x:c>
    </x:row>
    <x:row r="232" ht="48" customHeight="1">
      <x:c r="A232" s="2" t="str">
        <x:v>MAIN-217</x:v>
      </x:c>
      <x:c r="B232" s="2" t="str">
        <x:v>Main</x:v>
      </x:c>
      <x:c r="C232" s="2" t="str">
        <x:v>Hyderabad</x:v>
      </x:c>
      <x:c r="D232" s="12" t="str">
        <x:v>Awfis - Hitech City 1st</x:v>
      </x:c>
      <x:c r="E232" s="12" t="str">
        <x:v>32 inch LED TV</x:v>
      </x:c>
      <x:c r="F232" s="2" t="n">
        <x:v>1</x:v>
      </x:c>
      <x:c r="G232" s="2" t="n">
        <x:v>3</x:v>
      </x:c>
      <x:c r="H232" s="2" t="n">
        <x:f>COUNTIFS('Inventory'!$N$7:$N$783,A232,'Inventory'!$A$7:$A$783,1)</x:f>
        <x:v>1</x:v>
      </x:c>
      <x:c r="I232" s="2" t="n">
        <x:f>SUMIFS('Inventory'!$G$7:$G$783,'Inventory'!$N$7:$N$783,A232,'Inventory'!$A$7:$A$783,1)</x:f>
        <x:v>3</x:v>
      </x:c>
      <x:c r="J232" s="12" t="str">
        <x:v>Listed budget</x:v>
      </x:c>
      <x:c r="K232" s="17" t="n">
        <x:v>45000</x:v>
      </x:c>
      <x:c r="L232" s="17"/>
      <x:c r="M232" s="17"/>
      <x:c r="N232" s="19"/>
      <x:c r="O232" s="17" t="str">
        <x:f>IF(ISNUMBER(L232),G232*L232,IF(ISNUMBER(M232),M232,""))</x:f>
      </x:c>
      <x:c r="P232" s="17" t="n">
        <x:f>IF(ISNUMBER(K232),K232,IF(ISNUMBER(O232),O232,""))</x:f>
        <x:v>45000</x:v>
      </x:c>
      <x:c r="Q232" s="17" t="n">
        <x:f>IF(H232=0,0,IF(ISNUMBER(N232),N232,IF(N232="",IF(H232=F232,P232,""),"")))</x:f>
        <x:v>45000</x:v>
      </x:c>
      <x:c r="R232" s="17" t="n">
        <x:f>IF(ISNUMBER(Q232),ROUND(Q232*$C$4,2),"")</x:f>
        <x:v>8100</x:v>
      </x:c>
      <x:c r="S232" s="17" t="n">
        <x:f>IF(ISNUMBER(Q232),Q232+R232,"")</x:f>
        <x:v>53100</x:v>
      </x:c>
      <x:c r="T232" s="2" t="str">
        <x:f>IF(H232=0,"Not selected",IF(ISNUMBER(N232),"Quote entered",IF(N232&lt;&gt;"","Enter numeric quote",IF(H232=F232,IF(ISNUMBER(P232),"Complete unit","Price required"),"Partial package: price required"))))</x:f>
        <x:v>Complete unit</x:v>
      </x:c>
      <x:c r="U232" s="2" t="str">
        <x:v>TEN-104332CE4C07; TEN-696EF014F52C; TEN-897383DD281F; TEN-B8E6D97935CA; TEN-DE3D6001F138</x:v>
      </x:c>
      <x:c r="V232" s="2" t="str">
        <x:v>IT &amp; digital; Unresolved</x:v>
      </x:c>
      <x:c r="W232" s="2" t="str">
        <x:v>Small-scale prospects; Mixed business audience</x:v>
      </x:c>
      <x:c r="X232" s="17" t="n">
        <x:f>IF(AND(H232=F232,NOT(ISNUMBER(N232)),N232="",ISNUMBER(K232)),K232,0)</x:f>
        <x:v>45000</x:v>
      </x:c>
      <x:c r="Y232" s="17" t="n">
        <x:f>IF(AND(H232=F232,NOT(ISNUMBER(N232)),N232="",K232="",ISNUMBER(O232)),O232,0)</x:f>
        <x:v>0</x:v>
      </x:c>
      <x:c r="Z232" s="17" t="n">
        <x:f>IF(AND(H232&gt;0,ISNUMBER(N232)),N232,0)</x:f>
        <x:v>0</x:v>
      </x:c>
      <x:c r="AA232" s="2" t="n">
        <x:f>IF(AND(H232&gt;0,N232="",NOT(ISNUMBER(Q232))),1,0)</x:f>
        <x:v>0</x:v>
      </x:c>
      <x:c r="AB232" s="2" t="n">
        <x:f>IF(AND(H232&gt;0,N232&lt;&gt;"",NOT(ISNUMBER(N232))),1,0)</x:f>
        <x:v>0</x:v>
      </x:c>
    </x:row>
    <x:row r="233" ht="48" customHeight="1">
      <x:c r="A233" s="2" t="str">
        <x:v>MAIN-218</x:v>
      </x:c>
      <x:c r="B233" s="2" t="str">
        <x:v>Main</x:v>
      </x:c>
      <x:c r="C233" s="2" t="str">
        <x:v>Hyderabad</x:v>
      </x:c>
      <x:c r="D233" s="12" t="str">
        <x:v>Awfis - Hitech City 4th</x:v>
      </x:c>
      <x:c r="E233" s="12" t="str">
        <x:v>32 inch LED TV</x:v>
      </x:c>
      <x:c r="F233" s="2" t="n">
        <x:v>1</x:v>
      </x:c>
      <x:c r="G233" s="2" t="n">
        <x:v>3</x:v>
      </x:c>
      <x:c r="H233" s="2" t="n">
        <x:f>COUNTIFS('Inventory'!$N$7:$N$783,A233,'Inventory'!$A$7:$A$783,1)</x:f>
        <x:v>1</x:v>
      </x:c>
      <x:c r="I233" s="2" t="n">
        <x:f>SUMIFS('Inventory'!$G$7:$G$783,'Inventory'!$N$7:$N$783,A233,'Inventory'!$A$7:$A$783,1)</x:f>
        <x:v>3</x:v>
      </x:c>
      <x:c r="J233" s="12" t="str">
        <x:v>Listed budget</x:v>
      </x:c>
      <x:c r="K233" s="17" t="n">
        <x:v>45000</x:v>
      </x:c>
      <x:c r="L233" s="17"/>
      <x:c r="M233" s="17"/>
      <x:c r="N233" s="19"/>
      <x:c r="O233" s="17" t="str">
        <x:f>IF(ISNUMBER(L233),G233*L233,IF(ISNUMBER(M233),M233,""))</x:f>
      </x:c>
      <x:c r="P233" s="17" t="n">
        <x:f>IF(ISNUMBER(K233),K233,IF(ISNUMBER(O233),O233,""))</x:f>
        <x:v>45000</x:v>
      </x:c>
      <x:c r="Q233" s="17" t="n">
        <x:f>IF(H233=0,0,IF(ISNUMBER(N233),N233,IF(N233="",IF(H233=F233,P233,""),"")))</x:f>
        <x:v>45000</x:v>
      </x:c>
      <x:c r="R233" s="17" t="n">
        <x:f>IF(ISNUMBER(Q233),ROUND(Q233*$C$4,2),"")</x:f>
        <x:v>8100</x:v>
      </x:c>
      <x:c r="S233" s="17" t="n">
        <x:f>IF(ISNUMBER(Q233),Q233+R233,"")</x:f>
        <x:v>53100</x:v>
      </x:c>
      <x:c r="T233" s="2" t="str">
        <x:f>IF(H233=0,"Not selected",IF(ISNUMBER(N233),"Quote entered",IF(N233&lt;&gt;"","Enter numeric quote",IF(H233=F233,IF(ISNUMBER(P233),"Complete unit","Price required"),"Partial package: price required"))))</x:f>
        <x:v>Complete unit</x:v>
      </x:c>
      <x:c r="U233" s="2" t="str">
        <x:v>TEN-1060001425BF; TEN-26EB931B4D24; TEN-4421EF3FD27F; TEN-7BD90F1535C8; TEN-7FBD858E7FC7; TEN-D39F51DEE522</x:v>
      </x:c>
      <x:c r="V233" s="2" t="str">
        <x:v>Healthcare &amp; life sciences; Unresolved</x:v>
      </x:c>
      <x:c r="W233" s="2" t="str">
        <x:v>Medium-scale prospects; Mixed business audience</x:v>
      </x:c>
      <x:c r="X233" s="17" t="n">
        <x:f>IF(AND(H233=F233,NOT(ISNUMBER(N233)),N233="",ISNUMBER(K233)),K233,0)</x:f>
        <x:v>45000</x:v>
      </x:c>
      <x:c r="Y233" s="17" t="n">
        <x:f>IF(AND(H233=F233,NOT(ISNUMBER(N233)),N233="",K233="",ISNUMBER(O233)),O233,0)</x:f>
        <x:v>0</x:v>
      </x:c>
      <x:c r="Z233" s="17" t="n">
        <x:f>IF(AND(H233&gt;0,ISNUMBER(N233)),N233,0)</x:f>
        <x:v>0</x:v>
      </x:c>
      <x:c r="AA233" s="2" t="n">
        <x:f>IF(AND(H233&gt;0,N233="",NOT(ISNUMBER(Q233))),1,0)</x:f>
        <x:v>0</x:v>
      </x:c>
      <x:c r="AB233" s="2" t="n">
        <x:f>IF(AND(H233&gt;0,N233&lt;&gt;"",NOT(ISNUMBER(N233))),1,0)</x:f>
        <x:v>0</x:v>
      </x:c>
    </x:row>
    <x:row r="234" ht="48" customHeight="1">
      <x:c r="A234" s="2" t="str">
        <x:v>MAIN-219</x:v>
      </x:c>
      <x:c r="B234" s="2" t="str">
        <x:v>Main</x:v>
      </x:c>
      <x:c r="C234" s="2" t="str">
        <x:v>Hyderabad</x:v>
      </x:c>
      <x:c r="D234" s="12" t="str">
        <x:v>Awfis - Hitech City 6th</x:v>
      </x:c>
      <x:c r="E234" s="12" t="str">
        <x:v>32 inch LED TV</x:v>
      </x:c>
      <x:c r="F234" s="2" t="n">
        <x:v>1</x:v>
      </x:c>
      <x:c r="G234" s="2" t="n">
        <x:v>2</x:v>
      </x:c>
      <x:c r="H234" s="2" t="n">
        <x:f>COUNTIFS('Inventory'!$N$7:$N$783,A234,'Inventory'!$A$7:$A$783,1)</x:f>
        <x:v>1</x:v>
      </x:c>
      <x:c r="I234" s="2" t="n">
        <x:f>SUMIFS('Inventory'!$G$7:$G$783,'Inventory'!$N$7:$N$783,A234,'Inventory'!$A$7:$A$783,1)</x:f>
        <x:v>2</x:v>
      </x:c>
      <x:c r="J234" s="12" t="str">
        <x:v>Estimate: same-site rate</x:v>
      </x:c>
      <x:c r="K234" s="17"/>
      <x:c r="L234" s="17" t="n">
        <x:v>15000</x:v>
      </x:c>
      <x:c r="M234" s="17"/>
      <x:c r="N234" s="19"/>
      <x:c r="O234" s="17" t="n">
        <x:f>IF(ISNUMBER(L234),G234*L234,IF(ISNUMBER(M234),M234,""))</x:f>
        <x:v>30000</x:v>
      </x:c>
      <x:c r="P234" s="17" t="n">
        <x:f>IF(ISNUMBER(K234),K234,IF(ISNUMBER(O234),O234,""))</x:f>
        <x:v>30000</x:v>
      </x:c>
      <x:c r="Q234" s="17" t="n">
        <x:f>IF(H234=0,0,IF(ISNUMBER(N234),N234,IF(N234="",IF(H234=F234,P234,""),"")))</x:f>
        <x:v>30000</x:v>
      </x:c>
      <x:c r="R234" s="17" t="n">
        <x:f>IF(ISNUMBER(Q234),ROUND(Q234*$C$4,2),"")</x:f>
        <x:v>5400</x:v>
      </x:c>
      <x:c r="S234" s="17" t="n">
        <x:f>IF(ISNUMBER(Q234),Q234+R234,"")</x:f>
        <x:v>35400</x:v>
      </x:c>
      <x:c r="T234" s="2" t="str">
        <x:f>IF(H234=0,"Not selected",IF(ISNUMBER(N234),"Quote entered",IF(N234&lt;&gt;"","Enter numeric quote",IF(H234=F234,IF(ISNUMBER(P234),"Complete unit","Price required"),"Partial package: price required"))))</x:f>
        <x:v>Complete unit</x:v>
      </x:c>
      <x:c r="U234" s="2" t="str">
        <x:v>TEN-3EF1EF17F0B1; TEN-41ACC4C416AA; TEN-498CDFB360D3; TEN-7CDCC156D8FE; TEN-9299DB4A2A77; TEN-B608E2C75AC8; TEN-BC81BE6A17D3; TEN-C525AC6A72A0; TEN-DD342226D88C; TEN-F245DCACA3B9; TEN-F6797F6E5637</x:v>
      </x:c>
      <x:c r="V234" s="2" t="str">
        <x:v>IT &amp; digital; Professional services; Finance &amp; insurance; Healthcare &amp; life sciences; Trade, consumer &amp; logistics; Unresolved</x:v>
      </x:c>
      <x:c r="W234" s="2" t="str">
        <x:v>Small-scale prospects; Medium-scale prospects; Large enterprise; Mixed business audience</x:v>
      </x:c>
      <x:c r="X234" s="17" t="n">
        <x:f>IF(AND(H234=F234,NOT(ISNUMBER(N234)),N234="",ISNUMBER(K234)),K234,0)</x:f>
        <x:v>0</x:v>
      </x:c>
      <x:c r="Y234" s="17" t="n">
        <x:f>IF(AND(H234=F234,NOT(ISNUMBER(N234)),N234="",K234="",ISNUMBER(O234)),O234,0)</x:f>
        <x:v>30000</x:v>
      </x:c>
      <x:c r="Z234" s="17" t="n">
        <x:f>IF(AND(H234&gt;0,ISNUMBER(N234)),N234,0)</x:f>
        <x:v>0</x:v>
      </x:c>
      <x:c r="AA234" s="2" t="n">
        <x:f>IF(AND(H234&gt;0,N234="",NOT(ISNUMBER(Q234))),1,0)</x:f>
        <x:v>0</x:v>
      </x:c>
      <x:c r="AB234" s="2" t="n">
        <x:f>IF(AND(H234&gt;0,N234&lt;&gt;"",NOT(ISNUMBER(N234))),1,0)</x:f>
        <x:v>0</x:v>
      </x:c>
    </x:row>
    <x:row r="235" ht="48" customHeight="1">
      <x:c r="A235" s="2" t="str">
        <x:v>MAIN-220</x:v>
      </x:c>
      <x:c r="B235" s="2" t="str">
        <x:v>Main</x:v>
      </x:c>
      <x:c r="C235" s="2" t="str">
        <x:v>Hyderabad</x:v>
      </x:c>
      <x:c r="D235" s="12" t="str">
        <x:v>Awfis - Myscape Weave</x:v>
      </x:c>
      <x:c r="E235" s="12" t="str">
        <x:v>32 inch LED TV</x:v>
      </x:c>
      <x:c r="F235" s="2" t="n">
        <x:v>1</x:v>
      </x:c>
      <x:c r="G235" s="2" t="n">
        <x:v>2</x:v>
      </x:c>
      <x:c r="H235" s="2" t="n">
        <x:f>COUNTIFS('Inventory'!$N$7:$N$783,A235,'Inventory'!$A$7:$A$783,1)</x:f>
        <x:v>1</x:v>
      </x:c>
      <x:c r="I235" s="2" t="n">
        <x:f>SUMIFS('Inventory'!$G$7:$G$783,'Inventory'!$N$7:$N$783,A235,'Inventory'!$A$7:$A$783,1)</x:f>
        <x:v>2</x:v>
      </x:c>
      <x:c r="J235" s="12" t="str">
        <x:v>Listed budget</x:v>
      </x:c>
      <x:c r="K235" s="17" t="n">
        <x:v>30000</x:v>
      </x:c>
      <x:c r="L235" s="17"/>
      <x:c r="M235" s="17"/>
      <x:c r="N235" s="19"/>
      <x:c r="O235" s="17" t="str">
        <x:f>IF(ISNUMBER(L235),G235*L235,IF(ISNUMBER(M235),M235,""))</x:f>
      </x:c>
      <x:c r="P235" s="17" t="n">
        <x:f>IF(ISNUMBER(K235),K235,IF(ISNUMBER(O235),O235,""))</x:f>
        <x:v>30000</x:v>
      </x:c>
      <x:c r="Q235" s="17" t="n">
        <x:f>IF(H235=0,0,IF(ISNUMBER(N235),N235,IF(N235="",IF(H235=F235,P235,""),"")))</x:f>
        <x:v>30000</x:v>
      </x:c>
      <x:c r="R235" s="17" t="n">
        <x:f>IF(ISNUMBER(Q235),ROUND(Q235*$C$4,2),"")</x:f>
        <x:v>5400</x:v>
      </x:c>
      <x:c r="S235" s="17" t="n">
        <x:f>IF(ISNUMBER(Q235),Q235+R235,"")</x:f>
        <x:v>35400</x:v>
      </x:c>
      <x:c r="T235" s="2" t="str">
        <x:f>IF(H235=0,"Not selected",IF(ISNUMBER(N235),"Quote entered",IF(N235&lt;&gt;"","Enter numeric quote",IF(H235=F235,IF(ISNUMBER(P235),"Complete unit","Price required"),"Partial package: price required"))))</x:f>
        <x:v>Complete unit</x:v>
      </x:c>
      <x:c r="U235" s="2" t="str">
        <x:v>TEN-7EEAA5C48638</x:v>
      </x:c>
      <x:c r="V235" s="2" t="str">
        <x:v>Trade, consumer &amp; logistics</x:v>
      </x:c>
      <x:c r="W235" s="2" t="str">
        <x:v>Small-scale prospects</x:v>
      </x:c>
      <x:c r="X235" s="17" t="n">
        <x:f>IF(AND(H235=F235,NOT(ISNUMBER(N235)),N235="",ISNUMBER(K235)),K235,0)</x:f>
        <x:v>30000</x:v>
      </x:c>
      <x:c r="Y235" s="17" t="n">
        <x:f>IF(AND(H235=F235,NOT(ISNUMBER(N235)),N235="",K235="",ISNUMBER(O235)),O235,0)</x:f>
        <x:v>0</x:v>
      </x:c>
      <x:c r="Z235" s="17" t="n">
        <x:f>IF(AND(H235&gt;0,ISNUMBER(N235)),N235,0)</x:f>
        <x:v>0</x:v>
      </x:c>
      <x:c r="AA235" s="2" t="n">
        <x:f>IF(AND(H235&gt;0,N235="",NOT(ISNUMBER(Q235))),1,0)</x:f>
        <x:v>0</x:v>
      </x:c>
      <x:c r="AB235" s="2" t="n">
        <x:f>IF(AND(H235&gt;0,N235&lt;&gt;"",NOT(ISNUMBER(N235))),1,0)</x:f>
        <x:v>0</x:v>
      </x:c>
    </x:row>
    <x:row r="236" ht="48" customHeight="1">
      <x:c r="A236" s="2" t="str">
        <x:v>MAIN-221</x:v>
      </x:c>
      <x:c r="B236" s="2" t="str">
        <x:v>Main</x:v>
      </x:c>
      <x:c r="C236" s="2" t="str">
        <x:v>Hyderabad</x:v>
      </x:c>
      <x:c r="D236" s="12" t="str">
        <x:v>Awfis - Oyster Complex</x:v>
      </x:c>
      <x:c r="E236" s="12" t="str">
        <x:v>24 inch LED TV, 32 inch LED TV</x:v>
      </x:c>
      <x:c r="F236" s="2" t="n">
        <x:v>1</x:v>
      </x:c>
      <x:c r="G236" s="2" t="n">
        <x:v>3</x:v>
      </x:c>
      <x:c r="H236" s="2" t="n">
        <x:f>COUNTIFS('Inventory'!$N$7:$N$783,A236,'Inventory'!$A$7:$A$783,1)</x:f>
        <x:v>1</x:v>
      </x:c>
      <x:c r="I236" s="2" t="n">
        <x:f>SUMIFS('Inventory'!$G$7:$G$783,'Inventory'!$N$7:$N$783,A236,'Inventory'!$A$7:$A$783,1)</x:f>
        <x:v>3</x:v>
      </x:c>
      <x:c r="J236" s="12" t="str">
        <x:v>Listed budget</x:v>
      </x:c>
      <x:c r="K236" s="17" t="n">
        <x:v>45000</x:v>
      </x:c>
      <x:c r="L236" s="17"/>
      <x:c r="M236" s="17"/>
      <x:c r="N236" s="19"/>
      <x:c r="O236" s="17" t="str">
        <x:f>IF(ISNUMBER(L236),G236*L236,IF(ISNUMBER(M236),M236,""))</x:f>
      </x:c>
      <x:c r="P236" s="17" t="n">
        <x:f>IF(ISNUMBER(K236),K236,IF(ISNUMBER(O236),O236,""))</x:f>
        <x:v>45000</x:v>
      </x:c>
      <x:c r="Q236" s="17" t="n">
        <x:f>IF(H236=0,0,IF(ISNUMBER(N236),N236,IF(N236="",IF(H236=F236,P236,""),"")))</x:f>
        <x:v>45000</x:v>
      </x:c>
      <x:c r="R236" s="17" t="n">
        <x:f>IF(ISNUMBER(Q236),ROUND(Q236*$C$4,2),"")</x:f>
        <x:v>8100</x:v>
      </x:c>
      <x:c r="S236" s="17" t="n">
        <x:f>IF(ISNUMBER(Q236),Q236+R236,"")</x:f>
        <x:v>53100</x:v>
      </x:c>
      <x:c r="T236" s="2" t="str">
        <x:f>IF(H236=0,"Not selected",IF(ISNUMBER(N236),"Quote entered",IF(N236&lt;&gt;"","Enter numeric quote",IF(H236=F236,IF(ISNUMBER(P236),"Complete unit","Price required"),"Partial package: price required"))))</x:f>
        <x:v>Complete unit</x:v>
      </x:c>
      <x:c r="U236" s="2" t="str">
        <x:v>TEN-520E38F2296E; TEN-55B1CEC73AC7; TEN-55F53741C757; TEN-92AB83E2F102; TEN-AAC1A4C13A29; TEN-B0B13A53811B; TEN-DD342226D88C; TEN-F6797F6E5637</x:v>
      </x:c>
      <x:c r="V236" s="2" t="str">
        <x:v>Professional services; Finance &amp; insurance; Trade, consumer &amp; logistics; Unresolved</x:v>
      </x:c>
      <x:c r="W236" s="2" t="str">
        <x:v>Small-scale prospects; Medium-scale prospects; Mixed business audience</x:v>
      </x:c>
      <x:c r="X236" s="17" t="n">
        <x:f>IF(AND(H236=F236,NOT(ISNUMBER(N236)),N236="",ISNUMBER(K236)),K236,0)</x:f>
        <x:v>45000</x:v>
      </x:c>
      <x:c r="Y236" s="17" t="n">
        <x:f>IF(AND(H236=F236,NOT(ISNUMBER(N236)),N236="",K236="",ISNUMBER(O236)),O236,0)</x:f>
        <x:v>0</x:v>
      </x:c>
      <x:c r="Z236" s="17" t="n">
        <x:f>IF(AND(H236&gt;0,ISNUMBER(N236)),N236,0)</x:f>
        <x:v>0</x:v>
      </x:c>
      <x:c r="AA236" s="2" t="n">
        <x:f>IF(AND(H236&gt;0,N236="",NOT(ISNUMBER(Q236))),1,0)</x:f>
        <x:v>0</x:v>
      </x:c>
      <x:c r="AB236" s="2" t="n">
        <x:f>IF(AND(H236&gt;0,N236&lt;&gt;"",NOT(ISNUMBER(N236))),1,0)</x:f>
        <x:v>0</x:v>
      </x:c>
    </x:row>
    <x:row r="237" ht="48" customHeight="1">
      <x:c r="A237" s="2" t="str">
        <x:v>MAIN-222</x:v>
      </x:c>
      <x:c r="B237" s="2" t="str">
        <x:v>Main</x:v>
      </x:c>
      <x:c r="C237" s="2" t="str">
        <x:v>Hyderabad</x:v>
      </x:c>
      <x:c r="D237" s="12" t="str">
        <x:v>Awfis - Prestige Phoenix</x:v>
      </x:c>
      <x:c r="E237" s="12" t="str">
        <x:v>32 inch LED TV</x:v>
      </x:c>
      <x:c r="F237" s="2" t="n">
        <x:v>1</x:v>
      </x:c>
      <x:c r="G237" s="2" t="n">
        <x:v>3</x:v>
      </x:c>
      <x:c r="H237" s="2" t="n">
        <x:f>COUNTIFS('Inventory'!$N$7:$N$783,A237,'Inventory'!$A$7:$A$783,1)</x:f>
        <x:v>1</x:v>
      </x:c>
      <x:c r="I237" s="2" t="n">
        <x:f>SUMIFS('Inventory'!$G$7:$G$783,'Inventory'!$N$7:$N$783,A237,'Inventory'!$A$7:$A$783,1)</x:f>
        <x:v>3</x:v>
      </x:c>
      <x:c r="J237" s="12" t="str">
        <x:v>Listed budget</x:v>
      </x:c>
      <x:c r="K237" s="17" t="n">
        <x:v>45000</x:v>
      </x:c>
      <x:c r="L237" s="17"/>
      <x:c r="M237" s="17"/>
      <x:c r="N237" s="19"/>
      <x:c r="O237" s="17" t="str">
        <x:f>IF(ISNUMBER(L237),G237*L237,IF(ISNUMBER(M237),M237,""))</x:f>
      </x:c>
      <x:c r="P237" s="17" t="n">
        <x:f>IF(ISNUMBER(K237),K237,IF(ISNUMBER(O237),O237,""))</x:f>
        <x:v>45000</x:v>
      </x:c>
      <x:c r="Q237" s="17" t="n">
        <x:f>IF(H237=0,0,IF(ISNUMBER(N237),N237,IF(N237="",IF(H237=F237,P237,""),"")))</x:f>
        <x:v>45000</x:v>
      </x:c>
      <x:c r="R237" s="17" t="n">
        <x:f>IF(ISNUMBER(Q237),ROUND(Q237*$C$4,2),"")</x:f>
        <x:v>8100</x:v>
      </x:c>
      <x:c r="S237" s="17" t="n">
        <x:f>IF(ISNUMBER(Q237),Q237+R237,"")</x:f>
        <x:v>53100</x:v>
      </x:c>
      <x:c r="T237" s="2" t="str">
        <x:f>IF(H237=0,"Not selected",IF(ISNUMBER(N237),"Quote entered",IF(N237&lt;&gt;"","Enter numeric quote",IF(H237=F237,IF(ISNUMBER(P237),"Complete unit","Price required"),"Partial package: price required"))))</x:f>
        <x:v>Complete unit</x:v>
      </x:c>
      <x:c r="U237" s="2" t="str">
        <x:v>TEN-95FF34CF19E6; TEN-C4D854EC4DAA; TEN-F8D66EC99CED</x:v>
      </x:c>
      <x:c r="V237" s="2" t="str">
        <x:v>Finance &amp; insurance; Engineering &amp; manufacturing; Healthcare &amp; life sciences</x:v>
      </x:c>
      <x:c r="W237" s="2" t="str">
        <x:v>Mixed business audience</x:v>
      </x:c>
      <x:c r="X237" s="17" t="n">
        <x:f>IF(AND(H237=F237,NOT(ISNUMBER(N237)),N237="",ISNUMBER(K237)),K237,0)</x:f>
        <x:v>45000</x:v>
      </x:c>
      <x:c r="Y237" s="17" t="n">
        <x:f>IF(AND(H237=F237,NOT(ISNUMBER(N237)),N237="",K237="",ISNUMBER(O237)),O237,0)</x:f>
        <x:v>0</x:v>
      </x:c>
      <x:c r="Z237" s="17" t="n">
        <x:f>IF(AND(H237&gt;0,ISNUMBER(N237)),N237,0)</x:f>
        <x:v>0</x:v>
      </x:c>
      <x:c r="AA237" s="2" t="n">
        <x:f>IF(AND(H237&gt;0,N237="",NOT(ISNUMBER(Q237))),1,0)</x:f>
        <x:v>0</x:v>
      </x:c>
      <x:c r="AB237" s="2" t="n">
        <x:f>IF(AND(H237&gt;0,N237&lt;&gt;"",NOT(ISNUMBER(N237))),1,0)</x:f>
        <x:v>0</x:v>
      </x:c>
    </x:row>
    <x:row r="238" ht="48" customHeight="1">
      <x:c r="A238" s="2" t="str">
        <x:v>MAIN-223</x:v>
      </x:c>
      <x:c r="B238" s="2" t="str">
        <x:v>Main</x:v>
      </x:c>
      <x:c r="C238" s="2" t="str">
        <x:v>Hyderabad</x:v>
      </x:c>
      <x:c r="D238" s="12" t="str">
        <x:v>Awfis - Prestige Skytech</x:v>
      </x:c>
      <x:c r="E238" s="12" t="str">
        <x:v>32 inch LED TV</x:v>
      </x:c>
      <x:c r="F238" s="2" t="n">
        <x:v>1</x:v>
      </x:c>
      <x:c r="G238" s="2" t="n">
        <x:v>2</x:v>
      </x:c>
      <x:c r="H238" s="2" t="n">
        <x:f>COUNTIFS('Inventory'!$N$7:$N$783,A238,'Inventory'!$A$7:$A$783,1)</x:f>
        <x:v>1</x:v>
      </x:c>
      <x:c r="I238" s="2" t="n">
        <x:f>SUMIFS('Inventory'!$G$7:$G$783,'Inventory'!$N$7:$N$783,A238,'Inventory'!$A$7:$A$783,1)</x:f>
        <x:v>2</x:v>
      </x:c>
      <x:c r="J238" s="12" t="str">
        <x:v>Listed budget</x:v>
      </x:c>
      <x:c r="K238" s="17" t="n">
        <x:v>30000</x:v>
      </x:c>
      <x:c r="L238" s="17"/>
      <x:c r="M238" s="17"/>
      <x:c r="N238" s="19"/>
      <x:c r="O238" s="17" t="str">
        <x:f>IF(ISNUMBER(L238),G238*L238,IF(ISNUMBER(M238),M238,""))</x:f>
      </x:c>
      <x:c r="P238" s="17" t="n">
        <x:f>IF(ISNUMBER(K238),K238,IF(ISNUMBER(O238),O238,""))</x:f>
        <x:v>30000</x:v>
      </x:c>
      <x:c r="Q238" s="17" t="n">
        <x:f>IF(H238=0,0,IF(ISNUMBER(N238),N238,IF(N238="",IF(H238=F238,P238,""),"")))</x:f>
        <x:v>30000</x:v>
      </x:c>
      <x:c r="R238" s="17" t="n">
        <x:f>IF(ISNUMBER(Q238),ROUND(Q238*$C$4,2),"")</x:f>
        <x:v>5400</x:v>
      </x:c>
      <x:c r="S238" s="17" t="n">
        <x:f>IF(ISNUMBER(Q238),Q238+R238,"")</x:f>
        <x:v>35400</x:v>
      </x:c>
      <x:c r="T238" s="2" t="str">
        <x:f>IF(H238=0,"Not selected",IF(ISNUMBER(N238),"Quote entered",IF(N238&lt;&gt;"","Enter numeric quote",IF(H238=F238,IF(ISNUMBER(P238),"Complete unit","Price required"),"Partial package: price required"))))</x:f>
        <x:v>Complete unit</x:v>
      </x:c>
      <x:c r="U238" s="2" t="str">
        <x:v>TEN-01852F0C541F</x:v>
      </x:c>
      <x:c r="V238" s="2" t="str">
        <x:v>IT &amp; digital</x:v>
      </x:c>
      <x:c r="W238" s="2" t="str">
        <x:v>Small-scale prospects</x:v>
      </x:c>
      <x:c r="X238" s="17" t="n">
        <x:f>IF(AND(H238=F238,NOT(ISNUMBER(N238)),N238="",ISNUMBER(K238)),K238,0)</x:f>
        <x:v>30000</x:v>
      </x:c>
      <x:c r="Y238" s="17" t="n">
        <x:f>IF(AND(H238=F238,NOT(ISNUMBER(N238)),N238="",K238="",ISNUMBER(O238)),O238,0)</x:f>
        <x:v>0</x:v>
      </x:c>
      <x:c r="Z238" s="17" t="n">
        <x:f>IF(AND(H238&gt;0,ISNUMBER(N238)),N238,0)</x:f>
        <x:v>0</x:v>
      </x:c>
      <x:c r="AA238" s="2" t="n">
        <x:f>IF(AND(H238&gt;0,N238="",NOT(ISNUMBER(Q238))),1,0)</x:f>
        <x:v>0</x:v>
      </x:c>
      <x:c r="AB238" s="2" t="n">
        <x:f>IF(AND(H238&gt;0,N238&lt;&gt;"",NOT(ISNUMBER(N238))),1,0)</x:f>
        <x:v>0</x:v>
      </x:c>
    </x:row>
    <x:row r="239" ht="48" customHeight="1">
      <x:c r="A239" s="2" t="str">
        <x:v>MAIN-224</x:v>
      </x:c>
      <x:c r="B239" s="2" t="str">
        <x:v>Main</x:v>
      </x:c>
      <x:c r="C239" s="2" t="str">
        <x:v>Hyderabad</x:v>
      </x:c>
      <x:c r="D239" s="12" t="str">
        <x:v>Awfis - Rajapushpa Summit</x:v>
      </x:c>
      <x:c r="E239" s="12" t="str">
        <x:v>32 inch LED TV</x:v>
      </x:c>
      <x:c r="F239" s="2" t="n">
        <x:v>1</x:v>
      </x:c>
      <x:c r="G239" s="2" t="n">
        <x:v>3</x:v>
      </x:c>
      <x:c r="H239" s="2" t="n">
        <x:f>COUNTIFS('Inventory'!$N$7:$N$783,A239,'Inventory'!$A$7:$A$783,1)</x:f>
        <x:v>1</x:v>
      </x:c>
      <x:c r="I239" s="2" t="n">
        <x:f>SUMIFS('Inventory'!$G$7:$G$783,'Inventory'!$N$7:$N$783,A239,'Inventory'!$A$7:$A$783,1)</x:f>
        <x:v>3</x:v>
      </x:c>
      <x:c r="J239" s="12" t="str">
        <x:v>Listed budget</x:v>
      </x:c>
      <x:c r="K239" s="17" t="n">
        <x:v>45000</x:v>
      </x:c>
      <x:c r="L239" s="17"/>
      <x:c r="M239" s="17"/>
      <x:c r="N239" s="19"/>
      <x:c r="O239" s="17" t="str">
        <x:f>IF(ISNUMBER(L239),G239*L239,IF(ISNUMBER(M239),M239,""))</x:f>
      </x:c>
      <x:c r="P239" s="17" t="n">
        <x:f>IF(ISNUMBER(K239),K239,IF(ISNUMBER(O239),O239,""))</x:f>
        <x:v>45000</x:v>
      </x:c>
      <x:c r="Q239" s="17" t="n">
        <x:f>IF(H239=0,0,IF(ISNUMBER(N239),N239,IF(N239="",IF(H239=F239,P239,""),"")))</x:f>
        <x:v>45000</x:v>
      </x:c>
      <x:c r="R239" s="17" t="n">
        <x:f>IF(ISNUMBER(Q239),ROUND(Q239*$C$4,2),"")</x:f>
        <x:v>8100</x:v>
      </x:c>
      <x:c r="S239" s="17" t="n">
        <x:f>IF(ISNUMBER(Q239),Q239+R239,"")</x:f>
        <x:v>53100</x:v>
      </x:c>
      <x:c r="T239" s="2" t="str">
        <x:f>IF(H239=0,"Not selected",IF(ISNUMBER(N239),"Quote entered",IF(N239&lt;&gt;"","Enter numeric quote",IF(H239=F239,IF(ISNUMBER(P239),"Complete unit","Price required"),"Partial package: price required"))))</x:f>
        <x:v>Complete unit</x:v>
      </x:c>
      <x:c r="U239" s="2" t="str">
        <x:v>TEN-45D9225952C7; TEN-5B81D52D4310; TEN-7AF845A38273; TEN-AF5979674500; TEN-C28DCC1AC830</x:v>
      </x:c>
      <x:c r="V239" s="2" t="str">
        <x:v>IT &amp; digital; Trade, consumer &amp; logistics; Workspace &amp; property operations; Unresolved</x:v>
      </x:c>
      <x:c r="W239" s="2" t="str">
        <x:v>Small-scale prospects; Large enterprise; Mixed business audience</x:v>
      </x:c>
      <x:c r="X239" s="17" t="n">
        <x:f>IF(AND(H239=F239,NOT(ISNUMBER(N239)),N239="",ISNUMBER(K239)),K239,0)</x:f>
        <x:v>45000</x:v>
      </x:c>
      <x:c r="Y239" s="17" t="n">
        <x:f>IF(AND(H239=F239,NOT(ISNUMBER(N239)),N239="",K239="",ISNUMBER(O239)),O239,0)</x:f>
        <x:v>0</x:v>
      </x:c>
      <x:c r="Z239" s="17" t="n">
        <x:f>IF(AND(H239&gt;0,ISNUMBER(N239)),N239,0)</x:f>
        <x:v>0</x:v>
      </x:c>
      <x:c r="AA239" s="2" t="n">
        <x:f>IF(AND(H239&gt;0,N239="",NOT(ISNUMBER(Q239))),1,0)</x:f>
        <x:v>0</x:v>
      </x:c>
      <x:c r="AB239" s="2" t="n">
        <x:f>IF(AND(H239&gt;0,N239&lt;&gt;"",NOT(ISNUMBER(N239))),1,0)</x:f>
        <x:v>0</x:v>
      </x:c>
    </x:row>
    <x:row r="240" ht="48" customHeight="1">
      <x:c r="A240" s="2" t="str">
        <x:v>MAIN-225</x:v>
      </x:c>
      <x:c r="B240" s="2" t="str">
        <x:v>Main</x:v>
      </x:c>
      <x:c r="C240" s="2" t="str">
        <x:v>Hyderabad</x:v>
      </x:c>
      <x:c r="D240" s="12" t="str">
        <x:v>Awfis - Vasavi MPM Mall</x:v>
      </x:c>
      <x:c r="E240" s="12" t="str">
        <x:v>32 inch LED TV</x:v>
      </x:c>
      <x:c r="F240" s="2" t="n">
        <x:v>1</x:v>
      </x:c>
      <x:c r="G240" s="2" t="n">
        <x:v>2</x:v>
      </x:c>
      <x:c r="H240" s="2" t="n">
        <x:f>COUNTIFS('Inventory'!$N$7:$N$783,A240,'Inventory'!$A$7:$A$783,1)</x:f>
        <x:v>1</x:v>
      </x:c>
      <x:c r="I240" s="2" t="n">
        <x:f>SUMIFS('Inventory'!$G$7:$G$783,'Inventory'!$N$7:$N$783,A240,'Inventory'!$A$7:$A$783,1)</x:f>
        <x:v>2</x:v>
      </x:c>
      <x:c r="J240" s="12" t="str">
        <x:v>Listed budget</x:v>
      </x:c>
      <x:c r="K240" s="17" t="n">
        <x:v>30000</x:v>
      </x:c>
      <x:c r="L240" s="17"/>
      <x:c r="M240" s="17"/>
      <x:c r="N240" s="19"/>
      <x:c r="O240" s="17" t="str">
        <x:f>IF(ISNUMBER(L240),G240*L240,IF(ISNUMBER(M240),M240,""))</x:f>
      </x:c>
      <x:c r="P240" s="17" t="n">
        <x:f>IF(ISNUMBER(K240),K240,IF(ISNUMBER(O240),O240,""))</x:f>
        <x:v>30000</x:v>
      </x:c>
      <x:c r="Q240" s="17" t="n">
        <x:f>IF(H240=0,0,IF(ISNUMBER(N240),N240,IF(N240="",IF(H240=F240,P240,""),"")))</x:f>
        <x:v>30000</x:v>
      </x:c>
      <x:c r="R240" s="17" t="n">
        <x:f>IF(ISNUMBER(Q240),ROUND(Q240*$C$4,2),"")</x:f>
        <x:v>5400</x:v>
      </x:c>
      <x:c r="S240" s="17" t="n">
        <x:f>IF(ISNUMBER(Q240),Q240+R240,"")</x:f>
        <x:v>35400</x:v>
      </x:c>
      <x:c r="T240" s="2" t="str">
        <x:f>IF(H240=0,"Not selected",IF(ISNUMBER(N240),"Quote entered",IF(N240&lt;&gt;"","Enter numeric quote",IF(H240=F240,IF(ISNUMBER(P240),"Complete unit","Price required"),"Partial package: price required"))))</x:f>
        <x:v>Complete unit</x:v>
      </x:c>
      <x:c r="U240" s="2" t="str">
        <x:v>TEN-00C839FED430; TEN-21A82BF14B76; TEN-4DAC977F7C8C; TEN-65B3339FFCA4; TEN-681BFF1142BC; TEN-7480369513A1; TEN-AA97FBCCF197; TEN-DDCD44A7DAAA</x:v>
      </x:c>
      <x:c r="V240" s="2" t="str">
        <x:v>IT &amp; digital; Professional services; Healthcare &amp; life sciences; Education; Unresolved</x:v>
      </x:c>
      <x:c r="W240" s="2" t="str">
        <x:v>Small-scale prospects; Mixed business audience</x:v>
      </x:c>
      <x:c r="X240" s="17" t="n">
        <x:f>IF(AND(H240=F240,NOT(ISNUMBER(N240)),N240="",ISNUMBER(K240)),K240,0)</x:f>
        <x:v>30000</x:v>
      </x:c>
      <x:c r="Y240" s="17" t="n">
        <x:f>IF(AND(H240=F240,NOT(ISNUMBER(N240)),N240="",K240="",ISNUMBER(O240)),O240,0)</x:f>
        <x:v>0</x:v>
      </x:c>
      <x:c r="Z240" s="17" t="n">
        <x:f>IF(AND(H240&gt;0,ISNUMBER(N240)),N240,0)</x:f>
        <x:v>0</x:v>
      </x:c>
      <x:c r="AA240" s="2" t="n">
        <x:f>IF(AND(H240&gt;0,N240="",NOT(ISNUMBER(Q240))),1,0)</x:f>
        <x:v>0</x:v>
      </x:c>
      <x:c r="AB240" s="2" t="n">
        <x:f>IF(AND(H240&gt;0,N240&lt;&gt;"",NOT(ISNUMBER(N240))),1,0)</x:f>
        <x:v>0</x:v>
      </x:c>
    </x:row>
    <x:row r="241" ht="48" customHeight="1">
      <x:c r="A241" s="2" t="str">
        <x:v>MAIN-226</x:v>
      </x:c>
      <x:c r="B241" s="2" t="str">
        <x:v>Main</x:v>
      </x:c>
      <x:c r="C241" s="2" t="str">
        <x:v>Hyderabad</x:v>
      </x:c>
      <x:c r="D241" s="12" t="str">
        <x:v>CIE Office Space</x:v>
      </x:c>
      <x:c r="E241" s="12" t="str">
        <x:v>32 inch LED TV</x:v>
      </x:c>
      <x:c r="F241" s="2" t="n">
        <x:v>1</x:v>
      </x:c>
      <x:c r="G241" s="2" t="n">
        <x:v>4</x:v>
      </x:c>
      <x:c r="H241" s="2" t="n">
        <x:f>COUNTIFS('Inventory'!$N$7:$N$783,A241,'Inventory'!$A$7:$A$783,1)</x:f>
        <x:v>1</x:v>
      </x:c>
      <x:c r="I241" s="2" t="n">
        <x:f>SUMIFS('Inventory'!$G$7:$G$783,'Inventory'!$N$7:$N$783,A241,'Inventory'!$A$7:$A$783,1)</x:f>
        <x:v>4</x:v>
      </x:c>
      <x:c r="J241" s="12" t="str">
        <x:v>Listed budget</x:v>
      </x:c>
      <x:c r="K241" s="17" t="n">
        <x:v>60000</x:v>
      </x:c>
      <x:c r="L241" s="17"/>
      <x:c r="M241" s="17"/>
      <x:c r="N241" s="19"/>
      <x:c r="O241" s="17" t="str">
        <x:f>IF(ISNUMBER(L241),G241*L241,IF(ISNUMBER(M241),M241,""))</x:f>
      </x:c>
      <x:c r="P241" s="17" t="n">
        <x:f>IF(ISNUMBER(K241),K241,IF(ISNUMBER(O241),O241,""))</x:f>
        <x:v>60000</x:v>
      </x:c>
      <x:c r="Q241" s="17" t="n">
        <x:f>IF(H241=0,0,IF(ISNUMBER(N241),N241,IF(N241="",IF(H241=F241,P241,""),"")))</x:f>
        <x:v>60000</x:v>
      </x:c>
      <x:c r="R241" s="17" t="n">
        <x:f>IF(ISNUMBER(Q241),ROUND(Q241*$C$4,2),"")</x:f>
        <x:v>10800</x:v>
      </x:c>
      <x:c r="S241" s="17" t="n">
        <x:f>IF(ISNUMBER(Q241),Q241+R241,"")</x:f>
        <x:v>70800</x:v>
      </x:c>
      <x:c r="T241" s="2" t="str">
        <x:f>IF(H241=0,"Not selected",IF(ISNUMBER(N241),"Quote entered",IF(N241&lt;&gt;"","Enter numeric quote",IF(H241=F241,IF(ISNUMBER(P241),"Complete unit","Price required"),"Partial package: price required"))))</x:f>
        <x:v>Complete unit</x:v>
      </x:c>
      <x:c r="U241" s="2" t="str">
        <x:v>TEN-0D6EE04B36F3; TEN-1C803D88AFC5; TEN-3650DF32F50C; TEN-4749F5FD72F9; TEN-4831FEA01C5A; TEN-5D217103CFD8; TEN-7AA9C7FAD1B1; TEN-8D6660F8A757; TEN-942AB959209B; TEN-9AC38C1AEF1F; TEN-CF222513A60C</x:v>
      </x:c>
      <x:c r="V241" s="2" t="str">
        <x:v>IT &amp; digital; Healthcare &amp; life sciences; Unresolved</x:v>
      </x:c>
      <x:c r="W241" s="2" t="str">
        <x:v>Small-scale prospects; Medium-scale prospects; Mixed business audience</x:v>
      </x:c>
      <x:c r="X241" s="17" t="n">
        <x:f>IF(AND(H241=F241,NOT(ISNUMBER(N241)),N241="",ISNUMBER(K241)),K241,0)</x:f>
        <x:v>60000</x:v>
      </x:c>
      <x:c r="Y241" s="17" t="n">
        <x:f>IF(AND(H241=F241,NOT(ISNUMBER(N241)),N241="",K241="",ISNUMBER(O241)),O241,0)</x:f>
        <x:v>0</x:v>
      </x:c>
      <x:c r="Z241" s="17" t="n">
        <x:f>IF(AND(H241&gt;0,ISNUMBER(N241)),N241,0)</x:f>
        <x:v>0</x:v>
      </x:c>
      <x:c r="AA241" s="2" t="n">
        <x:f>IF(AND(H241&gt;0,N241="",NOT(ISNUMBER(Q241))),1,0)</x:f>
        <x:v>0</x:v>
      </x:c>
      <x:c r="AB241" s="2" t="n">
        <x:f>IF(AND(H241&gt;0,N241&lt;&gt;"",NOT(ISNUMBER(N241))),1,0)</x:f>
        <x:v>0</x:v>
      </x:c>
    </x:row>
    <x:row r="242" ht="48" customHeight="1">
      <x:c r="A242" s="2" t="str">
        <x:v>MAIN-227</x:v>
      </x:c>
      <x:c r="B242" s="2" t="str">
        <x:v>Main</x:v>
      </x:c>
      <x:c r="C242" s="2" t="str">
        <x:v>Hyderabad</x:v>
      </x:c>
      <x:c r="D242" s="12" t="str">
        <x:v>Draper</x:v>
      </x:c>
      <x:c r="E242" s="12" t="str">
        <x:v>32 inch LED TV</x:v>
      </x:c>
      <x:c r="F242" s="2" t="n">
        <x:v>1</x:v>
      </x:c>
      <x:c r="G242" s="2" t="n">
        <x:v>3</x:v>
      </x:c>
      <x:c r="H242" s="2" t="n">
        <x:f>COUNTIFS('Inventory'!$N$7:$N$783,A242,'Inventory'!$A$7:$A$783,1)</x:f>
        <x:v>1</x:v>
      </x:c>
      <x:c r="I242" s="2" t="n">
        <x:f>SUMIFS('Inventory'!$G$7:$G$783,'Inventory'!$N$7:$N$783,A242,'Inventory'!$A$7:$A$783,1)</x:f>
        <x:v>3</x:v>
      </x:c>
      <x:c r="J242" s="12" t="str">
        <x:v>Listed budget</x:v>
      </x:c>
      <x:c r="K242" s="17" t="n">
        <x:v>45000</x:v>
      </x:c>
      <x:c r="L242" s="17"/>
      <x:c r="M242" s="17"/>
      <x:c r="N242" s="19"/>
      <x:c r="O242" s="17" t="str">
        <x:f>IF(ISNUMBER(L242),G242*L242,IF(ISNUMBER(M242),M242,""))</x:f>
      </x:c>
      <x:c r="P242" s="17" t="n">
        <x:f>IF(ISNUMBER(K242),K242,IF(ISNUMBER(O242),O242,""))</x:f>
        <x:v>45000</x:v>
      </x:c>
      <x:c r="Q242" s="17" t="n">
        <x:f>IF(H242=0,0,IF(ISNUMBER(N242),N242,IF(N242="",IF(H242=F242,P242,""),"")))</x:f>
        <x:v>45000</x:v>
      </x:c>
      <x:c r="R242" s="17" t="n">
        <x:f>IF(ISNUMBER(Q242),ROUND(Q242*$C$4,2),"")</x:f>
        <x:v>8100</x:v>
      </x:c>
      <x:c r="S242" s="17" t="n">
        <x:f>IF(ISNUMBER(Q242),Q242+R242,"")</x:f>
        <x:v>53100</x:v>
      </x:c>
      <x:c r="T242" s="2" t="str">
        <x:f>IF(H242=0,"Not selected",IF(ISNUMBER(N242),"Quote entered",IF(N242&lt;&gt;"","Enter numeric quote",IF(H242=F242,IF(ISNUMBER(P242),"Complete unit","Price required"),"Partial package: price required"))))</x:f>
        <x:v>Complete unit</x:v>
      </x:c>
      <x:c r="U242" s="2" t="str">
        <x:v>TEN-35F8EBAADD16; TEN-51276467ED49; TEN-DAD83D548056</x:v>
      </x:c>
      <x:c r="V242" s="2" t="str">
        <x:v>Government &amp; nonprofit; Unresolved</x:v>
      </x:c>
      <x:c r="W242" s="2" t="str">
        <x:v>Institutional; Mixed business audience</x:v>
      </x:c>
      <x:c r="X242" s="17" t="n">
        <x:f>IF(AND(H242=F242,NOT(ISNUMBER(N242)),N242="",ISNUMBER(K242)),K242,0)</x:f>
        <x:v>45000</x:v>
      </x:c>
      <x:c r="Y242" s="17" t="n">
        <x:f>IF(AND(H242=F242,NOT(ISNUMBER(N242)),N242="",K242="",ISNUMBER(O242)),O242,0)</x:f>
        <x:v>0</x:v>
      </x:c>
      <x:c r="Z242" s="17" t="n">
        <x:f>IF(AND(H242&gt;0,ISNUMBER(N242)),N242,0)</x:f>
        <x:v>0</x:v>
      </x:c>
      <x:c r="AA242" s="2" t="n">
        <x:f>IF(AND(H242&gt;0,N242="",NOT(ISNUMBER(Q242))),1,0)</x:f>
        <x:v>0</x:v>
      </x:c>
      <x:c r="AB242" s="2" t="n">
        <x:f>IF(AND(H242&gt;0,N242&lt;&gt;"",NOT(ISNUMBER(N242))),1,0)</x:f>
        <x:v>0</x:v>
      </x:c>
    </x:row>
    <x:row r="243" ht="48" customHeight="1">
      <x:c r="A243" s="2" t="str">
        <x:v>MAIN-228</x:v>
      </x:c>
      <x:c r="B243" s="2" t="str">
        <x:v>Main</x:v>
      </x:c>
      <x:c r="C243" s="2" t="str">
        <x:v>Hyderabad</x:v>
      </x:c>
      <x:c r="D243" s="12" t="str">
        <x:v>DSL Abacus IT Park</x:v>
      </x:c>
      <x:c r="E243" s="12" t="str">
        <x:v>32 inch LED TV</x:v>
      </x:c>
      <x:c r="F243" s="2" t="n">
        <x:v>1</x:v>
      </x:c>
      <x:c r="G243" s="2" t="n">
        <x:v>4</x:v>
      </x:c>
      <x:c r="H243" s="2" t="n">
        <x:f>COUNTIFS('Inventory'!$N$7:$N$783,A243,'Inventory'!$A$7:$A$783,1)</x:f>
        <x:v>1</x:v>
      </x:c>
      <x:c r="I243" s="2" t="n">
        <x:f>SUMIFS('Inventory'!$G$7:$G$783,'Inventory'!$N$7:$N$783,A243,'Inventory'!$A$7:$A$783,1)</x:f>
        <x:v>4</x:v>
      </x:c>
      <x:c r="J243" s="12" t="str">
        <x:v>Listed budget</x:v>
      </x:c>
      <x:c r="K243" s="17" t="n">
        <x:v>60000</x:v>
      </x:c>
      <x:c r="L243" s="17"/>
      <x:c r="M243" s="17"/>
      <x:c r="N243" s="19"/>
      <x:c r="O243" s="17" t="str">
        <x:f>IF(ISNUMBER(L243),G243*L243,IF(ISNUMBER(M243),M243,""))</x:f>
      </x:c>
      <x:c r="P243" s="17" t="n">
        <x:f>IF(ISNUMBER(K243),K243,IF(ISNUMBER(O243),O243,""))</x:f>
        <x:v>60000</x:v>
      </x:c>
      <x:c r="Q243" s="17" t="n">
        <x:f>IF(H243=0,0,IF(ISNUMBER(N243),N243,IF(N243="",IF(H243=F243,P243,""),"")))</x:f>
        <x:v>60000</x:v>
      </x:c>
      <x:c r="R243" s="17" t="n">
        <x:f>IF(ISNUMBER(Q243),ROUND(Q243*$C$4,2),"")</x:f>
        <x:v>10800</x:v>
      </x:c>
      <x:c r="S243" s="17" t="n">
        <x:f>IF(ISNUMBER(Q243),Q243+R243,"")</x:f>
        <x:v>70800</x:v>
      </x:c>
      <x:c r="T243" s="2" t="str">
        <x:f>IF(H243=0,"Not selected",IF(ISNUMBER(N243),"Quote entered",IF(N243&lt;&gt;"","Enter numeric quote",IF(H243=F243,IF(ISNUMBER(P243),"Complete unit","Price required"),"Partial package: price required"))))</x:f>
        <x:v>Complete unit</x:v>
      </x:c>
      <x:c r="U243" s="2" t="str"/>
      <x:c r="V243" s="2" t="str">
        <x:v>Unclassified</x:v>
      </x:c>
      <x:c r="W243" s="2" t="str">
        <x:v>Mixed business audience</x:v>
      </x:c>
      <x:c r="X243" s="17" t="n">
        <x:f>IF(AND(H243=F243,NOT(ISNUMBER(N243)),N243="",ISNUMBER(K243)),K243,0)</x:f>
        <x:v>60000</x:v>
      </x:c>
      <x:c r="Y243" s="17" t="n">
        <x:f>IF(AND(H243=F243,NOT(ISNUMBER(N243)),N243="",K243="",ISNUMBER(O243)),O243,0)</x:f>
        <x:v>0</x:v>
      </x:c>
      <x:c r="Z243" s="17" t="n">
        <x:f>IF(AND(H243&gt;0,ISNUMBER(N243)),N243,0)</x:f>
        <x:v>0</x:v>
      </x:c>
      <x:c r="AA243" s="2" t="n">
        <x:f>IF(AND(H243&gt;0,N243="",NOT(ISNUMBER(Q243))),1,0)</x:f>
        <x:v>0</x:v>
      </x:c>
      <x:c r="AB243" s="2" t="n">
        <x:f>IF(AND(H243&gt;0,N243&lt;&gt;"",NOT(ISNUMBER(N243))),1,0)</x:f>
        <x:v>0</x:v>
      </x:c>
    </x:row>
    <x:row r="244" ht="48" customHeight="1">
      <x:c r="A244" s="2" t="str">
        <x:v>MAIN-230</x:v>
      </x:c>
      <x:c r="B244" s="2" t="str">
        <x:v>Main</x:v>
      </x:c>
      <x:c r="C244" s="2" t="str">
        <x:v>Hyderabad</x:v>
      </x:c>
      <x:c r="D244" s="12" t="str">
        <x:v>Elemental</x:v>
      </x:c>
      <x:c r="E244" s="12" t="str">
        <x:v>43 inch LED TV</x:v>
      </x:c>
      <x:c r="F244" s="2" t="n">
        <x:v>1</x:v>
      </x:c>
      <x:c r="G244" s="2" t="n">
        <x:v>4</x:v>
      </x:c>
      <x:c r="H244" s="2" t="n">
        <x:f>COUNTIFS('Inventory'!$N$7:$N$783,A244,'Inventory'!$A$7:$A$783,1)</x:f>
        <x:v>1</x:v>
      </x:c>
      <x:c r="I244" s="2" t="n">
        <x:f>SUMIFS('Inventory'!$G$7:$G$783,'Inventory'!$N$7:$N$783,A244,'Inventory'!$A$7:$A$783,1)</x:f>
        <x:v>4</x:v>
      </x:c>
      <x:c r="J244" s="12" t="str">
        <x:v>Campaign format rate</x:v>
      </x:c>
      <x:c r="K244" s="17"/>
      <x:c r="L244" s="17" t="n">
        <x:f>$E$5</x:f>
        <x:v>20000</x:v>
      </x:c>
      <x:c r="M244" s="17"/>
      <x:c r="N244" s="19"/>
      <x:c r="O244" s="17" t="n">
        <x:f>IF(ISNUMBER(L244),G244*L244,IF(ISNUMBER(M244),M244,""))</x:f>
        <x:v>80000</x:v>
      </x:c>
      <x:c r="P244" s="17" t="n">
        <x:f>IF(ISNUMBER(K244),K244,IF(ISNUMBER(O244),O244,""))</x:f>
        <x:v>80000</x:v>
      </x:c>
      <x:c r="Q244" s="17" t="n">
        <x:f>IF(H244=0,0,IF(ISNUMBER(N244),N244,IF(N244="",IF(H244=F244,P244,""),"")))</x:f>
        <x:v>80000</x:v>
      </x:c>
      <x:c r="R244" s="17" t="n">
        <x:f>IF(ISNUMBER(Q244),ROUND(Q244*$C$4,2),"")</x:f>
        <x:v>14400</x:v>
      </x:c>
      <x:c r="S244" s="17" t="n">
        <x:f>IF(ISNUMBER(Q244),Q244+R244,"")</x:f>
        <x:v>94400</x:v>
      </x:c>
      <x:c r="T244" s="2" t="str">
        <x:f>IF(H244=0,"Not selected",IF(ISNUMBER(N244),"Quote entered",IF(N244&lt;&gt;"","Enter numeric quote",IF(H244=F244,IF(ISNUMBER(P244),"Complete unit","Price required"),"Partial package: price required"))))</x:f>
        <x:v>Complete unit</x:v>
      </x:c>
      <x:c r="U244" s="2" t="str">
        <x:v>TEN-1D0B501C3EE3; TEN-283307F05C7F</x:v>
      </x:c>
      <x:c r="V244" s="2" t="str">
        <x:v>Trade, consumer &amp; logistics; Unresolved</x:v>
      </x:c>
      <x:c r="W244" s="2" t="str">
        <x:v>Small-scale prospects; Mixed business audience</x:v>
      </x:c>
      <x:c r="X244" s="17" t="n">
        <x:f>IF(AND(H244=F244,NOT(ISNUMBER(N244)),N244="",ISNUMBER(K244)),K244,0)</x:f>
        <x:v>0</x:v>
      </x:c>
      <x:c r="Y244" s="17" t="n">
        <x:f>IF(AND(H244=F244,NOT(ISNUMBER(N244)),N244="",K244="",ISNUMBER(O244)),O244,0)</x:f>
        <x:v>80000</x:v>
      </x:c>
      <x:c r="Z244" s="17" t="n">
        <x:f>IF(AND(H244&gt;0,ISNUMBER(N244)),N244,0)</x:f>
        <x:v>0</x:v>
      </x:c>
      <x:c r="AA244" s="2" t="n">
        <x:f>IF(AND(H244&gt;0,N244="",NOT(ISNUMBER(Q244))),1,0)</x:f>
        <x:v>0</x:v>
      </x:c>
      <x:c r="AB244" s="2" t="n">
        <x:f>IF(AND(H244&gt;0,N244&lt;&gt;"",NOT(ISNUMBER(N244))),1,0)</x:f>
        <x:v>0</x:v>
      </x:c>
    </x:row>
    <x:row r="245" ht="48" customHeight="1">
      <x:c r="A245" s="2" t="str">
        <x:v>MAIN-232</x:v>
      </x:c>
      <x:c r="B245" s="2" t="str">
        <x:v>Main</x:v>
      </x:c>
      <x:c r="C245" s="2" t="str">
        <x:v>Hyderabad</x:v>
      </x:c>
      <x:c r="D245" s="12" t="str">
        <x:v>GAR Laxmi Infobahn (T1, T2){IE}</x:v>
      </x:c>
      <x:c r="E245" s="12" t="str">
        <x:v>24 inch LED TV</x:v>
      </x:c>
      <x:c r="F245" s="2" t="n">
        <x:v>1</x:v>
      </x:c>
      <x:c r="G245" s="2" t="n">
        <x:v>21</x:v>
      </x:c>
      <x:c r="H245" s="2" t="n">
        <x:f>COUNTIFS('Inventory'!$N$7:$N$783,A245,'Inventory'!$A$7:$A$783,1)</x:f>
        <x:v>1</x:v>
      </x:c>
      <x:c r="I245" s="2" t="n">
        <x:f>SUMIFS('Inventory'!$G$7:$G$783,'Inventory'!$N$7:$N$783,A245,'Inventory'!$A$7:$A$783,1)</x:f>
        <x:v>21</x:v>
      </x:c>
      <x:c r="J245" s="12" t="str">
        <x:v>Estimate: same-site rate</x:v>
      </x:c>
      <x:c r="K245" s="17"/>
      <x:c r="L245" s="17" t="n">
        <x:v>15000</x:v>
      </x:c>
      <x:c r="M245" s="17"/>
      <x:c r="N245" s="19"/>
      <x:c r="O245" s="17" t="n">
        <x:f>IF(ISNUMBER(L245),G245*L245,IF(ISNUMBER(M245),M245,""))</x:f>
        <x:v>315000</x:v>
      </x:c>
      <x:c r="P245" s="17" t="n">
        <x:f>IF(ISNUMBER(K245),K245,IF(ISNUMBER(O245),O245,""))</x:f>
        <x:v>315000</x:v>
      </x:c>
      <x:c r="Q245" s="17" t="n">
        <x:f>IF(H245=0,0,IF(ISNUMBER(N245),N245,IF(N245="",IF(H245=F245,P245,""),"")))</x:f>
        <x:v>315000</x:v>
      </x:c>
      <x:c r="R245" s="17" t="n">
        <x:f>IF(ISNUMBER(Q245),ROUND(Q245*$C$4,2),"")</x:f>
        <x:v>56700</x:v>
      </x:c>
      <x:c r="S245" s="17" t="n">
        <x:f>IF(ISNUMBER(Q245),Q245+R245,"")</x:f>
        <x:v>371700</x:v>
      </x:c>
      <x:c r="T245" s="2" t="str">
        <x:f>IF(H245=0,"Not selected",IF(ISNUMBER(N245),"Quote entered",IF(N245&lt;&gt;"","Enter numeric quote",IF(H245=F245,IF(ISNUMBER(P245),"Complete unit","Price required"),"Partial package: price required"))))</x:f>
        <x:v>Complete unit</x:v>
      </x:c>
      <x:c r="U245" s="2" t="str">
        <x:v>TEN-48EF4A7809DE; TEN-AF1255090479</x:v>
      </x:c>
      <x:c r="V245" s="2" t="str">
        <x:v>IT &amp; digital; Healthcare &amp; life sciences</x:v>
      </x:c>
      <x:c r="W245" s="2" t="str">
        <x:v>Large enterprise</x:v>
      </x:c>
      <x:c r="X245" s="17" t="n">
        <x:f>IF(AND(H245=F245,NOT(ISNUMBER(N245)),N245="",ISNUMBER(K245)),K245,0)</x:f>
        <x:v>0</x:v>
      </x:c>
      <x:c r="Y245" s="17" t="n">
        <x:f>IF(AND(H245=F245,NOT(ISNUMBER(N245)),N245="",K245="",ISNUMBER(O245)),O245,0)</x:f>
        <x:v>315000</x:v>
      </x:c>
      <x:c r="Z245" s="17" t="n">
        <x:f>IF(AND(H245&gt;0,ISNUMBER(N245)),N245,0)</x:f>
        <x:v>0</x:v>
      </x:c>
      <x:c r="AA245" s="2" t="n">
        <x:f>IF(AND(H245&gt;0,N245="",NOT(ISNUMBER(Q245))),1,0)</x:f>
        <x:v>0</x:v>
      </x:c>
      <x:c r="AB245" s="2" t="n">
        <x:f>IF(AND(H245&gt;0,N245&lt;&gt;"",NOT(ISNUMBER(N245))),1,0)</x:f>
        <x:v>0</x:v>
      </x:c>
    </x:row>
    <x:row r="246" ht="48" customHeight="1">
      <x:c r="A246" s="2" t="str">
        <x:v>MAIN-234</x:v>
      </x:c>
      <x:c r="B246" s="2" t="str">
        <x:v>Main</x:v>
      </x:c>
      <x:c r="C246" s="2" t="str">
        <x:v>Hyderabad</x:v>
      </x:c>
      <x:c r="D246" s="12" t="str">
        <x:v>GAR Laxmi Infobahn (T3, T4) {IE}</x:v>
      </x:c>
      <x:c r="E246" s="12" t="str">
        <x:v>24 inch LED TV</x:v>
      </x:c>
      <x:c r="F246" s="2" t="n">
        <x:v>1</x:v>
      </x:c>
      <x:c r="G246" s="2" t="n">
        <x:v>16</x:v>
      </x:c>
      <x:c r="H246" s="2" t="n">
        <x:f>COUNTIFS('Inventory'!$N$7:$N$783,A246,'Inventory'!$A$7:$A$783,1)</x:f>
        <x:v>1</x:v>
      </x:c>
      <x:c r="I246" s="2" t="n">
        <x:f>SUMIFS('Inventory'!$G$7:$G$783,'Inventory'!$N$7:$N$783,A246,'Inventory'!$A$7:$A$783,1)</x:f>
        <x:v>16</x:v>
      </x:c>
      <x:c r="J246" s="12" t="str">
        <x:v>Estimate: same-site rate</x:v>
      </x:c>
      <x:c r="K246" s="17"/>
      <x:c r="L246" s="17" t="n">
        <x:v>15000</x:v>
      </x:c>
      <x:c r="M246" s="17"/>
      <x:c r="N246" s="19"/>
      <x:c r="O246" s="17" t="n">
        <x:f>IF(ISNUMBER(L246),G246*L246,IF(ISNUMBER(M246),M246,""))</x:f>
        <x:v>240000</x:v>
      </x:c>
      <x:c r="P246" s="17" t="n">
        <x:f>IF(ISNUMBER(K246),K246,IF(ISNUMBER(O246),O246,""))</x:f>
        <x:v>240000</x:v>
      </x:c>
      <x:c r="Q246" s="17" t="n">
        <x:f>IF(H246=0,0,IF(ISNUMBER(N246),N246,IF(N246="",IF(H246=F246,P246,""),"")))</x:f>
        <x:v>240000</x:v>
      </x:c>
      <x:c r="R246" s="17" t="n">
        <x:f>IF(ISNUMBER(Q246),ROUND(Q246*$C$4,2),"")</x:f>
        <x:v>43200</x:v>
      </x:c>
      <x:c r="S246" s="17" t="n">
        <x:f>IF(ISNUMBER(Q246),Q246+R246,"")</x:f>
        <x:v>283200</x:v>
      </x:c>
      <x:c r="T246" s="2" t="str">
        <x:f>IF(H246=0,"Not selected",IF(ISNUMBER(N246),"Quote entered",IF(N246&lt;&gt;"","Enter numeric quote",IF(H246=F246,IF(ISNUMBER(P246),"Complete unit","Price required"),"Partial package: price required"))))</x:f>
        <x:v>Complete unit</x:v>
      </x:c>
      <x:c r="U246" s="2" t="str">
        <x:v>TEN-E1F3AEFC4A1F</x:v>
      </x:c>
      <x:c r="V246" s="2" t="str">
        <x:v>IT &amp; digital</x:v>
      </x:c>
      <x:c r="W246" s="2" t="str">
        <x:v>Large enterprise</x:v>
      </x:c>
      <x:c r="X246" s="17" t="n">
        <x:f>IF(AND(H246=F246,NOT(ISNUMBER(N246)),N246="",ISNUMBER(K246)),K246,0)</x:f>
        <x:v>0</x:v>
      </x:c>
      <x:c r="Y246" s="17" t="n">
        <x:f>IF(AND(H246=F246,NOT(ISNUMBER(N246)),N246="",K246="",ISNUMBER(O246)),O246,0)</x:f>
        <x:v>240000</x:v>
      </x:c>
      <x:c r="Z246" s="17" t="n">
        <x:f>IF(AND(H246&gt;0,ISNUMBER(N246)),N246,0)</x:f>
        <x:v>0</x:v>
      </x:c>
      <x:c r="AA246" s="2" t="n">
        <x:f>IF(AND(H246&gt;0,N246="",NOT(ISNUMBER(Q246))),1,0)</x:f>
        <x:v>0</x:v>
      </x:c>
      <x:c r="AB246" s="2" t="n">
        <x:f>IF(AND(H246&gt;0,N246&lt;&gt;"",NOT(ISNUMBER(N246))),1,0)</x:f>
        <x:v>0</x:v>
      </x:c>
    </x:row>
    <x:row r="247" ht="48" customHeight="1">
      <x:c r="A247" s="2" t="str">
        <x:v>MAIN-235</x:v>
      </x:c>
      <x:c r="B247" s="2" t="str">
        <x:v>Main</x:v>
      </x:c>
      <x:c r="C247" s="2" t="str">
        <x:v>Hyderabad</x:v>
      </x:c>
      <x:c r="D247" s="12" t="str">
        <x:v>GAR Laxmi Infobahn (T5, T6)</x:v>
      </x:c>
      <x:c r="E247" s="12" t="str">
        <x:v>55 inch LED TV</x:v>
      </x:c>
      <x:c r="F247" s="2" t="n">
        <x:v>1</x:v>
      </x:c>
      <x:c r="G247" s="2" t="n">
        <x:v>9</x:v>
      </x:c>
      <x:c r="H247" s="2" t="n">
        <x:f>COUNTIFS('Inventory'!$N$7:$N$783,A247,'Inventory'!$A$7:$A$783,1)</x:f>
        <x:v>1</x:v>
      </x:c>
      <x:c r="I247" s="2" t="n">
        <x:f>SUMIFS('Inventory'!$G$7:$G$783,'Inventory'!$N$7:$N$783,A247,'Inventory'!$A$7:$A$783,1)</x:f>
        <x:v>9</x:v>
      </x:c>
      <x:c r="J247" s="12" t="str">
        <x:v>Campaign format rate</x:v>
      </x:c>
      <x:c r="K247" s="17"/>
      <x:c r="L247" s="17" t="n">
        <x:f>$I$5</x:f>
        <x:v>40000</x:v>
      </x:c>
      <x:c r="M247" s="17"/>
      <x:c r="N247" s="19"/>
      <x:c r="O247" s="17" t="n">
        <x:f>IF(ISNUMBER(L247),G247*L247,IF(ISNUMBER(M247),M247,""))</x:f>
        <x:v>360000</x:v>
      </x:c>
      <x:c r="P247" s="17" t="n">
        <x:f>IF(ISNUMBER(K247),K247,IF(ISNUMBER(O247),O247,""))</x:f>
        <x:v>360000</x:v>
      </x:c>
      <x:c r="Q247" s="17" t="n">
        <x:f>IF(H247=0,0,IF(ISNUMBER(N247),N247,IF(N247="",IF(H247=F247,P247,""),"")))</x:f>
        <x:v>360000</x:v>
      </x:c>
      <x:c r="R247" s="17" t="n">
        <x:f>IF(ISNUMBER(Q247),ROUND(Q247*$C$4,2),"")</x:f>
        <x:v>64800</x:v>
      </x:c>
      <x:c r="S247" s="17" t="n">
        <x:f>IF(ISNUMBER(Q247),Q247+R247,"")</x:f>
        <x:v>424800</x:v>
      </x:c>
      <x:c r="T247" s="2" t="str">
        <x:f>IF(H247=0,"Not selected",IF(ISNUMBER(N247),"Quote entered",IF(N247&lt;&gt;"","Enter numeric quote",IF(H247=F247,IF(ISNUMBER(P247),"Complete unit","Price required"),"Partial package: price required"))))</x:f>
        <x:v>Complete unit</x:v>
      </x:c>
      <x:c r="U247" s="2" t="str">
        <x:v>TEN-36E26473A4E8; TEN-5CC10D9143B2; TEN-60E773B49B70; TEN-86F73DFE7BB6; TEN-F55A85B2F2EB</x:v>
      </x:c>
      <x:c r="V247" s="2" t="str">
        <x:v>IT &amp; digital; Finance &amp; insurance; Engineering &amp; manufacturing; Trade, consumer &amp; logistics</x:v>
      </x:c>
      <x:c r="W247" s="2" t="str">
        <x:v>Small-scale prospects; Large enterprise</x:v>
      </x:c>
      <x:c r="X247" s="17" t="n">
        <x:f>IF(AND(H247=F247,NOT(ISNUMBER(N247)),N247="",ISNUMBER(K247)),K247,0)</x:f>
        <x:v>0</x:v>
      </x:c>
      <x:c r="Y247" s="17" t="n">
        <x:f>IF(AND(H247=F247,NOT(ISNUMBER(N247)),N247="",K247="",ISNUMBER(O247)),O247,0)</x:f>
        <x:v>360000</x:v>
      </x:c>
      <x:c r="Z247" s="17" t="n">
        <x:f>IF(AND(H247&gt;0,ISNUMBER(N247)),N247,0)</x:f>
        <x:v>0</x:v>
      </x:c>
      <x:c r="AA247" s="2" t="n">
        <x:f>IF(AND(H247&gt;0,N247="",NOT(ISNUMBER(Q247))),1,0)</x:f>
        <x:v>0</x:v>
      </x:c>
      <x:c r="AB247" s="2" t="n">
        <x:f>IF(AND(H247&gt;0,N247&lt;&gt;"",NOT(ISNUMBER(N247))),1,0)</x:f>
        <x:v>0</x:v>
      </x:c>
    </x:row>
    <x:row r="248" ht="48" customHeight="1">
      <x:c r="A248" s="2" t="str">
        <x:v>MAIN-236</x:v>
      </x:c>
      <x:c r="B248" s="2" t="str">
        <x:v>Main</x:v>
      </x:c>
      <x:c r="C248" s="2" t="str">
        <x:v>Hyderabad</x:v>
      </x:c>
      <x:c r="D248" s="12" t="str">
        <x:v>GAR Laxmi Infobahn (T5, T6){IE}</x:v>
      </x:c>
      <x:c r="E248" s="12" t="str">
        <x:v>24 inch LED TV</x:v>
      </x:c>
      <x:c r="F248" s="2" t="n">
        <x:v>1</x:v>
      </x:c>
      <x:c r="G248" s="2" t="n">
        <x:v>27</x:v>
      </x:c>
      <x:c r="H248" s="2" t="n">
        <x:f>COUNTIFS('Inventory'!$N$7:$N$783,A248,'Inventory'!$A$7:$A$783,1)</x:f>
        <x:v>1</x:v>
      </x:c>
      <x:c r="I248" s="2" t="n">
        <x:f>SUMIFS('Inventory'!$G$7:$G$783,'Inventory'!$N$7:$N$783,A248,'Inventory'!$A$7:$A$783,1)</x:f>
        <x:v>27</x:v>
      </x:c>
      <x:c r="J248" s="12" t="str">
        <x:v>Estimate: same-site rate</x:v>
      </x:c>
      <x:c r="K248" s="17"/>
      <x:c r="L248" s="17" t="n">
        <x:v>15000</x:v>
      </x:c>
      <x:c r="M248" s="17"/>
      <x:c r="N248" s="19"/>
      <x:c r="O248" s="17" t="n">
        <x:f>IF(ISNUMBER(L248),G248*L248,IF(ISNUMBER(M248),M248,""))</x:f>
        <x:v>405000</x:v>
      </x:c>
      <x:c r="P248" s="17" t="n">
        <x:f>IF(ISNUMBER(K248),K248,IF(ISNUMBER(O248),O248,""))</x:f>
        <x:v>405000</x:v>
      </x:c>
      <x:c r="Q248" s="17" t="n">
        <x:f>IF(H248=0,0,IF(ISNUMBER(N248),N248,IF(N248="",IF(H248=F248,P248,""),"")))</x:f>
        <x:v>405000</x:v>
      </x:c>
      <x:c r="R248" s="17" t="n">
        <x:f>IF(ISNUMBER(Q248),ROUND(Q248*$C$4,2),"")</x:f>
        <x:v>72900</x:v>
      </x:c>
      <x:c r="S248" s="17" t="n">
        <x:f>IF(ISNUMBER(Q248),Q248+R248,"")</x:f>
        <x:v>477900</x:v>
      </x:c>
      <x:c r="T248" s="2" t="str">
        <x:f>IF(H248=0,"Not selected",IF(ISNUMBER(N248),"Quote entered",IF(N248&lt;&gt;"","Enter numeric quote",IF(H248=F248,IF(ISNUMBER(P248),"Complete unit","Price required"),"Partial package: price required"))))</x:f>
        <x:v>Complete unit</x:v>
      </x:c>
      <x:c r="U248" s="2" t="str">
        <x:v>TEN-36E26473A4E8; TEN-5CC10D9143B2; TEN-60E773B49B70; TEN-86F73DFE7BB6; TEN-F55A85B2F2EB</x:v>
      </x:c>
      <x:c r="V248" s="2" t="str">
        <x:v>IT &amp; digital; Finance &amp; insurance; Engineering &amp; manufacturing; Trade, consumer &amp; logistics</x:v>
      </x:c>
      <x:c r="W248" s="2" t="str">
        <x:v>Small-scale prospects; Large enterprise</x:v>
      </x:c>
      <x:c r="X248" s="17" t="n">
        <x:f>IF(AND(H248=F248,NOT(ISNUMBER(N248)),N248="",ISNUMBER(K248)),K248,0)</x:f>
        <x:v>0</x:v>
      </x:c>
      <x:c r="Y248" s="17" t="n">
        <x:f>IF(AND(H248=F248,NOT(ISNUMBER(N248)),N248="",K248="",ISNUMBER(O248)),O248,0)</x:f>
        <x:v>405000</x:v>
      </x:c>
      <x:c r="Z248" s="17" t="n">
        <x:f>IF(AND(H248&gt;0,ISNUMBER(N248)),N248,0)</x:f>
        <x:v>0</x:v>
      </x:c>
      <x:c r="AA248" s="2" t="n">
        <x:f>IF(AND(H248&gt;0,N248="",NOT(ISNUMBER(Q248))),1,0)</x:f>
        <x:v>0</x:v>
      </x:c>
      <x:c r="AB248" s="2" t="n">
        <x:f>IF(AND(H248&gt;0,N248&lt;&gt;"",NOT(ISNUMBER(N248))),1,0)</x:f>
        <x:v>0</x:v>
      </x:c>
    </x:row>
    <x:row r="249" ht="48" customHeight="1">
      <x:c r="A249" s="2" t="str">
        <x:v>MAIN-237</x:v>
      </x:c>
      <x:c r="B249" s="2" t="str">
        <x:v>Main</x:v>
      </x:c>
      <x:c r="C249" s="2" t="str">
        <x:v>Hyderabad</x:v>
      </x:c>
      <x:c r="D249" s="12" t="str">
        <x:v>Meenakshi Tech Park</x:v>
      </x:c>
      <x:c r="E249" s="12" t="str">
        <x:v>55 inch LED TV</x:v>
      </x:c>
      <x:c r="F249" s="2" t="n">
        <x:v>1</x:v>
      </x:c>
      <x:c r="G249" s="2" t="n">
        <x:v>2</x:v>
      </x:c>
      <x:c r="H249" s="2" t="n">
        <x:f>COUNTIFS('Inventory'!$N$7:$N$783,A249,'Inventory'!$A$7:$A$783,1)</x:f>
        <x:v>1</x:v>
      </x:c>
      <x:c r="I249" s="2" t="n">
        <x:f>SUMIFS('Inventory'!$G$7:$G$783,'Inventory'!$N$7:$N$783,A249,'Inventory'!$A$7:$A$783,1)</x:f>
        <x:v>2</x:v>
      </x:c>
      <x:c r="J249" s="12" t="str">
        <x:v>Campaign format rate</x:v>
      </x:c>
      <x:c r="K249" s="17"/>
      <x:c r="L249" s="17" t="n">
        <x:f>$I$5</x:f>
        <x:v>40000</x:v>
      </x:c>
      <x:c r="M249" s="17"/>
      <x:c r="N249" s="19"/>
      <x:c r="O249" s="17" t="n">
        <x:f>IF(ISNUMBER(L249),G249*L249,IF(ISNUMBER(M249),M249,""))</x:f>
        <x:v>80000</x:v>
      </x:c>
      <x:c r="P249" s="17" t="n">
        <x:f>IF(ISNUMBER(K249),K249,IF(ISNUMBER(O249),O249,""))</x:f>
        <x:v>80000</x:v>
      </x:c>
      <x:c r="Q249" s="17" t="n">
        <x:f>IF(H249=0,0,IF(ISNUMBER(N249),N249,IF(N249="",IF(H249=F249,P249,""),"")))</x:f>
        <x:v>80000</x:v>
      </x:c>
      <x:c r="R249" s="17" t="n">
        <x:f>IF(ISNUMBER(Q249),ROUND(Q249*$C$4,2),"")</x:f>
        <x:v>14400</x:v>
      </x:c>
      <x:c r="S249" s="17" t="n">
        <x:f>IF(ISNUMBER(Q249),Q249+R249,"")</x:f>
        <x:v>94400</x:v>
      </x:c>
      <x:c r="T249" s="2" t="str">
        <x:f>IF(H249=0,"Not selected",IF(ISNUMBER(N249),"Quote entered",IF(N249&lt;&gt;"","Enter numeric quote",IF(H249=F249,IF(ISNUMBER(P249),"Complete unit","Price required"),"Partial package: price required"))))</x:f>
        <x:v>Complete unit</x:v>
      </x:c>
      <x:c r="U249" s="2" t="str">
        <x:v>TEN-0B1B737E0D61; TEN-2167B7AB9B82; TEN-76119E99264F; TEN-78DCE9DD9B5D; TEN-A451FD13D198; TEN-CFD92216CFD8; TEN-FAE50BFB0E7A</x:v>
      </x:c>
      <x:c r="V249" s="2" t="str">
        <x:v>IT &amp; digital; Professional services; Trade, consumer &amp; logistics; Unresolved</x:v>
      </x:c>
      <x:c r="W249" s="2" t="str">
        <x:v>Small-scale prospects; Large enterprise; Mixed business audience</x:v>
      </x:c>
      <x:c r="X249" s="17" t="n">
        <x:f>IF(AND(H249=F249,NOT(ISNUMBER(N249)),N249="",ISNUMBER(K249)),K249,0)</x:f>
        <x:v>0</x:v>
      </x:c>
      <x:c r="Y249" s="17" t="n">
        <x:f>IF(AND(H249=F249,NOT(ISNUMBER(N249)),N249="",K249="",ISNUMBER(O249)),O249,0)</x:f>
        <x:v>80000</x:v>
      </x:c>
      <x:c r="Z249" s="17" t="n">
        <x:f>IF(AND(H249&gt;0,ISNUMBER(N249)),N249,0)</x:f>
        <x:v>0</x:v>
      </x:c>
      <x:c r="AA249" s="2" t="n">
        <x:f>IF(AND(H249&gt;0,N249="",NOT(ISNUMBER(Q249))),1,0)</x:f>
        <x:v>0</x:v>
      </x:c>
      <x:c r="AB249" s="2" t="n">
        <x:f>IF(AND(H249&gt;0,N249&lt;&gt;"",NOT(ISNUMBER(N249))),1,0)</x:f>
        <x:v>0</x:v>
      </x:c>
    </x:row>
    <x:row r="250" ht="48" customHeight="1">
      <x:c r="A250" s="2" t="str">
        <x:v>MAIN-238</x:v>
      </x:c>
      <x:c r="B250" s="2" t="str">
        <x:v>Main</x:v>
      </x:c>
      <x:c r="C250" s="2" t="str">
        <x:v>Hyderabad</x:v>
      </x:c>
      <x:c r="D250" s="12" t="str">
        <x:v>Meenakshi Tech Park {IE}</x:v>
      </x:c>
      <x:c r="E250" s="12" t="str">
        <x:v>24 inch LED TV</x:v>
      </x:c>
      <x:c r="F250" s="2" t="n">
        <x:v>1</x:v>
      </x:c>
      <x:c r="G250" s="2" t="n">
        <x:v>11</x:v>
      </x:c>
      <x:c r="H250" s="2" t="n">
        <x:f>COUNTIFS('Inventory'!$N$7:$N$783,A250,'Inventory'!$A$7:$A$783,1)</x:f>
        <x:v>1</x:v>
      </x:c>
      <x:c r="I250" s="2" t="n">
        <x:f>SUMIFS('Inventory'!$G$7:$G$783,'Inventory'!$N$7:$N$783,A250,'Inventory'!$A$7:$A$783,1)</x:f>
        <x:v>11</x:v>
      </x:c>
      <x:c r="J250" s="12" t="str">
        <x:v>Listed budget</x:v>
      </x:c>
      <x:c r="K250" s="17" t="n">
        <x:v>165000</x:v>
      </x:c>
      <x:c r="L250" s="17"/>
      <x:c r="M250" s="17"/>
      <x:c r="N250" s="19"/>
      <x:c r="O250" s="17" t="str">
        <x:f>IF(ISNUMBER(L250),G250*L250,IF(ISNUMBER(M250),M250,""))</x:f>
      </x:c>
      <x:c r="P250" s="17" t="n">
        <x:f>IF(ISNUMBER(K250),K250,IF(ISNUMBER(O250),O250,""))</x:f>
        <x:v>165000</x:v>
      </x:c>
      <x:c r="Q250" s="17" t="n">
        <x:f>IF(H250=0,0,IF(ISNUMBER(N250),N250,IF(N250="",IF(H250=F250,P250,""),"")))</x:f>
        <x:v>165000</x:v>
      </x:c>
      <x:c r="R250" s="17" t="n">
        <x:f>IF(ISNUMBER(Q250),ROUND(Q250*$C$4,2),"")</x:f>
        <x:v>29700</x:v>
      </x:c>
      <x:c r="S250" s="17" t="n">
        <x:f>IF(ISNUMBER(Q250),Q250+R250,"")</x:f>
        <x:v>194700</x:v>
      </x:c>
      <x:c r="T250" s="2" t="str">
        <x:f>IF(H250=0,"Not selected",IF(ISNUMBER(N250),"Quote entered",IF(N250&lt;&gt;"","Enter numeric quote",IF(H250=F250,IF(ISNUMBER(P250),"Complete unit","Price required"),"Partial package: price required"))))</x:f>
        <x:v>Complete unit</x:v>
      </x:c>
      <x:c r="U250" s="2" t="str">
        <x:v>TEN-0B1B737E0D61; TEN-9733364DAF39; TEN-A0C3E5D27CA4; TEN-A3FF8FA9D548; TEN-A451FD13D198; TEN-B023B39C07DC; TEN-C79EC7F1D968</x:v>
      </x:c>
      <x:c r="V250" s="2" t="str">
        <x:v>IT &amp; digital; Finance &amp; insurance; Trade, consumer &amp; logistics; Unresolved</x:v>
      </x:c>
      <x:c r="W250" s="2" t="str">
        <x:v>Small-scale prospects; Large enterprise; Mixed business audience</x:v>
      </x:c>
      <x:c r="X250" s="17" t="n">
        <x:f>IF(AND(H250=F250,NOT(ISNUMBER(N250)),N250="",ISNUMBER(K250)),K250,0)</x:f>
        <x:v>165000</x:v>
      </x:c>
      <x:c r="Y250" s="17" t="n">
        <x:f>IF(AND(H250=F250,NOT(ISNUMBER(N250)),N250="",K250="",ISNUMBER(O250)),O250,0)</x:f>
        <x:v>0</x:v>
      </x:c>
      <x:c r="Z250" s="17" t="n">
        <x:f>IF(AND(H250&gt;0,ISNUMBER(N250)),N250,0)</x:f>
        <x:v>0</x:v>
      </x:c>
      <x:c r="AA250" s="2" t="n">
        <x:f>IF(AND(H250&gt;0,N250="",NOT(ISNUMBER(Q250))),1,0)</x:f>
        <x:v>0</x:v>
      </x:c>
      <x:c r="AB250" s="2" t="n">
        <x:f>IF(AND(H250&gt;0,N250&lt;&gt;"",NOT(ISNUMBER(N250))),1,0)</x:f>
        <x:v>0</x:v>
      </x:c>
    </x:row>
    <x:row r="251" ht="48" customHeight="1">
      <x:c r="A251" s="2" t="str">
        <x:v>MAIN-239</x:v>
      </x:c>
      <x:c r="B251" s="2" t="str">
        <x:v>Main</x:v>
      </x:c>
      <x:c r="C251" s="2" t="str">
        <x:v>Hyderabad</x:v>
      </x:c>
      <x:c r="D251" s="12" t="str">
        <x:v>Meenakshi Tech Park-43 Inch Pods</x:v>
      </x:c>
      <x:c r="E251" s="12" t="str">
        <x:v>43 inch LED TV</x:v>
      </x:c>
      <x:c r="F251" s="2" t="n">
        <x:v>1</x:v>
      </x:c>
      <x:c r="G251" s="2" t="n">
        <x:v>12</x:v>
      </x:c>
      <x:c r="H251" s="2" t="n">
        <x:f>COUNTIFS('Inventory'!$N$7:$N$783,A251,'Inventory'!$A$7:$A$783,1)</x:f>
        <x:v>1</x:v>
      </x:c>
      <x:c r="I251" s="2" t="n">
        <x:f>SUMIFS('Inventory'!$G$7:$G$783,'Inventory'!$N$7:$N$783,A251,'Inventory'!$A$7:$A$783,1)</x:f>
        <x:v>12</x:v>
      </x:c>
      <x:c r="J251" s="12" t="str">
        <x:v>Campaign format rate</x:v>
      </x:c>
      <x:c r="K251" s="17"/>
      <x:c r="L251" s="17" t="n">
        <x:f>$E$5</x:f>
        <x:v>20000</x:v>
      </x:c>
      <x:c r="M251" s="17"/>
      <x:c r="N251" s="19"/>
      <x:c r="O251" s="17" t="n">
        <x:f>IF(ISNUMBER(L251),G251*L251,IF(ISNUMBER(M251),M251,""))</x:f>
        <x:v>240000</x:v>
      </x:c>
      <x:c r="P251" s="17" t="n">
        <x:f>IF(ISNUMBER(K251),K251,IF(ISNUMBER(O251),O251,""))</x:f>
        <x:v>240000</x:v>
      </x:c>
      <x:c r="Q251" s="17" t="n">
        <x:f>IF(H251=0,0,IF(ISNUMBER(N251),N251,IF(N251="",IF(H251=F251,P251,""),"")))</x:f>
        <x:v>240000</x:v>
      </x:c>
      <x:c r="R251" s="17" t="n">
        <x:f>IF(ISNUMBER(Q251),ROUND(Q251*$C$4,2),"")</x:f>
        <x:v>43200</x:v>
      </x:c>
      <x:c r="S251" s="17" t="n">
        <x:f>IF(ISNUMBER(Q251),Q251+R251,"")</x:f>
        <x:v>283200</x:v>
      </x:c>
      <x:c r="T251" s="2" t="str">
        <x:f>IF(H251=0,"Not selected",IF(ISNUMBER(N251),"Quote entered",IF(N251&lt;&gt;"","Enter numeric quote",IF(H251=F251,IF(ISNUMBER(P251),"Complete unit","Price required"),"Partial package: price required"))))</x:f>
        <x:v>Complete unit</x:v>
      </x:c>
      <x:c r="U251" s="2" t="str">
        <x:v>TEN-0B1B737E0D61; TEN-9733364DAF39; TEN-A0C3E5D27CA4; TEN-A3FF8FA9D548; TEN-A451FD13D198; TEN-B023B39C07DC; TEN-C79EC7F1D968</x:v>
      </x:c>
      <x:c r="V251" s="2" t="str">
        <x:v>IT &amp; digital; Finance &amp; insurance; Trade, consumer &amp; logistics; Unresolved</x:v>
      </x:c>
      <x:c r="W251" s="2" t="str">
        <x:v>Small-scale prospects; Large enterprise; Mixed business audience</x:v>
      </x:c>
      <x:c r="X251" s="17" t="n">
        <x:f>IF(AND(H251=F251,NOT(ISNUMBER(N251)),N251="",ISNUMBER(K251)),K251,0)</x:f>
        <x:v>0</x:v>
      </x:c>
      <x:c r="Y251" s="17" t="n">
        <x:f>IF(AND(H251=F251,NOT(ISNUMBER(N251)),N251="",K251="",ISNUMBER(O251)),O251,0)</x:f>
        <x:v>240000</x:v>
      </x:c>
      <x:c r="Z251" s="17" t="n">
        <x:f>IF(AND(H251&gt;0,ISNUMBER(N251)),N251,0)</x:f>
        <x:v>0</x:v>
      </x:c>
      <x:c r="AA251" s="2" t="n">
        <x:f>IF(AND(H251&gt;0,N251="",NOT(ISNUMBER(Q251))),1,0)</x:f>
        <x:v>0</x:v>
      </x:c>
      <x:c r="AB251" s="2" t="n">
        <x:f>IF(AND(H251&gt;0,N251&lt;&gt;"",NOT(ISNUMBER(N251))),1,0)</x:f>
        <x:v>0</x:v>
      </x:c>
    </x:row>
    <x:row r="252" ht="48" customHeight="1">
      <x:c r="A252" s="2" t="str">
        <x:v>MAIN-240</x:v>
      </x:c>
      <x:c r="B252" s="2" t="str">
        <x:v>Main</x:v>
      </x:c>
      <x:c r="C252" s="2" t="str">
        <x:v>Hyderabad</x:v>
      </x:c>
      <x:c r="D252" s="12" t="str">
        <x:v>NSL Arena Tech Park</x:v>
      </x:c>
      <x:c r="E252" s="12" t="str">
        <x:v>32 inch LED TV</x:v>
      </x:c>
      <x:c r="F252" s="2" t="n">
        <x:v>1</x:v>
      </x:c>
      <x:c r="G252" s="2" t="n">
        <x:v>13</x:v>
      </x:c>
      <x:c r="H252" s="2" t="n">
        <x:f>COUNTIFS('Inventory'!$N$7:$N$783,A252,'Inventory'!$A$7:$A$783,1)</x:f>
        <x:v>1</x:v>
      </x:c>
      <x:c r="I252" s="2" t="n">
        <x:f>SUMIFS('Inventory'!$G$7:$G$783,'Inventory'!$N$7:$N$783,A252,'Inventory'!$A$7:$A$783,1)</x:f>
        <x:v>13</x:v>
      </x:c>
      <x:c r="J252" s="12" t="str">
        <x:v>Quantity corrected: retained site rate</x:v>
      </x:c>
      <x:c r="K252" s="17"/>
      <x:c r="L252" s="17" t="n">
        <x:v>15000</x:v>
      </x:c>
      <x:c r="M252" s="17"/>
      <x:c r="N252" s="19"/>
      <x:c r="O252" s="17" t="n">
        <x:f>IF(ISNUMBER(L252),G252*L252,IF(ISNUMBER(M252),M252,""))</x:f>
        <x:v>195000</x:v>
      </x:c>
      <x:c r="P252" s="17" t="n">
        <x:f>IF(ISNUMBER(K252),K252,IF(ISNUMBER(O252),O252,""))</x:f>
        <x:v>195000</x:v>
      </x:c>
      <x:c r="Q252" s="17" t="n">
        <x:f>IF(H252=0,0,IF(ISNUMBER(N252),N252,IF(N252="",IF(H252=F252,P252,""),"")))</x:f>
        <x:v>195000</x:v>
      </x:c>
      <x:c r="R252" s="17" t="n">
        <x:f>IF(ISNUMBER(Q252),ROUND(Q252*$C$4,2),"")</x:f>
        <x:v>35100</x:v>
      </x:c>
      <x:c r="S252" s="17" t="n">
        <x:f>IF(ISNUMBER(Q252),Q252+R252,"")</x:f>
        <x:v>230100</x:v>
      </x:c>
      <x:c r="T252" s="2" t="str">
        <x:f>IF(H252=0,"Not selected",IF(ISNUMBER(N252),"Quote entered",IF(N252&lt;&gt;"","Enter numeric quote",IF(H252=F252,IF(ISNUMBER(P252),"Complete unit","Price required"),"Partial package: price required"))))</x:f>
        <x:v>Complete unit</x:v>
      </x:c>
      <x:c r="U252" s="2" t="str">
        <x:v>TEN-0C8F4D4F49A4; TEN-0F7677687E72; TEN-1E631D09DAD4; TEN-2DC3FC5EA3A9; TEN-49CB34E27FC7; TEN-61A77647D76D; TEN-69933A2A2C74; TEN-93885B6F1F10; TEN-9B6EF6DB8E1A; TEN-9D2DD6B8C1DF; TEN-A300DA7026D8</x:v>
      </x:c>
      <x:c r="V252" s="2" t="str">
        <x:v>IT &amp; digital; Professional services; Finance &amp; insurance; Engineering &amp; manufacturing; Healthcare &amp; life sciences; Trade, consumer &amp; logistics; Unresolved</x:v>
      </x:c>
      <x:c r="W252" s="2" t="str">
        <x:v>Small-scale prospects; Large enterprise; Mixed business audience</x:v>
      </x:c>
      <x:c r="X252" s="17" t="n">
        <x:f>IF(AND(H252=F252,NOT(ISNUMBER(N252)),N252="",ISNUMBER(K252)),K252,0)</x:f>
        <x:v>0</x:v>
      </x:c>
      <x:c r="Y252" s="17" t="n">
        <x:f>IF(AND(H252=F252,NOT(ISNUMBER(N252)),N252="",K252="",ISNUMBER(O252)),O252,0)</x:f>
        <x:v>195000</x:v>
      </x:c>
      <x:c r="Z252" s="17" t="n">
        <x:f>IF(AND(H252&gt;0,ISNUMBER(N252)),N252,0)</x:f>
        <x:v>0</x:v>
      </x:c>
      <x:c r="AA252" s="2" t="n">
        <x:f>IF(AND(H252&gt;0,N252="",NOT(ISNUMBER(Q252))),1,0)</x:f>
        <x:v>0</x:v>
      </x:c>
      <x:c r="AB252" s="2" t="n">
        <x:f>IF(AND(H252&gt;0,N252&lt;&gt;"",NOT(ISNUMBER(N252))),1,0)</x:f>
        <x:v>0</x:v>
      </x:c>
    </x:row>
    <x:row r="253" ht="48" customHeight="1">
      <x:c r="A253" s="2" t="str">
        <x:v>MAIN-242</x:v>
      </x:c>
      <x:c r="B253" s="2" t="str">
        <x:v>Main</x:v>
      </x:c>
      <x:c r="C253" s="2" t="str">
        <x:v>Hyderabad</x:v>
      </x:c>
      <x:c r="D253" s="12" t="str">
        <x:v>NSL Centrum Mall</x:v>
      </x:c>
      <x:c r="E253" s="12" t="str">
        <x:v>24 inch LED TV</x:v>
      </x:c>
      <x:c r="F253" s="2" t="n">
        <x:v>1</x:v>
      </x:c>
      <x:c r="G253" s="2" t="n">
        <x:v>2</x:v>
      </x:c>
      <x:c r="H253" s="2" t="n">
        <x:f>COUNTIFS('Inventory'!$N$7:$N$783,A253,'Inventory'!$A$7:$A$783,1)</x:f>
        <x:v>1</x:v>
      </x:c>
      <x:c r="I253" s="2" t="n">
        <x:f>SUMIFS('Inventory'!$G$7:$G$783,'Inventory'!$N$7:$N$783,A253,'Inventory'!$A$7:$A$783,1)</x:f>
        <x:v>2</x:v>
      </x:c>
      <x:c r="J253" s="12" t="str">
        <x:v>Listed budget</x:v>
      </x:c>
      <x:c r="K253" s="17" t="n">
        <x:v>30000</x:v>
      </x:c>
      <x:c r="L253" s="17"/>
      <x:c r="M253" s="17"/>
      <x:c r="N253" s="19"/>
      <x:c r="O253" s="17" t="str">
        <x:f>IF(ISNUMBER(L253),G253*L253,IF(ISNUMBER(M253),M253,""))</x:f>
      </x:c>
      <x:c r="P253" s="17" t="n">
        <x:f>IF(ISNUMBER(K253),K253,IF(ISNUMBER(O253),O253,""))</x:f>
        <x:v>30000</x:v>
      </x:c>
      <x:c r="Q253" s="17" t="n">
        <x:f>IF(H253=0,0,IF(ISNUMBER(N253),N253,IF(N253="",IF(H253=F253,P253,""),"")))</x:f>
        <x:v>30000</x:v>
      </x:c>
      <x:c r="R253" s="17" t="n">
        <x:f>IF(ISNUMBER(Q253),ROUND(Q253*$C$4,2),"")</x:f>
        <x:v>5400</x:v>
      </x:c>
      <x:c r="S253" s="17" t="n">
        <x:f>IF(ISNUMBER(Q253),Q253+R253,"")</x:f>
        <x:v>35400</x:v>
      </x:c>
      <x:c r="T253" s="2" t="str">
        <x:f>IF(H253=0,"Not selected",IF(ISNUMBER(N253),"Quote entered",IF(N253&lt;&gt;"","Enter numeric quote",IF(H253=F253,IF(ISNUMBER(P253),"Complete unit","Price required"),"Partial package: price required"))))</x:f>
        <x:v>Complete unit</x:v>
      </x:c>
      <x:c r="U253" s="2" t="str">
        <x:v>TEN-6F61DB52A98D; TEN-E8D0DB07FC5C</x:v>
      </x:c>
      <x:c r="V253" s="2" t="str">
        <x:v>IT &amp; digital; Education</x:v>
      </x:c>
      <x:c r="W253" s="2" t="str">
        <x:v>Mixed business audience</x:v>
      </x:c>
      <x:c r="X253" s="17" t="n">
        <x:f>IF(AND(H253=F253,NOT(ISNUMBER(N253)),N253="",ISNUMBER(K253)),K253,0)</x:f>
        <x:v>30000</x:v>
      </x:c>
      <x:c r="Y253" s="17" t="n">
        <x:f>IF(AND(H253=F253,NOT(ISNUMBER(N253)),N253="",K253="",ISNUMBER(O253)),O253,0)</x:f>
        <x:v>0</x:v>
      </x:c>
      <x:c r="Z253" s="17" t="n">
        <x:f>IF(AND(H253&gt;0,ISNUMBER(N253)),N253,0)</x:f>
        <x:v>0</x:v>
      </x:c>
      <x:c r="AA253" s="2" t="n">
        <x:f>IF(AND(H253&gt;0,N253="",NOT(ISNUMBER(Q253))),1,0)</x:f>
        <x:v>0</x:v>
      </x:c>
      <x:c r="AB253" s="2" t="n">
        <x:f>IF(AND(H253&gt;0,N253&lt;&gt;"",NOT(ISNUMBER(N253))),1,0)</x:f>
        <x:v>0</x:v>
      </x:c>
    </x:row>
    <x:row r="254" ht="48" customHeight="1">
      <x:c r="A254" s="2" t="str">
        <x:v>MAIN-243</x:v>
      </x:c>
      <x:c r="B254" s="2" t="str">
        <x:v>Main</x:v>
      </x:c>
      <x:c r="C254" s="2" t="str">
        <x:v>Hyderabad</x:v>
      </x:c>
      <x:c r="D254" s="12" t="str">
        <x:v>NSL Icon</x:v>
      </x:c>
      <x:c r="E254" s="12" t="str">
        <x:v>43 inch LED TV</x:v>
      </x:c>
      <x:c r="F254" s="2" t="n">
        <x:v>1</x:v>
      </x:c>
      <x:c r="G254" s="2" t="n">
        <x:v>2</x:v>
      </x:c>
      <x:c r="H254" s="2" t="n">
        <x:f>COUNTIFS('Inventory'!$N$7:$N$783,A254,'Inventory'!$A$7:$A$783,1)</x:f>
        <x:v>1</x:v>
      </x:c>
      <x:c r="I254" s="2" t="n">
        <x:f>SUMIFS('Inventory'!$G$7:$G$783,'Inventory'!$N$7:$N$783,A254,'Inventory'!$A$7:$A$783,1)</x:f>
        <x:v>2</x:v>
      </x:c>
      <x:c r="J254" s="12" t="str">
        <x:v>Campaign format rate</x:v>
      </x:c>
      <x:c r="K254" s="17"/>
      <x:c r="L254" s="17" t="n">
        <x:f>$E$5</x:f>
        <x:v>20000</x:v>
      </x:c>
      <x:c r="M254" s="17"/>
      <x:c r="N254" s="19"/>
      <x:c r="O254" s="17" t="n">
        <x:f>IF(ISNUMBER(L254),G254*L254,IF(ISNUMBER(M254),M254,""))</x:f>
        <x:v>40000</x:v>
      </x:c>
      <x:c r="P254" s="17" t="n">
        <x:f>IF(ISNUMBER(K254),K254,IF(ISNUMBER(O254),O254,""))</x:f>
        <x:v>40000</x:v>
      </x:c>
      <x:c r="Q254" s="17" t="n">
        <x:f>IF(H254=0,0,IF(ISNUMBER(N254),N254,IF(N254="",IF(H254=F254,P254,""),"")))</x:f>
        <x:v>40000</x:v>
      </x:c>
      <x:c r="R254" s="17" t="n">
        <x:f>IF(ISNUMBER(Q254),ROUND(Q254*$C$4,2),"")</x:f>
        <x:v>7200</x:v>
      </x:c>
      <x:c r="S254" s="17" t="n">
        <x:f>IF(ISNUMBER(Q254),Q254+R254,"")</x:f>
        <x:v>47200</x:v>
      </x:c>
      <x:c r="T254" s="2" t="str">
        <x:f>IF(H254=0,"Not selected",IF(ISNUMBER(N254),"Quote entered",IF(N254&lt;&gt;"","Enter numeric quote",IF(H254=F254,IF(ISNUMBER(P254),"Complete unit","Price required"),"Partial package: price required"))))</x:f>
        <x:v>Complete unit</x:v>
      </x:c>
      <x:c r="U254" s="2" t="str">
        <x:v>TEN-1ADCE1DFDBEF; TEN-41F8EEA85BA7; TEN-60BEED08B6CD; TEN-C90BC7E0B9D7</x:v>
      </x:c>
      <x:c r="V254" s="2" t="str">
        <x:v>Engineering &amp; manufacturing; Trade, consumer &amp; logistics</x:v>
      </x:c>
      <x:c r="W254" s="2" t="str">
        <x:v>Small-scale prospects; Mixed business audience</x:v>
      </x:c>
      <x:c r="X254" s="17" t="n">
        <x:f>IF(AND(H254=F254,NOT(ISNUMBER(N254)),N254="",ISNUMBER(K254)),K254,0)</x:f>
        <x:v>0</x:v>
      </x:c>
      <x:c r="Y254" s="17" t="n">
        <x:f>IF(AND(H254=F254,NOT(ISNUMBER(N254)),N254="",K254="",ISNUMBER(O254)),O254,0)</x:f>
        <x:v>40000</x:v>
      </x:c>
      <x:c r="Z254" s="17" t="n">
        <x:f>IF(AND(H254&gt;0,ISNUMBER(N254)),N254,0)</x:f>
        <x:v>0</x:v>
      </x:c>
      <x:c r="AA254" s="2" t="n">
        <x:f>IF(AND(H254&gt;0,N254="",NOT(ISNUMBER(Q254))),1,0)</x:f>
        <x:v>0</x:v>
      </x:c>
      <x:c r="AB254" s="2" t="n">
        <x:f>IF(AND(H254&gt;0,N254&lt;&gt;"",NOT(ISNUMBER(N254))),1,0)</x:f>
        <x:v>0</x:v>
      </x:c>
    </x:row>
    <x:row r="255" ht="48" customHeight="1">
      <x:c r="A255" s="2" t="str">
        <x:v>MAIN-244</x:v>
      </x:c>
      <x:c r="B255" s="2" t="str">
        <x:v>Main</x:v>
      </x:c>
      <x:c r="C255" s="2" t="str">
        <x:v>Hyderabad</x:v>
      </x:c>
      <x:c r="D255" s="12" t="str">
        <x:v>Oyo Workspace - Hitech</x:v>
      </x:c>
      <x:c r="E255" s="12" t="str">
        <x:v>32 inch LED TV</x:v>
      </x:c>
      <x:c r="F255" s="2" t="n">
        <x:v>1</x:v>
      </x:c>
      <x:c r="G255" s="2" t="n">
        <x:v>2</x:v>
      </x:c>
      <x:c r="H255" s="2" t="n">
        <x:f>COUNTIFS('Inventory'!$N$7:$N$783,A255,'Inventory'!$A$7:$A$783,1)</x:f>
        <x:v>1</x:v>
      </x:c>
      <x:c r="I255" s="2" t="n">
        <x:f>SUMIFS('Inventory'!$G$7:$G$783,'Inventory'!$N$7:$N$783,A255,'Inventory'!$A$7:$A$783,1)</x:f>
        <x:v>2</x:v>
      </x:c>
      <x:c r="J255" s="12" t="str">
        <x:v>Listed budget</x:v>
      </x:c>
      <x:c r="K255" s="17" t="n">
        <x:v>30000</x:v>
      </x:c>
      <x:c r="L255" s="17"/>
      <x:c r="M255" s="17"/>
      <x:c r="N255" s="19"/>
      <x:c r="O255" s="17" t="str">
        <x:f>IF(ISNUMBER(L255),G255*L255,IF(ISNUMBER(M255),M255,""))</x:f>
      </x:c>
      <x:c r="P255" s="17" t="n">
        <x:f>IF(ISNUMBER(K255),K255,IF(ISNUMBER(O255),O255,""))</x:f>
        <x:v>30000</x:v>
      </x:c>
      <x:c r="Q255" s="17" t="n">
        <x:f>IF(H255=0,0,IF(ISNUMBER(N255),N255,IF(N255="",IF(H255=F255,P255,""),"")))</x:f>
        <x:v>30000</x:v>
      </x:c>
      <x:c r="R255" s="17" t="n">
        <x:f>IF(ISNUMBER(Q255),ROUND(Q255*$C$4,2),"")</x:f>
        <x:v>5400</x:v>
      </x:c>
      <x:c r="S255" s="17" t="n">
        <x:f>IF(ISNUMBER(Q255),Q255+R255,"")</x:f>
        <x:v>35400</x:v>
      </x:c>
      <x:c r="T255" s="2" t="str">
        <x:f>IF(H255=0,"Not selected",IF(ISNUMBER(N255),"Quote entered",IF(N255&lt;&gt;"","Enter numeric quote",IF(H255=F255,IF(ISNUMBER(P255),"Complete unit","Price required"),"Partial package: price required"))))</x:f>
        <x:v>Complete unit</x:v>
      </x:c>
      <x:c r="U255" s="2" t="str">
        <x:v>TEN-464F9C5379BC; TEN-526477BACCAC; TEN-599CBC1C57D0; TEN-992B900C54B6; TEN-C6E4BD473001; TEN-C84BDABCAA71; TEN-CC1F41A505F0; TEN-CD0BD7252CCD; TEN-D655F2A6AE11; TEN-F5BCE861BB3F; TEN-FA461A42B5F7</x:v>
      </x:c>
      <x:c r="V255" s="2" t="str">
        <x:v>IT &amp; digital; Finance &amp; insurance; Trade, consumer &amp; logistics; Unresolved</x:v>
      </x:c>
      <x:c r="W255" s="2" t="str">
        <x:v>Small-scale prospects; Medium-scale prospects; Mixed business audience</x:v>
      </x:c>
      <x:c r="X255" s="17" t="n">
        <x:f>IF(AND(H255=F255,NOT(ISNUMBER(N255)),N255="",ISNUMBER(K255)),K255,0)</x:f>
        <x:v>30000</x:v>
      </x:c>
      <x:c r="Y255" s="17" t="n">
        <x:f>IF(AND(H255=F255,NOT(ISNUMBER(N255)),N255="",K255="",ISNUMBER(O255)),O255,0)</x:f>
        <x:v>0</x:v>
      </x:c>
      <x:c r="Z255" s="17" t="n">
        <x:f>IF(AND(H255&gt;0,ISNUMBER(N255)),N255,0)</x:f>
        <x:v>0</x:v>
      </x:c>
      <x:c r="AA255" s="2" t="n">
        <x:f>IF(AND(H255&gt;0,N255="",NOT(ISNUMBER(Q255))),1,0)</x:f>
        <x:v>0</x:v>
      </x:c>
      <x:c r="AB255" s="2" t="n">
        <x:f>IF(AND(H255&gt;0,N255&lt;&gt;"",NOT(ISNUMBER(N255))),1,0)</x:f>
        <x:v>0</x:v>
      </x:c>
    </x:row>
    <x:row r="256" ht="48" customHeight="1">
      <x:c r="A256" s="2" t="str">
        <x:v>MAIN-245</x:v>
      </x:c>
      <x:c r="B256" s="2" t="str">
        <x:v>Main</x:v>
      </x:c>
      <x:c r="C256" s="2" t="str">
        <x:v>Hyderabad</x:v>
      </x:c>
      <x:c r="D256" s="12" t="str">
        <x:v>Phoenix IVY</x:v>
      </x:c>
      <x:c r="E256" s="12" t="str">
        <x:v>55 inch LED TV</x:v>
      </x:c>
      <x:c r="F256" s="2" t="n">
        <x:v>1</x:v>
      </x:c>
      <x:c r="G256" s="2" t="n">
        <x:v>1</x:v>
      </x:c>
      <x:c r="H256" s="2" t="n">
        <x:f>COUNTIFS('Inventory'!$N$7:$N$783,A256,'Inventory'!$A$7:$A$783,1)</x:f>
        <x:v>1</x:v>
      </x:c>
      <x:c r="I256" s="2" t="n">
        <x:f>SUMIFS('Inventory'!$G$7:$G$783,'Inventory'!$N$7:$N$783,A256,'Inventory'!$A$7:$A$783,1)</x:f>
        <x:v>1</x:v>
      </x:c>
      <x:c r="J256" s="12" t="str">
        <x:v>Campaign format rate</x:v>
      </x:c>
      <x:c r="K256" s="17"/>
      <x:c r="L256" s="17" t="n">
        <x:f>$I$5</x:f>
        <x:v>40000</x:v>
      </x:c>
      <x:c r="M256" s="17"/>
      <x:c r="N256" s="19"/>
      <x:c r="O256" s="17" t="n">
        <x:f>IF(ISNUMBER(L256),G256*L256,IF(ISNUMBER(M256),M256,""))</x:f>
        <x:v>40000</x:v>
      </x:c>
      <x:c r="P256" s="17" t="n">
        <x:f>IF(ISNUMBER(K256),K256,IF(ISNUMBER(O256),O256,""))</x:f>
        <x:v>40000</x:v>
      </x:c>
      <x:c r="Q256" s="17" t="n">
        <x:f>IF(H256=0,0,IF(ISNUMBER(N256),N256,IF(N256="",IF(H256=F256,P256,""),"")))</x:f>
        <x:v>40000</x:v>
      </x:c>
      <x:c r="R256" s="17" t="n">
        <x:f>IF(ISNUMBER(Q256),ROUND(Q256*$C$4,2),"")</x:f>
        <x:v>7200</x:v>
      </x:c>
      <x:c r="S256" s="17" t="n">
        <x:f>IF(ISNUMBER(Q256),Q256+R256,"")</x:f>
        <x:v>47200</x:v>
      </x:c>
      <x:c r="T256" s="2" t="str">
        <x:f>IF(H256=0,"Not selected",IF(ISNUMBER(N256),"Quote entered",IF(N256&lt;&gt;"","Enter numeric quote",IF(H256=F256,IF(ISNUMBER(P256),"Complete unit","Price required"),"Partial package: price required"))))</x:f>
        <x:v>Complete unit</x:v>
      </x:c>
      <x:c r="U256" s="2" t="str">
        <x:v>TEN-B0659027A62A; TEN-FF81037D87B2</x:v>
      </x:c>
      <x:c r="V256" s="2" t="str">
        <x:v>Finance &amp; insurance; Healthcare &amp; life sciences</x:v>
      </x:c>
      <x:c r="W256" s="2" t="str">
        <x:v>Mixed business audience</x:v>
      </x:c>
      <x:c r="X256" s="17" t="n">
        <x:f>IF(AND(H256=F256,NOT(ISNUMBER(N256)),N256="",ISNUMBER(K256)),K256,0)</x:f>
        <x:v>0</x:v>
      </x:c>
      <x:c r="Y256" s="17" t="n">
        <x:f>IF(AND(H256=F256,NOT(ISNUMBER(N256)),N256="",K256="",ISNUMBER(O256)),O256,0)</x:f>
        <x:v>40000</x:v>
      </x:c>
      <x:c r="Z256" s="17" t="n">
        <x:f>IF(AND(H256&gt;0,ISNUMBER(N256)),N256,0)</x:f>
        <x:v>0</x:v>
      </x:c>
      <x:c r="AA256" s="2" t="n">
        <x:f>IF(AND(H256&gt;0,N256="",NOT(ISNUMBER(Q256))),1,0)</x:f>
        <x:v>0</x:v>
      </x:c>
      <x:c r="AB256" s="2" t="n">
        <x:f>IF(AND(H256&gt;0,N256&lt;&gt;"",NOT(ISNUMBER(N256))),1,0)</x:f>
        <x:v>0</x:v>
      </x:c>
    </x:row>
    <x:row r="257" ht="48" customHeight="1">
      <x:c r="A257" s="2" t="str">
        <x:v>MAIN-246</x:v>
      </x:c>
      <x:c r="B257" s="2" t="str">
        <x:v>Main</x:v>
      </x:c>
      <x:c r="C257" s="2" t="str">
        <x:v>Hyderabad</x:v>
      </x:c>
      <x:c r="D257" s="12" t="str">
        <x:v>Purva Summit Tech Park</x:v>
      </x:c>
      <x:c r="E257" s="12" t="str">
        <x:v>43 inch LED TV</x:v>
      </x:c>
      <x:c r="F257" s="2" t="n">
        <x:v>1</x:v>
      </x:c>
      <x:c r="G257" s="2" t="n">
        <x:v>1</x:v>
      </x:c>
      <x:c r="H257" s="2" t="n">
        <x:f>COUNTIFS('Inventory'!$N$7:$N$783,A257,'Inventory'!$A$7:$A$783,1)</x:f>
        <x:v>1</x:v>
      </x:c>
      <x:c r="I257" s="2" t="n">
        <x:f>SUMIFS('Inventory'!$G$7:$G$783,'Inventory'!$N$7:$N$783,A257,'Inventory'!$A$7:$A$783,1)</x:f>
        <x:v>1</x:v>
      </x:c>
      <x:c r="J257" s="12" t="str">
        <x:v>Campaign format rate</x:v>
      </x:c>
      <x:c r="K257" s="17"/>
      <x:c r="L257" s="17" t="n">
        <x:f>$E$5</x:f>
        <x:v>20000</x:v>
      </x:c>
      <x:c r="M257" s="17"/>
      <x:c r="N257" s="19"/>
      <x:c r="O257" s="17" t="n">
        <x:f>IF(ISNUMBER(L257),G257*L257,IF(ISNUMBER(M257),M257,""))</x:f>
        <x:v>20000</x:v>
      </x:c>
      <x:c r="P257" s="17" t="n">
        <x:f>IF(ISNUMBER(K257),K257,IF(ISNUMBER(O257),O257,""))</x:f>
        <x:v>20000</x:v>
      </x:c>
      <x:c r="Q257" s="17" t="n">
        <x:f>IF(H257=0,0,IF(ISNUMBER(N257),N257,IF(N257="",IF(H257=F257,P257,""),"")))</x:f>
        <x:v>20000</x:v>
      </x:c>
      <x:c r="R257" s="17" t="n">
        <x:f>IF(ISNUMBER(Q257),ROUND(Q257*$C$4,2),"")</x:f>
        <x:v>3600</x:v>
      </x:c>
      <x:c r="S257" s="17" t="n">
        <x:f>IF(ISNUMBER(Q257),Q257+R257,"")</x:f>
        <x:v>23600</x:v>
      </x:c>
      <x:c r="T257" s="2" t="str">
        <x:f>IF(H257=0,"Not selected",IF(ISNUMBER(N257),"Quote entered",IF(N257&lt;&gt;"","Enter numeric quote",IF(H257=F257,IF(ISNUMBER(P257),"Complete unit","Price required"),"Partial package: price required"))))</x:f>
        <x:v>Complete unit</x:v>
      </x:c>
      <x:c r="U257" s="2" t="str">
        <x:v>TEN-6591D67E331F; TEN-74881CF03C29; TEN-8374251B30D0; TEN-9CAC587E99B7; TEN-A4AB520E8F5F; TEN-EA32BBCF7041</x:v>
      </x:c>
      <x:c r="V257" s="2" t="str">
        <x:v>IT &amp; digital; Professional services</x:v>
      </x:c>
      <x:c r="W257" s="2" t="str">
        <x:v>Small-scale prospects; Large enterprise; Mixed business audience</x:v>
      </x:c>
      <x:c r="X257" s="17" t="n">
        <x:f>IF(AND(H257=F257,NOT(ISNUMBER(N257)),N257="",ISNUMBER(K257)),K257,0)</x:f>
        <x:v>0</x:v>
      </x:c>
      <x:c r="Y257" s="17" t="n">
        <x:f>IF(AND(H257=F257,NOT(ISNUMBER(N257)),N257="",K257="",ISNUMBER(O257)),O257,0)</x:f>
        <x:v>20000</x:v>
      </x:c>
      <x:c r="Z257" s="17" t="n">
        <x:f>IF(AND(H257&gt;0,ISNUMBER(N257)),N257,0)</x:f>
        <x:v>0</x:v>
      </x:c>
      <x:c r="AA257" s="2" t="n">
        <x:f>IF(AND(H257&gt;0,N257="",NOT(ISNUMBER(Q257))),1,0)</x:f>
        <x:v>0</x:v>
      </x:c>
      <x:c r="AB257" s="2" t="n">
        <x:f>IF(AND(H257&gt;0,N257&lt;&gt;"",NOT(ISNUMBER(N257))),1,0)</x:f>
        <x:v>0</x:v>
      </x:c>
    </x:row>
    <x:row r="258" ht="48" customHeight="1">
      <x:c r="A258" s="2" t="str">
        <x:v>MAIN-247</x:v>
      </x:c>
      <x:c r="B258" s="2" t="str">
        <x:v>Main</x:v>
      </x:c>
      <x:c r="C258" s="2" t="str">
        <x:v>Hyderabad</x:v>
      </x:c>
      <x:c r="D258" s="12" t="str">
        <x:v>Quick Start - Cynosure Gachibowli</x:v>
      </x:c>
      <x:c r="E258" s="12" t="str">
        <x:v>32 inch LED TV</x:v>
      </x:c>
      <x:c r="F258" s="2" t="n">
        <x:v>1</x:v>
      </x:c>
      <x:c r="G258" s="2" t="n">
        <x:v>1</x:v>
      </x:c>
      <x:c r="H258" s="2" t="n">
        <x:f>COUNTIFS('Inventory'!$N$7:$N$783,A258,'Inventory'!$A$7:$A$783,1)</x:f>
        <x:v>1</x:v>
      </x:c>
      <x:c r="I258" s="2" t="n">
        <x:f>SUMIFS('Inventory'!$G$7:$G$783,'Inventory'!$N$7:$N$783,A258,'Inventory'!$A$7:$A$783,1)</x:f>
        <x:v>1</x:v>
      </x:c>
      <x:c r="J258" s="12" t="str">
        <x:v>Listed budget</x:v>
      </x:c>
      <x:c r="K258" s="17" t="n">
        <x:v>15000</x:v>
      </x:c>
      <x:c r="L258" s="17"/>
      <x:c r="M258" s="17"/>
      <x:c r="N258" s="19"/>
      <x:c r="O258" s="17" t="str">
        <x:f>IF(ISNUMBER(L258),G258*L258,IF(ISNUMBER(M258),M258,""))</x:f>
      </x:c>
      <x:c r="P258" s="17" t="n">
        <x:f>IF(ISNUMBER(K258),K258,IF(ISNUMBER(O258),O258,""))</x:f>
        <x:v>15000</x:v>
      </x:c>
      <x:c r="Q258" s="17" t="n">
        <x:f>IF(H258=0,0,IF(ISNUMBER(N258),N258,IF(N258="",IF(H258=F258,P258,""),"")))</x:f>
        <x:v>15000</x:v>
      </x:c>
      <x:c r="R258" s="17" t="n">
        <x:f>IF(ISNUMBER(Q258),ROUND(Q258*$C$4,2),"")</x:f>
        <x:v>2700</x:v>
      </x:c>
      <x:c r="S258" s="17" t="n">
        <x:f>IF(ISNUMBER(Q258),Q258+R258,"")</x:f>
        <x:v>17700</x:v>
      </x:c>
      <x:c r="T258" s="2" t="str">
        <x:f>IF(H258=0,"Not selected",IF(ISNUMBER(N258),"Quote entered",IF(N258&lt;&gt;"","Enter numeric quote",IF(H258=F258,IF(ISNUMBER(P258),"Complete unit","Price required"),"Partial package: price required"))))</x:f>
        <x:v>Complete unit</x:v>
      </x:c>
      <x:c r="U258" s="2" t="str">
        <x:v>TEN-35C4BF441720; TEN-74EDD6DDC8EC; TEN-7C4FC1E96922; TEN-BA5E74923D14; TEN-D50AE0B08964</x:v>
      </x:c>
      <x:c r="V258" s="2" t="str">
        <x:v>IT &amp; digital; Professional services; Unresolved</x:v>
      </x:c>
      <x:c r="W258" s="2" t="str">
        <x:v>Small-scale prospects; Mixed business audience</x:v>
      </x:c>
      <x:c r="X258" s="17" t="n">
        <x:f>IF(AND(H258=F258,NOT(ISNUMBER(N258)),N258="",ISNUMBER(K258)),K258,0)</x:f>
        <x:v>15000</x:v>
      </x:c>
      <x:c r="Y258" s="17" t="n">
        <x:f>IF(AND(H258=F258,NOT(ISNUMBER(N258)),N258="",K258="",ISNUMBER(O258)),O258,0)</x:f>
        <x:v>0</x:v>
      </x:c>
      <x:c r="Z258" s="17" t="n">
        <x:f>IF(AND(H258&gt;0,ISNUMBER(N258)),N258,0)</x:f>
        <x:v>0</x:v>
      </x:c>
      <x:c r="AA258" s="2" t="n">
        <x:f>IF(AND(H258&gt;0,N258="",NOT(ISNUMBER(Q258))),1,0)</x:f>
        <x:v>0</x:v>
      </x:c>
      <x:c r="AB258" s="2" t="n">
        <x:f>IF(AND(H258&gt;0,N258&lt;&gt;"",NOT(ISNUMBER(N258))),1,0)</x:f>
        <x:v>0</x:v>
      </x:c>
    </x:row>
    <x:row r="259" ht="48" customHeight="1">
      <x:c r="A259" s="2" t="str">
        <x:v>MAIN-248</x:v>
      </x:c>
      <x:c r="B259" s="2" t="str">
        <x:v>Main</x:v>
      </x:c>
      <x:c r="C259" s="2" t="str">
        <x:v>Hyderabad</x:v>
      </x:c>
      <x:c r="D259" s="12" t="str">
        <x:v>Quick Start - Madhapur</x:v>
      </x:c>
      <x:c r="E259" s="12" t="str">
        <x:v>32 inch LED TV</x:v>
      </x:c>
      <x:c r="F259" s="2" t="n">
        <x:v>1</x:v>
      </x:c>
      <x:c r="G259" s="2" t="n">
        <x:v>3</x:v>
      </x:c>
      <x:c r="H259" s="2" t="n">
        <x:f>COUNTIFS('Inventory'!$N$7:$N$783,A259,'Inventory'!$A$7:$A$783,1)</x:f>
        <x:v>1</x:v>
      </x:c>
      <x:c r="I259" s="2" t="n">
        <x:f>SUMIFS('Inventory'!$G$7:$G$783,'Inventory'!$N$7:$N$783,A259,'Inventory'!$A$7:$A$783,1)</x:f>
        <x:v>3</x:v>
      </x:c>
      <x:c r="J259" s="12" t="str">
        <x:v>Listed budget</x:v>
      </x:c>
      <x:c r="K259" s="17" t="n">
        <x:v>45000</x:v>
      </x:c>
      <x:c r="L259" s="17"/>
      <x:c r="M259" s="17"/>
      <x:c r="N259" s="19"/>
      <x:c r="O259" s="17" t="str">
        <x:f>IF(ISNUMBER(L259),G259*L259,IF(ISNUMBER(M259),M259,""))</x:f>
      </x:c>
      <x:c r="P259" s="17" t="n">
        <x:f>IF(ISNUMBER(K259),K259,IF(ISNUMBER(O259),O259,""))</x:f>
        <x:v>45000</x:v>
      </x:c>
      <x:c r="Q259" s="17" t="n">
        <x:f>IF(H259=0,0,IF(ISNUMBER(N259),N259,IF(N259="",IF(H259=F259,P259,""),"")))</x:f>
        <x:v>45000</x:v>
      </x:c>
      <x:c r="R259" s="17" t="n">
        <x:f>IF(ISNUMBER(Q259),ROUND(Q259*$C$4,2),"")</x:f>
        <x:v>8100</x:v>
      </x:c>
      <x:c r="S259" s="17" t="n">
        <x:f>IF(ISNUMBER(Q259),Q259+R259,"")</x:f>
        <x:v>53100</x:v>
      </x:c>
      <x:c r="T259" s="2" t="str">
        <x:f>IF(H259=0,"Not selected",IF(ISNUMBER(N259),"Quote entered",IF(N259&lt;&gt;"","Enter numeric quote",IF(H259=F259,IF(ISNUMBER(P259),"Complete unit","Price required"),"Partial package: price required"))))</x:f>
        <x:v>Complete unit</x:v>
      </x:c>
      <x:c r="U259" s="2" t="str">
        <x:v>TEN-2F91A8AFEB8D; TEN-B35F6FDA0695</x:v>
      </x:c>
      <x:c r="V259" s="2" t="str">
        <x:v>Professional services; Unresolved</x:v>
      </x:c>
      <x:c r="W259" s="2" t="str">
        <x:v>Small-scale prospects; Mixed business audience</x:v>
      </x:c>
      <x:c r="X259" s="17" t="n">
        <x:f>IF(AND(H259=F259,NOT(ISNUMBER(N259)),N259="",ISNUMBER(K259)),K259,0)</x:f>
        <x:v>45000</x:v>
      </x:c>
      <x:c r="Y259" s="17" t="n">
        <x:f>IF(AND(H259=F259,NOT(ISNUMBER(N259)),N259="",K259="",ISNUMBER(O259)),O259,0)</x:f>
        <x:v>0</x:v>
      </x:c>
      <x:c r="Z259" s="17" t="n">
        <x:f>IF(AND(H259&gt;0,ISNUMBER(N259)),N259,0)</x:f>
        <x:v>0</x:v>
      </x:c>
      <x:c r="AA259" s="2" t="n">
        <x:f>IF(AND(H259&gt;0,N259="",NOT(ISNUMBER(Q259))),1,0)</x:f>
        <x:v>0</x:v>
      </x:c>
      <x:c r="AB259" s="2" t="n">
        <x:f>IF(AND(H259&gt;0,N259&lt;&gt;"",NOT(ISNUMBER(N259))),1,0)</x:f>
        <x:v>0</x:v>
      </x:c>
    </x:row>
    <x:row r="260" ht="48" customHeight="1">
      <x:c r="A260" s="2" t="str">
        <x:v>MAIN-249</x:v>
      </x:c>
      <x:c r="B260" s="2" t="str">
        <x:v>Main</x:v>
      </x:c>
      <x:c r="C260" s="2" t="str">
        <x:v>Hyderabad</x:v>
      </x:c>
      <x:c r="D260" s="12" t="str">
        <x:v>Quick Start - Vasavi Sky City Gachibowli</x:v>
      </x:c>
      <x:c r="E260" s="12" t="str">
        <x:v>32 inch LED TV</x:v>
      </x:c>
      <x:c r="F260" s="2" t="n">
        <x:v>1</x:v>
      </x:c>
      <x:c r="G260" s="2" t="n">
        <x:v>3</x:v>
      </x:c>
      <x:c r="H260" s="2" t="n">
        <x:f>COUNTIFS('Inventory'!$N$7:$N$783,A260,'Inventory'!$A$7:$A$783,1)</x:f>
        <x:v>1</x:v>
      </x:c>
      <x:c r="I260" s="2" t="n">
        <x:f>SUMIFS('Inventory'!$G$7:$G$783,'Inventory'!$N$7:$N$783,A260,'Inventory'!$A$7:$A$783,1)</x:f>
        <x:v>3</x:v>
      </x:c>
      <x:c r="J260" s="12" t="str">
        <x:v>Listed budget</x:v>
      </x:c>
      <x:c r="K260" s="17" t="n">
        <x:v>45000</x:v>
      </x:c>
      <x:c r="L260" s="17"/>
      <x:c r="M260" s="17"/>
      <x:c r="N260" s="19"/>
      <x:c r="O260" s="17" t="str">
        <x:f>IF(ISNUMBER(L260),G260*L260,IF(ISNUMBER(M260),M260,""))</x:f>
      </x:c>
      <x:c r="P260" s="17" t="n">
        <x:f>IF(ISNUMBER(K260),K260,IF(ISNUMBER(O260),O260,""))</x:f>
        <x:v>45000</x:v>
      </x:c>
      <x:c r="Q260" s="17" t="n">
        <x:f>IF(H260=0,0,IF(ISNUMBER(N260),N260,IF(N260="",IF(H260=F260,P260,""),"")))</x:f>
        <x:v>45000</x:v>
      </x:c>
      <x:c r="R260" s="17" t="n">
        <x:f>IF(ISNUMBER(Q260),ROUND(Q260*$C$4,2),"")</x:f>
        <x:v>8100</x:v>
      </x:c>
      <x:c r="S260" s="17" t="n">
        <x:f>IF(ISNUMBER(Q260),Q260+R260,"")</x:f>
        <x:v>53100</x:v>
      </x:c>
      <x:c r="T260" s="2" t="str">
        <x:f>IF(H260=0,"Not selected",IF(ISNUMBER(N260),"Quote entered",IF(N260&lt;&gt;"","Enter numeric quote",IF(H260=F260,IF(ISNUMBER(P260),"Complete unit","Price required"),"Partial package: price required"))))</x:f>
        <x:v>Complete unit</x:v>
      </x:c>
      <x:c r="U260" s="2" t="str">
        <x:v>TEN-7E12240EFC1E; TEN-B35F6FDA0695</x:v>
      </x:c>
      <x:c r="V260" s="2" t="str">
        <x:v>Trade, consumer &amp; logistics; Unresolved</x:v>
      </x:c>
      <x:c r="W260" s="2" t="str">
        <x:v>Mixed business audience</x:v>
      </x:c>
      <x:c r="X260" s="17" t="n">
        <x:f>IF(AND(H260=F260,NOT(ISNUMBER(N260)),N260="",ISNUMBER(K260)),K260,0)</x:f>
        <x:v>45000</x:v>
      </x:c>
      <x:c r="Y260" s="17" t="n">
        <x:f>IF(AND(H260=F260,NOT(ISNUMBER(N260)),N260="",K260="",ISNUMBER(O260)),O260,0)</x:f>
        <x:v>0</x:v>
      </x:c>
      <x:c r="Z260" s="17" t="n">
        <x:f>IF(AND(H260&gt;0,ISNUMBER(N260)),N260,0)</x:f>
        <x:v>0</x:v>
      </x:c>
      <x:c r="AA260" s="2" t="n">
        <x:f>IF(AND(H260&gt;0,N260="",NOT(ISNUMBER(Q260))),1,0)</x:f>
        <x:v>0</x:v>
      </x:c>
      <x:c r="AB260" s="2" t="n">
        <x:f>IF(AND(H260&gt;0,N260&lt;&gt;"",NOT(ISNUMBER(N260))),1,0)</x:f>
        <x:v>0</x:v>
      </x:c>
    </x:row>
    <x:row r="261" ht="48" customHeight="1">
      <x:c r="A261" s="2" t="str">
        <x:v>MAIN-250</x:v>
      </x:c>
      <x:c r="B261" s="2" t="str">
        <x:v>Main</x:v>
      </x:c>
      <x:c r="C261" s="2" t="str">
        <x:v>Hyderabad</x:v>
      </x:c>
      <x:c r="D261" s="12" t="str">
        <x:v>Raheja 2A (Redbrick Offices)</x:v>
      </x:c>
      <x:c r="E261" s="12" t="str">
        <x:v>32 inch LED TV</x:v>
      </x:c>
      <x:c r="F261" s="2" t="n">
        <x:v>1</x:v>
      </x:c>
      <x:c r="G261" s="2" t="n">
        <x:v>1</x:v>
      </x:c>
      <x:c r="H261" s="2" t="n">
        <x:f>COUNTIFS('Inventory'!$N$7:$N$783,A261,'Inventory'!$A$7:$A$783,1)</x:f>
        <x:v>1</x:v>
      </x:c>
      <x:c r="I261" s="2" t="n">
        <x:f>SUMIFS('Inventory'!$G$7:$G$783,'Inventory'!$N$7:$N$783,A261,'Inventory'!$A$7:$A$783,1)</x:f>
        <x:v>1</x:v>
      </x:c>
      <x:c r="J261" s="12" t="str">
        <x:v>Listed budget</x:v>
      </x:c>
      <x:c r="K261" s="17" t="n">
        <x:v>15000</x:v>
      </x:c>
      <x:c r="L261" s="17"/>
      <x:c r="M261" s="17"/>
      <x:c r="N261" s="19"/>
      <x:c r="O261" s="17" t="str">
        <x:f>IF(ISNUMBER(L261),G261*L261,IF(ISNUMBER(M261),M261,""))</x:f>
      </x:c>
      <x:c r="P261" s="17" t="n">
        <x:f>IF(ISNUMBER(K261),K261,IF(ISNUMBER(O261),O261,""))</x:f>
        <x:v>15000</x:v>
      </x:c>
      <x:c r="Q261" s="17" t="n">
        <x:f>IF(H261=0,0,IF(ISNUMBER(N261),N261,IF(N261="",IF(H261=F261,P261,""),"")))</x:f>
        <x:v>15000</x:v>
      </x:c>
      <x:c r="R261" s="17" t="n">
        <x:f>IF(ISNUMBER(Q261),ROUND(Q261*$C$4,2),"")</x:f>
        <x:v>2700</x:v>
      </x:c>
      <x:c r="S261" s="17" t="n">
        <x:f>IF(ISNUMBER(Q261),Q261+R261,"")</x:f>
        <x:v>17700</x:v>
      </x:c>
      <x:c r="T261" s="2" t="str">
        <x:f>IF(H261=0,"Not selected",IF(ISNUMBER(N261),"Quote entered",IF(N261&lt;&gt;"","Enter numeric quote",IF(H261=F261,IF(ISNUMBER(P261),"Complete unit","Price required"),"Partial package: price required"))))</x:f>
        <x:v>Complete unit</x:v>
      </x:c>
      <x:c r="U261" s="2" t="str">
        <x:v>TEN-2AE6F2F143A1; TEN-3411C22AE83B; TEN-3C41B38ACE41; TEN-3D1BACA6D51F; TEN-5A02EC14AC05; TEN-BE1735A89BDA; TEN-CBC5887ABFDF; TEN-D117446EF669; TEN-D570183BA689; TEN-FF5ED712C6BE</x:v>
      </x:c>
      <x:c r="V261" s="2" t="str">
        <x:v>IT &amp; digital; Professional services; Trade, consumer &amp; logistics</x:v>
      </x:c>
      <x:c r="W261" s="2" t="str">
        <x:v>Small-scale prospects; Large enterprise; Mixed business audience</x:v>
      </x:c>
      <x:c r="X261" s="17" t="n">
        <x:f>IF(AND(H261=F261,NOT(ISNUMBER(N261)),N261="",ISNUMBER(K261)),K261,0)</x:f>
        <x:v>15000</x:v>
      </x:c>
      <x:c r="Y261" s="17" t="n">
        <x:f>IF(AND(H261=F261,NOT(ISNUMBER(N261)),N261="",K261="",ISNUMBER(O261)),O261,0)</x:f>
        <x:v>0</x:v>
      </x:c>
      <x:c r="Z261" s="17" t="n">
        <x:f>IF(AND(H261&gt;0,ISNUMBER(N261)),N261,0)</x:f>
        <x:v>0</x:v>
      </x:c>
      <x:c r="AA261" s="2" t="n">
        <x:f>IF(AND(H261&gt;0,N261="",NOT(ISNUMBER(Q261))),1,0)</x:f>
        <x:v>0</x:v>
      </x:c>
      <x:c r="AB261" s="2" t="n">
        <x:f>IF(AND(H261&gt;0,N261&lt;&gt;"",NOT(ISNUMBER(N261))),1,0)</x:f>
        <x:v>0</x:v>
      </x:c>
    </x:row>
    <x:row r="262" ht="48" customHeight="1">
      <x:c r="A262" s="2" t="str">
        <x:v>MAIN-251</x:v>
      </x:c>
      <x:c r="B262" s="2" t="str">
        <x:v>Main</x:v>
      </x:c>
      <x:c r="C262" s="2" t="str">
        <x:v>Hyderabad</x:v>
      </x:c>
      <x:c r="D262" s="12" t="str">
        <x:v>Raheja IT Park Tower 3</x:v>
      </x:c>
      <x:c r="E262" s="12" t="str">
        <x:v>43 inch LED TV</x:v>
      </x:c>
      <x:c r="F262" s="2" t="n">
        <x:v>1</x:v>
      </x:c>
      <x:c r="G262" s="2" t="n">
        <x:v>2</x:v>
      </x:c>
      <x:c r="H262" s="2" t="n">
        <x:f>COUNTIFS('Inventory'!$N$7:$N$783,A262,'Inventory'!$A$7:$A$783,1)</x:f>
        <x:v>1</x:v>
      </x:c>
      <x:c r="I262" s="2" t="n">
        <x:f>SUMIFS('Inventory'!$G$7:$G$783,'Inventory'!$N$7:$N$783,A262,'Inventory'!$A$7:$A$783,1)</x:f>
        <x:v>2</x:v>
      </x:c>
      <x:c r="J262" s="12" t="str">
        <x:v>Campaign format rate</x:v>
      </x:c>
      <x:c r="K262" s="17"/>
      <x:c r="L262" s="17" t="n">
        <x:f>$E$5</x:f>
        <x:v>20000</x:v>
      </x:c>
      <x:c r="M262" s="17"/>
      <x:c r="N262" s="19"/>
      <x:c r="O262" s="17" t="n">
        <x:f>IF(ISNUMBER(L262),G262*L262,IF(ISNUMBER(M262),M262,""))</x:f>
        <x:v>40000</x:v>
      </x:c>
      <x:c r="P262" s="17" t="n">
        <x:f>IF(ISNUMBER(K262),K262,IF(ISNUMBER(O262),O262,""))</x:f>
        <x:v>40000</x:v>
      </x:c>
      <x:c r="Q262" s="17" t="n">
        <x:f>IF(H262=0,0,IF(ISNUMBER(N262),N262,IF(N262="",IF(H262=F262,P262,""),"")))</x:f>
        <x:v>40000</x:v>
      </x:c>
      <x:c r="R262" s="17" t="n">
        <x:f>IF(ISNUMBER(Q262),ROUND(Q262*$C$4,2),"")</x:f>
        <x:v>7200</x:v>
      </x:c>
      <x:c r="S262" s="17" t="n">
        <x:f>IF(ISNUMBER(Q262),Q262+R262,"")</x:f>
        <x:v>47200</x:v>
      </x:c>
      <x:c r="T262" s="2" t="str">
        <x:f>IF(H262=0,"Not selected",IF(ISNUMBER(N262),"Quote entered",IF(N262&lt;&gt;"","Enter numeric quote",IF(H262=F262,IF(ISNUMBER(P262),"Complete unit","Price required"),"Partial package: price required"))))</x:f>
        <x:v>Complete unit</x:v>
      </x:c>
      <x:c r="U262" s="2" t="str">
        <x:v>TEN-2DE61E4711F8; TEN-44DD619604F9; TEN-5B2E564D923D; TEN-6F11DEE58E05; TEN-87B3B0B3D245; TEN-9AC1EEB1DD41; TEN-AF4A0F3BF801; TEN-B40C1F698519; TEN-F0BBFCDE7C5C</x:v>
      </x:c>
      <x:c r="V262" s="2" t="str">
        <x:v>IT &amp; digital; Professional services; Healthcare &amp; life sciences; Trade, consumer &amp; logistics; Unresolved</x:v>
      </x:c>
      <x:c r="W262" s="2" t="str">
        <x:v>Small-scale prospects; Large enterprise; Mixed business audience</x:v>
      </x:c>
      <x:c r="X262" s="17" t="n">
        <x:f>IF(AND(H262=F262,NOT(ISNUMBER(N262)),N262="",ISNUMBER(K262)),K262,0)</x:f>
        <x:v>0</x:v>
      </x:c>
      <x:c r="Y262" s="17" t="n">
        <x:f>IF(AND(H262=F262,NOT(ISNUMBER(N262)),N262="",K262="",ISNUMBER(O262)),O262,0)</x:f>
        <x:v>40000</x:v>
      </x:c>
      <x:c r="Z262" s="17" t="n">
        <x:f>IF(AND(H262&gt;0,ISNUMBER(N262)),N262,0)</x:f>
        <x:v>0</x:v>
      </x:c>
      <x:c r="AA262" s="2" t="n">
        <x:f>IF(AND(H262&gt;0,N262="",NOT(ISNUMBER(Q262))),1,0)</x:f>
        <x:v>0</x:v>
      </x:c>
      <x:c r="AB262" s="2" t="n">
        <x:f>IF(AND(H262&gt;0,N262&lt;&gt;"",NOT(ISNUMBER(N262))),1,0)</x:f>
        <x:v>0</x:v>
      </x:c>
    </x:row>
    <x:row r="263" ht="48" customHeight="1">
      <x:c r="A263" s="2" t="str">
        <x:v>MAIN-252</x:v>
      </x:c>
      <x:c r="B263" s="2" t="str">
        <x:v>Main</x:v>
      </x:c>
      <x:c r="C263" s="2" t="str">
        <x:v>Hyderabad</x:v>
      </x:c>
      <x:c r="D263" s="12" t="str">
        <x:v>Raheja Mindspace Building 4 (TS)</x:v>
      </x:c>
      <x:c r="E263" s="12" t="str">
        <x:v>55 inch LED TV</x:v>
      </x:c>
      <x:c r="F263" s="2" t="n">
        <x:v>1</x:v>
      </x:c>
      <x:c r="G263" s="2" t="n">
        <x:v>8</x:v>
      </x:c>
      <x:c r="H263" s="2" t="n">
        <x:f>COUNTIFS('Inventory'!$N$7:$N$783,A263,'Inventory'!$A$7:$A$783,1)</x:f>
        <x:v>1</x:v>
      </x:c>
      <x:c r="I263" s="2" t="n">
        <x:f>SUMIFS('Inventory'!$G$7:$G$783,'Inventory'!$N$7:$N$783,A263,'Inventory'!$A$7:$A$783,1)</x:f>
        <x:v>8</x:v>
      </x:c>
      <x:c r="J263" s="12" t="str">
        <x:v>Campaign format rate</x:v>
      </x:c>
      <x:c r="K263" s="17"/>
      <x:c r="L263" s="17" t="n">
        <x:f>$I$5</x:f>
        <x:v>40000</x:v>
      </x:c>
      <x:c r="M263" s="17"/>
      <x:c r="N263" s="19"/>
      <x:c r="O263" s="17" t="n">
        <x:f>IF(ISNUMBER(L263),G263*L263,IF(ISNUMBER(M263),M263,""))</x:f>
        <x:v>320000</x:v>
      </x:c>
      <x:c r="P263" s="17" t="n">
        <x:f>IF(ISNUMBER(K263),K263,IF(ISNUMBER(O263),O263,""))</x:f>
        <x:v>320000</x:v>
      </x:c>
      <x:c r="Q263" s="17" t="n">
        <x:f>IF(H263=0,0,IF(ISNUMBER(N263),N263,IF(N263="",IF(H263=F263,P263,""),"")))</x:f>
        <x:v>320000</x:v>
      </x:c>
      <x:c r="R263" s="17" t="n">
        <x:f>IF(ISNUMBER(Q263),ROUND(Q263*$C$4,2),"")</x:f>
        <x:v>57600</x:v>
      </x:c>
      <x:c r="S263" s="17" t="n">
        <x:f>IF(ISNUMBER(Q263),Q263+R263,"")</x:f>
        <x:v>377600</x:v>
      </x:c>
      <x:c r="T263" s="2" t="str">
        <x:f>IF(H263=0,"Not selected",IF(ISNUMBER(N263),"Quote entered",IF(N263&lt;&gt;"","Enter numeric quote",IF(H263=F263,IF(ISNUMBER(P263),"Complete unit","Price required"),"Partial package: price required"))))</x:f>
        <x:v>Complete unit</x:v>
      </x:c>
      <x:c r="U263" s="2" t="str"/>
      <x:c r="V263" s="2" t="str">
        <x:v>Unclassified</x:v>
      </x:c>
      <x:c r="W263" s="2" t="str">
        <x:v>Mixed business audience</x:v>
      </x:c>
      <x:c r="X263" s="17" t="n">
        <x:f>IF(AND(H263=F263,NOT(ISNUMBER(N263)),N263="",ISNUMBER(K263)),K263,0)</x:f>
        <x:v>0</x:v>
      </x:c>
      <x:c r="Y263" s="17" t="n">
        <x:f>IF(AND(H263=F263,NOT(ISNUMBER(N263)),N263="",K263="",ISNUMBER(O263)),O263,0)</x:f>
        <x:v>320000</x:v>
      </x:c>
      <x:c r="Z263" s="17" t="n">
        <x:f>IF(AND(H263&gt;0,ISNUMBER(N263)),N263,0)</x:f>
        <x:v>0</x:v>
      </x:c>
      <x:c r="AA263" s="2" t="n">
        <x:f>IF(AND(H263&gt;0,N263="",NOT(ISNUMBER(Q263))),1,0)</x:f>
        <x:v>0</x:v>
      </x:c>
      <x:c r="AB263" s="2" t="n">
        <x:f>IF(AND(H263&gt;0,N263&lt;&gt;"",NOT(ISNUMBER(N263))),1,0)</x:f>
        <x:v>0</x:v>
      </x:c>
    </x:row>
    <x:row r="264" ht="48" customHeight="1">
      <x:c r="A264" s="2" t="str">
        <x:v>MAIN-253</x:v>
      </x:c>
      <x:c r="B264" s="2" t="str">
        <x:v>Main</x:v>
      </x:c>
      <x:c r="C264" s="2" t="str">
        <x:v>Hyderabad</x:v>
      </x:c>
      <x:c r="D264" s="12" t="str">
        <x:v>Raheja Mindspace IT Park - Madhapur</x:v>
      </x:c>
      <x:c r="E264" s="12" t="str">
        <x:v>55 inch LED TV</x:v>
      </x:c>
      <x:c r="F264" s="2" t="n">
        <x:v>1</x:v>
      </x:c>
      <x:c r="G264" s="2" t="n">
        <x:v>21</x:v>
      </x:c>
      <x:c r="H264" s="2" t="n">
        <x:f>COUNTIFS('Inventory'!$N$7:$N$783,A264,'Inventory'!$A$7:$A$783,1)</x:f>
        <x:v>1</x:v>
      </x:c>
      <x:c r="I264" s="2" t="n">
        <x:f>SUMIFS('Inventory'!$G$7:$G$783,'Inventory'!$N$7:$N$783,A264,'Inventory'!$A$7:$A$783,1)</x:f>
        <x:v>21</x:v>
      </x:c>
      <x:c r="J264" s="12" t="str">
        <x:v>Campaign format rate</x:v>
      </x:c>
      <x:c r="K264" s="17"/>
      <x:c r="L264" s="17" t="n">
        <x:f>$I$5</x:f>
        <x:v>40000</x:v>
      </x:c>
      <x:c r="M264" s="17"/>
      <x:c r="N264" s="19"/>
      <x:c r="O264" s="17" t="n">
        <x:f>IF(ISNUMBER(L264),G264*L264,IF(ISNUMBER(M264),M264,""))</x:f>
        <x:v>840000</x:v>
      </x:c>
      <x:c r="P264" s="17" t="n">
        <x:f>IF(ISNUMBER(K264),K264,IF(ISNUMBER(O264),O264,""))</x:f>
        <x:v>840000</x:v>
      </x:c>
      <x:c r="Q264" s="17" t="n">
        <x:f>IF(H264=0,0,IF(ISNUMBER(N264),N264,IF(N264="",IF(H264=F264,P264,""),"")))</x:f>
        <x:v>840000</x:v>
      </x:c>
      <x:c r="R264" s="17" t="n">
        <x:f>IF(ISNUMBER(Q264),ROUND(Q264*$C$4,2),"")</x:f>
        <x:v>151200</x:v>
      </x:c>
      <x:c r="S264" s="17" t="n">
        <x:f>IF(ISNUMBER(Q264),Q264+R264,"")</x:f>
        <x:v>991200</x:v>
      </x:c>
      <x:c r="T264" s="2" t="str">
        <x:f>IF(H264=0,"Not selected",IF(ISNUMBER(N264),"Quote entered",IF(N264&lt;&gt;"","Enter numeric quote",IF(H264=F264,IF(ISNUMBER(P264),"Complete unit","Price required"),"Partial package: price required"))))</x:f>
        <x:v>Complete unit</x:v>
      </x:c>
      <x:c r="U264" s="2" t="str">
        <x:v>TEN-33554C5EEC69; TEN-3D59F7548E1A; TEN-5528A266F145; TEN-6C678B9A5EE4; TEN-86F73DFE7BB6; TEN-9120856F15CD; TEN-916A98F0FA2A; TEN-C5F975B35C72; TEN-CB571403F03F; TEN-CBC62794911F; TEN-CE749E840DCA</x:v>
      </x:c>
      <x:c r="V264" s="2" t="str">
        <x:v>IT &amp; digital; Finance &amp; insurance; Engineering &amp; manufacturing</x:v>
      </x:c>
      <x:c r="W264" s="2" t="str">
        <x:v>Small-scale prospects; Large enterprise; Mixed business audience</x:v>
      </x:c>
      <x:c r="X264" s="17" t="n">
        <x:f>IF(AND(H264=F264,NOT(ISNUMBER(N264)),N264="",ISNUMBER(K264)),K264,0)</x:f>
        <x:v>0</x:v>
      </x:c>
      <x:c r="Y264" s="17" t="n">
        <x:f>IF(AND(H264=F264,NOT(ISNUMBER(N264)),N264="",K264="",ISNUMBER(O264)),O264,0)</x:f>
        <x:v>840000</x:v>
      </x:c>
      <x:c r="Z264" s="17" t="n">
        <x:f>IF(AND(H264&gt;0,ISNUMBER(N264)),N264,0)</x:f>
        <x:v>0</x:v>
      </x:c>
      <x:c r="AA264" s="2" t="n">
        <x:f>IF(AND(H264&gt;0,N264="",NOT(ISNUMBER(Q264))),1,0)</x:f>
        <x:v>0</x:v>
      </x:c>
      <x:c r="AB264" s="2" t="n">
        <x:f>IF(AND(H264&gt;0,N264&lt;&gt;"",NOT(ISNUMBER(N264))),1,0)</x:f>
        <x:v>0</x:v>
      </x:c>
    </x:row>
    <x:row r="265" ht="48" customHeight="1">
      <x:c r="A265" s="2" t="str">
        <x:v>MAIN-254</x:v>
      </x:c>
      <x:c r="B265" s="2" t="str">
        <x:v>Main</x:v>
      </x:c>
      <x:c r="C265" s="2" t="str">
        <x:v>Hyderabad</x:v>
      </x:c>
      <x:c r="D265" s="12" t="str">
        <x:v>Sattva Octave (Redbrick Offices)</x:v>
      </x:c>
      <x:c r="E265" s="12" t="str">
        <x:v>32 inch LED TV</x:v>
      </x:c>
      <x:c r="F265" s="2" t="n">
        <x:v>1</x:v>
      </x:c>
      <x:c r="G265" s="2" t="n">
        <x:v>1</x:v>
      </x:c>
      <x:c r="H265" s="2" t="n">
        <x:f>COUNTIFS('Inventory'!$N$7:$N$783,A265,'Inventory'!$A$7:$A$783,1)</x:f>
        <x:v>1</x:v>
      </x:c>
      <x:c r="I265" s="2" t="n">
        <x:f>SUMIFS('Inventory'!$G$7:$G$783,'Inventory'!$N$7:$N$783,A265,'Inventory'!$A$7:$A$783,1)</x:f>
        <x:v>1</x:v>
      </x:c>
      <x:c r="J265" s="12" t="str">
        <x:v>Listed budget</x:v>
      </x:c>
      <x:c r="K265" s="17" t="n">
        <x:v>15000</x:v>
      </x:c>
      <x:c r="L265" s="17"/>
      <x:c r="M265" s="17"/>
      <x:c r="N265" s="19"/>
      <x:c r="O265" s="17" t="str">
        <x:f>IF(ISNUMBER(L265),G265*L265,IF(ISNUMBER(M265),M265,""))</x:f>
      </x:c>
      <x:c r="P265" s="17" t="n">
        <x:f>IF(ISNUMBER(K265),K265,IF(ISNUMBER(O265),O265,""))</x:f>
        <x:v>15000</x:v>
      </x:c>
      <x:c r="Q265" s="17" t="n">
        <x:f>IF(H265=0,0,IF(ISNUMBER(N265),N265,IF(N265="",IF(H265=F265,P265,""),"")))</x:f>
        <x:v>15000</x:v>
      </x:c>
      <x:c r="R265" s="17" t="n">
        <x:f>IF(ISNUMBER(Q265),ROUND(Q265*$C$4,2),"")</x:f>
        <x:v>2700</x:v>
      </x:c>
      <x:c r="S265" s="17" t="n">
        <x:f>IF(ISNUMBER(Q265),Q265+R265,"")</x:f>
        <x:v>17700</x:v>
      </x:c>
      <x:c r="T265" s="2" t="str">
        <x:f>IF(H265=0,"Not selected",IF(ISNUMBER(N265),"Quote entered",IF(N265&lt;&gt;"","Enter numeric quote",IF(H265=F265,IF(ISNUMBER(P265),"Complete unit","Price required"),"Partial package: price required"))))</x:f>
        <x:v>Complete unit</x:v>
      </x:c>
      <x:c r="U265" s="2" t="str">
        <x:v>TEN-228285280116; TEN-4430DECF01B7; TEN-4636CEEC7F60; TEN-6792620C9DF3; TEN-81B89869EA5E; TEN-B70A6D2260B8; TEN-DFBAD1C953CB; TEN-F2D6B3DEBABF</x:v>
      </x:c>
      <x:c r="V265" s="2" t="str">
        <x:v>IT &amp; digital; Finance &amp; insurance; Engineering &amp; manufacturing; Education; Trade, consumer &amp; logistics</x:v>
      </x:c>
      <x:c r="W265" s="2" t="str">
        <x:v>Small-scale prospects; Institutional; Mixed business audience</x:v>
      </x:c>
      <x:c r="X265" s="17" t="n">
        <x:f>IF(AND(H265=F265,NOT(ISNUMBER(N265)),N265="",ISNUMBER(K265)),K265,0)</x:f>
        <x:v>15000</x:v>
      </x:c>
      <x:c r="Y265" s="17" t="n">
        <x:f>IF(AND(H265=F265,NOT(ISNUMBER(N265)),N265="",K265="",ISNUMBER(O265)),O265,0)</x:f>
        <x:v>0</x:v>
      </x:c>
      <x:c r="Z265" s="17" t="n">
        <x:f>IF(AND(H265&gt;0,ISNUMBER(N265)),N265,0)</x:f>
        <x:v>0</x:v>
      </x:c>
      <x:c r="AA265" s="2" t="n">
        <x:f>IF(AND(H265&gt;0,N265="",NOT(ISNUMBER(Q265))),1,0)</x:f>
        <x:v>0</x:v>
      </x:c>
      <x:c r="AB265" s="2" t="n">
        <x:f>IF(AND(H265&gt;0,N265&lt;&gt;"",NOT(ISNUMBER(N265))),1,0)</x:f>
        <x:v>0</x:v>
      </x:c>
    </x:row>
    <x:row r="266" ht="48" customHeight="1">
      <x:c r="A266" s="2" t="str">
        <x:v>MAIN-255</x:v>
      </x:c>
      <x:c r="B266" s="2" t="str">
        <x:v>Main</x:v>
      </x:c>
      <x:c r="C266" s="2" t="str">
        <x:v>Hyderabad</x:v>
      </x:c>
      <x:c r="D266" s="12" t="str">
        <x:v>Sattva Orwell (Redbrick Offices)</x:v>
      </x:c>
      <x:c r="E266" s="12" t="str">
        <x:v>32 inch LED TV</x:v>
      </x:c>
      <x:c r="F266" s="2" t="n">
        <x:v>1</x:v>
      </x:c>
      <x:c r="G266" s="2" t="n">
        <x:v>3</x:v>
      </x:c>
      <x:c r="H266" s="2" t="n">
        <x:f>COUNTIFS('Inventory'!$N$7:$N$783,A266,'Inventory'!$A$7:$A$783,1)</x:f>
        <x:v>1</x:v>
      </x:c>
      <x:c r="I266" s="2" t="n">
        <x:f>SUMIFS('Inventory'!$G$7:$G$783,'Inventory'!$N$7:$N$783,A266,'Inventory'!$A$7:$A$783,1)</x:f>
        <x:v>3</x:v>
      </x:c>
      <x:c r="J266" s="12" t="str">
        <x:v>Listed budget</x:v>
      </x:c>
      <x:c r="K266" s="17" t="n">
        <x:v>45000</x:v>
      </x:c>
      <x:c r="L266" s="17"/>
      <x:c r="M266" s="17"/>
      <x:c r="N266" s="19"/>
      <x:c r="O266" s="17" t="str">
        <x:f>IF(ISNUMBER(L266),G266*L266,IF(ISNUMBER(M266),M266,""))</x:f>
      </x:c>
      <x:c r="P266" s="17" t="n">
        <x:f>IF(ISNUMBER(K266),K266,IF(ISNUMBER(O266),O266,""))</x:f>
        <x:v>45000</x:v>
      </x:c>
      <x:c r="Q266" s="17" t="n">
        <x:f>IF(H266=0,0,IF(ISNUMBER(N266),N266,IF(N266="",IF(H266=F266,P266,""),"")))</x:f>
        <x:v>45000</x:v>
      </x:c>
      <x:c r="R266" s="17" t="n">
        <x:f>IF(ISNUMBER(Q266),ROUND(Q266*$C$4,2),"")</x:f>
        <x:v>8100</x:v>
      </x:c>
      <x:c r="S266" s="17" t="n">
        <x:f>IF(ISNUMBER(Q266),Q266+R266,"")</x:f>
        <x:v>53100</x:v>
      </x:c>
      <x:c r="T266" s="2" t="str">
        <x:f>IF(H266=0,"Not selected",IF(ISNUMBER(N266),"Quote entered",IF(N266&lt;&gt;"","Enter numeric quote",IF(H266=F266,IF(ISNUMBER(P266),"Complete unit","Price required"),"Partial package: price required"))))</x:f>
        <x:v>Complete unit</x:v>
      </x:c>
      <x:c r="U266" s="2" t="str">
        <x:v>TEN-01BAB972A90E; TEN-1D32A0A61549; TEN-23491BCF607A; TEN-2B4489C3A6C2; TEN-2E92046B6F07; TEN-7169561ED73E; TEN-776EBC473AD4; TEN-81EC9D699A67; TEN-8F327FC157B7; TEN-BCA5D19DA317; TEN-EF04B4583793; TEN-FE468748B896</x:v>
      </x:c>
      <x:c r="V266" s="2" t="str">
        <x:v>IT &amp; digital; Professional services; Finance &amp; insurance; Engineering &amp; manufacturing; Healthcare &amp; life sciences; Trade, consumer &amp; logistics; Unresolved</x:v>
      </x:c>
      <x:c r="W266" s="2" t="str">
        <x:v>Small-scale prospects; Mixed business audience</x:v>
      </x:c>
      <x:c r="X266" s="17" t="n">
        <x:f>IF(AND(H266=F266,NOT(ISNUMBER(N266)),N266="",ISNUMBER(K266)),K266,0)</x:f>
        <x:v>45000</x:v>
      </x:c>
      <x:c r="Y266" s="17" t="n">
        <x:f>IF(AND(H266=F266,NOT(ISNUMBER(N266)),N266="",K266="",ISNUMBER(O266)),O266,0)</x:f>
        <x:v>0</x:v>
      </x:c>
      <x:c r="Z266" s="17" t="n">
        <x:f>IF(AND(H266&gt;0,ISNUMBER(N266)),N266,0)</x:f>
        <x:v>0</x:v>
      </x:c>
      <x:c r="AA266" s="2" t="n">
        <x:f>IF(AND(H266&gt;0,N266="",NOT(ISNUMBER(Q266))),1,0)</x:f>
        <x:v>0</x:v>
      </x:c>
      <x:c r="AB266" s="2" t="n">
        <x:f>IF(AND(H266&gt;0,N266&lt;&gt;"",NOT(ISNUMBER(N266))),1,0)</x:f>
        <x:v>0</x:v>
      </x:c>
    </x:row>
    <x:row r="267" ht="48" customHeight="1">
      <x:c r="A267" s="2" t="str">
        <x:v>MAIN-256</x:v>
      </x:c>
      <x:c r="B267" s="2" t="str">
        <x:v>Main</x:v>
      </x:c>
      <x:c r="C267" s="2" t="str">
        <x:v>Hyderabad</x:v>
      </x:c>
      <x:c r="D267" s="12" t="str">
        <x:v>Sohini Tech Park (TS)</x:v>
      </x:c>
      <x:c r="E267" s="12" t="str">
        <x:v>55 inch LED TV</x:v>
      </x:c>
      <x:c r="F267" s="2" t="n">
        <x:v>1</x:v>
      </x:c>
      <x:c r="G267" s="2" t="n">
        <x:v>2</x:v>
      </x:c>
      <x:c r="H267" s="2" t="n">
        <x:f>COUNTIFS('Inventory'!$N$7:$N$783,A267,'Inventory'!$A$7:$A$783,1)</x:f>
        <x:v>1</x:v>
      </x:c>
      <x:c r="I267" s="2" t="n">
        <x:f>SUMIFS('Inventory'!$G$7:$G$783,'Inventory'!$N$7:$N$783,A267,'Inventory'!$A$7:$A$783,1)</x:f>
        <x:v>2</x:v>
      </x:c>
      <x:c r="J267" s="12" t="str">
        <x:v>Campaign format rate</x:v>
      </x:c>
      <x:c r="K267" s="17"/>
      <x:c r="L267" s="17" t="n">
        <x:f>$I$5</x:f>
        <x:v>40000</x:v>
      </x:c>
      <x:c r="M267" s="17"/>
      <x:c r="N267" s="19"/>
      <x:c r="O267" s="17" t="n">
        <x:f>IF(ISNUMBER(L267),G267*L267,IF(ISNUMBER(M267),M267,""))</x:f>
        <x:v>80000</x:v>
      </x:c>
      <x:c r="P267" s="17" t="n">
        <x:f>IF(ISNUMBER(K267),K267,IF(ISNUMBER(O267),O267,""))</x:f>
        <x:v>80000</x:v>
      </x:c>
      <x:c r="Q267" s="17" t="n">
        <x:f>IF(H267=0,0,IF(ISNUMBER(N267),N267,IF(N267="",IF(H267=F267,P267,""),"")))</x:f>
        <x:v>80000</x:v>
      </x:c>
      <x:c r="R267" s="17" t="n">
        <x:f>IF(ISNUMBER(Q267),ROUND(Q267*$C$4,2),"")</x:f>
        <x:v>14400</x:v>
      </x:c>
      <x:c r="S267" s="17" t="n">
        <x:f>IF(ISNUMBER(Q267),Q267+R267,"")</x:f>
        <x:v>94400</x:v>
      </x:c>
      <x:c r="T267" s="2" t="str">
        <x:f>IF(H267=0,"Not selected",IF(ISNUMBER(N267),"Quote entered",IF(N267&lt;&gt;"","Enter numeric quote",IF(H267=F267,IF(ISNUMBER(P267),"Complete unit","Price required"),"Partial package: price required"))))</x:f>
        <x:v>Complete unit</x:v>
      </x:c>
      <x:c r="U267" s="2" t="str">
        <x:v>TEN-01BA4C6C497A; TEN-A69698F6A73D; TEN-B197266D2265; TEN-E7CAC422537C</x:v>
      </x:c>
      <x:c r="V267" s="2" t="str">
        <x:v>IT &amp; digital; Professional services</x:v>
      </x:c>
      <x:c r="W267" s="2" t="str">
        <x:v>Small-scale prospects</x:v>
      </x:c>
      <x:c r="X267" s="17" t="n">
        <x:f>IF(AND(H267=F267,NOT(ISNUMBER(N267)),N267="",ISNUMBER(K267)),K267,0)</x:f>
        <x:v>0</x:v>
      </x:c>
      <x:c r="Y267" s="17" t="n">
        <x:f>IF(AND(H267=F267,NOT(ISNUMBER(N267)),N267="",K267="",ISNUMBER(O267)),O267,0)</x:f>
        <x:v>80000</x:v>
      </x:c>
      <x:c r="Z267" s="17" t="n">
        <x:f>IF(AND(H267&gt;0,ISNUMBER(N267)),N267,0)</x:f>
        <x:v>0</x:v>
      </x:c>
      <x:c r="AA267" s="2" t="n">
        <x:f>IF(AND(H267&gt;0,N267="",NOT(ISNUMBER(Q267))),1,0)</x:f>
        <x:v>0</x:v>
      </x:c>
      <x:c r="AB267" s="2" t="n">
        <x:f>IF(AND(H267&gt;0,N267&lt;&gt;"",NOT(ISNUMBER(N267))),1,0)</x:f>
        <x:v>0</x:v>
      </x:c>
    </x:row>
    <x:row r="268" ht="48" customHeight="1">
      <x:c r="A268" s="2" t="str">
        <x:v>MAIN-257</x:v>
      </x:c>
      <x:c r="B268" s="2" t="str">
        <x:v>Main</x:v>
      </x:c>
      <x:c r="C268" s="2" t="str">
        <x:v>Hyderabad</x:v>
      </x:c>
      <x:c r="D268" s="12" t="str">
        <x:v>Symbyont Smart Space Aurobindo Orbit</x:v>
      </x:c>
      <x:c r="E268" s="12" t="str">
        <x:v>43 inch LED TV</x:v>
      </x:c>
      <x:c r="F268" s="2" t="n">
        <x:v>1</x:v>
      </x:c>
      <x:c r="G268" s="2" t="n">
        <x:v>2</x:v>
      </x:c>
      <x:c r="H268" s="2" t="n">
        <x:f>COUNTIFS('Inventory'!$N$7:$N$783,A268,'Inventory'!$A$7:$A$783,1)</x:f>
        <x:v>1</x:v>
      </x:c>
      <x:c r="I268" s="2" t="n">
        <x:f>SUMIFS('Inventory'!$G$7:$G$783,'Inventory'!$N$7:$N$783,A268,'Inventory'!$A$7:$A$783,1)</x:f>
        <x:v>2</x:v>
      </x:c>
      <x:c r="J268" s="12" t="str">
        <x:v>Campaign format rate</x:v>
      </x:c>
      <x:c r="K268" s="17"/>
      <x:c r="L268" s="17" t="n">
        <x:f>$E$5</x:f>
        <x:v>20000</x:v>
      </x:c>
      <x:c r="M268" s="17"/>
      <x:c r="N268" s="19"/>
      <x:c r="O268" s="17" t="n">
        <x:f>IF(ISNUMBER(L268),G268*L268,IF(ISNUMBER(M268),M268,""))</x:f>
        <x:v>40000</x:v>
      </x:c>
      <x:c r="P268" s="17" t="n">
        <x:f>IF(ISNUMBER(K268),K268,IF(ISNUMBER(O268),O268,""))</x:f>
        <x:v>40000</x:v>
      </x:c>
      <x:c r="Q268" s="17" t="n">
        <x:f>IF(H268=0,0,IF(ISNUMBER(N268),N268,IF(N268="",IF(H268=F268,P268,""),"")))</x:f>
        <x:v>40000</x:v>
      </x:c>
      <x:c r="R268" s="17" t="n">
        <x:f>IF(ISNUMBER(Q268),ROUND(Q268*$C$4,2),"")</x:f>
        <x:v>7200</x:v>
      </x:c>
      <x:c r="S268" s="17" t="n">
        <x:f>IF(ISNUMBER(Q268),Q268+R268,"")</x:f>
        <x:v>47200</x:v>
      </x:c>
      <x:c r="T268" s="2" t="str">
        <x:f>IF(H268=0,"Not selected",IF(ISNUMBER(N268),"Quote entered",IF(N268&lt;&gt;"","Enter numeric quote",IF(H268=F268,IF(ISNUMBER(P268),"Complete unit","Price required"),"Partial package: price required"))))</x:f>
        <x:v>Complete unit</x:v>
      </x:c>
      <x:c r="U268" s="2" t="str">
        <x:v>TEN-29CCA10F58D0; TEN-2D9DF6A9EB0C; TEN-43D26C2AE619; TEN-913DCEB4808B; TEN-BE4220A2067C</x:v>
      </x:c>
      <x:c r="V268" s="2" t="str">
        <x:v>IT &amp; digital; Finance &amp; insurance; Engineering &amp; manufacturing</x:v>
      </x:c>
      <x:c r="W268" s="2" t="str">
        <x:v>Small-scale prospects; Medium-scale prospects; Mixed business audience</x:v>
      </x:c>
      <x:c r="X268" s="17" t="n">
        <x:f>IF(AND(H268=F268,NOT(ISNUMBER(N268)),N268="",ISNUMBER(K268)),K268,0)</x:f>
        <x:v>0</x:v>
      </x:c>
      <x:c r="Y268" s="17" t="n">
        <x:f>IF(AND(H268=F268,NOT(ISNUMBER(N268)),N268="",K268="",ISNUMBER(O268)),O268,0)</x:f>
        <x:v>40000</x:v>
      </x:c>
      <x:c r="Z268" s="17" t="n">
        <x:f>IF(AND(H268&gt;0,ISNUMBER(N268)),N268,0)</x:f>
        <x:v>0</x:v>
      </x:c>
      <x:c r="AA268" s="2" t="n">
        <x:f>IF(AND(H268&gt;0,N268="",NOT(ISNUMBER(Q268))),1,0)</x:f>
        <x:v>0</x:v>
      </x:c>
      <x:c r="AB268" s="2" t="n">
        <x:f>IF(AND(H268&gt;0,N268&lt;&gt;"",NOT(ISNUMBER(N268))),1,0)</x:f>
        <x:v>0</x:v>
      </x:c>
    </x:row>
    <x:row r="269" ht="48" customHeight="1">
      <x:c r="A269" s="2" t="str">
        <x:v>MAIN-258</x:v>
      </x:c>
      <x:c r="B269" s="2" t="str">
        <x:v>Main</x:v>
      </x:c>
      <x:c r="C269" s="2" t="str">
        <x:v>Hyderabad</x:v>
      </x:c>
      <x:c r="D269" s="12" t="str">
        <x:v>Symbyont Smart Space Dallas Centre</x:v>
      </x:c>
      <x:c r="E269" s="12" t="str">
        <x:v>55 inch LED TV</x:v>
      </x:c>
      <x:c r="F269" s="2" t="n">
        <x:v>1</x:v>
      </x:c>
      <x:c r="G269" s="2" t="n">
        <x:v>5</x:v>
      </x:c>
      <x:c r="H269" s="2" t="n">
        <x:f>COUNTIFS('Inventory'!$N$7:$N$783,A269,'Inventory'!$A$7:$A$783,1)</x:f>
        <x:v>1</x:v>
      </x:c>
      <x:c r="I269" s="2" t="n">
        <x:f>SUMIFS('Inventory'!$G$7:$G$783,'Inventory'!$N$7:$N$783,A269,'Inventory'!$A$7:$A$783,1)</x:f>
        <x:v>5</x:v>
      </x:c>
      <x:c r="J269" s="12" t="str">
        <x:v>Campaign format rate</x:v>
      </x:c>
      <x:c r="K269" s="17"/>
      <x:c r="L269" s="17" t="n">
        <x:f>$I$5</x:f>
        <x:v>40000</x:v>
      </x:c>
      <x:c r="M269" s="17"/>
      <x:c r="N269" s="19"/>
      <x:c r="O269" s="17" t="n">
        <x:f>IF(ISNUMBER(L269),G269*L269,IF(ISNUMBER(M269),M269,""))</x:f>
        <x:v>200000</x:v>
      </x:c>
      <x:c r="P269" s="17" t="n">
        <x:f>IF(ISNUMBER(K269),K269,IF(ISNUMBER(O269),O269,""))</x:f>
        <x:v>200000</x:v>
      </x:c>
      <x:c r="Q269" s="17" t="n">
        <x:f>IF(H269=0,0,IF(ISNUMBER(N269),N269,IF(N269="",IF(H269=F269,P269,""),"")))</x:f>
        <x:v>200000</x:v>
      </x:c>
      <x:c r="R269" s="17" t="n">
        <x:f>IF(ISNUMBER(Q269),ROUND(Q269*$C$4,2),"")</x:f>
        <x:v>36000</x:v>
      </x:c>
      <x:c r="S269" s="17" t="n">
        <x:f>IF(ISNUMBER(Q269),Q269+R269,"")</x:f>
        <x:v>236000</x:v>
      </x:c>
      <x:c r="T269" s="2" t="str">
        <x:f>IF(H269=0,"Not selected",IF(ISNUMBER(N269),"Quote entered",IF(N269&lt;&gt;"","Enter numeric quote",IF(H269=F269,IF(ISNUMBER(P269),"Complete unit","Price required"),"Partial package: price required"))))</x:f>
        <x:v>Complete unit</x:v>
      </x:c>
      <x:c r="U269" s="2" t="str">
        <x:v>TEN-1FB8742AF01D; TEN-2110489FAD91; TEN-4AE3A2A36DB1; TEN-6790EB887573; TEN-983B838AAED4; TEN-9893181D2970; TEN-B34E0B904F17; TEN-C84EE5F68808; TEN-D23268DCF54E; TEN-EB22DF2431C9; TEN-FBE4AE7104D0</x:v>
      </x:c>
      <x:c r="V269" s="2" t="str">
        <x:v>IT &amp; digital; Engineering &amp; manufacturing; Trade, consumer &amp; logistics; Unresolved</x:v>
      </x:c>
      <x:c r="W269" s="2" t="str">
        <x:v>Small-scale prospects; Medium-scale prospects; Mixed business audience</x:v>
      </x:c>
      <x:c r="X269" s="17" t="n">
        <x:f>IF(AND(H269=F269,NOT(ISNUMBER(N269)),N269="",ISNUMBER(K269)),K269,0)</x:f>
        <x:v>0</x:v>
      </x:c>
      <x:c r="Y269" s="17" t="n">
        <x:f>IF(AND(H269=F269,NOT(ISNUMBER(N269)),N269="",K269="",ISNUMBER(O269)),O269,0)</x:f>
        <x:v>200000</x:v>
      </x:c>
      <x:c r="Z269" s="17" t="n">
        <x:f>IF(AND(H269&gt;0,ISNUMBER(N269)),N269,0)</x:f>
        <x:v>0</x:v>
      </x:c>
      <x:c r="AA269" s="2" t="n">
        <x:f>IF(AND(H269&gt;0,N269="",NOT(ISNUMBER(Q269))),1,0)</x:f>
        <x:v>0</x:v>
      </x:c>
      <x:c r="AB269" s="2" t="n">
        <x:f>IF(AND(H269&gt;0,N269&lt;&gt;"",NOT(ISNUMBER(N269))),1,0)</x:f>
        <x:v>0</x:v>
      </x:c>
    </x:row>
    <x:row r="270" ht="48" customHeight="1">
      <x:c r="A270" s="2" t="str">
        <x:v>MAIN-259</x:v>
      </x:c>
      <x:c r="B270" s="2" t="str">
        <x:v>Main</x:v>
      </x:c>
      <x:c r="C270" s="2" t="str">
        <x:v>Hyderabad</x:v>
      </x:c>
      <x:c r="D270" s="12" t="str">
        <x:v>Symbyont Smart Space Rajapushpa Summit</x:v>
      </x:c>
      <x:c r="E270" s="12" t="str">
        <x:v>43 inch LED TV</x:v>
      </x:c>
      <x:c r="F270" s="2" t="n">
        <x:v>1</x:v>
      </x:c>
      <x:c r="G270" s="2" t="n">
        <x:v>1</x:v>
      </x:c>
      <x:c r="H270" s="2" t="n">
        <x:f>COUNTIFS('Inventory'!$N$7:$N$783,A270,'Inventory'!$A$7:$A$783,1)</x:f>
        <x:v>1</x:v>
      </x:c>
      <x:c r="I270" s="2" t="n">
        <x:f>SUMIFS('Inventory'!$G$7:$G$783,'Inventory'!$N$7:$N$783,A270,'Inventory'!$A$7:$A$783,1)</x:f>
        <x:v>1</x:v>
      </x:c>
      <x:c r="J270" s="12" t="str">
        <x:v>Campaign format rate</x:v>
      </x:c>
      <x:c r="K270" s="17"/>
      <x:c r="L270" s="17" t="n">
        <x:f>$E$5</x:f>
        <x:v>20000</x:v>
      </x:c>
      <x:c r="M270" s="17"/>
      <x:c r="N270" s="19"/>
      <x:c r="O270" s="17" t="n">
        <x:f>IF(ISNUMBER(L270),G270*L270,IF(ISNUMBER(M270),M270,""))</x:f>
        <x:v>20000</x:v>
      </x:c>
      <x:c r="P270" s="17" t="n">
        <x:f>IF(ISNUMBER(K270),K270,IF(ISNUMBER(O270),O270,""))</x:f>
        <x:v>20000</x:v>
      </x:c>
      <x:c r="Q270" s="17" t="n">
        <x:f>IF(H270=0,0,IF(ISNUMBER(N270),N270,IF(N270="",IF(H270=F270,P270,""),"")))</x:f>
        <x:v>20000</x:v>
      </x:c>
      <x:c r="R270" s="17" t="n">
        <x:f>IF(ISNUMBER(Q270),ROUND(Q270*$C$4,2),"")</x:f>
        <x:v>3600</x:v>
      </x:c>
      <x:c r="S270" s="17" t="n">
        <x:f>IF(ISNUMBER(Q270),Q270+R270,"")</x:f>
        <x:v>23600</x:v>
      </x:c>
      <x:c r="T270" s="2" t="str">
        <x:f>IF(H270=0,"Not selected",IF(ISNUMBER(N270),"Quote entered",IF(N270&lt;&gt;"","Enter numeric quote",IF(H270=F270,IF(ISNUMBER(P270),"Complete unit","Price required"),"Partial package: price required"))))</x:f>
        <x:v>Complete unit</x:v>
      </x:c>
      <x:c r="U270" s="2" t="str">
        <x:v>TEN-01E660DEC960; TEN-0BF40938E92E; TEN-0C0D0BCA0825; TEN-238E58E8EF2D; TEN-2B128031063A; TEN-614F7C87ABB5; TEN-642106BA717C; TEN-8D7972B23DAD; TEN-95E86F58BA7F</x:v>
      </x:c>
      <x:c r="V270" s="2" t="str">
        <x:v>IT &amp; digital; Professional services; Unresolved</x:v>
      </x:c>
      <x:c r="W270" s="2" t="str">
        <x:v>Small-scale prospects; Mixed business audience</x:v>
      </x:c>
      <x:c r="X270" s="17" t="n">
        <x:f>IF(AND(H270=F270,NOT(ISNUMBER(N270)),N270="",ISNUMBER(K270)),K270,0)</x:f>
        <x:v>0</x:v>
      </x:c>
      <x:c r="Y270" s="17" t="n">
        <x:f>IF(AND(H270=F270,NOT(ISNUMBER(N270)),N270="",K270="",ISNUMBER(O270)),O270,0)</x:f>
        <x:v>20000</x:v>
      </x:c>
      <x:c r="Z270" s="17" t="n">
        <x:f>IF(AND(H270&gt;0,ISNUMBER(N270)),N270,0)</x:f>
        <x:v>0</x:v>
      </x:c>
      <x:c r="AA270" s="2" t="n">
        <x:f>IF(AND(H270&gt;0,N270="",NOT(ISNUMBER(Q270))),1,0)</x:f>
        <x:v>0</x:v>
      </x:c>
      <x:c r="AB270" s="2" t="n">
        <x:f>IF(AND(H270&gt;0,N270&lt;&gt;"",NOT(ISNUMBER(N270))),1,0)</x:f>
        <x:v>0</x:v>
      </x:c>
    </x:row>
    <x:row r="271" ht="48" customHeight="1">
      <x:c r="A271" s="2" t="str">
        <x:v>MAIN-260</x:v>
      </x:c>
      <x:c r="B271" s="2" t="str">
        <x:v>Main</x:v>
      </x:c>
      <x:c r="C271" s="2" t="str">
        <x:v>Hyderabad</x:v>
      </x:c>
      <x:c r="D271" s="12" t="str">
        <x:v>T-Hub</x:v>
      </x:c>
      <x:c r="E271" s="12" t="str">
        <x:v>32 inch LED TV</x:v>
      </x:c>
      <x:c r="F271" s="2" t="n">
        <x:v>1</x:v>
      </x:c>
      <x:c r="G271" s="2" t="n">
        <x:v>22</x:v>
      </x:c>
      <x:c r="H271" s="2" t="n">
        <x:f>COUNTIFS('Inventory'!$N$7:$N$783,A271,'Inventory'!$A$7:$A$783,1)</x:f>
        <x:v>1</x:v>
      </x:c>
      <x:c r="I271" s="2" t="n">
        <x:f>SUMIFS('Inventory'!$G$7:$G$783,'Inventory'!$N$7:$N$783,A271,'Inventory'!$A$7:$A$783,1)</x:f>
        <x:v>22</x:v>
      </x:c>
      <x:c r="J271" s="12" t="str">
        <x:v>Listed budget</x:v>
      </x:c>
      <x:c r="K271" s="17" t="n">
        <x:v>715000</x:v>
      </x:c>
      <x:c r="L271" s="17"/>
      <x:c r="M271" s="17"/>
      <x:c r="N271" s="19"/>
      <x:c r="O271" s="17" t="str">
        <x:f>IF(ISNUMBER(L271),G271*L271,IF(ISNUMBER(M271),M271,""))</x:f>
      </x:c>
      <x:c r="P271" s="17" t="n">
        <x:f>IF(ISNUMBER(K271),K271,IF(ISNUMBER(O271),O271,""))</x:f>
        <x:v>715000</x:v>
      </x:c>
      <x:c r="Q271" s="17" t="n">
        <x:f>IF(H271=0,0,IF(ISNUMBER(N271),N271,IF(N271="",IF(H271=F271,P271,""),"")))</x:f>
        <x:v>715000</x:v>
      </x:c>
      <x:c r="R271" s="17" t="n">
        <x:f>IF(ISNUMBER(Q271),ROUND(Q271*$C$4,2),"")</x:f>
        <x:v>128700</x:v>
      </x:c>
      <x:c r="S271" s="17" t="n">
        <x:f>IF(ISNUMBER(Q271),Q271+R271,"")</x:f>
        <x:v>843700</x:v>
      </x:c>
      <x:c r="T271" s="2" t="str">
        <x:f>IF(H271=0,"Not selected",IF(ISNUMBER(N271),"Quote entered",IF(N271&lt;&gt;"","Enter numeric quote",IF(H271=F271,IF(ISNUMBER(P271),"Complete unit","Price required"),"Partial package: price required"))))</x:f>
        <x:v>Complete unit</x:v>
      </x:c>
      <x:c r="U271" s="2" t="str">
        <x:v>TEN-399D9BFC3C0B; TEN-404B0D4EBDF8; TEN-A4280C2C5D86; TEN-C2ECECEBA97C; TEN-ED5537070C6C</x:v>
      </x:c>
      <x:c r="V271" s="2" t="str">
        <x:v>IT &amp; digital; Engineering &amp; manufacturing; Healthcare &amp; life sciences; Trade, consumer &amp; logistics; Unresolved</x:v>
      </x:c>
      <x:c r="W271" s="2" t="str">
        <x:v>Small-scale prospects; Mixed business audience</x:v>
      </x:c>
      <x:c r="X271" s="17" t="n">
        <x:f>IF(AND(H271=F271,NOT(ISNUMBER(N271)),N271="",ISNUMBER(K271)),K271,0)</x:f>
        <x:v>715000</x:v>
      </x:c>
      <x:c r="Y271" s="17" t="n">
        <x:f>IF(AND(H271=F271,NOT(ISNUMBER(N271)),N271="",K271="",ISNUMBER(O271)),O271,0)</x:f>
        <x:v>0</x:v>
      </x:c>
      <x:c r="Z271" s="17" t="n">
        <x:f>IF(AND(H271&gt;0,ISNUMBER(N271)),N271,0)</x:f>
        <x:v>0</x:v>
      </x:c>
      <x:c r="AA271" s="2" t="n">
        <x:f>IF(AND(H271&gt;0,N271="",NOT(ISNUMBER(Q271))),1,0)</x:f>
        <x:v>0</x:v>
      </x:c>
      <x:c r="AB271" s="2" t="n">
        <x:f>IF(AND(H271&gt;0,N271&lt;&gt;"",NOT(ISNUMBER(N271))),1,0)</x:f>
        <x:v>0</x:v>
      </x:c>
    </x:row>
    <x:row r="272" ht="48" customHeight="1">
      <x:c r="A272" s="2" t="str">
        <x:v>MAIN-261</x:v>
      </x:c>
      <x:c r="B272" s="2" t="str">
        <x:v>Main</x:v>
      </x:c>
      <x:c r="C272" s="2" t="str">
        <x:v>Hyderabad</x:v>
      </x:c>
      <x:c r="D272" s="12" t="str">
        <x:v>Vasavi Sky city</x:v>
      </x:c>
      <x:c r="E272" s="12" t="str">
        <x:v>24 inch LED TV</x:v>
      </x:c>
      <x:c r="F272" s="2" t="n">
        <x:v>1</x:v>
      </x:c>
      <x:c r="G272" s="2" t="n">
        <x:v>10</x:v>
      </x:c>
      <x:c r="H272" s="2" t="n">
        <x:f>COUNTIFS('Inventory'!$N$7:$N$783,A272,'Inventory'!$A$7:$A$783,1)</x:f>
        <x:v>1</x:v>
      </x:c>
      <x:c r="I272" s="2" t="n">
        <x:f>SUMIFS('Inventory'!$G$7:$G$783,'Inventory'!$N$7:$N$783,A272,'Inventory'!$A$7:$A$783,1)</x:f>
        <x:v>10</x:v>
      </x:c>
      <x:c r="J272" s="12" t="str">
        <x:v>Listed budget</x:v>
      </x:c>
      <x:c r="K272" s="17" t="n">
        <x:v>325000</x:v>
      </x:c>
      <x:c r="L272" s="17"/>
      <x:c r="M272" s="17"/>
      <x:c r="N272" s="19"/>
      <x:c r="O272" s="17" t="str">
        <x:f>IF(ISNUMBER(L272),G272*L272,IF(ISNUMBER(M272),M272,""))</x:f>
      </x:c>
      <x:c r="P272" s="17" t="n">
        <x:f>IF(ISNUMBER(K272),K272,IF(ISNUMBER(O272),O272,""))</x:f>
        <x:v>325000</x:v>
      </x:c>
      <x:c r="Q272" s="17" t="n">
        <x:f>IF(H272=0,0,IF(ISNUMBER(N272),N272,IF(N272="",IF(H272=F272,P272,""),"")))</x:f>
        <x:v>325000</x:v>
      </x:c>
      <x:c r="R272" s="17" t="n">
        <x:f>IF(ISNUMBER(Q272),ROUND(Q272*$C$4,2),"")</x:f>
        <x:v>58500</x:v>
      </x:c>
      <x:c r="S272" s="17" t="n">
        <x:f>IF(ISNUMBER(Q272),Q272+R272,"")</x:f>
        <x:v>383500</x:v>
      </x:c>
      <x:c r="T272" s="2" t="str">
        <x:f>IF(H272=0,"Not selected",IF(ISNUMBER(N272),"Quote entered",IF(N272&lt;&gt;"","Enter numeric quote",IF(H272=F272,IF(ISNUMBER(P272),"Complete unit","Price required"),"Partial package: price required"))))</x:f>
        <x:v>Complete unit</x:v>
      </x:c>
      <x:c r="U272" s="2" t="str">
        <x:v>TEN-5C1A79D4FF83; TEN-5E25BA93F1B8; TEN-7802BA0ED8E8; TEN-D2F08A3B9FD3</x:v>
      </x:c>
      <x:c r="V272" s="2" t="str">
        <x:v>IT &amp; digital; Unresolved</x:v>
      </x:c>
      <x:c r="W272" s="2" t="str">
        <x:v>Small-scale prospects; Mixed business audience</x:v>
      </x:c>
      <x:c r="X272" s="17" t="n">
        <x:f>IF(AND(H272=F272,NOT(ISNUMBER(N272)),N272="",ISNUMBER(K272)),K272,0)</x:f>
        <x:v>325000</x:v>
      </x:c>
      <x:c r="Y272" s="17" t="n">
        <x:f>IF(AND(H272=F272,NOT(ISNUMBER(N272)),N272="",K272="",ISNUMBER(O272)),O272,0)</x:f>
        <x:v>0</x:v>
      </x:c>
      <x:c r="Z272" s="17" t="n">
        <x:f>IF(AND(H272&gt;0,ISNUMBER(N272)),N272,0)</x:f>
        <x:v>0</x:v>
      </x:c>
      <x:c r="AA272" s="2" t="n">
        <x:f>IF(AND(H272&gt;0,N272="",NOT(ISNUMBER(Q272))),1,0)</x:f>
        <x:v>0</x:v>
      </x:c>
      <x:c r="AB272" s="2" t="n">
        <x:f>IF(AND(H272&gt;0,N272&lt;&gt;"",NOT(ISNUMBER(N272))),1,0)</x:f>
        <x:v>0</x:v>
      </x:c>
    </x:row>
    <x:row r="273" ht="48" customHeight="1">
      <x:c r="A273" s="2" t="str">
        <x:v>MAIN-262</x:v>
      </x:c>
      <x:c r="B273" s="2" t="str">
        <x:v>Main</x:v>
      </x:c>
      <x:c r="C273" s="2" t="str">
        <x:v>Hyderabad</x:v>
      </x:c>
      <x:c r="D273" s="12" t="str">
        <x:v>Wework - Krishe Emerald</x:v>
      </x:c>
      <x:c r="E273" s="12" t="str">
        <x:v>43 inch LED TV</x:v>
      </x:c>
      <x:c r="F273" s="2" t="n">
        <x:v>1</x:v>
      </x:c>
      <x:c r="G273" s="2" t="n">
        <x:v>9</x:v>
      </x:c>
      <x:c r="H273" s="2" t="n">
        <x:f>COUNTIFS('Inventory'!$N$7:$N$783,A273,'Inventory'!$A$7:$A$783,1)</x:f>
        <x:v>1</x:v>
      </x:c>
      <x:c r="I273" s="2" t="n">
        <x:f>SUMIFS('Inventory'!$G$7:$G$783,'Inventory'!$N$7:$N$783,A273,'Inventory'!$A$7:$A$783,1)</x:f>
        <x:v>9</x:v>
      </x:c>
      <x:c r="J273" s="12" t="str">
        <x:v>Campaign format rate</x:v>
      </x:c>
      <x:c r="K273" s="17"/>
      <x:c r="L273" s="17" t="n">
        <x:f>$G$5</x:f>
        <x:v>25000</x:v>
      </x:c>
      <x:c r="M273" s="17"/>
      <x:c r="N273" s="19"/>
      <x:c r="O273" s="17" t="n">
        <x:f>IF(ISNUMBER(L273),G273*L273,IF(ISNUMBER(M273),M273,""))</x:f>
        <x:v>225000</x:v>
      </x:c>
      <x:c r="P273" s="17" t="n">
        <x:f>IF(ISNUMBER(K273),K273,IF(ISNUMBER(O273),O273,""))</x:f>
        <x:v>225000</x:v>
      </x:c>
      <x:c r="Q273" s="17" t="n">
        <x:f>IF(H273=0,0,IF(ISNUMBER(N273),N273,IF(N273="",IF(H273=F273,P273,""),"")))</x:f>
        <x:v>225000</x:v>
      </x:c>
      <x:c r="R273" s="17" t="n">
        <x:f>IF(ISNUMBER(Q273),ROUND(Q273*$C$4,2),"")</x:f>
        <x:v>40500</x:v>
      </x:c>
      <x:c r="S273" s="17" t="n">
        <x:f>IF(ISNUMBER(Q273),Q273+R273,"")</x:f>
        <x:v>265500</x:v>
      </x:c>
      <x:c r="T273" s="2" t="str">
        <x:f>IF(H273=0,"Not selected",IF(ISNUMBER(N273),"Quote entered",IF(N273&lt;&gt;"","Enter numeric quote",IF(H273=F273,IF(ISNUMBER(P273),"Complete unit","Price required"),"Partial package: price required"))))</x:f>
        <x:v>Complete unit</x:v>
      </x:c>
      <x:c r="U273" s="2" t="str">
        <x:v>TEN-54BFBC460F9A; TEN-592C65297F79; TEN-9CA9DFB04AA5; TEN-ADE48E9316FE; TEN-BCA50A2419EE; TEN-E0050031C27B</x:v>
      </x:c>
      <x:c r="V273" s="2" t="str">
        <x:v>IT &amp; digital; Professional services; Engineering &amp; manufacturing; Unresolved</x:v>
      </x:c>
      <x:c r="W273" s="2" t="str">
        <x:v>Small-scale prospects; Medium-scale prospects; Mixed business audience</x:v>
      </x:c>
      <x:c r="X273" s="17" t="n">
        <x:f>IF(AND(H273=F273,NOT(ISNUMBER(N273)),N273="",ISNUMBER(K273)),K273,0)</x:f>
        <x:v>0</x:v>
      </x:c>
      <x:c r="Y273" s="17" t="n">
        <x:f>IF(AND(H273=F273,NOT(ISNUMBER(N273)),N273="",K273="",ISNUMBER(O273)),O273,0)</x:f>
        <x:v>225000</x:v>
      </x:c>
      <x:c r="Z273" s="17" t="n">
        <x:f>IF(AND(H273&gt;0,ISNUMBER(N273)),N273,0)</x:f>
        <x:v>0</x:v>
      </x:c>
      <x:c r="AA273" s="2" t="n">
        <x:f>IF(AND(H273&gt;0,N273="",NOT(ISNUMBER(Q273))),1,0)</x:f>
        <x:v>0</x:v>
      </x:c>
      <x:c r="AB273" s="2" t="n">
        <x:f>IF(AND(H273&gt;0,N273&lt;&gt;"",NOT(ISNUMBER(N273))),1,0)</x:f>
        <x:v>0</x:v>
      </x:c>
    </x:row>
    <x:row r="274" ht="48" customHeight="1">
      <x:c r="A274" s="2" t="str">
        <x:v>MAIN-263</x:v>
      </x:c>
      <x:c r="B274" s="2" t="str">
        <x:v>Main</x:v>
      </x:c>
      <x:c r="C274" s="2" t="str">
        <x:v>Hyderabad</x:v>
      </x:c>
      <x:c r="D274" s="12" t="str">
        <x:v>WeWork - Mindspace</x:v>
      </x:c>
      <x:c r="E274" s="12" t="str">
        <x:v>43 inch LED TV</x:v>
      </x:c>
      <x:c r="F274" s="2" t="n">
        <x:v>1</x:v>
      </x:c>
      <x:c r="G274" s="2" t="n">
        <x:v>1</x:v>
      </x:c>
      <x:c r="H274" s="2" t="n">
        <x:f>COUNTIFS('Inventory'!$N$7:$N$783,A274,'Inventory'!$A$7:$A$783,1)</x:f>
        <x:v>1</x:v>
      </x:c>
      <x:c r="I274" s="2" t="n">
        <x:f>SUMIFS('Inventory'!$G$7:$G$783,'Inventory'!$N$7:$N$783,A274,'Inventory'!$A$7:$A$783,1)</x:f>
        <x:v>1</x:v>
      </x:c>
      <x:c r="J274" s="12" t="str">
        <x:v>Campaign format rate</x:v>
      </x:c>
      <x:c r="K274" s="17"/>
      <x:c r="L274" s="17" t="n">
        <x:f>$G$5</x:f>
        <x:v>25000</x:v>
      </x:c>
      <x:c r="M274" s="17"/>
      <x:c r="N274" s="19"/>
      <x:c r="O274" s="17" t="n">
        <x:f>IF(ISNUMBER(L274),G274*L274,IF(ISNUMBER(M274),M274,""))</x:f>
        <x:v>25000</x:v>
      </x:c>
      <x:c r="P274" s="17" t="n">
        <x:f>IF(ISNUMBER(K274),K274,IF(ISNUMBER(O274),O274,""))</x:f>
        <x:v>25000</x:v>
      </x:c>
      <x:c r="Q274" s="17" t="n">
        <x:f>IF(H274=0,0,IF(ISNUMBER(N274),N274,IF(N274="",IF(H274=F274,P274,""),"")))</x:f>
        <x:v>25000</x:v>
      </x:c>
      <x:c r="R274" s="17" t="n">
        <x:f>IF(ISNUMBER(Q274),ROUND(Q274*$C$4,2),"")</x:f>
        <x:v>4500</x:v>
      </x:c>
      <x:c r="S274" s="17" t="n">
        <x:f>IF(ISNUMBER(Q274),Q274+R274,"")</x:f>
        <x:v>29500</x:v>
      </x:c>
      <x:c r="T274" s="2" t="str">
        <x:f>IF(H274=0,"Not selected",IF(ISNUMBER(N274),"Quote entered",IF(N274&lt;&gt;"","Enter numeric quote",IF(H274=F274,IF(ISNUMBER(P274),"Complete unit","Price required"),"Partial package: price required"))))</x:f>
        <x:v>Complete unit</x:v>
      </x:c>
      <x:c r="U274" s="2" t="str">
        <x:v>TEN-0E1C583F6A7B; TEN-2787E6CA3B5E; TEN-6CAD670EAED5; TEN-93D2337E5D18; TEN-D3D424C3C181</x:v>
      </x:c>
      <x:c r="V274" s="2" t="str">
        <x:v>IT &amp; digital; Professional services; Finance &amp; insurance; Trade, consumer &amp; logistics</x:v>
      </x:c>
      <x:c r="W274" s="2" t="str">
        <x:v>Small-scale prospects; Large enterprise; Mixed business audience</x:v>
      </x:c>
      <x:c r="X274" s="17" t="n">
        <x:f>IF(AND(H274=F274,NOT(ISNUMBER(N274)),N274="",ISNUMBER(K274)),K274,0)</x:f>
        <x:v>0</x:v>
      </x:c>
      <x:c r="Y274" s="17" t="n">
        <x:f>IF(AND(H274=F274,NOT(ISNUMBER(N274)),N274="",K274="",ISNUMBER(O274)),O274,0)</x:f>
        <x:v>25000</x:v>
      </x:c>
      <x:c r="Z274" s="17" t="n">
        <x:f>IF(AND(H274&gt;0,ISNUMBER(N274)),N274,0)</x:f>
        <x:v>0</x:v>
      </x:c>
      <x:c r="AA274" s="2" t="n">
        <x:f>IF(AND(H274&gt;0,N274="",NOT(ISNUMBER(Q274))),1,0)</x:f>
        <x:v>0</x:v>
      </x:c>
      <x:c r="AB274" s="2" t="n">
        <x:f>IF(AND(H274&gt;0,N274&lt;&gt;"",NOT(ISNUMBER(N274))),1,0)</x:f>
        <x:v>0</x:v>
      </x:c>
    </x:row>
    <x:row r="275" ht="48" customHeight="1">
      <x:c r="A275" s="2" t="str">
        <x:v>MAIN-264</x:v>
      </x:c>
      <x:c r="B275" s="2" t="str">
        <x:v>Main</x:v>
      </x:c>
      <x:c r="C275" s="2" t="str">
        <x:v>Hyderabad</x:v>
      </x:c>
      <x:c r="D275" s="12" t="str">
        <x:v>Wework - Rajapushpa Summit</x:v>
      </x:c>
      <x:c r="E275" s="12" t="str">
        <x:v>43 inch LED TV</x:v>
      </x:c>
      <x:c r="F275" s="2" t="n">
        <x:v>1</x:v>
      </x:c>
      <x:c r="G275" s="2" t="n">
        <x:v>4</x:v>
      </x:c>
      <x:c r="H275" s="2" t="n">
        <x:f>COUNTIFS('Inventory'!$N$7:$N$783,A275,'Inventory'!$A$7:$A$783,1)</x:f>
        <x:v>1</x:v>
      </x:c>
      <x:c r="I275" s="2" t="n">
        <x:f>SUMIFS('Inventory'!$G$7:$G$783,'Inventory'!$N$7:$N$783,A275,'Inventory'!$A$7:$A$783,1)</x:f>
        <x:v>4</x:v>
      </x:c>
      <x:c r="J275" s="12" t="str">
        <x:v>Campaign format rate</x:v>
      </x:c>
      <x:c r="K275" s="17"/>
      <x:c r="L275" s="17" t="n">
        <x:f>$G$5</x:f>
        <x:v>25000</x:v>
      </x:c>
      <x:c r="M275" s="17"/>
      <x:c r="N275" s="19"/>
      <x:c r="O275" s="17" t="n">
        <x:f>IF(ISNUMBER(L275),G275*L275,IF(ISNUMBER(M275),M275,""))</x:f>
        <x:v>100000</x:v>
      </x:c>
      <x:c r="P275" s="17" t="n">
        <x:f>IF(ISNUMBER(K275),K275,IF(ISNUMBER(O275),O275,""))</x:f>
        <x:v>100000</x:v>
      </x:c>
      <x:c r="Q275" s="17" t="n">
        <x:f>IF(H275=0,0,IF(ISNUMBER(N275),N275,IF(N275="",IF(H275=F275,P275,""),"")))</x:f>
        <x:v>100000</x:v>
      </x:c>
      <x:c r="R275" s="17" t="n">
        <x:f>IF(ISNUMBER(Q275),ROUND(Q275*$C$4,2),"")</x:f>
        <x:v>18000</x:v>
      </x:c>
      <x:c r="S275" s="17" t="n">
        <x:f>IF(ISNUMBER(Q275),Q275+R275,"")</x:f>
        <x:v>118000</x:v>
      </x:c>
      <x:c r="T275" s="2" t="str">
        <x:f>IF(H275=0,"Not selected",IF(ISNUMBER(N275),"Quote entered",IF(N275&lt;&gt;"","Enter numeric quote",IF(H275=F275,IF(ISNUMBER(P275),"Complete unit","Price required"),"Partial package: price required"))))</x:f>
        <x:v>Complete unit</x:v>
      </x:c>
      <x:c r="U275" s="2" t="str">
        <x:v>TEN-2286F252C42A; TEN-957E37CA19C4</x:v>
      </x:c>
      <x:c r="V275" s="2" t="str">
        <x:v>IT &amp; digital; Unresolved</x:v>
      </x:c>
      <x:c r="W275" s="2" t="str">
        <x:v>Small-scale prospects; Mixed business audience</x:v>
      </x:c>
      <x:c r="X275" s="17" t="n">
        <x:f>IF(AND(H275=F275,NOT(ISNUMBER(N275)),N275="",ISNUMBER(K275)),K275,0)</x:f>
        <x:v>0</x:v>
      </x:c>
      <x:c r="Y275" s="17" t="n">
        <x:f>IF(AND(H275=F275,NOT(ISNUMBER(N275)),N275="",K275="",ISNUMBER(O275)),O275,0)</x:f>
        <x:v>100000</x:v>
      </x:c>
      <x:c r="Z275" s="17" t="n">
        <x:f>IF(AND(H275&gt;0,ISNUMBER(N275)),N275,0)</x:f>
        <x:v>0</x:v>
      </x:c>
      <x:c r="AA275" s="2" t="n">
        <x:f>IF(AND(H275&gt;0,N275="",NOT(ISNUMBER(Q275))),1,0)</x:f>
        <x:v>0</x:v>
      </x:c>
      <x:c r="AB275" s="2" t="n">
        <x:f>IF(AND(H275&gt;0,N275&lt;&gt;"",NOT(ISNUMBER(N275))),1,0)</x:f>
        <x:v>0</x:v>
      </x:c>
    </x:row>
    <x:row r="276" ht="48" customHeight="1">
      <x:c r="A276" s="2" t="str">
        <x:v>MAIN-265</x:v>
      </x:c>
      <x:c r="B276" s="2" t="str">
        <x:v>Main</x:v>
      </x:c>
      <x:c r="C276" s="2" t="str">
        <x:v>Hyderabad</x:v>
      </x:c>
      <x:c r="D276" s="12" t="str">
        <x:v>WeWork - RMZ Spire</x:v>
      </x:c>
      <x:c r="E276" s="12" t="str">
        <x:v>43 inch LED TV</x:v>
      </x:c>
      <x:c r="F276" s="2" t="n">
        <x:v>1</x:v>
      </x:c>
      <x:c r="G276" s="2" t="n">
        <x:v>4</x:v>
      </x:c>
      <x:c r="H276" s="2" t="n">
        <x:f>COUNTIFS('Inventory'!$N$7:$N$783,A276,'Inventory'!$A$7:$A$783,1)</x:f>
        <x:v>1</x:v>
      </x:c>
      <x:c r="I276" s="2" t="n">
        <x:f>SUMIFS('Inventory'!$G$7:$G$783,'Inventory'!$N$7:$N$783,A276,'Inventory'!$A$7:$A$783,1)</x:f>
        <x:v>4</x:v>
      </x:c>
      <x:c r="J276" s="12" t="str">
        <x:v>Campaign format rate</x:v>
      </x:c>
      <x:c r="K276" s="17"/>
      <x:c r="L276" s="17" t="n">
        <x:f>$G$5</x:f>
        <x:v>25000</x:v>
      </x:c>
      <x:c r="M276" s="17"/>
      <x:c r="N276" s="19"/>
      <x:c r="O276" s="17" t="n">
        <x:f>IF(ISNUMBER(L276),G276*L276,IF(ISNUMBER(M276),M276,""))</x:f>
        <x:v>100000</x:v>
      </x:c>
      <x:c r="P276" s="17" t="n">
        <x:f>IF(ISNUMBER(K276),K276,IF(ISNUMBER(O276),O276,""))</x:f>
        <x:v>100000</x:v>
      </x:c>
      <x:c r="Q276" s="17" t="n">
        <x:f>IF(H276=0,0,IF(ISNUMBER(N276),N276,IF(N276="",IF(H276=F276,P276,""),"")))</x:f>
        <x:v>100000</x:v>
      </x:c>
      <x:c r="R276" s="17" t="n">
        <x:f>IF(ISNUMBER(Q276),ROUND(Q276*$C$4,2),"")</x:f>
        <x:v>18000</x:v>
      </x:c>
      <x:c r="S276" s="17" t="n">
        <x:f>IF(ISNUMBER(Q276),Q276+R276,"")</x:f>
        <x:v>118000</x:v>
      </x:c>
      <x:c r="T276" s="2" t="str">
        <x:f>IF(H276=0,"Not selected",IF(ISNUMBER(N276),"Quote entered",IF(N276&lt;&gt;"","Enter numeric quote",IF(H276=F276,IF(ISNUMBER(P276),"Complete unit","Price required"),"Partial package: price required"))))</x:f>
        <x:v>Complete unit</x:v>
      </x:c>
      <x:c r="U276" s="2" t="str">
        <x:v>TEN-75F5370EFA4D; TEN-814FBCF1E1A0; TEN-CD4C13F13D3E; TEN-DC5D5F33E499; TEN-EE2DF17770F8; TEN-EE6A48A43A19; TEN-F064C5D05AD3; TEN-F17F1636FFB9</x:v>
      </x:c>
      <x:c r="V276" s="2" t="str">
        <x:v>IT &amp; digital; Professional services; Engineering &amp; manufacturing; Education; Trade, consumer &amp; logistics; Unresolved</x:v>
      </x:c>
      <x:c r="W276" s="2" t="str">
        <x:v>Small-scale prospects; Mixed business audience</x:v>
      </x:c>
      <x:c r="X276" s="17" t="n">
        <x:f>IF(AND(H276=F276,NOT(ISNUMBER(N276)),N276="",ISNUMBER(K276)),K276,0)</x:f>
        <x:v>0</x:v>
      </x:c>
      <x:c r="Y276" s="17" t="n">
        <x:f>IF(AND(H276=F276,NOT(ISNUMBER(N276)),N276="",K276="",ISNUMBER(O276)),O276,0)</x:f>
        <x:v>100000</x:v>
      </x:c>
      <x:c r="Z276" s="17" t="n">
        <x:f>IF(AND(H276&gt;0,ISNUMBER(N276)),N276,0)</x:f>
        <x:v>0</x:v>
      </x:c>
      <x:c r="AA276" s="2" t="n">
        <x:f>IF(AND(H276&gt;0,N276="",NOT(ISNUMBER(Q276))),1,0)</x:f>
        <x:v>0</x:v>
      </x:c>
      <x:c r="AB276" s="2" t="n">
        <x:f>IF(AND(H276&gt;0,N276&lt;&gt;"",NOT(ISNUMBER(N276))),1,0)</x:f>
        <x:v>0</x:v>
      </x:c>
    </x:row>
    <x:row r="277" ht="48" customHeight="1">
      <x:c r="A277" s="2" t="str">
        <x:v>MAIN-266</x:v>
      </x:c>
      <x:c r="B277" s="2" t="str">
        <x:v>Main</x:v>
      </x:c>
      <x:c r="C277" s="2" t="str">
        <x:v>Indore</x:v>
      </x:c>
      <x:c r="D277" s="12" t="str">
        <x:v>Airen Heights</x:v>
      </x:c>
      <x:c r="E277" s="12" t="str">
        <x:v>43 inch LED TV</x:v>
      </x:c>
      <x:c r="F277" s="2" t="n">
        <x:v>1</x:v>
      </x:c>
      <x:c r="G277" s="2" t="n">
        <x:v>1</x:v>
      </x:c>
      <x:c r="H277" s="2" t="n">
        <x:f>COUNTIFS('Inventory'!$N$7:$N$783,A277,'Inventory'!$A$7:$A$783,1)</x:f>
        <x:v>1</x:v>
      </x:c>
      <x:c r="I277" s="2" t="n">
        <x:f>SUMIFS('Inventory'!$G$7:$G$783,'Inventory'!$N$7:$N$783,A277,'Inventory'!$A$7:$A$783,1)</x:f>
        <x:v>1</x:v>
      </x:c>
      <x:c r="J277" s="12" t="str">
        <x:v>Campaign format rate</x:v>
      </x:c>
      <x:c r="K277" s="17"/>
      <x:c r="L277" s="17" t="n">
        <x:f>$E$5</x:f>
        <x:v>20000</x:v>
      </x:c>
      <x:c r="M277" s="17"/>
      <x:c r="N277" s="19"/>
      <x:c r="O277" s="17" t="n">
        <x:f>IF(ISNUMBER(L277),G277*L277,IF(ISNUMBER(M277),M277,""))</x:f>
        <x:v>20000</x:v>
      </x:c>
      <x:c r="P277" s="17" t="n">
        <x:f>IF(ISNUMBER(K277),K277,IF(ISNUMBER(O277),O277,""))</x:f>
        <x:v>20000</x:v>
      </x:c>
      <x:c r="Q277" s="17" t="n">
        <x:f>IF(H277=0,0,IF(ISNUMBER(N277),N277,IF(N277="",IF(H277=F277,P277,""),"")))</x:f>
        <x:v>20000</x:v>
      </x:c>
      <x:c r="R277" s="17" t="n">
        <x:f>IF(ISNUMBER(Q277),ROUND(Q277*$C$4,2),"")</x:f>
        <x:v>3600</x:v>
      </x:c>
      <x:c r="S277" s="17" t="n">
        <x:f>IF(ISNUMBER(Q277),Q277+R277,"")</x:f>
        <x:v>23600</x:v>
      </x:c>
      <x:c r="T277" s="2" t="str">
        <x:f>IF(H277=0,"Not selected",IF(ISNUMBER(N277),"Quote entered",IF(N277&lt;&gt;"","Enter numeric quote",IF(H277=F277,IF(ISNUMBER(P277),"Complete unit","Price required"),"Partial package: price required"))))</x:f>
        <x:v>Complete unit</x:v>
      </x:c>
      <x:c r="U277" s="2" t="str">
        <x:v>TEN-0470467C47DA; TEN-0759A53FE3DF; TEN-0E58FC443FF5; TEN-27EBE35B86A3; TEN-33247E76C552; TEN-3430682EB17F; TEN-356EE5DC254F; TEN-3CFC42C07A81; TEN-4DA6C6809231; TEN-63E926341C95; TEN-660B3482AF97; TEN-728B4321F7A2; TEN-771063175848; TEN-830061D89C71; TEN-923F68A01FFD; TEN-93516E9B2EB3; TEN-9400E30186D5; TEN-A50B9A607896; TEN-B0F2A2BD7A3C; TEN-B1D3552541D5; TEN-C7D44E633249; TEN-D158BE41DB87; TEN-E381635B7337; TEN-E4C80A123088; TEN-E911ACD7AC00; TEN-EB671BBEA10E; TEN-FC4FE1AF2B46</x:v>
      </x:c>
      <x:c r="V277" s="2" t="str">
        <x:v>IT &amp; digital; Professional services; Finance &amp; insurance; Engineering &amp; manufacturing; Trade, consumer &amp; logistics; Unresolved</x:v>
      </x:c>
      <x:c r="W277" s="2" t="str">
        <x:v>Small-scale prospects; Medium-scale prospects; Large enterprise; Mixed business audience</x:v>
      </x:c>
      <x:c r="X277" s="17" t="n">
        <x:f>IF(AND(H277=F277,NOT(ISNUMBER(N277)),N277="",ISNUMBER(K277)),K277,0)</x:f>
        <x:v>0</x:v>
      </x:c>
      <x:c r="Y277" s="17" t="n">
        <x:f>IF(AND(H277=F277,NOT(ISNUMBER(N277)),N277="",K277="",ISNUMBER(O277)),O277,0)</x:f>
        <x:v>20000</x:v>
      </x:c>
      <x:c r="Z277" s="17" t="n">
        <x:f>IF(AND(H277&gt;0,ISNUMBER(N277)),N277,0)</x:f>
        <x:v>0</x:v>
      </x:c>
      <x:c r="AA277" s="2" t="n">
        <x:f>IF(AND(H277&gt;0,N277="",NOT(ISNUMBER(Q277))),1,0)</x:f>
        <x:v>0</x:v>
      </x:c>
      <x:c r="AB277" s="2" t="n">
        <x:f>IF(AND(H277&gt;0,N277&lt;&gt;"",NOT(ISNUMBER(N277))),1,0)</x:f>
        <x:v>0</x:v>
      </x:c>
    </x:row>
    <x:row r="278" ht="48" customHeight="1">
      <x:c r="A278" s="2" t="str">
        <x:v>MAIN-267</x:v>
      </x:c>
      <x:c r="B278" s="2" t="str">
        <x:v>Main</x:v>
      </x:c>
      <x:c r="C278" s="2" t="str">
        <x:v>Indore</x:v>
      </x:c>
      <x:c r="D278" s="12" t="str">
        <x:v>Apollo Gold Plaza</x:v>
      </x:c>
      <x:c r="E278" s="12" t="str">
        <x:v>43 inch LED TV</x:v>
      </x:c>
      <x:c r="F278" s="2" t="n">
        <x:v>1</x:v>
      </x:c>
      <x:c r="G278" s="2" t="n">
        <x:v>2</x:v>
      </x:c>
      <x:c r="H278" s="2" t="n">
        <x:f>COUNTIFS('Inventory'!$N$7:$N$783,A278,'Inventory'!$A$7:$A$783,1)</x:f>
        <x:v>1</x:v>
      </x:c>
      <x:c r="I278" s="2" t="n">
        <x:f>SUMIFS('Inventory'!$G$7:$G$783,'Inventory'!$N$7:$N$783,A278,'Inventory'!$A$7:$A$783,1)</x:f>
        <x:v>2</x:v>
      </x:c>
      <x:c r="J278" s="12" t="str">
        <x:v>Campaign format rate</x:v>
      </x:c>
      <x:c r="K278" s="17"/>
      <x:c r="L278" s="17" t="n">
        <x:f>$E$5</x:f>
        <x:v>20000</x:v>
      </x:c>
      <x:c r="M278" s="17"/>
      <x:c r="N278" s="19"/>
      <x:c r="O278" s="17" t="n">
        <x:f>IF(ISNUMBER(L278),G278*L278,IF(ISNUMBER(M278),M278,""))</x:f>
        <x:v>40000</x:v>
      </x:c>
      <x:c r="P278" s="17" t="n">
        <x:f>IF(ISNUMBER(K278),K278,IF(ISNUMBER(O278),O278,""))</x:f>
        <x:v>40000</x:v>
      </x:c>
      <x:c r="Q278" s="17" t="n">
        <x:f>IF(H278=0,0,IF(ISNUMBER(N278),N278,IF(N278="",IF(H278=F278,P278,""),"")))</x:f>
        <x:v>40000</x:v>
      </x:c>
      <x:c r="R278" s="17" t="n">
        <x:f>IF(ISNUMBER(Q278),ROUND(Q278*$C$4,2),"")</x:f>
        <x:v>7200</x:v>
      </x:c>
      <x:c r="S278" s="17" t="n">
        <x:f>IF(ISNUMBER(Q278),Q278+R278,"")</x:f>
        <x:v>47200</x:v>
      </x:c>
      <x:c r="T278" s="2" t="str">
        <x:f>IF(H278=0,"Not selected",IF(ISNUMBER(N278),"Quote entered",IF(N278&lt;&gt;"","Enter numeric quote",IF(H278=F278,IF(ISNUMBER(P278),"Complete unit","Price required"),"Partial package: price required"))))</x:f>
        <x:v>Complete unit</x:v>
      </x:c>
      <x:c r="U278" s="2" t="str">
        <x:v>TEN-0E6A64179D0F; TEN-1C593F87A18C; TEN-1CAE3150CD93; TEN-30E052F4048B; TEN-43D8802BE4D6; TEN-4FECE7E10BAF; TEN-5AD09C016EC1; TEN-621F0FBC68F3; TEN-628A998CF468; TEN-6D42C4AA277D; TEN-76CFEC1C272A; TEN-8147E6FED86D; TEN-8918FBD5F4F5; TEN-8D2A37C827BC; TEN-968E2D5B0868; TEN-A79DD0F512DB; TEN-C6B55D0681FA; TEN-F92A50840CD9</x:v>
      </x:c>
      <x:c r="V278" s="2" t="str">
        <x:v>IT &amp; digital; Professional services; Finance &amp; insurance; Engineering &amp; manufacturing; Healthcare &amp; life sciences; Education; Trade, consumer &amp; logistics; Workspace &amp; property operations; Government &amp; nonprofit; Unresolved</x:v>
      </x:c>
      <x:c r="W278" s="2" t="str">
        <x:v>Small-scale prospects; Medium-scale prospects; Large enterprise; Institutional; Mixed business audience</x:v>
      </x:c>
      <x:c r="X278" s="17" t="n">
        <x:f>IF(AND(H278=F278,NOT(ISNUMBER(N278)),N278="",ISNUMBER(K278)),K278,0)</x:f>
        <x:v>0</x:v>
      </x:c>
      <x:c r="Y278" s="17" t="n">
        <x:f>IF(AND(H278=F278,NOT(ISNUMBER(N278)),N278="",K278="",ISNUMBER(O278)),O278,0)</x:f>
        <x:v>40000</x:v>
      </x:c>
      <x:c r="Z278" s="17" t="n">
        <x:f>IF(AND(H278&gt;0,ISNUMBER(N278)),N278,0)</x:f>
        <x:v>0</x:v>
      </x:c>
      <x:c r="AA278" s="2" t="n">
        <x:f>IF(AND(H278&gt;0,N278="",NOT(ISNUMBER(Q278))),1,0)</x:f>
        <x:v>0</x:v>
      </x:c>
      <x:c r="AB278" s="2" t="n">
        <x:f>IF(AND(H278&gt;0,N278&lt;&gt;"",NOT(ISNUMBER(N278))),1,0)</x:f>
        <x:v>0</x:v>
      </x:c>
    </x:row>
    <x:row r="279" ht="48" customHeight="1">
      <x:c r="A279" s="2" t="str">
        <x:v>MAIN-268</x:v>
      </x:c>
      <x:c r="B279" s="2" t="str">
        <x:v>Main</x:v>
      </x:c>
      <x:c r="C279" s="2" t="str">
        <x:v>Indore</x:v>
      </x:c>
      <x:c r="D279" s="12" t="str">
        <x:v>Apollo Premier</x:v>
      </x:c>
      <x:c r="E279" s="12" t="str">
        <x:v>55 inch LED TV</x:v>
      </x:c>
      <x:c r="F279" s="2" t="n">
        <x:v>1</x:v>
      </x:c>
      <x:c r="G279" s="2" t="n">
        <x:v>2</x:v>
      </x:c>
      <x:c r="H279" s="2" t="n">
        <x:f>COUNTIFS('Inventory'!$N$7:$N$783,A279,'Inventory'!$A$7:$A$783,1)</x:f>
        <x:v>1</x:v>
      </x:c>
      <x:c r="I279" s="2" t="n">
        <x:f>SUMIFS('Inventory'!$G$7:$G$783,'Inventory'!$N$7:$N$783,A279,'Inventory'!$A$7:$A$783,1)</x:f>
        <x:v>2</x:v>
      </x:c>
      <x:c r="J279" s="12" t="str">
        <x:v>Campaign format rate</x:v>
      </x:c>
      <x:c r="K279" s="17"/>
      <x:c r="L279" s="17" t="n">
        <x:f>$I$5</x:f>
        <x:v>40000</x:v>
      </x:c>
      <x:c r="M279" s="17"/>
      <x:c r="N279" s="19"/>
      <x:c r="O279" s="17" t="n">
        <x:f>IF(ISNUMBER(L279),G279*L279,IF(ISNUMBER(M279),M279,""))</x:f>
        <x:v>80000</x:v>
      </x:c>
      <x:c r="P279" s="17" t="n">
        <x:f>IF(ISNUMBER(K279),K279,IF(ISNUMBER(O279),O279,""))</x:f>
        <x:v>80000</x:v>
      </x:c>
      <x:c r="Q279" s="17" t="n">
        <x:f>IF(H279=0,0,IF(ISNUMBER(N279),N279,IF(N279="",IF(H279=F279,P279,""),"")))</x:f>
        <x:v>80000</x:v>
      </x:c>
      <x:c r="R279" s="17" t="n">
        <x:f>IF(ISNUMBER(Q279),ROUND(Q279*$C$4,2),"")</x:f>
        <x:v>14400</x:v>
      </x:c>
      <x:c r="S279" s="17" t="n">
        <x:f>IF(ISNUMBER(Q279),Q279+R279,"")</x:f>
        <x:v>94400</x:v>
      </x:c>
      <x:c r="T279" s="2" t="str">
        <x:f>IF(H279=0,"Not selected",IF(ISNUMBER(N279),"Quote entered",IF(N279&lt;&gt;"","Enter numeric quote",IF(H279=F279,IF(ISNUMBER(P279),"Complete unit","Price required"),"Partial package: price required"))))</x:f>
        <x:v>Complete unit</x:v>
      </x:c>
      <x:c r="U279" s="2" t="str">
        <x:v>TEN-02307EC68AF1; TEN-04C4F86B0D0A; TEN-0600C79833CC; TEN-0690190DD270; TEN-0744BB22C8B2; TEN-0B56B6EC5EA6; TEN-0FE71AFA8B33; TEN-148467CBDDAE; TEN-27700B8C80E5; TEN-294E778CB1A4; TEN-38964F2926E6; TEN-43449F44510F; TEN-4372F5F2C226; TEN-521F2A24ED8E; TEN-526F74215D36; TEN-56B8BA98F7F4; TEN-5E23D7683439; TEN-6020795B1CE6; TEN-623B80FBF08D; TEN-63BE8044D771; TEN-6AD0A30CACD0; TEN-70B6144FAE4D; TEN-7A3739772D44; TEN-839DEB3142C5; TEN-87650DA43E90; TEN-950484B1F075; TEN-9A22E5ED9042; TEN-A0E57F90BD10; TEN-A7E1C1C99457; TEN-ACD29E20304D; TEN-B07B67C76413; TEN-B2E697A06F9A; TEN-B8C120ECAB54; TEN-B951544E9D99; TEN-B9974CC73E15; TEN-BEA5248C6C80; TEN-C66D09431C09; TEN-C73172A3BDEB; TEN-CB09D6D1B767; TEN-E6542CB80A35; TEN-E73B48F750BE; TEN-EB4F5CB9E5EC; TEN-EF6C0A3D2A0E; TEN-F1446726068A; TEN-F208248E5969; TEN-F36C3561BBA5; TEN-F5D36C673CEA; TEN-F79F4922D3B3</x:v>
      </x:c>
      <x:c r="V279" s="2" t="str">
        <x:v>IT &amp; digital; Finance &amp; insurance; Engineering &amp; manufacturing; Education; Trade, consumer &amp; logistics; Unresolved</x:v>
      </x:c>
      <x:c r="W279" s="2" t="str">
        <x:v>Small-scale prospects; Medium-scale prospects; Large enterprise; Mixed business audience</x:v>
      </x:c>
      <x:c r="X279" s="17" t="n">
        <x:f>IF(AND(H279=F279,NOT(ISNUMBER(N279)),N279="",ISNUMBER(K279)),K279,0)</x:f>
        <x:v>0</x:v>
      </x:c>
      <x:c r="Y279" s="17" t="n">
        <x:f>IF(AND(H279=F279,NOT(ISNUMBER(N279)),N279="",K279="",ISNUMBER(O279)),O279,0)</x:f>
        <x:v>80000</x:v>
      </x:c>
      <x:c r="Z279" s="17" t="n">
        <x:f>IF(AND(H279&gt;0,ISNUMBER(N279)),N279,0)</x:f>
        <x:v>0</x:v>
      </x:c>
      <x:c r="AA279" s="2" t="n">
        <x:f>IF(AND(H279&gt;0,N279="",NOT(ISNUMBER(Q279))),1,0)</x:f>
        <x:v>0</x:v>
      </x:c>
      <x:c r="AB279" s="2" t="n">
        <x:f>IF(AND(H279&gt;0,N279&lt;&gt;"",NOT(ISNUMBER(N279))),1,0)</x:f>
        <x:v>0</x:v>
      </x:c>
    </x:row>
    <x:row r="280" ht="48" customHeight="1">
      <x:c r="A280" s="2" t="str">
        <x:v>MAIN-269</x:v>
      </x:c>
      <x:c r="B280" s="2" t="str">
        <x:v>Main</x:v>
      </x:c>
      <x:c r="C280" s="2" t="str">
        <x:v>Indore</x:v>
      </x:c>
      <x:c r="D280" s="12" t="str">
        <x:v>Benchmark</x:v>
      </x:c>
      <x:c r="E280" s="12" t="str">
        <x:v>55 inch LED TV</x:v>
      </x:c>
      <x:c r="F280" s="2" t="n">
        <x:v>1</x:v>
      </x:c>
      <x:c r="G280" s="2" t="n">
        <x:v>1</x:v>
      </x:c>
      <x:c r="H280" s="2" t="n">
        <x:f>COUNTIFS('Inventory'!$N$7:$N$783,A280,'Inventory'!$A$7:$A$783,1)</x:f>
        <x:v>1</x:v>
      </x:c>
      <x:c r="I280" s="2" t="n">
        <x:f>SUMIFS('Inventory'!$G$7:$G$783,'Inventory'!$N$7:$N$783,A280,'Inventory'!$A$7:$A$783,1)</x:f>
        <x:v>1</x:v>
      </x:c>
      <x:c r="J280" s="12" t="str">
        <x:v>Campaign format rate</x:v>
      </x:c>
      <x:c r="K280" s="17"/>
      <x:c r="L280" s="17" t="n">
        <x:f>$I$5</x:f>
        <x:v>40000</x:v>
      </x:c>
      <x:c r="M280" s="17"/>
      <x:c r="N280" s="19"/>
      <x:c r="O280" s="17" t="n">
        <x:f>IF(ISNUMBER(L280),G280*L280,IF(ISNUMBER(M280),M280,""))</x:f>
        <x:v>40000</x:v>
      </x:c>
      <x:c r="P280" s="17" t="n">
        <x:f>IF(ISNUMBER(K280),K280,IF(ISNUMBER(O280),O280,""))</x:f>
        <x:v>40000</x:v>
      </x:c>
      <x:c r="Q280" s="17" t="n">
        <x:f>IF(H280=0,0,IF(ISNUMBER(N280),N280,IF(N280="",IF(H280=F280,P280,""),"")))</x:f>
        <x:v>40000</x:v>
      </x:c>
      <x:c r="R280" s="17" t="n">
        <x:f>IF(ISNUMBER(Q280),ROUND(Q280*$C$4,2),"")</x:f>
        <x:v>7200</x:v>
      </x:c>
      <x:c r="S280" s="17" t="n">
        <x:f>IF(ISNUMBER(Q280),Q280+R280,"")</x:f>
        <x:v>47200</x:v>
      </x:c>
      <x:c r="T280" s="2" t="str">
        <x:f>IF(H280=0,"Not selected",IF(ISNUMBER(N280),"Quote entered",IF(N280&lt;&gt;"","Enter numeric quote",IF(H280=F280,IF(ISNUMBER(P280),"Complete unit","Price required"),"Partial package: price required"))))</x:f>
        <x:v>Complete unit</x:v>
      </x:c>
      <x:c r="U280" s="2" t="str">
        <x:v>TEN-003A9BE2D25C; TEN-01C854795E61; TEN-081CE58110FF; TEN-3D7313DBDA83; TEN-4142B3BC93EF; TEN-65E55002CE6A; TEN-6A6775B6325F; TEN-6E39FF852CB7; TEN-8C1713589E8E; TEN-8FCCCD18B630; TEN-940CC6BFC3C4; TEN-A1D4A79B9988; TEN-A9E3F127D53F; TEN-C6A6BD76D408; TEN-D16A96037885; TEN-E353B4E25D40; TEN-E4B2E6D6E722; TEN-EA021C6E19D8; TEN-EEE8236F2BE2; TEN-F0F59D5208F6; TEN-F338051AA62C; TEN-F7F44358B02D; TEN-FFDD85E02F24</x:v>
      </x:c>
      <x:c r="V280" s="2" t="str">
        <x:v>Finance &amp; insurance; Engineering &amp; manufacturing; Healthcare &amp; life sciences; Trade, consumer &amp; logistics; Unresolved</x:v>
      </x:c>
      <x:c r="W280" s="2" t="str">
        <x:v>Micro-scale prospects; Small-scale prospects; Medium-scale prospects; Large enterprise; Mixed business audience</x:v>
      </x:c>
      <x:c r="X280" s="17" t="n">
        <x:f>IF(AND(H280=F280,NOT(ISNUMBER(N280)),N280="",ISNUMBER(K280)),K280,0)</x:f>
        <x:v>0</x:v>
      </x:c>
      <x:c r="Y280" s="17" t="n">
        <x:f>IF(AND(H280=F280,NOT(ISNUMBER(N280)),N280="",K280="",ISNUMBER(O280)),O280,0)</x:f>
        <x:v>40000</x:v>
      </x:c>
      <x:c r="Z280" s="17" t="n">
        <x:f>IF(AND(H280&gt;0,ISNUMBER(N280)),N280,0)</x:f>
        <x:v>0</x:v>
      </x:c>
      <x:c r="AA280" s="2" t="n">
        <x:f>IF(AND(H280&gt;0,N280="",NOT(ISNUMBER(Q280))),1,0)</x:f>
        <x:v>0</x:v>
      </x:c>
      <x:c r="AB280" s="2" t="n">
        <x:f>IF(AND(H280&gt;0,N280&lt;&gt;"",NOT(ISNUMBER(N280))),1,0)</x:f>
        <x:v>0</x:v>
      </x:c>
    </x:row>
    <x:row r="281" ht="48" customHeight="1">
      <x:c r="A281" s="2" t="str">
        <x:v>MAIN-270</x:v>
      </x:c>
      <x:c r="B281" s="2" t="str">
        <x:v>Main</x:v>
      </x:c>
      <x:c r="C281" s="2" t="str">
        <x:v>Indore</x:v>
      </x:c>
      <x:c r="D281" s="12" t="str">
        <x:v>Cliffton Corporate</x:v>
      </x:c>
      <x:c r="E281" s="12" t="str">
        <x:v>43 inch LED TV</x:v>
      </x:c>
      <x:c r="F281" s="2" t="n">
        <x:v>1</x:v>
      </x:c>
      <x:c r="G281" s="2" t="n">
        <x:v>1</x:v>
      </x:c>
      <x:c r="H281" s="2" t="n">
        <x:f>COUNTIFS('Inventory'!$N$7:$N$783,A281,'Inventory'!$A$7:$A$783,1)</x:f>
        <x:v>1</x:v>
      </x:c>
      <x:c r="I281" s="2" t="n">
        <x:f>SUMIFS('Inventory'!$G$7:$G$783,'Inventory'!$N$7:$N$783,A281,'Inventory'!$A$7:$A$783,1)</x:f>
        <x:v>1</x:v>
      </x:c>
      <x:c r="J281" s="12" t="str">
        <x:v>Campaign format rate</x:v>
      </x:c>
      <x:c r="K281" s="17"/>
      <x:c r="L281" s="17" t="n">
        <x:f>$E$5</x:f>
        <x:v>20000</x:v>
      </x:c>
      <x:c r="M281" s="17"/>
      <x:c r="N281" s="19"/>
      <x:c r="O281" s="17" t="n">
        <x:f>IF(ISNUMBER(L281),G281*L281,IF(ISNUMBER(M281),M281,""))</x:f>
        <x:v>20000</x:v>
      </x:c>
      <x:c r="P281" s="17" t="n">
        <x:f>IF(ISNUMBER(K281),K281,IF(ISNUMBER(O281),O281,""))</x:f>
        <x:v>20000</x:v>
      </x:c>
      <x:c r="Q281" s="17" t="n">
        <x:f>IF(H281=0,0,IF(ISNUMBER(N281),N281,IF(N281="",IF(H281=F281,P281,""),"")))</x:f>
        <x:v>20000</x:v>
      </x:c>
      <x:c r="R281" s="17" t="n">
        <x:f>IF(ISNUMBER(Q281),ROUND(Q281*$C$4,2),"")</x:f>
        <x:v>3600</x:v>
      </x:c>
      <x:c r="S281" s="17" t="n">
        <x:f>IF(ISNUMBER(Q281),Q281+R281,"")</x:f>
        <x:v>23600</x:v>
      </x:c>
      <x:c r="T281" s="2" t="str">
        <x:f>IF(H281=0,"Not selected",IF(ISNUMBER(N281),"Quote entered",IF(N281&lt;&gt;"","Enter numeric quote",IF(H281=F281,IF(ISNUMBER(P281),"Complete unit","Price required"),"Partial package: price required"))))</x:f>
        <x:v>Complete unit</x:v>
      </x:c>
      <x:c r="U281" s="2" t="str">
        <x:v>TEN-0599633AC599; TEN-194ABFD5CF0A; TEN-217A3357FE5A; TEN-21B547D50FFF; TEN-2E5A588EB035; TEN-387C19F5DB1C; TEN-3A4174138191; TEN-47B2D9943B23; TEN-4B1E6BDB3887; TEN-4E47C1B5FEBC; TEN-718B3BA4D288; TEN-753F2A7D1BCF; TEN-8212EE32812B; TEN-8EA8DF83F556; TEN-9A7E548DD883; TEN-A8130969F4B5; TEN-C1483C72A9FF; TEN-C3C9FF9406F1; TEN-CF8527DC52D8; TEN-EFA1AA1770B7; TEN-F38062E0D24B</x:v>
      </x:c>
      <x:c r="V281" s="2" t="str">
        <x:v>IT &amp; digital; Finance &amp; insurance; Engineering &amp; manufacturing; Trade, consumer &amp; logistics; Workspace &amp; property operations; Unresolved</x:v>
      </x:c>
      <x:c r="W281" s="2" t="str">
        <x:v>Small-scale prospects; Medium-scale prospects; Large enterprise; Mixed business audience</x:v>
      </x:c>
      <x:c r="X281" s="17" t="n">
        <x:f>IF(AND(H281=F281,NOT(ISNUMBER(N281)),N281="",ISNUMBER(K281)),K281,0)</x:f>
        <x:v>0</x:v>
      </x:c>
      <x:c r="Y281" s="17" t="n">
        <x:f>IF(AND(H281=F281,NOT(ISNUMBER(N281)),N281="",K281="",ISNUMBER(O281)),O281,0)</x:f>
        <x:v>20000</x:v>
      </x:c>
      <x:c r="Z281" s="17" t="n">
        <x:f>IF(AND(H281&gt;0,ISNUMBER(N281)),N281,0)</x:f>
        <x:v>0</x:v>
      </x:c>
      <x:c r="AA281" s="2" t="n">
        <x:f>IF(AND(H281&gt;0,N281="",NOT(ISNUMBER(Q281))),1,0)</x:f>
        <x:v>0</x:v>
      </x:c>
      <x:c r="AB281" s="2" t="n">
        <x:f>IF(AND(H281&gt;0,N281&lt;&gt;"",NOT(ISNUMBER(N281))),1,0)</x:f>
        <x:v>0</x:v>
      </x:c>
    </x:row>
    <x:row r="282" ht="48" customHeight="1">
      <x:c r="A282" s="2" t="str">
        <x:v>MAIN-271</x:v>
      </x:c>
      <x:c r="B282" s="2" t="str">
        <x:v>Main</x:v>
      </x:c>
      <x:c r="C282" s="2" t="str">
        <x:v>Indore</x:v>
      </x:c>
      <x:c r="D282" s="12" t="str">
        <x:v>Dhan Trident</x:v>
      </x:c>
      <x:c r="E282" s="12" t="str">
        <x:v>43 inch LED TV</x:v>
      </x:c>
      <x:c r="F282" s="2" t="n">
        <x:v>1</x:v>
      </x:c>
      <x:c r="G282" s="2" t="n">
        <x:v>2</x:v>
      </x:c>
      <x:c r="H282" s="2" t="n">
        <x:f>COUNTIFS('Inventory'!$N$7:$N$783,A282,'Inventory'!$A$7:$A$783,1)</x:f>
        <x:v>1</x:v>
      </x:c>
      <x:c r="I282" s="2" t="n">
        <x:f>SUMIFS('Inventory'!$G$7:$G$783,'Inventory'!$N$7:$N$783,A282,'Inventory'!$A$7:$A$783,1)</x:f>
        <x:v>2</x:v>
      </x:c>
      <x:c r="J282" s="12" t="str">
        <x:v>Campaign format rate</x:v>
      </x:c>
      <x:c r="K282" s="17"/>
      <x:c r="L282" s="17" t="n">
        <x:f>$E$5</x:f>
        <x:v>20000</x:v>
      </x:c>
      <x:c r="M282" s="17"/>
      <x:c r="N282" s="19"/>
      <x:c r="O282" s="17" t="n">
        <x:f>IF(ISNUMBER(L282),G282*L282,IF(ISNUMBER(M282),M282,""))</x:f>
        <x:v>40000</x:v>
      </x:c>
      <x:c r="P282" s="17" t="n">
        <x:f>IF(ISNUMBER(K282),K282,IF(ISNUMBER(O282),O282,""))</x:f>
        <x:v>40000</x:v>
      </x:c>
      <x:c r="Q282" s="17" t="n">
        <x:f>IF(H282=0,0,IF(ISNUMBER(N282),N282,IF(N282="",IF(H282=F282,P282,""),"")))</x:f>
        <x:v>40000</x:v>
      </x:c>
      <x:c r="R282" s="17" t="n">
        <x:f>IF(ISNUMBER(Q282),ROUND(Q282*$C$4,2),"")</x:f>
        <x:v>7200</x:v>
      </x:c>
      <x:c r="S282" s="17" t="n">
        <x:f>IF(ISNUMBER(Q282),Q282+R282,"")</x:f>
        <x:v>47200</x:v>
      </x:c>
      <x:c r="T282" s="2" t="str">
        <x:f>IF(H282=0,"Not selected",IF(ISNUMBER(N282),"Quote entered",IF(N282&lt;&gt;"","Enter numeric quote",IF(H282=F282,IF(ISNUMBER(P282),"Complete unit","Price required"),"Partial package: price required"))))</x:f>
        <x:v>Complete unit</x:v>
      </x:c>
      <x:c r="U282" s="2" t="str">
        <x:v>TEN-20A7D31FBA30; TEN-305094995AAD; TEN-3C294306421C; TEN-52CC75641406; TEN-5DB1123C398D; TEN-6E06B8D9E2A3; TEN-92A46CAA865E; TEN-A12F99DD2F8D; TEN-A9E3F127D53F; TEN-BB9D93D4756A; TEN-BC3067AC45DF; TEN-C3AFC9E0B8DF; TEN-C94B4C730018; TEN-D0879CBAC1A9; TEN-D113F5BCE96F; TEN-DF36F95F74EA; TEN-E970D13343C8; TEN-EC14C966B91D; TEN-F0434252015E; TEN-F0F59D5208F6</x:v>
      </x:c>
      <x:c r="V282" s="2" t="str">
        <x:v>Professional services; Finance &amp; insurance; Engineering &amp; manufacturing; Trade, consumer &amp; logistics; Unresolved</x:v>
      </x:c>
      <x:c r="W282" s="2" t="str">
        <x:v>Medium-scale prospects; Large enterprise; Mixed business audience</x:v>
      </x:c>
      <x:c r="X282" s="17" t="n">
        <x:f>IF(AND(H282=F282,NOT(ISNUMBER(N282)),N282="",ISNUMBER(K282)),K282,0)</x:f>
        <x:v>0</x:v>
      </x:c>
      <x:c r="Y282" s="17" t="n">
        <x:f>IF(AND(H282=F282,NOT(ISNUMBER(N282)),N282="",K282="",ISNUMBER(O282)),O282,0)</x:f>
        <x:v>40000</x:v>
      </x:c>
      <x:c r="Z282" s="17" t="n">
        <x:f>IF(AND(H282&gt;0,ISNUMBER(N282)),N282,0)</x:f>
        <x:v>0</x:v>
      </x:c>
      <x:c r="AA282" s="2" t="n">
        <x:f>IF(AND(H282&gt;0,N282="",NOT(ISNUMBER(Q282))),1,0)</x:f>
        <x:v>0</x:v>
      </x:c>
      <x:c r="AB282" s="2" t="n">
        <x:f>IF(AND(H282&gt;0,N282&lt;&gt;"",NOT(ISNUMBER(N282))),1,0)</x:f>
        <x:v>0</x:v>
      </x:c>
    </x:row>
    <x:row r="283" ht="48" customHeight="1">
      <x:c r="A283" s="2" t="str">
        <x:v>MAIN-272</x:v>
      </x:c>
      <x:c r="B283" s="2" t="str">
        <x:v>Main</x:v>
      </x:c>
      <x:c r="C283" s="2" t="str">
        <x:v>Indore</x:v>
      </x:c>
      <x:c r="D283" s="12" t="str">
        <x:v>Maloo - 01</x:v>
      </x:c>
      <x:c r="E283" s="12" t="str">
        <x:v>43 inch LED TV</x:v>
      </x:c>
      <x:c r="F283" s="2" t="n">
        <x:v>1</x:v>
      </x:c>
      <x:c r="G283" s="2" t="n">
        <x:v>1</x:v>
      </x:c>
      <x:c r="H283" s="2" t="n">
        <x:f>COUNTIFS('Inventory'!$N$7:$N$783,A283,'Inventory'!$A$7:$A$783,1)</x:f>
        <x:v>1</x:v>
      </x:c>
      <x:c r="I283" s="2" t="n">
        <x:f>SUMIFS('Inventory'!$G$7:$G$783,'Inventory'!$N$7:$N$783,A283,'Inventory'!$A$7:$A$783,1)</x:f>
        <x:v>1</x:v>
      </x:c>
      <x:c r="J283" s="12" t="str">
        <x:v>Campaign format rate</x:v>
      </x:c>
      <x:c r="K283" s="17"/>
      <x:c r="L283" s="17" t="n">
        <x:f>$E$5</x:f>
        <x:v>20000</x:v>
      </x:c>
      <x:c r="M283" s="17"/>
      <x:c r="N283" s="19"/>
      <x:c r="O283" s="17" t="n">
        <x:f>IF(ISNUMBER(L283),G283*L283,IF(ISNUMBER(M283),M283,""))</x:f>
        <x:v>20000</x:v>
      </x:c>
      <x:c r="P283" s="17" t="n">
        <x:f>IF(ISNUMBER(K283),K283,IF(ISNUMBER(O283),O283,""))</x:f>
        <x:v>20000</x:v>
      </x:c>
      <x:c r="Q283" s="17" t="n">
        <x:f>IF(H283=0,0,IF(ISNUMBER(N283),N283,IF(N283="",IF(H283=F283,P283,""),"")))</x:f>
        <x:v>20000</x:v>
      </x:c>
      <x:c r="R283" s="17" t="n">
        <x:f>IF(ISNUMBER(Q283),ROUND(Q283*$C$4,2),"")</x:f>
        <x:v>3600</x:v>
      </x:c>
      <x:c r="S283" s="17" t="n">
        <x:f>IF(ISNUMBER(Q283),Q283+R283,"")</x:f>
        <x:v>23600</x:v>
      </x:c>
      <x:c r="T283" s="2" t="str">
        <x:f>IF(H283=0,"Not selected",IF(ISNUMBER(N283),"Quote entered",IF(N283&lt;&gt;"","Enter numeric quote",IF(H283=F283,IF(ISNUMBER(P283),"Complete unit","Price required"),"Partial package: price required"))))</x:f>
        <x:v>Complete unit</x:v>
      </x:c>
      <x:c r="U283" s="2" t="str">
        <x:v>TEN-115B79902469; TEN-135FC7A09DA2; TEN-223A5501D90B; TEN-337FC025530C; TEN-36E26473A4E8; TEN-45F6BC07047C; TEN-46C759E87193; TEN-5803587E6791; TEN-615F95D34C39; TEN-6E39FF852CB7; TEN-6FC71948C40F; TEN-934CA7C0EEF3; TEN-9F6BB1723925; TEN-A0342370923A; TEN-AE6C79D10F1F; TEN-C81D24A89AC9; TEN-CA27C6C18E1C; TEN-D9ADBE0C3AA9; TEN-E0C400B0984A; TEN-E73975ED917E; TEN-EA8975B4C51B; TEN-EFC1A00D0AE7; TEN-FDAC38268C21</x:v>
      </x:c>
      <x:c r="V283" s="2" t="str">
        <x:v>IT &amp; digital; Professional services; Finance &amp; insurance; Engineering &amp; manufacturing; Healthcare &amp; life sciences; Education; Trade, consumer &amp; logistics; Workspace &amp; property operations; Unresolved</x:v>
      </x:c>
      <x:c r="W283" s="2" t="str">
        <x:v>Small-scale prospects; Large enterprise; Institutional; Mixed business audience</x:v>
      </x:c>
      <x:c r="X283" s="17" t="n">
        <x:f>IF(AND(H283=F283,NOT(ISNUMBER(N283)),N283="",ISNUMBER(K283)),K283,0)</x:f>
        <x:v>0</x:v>
      </x:c>
      <x:c r="Y283" s="17" t="n">
        <x:f>IF(AND(H283=F283,NOT(ISNUMBER(N283)),N283="",K283="",ISNUMBER(O283)),O283,0)</x:f>
        <x:v>20000</x:v>
      </x:c>
      <x:c r="Z283" s="17" t="n">
        <x:f>IF(AND(H283&gt;0,ISNUMBER(N283)),N283,0)</x:f>
        <x:v>0</x:v>
      </x:c>
      <x:c r="AA283" s="2" t="n">
        <x:f>IF(AND(H283&gt;0,N283="",NOT(ISNUMBER(Q283))),1,0)</x:f>
        <x:v>0</x:v>
      </x:c>
      <x:c r="AB283" s="2" t="n">
        <x:f>IF(AND(H283&gt;0,N283&lt;&gt;"",NOT(ISNUMBER(N283))),1,0)</x:f>
        <x:v>0</x:v>
      </x:c>
    </x:row>
    <x:row r="284" ht="48" customHeight="1">
      <x:c r="A284" s="2" t="str">
        <x:v>MAIN-273</x:v>
      </x:c>
      <x:c r="B284" s="2" t="str">
        <x:v>Main</x:v>
      </x:c>
      <x:c r="C284" s="2" t="str">
        <x:v>Indore</x:v>
      </x:c>
      <x:c r="D284" s="12" t="str">
        <x:v>Metro Tower</x:v>
      </x:c>
      <x:c r="E284" s="12" t="str">
        <x:v>43 inch LED TV</x:v>
      </x:c>
      <x:c r="F284" s="2" t="n">
        <x:v>1</x:v>
      </x:c>
      <x:c r="G284" s="2" t="n">
        <x:v>2</x:v>
      </x:c>
      <x:c r="H284" s="2" t="n">
        <x:f>COUNTIFS('Inventory'!$N$7:$N$783,A284,'Inventory'!$A$7:$A$783,1)</x:f>
        <x:v>1</x:v>
      </x:c>
      <x:c r="I284" s="2" t="n">
        <x:f>SUMIFS('Inventory'!$G$7:$G$783,'Inventory'!$N$7:$N$783,A284,'Inventory'!$A$7:$A$783,1)</x:f>
        <x:v>2</x:v>
      </x:c>
      <x:c r="J284" s="12" t="str">
        <x:v>Campaign format rate</x:v>
      </x:c>
      <x:c r="K284" s="17"/>
      <x:c r="L284" s="17" t="n">
        <x:f>$E$5</x:f>
        <x:v>20000</x:v>
      </x:c>
      <x:c r="M284" s="17"/>
      <x:c r="N284" s="19"/>
      <x:c r="O284" s="17" t="n">
        <x:f>IF(ISNUMBER(L284),G284*L284,IF(ISNUMBER(M284),M284,""))</x:f>
        <x:v>40000</x:v>
      </x:c>
      <x:c r="P284" s="17" t="n">
        <x:f>IF(ISNUMBER(K284),K284,IF(ISNUMBER(O284),O284,""))</x:f>
        <x:v>40000</x:v>
      </x:c>
      <x:c r="Q284" s="17" t="n">
        <x:f>IF(H284=0,0,IF(ISNUMBER(N284),N284,IF(N284="",IF(H284=F284,P284,""),"")))</x:f>
        <x:v>40000</x:v>
      </x:c>
      <x:c r="R284" s="17" t="n">
        <x:f>IF(ISNUMBER(Q284),ROUND(Q284*$C$4,2),"")</x:f>
        <x:v>7200</x:v>
      </x:c>
      <x:c r="S284" s="17" t="n">
        <x:f>IF(ISNUMBER(Q284),Q284+R284,"")</x:f>
        <x:v>47200</x:v>
      </x:c>
      <x:c r="T284" s="2" t="str">
        <x:f>IF(H284=0,"Not selected",IF(ISNUMBER(N284),"Quote entered",IF(N284&lt;&gt;"","Enter numeric quote",IF(H284=F284,IF(ISNUMBER(P284),"Complete unit","Price required"),"Partial package: price required"))))</x:f>
        <x:v>Complete unit</x:v>
      </x:c>
      <x:c r="U284" s="2" t="str">
        <x:v>TEN-0129C6C3CDEB; TEN-1F31C89E234E; TEN-26974B5A07BB; TEN-336DDD08276C; TEN-4E0D8ECA527F; TEN-4F55DE894B56; TEN-6AC98C9B1C20; TEN-916E00835FFF; TEN-97436A7FB207; TEN-9CEA2EBE4EB1; TEN-A21333F9DEE9; TEN-AC9D9F310977; TEN-BDA2979FE4F0; TEN-D60A7EBBA35C</x:v>
      </x:c>
      <x:c r="V284" s="2" t="str">
        <x:v>Professional services; Finance &amp; insurance; Healthcare &amp; life sciences; Trade, consumer &amp; logistics; Unresolved</x:v>
      </x:c>
      <x:c r="W284" s="2" t="str">
        <x:v>Small-scale prospects; Medium-scale prospects; Mixed business audience</x:v>
      </x:c>
      <x:c r="X284" s="17" t="n">
        <x:f>IF(AND(H284=F284,NOT(ISNUMBER(N284)),N284="",ISNUMBER(K284)),K284,0)</x:f>
        <x:v>0</x:v>
      </x:c>
      <x:c r="Y284" s="17" t="n">
        <x:f>IF(AND(H284=F284,NOT(ISNUMBER(N284)),N284="",K284="",ISNUMBER(O284)),O284,0)</x:f>
        <x:v>40000</x:v>
      </x:c>
      <x:c r="Z284" s="17" t="n">
        <x:f>IF(AND(H284&gt;0,ISNUMBER(N284)),N284,0)</x:f>
        <x:v>0</x:v>
      </x:c>
      <x:c r="AA284" s="2" t="n">
        <x:f>IF(AND(H284&gt;0,N284="",NOT(ISNUMBER(Q284))),1,0)</x:f>
        <x:v>0</x:v>
      </x:c>
      <x:c r="AB284" s="2" t="n">
        <x:f>IF(AND(H284&gt;0,N284&lt;&gt;"",NOT(ISNUMBER(N284))),1,0)</x:f>
        <x:v>0</x:v>
      </x:c>
    </x:row>
    <x:row r="285" ht="48" customHeight="1">
      <x:c r="A285" s="2" t="str">
        <x:v>MAIN-274</x:v>
      </x:c>
      <x:c r="B285" s="2" t="str">
        <x:v>Main</x:v>
      </x:c>
      <x:c r="C285" s="2" t="str">
        <x:v>Indore</x:v>
      </x:c>
      <x:c r="D285" s="12" t="str">
        <x:v>Princess Sky Line</x:v>
      </x:c>
      <x:c r="E285" s="12" t="str">
        <x:v>55 inch LED TV</x:v>
      </x:c>
      <x:c r="F285" s="2" t="n">
        <x:v>1</x:v>
      </x:c>
      <x:c r="G285" s="2" t="n">
        <x:v>1</x:v>
      </x:c>
      <x:c r="H285" s="2" t="n">
        <x:f>COUNTIFS('Inventory'!$N$7:$N$783,A285,'Inventory'!$A$7:$A$783,1)</x:f>
        <x:v>1</x:v>
      </x:c>
      <x:c r="I285" s="2" t="n">
        <x:f>SUMIFS('Inventory'!$G$7:$G$783,'Inventory'!$N$7:$N$783,A285,'Inventory'!$A$7:$A$783,1)</x:f>
        <x:v>1</x:v>
      </x:c>
      <x:c r="J285" s="12" t="str">
        <x:v>Campaign format rate</x:v>
      </x:c>
      <x:c r="K285" s="17"/>
      <x:c r="L285" s="17" t="n">
        <x:f>$I$5</x:f>
        <x:v>40000</x:v>
      </x:c>
      <x:c r="M285" s="17"/>
      <x:c r="N285" s="19"/>
      <x:c r="O285" s="17" t="n">
        <x:f>IF(ISNUMBER(L285),G285*L285,IF(ISNUMBER(M285),M285,""))</x:f>
        <x:v>40000</x:v>
      </x:c>
      <x:c r="P285" s="17" t="n">
        <x:f>IF(ISNUMBER(K285),K285,IF(ISNUMBER(O285),O285,""))</x:f>
        <x:v>40000</x:v>
      </x:c>
      <x:c r="Q285" s="17" t="n">
        <x:f>IF(H285=0,0,IF(ISNUMBER(N285),N285,IF(N285="",IF(H285=F285,P285,""),"")))</x:f>
        <x:v>40000</x:v>
      </x:c>
      <x:c r="R285" s="17" t="n">
        <x:f>IF(ISNUMBER(Q285),ROUND(Q285*$C$4,2),"")</x:f>
        <x:v>7200</x:v>
      </x:c>
      <x:c r="S285" s="17" t="n">
        <x:f>IF(ISNUMBER(Q285),Q285+R285,"")</x:f>
        <x:v>47200</x:v>
      </x:c>
      <x:c r="T285" s="2" t="str">
        <x:f>IF(H285=0,"Not selected",IF(ISNUMBER(N285),"Quote entered",IF(N285&lt;&gt;"","Enter numeric quote",IF(H285=F285,IF(ISNUMBER(P285),"Complete unit","Price required"),"Partial package: price required"))))</x:f>
        <x:v>Complete unit</x:v>
      </x:c>
      <x:c r="U285" s="2" t="str">
        <x:v>TEN-13B3D65B3A89; TEN-21F20696E755; TEN-285D895E54B2; TEN-3532BE488AD1; TEN-391AC3F6E1D6; TEN-6F9E06E492D7; TEN-779119155C24; TEN-9DA70176374D; TEN-9EC50CBFF08B; TEN-C548E6EFB312; TEN-C912B7601C6F; TEN-CDFF61B47EDF; TEN-DF9DEDCFAC33; TEN-EBEED76FF4AE; TEN-EEC364C03494; TEN-FE47F9E7F7A1</x:v>
      </x:c>
      <x:c r="V285" s="2" t="str">
        <x:v>IT &amp; digital; Professional services; Finance &amp; insurance; Engineering &amp; manufacturing; Trade, consumer &amp; logistics; Workspace &amp; property operations; Unresolved</x:v>
      </x:c>
      <x:c r="W285" s="2" t="str">
        <x:v>Small-scale prospects; Medium-scale prospects; Large enterprise; Mixed business audience</x:v>
      </x:c>
      <x:c r="X285" s="17" t="n">
        <x:f>IF(AND(H285=F285,NOT(ISNUMBER(N285)),N285="",ISNUMBER(K285)),K285,0)</x:f>
        <x:v>0</x:v>
      </x:c>
      <x:c r="Y285" s="17" t="n">
        <x:f>IF(AND(H285=F285,NOT(ISNUMBER(N285)),N285="",K285="",ISNUMBER(O285)),O285,0)</x:f>
        <x:v>40000</x:v>
      </x:c>
      <x:c r="Z285" s="17" t="n">
        <x:f>IF(AND(H285&gt;0,ISNUMBER(N285)),N285,0)</x:f>
        <x:v>0</x:v>
      </x:c>
      <x:c r="AA285" s="2" t="n">
        <x:f>IF(AND(H285&gt;0,N285="",NOT(ISNUMBER(Q285))),1,0)</x:f>
        <x:v>0</x:v>
      </x:c>
      <x:c r="AB285" s="2" t="n">
        <x:f>IF(AND(H285&gt;0,N285&lt;&gt;"",NOT(ISNUMBER(N285))),1,0)</x:f>
        <x:v>0</x:v>
      </x:c>
    </x:row>
    <x:row r="286" ht="48" customHeight="1">
      <x:c r="A286" s="2" t="str">
        <x:v>MAIN-275</x:v>
      </x:c>
      <x:c r="B286" s="2" t="str">
        <x:v>Main</x:v>
      </x:c>
      <x:c r="C286" s="2" t="str">
        <x:v>Indore</x:v>
      </x:c>
      <x:c r="D286" s="12" t="str">
        <x:v>Princess Sky Park</x:v>
      </x:c>
      <x:c r="E286" s="12" t="str">
        <x:v>55 inch LED TV</x:v>
      </x:c>
      <x:c r="F286" s="2" t="n">
        <x:v>1</x:v>
      </x:c>
      <x:c r="G286" s="2" t="n">
        <x:v>1</x:v>
      </x:c>
      <x:c r="H286" s="2" t="n">
        <x:f>COUNTIFS('Inventory'!$N$7:$N$783,A286,'Inventory'!$A$7:$A$783,1)</x:f>
        <x:v>1</x:v>
      </x:c>
      <x:c r="I286" s="2" t="n">
        <x:f>SUMIFS('Inventory'!$G$7:$G$783,'Inventory'!$N$7:$N$783,A286,'Inventory'!$A$7:$A$783,1)</x:f>
        <x:v>1</x:v>
      </x:c>
      <x:c r="J286" s="12" t="str">
        <x:v>Campaign format rate</x:v>
      </x:c>
      <x:c r="K286" s="17"/>
      <x:c r="L286" s="17" t="n">
        <x:f>$I$5</x:f>
        <x:v>40000</x:v>
      </x:c>
      <x:c r="M286" s="17"/>
      <x:c r="N286" s="19"/>
      <x:c r="O286" s="17" t="n">
        <x:f>IF(ISNUMBER(L286),G286*L286,IF(ISNUMBER(M286),M286,""))</x:f>
        <x:v>40000</x:v>
      </x:c>
      <x:c r="P286" s="17" t="n">
        <x:f>IF(ISNUMBER(K286),K286,IF(ISNUMBER(O286),O286,""))</x:f>
        <x:v>40000</x:v>
      </x:c>
      <x:c r="Q286" s="17" t="n">
        <x:f>IF(H286=0,0,IF(ISNUMBER(N286),N286,IF(N286="",IF(H286=F286,P286,""),"")))</x:f>
        <x:v>40000</x:v>
      </x:c>
      <x:c r="R286" s="17" t="n">
        <x:f>IF(ISNUMBER(Q286),ROUND(Q286*$C$4,2),"")</x:f>
        <x:v>7200</x:v>
      </x:c>
      <x:c r="S286" s="17" t="n">
        <x:f>IF(ISNUMBER(Q286),Q286+R286,"")</x:f>
        <x:v>47200</x:v>
      </x:c>
      <x:c r="T286" s="2" t="str">
        <x:f>IF(H286=0,"Not selected",IF(ISNUMBER(N286),"Quote entered",IF(N286&lt;&gt;"","Enter numeric quote",IF(H286=F286,IF(ISNUMBER(P286),"Complete unit","Price required"),"Partial package: price required"))))</x:f>
        <x:v>Complete unit</x:v>
      </x:c>
      <x:c r="U286" s="2" t="str">
        <x:v>TEN-08BAA6938F5C; TEN-0BC851D8E886; TEN-1BC985E184F6; TEN-2667DE31EFF0; TEN-342144404B2C; TEN-40A7E9ACB062; TEN-48EF6586AAC8; TEN-4E928BF5B45A; TEN-6BF6072410B7; TEN-6D11383E271F; TEN-7746C2BF988E; TEN-8147E6FED86D; TEN-9CC857B15A66; TEN-9E5953867F35; TEN-A38C2D7BFC42; TEN-A6C5ECD8B565; TEN-B91BF0E0084F; TEN-BB5FB69704FE; TEN-D158BE41DB87; TEN-D462DBD2DAB0; TEN-DC49949A782B; TEN-F43C7B93298A; TEN-F5DB59F358F0; TEN-F8F474A55BEF</x:v>
      </x:c>
      <x:c r="V286" s="2" t="str">
        <x:v>Professional services; Finance &amp; insurance; Engineering &amp; manufacturing; Education; Trade, consumer &amp; logistics; Unresolved</x:v>
      </x:c>
      <x:c r="W286" s="2" t="str">
        <x:v>Small-scale prospects; Medium-scale prospects; Large enterprise; Mixed business audience</x:v>
      </x:c>
      <x:c r="X286" s="17" t="n">
        <x:f>IF(AND(H286=F286,NOT(ISNUMBER(N286)),N286="",ISNUMBER(K286)),K286,0)</x:f>
        <x:v>0</x:v>
      </x:c>
      <x:c r="Y286" s="17" t="n">
        <x:f>IF(AND(H286=F286,NOT(ISNUMBER(N286)),N286="",K286="",ISNUMBER(O286)),O286,0)</x:f>
        <x:v>40000</x:v>
      </x:c>
      <x:c r="Z286" s="17" t="n">
        <x:f>IF(AND(H286&gt;0,ISNUMBER(N286)),N286,0)</x:f>
        <x:v>0</x:v>
      </x:c>
      <x:c r="AA286" s="2" t="n">
        <x:f>IF(AND(H286&gt;0,N286="",NOT(ISNUMBER(Q286))),1,0)</x:f>
        <x:v>0</x:v>
      </x:c>
      <x:c r="AB286" s="2" t="n">
        <x:f>IF(AND(H286&gt;0,N286&lt;&gt;"",NOT(ISNUMBER(N286))),1,0)</x:f>
        <x:v>0</x:v>
      </x:c>
    </x:row>
    <x:row r="287" ht="48" customHeight="1">
      <x:c r="A287" s="2" t="str">
        <x:v>MAIN-276</x:v>
      </x:c>
      <x:c r="B287" s="2" t="str">
        <x:v>Main</x:v>
      </x:c>
      <x:c r="C287" s="2" t="str">
        <x:v>Indore</x:v>
      </x:c>
      <x:c r="D287" s="12" t="str">
        <x:v>Satyaraj Complex</x:v>
      </x:c>
      <x:c r="E287" s="12" t="str">
        <x:v>43 inch LED TV</x:v>
      </x:c>
      <x:c r="F287" s="2" t="n">
        <x:v>1</x:v>
      </x:c>
      <x:c r="G287" s="2" t="n">
        <x:v>1</x:v>
      </x:c>
      <x:c r="H287" s="2" t="n">
        <x:f>COUNTIFS('Inventory'!$N$7:$N$783,A287,'Inventory'!$A$7:$A$783,1)</x:f>
        <x:v>1</x:v>
      </x:c>
      <x:c r="I287" s="2" t="n">
        <x:f>SUMIFS('Inventory'!$G$7:$G$783,'Inventory'!$N$7:$N$783,A287,'Inventory'!$A$7:$A$783,1)</x:f>
        <x:v>1</x:v>
      </x:c>
      <x:c r="J287" s="12" t="str">
        <x:v>Campaign format rate</x:v>
      </x:c>
      <x:c r="K287" s="17"/>
      <x:c r="L287" s="17" t="n">
        <x:f>$E$5</x:f>
        <x:v>20000</x:v>
      </x:c>
      <x:c r="M287" s="17"/>
      <x:c r="N287" s="19"/>
      <x:c r="O287" s="17" t="n">
        <x:f>IF(ISNUMBER(L287),G287*L287,IF(ISNUMBER(M287),M287,""))</x:f>
        <x:v>20000</x:v>
      </x:c>
      <x:c r="P287" s="17" t="n">
        <x:f>IF(ISNUMBER(K287),K287,IF(ISNUMBER(O287),O287,""))</x:f>
        <x:v>20000</x:v>
      </x:c>
      <x:c r="Q287" s="17" t="n">
        <x:f>IF(H287=0,0,IF(ISNUMBER(N287),N287,IF(N287="",IF(H287=F287,P287,""),"")))</x:f>
        <x:v>20000</x:v>
      </x:c>
      <x:c r="R287" s="17" t="n">
        <x:f>IF(ISNUMBER(Q287),ROUND(Q287*$C$4,2),"")</x:f>
        <x:v>3600</x:v>
      </x:c>
      <x:c r="S287" s="17" t="n">
        <x:f>IF(ISNUMBER(Q287),Q287+R287,"")</x:f>
        <x:v>23600</x:v>
      </x:c>
      <x:c r="T287" s="2" t="str">
        <x:f>IF(H287=0,"Not selected",IF(ISNUMBER(N287),"Quote entered",IF(N287&lt;&gt;"","Enter numeric quote",IF(H287=F287,IF(ISNUMBER(P287),"Complete unit","Price required"),"Partial package: price required"))))</x:f>
        <x:v>Complete unit</x:v>
      </x:c>
      <x:c r="U287" s="2" t="str">
        <x:v>TEN-2DA96B231E19; TEN-2E0B81FD4E43; TEN-4390DF4D2AFF; TEN-46F3D8FACEF4; TEN-65326AA32AB9; TEN-8F00E521A8BC</x:v>
      </x:c>
      <x:c r="V287" s="2" t="str">
        <x:v>Finance &amp; insurance; Healthcare &amp; life sciences; Trade, consumer &amp; logistics; Unresolved</x:v>
      </x:c>
      <x:c r="W287" s="2" t="str">
        <x:v>Large enterprise; Mixed business audience</x:v>
      </x:c>
      <x:c r="X287" s="17" t="n">
        <x:f>IF(AND(H287=F287,NOT(ISNUMBER(N287)),N287="",ISNUMBER(K287)),K287,0)</x:f>
        <x:v>0</x:v>
      </x:c>
      <x:c r="Y287" s="17" t="n">
        <x:f>IF(AND(H287=F287,NOT(ISNUMBER(N287)),N287="",K287="",ISNUMBER(O287)),O287,0)</x:f>
        <x:v>20000</x:v>
      </x:c>
      <x:c r="Z287" s="17" t="n">
        <x:f>IF(AND(H287&gt;0,ISNUMBER(N287)),N287,0)</x:f>
        <x:v>0</x:v>
      </x:c>
      <x:c r="AA287" s="2" t="n">
        <x:f>IF(AND(H287&gt;0,N287="",NOT(ISNUMBER(Q287))),1,0)</x:f>
        <x:v>0</x:v>
      </x:c>
      <x:c r="AB287" s="2" t="n">
        <x:f>IF(AND(H287&gt;0,N287&lt;&gt;"",NOT(ISNUMBER(N287))),1,0)</x:f>
        <x:v>0</x:v>
      </x:c>
    </x:row>
    <x:row r="288" ht="48" customHeight="1">
      <x:c r="A288" s="2" t="str">
        <x:v>MAIN-277</x:v>
      </x:c>
      <x:c r="B288" s="2" t="str">
        <x:v>Main</x:v>
      </x:c>
      <x:c r="C288" s="2" t="str">
        <x:v>Kochi</x:v>
      </x:c>
      <x:c r="D288" s="12" t="str">
        <x:v>Awfis - Mezmatrix</x:v>
      </x:c>
      <x:c r="E288" s="12" t="str">
        <x:v>32 inch LED TV</x:v>
      </x:c>
      <x:c r="F288" s="2" t="n">
        <x:v>1</x:v>
      </x:c>
      <x:c r="G288" s="2" t="n">
        <x:v>2</x:v>
      </x:c>
      <x:c r="H288" s="2" t="n">
        <x:f>COUNTIFS('Inventory'!$N$7:$N$783,A288,'Inventory'!$A$7:$A$783,1)</x:f>
        <x:v>1</x:v>
      </x:c>
      <x:c r="I288" s="2" t="n">
        <x:f>SUMIFS('Inventory'!$G$7:$G$783,'Inventory'!$N$7:$N$783,A288,'Inventory'!$A$7:$A$783,1)</x:f>
        <x:v>2</x:v>
      </x:c>
      <x:c r="J288" s="12" t="str">
        <x:v>Listed budget</x:v>
      </x:c>
      <x:c r="K288" s="17" t="n">
        <x:v>30000</x:v>
      </x:c>
      <x:c r="L288" s="17"/>
      <x:c r="M288" s="17"/>
      <x:c r="N288" s="19"/>
      <x:c r="O288" s="17" t="str">
        <x:f>IF(ISNUMBER(L288),G288*L288,IF(ISNUMBER(M288),M288,""))</x:f>
      </x:c>
      <x:c r="P288" s="17" t="n">
        <x:f>IF(ISNUMBER(K288),K288,IF(ISNUMBER(O288),O288,""))</x:f>
        <x:v>30000</x:v>
      </x:c>
      <x:c r="Q288" s="17" t="n">
        <x:f>IF(H288=0,0,IF(ISNUMBER(N288),N288,IF(N288="",IF(H288=F288,P288,""),"")))</x:f>
        <x:v>30000</x:v>
      </x:c>
      <x:c r="R288" s="17" t="n">
        <x:f>IF(ISNUMBER(Q288),ROUND(Q288*$C$4,2),"")</x:f>
        <x:v>5400</x:v>
      </x:c>
      <x:c r="S288" s="17" t="n">
        <x:f>IF(ISNUMBER(Q288),Q288+R288,"")</x:f>
        <x:v>35400</x:v>
      </x:c>
      <x:c r="T288" s="2" t="str">
        <x:f>IF(H288=0,"Not selected",IF(ISNUMBER(N288),"Quote entered",IF(N288&lt;&gt;"","Enter numeric quote",IF(H288=F288,IF(ISNUMBER(P288),"Complete unit","Price required"),"Partial package: price required"))))</x:f>
        <x:v>Complete unit</x:v>
      </x:c>
      <x:c r="U288" s="2" t="str">
        <x:v>TEN-119AAADEDD3A; TEN-1218A0632377; TEN-2C43A4D50743; TEN-31A2AFA67FE9; TEN-8743108309E5; TEN-D80C916AEFE7</x:v>
      </x:c>
      <x:c r="V288" s="2" t="str">
        <x:v>Professional services; Education; Trade, consumer &amp; logistics; Unresolved</x:v>
      </x:c>
      <x:c r="W288" s="2" t="str">
        <x:v>Small-scale prospects; Mixed business audience</x:v>
      </x:c>
      <x:c r="X288" s="17" t="n">
        <x:f>IF(AND(H288=F288,NOT(ISNUMBER(N288)),N288="",ISNUMBER(K288)),K288,0)</x:f>
        <x:v>30000</x:v>
      </x:c>
      <x:c r="Y288" s="17" t="n">
        <x:f>IF(AND(H288=F288,NOT(ISNUMBER(N288)),N288="",K288="",ISNUMBER(O288)),O288,0)</x:f>
        <x:v>0</x:v>
      </x:c>
      <x:c r="Z288" s="17" t="n">
        <x:f>IF(AND(H288&gt;0,ISNUMBER(N288)),N288,0)</x:f>
        <x:v>0</x:v>
      </x:c>
      <x:c r="AA288" s="2" t="n">
        <x:f>IF(AND(H288&gt;0,N288="",NOT(ISNUMBER(Q288))),1,0)</x:f>
        <x:v>0</x:v>
      </x:c>
      <x:c r="AB288" s="2" t="n">
        <x:f>IF(AND(H288&gt;0,N288&lt;&gt;"",NOT(ISNUMBER(N288))),1,0)</x:f>
        <x:v>0</x:v>
      </x:c>
    </x:row>
    <x:row r="289" ht="48" customHeight="1">
      <x:c r="A289" s="2" t="str">
        <x:v>MAIN-278</x:v>
      </x:c>
      <x:c r="B289" s="2" t="str">
        <x:v>Main</x:v>
      </x:c>
      <x:c r="C289" s="2" t="str">
        <x:v>Kolkata</x:v>
      </x:c>
      <x:c r="D289" s="12" t="str">
        <x:v>Awfis - Acropolis Mall</x:v>
      </x:c>
      <x:c r="E289" s="12" t="str">
        <x:v>32 inch LED TV</x:v>
      </x:c>
      <x:c r="F289" s="2" t="n">
        <x:v>1</x:v>
      </x:c>
      <x:c r="G289" s="2" t="n">
        <x:v>1</x:v>
      </x:c>
      <x:c r="H289" s="2" t="n">
        <x:f>COUNTIFS('Inventory'!$N$7:$N$783,A289,'Inventory'!$A$7:$A$783,1)</x:f>
        <x:v>1</x:v>
      </x:c>
      <x:c r="I289" s="2" t="n">
        <x:f>SUMIFS('Inventory'!$G$7:$G$783,'Inventory'!$N$7:$N$783,A289,'Inventory'!$A$7:$A$783,1)</x:f>
        <x:v>1</x:v>
      </x:c>
      <x:c r="J289" s="12" t="str">
        <x:v>Listed budget</x:v>
      </x:c>
      <x:c r="K289" s="17" t="n">
        <x:v>15000</x:v>
      </x:c>
      <x:c r="L289" s="17"/>
      <x:c r="M289" s="17"/>
      <x:c r="N289" s="19"/>
      <x:c r="O289" s="17" t="str">
        <x:f>IF(ISNUMBER(L289),G289*L289,IF(ISNUMBER(M289),M289,""))</x:f>
      </x:c>
      <x:c r="P289" s="17" t="n">
        <x:f>IF(ISNUMBER(K289),K289,IF(ISNUMBER(O289),O289,""))</x:f>
        <x:v>15000</x:v>
      </x:c>
      <x:c r="Q289" s="17" t="n">
        <x:f>IF(H289=0,0,IF(ISNUMBER(N289),N289,IF(N289="",IF(H289=F289,P289,""),"")))</x:f>
        <x:v>15000</x:v>
      </x:c>
      <x:c r="R289" s="17" t="n">
        <x:f>IF(ISNUMBER(Q289),ROUND(Q289*$C$4,2),"")</x:f>
        <x:v>2700</x:v>
      </x:c>
      <x:c r="S289" s="17" t="n">
        <x:f>IF(ISNUMBER(Q289),Q289+R289,"")</x:f>
        <x:v>17700</x:v>
      </x:c>
      <x:c r="T289" s="2" t="str">
        <x:f>IF(H289=0,"Not selected",IF(ISNUMBER(N289),"Quote entered",IF(N289&lt;&gt;"","Enter numeric quote",IF(H289=F289,IF(ISNUMBER(P289),"Complete unit","Price required"),"Partial package: price required"))))</x:f>
        <x:v>Complete unit</x:v>
      </x:c>
      <x:c r="U289" s="2" t="str">
        <x:v>TEN-43C2D8676CC0; TEN-AFF6767D0CEC; TEN-D56060015633</x:v>
      </x:c>
      <x:c r="V289" s="2" t="str">
        <x:v>IT &amp; digital; Trade, consumer &amp; logistics; Unresolved</x:v>
      </x:c>
      <x:c r="W289" s="2" t="str">
        <x:v>Small-scale prospects; Mixed business audience</x:v>
      </x:c>
      <x:c r="X289" s="17" t="n">
        <x:f>IF(AND(H289=F289,NOT(ISNUMBER(N289)),N289="",ISNUMBER(K289)),K289,0)</x:f>
        <x:v>15000</x:v>
      </x:c>
      <x:c r="Y289" s="17" t="n">
        <x:f>IF(AND(H289=F289,NOT(ISNUMBER(N289)),N289="",K289="",ISNUMBER(O289)),O289,0)</x:f>
        <x:v>0</x:v>
      </x:c>
      <x:c r="Z289" s="17" t="n">
        <x:f>IF(AND(H289&gt;0,ISNUMBER(N289)),N289,0)</x:f>
        <x:v>0</x:v>
      </x:c>
      <x:c r="AA289" s="2" t="n">
        <x:f>IF(AND(H289&gt;0,N289="",NOT(ISNUMBER(Q289))),1,0)</x:f>
        <x:v>0</x:v>
      </x:c>
      <x:c r="AB289" s="2" t="n">
        <x:f>IF(AND(H289&gt;0,N289&lt;&gt;"",NOT(ISNUMBER(N289))),1,0)</x:f>
        <x:v>0</x:v>
      </x:c>
    </x:row>
    <x:row r="290" ht="48" customHeight="1">
      <x:c r="A290" s="2" t="str">
        <x:v>MAIN-279</x:v>
      </x:c>
      <x:c r="B290" s="2" t="str">
        <x:v>Main</x:v>
      </x:c>
      <x:c r="C290" s="2" t="str">
        <x:v>Kolkata</x:v>
      </x:c>
      <x:c r="D290" s="12" t="str">
        <x:v>Awfis - Delta Towers</x:v>
      </x:c>
      <x:c r="E290" s="12" t="str">
        <x:v>32 inch LED TV</x:v>
      </x:c>
      <x:c r="F290" s="2" t="n">
        <x:v>1</x:v>
      </x:c>
      <x:c r="G290" s="2" t="n">
        <x:v>3</x:v>
      </x:c>
      <x:c r="H290" s="2" t="n">
        <x:f>COUNTIFS('Inventory'!$N$7:$N$783,A290,'Inventory'!$A$7:$A$783,1)</x:f>
        <x:v>1</x:v>
      </x:c>
      <x:c r="I290" s="2" t="n">
        <x:f>SUMIFS('Inventory'!$G$7:$G$783,'Inventory'!$N$7:$N$783,A290,'Inventory'!$A$7:$A$783,1)</x:f>
        <x:v>3</x:v>
      </x:c>
      <x:c r="J290" s="12" t="str">
        <x:v>Listed budget</x:v>
      </x:c>
      <x:c r="K290" s="17" t="n">
        <x:v>45000</x:v>
      </x:c>
      <x:c r="L290" s="17"/>
      <x:c r="M290" s="17"/>
      <x:c r="N290" s="19"/>
      <x:c r="O290" s="17" t="str">
        <x:f>IF(ISNUMBER(L290),G290*L290,IF(ISNUMBER(M290),M290,""))</x:f>
      </x:c>
      <x:c r="P290" s="17" t="n">
        <x:f>IF(ISNUMBER(K290),K290,IF(ISNUMBER(O290),O290,""))</x:f>
        <x:v>45000</x:v>
      </x:c>
      <x:c r="Q290" s="17" t="n">
        <x:f>IF(H290=0,0,IF(ISNUMBER(N290),N290,IF(N290="",IF(H290=F290,P290,""),"")))</x:f>
        <x:v>45000</x:v>
      </x:c>
      <x:c r="R290" s="17" t="n">
        <x:f>IF(ISNUMBER(Q290),ROUND(Q290*$C$4,2),"")</x:f>
        <x:v>8100</x:v>
      </x:c>
      <x:c r="S290" s="17" t="n">
        <x:f>IF(ISNUMBER(Q290),Q290+R290,"")</x:f>
        <x:v>53100</x:v>
      </x:c>
      <x:c r="T290" s="2" t="str">
        <x:f>IF(H290=0,"Not selected",IF(ISNUMBER(N290),"Quote entered",IF(N290&lt;&gt;"","Enter numeric quote",IF(H290=F290,IF(ISNUMBER(P290),"Complete unit","Price required"),"Partial package: price required"))))</x:f>
        <x:v>Complete unit</x:v>
      </x:c>
      <x:c r="U290" s="2" t="str">
        <x:v>TEN-B46907E2D3AD</x:v>
      </x:c>
      <x:c r="V290" s="2" t="str">
        <x:v>Engineering &amp; manufacturing</x:v>
      </x:c>
      <x:c r="W290" s="2" t="str">
        <x:v>Medium-scale prospects</x:v>
      </x:c>
      <x:c r="X290" s="17" t="n">
        <x:f>IF(AND(H290=F290,NOT(ISNUMBER(N290)),N290="",ISNUMBER(K290)),K290,0)</x:f>
        <x:v>45000</x:v>
      </x:c>
      <x:c r="Y290" s="17" t="n">
        <x:f>IF(AND(H290=F290,NOT(ISNUMBER(N290)),N290="",K290="",ISNUMBER(O290)),O290,0)</x:f>
        <x:v>0</x:v>
      </x:c>
      <x:c r="Z290" s="17" t="n">
        <x:f>IF(AND(H290&gt;0,ISNUMBER(N290)),N290,0)</x:f>
        <x:v>0</x:v>
      </x:c>
      <x:c r="AA290" s="2" t="n">
        <x:f>IF(AND(H290&gt;0,N290="",NOT(ISNUMBER(Q290))),1,0)</x:f>
        <x:v>0</x:v>
      </x:c>
      <x:c r="AB290" s="2" t="n">
        <x:f>IF(AND(H290&gt;0,N290&lt;&gt;"",NOT(ISNUMBER(N290))),1,0)</x:f>
        <x:v>0</x:v>
      </x:c>
    </x:row>
    <x:row r="291" ht="48" customHeight="1">
      <x:c r="A291" s="2" t="str">
        <x:v>MAIN-280</x:v>
      </x:c>
      <x:c r="B291" s="2" t="str">
        <x:v>Main</x:v>
      </x:c>
      <x:c r="C291" s="2" t="str">
        <x:v>Kolkata</x:v>
      </x:c>
      <x:c r="D291" s="12" t="str">
        <x:v>Awfis - Eco Center</x:v>
      </x:c>
      <x:c r="E291" s="12" t="str">
        <x:v>32 inch LED TV</x:v>
      </x:c>
      <x:c r="F291" s="2" t="n">
        <x:v>1</x:v>
      </x:c>
      <x:c r="G291" s="2" t="n">
        <x:v>2</x:v>
      </x:c>
      <x:c r="H291" s="2" t="n">
        <x:f>COUNTIFS('Inventory'!$N$7:$N$783,A291,'Inventory'!$A$7:$A$783,1)</x:f>
        <x:v>1</x:v>
      </x:c>
      <x:c r="I291" s="2" t="n">
        <x:f>SUMIFS('Inventory'!$G$7:$G$783,'Inventory'!$N$7:$N$783,A291,'Inventory'!$A$7:$A$783,1)</x:f>
        <x:v>2</x:v>
      </x:c>
      <x:c r="J291" s="12" t="str">
        <x:v>Listed budget</x:v>
      </x:c>
      <x:c r="K291" s="17" t="n">
        <x:v>30000</x:v>
      </x:c>
      <x:c r="L291" s="17"/>
      <x:c r="M291" s="17"/>
      <x:c r="N291" s="19"/>
      <x:c r="O291" s="17" t="str">
        <x:f>IF(ISNUMBER(L291),G291*L291,IF(ISNUMBER(M291),M291,""))</x:f>
      </x:c>
      <x:c r="P291" s="17" t="n">
        <x:f>IF(ISNUMBER(K291),K291,IF(ISNUMBER(O291),O291,""))</x:f>
        <x:v>30000</x:v>
      </x:c>
      <x:c r="Q291" s="17" t="n">
        <x:f>IF(H291=0,0,IF(ISNUMBER(N291),N291,IF(N291="",IF(H291=F291,P291,""),"")))</x:f>
        <x:v>30000</x:v>
      </x:c>
      <x:c r="R291" s="17" t="n">
        <x:f>IF(ISNUMBER(Q291),ROUND(Q291*$C$4,2),"")</x:f>
        <x:v>5400</x:v>
      </x:c>
      <x:c r="S291" s="17" t="n">
        <x:f>IF(ISNUMBER(Q291),Q291+R291,"")</x:f>
        <x:v>35400</x:v>
      </x:c>
      <x:c r="T291" s="2" t="str">
        <x:f>IF(H291=0,"Not selected",IF(ISNUMBER(N291),"Quote entered",IF(N291&lt;&gt;"","Enter numeric quote",IF(H291=F291,IF(ISNUMBER(P291),"Complete unit","Price required"),"Partial package: price required"))))</x:f>
        <x:v>Complete unit</x:v>
      </x:c>
      <x:c r="U291" s="2" t="str">
        <x:v>TEN-1401F867297B; TEN-40F1C7433997; TEN-670A277FECF1; TEN-6B8E94322C2D; TEN-6BFBAAC71E1C; TEN-A546690B1C8E; TEN-C70D08EBFA9A; TEN-D61C2F8C1A58</x:v>
      </x:c>
      <x:c r="V291" s="2" t="str">
        <x:v>IT &amp; digital; Professional services; Trade, consumer &amp; logistics; Unresolved</x:v>
      </x:c>
      <x:c r="W291" s="2" t="str">
        <x:v>Small-scale prospects; Medium-scale prospects; Mixed business audience</x:v>
      </x:c>
      <x:c r="X291" s="17" t="n">
        <x:f>IF(AND(H291=F291,NOT(ISNUMBER(N291)),N291="",ISNUMBER(K291)),K291,0)</x:f>
        <x:v>30000</x:v>
      </x:c>
      <x:c r="Y291" s="17" t="n">
        <x:f>IF(AND(H291=F291,NOT(ISNUMBER(N291)),N291="",K291="",ISNUMBER(O291)),O291,0)</x:f>
        <x:v>0</x:v>
      </x:c>
      <x:c r="Z291" s="17" t="n">
        <x:f>IF(AND(H291&gt;0,ISNUMBER(N291)),N291,0)</x:f>
        <x:v>0</x:v>
      </x:c>
      <x:c r="AA291" s="2" t="n">
        <x:f>IF(AND(H291&gt;0,N291="",NOT(ISNUMBER(Q291))),1,0)</x:f>
        <x:v>0</x:v>
      </x:c>
      <x:c r="AB291" s="2" t="n">
        <x:f>IF(AND(H291&gt;0,N291&lt;&gt;"",NOT(ISNUMBER(N291))),1,0)</x:f>
        <x:v>0</x:v>
      </x:c>
    </x:row>
    <x:row r="292" ht="48" customHeight="1">
      <x:c r="A292" s="2" t="str">
        <x:v>MAIN-281</x:v>
      </x:c>
      <x:c r="B292" s="2" t="str">
        <x:v>Main</x:v>
      </x:c>
      <x:c r="C292" s="2" t="str">
        <x:v>Kolkata</x:v>
      </x:c>
      <x:c r="D292" s="12" t="str">
        <x:v>Awfis - Ecospace Business Park</x:v>
      </x:c>
      <x:c r="E292" s="12" t="str">
        <x:v>32 inch LED TV</x:v>
      </x:c>
      <x:c r="F292" s="2" t="n">
        <x:v>1</x:v>
      </x:c>
      <x:c r="G292" s="2" t="n">
        <x:v>1</x:v>
      </x:c>
      <x:c r="H292" s="2" t="n">
        <x:f>COUNTIFS('Inventory'!$N$7:$N$783,A292,'Inventory'!$A$7:$A$783,1)</x:f>
        <x:v>1</x:v>
      </x:c>
      <x:c r="I292" s="2" t="n">
        <x:f>SUMIFS('Inventory'!$G$7:$G$783,'Inventory'!$N$7:$N$783,A292,'Inventory'!$A$7:$A$783,1)</x:f>
        <x:v>1</x:v>
      </x:c>
      <x:c r="J292" s="12" t="str">
        <x:v>Listed budget</x:v>
      </x:c>
      <x:c r="K292" s="17" t="n">
        <x:v>15000</x:v>
      </x:c>
      <x:c r="L292" s="17"/>
      <x:c r="M292" s="17"/>
      <x:c r="N292" s="19"/>
      <x:c r="O292" s="17" t="str">
        <x:f>IF(ISNUMBER(L292),G292*L292,IF(ISNUMBER(M292),M292,""))</x:f>
      </x:c>
      <x:c r="P292" s="17" t="n">
        <x:f>IF(ISNUMBER(K292),K292,IF(ISNUMBER(O292),O292,""))</x:f>
        <x:v>15000</x:v>
      </x:c>
      <x:c r="Q292" s="17" t="n">
        <x:f>IF(H292=0,0,IF(ISNUMBER(N292),N292,IF(N292="",IF(H292=F292,P292,""),"")))</x:f>
        <x:v>15000</x:v>
      </x:c>
      <x:c r="R292" s="17" t="n">
        <x:f>IF(ISNUMBER(Q292),ROUND(Q292*$C$4,2),"")</x:f>
        <x:v>2700</x:v>
      </x:c>
      <x:c r="S292" s="17" t="n">
        <x:f>IF(ISNUMBER(Q292),Q292+R292,"")</x:f>
        <x:v>17700</x:v>
      </x:c>
      <x:c r="T292" s="2" t="str">
        <x:f>IF(H292=0,"Not selected",IF(ISNUMBER(N292),"Quote entered",IF(N292&lt;&gt;"","Enter numeric quote",IF(H292=F292,IF(ISNUMBER(P292),"Complete unit","Price required"),"Partial package: price required"))))</x:f>
        <x:v>Complete unit</x:v>
      </x:c>
      <x:c r="U292" s="2" t="str">
        <x:v>TEN-0D4FF0BF40A4; TEN-18D2D996398B; TEN-5FA790F3630F; TEN-A3F403EC4923; TEN-C639481B6C24</x:v>
      </x:c>
      <x:c r="V292" s="2" t="str">
        <x:v>IT &amp; digital; Finance &amp; insurance; Engineering &amp; manufacturing; Trade, consumer &amp; logistics</x:v>
      </x:c>
      <x:c r="W292" s="2" t="str">
        <x:v>Small-scale prospects; Large enterprise; Mixed business audience</x:v>
      </x:c>
      <x:c r="X292" s="17" t="n">
        <x:f>IF(AND(H292=F292,NOT(ISNUMBER(N292)),N292="",ISNUMBER(K292)),K292,0)</x:f>
        <x:v>15000</x:v>
      </x:c>
      <x:c r="Y292" s="17" t="n">
        <x:f>IF(AND(H292=F292,NOT(ISNUMBER(N292)),N292="",K292="",ISNUMBER(O292)),O292,0)</x:f>
        <x:v>0</x:v>
      </x:c>
      <x:c r="Z292" s="17" t="n">
        <x:f>IF(AND(H292&gt;0,ISNUMBER(N292)),N292,0)</x:f>
        <x:v>0</x:v>
      </x:c>
      <x:c r="AA292" s="2" t="n">
        <x:f>IF(AND(H292&gt;0,N292="",NOT(ISNUMBER(Q292))),1,0)</x:f>
        <x:v>0</x:v>
      </x:c>
      <x:c r="AB292" s="2" t="n">
        <x:f>IF(AND(H292&gt;0,N292&lt;&gt;"",NOT(ISNUMBER(N292))),1,0)</x:f>
        <x:v>0</x:v>
      </x:c>
    </x:row>
    <x:row r="293" ht="48" customHeight="1">
      <x:c r="A293" s="2" t="str">
        <x:v>MAIN-282</x:v>
      </x:c>
      <x:c r="B293" s="2" t="str">
        <x:v>Main</x:v>
      </x:c>
      <x:c r="C293" s="2" t="str">
        <x:v>Kolkata</x:v>
      </x:c>
      <x:c r="D293" s="12" t="str">
        <x:v>Awfis - Ecospace Business Park 2</x:v>
      </x:c>
      <x:c r="E293" s="12" t="str">
        <x:v>32 inch LED TV</x:v>
      </x:c>
      <x:c r="F293" s="2" t="n">
        <x:v>1</x:v>
      </x:c>
      <x:c r="G293" s="2" t="n">
        <x:v>2</x:v>
      </x:c>
      <x:c r="H293" s="2" t="n">
        <x:f>COUNTIFS('Inventory'!$N$7:$N$783,A293,'Inventory'!$A$7:$A$783,1)</x:f>
        <x:v>1</x:v>
      </x:c>
      <x:c r="I293" s="2" t="n">
        <x:f>SUMIFS('Inventory'!$G$7:$G$783,'Inventory'!$N$7:$N$783,A293,'Inventory'!$A$7:$A$783,1)</x:f>
        <x:v>2</x:v>
      </x:c>
      <x:c r="J293" s="12" t="str">
        <x:v>Listed budget</x:v>
      </x:c>
      <x:c r="K293" s="17" t="n">
        <x:v>30000</x:v>
      </x:c>
      <x:c r="L293" s="17"/>
      <x:c r="M293" s="17"/>
      <x:c r="N293" s="19"/>
      <x:c r="O293" s="17" t="str">
        <x:f>IF(ISNUMBER(L293),G293*L293,IF(ISNUMBER(M293),M293,""))</x:f>
      </x:c>
      <x:c r="P293" s="17" t="n">
        <x:f>IF(ISNUMBER(K293),K293,IF(ISNUMBER(O293),O293,""))</x:f>
        <x:v>30000</x:v>
      </x:c>
      <x:c r="Q293" s="17" t="n">
        <x:f>IF(H293=0,0,IF(ISNUMBER(N293),N293,IF(N293="",IF(H293=F293,P293,""),"")))</x:f>
        <x:v>30000</x:v>
      </x:c>
      <x:c r="R293" s="17" t="n">
        <x:f>IF(ISNUMBER(Q293),ROUND(Q293*$C$4,2),"")</x:f>
        <x:v>5400</x:v>
      </x:c>
      <x:c r="S293" s="17" t="n">
        <x:f>IF(ISNUMBER(Q293),Q293+R293,"")</x:f>
        <x:v>35400</x:v>
      </x:c>
      <x:c r="T293" s="2" t="str">
        <x:f>IF(H293=0,"Not selected",IF(ISNUMBER(N293),"Quote entered",IF(N293&lt;&gt;"","Enter numeric quote",IF(H293=F293,IF(ISNUMBER(P293),"Complete unit","Price required"),"Partial package: price required"))))</x:f>
        <x:v>Complete unit</x:v>
      </x:c>
      <x:c r="U293" s="2" t="str">
        <x:v>TEN-1E76D28260D9; TEN-4CC8C2DA7EF5; TEN-54576A5562BF; TEN-7AC726F69096; TEN-8BFE9C212422; TEN-92CBFF4101A3; TEN-C77D619554DC</x:v>
      </x:c>
      <x:c r="V293" s="2" t="str">
        <x:v>Healthcare &amp; life sciences; Trade, consumer &amp; logistics; Unresolved</x:v>
      </x:c>
      <x:c r="W293" s="2" t="str">
        <x:v>Small-scale prospects; Mixed business audience</x:v>
      </x:c>
      <x:c r="X293" s="17" t="n">
        <x:f>IF(AND(H293=F293,NOT(ISNUMBER(N293)),N293="",ISNUMBER(K293)),K293,0)</x:f>
        <x:v>30000</x:v>
      </x:c>
      <x:c r="Y293" s="17" t="n">
        <x:f>IF(AND(H293=F293,NOT(ISNUMBER(N293)),N293="",K293="",ISNUMBER(O293)),O293,0)</x:f>
        <x:v>0</x:v>
      </x:c>
      <x:c r="Z293" s="17" t="n">
        <x:f>IF(AND(H293&gt;0,ISNUMBER(N293)),N293,0)</x:f>
        <x:v>0</x:v>
      </x:c>
      <x:c r="AA293" s="2" t="n">
        <x:f>IF(AND(H293&gt;0,N293="",NOT(ISNUMBER(Q293))),1,0)</x:f>
        <x:v>0</x:v>
      </x:c>
      <x:c r="AB293" s="2" t="n">
        <x:f>IF(AND(H293&gt;0,N293&lt;&gt;"",NOT(ISNUMBER(N293))),1,0)</x:f>
        <x:v>0</x:v>
      </x:c>
    </x:row>
    <x:row r="294" ht="48" customHeight="1">
      <x:c r="A294" s="2" t="str">
        <x:v>MAIN-283</x:v>
      </x:c>
      <x:c r="B294" s="2" t="str">
        <x:v>Main</x:v>
      </x:c>
      <x:c r="C294" s="2" t="str">
        <x:v>Kolkata</x:v>
      </x:c>
      <x:c r="D294" s="12" t="str">
        <x:v>Awfis - Siddha Esplanade</x:v>
      </x:c>
      <x:c r="E294" s="12" t="str">
        <x:v>32 inch LED TV</x:v>
      </x:c>
      <x:c r="F294" s="2" t="n">
        <x:v>1</x:v>
      </x:c>
      <x:c r="G294" s="2" t="n">
        <x:v>2</x:v>
      </x:c>
      <x:c r="H294" s="2" t="n">
        <x:f>COUNTIFS('Inventory'!$N$7:$N$783,A294,'Inventory'!$A$7:$A$783,1)</x:f>
        <x:v>1</x:v>
      </x:c>
      <x:c r="I294" s="2" t="n">
        <x:f>SUMIFS('Inventory'!$G$7:$G$783,'Inventory'!$N$7:$N$783,A294,'Inventory'!$A$7:$A$783,1)</x:f>
        <x:v>2</x:v>
      </x:c>
      <x:c r="J294" s="12" t="str">
        <x:v>Listed budget</x:v>
      </x:c>
      <x:c r="K294" s="17" t="n">
        <x:v>30000</x:v>
      </x:c>
      <x:c r="L294" s="17"/>
      <x:c r="M294" s="17"/>
      <x:c r="N294" s="19"/>
      <x:c r="O294" s="17" t="str">
        <x:f>IF(ISNUMBER(L294),G294*L294,IF(ISNUMBER(M294),M294,""))</x:f>
      </x:c>
      <x:c r="P294" s="17" t="n">
        <x:f>IF(ISNUMBER(K294),K294,IF(ISNUMBER(O294),O294,""))</x:f>
        <x:v>30000</x:v>
      </x:c>
      <x:c r="Q294" s="17" t="n">
        <x:f>IF(H294=0,0,IF(ISNUMBER(N294),N294,IF(N294="",IF(H294=F294,P294,""),"")))</x:f>
        <x:v>30000</x:v>
      </x:c>
      <x:c r="R294" s="17" t="n">
        <x:f>IF(ISNUMBER(Q294),ROUND(Q294*$C$4,2),"")</x:f>
        <x:v>5400</x:v>
      </x:c>
      <x:c r="S294" s="17" t="n">
        <x:f>IF(ISNUMBER(Q294),Q294+R294,"")</x:f>
        <x:v>35400</x:v>
      </x:c>
      <x:c r="T294" s="2" t="str">
        <x:f>IF(H294=0,"Not selected",IF(ISNUMBER(N294),"Quote entered",IF(N294&lt;&gt;"","Enter numeric quote",IF(H294=F294,IF(ISNUMBER(P294),"Complete unit","Price required"),"Partial package: price required"))))</x:f>
        <x:v>Complete unit</x:v>
      </x:c>
      <x:c r="U294" s="2" t="str">
        <x:v>TEN-2E0773AD6B19; TEN-68BAD0BF4A37; TEN-F6941EA19143</x:v>
      </x:c>
      <x:c r="V294" s="2" t="str">
        <x:v>IT &amp; digital; Finance &amp; insurance</x:v>
      </x:c>
      <x:c r="W294" s="2" t="str">
        <x:v>Medium-scale prospects; Large enterprise; Mixed business audience</x:v>
      </x:c>
      <x:c r="X294" s="17" t="n">
        <x:f>IF(AND(H294=F294,NOT(ISNUMBER(N294)),N294="",ISNUMBER(K294)),K294,0)</x:f>
        <x:v>30000</x:v>
      </x:c>
      <x:c r="Y294" s="17" t="n">
        <x:f>IF(AND(H294=F294,NOT(ISNUMBER(N294)),N294="",K294="",ISNUMBER(O294)),O294,0)</x:f>
        <x:v>0</x:v>
      </x:c>
      <x:c r="Z294" s="17" t="n">
        <x:f>IF(AND(H294&gt;0,ISNUMBER(N294)),N294,0)</x:f>
        <x:v>0</x:v>
      </x:c>
      <x:c r="AA294" s="2" t="n">
        <x:f>IF(AND(H294&gt;0,N294="",NOT(ISNUMBER(Q294))),1,0)</x:f>
        <x:v>0</x:v>
      </x:c>
      <x:c r="AB294" s="2" t="n">
        <x:f>IF(AND(H294&gt;0,N294&lt;&gt;"",NOT(ISNUMBER(N294))),1,0)</x:f>
        <x:v>0</x:v>
      </x:c>
    </x:row>
    <x:row r="295" ht="48" customHeight="1">
      <x:c r="A295" s="2" t="str">
        <x:v>MAIN-284</x:v>
      </x:c>
      <x:c r="B295" s="2" t="str">
        <x:v>Main</x:v>
      </x:c>
      <x:c r="C295" s="2" t="str">
        <x:v>Kolkata</x:v>
      </x:c>
      <x:c r="D295" s="12" t="str">
        <x:v>Awfis - Technopolis</x:v>
      </x:c>
      <x:c r="E295" s="12" t="str">
        <x:v>32 inch LED TV</x:v>
      </x:c>
      <x:c r="F295" s="2" t="n">
        <x:v>1</x:v>
      </x:c>
      <x:c r="G295" s="2" t="n">
        <x:v>2</x:v>
      </x:c>
      <x:c r="H295" s="2" t="n">
        <x:f>COUNTIFS('Inventory'!$N$7:$N$783,A295,'Inventory'!$A$7:$A$783,1)</x:f>
        <x:v>1</x:v>
      </x:c>
      <x:c r="I295" s="2" t="n">
        <x:f>SUMIFS('Inventory'!$G$7:$G$783,'Inventory'!$N$7:$N$783,A295,'Inventory'!$A$7:$A$783,1)</x:f>
        <x:v>2</x:v>
      </x:c>
      <x:c r="J295" s="12" t="str">
        <x:v>Listed budget</x:v>
      </x:c>
      <x:c r="K295" s="17" t="n">
        <x:v>30000</x:v>
      </x:c>
      <x:c r="L295" s="17"/>
      <x:c r="M295" s="17"/>
      <x:c r="N295" s="19"/>
      <x:c r="O295" s="17" t="str">
        <x:f>IF(ISNUMBER(L295),G295*L295,IF(ISNUMBER(M295),M295,""))</x:f>
      </x:c>
      <x:c r="P295" s="17" t="n">
        <x:f>IF(ISNUMBER(K295),K295,IF(ISNUMBER(O295),O295,""))</x:f>
        <x:v>30000</x:v>
      </x:c>
      <x:c r="Q295" s="17" t="n">
        <x:f>IF(H295=0,0,IF(ISNUMBER(N295),N295,IF(N295="",IF(H295=F295,P295,""),"")))</x:f>
        <x:v>30000</x:v>
      </x:c>
      <x:c r="R295" s="17" t="n">
        <x:f>IF(ISNUMBER(Q295),ROUND(Q295*$C$4,2),"")</x:f>
        <x:v>5400</x:v>
      </x:c>
      <x:c r="S295" s="17" t="n">
        <x:f>IF(ISNUMBER(Q295),Q295+R295,"")</x:f>
        <x:v>35400</x:v>
      </x:c>
      <x:c r="T295" s="2" t="str">
        <x:f>IF(H295=0,"Not selected",IF(ISNUMBER(N295),"Quote entered",IF(N295&lt;&gt;"","Enter numeric quote",IF(H295=F295,IF(ISNUMBER(P295),"Complete unit","Price required"),"Partial package: price required"))))</x:f>
        <x:v>Complete unit</x:v>
      </x:c>
      <x:c r="U295" s="2" t="str">
        <x:v>TEN-17840323EA59; TEN-2C404B75B9D4; TEN-2CB3DF79B99F; TEN-3E18C4D2C923; TEN-9D1FA6A70A5F; TEN-BC236A8ABD26; TEN-C8FB87999BD0; TEN-EEFE8E76853C; TEN-F54AB844242B; TEN-F7E439011DF5; TEN-F8CC5DBFE162</x:v>
      </x:c>
      <x:c r="V295" s="2" t="str">
        <x:v>IT &amp; digital; Engineering &amp; manufacturing; Unresolved</x:v>
      </x:c>
      <x:c r="W295" s="2" t="str">
        <x:v>Medium-scale prospects; Mixed business audience</x:v>
      </x:c>
      <x:c r="X295" s="17" t="n">
        <x:f>IF(AND(H295=F295,NOT(ISNUMBER(N295)),N295="",ISNUMBER(K295)),K295,0)</x:f>
        <x:v>30000</x:v>
      </x:c>
      <x:c r="Y295" s="17" t="n">
        <x:f>IF(AND(H295=F295,NOT(ISNUMBER(N295)),N295="",K295="",ISNUMBER(O295)),O295,0)</x:f>
        <x:v>0</x:v>
      </x:c>
      <x:c r="Z295" s="17" t="n">
        <x:f>IF(AND(H295&gt;0,ISNUMBER(N295)),N295,0)</x:f>
        <x:v>0</x:v>
      </x:c>
      <x:c r="AA295" s="2" t="n">
        <x:f>IF(AND(H295&gt;0,N295="",NOT(ISNUMBER(Q295))),1,0)</x:f>
        <x:v>0</x:v>
      </x:c>
      <x:c r="AB295" s="2" t="n">
        <x:f>IF(AND(H295&gt;0,N295&lt;&gt;"",NOT(ISNUMBER(N295))),1,0)</x:f>
        <x:v>0</x:v>
      </x:c>
    </x:row>
    <x:row r="296" ht="48" customHeight="1">
      <x:c r="A296" s="2" t="str">
        <x:v>MAIN-285</x:v>
      </x:c>
      <x:c r="B296" s="2" t="str">
        <x:v>Main</x:v>
      </x:c>
      <x:c r="C296" s="2" t="str">
        <x:v>Kolkata</x:v>
      </x:c>
      <x:c r="D296" s="12" t="str">
        <x:v>Awfis - Technopolis</x:v>
      </x:c>
      <x:c r="E296" s="12" t="str">
        <x:v>32 inch LED TV</x:v>
      </x:c>
      <x:c r="F296" s="2" t="n">
        <x:v>1</x:v>
      </x:c>
      <x:c r="G296" s="2" t="n">
        <x:v>1</x:v>
      </x:c>
      <x:c r="H296" s="2" t="n">
        <x:f>COUNTIFS('Inventory'!$N$7:$N$783,A296,'Inventory'!$A$7:$A$783,1)</x:f>
        <x:v>1</x:v>
      </x:c>
      <x:c r="I296" s="2" t="n">
        <x:f>SUMIFS('Inventory'!$G$7:$G$783,'Inventory'!$N$7:$N$783,A296,'Inventory'!$A$7:$A$783,1)</x:f>
        <x:v>1</x:v>
      </x:c>
      <x:c r="J296" s="12" t="str">
        <x:v>Listed budget</x:v>
      </x:c>
      <x:c r="K296" s="17" t="n">
        <x:v>15000</x:v>
      </x:c>
      <x:c r="L296" s="17"/>
      <x:c r="M296" s="17"/>
      <x:c r="N296" s="19"/>
      <x:c r="O296" s="17" t="str">
        <x:f>IF(ISNUMBER(L296),G296*L296,IF(ISNUMBER(M296),M296,""))</x:f>
      </x:c>
      <x:c r="P296" s="17" t="n">
        <x:f>IF(ISNUMBER(K296),K296,IF(ISNUMBER(O296),O296,""))</x:f>
        <x:v>15000</x:v>
      </x:c>
      <x:c r="Q296" s="17" t="n">
        <x:f>IF(H296=0,0,IF(ISNUMBER(N296),N296,IF(N296="",IF(H296=F296,P296,""),"")))</x:f>
        <x:v>15000</x:v>
      </x:c>
      <x:c r="R296" s="17" t="n">
        <x:f>IF(ISNUMBER(Q296),ROUND(Q296*$C$4,2),"")</x:f>
        <x:v>2700</x:v>
      </x:c>
      <x:c r="S296" s="17" t="n">
        <x:f>IF(ISNUMBER(Q296),Q296+R296,"")</x:f>
        <x:v>17700</x:v>
      </x:c>
      <x:c r="T296" s="2" t="str">
        <x:f>IF(H296=0,"Not selected",IF(ISNUMBER(N296),"Quote entered",IF(N296&lt;&gt;"","Enter numeric quote",IF(H296=F296,IF(ISNUMBER(P296),"Complete unit","Price required"),"Partial package: price required"))))</x:f>
        <x:v>Complete unit</x:v>
      </x:c>
      <x:c r="U296" s="2" t="str">
        <x:v>TEN-17840323EA59; TEN-2C404B75B9D4; TEN-2CB3DF79B99F; TEN-3E18C4D2C923; TEN-9D1FA6A70A5F; TEN-BC236A8ABD26; TEN-C8FB87999BD0; TEN-EEFE8E76853C; TEN-F54AB844242B; TEN-F7E439011DF5; TEN-F8CC5DBFE162</x:v>
      </x:c>
      <x:c r="V296" s="2" t="str">
        <x:v>IT &amp; digital; Engineering &amp; manufacturing; Unresolved</x:v>
      </x:c>
      <x:c r="W296" s="2" t="str">
        <x:v>Medium-scale prospects; Mixed business audience</x:v>
      </x:c>
      <x:c r="X296" s="17" t="n">
        <x:f>IF(AND(H296=F296,NOT(ISNUMBER(N296)),N296="",ISNUMBER(K296)),K296,0)</x:f>
        <x:v>15000</x:v>
      </x:c>
      <x:c r="Y296" s="17" t="n">
        <x:f>IF(AND(H296=F296,NOT(ISNUMBER(N296)),N296="",K296="",ISNUMBER(O296)),O296,0)</x:f>
        <x:v>0</x:v>
      </x:c>
      <x:c r="Z296" s="17" t="n">
        <x:f>IF(AND(H296&gt;0,ISNUMBER(N296)),N296,0)</x:f>
        <x:v>0</x:v>
      </x:c>
      <x:c r="AA296" s="2" t="n">
        <x:f>IF(AND(H296&gt;0,N296="",NOT(ISNUMBER(Q296))),1,0)</x:f>
        <x:v>0</x:v>
      </x:c>
      <x:c r="AB296" s="2" t="n">
        <x:f>IF(AND(H296&gt;0,N296&lt;&gt;"",NOT(ISNUMBER(N296))),1,0)</x:f>
        <x:v>0</x:v>
      </x:c>
    </x:row>
    <x:row r="297" ht="48" customHeight="1">
      <x:c r="A297" s="2" t="str">
        <x:v>MAIN-286</x:v>
      </x:c>
      <x:c r="B297" s="2" t="str">
        <x:v>Main</x:v>
      </x:c>
      <x:c r="C297" s="2" t="str">
        <x:v>Kolkata</x:v>
      </x:c>
      <x:c r="D297" s="12" t="str">
        <x:v>Awfis GWS</x:v>
      </x:c>
      <x:c r="E297" s="12" t="str">
        <x:v>32 inch LED TV</x:v>
      </x:c>
      <x:c r="F297" s="2" t="n">
        <x:v>1</x:v>
      </x:c>
      <x:c r="G297" s="2" t="n">
        <x:v>8</x:v>
      </x:c>
      <x:c r="H297" s="2" t="n">
        <x:f>COUNTIFS('Inventory'!$N$7:$N$783,A297,'Inventory'!$A$7:$A$783,1)</x:f>
        <x:v>1</x:v>
      </x:c>
      <x:c r="I297" s="2" t="n">
        <x:f>SUMIFS('Inventory'!$G$7:$G$783,'Inventory'!$N$7:$N$783,A297,'Inventory'!$A$7:$A$783,1)</x:f>
        <x:v>8</x:v>
      </x:c>
      <x:c r="J297" s="12" t="str">
        <x:v>Listed budget</x:v>
      </x:c>
      <x:c r="K297" s="17" t="n">
        <x:v>120000</x:v>
      </x:c>
      <x:c r="L297" s="17"/>
      <x:c r="M297" s="17"/>
      <x:c r="N297" s="19"/>
      <x:c r="O297" s="17" t="str">
        <x:f>IF(ISNUMBER(L297),G297*L297,IF(ISNUMBER(M297),M297,""))</x:f>
      </x:c>
      <x:c r="P297" s="17" t="n">
        <x:f>IF(ISNUMBER(K297),K297,IF(ISNUMBER(O297),O297,""))</x:f>
        <x:v>120000</x:v>
      </x:c>
      <x:c r="Q297" s="17" t="n">
        <x:f>IF(H297=0,0,IF(ISNUMBER(N297),N297,IF(N297="",IF(H297=F297,P297,""),"")))</x:f>
        <x:v>120000</x:v>
      </x:c>
      <x:c r="R297" s="17" t="n">
        <x:f>IF(ISNUMBER(Q297),ROUND(Q297*$C$4,2),"")</x:f>
        <x:v>21600</x:v>
      </x:c>
      <x:c r="S297" s="17" t="n">
        <x:f>IF(ISNUMBER(Q297),Q297+R297,"")</x:f>
        <x:v>141600</x:v>
      </x:c>
      <x:c r="T297" s="2" t="str">
        <x:f>IF(H297=0,"Not selected",IF(ISNUMBER(N297),"Quote entered",IF(N297&lt;&gt;"","Enter numeric quote",IF(H297=F297,IF(ISNUMBER(P297),"Complete unit","Price required"),"Partial package: price required"))))</x:f>
        <x:v>Complete unit</x:v>
      </x:c>
      <x:c r="U297" s="2" t="str">
        <x:v>TEN-44747DEEA5CA; TEN-622192EE7D1F; TEN-91CD363A290C; TEN-DBE7EEE76AB6</x:v>
      </x:c>
      <x:c r="V297" s="2" t="str">
        <x:v>IT &amp; digital; Professional services; Trade, consumer &amp; logistics</x:v>
      </x:c>
      <x:c r="W297" s="2" t="str">
        <x:v>Small-scale prospects; Mixed business audience</x:v>
      </x:c>
      <x:c r="X297" s="17" t="n">
        <x:f>IF(AND(H297=F297,NOT(ISNUMBER(N297)),N297="",ISNUMBER(K297)),K297,0)</x:f>
        <x:v>120000</x:v>
      </x:c>
      <x:c r="Y297" s="17" t="n">
        <x:f>IF(AND(H297=F297,NOT(ISNUMBER(N297)),N297="",K297="",ISNUMBER(O297)),O297,0)</x:f>
        <x:v>0</x:v>
      </x:c>
      <x:c r="Z297" s="17" t="n">
        <x:f>IF(AND(H297&gt;0,ISNUMBER(N297)),N297,0)</x:f>
        <x:v>0</x:v>
      </x:c>
      <x:c r="AA297" s="2" t="n">
        <x:f>IF(AND(H297&gt;0,N297="",NOT(ISNUMBER(Q297))),1,0)</x:f>
        <x:v>0</x:v>
      </x:c>
      <x:c r="AB297" s="2" t="n">
        <x:f>IF(AND(H297&gt;0,N297&lt;&gt;"",NOT(ISNUMBER(N297))),1,0)</x:f>
        <x:v>0</x:v>
      </x:c>
    </x:row>
    <x:row r="298" ht="48" customHeight="1">
      <x:c r="A298" s="2" t="str">
        <x:v>MAIN-287</x:v>
      </x:c>
      <x:c r="B298" s="2" t="str">
        <x:v>Main</x:v>
      </x:c>
      <x:c r="C298" s="2" t="str">
        <x:v>Kolkata</x:v>
      </x:c>
      <x:c r="D298" s="12" t="str">
        <x:v>DLF Galleria</x:v>
      </x:c>
      <x:c r="E298" s="12" t="str">
        <x:v>32 inch LED TV</x:v>
      </x:c>
      <x:c r="F298" s="2" t="n">
        <x:v>1</x:v>
      </x:c>
      <x:c r="G298" s="2" t="n">
        <x:v>5</x:v>
      </x:c>
      <x:c r="H298" s="2" t="n">
        <x:f>COUNTIFS('Inventory'!$N$7:$N$783,A298,'Inventory'!$A$7:$A$783,1)</x:f>
        <x:v>1</x:v>
      </x:c>
      <x:c r="I298" s="2" t="n">
        <x:f>SUMIFS('Inventory'!$G$7:$G$783,'Inventory'!$N$7:$N$783,A298,'Inventory'!$A$7:$A$783,1)</x:f>
        <x:v>5</x:v>
      </x:c>
      <x:c r="J298" s="12" t="str">
        <x:v>Listed budget</x:v>
      </x:c>
      <x:c r="K298" s="17" t="n">
        <x:v>75000</x:v>
      </x:c>
      <x:c r="L298" s="17"/>
      <x:c r="M298" s="17"/>
      <x:c r="N298" s="19"/>
      <x:c r="O298" s="17" t="str">
        <x:f>IF(ISNUMBER(L298),G298*L298,IF(ISNUMBER(M298),M298,""))</x:f>
      </x:c>
      <x:c r="P298" s="17" t="n">
        <x:f>IF(ISNUMBER(K298),K298,IF(ISNUMBER(O298),O298,""))</x:f>
        <x:v>75000</x:v>
      </x:c>
      <x:c r="Q298" s="17" t="n">
        <x:f>IF(H298=0,0,IF(ISNUMBER(N298),N298,IF(N298="",IF(H298=F298,P298,""),"")))</x:f>
        <x:v>75000</x:v>
      </x:c>
      <x:c r="R298" s="17" t="n">
        <x:f>IF(ISNUMBER(Q298),ROUND(Q298*$C$4,2),"")</x:f>
        <x:v>13500</x:v>
      </x:c>
      <x:c r="S298" s="17" t="n">
        <x:f>IF(ISNUMBER(Q298),Q298+R298,"")</x:f>
        <x:v>88500</x:v>
      </x:c>
      <x:c r="T298" s="2" t="str">
        <x:f>IF(H298=0,"Not selected",IF(ISNUMBER(N298),"Quote entered",IF(N298&lt;&gt;"","Enter numeric quote",IF(H298=F298,IF(ISNUMBER(P298),"Complete unit","Price required"),"Partial package: price required"))))</x:f>
        <x:v>Complete unit</x:v>
      </x:c>
      <x:c r="U298" s="2" t="str">
        <x:v>TEN-86BB95263026; TEN-995AA36A28FC; TEN-B112C787549C; TEN-BBC77584AD9B; TEN-D237B55ECC46; TEN-D33230E775D9; TEN-E5180142EA22; TEN-EC60AE731320; TEN-F7B286C658EE</x:v>
      </x:c>
      <x:c r="V298" s="2" t="str">
        <x:v>Engineering &amp; manufacturing; Education; Trade, consumer &amp; logistics; Unresolved</x:v>
      </x:c>
      <x:c r="W298" s="2" t="str">
        <x:v>Small-scale prospects; Medium-scale prospects; Mixed business audience</x:v>
      </x:c>
      <x:c r="X298" s="17" t="n">
        <x:f>IF(AND(H298=F298,NOT(ISNUMBER(N298)),N298="",ISNUMBER(K298)),K298,0)</x:f>
        <x:v>75000</x:v>
      </x:c>
      <x:c r="Y298" s="17" t="n">
        <x:f>IF(AND(H298=F298,NOT(ISNUMBER(N298)),N298="",K298="",ISNUMBER(O298)),O298,0)</x:f>
        <x:v>0</x:v>
      </x:c>
      <x:c r="Z298" s="17" t="n">
        <x:f>IF(AND(H298&gt;0,ISNUMBER(N298)),N298,0)</x:f>
        <x:v>0</x:v>
      </x:c>
      <x:c r="AA298" s="2" t="n">
        <x:f>IF(AND(H298&gt;0,N298="",NOT(ISNUMBER(Q298))),1,0)</x:f>
        <x:v>0</x:v>
      </x:c>
      <x:c r="AB298" s="2" t="n">
        <x:f>IF(AND(H298&gt;0,N298&lt;&gt;"",NOT(ISNUMBER(N298))),1,0)</x:f>
        <x:v>0</x:v>
      </x:c>
    </x:row>
    <x:row r="299" ht="48" customHeight="1">
      <x:c r="A299" s="2" t="str">
        <x:v>MAIN-288</x:v>
      </x:c>
      <x:c r="B299" s="2" t="str">
        <x:v>Main</x:v>
      </x:c>
      <x:c r="C299" s="2" t="str">
        <x:v>Lucknow</x:v>
      </x:c>
      <x:c r="D299" s="12" t="str">
        <x:v>Bhavya Corporate Tower</x:v>
      </x:c>
      <x:c r="E299" s="12" t="str">
        <x:v>43 inch LED TV</x:v>
      </x:c>
      <x:c r="F299" s="2" t="n">
        <x:v>1</x:v>
      </x:c>
      <x:c r="G299" s="2" t="n">
        <x:v>2</x:v>
      </x:c>
      <x:c r="H299" s="2" t="n">
        <x:f>COUNTIFS('Inventory'!$N$7:$N$783,A299,'Inventory'!$A$7:$A$783,1)</x:f>
        <x:v>1</x:v>
      </x:c>
      <x:c r="I299" s="2" t="n">
        <x:f>SUMIFS('Inventory'!$G$7:$G$783,'Inventory'!$N$7:$N$783,A299,'Inventory'!$A$7:$A$783,1)</x:f>
        <x:v>2</x:v>
      </x:c>
      <x:c r="J299" s="12" t="str">
        <x:v>Campaign format rate</x:v>
      </x:c>
      <x:c r="K299" s="17"/>
      <x:c r="L299" s="17" t="n">
        <x:f>$E$5</x:f>
        <x:v>20000</x:v>
      </x:c>
      <x:c r="M299" s="17"/>
      <x:c r="N299" s="19"/>
      <x:c r="O299" s="17" t="n">
        <x:f>IF(ISNUMBER(L299),G299*L299,IF(ISNUMBER(M299),M299,""))</x:f>
        <x:v>40000</x:v>
      </x:c>
      <x:c r="P299" s="17" t="n">
        <x:f>IF(ISNUMBER(K299),K299,IF(ISNUMBER(O299),O299,""))</x:f>
        <x:v>40000</x:v>
      </x:c>
      <x:c r="Q299" s="17" t="n">
        <x:f>IF(H299=0,0,IF(ISNUMBER(N299),N299,IF(N299="",IF(H299=F299,P299,""),"")))</x:f>
        <x:v>40000</x:v>
      </x:c>
      <x:c r="R299" s="17" t="n">
        <x:f>IF(ISNUMBER(Q299),ROUND(Q299*$C$4,2),"")</x:f>
        <x:v>7200</x:v>
      </x:c>
      <x:c r="S299" s="17" t="n">
        <x:f>IF(ISNUMBER(Q299),Q299+R299,"")</x:f>
        <x:v>47200</x:v>
      </x:c>
      <x:c r="T299" s="2" t="str">
        <x:f>IF(H299=0,"Not selected",IF(ISNUMBER(N299),"Quote entered",IF(N299&lt;&gt;"","Enter numeric quote",IF(H299=F299,IF(ISNUMBER(P299),"Complete unit","Price required"),"Partial package: price required"))))</x:f>
        <x:v>Complete unit</x:v>
      </x:c>
      <x:c r="U299" s="2" t="str">
        <x:v>TEN-0A2E2E688479; TEN-199013F9C68B; TEN-2EE57059EE6D; TEN-38DA413E1AFF; TEN-4DB63E5149AB; TEN-637CB01B6C0E; TEN-7EC18FCAE18F; TEN-7F5D07BD8295; TEN-BC652A17D88B; TEN-D4F5F3367894; TEN-EC9203AA35AB</x:v>
      </x:c>
      <x:c r="V299" s="2" t="str">
        <x:v>Trade, consumer &amp; logistics; Unresolved</x:v>
      </x:c>
      <x:c r="W299" s="2" t="str">
        <x:v>Small-scale prospects; Mixed business audience</x:v>
      </x:c>
      <x:c r="X299" s="17" t="n">
        <x:f>IF(AND(H299=F299,NOT(ISNUMBER(N299)),N299="",ISNUMBER(K299)),K299,0)</x:f>
        <x:v>0</x:v>
      </x:c>
      <x:c r="Y299" s="17" t="n">
        <x:f>IF(AND(H299=F299,NOT(ISNUMBER(N299)),N299="",K299="",ISNUMBER(O299)),O299,0)</x:f>
        <x:v>40000</x:v>
      </x:c>
      <x:c r="Z299" s="17" t="n">
        <x:f>IF(AND(H299&gt;0,ISNUMBER(N299)),N299,0)</x:f>
        <x:v>0</x:v>
      </x:c>
      <x:c r="AA299" s="2" t="n">
        <x:f>IF(AND(H299&gt;0,N299="",NOT(ISNUMBER(Q299))),1,0)</x:f>
        <x:v>0</x:v>
      </x:c>
      <x:c r="AB299" s="2" t="n">
        <x:f>IF(AND(H299&gt;0,N299&lt;&gt;"",NOT(ISNUMBER(N299))),1,0)</x:f>
        <x:v>0</x:v>
      </x:c>
    </x:row>
    <x:row r="300" ht="48" customHeight="1">
      <x:c r="A300" s="2" t="str">
        <x:v>MAIN-289</x:v>
      </x:c>
      <x:c r="B300" s="2" t="str">
        <x:v>Main</x:v>
      </x:c>
      <x:c r="C300" s="2" t="str">
        <x:v>Lucknow</x:v>
      </x:c>
      <x:c r="D300" s="12" t="str">
        <x:v>Eldeco Corporate Chamber 1</x:v>
      </x:c>
      <x:c r="E300" s="12" t="str">
        <x:v>55 inch LED TV</x:v>
      </x:c>
      <x:c r="F300" s="2" t="n">
        <x:v>1</x:v>
      </x:c>
      <x:c r="G300" s="2" t="n">
        <x:v>1</x:v>
      </x:c>
      <x:c r="H300" s="2" t="n">
        <x:f>COUNTIFS('Inventory'!$N$7:$N$783,A300,'Inventory'!$A$7:$A$783,1)</x:f>
        <x:v>1</x:v>
      </x:c>
      <x:c r="I300" s="2" t="n">
        <x:f>SUMIFS('Inventory'!$G$7:$G$783,'Inventory'!$N$7:$N$783,A300,'Inventory'!$A$7:$A$783,1)</x:f>
        <x:v>1</x:v>
      </x:c>
      <x:c r="J300" s="12" t="str">
        <x:v>Campaign format rate</x:v>
      </x:c>
      <x:c r="K300" s="17"/>
      <x:c r="L300" s="17" t="n">
        <x:f>$I$5</x:f>
        <x:v>40000</x:v>
      </x:c>
      <x:c r="M300" s="17"/>
      <x:c r="N300" s="19"/>
      <x:c r="O300" s="17" t="n">
        <x:f>IF(ISNUMBER(L300),G300*L300,IF(ISNUMBER(M300),M300,""))</x:f>
        <x:v>40000</x:v>
      </x:c>
      <x:c r="P300" s="17" t="n">
        <x:f>IF(ISNUMBER(K300),K300,IF(ISNUMBER(O300),O300,""))</x:f>
        <x:v>40000</x:v>
      </x:c>
      <x:c r="Q300" s="17" t="n">
        <x:f>IF(H300=0,0,IF(ISNUMBER(N300),N300,IF(N300="",IF(H300=F300,P300,""),"")))</x:f>
        <x:v>40000</x:v>
      </x:c>
      <x:c r="R300" s="17" t="n">
        <x:f>IF(ISNUMBER(Q300),ROUND(Q300*$C$4,2),"")</x:f>
        <x:v>7200</x:v>
      </x:c>
      <x:c r="S300" s="17" t="n">
        <x:f>IF(ISNUMBER(Q300),Q300+R300,"")</x:f>
        <x:v>47200</x:v>
      </x:c>
      <x:c r="T300" s="2" t="str">
        <x:f>IF(H300=0,"Not selected",IF(ISNUMBER(N300),"Quote entered",IF(N300&lt;&gt;"","Enter numeric quote",IF(H300=F300,IF(ISNUMBER(P300),"Complete unit","Price required"),"Partial package: price required"))))</x:f>
        <x:v>Complete unit</x:v>
      </x:c>
      <x:c r="U300" s="2" t="str"/>
      <x:c r="V300" s="2" t="str">
        <x:v>Unclassified</x:v>
      </x:c>
      <x:c r="W300" s="2" t="str">
        <x:v>Mixed business audience</x:v>
      </x:c>
      <x:c r="X300" s="17" t="n">
        <x:f>IF(AND(H300=F300,NOT(ISNUMBER(N300)),N300="",ISNUMBER(K300)),K300,0)</x:f>
        <x:v>0</x:v>
      </x:c>
      <x:c r="Y300" s="17" t="n">
        <x:f>IF(AND(H300=F300,NOT(ISNUMBER(N300)),N300="",K300="",ISNUMBER(O300)),O300,0)</x:f>
        <x:v>40000</x:v>
      </x:c>
      <x:c r="Z300" s="17" t="n">
        <x:f>IF(AND(H300&gt;0,ISNUMBER(N300)),N300,0)</x:f>
        <x:v>0</x:v>
      </x:c>
      <x:c r="AA300" s="2" t="n">
        <x:f>IF(AND(H300&gt;0,N300="",NOT(ISNUMBER(Q300))),1,0)</x:f>
        <x:v>0</x:v>
      </x:c>
      <x:c r="AB300" s="2" t="n">
        <x:f>IF(AND(H300&gt;0,N300&lt;&gt;"",NOT(ISNUMBER(N300))),1,0)</x:f>
        <x:v>0</x:v>
      </x:c>
    </x:row>
    <x:row r="301" ht="48" customHeight="1">
      <x:c r="A301" s="2" t="str">
        <x:v>MAIN-290</x:v>
      </x:c>
      <x:c r="B301" s="2" t="str">
        <x:v>Main</x:v>
      </x:c>
      <x:c r="C301" s="2" t="str">
        <x:v>Lucknow</x:v>
      </x:c>
      <x:c r="D301" s="12" t="str">
        <x:v>Eldeco Elegente</x:v>
      </x:c>
      <x:c r="E301" s="12" t="str">
        <x:v>55 inch LED TV</x:v>
      </x:c>
      <x:c r="F301" s="2" t="n">
        <x:v>1</x:v>
      </x:c>
      <x:c r="G301" s="2" t="n">
        <x:v>1</x:v>
      </x:c>
      <x:c r="H301" s="2" t="n">
        <x:f>COUNTIFS('Inventory'!$N$7:$N$783,A301,'Inventory'!$A$7:$A$783,1)</x:f>
        <x:v>1</x:v>
      </x:c>
      <x:c r="I301" s="2" t="n">
        <x:f>SUMIFS('Inventory'!$G$7:$G$783,'Inventory'!$N$7:$N$783,A301,'Inventory'!$A$7:$A$783,1)</x:f>
        <x:v>1</x:v>
      </x:c>
      <x:c r="J301" s="12" t="str">
        <x:v>Campaign format rate</x:v>
      </x:c>
      <x:c r="K301" s="17"/>
      <x:c r="L301" s="17" t="n">
        <x:f>$I$5</x:f>
        <x:v>40000</x:v>
      </x:c>
      <x:c r="M301" s="17"/>
      <x:c r="N301" s="19"/>
      <x:c r="O301" s="17" t="n">
        <x:f>IF(ISNUMBER(L301),G301*L301,IF(ISNUMBER(M301),M301,""))</x:f>
        <x:v>40000</x:v>
      </x:c>
      <x:c r="P301" s="17" t="n">
        <x:f>IF(ISNUMBER(K301),K301,IF(ISNUMBER(O301),O301,""))</x:f>
        <x:v>40000</x:v>
      </x:c>
      <x:c r="Q301" s="17" t="n">
        <x:f>IF(H301=0,0,IF(ISNUMBER(N301),N301,IF(N301="",IF(H301=F301,P301,""),"")))</x:f>
        <x:v>40000</x:v>
      </x:c>
      <x:c r="R301" s="17" t="n">
        <x:f>IF(ISNUMBER(Q301),ROUND(Q301*$C$4,2),"")</x:f>
        <x:v>7200</x:v>
      </x:c>
      <x:c r="S301" s="17" t="n">
        <x:f>IF(ISNUMBER(Q301),Q301+R301,"")</x:f>
        <x:v>47200</x:v>
      </x:c>
      <x:c r="T301" s="2" t="str">
        <x:f>IF(H301=0,"Not selected",IF(ISNUMBER(N301),"Quote entered",IF(N301&lt;&gt;"","Enter numeric quote",IF(H301=F301,IF(ISNUMBER(P301),"Complete unit","Price required"),"Partial package: price required"))))</x:f>
        <x:v>Complete unit</x:v>
      </x:c>
      <x:c r="U301" s="2" t="str">
        <x:v>TEN-0A1B7BF36AFB; TEN-217C7370F820; TEN-28ACA2C7A273; TEN-77D42BF0BA58; TEN-83E66BCA4229; TEN-FA0DDD5275C1</x:v>
      </x:c>
      <x:c r="V301" s="2" t="str">
        <x:v>Professional services; Trade, consumer &amp; logistics; Unresolved</x:v>
      </x:c>
      <x:c r="W301" s="2" t="str">
        <x:v>Small-scale prospects; Mixed business audience</x:v>
      </x:c>
      <x:c r="X301" s="17" t="n">
        <x:f>IF(AND(H301=F301,NOT(ISNUMBER(N301)),N301="",ISNUMBER(K301)),K301,0)</x:f>
        <x:v>0</x:v>
      </x:c>
      <x:c r="Y301" s="17" t="n">
        <x:f>IF(AND(H301=F301,NOT(ISNUMBER(N301)),N301="",K301="",ISNUMBER(O301)),O301,0)</x:f>
        <x:v>40000</x:v>
      </x:c>
      <x:c r="Z301" s="17" t="n">
        <x:f>IF(AND(H301&gt;0,ISNUMBER(N301)),N301,0)</x:f>
        <x:v>0</x:v>
      </x:c>
      <x:c r="AA301" s="2" t="n">
        <x:f>IF(AND(H301&gt;0,N301="",NOT(ISNUMBER(Q301))),1,0)</x:f>
        <x:v>0</x:v>
      </x:c>
      <x:c r="AB301" s="2" t="n">
        <x:f>IF(AND(H301&gt;0,N301&lt;&gt;"",NOT(ISNUMBER(N301))),1,0)</x:f>
        <x:v>0</x:v>
      </x:c>
    </x:row>
    <x:row r="302" ht="48" customHeight="1">
      <x:c r="A302" s="2" t="str">
        <x:v>MAIN-291</x:v>
      </x:c>
      <x:c r="B302" s="2" t="str">
        <x:v>Main</x:v>
      </x:c>
      <x:c r="C302" s="2" t="str">
        <x:v>Lucknow</x:v>
      </x:c>
      <x:c r="D302" s="12" t="str">
        <x:v>Levana Cyber Heights</x:v>
      </x:c>
      <x:c r="E302" s="12" t="str">
        <x:v>55 inch LED TV</x:v>
      </x:c>
      <x:c r="F302" s="2" t="n">
        <x:v>1</x:v>
      </x:c>
      <x:c r="G302" s="2" t="n">
        <x:v>4</x:v>
      </x:c>
      <x:c r="H302" s="2" t="n">
        <x:f>COUNTIFS('Inventory'!$N$7:$N$783,A302,'Inventory'!$A$7:$A$783,1)</x:f>
        <x:v>1</x:v>
      </x:c>
      <x:c r="I302" s="2" t="n">
        <x:f>SUMIFS('Inventory'!$G$7:$G$783,'Inventory'!$N$7:$N$783,A302,'Inventory'!$A$7:$A$783,1)</x:f>
        <x:v>4</x:v>
      </x:c>
      <x:c r="J302" s="12" t="str">
        <x:v>Campaign format rate</x:v>
      </x:c>
      <x:c r="K302" s="17"/>
      <x:c r="L302" s="17" t="n">
        <x:f>$I$5</x:f>
        <x:v>40000</x:v>
      </x:c>
      <x:c r="M302" s="17"/>
      <x:c r="N302" s="19"/>
      <x:c r="O302" s="17" t="n">
        <x:f>IF(ISNUMBER(L302),G302*L302,IF(ISNUMBER(M302),M302,""))</x:f>
        <x:v>160000</x:v>
      </x:c>
      <x:c r="P302" s="17" t="n">
        <x:f>IF(ISNUMBER(K302),K302,IF(ISNUMBER(O302),O302,""))</x:f>
        <x:v>160000</x:v>
      </x:c>
      <x:c r="Q302" s="17" t="n">
        <x:f>IF(H302=0,0,IF(ISNUMBER(N302),N302,IF(N302="",IF(H302=F302,P302,""),"")))</x:f>
        <x:v>160000</x:v>
      </x:c>
      <x:c r="R302" s="17" t="n">
        <x:f>IF(ISNUMBER(Q302),ROUND(Q302*$C$4,2),"")</x:f>
        <x:v>28800</x:v>
      </x:c>
      <x:c r="S302" s="17" t="n">
        <x:f>IF(ISNUMBER(Q302),Q302+R302,"")</x:f>
        <x:v>188800</x:v>
      </x:c>
      <x:c r="T302" s="2" t="str">
        <x:f>IF(H302=0,"Not selected",IF(ISNUMBER(N302),"Quote entered",IF(N302&lt;&gt;"","Enter numeric quote",IF(H302=F302,IF(ISNUMBER(P302),"Complete unit","Price required"),"Partial package: price required"))))</x:f>
        <x:v>Complete unit</x:v>
      </x:c>
      <x:c r="U302" s="2" t="str">
        <x:v>TEN-00BC9C2397F4; TEN-40E88EA2F489; TEN-4390DF4D2AFF; TEN-4C139C225475; TEN-A1CAB074F125; TEN-A51B11D31E60; TEN-C8E1ABF7F3C8; TEN-FA6E54D148C8</x:v>
      </x:c>
      <x:c r="V302" s="2" t="str">
        <x:v>Finance &amp; insurance; Engineering &amp; manufacturing; Healthcare &amp; life sciences; Trade, consumer &amp; logistics; Unresolved</x:v>
      </x:c>
      <x:c r="W302" s="2" t="str">
        <x:v>Small-scale prospects; Large enterprise; Mixed business audience</x:v>
      </x:c>
      <x:c r="X302" s="17" t="n">
        <x:f>IF(AND(H302=F302,NOT(ISNUMBER(N302)),N302="",ISNUMBER(K302)),K302,0)</x:f>
        <x:v>0</x:v>
      </x:c>
      <x:c r="Y302" s="17" t="n">
        <x:f>IF(AND(H302=F302,NOT(ISNUMBER(N302)),N302="",K302="",ISNUMBER(O302)),O302,0)</x:f>
        <x:v>160000</x:v>
      </x:c>
      <x:c r="Z302" s="17" t="n">
        <x:f>IF(AND(H302&gt;0,ISNUMBER(N302)),N302,0)</x:f>
        <x:v>0</x:v>
      </x:c>
      <x:c r="AA302" s="2" t="n">
        <x:f>IF(AND(H302&gt;0,N302="",NOT(ISNUMBER(Q302))),1,0)</x:f>
        <x:v>0</x:v>
      </x:c>
      <x:c r="AB302" s="2" t="n">
        <x:f>IF(AND(H302&gt;0,N302&lt;&gt;"",NOT(ISNUMBER(N302))),1,0)</x:f>
        <x:v>0</x:v>
      </x:c>
    </x:row>
    <x:row r="303" ht="48" customHeight="1">
      <x:c r="A303" s="2" t="str">
        <x:v>MAIN-292</x:v>
      </x:c>
      <x:c r="B303" s="2" t="str">
        <x:v>Main</x:v>
      </x:c>
      <x:c r="C303" s="2" t="str">
        <x:v>Lucknow</x:v>
      </x:c>
      <x:c r="D303" s="12" t="str">
        <x:v>Levana Cyber Tower</x:v>
      </x:c>
      <x:c r="E303" s="12" t="str">
        <x:v>55 inch LED TV</x:v>
      </x:c>
      <x:c r="F303" s="2" t="n">
        <x:v>1</x:v>
      </x:c>
      <x:c r="G303" s="2" t="n">
        <x:v>3</x:v>
      </x:c>
      <x:c r="H303" s="2" t="n">
        <x:f>COUNTIFS('Inventory'!$N$7:$N$783,A303,'Inventory'!$A$7:$A$783,1)</x:f>
        <x:v>1</x:v>
      </x:c>
      <x:c r="I303" s="2" t="n">
        <x:f>SUMIFS('Inventory'!$G$7:$G$783,'Inventory'!$N$7:$N$783,A303,'Inventory'!$A$7:$A$783,1)</x:f>
        <x:v>3</x:v>
      </x:c>
      <x:c r="J303" s="12" t="str">
        <x:v>Campaign format rate</x:v>
      </x:c>
      <x:c r="K303" s="17"/>
      <x:c r="L303" s="17" t="n">
        <x:f>$I$5</x:f>
        <x:v>40000</x:v>
      </x:c>
      <x:c r="M303" s="17"/>
      <x:c r="N303" s="19"/>
      <x:c r="O303" s="17" t="n">
        <x:f>IF(ISNUMBER(L303),G303*L303,IF(ISNUMBER(M303),M303,""))</x:f>
        <x:v>120000</x:v>
      </x:c>
      <x:c r="P303" s="17" t="n">
        <x:f>IF(ISNUMBER(K303),K303,IF(ISNUMBER(O303),O303,""))</x:f>
        <x:v>120000</x:v>
      </x:c>
      <x:c r="Q303" s="17" t="n">
        <x:f>IF(H303=0,0,IF(ISNUMBER(N303),N303,IF(N303="",IF(H303=F303,P303,""),"")))</x:f>
        <x:v>120000</x:v>
      </x:c>
      <x:c r="R303" s="17" t="n">
        <x:f>IF(ISNUMBER(Q303),ROUND(Q303*$C$4,2),"")</x:f>
        <x:v>21600</x:v>
      </x:c>
      <x:c r="S303" s="17" t="n">
        <x:f>IF(ISNUMBER(Q303),Q303+R303,"")</x:f>
        <x:v>141600</x:v>
      </x:c>
      <x:c r="T303" s="2" t="str">
        <x:f>IF(H303=0,"Not selected",IF(ISNUMBER(N303),"Quote entered",IF(N303&lt;&gt;"","Enter numeric quote",IF(H303=F303,IF(ISNUMBER(P303),"Complete unit","Price required"),"Partial package: price required"))))</x:f>
        <x:v>Complete unit</x:v>
      </x:c>
      <x:c r="U303" s="2" t="str">
        <x:v>TEN-29D7F81C9D8B; TEN-42777503B9F4; TEN-45699C1D6DAE; TEN-65C07372CD3C; TEN-7539C30876CE; TEN-8816BD509BFD; TEN-E4F62EEBC64C</x:v>
      </x:c>
      <x:c r="V303" s="2" t="str">
        <x:v>Finance &amp; insurance; Engineering &amp; manufacturing; Healthcare &amp; life sciences; Trade, consumer &amp; logistics; Unresolved</x:v>
      </x:c>
      <x:c r="W303" s="2" t="str">
        <x:v>Medium-scale prospects; Mixed business audience</x:v>
      </x:c>
      <x:c r="X303" s="17" t="n">
        <x:f>IF(AND(H303=F303,NOT(ISNUMBER(N303)),N303="",ISNUMBER(K303)),K303,0)</x:f>
        <x:v>0</x:v>
      </x:c>
      <x:c r="Y303" s="17" t="n">
        <x:f>IF(AND(H303=F303,NOT(ISNUMBER(N303)),N303="",K303="",ISNUMBER(O303)),O303,0)</x:f>
        <x:v>120000</x:v>
      </x:c>
      <x:c r="Z303" s="17" t="n">
        <x:f>IF(AND(H303&gt;0,ISNUMBER(N303)),N303,0)</x:f>
        <x:v>0</x:v>
      </x:c>
      <x:c r="AA303" s="2" t="n">
        <x:f>IF(AND(H303&gt;0,N303="",NOT(ISNUMBER(Q303))),1,0)</x:f>
        <x:v>0</x:v>
      </x:c>
      <x:c r="AB303" s="2" t="n">
        <x:f>IF(AND(H303&gt;0,N303&lt;&gt;"",NOT(ISNUMBER(N303))),1,0)</x:f>
        <x:v>0</x:v>
      </x:c>
    </x:row>
    <x:row r="304" ht="48" customHeight="1">
      <x:c r="A304" s="2" t="str">
        <x:v>MAIN-293</x:v>
      </x:c>
      <x:c r="B304" s="2" t="str">
        <x:v>Main</x:v>
      </x:c>
      <x:c r="C304" s="2" t="str">
        <x:v>Mumbai</x:v>
      </x:c>
      <x:c r="D304" s="12" t="str">
        <x:v>Altimus (TS)</x:v>
      </x:c>
      <x:c r="E304" s="12" t="str">
        <x:v>55 inch LED TV</x:v>
      </x:c>
      <x:c r="F304" s="2" t="n">
        <x:v>1</x:v>
      </x:c>
      <x:c r="G304" s="2" t="n">
        <x:v>1</x:v>
      </x:c>
      <x:c r="H304" s="2" t="n">
        <x:f>COUNTIFS('Inventory'!$N$7:$N$783,A304,'Inventory'!$A$7:$A$783,1)</x:f>
        <x:v>1</x:v>
      </x:c>
      <x:c r="I304" s="2" t="n">
        <x:f>SUMIFS('Inventory'!$G$7:$G$783,'Inventory'!$N$7:$N$783,A304,'Inventory'!$A$7:$A$783,1)</x:f>
        <x:v>1</x:v>
      </x:c>
      <x:c r="J304" s="12" t="str">
        <x:v>Campaign format rate</x:v>
      </x:c>
      <x:c r="K304" s="17"/>
      <x:c r="L304" s="17" t="n">
        <x:f>$I$5</x:f>
        <x:v>40000</x:v>
      </x:c>
      <x:c r="M304" s="17"/>
      <x:c r="N304" s="19"/>
      <x:c r="O304" s="17" t="n">
        <x:f>IF(ISNUMBER(L304),G304*L304,IF(ISNUMBER(M304),M304,""))</x:f>
        <x:v>40000</x:v>
      </x:c>
      <x:c r="P304" s="17" t="n">
        <x:f>IF(ISNUMBER(K304),K304,IF(ISNUMBER(O304),O304,""))</x:f>
        <x:v>40000</x:v>
      </x:c>
      <x:c r="Q304" s="17" t="n">
        <x:f>IF(H304=0,0,IF(ISNUMBER(N304),N304,IF(N304="",IF(H304=F304,P304,""),"")))</x:f>
        <x:v>40000</x:v>
      </x:c>
      <x:c r="R304" s="17" t="n">
        <x:f>IF(ISNUMBER(Q304),ROUND(Q304*$C$4,2),"")</x:f>
        <x:v>7200</x:v>
      </x:c>
      <x:c r="S304" s="17" t="n">
        <x:f>IF(ISNUMBER(Q304),Q304+R304,"")</x:f>
        <x:v>47200</x:v>
      </x:c>
      <x:c r="T304" s="2" t="str">
        <x:f>IF(H304=0,"Not selected",IF(ISNUMBER(N304),"Quote entered",IF(N304&lt;&gt;"","Enter numeric quote",IF(H304=F304,IF(ISNUMBER(P304),"Complete unit","Price required"),"Partial package: price required"))))</x:f>
        <x:v>Complete unit</x:v>
      </x:c>
      <x:c r="U304" s="2" t="str">
        <x:v>TEN-8217BB19EBF1</x:v>
      </x:c>
      <x:c r="V304" s="2" t="str">
        <x:v>Finance &amp; insurance</x:v>
      </x:c>
      <x:c r="W304" s="2" t="str">
        <x:v>Large enterprise</x:v>
      </x:c>
      <x:c r="X304" s="17" t="n">
        <x:f>IF(AND(H304=F304,NOT(ISNUMBER(N304)),N304="",ISNUMBER(K304)),K304,0)</x:f>
        <x:v>0</x:v>
      </x:c>
      <x:c r="Y304" s="17" t="n">
        <x:f>IF(AND(H304=F304,NOT(ISNUMBER(N304)),N304="",K304="",ISNUMBER(O304)),O304,0)</x:f>
        <x:v>40000</x:v>
      </x:c>
      <x:c r="Z304" s="17" t="n">
        <x:f>IF(AND(H304&gt;0,ISNUMBER(N304)),N304,0)</x:f>
        <x:v>0</x:v>
      </x:c>
      <x:c r="AA304" s="2" t="n">
        <x:f>IF(AND(H304&gt;0,N304="",NOT(ISNUMBER(Q304))),1,0)</x:f>
        <x:v>0</x:v>
      </x:c>
      <x:c r="AB304" s="2" t="n">
        <x:f>IF(AND(H304&gt;0,N304&lt;&gt;"",NOT(ISNUMBER(N304))),1,0)</x:f>
        <x:v>0</x:v>
      </x:c>
    </x:row>
    <x:row r="305" ht="48" customHeight="1">
      <x:c r="A305" s="2" t="str">
        <x:v>MAIN-294</x:v>
      </x:c>
      <x:c r="B305" s="2" t="str">
        <x:v>Main</x:v>
      </x:c>
      <x:c r="C305" s="2" t="str">
        <x:v>Mumbai</x:v>
      </x:c>
      <x:c r="D305" s="12" t="str">
        <x:v>Avior Corporate Park</x:v>
      </x:c>
      <x:c r="E305" s="12" t="str">
        <x:v>32 inch LED TV</x:v>
      </x:c>
      <x:c r="F305" s="2" t="n">
        <x:v>1</x:v>
      </x:c>
      <x:c r="G305" s="2" t="n">
        <x:v>39</x:v>
      </x:c>
      <x:c r="H305" s="2" t="n">
        <x:f>COUNTIFS('Inventory'!$N$7:$N$783,A305,'Inventory'!$A$7:$A$783,1)</x:f>
        <x:v>1</x:v>
      </x:c>
      <x:c r="I305" s="2" t="n">
        <x:f>SUMIFS('Inventory'!$G$7:$G$783,'Inventory'!$N$7:$N$783,A305,'Inventory'!$A$7:$A$783,1)</x:f>
        <x:v>39</x:v>
      </x:c>
      <x:c r="J305" s="12" t="str">
        <x:v>Listed budget</x:v>
      </x:c>
      <x:c r="K305" s="17" t="n">
        <x:v>585000</x:v>
      </x:c>
      <x:c r="L305" s="17"/>
      <x:c r="M305" s="17"/>
      <x:c r="N305" s="19"/>
      <x:c r="O305" s="17" t="str">
        <x:f>IF(ISNUMBER(L305),G305*L305,IF(ISNUMBER(M305),M305,""))</x:f>
      </x:c>
      <x:c r="P305" s="17" t="n">
        <x:f>IF(ISNUMBER(K305),K305,IF(ISNUMBER(O305),O305,""))</x:f>
        <x:v>585000</x:v>
      </x:c>
      <x:c r="Q305" s="17" t="n">
        <x:f>IF(H305=0,0,IF(ISNUMBER(N305),N305,IF(N305="",IF(H305=F305,P305,""),"")))</x:f>
        <x:v>585000</x:v>
      </x:c>
      <x:c r="R305" s="17" t="n">
        <x:f>IF(ISNUMBER(Q305),ROUND(Q305*$C$4,2),"")</x:f>
        <x:v>105300</x:v>
      </x:c>
      <x:c r="S305" s="17" t="n">
        <x:f>IF(ISNUMBER(Q305),Q305+R305,"")</x:f>
        <x:v>690300</x:v>
      </x:c>
      <x:c r="T305" s="2" t="str">
        <x:f>IF(H305=0,"Not selected",IF(ISNUMBER(N305),"Quote entered",IF(N305&lt;&gt;"","Enter numeric quote",IF(H305=F305,IF(ISNUMBER(P305),"Complete unit","Price required"),"Partial package: price required"))))</x:f>
        <x:v>Complete unit</x:v>
      </x:c>
      <x:c r="U305" s="2" t="str">
        <x:v>TEN-0FBBCA859902; TEN-17DC2BB3BD30; TEN-201CFFEC4ACD; TEN-2592FDF194F6; TEN-511D184A4002; TEN-BC193D0D7F42; TEN-C0BC2A1F1E0F; TEN-C1EA652089D1; TEN-CE5430F7ABD8; TEN-EAEBA0777B03</x:v>
      </x:c>
      <x:c r="V305" s="2" t="str">
        <x:v>IT &amp; digital; Professional services; Engineering &amp; manufacturing; Education; Trade, consumer &amp; logistics; Unresolved</x:v>
      </x:c>
      <x:c r="W305" s="2" t="str">
        <x:v>Small-scale prospects; Medium-scale prospects; Mixed business audience</x:v>
      </x:c>
      <x:c r="X305" s="17" t="n">
        <x:f>IF(AND(H305=F305,NOT(ISNUMBER(N305)),N305="",ISNUMBER(K305)),K305,0)</x:f>
        <x:v>585000</x:v>
      </x:c>
      <x:c r="Y305" s="17" t="n">
        <x:f>IF(AND(H305=F305,NOT(ISNUMBER(N305)),N305="",K305="",ISNUMBER(O305)),O305,0)</x:f>
        <x:v>0</x:v>
      </x:c>
      <x:c r="Z305" s="17" t="n">
        <x:f>IF(AND(H305&gt;0,ISNUMBER(N305)),N305,0)</x:f>
        <x:v>0</x:v>
      </x:c>
      <x:c r="AA305" s="2" t="n">
        <x:f>IF(AND(H305&gt;0,N305="",NOT(ISNUMBER(Q305))),1,0)</x:f>
        <x:v>0</x:v>
      </x:c>
      <x:c r="AB305" s="2" t="n">
        <x:f>IF(AND(H305&gt;0,N305&lt;&gt;"",NOT(ISNUMBER(N305))),1,0)</x:f>
        <x:v>0</x:v>
      </x:c>
    </x:row>
    <x:row r="306" ht="48" customHeight="1">
      <x:c r="A306" s="2" t="str">
        <x:v>MAIN-295</x:v>
      </x:c>
      <x:c r="B306" s="2" t="str">
        <x:v>Main</x:v>
      </x:c>
      <x:c r="C306" s="2" t="str">
        <x:v>Mumbai</x:v>
      </x:c>
      <x:c r="D306" s="12" t="str">
        <x:v>Awfis - Adani Inspire, BKC</x:v>
      </x:c>
      <x:c r="E306" s="12" t="str">
        <x:v>32 inch LED TV</x:v>
      </x:c>
      <x:c r="F306" s="2" t="n">
        <x:v>1</x:v>
      </x:c>
      <x:c r="G306" s="2" t="n">
        <x:v>1</x:v>
      </x:c>
      <x:c r="H306" s="2" t="n">
        <x:f>COUNTIFS('Inventory'!$N$7:$N$783,A306,'Inventory'!$A$7:$A$783,1)</x:f>
        <x:v>1</x:v>
      </x:c>
      <x:c r="I306" s="2" t="n">
        <x:f>SUMIFS('Inventory'!$G$7:$G$783,'Inventory'!$N$7:$N$783,A306,'Inventory'!$A$7:$A$783,1)</x:f>
        <x:v>1</x:v>
      </x:c>
      <x:c r="J306" s="12" t="str">
        <x:v>Listed budget</x:v>
      </x:c>
      <x:c r="K306" s="17" t="n">
        <x:v>15000</x:v>
      </x:c>
      <x:c r="L306" s="17"/>
      <x:c r="M306" s="17"/>
      <x:c r="N306" s="19"/>
      <x:c r="O306" s="17" t="str">
        <x:f>IF(ISNUMBER(L306),G306*L306,IF(ISNUMBER(M306),M306,""))</x:f>
      </x:c>
      <x:c r="P306" s="17" t="n">
        <x:f>IF(ISNUMBER(K306),K306,IF(ISNUMBER(O306),O306,""))</x:f>
        <x:v>15000</x:v>
      </x:c>
      <x:c r="Q306" s="17" t="n">
        <x:f>IF(H306=0,0,IF(ISNUMBER(N306),N306,IF(N306="",IF(H306=F306,P306,""),"")))</x:f>
        <x:v>15000</x:v>
      </x:c>
      <x:c r="R306" s="17" t="n">
        <x:f>IF(ISNUMBER(Q306),ROUND(Q306*$C$4,2),"")</x:f>
        <x:v>2700</x:v>
      </x:c>
      <x:c r="S306" s="17" t="n">
        <x:f>IF(ISNUMBER(Q306),Q306+R306,"")</x:f>
        <x:v>17700</x:v>
      </x:c>
      <x:c r="T306" s="2" t="str">
        <x:f>IF(H306=0,"Not selected",IF(ISNUMBER(N306),"Quote entered",IF(N306&lt;&gt;"","Enter numeric quote",IF(H306=F306,IF(ISNUMBER(P306),"Complete unit","Price required"),"Partial package: price required"))))</x:f>
        <x:v>Complete unit</x:v>
      </x:c>
      <x:c r="U306" s="2" t="str">
        <x:v>TEN-5362C2C3DA52; TEN-705C1B5267C6; TEN-7FC379543F07; TEN-A5BCAFB06351; TEN-B3C6A33B50CF</x:v>
      </x:c>
      <x:c r="V306" s="2" t="str">
        <x:v>Finance &amp; insurance; Engineering &amp; manufacturing; Unresolved</x:v>
      </x:c>
      <x:c r="W306" s="2" t="str">
        <x:v>Medium-scale prospects; Mixed business audience</x:v>
      </x:c>
      <x:c r="X306" s="17" t="n">
        <x:f>IF(AND(H306=F306,NOT(ISNUMBER(N306)),N306="",ISNUMBER(K306)),K306,0)</x:f>
        <x:v>15000</x:v>
      </x:c>
      <x:c r="Y306" s="17" t="n">
        <x:f>IF(AND(H306=F306,NOT(ISNUMBER(N306)),N306="",K306="",ISNUMBER(O306)),O306,0)</x:f>
        <x:v>0</x:v>
      </x:c>
      <x:c r="Z306" s="17" t="n">
        <x:f>IF(AND(H306&gt;0,ISNUMBER(N306)),N306,0)</x:f>
        <x:v>0</x:v>
      </x:c>
      <x:c r="AA306" s="2" t="n">
        <x:f>IF(AND(H306&gt;0,N306="",NOT(ISNUMBER(Q306))),1,0)</x:f>
        <x:v>0</x:v>
      </x:c>
      <x:c r="AB306" s="2" t="n">
        <x:f>IF(AND(H306&gt;0,N306&lt;&gt;"",NOT(ISNUMBER(N306))),1,0)</x:f>
        <x:v>0</x:v>
      </x:c>
    </x:row>
    <x:row r="307" ht="48" customHeight="1">
      <x:c r="A307" s="2" t="str">
        <x:v>MAIN-296</x:v>
      </x:c>
      <x:c r="B307" s="2" t="str">
        <x:v>Main</x:v>
      </x:c>
      <x:c r="C307" s="2" t="str">
        <x:v>Mumbai</x:v>
      </x:c>
      <x:c r="D307" s="12" t="str">
        <x:v>Awfis - Cyber One</x:v>
      </x:c>
      <x:c r="E307" s="12" t="str">
        <x:v>32 inch LED TV</x:v>
      </x:c>
      <x:c r="F307" s="2" t="n">
        <x:v>1</x:v>
      </x:c>
      <x:c r="G307" s="2" t="n">
        <x:v>1</x:v>
      </x:c>
      <x:c r="H307" s="2" t="n">
        <x:f>COUNTIFS('Inventory'!$N$7:$N$783,A307,'Inventory'!$A$7:$A$783,1)</x:f>
        <x:v>1</x:v>
      </x:c>
      <x:c r="I307" s="2" t="n">
        <x:f>SUMIFS('Inventory'!$G$7:$G$783,'Inventory'!$N$7:$N$783,A307,'Inventory'!$A$7:$A$783,1)</x:f>
        <x:v>1</x:v>
      </x:c>
      <x:c r="J307" s="12" t="str">
        <x:v>Listed budget</x:v>
      </x:c>
      <x:c r="K307" s="17" t="n">
        <x:v>15000</x:v>
      </x:c>
      <x:c r="L307" s="17"/>
      <x:c r="M307" s="17"/>
      <x:c r="N307" s="19"/>
      <x:c r="O307" s="17" t="str">
        <x:f>IF(ISNUMBER(L307),G307*L307,IF(ISNUMBER(M307),M307,""))</x:f>
      </x:c>
      <x:c r="P307" s="17" t="n">
        <x:f>IF(ISNUMBER(K307),K307,IF(ISNUMBER(O307),O307,""))</x:f>
        <x:v>15000</x:v>
      </x:c>
      <x:c r="Q307" s="17" t="n">
        <x:f>IF(H307=0,0,IF(ISNUMBER(N307),N307,IF(N307="",IF(H307=F307,P307,""),"")))</x:f>
        <x:v>15000</x:v>
      </x:c>
      <x:c r="R307" s="17" t="n">
        <x:f>IF(ISNUMBER(Q307),ROUND(Q307*$C$4,2),"")</x:f>
        <x:v>2700</x:v>
      </x:c>
      <x:c r="S307" s="17" t="n">
        <x:f>IF(ISNUMBER(Q307),Q307+R307,"")</x:f>
        <x:v>17700</x:v>
      </x:c>
      <x:c r="T307" s="2" t="str">
        <x:f>IF(H307=0,"Not selected",IF(ISNUMBER(N307),"Quote entered",IF(N307&lt;&gt;"","Enter numeric quote",IF(H307=F307,IF(ISNUMBER(P307),"Complete unit","Price required"),"Partial package: price required"))))</x:f>
        <x:v>Complete unit</x:v>
      </x:c>
      <x:c r="U307" s="2" t="str">
        <x:v>TEN-355F52D9EF7F; TEN-371A223F5468; TEN-479084FF9511; TEN-61D4EDA9A318; TEN-7E64662BC085; TEN-8808F6FA4B8D; TEN-904C75C4FCE9; TEN-A2BE5E2994D8; TEN-CA17E7D3259A</x:v>
      </x:c>
      <x:c r="V307" s="2" t="str">
        <x:v>IT &amp; digital; Professional services; Engineering &amp; manufacturing; Healthcare &amp; life sciences; Education; Unresolved</x:v>
      </x:c>
      <x:c r="W307" s="2" t="str">
        <x:v>Small-scale prospects; Mixed business audience</x:v>
      </x:c>
      <x:c r="X307" s="17" t="n">
        <x:f>IF(AND(H307=F307,NOT(ISNUMBER(N307)),N307="",ISNUMBER(K307)),K307,0)</x:f>
        <x:v>15000</x:v>
      </x:c>
      <x:c r="Y307" s="17" t="n">
        <x:f>IF(AND(H307=F307,NOT(ISNUMBER(N307)),N307="",K307="",ISNUMBER(O307)),O307,0)</x:f>
        <x:v>0</x:v>
      </x:c>
      <x:c r="Z307" s="17" t="n">
        <x:f>IF(AND(H307&gt;0,ISNUMBER(N307)),N307,0)</x:f>
        <x:v>0</x:v>
      </x:c>
      <x:c r="AA307" s="2" t="n">
        <x:f>IF(AND(H307&gt;0,N307="",NOT(ISNUMBER(Q307))),1,0)</x:f>
        <x:v>0</x:v>
      </x:c>
      <x:c r="AB307" s="2" t="n">
        <x:f>IF(AND(H307&gt;0,N307&lt;&gt;"",NOT(ISNUMBER(N307))),1,0)</x:f>
        <x:v>0</x:v>
      </x:c>
    </x:row>
    <x:row r="308" ht="48" customHeight="1">
      <x:c r="A308" s="2" t="str">
        <x:v>MAIN-297</x:v>
      </x:c>
      <x:c r="B308" s="2" t="str">
        <x:v>Main</x:v>
      </x:c>
      <x:c r="C308" s="2" t="str">
        <x:v>Mumbai</x:v>
      </x:c>
      <x:c r="D308" s="12" t="str">
        <x:v>Awfis - Empire Tower</x:v>
      </x:c>
      <x:c r="E308" s="12" t="str">
        <x:v>32 inch LED TV</x:v>
      </x:c>
      <x:c r="F308" s="2" t="n">
        <x:v>1</x:v>
      </x:c>
      <x:c r="G308" s="2" t="n">
        <x:v>1</x:v>
      </x:c>
      <x:c r="H308" s="2" t="n">
        <x:f>COUNTIFS('Inventory'!$N$7:$N$783,A308,'Inventory'!$A$7:$A$783,1)</x:f>
        <x:v>1</x:v>
      </x:c>
      <x:c r="I308" s="2" t="n">
        <x:f>SUMIFS('Inventory'!$G$7:$G$783,'Inventory'!$N$7:$N$783,A308,'Inventory'!$A$7:$A$783,1)</x:f>
        <x:v>1</x:v>
      </x:c>
      <x:c r="J308" s="12" t="str">
        <x:v>Listed budget</x:v>
      </x:c>
      <x:c r="K308" s="17" t="n">
        <x:v>15000</x:v>
      </x:c>
      <x:c r="L308" s="17"/>
      <x:c r="M308" s="17"/>
      <x:c r="N308" s="19"/>
      <x:c r="O308" s="17" t="str">
        <x:f>IF(ISNUMBER(L308),G308*L308,IF(ISNUMBER(M308),M308,""))</x:f>
      </x:c>
      <x:c r="P308" s="17" t="n">
        <x:f>IF(ISNUMBER(K308),K308,IF(ISNUMBER(O308),O308,""))</x:f>
        <x:v>15000</x:v>
      </x:c>
      <x:c r="Q308" s="17" t="n">
        <x:f>IF(H308=0,0,IF(ISNUMBER(N308),N308,IF(N308="",IF(H308=F308,P308,""),"")))</x:f>
        <x:v>15000</x:v>
      </x:c>
      <x:c r="R308" s="17" t="n">
        <x:f>IF(ISNUMBER(Q308),ROUND(Q308*$C$4,2),"")</x:f>
        <x:v>2700</x:v>
      </x:c>
      <x:c r="S308" s="17" t="n">
        <x:f>IF(ISNUMBER(Q308),Q308+R308,"")</x:f>
        <x:v>17700</x:v>
      </x:c>
      <x:c r="T308" s="2" t="str">
        <x:f>IF(H308=0,"Not selected",IF(ISNUMBER(N308),"Quote entered",IF(N308&lt;&gt;"","Enter numeric quote",IF(H308=F308,IF(ISNUMBER(P308),"Complete unit","Price required"),"Partial package: price required"))))</x:f>
        <x:v>Complete unit</x:v>
      </x:c>
      <x:c r="U308" s="2" t="str">
        <x:v>TEN-458F293830E4; TEN-5BBB79904634; TEN-8FA9382A9706; TEN-CF94E9B95014; TEN-D0B98ADA645D</x:v>
      </x:c>
      <x:c r="V308" s="2" t="str">
        <x:v>IT &amp; digital; Engineering &amp; manufacturing; Healthcare &amp; life sciences</x:v>
      </x:c>
      <x:c r="W308" s="2" t="str">
        <x:v>Mixed business audience</x:v>
      </x:c>
      <x:c r="X308" s="17" t="n">
        <x:f>IF(AND(H308=F308,NOT(ISNUMBER(N308)),N308="",ISNUMBER(K308)),K308,0)</x:f>
        <x:v>15000</x:v>
      </x:c>
      <x:c r="Y308" s="17" t="n">
        <x:f>IF(AND(H308=F308,NOT(ISNUMBER(N308)),N308="",K308="",ISNUMBER(O308)),O308,0)</x:f>
        <x:v>0</x:v>
      </x:c>
      <x:c r="Z308" s="17" t="n">
        <x:f>IF(AND(H308&gt;0,ISNUMBER(N308)),N308,0)</x:f>
        <x:v>0</x:v>
      </x:c>
      <x:c r="AA308" s="2" t="n">
        <x:f>IF(AND(H308&gt;0,N308="",NOT(ISNUMBER(Q308))),1,0)</x:f>
        <x:v>0</x:v>
      </x:c>
      <x:c r="AB308" s="2" t="n">
        <x:f>IF(AND(H308&gt;0,N308&lt;&gt;"",NOT(ISNUMBER(N308))),1,0)</x:f>
        <x:v>0</x:v>
      </x:c>
    </x:row>
    <x:row r="309" ht="48" customHeight="1">
      <x:c r="A309" s="2" t="str">
        <x:v>MAIN-298</x:v>
      </x:c>
      <x:c r="B309" s="2" t="str">
        <x:v>Main</x:v>
      </x:c>
      <x:c r="C309" s="2" t="str">
        <x:v>Mumbai</x:v>
      </x:c>
      <x:c r="D309" s="12" t="str">
        <x:v>Awfis - Kalpataru Prime</x:v>
      </x:c>
      <x:c r="E309" s="12" t="str">
        <x:v>32 inch LED TV</x:v>
      </x:c>
      <x:c r="F309" s="2" t="n">
        <x:v>1</x:v>
      </x:c>
      <x:c r="G309" s="2" t="n">
        <x:v>2</x:v>
      </x:c>
      <x:c r="H309" s="2" t="n">
        <x:f>COUNTIFS('Inventory'!$N$7:$N$783,A309,'Inventory'!$A$7:$A$783,1)</x:f>
        <x:v>1</x:v>
      </x:c>
      <x:c r="I309" s="2" t="n">
        <x:f>SUMIFS('Inventory'!$G$7:$G$783,'Inventory'!$N$7:$N$783,A309,'Inventory'!$A$7:$A$783,1)</x:f>
        <x:v>2</x:v>
      </x:c>
      <x:c r="J309" s="12" t="str">
        <x:v>Estimate: same-site rate</x:v>
      </x:c>
      <x:c r="K309" s="17"/>
      <x:c r="L309" s="17" t="n">
        <x:v>15000</x:v>
      </x:c>
      <x:c r="M309" s="17"/>
      <x:c r="N309" s="19"/>
      <x:c r="O309" s="17" t="n">
        <x:f>IF(ISNUMBER(L309),G309*L309,IF(ISNUMBER(M309),M309,""))</x:f>
        <x:v>30000</x:v>
      </x:c>
      <x:c r="P309" s="17" t="n">
        <x:f>IF(ISNUMBER(K309),K309,IF(ISNUMBER(O309),O309,""))</x:f>
        <x:v>30000</x:v>
      </x:c>
      <x:c r="Q309" s="17" t="n">
        <x:f>IF(H309=0,0,IF(ISNUMBER(N309),N309,IF(N309="",IF(H309=F309,P309,""),"")))</x:f>
        <x:v>30000</x:v>
      </x:c>
      <x:c r="R309" s="17" t="n">
        <x:f>IF(ISNUMBER(Q309),ROUND(Q309*$C$4,2),"")</x:f>
        <x:v>5400</x:v>
      </x:c>
      <x:c r="S309" s="17" t="n">
        <x:f>IF(ISNUMBER(Q309),Q309+R309,"")</x:f>
        <x:v>35400</x:v>
      </x:c>
      <x:c r="T309" s="2" t="str">
        <x:f>IF(H309=0,"Not selected",IF(ISNUMBER(N309),"Quote entered",IF(N309&lt;&gt;"","Enter numeric quote",IF(H309=F309,IF(ISNUMBER(P309),"Complete unit","Price required"),"Partial package: price required"))))</x:f>
        <x:v>Complete unit</x:v>
      </x:c>
      <x:c r="U309" s="2" t="str">
        <x:v>TEN-3702E185B519; TEN-3CE3F5332C33; TEN-5393AAF00CE1; TEN-8902B4CC832B; TEN-8D75FBD6F92C; TEN-9D4238E274CB; TEN-A2107A1D62E5; TEN-BEAAFA510BCC; TEN-C10188F01158</x:v>
      </x:c>
      <x:c r="V309" s="2" t="str">
        <x:v>Professional services; Unresolved</x:v>
      </x:c>
      <x:c r="W309" s="2" t="str">
        <x:v>Mixed business audience</x:v>
      </x:c>
      <x:c r="X309" s="17" t="n">
        <x:f>IF(AND(H309=F309,NOT(ISNUMBER(N309)),N309="",ISNUMBER(K309)),K309,0)</x:f>
        <x:v>0</x:v>
      </x:c>
      <x:c r="Y309" s="17" t="n">
        <x:f>IF(AND(H309=F309,NOT(ISNUMBER(N309)),N309="",K309="",ISNUMBER(O309)),O309,0)</x:f>
        <x:v>30000</x:v>
      </x:c>
      <x:c r="Z309" s="17" t="n">
        <x:f>IF(AND(H309&gt;0,ISNUMBER(N309)),N309,0)</x:f>
        <x:v>0</x:v>
      </x:c>
      <x:c r="AA309" s="2" t="n">
        <x:f>IF(AND(H309&gt;0,N309="",NOT(ISNUMBER(Q309))),1,0)</x:f>
        <x:v>0</x:v>
      </x:c>
      <x:c r="AB309" s="2" t="n">
        <x:f>IF(AND(H309&gt;0,N309&lt;&gt;"",NOT(ISNUMBER(N309))),1,0)</x:f>
        <x:v>0</x:v>
      </x:c>
    </x:row>
    <x:row r="310" ht="48" customHeight="1">
      <x:c r="A310" s="2" t="str">
        <x:v>MAIN-299</x:v>
      </x:c>
      <x:c r="B310" s="2" t="str">
        <x:v>Main</x:v>
      </x:c>
      <x:c r="C310" s="2" t="str">
        <x:v>Mumbai</x:v>
      </x:c>
      <x:c r="D310" s="12" t="str">
        <x:v>Awfis - Lodha IThink</x:v>
      </x:c>
      <x:c r="E310" s="12" t="str">
        <x:v>32 inch LED TV</x:v>
      </x:c>
      <x:c r="F310" s="2" t="n">
        <x:v>1</x:v>
      </x:c>
      <x:c r="G310" s="2" t="n">
        <x:v>1</x:v>
      </x:c>
      <x:c r="H310" s="2" t="n">
        <x:f>COUNTIFS('Inventory'!$N$7:$N$783,A310,'Inventory'!$A$7:$A$783,1)</x:f>
        <x:v>1</x:v>
      </x:c>
      <x:c r="I310" s="2" t="n">
        <x:f>SUMIFS('Inventory'!$G$7:$G$783,'Inventory'!$N$7:$N$783,A310,'Inventory'!$A$7:$A$783,1)</x:f>
        <x:v>1</x:v>
      </x:c>
      <x:c r="J310" s="12" t="str">
        <x:v>Listed budget</x:v>
      </x:c>
      <x:c r="K310" s="17" t="n">
        <x:v>15000</x:v>
      </x:c>
      <x:c r="L310" s="17"/>
      <x:c r="M310" s="17"/>
      <x:c r="N310" s="19"/>
      <x:c r="O310" s="17" t="str">
        <x:f>IF(ISNUMBER(L310),G310*L310,IF(ISNUMBER(M310),M310,""))</x:f>
      </x:c>
      <x:c r="P310" s="17" t="n">
        <x:f>IF(ISNUMBER(K310),K310,IF(ISNUMBER(O310),O310,""))</x:f>
        <x:v>15000</x:v>
      </x:c>
      <x:c r="Q310" s="17" t="n">
        <x:f>IF(H310=0,0,IF(ISNUMBER(N310),N310,IF(N310="",IF(H310=F310,P310,""),"")))</x:f>
        <x:v>15000</x:v>
      </x:c>
      <x:c r="R310" s="17" t="n">
        <x:f>IF(ISNUMBER(Q310),ROUND(Q310*$C$4,2),"")</x:f>
        <x:v>2700</x:v>
      </x:c>
      <x:c r="S310" s="17" t="n">
        <x:f>IF(ISNUMBER(Q310),Q310+R310,"")</x:f>
        <x:v>17700</x:v>
      </x:c>
      <x:c r="T310" s="2" t="str">
        <x:f>IF(H310=0,"Not selected",IF(ISNUMBER(N310),"Quote entered",IF(N310&lt;&gt;"","Enter numeric quote",IF(H310=F310,IF(ISNUMBER(P310),"Complete unit","Price required"),"Partial package: price required"))))</x:f>
        <x:v>Complete unit</x:v>
      </x:c>
      <x:c r="U310" s="2" t="str">
        <x:v>TEN-4DB086C6D158; TEN-859FAA1E34CC; TEN-8D7782804191; TEN-C8FC51571F17</x:v>
      </x:c>
      <x:c r="V310" s="2" t="str">
        <x:v>Finance &amp; insurance; Engineering &amp; manufacturing; Unresolved</x:v>
      </x:c>
      <x:c r="W310" s="2" t="str">
        <x:v>Medium-scale prospects; Mixed business audience</x:v>
      </x:c>
      <x:c r="X310" s="17" t="n">
        <x:f>IF(AND(H310=F310,NOT(ISNUMBER(N310)),N310="",ISNUMBER(K310)),K310,0)</x:f>
        <x:v>15000</x:v>
      </x:c>
      <x:c r="Y310" s="17" t="n">
        <x:f>IF(AND(H310=F310,NOT(ISNUMBER(N310)),N310="",K310="",ISNUMBER(O310)),O310,0)</x:f>
        <x:v>0</x:v>
      </x:c>
      <x:c r="Z310" s="17" t="n">
        <x:f>IF(AND(H310&gt;0,ISNUMBER(N310)),N310,0)</x:f>
        <x:v>0</x:v>
      </x:c>
      <x:c r="AA310" s="2" t="n">
        <x:f>IF(AND(H310&gt;0,N310="",NOT(ISNUMBER(Q310))),1,0)</x:f>
        <x:v>0</x:v>
      </x:c>
      <x:c r="AB310" s="2" t="n">
        <x:f>IF(AND(H310&gt;0,N310&lt;&gt;"",NOT(ISNUMBER(N310))),1,0)</x:f>
        <x:v>0</x:v>
      </x:c>
    </x:row>
    <x:row r="311" ht="48" customHeight="1">
      <x:c r="A311" s="2" t="str">
        <x:v>MAIN-300</x:v>
      </x:c>
      <x:c r="B311" s="2" t="str">
        <x:v>Main</x:v>
      </x:c>
      <x:c r="C311" s="2" t="str">
        <x:v>Mumbai</x:v>
      </x:c>
      <x:c r="D311" s="12" t="str">
        <x:v>Awfis - Lokhandwala Aston Building</x:v>
      </x:c>
      <x:c r="E311" s="12" t="str">
        <x:v>32 inch LED TV</x:v>
      </x:c>
      <x:c r="F311" s="2" t="n">
        <x:v>1</x:v>
      </x:c>
      <x:c r="G311" s="2" t="n">
        <x:v>1</x:v>
      </x:c>
      <x:c r="H311" s="2" t="n">
        <x:f>COUNTIFS('Inventory'!$N$7:$N$783,A311,'Inventory'!$A$7:$A$783,1)</x:f>
        <x:v>1</x:v>
      </x:c>
      <x:c r="I311" s="2" t="n">
        <x:f>SUMIFS('Inventory'!$G$7:$G$783,'Inventory'!$N$7:$N$783,A311,'Inventory'!$A$7:$A$783,1)</x:f>
        <x:v>1</x:v>
      </x:c>
      <x:c r="J311" s="12" t="str">
        <x:v>Listed budget</x:v>
      </x:c>
      <x:c r="K311" s="17" t="n">
        <x:v>15000</x:v>
      </x:c>
      <x:c r="L311" s="17"/>
      <x:c r="M311" s="17"/>
      <x:c r="N311" s="19"/>
      <x:c r="O311" s="17" t="str">
        <x:f>IF(ISNUMBER(L311),G311*L311,IF(ISNUMBER(M311),M311,""))</x:f>
      </x:c>
      <x:c r="P311" s="17" t="n">
        <x:f>IF(ISNUMBER(K311),K311,IF(ISNUMBER(O311),O311,""))</x:f>
        <x:v>15000</x:v>
      </x:c>
      <x:c r="Q311" s="17" t="n">
        <x:f>IF(H311=0,0,IF(ISNUMBER(N311),N311,IF(N311="",IF(H311=F311,P311,""),"")))</x:f>
        <x:v>15000</x:v>
      </x:c>
      <x:c r="R311" s="17" t="n">
        <x:f>IF(ISNUMBER(Q311),ROUND(Q311*$C$4,2),"")</x:f>
        <x:v>2700</x:v>
      </x:c>
      <x:c r="S311" s="17" t="n">
        <x:f>IF(ISNUMBER(Q311),Q311+R311,"")</x:f>
        <x:v>17700</x:v>
      </x:c>
      <x:c r="T311" s="2" t="str">
        <x:f>IF(H311=0,"Not selected",IF(ISNUMBER(N311),"Quote entered",IF(N311&lt;&gt;"","Enter numeric quote",IF(H311=F311,IF(ISNUMBER(P311),"Complete unit","Price required"),"Partial package: price required"))))</x:f>
        <x:v>Complete unit</x:v>
      </x:c>
      <x:c r="U311" s="2" t="str">
        <x:v>TEN-00CDD24B4743; TEN-166DE523A0A8; TEN-3CF778DB1DB4; TEN-3FB64171B8B2; TEN-5DD986B04CFE; TEN-861283AE7D6D; TEN-93A2EEF4D997; TEN-CEAA3A09F22D; TEN-D2E4BC60D287; TEN-DB3A04A96C4C</x:v>
      </x:c>
      <x:c r="V311" s="2" t="str">
        <x:v>Professional services; Healthcare &amp; life sciences; Trade, consumer &amp; logistics; Unresolved</x:v>
      </x:c>
      <x:c r="W311" s="2" t="str">
        <x:v>Small-scale prospects; Medium-scale prospects; Mixed business audience</x:v>
      </x:c>
      <x:c r="X311" s="17" t="n">
        <x:f>IF(AND(H311=F311,NOT(ISNUMBER(N311)),N311="",ISNUMBER(K311)),K311,0)</x:f>
        <x:v>15000</x:v>
      </x:c>
      <x:c r="Y311" s="17" t="n">
        <x:f>IF(AND(H311=F311,NOT(ISNUMBER(N311)),N311="",K311="",ISNUMBER(O311)),O311,0)</x:f>
        <x:v>0</x:v>
      </x:c>
      <x:c r="Z311" s="17" t="n">
        <x:f>IF(AND(H311&gt;0,ISNUMBER(N311)),N311,0)</x:f>
        <x:v>0</x:v>
      </x:c>
      <x:c r="AA311" s="2" t="n">
        <x:f>IF(AND(H311&gt;0,N311="",NOT(ISNUMBER(Q311))),1,0)</x:f>
        <x:v>0</x:v>
      </x:c>
      <x:c r="AB311" s="2" t="n">
        <x:f>IF(AND(H311&gt;0,N311&lt;&gt;"",NOT(ISNUMBER(N311))),1,0)</x:f>
        <x:v>0</x:v>
      </x:c>
    </x:row>
    <x:row r="312" ht="48" customHeight="1">
      <x:c r="A312" s="2" t="str">
        <x:v>MAIN-301</x:v>
      </x:c>
      <x:c r="B312" s="2" t="str">
        <x:v>Main</x:v>
      </x:c>
      <x:c r="C312" s="2" t="str">
        <x:v>Mumbai</x:v>
      </x:c>
      <x:c r="D312" s="12" t="str">
        <x:v>Awfis - Raheja Titanium</x:v>
      </x:c>
      <x:c r="E312" s="12" t="str">
        <x:v>32 inch LED TV</x:v>
      </x:c>
      <x:c r="F312" s="2" t="n">
        <x:v>1</x:v>
      </x:c>
      <x:c r="G312" s="2" t="n">
        <x:v>1</x:v>
      </x:c>
      <x:c r="H312" s="2" t="n">
        <x:f>COUNTIFS('Inventory'!$N$7:$N$783,A312,'Inventory'!$A$7:$A$783,1)</x:f>
        <x:v>1</x:v>
      </x:c>
      <x:c r="I312" s="2" t="n">
        <x:f>SUMIFS('Inventory'!$G$7:$G$783,'Inventory'!$N$7:$N$783,A312,'Inventory'!$A$7:$A$783,1)</x:f>
        <x:v>1</x:v>
      </x:c>
      <x:c r="J312" s="12" t="str">
        <x:v>Listed budget</x:v>
      </x:c>
      <x:c r="K312" s="17" t="n">
        <x:v>15000</x:v>
      </x:c>
      <x:c r="L312" s="17"/>
      <x:c r="M312" s="17"/>
      <x:c r="N312" s="19"/>
      <x:c r="O312" s="17" t="str">
        <x:f>IF(ISNUMBER(L312),G312*L312,IF(ISNUMBER(M312),M312,""))</x:f>
      </x:c>
      <x:c r="P312" s="17" t="n">
        <x:f>IF(ISNUMBER(K312),K312,IF(ISNUMBER(O312),O312,""))</x:f>
        <x:v>15000</x:v>
      </x:c>
      <x:c r="Q312" s="17" t="n">
        <x:f>IF(H312=0,0,IF(ISNUMBER(N312),N312,IF(N312="",IF(H312=F312,P312,""),"")))</x:f>
        <x:v>15000</x:v>
      </x:c>
      <x:c r="R312" s="17" t="n">
        <x:f>IF(ISNUMBER(Q312),ROUND(Q312*$C$4,2),"")</x:f>
        <x:v>2700</x:v>
      </x:c>
      <x:c r="S312" s="17" t="n">
        <x:f>IF(ISNUMBER(Q312),Q312+R312,"")</x:f>
        <x:v>17700</x:v>
      </x:c>
      <x:c r="T312" s="2" t="str">
        <x:f>IF(H312=0,"Not selected",IF(ISNUMBER(N312),"Quote entered",IF(N312&lt;&gt;"","Enter numeric quote",IF(H312=F312,IF(ISNUMBER(P312),"Complete unit","Price required"),"Partial package: price required"))))</x:f>
        <x:v>Complete unit</x:v>
      </x:c>
      <x:c r="U312" s="2" t="str">
        <x:v>TEN-298147A4B3E2</x:v>
      </x:c>
      <x:c r="V312" s="2" t="str">
        <x:v>Workspace &amp; property operations</x:v>
      </x:c>
      <x:c r="W312" s="2" t="str">
        <x:v>Mixed business audience</x:v>
      </x:c>
      <x:c r="X312" s="17" t="n">
        <x:f>IF(AND(H312=F312,NOT(ISNUMBER(N312)),N312="",ISNUMBER(K312)),K312,0)</x:f>
        <x:v>15000</x:v>
      </x:c>
      <x:c r="Y312" s="17" t="n">
        <x:f>IF(AND(H312=F312,NOT(ISNUMBER(N312)),N312="",K312="",ISNUMBER(O312)),O312,0)</x:f>
        <x:v>0</x:v>
      </x:c>
      <x:c r="Z312" s="17" t="n">
        <x:f>IF(AND(H312&gt;0,ISNUMBER(N312)),N312,0)</x:f>
        <x:v>0</x:v>
      </x:c>
      <x:c r="AA312" s="2" t="n">
        <x:f>IF(AND(H312&gt;0,N312="",NOT(ISNUMBER(Q312))),1,0)</x:f>
        <x:v>0</x:v>
      </x:c>
      <x:c r="AB312" s="2" t="n">
        <x:f>IF(AND(H312&gt;0,N312&lt;&gt;"",NOT(ISNUMBER(N312))),1,0)</x:f>
        <x:v>0</x:v>
      </x:c>
    </x:row>
    <x:row r="313" ht="48" customHeight="1">
      <x:c r="A313" s="2" t="str">
        <x:v>MAIN-302</x:v>
      </x:c>
      <x:c r="B313" s="2" t="str">
        <x:v>Main</x:v>
      </x:c>
      <x:c r="C313" s="2" t="str">
        <x:v>Mumbai</x:v>
      </x:c>
      <x:c r="D313" s="12" t="str">
        <x:v>Awfis - Ruby Towers</x:v>
      </x:c>
      <x:c r="E313" s="12" t="str">
        <x:v>32 inch LED TV</x:v>
      </x:c>
      <x:c r="F313" s="2" t="n">
        <x:v>1</x:v>
      </x:c>
      <x:c r="G313" s="2" t="n">
        <x:v>2</x:v>
      </x:c>
      <x:c r="H313" s="2" t="n">
        <x:f>COUNTIFS('Inventory'!$N$7:$N$783,A313,'Inventory'!$A$7:$A$783,1)</x:f>
        <x:v>1</x:v>
      </x:c>
      <x:c r="I313" s="2" t="n">
        <x:f>SUMIFS('Inventory'!$G$7:$G$783,'Inventory'!$N$7:$N$783,A313,'Inventory'!$A$7:$A$783,1)</x:f>
        <x:v>2</x:v>
      </x:c>
      <x:c r="J313" s="12" t="str">
        <x:v>Listed budget</x:v>
      </x:c>
      <x:c r="K313" s="17" t="n">
        <x:v>30000</x:v>
      </x:c>
      <x:c r="L313" s="17"/>
      <x:c r="M313" s="17"/>
      <x:c r="N313" s="19"/>
      <x:c r="O313" s="17" t="str">
        <x:f>IF(ISNUMBER(L313),G313*L313,IF(ISNUMBER(M313),M313,""))</x:f>
      </x:c>
      <x:c r="P313" s="17" t="n">
        <x:f>IF(ISNUMBER(K313),K313,IF(ISNUMBER(O313),O313,""))</x:f>
        <x:v>30000</x:v>
      </x:c>
      <x:c r="Q313" s="17" t="n">
        <x:f>IF(H313=0,0,IF(ISNUMBER(N313),N313,IF(N313="",IF(H313=F313,P313,""),"")))</x:f>
        <x:v>30000</x:v>
      </x:c>
      <x:c r="R313" s="17" t="n">
        <x:f>IF(ISNUMBER(Q313),ROUND(Q313*$C$4,2),"")</x:f>
        <x:v>5400</x:v>
      </x:c>
      <x:c r="S313" s="17" t="n">
        <x:f>IF(ISNUMBER(Q313),Q313+R313,"")</x:f>
        <x:v>35400</x:v>
      </x:c>
      <x:c r="T313" s="2" t="str">
        <x:f>IF(H313=0,"Not selected",IF(ISNUMBER(N313),"Quote entered",IF(N313&lt;&gt;"","Enter numeric quote",IF(H313=F313,IF(ISNUMBER(P313),"Complete unit","Price required"),"Partial package: price required"))))</x:f>
        <x:v>Complete unit</x:v>
      </x:c>
      <x:c r="U313" s="2" t="str">
        <x:v>TEN-3E18C4D2C923; TEN-496B7BB6B430; TEN-CB18F9AE9A8C</x:v>
      </x:c>
      <x:c r="V313" s="2" t="str">
        <x:v>IT &amp; digital; Finance &amp; insurance</x:v>
      </x:c>
      <x:c r="W313" s="2" t="str">
        <x:v>Mixed business audience</x:v>
      </x:c>
      <x:c r="X313" s="17" t="n">
        <x:f>IF(AND(H313=F313,NOT(ISNUMBER(N313)),N313="",ISNUMBER(K313)),K313,0)</x:f>
        <x:v>30000</x:v>
      </x:c>
      <x:c r="Y313" s="17" t="n">
        <x:f>IF(AND(H313=F313,NOT(ISNUMBER(N313)),N313="",K313="",ISNUMBER(O313)),O313,0)</x:f>
        <x:v>0</x:v>
      </x:c>
      <x:c r="Z313" s="17" t="n">
        <x:f>IF(AND(H313&gt;0,ISNUMBER(N313)),N313,0)</x:f>
        <x:v>0</x:v>
      </x:c>
      <x:c r="AA313" s="2" t="n">
        <x:f>IF(AND(H313&gt;0,N313="",NOT(ISNUMBER(Q313))),1,0)</x:f>
        <x:v>0</x:v>
      </x:c>
      <x:c r="AB313" s="2" t="n">
        <x:f>IF(AND(H313&gt;0,N313&lt;&gt;"",NOT(ISNUMBER(N313))),1,0)</x:f>
        <x:v>0</x:v>
      </x:c>
    </x:row>
    <x:row r="314" ht="48" customHeight="1">
      <x:c r="A314" s="2" t="str">
        <x:v>MAIN-303</x:v>
      </x:c>
      <x:c r="B314" s="2" t="str">
        <x:v>Main</x:v>
      </x:c>
      <x:c r="C314" s="2" t="str">
        <x:v>Mumbai</x:v>
      </x:c>
      <x:c r="D314" s="12" t="str">
        <x:v>Awfis - Schindler House</x:v>
      </x:c>
      <x:c r="E314" s="12" t="str">
        <x:v>32 inch LED TV</x:v>
      </x:c>
      <x:c r="F314" s="2" t="n">
        <x:v>1</x:v>
      </x:c>
      <x:c r="G314" s="2" t="n">
        <x:v>1</x:v>
      </x:c>
      <x:c r="H314" s="2" t="n">
        <x:f>COUNTIFS('Inventory'!$N$7:$N$783,A314,'Inventory'!$A$7:$A$783,1)</x:f>
        <x:v>1</x:v>
      </x:c>
      <x:c r="I314" s="2" t="n">
        <x:f>SUMIFS('Inventory'!$G$7:$G$783,'Inventory'!$N$7:$N$783,A314,'Inventory'!$A$7:$A$783,1)</x:f>
        <x:v>1</x:v>
      </x:c>
      <x:c r="J314" s="12" t="str">
        <x:v>Listed budget</x:v>
      </x:c>
      <x:c r="K314" s="17" t="n">
        <x:v>15000</x:v>
      </x:c>
      <x:c r="L314" s="17"/>
      <x:c r="M314" s="17"/>
      <x:c r="N314" s="19"/>
      <x:c r="O314" s="17" t="str">
        <x:f>IF(ISNUMBER(L314),G314*L314,IF(ISNUMBER(M314),M314,""))</x:f>
      </x:c>
      <x:c r="P314" s="17" t="n">
        <x:f>IF(ISNUMBER(K314),K314,IF(ISNUMBER(O314),O314,""))</x:f>
        <x:v>15000</x:v>
      </x:c>
      <x:c r="Q314" s="17" t="n">
        <x:f>IF(H314=0,0,IF(ISNUMBER(N314),N314,IF(N314="",IF(H314=F314,P314,""),"")))</x:f>
        <x:v>15000</x:v>
      </x:c>
      <x:c r="R314" s="17" t="n">
        <x:f>IF(ISNUMBER(Q314),ROUND(Q314*$C$4,2),"")</x:f>
        <x:v>2700</x:v>
      </x:c>
      <x:c r="S314" s="17" t="n">
        <x:f>IF(ISNUMBER(Q314),Q314+R314,"")</x:f>
        <x:v>17700</x:v>
      </x:c>
      <x:c r="T314" s="2" t="str">
        <x:f>IF(H314=0,"Not selected",IF(ISNUMBER(N314),"Quote entered",IF(N314&lt;&gt;"","Enter numeric quote",IF(H314=F314,IF(ISNUMBER(P314),"Complete unit","Price required"),"Partial package: price required"))))</x:f>
        <x:v>Complete unit</x:v>
      </x:c>
      <x:c r="U314" s="2" t="str">
        <x:v>TEN-0333C4F2B8CC; TEN-49548B34B134; TEN-4E8C67D62118; TEN-76CFAA52B5B5; TEN-8A092F1101A6; TEN-8FEEAF77AB0E; TEN-A309C887A783</x:v>
      </x:c>
      <x:c r="V314" s="2" t="str">
        <x:v>IT &amp; digital; Engineering &amp; manufacturing; Trade, consumer &amp; logistics; Unresolved</x:v>
      </x:c>
      <x:c r="W314" s="2" t="str">
        <x:v>Small-scale prospects; Mixed business audience</x:v>
      </x:c>
      <x:c r="X314" s="17" t="n">
        <x:f>IF(AND(H314=F314,NOT(ISNUMBER(N314)),N314="",ISNUMBER(K314)),K314,0)</x:f>
        <x:v>15000</x:v>
      </x:c>
      <x:c r="Y314" s="17" t="n">
        <x:f>IF(AND(H314=F314,NOT(ISNUMBER(N314)),N314="",K314="",ISNUMBER(O314)),O314,0)</x:f>
        <x:v>0</x:v>
      </x:c>
      <x:c r="Z314" s="17" t="n">
        <x:f>IF(AND(H314&gt;0,ISNUMBER(N314)),N314,0)</x:f>
        <x:v>0</x:v>
      </x:c>
      <x:c r="AA314" s="2" t="n">
        <x:f>IF(AND(H314&gt;0,N314="",NOT(ISNUMBER(Q314))),1,0)</x:f>
        <x:v>0</x:v>
      </x:c>
      <x:c r="AB314" s="2" t="n">
        <x:f>IF(AND(H314&gt;0,N314&lt;&gt;"",NOT(ISNUMBER(N314))),1,0)</x:f>
        <x:v>0</x:v>
      </x:c>
    </x:row>
    <x:row r="315" ht="48" customHeight="1">
      <x:c r="A315" s="2" t="str">
        <x:v>MAIN-304</x:v>
      </x:c>
      <x:c r="B315" s="2" t="str">
        <x:v>Main</x:v>
      </x:c>
      <x:c r="C315" s="2" t="str">
        <x:v>Mumbai</x:v>
      </x:c>
      <x:c r="D315" s="12" t="str">
        <x:v>Awfis - Skyline Icon</x:v>
      </x:c>
      <x:c r="E315" s="12" t="str">
        <x:v>32 inch LED TV</x:v>
      </x:c>
      <x:c r="F315" s="2" t="n">
        <x:v>1</x:v>
      </x:c>
      <x:c r="G315" s="2" t="n">
        <x:v>2</x:v>
      </x:c>
      <x:c r="H315" s="2" t="n">
        <x:f>COUNTIFS('Inventory'!$N$7:$N$783,A315,'Inventory'!$A$7:$A$783,1)</x:f>
        <x:v>1</x:v>
      </x:c>
      <x:c r="I315" s="2" t="n">
        <x:f>SUMIFS('Inventory'!$G$7:$G$783,'Inventory'!$N$7:$N$783,A315,'Inventory'!$A$7:$A$783,1)</x:f>
        <x:v>2</x:v>
      </x:c>
      <x:c r="J315" s="12" t="str">
        <x:v>Listed budget</x:v>
      </x:c>
      <x:c r="K315" s="17" t="n">
        <x:v>30000</x:v>
      </x:c>
      <x:c r="L315" s="17"/>
      <x:c r="M315" s="17"/>
      <x:c r="N315" s="19"/>
      <x:c r="O315" s="17" t="str">
        <x:f>IF(ISNUMBER(L315),G315*L315,IF(ISNUMBER(M315),M315,""))</x:f>
      </x:c>
      <x:c r="P315" s="17" t="n">
        <x:f>IF(ISNUMBER(K315),K315,IF(ISNUMBER(O315),O315,""))</x:f>
        <x:v>30000</x:v>
      </x:c>
      <x:c r="Q315" s="17" t="n">
        <x:f>IF(H315=0,0,IF(ISNUMBER(N315),N315,IF(N315="",IF(H315=F315,P315,""),"")))</x:f>
        <x:v>30000</x:v>
      </x:c>
      <x:c r="R315" s="17" t="n">
        <x:f>IF(ISNUMBER(Q315),ROUND(Q315*$C$4,2),"")</x:f>
        <x:v>5400</x:v>
      </x:c>
      <x:c r="S315" s="17" t="n">
        <x:f>IF(ISNUMBER(Q315),Q315+R315,"")</x:f>
        <x:v>35400</x:v>
      </x:c>
      <x:c r="T315" s="2" t="str">
        <x:f>IF(H315=0,"Not selected",IF(ISNUMBER(N315),"Quote entered",IF(N315&lt;&gt;"","Enter numeric quote",IF(H315=F315,IF(ISNUMBER(P315),"Complete unit","Price required"),"Partial package: price required"))))</x:f>
        <x:v>Complete unit</x:v>
      </x:c>
      <x:c r="U315" s="2" t="str">
        <x:v>TEN-017ED77F31FC; TEN-30CD0B02435B; TEN-34E334A5632D; TEN-59C96154EEBA; TEN-6DC1E5EDD38E; TEN-81E4FD2D1FF2; TEN-8ADB906B0167; TEN-C270FFA2797F; TEN-D616A0BCE12E; TEN-F558F36CF55C</x:v>
      </x:c>
      <x:c r="V315" s="2" t="str">
        <x:v>IT &amp; digital; Professional services; Finance &amp; insurance; Engineering &amp; manufacturing; Trade, consumer &amp; logistics; Unresolved</x:v>
      </x:c>
      <x:c r="W315" s="2" t="str">
        <x:v>Small-scale prospects; Mixed business audience</x:v>
      </x:c>
      <x:c r="X315" s="17" t="n">
        <x:f>IF(AND(H315=F315,NOT(ISNUMBER(N315)),N315="",ISNUMBER(K315)),K315,0)</x:f>
        <x:v>30000</x:v>
      </x:c>
      <x:c r="Y315" s="17" t="n">
        <x:f>IF(AND(H315=F315,NOT(ISNUMBER(N315)),N315="",K315="",ISNUMBER(O315)),O315,0)</x:f>
        <x:v>0</x:v>
      </x:c>
      <x:c r="Z315" s="17" t="n">
        <x:f>IF(AND(H315&gt;0,ISNUMBER(N315)),N315,0)</x:f>
        <x:v>0</x:v>
      </x:c>
      <x:c r="AA315" s="2" t="n">
        <x:f>IF(AND(H315&gt;0,N315="",NOT(ISNUMBER(Q315))),1,0)</x:f>
        <x:v>0</x:v>
      </x:c>
      <x:c r="AB315" s="2" t="n">
        <x:f>IF(AND(H315&gt;0,N315&lt;&gt;"",NOT(ISNUMBER(N315))),1,0)</x:f>
        <x:v>0</x:v>
      </x:c>
    </x:row>
    <x:row r="316" ht="48" customHeight="1">
      <x:c r="A316" s="2" t="str">
        <x:v>MAIN-305</x:v>
      </x:c>
      <x:c r="B316" s="2" t="str">
        <x:v>Main</x:v>
      </x:c>
      <x:c r="C316" s="2" t="str">
        <x:v>Mumbai</x:v>
      </x:c>
      <x:c r="D316" s="12" t="str">
        <x:v>Awfis - Vaman Techno Center</x:v>
      </x:c>
      <x:c r="E316" s="12" t="str">
        <x:v>32 inch LED TV</x:v>
      </x:c>
      <x:c r="F316" s="2" t="n">
        <x:v>1</x:v>
      </x:c>
      <x:c r="G316" s="2" t="n">
        <x:v>2</x:v>
      </x:c>
      <x:c r="H316" s="2" t="n">
        <x:f>COUNTIFS('Inventory'!$N$7:$N$783,A316,'Inventory'!$A$7:$A$783,1)</x:f>
        <x:v>1</x:v>
      </x:c>
      <x:c r="I316" s="2" t="n">
        <x:f>SUMIFS('Inventory'!$G$7:$G$783,'Inventory'!$N$7:$N$783,A316,'Inventory'!$A$7:$A$783,1)</x:f>
        <x:v>2</x:v>
      </x:c>
      <x:c r="J316" s="12" t="str">
        <x:v>Listed budget</x:v>
      </x:c>
      <x:c r="K316" s="17" t="n">
        <x:v>30000</x:v>
      </x:c>
      <x:c r="L316" s="17"/>
      <x:c r="M316" s="17"/>
      <x:c r="N316" s="19"/>
      <x:c r="O316" s="17" t="str">
        <x:f>IF(ISNUMBER(L316),G316*L316,IF(ISNUMBER(M316),M316,""))</x:f>
      </x:c>
      <x:c r="P316" s="17" t="n">
        <x:f>IF(ISNUMBER(K316),K316,IF(ISNUMBER(O316),O316,""))</x:f>
        <x:v>30000</x:v>
      </x:c>
      <x:c r="Q316" s="17" t="n">
        <x:f>IF(H316=0,0,IF(ISNUMBER(N316),N316,IF(N316="",IF(H316=F316,P316,""),"")))</x:f>
        <x:v>30000</x:v>
      </x:c>
      <x:c r="R316" s="17" t="n">
        <x:f>IF(ISNUMBER(Q316),ROUND(Q316*$C$4,2),"")</x:f>
        <x:v>5400</x:v>
      </x:c>
      <x:c r="S316" s="17" t="n">
        <x:f>IF(ISNUMBER(Q316),Q316+R316,"")</x:f>
        <x:v>35400</x:v>
      </x:c>
      <x:c r="T316" s="2" t="str">
        <x:f>IF(H316=0,"Not selected",IF(ISNUMBER(N316),"Quote entered",IF(N316&lt;&gt;"","Enter numeric quote",IF(H316=F316,IF(ISNUMBER(P316),"Complete unit","Price required"),"Partial package: price required"))))</x:f>
        <x:v>Complete unit</x:v>
      </x:c>
      <x:c r="U316" s="2" t="str">
        <x:v>TEN-1C593F87A18C; TEN-2C4019B762AB; TEN-2FD515B5FF3F; TEN-45DAE655BCBD; TEN-930A6627E874; TEN-9C77A4603B32; TEN-E978525A3709</x:v>
      </x:c>
      <x:c r="V316" s="2" t="str">
        <x:v>Finance &amp; insurance; Healthcare &amp; life sciences; Trade, consumer &amp; logistics; Unresolved</x:v>
      </x:c>
      <x:c r="W316" s="2" t="str">
        <x:v>Small-scale prospects; Large enterprise; Mixed business audience</x:v>
      </x:c>
      <x:c r="X316" s="17" t="n">
        <x:f>IF(AND(H316=F316,NOT(ISNUMBER(N316)),N316="",ISNUMBER(K316)),K316,0)</x:f>
        <x:v>30000</x:v>
      </x:c>
      <x:c r="Y316" s="17" t="n">
        <x:f>IF(AND(H316=F316,NOT(ISNUMBER(N316)),N316="",K316="",ISNUMBER(O316)),O316,0)</x:f>
        <x:v>0</x:v>
      </x:c>
      <x:c r="Z316" s="17" t="n">
        <x:f>IF(AND(H316&gt;0,ISNUMBER(N316)),N316,0)</x:f>
        <x:v>0</x:v>
      </x:c>
      <x:c r="AA316" s="2" t="n">
        <x:f>IF(AND(H316&gt;0,N316="",NOT(ISNUMBER(Q316))),1,0)</x:f>
        <x:v>0</x:v>
      </x:c>
      <x:c r="AB316" s="2" t="n">
        <x:f>IF(AND(H316&gt;0,N316&lt;&gt;"",NOT(ISNUMBER(N316))),1,0)</x:f>
        <x:v>0</x:v>
      </x:c>
    </x:row>
    <x:row r="317" ht="48" customHeight="1">
      <x:c r="A317" s="2" t="str">
        <x:v>MAIN-306</x:v>
      </x:c>
      <x:c r="B317" s="2" t="str">
        <x:v>Main</x:v>
      </x:c>
      <x:c r="C317" s="2" t="str">
        <x:v>Mumbai</x:v>
      </x:c>
      <x:c r="D317" s="12" t="str">
        <x:v>Awfis - Vios Towers</x:v>
      </x:c>
      <x:c r="E317" s="12" t="str">
        <x:v>32 inch LED TV</x:v>
      </x:c>
      <x:c r="F317" s="2" t="n">
        <x:v>1</x:v>
      </x:c>
      <x:c r="G317" s="2" t="n">
        <x:v>1</x:v>
      </x:c>
      <x:c r="H317" s="2" t="n">
        <x:f>COUNTIFS('Inventory'!$N$7:$N$783,A317,'Inventory'!$A$7:$A$783,1)</x:f>
        <x:v>1</x:v>
      </x:c>
      <x:c r="I317" s="2" t="n">
        <x:f>SUMIFS('Inventory'!$G$7:$G$783,'Inventory'!$N$7:$N$783,A317,'Inventory'!$A$7:$A$783,1)</x:f>
        <x:v>1</x:v>
      </x:c>
      <x:c r="J317" s="12" t="str">
        <x:v>Listed budget</x:v>
      </x:c>
      <x:c r="K317" s="17" t="n">
        <x:v>15000</x:v>
      </x:c>
      <x:c r="L317" s="17"/>
      <x:c r="M317" s="17"/>
      <x:c r="N317" s="19"/>
      <x:c r="O317" s="17" t="str">
        <x:f>IF(ISNUMBER(L317),G317*L317,IF(ISNUMBER(M317),M317,""))</x:f>
      </x:c>
      <x:c r="P317" s="17" t="n">
        <x:f>IF(ISNUMBER(K317),K317,IF(ISNUMBER(O317),O317,""))</x:f>
        <x:v>15000</x:v>
      </x:c>
      <x:c r="Q317" s="17" t="n">
        <x:f>IF(H317=0,0,IF(ISNUMBER(N317),N317,IF(N317="",IF(H317=F317,P317,""),"")))</x:f>
        <x:v>15000</x:v>
      </x:c>
      <x:c r="R317" s="17" t="n">
        <x:f>IF(ISNUMBER(Q317),ROUND(Q317*$C$4,2),"")</x:f>
        <x:v>2700</x:v>
      </x:c>
      <x:c r="S317" s="17" t="n">
        <x:f>IF(ISNUMBER(Q317),Q317+R317,"")</x:f>
        <x:v>17700</x:v>
      </x:c>
      <x:c r="T317" s="2" t="str">
        <x:f>IF(H317=0,"Not selected",IF(ISNUMBER(N317),"Quote entered",IF(N317&lt;&gt;"","Enter numeric quote",IF(H317=F317,IF(ISNUMBER(P317),"Complete unit","Price required"),"Partial package: price required"))))</x:f>
        <x:v>Complete unit</x:v>
      </x:c>
      <x:c r="U317" s="2" t="str">
        <x:v>TEN-762CB01FB1C2; TEN-7A70CA8FF555</x:v>
      </x:c>
      <x:c r="V317" s="2" t="str">
        <x:v>Engineering &amp; manufacturing</x:v>
      </x:c>
      <x:c r="W317" s="2" t="str">
        <x:v>Mixed business audience</x:v>
      </x:c>
      <x:c r="X317" s="17" t="n">
        <x:f>IF(AND(H317=F317,NOT(ISNUMBER(N317)),N317="",ISNUMBER(K317)),K317,0)</x:f>
        <x:v>15000</x:v>
      </x:c>
      <x:c r="Y317" s="17" t="n">
        <x:f>IF(AND(H317=F317,NOT(ISNUMBER(N317)),N317="",K317="",ISNUMBER(O317)),O317,0)</x:f>
        <x:v>0</x:v>
      </x:c>
      <x:c r="Z317" s="17" t="n">
        <x:f>IF(AND(H317&gt;0,ISNUMBER(N317)),N317,0)</x:f>
        <x:v>0</x:v>
      </x:c>
      <x:c r="AA317" s="2" t="n">
        <x:f>IF(AND(H317&gt;0,N317="",NOT(ISNUMBER(Q317))),1,0)</x:f>
        <x:v>0</x:v>
      </x:c>
      <x:c r="AB317" s="2" t="n">
        <x:f>IF(AND(H317&gt;0,N317&lt;&gt;"",NOT(ISNUMBER(N317))),1,0)</x:f>
        <x:v>0</x:v>
      </x:c>
    </x:row>
    <x:row r="318" ht="48" customHeight="1">
      <x:c r="A318" s="2" t="str">
        <x:v>MAIN-307</x:v>
      </x:c>
      <x:c r="B318" s="2" t="str">
        <x:v>Main</x:v>
      </x:c>
      <x:c r="C318" s="2" t="str">
        <x:v>Mumbai</x:v>
      </x:c>
      <x:c r="D318" s="12" t="str">
        <x:v>Blue Rose IND</x:v>
      </x:c>
      <x:c r="E318" s="12" t="str">
        <x:v>32 inch LED TV</x:v>
      </x:c>
      <x:c r="F318" s="2" t="n">
        <x:v>1</x:v>
      </x:c>
      <x:c r="G318" s="2" t="n">
        <x:v>22</x:v>
      </x:c>
      <x:c r="H318" s="2" t="n">
        <x:f>COUNTIFS('Inventory'!$N$7:$N$783,A318,'Inventory'!$A$7:$A$783,1)</x:f>
        <x:v>1</x:v>
      </x:c>
      <x:c r="I318" s="2" t="n">
        <x:f>SUMIFS('Inventory'!$G$7:$G$783,'Inventory'!$N$7:$N$783,A318,'Inventory'!$A$7:$A$783,1)</x:f>
        <x:v>22</x:v>
      </x:c>
      <x:c r="J318" s="12" t="str">
        <x:v>Listed budget</x:v>
      </x:c>
      <x:c r="K318" s="17" t="n">
        <x:v>330000</x:v>
      </x:c>
      <x:c r="L318" s="17"/>
      <x:c r="M318" s="17"/>
      <x:c r="N318" s="19"/>
      <x:c r="O318" s="17" t="str">
        <x:f>IF(ISNUMBER(L318),G318*L318,IF(ISNUMBER(M318),M318,""))</x:f>
      </x:c>
      <x:c r="P318" s="17" t="n">
        <x:f>IF(ISNUMBER(K318),K318,IF(ISNUMBER(O318),O318,""))</x:f>
        <x:v>330000</x:v>
      </x:c>
      <x:c r="Q318" s="17" t="n">
        <x:f>IF(H318=0,0,IF(ISNUMBER(N318),N318,IF(N318="",IF(H318=F318,P318,""),"")))</x:f>
        <x:v>330000</x:v>
      </x:c>
      <x:c r="R318" s="17" t="n">
        <x:f>IF(ISNUMBER(Q318),ROUND(Q318*$C$4,2),"")</x:f>
        <x:v>59400</x:v>
      </x:c>
      <x:c r="S318" s="17" t="n">
        <x:f>IF(ISNUMBER(Q318),Q318+R318,"")</x:f>
        <x:v>389400</x:v>
      </x:c>
      <x:c r="T318" s="2" t="str">
        <x:f>IF(H318=0,"Not selected",IF(ISNUMBER(N318),"Quote entered",IF(N318&lt;&gt;"","Enter numeric quote",IF(H318=F318,IF(ISNUMBER(P318),"Complete unit","Price required"),"Partial package: price required"))))</x:f>
        <x:v>Complete unit</x:v>
      </x:c>
      <x:c r="U318" s="2" t="str">
        <x:v>TEN-0474E7AB4372; TEN-22D6EAAAD3BD; TEN-2C76D29FC1CC; TEN-33207C8AC7FA; TEN-436E0E6B6326; TEN-606E58F1D65E; TEN-90BDBD8E6D14; TEN-C3253FB0AE69; TEN-E0D827A703DC</x:v>
      </x:c>
      <x:c r="V318" s="2" t="str">
        <x:v>IT &amp; digital; Engineering &amp; manufacturing; Trade, consumer &amp; logistics; Unresolved</x:v>
      </x:c>
      <x:c r="W318" s="2" t="str">
        <x:v>Small-scale prospects; Medium-scale prospects; Large enterprise; Mixed business audience</x:v>
      </x:c>
      <x:c r="X318" s="17" t="n">
        <x:f>IF(AND(H318=F318,NOT(ISNUMBER(N318)),N318="",ISNUMBER(K318)),K318,0)</x:f>
        <x:v>330000</x:v>
      </x:c>
      <x:c r="Y318" s="17" t="n">
        <x:f>IF(AND(H318=F318,NOT(ISNUMBER(N318)),N318="",K318="",ISNUMBER(O318)),O318,0)</x:f>
        <x:v>0</x:v>
      </x:c>
      <x:c r="Z318" s="17" t="n">
        <x:f>IF(AND(H318&gt;0,ISNUMBER(N318)),N318,0)</x:f>
        <x:v>0</x:v>
      </x:c>
      <x:c r="AA318" s="2" t="n">
        <x:f>IF(AND(H318&gt;0,N318="",NOT(ISNUMBER(Q318))),1,0)</x:f>
        <x:v>0</x:v>
      </x:c>
      <x:c r="AB318" s="2" t="n">
        <x:f>IF(AND(H318&gt;0,N318&lt;&gt;"",NOT(ISNUMBER(N318))),1,0)</x:f>
        <x:v>0</x:v>
      </x:c>
    </x:row>
    <x:row r="319" ht="48" customHeight="1">
      <x:c r="A319" s="2" t="str">
        <x:v>MAIN-308</x:v>
      </x:c>
      <x:c r="B319" s="2" t="str">
        <x:v>Main</x:v>
      </x:c>
      <x:c r="C319" s="2" t="str">
        <x:v>Mumbai</x:v>
      </x:c>
      <x:c r="D319" s="12" t="str">
        <x:v>Bsel Tech Park</x:v>
      </x:c>
      <x:c r="E319" s="12" t="str">
        <x:v>32 inch LED TV</x:v>
      </x:c>
      <x:c r="F319" s="2" t="n">
        <x:v>1</x:v>
      </x:c>
      <x:c r="G319" s="2" t="n">
        <x:v>47</x:v>
      </x:c>
      <x:c r="H319" s="2" t="n">
        <x:f>COUNTIFS('Inventory'!$N$7:$N$783,A319,'Inventory'!$A$7:$A$783,1)</x:f>
        <x:v>1</x:v>
      </x:c>
      <x:c r="I319" s="2" t="n">
        <x:f>SUMIFS('Inventory'!$G$7:$G$783,'Inventory'!$N$7:$N$783,A319,'Inventory'!$A$7:$A$783,1)</x:f>
        <x:v>47</x:v>
      </x:c>
      <x:c r="J319" s="12" t="str">
        <x:v>Listed budget</x:v>
      </x:c>
      <x:c r="K319" s="17" t="n">
        <x:v>705000</x:v>
      </x:c>
      <x:c r="L319" s="17"/>
      <x:c r="M319" s="17"/>
      <x:c r="N319" s="19"/>
      <x:c r="O319" s="17" t="str">
        <x:f>IF(ISNUMBER(L319),G319*L319,IF(ISNUMBER(M319),M319,""))</x:f>
      </x:c>
      <x:c r="P319" s="17" t="n">
        <x:f>IF(ISNUMBER(K319),K319,IF(ISNUMBER(O319),O319,""))</x:f>
        <x:v>705000</x:v>
      </x:c>
      <x:c r="Q319" s="17" t="n">
        <x:f>IF(H319=0,0,IF(ISNUMBER(N319),N319,IF(N319="",IF(H319=F319,P319,""),"")))</x:f>
        <x:v>705000</x:v>
      </x:c>
      <x:c r="R319" s="17" t="n">
        <x:f>IF(ISNUMBER(Q319),ROUND(Q319*$C$4,2),"")</x:f>
        <x:v>126900</x:v>
      </x:c>
      <x:c r="S319" s="17" t="n">
        <x:f>IF(ISNUMBER(Q319),Q319+R319,"")</x:f>
        <x:v>831900</x:v>
      </x:c>
      <x:c r="T319" s="2" t="str">
        <x:f>IF(H319=0,"Not selected",IF(ISNUMBER(N319),"Quote entered",IF(N319&lt;&gt;"","Enter numeric quote",IF(H319=F319,IF(ISNUMBER(P319),"Complete unit","Price required"),"Partial package: price required"))))</x:f>
        <x:v>Complete unit</x:v>
      </x:c>
      <x:c r="U319" s="2" t="str">
        <x:v>TEN-2C08FF12203D; TEN-4819C4E4B5D3; TEN-52D3771C1219; TEN-5ED10AC2ED61; TEN-748D67EDE4D7; TEN-8E96374870CC; TEN-C92BBCAD9CDE; TEN-E8A956B73F6D; TEN-FB22E0C0AFC9</x:v>
      </x:c>
      <x:c r="V319" s="2" t="str">
        <x:v>IT &amp; digital; Finance &amp; insurance; Engineering &amp; manufacturing; Healthcare &amp; life sciences; Unresolved</x:v>
      </x:c>
      <x:c r="W319" s="2" t="str">
        <x:v>Medium-scale prospects; Large enterprise; Mixed business audience</x:v>
      </x:c>
      <x:c r="X319" s="17" t="n">
        <x:f>IF(AND(H319=F319,NOT(ISNUMBER(N319)),N319="",ISNUMBER(K319)),K319,0)</x:f>
        <x:v>705000</x:v>
      </x:c>
      <x:c r="Y319" s="17" t="n">
        <x:f>IF(AND(H319=F319,NOT(ISNUMBER(N319)),N319="",K319="",ISNUMBER(O319)),O319,0)</x:f>
        <x:v>0</x:v>
      </x:c>
      <x:c r="Z319" s="17" t="n">
        <x:f>IF(AND(H319&gt;0,ISNUMBER(N319)),N319,0)</x:f>
        <x:v>0</x:v>
      </x:c>
      <x:c r="AA319" s="2" t="n">
        <x:f>IF(AND(H319&gt;0,N319="",NOT(ISNUMBER(Q319))),1,0)</x:f>
        <x:v>0</x:v>
      </x:c>
      <x:c r="AB319" s="2" t="n">
        <x:f>IF(AND(H319&gt;0,N319&lt;&gt;"",NOT(ISNUMBER(N319))),1,0)</x:f>
        <x:v>0</x:v>
      </x:c>
    </x:row>
    <x:row r="320" ht="48" customHeight="1">
      <x:c r="A320" s="2" t="str">
        <x:v>MAIN-309</x:v>
      </x:c>
      <x:c r="B320" s="2" t="str">
        <x:v>Main</x:v>
      </x:c>
      <x:c r="C320" s="2" t="str">
        <x:v>Mumbai</x:v>
      </x:c>
      <x:c r="D320" s="12" t="str">
        <x:v>Carnival HUB Work Spaces</x:v>
      </x:c>
      <x:c r="E320" s="12" t="str">
        <x:v>32 inch LED TV</x:v>
      </x:c>
      <x:c r="F320" s="2" t="n">
        <x:v>1</x:v>
      </x:c>
      <x:c r="G320" s="2" t="n">
        <x:v>1</x:v>
      </x:c>
      <x:c r="H320" s="2" t="n">
        <x:f>COUNTIFS('Inventory'!$N$7:$N$783,A320,'Inventory'!$A$7:$A$783,1)</x:f>
        <x:v>1</x:v>
      </x:c>
      <x:c r="I320" s="2" t="n">
        <x:f>SUMIFS('Inventory'!$G$7:$G$783,'Inventory'!$N$7:$N$783,A320,'Inventory'!$A$7:$A$783,1)</x:f>
        <x:v>1</x:v>
      </x:c>
      <x:c r="J320" s="12" t="str">
        <x:v>Listed budget</x:v>
      </x:c>
      <x:c r="K320" s="17" t="n">
        <x:v>15000</x:v>
      </x:c>
      <x:c r="L320" s="17"/>
      <x:c r="M320" s="17"/>
      <x:c r="N320" s="19"/>
      <x:c r="O320" s="17" t="str">
        <x:f>IF(ISNUMBER(L320),G320*L320,IF(ISNUMBER(M320),M320,""))</x:f>
      </x:c>
      <x:c r="P320" s="17" t="n">
        <x:f>IF(ISNUMBER(K320),K320,IF(ISNUMBER(O320),O320,""))</x:f>
        <x:v>15000</x:v>
      </x:c>
      <x:c r="Q320" s="17" t="n">
        <x:f>IF(H320=0,0,IF(ISNUMBER(N320),N320,IF(N320="",IF(H320=F320,P320,""),"")))</x:f>
        <x:v>15000</x:v>
      </x:c>
      <x:c r="R320" s="17" t="n">
        <x:f>IF(ISNUMBER(Q320),ROUND(Q320*$C$4,2),"")</x:f>
        <x:v>2700</x:v>
      </x:c>
      <x:c r="S320" s="17" t="n">
        <x:f>IF(ISNUMBER(Q320),Q320+R320,"")</x:f>
        <x:v>17700</x:v>
      </x:c>
      <x:c r="T320" s="2" t="str">
        <x:f>IF(H320=0,"Not selected",IF(ISNUMBER(N320),"Quote entered",IF(N320&lt;&gt;"","Enter numeric quote",IF(H320=F320,IF(ISNUMBER(P320),"Complete unit","Price required"),"Partial package: price required"))))</x:f>
        <x:v>Complete unit</x:v>
      </x:c>
      <x:c r="U320" s="2" t="str">
        <x:v>TEN-4FBD42D10201; TEN-C41AB9D1B907</x:v>
      </x:c>
      <x:c r="V320" s="2" t="str">
        <x:v>Trade, consumer &amp; logistics</x:v>
      </x:c>
      <x:c r="W320" s="2" t="str">
        <x:v>Mixed business audience</x:v>
      </x:c>
      <x:c r="X320" s="17" t="n">
        <x:f>IF(AND(H320=F320,NOT(ISNUMBER(N320)),N320="",ISNUMBER(K320)),K320,0)</x:f>
        <x:v>15000</x:v>
      </x:c>
      <x:c r="Y320" s="17" t="n">
        <x:f>IF(AND(H320=F320,NOT(ISNUMBER(N320)),N320="",K320="",ISNUMBER(O320)),O320,0)</x:f>
        <x:v>0</x:v>
      </x:c>
      <x:c r="Z320" s="17" t="n">
        <x:f>IF(AND(H320&gt;0,ISNUMBER(N320)),N320,0)</x:f>
        <x:v>0</x:v>
      </x:c>
      <x:c r="AA320" s="2" t="n">
        <x:f>IF(AND(H320&gt;0,N320="",NOT(ISNUMBER(Q320))),1,0)</x:f>
        <x:v>0</x:v>
      </x:c>
      <x:c r="AB320" s="2" t="n">
        <x:f>IF(AND(H320&gt;0,N320&lt;&gt;"",NOT(ISNUMBER(N320))),1,0)</x:f>
        <x:v>0</x:v>
      </x:c>
    </x:row>
    <x:row r="321" ht="48" customHeight="1">
      <x:c r="A321" s="2" t="str">
        <x:v>MAIN-310</x:v>
      </x:c>
      <x:c r="B321" s="2" t="str">
        <x:v>Main</x:v>
      </x:c>
      <x:c r="C321" s="2" t="str">
        <x:v>Mumbai</x:v>
      </x:c>
      <x:c r="D321" s="12" t="str">
        <x:v>Centrum IT Park</x:v>
      </x:c>
      <x:c r="E321" s="12" t="str">
        <x:v>55 inch LED TV</x:v>
      </x:c>
      <x:c r="F321" s="2" t="n">
        <x:v>1</x:v>
      </x:c>
      <x:c r="G321" s="2" t="n">
        <x:v>2</x:v>
      </x:c>
      <x:c r="H321" s="2" t="n">
        <x:f>COUNTIFS('Inventory'!$N$7:$N$783,A321,'Inventory'!$A$7:$A$783,1)</x:f>
        <x:v>1</x:v>
      </x:c>
      <x:c r="I321" s="2" t="n">
        <x:f>SUMIFS('Inventory'!$G$7:$G$783,'Inventory'!$N$7:$N$783,A321,'Inventory'!$A$7:$A$783,1)</x:f>
        <x:v>2</x:v>
      </x:c>
      <x:c r="J321" s="12" t="str">
        <x:v>Campaign format rate</x:v>
      </x:c>
      <x:c r="K321" s="17"/>
      <x:c r="L321" s="17" t="n">
        <x:f>$I$5</x:f>
        <x:v>40000</x:v>
      </x:c>
      <x:c r="M321" s="17"/>
      <x:c r="N321" s="19"/>
      <x:c r="O321" s="17" t="n">
        <x:f>IF(ISNUMBER(L321),G321*L321,IF(ISNUMBER(M321),M321,""))</x:f>
        <x:v>80000</x:v>
      </x:c>
      <x:c r="P321" s="17" t="n">
        <x:f>IF(ISNUMBER(K321),K321,IF(ISNUMBER(O321),O321,""))</x:f>
        <x:v>80000</x:v>
      </x:c>
      <x:c r="Q321" s="17" t="n">
        <x:f>IF(H321=0,0,IF(ISNUMBER(N321),N321,IF(N321="",IF(H321=F321,P321,""),"")))</x:f>
        <x:v>80000</x:v>
      </x:c>
      <x:c r="R321" s="17" t="n">
        <x:f>IF(ISNUMBER(Q321),ROUND(Q321*$C$4,2),"")</x:f>
        <x:v>14400</x:v>
      </x:c>
      <x:c r="S321" s="17" t="n">
        <x:f>IF(ISNUMBER(Q321),Q321+R321,"")</x:f>
        <x:v>94400</x:v>
      </x:c>
      <x:c r="T321" s="2" t="str">
        <x:f>IF(H321=0,"Not selected",IF(ISNUMBER(N321),"Quote entered",IF(N321&lt;&gt;"","Enter numeric quote",IF(H321=F321,IF(ISNUMBER(P321),"Complete unit","Price required"),"Partial package: price required"))))</x:f>
        <x:v>Complete unit</x:v>
      </x:c>
      <x:c r="U321" s="2" t="str"/>
      <x:c r="V321" s="2" t="str">
        <x:v>Unclassified</x:v>
      </x:c>
      <x:c r="W321" s="2" t="str">
        <x:v>Mixed business audience</x:v>
      </x:c>
      <x:c r="X321" s="17" t="n">
        <x:f>IF(AND(H321=F321,NOT(ISNUMBER(N321)),N321="",ISNUMBER(K321)),K321,0)</x:f>
        <x:v>0</x:v>
      </x:c>
      <x:c r="Y321" s="17" t="n">
        <x:f>IF(AND(H321=F321,NOT(ISNUMBER(N321)),N321="",K321="",ISNUMBER(O321)),O321,0)</x:f>
        <x:v>80000</x:v>
      </x:c>
      <x:c r="Z321" s="17" t="n">
        <x:f>IF(AND(H321&gt;0,ISNUMBER(N321)),N321,0)</x:f>
        <x:v>0</x:v>
      </x:c>
      <x:c r="AA321" s="2" t="n">
        <x:f>IF(AND(H321&gt;0,N321="",NOT(ISNUMBER(Q321))),1,0)</x:f>
        <x:v>0</x:v>
      </x:c>
      <x:c r="AB321" s="2" t="n">
        <x:f>IF(AND(H321&gt;0,N321&lt;&gt;"",NOT(ISNUMBER(N321))),1,0)</x:f>
        <x:v>0</x:v>
      </x:c>
    </x:row>
    <x:row r="322" ht="48" customHeight="1">
      <x:c r="A322" s="2" t="str">
        <x:v>MAIN-311</x:v>
      </x:c>
      <x:c r="B322" s="2" t="str">
        <x:v>Main</x:v>
      </x:c>
      <x:c r="C322" s="2" t="str">
        <x:v>Mumbai</x:v>
      </x:c>
      <x:c r="D322" s="12" t="str">
        <x:v>Centrum IT Park</x:v>
      </x:c>
      <x:c r="E322" s="12" t="str">
        <x:v>32 inch LED TV</x:v>
      </x:c>
      <x:c r="F322" s="2" t="n">
        <x:v>1</x:v>
      </x:c>
      <x:c r="G322" s="2" t="n">
        <x:v>12</x:v>
      </x:c>
      <x:c r="H322" s="2" t="n">
        <x:f>COUNTIFS('Inventory'!$N$7:$N$783,A322,'Inventory'!$A$7:$A$783,1)</x:f>
        <x:v>1</x:v>
      </x:c>
      <x:c r="I322" s="2" t="n">
        <x:f>SUMIFS('Inventory'!$G$7:$G$783,'Inventory'!$N$7:$N$783,A322,'Inventory'!$A$7:$A$783,1)</x:f>
        <x:v>12</x:v>
      </x:c>
      <x:c r="J322" s="12" t="str">
        <x:v>Listed budget</x:v>
      </x:c>
      <x:c r="K322" s="17" t="n">
        <x:v>180000</x:v>
      </x:c>
      <x:c r="L322" s="17"/>
      <x:c r="M322" s="17"/>
      <x:c r="N322" s="19"/>
      <x:c r="O322" s="17" t="str">
        <x:f>IF(ISNUMBER(L322),G322*L322,IF(ISNUMBER(M322),M322,""))</x:f>
      </x:c>
      <x:c r="P322" s="17" t="n">
        <x:f>IF(ISNUMBER(K322),K322,IF(ISNUMBER(O322),O322,""))</x:f>
        <x:v>180000</x:v>
      </x:c>
      <x:c r="Q322" s="17" t="n">
        <x:f>IF(H322=0,0,IF(ISNUMBER(N322),N322,IF(N322="",IF(H322=F322,P322,""),"")))</x:f>
        <x:v>180000</x:v>
      </x:c>
      <x:c r="R322" s="17" t="n">
        <x:f>IF(ISNUMBER(Q322),ROUND(Q322*$C$4,2),"")</x:f>
        <x:v>32400</x:v>
      </x:c>
      <x:c r="S322" s="17" t="n">
        <x:f>IF(ISNUMBER(Q322),Q322+R322,"")</x:f>
        <x:v>212400</x:v>
      </x:c>
      <x:c r="T322" s="2" t="str">
        <x:f>IF(H322=0,"Not selected",IF(ISNUMBER(N322),"Quote entered",IF(N322&lt;&gt;"","Enter numeric quote",IF(H322=F322,IF(ISNUMBER(P322),"Complete unit","Price required"),"Partial package: price required"))))</x:f>
        <x:v>Complete unit</x:v>
      </x:c>
      <x:c r="U322" s="2" t="str"/>
      <x:c r="V322" s="2" t="str">
        <x:v>Unclassified</x:v>
      </x:c>
      <x:c r="W322" s="2" t="str">
        <x:v>Mixed business audience</x:v>
      </x:c>
      <x:c r="X322" s="17" t="n">
        <x:f>IF(AND(H322=F322,NOT(ISNUMBER(N322)),N322="",ISNUMBER(K322)),K322,0)</x:f>
        <x:v>180000</x:v>
      </x:c>
      <x:c r="Y322" s="17" t="n">
        <x:f>IF(AND(H322=F322,NOT(ISNUMBER(N322)),N322="",K322="",ISNUMBER(O322)),O322,0)</x:f>
        <x:v>0</x:v>
      </x:c>
      <x:c r="Z322" s="17" t="n">
        <x:f>IF(AND(H322&gt;0,ISNUMBER(N322)),N322,0)</x:f>
        <x:v>0</x:v>
      </x:c>
      <x:c r="AA322" s="2" t="n">
        <x:f>IF(AND(H322&gt;0,N322="",NOT(ISNUMBER(Q322))),1,0)</x:f>
        <x:v>0</x:v>
      </x:c>
      <x:c r="AB322" s="2" t="n">
        <x:f>IF(AND(H322&gt;0,N322&lt;&gt;"",NOT(ISNUMBER(N322))),1,0)</x:f>
        <x:v>0</x:v>
      </x:c>
    </x:row>
    <x:row r="323" ht="48" customHeight="1">
      <x:c r="A323" s="2" t="str">
        <x:v>MAIN-312</x:v>
      </x:c>
      <x:c r="B323" s="2" t="str">
        <x:v>Main</x:v>
      </x:c>
      <x:c r="C323" s="2" t="str">
        <x:v>Mumbai</x:v>
      </x:c>
      <x:c r="D323" s="12" t="str">
        <x:v>Deekay Tech Park</x:v>
      </x:c>
      <x:c r="E323" s="12" t="str">
        <x:v>32 inch LED TV</x:v>
      </x:c>
      <x:c r="F323" s="2" t="n">
        <x:v>1</x:v>
      </x:c>
      <x:c r="G323" s="2" t="n">
        <x:v>6</x:v>
      </x:c>
      <x:c r="H323" s="2" t="n">
        <x:f>COUNTIFS('Inventory'!$N$7:$N$783,A323,'Inventory'!$A$7:$A$783,1)</x:f>
        <x:v>1</x:v>
      </x:c>
      <x:c r="I323" s="2" t="n">
        <x:f>SUMIFS('Inventory'!$G$7:$G$783,'Inventory'!$N$7:$N$783,A323,'Inventory'!$A$7:$A$783,1)</x:f>
        <x:v>6</x:v>
      </x:c>
      <x:c r="J323" s="12" t="str">
        <x:v>Listed budget</x:v>
      </x:c>
      <x:c r="K323" s="17" t="n">
        <x:v>90000</x:v>
      </x:c>
      <x:c r="L323" s="17"/>
      <x:c r="M323" s="17"/>
      <x:c r="N323" s="19"/>
      <x:c r="O323" s="17" t="str">
        <x:f>IF(ISNUMBER(L323),G323*L323,IF(ISNUMBER(M323),M323,""))</x:f>
      </x:c>
      <x:c r="P323" s="17" t="n">
        <x:f>IF(ISNUMBER(K323),K323,IF(ISNUMBER(O323),O323,""))</x:f>
        <x:v>90000</x:v>
      </x:c>
      <x:c r="Q323" s="17" t="n">
        <x:f>IF(H323=0,0,IF(ISNUMBER(N323),N323,IF(N323="",IF(H323=F323,P323,""),"")))</x:f>
        <x:v>90000</x:v>
      </x:c>
      <x:c r="R323" s="17" t="n">
        <x:f>IF(ISNUMBER(Q323),ROUND(Q323*$C$4,2),"")</x:f>
        <x:v>16200</x:v>
      </x:c>
      <x:c r="S323" s="17" t="n">
        <x:f>IF(ISNUMBER(Q323),Q323+R323,"")</x:f>
        <x:v>106200</x:v>
      </x:c>
      <x:c r="T323" s="2" t="str">
        <x:f>IF(H323=0,"Not selected",IF(ISNUMBER(N323),"Quote entered",IF(N323&lt;&gt;"","Enter numeric quote",IF(H323=F323,IF(ISNUMBER(P323),"Complete unit","Price required"),"Partial package: price required"))))</x:f>
        <x:v>Complete unit</x:v>
      </x:c>
      <x:c r="U323" s="2" t="str">
        <x:v>TEN-58DF597940A3; TEN-E323D2D2ED43</x:v>
      </x:c>
      <x:c r="V323" s="2" t="str">
        <x:v>Unresolved</x:v>
      </x:c>
      <x:c r="W323" s="2" t="str">
        <x:v>Mixed business audience</x:v>
      </x:c>
      <x:c r="X323" s="17" t="n">
        <x:f>IF(AND(H323=F323,NOT(ISNUMBER(N323)),N323="",ISNUMBER(K323)),K323,0)</x:f>
        <x:v>90000</x:v>
      </x:c>
      <x:c r="Y323" s="17" t="n">
        <x:f>IF(AND(H323=F323,NOT(ISNUMBER(N323)),N323="",K323="",ISNUMBER(O323)),O323,0)</x:f>
        <x:v>0</x:v>
      </x:c>
      <x:c r="Z323" s="17" t="n">
        <x:f>IF(AND(H323&gt;0,ISNUMBER(N323)),N323,0)</x:f>
        <x:v>0</x:v>
      </x:c>
      <x:c r="AA323" s="2" t="n">
        <x:f>IF(AND(H323&gt;0,N323="",NOT(ISNUMBER(Q323))),1,0)</x:f>
        <x:v>0</x:v>
      </x:c>
      <x:c r="AB323" s="2" t="n">
        <x:f>IF(AND(H323&gt;0,N323&lt;&gt;"",NOT(ISNUMBER(N323))),1,0)</x:f>
        <x:v>0</x:v>
      </x:c>
    </x:row>
    <x:row r="324" ht="48" customHeight="1">
      <x:c r="A324" s="2" t="str">
        <x:v>MAIN-313</x:v>
      </x:c>
      <x:c r="B324" s="2" t="str">
        <x:v>Main</x:v>
      </x:c>
      <x:c r="C324" s="2" t="str">
        <x:v>Mumbai</x:v>
      </x:c>
      <x:c r="D324" s="12" t="str">
        <x:v>Everest Nirwana</x:v>
      </x:c>
      <x:c r="E324" s="12" t="str">
        <x:v>32 inch LED TV</x:v>
      </x:c>
      <x:c r="F324" s="2" t="n">
        <x:v>1</x:v>
      </x:c>
      <x:c r="G324" s="2" t="n">
        <x:v>21</x:v>
      </x:c>
      <x:c r="H324" s="2" t="n">
        <x:f>COUNTIFS('Inventory'!$N$7:$N$783,A324,'Inventory'!$A$7:$A$783,1)</x:f>
        <x:v>1</x:v>
      </x:c>
      <x:c r="I324" s="2" t="n">
        <x:f>SUMIFS('Inventory'!$G$7:$G$783,'Inventory'!$N$7:$N$783,A324,'Inventory'!$A$7:$A$783,1)</x:f>
        <x:v>21</x:v>
      </x:c>
      <x:c r="J324" s="12" t="str">
        <x:v>Listed budget</x:v>
      </x:c>
      <x:c r="K324" s="17" t="n">
        <x:v>315000</x:v>
      </x:c>
      <x:c r="L324" s="17"/>
      <x:c r="M324" s="17"/>
      <x:c r="N324" s="19"/>
      <x:c r="O324" s="17" t="str">
        <x:f>IF(ISNUMBER(L324),G324*L324,IF(ISNUMBER(M324),M324,""))</x:f>
      </x:c>
      <x:c r="P324" s="17" t="n">
        <x:f>IF(ISNUMBER(K324),K324,IF(ISNUMBER(O324),O324,""))</x:f>
        <x:v>315000</x:v>
      </x:c>
      <x:c r="Q324" s="17" t="n">
        <x:f>IF(H324=0,0,IF(ISNUMBER(N324),N324,IF(N324="",IF(H324=F324,P324,""),"")))</x:f>
        <x:v>315000</x:v>
      </x:c>
      <x:c r="R324" s="17" t="n">
        <x:f>IF(ISNUMBER(Q324),ROUND(Q324*$C$4,2),"")</x:f>
        <x:v>56700</x:v>
      </x:c>
      <x:c r="S324" s="17" t="n">
        <x:f>IF(ISNUMBER(Q324),Q324+R324,"")</x:f>
        <x:v>371700</x:v>
      </x:c>
      <x:c r="T324" s="2" t="str">
        <x:f>IF(H324=0,"Not selected",IF(ISNUMBER(N324),"Quote entered",IF(N324&lt;&gt;"","Enter numeric quote",IF(H324=F324,IF(ISNUMBER(P324),"Complete unit","Price required"),"Partial package: price required"))))</x:f>
        <x:v>Complete unit</x:v>
      </x:c>
      <x:c r="U324" s="2" t="str">
        <x:v>TEN-17C1A739EC36; TEN-2EF84D923835; TEN-62CD49329E56; TEN-6A758510FE04; TEN-7A6085BE2ECB; TEN-7F1BE9AADC7F; TEN-839D47983478; TEN-AFC9E379D2B5; TEN-C0F32A457876; TEN-E8742C488447</x:v>
      </x:c>
      <x:c r="V324" s="2" t="str">
        <x:v>IT &amp; digital; Engineering &amp; manufacturing; Trade, consumer &amp; logistics; Unresolved</x:v>
      </x:c>
      <x:c r="W324" s="2" t="str">
        <x:v>Micro-scale prospects; Small-scale prospects; Medium-scale prospects; Mixed business audience</x:v>
      </x:c>
      <x:c r="X324" s="17" t="n">
        <x:f>IF(AND(H324=F324,NOT(ISNUMBER(N324)),N324="",ISNUMBER(K324)),K324,0)</x:f>
        <x:v>315000</x:v>
      </x:c>
      <x:c r="Y324" s="17" t="n">
        <x:f>IF(AND(H324=F324,NOT(ISNUMBER(N324)),N324="",K324="",ISNUMBER(O324)),O324,0)</x:f>
        <x:v>0</x:v>
      </x:c>
      <x:c r="Z324" s="17" t="n">
        <x:f>IF(AND(H324&gt;0,ISNUMBER(N324)),N324,0)</x:f>
        <x:v>0</x:v>
      </x:c>
      <x:c r="AA324" s="2" t="n">
        <x:f>IF(AND(H324&gt;0,N324="",NOT(ISNUMBER(Q324))),1,0)</x:f>
        <x:v>0</x:v>
      </x:c>
      <x:c r="AB324" s="2" t="n">
        <x:f>IF(AND(H324&gt;0,N324&lt;&gt;"",NOT(ISNUMBER(N324))),1,0)</x:f>
        <x:v>0</x:v>
      </x:c>
    </x:row>
    <x:row r="325" ht="48" customHeight="1">
      <x:c r="A325" s="2" t="str">
        <x:v>MAIN-314</x:v>
      </x:c>
      <x:c r="B325" s="2" t="str">
        <x:v>Main</x:v>
      </x:c>
      <x:c r="C325" s="2" t="str">
        <x:v>Mumbai</x:v>
      </x:c>
      <x:c r="D325" s="12" t="str">
        <x:v>Fitness Kingdom Golds</x:v>
      </x:c>
      <x:c r="E325" s="12" t="str">
        <x:v>32 inch LED TV</x:v>
      </x:c>
      <x:c r="F325" s="2" t="n">
        <x:v>1</x:v>
      </x:c>
      <x:c r="G325" s="2" t="n">
        <x:v>2</x:v>
      </x:c>
      <x:c r="H325" s="2" t="n">
        <x:f>COUNTIFS('Inventory'!$N$7:$N$783,A325,'Inventory'!$A$7:$A$783,1)</x:f>
        <x:v>1</x:v>
      </x:c>
      <x:c r="I325" s="2" t="n">
        <x:f>SUMIFS('Inventory'!$G$7:$G$783,'Inventory'!$N$7:$N$783,A325,'Inventory'!$A$7:$A$783,1)</x:f>
        <x:v>2</x:v>
      </x:c>
      <x:c r="J325" s="12" t="str">
        <x:v>Listed budget</x:v>
      </x:c>
      <x:c r="K325" s="17" t="n">
        <x:v>30000</x:v>
      </x:c>
      <x:c r="L325" s="17"/>
      <x:c r="M325" s="17"/>
      <x:c r="N325" s="19"/>
      <x:c r="O325" s="17" t="str">
        <x:f>IF(ISNUMBER(L325),G325*L325,IF(ISNUMBER(M325),M325,""))</x:f>
      </x:c>
      <x:c r="P325" s="17" t="n">
        <x:f>IF(ISNUMBER(K325),K325,IF(ISNUMBER(O325),O325,""))</x:f>
        <x:v>30000</x:v>
      </x:c>
      <x:c r="Q325" s="17" t="n">
        <x:f>IF(H325=0,0,IF(ISNUMBER(N325),N325,IF(N325="",IF(H325=F325,P325,""),"")))</x:f>
        <x:v>30000</x:v>
      </x:c>
      <x:c r="R325" s="17" t="n">
        <x:f>IF(ISNUMBER(Q325),ROUND(Q325*$C$4,2),"")</x:f>
        <x:v>5400</x:v>
      </x:c>
      <x:c r="S325" s="17" t="n">
        <x:f>IF(ISNUMBER(Q325),Q325+R325,"")</x:f>
        <x:v>35400</x:v>
      </x:c>
      <x:c r="T325" s="2" t="str">
        <x:f>IF(H325=0,"Not selected",IF(ISNUMBER(N325),"Quote entered",IF(N325&lt;&gt;"","Enter numeric quote",IF(H325=F325,IF(ISNUMBER(P325),"Complete unit","Price required"),"Partial package: price required"))))</x:f>
        <x:v>Complete unit</x:v>
      </x:c>
      <x:c r="U325" s="2" t="str"/>
      <x:c r="V325" s="2" t="str">
        <x:v>Unclassified</x:v>
      </x:c>
      <x:c r="W325" s="2" t="str">
        <x:v>Mixed business audience</x:v>
      </x:c>
      <x:c r="X325" s="17" t="n">
        <x:f>IF(AND(H325=F325,NOT(ISNUMBER(N325)),N325="",ISNUMBER(K325)),K325,0)</x:f>
        <x:v>30000</x:v>
      </x:c>
      <x:c r="Y325" s="17" t="n">
        <x:f>IF(AND(H325=F325,NOT(ISNUMBER(N325)),N325="",K325="",ISNUMBER(O325)),O325,0)</x:f>
        <x:v>0</x:v>
      </x:c>
      <x:c r="Z325" s="17" t="n">
        <x:f>IF(AND(H325&gt;0,ISNUMBER(N325)),N325,0)</x:f>
        <x:v>0</x:v>
      </x:c>
      <x:c r="AA325" s="2" t="n">
        <x:f>IF(AND(H325&gt;0,N325="",NOT(ISNUMBER(Q325))),1,0)</x:f>
        <x:v>0</x:v>
      </x:c>
      <x:c r="AB325" s="2" t="n">
        <x:f>IF(AND(H325&gt;0,N325&lt;&gt;"",NOT(ISNUMBER(N325))),1,0)</x:f>
        <x:v>0</x:v>
      </x:c>
    </x:row>
    <x:row r="326" ht="48" customHeight="1">
      <x:c r="A326" s="2" t="str">
        <x:v>MAIN-315</x:v>
      </x:c>
      <x:c r="B326" s="2" t="str">
        <x:v>Main</x:v>
      </x:c>
      <x:c r="C326" s="2" t="str">
        <x:v>Mumbai</x:v>
      </x:c>
      <x:c r="D326" s="12" t="str">
        <x:v>Fitness Kingdom Platinum</x:v>
      </x:c>
      <x:c r="E326" s="12" t="str">
        <x:v>32 inch LED TV</x:v>
      </x:c>
      <x:c r="F326" s="2" t="n">
        <x:v>1</x:v>
      </x:c>
      <x:c r="G326" s="2" t="n">
        <x:v>3</x:v>
      </x:c>
      <x:c r="H326" s="2" t="n">
        <x:f>COUNTIFS('Inventory'!$N$7:$N$783,A326,'Inventory'!$A$7:$A$783,1)</x:f>
        <x:v>1</x:v>
      </x:c>
      <x:c r="I326" s="2" t="n">
        <x:f>SUMIFS('Inventory'!$G$7:$G$783,'Inventory'!$N$7:$N$783,A326,'Inventory'!$A$7:$A$783,1)</x:f>
        <x:v>3</x:v>
      </x:c>
      <x:c r="J326" s="12" t="str">
        <x:v>Listed budget</x:v>
      </x:c>
      <x:c r="K326" s="17" t="n">
        <x:v>45000</x:v>
      </x:c>
      <x:c r="L326" s="17"/>
      <x:c r="M326" s="17"/>
      <x:c r="N326" s="19"/>
      <x:c r="O326" s="17" t="str">
        <x:f>IF(ISNUMBER(L326),G326*L326,IF(ISNUMBER(M326),M326,""))</x:f>
      </x:c>
      <x:c r="P326" s="17" t="n">
        <x:f>IF(ISNUMBER(K326),K326,IF(ISNUMBER(O326),O326,""))</x:f>
        <x:v>45000</x:v>
      </x:c>
      <x:c r="Q326" s="17" t="n">
        <x:f>IF(H326=0,0,IF(ISNUMBER(N326),N326,IF(N326="",IF(H326=F326,P326,""),"")))</x:f>
        <x:v>45000</x:v>
      </x:c>
      <x:c r="R326" s="17" t="n">
        <x:f>IF(ISNUMBER(Q326),ROUND(Q326*$C$4,2),"")</x:f>
        <x:v>8100</x:v>
      </x:c>
      <x:c r="S326" s="17" t="n">
        <x:f>IF(ISNUMBER(Q326),Q326+R326,"")</x:f>
        <x:v>53100</x:v>
      </x:c>
      <x:c r="T326" s="2" t="str">
        <x:f>IF(H326=0,"Not selected",IF(ISNUMBER(N326),"Quote entered",IF(N326&lt;&gt;"","Enter numeric quote",IF(H326=F326,IF(ISNUMBER(P326),"Complete unit","Price required"),"Partial package: price required"))))</x:f>
        <x:v>Complete unit</x:v>
      </x:c>
      <x:c r="U326" s="2" t="str"/>
      <x:c r="V326" s="2" t="str">
        <x:v>Unclassified</x:v>
      </x:c>
      <x:c r="W326" s="2" t="str">
        <x:v>Mixed business audience</x:v>
      </x:c>
      <x:c r="X326" s="17" t="n">
        <x:f>IF(AND(H326=F326,NOT(ISNUMBER(N326)),N326="",ISNUMBER(K326)),K326,0)</x:f>
        <x:v>45000</x:v>
      </x:c>
      <x:c r="Y326" s="17" t="n">
        <x:f>IF(AND(H326=F326,NOT(ISNUMBER(N326)),N326="",K326="",ISNUMBER(O326)),O326,0)</x:f>
        <x:v>0</x:v>
      </x:c>
      <x:c r="Z326" s="17" t="n">
        <x:f>IF(AND(H326&gt;0,ISNUMBER(N326)),N326,0)</x:f>
        <x:v>0</x:v>
      </x:c>
      <x:c r="AA326" s="2" t="n">
        <x:f>IF(AND(H326&gt;0,N326="",NOT(ISNUMBER(Q326))),1,0)</x:f>
        <x:v>0</x:v>
      </x:c>
      <x:c r="AB326" s="2" t="n">
        <x:f>IF(AND(H326&gt;0,N326&lt;&gt;"",NOT(ISNUMBER(N326))),1,0)</x:f>
        <x:v>0</x:v>
      </x:c>
    </x:row>
    <x:row r="327" ht="48" customHeight="1">
      <x:c r="A327" s="2" t="str">
        <x:v>MAIN-316</x:v>
      </x:c>
      <x:c r="B327" s="2" t="str">
        <x:v>Main</x:v>
      </x:c>
      <x:c r="C327" s="2" t="str">
        <x:v>Mumbai</x:v>
      </x:c>
      <x:c r="D327" s="12" t="str">
        <x:v>Fleet House Global Park</x:v>
      </x:c>
      <x:c r="E327" s="12" t="str">
        <x:v>43 inch LED TV</x:v>
      </x:c>
      <x:c r="F327" s="2" t="n">
        <x:v>1</x:v>
      </x:c>
      <x:c r="G327" s="2" t="n">
        <x:v>2</x:v>
      </x:c>
      <x:c r="H327" s="2" t="n">
        <x:f>COUNTIFS('Inventory'!$N$7:$N$783,A327,'Inventory'!$A$7:$A$783,1)</x:f>
        <x:v>1</x:v>
      </x:c>
      <x:c r="I327" s="2" t="n">
        <x:f>SUMIFS('Inventory'!$G$7:$G$783,'Inventory'!$N$7:$N$783,A327,'Inventory'!$A$7:$A$783,1)</x:f>
        <x:v>2</x:v>
      </x:c>
      <x:c r="J327" s="12" t="str">
        <x:v>Campaign format rate</x:v>
      </x:c>
      <x:c r="K327" s="17"/>
      <x:c r="L327" s="17" t="n">
        <x:f>$E$5</x:f>
        <x:v>20000</x:v>
      </x:c>
      <x:c r="M327" s="17"/>
      <x:c r="N327" s="19"/>
      <x:c r="O327" s="17" t="n">
        <x:f>IF(ISNUMBER(L327),G327*L327,IF(ISNUMBER(M327),M327,""))</x:f>
        <x:v>40000</x:v>
      </x:c>
      <x:c r="P327" s="17" t="n">
        <x:f>IF(ISNUMBER(K327),K327,IF(ISNUMBER(O327),O327,""))</x:f>
        <x:v>40000</x:v>
      </x:c>
      <x:c r="Q327" s="17" t="n">
        <x:f>IF(H327=0,0,IF(ISNUMBER(N327),N327,IF(N327="",IF(H327=F327,P327,""),"")))</x:f>
        <x:v>40000</x:v>
      </x:c>
      <x:c r="R327" s="17" t="n">
        <x:f>IF(ISNUMBER(Q327),ROUND(Q327*$C$4,2),"")</x:f>
        <x:v>7200</x:v>
      </x:c>
      <x:c r="S327" s="17" t="n">
        <x:f>IF(ISNUMBER(Q327),Q327+R327,"")</x:f>
        <x:v>47200</x:v>
      </x:c>
      <x:c r="T327" s="2" t="str">
        <x:f>IF(H327=0,"Not selected",IF(ISNUMBER(N327),"Quote entered",IF(N327&lt;&gt;"","Enter numeric quote",IF(H327=F327,IF(ISNUMBER(P327),"Complete unit","Price required"),"Partial package: price required"))))</x:f>
        <x:v>Complete unit</x:v>
      </x:c>
      <x:c r="U327" s="2" t="str">
        <x:v>TEN-008C592B5A21; TEN-50F0697A25EA; TEN-6B2B539857F5; TEN-BCA1134C91EB</x:v>
      </x:c>
      <x:c r="V327" s="2" t="str">
        <x:v>Finance &amp; insurance; Engineering &amp; manufacturing; Healthcare &amp; life sciences</x:v>
      </x:c>
      <x:c r="W327" s="2" t="str">
        <x:v>Small-scale prospects; Medium-scale prospects; Mixed business audience</x:v>
      </x:c>
      <x:c r="X327" s="17" t="n">
        <x:f>IF(AND(H327=F327,NOT(ISNUMBER(N327)),N327="",ISNUMBER(K327)),K327,0)</x:f>
        <x:v>0</x:v>
      </x:c>
      <x:c r="Y327" s="17" t="n">
        <x:f>IF(AND(H327=F327,NOT(ISNUMBER(N327)),N327="",K327="",ISNUMBER(O327)),O327,0)</x:f>
        <x:v>40000</x:v>
      </x:c>
      <x:c r="Z327" s="17" t="n">
        <x:f>IF(AND(H327&gt;0,ISNUMBER(N327)),N327,0)</x:f>
        <x:v>0</x:v>
      </x:c>
      <x:c r="AA327" s="2" t="n">
        <x:f>IF(AND(H327&gt;0,N327="",NOT(ISNUMBER(Q327))),1,0)</x:f>
        <x:v>0</x:v>
      </x:c>
      <x:c r="AB327" s="2" t="n">
        <x:f>IF(AND(H327&gt;0,N327&lt;&gt;"",NOT(ISNUMBER(N327))),1,0)</x:f>
        <x:v>0</x:v>
      </x:c>
    </x:row>
    <x:row r="328" ht="48" customHeight="1">
      <x:c r="A328" s="2" t="str">
        <x:v>MAIN-317</x:v>
      </x:c>
      <x:c r="B328" s="2" t="str">
        <x:v>Main</x:v>
      </x:c>
      <x:c r="C328" s="2" t="str">
        <x:v>Mumbai</x:v>
      </x:c>
      <x:c r="D328" s="12" t="str">
        <x:v>GigaPlex</x:v>
      </x:c>
      <x:c r="E328" s="12" t="str">
        <x:v>55 inch LED TV</x:v>
      </x:c>
      <x:c r="F328" s="2" t="n">
        <x:v>1</x:v>
      </x:c>
      <x:c r="G328" s="2" t="n">
        <x:v>1</x:v>
      </x:c>
      <x:c r="H328" s="2" t="n">
        <x:f>COUNTIFS('Inventory'!$N$7:$N$783,A328,'Inventory'!$A$7:$A$783,1)</x:f>
        <x:v>1</x:v>
      </x:c>
      <x:c r="I328" s="2" t="n">
        <x:f>SUMIFS('Inventory'!$G$7:$G$783,'Inventory'!$N$7:$N$783,A328,'Inventory'!$A$7:$A$783,1)</x:f>
        <x:v>1</x:v>
      </x:c>
      <x:c r="J328" s="12" t="str">
        <x:v>Campaign format rate</x:v>
      </x:c>
      <x:c r="K328" s="17"/>
      <x:c r="L328" s="17" t="n">
        <x:f>$I$5</x:f>
        <x:v>40000</x:v>
      </x:c>
      <x:c r="M328" s="17"/>
      <x:c r="N328" s="19"/>
      <x:c r="O328" s="17" t="n">
        <x:f>IF(ISNUMBER(L328),G328*L328,IF(ISNUMBER(M328),M328,""))</x:f>
        <x:v>40000</x:v>
      </x:c>
      <x:c r="P328" s="17" t="n">
        <x:f>IF(ISNUMBER(K328),K328,IF(ISNUMBER(O328),O328,""))</x:f>
        <x:v>40000</x:v>
      </x:c>
      <x:c r="Q328" s="17" t="n">
        <x:f>IF(H328=0,0,IF(ISNUMBER(N328),N328,IF(N328="",IF(H328=F328,P328,""),"")))</x:f>
        <x:v>40000</x:v>
      </x:c>
      <x:c r="R328" s="17" t="n">
        <x:f>IF(ISNUMBER(Q328),ROUND(Q328*$C$4,2),"")</x:f>
        <x:v>7200</x:v>
      </x:c>
      <x:c r="S328" s="17" t="n">
        <x:f>IF(ISNUMBER(Q328),Q328+R328,"")</x:f>
        <x:v>47200</x:v>
      </x:c>
      <x:c r="T328" s="2" t="str">
        <x:f>IF(H328=0,"Not selected",IF(ISNUMBER(N328),"Quote entered",IF(N328&lt;&gt;"","Enter numeric quote",IF(H328=F328,IF(ISNUMBER(P328),"Complete unit","Price required"),"Partial package: price required"))))</x:f>
        <x:v>Complete unit</x:v>
      </x:c>
      <x:c r="U328" s="2" t="str"/>
      <x:c r="V328" s="2" t="str">
        <x:v>Unclassified</x:v>
      </x:c>
      <x:c r="W328" s="2" t="str">
        <x:v>Mixed business audience</x:v>
      </x:c>
      <x:c r="X328" s="17" t="n">
        <x:f>IF(AND(H328=F328,NOT(ISNUMBER(N328)),N328="",ISNUMBER(K328)),K328,0)</x:f>
        <x:v>0</x:v>
      </x:c>
      <x:c r="Y328" s="17" t="n">
        <x:f>IF(AND(H328=F328,NOT(ISNUMBER(N328)),N328="",K328="",ISNUMBER(O328)),O328,0)</x:f>
        <x:v>40000</x:v>
      </x:c>
      <x:c r="Z328" s="17" t="n">
        <x:f>IF(AND(H328&gt;0,ISNUMBER(N328)),N328,0)</x:f>
        <x:v>0</x:v>
      </x:c>
      <x:c r="AA328" s="2" t="n">
        <x:f>IF(AND(H328&gt;0,N328="",NOT(ISNUMBER(Q328))),1,0)</x:f>
        <x:v>0</x:v>
      </x:c>
      <x:c r="AB328" s="2" t="n">
        <x:f>IF(AND(H328&gt;0,N328&lt;&gt;"",NOT(ISNUMBER(N328))),1,0)</x:f>
        <x:v>0</x:v>
      </x:c>
    </x:row>
    <x:row r="329" ht="48" customHeight="1">
      <x:c r="A329" s="2" t="str">
        <x:v>MAIN-318</x:v>
      </x:c>
      <x:c r="B329" s="2" t="str">
        <x:v>Main</x:v>
      </x:c>
      <x:c r="C329" s="2" t="str">
        <x:v>Mumbai</x:v>
      </x:c>
      <x:c r="D329" s="12" t="str">
        <x:v>Kaledonia (Redbrick Offices)</x:v>
      </x:c>
      <x:c r="E329" s="12" t="str">
        <x:v>32 inch LED TV</x:v>
      </x:c>
      <x:c r="F329" s="2" t="n">
        <x:v>1</x:v>
      </x:c>
      <x:c r="G329" s="2" t="n">
        <x:v>2</x:v>
      </x:c>
      <x:c r="H329" s="2" t="n">
        <x:f>COUNTIFS('Inventory'!$N$7:$N$783,A329,'Inventory'!$A$7:$A$783,1)</x:f>
        <x:v>1</x:v>
      </x:c>
      <x:c r="I329" s="2" t="n">
        <x:f>SUMIFS('Inventory'!$G$7:$G$783,'Inventory'!$N$7:$N$783,A329,'Inventory'!$A$7:$A$783,1)</x:f>
        <x:v>2</x:v>
      </x:c>
      <x:c r="J329" s="12" t="str">
        <x:v>Listed budget</x:v>
      </x:c>
      <x:c r="K329" s="17" t="n">
        <x:v>30000</x:v>
      </x:c>
      <x:c r="L329" s="17"/>
      <x:c r="M329" s="17"/>
      <x:c r="N329" s="19"/>
      <x:c r="O329" s="17" t="str">
        <x:f>IF(ISNUMBER(L329),G329*L329,IF(ISNUMBER(M329),M329,""))</x:f>
      </x:c>
      <x:c r="P329" s="17" t="n">
        <x:f>IF(ISNUMBER(K329),K329,IF(ISNUMBER(O329),O329,""))</x:f>
        <x:v>30000</x:v>
      </x:c>
      <x:c r="Q329" s="17" t="n">
        <x:f>IF(H329=0,0,IF(ISNUMBER(N329),N329,IF(N329="",IF(H329=F329,P329,""),"")))</x:f>
        <x:v>30000</x:v>
      </x:c>
      <x:c r="R329" s="17" t="n">
        <x:f>IF(ISNUMBER(Q329),ROUND(Q329*$C$4,2),"")</x:f>
        <x:v>5400</x:v>
      </x:c>
      <x:c r="S329" s="17" t="n">
        <x:f>IF(ISNUMBER(Q329),Q329+R329,"")</x:f>
        <x:v>35400</x:v>
      </x:c>
      <x:c r="T329" s="2" t="str">
        <x:f>IF(H329=0,"Not selected",IF(ISNUMBER(N329),"Quote entered",IF(N329&lt;&gt;"","Enter numeric quote",IF(H329=F329,IF(ISNUMBER(P329),"Complete unit","Price required"),"Partial package: price required"))))</x:f>
        <x:v>Complete unit</x:v>
      </x:c>
      <x:c r="U329" s="2" t="str">
        <x:v>TEN-01CDE5809600; TEN-1A88E4F7C46C; TEN-4EEBA7BCE105; TEN-70BA232C2774; TEN-8D05759FFE00; TEN-A678093949D3; TEN-BB53FE43D8A6; TEN-E3DC8F201DEF</x:v>
      </x:c>
      <x:c r="V329" s="2" t="str">
        <x:v>IT &amp; digital; Professional services; Finance &amp; insurance; Education; Trade, consumer &amp; logistics; Unresolved</x:v>
      </x:c>
      <x:c r="W329" s="2" t="str">
        <x:v>Small-scale prospects; Mixed business audience</x:v>
      </x:c>
      <x:c r="X329" s="17" t="n">
        <x:f>IF(AND(H329=F329,NOT(ISNUMBER(N329)),N329="",ISNUMBER(K329)),K329,0)</x:f>
        <x:v>30000</x:v>
      </x:c>
      <x:c r="Y329" s="17" t="n">
        <x:f>IF(AND(H329=F329,NOT(ISNUMBER(N329)),N329="",K329="",ISNUMBER(O329)),O329,0)</x:f>
        <x:v>0</x:v>
      </x:c>
      <x:c r="Z329" s="17" t="n">
        <x:f>IF(AND(H329&gt;0,ISNUMBER(N329)),N329,0)</x:f>
        <x:v>0</x:v>
      </x:c>
      <x:c r="AA329" s="2" t="n">
        <x:f>IF(AND(H329&gt;0,N329="",NOT(ISNUMBER(Q329))),1,0)</x:f>
        <x:v>0</x:v>
      </x:c>
      <x:c r="AB329" s="2" t="n">
        <x:f>IF(AND(H329&gt;0,N329&lt;&gt;"",NOT(ISNUMBER(N329))),1,0)</x:f>
        <x:v>0</x:v>
      </x:c>
    </x:row>
    <x:row r="330" ht="48" customHeight="1">
      <x:c r="A330" s="2" t="str">
        <x:v>MAIN-319</x:v>
      </x:c>
      <x:c r="B330" s="2" t="str">
        <x:v>Main</x:v>
      </x:c>
      <x:c r="C330" s="2" t="str">
        <x:v>Mumbai</x:v>
      </x:c>
      <x:c r="D330" s="12" t="str">
        <x:v>Kalpataru Prime (Redbrick Offices)</x:v>
      </x:c>
      <x:c r="E330" s="12" t="str">
        <x:v>32 inch LED TV</x:v>
      </x:c>
      <x:c r="F330" s="2" t="n">
        <x:v>1</x:v>
      </x:c>
      <x:c r="G330" s="2" t="n">
        <x:v>1</x:v>
      </x:c>
      <x:c r="H330" s="2" t="n">
        <x:f>COUNTIFS('Inventory'!$N$7:$N$783,A330,'Inventory'!$A$7:$A$783,1)</x:f>
        <x:v>1</x:v>
      </x:c>
      <x:c r="I330" s="2" t="n">
        <x:f>SUMIFS('Inventory'!$G$7:$G$783,'Inventory'!$N$7:$N$783,A330,'Inventory'!$A$7:$A$783,1)</x:f>
        <x:v>1</x:v>
      </x:c>
      <x:c r="J330" s="12" t="str">
        <x:v>Listed budget</x:v>
      </x:c>
      <x:c r="K330" s="17" t="n">
        <x:v>15000</x:v>
      </x:c>
      <x:c r="L330" s="17"/>
      <x:c r="M330" s="17"/>
      <x:c r="N330" s="19"/>
      <x:c r="O330" s="17" t="str">
        <x:f>IF(ISNUMBER(L330),G330*L330,IF(ISNUMBER(M330),M330,""))</x:f>
      </x:c>
      <x:c r="P330" s="17" t="n">
        <x:f>IF(ISNUMBER(K330),K330,IF(ISNUMBER(O330),O330,""))</x:f>
        <x:v>15000</x:v>
      </x:c>
      <x:c r="Q330" s="17" t="n">
        <x:f>IF(H330=0,0,IF(ISNUMBER(N330),N330,IF(N330="",IF(H330=F330,P330,""),"")))</x:f>
        <x:v>15000</x:v>
      </x:c>
      <x:c r="R330" s="17" t="n">
        <x:f>IF(ISNUMBER(Q330),ROUND(Q330*$C$4,2),"")</x:f>
        <x:v>2700</x:v>
      </x:c>
      <x:c r="S330" s="17" t="n">
        <x:f>IF(ISNUMBER(Q330),Q330+R330,"")</x:f>
        <x:v>17700</x:v>
      </x:c>
      <x:c r="T330" s="2" t="str">
        <x:f>IF(H330=0,"Not selected",IF(ISNUMBER(N330),"Quote entered",IF(N330&lt;&gt;"","Enter numeric quote",IF(H330=F330,IF(ISNUMBER(P330),"Complete unit","Price required"),"Partial package: price required"))))</x:f>
        <x:v>Complete unit</x:v>
      </x:c>
      <x:c r="U330" s="2" t="str">
        <x:v>TEN-13BC031717FC; TEN-1EE00EFBFE12; TEN-4BB05FE0A3D5; TEN-56026A5BCEFA; TEN-9181FE4A83A6; TEN-B14ECF80C8CB; TEN-DEF227101D5D</x:v>
      </x:c>
      <x:c r="V330" s="2" t="str">
        <x:v>IT &amp; digital; Finance &amp; insurance; Engineering &amp; manufacturing; Unresolved</x:v>
      </x:c>
      <x:c r="W330" s="2" t="str">
        <x:v>Small-scale prospects; Medium-scale prospects; Mixed business audience</x:v>
      </x:c>
      <x:c r="X330" s="17" t="n">
        <x:f>IF(AND(H330=F330,NOT(ISNUMBER(N330)),N330="",ISNUMBER(K330)),K330,0)</x:f>
        <x:v>15000</x:v>
      </x:c>
      <x:c r="Y330" s="17" t="n">
        <x:f>IF(AND(H330=F330,NOT(ISNUMBER(N330)),N330="",K330="",ISNUMBER(O330)),O330,0)</x:f>
        <x:v>0</x:v>
      </x:c>
      <x:c r="Z330" s="17" t="n">
        <x:f>IF(AND(H330&gt;0,ISNUMBER(N330)),N330,0)</x:f>
        <x:v>0</x:v>
      </x:c>
      <x:c r="AA330" s="2" t="n">
        <x:f>IF(AND(H330&gt;0,N330="",NOT(ISNUMBER(Q330))),1,0)</x:f>
        <x:v>0</x:v>
      </x:c>
      <x:c r="AB330" s="2" t="n">
        <x:f>IF(AND(H330&gt;0,N330&lt;&gt;"",NOT(ISNUMBER(N330))),1,0)</x:f>
        <x:v>0</x:v>
      </x:c>
    </x:row>
    <x:row r="331" ht="48" customHeight="1">
      <x:c r="A331" s="2" t="str">
        <x:v>MAIN-320</x:v>
      </x:c>
      <x:c r="B331" s="2" t="str">
        <x:v>Main</x:v>
      </x:c>
      <x:c r="C331" s="2" t="str">
        <x:v>Mumbai</x:v>
      </x:c>
      <x:c r="D331" s="12" t="str">
        <x:v>Kane Plaza</x:v>
      </x:c>
      <x:c r="E331" s="12" t="str">
        <x:v>32 inch LED TV</x:v>
      </x:c>
      <x:c r="F331" s="2" t="n">
        <x:v>1</x:v>
      </x:c>
      <x:c r="G331" s="2" t="n">
        <x:v>6</x:v>
      </x:c>
      <x:c r="H331" s="2" t="n">
        <x:f>COUNTIFS('Inventory'!$N$7:$N$783,A331,'Inventory'!$A$7:$A$783,1)</x:f>
        <x:v>1</x:v>
      </x:c>
      <x:c r="I331" s="2" t="n">
        <x:f>SUMIFS('Inventory'!$G$7:$G$783,'Inventory'!$N$7:$N$783,A331,'Inventory'!$A$7:$A$783,1)</x:f>
        <x:v>6</x:v>
      </x:c>
      <x:c r="J331" s="12" t="str">
        <x:v>Listed budget</x:v>
      </x:c>
      <x:c r="K331" s="17" t="n">
        <x:v>90000</x:v>
      </x:c>
      <x:c r="L331" s="17"/>
      <x:c r="M331" s="17"/>
      <x:c r="N331" s="19"/>
      <x:c r="O331" s="17" t="str">
        <x:f>IF(ISNUMBER(L331),G331*L331,IF(ISNUMBER(M331),M331,""))</x:f>
      </x:c>
      <x:c r="P331" s="17" t="n">
        <x:f>IF(ISNUMBER(K331),K331,IF(ISNUMBER(O331),O331,""))</x:f>
        <x:v>90000</x:v>
      </x:c>
      <x:c r="Q331" s="17" t="n">
        <x:f>IF(H331=0,0,IF(ISNUMBER(N331),N331,IF(N331="",IF(H331=F331,P331,""),"")))</x:f>
        <x:v>90000</x:v>
      </x:c>
      <x:c r="R331" s="17" t="n">
        <x:f>IF(ISNUMBER(Q331),ROUND(Q331*$C$4,2),"")</x:f>
        <x:v>16200</x:v>
      </x:c>
      <x:c r="S331" s="17" t="n">
        <x:f>IF(ISNUMBER(Q331),Q331+R331,"")</x:f>
        <x:v>106200</x:v>
      </x:c>
      <x:c r="T331" s="2" t="str">
        <x:f>IF(H331=0,"Not selected",IF(ISNUMBER(N331),"Quote entered",IF(N331&lt;&gt;"","Enter numeric quote",IF(H331=F331,IF(ISNUMBER(P331),"Complete unit","Price required"),"Partial package: price required"))))</x:f>
        <x:v>Complete unit</x:v>
      </x:c>
      <x:c r="U331" s="2" t="str">
        <x:v>TEN-62357265C4F9; TEN-97BC11E6C347; TEN-D4CA40CB2DE3; TEN-D92D491D68E3; TEN-DF285E1CF24C</x:v>
      </x:c>
      <x:c r="V331" s="2" t="str">
        <x:v>Engineering &amp; manufacturing; Trade, consumer &amp; logistics</x:v>
      </x:c>
      <x:c r="W331" s="2" t="str">
        <x:v>Small-scale prospects; Medium-scale prospects</x:v>
      </x:c>
      <x:c r="X331" s="17" t="n">
        <x:f>IF(AND(H331=F331,NOT(ISNUMBER(N331)),N331="",ISNUMBER(K331)),K331,0)</x:f>
        <x:v>90000</x:v>
      </x:c>
      <x:c r="Y331" s="17" t="n">
        <x:f>IF(AND(H331=F331,NOT(ISNUMBER(N331)),N331="",K331="",ISNUMBER(O331)),O331,0)</x:f>
        <x:v>0</x:v>
      </x:c>
      <x:c r="Z331" s="17" t="n">
        <x:f>IF(AND(H331&gt;0,ISNUMBER(N331)),N331,0)</x:f>
        <x:v>0</x:v>
      </x:c>
      <x:c r="AA331" s="2" t="n">
        <x:f>IF(AND(H331&gt;0,N331="",NOT(ISNUMBER(Q331))),1,0)</x:f>
        <x:v>0</x:v>
      </x:c>
      <x:c r="AB331" s="2" t="n">
        <x:f>IF(AND(H331&gt;0,N331&lt;&gt;"",NOT(ISNUMBER(N331))),1,0)</x:f>
        <x:v>0</x:v>
      </x:c>
    </x:row>
    <x:row r="332" ht="48" customHeight="1">
      <x:c r="A332" s="2" t="str">
        <x:v>MAIN-321</x:v>
      </x:c>
      <x:c r="B332" s="2" t="str">
        <x:v>Main</x:v>
      </x:c>
      <x:c r="C332" s="2" t="str">
        <x:v>Mumbai</x:v>
      </x:c>
      <x:c r="D332" s="12" t="str">
        <x:v>Lodha Ithink (Redbrick Offices)</x:v>
      </x:c>
      <x:c r="E332" s="12" t="str">
        <x:v>32 inch LED TV</x:v>
      </x:c>
      <x:c r="F332" s="2" t="n">
        <x:v>1</x:v>
      </x:c>
      <x:c r="G332" s="2" t="n">
        <x:v>1</x:v>
      </x:c>
      <x:c r="H332" s="2" t="n">
        <x:f>COUNTIFS('Inventory'!$N$7:$N$783,A332,'Inventory'!$A$7:$A$783,1)</x:f>
        <x:v>1</x:v>
      </x:c>
      <x:c r="I332" s="2" t="n">
        <x:f>SUMIFS('Inventory'!$G$7:$G$783,'Inventory'!$N$7:$N$783,A332,'Inventory'!$A$7:$A$783,1)</x:f>
        <x:v>1</x:v>
      </x:c>
      <x:c r="J332" s="12" t="str">
        <x:v>Listed budget</x:v>
      </x:c>
      <x:c r="K332" s="17" t="n">
        <x:v>15000</x:v>
      </x:c>
      <x:c r="L332" s="17"/>
      <x:c r="M332" s="17"/>
      <x:c r="N332" s="19"/>
      <x:c r="O332" s="17" t="str">
        <x:f>IF(ISNUMBER(L332),G332*L332,IF(ISNUMBER(M332),M332,""))</x:f>
      </x:c>
      <x:c r="P332" s="17" t="n">
        <x:f>IF(ISNUMBER(K332),K332,IF(ISNUMBER(O332),O332,""))</x:f>
        <x:v>15000</x:v>
      </x:c>
      <x:c r="Q332" s="17" t="n">
        <x:f>IF(H332=0,0,IF(ISNUMBER(N332),N332,IF(N332="",IF(H332=F332,P332,""),"")))</x:f>
        <x:v>15000</x:v>
      </x:c>
      <x:c r="R332" s="17" t="n">
        <x:f>IF(ISNUMBER(Q332),ROUND(Q332*$C$4,2),"")</x:f>
        <x:v>2700</x:v>
      </x:c>
      <x:c r="S332" s="17" t="n">
        <x:f>IF(ISNUMBER(Q332),Q332+R332,"")</x:f>
        <x:v>17700</x:v>
      </x:c>
      <x:c r="T332" s="2" t="str">
        <x:f>IF(H332=0,"Not selected",IF(ISNUMBER(N332),"Quote entered",IF(N332&lt;&gt;"","Enter numeric quote",IF(H332=F332,IF(ISNUMBER(P332),"Complete unit","Price required"),"Partial package: price required"))))</x:f>
        <x:v>Complete unit</x:v>
      </x:c>
      <x:c r="U332" s="2" t="str">
        <x:v>TEN-0269ACD8F795; TEN-220688A64425; TEN-275AAF160D86; TEN-5303A5FDFA90; TEN-859FAA1E34CC; TEN-8D7782804191; TEN-B863E69832C3; TEN-C8FC51571F17; TEN-D1CD02082C62; TEN-D34D1901D9D3</x:v>
      </x:c>
      <x:c r="V332" s="2" t="str">
        <x:v>IT &amp; digital; Professional services; Finance &amp; insurance; Engineering &amp; manufacturing; Trade, consumer &amp; logistics</x:v>
      </x:c>
      <x:c r="W332" s="2" t="str">
        <x:v>Small-scale prospects; Medium-scale prospects; Large enterprise; Mixed business audience</x:v>
      </x:c>
      <x:c r="X332" s="17" t="n">
        <x:f>IF(AND(H332=F332,NOT(ISNUMBER(N332)),N332="",ISNUMBER(K332)),K332,0)</x:f>
        <x:v>15000</x:v>
      </x:c>
      <x:c r="Y332" s="17" t="n">
        <x:f>IF(AND(H332=F332,NOT(ISNUMBER(N332)),N332="",K332="",ISNUMBER(O332)),O332,0)</x:f>
        <x:v>0</x:v>
      </x:c>
      <x:c r="Z332" s="17" t="n">
        <x:f>IF(AND(H332&gt;0,ISNUMBER(N332)),N332,0)</x:f>
        <x:v>0</x:v>
      </x:c>
      <x:c r="AA332" s="2" t="n">
        <x:f>IF(AND(H332&gt;0,N332="",NOT(ISNUMBER(Q332))),1,0)</x:f>
        <x:v>0</x:v>
      </x:c>
      <x:c r="AB332" s="2" t="n">
        <x:f>IF(AND(H332&gt;0,N332&lt;&gt;"",NOT(ISNUMBER(N332))),1,0)</x:f>
        <x:v>0</x:v>
      </x:c>
    </x:row>
    <x:row r="333" ht="48" customHeight="1">
      <x:c r="A333" s="2" t="str">
        <x:v>MAIN-323</x:v>
      </x:c>
      <x:c r="B333" s="2" t="str">
        <x:v>Main</x:v>
      </x:c>
      <x:c r="C333" s="2" t="str">
        <x:v>Mumbai</x:v>
      </x:c>
      <x:c r="D333" s="12" t="str">
        <x:v>Mumbai - BKC</x:v>
      </x:c>
      <x:c r="E333" s="12" t="str">
        <x:v>32 inch LED TV</x:v>
      </x:c>
      <x:c r="F333" s="2" t="n">
        <x:v>1</x:v>
      </x:c>
      <x:c r="G333" s="2" t="n">
        <x:v>1</x:v>
      </x:c>
      <x:c r="H333" s="2" t="n">
        <x:f>COUNTIFS('Inventory'!$N$7:$N$783,A333,'Inventory'!$A$7:$A$783,1)</x:f>
        <x:v>1</x:v>
      </x:c>
      <x:c r="I333" s="2" t="n">
        <x:f>SUMIFS('Inventory'!$G$7:$G$783,'Inventory'!$N$7:$N$783,A333,'Inventory'!$A$7:$A$783,1)</x:f>
        <x:v>1</x:v>
      </x:c>
      <x:c r="J333" s="12" t="str">
        <x:v>Listed budget</x:v>
      </x:c>
      <x:c r="K333" s="17" t="n">
        <x:v>15000</x:v>
      </x:c>
      <x:c r="L333" s="17"/>
      <x:c r="M333" s="17"/>
      <x:c r="N333" s="19"/>
      <x:c r="O333" s="17" t="str">
        <x:f>IF(ISNUMBER(L333),G333*L333,IF(ISNUMBER(M333),M333,""))</x:f>
      </x:c>
      <x:c r="P333" s="17" t="n">
        <x:f>IF(ISNUMBER(K333),K333,IF(ISNUMBER(O333),O333,""))</x:f>
        <x:v>15000</x:v>
      </x:c>
      <x:c r="Q333" s="17" t="n">
        <x:f>IF(H333=0,0,IF(ISNUMBER(N333),N333,IF(N333="",IF(H333=F333,P333,""),"")))</x:f>
        <x:v>15000</x:v>
      </x:c>
      <x:c r="R333" s="17" t="n">
        <x:f>IF(ISNUMBER(Q333),ROUND(Q333*$C$4,2),"")</x:f>
        <x:v>2700</x:v>
      </x:c>
      <x:c r="S333" s="17" t="n">
        <x:f>IF(ISNUMBER(Q333),Q333+R333,"")</x:f>
        <x:v>17700</x:v>
      </x:c>
      <x:c r="T333" s="2" t="str">
        <x:f>IF(H333=0,"Not selected",IF(ISNUMBER(N333),"Quote entered",IF(N333&lt;&gt;"","Enter numeric quote",IF(H333=F333,IF(ISNUMBER(P333),"Complete unit","Price required"),"Partial package: price required"))))</x:f>
        <x:v>Complete unit</x:v>
      </x:c>
      <x:c r="U333" s="2" t="str">
        <x:v>TEN-1A400B0DD288; TEN-2772569204D6; TEN-3333361BCCFC; TEN-3688FF078C0E; TEN-627EA7935C00; TEN-78D2184A1F2B; TEN-91C446C3D4D7; TEN-92968129C75E; TEN-CC51F3504D6F; TEN-EA1792C21111</x:v>
      </x:c>
      <x:c r="V333" s="2" t="str">
        <x:v>Professional services; Finance &amp; insurance; Healthcare &amp; life sciences; Trade, consumer &amp; logistics</x:v>
      </x:c>
      <x:c r="W333" s="2" t="str">
        <x:v>Small-scale prospects; Medium-scale prospects; Large enterprise; Mixed business audience</x:v>
      </x:c>
      <x:c r="X333" s="17" t="n">
        <x:f>IF(AND(H333=F333,NOT(ISNUMBER(N333)),N333="",ISNUMBER(K333)),K333,0)</x:f>
        <x:v>15000</x:v>
      </x:c>
      <x:c r="Y333" s="17" t="n">
        <x:f>IF(AND(H333=F333,NOT(ISNUMBER(N333)),N333="",K333="",ISNUMBER(O333)),O333,0)</x:f>
        <x:v>0</x:v>
      </x:c>
      <x:c r="Z333" s="17" t="n">
        <x:f>IF(AND(H333&gt;0,ISNUMBER(N333)),N333,0)</x:f>
        <x:v>0</x:v>
      </x:c>
      <x:c r="AA333" s="2" t="n">
        <x:f>IF(AND(H333&gt;0,N333="",NOT(ISNUMBER(Q333))),1,0)</x:f>
        <x:v>0</x:v>
      </x:c>
      <x:c r="AB333" s="2" t="n">
        <x:f>IF(AND(H333&gt;0,N333&lt;&gt;"",NOT(ISNUMBER(N333))),1,0)</x:f>
        <x:v>0</x:v>
      </x:c>
    </x:row>
    <x:row r="334" ht="48" customHeight="1">
      <x:c r="A334" s="2" t="str">
        <x:v>MAIN-324</x:v>
      </x:c>
      <x:c r="B334" s="2" t="str">
        <x:v>Main</x:v>
      </x:c>
      <x:c r="C334" s="2" t="str">
        <x:v>Mumbai</x:v>
      </x:c>
      <x:c r="D334" s="12" t="str">
        <x:v>NMS Titanium</x:v>
      </x:c>
      <x:c r="E334" s="12" t="str">
        <x:v>32 inch LED TV</x:v>
      </x:c>
      <x:c r="F334" s="2" t="n">
        <x:v>1</x:v>
      </x:c>
      <x:c r="G334" s="2" t="n">
        <x:v>5</x:v>
      </x:c>
      <x:c r="H334" s="2" t="n">
        <x:f>COUNTIFS('Inventory'!$N$7:$N$783,A334,'Inventory'!$A$7:$A$783,1)</x:f>
        <x:v>1</x:v>
      </x:c>
      <x:c r="I334" s="2" t="n">
        <x:f>SUMIFS('Inventory'!$G$7:$G$783,'Inventory'!$N$7:$N$783,A334,'Inventory'!$A$7:$A$783,1)</x:f>
        <x:v>5</x:v>
      </x:c>
      <x:c r="J334" s="12" t="str">
        <x:v>Listed budget</x:v>
      </x:c>
      <x:c r="K334" s="17" t="n">
        <x:v>162500</x:v>
      </x:c>
      <x:c r="L334" s="17"/>
      <x:c r="M334" s="17"/>
      <x:c r="N334" s="19"/>
      <x:c r="O334" s="17" t="str">
        <x:f>IF(ISNUMBER(L334),G334*L334,IF(ISNUMBER(M334),M334,""))</x:f>
      </x:c>
      <x:c r="P334" s="17" t="n">
        <x:f>IF(ISNUMBER(K334),K334,IF(ISNUMBER(O334),O334,""))</x:f>
        <x:v>162500</x:v>
      </x:c>
      <x:c r="Q334" s="17" t="n">
        <x:f>IF(H334=0,0,IF(ISNUMBER(N334),N334,IF(N334="",IF(H334=F334,P334,""),"")))</x:f>
        <x:v>162500</x:v>
      </x:c>
      <x:c r="R334" s="17" t="n">
        <x:f>IF(ISNUMBER(Q334),ROUND(Q334*$C$4,2),"")</x:f>
        <x:v>29250</x:v>
      </x:c>
      <x:c r="S334" s="17" t="n">
        <x:f>IF(ISNUMBER(Q334),Q334+R334,"")</x:f>
        <x:v>191750</x:v>
      </x:c>
      <x:c r="T334" s="2" t="str">
        <x:f>IF(H334=0,"Not selected",IF(ISNUMBER(N334),"Quote entered",IF(N334&lt;&gt;"","Enter numeric quote",IF(H334=F334,IF(ISNUMBER(P334),"Complete unit","Price required"),"Partial package: price required"))))</x:f>
        <x:v>Complete unit</x:v>
      </x:c>
      <x:c r="U334" s="2" t="str"/>
      <x:c r="V334" s="2" t="str">
        <x:v>Unclassified</x:v>
      </x:c>
      <x:c r="W334" s="2" t="str">
        <x:v>Mixed business audience</x:v>
      </x:c>
      <x:c r="X334" s="17" t="n">
        <x:f>IF(AND(H334=F334,NOT(ISNUMBER(N334)),N334="",ISNUMBER(K334)),K334,0)</x:f>
        <x:v>162500</x:v>
      </x:c>
      <x:c r="Y334" s="17" t="n">
        <x:f>IF(AND(H334=F334,NOT(ISNUMBER(N334)),N334="",K334="",ISNUMBER(O334)),O334,0)</x:f>
        <x:v>0</x:v>
      </x:c>
      <x:c r="Z334" s="17" t="n">
        <x:f>IF(AND(H334&gt;0,ISNUMBER(N334)),N334,0)</x:f>
        <x:v>0</x:v>
      </x:c>
      <x:c r="AA334" s="2" t="n">
        <x:f>IF(AND(H334&gt;0,N334="",NOT(ISNUMBER(Q334))),1,0)</x:f>
        <x:v>0</x:v>
      </x:c>
      <x:c r="AB334" s="2" t="n">
        <x:f>IF(AND(H334&gt;0,N334&lt;&gt;"",NOT(ISNUMBER(N334))),1,0)</x:f>
        <x:v>0</x:v>
      </x:c>
    </x:row>
    <x:row r="335" ht="48" customHeight="1">
      <x:c r="A335" s="2" t="str">
        <x:v>MAIN-325</x:v>
      </x:c>
      <x:c r="B335" s="2" t="str">
        <x:v>Main</x:v>
      </x:c>
      <x:c r="C335" s="2" t="str">
        <x:v>Mumbai</x:v>
      </x:c>
      <x:c r="D335" s="12" t="str">
        <x:v>Nucleus - One BKC</x:v>
      </x:c>
      <x:c r="E335" s="12" t="str">
        <x:v>55 inch LED TV</x:v>
      </x:c>
      <x:c r="F335" s="2" t="n">
        <x:v>1</x:v>
      </x:c>
      <x:c r="G335" s="2" t="n">
        <x:v>2</x:v>
      </x:c>
      <x:c r="H335" s="2" t="n">
        <x:f>COUNTIFS('Inventory'!$N$7:$N$783,A335,'Inventory'!$A$7:$A$783,1)</x:f>
        <x:v>1</x:v>
      </x:c>
      <x:c r="I335" s="2" t="n">
        <x:f>SUMIFS('Inventory'!$G$7:$G$783,'Inventory'!$N$7:$N$783,A335,'Inventory'!$A$7:$A$783,1)</x:f>
        <x:v>2</x:v>
      </x:c>
      <x:c r="J335" s="12" t="str">
        <x:v>Campaign format rate</x:v>
      </x:c>
      <x:c r="K335" s="17"/>
      <x:c r="L335" s="17" t="n">
        <x:f>$I$5</x:f>
        <x:v>40000</x:v>
      </x:c>
      <x:c r="M335" s="17"/>
      <x:c r="N335" s="19"/>
      <x:c r="O335" s="17" t="n">
        <x:f>IF(ISNUMBER(L335),G335*L335,IF(ISNUMBER(M335),M335,""))</x:f>
        <x:v>80000</x:v>
      </x:c>
      <x:c r="P335" s="17" t="n">
        <x:f>IF(ISNUMBER(K335),K335,IF(ISNUMBER(O335),O335,""))</x:f>
        <x:v>80000</x:v>
      </x:c>
      <x:c r="Q335" s="17" t="n">
        <x:f>IF(H335=0,0,IF(ISNUMBER(N335),N335,IF(N335="",IF(H335=F335,P335,""),"")))</x:f>
        <x:v>80000</x:v>
      </x:c>
      <x:c r="R335" s="17" t="n">
        <x:f>IF(ISNUMBER(Q335),ROUND(Q335*$C$4,2),"")</x:f>
        <x:v>14400</x:v>
      </x:c>
      <x:c r="S335" s="17" t="n">
        <x:f>IF(ISNUMBER(Q335),Q335+R335,"")</x:f>
        <x:v>94400</x:v>
      </x:c>
      <x:c r="T335" s="2" t="str">
        <x:f>IF(H335=0,"Not selected",IF(ISNUMBER(N335),"Quote entered",IF(N335&lt;&gt;"","Enter numeric quote",IF(H335=F335,IF(ISNUMBER(P335),"Complete unit","Price required"),"Partial package: price required"))))</x:f>
        <x:v>Complete unit</x:v>
      </x:c>
      <x:c r="U335" s="2" t="str">
        <x:v>TEN-0D0617B41A0D; TEN-19A94B5F240F; TEN-1A9BDE0C8985; TEN-1D36B3EBD188; TEN-5E97C0064347; TEN-82F0EBFD4F57; TEN-9AAB56726C26; TEN-C113FA983474; TEN-D383F63EC668; TEN-D7828298EF2E; TEN-EC27AEBDBCFB</x:v>
      </x:c>
      <x:c r="V335" s="2" t="str">
        <x:v>Finance &amp; insurance; Engineering &amp; manufacturing; Trade, consumer &amp; logistics; Government &amp; nonprofit; Unresolved</x:v>
      </x:c>
      <x:c r="W335" s="2" t="str">
        <x:v>Small-scale prospects; Large enterprise; Institutional; Mixed business audience</x:v>
      </x:c>
      <x:c r="X335" s="17" t="n">
        <x:f>IF(AND(H335=F335,NOT(ISNUMBER(N335)),N335="",ISNUMBER(K335)),K335,0)</x:f>
        <x:v>0</x:v>
      </x:c>
      <x:c r="Y335" s="17" t="n">
        <x:f>IF(AND(H335=F335,NOT(ISNUMBER(N335)),N335="",K335="",ISNUMBER(O335)),O335,0)</x:f>
        <x:v>80000</x:v>
      </x:c>
      <x:c r="Z335" s="17" t="n">
        <x:f>IF(AND(H335&gt;0,ISNUMBER(N335)),N335,0)</x:f>
        <x:v>0</x:v>
      </x:c>
      <x:c r="AA335" s="2" t="n">
        <x:f>IF(AND(H335&gt;0,N335="",NOT(ISNUMBER(Q335))),1,0)</x:f>
        <x:v>0</x:v>
      </x:c>
      <x:c r="AB335" s="2" t="n">
        <x:f>IF(AND(H335&gt;0,N335&lt;&gt;"",NOT(ISNUMBER(N335))),1,0)</x:f>
        <x:v>0</x:v>
      </x:c>
    </x:row>
    <x:row r="336" ht="48" customHeight="1">
      <x:c r="A336" s="2" t="str">
        <x:v>MAIN-326</x:v>
      </x:c>
      <x:c r="B336" s="2" t="str">
        <x:v>Main</x:v>
      </x:c>
      <x:c r="C336" s="2" t="str">
        <x:v>Mumbai</x:v>
      </x:c>
      <x:c r="D336" s="12" t="str">
        <x:v>Nucleus - One International Center</x:v>
      </x:c>
      <x:c r="E336" s="12" t="str">
        <x:v>55 inch LED TV</x:v>
      </x:c>
      <x:c r="F336" s="2" t="n">
        <x:v>1</x:v>
      </x:c>
      <x:c r="G336" s="2" t="n">
        <x:v>9</x:v>
      </x:c>
      <x:c r="H336" s="2" t="n">
        <x:f>COUNTIFS('Inventory'!$N$7:$N$783,A336,'Inventory'!$A$7:$A$783,1)</x:f>
        <x:v>1</x:v>
      </x:c>
      <x:c r="I336" s="2" t="n">
        <x:f>SUMIFS('Inventory'!$G$7:$G$783,'Inventory'!$N$7:$N$783,A336,'Inventory'!$A$7:$A$783,1)</x:f>
        <x:v>9</x:v>
      </x:c>
      <x:c r="J336" s="12" t="str">
        <x:v>Campaign format rate</x:v>
      </x:c>
      <x:c r="K336" s="17"/>
      <x:c r="L336" s="17" t="n">
        <x:f>$I$5</x:f>
        <x:v>40000</x:v>
      </x:c>
      <x:c r="M336" s="17"/>
      <x:c r="N336" s="19"/>
      <x:c r="O336" s="17" t="n">
        <x:f>IF(ISNUMBER(L336),G336*L336,IF(ISNUMBER(M336),M336,""))</x:f>
        <x:v>360000</x:v>
      </x:c>
      <x:c r="P336" s="17" t="n">
        <x:f>IF(ISNUMBER(K336),K336,IF(ISNUMBER(O336),O336,""))</x:f>
        <x:v>360000</x:v>
      </x:c>
      <x:c r="Q336" s="17" t="n">
        <x:f>IF(H336=0,0,IF(ISNUMBER(N336),N336,IF(N336="",IF(H336=F336,P336,""),"")))</x:f>
        <x:v>360000</x:v>
      </x:c>
      <x:c r="R336" s="17" t="n">
        <x:f>IF(ISNUMBER(Q336),ROUND(Q336*$C$4,2),"")</x:f>
        <x:v>64800</x:v>
      </x:c>
      <x:c r="S336" s="17" t="n">
        <x:f>IF(ISNUMBER(Q336),Q336+R336,"")</x:f>
        <x:v>424800</x:v>
      </x:c>
      <x:c r="T336" s="2" t="str">
        <x:f>IF(H336=0,"Not selected",IF(ISNUMBER(N336),"Quote entered",IF(N336&lt;&gt;"","Enter numeric quote",IF(H336=F336,IF(ISNUMBER(P336),"Complete unit","Price required"),"Partial package: price required"))))</x:f>
        <x:v>Complete unit</x:v>
      </x:c>
      <x:c r="U336" s="2" t="str">
        <x:v>TEN-1A7118C1FC7F; TEN-1AA929D469F6; TEN-36780DC603DA; TEN-7C48F1E5A50A; TEN-801A43D48DD3; TEN-8E6ECCA9BBE1; TEN-96F63367FE10; TEN-A53F68861A8C; TEN-E622BF93922B; TEN-FF15D0106369</x:v>
      </x:c>
      <x:c r="V336" s="2" t="str">
        <x:v>Finance &amp; insurance; Engineering &amp; manufacturing; Healthcare &amp; life sciences; Trade, consumer &amp; logistics; Government &amp; nonprofit; Unresolved</x:v>
      </x:c>
      <x:c r="W336" s="2" t="str">
        <x:v>Small-scale prospects; Institutional; Mixed business audience</x:v>
      </x:c>
      <x:c r="X336" s="17" t="n">
        <x:f>IF(AND(H336=F336,NOT(ISNUMBER(N336)),N336="",ISNUMBER(K336)),K336,0)</x:f>
        <x:v>0</x:v>
      </x:c>
      <x:c r="Y336" s="17" t="n">
        <x:f>IF(AND(H336=F336,NOT(ISNUMBER(N336)),N336="",K336="",ISNUMBER(O336)),O336,0)</x:f>
        <x:v>360000</x:v>
      </x:c>
      <x:c r="Z336" s="17" t="n">
        <x:f>IF(AND(H336&gt;0,ISNUMBER(N336)),N336,0)</x:f>
        <x:v>0</x:v>
      </x:c>
      <x:c r="AA336" s="2" t="n">
        <x:f>IF(AND(H336&gt;0,N336="",NOT(ISNUMBER(Q336))),1,0)</x:f>
        <x:v>0</x:v>
      </x:c>
      <x:c r="AB336" s="2" t="n">
        <x:f>IF(AND(H336&gt;0,N336&lt;&gt;"",NOT(ISNUMBER(N336))),1,0)</x:f>
        <x:v>0</x:v>
      </x:c>
    </x:row>
    <x:row r="337" ht="48" customHeight="1">
      <x:c r="A337" s="2" t="str">
        <x:v>MAIN-327</x:v>
      </x:c>
      <x:c r="B337" s="2" t="str">
        <x:v>Main</x:v>
      </x:c>
      <x:c r="C337" s="2" t="str">
        <x:v>Mumbai</x:v>
      </x:c>
      <x:c r="D337" s="12" t="str">
        <x:v>Nucleus - One World Center</x:v>
      </x:c>
      <x:c r="E337" s="12" t="str">
        <x:v>55 inch LED TV</x:v>
      </x:c>
      <x:c r="F337" s="2" t="n">
        <x:v>1</x:v>
      </x:c>
      <x:c r="G337" s="2" t="n">
        <x:v>8</x:v>
      </x:c>
      <x:c r="H337" s="2" t="n">
        <x:f>COUNTIFS('Inventory'!$N$7:$N$783,A337,'Inventory'!$A$7:$A$783,1)</x:f>
        <x:v>1</x:v>
      </x:c>
      <x:c r="I337" s="2" t="n">
        <x:f>SUMIFS('Inventory'!$G$7:$G$783,'Inventory'!$N$7:$N$783,A337,'Inventory'!$A$7:$A$783,1)</x:f>
        <x:v>8</x:v>
      </x:c>
      <x:c r="J337" s="12" t="str">
        <x:v>Campaign format rate</x:v>
      </x:c>
      <x:c r="K337" s="17"/>
      <x:c r="L337" s="17" t="n">
        <x:f>$I$5</x:f>
        <x:v>40000</x:v>
      </x:c>
      <x:c r="M337" s="17"/>
      <x:c r="N337" s="19"/>
      <x:c r="O337" s="17" t="n">
        <x:f>IF(ISNUMBER(L337),G337*L337,IF(ISNUMBER(M337),M337,""))</x:f>
        <x:v>320000</x:v>
      </x:c>
      <x:c r="P337" s="17" t="n">
        <x:f>IF(ISNUMBER(K337),K337,IF(ISNUMBER(O337),O337,""))</x:f>
        <x:v>320000</x:v>
      </x:c>
      <x:c r="Q337" s="17" t="n">
        <x:f>IF(H337=0,0,IF(ISNUMBER(N337),N337,IF(N337="",IF(H337=F337,P337,""),"")))</x:f>
        <x:v>320000</x:v>
      </x:c>
      <x:c r="R337" s="17" t="n">
        <x:f>IF(ISNUMBER(Q337),ROUND(Q337*$C$4,2),"")</x:f>
        <x:v>57600</x:v>
      </x:c>
      <x:c r="S337" s="17" t="n">
        <x:f>IF(ISNUMBER(Q337),Q337+R337,"")</x:f>
        <x:v>377600</x:v>
      </x:c>
      <x:c r="T337" s="2" t="str">
        <x:f>IF(H337=0,"Not selected",IF(ISNUMBER(N337),"Quote entered",IF(N337&lt;&gt;"","Enter numeric quote",IF(H337=F337,IF(ISNUMBER(P337),"Complete unit","Price required"),"Partial package: price required"))))</x:f>
        <x:v>Complete unit</x:v>
      </x:c>
      <x:c r="U337" s="2" t="str">
        <x:v>TEN-0343379BA4A0; TEN-36B6546CB786; TEN-460DF29B25EA; TEN-4B10DE9A2535; TEN-7925879E314A; TEN-9A29B1AC02B6; TEN-A9E3F127D53F; TEN-CB571403F03F; TEN-CFE74AB3F5EB; TEN-F1D95BCB2EFB</x:v>
      </x:c>
      <x:c r="V337" s="2" t="str">
        <x:v>IT &amp; digital; Professional services; Finance &amp; insurance; Healthcare &amp; life sciences; Trade, consumer &amp; logistics; Unresolved</x:v>
      </x:c>
      <x:c r="W337" s="2" t="str">
        <x:v>Medium-scale prospects; Large enterprise; Mixed business audience</x:v>
      </x:c>
      <x:c r="X337" s="17" t="n">
        <x:f>IF(AND(H337=F337,NOT(ISNUMBER(N337)),N337="",ISNUMBER(K337)),K337,0)</x:f>
        <x:v>0</x:v>
      </x:c>
      <x:c r="Y337" s="17" t="n">
        <x:f>IF(AND(H337=F337,NOT(ISNUMBER(N337)),N337="",K337="",ISNUMBER(O337)),O337,0)</x:f>
        <x:v>320000</x:v>
      </x:c>
      <x:c r="Z337" s="17" t="n">
        <x:f>IF(AND(H337&gt;0,ISNUMBER(N337)),N337,0)</x:f>
        <x:v>0</x:v>
      </x:c>
      <x:c r="AA337" s="2" t="n">
        <x:f>IF(AND(H337&gt;0,N337="",NOT(ISNUMBER(Q337))),1,0)</x:f>
        <x:v>0</x:v>
      </x:c>
      <x:c r="AB337" s="2" t="n">
        <x:f>IF(AND(H337&gt;0,N337&lt;&gt;"",NOT(ISNUMBER(N337))),1,0)</x:f>
        <x:v>0</x:v>
      </x:c>
    </x:row>
    <x:row r="338" ht="48" customHeight="1">
      <x:c r="A338" s="2" t="str">
        <x:v>MAIN-328</x:v>
      </x:c>
      <x:c r="B338" s="2" t="str">
        <x:v>Main</x:v>
      </x:c>
      <x:c r="C338" s="2" t="str">
        <x:v>Mumbai</x:v>
      </x:c>
      <x:c r="D338" s="12" t="str">
        <x:v>Nucleus - Prima Bay</x:v>
      </x:c>
      <x:c r="E338" s="12" t="str">
        <x:v>55 inch LED TV</x:v>
      </x:c>
      <x:c r="F338" s="2" t="n">
        <x:v>1</x:v>
      </x:c>
      <x:c r="G338" s="2" t="n">
        <x:v>3</x:v>
      </x:c>
      <x:c r="H338" s="2" t="n">
        <x:f>COUNTIFS('Inventory'!$N$7:$N$783,A338,'Inventory'!$A$7:$A$783,1)</x:f>
        <x:v>1</x:v>
      </x:c>
      <x:c r="I338" s="2" t="n">
        <x:f>SUMIFS('Inventory'!$G$7:$G$783,'Inventory'!$N$7:$N$783,A338,'Inventory'!$A$7:$A$783,1)</x:f>
        <x:v>3</x:v>
      </x:c>
      <x:c r="J338" s="12" t="str">
        <x:v>Campaign format rate</x:v>
      </x:c>
      <x:c r="K338" s="17"/>
      <x:c r="L338" s="17" t="n">
        <x:f>$I$5</x:f>
        <x:v>40000</x:v>
      </x:c>
      <x:c r="M338" s="17"/>
      <x:c r="N338" s="19"/>
      <x:c r="O338" s="17" t="n">
        <x:f>IF(ISNUMBER(L338),G338*L338,IF(ISNUMBER(M338),M338,""))</x:f>
        <x:v>120000</x:v>
      </x:c>
      <x:c r="P338" s="17" t="n">
        <x:f>IF(ISNUMBER(K338),K338,IF(ISNUMBER(O338),O338,""))</x:f>
        <x:v>120000</x:v>
      </x:c>
      <x:c r="Q338" s="17" t="n">
        <x:f>IF(H338=0,0,IF(ISNUMBER(N338),N338,IF(N338="",IF(H338=F338,P338,""),"")))</x:f>
        <x:v>120000</x:v>
      </x:c>
      <x:c r="R338" s="17" t="n">
        <x:f>IF(ISNUMBER(Q338),ROUND(Q338*$C$4,2),"")</x:f>
        <x:v>21600</x:v>
      </x:c>
      <x:c r="S338" s="17" t="n">
        <x:f>IF(ISNUMBER(Q338),Q338+R338,"")</x:f>
        <x:v>141600</x:v>
      </x:c>
      <x:c r="T338" s="2" t="str">
        <x:f>IF(H338=0,"Not selected",IF(ISNUMBER(N338),"Quote entered",IF(N338&lt;&gt;"","Enter numeric quote",IF(H338=F338,IF(ISNUMBER(P338),"Complete unit","Price required"),"Partial package: price required"))))</x:f>
        <x:v>Complete unit</x:v>
      </x:c>
      <x:c r="U338" s="2" t="str">
        <x:v>TEN-1A250C4D13AC; TEN-BC3067AC45DF</x:v>
      </x:c>
      <x:c r="V338" s="2" t="str">
        <x:v>Engineering &amp; manufacturing; Education</x:v>
      </x:c>
      <x:c r="W338" s="2" t="str">
        <x:v>Large enterprise; Mixed business audience</x:v>
      </x:c>
      <x:c r="X338" s="17" t="n">
        <x:f>IF(AND(H338=F338,NOT(ISNUMBER(N338)),N338="",ISNUMBER(K338)),K338,0)</x:f>
        <x:v>0</x:v>
      </x:c>
      <x:c r="Y338" s="17" t="n">
        <x:f>IF(AND(H338=F338,NOT(ISNUMBER(N338)),N338="",K338="",ISNUMBER(O338)),O338,0)</x:f>
        <x:v>120000</x:v>
      </x:c>
      <x:c r="Z338" s="17" t="n">
        <x:f>IF(AND(H338&gt;0,ISNUMBER(N338)),N338,0)</x:f>
        <x:v>0</x:v>
      </x:c>
      <x:c r="AA338" s="2" t="n">
        <x:f>IF(AND(H338&gt;0,N338="",NOT(ISNUMBER(Q338))),1,0)</x:f>
        <x:v>0</x:v>
      </x:c>
      <x:c r="AB338" s="2" t="n">
        <x:f>IF(AND(H338&gt;0,N338&lt;&gt;"",NOT(ISNUMBER(N338))),1,0)</x:f>
        <x:v>0</x:v>
      </x:c>
    </x:row>
    <x:row r="339" ht="48" customHeight="1">
      <x:c r="A339" s="2" t="str">
        <x:v>MAIN-330</x:v>
      </x:c>
      <x:c r="B339" s="2" t="str">
        <x:v>Main</x:v>
      </x:c>
      <x:c r="C339" s="2" t="str">
        <x:v>Mumbai</x:v>
      </x:c>
      <x:c r="D339" s="12" t="str">
        <x:v>Oberoi Commerz-III</x:v>
      </x:c>
      <x:c r="E339" s="12" t="str">
        <x:v>55 inch LED TV</x:v>
      </x:c>
      <x:c r="F339" s="2" t="n">
        <x:v>1</x:v>
      </x:c>
      <x:c r="G339" s="2" t="n">
        <x:v>1</x:v>
      </x:c>
      <x:c r="H339" s="2" t="n">
        <x:f>COUNTIFS('Inventory'!$N$7:$N$783,A339,'Inventory'!$A$7:$A$783,1)</x:f>
        <x:v>1</x:v>
      </x:c>
      <x:c r="I339" s="2" t="n">
        <x:f>SUMIFS('Inventory'!$G$7:$G$783,'Inventory'!$N$7:$N$783,A339,'Inventory'!$A$7:$A$783,1)</x:f>
        <x:v>1</x:v>
      </x:c>
      <x:c r="J339" s="12" t="str">
        <x:v>Campaign format rate</x:v>
      </x:c>
      <x:c r="K339" s="17"/>
      <x:c r="L339" s="17" t="n">
        <x:f>$I$5</x:f>
        <x:v>40000</x:v>
      </x:c>
      <x:c r="M339" s="17"/>
      <x:c r="N339" s="19"/>
      <x:c r="O339" s="17" t="n">
        <x:f>IF(ISNUMBER(L339),G339*L339,IF(ISNUMBER(M339),M339,""))</x:f>
        <x:v>40000</x:v>
      </x:c>
      <x:c r="P339" s="17" t="n">
        <x:f>IF(ISNUMBER(K339),K339,IF(ISNUMBER(O339),O339,""))</x:f>
        <x:v>40000</x:v>
      </x:c>
      <x:c r="Q339" s="17" t="n">
        <x:f>IF(H339=0,0,IF(ISNUMBER(N339),N339,IF(N339="",IF(H339=F339,P339,""),"")))</x:f>
        <x:v>40000</x:v>
      </x:c>
      <x:c r="R339" s="17" t="n">
        <x:f>IF(ISNUMBER(Q339),ROUND(Q339*$C$4,2),"")</x:f>
        <x:v>7200</x:v>
      </x:c>
      <x:c r="S339" s="17" t="n">
        <x:f>IF(ISNUMBER(Q339),Q339+R339,"")</x:f>
        <x:v>47200</x:v>
      </x:c>
      <x:c r="T339" s="2" t="str">
        <x:f>IF(H339=0,"Not selected",IF(ISNUMBER(N339),"Quote entered",IF(N339&lt;&gt;"","Enter numeric quote",IF(H339=F339,IF(ISNUMBER(P339),"Complete unit","Price required"),"Partial package: price required"))))</x:f>
        <x:v>Complete unit</x:v>
      </x:c>
      <x:c r="U339" s="2" t="str"/>
      <x:c r="V339" s="2" t="str">
        <x:v>Unclassified</x:v>
      </x:c>
      <x:c r="W339" s="2" t="str">
        <x:v>Mixed business audience</x:v>
      </x:c>
      <x:c r="X339" s="17" t="n">
        <x:f>IF(AND(H339=F339,NOT(ISNUMBER(N339)),N339="",ISNUMBER(K339)),K339,0)</x:f>
        <x:v>0</x:v>
      </x:c>
      <x:c r="Y339" s="17" t="n">
        <x:f>IF(AND(H339=F339,NOT(ISNUMBER(N339)),N339="",K339="",ISNUMBER(O339)),O339,0)</x:f>
        <x:v>40000</x:v>
      </x:c>
      <x:c r="Z339" s="17" t="n">
        <x:f>IF(AND(H339&gt;0,ISNUMBER(N339)),N339,0)</x:f>
        <x:v>0</x:v>
      </x:c>
      <x:c r="AA339" s="2" t="n">
        <x:f>IF(AND(H339&gt;0,N339="",NOT(ISNUMBER(Q339))),1,0)</x:f>
        <x:v>0</x:v>
      </x:c>
      <x:c r="AB339" s="2" t="n">
        <x:f>IF(AND(H339&gt;0,N339&lt;&gt;"",NOT(ISNUMBER(N339))),1,0)</x:f>
        <x:v>0</x:v>
      </x:c>
    </x:row>
    <x:row r="340" ht="48" customHeight="1">
      <x:c r="A340" s="2" t="str">
        <x:v>MAIN-331</x:v>
      </x:c>
      <x:c r="B340" s="2" t="str">
        <x:v>Main</x:v>
      </x:c>
      <x:c r="C340" s="2" t="str">
        <x:v>Mumbai</x:v>
      </x:c>
      <x:c r="D340" s="12" t="str">
        <x:v>One World Centre (Redbrick Offices)</x:v>
      </x:c>
      <x:c r="E340" s="12" t="str">
        <x:v>32 inch LED TV</x:v>
      </x:c>
      <x:c r="F340" s="2" t="n">
        <x:v>1</x:v>
      </x:c>
      <x:c r="G340" s="2" t="n">
        <x:v>1</x:v>
      </x:c>
      <x:c r="H340" s="2" t="n">
        <x:f>COUNTIFS('Inventory'!$N$7:$N$783,A340,'Inventory'!$A$7:$A$783,1)</x:f>
        <x:v>1</x:v>
      </x:c>
      <x:c r="I340" s="2" t="n">
        <x:f>SUMIFS('Inventory'!$G$7:$G$783,'Inventory'!$N$7:$N$783,A340,'Inventory'!$A$7:$A$783,1)</x:f>
        <x:v>1</x:v>
      </x:c>
      <x:c r="J340" s="12" t="str">
        <x:v>Listed budget</x:v>
      </x:c>
      <x:c r="K340" s="17" t="n">
        <x:v>15000</x:v>
      </x:c>
      <x:c r="L340" s="17"/>
      <x:c r="M340" s="17"/>
      <x:c r="N340" s="19"/>
      <x:c r="O340" s="17" t="str">
        <x:f>IF(ISNUMBER(L340),G340*L340,IF(ISNUMBER(M340),M340,""))</x:f>
      </x:c>
      <x:c r="P340" s="17" t="n">
        <x:f>IF(ISNUMBER(K340),K340,IF(ISNUMBER(O340),O340,""))</x:f>
        <x:v>15000</x:v>
      </x:c>
      <x:c r="Q340" s="17" t="n">
        <x:f>IF(H340=0,0,IF(ISNUMBER(N340),N340,IF(N340="",IF(H340=F340,P340,""),"")))</x:f>
        <x:v>15000</x:v>
      </x:c>
      <x:c r="R340" s="17" t="n">
        <x:f>IF(ISNUMBER(Q340),ROUND(Q340*$C$4,2),"")</x:f>
        <x:v>2700</x:v>
      </x:c>
      <x:c r="S340" s="17" t="n">
        <x:f>IF(ISNUMBER(Q340),Q340+R340,"")</x:f>
        <x:v>17700</x:v>
      </x:c>
      <x:c r="T340" s="2" t="str">
        <x:f>IF(H340=0,"Not selected",IF(ISNUMBER(N340),"Quote entered",IF(N340&lt;&gt;"","Enter numeric quote",IF(H340=F340,IF(ISNUMBER(P340),"Complete unit","Price required"),"Partial package: price required"))))</x:f>
        <x:v>Complete unit</x:v>
      </x:c>
      <x:c r="U340" s="2" t="str">
        <x:v>TEN-092903F0473D; TEN-4C7CA5D23DE5; TEN-62D03FBBED53; TEN-6D85929AD09C; TEN-818F82632375; TEN-B0073002DBE1; TEN-EE47961584F5</x:v>
      </x:c>
      <x:c r="V340" s="2" t="str">
        <x:v>Finance &amp; insurance; Engineering &amp; manufacturing; Healthcare &amp; life sciences; Government &amp; nonprofit; Unresolved</x:v>
      </x:c>
      <x:c r="W340" s="2" t="str">
        <x:v>Medium-scale prospects; Large enterprise; Institutional; Mixed business audience</x:v>
      </x:c>
      <x:c r="X340" s="17" t="n">
        <x:f>IF(AND(H340=F340,NOT(ISNUMBER(N340)),N340="",ISNUMBER(K340)),K340,0)</x:f>
        <x:v>15000</x:v>
      </x:c>
      <x:c r="Y340" s="17" t="n">
        <x:f>IF(AND(H340=F340,NOT(ISNUMBER(N340)),N340="",K340="",ISNUMBER(O340)),O340,0)</x:f>
        <x:v>0</x:v>
      </x:c>
      <x:c r="Z340" s="17" t="n">
        <x:f>IF(AND(H340&gt;0,ISNUMBER(N340)),N340,0)</x:f>
        <x:v>0</x:v>
      </x:c>
      <x:c r="AA340" s="2" t="n">
        <x:f>IF(AND(H340&gt;0,N340="",NOT(ISNUMBER(Q340))),1,0)</x:f>
        <x:v>0</x:v>
      </x:c>
      <x:c r="AB340" s="2" t="n">
        <x:f>IF(AND(H340&gt;0,N340&lt;&gt;"",NOT(ISNUMBER(N340))),1,0)</x:f>
        <x:v>0</x:v>
      </x:c>
    </x:row>
    <x:row r="341" ht="48" customHeight="1">
      <x:c r="A341" s="2" t="str">
        <x:v>MAIN-332</x:v>
      </x:c>
      <x:c r="B341" s="2" t="str">
        <x:v>Main</x:v>
      </x:c>
      <x:c r="C341" s="2" t="str">
        <x:v>Mumbai</x:v>
      </x:c>
      <x:c r="D341" s="12" t="str">
        <x:v>Oyo Workspace - Solitaire</x:v>
      </x:c>
      <x:c r="E341" s="12" t="str">
        <x:v>32 inch LED TV</x:v>
      </x:c>
      <x:c r="F341" s="2" t="n">
        <x:v>1</x:v>
      </x:c>
      <x:c r="G341" s="2" t="n">
        <x:v>3</x:v>
      </x:c>
      <x:c r="H341" s="2" t="n">
        <x:f>COUNTIFS('Inventory'!$N$7:$N$783,A341,'Inventory'!$A$7:$A$783,1)</x:f>
        <x:v>1</x:v>
      </x:c>
      <x:c r="I341" s="2" t="n">
        <x:f>SUMIFS('Inventory'!$G$7:$G$783,'Inventory'!$N$7:$N$783,A341,'Inventory'!$A$7:$A$783,1)</x:f>
        <x:v>3</x:v>
      </x:c>
      <x:c r="J341" s="12" t="str">
        <x:v>Listed budget</x:v>
      </x:c>
      <x:c r="K341" s="17" t="n">
        <x:v>45000</x:v>
      </x:c>
      <x:c r="L341" s="17"/>
      <x:c r="M341" s="17"/>
      <x:c r="N341" s="19"/>
      <x:c r="O341" s="17" t="str">
        <x:f>IF(ISNUMBER(L341),G341*L341,IF(ISNUMBER(M341),M341,""))</x:f>
      </x:c>
      <x:c r="P341" s="17" t="n">
        <x:f>IF(ISNUMBER(K341),K341,IF(ISNUMBER(O341),O341,""))</x:f>
        <x:v>45000</x:v>
      </x:c>
      <x:c r="Q341" s="17" t="n">
        <x:f>IF(H341=0,0,IF(ISNUMBER(N341),N341,IF(N341="",IF(H341=F341,P341,""),"")))</x:f>
        <x:v>45000</x:v>
      </x:c>
      <x:c r="R341" s="17" t="n">
        <x:f>IF(ISNUMBER(Q341),ROUND(Q341*$C$4,2),"")</x:f>
        <x:v>8100</x:v>
      </x:c>
      <x:c r="S341" s="17" t="n">
        <x:f>IF(ISNUMBER(Q341),Q341+R341,"")</x:f>
        <x:v>53100</x:v>
      </x:c>
      <x:c r="T341" s="2" t="str">
        <x:f>IF(H341=0,"Not selected",IF(ISNUMBER(N341),"Quote entered",IF(N341&lt;&gt;"","Enter numeric quote",IF(H341=F341,IF(ISNUMBER(P341),"Complete unit","Price required"),"Partial package: price required"))))</x:f>
        <x:v>Complete unit</x:v>
      </x:c>
      <x:c r="U341" s="2" t="str">
        <x:v>TEN-3C6BC4EB7AAD</x:v>
      </x:c>
      <x:c r="V341" s="2" t="str">
        <x:v>Workspace &amp; property operations</x:v>
      </x:c>
      <x:c r="W341" s="2" t="str">
        <x:v>Mixed business audience</x:v>
      </x:c>
      <x:c r="X341" s="17" t="n">
        <x:f>IF(AND(H341=F341,NOT(ISNUMBER(N341)),N341="",ISNUMBER(K341)),K341,0)</x:f>
        <x:v>45000</x:v>
      </x:c>
      <x:c r="Y341" s="17" t="n">
        <x:f>IF(AND(H341=F341,NOT(ISNUMBER(N341)),N341="",K341="",ISNUMBER(O341)),O341,0)</x:f>
        <x:v>0</x:v>
      </x:c>
      <x:c r="Z341" s="17" t="n">
        <x:f>IF(AND(H341&gt;0,ISNUMBER(N341)),N341,0)</x:f>
        <x:v>0</x:v>
      </x:c>
      <x:c r="AA341" s="2" t="n">
        <x:f>IF(AND(H341&gt;0,N341="",NOT(ISNUMBER(Q341))),1,0)</x:f>
        <x:v>0</x:v>
      </x:c>
      <x:c r="AB341" s="2" t="n">
        <x:f>IF(AND(H341&gt;0,N341&lt;&gt;"",NOT(ISNUMBER(N341))),1,0)</x:f>
        <x:v>0</x:v>
      </x:c>
    </x:row>
    <x:row r="342" ht="48" customHeight="1">
      <x:c r="A342" s="2" t="str">
        <x:v>MAIN-333</x:v>
      </x:c>
      <x:c r="B342" s="2" t="str">
        <x:v>Main</x:v>
      </x:c>
      <x:c r="C342" s="2" t="str">
        <x:v>Mumbai</x:v>
      </x:c>
      <x:c r="D342" s="12" t="str">
        <x:v>Oyo Workspace - Time Square</x:v>
      </x:c>
      <x:c r="E342" s="12" t="str">
        <x:v>32 inch LED TV</x:v>
      </x:c>
      <x:c r="F342" s="2" t="n">
        <x:v>1</x:v>
      </x:c>
      <x:c r="G342" s="2" t="n">
        <x:v>1</x:v>
      </x:c>
      <x:c r="H342" s="2" t="n">
        <x:f>COUNTIFS('Inventory'!$N$7:$N$783,A342,'Inventory'!$A$7:$A$783,1)</x:f>
        <x:v>1</x:v>
      </x:c>
      <x:c r="I342" s="2" t="n">
        <x:f>SUMIFS('Inventory'!$G$7:$G$783,'Inventory'!$N$7:$N$783,A342,'Inventory'!$A$7:$A$783,1)</x:f>
        <x:v>1</x:v>
      </x:c>
      <x:c r="J342" s="12" t="str">
        <x:v>Listed budget</x:v>
      </x:c>
      <x:c r="K342" s="17" t="n">
        <x:v>15000</x:v>
      </x:c>
      <x:c r="L342" s="17"/>
      <x:c r="M342" s="17"/>
      <x:c r="N342" s="19"/>
      <x:c r="O342" s="17" t="str">
        <x:f>IF(ISNUMBER(L342),G342*L342,IF(ISNUMBER(M342),M342,""))</x:f>
      </x:c>
      <x:c r="P342" s="17" t="n">
        <x:f>IF(ISNUMBER(K342),K342,IF(ISNUMBER(O342),O342,""))</x:f>
        <x:v>15000</x:v>
      </x:c>
      <x:c r="Q342" s="17" t="n">
        <x:f>IF(H342=0,0,IF(ISNUMBER(N342),N342,IF(N342="",IF(H342=F342,P342,""),"")))</x:f>
        <x:v>15000</x:v>
      </x:c>
      <x:c r="R342" s="17" t="n">
        <x:f>IF(ISNUMBER(Q342),ROUND(Q342*$C$4,2),"")</x:f>
        <x:v>2700</x:v>
      </x:c>
      <x:c r="S342" s="17" t="n">
        <x:f>IF(ISNUMBER(Q342),Q342+R342,"")</x:f>
        <x:v>17700</x:v>
      </x:c>
      <x:c r="T342" s="2" t="str">
        <x:f>IF(H342=0,"Not selected",IF(ISNUMBER(N342),"Quote entered",IF(N342&lt;&gt;"","Enter numeric quote",IF(H342=F342,IF(ISNUMBER(P342),"Complete unit","Price required"),"Partial package: price required"))))</x:f>
        <x:v>Complete unit</x:v>
      </x:c>
      <x:c r="U342" s="2" t="str">
        <x:v>TEN-1EE64F788B53; TEN-33BC7F9C1F26; TEN-35EFAAA811DC; TEN-789301E9239F; TEN-9843CE209EFD; TEN-9C192EC7E759; TEN-CEDC7C952F52; TEN-DC1A32B41282; TEN-E69A3E303D06; TEN-EF8D39F68EC6; TEN-FF14B3331AFF</x:v>
      </x:c>
      <x:c r="V342" s="2" t="str">
        <x:v>Professional services; Trade, consumer &amp; logistics; Government &amp; nonprofit; Unresolved</x:v>
      </x:c>
      <x:c r="W342" s="2" t="str">
        <x:v>Small-scale prospects; Medium-scale prospects; Institutional; Mixed business audience</x:v>
      </x:c>
      <x:c r="X342" s="17" t="n">
        <x:f>IF(AND(H342=F342,NOT(ISNUMBER(N342)),N342="",ISNUMBER(K342)),K342,0)</x:f>
        <x:v>15000</x:v>
      </x:c>
      <x:c r="Y342" s="17" t="n">
        <x:f>IF(AND(H342=F342,NOT(ISNUMBER(N342)),N342="",K342="",ISNUMBER(O342)),O342,0)</x:f>
        <x:v>0</x:v>
      </x:c>
      <x:c r="Z342" s="17" t="n">
        <x:f>IF(AND(H342&gt;0,ISNUMBER(N342)),N342,0)</x:f>
        <x:v>0</x:v>
      </x:c>
      <x:c r="AA342" s="2" t="n">
        <x:f>IF(AND(H342&gt;0,N342="",NOT(ISNUMBER(Q342))),1,0)</x:f>
        <x:v>0</x:v>
      </x:c>
      <x:c r="AB342" s="2" t="n">
        <x:f>IF(AND(H342&gt;0,N342&lt;&gt;"",NOT(ISNUMBER(N342))),1,0)</x:f>
        <x:v>0</x:v>
      </x:c>
    </x:row>
    <x:row r="343" ht="48" customHeight="1">
      <x:c r="A343" s="2" t="str">
        <x:v>MAIN-334</x:v>
      </x:c>
      <x:c r="B343" s="2" t="str">
        <x:v>Main</x:v>
      </x:c>
      <x:c r="C343" s="2" t="str">
        <x:v>Mumbai</x:v>
      </x:c>
      <x:c r="D343" s="12" t="str">
        <x:v>Paradigm Technology Park</x:v>
      </x:c>
      <x:c r="E343" s="12" t="str">
        <x:v>43 inch LED TV</x:v>
      </x:c>
      <x:c r="F343" s="2" t="n">
        <x:v>1</x:v>
      </x:c>
      <x:c r="G343" s="2" t="n">
        <x:v>1</x:v>
      </x:c>
      <x:c r="H343" s="2" t="n">
        <x:f>COUNTIFS('Inventory'!$N$7:$N$783,A343,'Inventory'!$A$7:$A$783,1)</x:f>
        <x:v>1</x:v>
      </x:c>
      <x:c r="I343" s="2" t="n">
        <x:f>SUMIFS('Inventory'!$G$7:$G$783,'Inventory'!$N$7:$N$783,A343,'Inventory'!$A$7:$A$783,1)</x:f>
        <x:v>1</x:v>
      </x:c>
      <x:c r="J343" s="12" t="str">
        <x:v>Campaign format rate</x:v>
      </x:c>
      <x:c r="K343" s="17"/>
      <x:c r="L343" s="17" t="n">
        <x:f>$E$5</x:f>
        <x:v>20000</x:v>
      </x:c>
      <x:c r="M343" s="17"/>
      <x:c r="N343" s="19"/>
      <x:c r="O343" s="17" t="n">
        <x:f>IF(ISNUMBER(L343),G343*L343,IF(ISNUMBER(M343),M343,""))</x:f>
        <x:v>20000</x:v>
      </x:c>
      <x:c r="P343" s="17" t="n">
        <x:f>IF(ISNUMBER(K343),K343,IF(ISNUMBER(O343),O343,""))</x:f>
        <x:v>20000</x:v>
      </x:c>
      <x:c r="Q343" s="17" t="n">
        <x:f>IF(H343=0,0,IF(ISNUMBER(N343),N343,IF(N343="",IF(H343=F343,P343,""),"")))</x:f>
        <x:v>20000</x:v>
      </x:c>
      <x:c r="R343" s="17" t="n">
        <x:f>IF(ISNUMBER(Q343),ROUND(Q343*$C$4,2),"")</x:f>
        <x:v>3600</x:v>
      </x:c>
      <x:c r="S343" s="17" t="n">
        <x:f>IF(ISNUMBER(Q343),Q343+R343,"")</x:f>
        <x:v>23600</x:v>
      </x:c>
      <x:c r="T343" s="2" t="str">
        <x:f>IF(H343=0,"Not selected",IF(ISNUMBER(N343),"Quote entered",IF(N343&lt;&gt;"","Enter numeric quote",IF(H343=F343,IF(ISNUMBER(P343),"Complete unit","Price required"),"Partial package: price required"))))</x:f>
        <x:v>Complete unit</x:v>
      </x:c>
      <x:c r="U343" s="2" t="str">
        <x:v>TEN-3648B43DCA8B; TEN-78E3559A99F9; TEN-ADC38A504E62</x:v>
      </x:c>
      <x:c r="V343" s="2" t="str">
        <x:v>Trade, consumer &amp; logistics</x:v>
      </x:c>
      <x:c r="W343" s="2" t="str">
        <x:v>Small-scale prospects; Mixed business audience</x:v>
      </x:c>
      <x:c r="X343" s="17" t="n">
        <x:f>IF(AND(H343=F343,NOT(ISNUMBER(N343)),N343="",ISNUMBER(K343)),K343,0)</x:f>
        <x:v>0</x:v>
      </x:c>
      <x:c r="Y343" s="17" t="n">
        <x:f>IF(AND(H343=F343,NOT(ISNUMBER(N343)),N343="",K343="",ISNUMBER(O343)),O343,0)</x:f>
        <x:v>20000</x:v>
      </x:c>
      <x:c r="Z343" s="17" t="n">
        <x:f>IF(AND(H343&gt;0,ISNUMBER(N343)),N343,0)</x:f>
        <x:v>0</x:v>
      </x:c>
      <x:c r="AA343" s="2" t="n">
        <x:f>IF(AND(H343&gt;0,N343="",NOT(ISNUMBER(Q343))),1,0)</x:f>
        <x:v>0</x:v>
      </x:c>
      <x:c r="AB343" s="2" t="n">
        <x:f>IF(AND(H343&gt;0,N343&lt;&gt;"",NOT(ISNUMBER(N343))),1,0)</x:f>
        <x:v>0</x:v>
      </x:c>
    </x:row>
    <x:row r="344" ht="48" customHeight="1">
      <x:c r="A344" s="2" t="str">
        <x:v>MAIN-335</x:v>
      </x:c>
      <x:c r="B344" s="2" t="str">
        <x:v>Main</x:v>
      </x:c>
      <x:c r="C344" s="2" t="str">
        <x:v>Mumbai</x:v>
      </x:c>
      <x:c r="D344" s="12" t="str">
        <x:v>R Square</x:v>
      </x:c>
      <x:c r="E344" s="12" t="str">
        <x:v>55 inch LED TV</x:v>
      </x:c>
      <x:c r="F344" s="2" t="n">
        <x:v>1</x:v>
      </x:c>
      <x:c r="G344" s="2" t="n">
        <x:v>2</x:v>
      </x:c>
      <x:c r="H344" s="2" t="n">
        <x:f>COUNTIFS('Inventory'!$N$7:$N$783,A344,'Inventory'!$A$7:$A$783,1)</x:f>
        <x:v>1</x:v>
      </x:c>
      <x:c r="I344" s="2" t="n">
        <x:f>SUMIFS('Inventory'!$G$7:$G$783,'Inventory'!$N$7:$N$783,A344,'Inventory'!$A$7:$A$783,1)</x:f>
        <x:v>2</x:v>
      </x:c>
      <x:c r="J344" s="12" t="str">
        <x:v>Campaign format rate</x:v>
      </x:c>
      <x:c r="K344" s="17"/>
      <x:c r="L344" s="17" t="n">
        <x:f>$I$5</x:f>
        <x:v>40000</x:v>
      </x:c>
      <x:c r="M344" s="17"/>
      <x:c r="N344" s="19"/>
      <x:c r="O344" s="17" t="n">
        <x:f>IF(ISNUMBER(L344),G344*L344,IF(ISNUMBER(M344),M344,""))</x:f>
        <x:v>80000</x:v>
      </x:c>
      <x:c r="P344" s="17" t="n">
        <x:f>IF(ISNUMBER(K344),K344,IF(ISNUMBER(O344),O344,""))</x:f>
        <x:v>80000</x:v>
      </x:c>
      <x:c r="Q344" s="17" t="n">
        <x:f>IF(H344=0,0,IF(ISNUMBER(N344),N344,IF(N344="",IF(H344=F344,P344,""),"")))</x:f>
        <x:v>80000</x:v>
      </x:c>
      <x:c r="R344" s="17" t="n">
        <x:f>IF(ISNUMBER(Q344),ROUND(Q344*$C$4,2),"")</x:f>
        <x:v>14400</x:v>
      </x:c>
      <x:c r="S344" s="17" t="n">
        <x:f>IF(ISNUMBER(Q344),Q344+R344,"")</x:f>
        <x:v>94400</x:v>
      </x:c>
      <x:c r="T344" s="2" t="str">
        <x:f>IF(H344=0,"Not selected",IF(ISNUMBER(N344),"Quote entered",IF(N344&lt;&gt;"","Enter numeric quote",IF(H344=F344,IF(ISNUMBER(P344),"Complete unit","Price required"),"Partial package: price required"))))</x:f>
        <x:v>Complete unit</x:v>
      </x:c>
      <x:c r="U344" s="2" t="str"/>
      <x:c r="V344" s="2" t="str">
        <x:v>Unclassified</x:v>
      </x:c>
      <x:c r="W344" s="2" t="str">
        <x:v>Mixed business audience</x:v>
      </x:c>
      <x:c r="X344" s="17" t="n">
        <x:f>IF(AND(H344=F344,NOT(ISNUMBER(N344)),N344="",ISNUMBER(K344)),K344,0)</x:f>
        <x:v>0</x:v>
      </x:c>
      <x:c r="Y344" s="17" t="n">
        <x:f>IF(AND(H344=F344,NOT(ISNUMBER(N344)),N344="",K344="",ISNUMBER(O344)),O344,0)</x:f>
        <x:v>80000</x:v>
      </x:c>
      <x:c r="Z344" s="17" t="n">
        <x:f>IF(AND(H344&gt;0,ISNUMBER(N344)),N344,0)</x:f>
        <x:v>0</x:v>
      </x:c>
      <x:c r="AA344" s="2" t="n">
        <x:f>IF(AND(H344&gt;0,N344="",NOT(ISNUMBER(Q344))),1,0)</x:f>
        <x:v>0</x:v>
      </x:c>
      <x:c r="AB344" s="2" t="n">
        <x:f>IF(AND(H344&gt;0,N344&lt;&gt;"",NOT(ISNUMBER(N344))),1,0)</x:f>
        <x:v>0</x:v>
      </x:c>
    </x:row>
    <x:row r="345" ht="48" customHeight="1">
      <x:c r="A345" s="2" t="str">
        <x:v>MAIN-336</x:v>
      </x:c>
      <x:c r="B345" s="2" t="str">
        <x:v>Main</x:v>
      </x:c>
      <x:c r="C345" s="2" t="str">
        <x:v>Mumbai</x:v>
      </x:c>
      <x:c r="D345" s="12" t="str">
        <x:v>Raheja Mindspace - Altimus </x:v>
      </x:c>
      <x:c r="E345" s="12" t="str">
        <x:v>55 inch LED TV</x:v>
      </x:c>
      <x:c r="F345" s="2" t="n">
        <x:v>1</x:v>
      </x:c>
      <x:c r="G345" s="2" t="n">
        <x:v>2</x:v>
      </x:c>
      <x:c r="H345" s="2" t="n">
        <x:f>COUNTIFS('Inventory'!$N$7:$N$783,A345,'Inventory'!$A$7:$A$783,1)</x:f>
        <x:v>1</x:v>
      </x:c>
      <x:c r="I345" s="2" t="n">
        <x:f>SUMIFS('Inventory'!$G$7:$G$783,'Inventory'!$N$7:$N$783,A345,'Inventory'!$A$7:$A$783,1)</x:f>
        <x:v>2</x:v>
      </x:c>
      <x:c r="J345" s="12" t="str">
        <x:v>Campaign format rate</x:v>
      </x:c>
      <x:c r="K345" s="17"/>
      <x:c r="L345" s="17" t="n">
        <x:f>$I$5</x:f>
        <x:v>40000</x:v>
      </x:c>
      <x:c r="M345" s="17"/>
      <x:c r="N345" s="19"/>
      <x:c r="O345" s="17" t="n">
        <x:f>IF(ISNUMBER(L345),G345*L345,IF(ISNUMBER(M345),M345,""))</x:f>
        <x:v>80000</x:v>
      </x:c>
      <x:c r="P345" s="17" t="n">
        <x:f>IF(ISNUMBER(K345),K345,IF(ISNUMBER(O345),O345,""))</x:f>
        <x:v>80000</x:v>
      </x:c>
      <x:c r="Q345" s="17" t="n">
        <x:f>IF(H345=0,0,IF(ISNUMBER(N345),N345,IF(N345="",IF(H345=F345,P345,""),"")))</x:f>
        <x:v>80000</x:v>
      </x:c>
      <x:c r="R345" s="17" t="n">
        <x:f>IF(ISNUMBER(Q345),ROUND(Q345*$C$4,2),"")</x:f>
        <x:v>14400</x:v>
      </x:c>
      <x:c r="S345" s="17" t="n">
        <x:f>IF(ISNUMBER(Q345),Q345+R345,"")</x:f>
        <x:v>94400</x:v>
      </x:c>
      <x:c r="T345" s="2" t="str">
        <x:f>IF(H345=0,"Not selected",IF(ISNUMBER(N345),"Quote entered",IF(N345&lt;&gt;"","Enter numeric quote",IF(H345=F345,IF(ISNUMBER(P345),"Complete unit","Price required"),"Partial package: price required"))))</x:f>
        <x:v>Complete unit</x:v>
      </x:c>
      <x:c r="U345" s="2" t="str">
        <x:v>TEN-8217BB19EBF1</x:v>
      </x:c>
      <x:c r="V345" s="2" t="str">
        <x:v>Finance &amp; insurance</x:v>
      </x:c>
      <x:c r="W345" s="2" t="str">
        <x:v>Large enterprise</x:v>
      </x:c>
      <x:c r="X345" s="17" t="n">
        <x:f>IF(AND(H345=F345,NOT(ISNUMBER(N345)),N345="",ISNUMBER(K345)),K345,0)</x:f>
        <x:v>0</x:v>
      </x:c>
      <x:c r="Y345" s="17" t="n">
        <x:f>IF(AND(H345=F345,NOT(ISNUMBER(N345)),N345="",K345="",ISNUMBER(O345)),O345,0)</x:f>
        <x:v>80000</x:v>
      </x:c>
      <x:c r="Z345" s="17" t="n">
        <x:f>IF(AND(H345&gt;0,ISNUMBER(N345)),N345,0)</x:f>
        <x:v>0</x:v>
      </x:c>
      <x:c r="AA345" s="2" t="n">
        <x:f>IF(AND(H345&gt;0,N345="",NOT(ISNUMBER(Q345))),1,0)</x:f>
        <x:v>0</x:v>
      </x:c>
      <x:c r="AB345" s="2" t="n">
        <x:f>IF(AND(H345&gt;0,N345&lt;&gt;"",NOT(ISNUMBER(N345))),1,0)</x:f>
        <x:v>0</x:v>
      </x:c>
    </x:row>
    <x:row r="346" ht="48" customHeight="1">
      <x:c r="A346" s="2" t="str">
        <x:v>MAIN-337</x:v>
      </x:c>
      <x:c r="B346" s="2" t="str">
        <x:v>Main</x:v>
      </x:c>
      <x:c r="C346" s="2" t="str">
        <x:v>Mumbai</x:v>
      </x:c>
      <x:c r="D346" s="12" t="str">
        <x:v>Raheja Mindspace IT Park - Airoli East</x:v>
      </x:c>
      <x:c r="E346" s="12" t="str">
        <x:v>32 inch LED TV</x:v>
      </x:c>
      <x:c r="F346" s="2" t="n">
        <x:v>1</x:v>
      </x:c>
      <x:c r="G346" s="2" t="n">
        <x:v>12</x:v>
      </x:c>
      <x:c r="H346" s="2" t="n">
        <x:f>COUNTIFS('Inventory'!$N$7:$N$783,A346,'Inventory'!$A$7:$A$783,1)</x:f>
        <x:v>1</x:v>
      </x:c>
      <x:c r="I346" s="2" t="n">
        <x:f>SUMIFS('Inventory'!$G$7:$G$783,'Inventory'!$N$7:$N$783,A346,'Inventory'!$A$7:$A$783,1)</x:f>
        <x:v>12</x:v>
      </x:c>
      <x:c r="J346" s="12" t="str">
        <x:v>Estimate: same-site rate</x:v>
      </x:c>
      <x:c r="K346" s="17"/>
      <x:c r="L346" s="17" t="n">
        <x:v>32500</x:v>
      </x:c>
      <x:c r="M346" s="17"/>
      <x:c r="N346" s="19"/>
      <x:c r="O346" s="17" t="n">
        <x:f>IF(ISNUMBER(L346),G346*L346,IF(ISNUMBER(M346),M346,""))</x:f>
        <x:v>390000</x:v>
      </x:c>
      <x:c r="P346" s="17" t="n">
        <x:f>IF(ISNUMBER(K346),K346,IF(ISNUMBER(O346),O346,""))</x:f>
        <x:v>390000</x:v>
      </x:c>
      <x:c r="Q346" s="17" t="n">
        <x:f>IF(H346=0,0,IF(ISNUMBER(N346),N346,IF(N346="",IF(H346=F346,P346,""),"")))</x:f>
        <x:v>390000</x:v>
      </x:c>
      <x:c r="R346" s="17" t="n">
        <x:f>IF(ISNUMBER(Q346),ROUND(Q346*$C$4,2),"")</x:f>
        <x:v>70200</x:v>
      </x:c>
      <x:c r="S346" s="17" t="n">
        <x:f>IF(ISNUMBER(Q346),Q346+R346,"")</x:f>
        <x:v>460200</x:v>
      </x:c>
      <x:c r="T346" s="2" t="str">
        <x:f>IF(H346=0,"Not selected",IF(ISNUMBER(N346),"Quote entered",IF(N346&lt;&gt;"","Enter numeric quote",IF(H346=F346,IF(ISNUMBER(P346),"Complete unit","Price required"),"Partial package: price required"))))</x:f>
        <x:v>Complete unit</x:v>
      </x:c>
      <x:c r="U346" s="2" t="str">
        <x:v>TEN-413FC25CD812; TEN-4D748EBD71AF; TEN-5528A266F145; TEN-6A63F4755B0E; TEN-86F73DFE7BB6; TEN-88C817E54866; TEN-916A98F0FA2A; TEN-9A2067692E3A; TEN-9CF8C9635F36; TEN-C004492EC46F; TEN-D9BA66358074</x:v>
      </x:c>
      <x:c r="V346" s="2" t="str">
        <x:v>IT &amp; digital; Finance &amp; insurance; Engineering &amp; manufacturing; Healthcare &amp; life sciences; Unresolved</x:v>
      </x:c>
      <x:c r="W346" s="2" t="str">
        <x:v>Large enterprise; Mixed business audience</x:v>
      </x:c>
      <x:c r="X346" s="17" t="n">
        <x:f>IF(AND(H346=F346,NOT(ISNUMBER(N346)),N346="",ISNUMBER(K346)),K346,0)</x:f>
        <x:v>0</x:v>
      </x:c>
      <x:c r="Y346" s="17" t="n">
        <x:f>IF(AND(H346=F346,NOT(ISNUMBER(N346)),N346="",K346="",ISNUMBER(O346)),O346,0)</x:f>
        <x:v>390000</x:v>
      </x:c>
      <x:c r="Z346" s="17" t="n">
        <x:f>IF(AND(H346&gt;0,ISNUMBER(N346)),N346,0)</x:f>
        <x:v>0</x:v>
      </x:c>
      <x:c r="AA346" s="2" t="n">
        <x:f>IF(AND(H346&gt;0,N346="",NOT(ISNUMBER(Q346))),1,0)</x:f>
        <x:v>0</x:v>
      </x:c>
      <x:c r="AB346" s="2" t="n">
        <x:f>IF(AND(H346&gt;0,N346&lt;&gt;"",NOT(ISNUMBER(N346))),1,0)</x:f>
        <x:v>0</x:v>
      </x:c>
    </x:row>
    <x:row r="347" ht="48" customHeight="1">
      <x:c r="A347" s="2" t="str">
        <x:v>MAIN-338</x:v>
      </x:c>
      <x:c r="B347" s="2" t="str">
        <x:v>Main</x:v>
      </x:c>
      <x:c r="C347" s="2" t="str">
        <x:v>Mumbai</x:v>
      </x:c>
      <x:c r="D347" s="12" t="str">
        <x:v>Raheja Mindspaces - Airoli West</x:v>
      </x:c>
      <x:c r="E347" s="12" t="str">
        <x:v>55 inch LED TV</x:v>
      </x:c>
      <x:c r="F347" s="2" t="n">
        <x:v>1</x:v>
      </x:c>
      <x:c r="G347" s="2" t="n">
        <x:v>5</x:v>
      </x:c>
      <x:c r="H347" s="2" t="n">
        <x:f>COUNTIFS('Inventory'!$N$7:$N$783,A347,'Inventory'!$A$7:$A$783,1)</x:f>
        <x:v>1</x:v>
      </x:c>
      <x:c r="I347" s="2" t="n">
        <x:f>SUMIFS('Inventory'!$G$7:$G$783,'Inventory'!$N$7:$N$783,A347,'Inventory'!$A$7:$A$783,1)</x:f>
        <x:v>5</x:v>
      </x:c>
      <x:c r="J347" s="12" t="str">
        <x:v>Campaign format rate</x:v>
      </x:c>
      <x:c r="K347" s="17"/>
      <x:c r="L347" s="17" t="n">
        <x:f>$I$5</x:f>
        <x:v>40000</x:v>
      </x:c>
      <x:c r="M347" s="17"/>
      <x:c r="N347" s="19"/>
      <x:c r="O347" s="17" t="n">
        <x:f>IF(ISNUMBER(L347),G347*L347,IF(ISNUMBER(M347),M347,""))</x:f>
        <x:v>200000</x:v>
      </x:c>
      <x:c r="P347" s="17" t="n">
        <x:f>IF(ISNUMBER(K347),K347,IF(ISNUMBER(O347),O347,""))</x:f>
        <x:v>200000</x:v>
      </x:c>
      <x:c r="Q347" s="17" t="n">
        <x:f>IF(H347=0,0,IF(ISNUMBER(N347),N347,IF(N347="",IF(H347=F347,P347,""),"")))</x:f>
        <x:v>200000</x:v>
      </x:c>
      <x:c r="R347" s="17" t="n">
        <x:f>IF(ISNUMBER(Q347),ROUND(Q347*$C$4,2),"")</x:f>
        <x:v>36000</x:v>
      </x:c>
      <x:c r="S347" s="17" t="n">
        <x:f>IF(ISNUMBER(Q347),Q347+R347,"")</x:f>
        <x:v>236000</x:v>
      </x:c>
      <x:c r="T347" s="2" t="str">
        <x:f>IF(H347=0,"Not selected",IF(ISNUMBER(N347),"Quote entered",IF(N347&lt;&gt;"","Enter numeric quote",IF(H347=F347,IF(ISNUMBER(P347),"Complete unit","Price required"),"Partial package: price required"))))</x:f>
        <x:v>Complete unit</x:v>
      </x:c>
      <x:c r="U347" s="2" t="str">
        <x:v>TEN-0D8D7B583F99; TEN-1699A5C0AE77; TEN-1DED0A1D282F; TEN-46FF0B8F24EC; TEN-4D748EBD71AF; TEN-52CC75641406; TEN-5528A266F145; TEN-723943909E6B; TEN-9499A1BE2319; TEN-972F82E4DD0E; TEN-A49AC35AAD06; TEN-AA432FAD821D; TEN-B023B39C07DC; TEN-B07B67C76413; TEN-B921575579A8; TEN-DA16E7A8F245; TEN-E9167BFA6167; TEN-F0D2BE946F8E; TEN-F4B98DC0EA7C</x:v>
      </x:c>
      <x:c r="V347" s="2" t="str">
        <x:v>IT &amp; digital; Professional services; Finance &amp; insurance; Engineering &amp; manufacturing; Unresolved</x:v>
      </x:c>
      <x:c r="W347" s="2" t="str">
        <x:v>Small-scale prospects; Large enterprise; Mixed business audience</x:v>
      </x:c>
      <x:c r="X347" s="17" t="n">
        <x:f>IF(AND(H347=F347,NOT(ISNUMBER(N347)),N347="",ISNUMBER(K347)),K347,0)</x:f>
        <x:v>0</x:v>
      </x:c>
      <x:c r="Y347" s="17" t="n">
        <x:f>IF(AND(H347=F347,NOT(ISNUMBER(N347)),N347="",K347="",ISNUMBER(O347)),O347,0)</x:f>
        <x:v>200000</x:v>
      </x:c>
      <x:c r="Z347" s="17" t="n">
        <x:f>IF(AND(H347&gt;0,ISNUMBER(N347)),N347,0)</x:f>
        <x:v>0</x:v>
      </x:c>
      <x:c r="AA347" s="2" t="n">
        <x:f>IF(AND(H347&gt;0,N347="",NOT(ISNUMBER(Q347))),1,0)</x:f>
        <x:v>0</x:v>
      </x:c>
      <x:c r="AB347" s="2" t="n">
        <x:f>IF(AND(H347&gt;0,N347&lt;&gt;"",NOT(ISNUMBER(N347))),1,0)</x:f>
        <x:v>0</x:v>
      </x:c>
    </x:row>
    <x:row r="348" ht="48" customHeight="1">
      <x:c r="A348" s="2" t="str">
        <x:v>MAIN-339</x:v>
      </x:c>
      <x:c r="B348" s="2" t="str">
        <x:v>Main</x:v>
      </x:c>
      <x:c r="C348" s="2" t="str">
        <x:v>Mumbai</x:v>
      </x:c>
      <x:c r="D348" s="12" t="str">
        <x:v>Raheja Mindspaces - Ascent</x:v>
      </x:c>
      <x:c r="E348" s="12" t="str">
        <x:v>55 inch LED TV</x:v>
      </x:c>
      <x:c r="F348" s="2" t="n">
        <x:v>1</x:v>
      </x:c>
      <x:c r="G348" s="2" t="n">
        <x:v>2</x:v>
      </x:c>
      <x:c r="H348" s="2" t="n">
        <x:f>COUNTIFS('Inventory'!$N$7:$N$783,A348,'Inventory'!$A$7:$A$783,1)</x:f>
        <x:v>1</x:v>
      </x:c>
      <x:c r="I348" s="2" t="n">
        <x:f>SUMIFS('Inventory'!$G$7:$G$783,'Inventory'!$N$7:$N$783,A348,'Inventory'!$A$7:$A$783,1)</x:f>
        <x:v>2</x:v>
      </x:c>
      <x:c r="J348" s="12" t="str">
        <x:v>Campaign format rate</x:v>
      </x:c>
      <x:c r="K348" s="17"/>
      <x:c r="L348" s="17" t="n">
        <x:f>$I$5</x:f>
        <x:v>40000</x:v>
      </x:c>
      <x:c r="M348" s="17"/>
      <x:c r="N348" s="19"/>
      <x:c r="O348" s="17" t="n">
        <x:f>IF(ISNUMBER(L348),G348*L348,IF(ISNUMBER(M348),M348,""))</x:f>
        <x:v>80000</x:v>
      </x:c>
      <x:c r="P348" s="17" t="n">
        <x:f>IF(ISNUMBER(K348),K348,IF(ISNUMBER(O348),O348,""))</x:f>
        <x:v>80000</x:v>
      </x:c>
      <x:c r="Q348" s="17" t="n">
        <x:f>IF(H348=0,0,IF(ISNUMBER(N348),N348,IF(N348="",IF(H348=F348,P348,""),"")))</x:f>
        <x:v>80000</x:v>
      </x:c>
      <x:c r="R348" s="17" t="n">
        <x:f>IF(ISNUMBER(Q348),ROUND(Q348*$C$4,2),"")</x:f>
        <x:v>14400</x:v>
      </x:c>
      <x:c r="S348" s="17" t="n">
        <x:f>IF(ISNUMBER(Q348),Q348+R348,"")</x:f>
        <x:v>94400</x:v>
      </x:c>
      <x:c r="T348" s="2" t="str">
        <x:f>IF(H348=0,"Not selected",IF(ISNUMBER(N348),"Quote entered",IF(N348&lt;&gt;"","Enter numeric quote",IF(H348=F348,IF(ISNUMBER(P348),"Complete unit","Price required"),"Partial package: price required"))))</x:f>
        <x:v>Complete unit</x:v>
      </x:c>
      <x:c r="U348" s="2" t="str"/>
      <x:c r="V348" s="2" t="str">
        <x:v>Unclassified</x:v>
      </x:c>
      <x:c r="W348" s="2" t="str">
        <x:v>Mixed business audience</x:v>
      </x:c>
      <x:c r="X348" s="17" t="n">
        <x:f>IF(AND(H348=F348,NOT(ISNUMBER(N348)),N348="",ISNUMBER(K348)),K348,0)</x:f>
        <x:v>0</x:v>
      </x:c>
      <x:c r="Y348" s="17" t="n">
        <x:f>IF(AND(H348=F348,NOT(ISNUMBER(N348)),N348="",K348="",ISNUMBER(O348)),O348,0)</x:f>
        <x:v>80000</x:v>
      </x:c>
      <x:c r="Z348" s="17" t="n">
        <x:f>IF(AND(H348&gt;0,ISNUMBER(N348)),N348,0)</x:f>
        <x:v>0</x:v>
      </x:c>
      <x:c r="AA348" s="2" t="n">
        <x:f>IF(AND(H348&gt;0,N348="",NOT(ISNUMBER(Q348))),1,0)</x:f>
        <x:v>0</x:v>
      </x:c>
      <x:c r="AB348" s="2" t="n">
        <x:f>IF(AND(H348&gt;0,N348&lt;&gt;"",NOT(ISNUMBER(N348))),1,0)</x:f>
        <x:v>0</x:v>
      </x:c>
    </x:row>
    <x:row r="349" ht="48" customHeight="1">
      <x:c r="A349" s="2" t="str">
        <x:v>MAIN-340</x:v>
      </x:c>
      <x:c r="B349" s="2" t="str">
        <x:v>Main</x:v>
      </x:c>
      <x:c r="C349" s="2" t="str">
        <x:v>Mumbai</x:v>
      </x:c>
      <x:c r="D349" s="12" t="str">
        <x:v>Raheja Mindspaces - Juinagar</x:v>
      </x:c>
      <x:c r="E349" s="12" t="str">
        <x:v>55 inch LED TV</x:v>
      </x:c>
      <x:c r="F349" s="2" t="n">
        <x:v>1</x:v>
      </x:c>
      <x:c r="G349" s="2" t="n">
        <x:v>3</x:v>
      </x:c>
      <x:c r="H349" s="2" t="n">
        <x:f>COUNTIFS('Inventory'!$N$7:$N$783,A349,'Inventory'!$A$7:$A$783,1)</x:f>
        <x:v>1</x:v>
      </x:c>
      <x:c r="I349" s="2" t="n">
        <x:f>SUMIFS('Inventory'!$G$7:$G$783,'Inventory'!$N$7:$N$783,A349,'Inventory'!$A$7:$A$783,1)</x:f>
        <x:v>3</x:v>
      </x:c>
      <x:c r="J349" s="12" t="str">
        <x:v>Campaign format rate</x:v>
      </x:c>
      <x:c r="K349" s="17"/>
      <x:c r="L349" s="17" t="n">
        <x:f>$I$5</x:f>
        <x:v>40000</x:v>
      </x:c>
      <x:c r="M349" s="17"/>
      <x:c r="N349" s="19"/>
      <x:c r="O349" s="17" t="n">
        <x:f>IF(ISNUMBER(L349),G349*L349,IF(ISNUMBER(M349),M349,""))</x:f>
        <x:v>120000</x:v>
      </x:c>
      <x:c r="P349" s="17" t="n">
        <x:f>IF(ISNUMBER(K349),K349,IF(ISNUMBER(O349),O349,""))</x:f>
        <x:v>120000</x:v>
      </x:c>
      <x:c r="Q349" s="17" t="n">
        <x:f>IF(H349=0,0,IF(ISNUMBER(N349),N349,IF(N349="",IF(H349=F349,P349,""),"")))</x:f>
        <x:v>120000</x:v>
      </x:c>
      <x:c r="R349" s="17" t="n">
        <x:f>IF(ISNUMBER(Q349),ROUND(Q349*$C$4,2),"")</x:f>
        <x:v>21600</x:v>
      </x:c>
      <x:c r="S349" s="17" t="n">
        <x:f>IF(ISNUMBER(Q349),Q349+R349,"")</x:f>
        <x:v>141600</x:v>
      </x:c>
      <x:c r="T349" s="2" t="str">
        <x:f>IF(H349=0,"Not selected",IF(ISNUMBER(N349),"Quote entered",IF(N349&lt;&gt;"","Enter numeric quote",IF(H349=F349,IF(ISNUMBER(P349),"Complete unit","Price required"),"Partial package: price required"))))</x:f>
        <x:v>Complete unit</x:v>
      </x:c>
      <x:c r="U349" s="2" t="str"/>
      <x:c r="V349" s="2" t="str">
        <x:v>Unclassified</x:v>
      </x:c>
      <x:c r="W349" s="2" t="str">
        <x:v>Mixed business audience</x:v>
      </x:c>
      <x:c r="X349" s="17" t="n">
        <x:f>IF(AND(H349=F349,NOT(ISNUMBER(N349)),N349="",ISNUMBER(K349)),K349,0)</x:f>
        <x:v>0</x:v>
      </x:c>
      <x:c r="Y349" s="17" t="n">
        <x:f>IF(AND(H349=F349,NOT(ISNUMBER(N349)),N349="",K349="",ISNUMBER(O349)),O349,0)</x:f>
        <x:v>120000</x:v>
      </x:c>
      <x:c r="Z349" s="17" t="n">
        <x:f>IF(AND(H349&gt;0,ISNUMBER(N349)),N349,0)</x:f>
        <x:v>0</x:v>
      </x:c>
      <x:c r="AA349" s="2" t="n">
        <x:f>IF(AND(H349&gt;0,N349="",NOT(ISNUMBER(Q349))),1,0)</x:f>
        <x:v>0</x:v>
      </x:c>
      <x:c r="AB349" s="2" t="n">
        <x:f>IF(AND(H349&gt;0,N349&lt;&gt;"",NOT(ISNUMBER(N349))),1,0)</x:f>
        <x:v>0</x:v>
      </x:c>
    </x:row>
    <x:row r="350" ht="48" customHeight="1">
      <x:c r="A350" s="2" t="str">
        <x:v>MAIN-341</x:v>
      </x:c>
      <x:c r="B350" s="2" t="str">
        <x:v>Main</x:v>
      </x:c>
      <x:c r="C350" s="2" t="str">
        <x:v>Mumbai</x:v>
      </x:c>
      <x:c r="D350" s="12" t="str">
        <x:v>Rupa Renaissance (Redbrick Offices)</x:v>
      </x:c>
      <x:c r="E350" s="12" t="str">
        <x:v>32 inch LED TV</x:v>
      </x:c>
      <x:c r="F350" s="2" t="n">
        <x:v>1</x:v>
      </x:c>
      <x:c r="G350" s="2" t="n">
        <x:v>1</x:v>
      </x:c>
      <x:c r="H350" s="2" t="n">
        <x:f>COUNTIFS('Inventory'!$N$7:$N$783,A350,'Inventory'!$A$7:$A$783,1)</x:f>
        <x:v>1</x:v>
      </x:c>
      <x:c r="I350" s="2" t="n">
        <x:f>SUMIFS('Inventory'!$G$7:$G$783,'Inventory'!$N$7:$N$783,A350,'Inventory'!$A$7:$A$783,1)</x:f>
        <x:v>1</x:v>
      </x:c>
      <x:c r="J350" s="12" t="str">
        <x:v>Listed budget</x:v>
      </x:c>
      <x:c r="K350" s="17" t="n">
        <x:v>15000</x:v>
      </x:c>
      <x:c r="L350" s="17"/>
      <x:c r="M350" s="17"/>
      <x:c r="N350" s="19"/>
      <x:c r="O350" s="17" t="str">
        <x:f>IF(ISNUMBER(L350),G350*L350,IF(ISNUMBER(M350),M350,""))</x:f>
      </x:c>
      <x:c r="P350" s="17" t="n">
        <x:f>IF(ISNUMBER(K350),K350,IF(ISNUMBER(O350),O350,""))</x:f>
        <x:v>15000</x:v>
      </x:c>
      <x:c r="Q350" s="17" t="n">
        <x:f>IF(H350=0,0,IF(ISNUMBER(N350),N350,IF(N350="",IF(H350=F350,P350,""),"")))</x:f>
        <x:v>15000</x:v>
      </x:c>
      <x:c r="R350" s="17" t="n">
        <x:f>IF(ISNUMBER(Q350),ROUND(Q350*$C$4,2),"")</x:f>
        <x:v>2700</x:v>
      </x:c>
      <x:c r="S350" s="17" t="n">
        <x:f>IF(ISNUMBER(Q350),Q350+R350,"")</x:f>
        <x:v>17700</x:v>
      </x:c>
      <x:c r="T350" s="2" t="str">
        <x:f>IF(H350=0,"Not selected",IF(ISNUMBER(N350),"Quote entered",IF(N350&lt;&gt;"","Enter numeric quote",IF(H350=F350,IF(ISNUMBER(P350),"Complete unit","Price required"),"Partial package: price required"))))</x:f>
        <x:v>Complete unit</x:v>
      </x:c>
      <x:c r="U350" s="2" t="str">
        <x:v>TEN-0E6024625C2C; TEN-3C79F72B4753; TEN-4817EBAEA4B9; TEN-8DAD9A71BA1C; TEN-FF339EB08605</x:v>
      </x:c>
      <x:c r="V350" s="2" t="str">
        <x:v>IT &amp; digital; Finance &amp; insurance; Engineering &amp; manufacturing; Trade, consumer &amp; logistics; Workspace &amp; property operations</x:v>
      </x:c>
      <x:c r="W350" s="2" t="str">
        <x:v>Medium-scale prospects; Mixed business audience</x:v>
      </x:c>
      <x:c r="X350" s="17" t="n">
        <x:f>IF(AND(H350=F350,NOT(ISNUMBER(N350)),N350="",ISNUMBER(K350)),K350,0)</x:f>
        <x:v>15000</x:v>
      </x:c>
      <x:c r="Y350" s="17" t="n">
        <x:f>IF(AND(H350=F350,NOT(ISNUMBER(N350)),N350="",K350="",ISNUMBER(O350)),O350,0)</x:f>
        <x:v>0</x:v>
      </x:c>
      <x:c r="Z350" s="17" t="n">
        <x:f>IF(AND(H350&gt;0,ISNUMBER(N350)),N350,0)</x:f>
        <x:v>0</x:v>
      </x:c>
      <x:c r="AA350" s="2" t="n">
        <x:f>IF(AND(H350&gt;0,N350="",NOT(ISNUMBER(Q350))),1,0)</x:f>
        <x:v>0</x:v>
      </x:c>
      <x:c r="AB350" s="2" t="n">
        <x:f>IF(AND(H350&gt;0,N350&lt;&gt;"",NOT(ISNUMBER(N350))),1,0)</x:f>
        <x:v>0</x:v>
      </x:c>
    </x:row>
    <x:row r="351" ht="48" customHeight="1">
      <x:c r="A351" s="2" t="str">
        <x:v>MAIN-342</x:v>
      </x:c>
      <x:c r="B351" s="2" t="str">
        <x:v>Main</x:v>
      </x:c>
      <x:c r="C351" s="2" t="str">
        <x:v>Mumbai</x:v>
      </x:c>
      <x:c r="D351" s="12" t="str">
        <x:v>Rustomjee Eaze Zone Mall</x:v>
      </x:c>
      <x:c r="E351" s="12" t="str">
        <x:v>32 inch LED TV</x:v>
      </x:c>
      <x:c r="F351" s="2" t="n">
        <x:v>1</x:v>
      </x:c>
      <x:c r="G351" s="2" t="n">
        <x:v>26</x:v>
      </x:c>
      <x:c r="H351" s="2" t="n">
        <x:f>COUNTIFS('Inventory'!$N$7:$N$783,A351,'Inventory'!$A$7:$A$783,1)</x:f>
        <x:v>1</x:v>
      </x:c>
      <x:c r="I351" s="2" t="n">
        <x:f>SUMIFS('Inventory'!$G$7:$G$783,'Inventory'!$N$7:$N$783,A351,'Inventory'!$A$7:$A$783,1)</x:f>
        <x:v>26</x:v>
      </x:c>
      <x:c r="J351" s="12" t="str">
        <x:v>Listed budget</x:v>
      </x:c>
      <x:c r="K351" s="17" t="n">
        <x:v>390000</x:v>
      </x:c>
      <x:c r="L351" s="17"/>
      <x:c r="M351" s="17"/>
      <x:c r="N351" s="19"/>
      <x:c r="O351" s="17" t="str">
        <x:f>IF(ISNUMBER(L351),G351*L351,IF(ISNUMBER(M351),M351,""))</x:f>
      </x:c>
      <x:c r="P351" s="17" t="n">
        <x:f>IF(ISNUMBER(K351),K351,IF(ISNUMBER(O351),O351,""))</x:f>
        <x:v>390000</x:v>
      </x:c>
      <x:c r="Q351" s="17" t="n">
        <x:f>IF(H351=0,0,IF(ISNUMBER(N351),N351,IF(N351="",IF(H351=F351,P351,""),"")))</x:f>
        <x:v>390000</x:v>
      </x:c>
      <x:c r="R351" s="17" t="n">
        <x:f>IF(ISNUMBER(Q351),ROUND(Q351*$C$4,2),"")</x:f>
        <x:v>70200</x:v>
      </x:c>
      <x:c r="S351" s="17" t="n">
        <x:f>IF(ISNUMBER(Q351),Q351+R351,"")</x:f>
        <x:v>460200</x:v>
      </x:c>
      <x:c r="T351" s="2" t="str">
        <x:f>IF(H351=0,"Not selected",IF(ISNUMBER(N351),"Quote entered",IF(N351&lt;&gt;"","Enter numeric quote",IF(H351=F351,IF(ISNUMBER(P351),"Complete unit","Price required"),"Partial package: price required"))))</x:f>
        <x:v>Complete unit</x:v>
      </x:c>
      <x:c r="U351" s="2" t="str">
        <x:v>TEN-2195B4F4BEF0; TEN-332F87BC5E89; TEN-5E0268F6057E; TEN-6084B957DCD5; TEN-74CE377FCE32; TEN-757CC22101FA; TEN-B6AA44AC4564; TEN-B8675CD3E646; TEN-EA0C33070EEE; TEN-F95278102ACA</x:v>
      </x:c>
      <x:c r="V351" s="2" t="str">
        <x:v>IT &amp; digital; Finance &amp; insurance; Engineering &amp; manufacturing; Trade, consumer &amp; logistics; Unresolved</x:v>
      </x:c>
      <x:c r="W351" s="2" t="str">
        <x:v>Small-scale prospects; Medium-scale prospects; Mixed business audience</x:v>
      </x:c>
      <x:c r="X351" s="17" t="n">
        <x:f>IF(AND(H351=F351,NOT(ISNUMBER(N351)),N351="",ISNUMBER(K351)),K351,0)</x:f>
        <x:v>390000</x:v>
      </x:c>
      <x:c r="Y351" s="17" t="n">
        <x:f>IF(AND(H351=F351,NOT(ISNUMBER(N351)),N351="",K351="",ISNUMBER(O351)),O351,0)</x:f>
        <x:v>0</x:v>
      </x:c>
      <x:c r="Z351" s="17" t="n">
        <x:f>IF(AND(H351&gt;0,ISNUMBER(N351)),N351,0)</x:f>
        <x:v>0</x:v>
      </x:c>
      <x:c r="AA351" s="2" t="n">
        <x:f>IF(AND(H351&gt;0,N351="",NOT(ISNUMBER(Q351))),1,0)</x:f>
        <x:v>0</x:v>
      </x:c>
      <x:c r="AB351" s="2" t="n">
        <x:f>IF(AND(H351&gt;0,N351&lt;&gt;"",NOT(ISNUMBER(N351))),1,0)</x:f>
        <x:v>0</x:v>
      </x:c>
    </x:row>
    <x:row r="352" ht="48" customHeight="1">
      <x:c r="A352" s="2" t="str">
        <x:v>MAIN-343</x:v>
      </x:c>
      <x:c r="B352" s="2" t="str">
        <x:v>Main</x:v>
      </x:c>
      <x:c r="C352" s="2" t="str">
        <x:v>Mumbai</x:v>
      </x:c>
      <x:c r="D352" s="12" t="str">
        <x:v>Sagar Tech Plaza A </x:v>
      </x:c>
      <x:c r="E352" s="12" t="str">
        <x:v>32 inch LED TV</x:v>
      </x:c>
      <x:c r="F352" s="2" t="n">
        <x:v>1</x:v>
      </x:c>
      <x:c r="G352" s="2" t="n">
        <x:v>2</x:v>
      </x:c>
      <x:c r="H352" s="2" t="n">
        <x:f>COUNTIFS('Inventory'!$N$7:$N$783,A352,'Inventory'!$A$7:$A$783,1)</x:f>
        <x:v>1</x:v>
      </x:c>
      <x:c r="I352" s="2" t="n">
        <x:f>SUMIFS('Inventory'!$G$7:$G$783,'Inventory'!$N$7:$N$783,A352,'Inventory'!$A$7:$A$783,1)</x:f>
        <x:v>2</x:v>
      </x:c>
      <x:c r="J352" s="12" t="str">
        <x:v>Listed budget</x:v>
      </x:c>
      <x:c r="K352" s="17" t="n">
        <x:v>30000</x:v>
      </x:c>
      <x:c r="L352" s="17"/>
      <x:c r="M352" s="17"/>
      <x:c r="N352" s="19"/>
      <x:c r="O352" s="17" t="str">
        <x:f>IF(ISNUMBER(L352),G352*L352,IF(ISNUMBER(M352),M352,""))</x:f>
      </x:c>
      <x:c r="P352" s="17" t="n">
        <x:f>IF(ISNUMBER(K352),K352,IF(ISNUMBER(O352),O352,""))</x:f>
        <x:v>30000</x:v>
      </x:c>
      <x:c r="Q352" s="17" t="n">
        <x:f>IF(H352=0,0,IF(ISNUMBER(N352),N352,IF(N352="",IF(H352=F352,P352,""),"")))</x:f>
        <x:v>30000</x:v>
      </x:c>
      <x:c r="R352" s="17" t="n">
        <x:f>IF(ISNUMBER(Q352),ROUND(Q352*$C$4,2),"")</x:f>
        <x:v>5400</x:v>
      </x:c>
      <x:c r="S352" s="17" t="n">
        <x:f>IF(ISNUMBER(Q352),Q352+R352,"")</x:f>
        <x:v>35400</x:v>
      </x:c>
      <x:c r="T352" s="2" t="str">
        <x:f>IF(H352=0,"Not selected",IF(ISNUMBER(N352),"Quote entered",IF(N352&lt;&gt;"","Enter numeric quote",IF(H352=F352,IF(ISNUMBER(P352),"Complete unit","Price required"),"Partial package: price required"))))</x:f>
        <x:v>Complete unit</x:v>
      </x:c>
      <x:c r="U352" s="2" t="str">
        <x:v>TEN-21CE05DB330F; TEN-24071FD75C0B; TEN-2F98BAE5C1A1; TEN-AAEEA46EA3EC; TEN-E080263FD3AF; TEN-FECD0178719F</x:v>
      </x:c>
      <x:c r="V352" s="2" t="str">
        <x:v>Engineering &amp; manufacturing; Trade, consumer &amp; logistics</x:v>
      </x:c>
      <x:c r="W352" s="2" t="str">
        <x:v>Small-scale prospects; Medium-scale prospects; Mixed business audience</x:v>
      </x:c>
      <x:c r="X352" s="17" t="n">
        <x:f>IF(AND(H352=F352,NOT(ISNUMBER(N352)),N352="",ISNUMBER(K352)),K352,0)</x:f>
        <x:v>30000</x:v>
      </x:c>
      <x:c r="Y352" s="17" t="n">
        <x:f>IF(AND(H352=F352,NOT(ISNUMBER(N352)),N352="",K352="",ISNUMBER(O352)),O352,0)</x:f>
        <x:v>0</x:v>
      </x:c>
      <x:c r="Z352" s="17" t="n">
        <x:f>IF(AND(H352&gt;0,ISNUMBER(N352)),N352,0)</x:f>
        <x:v>0</x:v>
      </x:c>
      <x:c r="AA352" s="2" t="n">
        <x:f>IF(AND(H352&gt;0,N352="",NOT(ISNUMBER(Q352))),1,0)</x:f>
        <x:v>0</x:v>
      </x:c>
      <x:c r="AB352" s="2" t="n">
        <x:f>IF(AND(H352&gt;0,N352&lt;&gt;"",NOT(ISNUMBER(N352))),1,0)</x:f>
        <x:v>0</x:v>
      </x:c>
    </x:row>
    <x:row r="353" ht="48" customHeight="1">
      <x:c r="A353" s="2" t="str">
        <x:v>MAIN-344</x:v>
      </x:c>
      <x:c r="B353" s="2" t="str">
        <x:v>Main</x:v>
      </x:c>
      <x:c r="C353" s="2" t="str">
        <x:v>Mumbai</x:v>
      </x:c>
      <x:c r="D353" s="12" t="str">
        <x:v>Sagar Tech Plaza A {IE}</x:v>
      </x:c>
      <x:c r="E353" s="12" t="str">
        <x:v>24 inch LED TV</x:v>
      </x:c>
      <x:c r="F353" s="2" t="n">
        <x:v>1</x:v>
      </x:c>
      <x:c r="G353" s="2" t="n">
        <x:v>3</x:v>
      </x:c>
      <x:c r="H353" s="2" t="n">
        <x:f>COUNTIFS('Inventory'!$N$7:$N$783,A353,'Inventory'!$A$7:$A$783,1)</x:f>
        <x:v>1</x:v>
      </x:c>
      <x:c r="I353" s="2" t="n">
        <x:f>SUMIFS('Inventory'!$G$7:$G$783,'Inventory'!$N$7:$N$783,A353,'Inventory'!$A$7:$A$783,1)</x:f>
        <x:v>3</x:v>
      </x:c>
      <x:c r="J353" s="12" t="str">
        <x:v>Listed budget</x:v>
      </x:c>
      <x:c r="K353" s="17" t="n">
        <x:v>45000</x:v>
      </x:c>
      <x:c r="L353" s="17"/>
      <x:c r="M353" s="17"/>
      <x:c r="N353" s="19"/>
      <x:c r="O353" s="17" t="str">
        <x:f>IF(ISNUMBER(L353),G353*L353,IF(ISNUMBER(M353),M353,""))</x:f>
      </x:c>
      <x:c r="P353" s="17" t="n">
        <x:f>IF(ISNUMBER(K353),K353,IF(ISNUMBER(O353),O353,""))</x:f>
        <x:v>45000</x:v>
      </x:c>
      <x:c r="Q353" s="17" t="n">
        <x:f>IF(H353=0,0,IF(ISNUMBER(N353),N353,IF(N353="",IF(H353=F353,P353,""),"")))</x:f>
        <x:v>45000</x:v>
      </x:c>
      <x:c r="R353" s="17" t="n">
        <x:f>IF(ISNUMBER(Q353),ROUND(Q353*$C$4,2),"")</x:f>
        <x:v>8100</x:v>
      </x:c>
      <x:c r="S353" s="17" t="n">
        <x:f>IF(ISNUMBER(Q353),Q353+R353,"")</x:f>
        <x:v>53100</x:v>
      </x:c>
      <x:c r="T353" s="2" t="str">
        <x:f>IF(H353=0,"Not selected",IF(ISNUMBER(N353),"Quote entered",IF(N353&lt;&gt;"","Enter numeric quote",IF(H353=F353,IF(ISNUMBER(P353),"Complete unit","Price required"),"Partial package: price required"))))</x:f>
        <x:v>Complete unit</x:v>
      </x:c>
      <x:c r="U353" s="2" t="str">
        <x:v>TEN-21CE05DB330F; TEN-24071FD75C0B; TEN-66035669957D; TEN-AAEEA46EA3EC; TEN-E080263FD3AF; TEN-FECD0178719F</x:v>
      </x:c>
      <x:c r="V353" s="2" t="str">
        <x:v>Engineering &amp; manufacturing; Trade, consumer &amp; logistics</x:v>
      </x:c>
      <x:c r="W353" s="2" t="str">
        <x:v>Small-scale prospects; Medium-scale prospects; Mixed business audience</x:v>
      </x:c>
      <x:c r="X353" s="17" t="n">
        <x:f>IF(AND(H353=F353,NOT(ISNUMBER(N353)),N353="",ISNUMBER(K353)),K353,0)</x:f>
        <x:v>45000</x:v>
      </x:c>
      <x:c r="Y353" s="17" t="n">
        <x:f>IF(AND(H353=F353,NOT(ISNUMBER(N353)),N353="",K353="",ISNUMBER(O353)),O353,0)</x:f>
        <x:v>0</x:v>
      </x:c>
      <x:c r="Z353" s="17" t="n">
        <x:f>IF(AND(H353&gt;0,ISNUMBER(N353)),N353,0)</x:f>
        <x:v>0</x:v>
      </x:c>
      <x:c r="AA353" s="2" t="n">
        <x:f>IF(AND(H353&gt;0,N353="",NOT(ISNUMBER(Q353))),1,0)</x:f>
        <x:v>0</x:v>
      </x:c>
      <x:c r="AB353" s="2" t="n">
        <x:f>IF(AND(H353&gt;0,N353&lt;&gt;"",NOT(ISNUMBER(N353))),1,0)</x:f>
        <x:v>0</x:v>
      </x:c>
    </x:row>
    <x:row r="354" ht="48" customHeight="1">
      <x:c r="A354" s="2" t="str">
        <x:v>MAIN-345</x:v>
      </x:c>
      <x:c r="B354" s="2" t="str">
        <x:v>Main</x:v>
      </x:c>
      <x:c r="C354" s="2" t="str">
        <x:v>Mumbai</x:v>
      </x:c>
      <x:c r="D354" s="12" t="str">
        <x:v>Sagar Tech Plaza B </x:v>
      </x:c>
      <x:c r="E354" s="12" t="str">
        <x:v>32 inch LED TV</x:v>
      </x:c>
      <x:c r="F354" s="2" t="n">
        <x:v>1</x:v>
      </x:c>
      <x:c r="G354" s="2" t="n">
        <x:v>1</x:v>
      </x:c>
      <x:c r="H354" s="2" t="n">
        <x:f>COUNTIFS('Inventory'!$N$7:$N$783,A354,'Inventory'!$A$7:$A$783,1)</x:f>
        <x:v>1</x:v>
      </x:c>
      <x:c r="I354" s="2" t="n">
        <x:f>SUMIFS('Inventory'!$G$7:$G$783,'Inventory'!$N$7:$N$783,A354,'Inventory'!$A$7:$A$783,1)</x:f>
        <x:v>1</x:v>
      </x:c>
      <x:c r="J354" s="12" t="str">
        <x:v>Listed budget</x:v>
      </x:c>
      <x:c r="K354" s="17" t="n">
        <x:v>15000</x:v>
      </x:c>
      <x:c r="L354" s="17"/>
      <x:c r="M354" s="17"/>
      <x:c r="N354" s="19"/>
      <x:c r="O354" s="17" t="str">
        <x:f>IF(ISNUMBER(L354),G354*L354,IF(ISNUMBER(M354),M354,""))</x:f>
      </x:c>
      <x:c r="P354" s="17" t="n">
        <x:f>IF(ISNUMBER(K354),K354,IF(ISNUMBER(O354),O354,""))</x:f>
        <x:v>15000</x:v>
      </x:c>
      <x:c r="Q354" s="17" t="n">
        <x:f>IF(H354=0,0,IF(ISNUMBER(N354),N354,IF(N354="",IF(H354=F354,P354,""),"")))</x:f>
        <x:v>15000</x:v>
      </x:c>
      <x:c r="R354" s="17" t="n">
        <x:f>IF(ISNUMBER(Q354),ROUND(Q354*$C$4,2),"")</x:f>
        <x:v>2700</x:v>
      </x:c>
      <x:c r="S354" s="17" t="n">
        <x:f>IF(ISNUMBER(Q354),Q354+R354,"")</x:f>
        <x:v>17700</x:v>
      </x:c>
      <x:c r="T354" s="2" t="str">
        <x:f>IF(H354=0,"Not selected",IF(ISNUMBER(N354),"Quote entered",IF(N354&lt;&gt;"","Enter numeric quote",IF(H354=F354,IF(ISNUMBER(P354),"Complete unit","Price required"),"Partial package: price required"))))</x:f>
        <x:v>Complete unit</x:v>
      </x:c>
      <x:c r="U354" s="2" t="str">
        <x:v>TEN-413BB748AA81; TEN-4D748EBD71AF; TEN-6A9D4FE5CE43; TEN-80E224094D7E; TEN-F55A85B2F2EB; TEN-FECD0178719F</x:v>
      </x:c>
      <x:c r="V354" s="2" t="str">
        <x:v>IT &amp; digital; Engineering &amp; manufacturing; Trade, consumer &amp; logistics</x:v>
      </x:c>
      <x:c r="W354" s="2" t="str">
        <x:v>Small-scale prospects; Large enterprise; Mixed business audience</x:v>
      </x:c>
      <x:c r="X354" s="17" t="n">
        <x:f>IF(AND(H354=F354,NOT(ISNUMBER(N354)),N354="",ISNUMBER(K354)),K354,0)</x:f>
        <x:v>15000</x:v>
      </x:c>
      <x:c r="Y354" s="17" t="n">
        <x:f>IF(AND(H354=F354,NOT(ISNUMBER(N354)),N354="",K354="",ISNUMBER(O354)),O354,0)</x:f>
        <x:v>0</x:v>
      </x:c>
      <x:c r="Z354" s="17" t="n">
        <x:f>IF(AND(H354&gt;0,ISNUMBER(N354)),N354,0)</x:f>
        <x:v>0</x:v>
      </x:c>
      <x:c r="AA354" s="2" t="n">
        <x:f>IF(AND(H354&gt;0,N354="",NOT(ISNUMBER(Q354))),1,0)</x:f>
        <x:v>0</x:v>
      </x:c>
      <x:c r="AB354" s="2" t="n">
        <x:f>IF(AND(H354&gt;0,N354&lt;&gt;"",NOT(ISNUMBER(N354))),1,0)</x:f>
        <x:v>0</x:v>
      </x:c>
    </x:row>
    <x:row r="355" ht="48" customHeight="1">
      <x:c r="A355" s="2" t="str">
        <x:v>MAIN-346</x:v>
      </x:c>
      <x:c r="B355" s="2" t="str">
        <x:v>Main</x:v>
      </x:c>
      <x:c r="C355" s="2" t="str">
        <x:v>Mumbai</x:v>
      </x:c>
      <x:c r="D355" s="12" t="str">
        <x:v>Sagar Tech Plaza B {IE}</x:v>
      </x:c>
      <x:c r="E355" s="12" t="str">
        <x:v>24 inch LED TV</x:v>
      </x:c>
      <x:c r="F355" s="2" t="n">
        <x:v>1</x:v>
      </x:c>
      <x:c r="G355" s="2" t="n">
        <x:v>3</x:v>
      </x:c>
      <x:c r="H355" s="2" t="n">
        <x:f>COUNTIFS('Inventory'!$N$7:$N$783,A355,'Inventory'!$A$7:$A$783,1)</x:f>
        <x:v>1</x:v>
      </x:c>
      <x:c r="I355" s="2" t="n">
        <x:f>SUMIFS('Inventory'!$G$7:$G$783,'Inventory'!$N$7:$N$783,A355,'Inventory'!$A$7:$A$783,1)</x:f>
        <x:v>3</x:v>
      </x:c>
      <x:c r="J355" s="12" t="str">
        <x:v>Listed budget</x:v>
      </x:c>
      <x:c r="K355" s="17" t="n">
        <x:v>45000</x:v>
      </x:c>
      <x:c r="L355" s="17"/>
      <x:c r="M355" s="17"/>
      <x:c r="N355" s="19"/>
      <x:c r="O355" s="17" t="str">
        <x:f>IF(ISNUMBER(L355),G355*L355,IF(ISNUMBER(M355),M355,""))</x:f>
      </x:c>
      <x:c r="P355" s="17" t="n">
        <x:f>IF(ISNUMBER(K355),K355,IF(ISNUMBER(O355),O355,""))</x:f>
        <x:v>45000</x:v>
      </x:c>
      <x:c r="Q355" s="17" t="n">
        <x:f>IF(H355=0,0,IF(ISNUMBER(N355),N355,IF(N355="",IF(H355=F355,P355,""),"")))</x:f>
        <x:v>45000</x:v>
      </x:c>
      <x:c r="R355" s="17" t="n">
        <x:f>IF(ISNUMBER(Q355),ROUND(Q355*$C$4,2),"")</x:f>
        <x:v>8100</x:v>
      </x:c>
      <x:c r="S355" s="17" t="n">
        <x:f>IF(ISNUMBER(Q355),Q355+R355,"")</x:f>
        <x:v>53100</x:v>
      </x:c>
      <x:c r="T355" s="2" t="str">
        <x:f>IF(H355=0,"Not selected",IF(ISNUMBER(N355),"Quote entered",IF(N355&lt;&gt;"","Enter numeric quote",IF(H355=F355,IF(ISNUMBER(P355),"Complete unit","Price required"),"Partial package: price required"))))</x:f>
        <x:v>Complete unit</x:v>
      </x:c>
      <x:c r="U355" s="2" t="str">
        <x:v>TEN-24071FD75C0B; TEN-413BB748AA81; TEN-4D748EBD71AF; TEN-6A9D4FE5CE43; TEN-80E224094D7E; TEN-F55A85B2F2EB; TEN-FECD0178719F</x:v>
      </x:c>
      <x:c r="V355" s="2" t="str">
        <x:v>IT &amp; digital; Engineering &amp; manufacturing; Trade, consumer &amp; logistics</x:v>
      </x:c>
      <x:c r="W355" s="2" t="str">
        <x:v>Small-scale prospects; Medium-scale prospects; Large enterprise; Mixed business audience</x:v>
      </x:c>
      <x:c r="X355" s="17" t="n">
        <x:f>IF(AND(H355=F355,NOT(ISNUMBER(N355)),N355="",ISNUMBER(K355)),K355,0)</x:f>
        <x:v>45000</x:v>
      </x:c>
      <x:c r="Y355" s="17" t="n">
        <x:f>IF(AND(H355=F355,NOT(ISNUMBER(N355)),N355="",K355="",ISNUMBER(O355)),O355,0)</x:f>
        <x:v>0</x:v>
      </x:c>
      <x:c r="Z355" s="17" t="n">
        <x:f>IF(AND(H355&gt;0,ISNUMBER(N355)),N355,0)</x:f>
        <x:v>0</x:v>
      </x:c>
      <x:c r="AA355" s="2" t="n">
        <x:f>IF(AND(H355&gt;0,N355="",NOT(ISNUMBER(Q355))),1,0)</x:f>
        <x:v>0</x:v>
      </x:c>
      <x:c r="AB355" s="2" t="n">
        <x:f>IF(AND(H355&gt;0,N355&lt;&gt;"",NOT(ISNUMBER(N355))),1,0)</x:f>
        <x:v>0</x:v>
      </x:c>
    </x:row>
    <x:row r="356" ht="48" customHeight="1">
      <x:c r="A356" s="2" t="str">
        <x:v>MAIN-347</x:v>
      </x:c>
      <x:c r="B356" s="2" t="str">
        <x:v>Main</x:v>
      </x:c>
      <x:c r="C356" s="2" t="str">
        <x:v>Mumbai</x:v>
      </x:c>
      <x:c r="D356" s="12" t="str">
        <x:v>Symphony IT Park (Redbrick Offices)</x:v>
      </x:c>
      <x:c r="E356" s="12" t="str">
        <x:v>32 inch LED TV</x:v>
      </x:c>
      <x:c r="F356" s="2" t="n">
        <x:v>1</x:v>
      </x:c>
      <x:c r="G356" s="2" t="n">
        <x:v>2</x:v>
      </x:c>
      <x:c r="H356" s="2" t="n">
        <x:f>COUNTIFS('Inventory'!$N$7:$N$783,A356,'Inventory'!$A$7:$A$783,1)</x:f>
        <x:v>1</x:v>
      </x:c>
      <x:c r="I356" s="2" t="n">
        <x:f>SUMIFS('Inventory'!$G$7:$G$783,'Inventory'!$N$7:$N$783,A356,'Inventory'!$A$7:$A$783,1)</x:f>
        <x:v>2</x:v>
      </x:c>
      <x:c r="J356" s="12" t="str">
        <x:v>Estimate: standard rate</x:v>
      </x:c>
      <x:c r="K356" s="17"/>
      <x:c r="L356" s="17" t="n">
        <x:f>$C$5</x:f>
        <x:v>12000</x:v>
      </x:c>
      <x:c r="M356" s="17"/>
      <x:c r="N356" s="19"/>
      <x:c r="O356" s="17" t="n">
        <x:f>IF(ISNUMBER(L356),G356*L356,IF(ISNUMBER(M356),M356,""))</x:f>
        <x:v>24000</x:v>
      </x:c>
      <x:c r="P356" s="17" t="n">
        <x:f>IF(ISNUMBER(K356),K356,IF(ISNUMBER(O356),O356,""))</x:f>
        <x:v>24000</x:v>
      </x:c>
      <x:c r="Q356" s="17" t="n">
        <x:f>IF(H356=0,0,IF(ISNUMBER(N356),N356,IF(N356="",IF(H356=F356,P356,""),"")))</x:f>
        <x:v>24000</x:v>
      </x:c>
      <x:c r="R356" s="17" t="n">
        <x:f>IF(ISNUMBER(Q356),ROUND(Q356*$C$4,2),"")</x:f>
        <x:v>4320</x:v>
      </x:c>
      <x:c r="S356" s="17" t="n">
        <x:f>IF(ISNUMBER(Q356),Q356+R356,"")</x:f>
        <x:v>28320</x:v>
      </x:c>
      <x:c r="T356" s="2" t="str">
        <x:f>IF(H356=0,"Not selected",IF(ISNUMBER(N356),"Quote entered",IF(N356&lt;&gt;"","Enter numeric quote",IF(H356=F356,IF(ISNUMBER(P356),"Complete unit","Price required"),"Partial package: price required"))))</x:f>
        <x:v>Complete unit</x:v>
      </x:c>
      <x:c r="U356" s="2" t="str">
        <x:v>TEN-652C71309085; TEN-7505CCD0823D; TEN-AAE414031EA7</x:v>
      </x:c>
      <x:c r="V356" s="2" t="str">
        <x:v>IT &amp; digital; Professional services</x:v>
      </x:c>
      <x:c r="W356" s="2" t="str">
        <x:v>Small-scale prospects</x:v>
      </x:c>
      <x:c r="X356" s="17" t="n">
        <x:f>IF(AND(H356=F356,NOT(ISNUMBER(N356)),N356="",ISNUMBER(K356)),K356,0)</x:f>
        <x:v>0</x:v>
      </x:c>
      <x:c r="Y356" s="17" t="n">
        <x:f>IF(AND(H356=F356,NOT(ISNUMBER(N356)),N356="",K356="",ISNUMBER(O356)),O356,0)</x:f>
        <x:v>24000</x:v>
      </x:c>
      <x:c r="Z356" s="17" t="n">
        <x:f>IF(AND(H356&gt;0,ISNUMBER(N356)),N356,0)</x:f>
        <x:v>0</x:v>
      </x:c>
      <x:c r="AA356" s="2" t="n">
        <x:f>IF(AND(H356&gt;0,N356="",NOT(ISNUMBER(Q356))),1,0)</x:f>
        <x:v>0</x:v>
      </x:c>
      <x:c r="AB356" s="2" t="n">
        <x:f>IF(AND(H356&gt;0,N356&lt;&gt;"",NOT(ISNUMBER(N356))),1,0)</x:f>
        <x:v>0</x:v>
      </x:c>
    </x:row>
    <x:row r="357" ht="48" customHeight="1">
      <x:c r="A357" s="2" t="str">
        <x:v>MAIN-348</x:v>
      </x:c>
      <x:c r="B357" s="2" t="str">
        <x:v>Main</x:v>
      </x:c>
      <x:c r="C357" s="2" t="str">
        <x:v>Mumbai</x:v>
      </x:c>
      <x:c r="D357" s="12" t="str">
        <x:v>TEX Centre (Redbrick Offices)</x:v>
      </x:c>
      <x:c r="E357" s="12" t="str">
        <x:v>32 inch LED TV</x:v>
      </x:c>
      <x:c r="F357" s="2" t="n">
        <x:v>1</x:v>
      </x:c>
      <x:c r="G357" s="2" t="n">
        <x:v>1</x:v>
      </x:c>
      <x:c r="H357" s="2" t="n">
        <x:f>COUNTIFS('Inventory'!$N$7:$N$783,A357,'Inventory'!$A$7:$A$783,1)</x:f>
        <x:v>1</x:v>
      </x:c>
      <x:c r="I357" s="2" t="n">
        <x:f>SUMIFS('Inventory'!$G$7:$G$783,'Inventory'!$N$7:$N$783,A357,'Inventory'!$A$7:$A$783,1)</x:f>
        <x:v>1</x:v>
      </x:c>
      <x:c r="J357" s="12" t="str">
        <x:v>Listed budget</x:v>
      </x:c>
      <x:c r="K357" s="17" t="n">
        <x:v>15000</x:v>
      </x:c>
      <x:c r="L357" s="17"/>
      <x:c r="M357" s="17"/>
      <x:c r="N357" s="19"/>
      <x:c r="O357" s="17" t="str">
        <x:f>IF(ISNUMBER(L357),G357*L357,IF(ISNUMBER(M357),M357,""))</x:f>
      </x:c>
      <x:c r="P357" s="17" t="n">
        <x:f>IF(ISNUMBER(K357),K357,IF(ISNUMBER(O357),O357,""))</x:f>
        <x:v>15000</x:v>
      </x:c>
      <x:c r="Q357" s="17" t="n">
        <x:f>IF(H357=0,0,IF(ISNUMBER(N357),N357,IF(N357="",IF(H357=F357,P357,""),"")))</x:f>
        <x:v>15000</x:v>
      </x:c>
      <x:c r="R357" s="17" t="n">
        <x:f>IF(ISNUMBER(Q357),ROUND(Q357*$C$4,2),"")</x:f>
        <x:v>2700</x:v>
      </x:c>
      <x:c r="S357" s="17" t="n">
        <x:f>IF(ISNUMBER(Q357),Q357+R357,"")</x:f>
        <x:v>17700</x:v>
      </x:c>
      <x:c r="T357" s="2" t="str">
        <x:f>IF(H357=0,"Not selected",IF(ISNUMBER(N357),"Quote entered",IF(N357&lt;&gt;"","Enter numeric quote",IF(H357=F357,IF(ISNUMBER(P357),"Complete unit","Price required"),"Partial package: price required"))))</x:f>
        <x:v>Complete unit</x:v>
      </x:c>
      <x:c r="U357" s="2" t="str">
        <x:v>TEN-773606B8B731; TEN-85F83B52EA01; TEN-950FC4DC0333; TEN-D50C629E9CEF; TEN-F37232276DC6</x:v>
      </x:c>
      <x:c r="V357" s="2" t="str">
        <x:v>Professional services; Engineering &amp; manufacturing; Healthcare &amp; life sciences; Trade, consumer &amp; logistics</x:v>
      </x:c>
      <x:c r="W357" s="2" t="str">
        <x:v>Small-scale prospects; Medium-scale prospects; Mixed business audience</x:v>
      </x:c>
      <x:c r="X357" s="17" t="n">
        <x:f>IF(AND(H357=F357,NOT(ISNUMBER(N357)),N357="",ISNUMBER(K357)),K357,0)</x:f>
        <x:v>15000</x:v>
      </x:c>
      <x:c r="Y357" s="17" t="n">
        <x:f>IF(AND(H357=F357,NOT(ISNUMBER(N357)),N357="",K357="",ISNUMBER(O357)),O357,0)</x:f>
        <x:v>0</x:v>
      </x:c>
      <x:c r="Z357" s="17" t="n">
        <x:f>IF(AND(H357&gt;0,ISNUMBER(N357)),N357,0)</x:f>
        <x:v>0</x:v>
      </x:c>
      <x:c r="AA357" s="2" t="n">
        <x:f>IF(AND(H357&gt;0,N357="",NOT(ISNUMBER(Q357))),1,0)</x:f>
        <x:v>0</x:v>
      </x:c>
      <x:c r="AB357" s="2" t="n">
        <x:f>IF(AND(H357&gt;0,N357&lt;&gt;"",NOT(ISNUMBER(N357))),1,0)</x:f>
        <x:v>0</x:v>
      </x:c>
    </x:row>
    <x:row r="358" ht="48" customHeight="1">
      <x:c r="A358" s="2" t="str">
        <x:v>MAIN-349</x:v>
      </x:c>
      <x:c r="B358" s="2" t="str">
        <x:v>Main</x:v>
      </x:c>
      <x:c r="C358" s="2" t="str">
        <x:v>Mumbai</x:v>
      </x:c>
      <x:c r="D358" s="12" t="str">
        <x:v>The Landmark - Kharghar</x:v>
      </x:c>
      <x:c r="E358" s="12" t="str">
        <x:v>32 inch LED TV</x:v>
      </x:c>
      <x:c r="F358" s="2" t="n">
        <x:v>1</x:v>
      </x:c>
      <x:c r="G358" s="2" t="n">
        <x:v>10</x:v>
      </x:c>
      <x:c r="H358" s="2" t="n">
        <x:f>COUNTIFS('Inventory'!$N$7:$N$783,A358,'Inventory'!$A$7:$A$783,1)</x:f>
        <x:v>1</x:v>
      </x:c>
      <x:c r="I358" s="2" t="n">
        <x:f>SUMIFS('Inventory'!$G$7:$G$783,'Inventory'!$N$7:$N$783,A358,'Inventory'!$A$7:$A$783,1)</x:f>
        <x:v>10</x:v>
      </x:c>
      <x:c r="J358" s="12" t="str">
        <x:v>Listed budget</x:v>
      </x:c>
      <x:c r="K358" s="17" t="n">
        <x:v>150000</x:v>
      </x:c>
      <x:c r="L358" s="17"/>
      <x:c r="M358" s="17"/>
      <x:c r="N358" s="19"/>
      <x:c r="O358" s="17" t="str">
        <x:f>IF(ISNUMBER(L358),G358*L358,IF(ISNUMBER(M358),M358,""))</x:f>
      </x:c>
      <x:c r="P358" s="17" t="n">
        <x:f>IF(ISNUMBER(K358),K358,IF(ISNUMBER(O358),O358,""))</x:f>
        <x:v>150000</x:v>
      </x:c>
      <x:c r="Q358" s="17" t="n">
        <x:f>IF(H358=0,0,IF(ISNUMBER(N358),N358,IF(N358="",IF(H358=F358,P358,""),"")))</x:f>
        <x:v>150000</x:v>
      </x:c>
      <x:c r="R358" s="17" t="n">
        <x:f>IF(ISNUMBER(Q358),ROUND(Q358*$C$4,2),"")</x:f>
        <x:v>27000</x:v>
      </x:c>
      <x:c r="S358" s="17" t="n">
        <x:f>IF(ISNUMBER(Q358),Q358+R358,"")</x:f>
        <x:v>177000</x:v>
      </x:c>
      <x:c r="T358" s="2" t="str">
        <x:f>IF(H358=0,"Not selected",IF(ISNUMBER(N358),"Quote entered",IF(N358&lt;&gt;"","Enter numeric quote",IF(H358=F358,IF(ISNUMBER(P358),"Complete unit","Price required"),"Partial package: price required"))))</x:f>
        <x:v>Complete unit</x:v>
      </x:c>
      <x:c r="U358" s="2" t="str">
        <x:v>TEN-0F0BA7A72DF3; TEN-3960A582F1CE; TEN-62CF3B92AF07</x:v>
      </x:c>
      <x:c r="V358" s="2" t="str">
        <x:v>Education; Trade, consumer &amp; logistics; Unresolved</x:v>
      </x:c>
      <x:c r="W358" s="2" t="str">
        <x:v>Small-scale prospects; Mixed business audience</x:v>
      </x:c>
      <x:c r="X358" s="17" t="n">
        <x:f>IF(AND(H358=F358,NOT(ISNUMBER(N358)),N358="",ISNUMBER(K358)),K358,0)</x:f>
        <x:v>150000</x:v>
      </x:c>
      <x:c r="Y358" s="17" t="n">
        <x:f>IF(AND(H358=F358,NOT(ISNUMBER(N358)),N358="",K358="",ISNUMBER(O358)),O358,0)</x:f>
        <x:v>0</x:v>
      </x:c>
      <x:c r="Z358" s="17" t="n">
        <x:f>IF(AND(H358&gt;0,ISNUMBER(N358)),N358,0)</x:f>
        <x:v>0</x:v>
      </x:c>
      <x:c r="AA358" s="2" t="n">
        <x:f>IF(AND(H358&gt;0,N358="",NOT(ISNUMBER(Q358))),1,0)</x:f>
        <x:v>0</x:v>
      </x:c>
      <x:c r="AB358" s="2" t="n">
        <x:f>IF(AND(H358&gt;0,N358&lt;&gt;"",NOT(ISNUMBER(N358))),1,0)</x:f>
        <x:v>0</x:v>
      </x:c>
    </x:row>
    <x:row r="359" ht="48" customHeight="1">
      <x:c r="A359" s="2" t="str">
        <x:v>MAIN-350</x:v>
      </x:c>
      <x:c r="B359" s="2" t="str">
        <x:v>Main</x:v>
      </x:c>
      <x:c r="C359" s="2" t="str">
        <x:v>Mumbai</x:v>
      </x:c>
      <x:c r="D359" s="12" t="str">
        <x:v>The Summit Business Park Premises</x:v>
      </x:c>
      <x:c r="E359" s="12" t="str">
        <x:v>32 inch LED TV</x:v>
      </x:c>
      <x:c r="F359" s="2" t="n">
        <x:v>1</x:v>
      </x:c>
      <x:c r="G359" s="2" t="n">
        <x:v>70</x:v>
      </x:c>
      <x:c r="H359" s="2" t="n">
        <x:f>COUNTIFS('Inventory'!$N$7:$N$783,A359,'Inventory'!$A$7:$A$783,1)</x:f>
        <x:v>1</x:v>
      </x:c>
      <x:c r="I359" s="2" t="n">
        <x:f>SUMIFS('Inventory'!$G$7:$G$783,'Inventory'!$N$7:$N$783,A359,'Inventory'!$A$7:$A$783,1)</x:f>
        <x:v>70</x:v>
      </x:c>
      <x:c r="J359" s="12" t="str">
        <x:v>Listed budget</x:v>
      </x:c>
      <x:c r="K359" s="17" t="n">
        <x:v>1050000</x:v>
      </x:c>
      <x:c r="L359" s="17"/>
      <x:c r="M359" s="17"/>
      <x:c r="N359" s="19"/>
      <x:c r="O359" s="17" t="str">
        <x:f>IF(ISNUMBER(L359),G359*L359,IF(ISNUMBER(M359),M359,""))</x:f>
      </x:c>
      <x:c r="P359" s="17" t="n">
        <x:f>IF(ISNUMBER(K359),K359,IF(ISNUMBER(O359),O359,""))</x:f>
        <x:v>1050000</x:v>
      </x:c>
      <x:c r="Q359" s="17" t="n">
        <x:f>IF(H359=0,0,IF(ISNUMBER(N359),N359,IF(N359="",IF(H359=F359,P359,""),"")))</x:f>
        <x:v>1050000</x:v>
      </x:c>
      <x:c r="R359" s="17" t="n">
        <x:f>IF(ISNUMBER(Q359),ROUND(Q359*$C$4,2),"")</x:f>
        <x:v>189000</x:v>
      </x:c>
      <x:c r="S359" s="17" t="n">
        <x:f>IF(ISNUMBER(Q359),Q359+R359,"")</x:f>
        <x:v>1239000</x:v>
      </x:c>
      <x:c r="T359" s="2" t="str">
        <x:f>IF(H359=0,"Not selected",IF(ISNUMBER(N359),"Quote entered",IF(N359&lt;&gt;"","Enter numeric quote",IF(H359=F359,IF(ISNUMBER(P359),"Complete unit","Price required"),"Partial package: price required"))))</x:f>
        <x:v>Complete unit</x:v>
      </x:c>
      <x:c r="U359" s="2" t="str">
        <x:v>TEN-0170851682E7; TEN-0294C6401D36; TEN-19546A6A3D52; TEN-40C5B64FE457; TEN-48FEE15EC13F; TEN-67F112877A5A; TEN-70E16A6A7C42; TEN-AC6537F236BF; TEN-B783B550E2C6; TEN-EA5C473E1C47; TEN-FF33B1F9D92F</x:v>
      </x:c>
      <x:c r="V359" s="2" t="str">
        <x:v>IT &amp; digital; Professional services; Finance &amp; insurance; Healthcare &amp; life sciences; Education; Trade, consumer &amp; logistics; Unresolved</x:v>
      </x:c>
      <x:c r="W359" s="2" t="str">
        <x:v>Small-scale prospects; Medium-scale prospects; Mixed business audience</x:v>
      </x:c>
      <x:c r="X359" s="17" t="n">
        <x:f>IF(AND(H359=F359,NOT(ISNUMBER(N359)),N359="",ISNUMBER(K359)),K359,0)</x:f>
        <x:v>1050000</x:v>
      </x:c>
      <x:c r="Y359" s="17" t="n">
        <x:f>IF(AND(H359=F359,NOT(ISNUMBER(N359)),N359="",K359="",ISNUMBER(O359)),O359,0)</x:f>
        <x:v>0</x:v>
      </x:c>
      <x:c r="Z359" s="17" t="n">
        <x:f>IF(AND(H359&gt;0,ISNUMBER(N359)),N359,0)</x:f>
        <x:v>0</x:v>
      </x:c>
      <x:c r="AA359" s="2" t="n">
        <x:f>IF(AND(H359&gt;0,N359="",NOT(ISNUMBER(Q359))),1,0)</x:f>
        <x:v>0</x:v>
      </x:c>
      <x:c r="AB359" s="2" t="n">
        <x:f>IF(AND(H359&gt;0,N359&lt;&gt;"",NOT(ISNUMBER(N359))),1,0)</x:f>
        <x:v>0</x:v>
      </x:c>
    </x:row>
    <x:row r="360" ht="48" customHeight="1">
      <x:c r="A360" s="2" t="str">
        <x:v>MAIN-351</x:v>
      </x:c>
      <x:c r="B360" s="2" t="str">
        <x:v>Main</x:v>
      </x:c>
      <x:c r="C360" s="2" t="str">
        <x:v>Mumbai</x:v>
      </x:c>
      <x:c r="D360" s="12" t="str">
        <x:v>The Western Edge 2</x:v>
      </x:c>
      <x:c r="E360" s="12" t="str">
        <x:v>32 inch LED TV</x:v>
      </x:c>
      <x:c r="F360" s="2" t="n">
        <x:v>1</x:v>
      </x:c>
      <x:c r="G360" s="2" t="n">
        <x:v>39</x:v>
      </x:c>
      <x:c r="H360" s="2" t="n">
        <x:f>COUNTIFS('Inventory'!$N$7:$N$783,A360,'Inventory'!$A$7:$A$783,1)</x:f>
        <x:v>1</x:v>
      </x:c>
      <x:c r="I360" s="2" t="n">
        <x:f>SUMIFS('Inventory'!$G$7:$G$783,'Inventory'!$N$7:$N$783,A360,'Inventory'!$A$7:$A$783,1)</x:f>
        <x:v>39</x:v>
      </x:c>
      <x:c r="J360" s="12" t="str">
        <x:v>Listed budget</x:v>
      </x:c>
      <x:c r="K360" s="17" t="n">
        <x:v>585000</x:v>
      </x:c>
      <x:c r="L360" s="17"/>
      <x:c r="M360" s="17"/>
      <x:c r="N360" s="19"/>
      <x:c r="O360" s="17" t="str">
        <x:f>IF(ISNUMBER(L360),G360*L360,IF(ISNUMBER(M360),M360,""))</x:f>
      </x:c>
      <x:c r="P360" s="17" t="n">
        <x:f>IF(ISNUMBER(K360),K360,IF(ISNUMBER(O360),O360,""))</x:f>
        <x:v>585000</x:v>
      </x:c>
      <x:c r="Q360" s="17" t="n">
        <x:f>IF(H360=0,0,IF(ISNUMBER(N360),N360,IF(N360="",IF(H360=F360,P360,""),"")))</x:f>
        <x:v>585000</x:v>
      </x:c>
      <x:c r="R360" s="17" t="n">
        <x:f>IF(ISNUMBER(Q360),ROUND(Q360*$C$4,2),"")</x:f>
        <x:v>105300</x:v>
      </x:c>
      <x:c r="S360" s="17" t="n">
        <x:f>IF(ISNUMBER(Q360),Q360+R360,"")</x:f>
        <x:v>690300</x:v>
      </x:c>
      <x:c r="T360" s="2" t="str">
        <x:f>IF(H360=0,"Not selected",IF(ISNUMBER(N360),"Quote entered",IF(N360&lt;&gt;"","Enter numeric quote",IF(H360=F360,IF(ISNUMBER(P360),"Complete unit","Price required"),"Partial package: price required"))))</x:f>
        <x:v>Complete unit</x:v>
      </x:c>
      <x:c r="U360" s="2" t="str">
        <x:v>TEN-33E6C4FE4E0A; TEN-5EB8C702BE35; TEN-63A06480467E; TEN-6AE306FD3DA9; TEN-9366394BE9A7; TEN-AF407DAC656E; TEN-C9A41E937F53; TEN-CAF0DEEE6D40; TEN-CD777AFE8002; TEN-D010DD4A03E6; TEN-D6F3D69FDAC8</x:v>
      </x:c>
      <x:c r="V360" s="2" t="str">
        <x:v>Finance &amp; insurance; Engineering &amp; manufacturing; Healthcare &amp; life sciences; Education; Trade, consumer &amp; logistics; Unresolved</x:v>
      </x:c>
      <x:c r="W360" s="2" t="str">
        <x:v>Small-scale prospects; Medium-scale prospects; Large enterprise; Mixed business audience</x:v>
      </x:c>
      <x:c r="X360" s="17" t="n">
        <x:f>IF(AND(H360=F360,NOT(ISNUMBER(N360)),N360="",ISNUMBER(K360)),K360,0)</x:f>
        <x:v>585000</x:v>
      </x:c>
      <x:c r="Y360" s="17" t="n">
        <x:f>IF(AND(H360=F360,NOT(ISNUMBER(N360)),N360="",K360="",ISNUMBER(O360)),O360,0)</x:f>
        <x:v>0</x:v>
      </x:c>
      <x:c r="Z360" s="17" t="n">
        <x:f>IF(AND(H360&gt;0,ISNUMBER(N360)),N360,0)</x:f>
        <x:v>0</x:v>
      </x:c>
      <x:c r="AA360" s="2" t="n">
        <x:f>IF(AND(H360&gt;0,N360="",NOT(ISNUMBER(Q360))),1,0)</x:f>
        <x:v>0</x:v>
      </x:c>
      <x:c r="AB360" s="2" t="n">
        <x:f>IF(AND(H360&gt;0,N360&lt;&gt;"",NOT(ISNUMBER(N360))),1,0)</x:f>
        <x:v>0</x:v>
      </x:c>
    </x:row>
    <x:row r="361" ht="48" customHeight="1">
      <x:c r="A361" s="2" t="str">
        <x:v>MAIN-352</x:v>
      </x:c>
      <x:c r="B361" s="2" t="str">
        <x:v>Main</x:v>
      </x:c>
      <x:c r="C361" s="2" t="str">
        <x:v>Mumbai</x:v>
      </x:c>
      <x:c r="D361" s="12" t="str">
        <x:v>Times Square Tech Park</x:v>
      </x:c>
      <x:c r="E361" s="12" t="str">
        <x:v>43 inch LED TV</x:v>
      </x:c>
      <x:c r="F361" s="2" t="n">
        <x:v>1</x:v>
      </x:c>
      <x:c r="G361" s="2" t="n">
        <x:v>4</x:v>
      </x:c>
      <x:c r="H361" s="2" t="n">
        <x:f>COUNTIFS('Inventory'!$N$7:$N$783,A361,'Inventory'!$A$7:$A$783,1)</x:f>
        <x:v>1</x:v>
      </x:c>
      <x:c r="I361" s="2" t="n">
        <x:f>SUMIFS('Inventory'!$G$7:$G$783,'Inventory'!$N$7:$N$783,A361,'Inventory'!$A$7:$A$783,1)</x:f>
        <x:v>4</x:v>
      </x:c>
      <x:c r="J361" s="12" t="str">
        <x:v>Campaign format rate</x:v>
      </x:c>
      <x:c r="K361" s="17"/>
      <x:c r="L361" s="17" t="n">
        <x:f>$E$5</x:f>
        <x:v>20000</x:v>
      </x:c>
      <x:c r="M361" s="17"/>
      <x:c r="N361" s="19"/>
      <x:c r="O361" s="17" t="n">
        <x:f>IF(ISNUMBER(L361),G361*L361,IF(ISNUMBER(M361),M361,""))</x:f>
        <x:v>80000</x:v>
      </x:c>
      <x:c r="P361" s="17" t="n">
        <x:f>IF(ISNUMBER(K361),K361,IF(ISNUMBER(O361),O361,""))</x:f>
        <x:v>80000</x:v>
      </x:c>
      <x:c r="Q361" s="17" t="n">
        <x:f>IF(H361=0,0,IF(ISNUMBER(N361),N361,IF(N361="",IF(H361=F361,P361,""),"")))</x:f>
        <x:v>80000</x:v>
      </x:c>
      <x:c r="R361" s="17" t="n">
        <x:f>IF(ISNUMBER(Q361),ROUND(Q361*$C$4,2),"")</x:f>
        <x:v>14400</x:v>
      </x:c>
      <x:c r="S361" s="17" t="n">
        <x:f>IF(ISNUMBER(Q361),Q361+R361,"")</x:f>
        <x:v>94400</x:v>
      </x:c>
      <x:c r="T361" s="2" t="str">
        <x:f>IF(H361=0,"Not selected",IF(ISNUMBER(N361),"Quote entered",IF(N361&lt;&gt;"","Enter numeric quote",IF(H361=F361,IF(ISNUMBER(P361),"Complete unit","Price required"),"Partial package: price required"))))</x:f>
        <x:v>Complete unit</x:v>
      </x:c>
      <x:c r="U361" s="2" t="str">
        <x:v>TEN-0446C1106A93; TEN-70570D313277; TEN-8A7939DD00E0; TEN-C3DB07F84AD2; TEN-CEDC7C952F52; TEN-E443E35E8926; TEN-FADB5FECC373</x:v>
      </x:c>
      <x:c r="V361" s="2" t="str">
        <x:v>Finance &amp; insurance; Engineering &amp; manufacturing; Healthcare &amp; life sciences; Education; Trade, consumer &amp; logistics</x:v>
      </x:c>
      <x:c r="W361" s="2" t="str">
        <x:v>Small-scale prospects; Medium-scale prospects; Large enterprise; Mixed business audience</x:v>
      </x:c>
      <x:c r="X361" s="17" t="n">
        <x:f>IF(AND(H361=F361,NOT(ISNUMBER(N361)),N361="",ISNUMBER(K361)),K361,0)</x:f>
        <x:v>0</x:v>
      </x:c>
      <x:c r="Y361" s="17" t="n">
        <x:f>IF(AND(H361=F361,NOT(ISNUMBER(N361)),N361="",K361="",ISNUMBER(O361)),O361,0)</x:f>
        <x:v>80000</x:v>
      </x:c>
      <x:c r="Z361" s="17" t="n">
        <x:f>IF(AND(H361&gt;0,ISNUMBER(N361)),N361,0)</x:f>
        <x:v>0</x:v>
      </x:c>
      <x:c r="AA361" s="2" t="n">
        <x:f>IF(AND(H361&gt;0,N361="",NOT(ISNUMBER(Q361))),1,0)</x:f>
        <x:v>0</x:v>
      </x:c>
      <x:c r="AB361" s="2" t="n">
        <x:f>IF(AND(H361&gt;0,N361&lt;&gt;"",NOT(ISNUMBER(N361))),1,0)</x:f>
        <x:v>0</x:v>
      </x:c>
    </x:row>
    <x:row r="362" ht="48" customHeight="1">
      <x:c r="A362" s="2" t="str">
        <x:v>MAIN-353</x:v>
      </x:c>
      <x:c r="B362" s="2" t="str">
        <x:v>Main</x:v>
      </x:c>
      <x:c r="C362" s="2" t="str">
        <x:v>Mumbai</x:v>
      </x:c>
      <x:c r="D362" s="12" t="str">
        <x:v>WeWork - BKC</x:v>
      </x:c>
      <x:c r="E362" s="12" t="str">
        <x:v>43 inch LED TV</x:v>
      </x:c>
      <x:c r="F362" s="2" t="n">
        <x:v>1</x:v>
      </x:c>
      <x:c r="G362" s="2" t="n">
        <x:v>17</x:v>
      </x:c>
      <x:c r="H362" s="2" t="n">
        <x:f>COUNTIFS('Inventory'!$N$7:$N$783,A362,'Inventory'!$A$7:$A$783,1)</x:f>
        <x:v>1</x:v>
      </x:c>
      <x:c r="I362" s="2" t="n">
        <x:f>SUMIFS('Inventory'!$G$7:$G$783,'Inventory'!$N$7:$N$783,A362,'Inventory'!$A$7:$A$783,1)</x:f>
        <x:v>17</x:v>
      </x:c>
      <x:c r="J362" s="12" t="str">
        <x:v>Campaign format rate</x:v>
      </x:c>
      <x:c r="K362" s="17"/>
      <x:c r="L362" s="17" t="n">
        <x:f>$G$5</x:f>
        <x:v>25000</x:v>
      </x:c>
      <x:c r="M362" s="17"/>
      <x:c r="N362" s="19"/>
      <x:c r="O362" s="17" t="n">
        <x:f>IF(ISNUMBER(L362),G362*L362,IF(ISNUMBER(M362),M362,""))</x:f>
        <x:v>425000</x:v>
      </x:c>
      <x:c r="P362" s="17" t="n">
        <x:f>IF(ISNUMBER(K362),K362,IF(ISNUMBER(O362),O362,""))</x:f>
        <x:v>425000</x:v>
      </x:c>
      <x:c r="Q362" s="17" t="n">
        <x:f>IF(H362=0,0,IF(ISNUMBER(N362),N362,IF(N362="",IF(H362=F362,P362,""),"")))</x:f>
        <x:v>425000</x:v>
      </x:c>
      <x:c r="R362" s="17" t="n">
        <x:f>IF(ISNUMBER(Q362),ROUND(Q362*$C$4,2),"")</x:f>
        <x:v>76500</x:v>
      </x:c>
      <x:c r="S362" s="17" t="n">
        <x:f>IF(ISNUMBER(Q362),Q362+R362,"")</x:f>
        <x:v>501500</x:v>
      </x:c>
      <x:c r="T362" s="2" t="str">
        <x:f>IF(H362=0,"Not selected",IF(ISNUMBER(N362),"Quote entered",IF(N362&lt;&gt;"","Enter numeric quote",IF(H362=F362,IF(ISNUMBER(P362),"Complete unit","Price required"),"Partial package: price required"))))</x:f>
        <x:v>Complete unit</x:v>
      </x:c>
      <x:c r="U362" s="2" t="str">
        <x:v>TEN-10D01265A325; TEN-2E1662BB6811; TEN-40C9B208C300; TEN-4A3F94504EB7; TEN-A8C0A50B8328; TEN-D73ADB1D6681</x:v>
      </x:c>
      <x:c r="V362" s="2" t="str">
        <x:v>IT &amp; digital; Professional services; Education; Unresolved</x:v>
      </x:c>
      <x:c r="W362" s="2" t="str">
        <x:v>Small-scale prospects; Mixed business audience</x:v>
      </x:c>
      <x:c r="X362" s="17" t="n">
        <x:f>IF(AND(H362=F362,NOT(ISNUMBER(N362)),N362="",ISNUMBER(K362)),K362,0)</x:f>
        <x:v>0</x:v>
      </x:c>
      <x:c r="Y362" s="17" t="n">
        <x:f>IF(AND(H362=F362,NOT(ISNUMBER(N362)),N362="",K362="",ISNUMBER(O362)),O362,0)</x:f>
        <x:v>425000</x:v>
      </x:c>
      <x:c r="Z362" s="17" t="n">
        <x:f>IF(AND(H362&gt;0,ISNUMBER(N362)),N362,0)</x:f>
        <x:v>0</x:v>
      </x:c>
      <x:c r="AA362" s="2" t="n">
        <x:f>IF(AND(H362&gt;0,N362="",NOT(ISNUMBER(Q362))),1,0)</x:f>
        <x:v>0</x:v>
      </x:c>
      <x:c r="AB362" s="2" t="n">
        <x:f>IF(AND(H362&gt;0,N362&lt;&gt;"",NOT(ISNUMBER(N362))),1,0)</x:f>
        <x:v>0</x:v>
      </x:c>
    </x:row>
    <x:row r="363" ht="48" customHeight="1">
      <x:c r="A363" s="2" t="str">
        <x:v>MAIN-354</x:v>
      </x:c>
      <x:c r="B363" s="2" t="str">
        <x:v>Main</x:v>
      </x:c>
      <x:c r="C363" s="2" t="str">
        <x:v>Mumbai</x:v>
      </x:c>
      <x:c r="D363" s="12" t="str">
        <x:v>Wework - Express Tower</x:v>
      </x:c>
      <x:c r="E363" s="12" t="str">
        <x:v>43 inch LED TV</x:v>
      </x:c>
      <x:c r="F363" s="2" t="n">
        <x:v>1</x:v>
      </x:c>
      <x:c r="G363" s="2" t="n">
        <x:v>1</x:v>
      </x:c>
      <x:c r="H363" s="2" t="n">
        <x:f>COUNTIFS('Inventory'!$N$7:$N$783,A363,'Inventory'!$A$7:$A$783,1)</x:f>
        <x:v>1</x:v>
      </x:c>
      <x:c r="I363" s="2" t="n">
        <x:f>SUMIFS('Inventory'!$G$7:$G$783,'Inventory'!$N$7:$N$783,A363,'Inventory'!$A$7:$A$783,1)</x:f>
        <x:v>1</x:v>
      </x:c>
      <x:c r="J363" s="12" t="str">
        <x:v>Campaign format rate</x:v>
      </x:c>
      <x:c r="K363" s="17"/>
      <x:c r="L363" s="17" t="n">
        <x:f>$G$5</x:f>
        <x:v>25000</x:v>
      </x:c>
      <x:c r="M363" s="17"/>
      <x:c r="N363" s="19"/>
      <x:c r="O363" s="17" t="n">
        <x:f>IF(ISNUMBER(L363),G363*L363,IF(ISNUMBER(M363),M363,""))</x:f>
        <x:v>25000</x:v>
      </x:c>
      <x:c r="P363" s="17" t="n">
        <x:f>IF(ISNUMBER(K363),K363,IF(ISNUMBER(O363),O363,""))</x:f>
        <x:v>25000</x:v>
      </x:c>
      <x:c r="Q363" s="17" t="n">
        <x:f>IF(H363=0,0,IF(ISNUMBER(N363),N363,IF(N363="",IF(H363=F363,P363,""),"")))</x:f>
        <x:v>25000</x:v>
      </x:c>
      <x:c r="R363" s="17" t="n">
        <x:f>IF(ISNUMBER(Q363),ROUND(Q363*$C$4,2),"")</x:f>
        <x:v>4500</x:v>
      </x:c>
      <x:c r="S363" s="17" t="n">
        <x:f>IF(ISNUMBER(Q363),Q363+R363,"")</x:f>
        <x:v>29500</x:v>
      </x:c>
      <x:c r="T363" s="2" t="str">
        <x:f>IF(H363=0,"Not selected",IF(ISNUMBER(N363),"Quote entered",IF(N363&lt;&gt;"","Enter numeric quote",IF(H363=F363,IF(ISNUMBER(P363),"Complete unit","Price required"),"Partial package: price required"))))</x:f>
        <x:v>Complete unit</x:v>
      </x:c>
      <x:c r="U363" s="2" t="str">
        <x:v>TEN-A95540D918DF; TEN-B70A5DB4FE8D</x:v>
      </x:c>
      <x:c r="V363" s="2" t="str">
        <x:v>Trade, consumer &amp; logistics; Government &amp; nonprofit</x:v>
      </x:c>
      <x:c r="W363" s="2" t="str">
        <x:v>Large enterprise; Institutional</x:v>
      </x:c>
      <x:c r="X363" s="17" t="n">
        <x:f>IF(AND(H363=F363,NOT(ISNUMBER(N363)),N363="",ISNUMBER(K363)),K363,0)</x:f>
        <x:v>0</x:v>
      </x:c>
      <x:c r="Y363" s="17" t="n">
        <x:f>IF(AND(H363=F363,NOT(ISNUMBER(N363)),N363="",K363="",ISNUMBER(O363)),O363,0)</x:f>
        <x:v>25000</x:v>
      </x:c>
      <x:c r="Z363" s="17" t="n">
        <x:f>IF(AND(H363&gt;0,ISNUMBER(N363)),N363,0)</x:f>
        <x:v>0</x:v>
      </x:c>
      <x:c r="AA363" s="2" t="n">
        <x:f>IF(AND(H363&gt;0,N363="",NOT(ISNUMBER(Q363))),1,0)</x:f>
        <x:v>0</x:v>
      </x:c>
      <x:c r="AB363" s="2" t="n">
        <x:f>IF(AND(H363&gt;0,N363&lt;&gt;"",NOT(ISNUMBER(N363))),1,0)</x:f>
        <x:v>0</x:v>
      </x:c>
    </x:row>
    <x:row r="364" ht="48" customHeight="1">
      <x:c r="A364" s="2" t="str">
        <x:v>MAIN-355</x:v>
      </x:c>
      <x:c r="B364" s="2" t="str">
        <x:v>Main</x:v>
      </x:c>
      <x:c r="C364" s="2" t="str">
        <x:v>Mumbai</x:v>
      </x:c>
      <x:c r="D364" s="12" t="str">
        <x:v>WeWork - Nesco IT Park</x:v>
      </x:c>
      <x:c r="E364" s="12" t="str">
        <x:v>43 inch LED TV</x:v>
      </x:c>
      <x:c r="F364" s="2" t="n">
        <x:v>1</x:v>
      </x:c>
      <x:c r="G364" s="2" t="n">
        <x:v>4</x:v>
      </x:c>
      <x:c r="H364" s="2" t="n">
        <x:f>COUNTIFS('Inventory'!$N$7:$N$783,A364,'Inventory'!$A$7:$A$783,1)</x:f>
        <x:v>1</x:v>
      </x:c>
      <x:c r="I364" s="2" t="n">
        <x:f>SUMIFS('Inventory'!$G$7:$G$783,'Inventory'!$N$7:$N$783,A364,'Inventory'!$A$7:$A$783,1)</x:f>
        <x:v>4</x:v>
      </x:c>
      <x:c r="J364" s="12" t="str">
        <x:v>Campaign format rate</x:v>
      </x:c>
      <x:c r="K364" s="17"/>
      <x:c r="L364" s="17" t="n">
        <x:f>$G$5</x:f>
        <x:v>25000</x:v>
      </x:c>
      <x:c r="M364" s="17"/>
      <x:c r="N364" s="19"/>
      <x:c r="O364" s="17" t="n">
        <x:f>IF(ISNUMBER(L364),G364*L364,IF(ISNUMBER(M364),M364,""))</x:f>
        <x:v>100000</x:v>
      </x:c>
      <x:c r="P364" s="17" t="n">
        <x:f>IF(ISNUMBER(K364),K364,IF(ISNUMBER(O364),O364,""))</x:f>
        <x:v>100000</x:v>
      </x:c>
      <x:c r="Q364" s="17" t="n">
        <x:f>IF(H364=0,0,IF(ISNUMBER(N364),N364,IF(N364="",IF(H364=F364,P364,""),"")))</x:f>
        <x:v>100000</x:v>
      </x:c>
      <x:c r="R364" s="17" t="n">
        <x:f>IF(ISNUMBER(Q364),ROUND(Q364*$C$4,2),"")</x:f>
        <x:v>18000</x:v>
      </x:c>
      <x:c r="S364" s="17" t="n">
        <x:f>IF(ISNUMBER(Q364),Q364+R364,"")</x:f>
        <x:v>118000</x:v>
      </x:c>
      <x:c r="T364" s="2" t="str">
        <x:f>IF(H364=0,"Not selected",IF(ISNUMBER(N364),"Quote entered",IF(N364&lt;&gt;"","Enter numeric quote",IF(H364=F364,IF(ISNUMBER(P364),"Complete unit","Price required"),"Partial package: price required"))))</x:f>
        <x:v>Complete unit</x:v>
      </x:c>
      <x:c r="U364" s="2" t="str">
        <x:v>TEN-344BFF8B2788; TEN-A07443C67004</x:v>
      </x:c>
      <x:c r="V364" s="2" t="str">
        <x:v>Professional services; Trade, consumer &amp; logistics</x:v>
      </x:c>
      <x:c r="W364" s="2" t="str">
        <x:v>Large enterprise; Mixed business audience</x:v>
      </x:c>
      <x:c r="X364" s="17" t="n">
        <x:f>IF(AND(H364=F364,NOT(ISNUMBER(N364)),N364="",ISNUMBER(K364)),K364,0)</x:f>
        <x:v>0</x:v>
      </x:c>
      <x:c r="Y364" s="17" t="n">
        <x:f>IF(AND(H364=F364,NOT(ISNUMBER(N364)),N364="",K364="",ISNUMBER(O364)),O364,0)</x:f>
        <x:v>100000</x:v>
      </x:c>
      <x:c r="Z364" s="17" t="n">
        <x:f>IF(AND(H364&gt;0,ISNUMBER(N364)),N364,0)</x:f>
        <x:v>0</x:v>
      </x:c>
      <x:c r="AA364" s="2" t="n">
        <x:f>IF(AND(H364&gt;0,N364="",NOT(ISNUMBER(Q364))),1,0)</x:f>
        <x:v>0</x:v>
      </x:c>
      <x:c r="AB364" s="2" t="n">
        <x:f>IF(AND(H364&gt;0,N364&lt;&gt;"",NOT(ISNUMBER(N364))),1,0)</x:f>
        <x:v>0</x:v>
      </x:c>
    </x:row>
    <x:row r="365" ht="48" customHeight="1">
      <x:c r="A365" s="2" t="str">
        <x:v>MAIN-356</x:v>
      </x:c>
      <x:c r="B365" s="2" t="str">
        <x:v>Main</x:v>
      </x:c>
      <x:c r="C365" s="2" t="str">
        <x:v>Mumbai</x:v>
      </x:c>
      <x:c r="D365" s="12" t="str">
        <x:v>WeWork - Oberoi Commerz</x:v>
      </x:c>
      <x:c r="E365" s="12" t="str">
        <x:v>43 inch LED TV</x:v>
      </x:c>
      <x:c r="F365" s="2" t="n">
        <x:v>1</x:v>
      </x:c>
      <x:c r="G365" s="2" t="n">
        <x:v>8</x:v>
      </x:c>
      <x:c r="H365" s="2" t="n">
        <x:f>COUNTIFS('Inventory'!$N$7:$N$783,A365,'Inventory'!$A$7:$A$783,1)</x:f>
        <x:v>1</x:v>
      </x:c>
      <x:c r="I365" s="2" t="n">
        <x:f>SUMIFS('Inventory'!$G$7:$G$783,'Inventory'!$N$7:$N$783,A365,'Inventory'!$A$7:$A$783,1)</x:f>
        <x:v>8</x:v>
      </x:c>
      <x:c r="J365" s="12" t="str">
        <x:v>Campaign format rate</x:v>
      </x:c>
      <x:c r="K365" s="17"/>
      <x:c r="L365" s="17" t="n">
        <x:f>$G$5</x:f>
        <x:v>25000</x:v>
      </x:c>
      <x:c r="M365" s="17"/>
      <x:c r="N365" s="19"/>
      <x:c r="O365" s="17" t="n">
        <x:f>IF(ISNUMBER(L365),G365*L365,IF(ISNUMBER(M365),M365,""))</x:f>
        <x:v>200000</x:v>
      </x:c>
      <x:c r="P365" s="17" t="n">
        <x:f>IF(ISNUMBER(K365),K365,IF(ISNUMBER(O365),O365,""))</x:f>
        <x:v>200000</x:v>
      </x:c>
      <x:c r="Q365" s="17" t="n">
        <x:f>IF(H365=0,0,IF(ISNUMBER(N365),N365,IF(N365="",IF(H365=F365,P365,""),"")))</x:f>
        <x:v>200000</x:v>
      </x:c>
      <x:c r="R365" s="17" t="n">
        <x:f>IF(ISNUMBER(Q365),ROUND(Q365*$C$4,2),"")</x:f>
        <x:v>36000</x:v>
      </x:c>
      <x:c r="S365" s="17" t="n">
        <x:f>IF(ISNUMBER(Q365),Q365+R365,"")</x:f>
        <x:v>236000</x:v>
      </x:c>
      <x:c r="T365" s="2" t="str">
        <x:f>IF(H365=0,"Not selected",IF(ISNUMBER(N365),"Quote entered",IF(N365&lt;&gt;"","Enter numeric quote",IF(H365=F365,IF(ISNUMBER(P365),"Complete unit","Price required"),"Partial package: price required"))))</x:f>
        <x:v>Complete unit</x:v>
      </x:c>
      <x:c r="U365" s="2" t="str">
        <x:v>TEN-263FF83A24E8; TEN-2D3A352738FE; TEN-999743C47BE0; TEN-9C74E7799258; TEN-B8183D6109C1; TEN-F6F0CA999510</x:v>
      </x:c>
      <x:c r="V365" s="2" t="str">
        <x:v>Professional services; Finance &amp; insurance; Trade, consumer &amp; logistics; Unresolved</x:v>
      </x:c>
      <x:c r="W365" s="2" t="str">
        <x:v>Small-scale prospects; Mixed business audience</x:v>
      </x:c>
      <x:c r="X365" s="17" t="n">
        <x:f>IF(AND(H365=F365,NOT(ISNUMBER(N365)),N365="",ISNUMBER(K365)),K365,0)</x:f>
        <x:v>0</x:v>
      </x:c>
      <x:c r="Y365" s="17" t="n">
        <x:f>IF(AND(H365=F365,NOT(ISNUMBER(N365)),N365="",K365="",ISNUMBER(O365)),O365,0)</x:f>
        <x:v>200000</x:v>
      </x:c>
      <x:c r="Z365" s="17" t="n">
        <x:f>IF(AND(H365&gt;0,ISNUMBER(N365)),N365,0)</x:f>
        <x:v>0</x:v>
      </x:c>
      <x:c r="AA365" s="2" t="n">
        <x:f>IF(AND(H365&gt;0,N365="",NOT(ISNUMBER(Q365))),1,0)</x:f>
        <x:v>0</x:v>
      </x:c>
      <x:c r="AB365" s="2" t="n">
        <x:f>IF(AND(H365&gt;0,N365&lt;&gt;"",NOT(ISNUMBER(N365))),1,0)</x:f>
        <x:v>0</x:v>
      </x:c>
    </x:row>
    <x:row r="366" ht="48" customHeight="1">
      <x:c r="A366" s="2" t="str">
        <x:v>MAIN-357</x:v>
      </x:c>
      <x:c r="B366" s="2" t="str">
        <x:v>Main</x:v>
      </x:c>
      <x:c r="C366" s="2" t="str">
        <x:v>Mumbai</x:v>
      </x:c>
      <x:c r="D366" s="12" t="str">
        <x:v>Wework - Raheja Platinum</x:v>
      </x:c>
      <x:c r="E366" s="12" t="str">
        <x:v>43 inch LED TV</x:v>
      </x:c>
      <x:c r="F366" s="2" t="n">
        <x:v>1</x:v>
      </x:c>
      <x:c r="G366" s="2" t="n">
        <x:v>19</x:v>
      </x:c>
      <x:c r="H366" s="2" t="n">
        <x:f>COUNTIFS('Inventory'!$N$7:$N$783,A366,'Inventory'!$A$7:$A$783,1)</x:f>
        <x:v>1</x:v>
      </x:c>
      <x:c r="I366" s="2" t="n">
        <x:f>SUMIFS('Inventory'!$G$7:$G$783,'Inventory'!$N$7:$N$783,A366,'Inventory'!$A$7:$A$783,1)</x:f>
        <x:v>19</x:v>
      </x:c>
      <x:c r="J366" s="12" t="str">
        <x:v>Campaign format rate</x:v>
      </x:c>
      <x:c r="K366" s="17"/>
      <x:c r="L366" s="17" t="n">
        <x:f>$G$5</x:f>
        <x:v>25000</x:v>
      </x:c>
      <x:c r="M366" s="17"/>
      <x:c r="N366" s="19"/>
      <x:c r="O366" s="17" t="n">
        <x:f>IF(ISNUMBER(L366),G366*L366,IF(ISNUMBER(M366),M366,""))</x:f>
        <x:v>475000</x:v>
      </x:c>
      <x:c r="P366" s="17" t="n">
        <x:f>IF(ISNUMBER(K366),K366,IF(ISNUMBER(O366),O366,""))</x:f>
        <x:v>475000</x:v>
      </x:c>
      <x:c r="Q366" s="17" t="n">
        <x:f>IF(H366=0,0,IF(ISNUMBER(N366),N366,IF(N366="",IF(H366=F366,P366,""),"")))</x:f>
        <x:v>475000</x:v>
      </x:c>
      <x:c r="R366" s="17" t="n">
        <x:f>IF(ISNUMBER(Q366),ROUND(Q366*$C$4,2),"")</x:f>
        <x:v>85500</x:v>
      </x:c>
      <x:c r="S366" s="17" t="n">
        <x:f>IF(ISNUMBER(Q366),Q366+R366,"")</x:f>
        <x:v>560500</x:v>
      </x:c>
      <x:c r="T366" s="2" t="str">
        <x:f>IF(H366=0,"Not selected",IF(ISNUMBER(N366),"Quote entered",IF(N366&lt;&gt;"","Enter numeric quote",IF(H366=F366,IF(ISNUMBER(P366),"Complete unit","Price required"),"Partial package: price required"))))</x:f>
        <x:v>Complete unit</x:v>
      </x:c>
      <x:c r="U366" s="2" t="str">
        <x:v>TEN-5E520C1DF23A; TEN-6B2B539857F5; TEN-7691050A7104; TEN-FE37A1FFE9AC; TEN-FFCF2D2DD7B5</x:v>
      </x:c>
      <x:c r="V366" s="2" t="str">
        <x:v>IT &amp; digital; Professional services; Finance &amp; insurance; Engineering &amp; manufacturing; Trade, consumer &amp; logistics</x:v>
      </x:c>
      <x:c r="W366" s="2" t="str">
        <x:v>Small-scale prospects; Medium-scale prospects; Mixed business audience</x:v>
      </x:c>
      <x:c r="X366" s="17" t="n">
        <x:f>IF(AND(H366=F366,NOT(ISNUMBER(N366)),N366="",ISNUMBER(K366)),K366,0)</x:f>
        <x:v>0</x:v>
      </x:c>
      <x:c r="Y366" s="17" t="n">
        <x:f>IF(AND(H366=F366,NOT(ISNUMBER(N366)),N366="",K366="",ISNUMBER(O366)),O366,0)</x:f>
        <x:v>475000</x:v>
      </x:c>
      <x:c r="Z366" s="17" t="n">
        <x:f>IF(AND(H366&gt;0,ISNUMBER(N366)),N366,0)</x:f>
        <x:v>0</x:v>
      </x:c>
      <x:c r="AA366" s="2" t="n">
        <x:f>IF(AND(H366&gt;0,N366="",NOT(ISNUMBER(Q366))),1,0)</x:f>
        <x:v>0</x:v>
      </x:c>
      <x:c r="AB366" s="2" t="n">
        <x:f>IF(AND(H366&gt;0,N366&lt;&gt;"",NOT(ISNUMBER(N366))),1,0)</x:f>
        <x:v>0</x:v>
      </x:c>
    </x:row>
    <x:row r="367" ht="48" customHeight="1">
      <x:c r="A367" s="2" t="str">
        <x:v>MAIN-358</x:v>
      </x:c>
      <x:c r="B367" s="2" t="str">
        <x:v>Main</x:v>
      </x:c>
      <x:c r="C367" s="2" t="str">
        <x:v>Mumbai</x:v>
      </x:c>
      <x:c r="D367" s="12" t="str">
        <x:v>WeWork - Spectrum</x:v>
      </x:c>
      <x:c r="E367" s="12" t="str">
        <x:v>43 inch LED TV</x:v>
      </x:c>
      <x:c r="F367" s="2" t="n">
        <x:v>1</x:v>
      </x:c>
      <x:c r="G367" s="2" t="n">
        <x:v>8</x:v>
      </x:c>
      <x:c r="H367" s="2" t="n">
        <x:f>COUNTIFS('Inventory'!$N$7:$N$783,A367,'Inventory'!$A$7:$A$783,1)</x:f>
        <x:v>1</x:v>
      </x:c>
      <x:c r="I367" s="2" t="n">
        <x:f>SUMIFS('Inventory'!$G$7:$G$783,'Inventory'!$N$7:$N$783,A367,'Inventory'!$A$7:$A$783,1)</x:f>
        <x:v>8</x:v>
      </x:c>
      <x:c r="J367" s="12" t="str">
        <x:v>Campaign format rate</x:v>
      </x:c>
      <x:c r="K367" s="17"/>
      <x:c r="L367" s="17" t="n">
        <x:f>$G$5</x:f>
        <x:v>25000</x:v>
      </x:c>
      <x:c r="M367" s="17"/>
      <x:c r="N367" s="19"/>
      <x:c r="O367" s="17" t="n">
        <x:f>IF(ISNUMBER(L367),G367*L367,IF(ISNUMBER(M367),M367,""))</x:f>
        <x:v>200000</x:v>
      </x:c>
      <x:c r="P367" s="17" t="n">
        <x:f>IF(ISNUMBER(K367),K367,IF(ISNUMBER(O367),O367,""))</x:f>
        <x:v>200000</x:v>
      </x:c>
      <x:c r="Q367" s="17" t="n">
        <x:f>IF(H367=0,0,IF(ISNUMBER(N367),N367,IF(N367="",IF(H367=F367,P367,""),"")))</x:f>
        <x:v>200000</x:v>
      </x:c>
      <x:c r="R367" s="17" t="n">
        <x:f>IF(ISNUMBER(Q367),ROUND(Q367*$C$4,2),"")</x:f>
        <x:v>36000</x:v>
      </x:c>
      <x:c r="S367" s="17" t="n">
        <x:f>IF(ISNUMBER(Q367),Q367+R367,"")</x:f>
        <x:v>236000</x:v>
      </x:c>
      <x:c r="T367" s="2" t="str">
        <x:f>IF(H367=0,"Not selected",IF(ISNUMBER(N367),"Quote entered",IF(N367&lt;&gt;"","Enter numeric quote",IF(H367=F367,IF(ISNUMBER(P367),"Complete unit","Price required"),"Partial package: price required"))))</x:f>
        <x:v>Complete unit</x:v>
      </x:c>
      <x:c r="U367" s="2" t="str">
        <x:v>TEN-CF5DE55991E4</x:v>
      </x:c>
      <x:c r="V367" s="2" t="str">
        <x:v>Finance &amp; insurance</x:v>
      </x:c>
      <x:c r="W367" s="2" t="str">
        <x:v>Mixed business audience</x:v>
      </x:c>
      <x:c r="X367" s="17" t="n">
        <x:f>IF(AND(H367=F367,NOT(ISNUMBER(N367)),N367="",ISNUMBER(K367)),K367,0)</x:f>
        <x:v>0</x:v>
      </x:c>
      <x:c r="Y367" s="17" t="n">
        <x:f>IF(AND(H367=F367,NOT(ISNUMBER(N367)),N367="",K367="",ISNUMBER(O367)),O367,0)</x:f>
        <x:v>200000</x:v>
      </x:c>
      <x:c r="Z367" s="17" t="n">
        <x:f>IF(AND(H367&gt;0,ISNUMBER(N367)),N367,0)</x:f>
        <x:v>0</x:v>
      </x:c>
      <x:c r="AA367" s="2" t="n">
        <x:f>IF(AND(H367&gt;0,N367="",NOT(ISNUMBER(Q367))),1,0)</x:f>
        <x:v>0</x:v>
      </x:c>
      <x:c r="AB367" s="2" t="n">
        <x:f>IF(AND(H367&gt;0,N367&lt;&gt;"",NOT(ISNUMBER(N367))),1,0)</x:f>
        <x:v>0</x:v>
      </x:c>
    </x:row>
    <x:row r="368" ht="48" customHeight="1">
      <x:c r="A368" s="2" t="str">
        <x:v>MAIN-359</x:v>
      </x:c>
      <x:c r="B368" s="2" t="str">
        <x:v>Main</x:v>
      </x:c>
      <x:c r="C368" s="2" t="str">
        <x:v>Mumbai</x:v>
      </x:c>
      <x:c r="D368" s="12" t="str">
        <x:v>Wework - Vaswani Chambers</x:v>
      </x:c>
      <x:c r="E368" s="12" t="str">
        <x:v>43 inch LED TV</x:v>
      </x:c>
      <x:c r="F368" s="2" t="n">
        <x:v>1</x:v>
      </x:c>
      <x:c r="G368" s="2" t="n">
        <x:v>3</x:v>
      </x:c>
      <x:c r="H368" s="2" t="n">
        <x:f>COUNTIFS('Inventory'!$N$7:$N$783,A368,'Inventory'!$A$7:$A$783,1)</x:f>
        <x:v>1</x:v>
      </x:c>
      <x:c r="I368" s="2" t="n">
        <x:f>SUMIFS('Inventory'!$G$7:$G$783,'Inventory'!$N$7:$N$783,A368,'Inventory'!$A$7:$A$783,1)</x:f>
        <x:v>3</x:v>
      </x:c>
      <x:c r="J368" s="12" t="str">
        <x:v>Campaign format rate</x:v>
      </x:c>
      <x:c r="K368" s="17"/>
      <x:c r="L368" s="17" t="n">
        <x:f>$G$5</x:f>
        <x:v>25000</x:v>
      </x:c>
      <x:c r="M368" s="17"/>
      <x:c r="N368" s="19"/>
      <x:c r="O368" s="17" t="n">
        <x:f>IF(ISNUMBER(L368),G368*L368,IF(ISNUMBER(M368),M368,""))</x:f>
        <x:v>75000</x:v>
      </x:c>
      <x:c r="P368" s="17" t="n">
        <x:f>IF(ISNUMBER(K368),K368,IF(ISNUMBER(O368),O368,""))</x:f>
        <x:v>75000</x:v>
      </x:c>
      <x:c r="Q368" s="17" t="n">
        <x:f>IF(H368=0,0,IF(ISNUMBER(N368),N368,IF(N368="",IF(H368=F368,P368,""),"")))</x:f>
        <x:v>75000</x:v>
      </x:c>
      <x:c r="R368" s="17" t="n">
        <x:f>IF(ISNUMBER(Q368),ROUND(Q368*$C$4,2),"")</x:f>
        <x:v>13500</x:v>
      </x:c>
      <x:c r="S368" s="17" t="n">
        <x:f>IF(ISNUMBER(Q368),Q368+R368,"")</x:f>
        <x:v>88500</x:v>
      </x:c>
      <x:c r="T368" s="2" t="str">
        <x:f>IF(H368=0,"Not selected",IF(ISNUMBER(N368),"Quote entered",IF(N368&lt;&gt;"","Enter numeric quote",IF(H368=F368,IF(ISNUMBER(P368),"Complete unit","Price required"),"Partial package: price required"))))</x:f>
        <x:v>Complete unit</x:v>
      </x:c>
      <x:c r="U368" s="2" t="str">
        <x:v>TEN-1F2DC6C58E3F; TEN-1F7F342C1544; TEN-23C3202EF35A; TEN-7D436D761FA5; TEN-93355E9D939C; TEN-F790189B8F49</x:v>
      </x:c>
      <x:c r="V368" s="2" t="str">
        <x:v>Professional services; Education; Trade, consumer &amp; logistics; Unresolved</x:v>
      </x:c>
      <x:c r="W368" s="2" t="str">
        <x:v>Small-scale prospects; Mixed business audience</x:v>
      </x:c>
      <x:c r="X368" s="17" t="n">
        <x:f>IF(AND(H368=F368,NOT(ISNUMBER(N368)),N368="",ISNUMBER(K368)),K368,0)</x:f>
        <x:v>0</x:v>
      </x:c>
      <x:c r="Y368" s="17" t="n">
        <x:f>IF(AND(H368=F368,NOT(ISNUMBER(N368)),N368="",K368="",ISNUMBER(O368)),O368,0)</x:f>
        <x:v>75000</x:v>
      </x:c>
      <x:c r="Z368" s="17" t="n">
        <x:f>IF(AND(H368&gt;0,ISNUMBER(N368)),N368,0)</x:f>
        <x:v>0</x:v>
      </x:c>
      <x:c r="AA368" s="2" t="n">
        <x:f>IF(AND(H368&gt;0,N368="",NOT(ISNUMBER(Q368))),1,0)</x:f>
        <x:v>0</x:v>
      </x:c>
      <x:c r="AB368" s="2" t="n">
        <x:f>IF(AND(H368&gt;0,N368&lt;&gt;"",NOT(ISNUMBER(N368))),1,0)</x:f>
        <x:v>0</x:v>
      </x:c>
    </x:row>
    <x:row r="369" ht="48" customHeight="1">
      <x:c r="A369" s="2" t="str">
        <x:v>MAIN-360</x:v>
      </x:c>
      <x:c r="B369" s="2" t="str">
        <x:v>Main</x:v>
      </x:c>
      <x:c r="C369" s="2" t="str">
        <x:v>Mumbai</x:v>
      </x:c>
      <x:c r="D369" s="12" t="str">
        <x:v>Wework - Vijay Diamond</x:v>
      </x:c>
      <x:c r="E369" s="12" t="str">
        <x:v>43 inch LED TV</x:v>
      </x:c>
      <x:c r="F369" s="2" t="n">
        <x:v>1</x:v>
      </x:c>
      <x:c r="G369" s="2" t="n">
        <x:v>4</x:v>
      </x:c>
      <x:c r="H369" s="2" t="n">
        <x:f>COUNTIFS('Inventory'!$N$7:$N$783,A369,'Inventory'!$A$7:$A$783,1)</x:f>
        <x:v>1</x:v>
      </x:c>
      <x:c r="I369" s="2" t="n">
        <x:f>SUMIFS('Inventory'!$G$7:$G$783,'Inventory'!$N$7:$N$783,A369,'Inventory'!$A$7:$A$783,1)</x:f>
        <x:v>4</x:v>
      </x:c>
      <x:c r="J369" s="12" t="str">
        <x:v>Campaign format rate</x:v>
      </x:c>
      <x:c r="K369" s="17"/>
      <x:c r="L369" s="17" t="n">
        <x:f>$G$5</x:f>
        <x:v>25000</x:v>
      </x:c>
      <x:c r="M369" s="17"/>
      <x:c r="N369" s="19"/>
      <x:c r="O369" s="17" t="n">
        <x:f>IF(ISNUMBER(L369),G369*L369,IF(ISNUMBER(M369),M369,""))</x:f>
        <x:v>100000</x:v>
      </x:c>
      <x:c r="P369" s="17" t="n">
        <x:f>IF(ISNUMBER(K369),K369,IF(ISNUMBER(O369),O369,""))</x:f>
        <x:v>100000</x:v>
      </x:c>
      <x:c r="Q369" s="17" t="n">
        <x:f>IF(H369=0,0,IF(ISNUMBER(N369),N369,IF(N369="",IF(H369=F369,P369,""),"")))</x:f>
        <x:v>100000</x:v>
      </x:c>
      <x:c r="R369" s="17" t="n">
        <x:f>IF(ISNUMBER(Q369),ROUND(Q369*$C$4,2),"")</x:f>
        <x:v>18000</x:v>
      </x:c>
      <x:c r="S369" s="17" t="n">
        <x:f>IF(ISNUMBER(Q369),Q369+R369,"")</x:f>
        <x:v>118000</x:v>
      </x:c>
      <x:c r="T369" s="2" t="str">
        <x:f>IF(H369=0,"Not selected",IF(ISNUMBER(N369),"Quote entered",IF(N369&lt;&gt;"","Enter numeric quote",IF(H369=F369,IF(ISNUMBER(P369),"Complete unit","Price required"),"Partial package: price required"))))</x:f>
        <x:v>Complete unit</x:v>
      </x:c>
      <x:c r="U369" s="2" t="str">
        <x:v>TEN-2A2AD6E644C7</x:v>
      </x:c>
      <x:c r="V369" s="2" t="str">
        <x:v>Trade, consumer &amp; logistics</x:v>
      </x:c>
      <x:c r="W369" s="2" t="str">
        <x:v>Small-scale prospects</x:v>
      </x:c>
      <x:c r="X369" s="17" t="n">
        <x:f>IF(AND(H369=F369,NOT(ISNUMBER(N369)),N369="",ISNUMBER(K369)),K369,0)</x:f>
        <x:v>0</x:v>
      </x:c>
      <x:c r="Y369" s="17" t="n">
        <x:f>IF(AND(H369=F369,NOT(ISNUMBER(N369)),N369="",K369="",ISNUMBER(O369)),O369,0)</x:f>
        <x:v>100000</x:v>
      </x:c>
      <x:c r="Z369" s="17" t="n">
        <x:f>IF(AND(H369&gt;0,ISNUMBER(N369)),N369,0)</x:f>
        <x:v>0</x:v>
      </x:c>
      <x:c r="AA369" s="2" t="n">
        <x:f>IF(AND(H369&gt;0,N369="",NOT(ISNUMBER(Q369))),1,0)</x:f>
        <x:v>0</x:v>
      </x:c>
      <x:c r="AB369" s="2" t="n">
        <x:f>IF(AND(H369&gt;0,N369&lt;&gt;"",NOT(ISNUMBER(N369))),1,0)</x:f>
        <x:v>0</x:v>
      </x:c>
    </x:row>
    <x:row r="370" ht="48" customHeight="1">
      <x:c r="A370" s="2" t="str">
        <x:v>MAIN-361</x:v>
      </x:c>
      <x:c r="B370" s="2" t="str">
        <x:v>Main</x:v>
      </x:c>
      <x:c r="C370" s="2" t="str">
        <x:v>Mumbai</x:v>
      </x:c>
      <x:c r="D370" s="12" t="str">
        <x:v>WeWork - Vikhroil 247</x:v>
      </x:c>
      <x:c r="E370" s="12" t="str">
        <x:v>43 inch LED TV</x:v>
      </x:c>
      <x:c r="F370" s="2" t="n">
        <x:v>1</x:v>
      </x:c>
      <x:c r="G370" s="2" t="n">
        <x:v>4</x:v>
      </x:c>
      <x:c r="H370" s="2" t="n">
        <x:f>COUNTIFS('Inventory'!$N$7:$N$783,A370,'Inventory'!$A$7:$A$783,1)</x:f>
        <x:v>1</x:v>
      </x:c>
      <x:c r="I370" s="2" t="n">
        <x:f>SUMIFS('Inventory'!$G$7:$G$783,'Inventory'!$N$7:$N$783,A370,'Inventory'!$A$7:$A$783,1)</x:f>
        <x:v>4</x:v>
      </x:c>
      <x:c r="J370" s="12" t="str">
        <x:v>Campaign format rate</x:v>
      </x:c>
      <x:c r="K370" s="17"/>
      <x:c r="L370" s="17" t="n">
        <x:f>$G$5</x:f>
        <x:v>25000</x:v>
      </x:c>
      <x:c r="M370" s="17"/>
      <x:c r="N370" s="19"/>
      <x:c r="O370" s="17" t="n">
        <x:f>IF(ISNUMBER(L370),G370*L370,IF(ISNUMBER(M370),M370,""))</x:f>
        <x:v>100000</x:v>
      </x:c>
      <x:c r="P370" s="17" t="n">
        <x:f>IF(ISNUMBER(K370),K370,IF(ISNUMBER(O370),O370,""))</x:f>
        <x:v>100000</x:v>
      </x:c>
      <x:c r="Q370" s="17" t="n">
        <x:f>IF(H370=0,0,IF(ISNUMBER(N370),N370,IF(N370="",IF(H370=F370,P370,""),"")))</x:f>
        <x:v>100000</x:v>
      </x:c>
      <x:c r="R370" s="17" t="n">
        <x:f>IF(ISNUMBER(Q370),ROUND(Q370*$C$4,2),"")</x:f>
        <x:v>18000</x:v>
      </x:c>
      <x:c r="S370" s="17" t="n">
        <x:f>IF(ISNUMBER(Q370),Q370+R370,"")</x:f>
        <x:v>118000</x:v>
      </x:c>
      <x:c r="T370" s="2" t="str">
        <x:f>IF(H370=0,"Not selected",IF(ISNUMBER(N370),"Quote entered",IF(N370&lt;&gt;"","Enter numeric quote",IF(H370=F370,IF(ISNUMBER(P370),"Complete unit","Price required"),"Partial package: price required"))))</x:f>
        <x:v>Complete unit</x:v>
      </x:c>
      <x:c r="U370" s="2" t="str">
        <x:v>TEN-3B5F1F4D82D5; TEN-57178E4DABB3; TEN-841072F668E0; TEN-D81104AA66DA</x:v>
      </x:c>
      <x:c r="V370" s="2" t="str">
        <x:v>Professional services; Finance &amp; insurance; Healthcare &amp; life sciences; Trade, consumer &amp; logistics</x:v>
      </x:c>
      <x:c r="W370" s="2" t="str">
        <x:v>Small-scale prospects; Medium-scale prospects; Mixed business audience</x:v>
      </x:c>
      <x:c r="X370" s="17" t="n">
        <x:f>IF(AND(H370=F370,NOT(ISNUMBER(N370)),N370="",ISNUMBER(K370)),K370,0)</x:f>
        <x:v>0</x:v>
      </x:c>
      <x:c r="Y370" s="17" t="n">
        <x:f>IF(AND(H370=F370,NOT(ISNUMBER(N370)),N370="",K370="",ISNUMBER(O370)),O370,0)</x:f>
        <x:v>100000</x:v>
      </x:c>
      <x:c r="Z370" s="17" t="n">
        <x:f>IF(AND(H370&gt;0,ISNUMBER(N370)),N370,0)</x:f>
        <x:v>0</x:v>
      </x:c>
      <x:c r="AA370" s="2" t="n">
        <x:f>IF(AND(H370&gt;0,N370="",NOT(ISNUMBER(Q370))),1,0)</x:f>
        <x:v>0</x:v>
      </x:c>
      <x:c r="AB370" s="2" t="n">
        <x:f>IF(AND(H370&gt;0,N370&lt;&gt;"",NOT(ISNUMBER(N370))),1,0)</x:f>
        <x:v>0</x:v>
      </x:c>
    </x:row>
    <x:row r="371" ht="48" customHeight="1">
      <x:c r="A371" s="2" t="str">
        <x:v>MAIN-362</x:v>
      </x:c>
      <x:c r="B371" s="2" t="str">
        <x:v>Main</x:v>
      </x:c>
      <x:c r="C371" s="2" t="str">
        <x:v>Mumbai</x:v>
      </x:c>
      <x:c r="D371" s="12" t="str">
        <x:v>WeWork - Zenia</x:v>
      </x:c>
      <x:c r="E371" s="12" t="str">
        <x:v>43 inch LED TV</x:v>
      </x:c>
      <x:c r="F371" s="2" t="n">
        <x:v>1</x:v>
      </x:c>
      <x:c r="G371" s="2" t="n">
        <x:v>12</x:v>
      </x:c>
      <x:c r="H371" s="2" t="n">
        <x:f>COUNTIFS('Inventory'!$N$7:$N$783,A371,'Inventory'!$A$7:$A$783,1)</x:f>
        <x:v>1</x:v>
      </x:c>
      <x:c r="I371" s="2" t="n">
        <x:f>SUMIFS('Inventory'!$G$7:$G$783,'Inventory'!$N$7:$N$783,A371,'Inventory'!$A$7:$A$783,1)</x:f>
        <x:v>12</x:v>
      </x:c>
      <x:c r="J371" s="12" t="str">
        <x:v>Campaign format rate</x:v>
      </x:c>
      <x:c r="K371" s="17"/>
      <x:c r="L371" s="17" t="n">
        <x:f>$G$5</x:f>
        <x:v>25000</x:v>
      </x:c>
      <x:c r="M371" s="17"/>
      <x:c r="N371" s="19"/>
      <x:c r="O371" s="17" t="n">
        <x:f>IF(ISNUMBER(L371),G371*L371,IF(ISNUMBER(M371),M371,""))</x:f>
        <x:v>300000</x:v>
      </x:c>
      <x:c r="P371" s="17" t="n">
        <x:f>IF(ISNUMBER(K371),K371,IF(ISNUMBER(O371),O371,""))</x:f>
        <x:v>300000</x:v>
      </x:c>
      <x:c r="Q371" s="17" t="n">
        <x:f>IF(H371=0,0,IF(ISNUMBER(N371),N371,IF(N371="",IF(H371=F371,P371,""),"")))</x:f>
        <x:v>300000</x:v>
      </x:c>
      <x:c r="R371" s="17" t="n">
        <x:f>IF(ISNUMBER(Q371),ROUND(Q371*$C$4,2),"")</x:f>
        <x:v>54000</x:v>
      </x:c>
      <x:c r="S371" s="17" t="n">
        <x:f>IF(ISNUMBER(Q371),Q371+R371,"")</x:f>
        <x:v>354000</x:v>
      </x:c>
      <x:c r="T371" s="2" t="str">
        <x:f>IF(H371=0,"Not selected",IF(ISNUMBER(N371),"Quote entered",IF(N371&lt;&gt;"","Enter numeric quote",IF(H371=F371,IF(ISNUMBER(P371),"Complete unit","Price required"),"Partial package: price required"))))</x:f>
        <x:v>Complete unit</x:v>
      </x:c>
      <x:c r="U371" s="2" t="str">
        <x:v>TEN-4A49FD0B38E1; TEN-6C4F14749F20; TEN-6C506FB53136; TEN-7BA3AA933005; TEN-A88384F59E7A; TEN-B4806FD1AEE1</x:v>
      </x:c>
      <x:c r="V371" s="2" t="str">
        <x:v>IT &amp; digital; Engineering &amp; manufacturing; Trade, consumer &amp; logistics; Unresolved</x:v>
      </x:c>
      <x:c r="W371" s="2" t="str">
        <x:v>Small-scale prospects; Medium-scale prospects; Mixed business audience</x:v>
      </x:c>
      <x:c r="X371" s="17" t="n">
        <x:f>IF(AND(H371=F371,NOT(ISNUMBER(N371)),N371="",ISNUMBER(K371)),K371,0)</x:f>
        <x:v>0</x:v>
      </x:c>
      <x:c r="Y371" s="17" t="n">
        <x:f>IF(AND(H371=F371,NOT(ISNUMBER(N371)),N371="",K371="",ISNUMBER(O371)),O371,0)</x:f>
        <x:v>300000</x:v>
      </x:c>
      <x:c r="Z371" s="17" t="n">
        <x:f>IF(AND(H371&gt;0,ISNUMBER(N371)),N371,0)</x:f>
        <x:v>0</x:v>
      </x:c>
      <x:c r="AA371" s="2" t="n">
        <x:f>IF(AND(H371&gt;0,N371="",NOT(ISNUMBER(Q371))),1,0)</x:f>
        <x:v>0</x:v>
      </x:c>
      <x:c r="AB371" s="2" t="n">
        <x:f>IF(AND(H371&gt;0,N371&lt;&gt;"",NOT(ISNUMBER(N371))),1,0)</x:f>
        <x:v>0</x:v>
      </x:c>
    </x:row>
    <x:row r="372" ht="48" customHeight="1">
      <x:c r="A372" s="2" t="str">
        <x:v>MAIN-379</x:v>
      </x:c>
      <x:c r="B372" s="2" t="str">
        <x:v>Main</x:v>
      </x:c>
      <x:c r="C372" s="2" t="str">
        <x:v>Pune</x:v>
      </x:c>
      <x:c r="D372" s="12" t="str">
        <x:v>11 Cowork</x:v>
      </x:c>
      <x:c r="E372" s="12" t="str">
        <x:v>32 inch LED TV</x:v>
      </x:c>
      <x:c r="F372" s="2" t="n">
        <x:v>1</x:v>
      </x:c>
      <x:c r="G372" s="2" t="n">
        <x:v>1</x:v>
      </x:c>
      <x:c r="H372" s="2" t="n">
        <x:f>COUNTIFS('Inventory'!$N$7:$N$783,A372,'Inventory'!$A$7:$A$783,1)</x:f>
        <x:v>1</x:v>
      </x:c>
      <x:c r="I372" s="2" t="n">
        <x:f>SUMIFS('Inventory'!$G$7:$G$783,'Inventory'!$N$7:$N$783,A372,'Inventory'!$A$7:$A$783,1)</x:f>
        <x:v>1</x:v>
      </x:c>
      <x:c r="J372" s="12" t="str">
        <x:v>Listed budget</x:v>
      </x:c>
      <x:c r="K372" s="17" t="n">
        <x:v>15000</x:v>
      </x:c>
      <x:c r="L372" s="17"/>
      <x:c r="M372" s="17"/>
      <x:c r="N372" s="19"/>
      <x:c r="O372" s="17" t="str">
        <x:f>IF(ISNUMBER(L372),G372*L372,IF(ISNUMBER(M372),M372,""))</x:f>
      </x:c>
      <x:c r="P372" s="17" t="n">
        <x:f>IF(ISNUMBER(K372),K372,IF(ISNUMBER(O372),O372,""))</x:f>
        <x:v>15000</x:v>
      </x:c>
      <x:c r="Q372" s="17" t="n">
        <x:f>IF(H372=0,0,IF(ISNUMBER(N372),N372,IF(N372="",IF(H372=F372,P372,""),"")))</x:f>
        <x:v>15000</x:v>
      </x:c>
      <x:c r="R372" s="17" t="n">
        <x:f>IF(ISNUMBER(Q372),ROUND(Q372*$C$4,2),"")</x:f>
        <x:v>2700</x:v>
      </x:c>
      <x:c r="S372" s="17" t="n">
        <x:f>IF(ISNUMBER(Q372),Q372+R372,"")</x:f>
        <x:v>17700</x:v>
      </x:c>
      <x:c r="T372" s="2" t="str">
        <x:f>IF(H372=0,"Not selected",IF(ISNUMBER(N372),"Quote entered",IF(N372&lt;&gt;"","Enter numeric quote",IF(H372=F372,IF(ISNUMBER(P372),"Complete unit","Price required"),"Partial package: price required"))))</x:f>
        <x:v>Complete unit</x:v>
      </x:c>
      <x:c r="U372" s="2" t="str">
        <x:v>TEN-0CCB511F7B14; TEN-53313CE6DF7D; TEN-8F6404B5FB2F; TEN-AA989F3D8E31; TEN-B046733A1A26; TEN-B8DA2A0FAF46; TEN-E03A5ACF6E58</x:v>
      </x:c>
      <x:c r="V372" s="2" t="str">
        <x:v>Healthcare &amp; life sciences; Trade, consumer &amp; logistics; Unresolved</x:v>
      </x:c>
      <x:c r="W372" s="2" t="str">
        <x:v>Small-scale prospects; Medium-scale prospects; Mixed business audience</x:v>
      </x:c>
      <x:c r="X372" s="17" t="n">
        <x:f>IF(AND(H372=F372,NOT(ISNUMBER(N372)),N372="",ISNUMBER(K372)),K372,0)</x:f>
        <x:v>15000</x:v>
      </x:c>
      <x:c r="Y372" s="17" t="n">
        <x:f>IF(AND(H372=F372,NOT(ISNUMBER(N372)),N372="",K372="",ISNUMBER(O372)),O372,0)</x:f>
        <x:v>0</x:v>
      </x:c>
      <x:c r="Z372" s="17" t="n">
        <x:f>IF(AND(H372&gt;0,ISNUMBER(N372)),N372,0)</x:f>
        <x:v>0</x:v>
      </x:c>
      <x:c r="AA372" s="2" t="n">
        <x:f>IF(AND(H372&gt;0,N372="",NOT(ISNUMBER(Q372))),1,0)</x:f>
        <x:v>0</x:v>
      </x:c>
      <x:c r="AB372" s="2" t="n">
        <x:f>IF(AND(H372&gt;0,N372&lt;&gt;"",NOT(ISNUMBER(N372))),1,0)</x:f>
        <x:v>0</x:v>
      </x:c>
    </x:row>
    <x:row r="373" ht="48" customHeight="1">
      <x:c r="A373" s="2" t="str">
        <x:v>MAIN-380</x:v>
      </x:c>
      <x:c r="B373" s="2" t="str">
        <x:v>Main</x:v>
      </x:c>
      <x:c r="C373" s="2" t="str">
        <x:v>Pune</x:v>
      </x:c>
      <x:c r="D373" s="12" t="str">
        <x:v>43Eq Technology Park</x:v>
      </x:c>
      <x:c r="E373" s="12" t="str">
        <x:v>43 inch LED TV</x:v>
      </x:c>
      <x:c r="F373" s="2" t="n">
        <x:v>1</x:v>
      </x:c>
      <x:c r="G373" s="2" t="n">
        <x:v>6</x:v>
      </x:c>
      <x:c r="H373" s="2" t="n">
        <x:f>COUNTIFS('Inventory'!$N$7:$N$783,A373,'Inventory'!$A$7:$A$783,1)</x:f>
        <x:v>1</x:v>
      </x:c>
      <x:c r="I373" s="2" t="n">
        <x:f>SUMIFS('Inventory'!$G$7:$G$783,'Inventory'!$N$7:$N$783,A373,'Inventory'!$A$7:$A$783,1)</x:f>
        <x:v>6</x:v>
      </x:c>
      <x:c r="J373" s="12" t="str">
        <x:v>Campaign format rate</x:v>
      </x:c>
      <x:c r="K373" s="17"/>
      <x:c r="L373" s="17" t="n">
        <x:f>$E$5</x:f>
        <x:v>20000</x:v>
      </x:c>
      <x:c r="M373" s="17"/>
      <x:c r="N373" s="19"/>
      <x:c r="O373" s="17" t="n">
        <x:f>IF(ISNUMBER(L373),G373*L373,IF(ISNUMBER(M373),M373,""))</x:f>
        <x:v>120000</x:v>
      </x:c>
      <x:c r="P373" s="17" t="n">
        <x:f>IF(ISNUMBER(K373),K373,IF(ISNUMBER(O373),O373,""))</x:f>
        <x:v>120000</x:v>
      </x:c>
      <x:c r="Q373" s="17" t="n">
        <x:f>IF(H373=0,0,IF(ISNUMBER(N373),N373,IF(N373="",IF(H373=F373,P373,""),"")))</x:f>
        <x:v>120000</x:v>
      </x:c>
      <x:c r="R373" s="17" t="n">
        <x:f>IF(ISNUMBER(Q373),ROUND(Q373*$C$4,2),"")</x:f>
        <x:v>21600</x:v>
      </x:c>
      <x:c r="S373" s="17" t="n">
        <x:f>IF(ISNUMBER(Q373),Q373+R373,"")</x:f>
        <x:v>141600</x:v>
      </x:c>
      <x:c r="T373" s="2" t="str">
        <x:f>IF(H373=0,"Not selected",IF(ISNUMBER(N373),"Quote entered",IF(N373&lt;&gt;"","Enter numeric quote",IF(H373=F373,IF(ISNUMBER(P373),"Complete unit","Price required"),"Partial package: price required"))))</x:f>
        <x:v>Complete unit</x:v>
      </x:c>
      <x:c r="U373" s="2" t="str">
        <x:v>TEN-265E801D779A</x:v>
      </x:c>
      <x:c r="V373" s="2" t="str">
        <x:v>Finance &amp; insurance</x:v>
      </x:c>
      <x:c r="W373" s="2" t="str">
        <x:v>Mixed business audience</x:v>
      </x:c>
      <x:c r="X373" s="17" t="n">
        <x:f>IF(AND(H373=F373,NOT(ISNUMBER(N373)),N373="",ISNUMBER(K373)),K373,0)</x:f>
        <x:v>0</x:v>
      </x:c>
      <x:c r="Y373" s="17" t="n">
        <x:f>IF(AND(H373=F373,NOT(ISNUMBER(N373)),N373="",K373="",ISNUMBER(O373)),O373,0)</x:f>
        <x:v>120000</x:v>
      </x:c>
      <x:c r="Z373" s="17" t="n">
        <x:f>IF(AND(H373&gt;0,ISNUMBER(N373)),N373,0)</x:f>
        <x:v>0</x:v>
      </x:c>
      <x:c r="AA373" s="2" t="n">
        <x:f>IF(AND(H373&gt;0,N373="",NOT(ISNUMBER(Q373))),1,0)</x:f>
        <x:v>0</x:v>
      </x:c>
      <x:c r="AB373" s="2" t="n">
        <x:f>IF(AND(H373&gt;0,N373&lt;&gt;"",NOT(ISNUMBER(N373))),1,0)</x:f>
        <x:v>0</x:v>
      </x:c>
    </x:row>
    <x:row r="374" ht="48" customHeight="1">
      <x:c r="A374" s="2" t="str">
        <x:v>MAIN-381</x:v>
      </x:c>
      <x:c r="B374" s="2" t="str">
        <x:v>Main</x:v>
      </x:c>
      <x:c r="C374" s="2" t="str">
        <x:v>Pune</x:v>
      </x:c>
      <x:c r="D374" s="12" t="str">
        <x:v>Amar Pristine Tech Park</x:v>
      </x:c>
      <x:c r="E374" s="12" t="str">
        <x:v>43 inch LED TV</x:v>
      </x:c>
      <x:c r="F374" s="2" t="n">
        <x:v>1</x:v>
      </x:c>
      <x:c r="G374" s="2" t="n">
        <x:v>4</x:v>
      </x:c>
      <x:c r="H374" s="2" t="n">
        <x:f>COUNTIFS('Inventory'!$N$7:$N$783,A374,'Inventory'!$A$7:$A$783,1)</x:f>
        <x:v>1</x:v>
      </x:c>
      <x:c r="I374" s="2" t="n">
        <x:f>SUMIFS('Inventory'!$G$7:$G$783,'Inventory'!$N$7:$N$783,A374,'Inventory'!$A$7:$A$783,1)</x:f>
        <x:v>4</x:v>
      </x:c>
      <x:c r="J374" s="12" t="str">
        <x:v>Campaign format rate</x:v>
      </x:c>
      <x:c r="K374" s="17"/>
      <x:c r="L374" s="17" t="n">
        <x:f>$E$5</x:f>
        <x:v>20000</x:v>
      </x:c>
      <x:c r="M374" s="17"/>
      <x:c r="N374" s="19"/>
      <x:c r="O374" s="17" t="n">
        <x:f>IF(ISNUMBER(L374),G374*L374,IF(ISNUMBER(M374),M374,""))</x:f>
        <x:v>80000</x:v>
      </x:c>
      <x:c r="P374" s="17" t="n">
        <x:f>IF(ISNUMBER(K374),K374,IF(ISNUMBER(O374),O374,""))</x:f>
        <x:v>80000</x:v>
      </x:c>
      <x:c r="Q374" s="17" t="n">
        <x:f>IF(H374=0,0,IF(ISNUMBER(N374),N374,IF(N374="",IF(H374=F374,P374,""),"")))</x:f>
        <x:v>80000</x:v>
      </x:c>
      <x:c r="R374" s="17" t="n">
        <x:f>IF(ISNUMBER(Q374),ROUND(Q374*$C$4,2),"")</x:f>
        <x:v>14400</x:v>
      </x:c>
      <x:c r="S374" s="17" t="n">
        <x:f>IF(ISNUMBER(Q374),Q374+R374,"")</x:f>
        <x:v>94400</x:v>
      </x:c>
      <x:c r="T374" s="2" t="str">
        <x:f>IF(H374=0,"Not selected",IF(ISNUMBER(N374),"Quote entered",IF(N374&lt;&gt;"","Enter numeric quote",IF(H374=F374,IF(ISNUMBER(P374),"Complete unit","Price required"),"Partial package: price required"))))</x:f>
        <x:v>Complete unit</x:v>
      </x:c>
      <x:c r="U374" s="2" t="str">
        <x:v>TEN-0B5D48FD30C7; TEN-181DA5EB3FBF; TEN-1A76EBA762D9; TEN-2DC3FC5EA3A9; TEN-2F339524DD3D; TEN-4D3373CF6F0F; TEN-5E4D9D0A79B0; TEN-A1330F668902; TEN-D33E381C60D5</x:v>
      </x:c>
      <x:c r="V374" s="2" t="str">
        <x:v>IT &amp; digital; Professional services; Finance &amp; insurance; Engineering &amp; manufacturing; Trade, consumer &amp; logistics</x:v>
      </x:c>
      <x:c r="W374" s="2" t="str">
        <x:v>Small-scale prospects; Large enterprise; Mixed business audience</x:v>
      </x:c>
      <x:c r="X374" s="17" t="n">
        <x:f>IF(AND(H374=F374,NOT(ISNUMBER(N374)),N374="",ISNUMBER(K374)),K374,0)</x:f>
        <x:v>0</x:v>
      </x:c>
      <x:c r="Y374" s="17" t="n">
        <x:f>IF(AND(H374=F374,NOT(ISNUMBER(N374)),N374="",K374="",ISNUMBER(O374)),O374,0)</x:f>
        <x:v>80000</x:v>
      </x:c>
      <x:c r="Z374" s="17" t="n">
        <x:f>IF(AND(H374&gt;0,ISNUMBER(N374)),N374,0)</x:f>
        <x:v>0</x:v>
      </x:c>
      <x:c r="AA374" s="2" t="n">
        <x:f>IF(AND(H374&gt;0,N374="",NOT(ISNUMBER(Q374))),1,0)</x:f>
        <x:v>0</x:v>
      </x:c>
      <x:c r="AB374" s="2" t="n">
        <x:f>IF(AND(H374&gt;0,N374&lt;&gt;"",NOT(ISNUMBER(N374))),1,0)</x:f>
        <x:v>0</x:v>
      </x:c>
    </x:row>
    <x:row r="375" ht="48" customHeight="1">
      <x:c r="A375" s="2" t="str">
        <x:v>MAIN-382</x:v>
      </x:c>
      <x:c r="B375" s="2" t="str">
        <x:v>Main</x:v>
      </x:c>
      <x:c r="C375" s="2" t="str">
        <x:v>Pune</x:v>
      </x:c>
      <x:c r="D375" s="12" t="str">
        <x:v>Amar Sadanand Tech Park</x:v>
      </x:c>
      <x:c r="E375" s="12" t="str">
        <x:v>43 inch LED TV</x:v>
      </x:c>
      <x:c r="F375" s="2" t="n">
        <x:v>1</x:v>
      </x:c>
      <x:c r="G375" s="2" t="n">
        <x:v>7</x:v>
      </x:c>
      <x:c r="H375" s="2" t="n">
        <x:f>COUNTIFS('Inventory'!$N$7:$N$783,A375,'Inventory'!$A$7:$A$783,1)</x:f>
        <x:v>1</x:v>
      </x:c>
      <x:c r="I375" s="2" t="n">
        <x:f>SUMIFS('Inventory'!$G$7:$G$783,'Inventory'!$N$7:$N$783,A375,'Inventory'!$A$7:$A$783,1)</x:f>
        <x:v>7</x:v>
      </x:c>
      <x:c r="J375" s="12" t="str">
        <x:v>Campaign format rate</x:v>
      </x:c>
      <x:c r="K375" s="17"/>
      <x:c r="L375" s="17" t="n">
        <x:f>$E$5</x:f>
        <x:v>20000</x:v>
      </x:c>
      <x:c r="M375" s="17"/>
      <x:c r="N375" s="19"/>
      <x:c r="O375" s="17" t="n">
        <x:f>IF(ISNUMBER(L375),G375*L375,IF(ISNUMBER(M375),M375,""))</x:f>
        <x:v>140000</x:v>
      </x:c>
      <x:c r="P375" s="17" t="n">
        <x:f>IF(ISNUMBER(K375),K375,IF(ISNUMBER(O375),O375,""))</x:f>
        <x:v>140000</x:v>
      </x:c>
      <x:c r="Q375" s="17" t="n">
        <x:f>IF(H375=0,0,IF(ISNUMBER(N375),N375,IF(N375="",IF(H375=F375,P375,""),"")))</x:f>
        <x:v>140000</x:v>
      </x:c>
      <x:c r="R375" s="17" t="n">
        <x:f>IF(ISNUMBER(Q375),ROUND(Q375*$C$4,2),"")</x:f>
        <x:v>25200</x:v>
      </x:c>
      <x:c r="S375" s="17" t="n">
        <x:f>IF(ISNUMBER(Q375),Q375+R375,"")</x:f>
        <x:v>165200</x:v>
      </x:c>
      <x:c r="T375" s="2" t="str">
        <x:f>IF(H375=0,"Not selected",IF(ISNUMBER(N375),"Quote entered",IF(N375&lt;&gt;"","Enter numeric quote",IF(H375=F375,IF(ISNUMBER(P375),"Complete unit","Price required"),"Partial package: price required"))))</x:f>
        <x:v>Complete unit</x:v>
      </x:c>
      <x:c r="U375" s="2" t="str">
        <x:v>TEN-01272F6C55B7; TEN-53F71D1CF28F; TEN-83FAF196AC32; TEN-C0CDA80C9315</x:v>
      </x:c>
      <x:c r="V375" s="2" t="str">
        <x:v>Engineering &amp; manufacturing; Trade, consumer &amp; logistics</x:v>
      </x:c>
      <x:c r="W375" s="2" t="str">
        <x:v>Small-scale prospects; Mixed business audience</x:v>
      </x:c>
      <x:c r="X375" s="17" t="n">
        <x:f>IF(AND(H375=F375,NOT(ISNUMBER(N375)),N375="",ISNUMBER(K375)),K375,0)</x:f>
        <x:v>0</x:v>
      </x:c>
      <x:c r="Y375" s="17" t="n">
        <x:f>IF(AND(H375=F375,NOT(ISNUMBER(N375)),N375="",K375="",ISNUMBER(O375)),O375,0)</x:f>
        <x:v>140000</x:v>
      </x:c>
      <x:c r="Z375" s="17" t="n">
        <x:f>IF(AND(H375&gt;0,ISNUMBER(N375)),N375,0)</x:f>
        <x:v>0</x:v>
      </x:c>
      <x:c r="AA375" s="2" t="n">
        <x:f>IF(AND(H375&gt;0,N375="",NOT(ISNUMBER(Q375))),1,0)</x:f>
        <x:v>0</x:v>
      </x:c>
      <x:c r="AB375" s="2" t="n">
        <x:f>IF(AND(H375&gt;0,N375&lt;&gt;"",NOT(ISNUMBER(N375))),1,0)</x:f>
        <x:v>0</x:v>
      </x:c>
    </x:row>
    <x:row r="376" ht="48" customHeight="1">
      <x:c r="A376" s="2" t="str">
        <x:v>MAIN-383</x:v>
      </x:c>
      <x:c r="B376" s="2" t="str">
        <x:v>Main</x:v>
      </x:c>
      <x:c r="C376" s="2" t="str">
        <x:v>Pune</x:v>
      </x:c>
      <x:c r="D376" s="12" t="str">
        <x:v>Amar Tech Center</x:v>
      </x:c>
      <x:c r="E376" s="12" t="str">
        <x:v>43 inch LED TV</x:v>
      </x:c>
      <x:c r="F376" s="2" t="n">
        <x:v>1</x:v>
      </x:c>
      <x:c r="G376" s="2" t="n">
        <x:v>4</x:v>
      </x:c>
      <x:c r="H376" s="2" t="n">
        <x:f>COUNTIFS('Inventory'!$N$7:$N$783,A376,'Inventory'!$A$7:$A$783,1)</x:f>
        <x:v>1</x:v>
      </x:c>
      <x:c r="I376" s="2" t="n">
        <x:f>SUMIFS('Inventory'!$G$7:$G$783,'Inventory'!$N$7:$N$783,A376,'Inventory'!$A$7:$A$783,1)</x:f>
        <x:v>4</x:v>
      </x:c>
      <x:c r="J376" s="12" t="str">
        <x:v>Campaign format rate</x:v>
      </x:c>
      <x:c r="K376" s="17"/>
      <x:c r="L376" s="17" t="n">
        <x:f>$E$5</x:f>
        <x:v>20000</x:v>
      </x:c>
      <x:c r="M376" s="17"/>
      <x:c r="N376" s="19"/>
      <x:c r="O376" s="17" t="n">
        <x:f>IF(ISNUMBER(L376),G376*L376,IF(ISNUMBER(M376),M376,""))</x:f>
        <x:v>80000</x:v>
      </x:c>
      <x:c r="P376" s="17" t="n">
        <x:f>IF(ISNUMBER(K376),K376,IF(ISNUMBER(O376),O376,""))</x:f>
        <x:v>80000</x:v>
      </x:c>
      <x:c r="Q376" s="17" t="n">
        <x:f>IF(H376=0,0,IF(ISNUMBER(N376),N376,IF(N376="",IF(H376=F376,P376,""),"")))</x:f>
        <x:v>80000</x:v>
      </x:c>
      <x:c r="R376" s="17" t="n">
        <x:f>IF(ISNUMBER(Q376),ROUND(Q376*$C$4,2),"")</x:f>
        <x:v>14400</x:v>
      </x:c>
      <x:c r="S376" s="17" t="n">
        <x:f>IF(ISNUMBER(Q376),Q376+R376,"")</x:f>
        <x:v>94400</x:v>
      </x:c>
      <x:c r="T376" s="2" t="str">
        <x:f>IF(H376=0,"Not selected",IF(ISNUMBER(N376),"Quote entered",IF(N376&lt;&gt;"","Enter numeric quote",IF(H376=F376,IF(ISNUMBER(P376),"Complete unit","Price required"),"Partial package: price required"))))</x:f>
        <x:v>Complete unit</x:v>
      </x:c>
      <x:c r="U376" s="2" t="str">
        <x:v>TEN-F626E376EF5E</x:v>
      </x:c>
      <x:c r="V376" s="2" t="str">
        <x:v>Engineering &amp; manufacturing</x:v>
      </x:c>
      <x:c r="W376" s="2" t="str">
        <x:v>Mixed business audience</x:v>
      </x:c>
      <x:c r="X376" s="17" t="n">
        <x:f>IF(AND(H376=F376,NOT(ISNUMBER(N376)),N376="",ISNUMBER(K376)),K376,0)</x:f>
        <x:v>0</x:v>
      </x:c>
      <x:c r="Y376" s="17" t="n">
        <x:f>IF(AND(H376=F376,NOT(ISNUMBER(N376)),N376="",K376="",ISNUMBER(O376)),O376,0)</x:f>
        <x:v>80000</x:v>
      </x:c>
      <x:c r="Z376" s="17" t="n">
        <x:f>IF(AND(H376&gt;0,ISNUMBER(N376)),N376,0)</x:f>
        <x:v>0</x:v>
      </x:c>
      <x:c r="AA376" s="2" t="n">
        <x:f>IF(AND(H376&gt;0,N376="",NOT(ISNUMBER(Q376))),1,0)</x:f>
        <x:v>0</x:v>
      </x:c>
      <x:c r="AB376" s="2" t="n">
        <x:f>IF(AND(H376&gt;0,N376&lt;&gt;"",NOT(ISNUMBER(N376))),1,0)</x:f>
        <x:v>0</x:v>
      </x:c>
    </x:row>
    <x:row r="377" ht="48" customHeight="1">
      <x:c r="A377" s="2" t="str">
        <x:v>MAIN-384</x:v>
      </x:c>
      <x:c r="B377" s="2" t="str">
        <x:v>Main</x:v>
      </x:c>
      <x:c r="C377" s="2" t="str">
        <x:v>Pune</x:v>
      </x:c>
      <x:c r="D377" s="12" t="str">
        <x:v>Amar Tech Park (TS)</x:v>
      </x:c>
      <x:c r="E377" s="12" t="str">
        <x:v>55 inch LED TV</x:v>
      </x:c>
      <x:c r="F377" s="2" t="n">
        <x:v>1</x:v>
      </x:c>
      <x:c r="G377" s="2" t="n">
        <x:v>2</x:v>
      </x:c>
      <x:c r="H377" s="2" t="n">
        <x:f>COUNTIFS('Inventory'!$N$7:$N$783,A377,'Inventory'!$A$7:$A$783,1)</x:f>
        <x:v>1</x:v>
      </x:c>
      <x:c r="I377" s="2" t="n">
        <x:f>SUMIFS('Inventory'!$G$7:$G$783,'Inventory'!$N$7:$N$783,A377,'Inventory'!$A$7:$A$783,1)</x:f>
        <x:v>2</x:v>
      </x:c>
      <x:c r="J377" s="12" t="str">
        <x:v>Campaign format rate</x:v>
      </x:c>
      <x:c r="K377" s="17"/>
      <x:c r="L377" s="17" t="n">
        <x:f>$I$5</x:f>
        <x:v>40000</x:v>
      </x:c>
      <x:c r="M377" s="17"/>
      <x:c r="N377" s="19"/>
      <x:c r="O377" s="17" t="n">
        <x:f>IF(ISNUMBER(L377),G377*L377,IF(ISNUMBER(M377),M377,""))</x:f>
        <x:v>80000</x:v>
      </x:c>
      <x:c r="P377" s="17" t="n">
        <x:f>IF(ISNUMBER(K377),K377,IF(ISNUMBER(O377),O377,""))</x:f>
        <x:v>80000</x:v>
      </x:c>
      <x:c r="Q377" s="17" t="n">
        <x:f>IF(H377=0,0,IF(ISNUMBER(N377),N377,IF(N377="",IF(H377=F377,P377,""),"")))</x:f>
        <x:v>80000</x:v>
      </x:c>
      <x:c r="R377" s="17" t="n">
        <x:f>IF(ISNUMBER(Q377),ROUND(Q377*$C$4,2),"")</x:f>
        <x:v>14400</x:v>
      </x:c>
      <x:c r="S377" s="17" t="n">
        <x:f>IF(ISNUMBER(Q377),Q377+R377,"")</x:f>
        <x:v>94400</x:v>
      </x:c>
      <x:c r="T377" s="2" t="str">
        <x:f>IF(H377=0,"Not selected",IF(ISNUMBER(N377),"Quote entered",IF(N377&lt;&gt;"","Enter numeric quote",IF(H377=F377,IF(ISNUMBER(P377),"Complete unit","Price required"),"Partial package: price required"))))</x:f>
        <x:v>Complete unit</x:v>
      </x:c>
      <x:c r="U377" s="2" t="str">
        <x:v>TEN-55851B7ABCA3; TEN-7FB575E3B4B0; TEN-D96307B671BF; TEN-FCD721E29835</x:v>
      </x:c>
      <x:c r="V377" s="2" t="str">
        <x:v>IT &amp; digital; Engineering &amp; manufacturing</x:v>
      </x:c>
      <x:c r="W377" s="2" t="str">
        <x:v>Small-scale prospects; Mixed business audience</x:v>
      </x:c>
      <x:c r="X377" s="17" t="n">
        <x:f>IF(AND(H377=F377,NOT(ISNUMBER(N377)),N377="",ISNUMBER(K377)),K377,0)</x:f>
        <x:v>0</x:v>
      </x:c>
      <x:c r="Y377" s="17" t="n">
        <x:f>IF(AND(H377=F377,NOT(ISNUMBER(N377)),N377="",K377="",ISNUMBER(O377)),O377,0)</x:f>
        <x:v>80000</x:v>
      </x:c>
      <x:c r="Z377" s="17" t="n">
        <x:f>IF(AND(H377&gt;0,ISNUMBER(N377)),N377,0)</x:f>
        <x:v>0</x:v>
      </x:c>
      <x:c r="AA377" s="2" t="n">
        <x:f>IF(AND(H377&gt;0,N377="",NOT(ISNUMBER(Q377))),1,0)</x:f>
        <x:v>0</x:v>
      </x:c>
      <x:c r="AB377" s="2" t="n">
        <x:f>IF(AND(H377&gt;0,N377&lt;&gt;"",NOT(ISNUMBER(N377))),1,0)</x:f>
        <x:v>0</x:v>
      </x:c>
    </x:row>
    <x:row r="378" ht="48" customHeight="1">
      <x:c r="A378" s="2" t="str">
        <x:v>MAIN-385</x:v>
      </x:c>
      <x:c r="B378" s="2" t="str">
        <x:v>Main</x:v>
      </x:c>
      <x:c r="C378" s="2" t="str">
        <x:v>Pune</x:v>
      </x:c>
      <x:c r="D378" s="12" t="str">
        <x:v>Anchors Coworking</x:v>
      </x:c>
      <x:c r="E378" s="12" t="str">
        <x:v>32 inch LED TV</x:v>
      </x:c>
      <x:c r="F378" s="2" t="n">
        <x:v>1</x:v>
      </x:c>
      <x:c r="G378" s="2" t="n">
        <x:v>1</x:v>
      </x:c>
      <x:c r="H378" s="2" t="n">
        <x:f>COUNTIFS('Inventory'!$N$7:$N$783,A378,'Inventory'!$A$7:$A$783,1)</x:f>
        <x:v>1</x:v>
      </x:c>
      <x:c r="I378" s="2" t="n">
        <x:f>SUMIFS('Inventory'!$G$7:$G$783,'Inventory'!$N$7:$N$783,A378,'Inventory'!$A$7:$A$783,1)</x:f>
        <x:v>1</x:v>
      </x:c>
      <x:c r="J378" s="12" t="str">
        <x:v>Listed budget</x:v>
      </x:c>
      <x:c r="K378" s="17" t="n">
        <x:v>15000</x:v>
      </x:c>
      <x:c r="L378" s="17"/>
      <x:c r="M378" s="17"/>
      <x:c r="N378" s="19"/>
      <x:c r="O378" s="17" t="str">
        <x:f>IF(ISNUMBER(L378),G378*L378,IF(ISNUMBER(M378),M378,""))</x:f>
      </x:c>
      <x:c r="P378" s="17" t="n">
        <x:f>IF(ISNUMBER(K378),K378,IF(ISNUMBER(O378),O378,""))</x:f>
        <x:v>15000</x:v>
      </x:c>
      <x:c r="Q378" s="17" t="n">
        <x:f>IF(H378=0,0,IF(ISNUMBER(N378),N378,IF(N378="",IF(H378=F378,P378,""),"")))</x:f>
        <x:v>15000</x:v>
      </x:c>
      <x:c r="R378" s="17" t="n">
        <x:f>IF(ISNUMBER(Q378),ROUND(Q378*$C$4,2),"")</x:f>
        <x:v>2700</x:v>
      </x:c>
      <x:c r="S378" s="17" t="n">
        <x:f>IF(ISNUMBER(Q378),Q378+R378,"")</x:f>
        <x:v>17700</x:v>
      </x:c>
      <x:c r="T378" s="2" t="str">
        <x:f>IF(H378=0,"Not selected",IF(ISNUMBER(N378),"Quote entered",IF(N378&lt;&gt;"","Enter numeric quote",IF(H378=F378,IF(ISNUMBER(P378),"Complete unit","Price required"),"Partial package: price required"))))</x:f>
        <x:v>Complete unit</x:v>
      </x:c>
      <x:c r="U378" s="2" t="str">
        <x:v>TEN-221912755C05; TEN-41D71312C5C1; TEN-8144549A7116; TEN-99E829F578DD; TEN-A15C13F2DAF4; TEN-A96613F3E4DD; TEN-DC70656A098D; TEN-EEBDEB528F38</x:v>
      </x:c>
      <x:c r="V378" s="2" t="str">
        <x:v>Healthcare &amp; life sciences; Education; Trade, consumer &amp; logistics; Unresolved</x:v>
      </x:c>
      <x:c r="W378" s="2" t="str">
        <x:v>Small-scale prospects; Mixed business audience</x:v>
      </x:c>
      <x:c r="X378" s="17" t="n">
        <x:f>IF(AND(H378=F378,NOT(ISNUMBER(N378)),N378="",ISNUMBER(K378)),K378,0)</x:f>
        <x:v>15000</x:v>
      </x:c>
      <x:c r="Y378" s="17" t="n">
        <x:f>IF(AND(H378=F378,NOT(ISNUMBER(N378)),N378="",K378="",ISNUMBER(O378)),O378,0)</x:f>
        <x:v>0</x:v>
      </x:c>
      <x:c r="Z378" s="17" t="n">
        <x:f>IF(AND(H378&gt;0,ISNUMBER(N378)),N378,0)</x:f>
        <x:v>0</x:v>
      </x:c>
      <x:c r="AA378" s="2" t="n">
        <x:f>IF(AND(H378&gt;0,N378="",NOT(ISNUMBER(Q378))),1,0)</x:f>
        <x:v>0</x:v>
      </x:c>
      <x:c r="AB378" s="2" t="n">
        <x:f>IF(AND(H378&gt;0,N378&lt;&gt;"",NOT(ISNUMBER(N378))),1,0)</x:f>
        <x:v>0</x:v>
      </x:c>
    </x:row>
    <x:row r="379" ht="48" customHeight="1">
      <x:c r="A379" s="2" t="str">
        <x:v>MAIN-386</x:v>
      </x:c>
      <x:c r="B379" s="2" t="str">
        <x:v>Main</x:v>
      </x:c>
      <x:c r="C379" s="2" t="str">
        <x:v>Pune</x:v>
      </x:c>
      <x:c r="D379" s="12" t="str">
        <x:v>Awfis - Amanora Mall</x:v>
      </x:c>
      <x:c r="E379" s="12" t="str">
        <x:v>32 inch LED TV</x:v>
      </x:c>
      <x:c r="F379" s="2" t="n">
        <x:v>1</x:v>
      </x:c>
      <x:c r="G379" s="2" t="n">
        <x:v>1</x:v>
      </x:c>
      <x:c r="H379" s="2" t="n">
        <x:f>COUNTIFS('Inventory'!$N$7:$N$783,A379,'Inventory'!$A$7:$A$783,1)</x:f>
        <x:v>1</x:v>
      </x:c>
      <x:c r="I379" s="2" t="n">
        <x:f>SUMIFS('Inventory'!$G$7:$G$783,'Inventory'!$N$7:$N$783,A379,'Inventory'!$A$7:$A$783,1)</x:f>
        <x:v>1</x:v>
      </x:c>
      <x:c r="J379" s="12" t="str">
        <x:v>Listed budget</x:v>
      </x:c>
      <x:c r="K379" s="17" t="n">
        <x:v>15000</x:v>
      </x:c>
      <x:c r="L379" s="17"/>
      <x:c r="M379" s="17"/>
      <x:c r="N379" s="19"/>
      <x:c r="O379" s="17" t="str">
        <x:f>IF(ISNUMBER(L379),G379*L379,IF(ISNUMBER(M379),M379,""))</x:f>
      </x:c>
      <x:c r="P379" s="17" t="n">
        <x:f>IF(ISNUMBER(K379),K379,IF(ISNUMBER(O379),O379,""))</x:f>
        <x:v>15000</x:v>
      </x:c>
      <x:c r="Q379" s="17" t="n">
        <x:f>IF(H379=0,0,IF(ISNUMBER(N379),N379,IF(N379="",IF(H379=F379,P379,""),"")))</x:f>
        <x:v>15000</x:v>
      </x:c>
      <x:c r="R379" s="17" t="n">
        <x:f>IF(ISNUMBER(Q379),ROUND(Q379*$C$4,2),"")</x:f>
        <x:v>2700</x:v>
      </x:c>
      <x:c r="S379" s="17" t="n">
        <x:f>IF(ISNUMBER(Q379),Q379+R379,"")</x:f>
        <x:v>17700</x:v>
      </x:c>
      <x:c r="T379" s="2" t="str">
        <x:f>IF(H379=0,"Not selected",IF(ISNUMBER(N379),"Quote entered",IF(N379&lt;&gt;"","Enter numeric quote",IF(H379=F379,IF(ISNUMBER(P379),"Complete unit","Price required"),"Partial package: price required"))))</x:f>
        <x:v>Complete unit</x:v>
      </x:c>
      <x:c r="U379" s="2" t="str">
        <x:v>TEN-21547F90B021; TEN-468F13A024BF; TEN-4B78498AB581; TEN-6039480EF58D; TEN-606A7820DBB1; TEN-82912B769ADD; TEN-945F177BCC3D; TEN-9B085FDF9B41; TEN-C0593D51DA8B; TEN-F1431134EFB9; TEN-FDDB23A263CE</x:v>
      </x:c>
      <x:c r="V379" s="2" t="str">
        <x:v>IT &amp; digital; Professional services; Trade, consumer &amp; logistics; Unresolved</x:v>
      </x:c>
      <x:c r="W379" s="2" t="str">
        <x:v>Small-scale prospects; Mixed business audience</x:v>
      </x:c>
      <x:c r="X379" s="17" t="n">
        <x:f>IF(AND(H379=F379,NOT(ISNUMBER(N379)),N379="",ISNUMBER(K379)),K379,0)</x:f>
        <x:v>15000</x:v>
      </x:c>
      <x:c r="Y379" s="17" t="n">
        <x:f>IF(AND(H379=F379,NOT(ISNUMBER(N379)),N379="",K379="",ISNUMBER(O379)),O379,0)</x:f>
        <x:v>0</x:v>
      </x:c>
      <x:c r="Z379" s="17" t="n">
        <x:f>IF(AND(H379&gt;0,ISNUMBER(N379)),N379,0)</x:f>
        <x:v>0</x:v>
      </x:c>
      <x:c r="AA379" s="2" t="n">
        <x:f>IF(AND(H379&gt;0,N379="",NOT(ISNUMBER(Q379))),1,0)</x:f>
        <x:v>0</x:v>
      </x:c>
      <x:c r="AB379" s="2" t="n">
        <x:f>IF(AND(H379&gt;0,N379&lt;&gt;"",NOT(ISNUMBER(N379))),1,0)</x:f>
        <x:v>0</x:v>
      </x:c>
    </x:row>
    <x:row r="380" ht="48" customHeight="1">
      <x:c r="A380" s="2" t="str">
        <x:v>MAIN-387</x:v>
      </x:c>
      <x:c r="B380" s="2" t="str">
        <x:v>Main</x:v>
      </x:c>
      <x:c r="C380" s="2" t="str">
        <x:v>Pune</x:v>
      </x:c>
      <x:c r="D380" s="12" t="str">
        <x:v>Awfis - Baner Business Bay</x:v>
      </x:c>
      <x:c r="E380" s="12" t="str">
        <x:v>32 inch LED TV</x:v>
      </x:c>
      <x:c r="F380" s="2" t="n">
        <x:v>1</x:v>
      </x:c>
      <x:c r="G380" s="2" t="n">
        <x:v>1</x:v>
      </x:c>
      <x:c r="H380" s="2" t="n">
        <x:f>COUNTIFS('Inventory'!$N$7:$N$783,A380,'Inventory'!$A$7:$A$783,1)</x:f>
        <x:v>1</x:v>
      </x:c>
      <x:c r="I380" s="2" t="n">
        <x:f>SUMIFS('Inventory'!$G$7:$G$783,'Inventory'!$N$7:$N$783,A380,'Inventory'!$A$7:$A$783,1)</x:f>
        <x:v>1</x:v>
      </x:c>
      <x:c r="J380" s="12" t="str">
        <x:v>Listed budget</x:v>
      </x:c>
      <x:c r="K380" s="17" t="n">
        <x:v>15000</x:v>
      </x:c>
      <x:c r="L380" s="17"/>
      <x:c r="M380" s="17"/>
      <x:c r="N380" s="19"/>
      <x:c r="O380" s="17" t="str">
        <x:f>IF(ISNUMBER(L380),G380*L380,IF(ISNUMBER(M380),M380,""))</x:f>
      </x:c>
      <x:c r="P380" s="17" t="n">
        <x:f>IF(ISNUMBER(K380),K380,IF(ISNUMBER(O380),O380,""))</x:f>
        <x:v>15000</x:v>
      </x:c>
      <x:c r="Q380" s="17" t="n">
        <x:f>IF(H380=0,0,IF(ISNUMBER(N380),N380,IF(N380="",IF(H380=F380,P380,""),"")))</x:f>
        <x:v>15000</x:v>
      </x:c>
      <x:c r="R380" s="17" t="n">
        <x:f>IF(ISNUMBER(Q380),ROUND(Q380*$C$4,2),"")</x:f>
        <x:v>2700</x:v>
      </x:c>
      <x:c r="S380" s="17" t="n">
        <x:f>IF(ISNUMBER(Q380),Q380+R380,"")</x:f>
        <x:v>17700</x:v>
      </x:c>
      <x:c r="T380" s="2" t="str">
        <x:f>IF(H380=0,"Not selected",IF(ISNUMBER(N380),"Quote entered",IF(N380&lt;&gt;"","Enter numeric quote",IF(H380=F380,IF(ISNUMBER(P380),"Complete unit","Price required"),"Partial package: price required"))))</x:f>
        <x:v>Complete unit</x:v>
      </x:c>
      <x:c r="U380" s="2" t="str">
        <x:v>TEN-298147A4B3E2</x:v>
      </x:c>
      <x:c r="V380" s="2" t="str">
        <x:v>Workspace &amp; property operations</x:v>
      </x:c>
      <x:c r="W380" s="2" t="str">
        <x:v>Mixed business audience</x:v>
      </x:c>
      <x:c r="X380" s="17" t="n">
        <x:f>IF(AND(H380=F380,NOT(ISNUMBER(N380)),N380="",ISNUMBER(K380)),K380,0)</x:f>
        <x:v>15000</x:v>
      </x:c>
      <x:c r="Y380" s="17" t="n">
        <x:f>IF(AND(H380=F380,NOT(ISNUMBER(N380)),N380="",K380="",ISNUMBER(O380)),O380,0)</x:f>
        <x:v>0</x:v>
      </x:c>
      <x:c r="Z380" s="17" t="n">
        <x:f>IF(AND(H380&gt;0,ISNUMBER(N380)),N380,0)</x:f>
        <x:v>0</x:v>
      </x:c>
      <x:c r="AA380" s="2" t="n">
        <x:f>IF(AND(H380&gt;0,N380="",NOT(ISNUMBER(Q380))),1,0)</x:f>
        <x:v>0</x:v>
      </x:c>
      <x:c r="AB380" s="2" t="n">
        <x:f>IF(AND(H380&gt;0,N380&lt;&gt;"",NOT(ISNUMBER(N380))),1,0)</x:f>
        <x:v>0</x:v>
      </x:c>
    </x:row>
    <x:row r="381" ht="48" customHeight="1">
      <x:c r="A381" s="2" t="str">
        <x:v>MAIN-388</x:v>
      </x:c>
      <x:c r="B381" s="2" t="str">
        <x:v>Main</x:v>
      </x:c>
      <x:c r="C381" s="2" t="str">
        <x:v>Pune</x:v>
      </x:c>
      <x:c r="D381" s="12" t="str">
        <x:v>Awfis - GK Mall</x:v>
      </x:c>
      <x:c r="E381" s="12" t="str">
        <x:v>32 inch LED TV</x:v>
      </x:c>
      <x:c r="F381" s="2" t="n">
        <x:v>1</x:v>
      </x:c>
      <x:c r="G381" s="2" t="n">
        <x:v>2</x:v>
      </x:c>
      <x:c r="H381" s="2" t="n">
        <x:f>COUNTIFS('Inventory'!$N$7:$N$783,A381,'Inventory'!$A$7:$A$783,1)</x:f>
        <x:v>1</x:v>
      </x:c>
      <x:c r="I381" s="2" t="n">
        <x:f>SUMIFS('Inventory'!$G$7:$G$783,'Inventory'!$N$7:$N$783,A381,'Inventory'!$A$7:$A$783,1)</x:f>
        <x:v>2</x:v>
      </x:c>
      <x:c r="J381" s="12" t="str">
        <x:v>Listed budget</x:v>
      </x:c>
      <x:c r="K381" s="17" t="n">
        <x:v>30000</x:v>
      </x:c>
      <x:c r="L381" s="17"/>
      <x:c r="M381" s="17"/>
      <x:c r="N381" s="19"/>
      <x:c r="O381" s="17" t="str">
        <x:f>IF(ISNUMBER(L381),G381*L381,IF(ISNUMBER(M381),M381,""))</x:f>
      </x:c>
      <x:c r="P381" s="17" t="n">
        <x:f>IF(ISNUMBER(K381),K381,IF(ISNUMBER(O381),O381,""))</x:f>
        <x:v>30000</x:v>
      </x:c>
      <x:c r="Q381" s="17" t="n">
        <x:f>IF(H381=0,0,IF(ISNUMBER(N381),N381,IF(N381="",IF(H381=F381,P381,""),"")))</x:f>
        <x:v>30000</x:v>
      </x:c>
      <x:c r="R381" s="17" t="n">
        <x:f>IF(ISNUMBER(Q381),ROUND(Q381*$C$4,2),"")</x:f>
        <x:v>5400</x:v>
      </x:c>
      <x:c r="S381" s="17" t="n">
        <x:f>IF(ISNUMBER(Q381),Q381+R381,"")</x:f>
        <x:v>35400</x:v>
      </x:c>
      <x:c r="T381" s="2" t="str">
        <x:f>IF(H381=0,"Not selected",IF(ISNUMBER(N381),"Quote entered",IF(N381&lt;&gt;"","Enter numeric quote",IF(H381=F381,IF(ISNUMBER(P381),"Complete unit","Price required"),"Partial package: price required"))))</x:f>
        <x:v>Complete unit</x:v>
      </x:c>
      <x:c r="U381" s="2" t="str">
        <x:v>TEN-32436E849088; TEN-5E5F0F62ACE8; TEN-CB5214A112D9</x:v>
      </x:c>
      <x:c r="V381" s="2" t="str">
        <x:v>IT &amp; digital; Engineering &amp; manufacturing</x:v>
      </x:c>
      <x:c r="W381" s="2" t="str">
        <x:v>Small-scale prospects; Mixed business audience</x:v>
      </x:c>
      <x:c r="X381" s="17" t="n">
        <x:f>IF(AND(H381=F381,NOT(ISNUMBER(N381)),N381="",ISNUMBER(K381)),K381,0)</x:f>
        <x:v>30000</x:v>
      </x:c>
      <x:c r="Y381" s="17" t="n">
        <x:f>IF(AND(H381=F381,NOT(ISNUMBER(N381)),N381="",K381="",ISNUMBER(O381)),O381,0)</x:f>
        <x:v>0</x:v>
      </x:c>
      <x:c r="Z381" s="17" t="n">
        <x:f>IF(AND(H381&gt;0,ISNUMBER(N381)),N381,0)</x:f>
        <x:v>0</x:v>
      </x:c>
      <x:c r="AA381" s="2" t="n">
        <x:f>IF(AND(H381&gt;0,N381="",NOT(ISNUMBER(Q381))),1,0)</x:f>
        <x:v>0</x:v>
      </x:c>
      <x:c r="AB381" s="2" t="n">
        <x:f>IF(AND(H381&gt;0,N381&lt;&gt;"",NOT(ISNUMBER(N381))),1,0)</x:f>
        <x:v>0</x:v>
      </x:c>
    </x:row>
    <x:row r="382" ht="48" customHeight="1">
      <x:c r="A382" s="2" t="str">
        <x:v>MAIN-389</x:v>
      </x:c>
      <x:c r="B382" s="2" t="str">
        <x:v>Main</x:v>
      </x:c>
      <x:c r="C382" s="2" t="str">
        <x:v>Pune</x:v>
      </x:c>
      <x:c r="D382" s="12" t="str">
        <x:v>Awfis - Nyati Empress</x:v>
      </x:c>
      <x:c r="E382" s="12" t="str">
        <x:v>32 inch LED TV</x:v>
      </x:c>
      <x:c r="F382" s="2" t="n">
        <x:v>1</x:v>
      </x:c>
      <x:c r="G382" s="2" t="n">
        <x:v>2</x:v>
      </x:c>
      <x:c r="H382" s="2" t="n">
        <x:f>COUNTIFS('Inventory'!$N$7:$N$783,A382,'Inventory'!$A$7:$A$783,1)</x:f>
        <x:v>1</x:v>
      </x:c>
      <x:c r="I382" s="2" t="n">
        <x:f>SUMIFS('Inventory'!$G$7:$G$783,'Inventory'!$N$7:$N$783,A382,'Inventory'!$A$7:$A$783,1)</x:f>
        <x:v>2</x:v>
      </x:c>
      <x:c r="J382" s="12" t="str">
        <x:v>Listed budget</x:v>
      </x:c>
      <x:c r="K382" s="17" t="n">
        <x:v>30000</x:v>
      </x:c>
      <x:c r="L382" s="17"/>
      <x:c r="M382" s="17"/>
      <x:c r="N382" s="19"/>
      <x:c r="O382" s="17" t="str">
        <x:f>IF(ISNUMBER(L382),G382*L382,IF(ISNUMBER(M382),M382,""))</x:f>
      </x:c>
      <x:c r="P382" s="17" t="n">
        <x:f>IF(ISNUMBER(K382),K382,IF(ISNUMBER(O382),O382,""))</x:f>
        <x:v>30000</x:v>
      </x:c>
      <x:c r="Q382" s="17" t="n">
        <x:f>IF(H382=0,0,IF(ISNUMBER(N382),N382,IF(N382="",IF(H382=F382,P382,""),"")))</x:f>
        <x:v>30000</x:v>
      </x:c>
      <x:c r="R382" s="17" t="n">
        <x:f>IF(ISNUMBER(Q382),ROUND(Q382*$C$4,2),"")</x:f>
        <x:v>5400</x:v>
      </x:c>
      <x:c r="S382" s="17" t="n">
        <x:f>IF(ISNUMBER(Q382),Q382+R382,"")</x:f>
        <x:v>35400</x:v>
      </x:c>
      <x:c r="T382" s="2" t="str">
        <x:f>IF(H382=0,"Not selected",IF(ISNUMBER(N382),"Quote entered",IF(N382&lt;&gt;"","Enter numeric quote",IF(H382=F382,IF(ISNUMBER(P382),"Complete unit","Price required"),"Partial package: price required"))))</x:f>
        <x:v>Complete unit</x:v>
      </x:c>
      <x:c r="U382" s="2" t="str">
        <x:v>TEN-0326E980B70D; TEN-06727277697A; TEN-2998ED5504A1; TEN-38C0CE06A8BC; TEN-6969B4A0FF58; TEN-7415B9829C2E; TEN-8304F5E570A0; TEN-83D4208E08C1; TEN-90FAE2E6BE07; TEN-9C6170918FFD</x:v>
      </x:c>
      <x:c r="V382" s="2" t="str">
        <x:v>IT &amp; digital; Engineering &amp; manufacturing; Education; Trade, consumer &amp; logistics; Unresolved</x:v>
      </x:c>
      <x:c r="W382" s="2" t="str">
        <x:v>Small-scale prospects; Mixed business audience</x:v>
      </x:c>
      <x:c r="X382" s="17" t="n">
        <x:f>IF(AND(H382=F382,NOT(ISNUMBER(N382)),N382="",ISNUMBER(K382)),K382,0)</x:f>
        <x:v>30000</x:v>
      </x:c>
      <x:c r="Y382" s="17" t="n">
        <x:f>IF(AND(H382=F382,NOT(ISNUMBER(N382)),N382="",K382="",ISNUMBER(O382)),O382,0)</x:f>
        <x:v>0</x:v>
      </x:c>
      <x:c r="Z382" s="17" t="n">
        <x:f>IF(AND(H382&gt;0,ISNUMBER(N382)),N382,0)</x:f>
        <x:v>0</x:v>
      </x:c>
      <x:c r="AA382" s="2" t="n">
        <x:f>IF(AND(H382&gt;0,N382="",NOT(ISNUMBER(Q382))),1,0)</x:f>
        <x:v>0</x:v>
      </x:c>
      <x:c r="AB382" s="2" t="n">
        <x:f>IF(AND(H382&gt;0,N382&lt;&gt;"",NOT(ISNUMBER(N382))),1,0)</x:f>
        <x:v>0</x:v>
      </x:c>
    </x:row>
    <x:row r="383" ht="48" customHeight="1">
      <x:c r="A383" s="2" t="str">
        <x:v>MAIN-390</x:v>
      </x:c>
      <x:c r="B383" s="2" t="str">
        <x:v>Main</x:v>
      </x:c>
      <x:c r="C383" s="2" t="str">
        <x:v>Pune</x:v>
      </x:c>
      <x:c r="D383" s="12" t="str">
        <x:v>Awfis - Que Spaces</x:v>
      </x:c>
      <x:c r="E383" s="12" t="str">
        <x:v>32 inch LED TV</x:v>
      </x:c>
      <x:c r="F383" s="2" t="n">
        <x:v>1</x:v>
      </x:c>
      <x:c r="G383" s="2" t="n">
        <x:v>1</x:v>
      </x:c>
      <x:c r="H383" s="2" t="n">
        <x:f>COUNTIFS('Inventory'!$N$7:$N$783,A383,'Inventory'!$A$7:$A$783,1)</x:f>
        <x:v>1</x:v>
      </x:c>
      <x:c r="I383" s="2" t="n">
        <x:f>SUMIFS('Inventory'!$G$7:$G$783,'Inventory'!$N$7:$N$783,A383,'Inventory'!$A$7:$A$783,1)</x:f>
        <x:v>1</x:v>
      </x:c>
      <x:c r="J383" s="12" t="str">
        <x:v>Listed budget</x:v>
      </x:c>
      <x:c r="K383" s="17" t="n">
        <x:v>15000</x:v>
      </x:c>
      <x:c r="L383" s="17"/>
      <x:c r="M383" s="17"/>
      <x:c r="N383" s="19"/>
      <x:c r="O383" s="17" t="str">
        <x:f>IF(ISNUMBER(L383),G383*L383,IF(ISNUMBER(M383),M383,""))</x:f>
      </x:c>
      <x:c r="P383" s="17" t="n">
        <x:f>IF(ISNUMBER(K383),K383,IF(ISNUMBER(O383),O383,""))</x:f>
        <x:v>15000</x:v>
      </x:c>
      <x:c r="Q383" s="17" t="n">
        <x:f>IF(H383=0,0,IF(ISNUMBER(N383),N383,IF(N383="",IF(H383=F383,P383,""),"")))</x:f>
        <x:v>15000</x:v>
      </x:c>
      <x:c r="R383" s="17" t="n">
        <x:f>IF(ISNUMBER(Q383),ROUND(Q383*$C$4,2),"")</x:f>
        <x:v>2700</x:v>
      </x:c>
      <x:c r="S383" s="17" t="n">
        <x:f>IF(ISNUMBER(Q383),Q383+R383,"")</x:f>
        <x:v>17700</x:v>
      </x:c>
      <x:c r="T383" s="2" t="str">
        <x:f>IF(H383=0,"Not selected",IF(ISNUMBER(N383),"Quote entered",IF(N383&lt;&gt;"","Enter numeric quote",IF(H383=F383,IF(ISNUMBER(P383),"Complete unit","Price required"),"Partial package: price required"))))</x:f>
        <x:v>Complete unit</x:v>
      </x:c>
      <x:c r="U383" s="2" t="str">
        <x:v>TEN-0BF65E02B55B; TEN-177143D144A7; TEN-17EF62BE4FAF; TEN-1CC4F645DA2D; TEN-400B12B9213E; TEN-44D980DAC028; TEN-4DEC05E892A7; TEN-61A78304B3C4; TEN-76D9D5E81093; TEN-93969D193161; TEN-9ADA93CCAD10; TEN-9BAF3A40312F; TEN-B423960A2E90; TEN-C82109C6EDE0; TEN-D6C66DBDE5EB; TEN-EC1837F50F67; TEN-EEE1C1ADE652; TEN-F9505A739A8F; TEN-FF7C6D9BF585</x:v>
      </x:c>
      <x:c r="V383" s="2" t="str">
        <x:v>Engineering &amp; manufacturing; Trade, consumer &amp; logistics; Workspace &amp; property operations; Unresolved</x:v>
      </x:c>
      <x:c r="W383" s="2" t="str">
        <x:v>Small-scale prospects; Large enterprise; Mixed business audience</x:v>
      </x:c>
      <x:c r="X383" s="17" t="n">
        <x:f>IF(AND(H383=F383,NOT(ISNUMBER(N383)),N383="",ISNUMBER(K383)),K383,0)</x:f>
        <x:v>15000</x:v>
      </x:c>
      <x:c r="Y383" s="17" t="n">
        <x:f>IF(AND(H383=F383,NOT(ISNUMBER(N383)),N383="",K383="",ISNUMBER(O383)),O383,0)</x:f>
        <x:v>0</x:v>
      </x:c>
      <x:c r="Z383" s="17" t="n">
        <x:f>IF(AND(H383&gt;0,ISNUMBER(N383)),N383,0)</x:f>
        <x:v>0</x:v>
      </x:c>
      <x:c r="AA383" s="2" t="n">
        <x:f>IF(AND(H383&gt;0,N383="",NOT(ISNUMBER(Q383))),1,0)</x:f>
        <x:v>0</x:v>
      </x:c>
      <x:c r="AB383" s="2" t="n">
        <x:f>IF(AND(H383&gt;0,N383&lt;&gt;"",NOT(ISNUMBER(N383))),1,0)</x:f>
        <x:v>0</x:v>
      </x:c>
    </x:row>
    <x:row r="384" ht="48" customHeight="1">
      <x:c r="A384" s="2" t="str">
        <x:v>MAIN-391</x:v>
      </x:c>
      <x:c r="B384" s="2" t="str">
        <x:v>Main</x:v>
      </x:c>
      <x:c r="C384" s="2" t="str">
        <x:v>Pune</x:v>
      </x:c>
      <x:c r="D384" s="12" t="str">
        <x:v>Awfis - Sterling Towers</x:v>
      </x:c>
      <x:c r="E384" s="12" t="str">
        <x:v>32 inch LED TV</x:v>
      </x:c>
      <x:c r="F384" s="2" t="n">
        <x:v>1</x:v>
      </x:c>
      <x:c r="G384" s="2" t="n">
        <x:v>1</x:v>
      </x:c>
      <x:c r="H384" s="2" t="n">
        <x:f>COUNTIFS('Inventory'!$N$7:$N$783,A384,'Inventory'!$A$7:$A$783,1)</x:f>
        <x:v>1</x:v>
      </x:c>
      <x:c r="I384" s="2" t="n">
        <x:f>SUMIFS('Inventory'!$G$7:$G$783,'Inventory'!$N$7:$N$783,A384,'Inventory'!$A$7:$A$783,1)</x:f>
        <x:v>1</x:v>
      </x:c>
      <x:c r="J384" s="12" t="str">
        <x:v>Listed budget</x:v>
      </x:c>
      <x:c r="K384" s="17" t="n">
        <x:v>15000</x:v>
      </x:c>
      <x:c r="L384" s="17"/>
      <x:c r="M384" s="17"/>
      <x:c r="N384" s="19"/>
      <x:c r="O384" s="17" t="str">
        <x:f>IF(ISNUMBER(L384),G384*L384,IF(ISNUMBER(M384),M384,""))</x:f>
      </x:c>
      <x:c r="P384" s="17" t="n">
        <x:f>IF(ISNUMBER(K384),K384,IF(ISNUMBER(O384),O384,""))</x:f>
        <x:v>15000</x:v>
      </x:c>
      <x:c r="Q384" s="17" t="n">
        <x:f>IF(H384=0,0,IF(ISNUMBER(N384),N384,IF(N384="",IF(H384=F384,P384,""),"")))</x:f>
        <x:v>15000</x:v>
      </x:c>
      <x:c r="R384" s="17" t="n">
        <x:f>IF(ISNUMBER(Q384),ROUND(Q384*$C$4,2),"")</x:f>
        <x:v>2700</x:v>
      </x:c>
      <x:c r="S384" s="17" t="n">
        <x:f>IF(ISNUMBER(Q384),Q384+R384,"")</x:f>
        <x:v>17700</x:v>
      </x:c>
      <x:c r="T384" s="2" t="str">
        <x:f>IF(H384=0,"Not selected",IF(ISNUMBER(N384),"Quote entered",IF(N384&lt;&gt;"","Enter numeric quote",IF(H384=F384,IF(ISNUMBER(P384),"Complete unit","Price required"),"Partial package: price required"))))</x:f>
        <x:v>Complete unit</x:v>
      </x:c>
      <x:c r="U384" s="2" t="str">
        <x:v>TEN-440B05A629E1; TEN-F14290F59852</x:v>
      </x:c>
      <x:c r="V384" s="2" t="str">
        <x:v>Finance &amp; insurance; Engineering &amp; manufacturing</x:v>
      </x:c>
      <x:c r="W384" s="2" t="str">
        <x:v>Medium-scale prospects; Mixed business audience</x:v>
      </x:c>
      <x:c r="X384" s="17" t="n">
        <x:f>IF(AND(H384=F384,NOT(ISNUMBER(N384)),N384="",ISNUMBER(K384)),K384,0)</x:f>
        <x:v>15000</x:v>
      </x:c>
      <x:c r="Y384" s="17" t="n">
        <x:f>IF(AND(H384=F384,NOT(ISNUMBER(N384)),N384="",K384="",ISNUMBER(O384)),O384,0)</x:f>
        <x:v>0</x:v>
      </x:c>
      <x:c r="Z384" s="17" t="n">
        <x:f>IF(AND(H384&gt;0,ISNUMBER(N384)),N384,0)</x:f>
        <x:v>0</x:v>
      </x:c>
      <x:c r="AA384" s="2" t="n">
        <x:f>IF(AND(H384&gt;0,N384="",NOT(ISNUMBER(Q384))),1,0)</x:f>
        <x:v>0</x:v>
      </x:c>
      <x:c r="AB384" s="2" t="n">
        <x:f>IF(AND(H384&gt;0,N384&lt;&gt;"",NOT(ISNUMBER(N384))),1,0)</x:f>
        <x:v>0</x:v>
      </x:c>
    </x:row>
    <x:row r="385" ht="48" customHeight="1">
      <x:c r="A385" s="2" t="str">
        <x:v>MAIN-392</x:v>
      </x:c>
      <x:c r="B385" s="2" t="str">
        <x:v>Main</x:v>
      </x:c>
      <x:c r="C385" s="2" t="str">
        <x:v>Pune</x:v>
      </x:c>
      <x:c r="D385" s="12" t="str">
        <x:v>Awfis - The Kode</x:v>
      </x:c>
      <x:c r="E385" s="12" t="str">
        <x:v>32 inch LED TV</x:v>
      </x:c>
      <x:c r="F385" s="2" t="n">
        <x:v>1</x:v>
      </x:c>
      <x:c r="G385" s="2" t="n">
        <x:v>2</x:v>
      </x:c>
      <x:c r="H385" s="2" t="n">
        <x:f>COUNTIFS('Inventory'!$N$7:$N$783,A385,'Inventory'!$A$7:$A$783,1)</x:f>
        <x:v>1</x:v>
      </x:c>
      <x:c r="I385" s="2" t="n">
        <x:f>SUMIFS('Inventory'!$G$7:$G$783,'Inventory'!$N$7:$N$783,A385,'Inventory'!$A$7:$A$783,1)</x:f>
        <x:v>2</x:v>
      </x:c>
      <x:c r="J385" s="12" t="str">
        <x:v>Estimate: standard rate</x:v>
      </x:c>
      <x:c r="K385" s="17"/>
      <x:c r="L385" s="17" t="n">
        <x:f>$C$5</x:f>
        <x:v>12000</x:v>
      </x:c>
      <x:c r="M385" s="17"/>
      <x:c r="N385" s="19"/>
      <x:c r="O385" s="17" t="n">
        <x:f>IF(ISNUMBER(L385),G385*L385,IF(ISNUMBER(M385),M385,""))</x:f>
        <x:v>24000</x:v>
      </x:c>
      <x:c r="P385" s="17" t="n">
        <x:f>IF(ISNUMBER(K385),K385,IF(ISNUMBER(O385),O385,""))</x:f>
        <x:v>24000</x:v>
      </x:c>
      <x:c r="Q385" s="17" t="n">
        <x:f>IF(H385=0,0,IF(ISNUMBER(N385),N385,IF(N385="",IF(H385=F385,P385,""),"")))</x:f>
        <x:v>24000</x:v>
      </x:c>
      <x:c r="R385" s="17" t="n">
        <x:f>IF(ISNUMBER(Q385),ROUND(Q385*$C$4,2),"")</x:f>
        <x:v>4320</x:v>
      </x:c>
      <x:c r="S385" s="17" t="n">
        <x:f>IF(ISNUMBER(Q385),Q385+R385,"")</x:f>
        <x:v>28320</x:v>
      </x:c>
      <x:c r="T385" s="2" t="str">
        <x:f>IF(H385=0,"Not selected",IF(ISNUMBER(N385),"Quote entered",IF(N385&lt;&gt;"","Enter numeric quote",IF(H385=F385,IF(ISNUMBER(P385),"Complete unit","Price required"),"Partial package: price required"))))</x:f>
        <x:v>Complete unit</x:v>
      </x:c>
      <x:c r="U385" s="2" t="str">
        <x:v>TEN-110C38B1F574; TEN-2B016B188C7A</x:v>
      </x:c>
      <x:c r="V385" s="2" t="str">
        <x:v>Engineering &amp; manufacturing; Trade, consumer &amp; logistics</x:v>
      </x:c>
      <x:c r="W385" s="2" t="str">
        <x:v>Small-scale prospects; Mixed business audience</x:v>
      </x:c>
      <x:c r="X385" s="17" t="n">
        <x:f>IF(AND(H385=F385,NOT(ISNUMBER(N385)),N385="",ISNUMBER(K385)),K385,0)</x:f>
        <x:v>0</x:v>
      </x:c>
      <x:c r="Y385" s="17" t="n">
        <x:f>IF(AND(H385=F385,NOT(ISNUMBER(N385)),N385="",K385="",ISNUMBER(O385)),O385,0)</x:f>
        <x:v>24000</x:v>
      </x:c>
      <x:c r="Z385" s="17" t="n">
        <x:f>IF(AND(H385&gt;0,ISNUMBER(N385)),N385,0)</x:f>
        <x:v>0</x:v>
      </x:c>
      <x:c r="AA385" s="2" t="n">
        <x:f>IF(AND(H385&gt;0,N385="",NOT(ISNUMBER(Q385))),1,0)</x:f>
        <x:v>0</x:v>
      </x:c>
      <x:c r="AB385" s="2" t="n">
        <x:f>IF(AND(H385&gt;0,N385&lt;&gt;"",NOT(ISNUMBER(N385))),1,0)</x:f>
        <x:v>0</x:v>
      </x:c>
    </x:row>
    <x:row r="386" ht="48" customHeight="1">
      <x:c r="A386" s="2" t="str">
        <x:v>MAIN-393</x:v>
      </x:c>
      <x:c r="B386" s="2" t="str">
        <x:v>Main</x:v>
      </x:c>
      <x:c r="C386" s="2" t="str">
        <x:v>Pune</x:v>
      </x:c>
      <x:c r="D386" s="12" t="str">
        <x:v>Balewadi Tech Park</x:v>
      </x:c>
      <x:c r="E386" s="12" t="str">
        <x:v>55 inch LED TV</x:v>
      </x:c>
      <x:c r="F386" s="2" t="n">
        <x:v>1</x:v>
      </x:c>
      <x:c r="G386" s="2" t="n">
        <x:v>1</x:v>
      </x:c>
      <x:c r="H386" s="2" t="n">
        <x:f>COUNTIFS('Inventory'!$N$7:$N$783,A386,'Inventory'!$A$7:$A$783,1)</x:f>
        <x:v>1</x:v>
      </x:c>
      <x:c r="I386" s="2" t="n">
        <x:f>SUMIFS('Inventory'!$G$7:$G$783,'Inventory'!$N$7:$N$783,A386,'Inventory'!$A$7:$A$783,1)</x:f>
        <x:v>1</x:v>
      </x:c>
      <x:c r="J386" s="12" t="str">
        <x:v>Campaign format rate</x:v>
      </x:c>
      <x:c r="K386" s="17"/>
      <x:c r="L386" s="17" t="n">
        <x:f>$I$5</x:f>
        <x:v>40000</x:v>
      </x:c>
      <x:c r="M386" s="17"/>
      <x:c r="N386" s="19"/>
      <x:c r="O386" s="17" t="n">
        <x:f>IF(ISNUMBER(L386),G386*L386,IF(ISNUMBER(M386),M386,""))</x:f>
        <x:v>40000</x:v>
      </x:c>
      <x:c r="P386" s="17" t="n">
        <x:f>IF(ISNUMBER(K386),K386,IF(ISNUMBER(O386),O386,""))</x:f>
        <x:v>40000</x:v>
      </x:c>
      <x:c r="Q386" s="17" t="n">
        <x:f>IF(H386=0,0,IF(ISNUMBER(N386),N386,IF(N386="",IF(H386=F386,P386,""),"")))</x:f>
        <x:v>40000</x:v>
      </x:c>
      <x:c r="R386" s="17" t="n">
        <x:f>IF(ISNUMBER(Q386),ROUND(Q386*$C$4,2),"")</x:f>
        <x:v>7200</x:v>
      </x:c>
      <x:c r="S386" s="17" t="n">
        <x:f>IF(ISNUMBER(Q386),Q386+R386,"")</x:f>
        <x:v>47200</x:v>
      </x:c>
      <x:c r="T386" s="2" t="str">
        <x:f>IF(H386=0,"Not selected",IF(ISNUMBER(N386),"Quote entered",IF(N386&lt;&gt;"","Enter numeric quote",IF(H386=F386,IF(ISNUMBER(P386),"Complete unit","Price required"),"Partial package: price required"))))</x:f>
        <x:v>Complete unit</x:v>
      </x:c>
      <x:c r="U386" s="2" t="str"/>
      <x:c r="V386" s="2" t="str">
        <x:v>Unclassified</x:v>
      </x:c>
      <x:c r="W386" s="2" t="str">
        <x:v>Mixed business audience</x:v>
      </x:c>
      <x:c r="X386" s="17" t="n">
        <x:f>IF(AND(H386=F386,NOT(ISNUMBER(N386)),N386="",ISNUMBER(K386)),K386,0)</x:f>
        <x:v>0</x:v>
      </x:c>
      <x:c r="Y386" s="17" t="n">
        <x:f>IF(AND(H386=F386,NOT(ISNUMBER(N386)),N386="",K386="",ISNUMBER(O386)),O386,0)</x:f>
        <x:v>40000</x:v>
      </x:c>
      <x:c r="Z386" s="17" t="n">
        <x:f>IF(AND(H386&gt;0,ISNUMBER(N386)),N386,0)</x:f>
        <x:v>0</x:v>
      </x:c>
      <x:c r="AA386" s="2" t="n">
        <x:f>IF(AND(H386&gt;0,N386="",NOT(ISNUMBER(Q386))),1,0)</x:f>
        <x:v>0</x:v>
      </x:c>
      <x:c r="AB386" s="2" t="n">
        <x:f>IF(AND(H386&gt;0,N386&lt;&gt;"",NOT(ISNUMBER(N386))),1,0)</x:f>
        <x:v>0</x:v>
      </x:c>
    </x:row>
    <x:row r="387" ht="48" customHeight="1">
      <x:c r="A387" s="2" t="str">
        <x:v>MAIN-394</x:v>
      </x:c>
      <x:c r="B387" s="2" t="str">
        <x:v>Main</x:v>
      </x:c>
      <x:c r="C387" s="2" t="str">
        <x:v>Pune</x:v>
      </x:c>
      <x:c r="D387" s="12" t="str">
        <x:v>Bootstart - Clover Hills Plaza</x:v>
      </x:c>
      <x:c r="E387" s="12" t="str">
        <x:v>32 inch LED TV</x:v>
      </x:c>
      <x:c r="F387" s="2" t="n">
        <x:v>1</x:v>
      </x:c>
      <x:c r="G387" s="2" t="n">
        <x:v>1</x:v>
      </x:c>
      <x:c r="H387" s="2" t="n">
        <x:f>COUNTIFS('Inventory'!$N$7:$N$783,A387,'Inventory'!$A$7:$A$783,1)</x:f>
        <x:v>1</x:v>
      </x:c>
      <x:c r="I387" s="2" t="n">
        <x:f>SUMIFS('Inventory'!$G$7:$G$783,'Inventory'!$N$7:$N$783,A387,'Inventory'!$A$7:$A$783,1)</x:f>
        <x:v>1</x:v>
      </x:c>
      <x:c r="J387" s="12" t="str">
        <x:v>Listed budget</x:v>
      </x:c>
      <x:c r="K387" s="17" t="n">
        <x:v>15000</x:v>
      </x:c>
      <x:c r="L387" s="17"/>
      <x:c r="M387" s="17"/>
      <x:c r="N387" s="19"/>
      <x:c r="O387" s="17" t="str">
        <x:f>IF(ISNUMBER(L387),G387*L387,IF(ISNUMBER(M387),M387,""))</x:f>
      </x:c>
      <x:c r="P387" s="17" t="n">
        <x:f>IF(ISNUMBER(K387),K387,IF(ISNUMBER(O387),O387,""))</x:f>
        <x:v>15000</x:v>
      </x:c>
      <x:c r="Q387" s="17" t="n">
        <x:f>IF(H387=0,0,IF(ISNUMBER(N387),N387,IF(N387="",IF(H387=F387,P387,""),"")))</x:f>
        <x:v>15000</x:v>
      </x:c>
      <x:c r="R387" s="17" t="n">
        <x:f>IF(ISNUMBER(Q387),ROUND(Q387*$C$4,2),"")</x:f>
        <x:v>2700</x:v>
      </x:c>
      <x:c r="S387" s="17" t="n">
        <x:f>IF(ISNUMBER(Q387),Q387+R387,"")</x:f>
        <x:v>17700</x:v>
      </x:c>
      <x:c r="T387" s="2" t="str">
        <x:f>IF(H387=0,"Not selected",IF(ISNUMBER(N387),"Quote entered",IF(N387&lt;&gt;"","Enter numeric quote",IF(H387=F387,IF(ISNUMBER(P387),"Complete unit","Price required"),"Partial package: price required"))))</x:f>
        <x:v>Complete unit</x:v>
      </x:c>
      <x:c r="U387" s="2" t="str">
        <x:v>TEN-333981AAF1CC</x:v>
      </x:c>
      <x:c r="V387" s="2" t="str">
        <x:v>IT &amp; digital</x:v>
      </x:c>
      <x:c r="W387" s="2" t="str">
        <x:v>Small-scale prospects</x:v>
      </x:c>
      <x:c r="X387" s="17" t="n">
        <x:f>IF(AND(H387=F387,NOT(ISNUMBER(N387)),N387="",ISNUMBER(K387)),K387,0)</x:f>
        <x:v>15000</x:v>
      </x:c>
      <x:c r="Y387" s="17" t="n">
        <x:f>IF(AND(H387=F387,NOT(ISNUMBER(N387)),N387="",K387="",ISNUMBER(O387)),O387,0)</x:f>
        <x:v>0</x:v>
      </x:c>
      <x:c r="Z387" s="17" t="n">
        <x:f>IF(AND(H387&gt;0,ISNUMBER(N387)),N387,0)</x:f>
        <x:v>0</x:v>
      </x:c>
      <x:c r="AA387" s="2" t="n">
        <x:f>IF(AND(H387&gt;0,N387="",NOT(ISNUMBER(Q387))),1,0)</x:f>
        <x:v>0</x:v>
      </x:c>
      <x:c r="AB387" s="2" t="n">
        <x:f>IF(AND(H387&gt;0,N387&lt;&gt;"",NOT(ISNUMBER(N387))),1,0)</x:f>
        <x:v>0</x:v>
      </x:c>
    </x:row>
    <x:row r="388" ht="48" customHeight="1">
      <x:c r="A388" s="2" t="str">
        <x:v>MAIN-395</x:v>
      </x:c>
      <x:c r="B388" s="2" t="str">
        <x:v>Main</x:v>
      </x:c>
      <x:c r="C388" s="2" t="str">
        <x:v>Pune</x:v>
      </x:c>
      <x:c r="D388" s="12" t="str">
        <x:v>Bootstart Arcadian</x:v>
      </x:c>
      <x:c r="E388" s="12" t="str">
        <x:v>32 inch LED TV</x:v>
      </x:c>
      <x:c r="F388" s="2" t="n">
        <x:v>1</x:v>
      </x:c>
      <x:c r="G388" s="2" t="n">
        <x:v>1</x:v>
      </x:c>
      <x:c r="H388" s="2" t="n">
        <x:f>COUNTIFS('Inventory'!$N$7:$N$783,A388,'Inventory'!$A$7:$A$783,1)</x:f>
        <x:v>1</x:v>
      </x:c>
      <x:c r="I388" s="2" t="n">
        <x:f>SUMIFS('Inventory'!$G$7:$G$783,'Inventory'!$N$7:$N$783,A388,'Inventory'!$A$7:$A$783,1)</x:f>
        <x:v>1</x:v>
      </x:c>
      <x:c r="J388" s="12" t="str">
        <x:v>Listed budget</x:v>
      </x:c>
      <x:c r="K388" s="17" t="n">
        <x:v>15000</x:v>
      </x:c>
      <x:c r="L388" s="17"/>
      <x:c r="M388" s="17"/>
      <x:c r="N388" s="19"/>
      <x:c r="O388" s="17" t="str">
        <x:f>IF(ISNUMBER(L388),G388*L388,IF(ISNUMBER(M388),M388,""))</x:f>
      </x:c>
      <x:c r="P388" s="17" t="n">
        <x:f>IF(ISNUMBER(K388),K388,IF(ISNUMBER(O388),O388,""))</x:f>
        <x:v>15000</x:v>
      </x:c>
      <x:c r="Q388" s="17" t="n">
        <x:f>IF(H388=0,0,IF(ISNUMBER(N388),N388,IF(N388="",IF(H388=F388,P388,""),"")))</x:f>
        <x:v>15000</x:v>
      </x:c>
      <x:c r="R388" s="17" t="n">
        <x:f>IF(ISNUMBER(Q388),ROUND(Q388*$C$4,2),"")</x:f>
        <x:v>2700</x:v>
      </x:c>
      <x:c r="S388" s="17" t="n">
        <x:f>IF(ISNUMBER(Q388),Q388+R388,"")</x:f>
        <x:v>17700</x:v>
      </x:c>
      <x:c r="T388" s="2" t="str">
        <x:f>IF(H388=0,"Not selected",IF(ISNUMBER(N388),"Quote entered",IF(N388&lt;&gt;"","Enter numeric quote",IF(H388=F388,IF(ISNUMBER(P388),"Complete unit","Price required"),"Partial package: price required"))))</x:f>
        <x:v>Complete unit</x:v>
      </x:c>
      <x:c r="U388" s="2" t="str">
        <x:v>TEN-1C3EC3D2C486; TEN-905DC3BE01C5; TEN-99B6213B308F; TEN-BB2996861C7F; TEN-BDE489F8D79E; TEN-C679DA09E353; TEN-FD729CB32F6E</x:v>
      </x:c>
      <x:c r="V388" s="2" t="str">
        <x:v>Professional services; Healthcare &amp; life sciences; Trade, consumer &amp; logistics; Unresolved</x:v>
      </x:c>
      <x:c r="W388" s="2" t="str">
        <x:v>Small-scale prospects; Mixed business audience</x:v>
      </x:c>
      <x:c r="X388" s="17" t="n">
        <x:f>IF(AND(H388=F388,NOT(ISNUMBER(N388)),N388="",ISNUMBER(K388)),K388,0)</x:f>
        <x:v>15000</x:v>
      </x:c>
      <x:c r="Y388" s="17" t="n">
        <x:f>IF(AND(H388=F388,NOT(ISNUMBER(N388)),N388="",K388="",ISNUMBER(O388)),O388,0)</x:f>
        <x:v>0</x:v>
      </x:c>
      <x:c r="Z388" s="17" t="n">
        <x:f>IF(AND(H388&gt;0,ISNUMBER(N388)),N388,0)</x:f>
        <x:v>0</x:v>
      </x:c>
      <x:c r="AA388" s="2" t="n">
        <x:f>IF(AND(H388&gt;0,N388="",NOT(ISNUMBER(Q388))),1,0)</x:f>
        <x:v>0</x:v>
      </x:c>
      <x:c r="AB388" s="2" t="n">
        <x:f>IF(AND(H388&gt;0,N388&lt;&gt;"",NOT(ISNUMBER(N388))),1,0)</x:f>
        <x:v>0</x:v>
      </x:c>
    </x:row>
    <x:row r="389" ht="48" customHeight="1">
      <x:c r="A389" s="2" t="str">
        <x:v>MAIN-396</x:v>
      </x:c>
      <x:c r="B389" s="2" t="str">
        <x:v>Main</x:v>
      </x:c>
      <x:c r="C389" s="2" t="str">
        <x:v>Pune</x:v>
      </x:c>
      <x:c r="D389" s="12" t="str">
        <x:v>Brookfield - 45Icon Business Parks</x:v>
      </x:c>
      <x:c r="E389" s="12" t="str">
        <x:v>55 inch LED TV</x:v>
      </x:c>
      <x:c r="F389" s="2" t="n">
        <x:v>1</x:v>
      </x:c>
      <x:c r="G389" s="2" t="n">
        <x:v>5</x:v>
      </x:c>
      <x:c r="H389" s="2" t="n">
        <x:f>COUNTIFS('Inventory'!$N$7:$N$783,A389,'Inventory'!$A$7:$A$783,1)</x:f>
        <x:v>1</x:v>
      </x:c>
      <x:c r="I389" s="2" t="n">
        <x:f>SUMIFS('Inventory'!$G$7:$G$783,'Inventory'!$N$7:$N$783,A389,'Inventory'!$A$7:$A$783,1)</x:f>
        <x:v>5</x:v>
      </x:c>
      <x:c r="J389" s="12" t="str">
        <x:v>Campaign format rate</x:v>
      </x:c>
      <x:c r="K389" s="17"/>
      <x:c r="L389" s="17" t="n">
        <x:f>$I$5</x:f>
        <x:v>40000</x:v>
      </x:c>
      <x:c r="M389" s="17"/>
      <x:c r="N389" s="19"/>
      <x:c r="O389" s="17" t="n">
        <x:f>IF(ISNUMBER(L389),G389*L389,IF(ISNUMBER(M389),M389,""))</x:f>
        <x:v>200000</x:v>
      </x:c>
      <x:c r="P389" s="17" t="n">
        <x:f>IF(ISNUMBER(K389),K389,IF(ISNUMBER(O389),O389,""))</x:f>
        <x:v>200000</x:v>
      </x:c>
      <x:c r="Q389" s="17" t="n">
        <x:f>IF(H389=0,0,IF(ISNUMBER(N389),N389,IF(N389="",IF(H389=F389,P389,""),"")))</x:f>
        <x:v>200000</x:v>
      </x:c>
      <x:c r="R389" s="17" t="n">
        <x:f>IF(ISNUMBER(Q389),ROUND(Q389*$C$4,2),"")</x:f>
        <x:v>36000</x:v>
      </x:c>
      <x:c r="S389" s="17" t="n">
        <x:f>IF(ISNUMBER(Q389),Q389+R389,"")</x:f>
        <x:v>236000</x:v>
      </x:c>
      <x:c r="T389" s="2" t="str">
        <x:f>IF(H389=0,"Not selected",IF(ISNUMBER(N389),"Quote entered",IF(N389&lt;&gt;"","Enter numeric quote",IF(H389=F389,IF(ISNUMBER(P389),"Complete unit","Price required"),"Partial package: price required"))))</x:f>
        <x:v>Complete unit</x:v>
      </x:c>
      <x:c r="U389" s="2" t="str"/>
      <x:c r="V389" s="2" t="str">
        <x:v>Unclassified</x:v>
      </x:c>
      <x:c r="W389" s="2" t="str">
        <x:v>Mixed business audience</x:v>
      </x:c>
      <x:c r="X389" s="17" t="n">
        <x:f>IF(AND(H389=F389,NOT(ISNUMBER(N389)),N389="",ISNUMBER(K389)),K389,0)</x:f>
        <x:v>0</x:v>
      </x:c>
      <x:c r="Y389" s="17" t="n">
        <x:f>IF(AND(H389=F389,NOT(ISNUMBER(N389)),N389="",K389="",ISNUMBER(O389)),O389,0)</x:f>
        <x:v>200000</x:v>
      </x:c>
      <x:c r="Z389" s="17" t="n">
        <x:f>IF(AND(H389&gt;0,ISNUMBER(N389)),N389,0)</x:f>
        <x:v>0</x:v>
      </x:c>
      <x:c r="AA389" s="2" t="n">
        <x:f>IF(AND(H389&gt;0,N389="",NOT(ISNUMBER(Q389))),1,0)</x:f>
        <x:v>0</x:v>
      </x:c>
      <x:c r="AB389" s="2" t="n">
        <x:f>IF(AND(H389&gt;0,N389&lt;&gt;"",NOT(ISNUMBER(N389))),1,0)</x:f>
        <x:v>0</x:v>
      </x:c>
    </x:row>
    <x:row r="390" ht="48" customHeight="1">
      <x:c r="A390" s="2" t="str">
        <x:v>MAIN-397</x:v>
      </x:c>
      <x:c r="B390" s="2" t="str">
        <x:v>Main</x:v>
      </x:c>
      <x:c r="C390" s="2" t="str">
        <x:v>Pune</x:v>
      </x:c>
      <x:c r="D390" s="12" t="str">
        <x:v>BSB Capital (Redbrick Offices)</x:v>
      </x:c>
      <x:c r="E390" s="12" t="str">
        <x:v>32 inch LED TV</x:v>
      </x:c>
      <x:c r="F390" s="2" t="n">
        <x:v>1</x:v>
      </x:c>
      <x:c r="G390" s="2" t="n">
        <x:v>1</x:v>
      </x:c>
      <x:c r="H390" s="2" t="n">
        <x:f>COUNTIFS('Inventory'!$N$7:$N$783,A390,'Inventory'!$A$7:$A$783,1)</x:f>
        <x:v>1</x:v>
      </x:c>
      <x:c r="I390" s="2" t="n">
        <x:f>SUMIFS('Inventory'!$G$7:$G$783,'Inventory'!$N$7:$N$783,A390,'Inventory'!$A$7:$A$783,1)</x:f>
        <x:v>1</x:v>
      </x:c>
      <x:c r="J390" s="12" t="str">
        <x:v>Listed budget</x:v>
      </x:c>
      <x:c r="K390" s="17" t="n">
        <x:v>15000</x:v>
      </x:c>
      <x:c r="L390" s="17"/>
      <x:c r="M390" s="17"/>
      <x:c r="N390" s="19"/>
      <x:c r="O390" s="17" t="str">
        <x:f>IF(ISNUMBER(L390),G390*L390,IF(ISNUMBER(M390),M390,""))</x:f>
      </x:c>
      <x:c r="P390" s="17" t="n">
        <x:f>IF(ISNUMBER(K390),K390,IF(ISNUMBER(O390),O390,""))</x:f>
        <x:v>15000</x:v>
      </x:c>
      <x:c r="Q390" s="17" t="n">
        <x:f>IF(H390=0,0,IF(ISNUMBER(N390),N390,IF(N390="",IF(H390=F390,P390,""),"")))</x:f>
        <x:v>15000</x:v>
      </x:c>
      <x:c r="R390" s="17" t="n">
        <x:f>IF(ISNUMBER(Q390),ROUND(Q390*$C$4,2),"")</x:f>
        <x:v>2700</x:v>
      </x:c>
      <x:c r="S390" s="17" t="n">
        <x:f>IF(ISNUMBER(Q390),Q390+R390,"")</x:f>
        <x:v>17700</x:v>
      </x:c>
      <x:c r="T390" s="2" t="str">
        <x:f>IF(H390=0,"Not selected",IF(ISNUMBER(N390),"Quote entered",IF(N390&lt;&gt;"","Enter numeric quote",IF(H390=F390,IF(ISNUMBER(P390),"Complete unit","Price required"),"Partial package: price required"))))</x:f>
        <x:v>Complete unit</x:v>
      </x:c>
      <x:c r="U390" s="2" t="str">
        <x:v>TEN-2DF359358C9E</x:v>
      </x:c>
      <x:c r="V390" s="2" t="str">
        <x:v>Unresolved</x:v>
      </x:c>
      <x:c r="W390" s="2" t="str">
        <x:v>Mixed business audience</x:v>
      </x:c>
      <x:c r="X390" s="17" t="n">
        <x:f>IF(AND(H390=F390,NOT(ISNUMBER(N390)),N390="",ISNUMBER(K390)),K390,0)</x:f>
        <x:v>15000</x:v>
      </x:c>
      <x:c r="Y390" s="17" t="n">
        <x:f>IF(AND(H390=F390,NOT(ISNUMBER(N390)),N390="",K390="",ISNUMBER(O390)),O390,0)</x:f>
        <x:v>0</x:v>
      </x:c>
      <x:c r="Z390" s="17" t="n">
        <x:f>IF(AND(H390&gt;0,ISNUMBER(N390)),N390,0)</x:f>
        <x:v>0</x:v>
      </x:c>
      <x:c r="AA390" s="2" t="n">
        <x:f>IF(AND(H390&gt;0,N390="",NOT(ISNUMBER(Q390))),1,0)</x:f>
        <x:v>0</x:v>
      </x:c>
      <x:c r="AB390" s="2" t="n">
        <x:f>IF(AND(H390&gt;0,N390&lt;&gt;"",NOT(ISNUMBER(N390))),1,0)</x:f>
        <x:v>0</x:v>
      </x:c>
    </x:row>
    <x:row r="391" ht="48" customHeight="1">
      <x:c r="A391" s="2" t="str">
        <x:v>MAIN-398</x:v>
      </x:c>
      <x:c r="B391" s="2" t="str">
        <x:v>Main</x:v>
      </x:c>
      <x:c r="C391" s="2" t="str">
        <x:v>Pune</x:v>
      </x:c>
      <x:c r="D391" s="12" t="str">
        <x:v>Credence Global Solutions</x:v>
      </x:c>
      <x:c r="E391" s="12" t="str">
        <x:v>32 inch LED TV</x:v>
      </x:c>
      <x:c r="F391" s="2" t="n">
        <x:v>1</x:v>
      </x:c>
      <x:c r="G391" s="2" t="n">
        <x:v>7</x:v>
      </x:c>
      <x:c r="H391" s="2" t="n">
        <x:f>COUNTIFS('Inventory'!$N$7:$N$783,A391,'Inventory'!$A$7:$A$783,1)</x:f>
        <x:v>1</x:v>
      </x:c>
      <x:c r="I391" s="2" t="n">
        <x:f>SUMIFS('Inventory'!$G$7:$G$783,'Inventory'!$N$7:$N$783,A391,'Inventory'!$A$7:$A$783,1)</x:f>
        <x:v>7</x:v>
      </x:c>
      <x:c r="J391" s="12" t="str">
        <x:v>Listed budget</x:v>
      </x:c>
      <x:c r="K391" s="17" t="n">
        <x:v>105000</x:v>
      </x:c>
      <x:c r="L391" s="17"/>
      <x:c r="M391" s="17"/>
      <x:c r="N391" s="19"/>
      <x:c r="O391" s="17" t="str">
        <x:f>IF(ISNUMBER(L391),G391*L391,IF(ISNUMBER(M391),M391,""))</x:f>
      </x:c>
      <x:c r="P391" s="17" t="n">
        <x:f>IF(ISNUMBER(K391),K391,IF(ISNUMBER(O391),O391,""))</x:f>
        <x:v>105000</x:v>
      </x:c>
      <x:c r="Q391" s="17" t="n">
        <x:f>IF(H391=0,0,IF(ISNUMBER(N391),N391,IF(N391="",IF(H391=F391,P391,""),"")))</x:f>
        <x:v>105000</x:v>
      </x:c>
      <x:c r="R391" s="17" t="n">
        <x:f>IF(ISNUMBER(Q391),ROUND(Q391*$C$4,2),"")</x:f>
        <x:v>18900</x:v>
      </x:c>
      <x:c r="S391" s="17" t="n">
        <x:f>IF(ISNUMBER(Q391),Q391+R391,"")</x:f>
        <x:v>123900</x:v>
      </x:c>
      <x:c r="T391" s="2" t="str">
        <x:f>IF(H391=0,"Not selected",IF(ISNUMBER(N391),"Quote entered",IF(N391&lt;&gt;"","Enter numeric quote",IF(H391=F391,IF(ISNUMBER(P391),"Complete unit","Price required"),"Partial package: price required"))))</x:f>
        <x:v>Complete unit</x:v>
      </x:c>
      <x:c r="U391" s="2" t="str">
        <x:v>TEN-6A50CCC096D5; TEN-D934E49EEA7C; TEN-F19F825E6EF8</x:v>
      </x:c>
      <x:c r="V391" s="2" t="str">
        <x:v>IT &amp; digital; Unresolved</x:v>
      </x:c>
      <x:c r="W391" s="2" t="str">
        <x:v>Mixed business audience</x:v>
      </x:c>
      <x:c r="X391" s="17" t="n">
        <x:f>IF(AND(H391=F391,NOT(ISNUMBER(N391)),N391="",ISNUMBER(K391)),K391,0)</x:f>
        <x:v>105000</x:v>
      </x:c>
      <x:c r="Y391" s="17" t="n">
        <x:f>IF(AND(H391=F391,NOT(ISNUMBER(N391)),N391="",K391="",ISNUMBER(O391)),O391,0)</x:f>
        <x:v>0</x:v>
      </x:c>
      <x:c r="Z391" s="17" t="n">
        <x:f>IF(AND(H391&gt;0,ISNUMBER(N391)),N391,0)</x:f>
        <x:v>0</x:v>
      </x:c>
      <x:c r="AA391" s="2" t="n">
        <x:f>IF(AND(H391&gt;0,N391="",NOT(ISNUMBER(Q391))),1,0)</x:f>
        <x:v>0</x:v>
      </x:c>
      <x:c r="AB391" s="2" t="n">
        <x:f>IF(AND(H391&gt;0,N391&lt;&gt;"",NOT(ISNUMBER(N391))),1,0)</x:f>
        <x:v>0</x:v>
      </x:c>
    </x:row>
    <x:row r="392" ht="48" customHeight="1">
      <x:c r="A392" s="2" t="str">
        <x:v>MAIN-399</x:v>
      </x:c>
      <x:c r="B392" s="2" t="str">
        <x:v>Main</x:v>
      </x:c>
      <x:c r="C392" s="2" t="str">
        <x:v>Pune</x:v>
      </x:c>
      <x:c r="D392" s="12" t="str">
        <x:v>GLT Raheja Woods </x:v>
      </x:c>
      <x:c r="E392" s="12" t="str">
        <x:v>55 inch LED TV</x:v>
      </x:c>
      <x:c r="F392" s="2" t="n">
        <x:v>1</x:v>
      </x:c>
      <x:c r="G392" s="2" t="n">
        <x:v>1</x:v>
      </x:c>
      <x:c r="H392" s="2" t="n">
        <x:f>COUNTIFS('Inventory'!$N$7:$N$783,A392,'Inventory'!$A$7:$A$783,1)</x:f>
        <x:v>1</x:v>
      </x:c>
      <x:c r="I392" s="2" t="n">
        <x:f>SUMIFS('Inventory'!$G$7:$G$783,'Inventory'!$N$7:$N$783,A392,'Inventory'!$A$7:$A$783,1)</x:f>
        <x:v>1</x:v>
      </x:c>
      <x:c r="J392" s="12" t="str">
        <x:v>Campaign format rate</x:v>
      </x:c>
      <x:c r="K392" s="17"/>
      <x:c r="L392" s="17" t="n">
        <x:f>$I$5</x:f>
        <x:v>40000</x:v>
      </x:c>
      <x:c r="M392" s="17"/>
      <x:c r="N392" s="19"/>
      <x:c r="O392" s="17" t="n">
        <x:f>IF(ISNUMBER(L392),G392*L392,IF(ISNUMBER(M392),M392,""))</x:f>
        <x:v>40000</x:v>
      </x:c>
      <x:c r="P392" s="17" t="n">
        <x:f>IF(ISNUMBER(K392),K392,IF(ISNUMBER(O392),O392,""))</x:f>
        <x:v>40000</x:v>
      </x:c>
      <x:c r="Q392" s="17" t="n">
        <x:f>IF(H392=0,0,IF(ISNUMBER(N392),N392,IF(N392="",IF(H392=F392,P392,""),"")))</x:f>
        <x:v>40000</x:v>
      </x:c>
      <x:c r="R392" s="17" t="n">
        <x:f>IF(ISNUMBER(Q392),ROUND(Q392*$C$4,2),"")</x:f>
        <x:v>7200</x:v>
      </x:c>
      <x:c r="S392" s="17" t="n">
        <x:f>IF(ISNUMBER(Q392),Q392+R392,"")</x:f>
        <x:v>47200</x:v>
      </x:c>
      <x:c r="T392" s="2" t="str">
        <x:f>IF(H392=0,"Not selected",IF(ISNUMBER(N392),"Quote entered",IF(N392&lt;&gt;"","Enter numeric quote",IF(H392=F392,IF(ISNUMBER(P392),"Complete unit","Price required"),"Partial package: price required"))))</x:f>
        <x:v>Complete unit</x:v>
      </x:c>
      <x:c r="U392" s="2" t="str"/>
      <x:c r="V392" s="2" t="str">
        <x:v>Unclassified</x:v>
      </x:c>
      <x:c r="W392" s="2" t="str">
        <x:v>Mixed business audience</x:v>
      </x:c>
      <x:c r="X392" s="17" t="n">
        <x:f>IF(AND(H392=F392,NOT(ISNUMBER(N392)),N392="",ISNUMBER(K392)),K392,0)</x:f>
        <x:v>0</x:v>
      </x:c>
      <x:c r="Y392" s="17" t="n">
        <x:f>IF(AND(H392=F392,NOT(ISNUMBER(N392)),N392="",K392="",ISNUMBER(O392)),O392,0)</x:f>
        <x:v>40000</x:v>
      </x:c>
      <x:c r="Z392" s="17" t="n">
        <x:f>IF(AND(H392&gt;0,ISNUMBER(N392)),N392,0)</x:f>
        <x:v>0</x:v>
      </x:c>
      <x:c r="AA392" s="2" t="n">
        <x:f>IF(AND(H392&gt;0,N392="",NOT(ISNUMBER(Q392))),1,0)</x:f>
        <x:v>0</x:v>
      </x:c>
      <x:c r="AB392" s="2" t="n">
        <x:f>IF(AND(H392&gt;0,N392&lt;&gt;"",NOT(ISNUMBER(N392))),1,0)</x:f>
        <x:v>0</x:v>
      </x:c>
    </x:row>
    <x:row r="393" ht="48" customHeight="1">
      <x:c r="A393" s="2" t="str">
        <x:v>MAIN-400</x:v>
      </x:c>
      <x:c r="B393" s="2" t="str">
        <x:v>Main</x:v>
      </x:c>
      <x:c r="C393" s="2" t="str">
        <x:v>Pune</x:v>
      </x:c>
      <x:c r="D393" s="12" t="str">
        <x:v>Godrej Koregaon Park Annex</x:v>
      </x:c>
      <x:c r="E393" s="12" t="str">
        <x:v>55 inch LED TV</x:v>
      </x:c>
      <x:c r="F393" s="2" t="n">
        <x:v>1</x:v>
      </x:c>
      <x:c r="G393" s="2" t="n">
        <x:v>1</x:v>
      </x:c>
      <x:c r="H393" s="2" t="n">
        <x:f>COUNTIFS('Inventory'!$N$7:$N$783,A393,'Inventory'!$A$7:$A$783,1)</x:f>
        <x:v>1</x:v>
      </x:c>
      <x:c r="I393" s="2" t="n">
        <x:f>SUMIFS('Inventory'!$G$7:$G$783,'Inventory'!$N$7:$N$783,A393,'Inventory'!$A$7:$A$783,1)</x:f>
        <x:v>1</x:v>
      </x:c>
      <x:c r="J393" s="12" t="str">
        <x:v>Campaign format rate</x:v>
      </x:c>
      <x:c r="K393" s="17"/>
      <x:c r="L393" s="17" t="n">
        <x:f>$I$5</x:f>
        <x:v>40000</x:v>
      </x:c>
      <x:c r="M393" s="17"/>
      <x:c r="N393" s="19"/>
      <x:c r="O393" s="17" t="n">
        <x:f>IF(ISNUMBER(L393),G393*L393,IF(ISNUMBER(M393),M393,""))</x:f>
        <x:v>40000</x:v>
      </x:c>
      <x:c r="P393" s="17" t="n">
        <x:f>IF(ISNUMBER(K393),K393,IF(ISNUMBER(O393),O393,""))</x:f>
        <x:v>40000</x:v>
      </x:c>
      <x:c r="Q393" s="17" t="n">
        <x:f>IF(H393=0,0,IF(ISNUMBER(N393),N393,IF(N393="",IF(H393=F393,P393,""),"")))</x:f>
        <x:v>40000</x:v>
      </x:c>
      <x:c r="R393" s="17" t="n">
        <x:f>IF(ISNUMBER(Q393),ROUND(Q393*$C$4,2),"")</x:f>
        <x:v>7200</x:v>
      </x:c>
      <x:c r="S393" s="17" t="n">
        <x:f>IF(ISNUMBER(Q393),Q393+R393,"")</x:f>
        <x:v>47200</x:v>
      </x:c>
      <x:c r="T393" s="2" t="str">
        <x:f>IF(H393=0,"Not selected",IF(ISNUMBER(N393),"Quote entered",IF(N393&lt;&gt;"","Enter numeric quote",IF(H393=F393,IF(ISNUMBER(P393),"Complete unit","Price required"),"Partial package: price required"))))</x:f>
        <x:v>Complete unit</x:v>
      </x:c>
      <x:c r="U393" s="2" t="str"/>
      <x:c r="V393" s="2" t="str">
        <x:v>Unclassified</x:v>
      </x:c>
      <x:c r="W393" s="2" t="str">
        <x:v>Mixed business audience</x:v>
      </x:c>
      <x:c r="X393" s="17" t="n">
        <x:f>IF(AND(H393=F393,NOT(ISNUMBER(N393)),N393="",ISNUMBER(K393)),K393,0)</x:f>
        <x:v>0</x:v>
      </x:c>
      <x:c r="Y393" s="17" t="n">
        <x:f>IF(AND(H393=F393,NOT(ISNUMBER(N393)),N393="",K393="",ISNUMBER(O393)),O393,0)</x:f>
        <x:v>40000</x:v>
      </x:c>
      <x:c r="Z393" s="17" t="n">
        <x:f>IF(AND(H393&gt;0,ISNUMBER(N393)),N393,0)</x:f>
        <x:v>0</x:v>
      </x:c>
      <x:c r="AA393" s="2" t="n">
        <x:f>IF(AND(H393&gt;0,N393="",NOT(ISNUMBER(Q393))),1,0)</x:f>
        <x:v>0</x:v>
      </x:c>
      <x:c r="AB393" s="2" t="n">
        <x:f>IF(AND(H393&gt;0,N393&lt;&gt;"",NOT(ISNUMBER(N393))),1,0)</x:f>
        <x:v>0</x:v>
      </x:c>
    </x:row>
    <x:row r="394" ht="48" customHeight="1">
      <x:c r="A394" s="2" t="str">
        <x:v>MAIN-401</x:v>
      </x:c>
      <x:c r="B394" s="2" t="str">
        <x:v>Main</x:v>
      </x:c>
      <x:c r="C394" s="2" t="str">
        <x:v>Pune</x:v>
      </x:c>
      <x:c r="D394" s="12" t="str">
        <x:v>International Tech Park Pune - ITPP</x:v>
      </x:c>
      <x:c r="E394" s="12" t="str">
        <x:v>55 inch LED TV</x:v>
      </x:c>
      <x:c r="F394" s="2" t="n">
        <x:v>1</x:v>
      </x:c>
      <x:c r="G394" s="2" t="n">
        <x:v>1</x:v>
      </x:c>
      <x:c r="H394" s="2" t="n">
        <x:f>COUNTIFS('Inventory'!$N$7:$N$783,A394,'Inventory'!$A$7:$A$783,1)</x:f>
        <x:v>1</x:v>
      </x:c>
      <x:c r="I394" s="2" t="n">
        <x:f>SUMIFS('Inventory'!$G$7:$G$783,'Inventory'!$N$7:$N$783,A394,'Inventory'!$A$7:$A$783,1)</x:f>
        <x:v>1</x:v>
      </x:c>
      <x:c r="J394" s="12" t="str">
        <x:v>Campaign format rate</x:v>
      </x:c>
      <x:c r="K394" s="17"/>
      <x:c r="L394" s="17" t="n">
        <x:f>$I$5</x:f>
        <x:v>40000</x:v>
      </x:c>
      <x:c r="M394" s="17"/>
      <x:c r="N394" s="19"/>
      <x:c r="O394" s="17" t="n">
        <x:f>IF(ISNUMBER(L394),G394*L394,IF(ISNUMBER(M394),M394,""))</x:f>
        <x:v>40000</x:v>
      </x:c>
      <x:c r="P394" s="17" t="n">
        <x:f>IF(ISNUMBER(K394),K394,IF(ISNUMBER(O394),O394,""))</x:f>
        <x:v>40000</x:v>
      </x:c>
      <x:c r="Q394" s="17" t="n">
        <x:f>IF(H394=0,0,IF(ISNUMBER(N394),N394,IF(N394="",IF(H394=F394,P394,""),"")))</x:f>
        <x:v>40000</x:v>
      </x:c>
      <x:c r="R394" s="17" t="n">
        <x:f>IF(ISNUMBER(Q394),ROUND(Q394*$C$4,2),"")</x:f>
        <x:v>7200</x:v>
      </x:c>
      <x:c r="S394" s="17" t="n">
        <x:f>IF(ISNUMBER(Q394),Q394+R394,"")</x:f>
        <x:v>47200</x:v>
      </x:c>
      <x:c r="T394" s="2" t="str">
        <x:f>IF(H394=0,"Not selected",IF(ISNUMBER(N394),"Quote entered",IF(N394&lt;&gt;"","Enter numeric quote",IF(H394=F394,IF(ISNUMBER(P394),"Complete unit","Price required"),"Partial package: price required"))))</x:f>
        <x:v>Complete unit</x:v>
      </x:c>
      <x:c r="U394" s="2" t="str"/>
      <x:c r="V394" s="2" t="str">
        <x:v>Unclassified</x:v>
      </x:c>
      <x:c r="W394" s="2" t="str">
        <x:v>Mixed business audience</x:v>
      </x:c>
      <x:c r="X394" s="17" t="n">
        <x:f>IF(AND(H394=F394,NOT(ISNUMBER(N394)),N394="",ISNUMBER(K394)),K394,0)</x:f>
        <x:v>0</x:v>
      </x:c>
      <x:c r="Y394" s="17" t="n">
        <x:f>IF(AND(H394=F394,NOT(ISNUMBER(N394)),N394="",K394="",ISNUMBER(O394)),O394,0)</x:f>
        <x:v>40000</x:v>
      </x:c>
      <x:c r="Z394" s="17" t="n">
        <x:f>IF(AND(H394&gt;0,ISNUMBER(N394)),N394,0)</x:f>
        <x:v>0</x:v>
      </x:c>
      <x:c r="AA394" s="2" t="n">
        <x:f>IF(AND(H394&gt;0,N394="",NOT(ISNUMBER(Q394))),1,0)</x:f>
        <x:v>0</x:v>
      </x:c>
      <x:c r="AB394" s="2" t="n">
        <x:f>IF(AND(H394&gt;0,N394&lt;&gt;"",NOT(ISNUMBER(N394))),1,0)</x:f>
        <x:v>0</x:v>
      </x:c>
    </x:row>
    <x:row r="395" ht="48" customHeight="1">
      <x:c r="A395" s="2" t="str">
        <x:v>MAIN-402</x:v>
      </x:c>
      <x:c r="B395" s="2" t="str">
        <x:v>Main</x:v>
      </x:c>
      <x:c r="C395" s="2" t="str">
        <x:v>Pune</x:v>
      </x:c>
      <x:c r="D395" s="12" t="str">
        <x:v>Kolte Patil Downtown City Vista</x:v>
      </x:c>
      <x:c r="E395" s="12" t="str">
        <x:v>32 inch LED TV</x:v>
      </x:c>
      <x:c r="F395" s="2" t="n">
        <x:v>1</x:v>
      </x:c>
      <x:c r="G395" s="2" t="n">
        <x:v>9</x:v>
      </x:c>
      <x:c r="H395" s="2" t="n">
        <x:f>COUNTIFS('Inventory'!$N$7:$N$783,A395,'Inventory'!$A$7:$A$783,1)</x:f>
        <x:v>1</x:v>
      </x:c>
      <x:c r="I395" s="2" t="n">
        <x:f>SUMIFS('Inventory'!$G$7:$G$783,'Inventory'!$N$7:$N$783,A395,'Inventory'!$A$7:$A$783,1)</x:f>
        <x:v>9</x:v>
      </x:c>
      <x:c r="J395" s="12" t="str">
        <x:v>Listed budget</x:v>
      </x:c>
      <x:c r="K395" s="17" t="n">
        <x:v>135000</x:v>
      </x:c>
      <x:c r="L395" s="17"/>
      <x:c r="M395" s="17"/>
      <x:c r="N395" s="19"/>
      <x:c r="O395" s="17" t="str">
        <x:f>IF(ISNUMBER(L395),G395*L395,IF(ISNUMBER(M395),M395,""))</x:f>
      </x:c>
      <x:c r="P395" s="17" t="n">
        <x:f>IF(ISNUMBER(K395),K395,IF(ISNUMBER(O395),O395,""))</x:f>
        <x:v>135000</x:v>
      </x:c>
      <x:c r="Q395" s="17" t="n">
        <x:f>IF(H395=0,0,IF(ISNUMBER(N395),N395,IF(N395="",IF(H395=F395,P395,""),"")))</x:f>
        <x:v>135000</x:v>
      </x:c>
      <x:c r="R395" s="17" t="n">
        <x:f>IF(ISNUMBER(Q395),ROUND(Q395*$C$4,2),"")</x:f>
        <x:v>24300</x:v>
      </x:c>
      <x:c r="S395" s="17" t="n">
        <x:f>IF(ISNUMBER(Q395),Q395+R395,"")</x:f>
        <x:v>159300</x:v>
      </x:c>
      <x:c r="T395" s="2" t="str">
        <x:f>IF(H395=0,"Not selected",IF(ISNUMBER(N395),"Quote entered",IF(N395&lt;&gt;"","Enter numeric quote",IF(H395=F395,IF(ISNUMBER(P395),"Complete unit","Price required"),"Partial package: price required"))))</x:f>
        <x:v>Complete unit</x:v>
      </x:c>
      <x:c r="U395" s="2" t="str">
        <x:v>TEN-066213415683</x:v>
      </x:c>
      <x:c r="V395" s="2" t="str">
        <x:v>IT &amp; digital</x:v>
      </x:c>
      <x:c r="W395" s="2" t="str">
        <x:v>Small-scale prospects</x:v>
      </x:c>
      <x:c r="X395" s="17" t="n">
        <x:f>IF(AND(H395=F395,NOT(ISNUMBER(N395)),N395="",ISNUMBER(K395)),K395,0)</x:f>
        <x:v>135000</x:v>
      </x:c>
      <x:c r="Y395" s="17" t="n">
        <x:f>IF(AND(H395=F395,NOT(ISNUMBER(N395)),N395="",K395="",ISNUMBER(O395)),O395,0)</x:f>
        <x:v>0</x:v>
      </x:c>
      <x:c r="Z395" s="17" t="n">
        <x:f>IF(AND(H395&gt;0,ISNUMBER(N395)),N395,0)</x:f>
        <x:v>0</x:v>
      </x:c>
      <x:c r="AA395" s="2" t="n">
        <x:f>IF(AND(H395&gt;0,N395="",NOT(ISNUMBER(Q395))),1,0)</x:f>
        <x:v>0</x:v>
      </x:c>
      <x:c r="AB395" s="2" t="n">
        <x:f>IF(AND(H395&gt;0,N395&lt;&gt;"",NOT(ISNUMBER(N395))),1,0)</x:f>
        <x:v>0</x:v>
      </x:c>
    </x:row>
    <x:row r="396" ht="48" customHeight="1">
      <x:c r="A396" s="2" t="str">
        <x:v>MAIN-403</x:v>
      </x:c>
      <x:c r="B396" s="2" t="str">
        <x:v>Main</x:v>
      </x:c>
      <x:c r="C396" s="2" t="str">
        <x:v>Pune</x:v>
      </x:c>
      <x:c r="D396" s="12" t="str">
        <x:v>M Agile Tech Park</x:v>
      </x:c>
      <x:c r="E396" s="12" t="str">
        <x:v>43 inch LED TV</x:v>
      </x:c>
      <x:c r="F396" s="2" t="n">
        <x:v>1</x:v>
      </x:c>
      <x:c r="G396" s="2" t="n">
        <x:v>4</x:v>
      </x:c>
      <x:c r="H396" s="2" t="n">
        <x:f>COUNTIFS('Inventory'!$N$7:$N$783,A396,'Inventory'!$A$7:$A$783,1)</x:f>
        <x:v>1</x:v>
      </x:c>
      <x:c r="I396" s="2" t="n">
        <x:f>SUMIFS('Inventory'!$G$7:$G$783,'Inventory'!$N$7:$N$783,A396,'Inventory'!$A$7:$A$783,1)</x:f>
        <x:v>4</x:v>
      </x:c>
      <x:c r="J396" s="12" t="str">
        <x:v>Campaign format rate</x:v>
      </x:c>
      <x:c r="K396" s="17"/>
      <x:c r="L396" s="17" t="n">
        <x:f>$E$5</x:f>
        <x:v>20000</x:v>
      </x:c>
      <x:c r="M396" s="17"/>
      <x:c r="N396" s="19"/>
      <x:c r="O396" s="17" t="n">
        <x:f>IF(ISNUMBER(L396),G396*L396,IF(ISNUMBER(M396),M396,""))</x:f>
        <x:v>80000</x:v>
      </x:c>
      <x:c r="P396" s="17" t="n">
        <x:f>IF(ISNUMBER(K396),K396,IF(ISNUMBER(O396),O396,""))</x:f>
        <x:v>80000</x:v>
      </x:c>
      <x:c r="Q396" s="17" t="n">
        <x:f>IF(H396=0,0,IF(ISNUMBER(N396),N396,IF(N396="",IF(H396=F396,P396,""),"")))</x:f>
        <x:v>80000</x:v>
      </x:c>
      <x:c r="R396" s="17" t="n">
        <x:f>IF(ISNUMBER(Q396),ROUND(Q396*$C$4,2),"")</x:f>
        <x:v>14400</x:v>
      </x:c>
      <x:c r="S396" s="17" t="n">
        <x:f>IF(ISNUMBER(Q396),Q396+R396,"")</x:f>
        <x:v>94400</x:v>
      </x:c>
      <x:c r="T396" s="2" t="str">
        <x:f>IF(H396=0,"Not selected",IF(ISNUMBER(N396),"Quote entered",IF(N396&lt;&gt;"","Enter numeric quote",IF(H396=F396,IF(ISNUMBER(P396),"Complete unit","Price required"),"Partial package: price required"))))</x:f>
        <x:v>Complete unit</x:v>
      </x:c>
      <x:c r="U396" s="2" t="str">
        <x:v>TEN-2BA699ECCB6E; TEN-32D5FF7368CA; TEN-433FFE8165A6; TEN-9287B2BCD212; TEN-C59546E98326; TEN-E1F0AD0EC4D2; TEN-EE34A3B310C4</x:v>
      </x:c>
      <x:c r="V396" s="2" t="str">
        <x:v>IT &amp; digital; Engineering &amp; manufacturing</x:v>
      </x:c>
      <x:c r="W396" s="2" t="str">
        <x:v>Small-scale prospects; Medium-scale prospects; Mixed business audience</x:v>
      </x:c>
      <x:c r="X396" s="17" t="n">
        <x:f>IF(AND(H396=F396,NOT(ISNUMBER(N396)),N396="",ISNUMBER(K396)),K396,0)</x:f>
        <x:v>0</x:v>
      </x:c>
      <x:c r="Y396" s="17" t="n">
        <x:f>IF(AND(H396=F396,NOT(ISNUMBER(N396)),N396="",K396="",ISNUMBER(O396)),O396,0)</x:f>
        <x:v>80000</x:v>
      </x:c>
      <x:c r="Z396" s="17" t="n">
        <x:f>IF(AND(H396&gt;0,ISNUMBER(N396)),N396,0)</x:f>
        <x:v>0</x:v>
      </x:c>
      <x:c r="AA396" s="2" t="n">
        <x:f>IF(AND(H396&gt;0,N396="",NOT(ISNUMBER(Q396))),1,0)</x:f>
        <x:v>0</x:v>
      </x:c>
      <x:c r="AB396" s="2" t="n">
        <x:f>IF(AND(H396&gt;0,N396&lt;&gt;"",NOT(ISNUMBER(N396))),1,0)</x:f>
        <x:v>0</x:v>
      </x:c>
    </x:row>
    <x:row r="397" ht="48" customHeight="1">
      <x:c r="A397" s="2" t="str">
        <x:v>MAIN-404</x:v>
      </x:c>
      <x:c r="B397" s="2" t="str">
        <x:v>Main</x:v>
      </x:c>
      <x:c r="C397" s="2" t="str">
        <x:v>Pune</x:v>
      </x:c>
      <x:c r="D397" s="12" t="str">
        <x:v>Mayfield Towers</x:v>
      </x:c>
      <x:c r="E397" s="12" t="str">
        <x:v>43 inch LED TV</x:v>
      </x:c>
      <x:c r="F397" s="2" t="n">
        <x:v>1</x:v>
      </x:c>
      <x:c r="G397" s="2" t="n">
        <x:v>3</x:v>
      </x:c>
      <x:c r="H397" s="2" t="n">
        <x:f>COUNTIFS('Inventory'!$N$7:$N$783,A397,'Inventory'!$A$7:$A$783,1)</x:f>
        <x:v>1</x:v>
      </x:c>
      <x:c r="I397" s="2" t="n">
        <x:f>SUMIFS('Inventory'!$G$7:$G$783,'Inventory'!$N$7:$N$783,A397,'Inventory'!$A$7:$A$783,1)</x:f>
        <x:v>3</x:v>
      </x:c>
      <x:c r="J397" s="12" t="str">
        <x:v>Campaign format rate</x:v>
      </x:c>
      <x:c r="K397" s="17"/>
      <x:c r="L397" s="17" t="n">
        <x:f>$E$5</x:f>
        <x:v>20000</x:v>
      </x:c>
      <x:c r="M397" s="17"/>
      <x:c r="N397" s="19"/>
      <x:c r="O397" s="17" t="n">
        <x:f>IF(ISNUMBER(L397),G397*L397,IF(ISNUMBER(M397),M397,""))</x:f>
        <x:v>60000</x:v>
      </x:c>
      <x:c r="P397" s="17" t="n">
        <x:f>IF(ISNUMBER(K397),K397,IF(ISNUMBER(O397),O397,""))</x:f>
        <x:v>60000</x:v>
      </x:c>
      <x:c r="Q397" s="17" t="n">
        <x:f>IF(H397=0,0,IF(ISNUMBER(N397),N397,IF(N397="",IF(H397=F397,P397,""),"")))</x:f>
        <x:v>60000</x:v>
      </x:c>
      <x:c r="R397" s="17" t="n">
        <x:f>IF(ISNUMBER(Q397),ROUND(Q397*$C$4,2),"")</x:f>
        <x:v>10800</x:v>
      </x:c>
      <x:c r="S397" s="17" t="n">
        <x:f>IF(ISNUMBER(Q397),Q397+R397,"")</x:f>
        <x:v>70800</x:v>
      </x:c>
      <x:c r="T397" s="2" t="str">
        <x:f>IF(H397=0,"Not selected",IF(ISNUMBER(N397),"Quote entered",IF(N397&lt;&gt;"","Enter numeric quote",IF(H397=F397,IF(ISNUMBER(P397),"Complete unit","Price required"),"Partial package: price required"))))</x:f>
        <x:v>Complete unit</x:v>
      </x:c>
      <x:c r="U397" s="2" t="str">
        <x:v>TEN-64169C68A9B2; TEN-66DFC81EEFC3; TEN-B47C6547D90A; TEN-DF18A5911CC8; TEN-F05B963F9327; TEN-F192623D2043</x:v>
      </x:c>
      <x:c r="V397" s="2" t="str">
        <x:v>IT &amp; digital; Finance &amp; insurance; Engineering &amp; manufacturing; Trade, consumer &amp; logistics</x:v>
      </x:c>
      <x:c r="W397" s="2" t="str">
        <x:v>Mixed business audience</x:v>
      </x:c>
      <x:c r="X397" s="17" t="n">
        <x:f>IF(AND(H397=F397,NOT(ISNUMBER(N397)),N397="",ISNUMBER(K397)),K397,0)</x:f>
        <x:v>0</x:v>
      </x:c>
      <x:c r="Y397" s="17" t="n">
        <x:f>IF(AND(H397=F397,NOT(ISNUMBER(N397)),N397="",K397="",ISNUMBER(O397)),O397,0)</x:f>
        <x:v>60000</x:v>
      </x:c>
      <x:c r="Z397" s="17" t="n">
        <x:f>IF(AND(H397&gt;0,ISNUMBER(N397)),N397,0)</x:f>
        <x:v>0</x:v>
      </x:c>
      <x:c r="AA397" s="2" t="n">
        <x:f>IF(AND(H397&gt;0,N397="",NOT(ISNUMBER(Q397))),1,0)</x:f>
        <x:v>0</x:v>
      </x:c>
      <x:c r="AB397" s="2" t="n">
        <x:f>IF(AND(H397&gt;0,N397&lt;&gt;"",NOT(ISNUMBER(N397))),1,0)</x:f>
        <x:v>0</x:v>
      </x:c>
    </x:row>
    <x:row r="398" ht="48" customHeight="1">
      <x:c r="A398" s="2" t="str">
        <x:v>MAIN-405</x:v>
      </x:c>
      <x:c r="B398" s="2" t="str">
        <x:v>Main</x:v>
      </x:c>
      <x:c r="C398" s="2" t="str">
        <x:v>Pune</x:v>
      </x:c>
      <x:c r="D398" s="12" t="str">
        <x:v>Olympia B Premises</x:v>
      </x:c>
      <x:c r="E398" s="12" t="str">
        <x:v>32 inch LED TV</x:v>
      </x:c>
      <x:c r="F398" s="2" t="n">
        <x:v>1</x:v>
      </x:c>
      <x:c r="G398" s="2" t="n">
        <x:v>1</x:v>
      </x:c>
      <x:c r="H398" s="2" t="n">
        <x:f>COUNTIFS('Inventory'!$N$7:$N$783,A398,'Inventory'!$A$7:$A$783,1)</x:f>
        <x:v>1</x:v>
      </x:c>
      <x:c r="I398" s="2" t="n">
        <x:f>SUMIFS('Inventory'!$G$7:$G$783,'Inventory'!$N$7:$N$783,A398,'Inventory'!$A$7:$A$783,1)</x:f>
        <x:v>1</x:v>
      </x:c>
      <x:c r="J398" s="12" t="str">
        <x:v>Listed budget</x:v>
      </x:c>
      <x:c r="K398" s="17" t="n">
        <x:v>15000</x:v>
      </x:c>
      <x:c r="L398" s="17"/>
      <x:c r="M398" s="17"/>
      <x:c r="N398" s="19"/>
      <x:c r="O398" s="17" t="str">
        <x:f>IF(ISNUMBER(L398),G398*L398,IF(ISNUMBER(M398),M398,""))</x:f>
      </x:c>
      <x:c r="P398" s="17" t="n">
        <x:f>IF(ISNUMBER(K398),K398,IF(ISNUMBER(O398),O398,""))</x:f>
        <x:v>15000</x:v>
      </x:c>
      <x:c r="Q398" s="17" t="n">
        <x:f>IF(H398=0,0,IF(ISNUMBER(N398),N398,IF(N398="",IF(H398=F398,P398,""),"")))</x:f>
        <x:v>15000</x:v>
      </x:c>
      <x:c r="R398" s="17" t="n">
        <x:f>IF(ISNUMBER(Q398),ROUND(Q398*$C$4,2),"")</x:f>
        <x:v>2700</x:v>
      </x:c>
      <x:c r="S398" s="17" t="n">
        <x:f>IF(ISNUMBER(Q398),Q398+R398,"")</x:f>
        <x:v>17700</x:v>
      </x:c>
      <x:c r="T398" s="2" t="str">
        <x:f>IF(H398=0,"Not selected",IF(ISNUMBER(N398),"Quote entered",IF(N398&lt;&gt;"","Enter numeric quote",IF(H398=F398,IF(ISNUMBER(P398),"Complete unit","Price required"),"Partial package: price required"))))</x:f>
        <x:v>Complete unit</x:v>
      </x:c>
      <x:c r="U398" s="2" t="str">
        <x:v>TEN-0519A3DAAF8C; TEN-113BF217B1F3; TEN-5287C35B15B1; TEN-834434DB6B68; TEN-89AA1F9C78E6; TEN-E975E0EC9394; TEN-F01F46101559; TEN-FD8D253C74F8</x:v>
      </x:c>
      <x:c r="V398" s="2" t="str">
        <x:v>IT &amp; digital; Professional services; Finance &amp; insurance; Education; Trade, consumer &amp; logistics; Unresolved</x:v>
      </x:c>
      <x:c r="W398" s="2" t="str">
        <x:v>Small-scale prospects; Mixed business audience</x:v>
      </x:c>
      <x:c r="X398" s="17" t="n">
        <x:f>IF(AND(H398=F398,NOT(ISNUMBER(N398)),N398="",ISNUMBER(K398)),K398,0)</x:f>
        <x:v>15000</x:v>
      </x:c>
      <x:c r="Y398" s="17" t="n">
        <x:f>IF(AND(H398=F398,NOT(ISNUMBER(N398)),N398="",K398="",ISNUMBER(O398)),O398,0)</x:f>
        <x:v>0</x:v>
      </x:c>
      <x:c r="Z398" s="17" t="n">
        <x:f>IF(AND(H398&gt;0,ISNUMBER(N398)),N398,0)</x:f>
        <x:v>0</x:v>
      </x:c>
      <x:c r="AA398" s="2" t="n">
        <x:f>IF(AND(H398&gt;0,N398="",NOT(ISNUMBER(Q398))),1,0)</x:f>
        <x:v>0</x:v>
      </x:c>
      <x:c r="AB398" s="2" t="n">
        <x:f>IF(AND(H398&gt;0,N398&lt;&gt;"",NOT(ISNUMBER(N398))),1,0)</x:f>
        <x:v>0</x:v>
      </x:c>
    </x:row>
    <x:row r="399" ht="48" customHeight="1">
      <x:c r="A399" s="2" t="str">
        <x:v>MAIN-406</x:v>
      </x:c>
      <x:c r="B399" s="2" t="str">
        <x:v>Main</x:v>
      </x:c>
      <x:c r="C399" s="2" t="str">
        <x:v>Pune</x:v>
      </x:c>
      <x:c r="D399" s="12" t="str">
        <x:v>OLYMPIA B PREMISES Inside Elevator</x:v>
      </x:c>
      <x:c r="E399" s="12" t="str">
        <x:v>24 inch LED TV</x:v>
      </x:c>
      <x:c r="F399" s="2" t="n">
        <x:v>1</x:v>
      </x:c>
      <x:c r="G399" s="2" t="n">
        <x:v>1</x:v>
      </x:c>
      <x:c r="H399" s="2" t="n">
        <x:f>COUNTIFS('Inventory'!$N$7:$N$783,A399,'Inventory'!$A$7:$A$783,1)</x:f>
        <x:v>1</x:v>
      </x:c>
      <x:c r="I399" s="2" t="n">
        <x:f>SUMIFS('Inventory'!$G$7:$G$783,'Inventory'!$N$7:$N$783,A399,'Inventory'!$A$7:$A$783,1)</x:f>
        <x:v>1</x:v>
      </x:c>
      <x:c r="J399" s="12" t="str">
        <x:v>Listed budget</x:v>
      </x:c>
      <x:c r="K399" s="17" t="n">
        <x:v>15000</x:v>
      </x:c>
      <x:c r="L399" s="17"/>
      <x:c r="M399" s="17"/>
      <x:c r="N399" s="19"/>
      <x:c r="O399" s="17" t="str">
        <x:f>IF(ISNUMBER(L399),G399*L399,IF(ISNUMBER(M399),M399,""))</x:f>
      </x:c>
      <x:c r="P399" s="17" t="n">
        <x:f>IF(ISNUMBER(K399),K399,IF(ISNUMBER(O399),O399,""))</x:f>
        <x:v>15000</x:v>
      </x:c>
      <x:c r="Q399" s="17" t="n">
        <x:f>IF(H399=0,0,IF(ISNUMBER(N399),N399,IF(N399="",IF(H399=F399,P399,""),"")))</x:f>
        <x:v>15000</x:v>
      </x:c>
      <x:c r="R399" s="17" t="n">
        <x:f>IF(ISNUMBER(Q399),ROUND(Q399*$C$4,2),"")</x:f>
        <x:v>2700</x:v>
      </x:c>
      <x:c r="S399" s="17" t="n">
        <x:f>IF(ISNUMBER(Q399),Q399+R399,"")</x:f>
        <x:v>17700</x:v>
      </x:c>
      <x:c r="T399" s="2" t="str">
        <x:f>IF(H399=0,"Not selected",IF(ISNUMBER(N399),"Quote entered",IF(N399&lt;&gt;"","Enter numeric quote",IF(H399=F399,IF(ISNUMBER(P399),"Complete unit","Price required"),"Partial package: price required"))))</x:f>
        <x:v>Complete unit</x:v>
      </x:c>
      <x:c r="U399" s="2" t="str">
        <x:v>TEN-0519A3DAAF8C; TEN-113BF217B1F3; TEN-5287C35B15B1; TEN-834434DB6B68; TEN-89AA1F9C78E6; TEN-E975E0EC9394; TEN-F01F46101559; TEN-FD8D253C74F8</x:v>
      </x:c>
      <x:c r="V399" s="2" t="str">
        <x:v>IT &amp; digital; Professional services; Finance &amp; insurance; Education; Trade, consumer &amp; logistics; Unresolved</x:v>
      </x:c>
      <x:c r="W399" s="2" t="str">
        <x:v>Small-scale prospects; Mixed business audience</x:v>
      </x:c>
      <x:c r="X399" s="17" t="n">
        <x:f>IF(AND(H399=F399,NOT(ISNUMBER(N399)),N399="",ISNUMBER(K399)),K399,0)</x:f>
        <x:v>15000</x:v>
      </x:c>
      <x:c r="Y399" s="17" t="n">
        <x:f>IF(AND(H399=F399,NOT(ISNUMBER(N399)),N399="",K399="",ISNUMBER(O399)),O399,0)</x:f>
        <x:v>0</x:v>
      </x:c>
      <x:c r="Z399" s="17" t="n">
        <x:f>IF(AND(H399&gt;0,ISNUMBER(N399)),N399,0)</x:f>
        <x:v>0</x:v>
      </x:c>
      <x:c r="AA399" s="2" t="n">
        <x:f>IF(AND(H399&gt;0,N399="",NOT(ISNUMBER(Q399))),1,0)</x:f>
        <x:v>0</x:v>
      </x:c>
      <x:c r="AB399" s="2" t="n">
        <x:f>IF(AND(H399&gt;0,N399&lt;&gt;"",NOT(ISNUMBER(N399))),1,0)</x:f>
        <x:v>0</x:v>
      </x:c>
    </x:row>
    <x:row r="400" ht="48" customHeight="1">
      <x:c r="A400" s="2" t="str">
        <x:v>MAIN-407</x:v>
      </x:c>
      <x:c r="B400" s="2" t="str">
        <x:v>Main</x:v>
      </x:c>
      <x:c r="C400" s="2" t="str">
        <x:v>Pune</x:v>
      </x:c>
      <x:c r="D400" s="12" t="str">
        <x:v>Oyo Workspace - Innov8 Suman Business Park</x:v>
      </x:c>
      <x:c r="E400" s="12" t="str">
        <x:v>32 inch LED TV</x:v>
      </x:c>
      <x:c r="F400" s="2" t="n">
        <x:v>1</x:v>
      </x:c>
      <x:c r="G400" s="2" t="n">
        <x:v>2</x:v>
      </x:c>
      <x:c r="H400" s="2" t="n">
        <x:f>COUNTIFS('Inventory'!$N$7:$N$783,A400,'Inventory'!$A$7:$A$783,1)</x:f>
        <x:v>1</x:v>
      </x:c>
      <x:c r="I400" s="2" t="n">
        <x:f>SUMIFS('Inventory'!$G$7:$G$783,'Inventory'!$N$7:$N$783,A400,'Inventory'!$A$7:$A$783,1)</x:f>
        <x:v>2</x:v>
      </x:c>
      <x:c r="J400" s="12" t="str">
        <x:v>Listed budget</x:v>
      </x:c>
      <x:c r="K400" s="17" t="n">
        <x:v>30000</x:v>
      </x:c>
      <x:c r="L400" s="17"/>
      <x:c r="M400" s="17"/>
      <x:c r="N400" s="19"/>
      <x:c r="O400" s="17" t="str">
        <x:f>IF(ISNUMBER(L400),G400*L400,IF(ISNUMBER(M400),M400,""))</x:f>
      </x:c>
      <x:c r="P400" s="17" t="n">
        <x:f>IF(ISNUMBER(K400),K400,IF(ISNUMBER(O400),O400,""))</x:f>
        <x:v>30000</x:v>
      </x:c>
      <x:c r="Q400" s="17" t="n">
        <x:f>IF(H400=0,0,IF(ISNUMBER(N400),N400,IF(N400="",IF(H400=F400,P400,""),"")))</x:f>
        <x:v>30000</x:v>
      </x:c>
      <x:c r="R400" s="17" t="n">
        <x:f>IF(ISNUMBER(Q400),ROUND(Q400*$C$4,2),"")</x:f>
        <x:v>5400</x:v>
      </x:c>
      <x:c r="S400" s="17" t="n">
        <x:f>IF(ISNUMBER(Q400),Q400+R400,"")</x:f>
        <x:v>35400</x:v>
      </x:c>
      <x:c r="T400" s="2" t="str">
        <x:f>IF(H400=0,"Not selected",IF(ISNUMBER(N400),"Quote entered",IF(N400&lt;&gt;"","Enter numeric quote",IF(H400=F400,IF(ISNUMBER(P400),"Complete unit","Price required"),"Partial package: price required"))))</x:f>
        <x:v>Complete unit</x:v>
      </x:c>
      <x:c r="U400" s="2" t="str">
        <x:v>TEN-03D5A073B430; TEN-047619AF3AB9; TEN-0A337D28CD0B; TEN-0AD3D799437B; TEN-2FCA526E6EBB; TEN-487AAAFE33F4; TEN-4E958160A031; TEN-56FA58CE1FC6; TEN-81BA24BC70DD; TEN-89794163A43F; TEN-F877D8925526</x:v>
      </x:c>
      <x:c r="V400" s="2" t="str">
        <x:v>IT &amp; digital; Finance &amp; insurance; Engineering &amp; manufacturing; Trade, consumer &amp; logistics; Government &amp; nonprofit; Unresolved</x:v>
      </x:c>
      <x:c r="W400" s="2" t="str">
        <x:v>Small-scale prospects; Medium-scale prospects; Institutional; Mixed business audience</x:v>
      </x:c>
      <x:c r="X400" s="17" t="n">
        <x:f>IF(AND(H400=F400,NOT(ISNUMBER(N400)),N400="",ISNUMBER(K400)),K400,0)</x:f>
        <x:v>30000</x:v>
      </x:c>
      <x:c r="Y400" s="17" t="n">
        <x:f>IF(AND(H400=F400,NOT(ISNUMBER(N400)),N400="",K400="",ISNUMBER(O400)),O400,0)</x:f>
        <x:v>0</x:v>
      </x:c>
      <x:c r="Z400" s="17" t="n">
        <x:f>IF(AND(H400&gt;0,ISNUMBER(N400)),N400,0)</x:f>
        <x:v>0</x:v>
      </x:c>
      <x:c r="AA400" s="2" t="n">
        <x:f>IF(AND(H400&gt;0,N400="",NOT(ISNUMBER(Q400))),1,0)</x:f>
        <x:v>0</x:v>
      </x:c>
      <x:c r="AB400" s="2" t="n">
        <x:f>IF(AND(H400&gt;0,N400&lt;&gt;"",NOT(ISNUMBER(N400))),1,0)</x:f>
        <x:v>0</x:v>
      </x:c>
    </x:row>
    <x:row r="401" ht="48" customHeight="1">
      <x:c r="A401" s="2" t="str">
        <x:v>MAIN-408</x:v>
      </x:c>
      <x:c r="B401" s="2" t="str">
        <x:v>Main</x:v>
      </x:c>
      <x:c r="C401" s="2" t="str">
        <x:v>Pune</x:v>
      </x:c>
      <x:c r="D401" s="12" t="str">
        <x:v>Panchshil Viman Nagar (TS)</x:v>
      </x:c>
      <x:c r="E401" s="12" t="str">
        <x:v>55 inch LED TV</x:v>
      </x:c>
      <x:c r="F401" s="2" t="n">
        <x:v>1</x:v>
      </x:c>
      <x:c r="G401" s="2" t="n">
        <x:v>1</x:v>
      </x:c>
      <x:c r="H401" s="2" t="n">
        <x:f>COUNTIFS('Inventory'!$N$7:$N$783,A401,'Inventory'!$A$7:$A$783,1)</x:f>
        <x:v>1</x:v>
      </x:c>
      <x:c r="I401" s="2" t="n">
        <x:f>SUMIFS('Inventory'!$G$7:$G$783,'Inventory'!$N$7:$N$783,A401,'Inventory'!$A$7:$A$783,1)</x:f>
        <x:v>1</x:v>
      </x:c>
      <x:c r="J401" s="12" t="str">
        <x:v>Campaign format rate</x:v>
      </x:c>
      <x:c r="K401" s="17"/>
      <x:c r="L401" s="17" t="n">
        <x:f>$I$5</x:f>
        <x:v>40000</x:v>
      </x:c>
      <x:c r="M401" s="17"/>
      <x:c r="N401" s="19"/>
      <x:c r="O401" s="17" t="n">
        <x:f>IF(ISNUMBER(L401),G401*L401,IF(ISNUMBER(M401),M401,""))</x:f>
        <x:v>40000</x:v>
      </x:c>
      <x:c r="P401" s="17" t="n">
        <x:f>IF(ISNUMBER(K401),K401,IF(ISNUMBER(O401),O401,""))</x:f>
        <x:v>40000</x:v>
      </x:c>
      <x:c r="Q401" s="17" t="n">
        <x:f>IF(H401=0,0,IF(ISNUMBER(N401),N401,IF(N401="",IF(H401=F401,P401,""),"")))</x:f>
        <x:v>40000</x:v>
      </x:c>
      <x:c r="R401" s="17" t="n">
        <x:f>IF(ISNUMBER(Q401),ROUND(Q401*$C$4,2),"")</x:f>
        <x:v>7200</x:v>
      </x:c>
      <x:c r="S401" s="17" t="n">
        <x:f>IF(ISNUMBER(Q401),Q401+R401,"")</x:f>
        <x:v>47200</x:v>
      </x:c>
      <x:c r="T401" s="2" t="str">
        <x:f>IF(H401=0,"Not selected",IF(ISNUMBER(N401),"Quote entered",IF(N401&lt;&gt;"","Enter numeric quote",IF(H401=F401,IF(ISNUMBER(P401),"Complete unit","Price required"),"Partial package: price required"))))</x:f>
        <x:v>Complete unit</x:v>
      </x:c>
      <x:c r="U401" s="2" t="str"/>
      <x:c r="V401" s="2" t="str">
        <x:v>Unclassified</x:v>
      </x:c>
      <x:c r="W401" s="2" t="str">
        <x:v>Mixed business audience</x:v>
      </x:c>
      <x:c r="X401" s="17" t="n">
        <x:f>IF(AND(H401=F401,NOT(ISNUMBER(N401)),N401="",ISNUMBER(K401)),K401,0)</x:f>
        <x:v>0</x:v>
      </x:c>
      <x:c r="Y401" s="17" t="n">
        <x:f>IF(AND(H401=F401,NOT(ISNUMBER(N401)),N401="",K401="",ISNUMBER(O401)),O401,0)</x:f>
        <x:v>40000</x:v>
      </x:c>
      <x:c r="Z401" s="17" t="n">
        <x:f>IF(AND(H401&gt;0,ISNUMBER(N401)),N401,0)</x:f>
        <x:v>0</x:v>
      </x:c>
      <x:c r="AA401" s="2" t="n">
        <x:f>IF(AND(H401&gt;0,N401="",NOT(ISNUMBER(Q401))),1,0)</x:f>
        <x:v>0</x:v>
      </x:c>
      <x:c r="AB401" s="2" t="n">
        <x:f>IF(AND(H401&gt;0,N401&lt;&gt;"",NOT(ISNUMBER(N401))),1,0)</x:f>
        <x:v>0</x:v>
      </x:c>
    </x:row>
    <x:row r="402" ht="48" customHeight="1">
      <x:c r="A402" s="2" t="str">
        <x:v>MAIN-409</x:v>
      </x:c>
      <x:c r="B402" s="2" t="str">
        <x:v>Main</x:v>
      </x:c>
      <x:c r="C402" s="2" t="str">
        <x:v>Pune</x:v>
      </x:c>
      <x:c r="D402" s="12" t="str">
        <x:v>Pavillion Mall (Redbrick Offices)</x:v>
      </x:c>
      <x:c r="E402" s="12" t="str">
        <x:v>32 inch LED TV</x:v>
      </x:c>
      <x:c r="F402" s="2" t="n">
        <x:v>1</x:v>
      </x:c>
      <x:c r="G402" s="2" t="n">
        <x:v>1</x:v>
      </x:c>
      <x:c r="H402" s="2" t="n">
        <x:f>COUNTIFS('Inventory'!$N$7:$N$783,A402,'Inventory'!$A$7:$A$783,1)</x:f>
        <x:v>1</x:v>
      </x:c>
      <x:c r="I402" s="2" t="n">
        <x:f>SUMIFS('Inventory'!$G$7:$G$783,'Inventory'!$N$7:$N$783,A402,'Inventory'!$A$7:$A$783,1)</x:f>
        <x:v>1</x:v>
      </x:c>
      <x:c r="J402" s="12" t="str">
        <x:v>Listed budget</x:v>
      </x:c>
      <x:c r="K402" s="17" t="n">
        <x:v>15000</x:v>
      </x:c>
      <x:c r="L402" s="17"/>
      <x:c r="M402" s="17"/>
      <x:c r="N402" s="19"/>
      <x:c r="O402" s="17" t="str">
        <x:f>IF(ISNUMBER(L402),G402*L402,IF(ISNUMBER(M402),M402,""))</x:f>
      </x:c>
      <x:c r="P402" s="17" t="n">
        <x:f>IF(ISNUMBER(K402),K402,IF(ISNUMBER(O402),O402,""))</x:f>
        <x:v>15000</x:v>
      </x:c>
      <x:c r="Q402" s="17" t="n">
        <x:f>IF(H402=0,0,IF(ISNUMBER(N402),N402,IF(N402="",IF(H402=F402,P402,""),"")))</x:f>
        <x:v>15000</x:v>
      </x:c>
      <x:c r="R402" s="17" t="n">
        <x:f>IF(ISNUMBER(Q402),ROUND(Q402*$C$4,2),"")</x:f>
        <x:v>2700</x:v>
      </x:c>
      <x:c r="S402" s="17" t="n">
        <x:f>IF(ISNUMBER(Q402),Q402+R402,"")</x:f>
        <x:v>17700</x:v>
      </x:c>
      <x:c r="T402" s="2" t="str">
        <x:f>IF(H402=0,"Not selected",IF(ISNUMBER(N402),"Quote entered",IF(N402&lt;&gt;"","Enter numeric quote",IF(H402=F402,IF(ISNUMBER(P402),"Complete unit","Price required"),"Partial package: price required"))))</x:f>
        <x:v>Complete unit</x:v>
      </x:c>
      <x:c r="U402" s="2" t="str">
        <x:v>TEN-06CA3A8EC4E5; TEN-8811A6E72E7C; TEN-AA07CBFFEF18; TEN-EC11082DA4CE</x:v>
      </x:c>
      <x:c r="V402" s="2" t="str">
        <x:v>IT &amp; digital; Professional services; Healthcare &amp; life sciences</x:v>
      </x:c>
      <x:c r="W402" s="2" t="str">
        <x:v>Small-scale prospects; Medium-scale prospects; Mixed business audience</x:v>
      </x:c>
      <x:c r="X402" s="17" t="n">
        <x:f>IF(AND(H402=F402,NOT(ISNUMBER(N402)),N402="",ISNUMBER(K402)),K402,0)</x:f>
        <x:v>15000</x:v>
      </x:c>
      <x:c r="Y402" s="17" t="n">
        <x:f>IF(AND(H402=F402,NOT(ISNUMBER(N402)),N402="",K402="",ISNUMBER(O402)),O402,0)</x:f>
        <x:v>0</x:v>
      </x:c>
      <x:c r="Z402" s="17" t="n">
        <x:f>IF(AND(H402&gt;0,ISNUMBER(N402)),N402,0)</x:f>
        <x:v>0</x:v>
      </x:c>
      <x:c r="AA402" s="2" t="n">
        <x:f>IF(AND(H402&gt;0,N402="",NOT(ISNUMBER(Q402))),1,0)</x:f>
        <x:v>0</x:v>
      </x:c>
      <x:c r="AB402" s="2" t="n">
        <x:f>IF(AND(H402&gt;0,N402&lt;&gt;"",NOT(ISNUMBER(N402))),1,0)</x:f>
        <x:v>0</x:v>
      </x:c>
    </x:row>
    <x:row r="403" ht="48" customHeight="1">
      <x:c r="A403" s="2" t="str">
        <x:v>MAIN-410</x:v>
      </x:c>
      <x:c r="B403" s="2" t="str">
        <x:v>Main</x:v>
      </x:c>
      <x:c r="C403" s="2" t="str">
        <x:v>Pune</x:v>
      </x:c>
      <x:c r="D403" s="12" t="str">
        <x:v>PBP Balewadi High Street (Redbrick Offices)</x:v>
      </x:c>
      <x:c r="E403" s="12" t="str">
        <x:v>32 inch LED TV</x:v>
      </x:c>
      <x:c r="F403" s="2" t="n">
        <x:v>1</x:v>
      </x:c>
      <x:c r="G403" s="2" t="n">
        <x:v>1</x:v>
      </x:c>
      <x:c r="H403" s="2" t="n">
        <x:f>COUNTIFS('Inventory'!$N$7:$N$783,A403,'Inventory'!$A$7:$A$783,1)</x:f>
        <x:v>1</x:v>
      </x:c>
      <x:c r="I403" s="2" t="n">
        <x:f>SUMIFS('Inventory'!$G$7:$G$783,'Inventory'!$N$7:$N$783,A403,'Inventory'!$A$7:$A$783,1)</x:f>
        <x:v>1</x:v>
      </x:c>
      <x:c r="J403" s="12" t="str">
        <x:v>Listed budget</x:v>
      </x:c>
      <x:c r="K403" s="17" t="n">
        <x:v>15000</x:v>
      </x:c>
      <x:c r="L403" s="17"/>
      <x:c r="M403" s="17"/>
      <x:c r="N403" s="19"/>
      <x:c r="O403" s="17" t="str">
        <x:f>IF(ISNUMBER(L403),G403*L403,IF(ISNUMBER(M403),M403,""))</x:f>
      </x:c>
      <x:c r="P403" s="17" t="n">
        <x:f>IF(ISNUMBER(K403),K403,IF(ISNUMBER(O403),O403,""))</x:f>
        <x:v>15000</x:v>
      </x:c>
      <x:c r="Q403" s="17" t="n">
        <x:f>IF(H403=0,0,IF(ISNUMBER(N403),N403,IF(N403="",IF(H403=F403,P403,""),"")))</x:f>
        <x:v>15000</x:v>
      </x:c>
      <x:c r="R403" s="17" t="n">
        <x:f>IF(ISNUMBER(Q403),ROUND(Q403*$C$4,2),"")</x:f>
        <x:v>2700</x:v>
      </x:c>
      <x:c r="S403" s="17" t="n">
        <x:f>IF(ISNUMBER(Q403),Q403+R403,"")</x:f>
        <x:v>17700</x:v>
      </x:c>
      <x:c r="T403" s="2" t="str">
        <x:f>IF(H403=0,"Not selected",IF(ISNUMBER(N403),"Quote entered",IF(N403&lt;&gt;"","Enter numeric quote",IF(H403=F403,IF(ISNUMBER(P403),"Complete unit","Price required"),"Partial package: price required"))))</x:f>
        <x:v>Complete unit</x:v>
      </x:c>
      <x:c r="U403" s="2" t="str">
        <x:v>TEN-3494B3B134A1; TEN-3FAC3110656F; TEN-807B0FE3F8D3; TEN-CD9B8AD2B916; TEN-DA5DBDFC224C</x:v>
      </x:c>
      <x:c r="V403" s="2" t="str">
        <x:v>Professional services; Engineering &amp; manufacturing; Trade, consumer &amp; logistics; Unresolved</x:v>
      </x:c>
      <x:c r="W403" s="2" t="str">
        <x:v>Small-scale prospects; Medium-scale prospects; Mixed business audience</x:v>
      </x:c>
      <x:c r="X403" s="17" t="n">
        <x:f>IF(AND(H403=F403,NOT(ISNUMBER(N403)),N403="",ISNUMBER(K403)),K403,0)</x:f>
        <x:v>15000</x:v>
      </x:c>
      <x:c r="Y403" s="17" t="n">
        <x:f>IF(AND(H403=F403,NOT(ISNUMBER(N403)),N403="",K403="",ISNUMBER(O403)),O403,0)</x:f>
        <x:v>0</x:v>
      </x:c>
      <x:c r="Z403" s="17" t="n">
        <x:f>IF(AND(H403&gt;0,ISNUMBER(N403)),N403,0)</x:f>
        <x:v>0</x:v>
      </x:c>
      <x:c r="AA403" s="2" t="n">
        <x:f>IF(AND(H403&gt;0,N403="",NOT(ISNUMBER(Q403))),1,0)</x:f>
        <x:v>0</x:v>
      </x:c>
      <x:c r="AB403" s="2" t="n">
        <x:f>IF(AND(H403&gt;0,N403&lt;&gt;"",NOT(ISNUMBER(N403))),1,0)</x:f>
        <x:v>0</x:v>
      </x:c>
    </x:row>
    <x:row r="404" ht="48" customHeight="1">
      <x:c r="A404" s="2" t="str">
        <x:v>MAIN-411</x:v>
      </x:c>
      <x:c r="B404" s="2" t="str">
        <x:v>Main</x:v>
      </x:c>
      <x:c r="C404" s="2" t="str">
        <x:v>Pune</x:v>
      </x:c>
      <x:c r="D404" s="12" t="str">
        <x:v>Raheja Mindspace - The Square</x:v>
      </x:c>
      <x:c r="E404" s="12" t="str">
        <x:v>55 inch LED TV</x:v>
      </x:c>
      <x:c r="F404" s="2" t="n">
        <x:v>1</x:v>
      </x:c>
      <x:c r="G404" s="2" t="n">
        <x:v>1</x:v>
      </x:c>
      <x:c r="H404" s="2" t="n">
        <x:f>COUNTIFS('Inventory'!$N$7:$N$783,A404,'Inventory'!$A$7:$A$783,1)</x:f>
        <x:v>1</x:v>
      </x:c>
      <x:c r="I404" s="2" t="n">
        <x:f>SUMIFS('Inventory'!$G$7:$G$783,'Inventory'!$N$7:$N$783,A404,'Inventory'!$A$7:$A$783,1)</x:f>
        <x:v>1</x:v>
      </x:c>
      <x:c r="J404" s="12" t="str">
        <x:v>Campaign format rate</x:v>
      </x:c>
      <x:c r="K404" s="17"/>
      <x:c r="L404" s="17" t="n">
        <x:f>$I$5</x:f>
        <x:v>40000</x:v>
      </x:c>
      <x:c r="M404" s="17"/>
      <x:c r="N404" s="19"/>
      <x:c r="O404" s="17" t="n">
        <x:f>IF(ISNUMBER(L404),G404*L404,IF(ISNUMBER(M404),M404,""))</x:f>
        <x:v>40000</x:v>
      </x:c>
      <x:c r="P404" s="17" t="n">
        <x:f>IF(ISNUMBER(K404),K404,IF(ISNUMBER(O404),O404,""))</x:f>
        <x:v>40000</x:v>
      </x:c>
      <x:c r="Q404" s="17" t="n">
        <x:f>IF(H404=0,0,IF(ISNUMBER(N404),N404,IF(N404="",IF(H404=F404,P404,""),"")))</x:f>
        <x:v>40000</x:v>
      </x:c>
      <x:c r="R404" s="17" t="n">
        <x:f>IF(ISNUMBER(Q404),ROUND(Q404*$C$4,2),"")</x:f>
        <x:v>7200</x:v>
      </x:c>
      <x:c r="S404" s="17" t="n">
        <x:f>IF(ISNUMBER(Q404),Q404+R404,"")</x:f>
        <x:v>47200</x:v>
      </x:c>
      <x:c r="T404" s="2" t="str">
        <x:f>IF(H404=0,"Not selected",IF(ISNUMBER(N404),"Quote entered",IF(N404&lt;&gt;"","Enter numeric quote",IF(H404=F404,IF(ISNUMBER(P404),"Complete unit","Price required"),"Partial package: price required"))))</x:f>
        <x:v>Complete unit</x:v>
      </x:c>
      <x:c r="U404" s="2" t="str"/>
      <x:c r="V404" s="2" t="str">
        <x:v>Unclassified</x:v>
      </x:c>
      <x:c r="W404" s="2" t="str">
        <x:v>Mixed business audience</x:v>
      </x:c>
      <x:c r="X404" s="17" t="n">
        <x:f>IF(AND(H404=F404,NOT(ISNUMBER(N404)),N404="",ISNUMBER(K404)),K404,0)</x:f>
        <x:v>0</x:v>
      </x:c>
      <x:c r="Y404" s="17" t="n">
        <x:f>IF(AND(H404=F404,NOT(ISNUMBER(N404)),N404="",K404="",ISNUMBER(O404)),O404,0)</x:f>
        <x:v>40000</x:v>
      </x:c>
      <x:c r="Z404" s="17" t="n">
        <x:f>IF(AND(H404&gt;0,ISNUMBER(N404)),N404,0)</x:f>
        <x:v>0</x:v>
      </x:c>
      <x:c r="AA404" s="2" t="n">
        <x:f>IF(AND(H404&gt;0,N404="",NOT(ISNUMBER(Q404))),1,0)</x:f>
        <x:v>0</x:v>
      </x:c>
      <x:c r="AB404" s="2" t="n">
        <x:f>IF(AND(H404&gt;0,N404&lt;&gt;"",NOT(ISNUMBER(N404))),1,0)</x:f>
        <x:v>0</x:v>
      </x:c>
    </x:row>
    <x:row r="405" ht="48" customHeight="1">
      <x:c r="A405" s="2" t="str">
        <x:v>MAIN-412</x:v>
      </x:c>
      <x:c r="B405" s="2" t="str">
        <x:v>Main</x:v>
      </x:c>
      <x:c r="C405" s="2" t="str">
        <x:v>Pune</x:v>
      </x:c>
      <x:c r="D405" s="12" t="str">
        <x:v>Raheja Mindspaces - Kharadi</x:v>
      </x:c>
      <x:c r="E405" s="12" t="str">
        <x:v>55 inch LED TV</x:v>
      </x:c>
      <x:c r="F405" s="2" t="n">
        <x:v>1</x:v>
      </x:c>
      <x:c r="G405" s="2" t="n">
        <x:v>3</x:v>
      </x:c>
      <x:c r="H405" s="2" t="n">
        <x:f>COUNTIFS('Inventory'!$N$7:$N$783,A405,'Inventory'!$A$7:$A$783,1)</x:f>
        <x:v>1</x:v>
      </x:c>
      <x:c r="I405" s="2" t="n">
        <x:f>SUMIFS('Inventory'!$G$7:$G$783,'Inventory'!$N$7:$N$783,A405,'Inventory'!$A$7:$A$783,1)</x:f>
        <x:v>3</x:v>
      </x:c>
      <x:c r="J405" s="12" t="str">
        <x:v>Campaign format rate</x:v>
      </x:c>
      <x:c r="K405" s="17"/>
      <x:c r="L405" s="17" t="n">
        <x:f>$I$5</x:f>
        <x:v>40000</x:v>
      </x:c>
      <x:c r="M405" s="17"/>
      <x:c r="N405" s="19"/>
      <x:c r="O405" s="17" t="n">
        <x:f>IF(ISNUMBER(L405),G405*L405,IF(ISNUMBER(M405),M405,""))</x:f>
        <x:v>120000</x:v>
      </x:c>
      <x:c r="P405" s="17" t="n">
        <x:f>IF(ISNUMBER(K405),K405,IF(ISNUMBER(O405),O405,""))</x:f>
        <x:v>120000</x:v>
      </x:c>
      <x:c r="Q405" s="17" t="n">
        <x:f>IF(H405=0,0,IF(ISNUMBER(N405),N405,IF(N405="",IF(H405=F405,P405,""),"")))</x:f>
        <x:v>120000</x:v>
      </x:c>
      <x:c r="R405" s="17" t="n">
        <x:f>IF(ISNUMBER(Q405),ROUND(Q405*$C$4,2),"")</x:f>
        <x:v>21600</x:v>
      </x:c>
      <x:c r="S405" s="17" t="n">
        <x:f>IF(ISNUMBER(Q405),Q405+R405,"")</x:f>
        <x:v>141600</x:v>
      </x:c>
      <x:c r="T405" s="2" t="str">
        <x:f>IF(H405=0,"Not selected",IF(ISNUMBER(N405),"Quote entered",IF(N405&lt;&gt;"","Enter numeric quote",IF(H405=F405,IF(ISNUMBER(P405),"Complete unit","Price required"),"Partial package: price required"))))</x:f>
        <x:v>Complete unit</x:v>
      </x:c>
      <x:c r="U405" s="2" t="str"/>
      <x:c r="V405" s="2" t="str">
        <x:v>Unclassified</x:v>
      </x:c>
      <x:c r="W405" s="2" t="str">
        <x:v>Mixed business audience</x:v>
      </x:c>
      <x:c r="X405" s="17" t="n">
        <x:f>IF(AND(H405=F405,NOT(ISNUMBER(N405)),N405="",ISNUMBER(K405)),K405,0)</x:f>
        <x:v>0</x:v>
      </x:c>
      <x:c r="Y405" s="17" t="n">
        <x:f>IF(AND(H405=F405,NOT(ISNUMBER(N405)),N405="",K405="",ISNUMBER(O405)),O405,0)</x:f>
        <x:v>120000</x:v>
      </x:c>
      <x:c r="Z405" s="17" t="n">
        <x:f>IF(AND(H405&gt;0,ISNUMBER(N405)),N405,0)</x:f>
        <x:v>0</x:v>
      </x:c>
      <x:c r="AA405" s="2" t="n">
        <x:f>IF(AND(H405&gt;0,N405="",NOT(ISNUMBER(Q405))),1,0)</x:f>
        <x:v>0</x:v>
      </x:c>
      <x:c r="AB405" s="2" t="n">
        <x:f>IF(AND(H405&gt;0,N405&lt;&gt;"",NOT(ISNUMBER(N405))),1,0)</x:f>
        <x:v>0</x:v>
      </x:c>
    </x:row>
    <x:row r="406" ht="48" customHeight="1">
      <x:c r="A406" s="2" t="str">
        <x:v>MAIN-413</x:v>
      </x:c>
      <x:c r="B406" s="2" t="str">
        <x:v>Main</x:v>
      </x:c>
      <x:c r="C406" s="2" t="str">
        <x:v>Pune</x:v>
      </x:c>
      <x:c r="D406" s="12" t="str">
        <x:v>Raheja Mindspaces - Yerawada</x:v>
      </x:c>
      <x:c r="E406" s="12" t="str">
        <x:v>55 inch LED TV</x:v>
      </x:c>
      <x:c r="F406" s="2" t="n">
        <x:v>1</x:v>
      </x:c>
      <x:c r="G406" s="2" t="n">
        <x:v>2</x:v>
      </x:c>
      <x:c r="H406" s="2" t="n">
        <x:f>COUNTIFS('Inventory'!$N$7:$N$783,A406,'Inventory'!$A$7:$A$783,1)</x:f>
        <x:v>1</x:v>
      </x:c>
      <x:c r="I406" s="2" t="n">
        <x:f>SUMIFS('Inventory'!$G$7:$G$783,'Inventory'!$N$7:$N$783,A406,'Inventory'!$A$7:$A$783,1)</x:f>
        <x:v>2</x:v>
      </x:c>
      <x:c r="J406" s="12" t="str">
        <x:v>Campaign format rate</x:v>
      </x:c>
      <x:c r="K406" s="17"/>
      <x:c r="L406" s="17" t="n">
        <x:f>$I$5</x:f>
        <x:v>40000</x:v>
      </x:c>
      <x:c r="M406" s="17"/>
      <x:c r="N406" s="19"/>
      <x:c r="O406" s="17" t="n">
        <x:f>IF(ISNUMBER(L406),G406*L406,IF(ISNUMBER(M406),M406,""))</x:f>
        <x:v>80000</x:v>
      </x:c>
      <x:c r="P406" s="17" t="n">
        <x:f>IF(ISNUMBER(K406),K406,IF(ISNUMBER(O406),O406,""))</x:f>
        <x:v>80000</x:v>
      </x:c>
      <x:c r="Q406" s="17" t="n">
        <x:f>IF(H406=0,0,IF(ISNUMBER(N406),N406,IF(N406="",IF(H406=F406,P406,""),"")))</x:f>
        <x:v>80000</x:v>
      </x:c>
      <x:c r="R406" s="17" t="n">
        <x:f>IF(ISNUMBER(Q406),ROUND(Q406*$C$4,2),"")</x:f>
        <x:v>14400</x:v>
      </x:c>
      <x:c r="S406" s="17" t="n">
        <x:f>IF(ISNUMBER(Q406),Q406+R406,"")</x:f>
        <x:v>94400</x:v>
      </x:c>
      <x:c r="T406" s="2" t="str">
        <x:f>IF(H406=0,"Not selected",IF(ISNUMBER(N406),"Quote entered",IF(N406&lt;&gt;"","Enter numeric quote",IF(H406=F406,IF(ISNUMBER(P406),"Complete unit","Price required"),"Partial package: price required"))))</x:f>
        <x:v>Complete unit</x:v>
      </x:c>
      <x:c r="U406" s="2" t="str">
        <x:v>TEN-0D8D7B583F99; TEN-4F6B9E1C24D9; TEN-5FA790F3630F; TEN-62F2CF2F4744; TEN-78DA4A596A88; TEN-AE00016741A7; TEN-BA46922C1A73; TEN-C09DEE999673; TEN-CBC62794911F; TEN-D83FDFEE4416; TEN-E9992F5DAD60; TEN-EE841894B95B; TEN-EFA1AA1770B7; TEN-F5D48E8663A5; TEN-FB73478A8028</x:v>
      </x:c>
      <x:c r="V406" s="2" t="str">
        <x:v>IT &amp; digital; Finance &amp; insurance; Engineering &amp; manufacturing; Healthcare &amp; life sciences; Trade, consumer &amp; logistics; Unresolved</x:v>
      </x:c>
      <x:c r="W406" s="2" t="str">
        <x:v>Large enterprise; Mixed business audience</x:v>
      </x:c>
      <x:c r="X406" s="17" t="n">
        <x:f>IF(AND(H406=F406,NOT(ISNUMBER(N406)),N406="",ISNUMBER(K406)),K406,0)</x:f>
        <x:v>0</x:v>
      </x:c>
      <x:c r="Y406" s="17" t="n">
        <x:f>IF(AND(H406=F406,NOT(ISNUMBER(N406)),N406="",K406="",ISNUMBER(O406)),O406,0)</x:f>
        <x:v>80000</x:v>
      </x:c>
      <x:c r="Z406" s="17" t="n">
        <x:f>IF(AND(H406&gt;0,ISNUMBER(N406)),N406,0)</x:f>
        <x:v>0</x:v>
      </x:c>
      <x:c r="AA406" s="2" t="n">
        <x:f>IF(AND(H406&gt;0,N406="",NOT(ISNUMBER(Q406))),1,0)</x:f>
        <x:v>0</x:v>
      </x:c>
      <x:c r="AB406" s="2" t="n">
        <x:f>IF(AND(H406&gt;0,N406&lt;&gt;"",NOT(ISNUMBER(N406))),1,0)</x:f>
        <x:v>0</x:v>
      </x:c>
    </x:row>
    <x:row r="407" ht="48" customHeight="1">
      <x:c r="A407" s="2" t="str">
        <x:v>MAIN-414</x:v>
      </x:c>
      <x:c r="B407" s="2" t="str">
        <x:v>Main</x:v>
      </x:c>
      <x:c r="C407" s="2" t="str">
        <x:v>Pune</x:v>
      </x:c>
      <x:c r="D407" s="12" t="str">
        <x:v>Smartworks Amar Madhuban Tech Park</x:v>
      </x:c>
      <x:c r="E407" s="12" t="str">
        <x:v>43 inch LED TV</x:v>
      </x:c>
      <x:c r="F407" s="2" t="n">
        <x:v>1</x:v>
      </x:c>
      <x:c r="G407" s="2" t="n">
        <x:v>3</x:v>
      </x:c>
      <x:c r="H407" s="2" t="n">
        <x:f>COUNTIFS('Inventory'!$N$7:$N$783,A407,'Inventory'!$A$7:$A$783,1)</x:f>
        <x:v>1</x:v>
      </x:c>
      <x:c r="I407" s="2" t="n">
        <x:f>SUMIFS('Inventory'!$G$7:$G$783,'Inventory'!$N$7:$N$783,A407,'Inventory'!$A$7:$A$783,1)</x:f>
        <x:v>3</x:v>
      </x:c>
      <x:c r="J407" s="12" t="str">
        <x:v>Campaign format rate</x:v>
      </x:c>
      <x:c r="K407" s="17"/>
      <x:c r="L407" s="17" t="n">
        <x:f>$E$5</x:f>
        <x:v>20000</x:v>
      </x:c>
      <x:c r="M407" s="17"/>
      <x:c r="N407" s="19"/>
      <x:c r="O407" s="17" t="n">
        <x:f>IF(ISNUMBER(L407),G407*L407,IF(ISNUMBER(M407),M407,""))</x:f>
        <x:v>60000</x:v>
      </x:c>
      <x:c r="P407" s="17" t="n">
        <x:f>IF(ISNUMBER(K407),K407,IF(ISNUMBER(O407),O407,""))</x:f>
        <x:v>60000</x:v>
      </x:c>
      <x:c r="Q407" s="17" t="n">
        <x:f>IF(H407=0,0,IF(ISNUMBER(N407),N407,IF(N407="",IF(H407=F407,P407,""),"")))</x:f>
        <x:v>60000</x:v>
      </x:c>
      <x:c r="R407" s="17" t="n">
        <x:f>IF(ISNUMBER(Q407),ROUND(Q407*$C$4,2),"")</x:f>
        <x:v>10800</x:v>
      </x:c>
      <x:c r="S407" s="17" t="n">
        <x:f>IF(ISNUMBER(Q407),Q407+R407,"")</x:f>
        <x:v>70800</x:v>
      </x:c>
      <x:c r="T407" s="2" t="str">
        <x:f>IF(H407=0,"Not selected",IF(ISNUMBER(N407),"Quote entered",IF(N407&lt;&gt;"","Enter numeric quote",IF(H407=F407,IF(ISNUMBER(P407),"Complete unit","Price required"),"Partial package: price required"))))</x:f>
        <x:v>Complete unit</x:v>
      </x:c>
      <x:c r="U407" s="2" t="str">
        <x:v>TEN-53D60BF43086; TEN-F0BE48C951D0; TEN-F56CF5CC1A07</x:v>
      </x:c>
      <x:c r="V407" s="2" t="str">
        <x:v>IT &amp; digital; Engineering &amp; manufacturing</x:v>
      </x:c>
      <x:c r="W407" s="2" t="str">
        <x:v>Small-scale prospects; Medium-scale prospects; Large enterprise</x:v>
      </x:c>
      <x:c r="X407" s="17" t="n">
        <x:f>IF(AND(H407=F407,NOT(ISNUMBER(N407)),N407="",ISNUMBER(K407)),K407,0)</x:f>
        <x:v>0</x:v>
      </x:c>
      <x:c r="Y407" s="17" t="n">
        <x:f>IF(AND(H407=F407,NOT(ISNUMBER(N407)),N407="",K407="",ISNUMBER(O407)),O407,0)</x:f>
        <x:v>60000</x:v>
      </x:c>
      <x:c r="Z407" s="17" t="n">
        <x:f>IF(AND(H407&gt;0,ISNUMBER(N407)),N407,0)</x:f>
        <x:v>0</x:v>
      </x:c>
      <x:c r="AA407" s="2" t="n">
        <x:f>IF(AND(H407&gt;0,N407="",NOT(ISNUMBER(Q407))),1,0)</x:f>
        <x:v>0</x:v>
      </x:c>
      <x:c r="AB407" s="2" t="n">
        <x:f>IF(AND(H407&gt;0,N407&lt;&gt;"",NOT(ISNUMBER(N407))),1,0)</x:f>
        <x:v>0</x:v>
      </x:c>
    </x:row>
    <x:row r="408" ht="48" customHeight="1">
      <x:c r="A408" s="2" t="str">
        <x:v>MAIN-415</x:v>
      </x:c>
      <x:c r="B408" s="2" t="str">
        <x:v>Main</x:v>
      </x:c>
      <x:c r="C408" s="2" t="str">
        <x:v>Pune</x:v>
      </x:c>
      <x:c r="D408" s="12" t="str">
        <x:v>The Powerpoint Coworking Space</x:v>
      </x:c>
      <x:c r="E408" s="12" t="str">
        <x:v>32 inch LED TV</x:v>
      </x:c>
      <x:c r="F408" s="2" t="n">
        <x:v>1</x:v>
      </x:c>
      <x:c r="G408" s="2" t="n">
        <x:v>1</x:v>
      </x:c>
      <x:c r="H408" s="2" t="n">
        <x:f>COUNTIFS('Inventory'!$N$7:$N$783,A408,'Inventory'!$A$7:$A$783,1)</x:f>
        <x:v>1</x:v>
      </x:c>
      <x:c r="I408" s="2" t="n">
        <x:f>SUMIFS('Inventory'!$G$7:$G$783,'Inventory'!$N$7:$N$783,A408,'Inventory'!$A$7:$A$783,1)</x:f>
        <x:v>1</x:v>
      </x:c>
      <x:c r="J408" s="12" t="str">
        <x:v>Listed budget</x:v>
      </x:c>
      <x:c r="K408" s="17" t="n">
        <x:v>15000</x:v>
      </x:c>
      <x:c r="L408" s="17"/>
      <x:c r="M408" s="17"/>
      <x:c r="N408" s="19"/>
      <x:c r="O408" s="17" t="str">
        <x:f>IF(ISNUMBER(L408),G408*L408,IF(ISNUMBER(M408),M408,""))</x:f>
      </x:c>
      <x:c r="P408" s="17" t="n">
        <x:f>IF(ISNUMBER(K408),K408,IF(ISNUMBER(O408),O408,""))</x:f>
        <x:v>15000</x:v>
      </x:c>
      <x:c r="Q408" s="17" t="n">
        <x:f>IF(H408=0,0,IF(ISNUMBER(N408),N408,IF(N408="",IF(H408=F408,P408,""),"")))</x:f>
        <x:v>15000</x:v>
      </x:c>
      <x:c r="R408" s="17" t="n">
        <x:f>IF(ISNUMBER(Q408),ROUND(Q408*$C$4,2),"")</x:f>
        <x:v>2700</x:v>
      </x:c>
      <x:c r="S408" s="17" t="n">
        <x:f>IF(ISNUMBER(Q408),Q408+R408,"")</x:f>
        <x:v>17700</x:v>
      </x:c>
      <x:c r="T408" s="2" t="str">
        <x:f>IF(H408=0,"Not selected",IF(ISNUMBER(N408),"Quote entered",IF(N408&lt;&gt;"","Enter numeric quote",IF(H408=F408,IF(ISNUMBER(P408),"Complete unit","Price required"),"Partial package: price required"))))</x:f>
        <x:v>Complete unit</x:v>
      </x:c>
      <x:c r="U408" s="2" t="str">
        <x:v>TEN-1D042210FE01; TEN-313934832607; TEN-34B4DA2E643E; TEN-39AE983C4636; TEN-9214F6CD648F; TEN-A2E949894464; TEN-B89A12E50ABA; TEN-BABF16146449; TEN-BC5D38FDFD90; TEN-BC7208810F72; TEN-C2243270963A; TEN-DF3CFF77814A</x:v>
      </x:c>
      <x:c r="V408" s="2" t="str">
        <x:v>Professional services; Engineering &amp; manufacturing; Healthcare &amp; life sciences; Education; Trade, consumer &amp; logistics; Workspace &amp; property operations; Unresolved</x:v>
      </x:c>
      <x:c r="W408" s="2" t="str">
        <x:v>Small-scale prospects; Medium-scale prospects; Mixed business audience</x:v>
      </x:c>
      <x:c r="X408" s="17" t="n">
        <x:f>IF(AND(H408=F408,NOT(ISNUMBER(N408)),N408="",ISNUMBER(K408)),K408,0)</x:f>
        <x:v>15000</x:v>
      </x:c>
      <x:c r="Y408" s="17" t="n">
        <x:f>IF(AND(H408=F408,NOT(ISNUMBER(N408)),N408="",K408="",ISNUMBER(O408)),O408,0)</x:f>
        <x:v>0</x:v>
      </x:c>
      <x:c r="Z408" s="17" t="n">
        <x:f>IF(AND(H408&gt;0,ISNUMBER(N408)),N408,0)</x:f>
        <x:v>0</x:v>
      </x:c>
      <x:c r="AA408" s="2" t="n">
        <x:f>IF(AND(H408&gt;0,N408="",NOT(ISNUMBER(Q408))),1,0)</x:f>
        <x:v>0</x:v>
      </x:c>
      <x:c r="AB408" s="2" t="n">
        <x:f>IF(AND(H408&gt;0,N408&lt;&gt;"",NOT(ISNUMBER(N408))),1,0)</x:f>
        <x:v>0</x:v>
      </x:c>
    </x:row>
    <x:row r="409" ht="48" customHeight="1">
      <x:c r="A409" s="2" t="str">
        <x:v>MAIN-416</x:v>
      </x:c>
      <x:c r="B409" s="2" t="str">
        <x:v>Main</x:v>
      </x:c>
      <x:c r="C409" s="2" t="str">
        <x:v>Pune</x:v>
      </x:c>
      <x:c r="D409" s="12" t="str">
        <x:v>WeWork - Amanora</x:v>
      </x:c>
      <x:c r="E409" s="12" t="str">
        <x:v>43 inch LED TV</x:v>
      </x:c>
      <x:c r="F409" s="2" t="n">
        <x:v>1</x:v>
      </x:c>
      <x:c r="G409" s="2" t="n">
        <x:v>2</x:v>
      </x:c>
      <x:c r="H409" s="2" t="n">
        <x:f>COUNTIFS('Inventory'!$N$7:$N$783,A409,'Inventory'!$A$7:$A$783,1)</x:f>
        <x:v>1</x:v>
      </x:c>
      <x:c r="I409" s="2" t="n">
        <x:f>SUMIFS('Inventory'!$G$7:$G$783,'Inventory'!$N$7:$N$783,A409,'Inventory'!$A$7:$A$783,1)</x:f>
        <x:v>2</x:v>
      </x:c>
      <x:c r="J409" s="12" t="str">
        <x:v>Campaign format rate</x:v>
      </x:c>
      <x:c r="K409" s="17"/>
      <x:c r="L409" s="17" t="n">
        <x:f>$G$5</x:f>
        <x:v>25000</x:v>
      </x:c>
      <x:c r="M409" s="17"/>
      <x:c r="N409" s="19"/>
      <x:c r="O409" s="17" t="n">
        <x:f>IF(ISNUMBER(L409),G409*L409,IF(ISNUMBER(M409),M409,""))</x:f>
        <x:v>50000</x:v>
      </x:c>
      <x:c r="P409" s="17" t="n">
        <x:f>IF(ISNUMBER(K409),K409,IF(ISNUMBER(O409),O409,""))</x:f>
        <x:v>50000</x:v>
      </x:c>
      <x:c r="Q409" s="17" t="n">
        <x:f>IF(H409=0,0,IF(ISNUMBER(N409),N409,IF(N409="",IF(H409=F409,P409,""),"")))</x:f>
        <x:v>50000</x:v>
      </x:c>
      <x:c r="R409" s="17" t="n">
        <x:f>IF(ISNUMBER(Q409),ROUND(Q409*$C$4,2),"")</x:f>
        <x:v>9000</x:v>
      </x:c>
      <x:c r="S409" s="17" t="n">
        <x:f>IF(ISNUMBER(Q409),Q409+R409,"")</x:f>
        <x:v>59000</x:v>
      </x:c>
      <x:c r="T409" s="2" t="str">
        <x:f>IF(H409=0,"Not selected",IF(ISNUMBER(N409),"Quote entered",IF(N409&lt;&gt;"","Enter numeric quote",IF(H409=F409,IF(ISNUMBER(P409),"Complete unit","Price required"),"Partial package: price required"))))</x:f>
        <x:v>Complete unit</x:v>
      </x:c>
      <x:c r="U409" s="2" t="str">
        <x:v>TEN-5B81D52D4310</x:v>
      </x:c>
      <x:c r="V409" s="2" t="str">
        <x:v>Workspace &amp; property operations</x:v>
      </x:c>
      <x:c r="W409" s="2" t="str">
        <x:v>Mixed business audience</x:v>
      </x:c>
      <x:c r="X409" s="17" t="n">
        <x:f>IF(AND(H409=F409,NOT(ISNUMBER(N409)),N409="",ISNUMBER(K409)),K409,0)</x:f>
        <x:v>0</x:v>
      </x:c>
      <x:c r="Y409" s="17" t="n">
        <x:f>IF(AND(H409=F409,NOT(ISNUMBER(N409)),N409="",K409="",ISNUMBER(O409)),O409,0)</x:f>
        <x:v>50000</x:v>
      </x:c>
      <x:c r="Z409" s="17" t="n">
        <x:f>IF(AND(H409&gt;0,ISNUMBER(N409)),N409,0)</x:f>
        <x:v>0</x:v>
      </x:c>
      <x:c r="AA409" s="2" t="n">
        <x:f>IF(AND(H409&gt;0,N409="",NOT(ISNUMBER(Q409))),1,0)</x:f>
        <x:v>0</x:v>
      </x:c>
      <x:c r="AB409" s="2" t="n">
        <x:f>IF(AND(H409&gt;0,N409&lt;&gt;"",NOT(ISNUMBER(N409))),1,0)</x:f>
        <x:v>0</x:v>
      </x:c>
    </x:row>
    <x:row r="410" ht="48" customHeight="1">
      <x:c r="A410" s="2" t="str">
        <x:v>MAIN-417</x:v>
      </x:c>
      <x:c r="B410" s="2" t="str">
        <x:v>Main</x:v>
      </x:c>
      <x:c r="C410" s="2" t="str">
        <x:v>Pune</x:v>
      </x:c>
      <x:c r="D410" s="12" t="str">
        <x:v>Wework - Eleven West</x:v>
      </x:c>
      <x:c r="E410" s="12" t="str">
        <x:v>43 inch LED TV</x:v>
      </x:c>
      <x:c r="F410" s="2" t="n">
        <x:v>1</x:v>
      </x:c>
      <x:c r="G410" s="2" t="n">
        <x:v>4</x:v>
      </x:c>
      <x:c r="H410" s="2" t="n">
        <x:f>COUNTIFS('Inventory'!$N$7:$N$783,A410,'Inventory'!$A$7:$A$783,1)</x:f>
        <x:v>1</x:v>
      </x:c>
      <x:c r="I410" s="2" t="n">
        <x:f>SUMIFS('Inventory'!$G$7:$G$783,'Inventory'!$N$7:$N$783,A410,'Inventory'!$A$7:$A$783,1)</x:f>
        <x:v>4</x:v>
      </x:c>
      <x:c r="J410" s="12" t="str">
        <x:v>Campaign format rate</x:v>
      </x:c>
      <x:c r="K410" s="17"/>
      <x:c r="L410" s="17" t="n">
        <x:f>$G$5</x:f>
        <x:v>25000</x:v>
      </x:c>
      <x:c r="M410" s="17"/>
      <x:c r="N410" s="19"/>
      <x:c r="O410" s="17" t="n">
        <x:f>IF(ISNUMBER(L410),G410*L410,IF(ISNUMBER(M410),M410,""))</x:f>
        <x:v>100000</x:v>
      </x:c>
      <x:c r="P410" s="17" t="n">
        <x:f>IF(ISNUMBER(K410),K410,IF(ISNUMBER(O410),O410,""))</x:f>
        <x:v>100000</x:v>
      </x:c>
      <x:c r="Q410" s="17" t="n">
        <x:f>IF(H410=0,0,IF(ISNUMBER(N410),N410,IF(N410="",IF(H410=F410,P410,""),"")))</x:f>
        <x:v>100000</x:v>
      </x:c>
      <x:c r="R410" s="17" t="n">
        <x:f>IF(ISNUMBER(Q410),ROUND(Q410*$C$4,2),"")</x:f>
        <x:v>18000</x:v>
      </x:c>
      <x:c r="S410" s="17" t="n">
        <x:f>IF(ISNUMBER(Q410),Q410+R410,"")</x:f>
        <x:v>118000</x:v>
      </x:c>
      <x:c r="T410" s="2" t="str">
        <x:f>IF(H410=0,"Not selected",IF(ISNUMBER(N410),"Quote entered",IF(N410&lt;&gt;"","Enter numeric quote",IF(H410=F410,IF(ISNUMBER(P410),"Complete unit","Price required"),"Partial package: price required"))))</x:f>
        <x:v>Complete unit</x:v>
      </x:c>
      <x:c r="U410" s="2" t="str">
        <x:v>TEN-40CBF518E84A</x:v>
      </x:c>
      <x:c r="V410" s="2" t="str">
        <x:v>Engineering &amp; manufacturing</x:v>
      </x:c>
      <x:c r="W410" s="2" t="str">
        <x:v>Mixed business audience</x:v>
      </x:c>
      <x:c r="X410" s="17" t="n">
        <x:f>IF(AND(H410=F410,NOT(ISNUMBER(N410)),N410="",ISNUMBER(K410)),K410,0)</x:f>
        <x:v>0</x:v>
      </x:c>
      <x:c r="Y410" s="17" t="n">
        <x:f>IF(AND(H410=F410,NOT(ISNUMBER(N410)),N410="",K410="",ISNUMBER(O410)),O410,0)</x:f>
        <x:v>100000</x:v>
      </x:c>
      <x:c r="Z410" s="17" t="n">
        <x:f>IF(AND(H410&gt;0,ISNUMBER(N410)),N410,0)</x:f>
        <x:v>0</x:v>
      </x:c>
      <x:c r="AA410" s="2" t="n">
        <x:f>IF(AND(H410&gt;0,N410="",NOT(ISNUMBER(Q410))),1,0)</x:f>
        <x:v>0</x:v>
      </x:c>
      <x:c r="AB410" s="2" t="n">
        <x:f>IF(AND(H410&gt;0,N410&lt;&gt;"",NOT(ISNUMBER(N410))),1,0)</x:f>
        <x:v>0</x:v>
      </x:c>
    </x:row>
    <x:row r="411" ht="48" customHeight="1">
      <x:c r="A411" s="2" t="str">
        <x:v>MAIN-418</x:v>
      </x:c>
      <x:c r="B411" s="2" t="str">
        <x:v>Main</x:v>
      </x:c>
      <x:c r="C411" s="2" t="str">
        <x:v>Pune</x:v>
      </x:c>
      <x:c r="D411" s="12" t="str">
        <x:v>WeWork - EON IT Park</x:v>
      </x:c>
      <x:c r="E411" s="12" t="str">
        <x:v>43 inch LED TV</x:v>
      </x:c>
      <x:c r="F411" s="2" t="n">
        <x:v>1</x:v>
      </x:c>
      <x:c r="G411" s="2" t="n">
        <x:v>1</x:v>
      </x:c>
      <x:c r="H411" s="2" t="n">
        <x:f>COUNTIFS('Inventory'!$N$7:$N$783,A411,'Inventory'!$A$7:$A$783,1)</x:f>
        <x:v>1</x:v>
      </x:c>
      <x:c r="I411" s="2" t="n">
        <x:f>SUMIFS('Inventory'!$G$7:$G$783,'Inventory'!$N$7:$N$783,A411,'Inventory'!$A$7:$A$783,1)</x:f>
        <x:v>1</x:v>
      </x:c>
      <x:c r="J411" s="12" t="str">
        <x:v>Campaign format rate</x:v>
      </x:c>
      <x:c r="K411" s="17"/>
      <x:c r="L411" s="17" t="n">
        <x:f>$G$5</x:f>
        <x:v>25000</x:v>
      </x:c>
      <x:c r="M411" s="17"/>
      <x:c r="N411" s="19"/>
      <x:c r="O411" s="17" t="n">
        <x:f>IF(ISNUMBER(L411),G411*L411,IF(ISNUMBER(M411),M411,""))</x:f>
        <x:v>25000</x:v>
      </x:c>
      <x:c r="P411" s="17" t="n">
        <x:f>IF(ISNUMBER(K411),K411,IF(ISNUMBER(O411),O411,""))</x:f>
        <x:v>25000</x:v>
      </x:c>
      <x:c r="Q411" s="17" t="n">
        <x:f>IF(H411=0,0,IF(ISNUMBER(N411),N411,IF(N411="",IF(H411=F411,P411,""),"")))</x:f>
        <x:v>25000</x:v>
      </x:c>
      <x:c r="R411" s="17" t="n">
        <x:f>IF(ISNUMBER(Q411),ROUND(Q411*$C$4,2),"")</x:f>
        <x:v>4500</x:v>
      </x:c>
      <x:c r="S411" s="17" t="n">
        <x:f>IF(ISNUMBER(Q411),Q411+R411,"")</x:f>
        <x:v>29500</x:v>
      </x:c>
      <x:c r="T411" s="2" t="str">
        <x:f>IF(H411=0,"Not selected",IF(ISNUMBER(N411),"Quote entered",IF(N411&lt;&gt;"","Enter numeric quote",IF(H411=F411,IF(ISNUMBER(P411),"Complete unit","Price required"),"Partial package: price required"))))</x:f>
        <x:v>Complete unit</x:v>
      </x:c>
      <x:c r="U411" s="2" t="str">
        <x:v>TEN-5B81D52D4310</x:v>
      </x:c>
      <x:c r="V411" s="2" t="str">
        <x:v>Workspace &amp; property operations</x:v>
      </x:c>
      <x:c r="W411" s="2" t="str">
        <x:v>Mixed business audience</x:v>
      </x:c>
      <x:c r="X411" s="17" t="n">
        <x:f>IF(AND(H411=F411,NOT(ISNUMBER(N411)),N411="",ISNUMBER(K411)),K411,0)</x:f>
        <x:v>0</x:v>
      </x:c>
      <x:c r="Y411" s="17" t="n">
        <x:f>IF(AND(H411=F411,NOT(ISNUMBER(N411)),N411="",K411="",ISNUMBER(O411)),O411,0)</x:f>
        <x:v>25000</x:v>
      </x:c>
      <x:c r="Z411" s="17" t="n">
        <x:f>IF(AND(H411&gt;0,ISNUMBER(N411)),N411,0)</x:f>
        <x:v>0</x:v>
      </x:c>
      <x:c r="AA411" s="2" t="n">
        <x:f>IF(AND(H411&gt;0,N411="",NOT(ISNUMBER(Q411))),1,0)</x:f>
        <x:v>0</x:v>
      </x:c>
      <x:c r="AB411" s="2" t="n">
        <x:f>IF(AND(H411&gt;0,N411&lt;&gt;"",NOT(ISNUMBER(N411))),1,0)</x:f>
        <x:v>0</x:v>
      </x:c>
    </x:row>
    <x:row r="412" ht="48" customHeight="1">
      <x:c r="A412" s="2" t="str">
        <x:v>MAIN-419</x:v>
      </x:c>
      <x:c r="B412" s="2" t="str">
        <x:v>Main</x:v>
      </x:c>
      <x:c r="C412" s="2" t="str">
        <x:v>Pune</x:v>
      </x:c>
      <x:c r="D412" s="12" t="str">
        <x:v>WeWork - Futura</x:v>
      </x:c>
      <x:c r="E412" s="12" t="str">
        <x:v>43 inch LED TV</x:v>
      </x:c>
      <x:c r="F412" s="2" t="n">
        <x:v>1</x:v>
      </x:c>
      <x:c r="G412" s="2" t="n">
        <x:v>2</x:v>
      </x:c>
      <x:c r="H412" s="2" t="n">
        <x:f>COUNTIFS('Inventory'!$N$7:$N$783,A412,'Inventory'!$A$7:$A$783,1)</x:f>
        <x:v>1</x:v>
      </x:c>
      <x:c r="I412" s="2" t="n">
        <x:f>SUMIFS('Inventory'!$G$7:$G$783,'Inventory'!$N$7:$N$783,A412,'Inventory'!$A$7:$A$783,1)</x:f>
        <x:v>2</x:v>
      </x:c>
      <x:c r="J412" s="12" t="str">
        <x:v>Campaign format rate</x:v>
      </x:c>
      <x:c r="K412" s="17"/>
      <x:c r="L412" s="17" t="n">
        <x:f>$G$5</x:f>
        <x:v>25000</x:v>
      </x:c>
      <x:c r="M412" s="17"/>
      <x:c r="N412" s="19"/>
      <x:c r="O412" s="17" t="n">
        <x:f>IF(ISNUMBER(L412),G412*L412,IF(ISNUMBER(M412),M412,""))</x:f>
        <x:v>50000</x:v>
      </x:c>
      <x:c r="P412" s="17" t="n">
        <x:f>IF(ISNUMBER(K412),K412,IF(ISNUMBER(O412),O412,""))</x:f>
        <x:v>50000</x:v>
      </x:c>
      <x:c r="Q412" s="17" t="n">
        <x:f>IF(H412=0,0,IF(ISNUMBER(N412),N412,IF(N412="",IF(H412=F412,P412,""),"")))</x:f>
        <x:v>50000</x:v>
      </x:c>
      <x:c r="R412" s="17" t="n">
        <x:f>IF(ISNUMBER(Q412),ROUND(Q412*$C$4,2),"")</x:f>
        <x:v>9000</x:v>
      </x:c>
      <x:c r="S412" s="17" t="n">
        <x:f>IF(ISNUMBER(Q412),Q412+R412,"")</x:f>
        <x:v>59000</x:v>
      </x:c>
      <x:c r="T412" s="2" t="str">
        <x:f>IF(H412=0,"Not selected",IF(ISNUMBER(N412),"Quote entered",IF(N412&lt;&gt;"","Enter numeric quote",IF(H412=F412,IF(ISNUMBER(P412),"Complete unit","Price required"),"Partial package: price required"))))</x:f>
        <x:v>Complete unit</x:v>
      </x:c>
      <x:c r="U412" s="2" t="str">
        <x:v>TEN-05BAAC1A6C05; TEN-752C9AB593B6; TEN-A8C9C0A3E774</x:v>
      </x:c>
      <x:c r="V412" s="2" t="str">
        <x:v>Finance &amp; insurance; Trade, consumer &amp; logistics; Unresolved</x:v>
      </x:c>
      <x:c r="W412" s="2" t="str">
        <x:v>Small-scale prospects; Mixed business audience</x:v>
      </x:c>
      <x:c r="X412" s="17" t="n">
        <x:f>IF(AND(H412=F412,NOT(ISNUMBER(N412)),N412="",ISNUMBER(K412)),K412,0)</x:f>
        <x:v>0</x:v>
      </x:c>
      <x:c r="Y412" s="17" t="n">
        <x:f>IF(AND(H412=F412,NOT(ISNUMBER(N412)),N412="",K412="",ISNUMBER(O412)),O412,0)</x:f>
        <x:v>50000</x:v>
      </x:c>
      <x:c r="Z412" s="17" t="n">
        <x:f>IF(AND(H412&gt;0,ISNUMBER(N412)),N412,0)</x:f>
        <x:v>0</x:v>
      </x:c>
      <x:c r="AA412" s="2" t="n">
        <x:f>IF(AND(H412&gt;0,N412="",NOT(ISNUMBER(Q412))),1,0)</x:f>
        <x:v>0</x:v>
      </x:c>
      <x:c r="AB412" s="2" t="n">
        <x:f>IF(AND(H412&gt;0,N412&lt;&gt;"",NOT(ISNUMBER(N412))),1,0)</x:f>
        <x:v>0</x:v>
      </x:c>
    </x:row>
    <x:row r="413" ht="48" customHeight="1">
      <x:c r="A413" s="2" t="str">
        <x:v>MAIN-420</x:v>
      </x:c>
      <x:c r="B413" s="2" t="str">
        <x:v>Main</x:v>
      </x:c>
      <x:c r="C413" s="2" t="str">
        <x:v>Pune</x:v>
      </x:c>
      <x:c r="D413" s="12" t="str">
        <x:v>WeWork - Raheja Woods</x:v>
      </x:c>
      <x:c r="E413" s="12" t="str">
        <x:v>43 inch LED TV</x:v>
      </x:c>
      <x:c r="F413" s="2" t="n">
        <x:v>1</x:v>
      </x:c>
      <x:c r="G413" s="2" t="n">
        <x:v>6</x:v>
      </x:c>
      <x:c r="H413" s="2" t="n">
        <x:f>COUNTIFS('Inventory'!$N$7:$N$783,A413,'Inventory'!$A$7:$A$783,1)</x:f>
        <x:v>1</x:v>
      </x:c>
      <x:c r="I413" s="2" t="n">
        <x:f>SUMIFS('Inventory'!$G$7:$G$783,'Inventory'!$N$7:$N$783,A413,'Inventory'!$A$7:$A$783,1)</x:f>
        <x:v>6</x:v>
      </x:c>
      <x:c r="J413" s="12" t="str">
        <x:v>Campaign format rate</x:v>
      </x:c>
      <x:c r="K413" s="17"/>
      <x:c r="L413" s="17" t="n">
        <x:f>$G$5</x:f>
        <x:v>25000</x:v>
      </x:c>
      <x:c r="M413" s="17"/>
      <x:c r="N413" s="19"/>
      <x:c r="O413" s="17" t="n">
        <x:f>IF(ISNUMBER(L413),G413*L413,IF(ISNUMBER(M413),M413,""))</x:f>
        <x:v>150000</x:v>
      </x:c>
      <x:c r="P413" s="17" t="n">
        <x:f>IF(ISNUMBER(K413),K413,IF(ISNUMBER(O413),O413,""))</x:f>
        <x:v>150000</x:v>
      </x:c>
      <x:c r="Q413" s="17" t="n">
        <x:f>IF(H413=0,0,IF(ISNUMBER(N413),N413,IF(N413="",IF(H413=F413,P413,""),"")))</x:f>
        <x:v>150000</x:v>
      </x:c>
      <x:c r="R413" s="17" t="n">
        <x:f>IF(ISNUMBER(Q413),ROUND(Q413*$C$4,2),"")</x:f>
        <x:v>27000</x:v>
      </x:c>
      <x:c r="S413" s="17" t="n">
        <x:f>IF(ISNUMBER(Q413),Q413+R413,"")</x:f>
        <x:v>177000</x:v>
      </x:c>
      <x:c r="T413" s="2" t="str">
        <x:f>IF(H413=0,"Not selected",IF(ISNUMBER(N413),"Quote entered",IF(N413&lt;&gt;"","Enter numeric quote",IF(H413=F413,IF(ISNUMBER(P413),"Complete unit","Price required"),"Partial package: price required"))))</x:f>
        <x:v>Complete unit</x:v>
      </x:c>
      <x:c r="U413" s="2" t="str">
        <x:v>TEN-0343379BA4A0</x:v>
      </x:c>
      <x:c r="V413" s="2" t="str">
        <x:v>Professional services</x:v>
      </x:c>
      <x:c r="W413" s="2" t="str">
        <x:v>Large enterprise</x:v>
      </x:c>
      <x:c r="X413" s="17" t="n">
        <x:f>IF(AND(H413=F413,NOT(ISNUMBER(N413)),N413="",ISNUMBER(K413)),K413,0)</x:f>
        <x:v>0</x:v>
      </x:c>
      <x:c r="Y413" s="17" t="n">
        <x:f>IF(AND(H413=F413,NOT(ISNUMBER(N413)),N413="",K413="",ISNUMBER(O413)),O413,0)</x:f>
        <x:v>150000</x:v>
      </x:c>
      <x:c r="Z413" s="17" t="n">
        <x:f>IF(AND(H413&gt;0,ISNUMBER(N413)),N413,0)</x:f>
        <x:v>0</x:v>
      </x:c>
      <x:c r="AA413" s="2" t="n">
        <x:f>IF(AND(H413&gt;0,N413="",NOT(ISNUMBER(Q413))),1,0)</x:f>
        <x:v>0</x:v>
      </x:c>
      <x:c r="AB413" s="2" t="n">
        <x:f>IF(AND(H413&gt;0,N413&lt;&gt;"",NOT(ISNUMBER(N413))),1,0)</x:f>
        <x:v>0</x:v>
      </x:c>
    </x:row>
    <x:row r="414" ht="48" customHeight="1">
      <x:c r="A414" s="2" t="str">
        <x:v>MAIN-421</x:v>
      </x:c>
      <x:c r="B414" s="2" t="str">
        <x:v>Main</x:v>
      </x:c>
      <x:c r="C414" s="2" t="str">
        <x:v>Pune</x:v>
      </x:c>
      <x:c r="D414" s="12" t="str">
        <x:v>WeWork - World Trade Centre</x:v>
      </x:c>
      <x:c r="E414" s="12" t="str">
        <x:v>43 inch LED TV</x:v>
      </x:c>
      <x:c r="F414" s="2" t="n">
        <x:v>1</x:v>
      </x:c>
      <x:c r="G414" s="2" t="n">
        <x:v>4</x:v>
      </x:c>
      <x:c r="H414" s="2" t="n">
        <x:f>COUNTIFS('Inventory'!$N$7:$N$783,A414,'Inventory'!$A$7:$A$783,1)</x:f>
        <x:v>1</x:v>
      </x:c>
      <x:c r="I414" s="2" t="n">
        <x:f>SUMIFS('Inventory'!$G$7:$G$783,'Inventory'!$N$7:$N$783,A414,'Inventory'!$A$7:$A$783,1)</x:f>
        <x:v>4</x:v>
      </x:c>
      <x:c r="J414" s="12" t="str">
        <x:v>Campaign format rate</x:v>
      </x:c>
      <x:c r="K414" s="17"/>
      <x:c r="L414" s="17" t="n">
        <x:f>$G$5</x:f>
        <x:v>25000</x:v>
      </x:c>
      <x:c r="M414" s="17"/>
      <x:c r="N414" s="19"/>
      <x:c r="O414" s="17" t="n">
        <x:f>IF(ISNUMBER(L414),G414*L414,IF(ISNUMBER(M414),M414,""))</x:f>
        <x:v>100000</x:v>
      </x:c>
      <x:c r="P414" s="17" t="n">
        <x:f>IF(ISNUMBER(K414),K414,IF(ISNUMBER(O414),O414,""))</x:f>
        <x:v>100000</x:v>
      </x:c>
      <x:c r="Q414" s="17" t="n">
        <x:f>IF(H414=0,0,IF(ISNUMBER(N414),N414,IF(N414="",IF(H414=F414,P414,""),"")))</x:f>
        <x:v>100000</x:v>
      </x:c>
      <x:c r="R414" s="17" t="n">
        <x:f>IF(ISNUMBER(Q414),ROUND(Q414*$C$4,2),"")</x:f>
        <x:v>18000</x:v>
      </x:c>
      <x:c r="S414" s="17" t="n">
        <x:f>IF(ISNUMBER(Q414),Q414+R414,"")</x:f>
        <x:v>118000</x:v>
      </x:c>
      <x:c r="T414" s="2" t="str">
        <x:f>IF(H414=0,"Not selected",IF(ISNUMBER(N414),"Quote entered",IF(N414&lt;&gt;"","Enter numeric quote",IF(H414=F414,IF(ISNUMBER(P414),"Complete unit","Price required"),"Partial package: price required"))))</x:f>
        <x:v>Complete unit</x:v>
      </x:c>
      <x:c r="U414" s="2" t="str">
        <x:v>TEN-908D8D983772</x:v>
      </x:c>
      <x:c r="V414" s="2" t="str">
        <x:v>IT &amp; digital</x:v>
      </x:c>
      <x:c r="W414" s="2" t="str">
        <x:v>Small-scale prospects</x:v>
      </x:c>
      <x:c r="X414" s="17" t="n">
        <x:f>IF(AND(H414=F414,NOT(ISNUMBER(N414)),N414="",ISNUMBER(K414)),K414,0)</x:f>
        <x:v>0</x:v>
      </x:c>
      <x:c r="Y414" s="17" t="n">
        <x:f>IF(AND(H414=F414,NOT(ISNUMBER(N414)),N414="",K414="",ISNUMBER(O414)),O414,0)</x:f>
        <x:v>100000</x:v>
      </x:c>
      <x:c r="Z414" s="17" t="n">
        <x:f>IF(AND(H414&gt;0,ISNUMBER(N414)),N414,0)</x:f>
        <x:v>0</x:v>
      </x:c>
      <x:c r="AA414" s="2" t="n">
        <x:f>IF(AND(H414&gt;0,N414="",NOT(ISNUMBER(Q414))),1,0)</x:f>
        <x:v>0</x:v>
      </x:c>
      <x:c r="AB414" s="2" t="n">
        <x:f>IF(AND(H414&gt;0,N414&lt;&gt;"",NOT(ISNUMBER(N414))),1,0)</x:f>
        <x:v>0</x:v>
      </x:c>
    </x:row>
    <x:row r="415" ht="48" customHeight="1">
      <x:c r="A415" s="2" t="str">
        <x:v>MAIN-422</x:v>
      </x:c>
      <x:c r="B415" s="2" t="str">
        <x:v>Main</x:v>
      </x:c>
      <x:c r="C415" s="2" t="str">
        <x:v>Pune</x:v>
      </x:c>
      <x:c r="D415" s="12" t="str">
        <x:v>Workflow by Oyo - Icon Tower</x:v>
      </x:c>
      <x:c r="E415" s="12" t="str">
        <x:v>32 inch LED TV</x:v>
      </x:c>
      <x:c r="F415" s="2" t="n">
        <x:v>1</x:v>
      </x:c>
      <x:c r="G415" s="2" t="n">
        <x:v>3</x:v>
      </x:c>
      <x:c r="H415" s="2" t="n">
        <x:f>COUNTIFS('Inventory'!$N$7:$N$783,A415,'Inventory'!$A$7:$A$783,1)</x:f>
        <x:v>1</x:v>
      </x:c>
      <x:c r="I415" s="2" t="n">
        <x:f>SUMIFS('Inventory'!$G$7:$G$783,'Inventory'!$N$7:$N$783,A415,'Inventory'!$A$7:$A$783,1)</x:f>
        <x:v>3</x:v>
      </x:c>
      <x:c r="J415" s="12" t="str">
        <x:v>Listed budget</x:v>
      </x:c>
      <x:c r="K415" s="17" t="n">
        <x:v>45000</x:v>
      </x:c>
      <x:c r="L415" s="17"/>
      <x:c r="M415" s="17"/>
      <x:c r="N415" s="19"/>
      <x:c r="O415" s="17" t="str">
        <x:f>IF(ISNUMBER(L415),G415*L415,IF(ISNUMBER(M415),M415,""))</x:f>
      </x:c>
      <x:c r="P415" s="17" t="n">
        <x:f>IF(ISNUMBER(K415),K415,IF(ISNUMBER(O415),O415,""))</x:f>
        <x:v>45000</x:v>
      </x:c>
      <x:c r="Q415" s="17" t="n">
        <x:f>IF(H415=0,0,IF(ISNUMBER(N415),N415,IF(N415="",IF(H415=F415,P415,""),"")))</x:f>
        <x:v>45000</x:v>
      </x:c>
      <x:c r="R415" s="17" t="n">
        <x:f>IF(ISNUMBER(Q415),ROUND(Q415*$C$4,2),"")</x:f>
        <x:v>8100</x:v>
      </x:c>
      <x:c r="S415" s="17" t="n">
        <x:f>IF(ISNUMBER(Q415),Q415+R415,"")</x:f>
        <x:v>53100</x:v>
      </x:c>
      <x:c r="T415" s="2" t="str">
        <x:f>IF(H415=0,"Not selected",IF(ISNUMBER(N415),"Quote entered",IF(N415&lt;&gt;"","Enter numeric quote",IF(H415=F415,IF(ISNUMBER(P415),"Complete unit","Price required"),"Partial package: price required"))))</x:f>
        <x:v>Complete unit</x:v>
      </x:c>
      <x:c r="U415" s="2" t="str">
        <x:v>TEN-0C0136DB04F2; TEN-18A174B5F51D; TEN-205EC7DC0390; TEN-243411AB0A80; TEN-55A9F4F8994B; TEN-65326AA32AB9; TEN-B3DEB173436F; TEN-F48B6B2935C5</x:v>
      </x:c>
      <x:c r="V415" s="2" t="str">
        <x:v>IT &amp; digital; Finance &amp; insurance; Healthcare &amp; life sciences; Trade, consumer &amp; logistics; Unresolved</x:v>
      </x:c>
      <x:c r="W415" s="2" t="str">
        <x:v>Small-scale prospects; Large enterprise; Mixed business audience</x:v>
      </x:c>
      <x:c r="X415" s="17" t="n">
        <x:f>IF(AND(H415=F415,NOT(ISNUMBER(N415)),N415="",ISNUMBER(K415)),K415,0)</x:f>
        <x:v>45000</x:v>
      </x:c>
      <x:c r="Y415" s="17" t="n">
        <x:f>IF(AND(H415=F415,NOT(ISNUMBER(N415)),N415="",K415="",ISNUMBER(O415)),O415,0)</x:f>
        <x:v>0</x:v>
      </x:c>
      <x:c r="Z415" s="17" t="n">
        <x:f>IF(AND(H415&gt;0,ISNUMBER(N415)),N415,0)</x:f>
        <x:v>0</x:v>
      </x:c>
      <x:c r="AA415" s="2" t="n">
        <x:f>IF(AND(H415&gt;0,N415="",NOT(ISNUMBER(Q415))),1,0)</x:f>
        <x:v>0</x:v>
      </x:c>
      <x:c r="AB415" s="2" t="n">
        <x:f>IF(AND(H415&gt;0,N415&lt;&gt;"",NOT(ISNUMBER(N415))),1,0)</x:f>
        <x:v>0</x:v>
      </x:c>
    </x:row>
    <x:row r="416" ht="48" customHeight="1">
      <x:c r="A416" s="2" t="str">
        <x:v>MAIN-423</x:v>
      </x:c>
      <x:c r="B416" s="2" t="str">
        <x:v>Main</x:v>
      </x:c>
      <x:c r="C416" s="2" t="str">
        <x:v>Pune</x:v>
      </x:c>
      <x:c r="D416" s="12" t="str">
        <x:v>World Trade Center (TS)</x:v>
      </x:c>
      <x:c r="E416" s="12" t="str">
        <x:v>55 inch LED TV</x:v>
      </x:c>
      <x:c r="F416" s="2" t="n">
        <x:v>1</x:v>
      </x:c>
      <x:c r="G416" s="2" t="n">
        <x:v>1</x:v>
      </x:c>
      <x:c r="H416" s="2" t="n">
        <x:f>COUNTIFS('Inventory'!$N$7:$N$783,A416,'Inventory'!$A$7:$A$783,1)</x:f>
        <x:v>1</x:v>
      </x:c>
      <x:c r="I416" s="2" t="n">
        <x:f>SUMIFS('Inventory'!$G$7:$G$783,'Inventory'!$N$7:$N$783,A416,'Inventory'!$A$7:$A$783,1)</x:f>
        <x:v>1</x:v>
      </x:c>
      <x:c r="J416" s="12" t="str">
        <x:v>Campaign format rate</x:v>
      </x:c>
      <x:c r="K416" s="17"/>
      <x:c r="L416" s="17" t="n">
        <x:f>$I$5</x:f>
        <x:v>40000</x:v>
      </x:c>
      <x:c r="M416" s="17"/>
      <x:c r="N416" s="19"/>
      <x:c r="O416" s="17" t="n">
        <x:f>IF(ISNUMBER(L416),G416*L416,IF(ISNUMBER(M416),M416,""))</x:f>
        <x:v>40000</x:v>
      </x:c>
      <x:c r="P416" s="17" t="n">
        <x:f>IF(ISNUMBER(K416),K416,IF(ISNUMBER(O416),O416,""))</x:f>
        <x:v>40000</x:v>
      </x:c>
      <x:c r="Q416" s="17" t="n">
        <x:f>IF(H416=0,0,IF(ISNUMBER(N416),N416,IF(N416="",IF(H416=F416,P416,""),"")))</x:f>
        <x:v>40000</x:v>
      </x:c>
      <x:c r="R416" s="17" t="n">
        <x:f>IF(ISNUMBER(Q416),ROUND(Q416*$C$4,2),"")</x:f>
        <x:v>7200</x:v>
      </x:c>
      <x:c r="S416" s="17" t="n">
        <x:f>IF(ISNUMBER(Q416),Q416+R416,"")</x:f>
        <x:v>47200</x:v>
      </x:c>
      <x:c r="T416" s="2" t="str">
        <x:f>IF(H416=0,"Not selected",IF(ISNUMBER(N416),"Quote entered",IF(N416&lt;&gt;"","Enter numeric quote",IF(H416=F416,IF(ISNUMBER(P416),"Complete unit","Price required"),"Partial package: price required"))))</x:f>
        <x:v>Complete unit</x:v>
      </x:c>
      <x:c r="U416" s="2" t="str"/>
      <x:c r="V416" s="2" t="str">
        <x:v>Unclassified</x:v>
      </x:c>
      <x:c r="W416" s="2" t="str">
        <x:v>Mixed business audience</x:v>
      </x:c>
      <x:c r="X416" s="17" t="n">
        <x:f>IF(AND(H416=F416,NOT(ISNUMBER(N416)),N416="",ISNUMBER(K416)),K416,0)</x:f>
        <x:v>0</x:v>
      </x:c>
      <x:c r="Y416" s="17" t="n">
        <x:f>IF(AND(H416=F416,NOT(ISNUMBER(N416)),N416="",K416="",ISNUMBER(O416)),O416,0)</x:f>
        <x:v>40000</x:v>
      </x:c>
      <x:c r="Z416" s="17" t="n">
        <x:f>IF(AND(H416&gt;0,ISNUMBER(N416)),N416,0)</x:f>
        <x:v>0</x:v>
      </x:c>
      <x:c r="AA416" s="2" t="n">
        <x:f>IF(AND(H416&gt;0,N416="",NOT(ISNUMBER(Q416))),1,0)</x:f>
        <x:v>0</x:v>
      </x:c>
      <x:c r="AB416" s="2" t="n">
        <x:f>IF(AND(H416&gt;0,N416&lt;&gt;"",NOT(ISNUMBER(N416))),1,0)</x:f>
        <x:v>0</x:v>
      </x:c>
    </x:row>
    <x:row r="417" ht="48" customHeight="1">
      <x:c r="A417" s="2" t="str">
        <x:v>PARTNER-M138</x:v>
      </x:c>
      <x:c r="B417" s="2" t="str">
        <x:v>Partner</x:v>
      </x:c>
      <x:c r="C417" s="2" t="str">
        <x:v>Bengaluru</x:v>
      </x:c>
      <x:c r="D417" s="12" t="str">
        <x:v>Bagmane Capital</x:v>
      </x:c>
      <x:c r="E417" s="12" t="str">
        <x:v>55 inch</x:v>
      </x:c>
      <x:c r="F417" s="2" t="n">
        <x:v>8</x:v>
      </x:c>
      <x:c r="G417" s="2" t="n">
        <x:v>8</x:v>
      </x:c>
      <x:c r="H417" s="2" t="n">
        <x:f>COUNTIFS('Inventory'!$N$7:$N$783,A417,'Inventory'!$A$7:$A$783,1)</x:f>
        <x:v>8</x:v>
      </x:c>
      <x:c r="I417" s="2" t="n">
        <x:f>SUMIFS('Inventory'!$G$7:$G$783,'Inventory'!$N$7:$N$783,A417,'Inventory'!$A$7:$A$783,1)</x:f>
        <x:v>8</x:v>
      </x:c>
      <x:c r="J417" s="12" t="str">
        <x:v>Campaign format rate</x:v>
      </x:c>
      <x:c r="K417" s="17"/>
      <x:c r="L417" s="17" t="n">
        <x:f>$I$5</x:f>
        <x:v>40000</x:v>
      </x:c>
      <x:c r="M417" s="17"/>
      <x:c r="N417" s="19"/>
      <x:c r="O417" s="17" t="n">
        <x:f>IF(ISNUMBER(L417),G417*L417,IF(ISNUMBER(M417),M417,""))</x:f>
        <x:v>320000</x:v>
      </x:c>
      <x:c r="P417" s="17" t="n">
        <x:f>IF(ISNUMBER(K417),K417,IF(ISNUMBER(O417),O417,""))</x:f>
        <x:v>320000</x:v>
      </x:c>
      <x:c r="Q417" s="17" t="n">
        <x:f>IF(H417=0,0,IF(ISNUMBER(N417),N417,IF(N417="",IF(H417=F417,P417,""),"")))</x:f>
        <x:v>320000</x:v>
      </x:c>
      <x:c r="R417" s="17" t="n">
        <x:f>IF(ISNUMBER(Q417),ROUND(Q417*$C$4,2),"")</x:f>
        <x:v>57600</x:v>
      </x:c>
      <x:c r="S417" s="17" t="n">
        <x:f>IF(ISNUMBER(Q417),Q417+R417,"")</x:f>
        <x:v>377600</x:v>
      </x:c>
      <x:c r="T417" s="2" t="str">
        <x:f>IF(H417=0,"Not selected",IF(ISNUMBER(N417),"Quote entered",IF(N417&lt;&gt;"","Enter numeric quote",IF(H417=F417,IF(ISNUMBER(P417),"Complete unit","Price required"),"Partial package: price required"))))</x:f>
        <x:v>Complete unit</x:v>
      </x:c>
      <x:c r="U417" s="2" t="str">
        <x:v>TEN-066B5B5AD807; TEN-1E6EA169C908; TEN-484C6092587B; TEN-59685FB62EA9; TEN-72B523BE49B1; TEN-859F1EFC67BC; TEN-9FBF261B62C1; TEN-B178003E7D85; TEN-F31639A23C74; TEN-F6C7E6892C6F</x:v>
      </x:c>
      <x:c r="V417" s="2" t="str">
        <x:v>IT &amp; digital; Finance &amp; insurance; Engineering &amp; manufacturing; Healthcare &amp; life sciences; Education; Trade, consumer &amp; logistics</x:v>
      </x:c>
      <x:c r="W417" s="2" t="str">
        <x:v>Medium-scale prospects; Large enterprise; Mixed business audience</x:v>
      </x:c>
      <x:c r="X417" s="17" t="n">
        <x:f>IF(AND(H417=F417,NOT(ISNUMBER(N417)),N417="",ISNUMBER(K417)),K417,0)</x:f>
        <x:v>0</x:v>
      </x:c>
      <x:c r="Y417" s="17" t="n">
        <x:f>IF(AND(H417=F417,NOT(ISNUMBER(N417)),N417="",K417="",ISNUMBER(O417)),O417,0)</x:f>
        <x:v>320000</x:v>
      </x:c>
      <x:c r="Z417" s="17" t="n">
        <x:f>IF(AND(H417&gt;0,ISNUMBER(N417)),N417,0)</x:f>
        <x:v>0</x:v>
      </x:c>
      <x:c r="AA417" s="2" t="n">
        <x:f>IF(AND(H417&gt;0,N417="",NOT(ISNUMBER(Q417))),1,0)</x:f>
        <x:v>0</x:v>
      </x:c>
      <x:c r="AB417" s="2" t="n">
        <x:f>IF(AND(H417&gt;0,N417&lt;&gt;"",NOT(ISNUMBER(N417))),1,0)</x:f>
        <x:v>0</x:v>
      </x:c>
    </x:row>
    <x:row r="418" ht="48" customHeight="1">
      <x:c r="A418" s="2" t="str">
        <x:v>PARTNER-M130</x:v>
      </x:c>
      <x:c r="B418" s="2" t="str">
        <x:v>Partner</x:v>
      </x:c>
      <x:c r="C418" s="2" t="str">
        <x:v>Bengaluru</x:v>
      </x:c>
      <x:c r="D418" s="12" t="str">
        <x:v>Bagmane Constellation </x:v>
      </x:c>
      <x:c r="E418" s="12" t="str">
        <x:v>55 inch</x:v>
      </x:c>
      <x:c r="F418" s="2" t="n">
        <x:v>8</x:v>
      </x:c>
      <x:c r="G418" s="2" t="n">
        <x:v>8</x:v>
      </x:c>
      <x:c r="H418" s="2" t="n">
        <x:f>COUNTIFS('Inventory'!$N$7:$N$783,A418,'Inventory'!$A$7:$A$783,1)</x:f>
        <x:v>8</x:v>
      </x:c>
      <x:c r="I418" s="2" t="n">
        <x:f>SUMIFS('Inventory'!$G$7:$G$783,'Inventory'!$N$7:$N$783,A418,'Inventory'!$A$7:$A$783,1)</x:f>
        <x:v>8</x:v>
      </x:c>
      <x:c r="J418" s="12" t="str">
        <x:v>Campaign format rate</x:v>
      </x:c>
      <x:c r="K418" s="17"/>
      <x:c r="L418" s="17" t="n">
        <x:f>$I$5</x:f>
        <x:v>40000</x:v>
      </x:c>
      <x:c r="M418" s="17"/>
      <x:c r="N418" s="19"/>
      <x:c r="O418" s="17" t="n">
        <x:f>IF(ISNUMBER(L418),G418*L418,IF(ISNUMBER(M418),M418,""))</x:f>
        <x:v>320000</x:v>
      </x:c>
      <x:c r="P418" s="17" t="n">
        <x:f>IF(ISNUMBER(K418),K418,IF(ISNUMBER(O418),O418,""))</x:f>
        <x:v>320000</x:v>
      </x:c>
      <x:c r="Q418" s="17" t="n">
        <x:f>IF(H418=0,0,IF(ISNUMBER(N418),N418,IF(N418="",IF(H418=F418,P418,""),"")))</x:f>
        <x:v>320000</x:v>
      </x:c>
      <x:c r="R418" s="17" t="n">
        <x:f>IF(ISNUMBER(Q418),ROUND(Q418*$C$4,2),"")</x:f>
        <x:v>57600</x:v>
      </x:c>
      <x:c r="S418" s="17" t="n">
        <x:f>IF(ISNUMBER(Q418),Q418+R418,"")</x:f>
        <x:v>377600</x:v>
      </x:c>
      <x:c r="T418" s="2" t="str">
        <x:f>IF(H418=0,"Not selected",IF(ISNUMBER(N418),"Quote entered",IF(N418&lt;&gt;"","Enter numeric quote",IF(H418=F418,IF(ISNUMBER(P418),"Complete unit","Price required"),"Partial package: price required"))))</x:f>
        <x:v>Complete unit</x:v>
      </x:c>
      <x:c r="U418" s="2" t="str">
        <x:v>TEN-090321827705; TEN-16F45B99ABFD; TEN-36E26473A4E8; TEN-3E451D4C362B; TEN-69A068939DEA; TEN-8DFE5E6CF73B; TEN-968E2D5B0868; TEN-BBDEFA2950F4; TEN-CBC62794911F; TEN-F31639A23C74; TEN-F68A6275A50C</x:v>
      </x:c>
      <x:c r="V418" s="2" t="str">
        <x:v>IT &amp; digital; Professional services; Engineering &amp; manufacturing; Unresolved</x:v>
      </x:c>
      <x:c r="W418" s="2" t="str">
        <x:v>Large enterprise; Mixed business audience</x:v>
      </x:c>
      <x:c r="X418" s="17" t="n">
        <x:f>IF(AND(H418=F418,NOT(ISNUMBER(N418)),N418="",ISNUMBER(K418)),K418,0)</x:f>
        <x:v>0</x:v>
      </x:c>
      <x:c r="Y418" s="17" t="n">
        <x:f>IF(AND(H418=F418,NOT(ISNUMBER(N418)),N418="",K418="",ISNUMBER(O418)),O418,0)</x:f>
        <x:v>320000</x:v>
      </x:c>
      <x:c r="Z418" s="17" t="n">
        <x:f>IF(AND(H418&gt;0,ISNUMBER(N418)),N418,0)</x:f>
        <x:v>0</x:v>
      </x:c>
      <x:c r="AA418" s="2" t="n">
        <x:f>IF(AND(H418&gt;0,N418="",NOT(ISNUMBER(Q418))),1,0)</x:f>
        <x:v>0</x:v>
      </x:c>
      <x:c r="AB418" s="2" t="n">
        <x:f>IF(AND(H418&gt;0,N418&lt;&gt;"",NOT(ISNUMBER(N418))),1,0)</x:f>
        <x:v>0</x:v>
      </x:c>
    </x:row>
    <x:row r="419" ht="48" customHeight="1">
      <x:c r="A419" s="2" t="str">
        <x:v>PARTNER-M146</x:v>
      </x:c>
      <x:c r="B419" s="2" t="str">
        <x:v>Partner</x:v>
      </x:c>
      <x:c r="C419" s="2" t="str">
        <x:v>Bengaluru</x:v>
      </x:c>
      <x:c r="D419" s="12" t="str">
        <x:v>Bagmane Solarium</x:v>
      </x:c>
      <x:c r="E419" s="12" t="str">
        <x:v>55 inch</x:v>
      </x:c>
      <x:c r="F419" s="2" t="n">
        <x:v>8</x:v>
      </x:c>
      <x:c r="G419" s="2" t="n">
        <x:v>8</x:v>
      </x:c>
      <x:c r="H419" s="2" t="n">
        <x:f>COUNTIFS('Inventory'!$N$7:$N$783,A419,'Inventory'!$A$7:$A$783,1)</x:f>
        <x:v>8</x:v>
      </x:c>
      <x:c r="I419" s="2" t="n">
        <x:f>SUMIFS('Inventory'!$G$7:$G$783,'Inventory'!$N$7:$N$783,A419,'Inventory'!$A$7:$A$783,1)</x:f>
        <x:v>8</x:v>
      </x:c>
      <x:c r="J419" s="12" t="str">
        <x:v>Campaign format rate</x:v>
      </x:c>
      <x:c r="K419" s="17"/>
      <x:c r="L419" s="17" t="n">
        <x:f>$I$5</x:f>
        <x:v>40000</x:v>
      </x:c>
      <x:c r="M419" s="17"/>
      <x:c r="N419" s="19"/>
      <x:c r="O419" s="17" t="n">
        <x:f>IF(ISNUMBER(L419),G419*L419,IF(ISNUMBER(M419),M419,""))</x:f>
        <x:v>320000</x:v>
      </x:c>
      <x:c r="P419" s="17" t="n">
        <x:f>IF(ISNUMBER(K419),K419,IF(ISNUMBER(O419),O419,""))</x:f>
        <x:v>320000</x:v>
      </x:c>
      <x:c r="Q419" s="17" t="n">
        <x:f>IF(H419=0,0,IF(ISNUMBER(N419),N419,IF(N419="",IF(H419=F419,P419,""),"")))</x:f>
        <x:v>320000</x:v>
      </x:c>
      <x:c r="R419" s="17" t="n">
        <x:f>IF(ISNUMBER(Q419),ROUND(Q419*$C$4,2),"")</x:f>
        <x:v>57600</x:v>
      </x:c>
      <x:c r="S419" s="17" t="n">
        <x:f>IF(ISNUMBER(Q419),Q419+R419,"")</x:f>
        <x:v>377600</x:v>
      </x:c>
      <x:c r="T419" s="2" t="str">
        <x:f>IF(H419=0,"Not selected",IF(ISNUMBER(N419),"Quote entered",IF(N419&lt;&gt;"","Enter numeric quote",IF(H419=F419,IF(ISNUMBER(P419),"Complete unit","Price required"),"Partial package: price required"))))</x:f>
        <x:v>Complete unit</x:v>
      </x:c>
      <x:c r="U419" s="2" t="str">
        <x:v>TEN-11C27A52B3EC; TEN-32A46F0F2FE1; TEN-54D308D4C42F; TEN-6C0D20116366; TEN-9891CBD98729; TEN-B2390264A2E8; TEN-B2D5ADC2EC6B; TEN-B620B7716796; TEN-BC3067AC45DF</x:v>
      </x:c>
      <x:c r="V419" s="2" t="str">
        <x:v>IT &amp; digital; Professional services; Finance &amp; insurance; Engineering &amp; manufacturing; Healthcare &amp; life sciences</x:v>
      </x:c>
      <x:c r="W419" s="2" t="str">
        <x:v>Small-scale prospects; Large enterprise; Mixed business audience</x:v>
      </x:c>
      <x:c r="X419" s="17" t="n">
        <x:f>IF(AND(H419=F419,NOT(ISNUMBER(N419)),N419="",ISNUMBER(K419)),K419,0)</x:f>
        <x:v>0</x:v>
      </x:c>
      <x:c r="Y419" s="17" t="n">
        <x:f>IF(AND(H419=F419,NOT(ISNUMBER(N419)),N419="",K419="",ISNUMBER(O419)),O419,0)</x:f>
        <x:v>320000</x:v>
      </x:c>
      <x:c r="Z419" s="17" t="n">
        <x:f>IF(AND(H419&gt;0,ISNUMBER(N419)),N419,0)</x:f>
        <x:v>0</x:v>
      </x:c>
      <x:c r="AA419" s="2" t="n">
        <x:f>IF(AND(H419&gt;0,N419="",NOT(ISNUMBER(Q419))),1,0)</x:f>
        <x:v>0</x:v>
      </x:c>
      <x:c r="AB419" s="2" t="n">
        <x:f>IF(AND(H419&gt;0,N419&lt;&gt;"",NOT(ISNUMBER(N419))),1,0)</x:f>
        <x:v>0</x:v>
      </x:c>
    </x:row>
    <x:row r="420" ht="48" customHeight="1">
      <x:c r="A420" s="2" t="str">
        <x:v>PARTNER-M108</x:v>
      </x:c>
      <x:c r="B420" s="2" t="str">
        <x:v>Partner</x:v>
      </x:c>
      <x:c r="C420" s="2" t="str">
        <x:v>Bengaluru</x:v>
      </x:c>
      <x:c r="D420" s="12" t="str">
        <x:v>Bagmane Tech Park</x:v>
      </x:c>
      <x:c r="E420" s="12" t="str">
        <x:v>55 inch</x:v>
      </x:c>
      <x:c r="F420" s="2" t="n">
        <x:v>12</x:v>
      </x:c>
      <x:c r="G420" s="2" t="n">
        <x:v>12</x:v>
      </x:c>
      <x:c r="H420" s="2" t="n">
        <x:f>COUNTIFS('Inventory'!$N$7:$N$783,A420,'Inventory'!$A$7:$A$783,1)</x:f>
        <x:v>12</x:v>
      </x:c>
      <x:c r="I420" s="2" t="n">
        <x:f>SUMIFS('Inventory'!$G$7:$G$783,'Inventory'!$N$7:$N$783,A420,'Inventory'!$A$7:$A$783,1)</x:f>
        <x:v>12</x:v>
      </x:c>
      <x:c r="J420" s="12" t="str">
        <x:v>Campaign format rate</x:v>
      </x:c>
      <x:c r="K420" s="17"/>
      <x:c r="L420" s="17" t="n">
        <x:f>$I$5</x:f>
        <x:v>40000</x:v>
      </x:c>
      <x:c r="M420" s="17"/>
      <x:c r="N420" s="19"/>
      <x:c r="O420" s="17" t="n">
        <x:f>IF(ISNUMBER(L420),G420*L420,IF(ISNUMBER(M420),M420,""))</x:f>
        <x:v>480000</x:v>
      </x:c>
      <x:c r="P420" s="17" t="n">
        <x:f>IF(ISNUMBER(K420),K420,IF(ISNUMBER(O420),O420,""))</x:f>
        <x:v>480000</x:v>
      </x:c>
      <x:c r="Q420" s="17" t="n">
        <x:f>IF(H420=0,0,IF(ISNUMBER(N420),N420,IF(N420="",IF(H420=F420,P420,""),"")))</x:f>
        <x:v>480000</x:v>
      </x:c>
      <x:c r="R420" s="17" t="n">
        <x:f>IF(ISNUMBER(Q420),ROUND(Q420*$C$4,2),"")</x:f>
        <x:v>86400</x:v>
      </x:c>
      <x:c r="S420" s="17" t="n">
        <x:f>IF(ISNUMBER(Q420),Q420+R420,"")</x:f>
        <x:v>566400</x:v>
      </x:c>
      <x:c r="T420" s="2" t="str">
        <x:f>IF(H420=0,"Not selected",IF(ISNUMBER(N420),"Quote entered",IF(N420&lt;&gt;"","Enter numeric quote",IF(H420=F420,IF(ISNUMBER(P420),"Complete unit","Price required"),"Partial package: price required"))))</x:f>
        <x:v>Complete unit</x:v>
      </x:c>
      <x:c r="U420"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V420" s="2" t="str">
        <x:v>IT &amp; digital; Professional services; Engineering &amp; manufacturing; Trade, consumer &amp; logistics; Unresolved</x:v>
      </x:c>
      <x:c r="W420" s="2" t="str">
        <x:v>Small-scale prospects; Medium-scale prospects; Large enterprise; Mixed business audience</x:v>
      </x:c>
      <x:c r="X420" s="17" t="n">
        <x:f>IF(AND(H420=F420,NOT(ISNUMBER(N420)),N420="",ISNUMBER(K420)),K420,0)</x:f>
        <x:v>0</x:v>
      </x:c>
      <x:c r="Y420" s="17" t="n">
        <x:f>IF(AND(H420=F420,NOT(ISNUMBER(N420)),N420="",K420="",ISNUMBER(O420)),O420,0)</x:f>
        <x:v>480000</x:v>
      </x:c>
      <x:c r="Z420" s="17" t="n">
        <x:f>IF(AND(H420&gt;0,ISNUMBER(N420)),N420,0)</x:f>
        <x:v>0</x:v>
      </x:c>
      <x:c r="AA420" s="2" t="n">
        <x:f>IF(AND(H420&gt;0,N420="",NOT(ISNUMBER(Q420))),1,0)</x:f>
        <x:v>0</x:v>
      </x:c>
      <x:c r="AB420" s="2" t="n">
        <x:f>IF(AND(H420&gt;0,N420&lt;&gt;"",NOT(ISNUMBER(N420))),1,0)</x:f>
        <x:v>0</x:v>
      </x:c>
    </x:row>
    <x:row r="421" ht="48" customHeight="1">
      <x:c r="A421" s="2" t="str">
        <x:v>PARTNER-M120</x:v>
      </x:c>
      <x:c r="B421" s="2" t="str">
        <x:v>Partner</x:v>
      </x:c>
      <x:c r="C421" s="2" t="str">
        <x:v>Bengaluru</x:v>
      </x:c>
      <x:c r="D421" s="12" t="str">
        <x:v>Bagmane World Technology Centre</x:v>
      </x:c>
      <x:c r="E421" s="12" t="str">
        <x:v>55 inch</x:v>
      </x:c>
      <x:c r="F421" s="2" t="n">
        <x:v>10</x:v>
      </x:c>
      <x:c r="G421" s="2" t="n">
        <x:v>10</x:v>
      </x:c>
      <x:c r="H421" s="2" t="n">
        <x:f>COUNTIFS('Inventory'!$N$7:$N$783,A421,'Inventory'!$A$7:$A$783,1)</x:f>
        <x:v>10</x:v>
      </x:c>
      <x:c r="I421" s="2" t="n">
        <x:f>SUMIFS('Inventory'!$G$7:$G$783,'Inventory'!$N$7:$N$783,A421,'Inventory'!$A$7:$A$783,1)</x:f>
        <x:v>10</x:v>
      </x:c>
      <x:c r="J421" s="12" t="str">
        <x:v>Campaign format rate</x:v>
      </x:c>
      <x:c r="K421" s="17"/>
      <x:c r="L421" s="17" t="n">
        <x:f>$I$5</x:f>
        <x:v>40000</x:v>
      </x:c>
      <x:c r="M421" s="17"/>
      <x:c r="N421" s="19"/>
      <x:c r="O421" s="17" t="n">
        <x:f>IF(ISNUMBER(L421),G421*L421,IF(ISNUMBER(M421),M421,""))</x:f>
        <x:v>400000</x:v>
      </x:c>
      <x:c r="P421" s="17" t="n">
        <x:f>IF(ISNUMBER(K421),K421,IF(ISNUMBER(O421),O421,""))</x:f>
        <x:v>400000</x:v>
      </x:c>
      <x:c r="Q421" s="17" t="n">
        <x:f>IF(H421=0,0,IF(ISNUMBER(N421),N421,IF(N421="",IF(H421=F421,P421,""),"")))</x:f>
        <x:v>400000</x:v>
      </x:c>
      <x:c r="R421" s="17" t="n">
        <x:f>IF(ISNUMBER(Q421),ROUND(Q421*$C$4,2),"")</x:f>
        <x:v>72000</x:v>
      </x:c>
      <x:c r="S421" s="17" t="n">
        <x:f>IF(ISNUMBER(Q421),Q421+R421,"")</x:f>
        <x:v>472000</x:v>
      </x:c>
      <x:c r="T421" s="2" t="str">
        <x:f>IF(H421=0,"Not selected",IF(ISNUMBER(N421),"Quote entered",IF(N421&lt;&gt;"","Enter numeric quote",IF(H421=F421,IF(ISNUMBER(P421),"Complete unit","Price required"),"Partial package: price required"))))</x:f>
        <x:v>Complete unit</x:v>
      </x:c>
      <x:c r="U421"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V421" s="2" t="str">
        <x:v>IT &amp; digital; Professional services; Finance &amp; insurance; Engineering &amp; manufacturing; Trade, consumer &amp; logistics; Unresolved</x:v>
      </x:c>
      <x:c r="W421" s="2" t="str">
        <x:v>Small-scale prospects; Large enterprise; Mixed business audience</x:v>
      </x:c>
      <x:c r="X421" s="17" t="n">
        <x:f>IF(AND(H421=F421,NOT(ISNUMBER(N421)),N421="",ISNUMBER(K421)),K421,0)</x:f>
        <x:v>0</x:v>
      </x:c>
      <x:c r="Y421" s="17" t="n">
        <x:f>IF(AND(H421=F421,NOT(ISNUMBER(N421)),N421="",K421="",ISNUMBER(O421)),O421,0)</x:f>
        <x:v>400000</x:v>
      </x:c>
      <x:c r="Z421" s="17" t="n">
        <x:f>IF(AND(H421&gt;0,ISNUMBER(N421)),N421,0)</x:f>
        <x:v>0</x:v>
      </x:c>
      <x:c r="AA421" s="2" t="n">
        <x:f>IF(AND(H421&gt;0,N421="",NOT(ISNUMBER(Q421))),1,0)</x:f>
        <x:v>0</x:v>
      </x:c>
      <x:c r="AB421" s="2" t="n">
        <x:f>IF(AND(H421&gt;0,N421&lt;&gt;"",NOT(ISNUMBER(N421))),1,0)</x:f>
        <x:v>0</x:v>
      </x:c>
    </x:row>
    <x:row r="422" ht="48" customHeight="1">
      <x:c r="A422" s="2" t="str">
        <x:v>PARTNER-M056</x:v>
      </x:c>
      <x:c r="B422" s="2" t="str">
        <x:v>Partner</x:v>
      </x:c>
      <x:c r="C422" s="2" t="str">
        <x:v>Bengaluru</x:v>
      </x:c>
      <x:c r="D422" s="12" t="str">
        <x:v>Brigade IRV</x:v>
      </x:c>
      <x:c r="E422" s="12" t="str">
        <x:v>55 inch</x:v>
      </x:c>
      <x:c r="F422" s="2" t="n">
        <x:v>4</x:v>
      </x:c>
      <x:c r="G422" s="2" t="n">
        <x:v>4</x:v>
      </x:c>
      <x:c r="H422" s="2" t="n">
        <x:f>COUNTIFS('Inventory'!$N$7:$N$783,A422,'Inventory'!$A$7:$A$783,1)</x:f>
        <x:v>4</x:v>
      </x:c>
      <x:c r="I422" s="2" t="n">
        <x:f>SUMIFS('Inventory'!$G$7:$G$783,'Inventory'!$N$7:$N$783,A422,'Inventory'!$A$7:$A$783,1)</x:f>
        <x:v>4</x:v>
      </x:c>
      <x:c r="J422" s="12" t="str">
        <x:v>Campaign format rate</x:v>
      </x:c>
      <x:c r="K422" s="17"/>
      <x:c r="L422" s="17" t="n">
        <x:f>$I$5</x:f>
        <x:v>40000</x:v>
      </x:c>
      <x:c r="M422" s="17"/>
      <x:c r="N422" s="19"/>
      <x:c r="O422" s="17" t="n">
        <x:f>IF(ISNUMBER(L422),G422*L422,IF(ISNUMBER(M422),M422,""))</x:f>
        <x:v>160000</x:v>
      </x:c>
      <x:c r="P422" s="17" t="n">
        <x:f>IF(ISNUMBER(K422),K422,IF(ISNUMBER(O422),O422,""))</x:f>
        <x:v>160000</x:v>
      </x:c>
      <x:c r="Q422" s="17" t="n">
        <x:f>IF(H422=0,0,IF(ISNUMBER(N422),N422,IF(N422="",IF(H422=F422,P422,""),"")))</x:f>
        <x:v>160000</x:v>
      </x:c>
      <x:c r="R422" s="17" t="n">
        <x:f>IF(ISNUMBER(Q422),ROUND(Q422*$C$4,2),"")</x:f>
        <x:v>28800</x:v>
      </x:c>
      <x:c r="S422" s="17" t="n">
        <x:f>IF(ISNUMBER(Q422),Q422+R422,"")</x:f>
        <x:v>188800</x:v>
      </x:c>
      <x:c r="T422" s="2" t="str">
        <x:f>IF(H422=0,"Not selected",IF(ISNUMBER(N422),"Quote entered",IF(N422&lt;&gt;"","Enter numeric quote",IF(H422=F422,IF(ISNUMBER(P422),"Complete unit","Price required"),"Partial package: price required"))))</x:f>
        <x:v>Complete unit</x:v>
      </x:c>
      <x:c r="U422" s="2" t="str">
        <x:v>TEN-0B63EF31808A; TEN-3FB64171B8B2; TEN-4031B527A5B1; TEN-454101807C26; TEN-555A2C40B555; TEN-6EC3A7285B02; TEN-6F7359803DF1; TEN-6FC71948C40F; TEN-81D3880C31B1; TEN-8811AC206AD4; TEN-A761DC481A8A; TEN-B56496626EEE; TEN-BBD4EEA83943; TEN-BBD5210C1E57; TEN-C4FDA280D307; TEN-D4A1061B292B; TEN-D570183BA689; TEN-DF6860ED534A; TEN-F13E5E75303C; TEN-F3CC7F1E38DB</x:v>
      </x:c>
      <x:c r="V422" s="2" t="str">
        <x:v>IT &amp; digital; Professional services; Engineering &amp; manufacturing; Trade, consumer &amp; logistics; Workspace &amp; property operations; Unresolved</x:v>
      </x:c>
      <x:c r="W422" s="2" t="str">
        <x:v>Small-scale prospects; Medium-scale prospects; Mixed business audience</x:v>
      </x:c>
      <x:c r="X422" s="17" t="n">
        <x:f>IF(AND(H422=F422,NOT(ISNUMBER(N422)),N422="",ISNUMBER(K422)),K422,0)</x:f>
        <x:v>0</x:v>
      </x:c>
      <x:c r="Y422" s="17" t="n">
        <x:f>IF(AND(H422=F422,NOT(ISNUMBER(N422)),N422="",K422="",ISNUMBER(O422)),O422,0)</x:f>
        <x:v>160000</x:v>
      </x:c>
      <x:c r="Z422" s="17" t="n">
        <x:f>IF(AND(H422&gt;0,ISNUMBER(N422)),N422,0)</x:f>
        <x:v>0</x:v>
      </x:c>
      <x:c r="AA422" s="2" t="n">
        <x:f>IF(AND(H422&gt;0,N422="",NOT(ISNUMBER(Q422))),1,0)</x:f>
        <x:v>0</x:v>
      </x:c>
      <x:c r="AB422" s="2" t="n">
        <x:f>IF(AND(H422&gt;0,N422&lt;&gt;"",NOT(ISNUMBER(N422))),1,0)</x:f>
        <x:v>0</x:v>
      </x:c>
    </x:row>
    <x:row r="423" ht="48" customHeight="1">
      <x:c r="A423" s="2" t="str">
        <x:v>PARTNER-M067</x:v>
      </x:c>
      <x:c r="B423" s="2" t="str">
        <x:v>Partner</x:v>
      </x:c>
      <x:c r="C423" s="2" t="str">
        <x:v>Bengaluru</x:v>
      </x:c>
      <x:c r="D423" s="12" t="str">
        <x:v>Cessna - Embassy Tech Square</x:v>
      </x:c>
      <x:c r="E423" s="12" t="str">
        <x:v>55 inch</x:v>
      </x:c>
      <x:c r="F423" s="2" t="n">
        <x:v>3</x:v>
      </x:c>
      <x:c r="G423" s="2" t="n">
        <x:v>3</x:v>
      </x:c>
      <x:c r="H423" s="2" t="n">
        <x:f>COUNTIFS('Inventory'!$N$7:$N$783,A423,'Inventory'!$A$7:$A$783,1)</x:f>
        <x:v>3</x:v>
      </x:c>
      <x:c r="I423" s="2" t="n">
        <x:f>SUMIFS('Inventory'!$G$7:$G$783,'Inventory'!$N$7:$N$783,A423,'Inventory'!$A$7:$A$783,1)</x:f>
        <x:v>3</x:v>
      </x:c>
      <x:c r="J423" s="12" t="str">
        <x:v>Campaign format rate</x:v>
      </x:c>
      <x:c r="K423" s="17"/>
      <x:c r="L423" s="17" t="n">
        <x:f>$I$5</x:f>
        <x:v>40000</x:v>
      </x:c>
      <x:c r="M423" s="17"/>
      <x:c r="N423" s="19"/>
      <x:c r="O423" s="17" t="n">
        <x:f>IF(ISNUMBER(L423),G423*L423,IF(ISNUMBER(M423),M423,""))</x:f>
        <x:v>120000</x:v>
      </x:c>
      <x:c r="P423" s="17" t="n">
        <x:f>IF(ISNUMBER(K423),K423,IF(ISNUMBER(O423),O423,""))</x:f>
        <x:v>120000</x:v>
      </x:c>
      <x:c r="Q423" s="17" t="n">
        <x:f>IF(H423=0,0,IF(ISNUMBER(N423),N423,IF(N423="",IF(H423=F423,P423,""),"")))</x:f>
        <x:v>120000</x:v>
      </x:c>
      <x:c r="R423" s="17" t="n">
        <x:f>IF(ISNUMBER(Q423),ROUND(Q423*$C$4,2),"")</x:f>
        <x:v>21600</x:v>
      </x:c>
      <x:c r="S423" s="17" t="n">
        <x:f>IF(ISNUMBER(Q423),Q423+R423,"")</x:f>
        <x:v>141600</x:v>
      </x:c>
      <x:c r="T423" s="2" t="str">
        <x:f>IF(H423=0,"Not selected",IF(ISNUMBER(N423),"Quote entered",IF(N423&lt;&gt;"","Enter numeric quote",IF(H423=F423,IF(ISNUMBER(P423),"Complete unit","Price required"),"Partial package: price required"))))</x:f>
        <x:v>Complete unit</x:v>
      </x:c>
      <x:c r="U423" s="2" t="str">
        <x:v>TEN-14A778EC0824; TEN-17C400F7181E; TEN-5B49624C6F03; TEN-8E42AB47E105; TEN-917A9EA35D91; TEN-982AAAD03B93; TEN-B0D732F6FB1E; TEN-B8AB53F49765; TEN-C37E3D3636A0; TEN-CCF2DC9DADF3; TEN-D22C9DC7EBCB; TEN-DE86AC86417B; TEN-E4737DBE1BA9; TEN-E776A0709093; TEN-E9E8A907E060; TEN-EBC4D1888A03</x:v>
      </x:c>
      <x:c r="V423" s="2" t="str">
        <x:v>IT &amp; digital; Professional services; Healthcare &amp; life sciences; Education; Trade, consumer &amp; logistics; Unresolved</x:v>
      </x:c>
      <x:c r="W423" s="2" t="str">
        <x:v>Small-scale prospects; Large enterprise; Mixed business audience</x:v>
      </x:c>
      <x:c r="X423" s="17" t="n">
        <x:f>IF(AND(H423=F423,NOT(ISNUMBER(N423)),N423="",ISNUMBER(K423)),K423,0)</x:f>
        <x:v>0</x:v>
      </x:c>
      <x:c r="Y423" s="17" t="n">
        <x:f>IF(AND(H423=F423,NOT(ISNUMBER(N423)),N423="",K423="",ISNUMBER(O423)),O423,0)</x:f>
        <x:v>120000</x:v>
      </x:c>
      <x:c r="Z423" s="17" t="n">
        <x:f>IF(AND(H423&gt;0,ISNUMBER(N423)),N423,0)</x:f>
        <x:v>0</x:v>
      </x:c>
      <x:c r="AA423" s="2" t="n">
        <x:f>IF(AND(H423&gt;0,N423="",NOT(ISNUMBER(Q423))),1,0)</x:f>
        <x:v>0</x:v>
      </x:c>
      <x:c r="AB423" s="2" t="n">
        <x:f>IF(AND(H423&gt;0,N423&lt;&gt;"",NOT(ISNUMBER(N423))),1,0)</x:f>
        <x:v>0</x:v>
      </x:c>
    </x:row>
    <x:row r="424" ht="48" customHeight="1">
      <x:c r="A424" s="2" t="str">
        <x:v>PARTNER-M166</x:v>
      </x:c>
      <x:c r="B424" s="2" t="str">
        <x:v>Partner</x:v>
      </x:c>
      <x:c r="C424" s="2" t="str">
        <x:v>Bengaluru</x:v>
      </x:c>
      <x:c r="D424" s="12" t="str">
        <x:v>Cessna Business Park</x:v>
      </x:c>
      <x:c r="E424" s="12" t="str">
        <x:v>55 inch</x:v>
      </x:c>
      <x:c r="F424" s="2" t="n">
        <x:v>3</x:v>
      </x:c>
      <x:c r="G424" s="2" t="n">
        <x:v>3</x:v>
      </x:c>
      <x:c r="H424" s="2" t="n">
        <x:f>COUNTIFS('Inventory'!$N$7:$N$783,A424,'Inventory'!$A$7:$A$783,1)</x:f>
        <x:v>3</x:v>
      </x:c>
      <x:c r="I424" s="2" t="n">
        <x:f>SUMIFS('Inventory'!$G$7:$G$783,'Inventory'!$N$7:$N$783,A424,'Inventory'!$A$7:$A$783,1)</x:f>
        <x:v>3</x:v>
      </x:c>
      <x:c r="J424" s="12" t="str">
        <x:v>Campaign format rate</x:v>
      </x:c>
      <x:c r="K424" s="17"/>
      <x:c r="L424" s="17" t="n">
        <x:f>$I$5</x:f>
        <x:v>40000</x:v>
      </x:c>
      <x:c r="M424" s="17"/>
      <x:c r="N424" s="19"/>
      <x:c r="O424" s="17" t="n">
        <x:f>IF(ISNUMBER(L424),G424*L424,IF(ISNUMBER(M424),M424,""))</x:f>
        <x:v>120000</x:v>
      </x:c>
      <x:c r="P424" s="17" t="n">
        <x:f>IF(ISNUMBER(K424),K424,IF(ISNUMBER(O424),O424,""))</x:f>
        <x:v>120000</x:v>
      </x:c>
      <x:c r="Q424" s="17" t="n">
        <x:f>IF(H424=0,0,IF(ISNUMBER(N424),N424,IF(N424="",IF(H424=F424,P424,""),"")))</x:f>
        <x:v>120000</x:v>
      </x:c>
      <x:c r="R424" s="17" t="n">
        <x:f>IF(ISNUMBER(Q424),ROUND(Q424*$C$4,2),"")</x:f>
        <x:v>21600</x:v>
      </x:c>
      <x:c r="S424" s="17" t="n">
        <x:f>IF(ISNUMBER(Q424),Q424+R424,"")</x:f>
        <x:v>141600</x:v>
      </x:c>
      <x:c r="T424" s="2" t="str">
        <x:f>IF(H424=0,"Not selected",IF(ISNUMBER(N424),"Quote entered",IF(N424&lt;&gt;"","Enter numeric quote",IF(H424=F424,IF(ISNUMBER(P424),"Complete unit","Price required"),"Partial package: price required"))))</x:f>
        <x:v>Complete unit</x:v>
      </x:c>
      <x:c r="U424" s="2" t="str">
        <x:v>TEN-17C400F7181E; TEN-284A226B58B5; TEN-7E2E1BC4E8F9; TEN-93C8F532FDF9; TEN-958F32C11ABB; TEN-B00DCCE00CF7; TEN-CF43145687C6; TEN-D5AABFA3A414; TEN-D6C19C7AF47E; TEN-FFF9B8935849</x:v>
      </x:c>
      <x:c r="V424" s="2" t="str">
        <x:v>IT &amp; digital; Engineering &amp; manufacturing; Trade, consumer &amp; logistics; Unresolved</x:v>
      </x:c>
      <x:c r="W424" s="2" t="str">
        <x:v>Small-scale prospects; Medium-scale prospects; Large enterprise; Mixed business audience</x:v>
      </x:c>
      <x:c r="X424" s="17" t="n">
        <x:f>IF(AND(H424=F424,NOT(ISNUMBER(N424)),N424="",ISNUMBER(K424)),K424,0)</x:f>
        <x:v>0</x:v>
      </x:c>
      <x:c r="Y424" s="17" t="n">
        <x:f>IF(AND(H424=F424,NOT(ISNUMBER(N424)),N424="",K424="",ISNUMBER(O424)),O424,0)</x:f>
        <x:v>120000</x:v>
      </x:c>
      <x:c r="Z424" s="17" t="n">
        <x:f>IF(AND(H424&gt;0,ISNUMBER(N424)),N424,0)</x:f>
        <x:v>0</x:v>
      </x:c>
      <x:c r="AA424" s="2" t="n">
        <x:f>IF(AND(H424&gt;0,N424="",NOT(ISNUMBER(Q424))),1,0)</x:f>
        <x:v>0</x:v>
      </x:c>
      <x:c r="AB424" s="2" t="n">
        <x:f>IF(AND(H424&gt;0,N424&lt;&gt;"",NOT(ISNUMBER(N424))),1,0)</x:f>
        <x:v>0</x:v>
      </x:c>
    </x:row>
    <x:row r="425" ht="48" customHeight="1">
      <x:c r="A425" s="2" t="str">
        <x:v>PARTNER-M162</x:v>
      </x:c>
      <x:c r="B425" s="2" t="str">
        <x:v>Partner</x:v>
      </x:c>
      <x:c r="C425" s="2" t="str">
        <x:v>Bengaluru</x:v>
      </x:c>
      <x:c r="D425" s="12" t="str">
        <x:v>Fincity Corproate Park </x:v>
      </x:c>
      <x:c r="E425" s="12" t="str">
        <x:v>55 inch</x:v>
      </x:c>
      <x:c r="F425" s="2" t="n">
        <x:v>4</x:v>
      </x:c>
      <x:c r="G425" s="2" t="n">
        <x:v>4</x:v>
      </x:c>
      <x:c r="H425" s="2" t="n">
        <x:f>COUNTIFS('Inventory'!$N$7:$N$783,A425,'Inventory'!$A$7:$A$783,1)</x:f>
        <x:v>4</x:v>
      </x:c>
      <x:c r="I425" s="2" t="n">
        <x:f>SUMIFS('Inventory'!$G$7:$G$783,'Inventory'!$N$7:$N$783,A425,'Inventory'!$A$7:$A$783,1)</x:f>
        <x:v>4</x:v>
      </x:c>
      <x:c r="J425" s="12" t="str">
        <x:v>Campaign format rate</x:v>
      </x:c>
      <x:c r="K425" s="17"/>
      <x:c r="L425" s="17" t="n">
        <x:f>$I$5</x:f>
        <x:v>40000</x:v>
      </x:c>
      <x:c r="M425" s="17"/>
      <x:c r="N425" s="19"/>
      <x:c r="O425" s="17" t="n">
        <x:f>IF(ISNUMBER(L425),G425*L425,IF(ISNUMBER(M425),M425,""))</x:f>
        <x:v>160000</x:v>
      </x:c>
      <x:c r="P425" s="17" t="n">
        <x:f>IF(ISNUMBER(K425),K425,IF(ISNUMBER(O425),O425,""))</x:f>
        <x:v>160000</x:v>
      </x:c>
      <x:c r="Q425" s="17" t="n">
        <x:f>IF(H425=0,0,IF(ISNUMBER(N425),N425,IF(N425="",IF(H425=F425,P425,""),"")))</x:f>
        <x:v>160000</x:v>
      </x:c>
      <x:c r="R425" s="17" t="n">
        <x:f>IF(ISNUMBER(Q425),ROUND(Q425*$C$4,2),"")</x:f>
        <x:v>28800</x:v>
      </x:c>
      <x:c r="S425" s="17" t="n">
        <x:f>IF(ISNUMBER(Q425),Q425+R425,"")</x:f>
        <x:v>188800</x:v>
      </x:c>
      <x:c r="T425" s="2" t="str">
        <x:f>IF(H425=0,"Not selected",IF(ISNUMBER(N425),"Quote entered",IF(N425&lt;&gt;"","Enter numeric quote",IF(H425=F425,IF(ISNUMBER(P425),"Complete unit","Price required"),"Partial package: price required"))))</x:f>
        <x:v>Complete unit</x:v>
      </x:c>
      <x:c r="U425" s="2" t="str">
        <x:v>TEN-0301B82899C9; TEN-1C2EC4E96776; TEN-423D620322C3; TEN-7DB74F996F50; TEN-8AD914E76A1E; TEN-C8FA2C07840D; TEN-FDB92F1E0EDB</x:v>
      </x:c>
      <x:c r="V425" s="2" t="str">
        <x:v>IT &amp; digital; Finance &amp; insurance; Engineering &amp; manufacturing; Trade, consumer &amp; logistics; Unresolved</x:v>
      </x:c>
      <x:c r="W425" s="2" t="str">
        <x:v>Small-scale prospects; Medium-scale prospects; Large enterprise; Mixed business audience</x:v>
      </x:c>
      <x:c r="X425" s="17" t="n">
        <x:f>IF(AND(H425=F425,NOT(ISNUMBER(N425)),N425="",ISNUMBER(K425)),K425,0)</x:f>
        <x:v>0</x:v>
      </x:c>
      <x:c r="Y425" s="17" t="n">
        <x:f>IF(AND(H425=F425,NOT(ISNUMBER(N425)),N425="",K425="",ISNUMBER(O425)),O425,0)</x:f>
        <x:v>160000</x:v>
      </x:c>
      <x:c r="Z425" s="17" t="n">
        <x:f>IF(AND(H425&gt;0,ISNUMBER(N425)),N425,0)</x:f>
        <x:v>0</x:v>
      </x:c>
      <x:c r="AA425" s="2" t="n">
        <x:f>IF(AND(H425&gt;0,N425="",NOT(ISNUMBER(Q425))),1,0)</x:f>
        <x:v>0</x:v>
      </x:c>
      <x:c r="AB425" s="2" t="n">
        <x:f>IF(AND(H425&gt;0,N425&lt;&gt;"",NOT(ISNUMBER(N425))),1,0)</x:f>
        <x:v>0</x:v>
      </x:c>
    </x:row>
    <x:row r="426" ht="48" customHeight="1">
      <x:c r="A426" s="2" t="str">
        <x:v>PARTNER-M065</x:v>
      </x:c>
      <x:c r="B426" s="2" t="str">
        <x:v>Partner</x:v>
      </x:c>
      <x:c r="C426" s="2" t="str">
        <x:v>Bengaluru</x:v>
      </x:c>
      <x:c r="D426" s="12" t="str">
        <x:v>First Technology Park</x:v>
      </x:c>
      <x:c r="E426" s="12" t="str">
        <x:v>55 inch</x:v>
      </x:c>
      <x:c r="F426" s="2" t="n">
        <x:v>2</x:v>
      </x:c>
      <x:c r="G426" s="2" t="n">
        <x:v>2</x:v>
      </x:c>
      <x:c r="H426" s="2" t="n">
        <x:f>COUNTIFS('Inventory'!$N$7:$N$783,A426,'Inventory'!$A$7:$A$783,1)</x:f>
        <x:v>2</x:v>
      </x:c>
      <x:c r="I426" s="2" t="n">
        <x:f>SUMIFS('Inventory'!$G$7:$G$783,'Inventory'!$N$7:$N$783,A426,'Inventory'!$A$7:$A$783,1)</x:f>
        <x:v>2</x:v>
      </x:c>
      <x:c r="J426" s="12" t="str">
        <x:v>Campaign format rate</x:v>
      </x:c>
      <x:c r="K426" s="17"/>
      <x:c r="L426" s="17" t="n">
        <x:f>$I$5</x:f>
        <x:v>40000</x:v>
      </x:c>
      <x:c r="M426" s="17"/>
      <x:c r="N426" s="19"/>
      <x:c r="O426" s="17" t="n">
        <x:f>IF(ISNUMBER(L426),G426*L426,IF(ISNUMBER(M426),M426,""))</x:f>
        <x:v>80000</x:v>
      </x:c>
      <x:c r="P426" s="17" t="n">
        <x:f>IF(ISNUMBER(K426),K426,IF(ISNUMBER(O426),O426,""))</x:f>
        <x:v>80000</x:v>
      </x:c>
      <x:c r="Q426" s="17" t="n">
        <x:f>IF(H426=0,0,IF(ISNUMBER(N426),N426,IF(N426="",IF(H426=F426,P426,""),"")))</x:f>
        <x:v>80000</x:v>
      </x:c>
      <x:c r="R426" s="17" t="n">
        <x:f>IF(ISNUMBER(Q426),ROUND(Q426*$C$4,2),"")</x:f>
        <x:v>14400</x:v>
      </x:c>
      <x:c r="S426" s="17" t="n">
        <x:f>IF(ISNUMBER(Q426),Q426+R426,"")</x:f>
        <x:v>94400</x:v>
      </x:c>
      <x:c r="T426" s="2" t="str">
        <x:f>IF(H426=0,"Not selected",IF(ISNUMBER(N426),"Quote entered",IF(N426&lt;&gt;"","Enter numeric quote",IF(H426=F426,IF(ISNUMBER(P426),"Complete unit","Price required"),"Partial package: price required"))))</x:f>
        <x:v>Complete unit</x:v>
      </x:c>
      <x:c r="U426" s="2" t="str">
        <x:v>TEN-1A1CF91802DC; TEN-4DAB11405DF8; TEN-55FE7B7567AF; TEN-678FB4E04FCE; TEN-6D01BFE28329; TEN-816AAFE58551; TEN-91BEEC88DDAF; TEN-A845A7DB23BB; TEN-AF4588398C1D; TEN-EAE936FEE92F</x:v>
      </x:c>
      <x:c r="V426" s="2" t="str">
        <x:v>IT &amp; digital; Unresolved</x:v>
      </x:c>
      <x:c r="W426" s="2" t="str">
        <x:v>Large enterprise; Mixed business audience</x:v>
      </x:c>
      <x:c r="X426" s="17" t="n">
        <x:f>IF(AND(H426=F426,NOT(ISNUMBER(N426)),N426="",ISNUMBER(K426)),K426,0)</x:f>
        <x:v>0</x:v>
      </x:c>
      <x:c r="Y426" s="17" t="n">
        <x:f>IF(AND(H426=F426,NOT(ISNUMBER(N426)),N426="",K426="",ISNUMBER(O426)),O426,0)</x:f>
        <x:v>80000</x:v>
      </x:c>
      <x:c r="Z426" s="17" t="n">
        <x:f>IF(AND(H426&gt;0,ISNUMBER(N426)),N426,0)</x:f>
        <x:v>0</x:v>
      </x:c>
      <x:c r="AA426" s="2" t="n">
        <x:f>IF(AND(H426&gt;0,N426="",NOT(ISNUMBER(Q426))),1,0)</x:f>
        <x:v>0</x:v>
      </x:c>
      <x:c r="AB426" s="2" t="n">
        <x:f>IF(AND(H426&gt;0,N426&lt;&gt;"",NOT(ISNUMBER(N426))),1,0)</x:f>
        <x:v>0</x:v>
      </x:c>
    </x:row>
    <x:row r="427" ht="48" customHeight="1">
      <x:c r="A427" s="2" t="str">
        <x:v>PARTNER-M060</x:v>
      </x:c>
      <x:c r="B427" s="2" t="str">
        <x:v>Partner</x:v>
      </x:c>
      <x:c r="C427" s="2" t="str">
        <x:v>Bengaluru</x:v>
      </x:c>
      <x:c r="D427" s="12" t="str">
        <x:v>Global Tech Park</x:v>
      </x:c>
      <x:c r="E427" s="12" t="str">
        <x:v>55 inch</x:v>
      </x:c>
      <x:c r="F427" s="2" t="n">
        <x:v>5</x:v>
      </x:c>
      <x:c r="G427" s="2" t="n">
        <x:v>5</x:v>
      </x:c>
      <x:c r="H427" s="2" t="n">
        <x:f>COUNTIFS('Inventory'!$N$7:$N$783,A427,'Inventory'!$A$7:$A$783,1)</x:f>
        <x:v>5</x:v>
      </x:c>
      <x:c r="I427" s="2" t="n">
        <x:f>SUMIFS('Inventory'!$G$7:$G$783,'Inventory'!$N$7:$N$783,A427,'Inventory'!$A$7:$A$783,1)</x:f>
        <x:v>5</x:v>
      </x:c>
      <x:c r="J427" s="12" t="str">
        <x:v>Campaign format rate</x:v>
      </x:c>
      <x:c r="K427" s="17"/>
      <x:c r="L427" s="17" t="n">
        <x:f>$I$5</x:f>
        <x:v>40000</x:v>
      </x:c>
      <x:c r="M427" s="17"/>
      <x:c r="N427" s="19"/>
      <x:c r="O427" s="17" t="n">
        <x:f>IF(ISNUMBER(L427),G427*L427,IF(ISNUMBER(M427),M427,""))</x:f>
        <x:v>200000</x:v>
      </x:c>
      <x:c r="P427" s="17" t="n">
        <x:f>IF(ISNUMBER(K427),K427,IF(ISNUMBER(O427),O427,""))</x:f>
        <x:v>200000</x:v>
      </x:c>
      <x:c r="Q427" s="17" t="n">
        <x:f>IF(H427=0,0,IF(ISNUMBER(N427),N427,IF(N427="",IF(H427=F427,P427,""),"")))</x:f>
        <x:v>200000</x:v>
      </x:c>
      <x:c r="R427" s="17" t="n">
        <x:f>IF(ISNUMBER(Q427),ROUND(Q427*$C$4,2),"")</x:f>
        <x:v>36000</x:v>
      </x:c>
      <x:c r="S427" s="17" t="n">
        <x:f>IF(ISNUMBER(Q427),Q427+R427,"")</x:f>
        <x:v>236000</x:v>
      </x:c>
      <x:c r="T427" s="2" t="str">
        <x:f>IF(H427=0,"Not selected",IF(ISNUMBER(N427),"Quote entered",IF(N427&lt;&gt;"","Enter numeric quote",IF(H427=F427,IF(ISNUMBER(P427),"Complete unit","Price required"),"Partial package: price required"))))</x:f>
        <x:v>Complete unit</x:v>
      </x:c>
      <x:c r="U427" s="2" t="str">
        <x:v>TEN-0D3128AFC517; TEN-25DB5104E8F5; TEN-26B92272F90D; TEN-3F5468F56323; TEN-44C551CDCABF; TEN-4DB2CCE9A521; TEN-4E5768573B8D; TEN-508DF31D63FB; TEN-592CC302663C; TEN-59997A67C490; TEN-746A33411251; TEN-7E0E7F63D0E5; TEN-84308BEA4540; TEN-908C50BA6687; TEN-91C2E0669804; TEN-93C4CDB211E2; TEN-97101BD39450; TEN-B4E81D471B4A; TEN-B7B27EA467E4; TEN-C09DEE999673; TEN-CA79984DBED3; TEN-E5E8BA3801BC; TEN-F9B7C2EA54C9</x:v>
      </x:c>
      <x:c r="V427" s="2" t="str">
        <x:v>IT &amp; digital; Professional services; Engineering &amp; manufacturing; Healthcare &amp; life sciences; Education; Trade, consumer &amp; logistics; Unresolved</x:v>
      </x:c>
      <x:c r="W427" s="2" t="str">
        <x:v>Small-scale prospects; Large enterprise; Mixed business audience</x:v>
      </x:c>
      <x:c r="X427" s="17" t="n">
        <x:f>IF(AND(H427=F427,NOT(ISNUMBER(N427)),N427="",ISNUMBER(K427)),K427,0)</x:f>
        <x:v>0</x:v>
      </x:c>
      <x:c r="Y427" s="17" t="n">
        <x:f>IF(AND(H427=F427,NOT(ISNUMBER(N427)),N427="",K427="",ISNUMBER(O427)),O427,0)</x:f>
        <x:v>200000</x:v>
      </x:c>
      <x:c r="Z427" s="17" t="n">
        <x:f>IF(AND(H427&gt;0,ISNUMBER(N427)),N427,0)</x:f>
        <x:v>0</x:v>
      </x:c>
      <x:c r="AA427" s="2" t="n">
        <x:f>IF(AND(H427&gt;0,N427="",NOT(ISNUMBER(Q427))),1,0)</x:f>
        <x:v>0</x:v>
      </x:c>
      <x:c r="AB427" s="2" t="n">
        <x:f>IF(AND(H427&gt;0,N427&lt;&gt;"",NOT(ISNUMBER(N427))),1,0)</x:f>
        <x:v>0</x:v>
      </x:c>
    </x:row>
    <x:row r="428" ht="48" customHeight="1">
      <x:c r="A428" s="2" t="str">
        <x:v>PARTNER-M011</x:v>
      </x:c>
      <x:c r="B428" s="2" t="str">
        <x:v>Partner</x:v>
      </x:c>
      <x:c r="C428" s="2" t="str">
        <x:v>Bengaluru</x:v>
      </x:c>
      <x:c r="D428" s="12" t="str">
        <x:v>International Tech Park (ITPB - SEZ)</x:v>
      </x:c>
      <x:c r="E428" s="12" t="str">
        <x:v>55 inch</x:v>
      </x:c>
      <x:c r="F428" s="2" t="n">
        <x:v>3</x:v>
      </x:c>
      <x:c r="G428" s="2" t="n">
        <x:v>3</x:v>
      </x:c>
      <x:c r="H428" s="2" t="n">
        <x:f>COUNTIFS('Inventory'!$N$7:$N$783,A428,'Inventory'!$A$7:$A$783,1)</x:f>
        <x:v>3</x:v>
      </x:c>
      <x:c r="I428" s="2" t="n">
        <x:f>SUMIFS('Inventory'!$G$7:$G$783,'Inventory'!$N$7:$N$783,A428,'Inventory'!$A$7:$A$783,1)</x:f>
        <x:v>3</x:v>
      </x:c>
      <x:c r="J428" s="12" t="str">
        <x:v>Campaign format rate</x:v>
      </x:c>
      <x:c r="K428" s="17"/>
      <x:c r="L428" s="17" t="n">
        <x:f>$I$5</x:f>
        <x:v>40000</x:v>
      </x:c>
      <x:c r="M428" s="17"/>
      <x:c r="N428" s="19"/>
      <x:c r="O428" s="17" t="n">
        <x:f>IF(ISNUMBER(L428),G428*L428,IF(ISNUMBER(M428),M428,""))</x:f>
        <x:v>120000</x:v>
      </x:c>
      <x:c r="P428" s="17" t="n">
        <x:f>IF(ISNUMBER(K428),K428,IF(ISNUMBER(O428),O428,""))</x:f>
        <x:v>120000</x:v>
      </x:c>
      <x:c r="Q428" s="17" t="n">
        <x:f>IF(H428=0,0,IF(ISNUMBER(N428),N428,IF(N428="",IF(H428=F428,P428,""),"")))</x:f>
        <x:v>120000</x:v>
      </x:c>
      <x:c r="R428" s="17" t="n">
        <x:f>IF(ISNUMBER(Q428),ROUND(Q428*$C$4,2),"")</x:f>
        <x:v>21600</x:v>
      </x:c>
      <x:c r="S428" s="17" t="n">
        <x:f>IF(ISNUMBER(Q428),Q428+R428,"")</x:f>
        <x:v>141600</x:v>
      </x:c>
      <x:c r="T428" s="2" t="str">
        <x:f>IF(H428=0,"Not selected",IF(ISNUMBER(N428),"Quote entered",IF(N428&lt;&gt;"","Enter numeric quote",IF(H428=F428,IF(ISNUMBER(P428),"Complete unit","Price required"),"Partial package: price required"))))</x:f>
        <x:v>Complete unit</x:v>
      </x:c>
      <x:c r="U428" s="2" t="str">
        <x:v>TEN-03A4F323A24B; TEN-096E2E0989A6; TEN-0F0E714E580D; TEN-17B1E60B57B8; TEN-4BBC20253CB6; TEN-58331B396902; TEN-5FA790F3630F; TEN-ACFE8450840B; TEN-B5C691D27CD7; TEN-CA80269ADE3A; TEN-D254184A081B; TEN-EBC4BBC5D3E0; TEN-F2E3013A0309; TEN-F6768D57BDBC</x:v>
      </x:c>
      <x:c r="V428" s="2" t="str">
        <x:v>IT &amp; digital; Finance &amp; insurance; Trade, consumer &amp; logistics; Unresolved</x:v>
      </x:c>
      <x:c r="W428" s="2" t="str">
        <x:v>Small-scale prospects; Large enterprise; Mixed business audience</x:v>
      </x:c>
      <x:c r="X428" s="17" t="n">
        <x:f>IF(AND(H428=F428,NOT(ISNUMBER(N428)),N428="",ISNUMBER(K428)),K428,0)</x:f>
        <x:v>0</x:v>
      </x:c>
      <x:c r="Y428" s="17" t="n">
        <x:f>IF(AND(H428=F428,NOT(ISNUMBER(N428)),N428="",K428="",ISNUMBER(O428)),O428,0)</x:f>
        <x:v>120000</x:v>
      </x:c>
      <x:c r="Z428" s="17" t="n">
        <x:f>IF(AND(H428&gt;0,ISNUMBER(N428)),N428,0)</x:f>
        <x:v>0</x:v>
      </x:c>
      <x:c r="AA428" s="2" t="n">
        <x:f>IF(AND(H428&gt;0,N428="",NOT(ISNUMBER(Q428))),1,0)</x:f>
        <x:v>0</x:v>
      </x:c>
      <x:c r="AB428" s="2" t="n">
        <x:f>IF(AND(H428&gt;0,N428&lt;&gt;"",NOT(ISNUMBER(N428))),1,0)</x:f>
        <x:v>0</x:v>
      </x:c>
    </x:row>
    <x:row r="429" ht="48" customHeight="1">
      <x:c r="A429" s="2" t="str">
        <x:v>PARTNER-M002</x:v>
      </x:c>
      <x:c r="B429" s="2" t="str">
        <x:v>Partner</x:v>
      </x:c>
      <x:c r="C429" s="2" t="str">
        <x:v>Bengaluru</x:v>
      </x:c>
      <x:c r="D429" s="12" t="str">
        <x:v>International Tech Park (ITPB)</x:v>
      </x:c>
      <x:c r="E429" s="12" t="str">
        <x:v>55 inch</x:v>
      </x:c>
      <x:c r="F429" s="2" t="n">
        <x:v>9</x:v>
      </x:c>
      <x:c r="G429" s="2" t="n">
        <x:v>9</x:v>
      </x:c>
      <x:c r="H429" s="2" t="n">
        <x:f>COUNTIFS('Inventory'!$N$7:$N$783,A429,'Inventory'!$A$7:$A$783,1)</x:f>
        <x:v>9</x:v>
      </x:c>
      <x:c r="I429" s="2" t="n">
        <x:f>SUMIFS('Inventory'!$G$7:$G$783,'Inventory'!$N$7:$N$783,A429,'Inventory'!$A$7:$A$783,1)</x:f>
        <x:v>9</x:v>
      </x:c>
      <x:c r="J429" s="12" t="str">
        <x:v>Campaign format rate</x:v>
      </x:c>
      <x:c r="K429" s="17"/>
      <x:c r="L429" s="17" t="n">
        <x:f>$I$5</x:f>
        <x:v>40000</x:v>
      </x:c>
      <x:c r="M429" s="17"/>
      <x:c r="N429" s="19"/>
      <x:c r="O429" s="17" t="n">
        <x:f>IF(ISNUMBER(L429),G429*L429,IF(ISNUMBER(M429),M429,""))</x:f>
        <x:v>360000</x:v>
      </x:c>
      <x:c r="P429" s="17" t="n">
        <x:f>IF(ISNUMBER(K429),K429,IF(ISNUMBER(O429),O429,""))</x:f>
        <x:v>360000</x:v>
      </x:c>
      <x:c r="Q429" s="17" t="n">
        <x:f>IF(H429=0,0,IF(ISNUMBER(N429),N429,IF(N429="",IF(H429=F429,P429,""),"")))</x:f>
        <x:v>360000</x:v>
      </x:c>
      <x:c r="R429" s="17" t="n">
        <x:f>IF(ISNUMBER(Q429),ROUND(Q429*$C$4,2),"")</x:f>
        <x:v>64800</x:v>
      </x:c>
      <x:c r="S429" s="17" t="n">
        <x:f>IF(ISNUMBER(Q429),Q429+R429,"")</x:f>
        <x:v>424800</x:v>
      </x:c>
      <x:c r="T429" s="2" t="str">
        <x:f>IF(H429=0,"Not selected",IF(ISNUMBER(N429),"Quote entered",IF(N429&lt;&gt;"","Enter numeric quote",IF(H429=F429,IF(ISNUMBER(P429),"Complete unit","Price required"),"Partial package: price required"))))</x:f>
        <x:v>Complete unit</x:v>
      </x:c>
      <x:c r="U429"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V429" s="2" t="str">
        <x:v>IT &amp; digital; Professional services; Finance &amp; insurance; Engineering &amp; manufacturing; Education; Trade, consumer &amp; logistics; Unresolved</x:v>
      </x:c>
      <x:c r="W429" s="2" t="str">
        <x:v>Small-scale prospects; Medium-scale prospects; Large enterprise; Mixed business audience</x:v>
      </x:c>
      <x:c r="X429" s="17" t="n">
        <x:f>IF(AND(H429=F429,NOT(ISNUMBER(N429)),N429="",ISNUMBER(K429)),K429,0)</x:f>
        <x:v>0</x:v>
      </x:c>
      <x:c r="Y429" s="17" t="n">
        <x:f>IF(AND(H429=F429,NOT(ISNUMBER(N429)),N429="",K429="",ISNUMBER(O429)),O429,0)</x:f>
        <x:v>360000</x:v>
      </x:c>
      <x:c r="Z429" s="17" t="n">
        <x:f>IF(AND(H429&gt;0,ISNUMBER(N429)),N429,0)</x:f>
        <x:v>0</x:v>
      </x:c>
      <x:c r="AA429" s="2" t="n">
        <x:f>IF(AND(H429&gt;0,N429="",NOT(ISNUMBER(Q429))),1,0)</x:f>
        <x:v>0</x:v>
      </x:c>
      <x:c r="AB429" s="2" t="n">
        <x:f>IF(AND(H429&gt;0,N429&lt;&gt;"",NOT(ISNUMBER(N429))),1,0)</x:f>
        <x:v>0</x:v>
      </x:c>
    </x:row>
    <x:row r="430" ht="48" customHeight="1">
      <x:c r="A430" s="2" t="str">
        <x:v>PARTNER-M051</x:v>
      </x:c>
      <x:c r="B430" s="2" t="str">
        <x:v>Partner</x:v>
      </x:c>
      <x:c r="C430" s="2" t="str">
        <x:v>Bengaluru</x:v>
      </x:c>
      <x:c r="D430" s="12" t="str">
        <x:v>Manyata Tech park - Mfar</x:v>
      </x:c>
      <x:c r="E430" s="12" t="str">
        <x:v>55 inch</x:v>
      </x:c>
      <x:c r="F430" s="2" t="n">
        <x:v>5</x:v>
      </x:c>
      <x:c r="G430" s="2" t="n">
        <x:v>5</x:v>
      </x:c>
      <x:c r="H430" s="2" t="n">
        <x:f>COUNTIFS('Inventory'!$N$7:$N$783,A430,'Inventory'!$A$7:$A$783,1)</x:f>
        <x:v>5</x:v>
      </x:c>
      <x:c r="I430" s="2" t="n">
        <x:f>SUMIFS('Inventory'!$G$7:$G$783,'Inventory'!$N$7:$N$783,A430,'Inventory'!$A$7:$A$783,1)</x:f>
        <x:v>5</x:v>
      </x:c>
      <x:c r="J430" s="12" t="str">
        <x:v>Campaign format rate</x:v>
      </x:c>
      <x:c r="K430" s="17"/>
      <x:c r="L430" s="17" t="n">
        <x:f>$I$5</x:f>
        <x:v>40000</x:v>
      </x:c>
      <x:c r="M430" s="17"/>
      <x:c r="N430" s="19"/>
      <x:c r="O430" s="17" t="n">
        <x:f>IF(ISNUMBER(L430),G430*L430,IF(ISNUMBER(M430),M430,""))</x:f>
        <x:v>200000</x:v>
      </x:c>
      <x:c r="P430" s="17" t="n">
        <x:f>IF(ISNUMBER(K430),K430,IF(ISNUMBER(O430),O430,""))</x:f>
        <x:v>200000</x:v>
      </x:c>
      <x:c r="Q430" s="17" t="n">
        <x:f>IF(H430=0,0,IF(ISNUMBER(N430),N430,IF(N430="",IF(H430=F430,P430,""),"")))</x:f>
        <x:v>200000</x:v>
      </x:c>
      <x:c r="R430" s="17" t="n">
        <x:f>IF(ISNUMBER(Q430),ROUND(Q430*$C$4,2),"")</x:f>
        <x:v>36000</x:v>
      </x:c>
      <x:c r="S430" s="17" t="n">
        <x:f>IF(ISNUMBER(Q430),Q430+R430,"")</x:f>
        <x:v>236000</x:v>
      </x:c>
      <x:c r="T430" s="2" t="str">
        <x:f>IF(H430=0,"Not selected",IF(ISNUMBER(N430),"Quote entered",IF(N430&lt;&gt;"","Enter numeric quote",IF(H430=F430,IF(ISNUMBER(P430),"Complete unit","Price required"),"Partial package: price required"))))</x:f>
        <x:v>Complete unit</x:v>
      </x:c>
      <x:c r="U430" s="2" t="str">
        <x:v>TEN-0006A53C9A96; TEN-0A68AD38CEB3; TEN-0C16B6E2E745; TEN-14C4528C15CA; TEN-27C9A7B5ECAD; TEN-27D00A6A3558; TEN-2F85BCE94831; TEN-3821E9F1FF90; TEN-42E8408652E5; TEN-47679F81BEB4; TEN-4C75F725A6D4; TEN-4E5B2E7D6119; TEN-4F8C19DB697F; TEN-534AE61AC6A4; TEN-53D60BF43086; TEN-6229AE0860C6; TEN-63E44AFB32E5; TEN-6726DCA55EB6; TEN-6BEB399B4462; TEN-7A03B2E48987; TEN-7E1EAB7E3FF2; TEN-7E287D3F75D5; TEN-804B19934A31; TEN-86F73DFE7BB6; TEN-8A0F00910447; TEN-8D4321D93632; TEN-92CD56DC627C; TEN-955D5077F546; TEN-957870226159; TEN-9891CBD98729; TEN-9FBF261B62C1; TEN-A1A5873B72DA; TEN-A9F65BF11B3A; TEN-B19CA7C8E2F1; TEN-B477D484C9C9; TEN-B7E189530240; TEN-BA6AE2780CD4; TEN-C80EF940CC50; TEN-C9DBDD187EBA; TEN-CAD973567458; TEN-D3D424C3C181; TEN-DD4CB9CF52F0; TEN-DF1BD710E8BF; TEN-E7F9F6E5FC3F; TEN-EA10CA8A1008; TEN-EA30894BD53C; TEN-EB15B1B985F7; TEN-F611BEAB4643; TEN-FB68F107F674</x:v>
      </x:c>
      <x:c r="V430" s="2" t="str">
        <x:v>IT &amp; digital; Professional services; Finance &amp; insurance; Engineering &amp; manufacturing; Healthcare &amp; life sciences; Trade, consumer &amp; logistics; Workspace &amp; property operations; Unresolved</x:v>
      </x:c>
      <x:c r="W430" s="2" t="str">
        <x:v>Small-scale prospects; Medium-scale prospects; Large enterprise; Mixed business audience</x:v>
      </x:c>
      <x:c r="X430" s="17" t="n">
        <x:f>IF(AND(H430=F430,NOT(ISNUMBER(N430)),N430="",ISNUMBER(K430)),K430,0)</x:f>
        <x:v>0</x:v>
      </x:c>
      <x:c r="Y430" s="17" t="n">
        <x:f>IF(AND(H430=F430,NOT(ISNUMBER(N430)),N430="",K430="",ISNUMBER(O430)),O430,0)</x:f>
        <x:v>200000</x:v>
      </x:c>
      <x:c r="Z430" s="17" t="n">
        <x:f>IF(AND(H430&gt;0,ISNUMBER(N430)),N430,0)</x:f>
        <x:v>0</x:v>
      </x:c>
      <x:c r="AA430" s="2" t="n">
        <x:f>IF(AND(H430&gt;0,N430="",NOT(ISNUMBER(Q430))),1,0)</x:f>
        <x:v>0</x:v>
      </x:c>
      <x:c r="AB430" s="2" t="n">
        <x:f>IF(AND(H430&gt;0,N430&lt;&gt;"",NOT(ISNUMBER(N430))),1,0)</x:f>
        <x:v>0</x:v>
      </x:c>
    </x:row>
    <x:row r="431" ht="48" customHeight="1">
      <x:c r="A431" s="2" t="str">
        <x:v>PARTNER-M154</x:v>
      </x:c>
      <x:c r="B431" s="2" t="str">
        <x:v>Partner</x:v>
      </x:c>
      <x:c r="C431" s="2" t="str">
        <x:v>Bengaluru</x:v>
      </x:c>
      <x:c r="D431" s="12" t="str">
        <x:v>Maruthi Infotech Center</x:v>
      </x:c>
      <x:c r="E431" s="12" t="str">
        <x:v>55 inch</x:v>
      </x:c>
      <x:c r="F431" s="2" t="n">
        <x:v>8</x:v>
      </x:c>
      <x:c r="G431" s="2" t="n">
        <x:v>8</x:v>
      </x:c>
      <x:c r="H431" s="2" t="n">
        <x:f>COUNTIFS('Inventory'!$N$7:$N$783,A431,'Inventory'!$A$7:$A$783,1)</x:f>
        <x:v>8</x:v>
      </x:c>
      <x:c r="I431" s="2" t="n">
        <x:f>SUMIFS('Inventory'!$G$7:$G$783,'Inventory'!$N$7:$N$783,A431,'Inventory'!$A$7:$A$783,1)</x:f>
        <x:v>8</x:v>
      </x:c>
      <x:c r="J431" s="12" t="str">
        <x:v>Campaign format rate</x:v>
      </x:c>
      <x:c r="K431" s="17"/>
      <x:c r="L431" s="17" t="n">
        <x:f>$I$5</x:f>
        <x:v>40000</x:v>
      </x:c>
      <x:c r="M431" s="17"/>
      <x:c r="N431" s="19"/>
      <x:c r="O431" s="17" t="n">
        <x:f>IF(ISNUMBER(L431),G431*L431,IF(ISNUMBER(M431),M431,""))</x:f>
        <x:v>320000</x:v>
      </x:c>
      <x:c r="P431" s="17" t="n">
        <x:f>IF(ISNUMBER(K431),K431,IF(ISNUMBER(O431),O431,""))</x:f>
        <x:v>320000</x:v>
      </x:c>
      <x:c r="Q431" s="17" t="n">
        <x:f>IF(H431=0,0,IF(ISNUMBER(N431),N431,IF(N431="",IF(H431=F431,P431,""),"")))</x:f>
        <x:v>320000</x:v>
      </x:c>
      <x:c r="R431" s="17" t="n">
        <x:f>IF(ISNUMBER(Q431),ROUND(Q431*$C$4,2),"")</x:f>
        <x:v>57600</x:v>
      </x:c>
      <x:c r="S431" s="17" t="n">
        <x:f>IF(ISNUMBER(Q431),Q431+R431,"")</x:f>
        <x:v>377600</x:v>
      </x:c>
      <x:c r="T431" s="2" t="str">
        <x:f>IF(H431=0,"Not selected",IF(ISNUMBER(N431),"Quote entered",IF(N431&lt;&gt;"","Enter numeric quote",IF(H431=F431,IF(ISNUMBER(P431),"Complete unit","Price required"),"Partial package: price required"))))</x:f>
        <x:v>Complete unit</x:v>
      </x:c>
      <x:c r="U431" s="2" t="str">
        <x:v>TEN-0301B82899C9; TEN-1C2EC4E96776; TEN-423D620322C3; TEN-7DB74F996F50; TEN-8AD914E76A1E; TEN-C8FA2C07840D; TEN-FDB92F1E0EDB</x:v>
      </x:c>
      <x:c r="V431" s="2" t="str">
        <x:v>IT &amp; digital; Finance &amp; insurance; Engineering &amp; manufacturing; Trade, consumer &amp; logistics; Unresolved</x:v>
      </x:c>
      <x:c r="W431" s="2" t="str">
        <x:v>Small-scale prospects; Medium-scale prospects; Large enterprise; Mixed business audience</x:v>
      </x:c>
      <x:c r="X431" s="17" t="n">
        <x:f>IF(AND(H431=F431,NOT(ISNUMBER(N431)),N431="",ISNUMBER(K431)),K431,0)</x:f>
        <x:v>0</x:v>
      </x:c>
      <x:c r="Y431" s="17" t="n">
        <x:f>IF(AND(H431=F431,NOT(ISNUMBER(N431)),N431="",K431="",ISNUMBER(O431)),O431,0)</x:f>
        <x:v>320000</x:v>
      </x:c>
      <x:c r="Z431" s="17" t="n">
        <x:f>IF(AND(H431&gt;0,ISNUMBER(N431)),N431,0)</x:f>
        <x:v>0</x:v>
      </x:c>
      <x:c r="AA431" s="2" t="n">
        <x:f>IF(AND(H431&gt;0,N431="",NOT(ISNUMBER(Q431))),1,0)</x:f>
        <x:v>0</x:v>
      </x:c>
      <x:c r="AB431" s="2" t="n">
        <x:f>IF(AND(H431&gt;0,N431&lt;&gt;"",NOT(ISNUMBER(N431))),1,0)</x:f>
        <x:v>0</x:v>
      </x:c>
    </x:row>
    <x:row r="432" ht="48" customHeight="1">
      <x:c r="A432" s="2" t="str">
        <x:v>PARTNER-M097</x:v>
      </x:c>
      <x:c r="B432" s="2" t="str">
        <x:v>Partner</x:v>
      </x:c>
      <x:c r="C432" s="2" t="str">
        <x:v>Bengaluru</x:v>
      </x:c>
      <x:c r="D432" s="12" t="str">
        <x:v>Prestige Blue Chip </x:v>
      </x:c>
      <x:c r="E432" s="12" t="str">
        <x:v>55 inch</x:v>
      </x:c>
      <x:c r="F432" s="2" t="n">
        <x:v>3</x:v>
      </x:c>
      <x:c r="G432" s="2" t="n">
        <x:v>3</x:v>
      </x:c>
      <x:c r="H432" s="2" t="n">
        <x:f>COUNTIFS('Inventory'!$N$7:$N$783,A432,'Inventory'!$A$7:$A$783,1)</x:f>
        <x:v>3</x:v>
      </x:c>
      <x:c r="I432" s="2" t="n">
        <x:f>SUMIFS('Inventory'!$G$7:$G$783,'Inventory'!$N$7:$N$783,A432,'Inventory'!$A$7:$A$783,1)</x:f>
        <x:v>3</x:v>
      </x:c>
      <x:c r="J432" s="12" t="str">
        <x:v>Campaign format rate</x:v>
      </x:c>
      <x:c r="K432" s="17"/>
      <x:c r="L432" s="17" t="n">
        <x:f>$I$5</x:f>
        <x:v>40000</x:v>
      </x:c>
      <x:c r="M432" s="17"/>
      <x:c r="N432" s="19"/>
      <x:c r="O432" s="17" t="n">
        <x:f>IF(ISNUMBER(L432),G432*L432,IF(ISNUMBER(M432),M432,""))</x:f>
        <x:v>120000</x:v>
      </x:c>
      <x:c r="P432" s="17" t="n">
        <x:f>IF(ISNUMBER(K432),K432,IF(ISNUMBER(O432),O432,""))</x:f>
        <x:v>120000</x:v>
      </x:c>
      <x:c r="Q432" s="17" t="n">
        <x:f>IF(H432=0,0,IF(ISNUMBER(N432),N432,IF(N432="",IF(H432=F432,P432,""),"")))</x:f>
        <x:v>120000</x:v>
      </x:c>
      <x:c r="R432" s="17" t="n">
        <x:f>IF(ISNUMBER(Q432),ROUND(Q432*$C$4,2),"")</x:f>
        <x:v>21600</x:v>
      </x:c>
      <x:c r="S432" s="17" t="n">
        <x:f>IF(ISNUMBER(Q432),Q432+R432,"")</x:f>
        <x:v>141600</x:v>
      </x:c>
      <x:c r="T432" s="2" t="str">
        <x:f>IF(H432=0,"Not selected",IF(ISNUMBER(N432),"Quote entered",IF(N432&lt;&gt;"","Enter numeric quote",IF(H432=F432,IF(ISNUMBER(P432),"Complete unit","Price required"),"Partial package: price required"))))</x:f>
        <x:v>Complete unit</x:v>
      </x:c>
      <x:c r="U432" s="2" t="str">
        <x:v>TEN-2120BB66819E; TEN-2B4B9D0C8F84; TEN-2E92046B6F07; TEN-805ACF45AED6; TEN-B6783969BC07; TEN-CC5491F71AF2; TEN-E2C9313C145A</x:v>
      </x:c>
      <x:c r="V432" s="2" t="str">
        <x:v>IT &amp; digital; Professional services; Finance &amp; insurance; Engineering &amp; manufacturing; Healthcare &amp; life sciences</x:v>
      </x:c>
      <x:c r="W432" s="2" t="str">
        <x:v>Small-scale prospects; Medium-scale prospects; Large enterprise; Mixed business audience</x:v>
      </x:c>
      <x:c r="X432" s="17" t="n">
        <x:f>IF(AND(H432=F432,NOT(ISNUMBER(N432)),N432="",ISNUMBER(K432)),K432,0)</x:f>
        <x:v>0</x:v>
      </x:c>
      <x:c r="Y432" s="17" t="n">
        <x:f>IF(AND(H432=F432,NOT(ISNUMBER(N432)),N432="",K432="",ISNUMBER(O432)),O432,0)</x:f>
        <x:v>120000</x:v>
      </x:c>
      <x:c r="Z432" s="17" t="n">
        <x:f>IF(AND(H432&gt;0,ISNUMBER(N432)),N432,0)</x:f>
        <x:v>0</x:v>
      </x:c>
      <x:c r="AA432" s="2" t="n">
        <x:f>IF(AND(H432&gt;0,N432="",NOT(ISNUMBER(Q432))),1,0)</x:f>
        <x:v>0</x:v>
      </x:c>
      <x:c r="AB432" s="2" t="n">
        <x:f>IF(AND(H432&gt;0,N432&lt;&gt;"",NOT(ISNUMBER(N432))),1,0)</x:f>
        <x:v>0</x:v>
      </x:c>
    </x:row>
    <x:row r="433" ht="48" customHeight="1">
      <x:c r="A433" s="2" t="str">
        <x:v>PARTNER-M100</x:v>
      </x:c>
      <x:c r="B433" s="2" t="str">
        <x:v>Partner</x:v>
      </x:c>
      <x:c r="C433" s="2" t="str">
        <x:v>Bengaluru</x:v>
      </x:c>
      <x:c r="D433" s="12" t="str">
        <x:v>Prestige Obelisk + Prestige Atrium + Prestige Sapphire + Prestige Al Kareem + Prestige Delta</x:v>
      </x:c>
      <x:c r="E433" s="12" t="str">
        <x:v>55 inch</x:v>
      </x:c>
      <x:c r="F433" s="2" t="n">
        <x:v>8</x:v>
      </x:c>
      <x:c r="G433" s="2" t="n">
        <x:v>8</x:v>
      </x:c>
      <x:c r="H433" s="2" t="n">
        <x:f>COUNTIFS('Inventory'!$N$7:$N$783,A433,'Inventory'!$A$7:$A$783,1)</x:f>
        <x:v>8</x:v>
      </x:c>
      <x:c r="I433" s="2" t="n">
        <x:f>SUMIFS('Inventory'!$G$7:$G$783,'Inventory'!$N$7:$N$783,A433,'Inventory'!$A$7:$A$783,1)</x:f>
        <x:v>8</x:v>
      </x:c>
      <x:c r="J433" s="12" t="str">
        <x:v>Campaign format rate</x:v>
      </x:c>
      <x:c r="K433" s="17"/>
      <x:c r="L433" s="17" t="n">
        <x:f>$I$5</x:f>
        <x:v>40000</x:v>
      </x:c>
      <x:c r="M433" s="17"/>
      <x:c r="N433" s="19"/>
      <x:c r="O433" s="17" t="n">
        <x:f>IF(ISNUMBER(L433),G433*L433,IF(ISNUMBER(M433),M433,""))</x:f>
        <x:v>320000</x:v>
      </x:c>
      <x:c r="P433" s="17" t="n">
        <x:f>IF(ISNUMBER(K433),K433,IF(ISNUMBER(O433),O433,""))</x:f>
        <x:v>320000</x:v>
      </x:c>
      <x:c r="Q433" s="17" t="n">
        <x:f>IF(H433=0,0,IF(ISNUMBER(N433),N433,IF(N433="",IF(H433=F433,P433,""),"")))</x:f>
        <x:v>320000</x:v>
      </x:c>
      <x:c r="R433" s="17" t="n">
        <x:f>IF(ISNUMBER(Q433),ROUND(Q433*$C$4,2),"")</x:f>
        <x:v>57600</x:v>
      </x:c>
      <x:c r="S433" s="17" t="n">
        <x:f>IF(ISNUMBER(Q433),Q433+R433,"")</x:f>
        <x:v>377600</x:v>
      </x:c>
      <x:c r="T433" s="2" t="str">
        <x:f>IF(H433=0,"Not selected",IF(ISNUMBER(N433),"Quote entered",IF(N433&lt;&gt;"","Enter numeric quote",IF(H433=F433,IF(ISNUMBER(P433),"Complete unit","Price required"),"Partial package: price required"))))</x:f>
        <x:v>Complete unit</x:v>
      </x:c>
      <x:c r="U433" s="2" t="str">
        <x:v>TEN-05C3EA2B409C; TEN-13258F6CB706; TEN-1C593F87A18C; TEN-2E1A93A8B010; TEN-47445949BEEF; TEN-6CF5FB813A56; TEN-7D7278F45745; TEN-8A72227343A9; TEN-8EDB9C45B20E; TEN-907D11AE3179; TEN-A04E8DBF862F; TEN-A7F7AF8EB3A5; TEN-AABF376657C0; TEN-B3FD6E87E781; TEN-D6FCC16B02C8; TEN-E9968F77222F</x:v>
      </x:c>
      <x:c r="V433" s="2" t="str">
        <x:v>IT &amp; digital; Professional services; Finance &amp; insurance; Engineering &amp; manufacturing; Healthcare &amp; life sciences; Workspace &amp; property operations; Government &amp; nonprofit; Unresolved</x:v>
      </x:c>
      <x:c r="W433" s="2" t="str">
        <x:v>Small-scale prospects; Medium-scale prospects; Large enterprise; Institutional; Mixed business audience</x:v>
      </x:c>
      <x:c r="X433" s="17" t="n">
        <x:f>IF(AND(H433=F433,NOT(ISNUMBER(N433)),N433="",ISNUMBER(K433)),K433,0)</x:f>
        <x:v>0</x:v>
      </x:c>
      <x:c r="Y433" s="17" t="n">
        <x:f>IF(AND(H433=F433,NOT(ISNUMBER(N433)),N433="",K433="",ISNUMBER(O433)),O433,0)</x:f>
        <x:v>320000</x:v>
      </x:c>
      <x:c r="Z433" s="17" t="n">
        <x:f>IF(AND(H433&gt;0,ISNUMBER(N433)),N433,0)</x:f>
        <x:v>0</x:v>
      </x:c>
      <x:c r="AA433" s="2" t="n">
        <x:f>IF(AND(H433&gt;0,N433="",NOT(ISNUMBER(Q433))),1,0)</x:f>
        <x:v>0</x:v>
      </x:c>
      <x:c r="AB433" s="2" t="n">
        <x:f>IF(AND(H433&gt;0,N433&lt;&gt;"",NOT(ISNUMBER(N433))),1,0)</x:f>
        <x:v>0</x:v>
      </x:c>
    </x:row>
    <x:row r="434" ht="48" customHeight="1">
      <x:c r="A434" s="2" t="str">
        <x:v>PARTNER-M027</x:v>
      </x:c>
      <x:c r="B434" s="2" t="str">
        <x:v>Partner</x:v>
      </x:c>
      <x:c r="C434" s="2" t="str">
        <x:v>Bengaluru</x:v>
      </x:c>
      <x:c r="D434" s="12" t="str">
        <x:v>Prestige Shantiniketan</x:v>
      </x:c>
      <x:c r="E434" s="12" t="str">
        <x:v>55 inch</x:v>
      </x:c>
      <x:c r="F434" s="2" t="n">
        <x:v>7</x:v>
      </x:c>
      <x:c r="G434" s="2" t="n">
        <x:v>7</x:v>
      </x:c>
      <x:c r="H434" s="2" t="n">
        <x:f>COUNTIFS('Inventory'!$N$7:$N$783,A434,'Inventory'!$A$7:$A$783,1)</x:f>
        <x:v>7</x:v>
      </x:c>
      <x:c r="I434" s="2" t="n">
        <x:f>SUMIFS('Inventory'!$G$7:$G$783,'Inventory'!$N$7:$N$783,A434,'Inventory'!$A$7:$A$783,1)</x:f>
        <x:v>7</x:v>
      </x:c>
      <x:c r="J434" s="12" t="str">
        <x:v>Campaign format rate</x:v>
      </x:c>
      <x:c r="K434" s="17"/>
      <x:c r="L434" s="17" t="n">
        <x:f>$I$5</x:f>
        <x:v>40000</x:v>
      </x:c>
      <x:c r="M434" s="17"/>
      <x:c r="N434" s="19"/>
      <x:c r="O434" s="17" t="n">
        <x:f>IF(ISNUMBER(L434),G434*L434,IF(ISNUMBER(M434),M434,""))</x:f>
        <x:v>280000</x:v>
      </x:c>
      <x:c r="P434" s="17" t="n">
        <x:f>IF(ISNUMBER(K434),K434,IF(ISNUMBER(O434),O434,""))</x:f>
        <x:v>280000</x:v>
      </x:c>
      <x:c r="Q434" s="17" t="n">
        <x:f>IF(H434=0,0,IF(ISNUMBER(N434),N434,IF(N434="",IF(H434=F434,P434,""),"")))</x:f>
        <x:v>280000</x:v>
      </x:c>
      <x:c r="R434" s="17" t="n">
        <x:f>IF(ISNUMBER(Q434),ROUND(Q434*$C$4,2),"")</x:f>
        <x:v>50400</x:v>
      </x:c>
      <x:c r="S434" s="17" t="n">
        <x:f>IF(ISNUMBER(Q434),Q434+R434,"")</x:f>
        <x:v>330400</x:v>
      </x:c>
      <x:c r="T434" s="2" t="str">
        <x:f>IF(H434=0,"Not selected",IF(ISNUMBER(N434),"Quote entered",IF(N434&lt;&gt;"","Enter numeric quote",IF(H434=F434,IF(ISNUMBER(P434),"Complete unit","Price required"),"Partial package: price required"))))</x:f>
        <x:v>Complete unit</x:v>
      </x:c>
      <x:c r="U434" s="2" t="str">
        <x:v>TEN-0C81B9564D37; TEN-1D6F21C9D1AB; TEN-31F8B6C7A65B; TEN-53B505C1CAE2; TEN-5FA790F3630F; TEN-8409366CFBB2; TEN-849229AF9AC7; TEN-9636D9305A9A; TEN-985483497785; TEN-9987FF0A3CAC; TEN-9CDD1B64DEF0; TEN-A7FC7DAF4DA4; TEN-B877247CA363; TEN-BA6AE2780CD4; TEN-BEE4F75D30E5; TEN-CCAF93725C39; TEN-D850894DB864; TEN-D860D87EBCF5; TEN-DF4521B8C430; TEN-E23305C78818; TEN-E517F4484EEE; TEN-E88697226669; TEN-EE0CA20290EC; TEN-FECD2DA15F6C</x:v>
      </x:c>
      <x:c r="V434" s="2" t="str">
        <x:v>IT &amp; digital; Professional services; Finance &amp; insurance; Engineering &amp; manufacturing; Healthcare &amp; life sciences; Trade, consumer &amp; logistics; Unresolved</x:v>
      </x:c>
      <x:c r="W434" s="2" t="str">
        <x:v>Small-scale prospects; Large enterprise; Mixed business audience</x:v>
      </x:c>
      <x:c r="X434" s="17" t="n">
        <x:f>IF(AND(H434=F434,NOT(ISNUMBER(N434)),N434="",ISNUMBER(K434)),K434,0)</x:f>
        <x:v>0</x:v>
      </x:c>
      <x:c r="Y434" s="17" t="n">
        <x:f>IF(AND(H434=F434,NOT(ISNUMBER(N434)),N434="",K434="",ISNUMBER(O434)),O434,0)</x:f>
        <x:v>280000</x:v>
      </x:c>
      <x:c r="Z434" s="17" t="n">
        <x:f>IF(AND(H434&gt;0,ISNUMBER(N434)),N434,0)</x:f>
        <x:v>0</x:v>
      </x:c>
      <x:c r="AA434" s="2" t="n">
        <x:f>IF(AND(H434&gt;0,N434="",NOT(ISNUMBER(Q434))),1,0)</x:f>
        <x:v>0</x:v>
      </x:c>
      <x:c r="AB434" s="2" t="n">
        <x:f>IF(AND(H434&gt;0,N434&lt;&gt;"",NOT(ISNUMBER(N434))),1,0)</x:f>
        <x:v>0</x:v>
      </x:c>
    </x:row>
    <x:row r="435" ht="48" customHeight="1">
      <x:c r="A435" s="2" t="str">
        <x:v>PARTNER-M082</x:v>
      </x:c>
      <x:c r="B435" s="2" t="str">
        <x:v>Partner</x:v>
      </x:c>
      <x:c r="C435" s="2" t="str">
        <x:v>Bengaluru</x:v>
      </x:c>
      <x:c r="D435" s="12" t="str">
        <x:v>Prestige Sterling Square + Prestige Solitaire + Prestige Sigma + Prestige Loka + Prestige Emerald + Prestige Towers</x:v>
      </x:c>
      <x:c r="E435" s="12" t="str">
        <x:v>55 inch</x:v>
      </x:c>
      <x:c r="F435" s="2" t="n">
        <x:v>11</x:v>
      </x:c>
      <x:c r="G435" s="2" t="n">
        <x:v>11</x:v>
      </x:c>
      <x:c r="H435" s="2" t="n">
        <x:f>COUNTIFS('Inventory'!$N$7:$N$783,A435,'Inventory'!$A$7:$A$783,1)</x:f>
        <x:v>11</x:v>
      </x:c>
      <x:c r="I435" s="2" t="n">
        <x:f>SUMIFS('Inventory'!$G$7:$G$783,'Inventory'!$N$7:$N$783,A435,'Inventory'!$A$7:$A$783,1)</x:f>
        <x:v>11</x:v>
      </x:c>
      <x:c r="J435" s="12" t="str">
        <x:v>Campaign format rate</x:v>
      </x:c>
      <x:c r="K435" s="17"/>
      <x:c r="L435" s="17" t="n">
        <x:f>$I$5</x:f>
        <x:v>40000</x:v>
      </x:c>
      <x:c r="M435" s="17"/>
      <x:c r="N435" s="19"/>
      <x:c r="O435" s="17" t="n">
        <x:f>IF(ISNUMBER(L435),G435*L435,IF(ISNUMBER(M435),M435,""))</x:f>
        <x:v>440000</x:v>
      </x:c>
      <x:c r="P435" s="17" t="n">
        <x:f>IF(ISNUMBER(K435),K435,IF(ISNUMBER(O435),O435,""))</x:f>
        <x:v>440000</x:v>
      </x:c>
      <x:c r="Q435" s="17" t="n">
        <x:f>IF(H435=0,0,IF(ISNUMBER(N435),N435,IF(N435="",IF(H435=F435,P435,""),"")))</x:f>
        <x:v>440000</x:v>
      </x:c>
      <x:c r="R435" s="17" t="n">
        <x:f>IF(ISNUMBER(Q435),ROUND(Q435*$C$4,2),"")</x:f>
        <x:v>79200</x:v>
      </x:c>
      <x:c r="S435" s="17" t="n">
        <x:f>IF(ISNUMBER(Q435),Q435+R435,"")</x:f>
        <x:v>519200</x:v>
      </x:c>
      <x:c r="T435" s="2" t="str">
        <x:f>IF(H435=0,"Not selected",IF(ISNUMBER(N435),"Quote entered",IF(N435&lt;&gt;"","Enter numeric quote",IF(H435=F435,IF(ISNUMBER(P435),"Complete unit","Price required"),"Partial package: price required"))))</x:f>
        <x:v>Complete unit</x:v>
      </x:c>
      <x:c r="U435"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V435" s="2" t="str">
        <x:v>IT &amp; digital; Professional services; Finance &amp; insurance; Healthcare &amp; life sciences; Trade, consumer &amp; logistics; Workspace &amp; property operations</x:v>
      </x:c>
      <x:c r="W435" s="2" t="str">
        <x:v>Small-scale prospects; Large enterprise; Mixed business audience</x:v>
      </x:c>
      <x:c r="X435" s="17" t="n">
        <x:f>IF(AND(H435=F435,NOT(ISNUMBER(N435)),N435="",ISNUMBER(K435)),K435,0)</x:f>
        <x:v>0</x:v>
      </x:c>
      <x:c r="Y435" s="17" t="n">
        <x:f>IF(AND(H435=F435,NOT(ISNUMBER(N435)),N435="",K435="",ISNUMBER(O435)),O435,0)</x:f>
        <x:v>440000</x:v>
      </x:c>
      <x:c r="Z435" s="17" t="n">
        <x:f>IF(AND(H435&gt;0,ISNUMBER(N435)),N435,0)</x:f>
        <x:v>0</x:v>
      </x:c>
      <x:c r="AA435" s="2" t="n">
        <x:f>IF(AND(H435&gt;0,N435="",NOT(ISNUMBER(Q435))),1,0)</x:f>
        <x:v>0</x:v>
      </x:c>
      <x:c r="AB435" s="2" t="n">
        <x:f>IF(AND(H435&gt;0,N435&lt;&gt;"",NOT(ISNUMBER(N435))),1,0)</x:f>
        <x:v>0</x:v>
      </x:c>
    </x:row>
    <x:row r="436" ht="48" customHeight="1">
      <x:c r="A436" s="2" t="str">
        <x:v>PARTNER-M093</x:v>
      </x:c>
      <x:c r="B436" s="2" t="str">
        <x:v>Partner</x:v>
      </x:c>
      <x:c r="C436" s="2" t="str">
        <x:v>Bengaluru</x:v>
      </x:c>
      <x:c r="D436" s="12" t="str">
        <x:v>Prestige Summit</x:v>
      </x:c>
      <x:c r="E436" s="12" t="str">
        <x:v>55 inch</x:v>
      </x:c>
      <x:c r="F436" s="2" t="n">
        <x:v>4</x:v>
      </x:c>
      <x:c r="G436" s="2" t="n">
        <x:v>4</x:v>
      </x:c>
      <x:c r="H436" s="2" t="n">
        <x:f>COUNTIFS('Inventory'!$N$7:$N$783,A436,'Inventory'!$A$7:$A$783,1)</x:f>
        <x:v>4</x:v>
      </x:c>
      <x:c r="I436" s="2" t="n">
        <x:f>SUMIFS('Inventory'!$G$7:$G$783,'Inventory'!$N$7:$N$783,A436,'Inventory'!$A$7:$A$783,1)</x:f>
        <x:v>4</x:v>
      </x:c>
      <x:c r="J436" s="12" t="str">
        <x:v>Campaign format rate</x:v>
      </x:c>
      <x:c r="K436" s="17"/>
      <x:c r="L436" s="17" t="n">
        <x:f>$I$5</x:f>
        <x:v>40000</x:v>
      </x:c>
      <x:c r="M436" s="17"/>
      <x:c r="N436" s="19"/>
      <x:c r="O436" s="17" t="n">
        <x:f>IF(ISNUMBER(L436),G436*L436,IF(ISNUMBER(M436),M436,""))</x:f>
        <x:v>160000</x:v>
      </x:c>
      <x:c r="P436" s="17" t="n">
        <x:f>IF(ISNUMBER(K436),K436,IF(ISNUMBER(O436),O436,""))</x:f>
        <x:v>160000</x:v>
      </x:c>
      <x:c r="Q436" s="17" t="n">
        <x:f>IF(H436=0,0,IF(ISNUMBER(N436),N436,IF(N436="",IF(H436=F436,P436,""),"")))</x:f>
        <x:v>160000</x:v>
      </x:c>
      <x:c r="R436" s="17" t="n">
        <x:f>IF(ISNUMBER(Q436),ROUND(Q436*$C$4,2),"")</x:f>
        <x:v>28800</x:v>
      </x:c>
      <x:c r="S436" s="17" t="n">
        <x:f>IF(ISNUMBER(Q436),Q436+R436,"")</x:f>
        <x:v>188800</x:v>
      </x:c>
      <x:c r="T436" s="2" t="str">
        <x:f>IF(H436=0,"Not selected",IF(ISNUMBER(N436),"Quote entered",IF(N436&lt;&gt;"","Enter numeric quote",IF(H436=F436,IF(ISNUMBER(P436),"Complete unit","Price required"),"Partial package: price required"))))</x:f>
        <x:v>Complete unit</x:v>
      </x:c>
      <x:c r="U436" s="2" t="str">
        <x:v>TEN-1FAA12305EE7; TEN-20A53682F801; TEN-655B077590B2; TEN-74F3676D4320; TEN-B9BB35EF1CC5; TEN-D8116CD7573C; TEN-FF3CC4256021</x:v>
      </x:c>
      <x:c r="V436" s="2" t="str">
        <x:v>IT &amp; digital; Professional services; Finance &amp; insurance; Education; Trade, consumer &amp; logistics; Unresolved</x:v>
      </x:c>
      <x:c r="W436" s="2" t="str">
        <x:v>Small-scale prospects; Medium-scale prospects; Institutional; Mixed business audience</x:v>
      </x:c>
      <x:c r="X436" s="17" t="n">
        <x:f>IF(AND(H436=F436,NOT(ISNUMBER(N436)),N436="",ISNUMBER(K436)),K436,0)</x:f>
        <x:v>0</x:v>
      </x:c>
      <x:c r="Y436" s="17" t="n">
        <x:f>IF(AND(H436=F436,NOT(ISNUMBER(N436)),N436="",K436="",ISNUMBER(O436)),O436,0)</x:f>
        <x:v>160000</x:v>
      </x:c>
      <x:c r="Z436" s="17" t="n">
        <x:f>IF(AND(H436&gt;0,ISNUMBER(N436)),N436,0)</x:f>
        <x:v>0</x:v>
      </x:c>
      <x:c r="AA436" s="2" t="n">
        <x:f>IF(AND(H436&gt;0,N436="",NOT(ISNUMBER(Q436))),1,0)</x:f>
        <x:v>0</x:v>
      </x:c>
      <x:c r="AB436" s="2" t="n">
        <x:f>IF(AND(H436&gt;0,N436&lt;&gt;"",NOT(ISNUMBER(N436))),1,0)</x:f>
        <x:v>0</x:v>
      </x:c>
    </x:row>
    <x:row r="437" ht="48" customHeight="1">
      <x:c r="A437" s="2" t="str">
        <x:v>PARTNER-M039</x:v>
      </x:c>
      <x:c r="B437" s="2" t="str">
        <x:v>Partner</x:v>
      </x:c>
      <x:c r="C437" s="2" t="str">
        <x:v>Bengaluru</x:v>
      </x:c>
      <x:c r="D437" s="12" t="str">
        <x:v>Prestige Tech Cloud</x:v>
      </x:c>
      <x:c r="E437" s="12" t="str">
        <x:v>55 inch</x:v>
      </x:c>
      <x:c r="F437" s="2" t="n">
        <x:v>6</x:v>
      </x:c>
      <x:c r="G437" s="2" t="n">
        <x:v>6</x:v>
      </x:c>
      <x:c r="H437" s="2" t="n">
        <x:f>COUNTIFS('Inventory'!$N$7:$N$783,A437,'Inventory'!$A$7:$A$783,1)</x:f>
        <x:v>6</x:v>
      </x:c>
      <x:c r="I437" s="2" t="n">
        <x:f>SUMIFS('Inventory'!$G$7:$G$783,'Inventory'!$N$7:$N$783,A437,'Inventory'!$A$7:$A$783,1)</x:f>
        <x:v>6</x:v>
      </x:c>
      <x:c r="J437" s="12" t="str">
        <x:v>Campaign format rate</x:v>
      </x:c>
      <x:c r="K437" s="17"/>
      <x:c r="L437" s="17" t="n">
        <x:f>$I$5</x:f>
        <x:v>40000</x:v>
      </x:c>
      <x:c r="M437" s="17"/>
      <x:c r="N437" s="19"/>
      <x:c r="O437" s="17" t="n">
        <x:f>IF(ISNUMBER(L437),G437*L437,IF(ISNUMBER(M437),M437,""))</x:f>
        <x:v>240000</x:v>
      </x:c>
      <x:c r="P437" s="17" t="n">
        <x:f>IF(ISNUMBER(K437),K437,IF(ISNUMBER(O437),O437,""))</x:f>
        <x:v>240000</x:v>
      </x:c>
      <x:c r="Q437" s="17" t="n">
        <x:f>IF(H437=0,0,IF(ISNUMBER(N437),N437,IF(N437="",IF(H437=F437,P437,""),"")))</x:f>
        <x:v>240000</x:v>
      </x:c>
      <x:c r="R437" s="17" t="n">
        <x:f>IF(ISNUMBER(Q437),ROUND(Q437*$C$4,2),"")</x:f>
        <x:v>43200</x:v>
      </x:c>
      <x:c r="S437" s="17" t="n">
        <x:f>IF(ISNUMBER(Q437),Q437+R437,"")</x:f>
        <x:v>283200</x:v>
      </x:c>
      <x:c r="T437" s="2" t="str">
        <x:f>IF(H437=0,"Not selected",IF(ISNUMBER(N437),"Quote entered",IF(N437&lt;&gt;"","Enter numeric quote",IF(H437=F437,IF(ISNUMBER(P437),"Complete unit","Price required"),"Partial package: price required"))))</x:f>
        <x:v>Complete unit</x:v>
      </x:c>
      <x:c r="U437" s="2" t="str">
        <x:v>TEN-02250879BF4E; TEN-229A4B0753F7; TEN-28CBC5A35638; TEN-28D7AE9C8DBC; TEN-30448EBA2EBE; TEN-592CC302663C; TEN-5FA790F3630F; TEN-8217BB19EBF1; TEN-9202AF6CE925; TEN-9FBF261B62C1; TEN-BC3067AC45DF; TEN-D1C7C99C6E2E; TEN-EAE8E3404182; TEN-EE9021C84F33; TEN-F55A85B2F2EB</x:v>
      </x:c>
      <x:c r="V437" s="2" t="str">
        <x:v>IT &amp; digital; Professional services; Finance &amp; insurance; Engineering &amp; manufacturing; Unresolved</x:v>
      </x:c>
      <x:c r="W437" s="2" t="str">
        <x:v>Large enterprise; Mixed business audience</x:v>
      </x:c>
      <x:c r="X437" s="17" t="n">
        <x:f>IF(AND(H437=F437,NOT(ISNUMBER(N437)),N437="",ISNUMBER(K437)),K437,0)</x:f>
        <x:v>0</x:v>
      </x:c>
      <x:c r="Y437" s="17" t="n">
        <x:f>IF(AND(H437=F437,NOT(ISNUMBER(N437)),N437="",K437="",ISNUMBER(O437)),O437,0)</x:f>
        <x:v>240000</x:v>
      </x:c>
      <x:c r="Z437" s="17" t="n">
        <x:f>IF(AND(H437&gt;0,ISNUMBER(N437)),N437,0)</x:f>
        <x:v>0</x:v>
      </x:c>
      <x:c r="AA437" s="2" t="n">
        <x:f>IF(AND(H437&gt;0,N437="",NOT(ISNUMBER(Q437))),1,0)</x:f>
        <x:v>0</x:v>
      </x:c>
      <x:c r="AB437" s="2" t="n">
        <x:f>IF(AND(H437&gt;0,N437&lt;&gt;"",NOT(ISNUMBER(N437))),1,0)</x:f>
        <x:v>0</x:v>
      </x:c>
    </x:row>
    <x:row r="438" ht="48" customHeight="1">
      <x:c r="A438" s="2" t="str">
        <x:v>PARTNER-M045</x:v>
      </x:c>
      <x:c r="B438" s="2" t="str">
        <x:v>Partner</x:v>
      </x:c>
      <x:c r="C438" s="2" t="str">
        <x:v>Bengaluru</x:v>
      </x:c>
      <x:c r="D438" s="12" t="str">
        <x:v>Prestige Tech Pacific</x:v>
      </x:c>
      <x:c r="E438" s="12" t="str">
        <x:v>55 inch</x:v>
      </x:c>
      <x:c r="F438" s="2" t="n">
        <x:v>6</x:v>
      </x:c>
      <x:c r="G438" s="2" t="n">
        <x:v>6</x:v>
      </x:c>
      <x:c r="H438" s="2" t="n">
        <x:f>COUNTIFS('Inventory'!$N$7:$N$783,A438,'Inventory'!$A$7:$A$783,1)</x:f>
        <x:v>6</x:v>
      </x:c>
      <x:c r="I438" s="2" t="n">
        <x:f>SUMIFS('Inventory'!$G$7:$G$783,'Inventory'!$N$7:$N$783,A438,'Inventory'!$A$7:$A$783,1)</x:f>
        <x:v>6</x:v>
      </x:c>
      <x:c r="J438" s="12" t="str">
        <x:v>Campaign format rate</x:v>
      </x:c>
      <x:c r="K438" s="17"/>
      <x:c r="L438" s="17" t="n">
        <x:f>$I$5</x:f>
        <x:v>40000</x:v>
      </x:c>
      <x:c r="M438" s="17"/>
      <x:c r="N438" s="19"/>
      <x:c r="O438" s="17" t="n">
        <x:f>IF(ISNUMBER(L438),G438*L438,IF(ISNUMBER(M438),M438,""))</x:f>
        <x:v>240000</x:v>
      </x:c>
      <x:c r="P438" s="17" t="n">
        <x:f>IF(ISNUMBER(K438),K438,IF(ISNUMBER(O438),O438,""))</x:f>
        <x:v>240000</x:v>
      </x:c>
      <x:c r="Q438" s="17" t="n">
        <x:f>IF(H438=0,0,IF(ISNUMBER(N438),N438,IF(N438="",IF(H438=F438,P438,""),"")))</x:f>
        <x:v>240000</x:v>
      </x:c>
      <x:c r="R438" s="17" t="n">
        <x:f>IF(ISNUMBER(Q438),ROUND(Q438*$C$4,2),"")</x:f>
        <x:v>43200</x:v>
      </x:c>
      <x:c r="S438" s="17" t="n">
        <x:f>IF(ISNUMBER(Q438),Q438+R438,"")</x:f>
        <x:v>283200</x:v>
      </x:c>
      <x:c r="T438" s="2" t="str">
        <x:f>IF(H438=0,"Not selected",IF(ISNUMBER(N438),"Quote entered",IF(N438&lt;&gt;"","Enter numeric quote",IF(H438=F438,IF(ISNUMBER(P438),"Complete unit","Price required"),"Partial package: price required"))))</x:f>
        <x:v>Complete unit</x:v>
      </x:c>
      <x:c r="U438" s="2" t="str">
        <x:v>TEN-28CBC5A35638; TEN-30E363D3E8C5; TEN-50FCB8C0B6FA; TEN-68AE6688DA7F; TEN-8492381623BD; TEN-86F73DFE7BB6; TEN-9120856F15CD; TEN-B38914B2E8FA; TEN-C63AC00C4D11; TEN-EC016BB6297A; TEN-F55A85B2F2EB</x:v>
      </x:c>
      <x:c r="V438" s="2" t="str">
        <x:v>IT &amp; digital; Finance &amp; insurance; Engineering &amp; manufacturing</x:v>
      </x:c>
      <x:c r="W438" s="2" t="str">
        <x:v>Large enterprise; Mixed business audience</x:v>
      </x:c>
      <x:c r="X438" s="17" t="n">
        <x:f>IF(AND(H438=F438,NOT(ISNUMBER(N438)),N438="",ISNUMBER(K438)),K438,0)</x:f>
        <x:v>0</x:v>
      </x:c>
      <x:c r="Y438" s="17" t="n">
        <x:f>IF(AND(H438=F438,NOT(ISNUMBER(N438)),N438="",K438="",ISNUMBER(O438)),O438,0)</x:f>
        <x:v>240000</x:v>
      </x:c>
      <x:c r="Z438" s="17" t="n">
        <x:f>IF(AND(H438&gt;0,ISNUMBER(N438)),N438,0)</x:f>
        <x:v>0</x:v>
      </x:c>
      <x:c r="AA438" s="2" t="n">
        <x:f>IF(AND(H438&gt;0,N438="",NOT(ISNUMBER(Q438))),1,0)</x:f>
        <x:v>0</x:v>
      </x:c>
      <x:c r="AB438" s="2" t="n">
        <x:f>IF(AND(H438&gt;0,N438&lt;&gt;"",NOT(ISNUMBER(N438))),1,0)</x:f>
        <x:v>0</x:v>
      </x:c>
    </x:row>
    <x:row r="439" ht="48" customHeight="1">
      <x:c r="A439" s="2" t="str">
        <x:v>PARTNER-M014</x:v>
      </x:c>
      <x:c r="B439" s="2" t="str">
        <x:v>Partner</x:v>
      </x:c>
      <x:c r="C439" s="2" t="str">
        <x:v>Bengaluru</x:v>
      </x:c>
      <x:c r="D439" s="12" t="str">
        <x:v>Prestige Tech Park</x:v>
      </x:c>
      <x:c r="E439" s="12" t="str">
        <x:v>55 inch</x:v>
      </x:c>
      <x:c r="F439" s="2" t="n">
        <x:v>10</x:v>
      </x:c>
      <x:c r="G439" s="2" t="n">
        <x:v>10</x:v>
      </x:c>
      <x:c r="H439" s="2" t="n">
        <x:f>COUNTIFS('Inventory'!$N$7:$N$783,A439,'Inventory'!$A$7:$A$783,1)</x:f>
        <x:v>10</x:v>
      </x:c>
      <x:c r="I439" s="2" t="n">
        <x:f>SUMIFS('Inventory'!$G$7:$G$783,'Inventory'!$N$7:$N$783,A439,'Inventory'!$A$7:$A$783,1)</x:f>
        <x:v>10</x:v>
      </x:c>
      <x:c r="J439" s="12" t="str">
        <x:v>Campaign format rate</x:v>
      </x:c>
      <x:c r="K439" s="17"/>
      <x:c r="L439" s="17" t="n">
        <x:f>$I$5</x:f>
        <x:v>40000</x:v>
      </x:c>
      <x:c r="M439" s="17"/>
      <x:c r="N439" s="19"/>
      <x:c r="O439" s="17" t="n">
        <x:f>IF(ISNUMBER(L439),G439*L439,IF(ISNUMBER(M439),M439,""))</x:f>
        <x:v>400000</x:v>
      </x:c>
      <x:c r="P439" s="17" t="n">
        <x:f>IF(ISNUMBER(K439),K439,IF(ISNUMBER(O439),O439,""))</x:f>
        <x:v>400000</x:v>
      </x:c>
      <x:c r="Q439" s="17" t="n">
        <x:f>IF(H439=0,0,IF(ISNUMBER(N439),N439,IF(N439="",IF(H439=F439,P439,""),"")))</x:f>
        <x:v>400000</x:v>
      </x:c>
      <x:c r="R439" s="17" t="n">
        <x:f>IF(ISNUMBER(Q439),ROUND(Q439*$C$4,2),"")</x:f>
        <x:v>72000</x:v>
      </x:c>
      <x:c r="S439" s="17" t="n">
        <x:f>IF(ISNUMBER(Q439),Q439+R439,"")</x:f>
        <x:v>472000</x:v>
      </x:c>
      <x:c r="T439" s="2" t="str">
        <x:f>IF(H439=0,"Not selected",IF(ISNUMBER(N439),"Quote entered",IF(N439&lt;&gt;"","Enter numeric quote",IF(H439=F439,IF(ISNUMBER(P439),"Complete unit","Price required"),"Partial package: price required"))))</x:f>
        <x:v>Complete unit</x:v>
      </x:c>
      <x:c r="U439"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V439" s="2" t="str">
        <x:v>IT &amp; digital; Professional services; Finance &amp; insurance; Engineering &amp; manufacturing; Trade, consumer &amp; logistics; Unresolved</x:v>
      </x:c>
      <x:c r="W439" s="2" t="str">
        <x:v>Small-scale prospects; Medium-scale prospects; Large enterprise; Mixed business audience</x:v>
      </x:c>
      <x:c r="X439" s="17" t="n">
        <x:f>IF(AND(H439=F439,NOT(ISNUMBER(N439)),N439="",ISNUMBER(K439)),K439,0)</x:f>
        <x:v>0</x:v>
      </x:c>
      <x:c r="Y439" s="17" t="n">
        <x:f>IF(AND(H439=F439,NOT(ISNUMBER(N439)),N439="",K439="",ISNUMBER(O439)),O439,0)</x:f>
        <x:v>400000</x:v>
      </x:c>
      <x:c r="Z439" s="17" t="n">
        <x:f>IF(AND(H439&gt;0,ISNUMBER(N439)),N439,0)</x:f>
        <x:v>0</x:v>
      </x:c>
      <x:c r="AA439" s="2" t="n">
        <x:f>IF(AND(H439&gt;0,N439="",NOT(ISNUMBER(Q439))),1,0)</x:f>
        <x:v>0</x:v>
      </x:c>
      <x:c r="AB439" s="2" t="n">
        <x:f>IF(AND(H439&gt;0,N439&lt;&gt;"",NOT(ISNUMBER(N439))),1,0)</x:f>
        <x:v>0</x:v>
      </x:c>
    </x:row>
    <x:row r="440" ht="48" customHeight="1">
      <x:c r="A440" s="2" t="str">
        <x:v>PARTNER-M034</x:v>
      </x:c>
      <x:c r="B440" s="2" t="str">
        <x:v>Partner</x:v>
      </x:c>
      <x:c r="C440" s="2" t="str">
        <x:v>Bengaluru</x:v>
      </x:c>
      <x:c r="D440" s="12" t="str">
        <x:v>Prestige Technostar</x:v>
      </x:c>
      <x:c r="E440" s="12" t="str">
        <x:v>55 inch</x:v>
      </x:c>
      <x:c r="F440" s="2" t="n">
        <x:v>5</x:v>
      </x:c>
      <x:c r="G440" s="2" t="n">
        <x:v>5</x:v>
      </x:c>
      <x:c r="H440" s="2" t="n">
        <x:f>COUNTIFS('Inventory'!$N$7:$N$783,A440,'Inventory'!$A$7:$A$783,1)</x:f>
        <x:v>5</x:v>
      </x:c>
      <x:c r="I440" s="2" t="n">
        <x:f>SUMIFS('Inventory'!$G$7:$G$783,'Inventory'!$N$7:$N$783,A440,'Inventory'!$A$7:$A$783,1)</x:f>
        <x:v>5</x:v>
      </x:c>
      <x:c r="J440" s="12" t="str">
        <x:v>Campaign format rate</x:v>
      </x:c>
      <x:c r="K440" s="17"/>
      <x:c r="L440" s="17" t="n">
        <x:f>$I$5</x:f>
        <x:v>40000</x:v>
      </x:c>
      <x:c r="M440" s="17"/>
      <x:c r="N440" s="19"/>
      <x:c r="O440" s="17" t="n">
        <x:f>IF(ISNUMBER(L440),G440*L440,IF(ISNUMBER(M440),M440,""))</x:f>
        <x:v>200000</x:v>
      </x:c>
      <x:c r="P440" s="17" t="n">
        <x:f>IF(ISNUMBER(K440),K440,IF(ISNUMBER(O440),O440,""))</x:f>
        <x:v>200000</x:v>
      </x:c>
      <x:c r="Q440" s="17" t="n">
        <x:f>IF(H440=0,0,IF(ISNUMBER(N440),N440,IF(N440="",IF(H440=F440,P440,""),"")))</x:f>
        <x:v>200000</x:v>
      </x:c>
      <x:c r="R440" s="17" t="n">
        <x:f>IF(ISNUMBER(Q440),ROUND(Q440*$C$4,2),"")</x:f>
        <x:v>36000</x:v>
      </x:c>
      <x:c r="S440" s="17" t="n">
        <x:f>IF(ISNUMBER(Q440),Q440+R440,"")</x:f>
        <x:v>236000</x:v>
      </x:c>
      <x:c r="T440" s="2" t="str">
        <x:f>IF(H440=0,"Not selected",IF(ISNUMBER(N440),"Quote entered",IF(N440&lt;&gt;"","Enter numeric quote",IF(H440=F440,IF(ISNUMBER(P440),"Complete unit","Price required"),"Partial package: price required"))))</x:f>
        <x:v>Complete unit</x:v>
      </x:c>
      <x:c r="U440" s="2" t="str">
        <x:v>TEN-223D607AEE9C; TEN-240389F4B730; TEN-3A1978BEBDE0; TEN-6B0F63C5E611; TEN-8651A1F195D9; TEN-9C8100FC00FA; TEN-C003E01D846B; TEN-C042D03D597E; TEN-C534FF89F340; TEN-CA38967873EE; TEN-CCF2DC9DADF3; TEN-D273C9F9C1A3; TEN-DBAB58D7E29B; TEN-DFB64AC34C6A; TEN-FC632053B35C</x:v>
      </x:c>
      <x:c r="V440" s="2" t="str">
        <x:v>IT &amp; digital; Professional services; Engineering &amp; manufacturing; Healthcare &amp; life sciences; Unresolved</x:v>
      </x:c>
      <x:c r="W440" s="2" t="str">
        <x:v>Small-scale prospects; Medium-scale prospects; Large enterprise; Mixed business audience</x:v>
      </x:c>
      <x:c r="X440" s="17" t="n">
        <x:f>IF(AND(H440=F440,NOT(ISNUMBER(N440)),N440="",ISNUMBER(K440)),K440,0)</x:f>
        <x:v>0</x:v>
      </x:c>
      <x:c r="Y440" s="17" t="n">
        <x:f>IF(AND(H440=F440,NOT(ISNUMBER(N440)),N440="",K440="",ISNUMBER(O440)),O440,0)</x:f>
        <x:v>200000</x:v>
      </x:c>
      <x:c r="Z440" s="17" t="n">
        <x:f>IF(AND(H440&gt;0,ISNUMBER(N440)),N440,0)</x:f>
        <x:v>0</x:v>
      </x:c>
      <x:c r="AA440" s="2" t="n">
        <x:f>IF(AND(H440&gt;0,N440="",NOT(ISNUMBER(Q440))),1,0)</x:f>
        <x:v>0</x:v>
      </x:c>
      <x:c r="AB440" s="2" t="n">
        <x:f>IF(AND(H440&gt;0,N440&lt;&gt;"",NOT(ISNUMBER(N440))),1,0)</x:f>
        <x:v>0</x:v>
      </x:c>
    </x:row>
    <x:row r="441" ht="48" customHeight="1">
      <x:c r="A441" s="2" t="str">
        <x:v>PARTNER-M070</x:v>
      </x:c>
      <x:c r="B441" s="2" t="str">
        <x:v>Partner</x:v>
      </x:c>
      <x:c r="C441" s="2" t="str">
        <x:v>Bengaluru</x:v>
      </x:c>
      <x:c r="D441" s="12" t="str">
        <x:v>Roach Icon</x:v>
      </x:c>
      <x:c r="E441" s="12" t="str">
        <x:v>55 inch</x:v>
      </x:c>
      <x:c r="F441" s="2" t="n">
        <x:v>2</x:v>
      </x:c>
      <x:c r="G441" s="2" t="n">
        <x:v>2</x:v>
      </x:c>
      <x:c r="H441" s="2" t="n">
        <x:f>COUNTIFS('Inventory'!$N$7:$N$783,A441,'Inventory'!$A$7:$A$783,1)</x:f>
        <x:v>2</x:v>
      </x:c>
      <x:c r="I441" s="2" t="n">
        <x:f>SUMIFS('Inventory'!$G$7:$G$783,'Inventory'!$N$7:$N$783,A441,'Inventory'!$A$7:$A$783,1)</x:f>
        <x:v>2</x:v>
      </x:c>
      <x:c r="J441" s="12" t="str">
        <x:v>Campaign format rate</x:v>
      </x:c>
      <x:c r="K441" s="17"/>
      <x:c r="L441" s="17" t="n">
        <x:f>$I$5</x:f>
        <x:v>40000</x:v>
      </x:c>
      <x:c r="M441" s="17"/>
      <x:c r="N441" s="19"/>
      <x:c r="O441" s="17" t="n">
        <x:f>IF(ISNUMBER(L441),G441*L441,IF(ISNUMBER(M441),M441,""))</x:f>
        <x:v>80000</x:v>
      </x:c>
      <x:c r="P441" s="17" t="n">
        <x:f>IF(ISNUMBER(K441),K441,IF(ISNUMBER(O441),O441,""))</x:f>
        <x:v>80000</x:v>
      </x:c>
      <x:c r="Q441" s="17" t="n">
        <x:f>IF(H441=0,0,IF(ISNUMBER(N441),N441,IF(N441="",IF(H441=F441,P441,""),"")))</x:f>
        <x:v>80000</x:v>
      </x:c>
      <x:c r="R441" s="17" t="n">
        <x:f>IF(ISNUMBER(Q441),ROUND(Q441*$C$4,2),"")</x:f>
        <x:v>14400</x:v>
      </x:c>
      <x:c r="S441" s="17" t="n">
        <x:f>IF(ISNUMBER(Q441),Q441+R441,"")</x:f>
        <x:v>94400</x:v>
      </x:c>
      <x:c r="T441" s="2" t="str">
        <x:f>IF(H441=0,"Not selected",IF(ISNUMBER(N441),"Quote entered",IF(N441&lt;&gt;"","Enter numeric quote",IF(H441=F441,IF(ISNUMBER(P441),"Complete unit","Price required"),"Partial package: price required"))))</x:f>
        <x:v>Complete unit</x:v>
      </x:c>
      <x:c r="U441" s="2" t="str">
        <x:v>TEN-33A6115B3EDA; TEN-71F75C7E06F5; TEN-8031945A9EFC; TEN-876678C243D4; TEN-B65975F044F3; TEN-EF60DF2E884D</x:v>
      </x:c>
      <x:c r="V441" s="2" t="str">
        <x:v>IT &amp; digital; Engineering &amp; manufacturing</x:v>
      </x:c>
      <x:c r="W441" s="2" t="str">
        <x:v>Small-scale prospects; Mixed business audience</x:v>
      </x:c>
      <x:c r="X441" s="17" t="n">
        <x:f>IF(AND(H441=F441,NOT(ISNUMBER(N441)),N441="",ISNUMBER(K441)),K441,0)</x:f>
        <x:v>0</x:v>
      </x:c>
      <x:c r="Y441" s="17" t="n">
        <x:f>IF(AND(H441=F441,NOT(ISNUMBER(N441)),N441="",K441="",ISNUMBER(O441)),O441,0)</x:f>
        <x:v>80000</x:v>
      </x:c>
      <x:c r="Z441" s="17" t="n">
        <x:f>IF(AND(H441&gt;0,ISNUMBER(N441)),N441,0)</x:f>
        <x:v>0</x:v>
      </x:c>
      <x:c r="AA441" s="2" t="n">
        <x:f>IF(AND(H441&gt;0,N441="",NOT(ISNUMBER(Q441))),1,0)</x:f>
        <x:v>0</x:v>
      </x:c>
      <x:c r="AB441" s="2" t="n">
        <x:f>IF(AND(H441&gt;0,N441&lt;&gt;"",NOT(ISNUMBER(N441))),1,0)</x:f>
        <x:v>0</x:v>
      </x:c>
    </x:row>
    <x:row r="442" ht="48" customHeight="1">
      <x:c r="A442" s="2" t="str">
        <x:v>PARTNER-M072</x:v>
      </x:c>
      <x:c r="B442" s="2" t="str">
        <x:v>Partner</x:v>
      </x:c>
      <x:c r="C442" s="2" t="str">
        <x:v>Bengaluru</x:v>
      </x:c>
      <x:c r="D442" s="12" t="str">
        <x:v>Umiya Business Bay</x:v>
      </x:c>
      <x:c r="E442" s="12" t="str">
        <x:v>55 inch</x:v>
      </x:c>
      <x:c r="F442" s="2" t="n">
        <x:v>6</x:v>
      </x:c>
      <x:c r="G442" s="2" t="n">
        <x:v>6</x:v>
      </x:c>
      <x:c r="H442" s="2" t="n">
        <x:f>COUNTIFS('Inventory'!$N$7:$N$783,A442,'Inventory'!$A$7:$A$783,1)</x:f>
        <x:v>6</x:v>
      </x:c>
      <x:c r="I442" s="2" t="n">
        <x:f>SUMIFS('Inventory'!$G$7:$G$783,'Inventory'!$N$7:$N$783,A442,'Inventory'!$A$7:$A$783,1)</x:f>
        <x:v>6</x:v>
      </x:c>
      <x:c r="J442" s="12" t="str">
        <x:v>Campaign format rate</x:v>
      </x:c>
      <x:c r="K442" s="17"/>
      <x:c r="L442" s="17" t="n">
        <x:f>$I$5</x:f>
        <x:v>40000</x:v>
      </x:c>
      <x:c r="M442" s="17"/>
      <x:c r="N442" s="19"/>
      <x:c r="O442" s="17" t="n">
        <x:f>IF(ISNUMBER(L442),G442*L442,IF(ISNUMBER(M442),M442,""))</x:f>
        <x:v>240000</x:v>
      </x:c>
      <x:c r="P442" s="17" t="n">
        <x:f>IF(ISNUMBER(K442),K442,IF(ISNUMBER(O442),O442,""))</x:f>
        <x:v>240000</x:v>
      </x:c>
      <x:c r="Q442" s="17" t="n">
        <x:f>IF(H442=0,0,IF(ISNUMBER(N442),N442,IF(N442="",IF(H442=F442,P442,""),"")))</x:f>
        <x:v>240000</x:v>
      </x:c>
      <x:c r="R442" s="17" t="n">
        <x:f>IF(ISNUMBER(Q442),ROUND(Q442*$C$4,2),"")</x:f>
        <x:v>43200</x:v>
      </x:c>
      <x:c r="S442" s="17" t="n">
        <x:f>IF(ISNUMBER(Q442),Q442+R442,"")</x:f>
        <x:v>283200</x:v>
      </x:c>
      <x:c r="T442" s="2" t="str">
        <x:f>IF(H442=0,"Not selected",IF(ISNUMBER(N442),"Quote entered",IF(N442&lt;&gt;"","Enter numeric quote",IF(H442=F442,IF(ISNUMBER(P442),"Complete unit","Price required"),"Partial package: price required"))))</x:f>
        <x:v>Complete unit</x:v>
      </x:c>
      <x:c r="U442" s="2" t="str">
        <x:v>TEN-04D3AC99C721; TEN-1129162334DD; TEN-13EBE574DFA2; TEN-18E894A0A28F; TEN-1D3CF023C580; TEN-1E09F269372F; TEN-2074EEA1A383; TEN-2B3CCB1CD4C0; TEN-33E655A82EEA; TEN-345FC99B9620; TEN-3546C13C4818; TEN-394B4E545B9B; TEN-434AF73F01EE; TEN-534169F77A0F; TEN-71A678C907B2; TEN-7C1C2E1FDB67; TEN-845733A0CA33; TEN-97B1AE253744; TEN-9FB259296B34; TEN-DEFF9DF9AA15; TEN-F0E21574F5BD; TEN-FFF9B8935849</x:v>
      </x:c>
      <x:c r="V442" s="2" t="str">
        <x:v>IT &amp; digital; Finance &amp; insurance; Engineering &amp; manufacturing; Trade, consumer &amp; logistics; Workspace &amp; property operations</x:v>
      </x:c>
      <x:c r="W442" s="2" t="str">
        <x:v>Small-scale prospects; Large enterprise; Mixed business audience</x:v>
      </x:c>
      <x:c r="X442" s="17" t="n">
        <x:f>IF(AND(H442=F442,NOT(ISNUMBER(N442)),N442="",ISNUMBER(K442)),K442,0)</x:f>
        <x:v>0</x:v>
      </x:c>
      <x:c r="Y442" s="17" t="n">
        <x:f>IF(AND(H442=F442,NOT(ISNUMBER(N442)),N442="",K442="",ISNUMBER(O442)),O442,0)</x:f>
        <x:v>240000</x:v>
      </x:c>
      <x:c r="Z442" s="17" t="n">
        <x:f>IF(AND(H442&gt;0,ISNUMBER(N442)),N442,0)</x:f>
        <x:v>0</x:v>
      </x:c>
      <x:c r="AA442" s="2" t="n">
        <x:f>IF(AND(H442&gt;0,N442="",NOT(ISNUMBER(Q442))),1,0)</x:f>
        <x:v>0</x:v>
      </x:c>
      <x:c r="AB442" s="2" t="n">
        <x:f>IF(AND(H442&gt;0,N442&lt;&gt;"",NOT(ISNUMBER(N442))),1,0)</x:f>
        <x:v>0</x:v>
      </x:c>
    </x:row>
    <x:row r="443" ht="48" customHeight="1">
      <x:c r="A443" s="2" t="str">
        <x:v>PARTNER-M078</x:v>
      </x:c>
      <x:c r="B443" s="2" t="str">
        <x:v>Partner</x:v>
      </x:c>
      <x:c r="C443" s="2" t="str">
        <x:v>Bengaluru</x:v>
      </x:c>
      <x:c r="D443" s="12" t="str">
        <x:v>Umiya Velociti</x:v>
      </x:c>
      <x:c r="E443" s="12" t="str">
        <x:v>55 inch</x:v>
      </x:c>
      <x:c r="F443" s="2" t="n">
        <x:v>4</x:v>
      </x:c>
      <x:c r="G443" s="2" t="n">
        <x:v>4</x:v>
      </x:c>
      <x:c r="H443" s="2" t="n">
        <x:f>COUNTIFS('Inventory'!$N$7:$N$783,A443,'Inventory'!$A$7:$A$783,1)</x:f>
        <x:v>4</x:v>
      </x:c>
      <x:c r="I443" s="2" t="n">
        <x:f>SUMIFS('Inventory'!$G$7:$G$783,'Inventory'!$N$7:$N$783,A443,'Inventory'!$A$7:$A$783,1)</x:f>
        <x:v>4</x:v>
      </x:c>
      <x:c r="J443" s="12" t="str">
        <x:v>Campaign format rate</x:v>
      </x:c>
      <x:c r="K443" s="17"/>
      <x:c r="L443" s="17" t="n">
        <x:f>$I$5</x:f>
        <x:v>40000</x:v>
      </x:c>
      <x:c r="M443" s="17"/>
      <x:c r="N443" s="19"/>
      <x:c r="O443" s="17" t="n">
        <x:f>IF(ISNUMBER(L443),G443*L443,IF(ISNUMBER(M443),M443,""))</x:f>
        <x:v>160000</x:v>
      </x:c>
      <x:c r="P443" s="17" t="n">
        <x:f>IF(ISNUMBER(K443),K443,IF(ISNUMBER(O443),O443,""))</x:f>
        <x:v>160000</x:v>
      </x:c>
      <x:c r="Q443" s="17" t="n">
        <x:f>IF(H443=0,0,IF(ISNUMBER(N443),N443,IF(N443="",IF(H443=F443,P443,""),"")))</x:f>
        <x:v>160000</x:v>
      </x:c>
      <x:c r="R443" s="17" t="n">
        <x:f>IF(ISNUMBER(Q443),ROUND(Q443*$C$4,2),"")</x:f>
        <x:v>28800</x:v>
      </x:c>
      <x:c r="S443" s="17" t="n">
        <x:f>IF(ISNUMBER(Q443),Q443+R443,"")</x:f>
        <x:v>188800</x:v>
      </x:c>
      <x:c r="T443" s="2" t="str">
        <x:f>IF(H443=0,"Not selected",IF(ISNUMBER(N443),"Quote entered",IF(N443&lt;&gt;"","Enter numeric quote",IF(H443=F443,IF(ISNUMBER(P443),"Complete unit","Price required"),"Partial package: price required"))))</x:f>
        <x:v>Complete unit</x:v>
      </x:c>
      <x:c r="U443" s="2" t="str">
        <x:v>TEN-0BA55CDDBBF9; TEN-8EA2D17361FE</x:v>
      </x:c>
      <x:c r="V443" s="2" t="str">
        <x:v>Trade, consumer &amp; logistics</x:v>
      </x:c>
      <x:c r="W443" s="2" t="str">
        <x:v>Small-scale prospects</x:v>
      </x:c>
      <x:c r="X443" s="17" t="n">
        <x:f>IF(AND(H443=F443,NOT(ISNUMBER(N443)),N443="",ISNUMBER(K443)),K443,0)</x:f>
        <x:v>0</x:v>
      </x:c>
      <x:c r="Y443" s="17" t="n">
        <x:f>IF(AND(H443=F443,NOT(ISNUMBER(N443)),N443="",K443="",ISNUMBER(O443)),O443,0)</x:f>
        <x:v>160000</x:v>
      </x:c>
      <x:c r="Z443" s="17" t="n">
        <x:f>IF(AND(H443&gt;0,ISNUMBER(N443)),N443,0)</x:f>
        <x:v>0</x:v>
      </x:c>
      <x:c r="AA443" s="2" t="n">
        <x:f>IF(AND(H443&gt;0,N443="",NOT(ISNUMBER(Q443))),1,0)</x:f>
        <x:v>0</x:v>
      </x:c>
      <x:c r="AB443" s="2" t="n">
        <x:f>IF(AND(H443&gt;0,N443&lt;&gt;"",NOT(ISNUMBER(N443))),1,0)</x:f>
        <x:v>0</x:v>
      </x:c>
    </x:row>
    <x:row r="444" ht="48" customHeight="1">
      <x:c r="A444" s="2" t="str">
        <x:v>PARTNER-M349</x:v>
      </x:c>
      <x:c r="B444" s="2" t="str">
        <x:v>Partner</x:v>
      </x:c>
      <x:c r="C444" s="2" t="str">
        <x:v>Chennai</x:v>
      </x:c>
      <x:c r="D444" s="12" t="str">
        <x:v>Kushal Towers</x:v>
      </x:c>
      <x:c r="E444" s="12" t="str">
        <x:v>55 inch</x:v>
      </x:c>
      <x:c r="F444" s="2" t="n">
        <x:v>1</x:v>
      </x:c>
      <x:c r="G444" s="2" t="n">
        <x:v>1</x:v>
      </x:c>
      <x:c r="H444" s="2" t="n">
        <x:f>COUNTIFS('Inventory'!$N$7:$N$783,A444,'Inventory'!$A$7:$A$783,1)</x:f>
        <x:v>1</x:v>
      </x:c>
      <x:c r="I444" s="2" t="n">
        <x:f>SUMIFS('Inventory'!$G$7:$G$783,'Inventory'!$N$7:$N$783,A444,'Inventory'!$A$7:$A$783,1)</x:f>
        <x:v>1</x:v>
      </x:c>
      <x:c r="J444" s="12" t="str">
        <x:v>Campaign format rate</x:v>
      </x:c>
      <x:c r="K444" s="17"/>
      <x:c r="L444" s="17" t="n">
        <x:f>$I$5</x:f>
        <x:v>40000</x:v>
      </x:c>
      <x:c r="M444" s="17"/>
      <x:c r="N444" s="19"/>
      <x:c r="O444" s="17" t="n">
        <x:f>IF(ISNUMBER(L444),G444*L444,IF(ISNUMBER(M444),M444,""))</x:f>
        <x:v>40000</x:v>
      </x:c>
      <x:c r="P444" s="17" t="n">
        <x:f>IF(ISNUMBER(K444),K444,IF(ISNUMBER(O444),O444,""))</x:f>
        <x:v>40000</x:v>
      </x:c>
      <x:c r="Q444" s="17" t="n">
        <x:f>IF(H444=0,0,IF(ISNUMBER(N444),N444,IF(N444="",IF(H444=F444,P444,""),"")))</x:f>
        <x:v>40000</x:v>
      </x:c>
      <x:c r="R444" s="17" t="n">
        <x:f>IF(ISNUMBER(Q444),ROUND(Q444*$C$4,2),"")</x:f>
        <x:v>7200</x:v>
      </x:c>
      <x:c r="S444" s="17" t="n">
        <x:f>IF(ISNUMBER(Q444),Q444+R444,"")</x:f>
        <x:v>47200</x:v>
      </x:c>
      <x:c r="T444" s="2" t="str">
        <x:f>IF(H444=0,"Not selected",IF(ISNUMBER(N444),"Quote entered",IF(N444&lt;&gt;"","Enter numeric quote",IF(H444=F444,IF(ISNUMBER(P444),"Complete unit","Price required"),"Partial package: price required"))))</x:f>
        <x:v>Complete unit</x:v>
      </x:c>
      <x:c r="U444" s="2" t="str">
        <x:v>TEN-01DFE5E03500; TEN-08D2EE4FF19C; TEN-254BC0A18FC5; TEN-3D167F220E41; TEN-5A5035480186; TEN-68D85C0A07A9; TEN-7DCE55C572CC; TEN-8C1ED08A337E; TEN-B810D11F7B55; TEN-BB8FEC9419FA; TEN-D86E0B0A416E; TEN-DF9748595865</x:v>
      </x:c>
      <x:c r="V444" s="2" t="str">
        <x:v>IT &amp; digital; Engineering &amp; manufacturing; Healthcare &amp; life sciences; Trade, consumer &amp; logistics; Unresolved</x:v>
      </x:c>
      <x:c r="W444" s="2" t="str">
        <x:v>Small-scale prospects; Mixed business audience</x:v>
      </x:c>
      <x:c r="X444" s="17" t="n">
        <x:f>IF(AND(H444=F444,NOT(ISNUMBER(N444)),N444="",ISNUMBER(K444)),K444,0)</x:f>
        <x:v>0</x:v>
      </x:c>
      <x:c r="Y444" s="17" t="n">
        <x:f>IF(AND(H444=F444,NOT(ISNUMBER(N444)),N444="",K444="",ISNUMBER(O444)),O444,0)</x:f>
        <x:v>40000</x:v>
      </x:c>
      <x:c r="Z444" s="17" t="n">
        <x:f>IF(AND(H444&gt;0,ISNUMBER(N444)),N444,0)</x:f>
        <x:v>0</x:v>
      </x:c>
      <x:c r="AA444" s="2" t="n">
        <x:f>IF(AND(H444&gt;0,N444="",NOT(ISNUMBER(Q444))),1,0)</x:f>
        <x:v>0</x:v>
      </x:c>
      <x:c r="AB444" s="2" t="n">
        <x:f>IF(AND(H444&gt;0,N444&lt;&gt;"",NOT(ISNUMBER(N444))),1,0)</x:f>
        <x:v>0</x:v>
      </x:c>
    </x:row>
    <x:row r="445" ht="48" customHeight="1">
      <x:c r="A445" s="2" t="str">
        <x:v>PARTNER-M340</x:v>
      </x:c>
      <x:c r="B445" s="2" t="str">
        <x:v>Partner</x:v>
      </x:c>
      <x:c r="C445" s="2" t="str">
        <x:v>Chennai</x:v>
      </x:c>
      <x:c r="D445" s="12" t="str">
        <x:v>Prestige Cosmopolitan</x:v>
      </x:c>
      <x:c r="E445" s="12" t="str">
        <x:v>55 inch</x:v>
      </x:c>
      <x:c r="F445" s="2" t="n">
        <x:v>2</x:v>
      </x:c>
      <x:c r="G445" s="2" t="n">
        <x:v>2</x:v>
      </x:c>
      <x:c r="H445" s="2" t="n">
        <x:f>COUNTIFS('Inventory'!$N$7:$N$783,A445,'Inventory'!$A$7:$A$783,1)</x:f>
        <x:v>2</x:v>
      </x:c>
      <x:c r="I445" s="2" t="n">
        <x:f>SUMIFS('Inventory'!$G$7:$G$783,'Inventory'!$N$7:$N$783,A445,'Inventory'!$A$7:$A$783,1)</x:f>
        <x:v>2</x:v>
      </x:c>
      <x:c r="J445" s="12" t="str">
        <x:v>Campaign format rate</x:v>
      </x:c>
      <x:c r="K445" s="17"/>
      <x:c r="L445" s="17" t="n">
        <x:f>$I$5</x:f>
        <x:v>40000</x:v>
      </x:c>
      <x:c r="M445" s="17"/>
      <x:c r="N445" s="19"/>
      <x:c r="O445" s="17" t="n">
        <x:f>IF(ISNUMBER(L445),G445*L445,IF(ISNUMBER(M445),M445,""))</x:f>
        <x:v>80000</x:v>
      </x:c>
      <x:c r="P445" s="17" t="n">
        <x:f>IF(ISNUMBER(K445),K445,IF(ISNUMBER(O445),O445,""))</x:f>
        <x:v>80000</x:v>
      </x:c>
      <x:c r="Q445" s="17" t="n">
        <x:f>IF(H445=0,0,IF(ISNUMBER(N445),N445,IF(N445="",IF(H445=F445,P445,""),"")))</x:f>
        <x:v>80000</x:v>
      </x:c>
      <x:c r="R445" s="17" t="n">
        <x:f>IF(ISNUMBER(Q445),ROUND(Q445*$C$4,2),"")</x:f>
        <x:v>14400</x:v>
      </x:c>
      <x:c r="S445" s="17" t="n">
        <x:f>IF(ISNUMBER(Q445),Q445+R445,"")</x:f>
        <x:v>94400</x:v>
      </x:c>
      <x:c r="T445" s="2" t="str">
        <x:f>IF(H445=0,"Not selected",IF(ISNUMBER(N445),"Quote entered",IF(N445&lt;&gt;"","Enter numeric quote",IF(H445=F445,IF(ISNUMBER(P445),"Complete unit","Price required"),"Partial package: price required"))))</x:f>
        <x:v>Complete unit</x:v>
      </x:c>
      <x:c r="U445" s="2" t="str">
        <x:v>TEN-2546BF743AD2; TEN-2F707C5315A5; TEN-4D13E1DBE7AB; TEN-80BAA3706B07; TEN-A19002876785; TEN-AC70DCB61780</x:v>
      </x:c>
      <x:c r="V445" s="2" t="str">
        <x:v>Finance &amp; insurance; Engineering &amp; manufacturing; Workspace &amp; property operations</x:v>
      </x:c>
      <x:c r="W445" s="2" t="str">
        <x:v>Medium-scale prospects; Mixed business audience</x:v>
      </x:c>
      <x:c r="X445" s="17" t="n">
        <x:f>IF(AND(H445=F445,NOT(ISNUMBER(N445)),N445="",ISNUMBER(K445)),K445,0)</x:f>
        <x:v>0</x:v>
      </x:c>
      <x:c r="Y445" s="17" t="n">
        <x:f>IF(AND(H445=F445,NOT(ISNUMBER(N445)),N445="",K445="",ISNUMBER(O445)),O445,0)</x:f>
        <x:v>80000</x:v>
      </x:c>
      <x:c r="Z445" s="17" t="n">
        <x:f>IF(AND(H445&gt;0,ISNUMBER(N445)),N445,0)</x:f>
        <x:v>0</x:v>
      </x:c>
      <x:c r="AA445" s="2" t="n">
        <x:f>IF(AND(H445&gt;0,N445="",NOT(ISNUMBER(Q445))),1,0)</x:f>
        <x:v>0</x:v>
      </x:c>
      <x:c r="AB445" s="2" t="n">
        <x:f>IF(AND(H445&gt;0,N445&lt;&gt;"",NOT(ISNUMBER(N445))),1,0)</x:f>
        <x:v>0</x:v>
      </x:c>
    </x:row>
    <x:row r="446" ht="48" customHeight="1">
      <x:c r="A446" s="2" t="str">
        <x:v>PARTNER-M336</x:v>
      </x:c>
      <x:c r="B446" s="2" t="str">
        <x:v>Partner</x:v>
      </x:c>
      <x:c r="C446" s="2" t="str">
        <x:v>Chennai</x:v>
      </x:c>
      <x:c r="D446" s="12" t="str">
        <x:v>Prestige Cyber Tower</x:v>
      </x:c>
      <x:c r="E446" s="12" t="str">
        <x:v>55 inch</x:v>
      </x:c>
      <x:c r="F446" s="2" t="n">
        <x:v>2</x:v>
      </x:c>
      <x:c r="G446" s="2" t="n">
        <x:v>2</x:v>
      </x:c>
      <x:c r="H446" s="2" t="n">
        <x:f>COUNTIFS('Inventory'!$N$7:$N$783,A446,'Inventory'!$A$7:$A$783,1)</x:f>
        <x:v>2</x:v>
      </x:c>
      <x:c r="I446" s="2" t="n">
        <x:f>SUMIFS('Inventory'!$G$7:$G$783,'Inventory'!$N$7:$N$783,A446,'Inventory'!$A$7:$A$783,1)</x:f>
        <x:v>2</x:v>
      </x:c>
      <x:c r="J446" s="12" t="str">
        <x:v>Campaign format rate</x:v>
      </x:c>
      <x:c r="K446" s="17"/>
      <x:c r="L446" s="17" t="n">
        <x:f>$I$5</x:f>
        <x:v>40000</x:v>
      </x:c>
      <x:c r="M446" s="17"/>
      <x:c r="N446" s="19"/>
      <x:c r="O446" s="17" t="n">
        <x:f>IF(ISNUMBER(L446),G446*L446,IF(ISNUMBER(M446),M446,""))</x:f>
        <x:v>80000</x:v>
      </x:c>
      <x:c r="P446" s="17" t="n">
        <x:f>IF(ISNUMBER(K446),K446,IF(ISNUMBER(O446),O446,""))</x:f>
        <x:v>80000</x:v>
      </x:c>
      <x:c r="Q446" s="17" t="n">
        <x:f>IF(H446=0,0,IF(ISNUMBER(N446),N446,IF(N446="",IF(H446=F446,P446,""),"")))</x:f>
        <x:v>80000</x:v>
      </x:c>
      <x:c r="R446" s="17" t="n">
        <x:f>IF(ISNUMBER(Q446),ROUND(Q446*$C$4,2),"")</x:f>
        <x:v>14400</x:v>
      </x:c>
      <x:c r="S446" s="17" t="n">
        <x:f>IF(ISNUMBER(Q446),Q446+R446,"")</x:f>
        <x:v>94400</x:v>
      </x:c>
      <x:c r="T446" s="2" t="str">
        <x:f>IF(H446=0,"Not selected",IF(ISNUMBER(N446),"Quote entered",IF(N446&lt;&gt;"","Enter numeric quote",IF(H446=F446,IF(ISNUMBER(P446),"Complete unit","Price required"),"Partial package: price required"))))</x:f>
        <x:v>Complete unit</x:v>
      </x:c>
      <x:c r="U446" s="2" t="str">
        <x:v>TEN-3DA7A100CB6A; TEN-3EAEC1212261; TEN-90EE7A25A1C2</x:v>
      </x:c>
      <x:c r="V446" s="2" t="str">
        <x:v>IT &amp; digital; Unresolved</x:v>
      </x:c>
      <x:c r="W446" s="2" t="str">
        <x:v>Large enterprise; Mixed business audience</x:v>
      </x:c>
      <x:c r="X446" s="17" t="n">
        <x:f>IF(AND(H446=F446,NOT(ISNUMBER(N446)),N446="",ISNUMBER(K446)),K446,0)</x:f>
        <x:v>0</x:v>
      </x:c>
      <x:c r="Y446" s="17" t="n">
        <x:f>IF(AND(H446=F446,NOT(ISNUMBER(N446)),N446="",K446="",ISNUMBER(O446)),O446,0)</x:f>
        <x:v>80000</x:v>
      </x:c>
      <x:c r="Z446" s="17" t="n">
        <x:f>IF(AND(H446&gt;0,ISNUMBER(N446)),N446,0)</x:f>
        <x:v>0</x:v>
      </x:c>
      <x:c r="AA446" s="2" t="n">
        <x:f>IF(AND(H446&gt;0,N446="",NOT(ISNUMBER(Q446))),1,0)</x:f>
        <x:v>0</x:v>
      </x:c>
      <x:c r="AB446" s="2" t="n">
        <x:f>IF(AND(H446&gt;0,N446&lt;&gt;"",NOT(ISNUMBER(N446))),1,0)</x:f>
        <x:v>0</x:v>
      </x:c>
    </x:row>
    <x:row r="447" ht="48" customHeight="1">
      <x:c r="A447" s="2" t="str">
        <x:v>PARTNER-M338</x:v>
      </x:c>
      <x:c r="B447" s="2" t="str">
        <x:v>Partner</x:v>
      </x:c>
      <x:c r="C447" s="2" t="str">
        <x:v>Chennai</x:v>
      </x:c>
      <x:c r="D447" s="12" t="str">
        <x:v>Prestige Palladium Bayan</x:v>
      </x:c>
      <x:c r="E447" s="12" t="str">
        <x:v>55 inch</x:v>
      </x:c>
      <x:c r="F447" s="2" t="n">
        <x:v>2</x:v>
      </x:c>
      <x:c r="G447" s="2" t="n">
        <x:v>2</x:v>
      </x:c>
      <x:c r="H447" s="2" t="n">
        <x:f>COUNTIFS('Inventory'!$N$7:$N$783,A447,'Inventory'!$A$7:$A$783,1)</x:f>
        <x:v>2</x:v>
      </x:c>
      <x:c r="I447" s="2" t="n">
        <x:f>SUMIFS('Inventory'!$G$7:$G$783,'Inventory'!$N$7:$N$783,A447,'Inventory'!$A$7:$A$783,1)</x:f>
        <x:v>2</x:v>
      </x:c>
      <x:c r="J447" s="12" t="str">
        <x:v>Campaign format rate</x:v>
      </x:c>
      <x:c r="K447" s="17"/>
      <x:c r="L447" s="17" t="n">
        <x:f>$I$5</x:f>
        <x:v>40000</x:v>
      </x:c>
      <x:c r="M447" s="17"/>
      <x:c r="N447" s="19"/>
      <x:c r="O447" s="17" t="n">
        <x:f>IF(ISNUMBER(L447),G447*L447,IF(ISNUMBER(M447),M447,""))</x:f>
        <x:v>80000</x:v>
      </x:c>
      <x:c r="P447" s="17" t="n">
        <x:f>IF(ISNUMBER(K447),K447,IF(ISNUMBER(O447),O447,""))</x:f>
        <x:v>80000</x:v>
      </x:c>
      <x:c r="Q447" s="17" t="n">
        <x:f>IF(H447=0,0,IF(ISNUMBER(N447),N447,IF(N447="",IF(H447=F447,P447,""),"")))</x:f>
        <x:v>80000</x:v>
      </x:c>
      <x:c r="R447" s="17" t="n">
        <x:f>IF(ISNUMBER(Q447),ROUND(Q447*$C$4,2),"")</x:f>
        <x:v>14400</x:v>
      </x:c>
      <x:c r="S447" s="17" t="n">
        <x:f>IF(ISNUMBER(Q447),Q447+R447,"")</x:f>
        <x:v>94400</x:v>
      </x:c>
      <x:c r="T447" s="2" t="str">
        <x:f>IF(H447=0,"Not selected",IF(ISNUMBER(N447),"Quote entered",IF(N447&lt;&gt;"","Enter numeric quote",IF(H447=F447,IF(ISNUMBER(P447),"Complete unit","Price required"),"Partial package: price required"))))</x:f>
        <x:v>Complete unit</x:v>
      </x:c>
      <x:c r="U447" s="2" t="str">
        <x:v>TEN-247E64B2726D; TEN-3416D44D9CA3; TEN-3D1C706BE54D; TEN-4D13E1DBE7AB; TEN-5F871EBEAF97; TEN-9E0C506903AA; TEN-A19002876785; TEN-A3B1D465525D; TEN-AC2044857CE7; TEN-B8FB26B4E8C2; TEN-BA2436BD25A0; TEN-C3CF650A0210; TEN-E2744011C895; TEN-EC0137A97749; TEN-EFED65BEBA09</x:v>
      </x:c>
      <x:c r="V447" s="2" t="str">
        <x:v>IT &amp; digital; Finance &amp; insurance; Engineering &amp; manufacturing; Healthcare &amp; life sciences; Trade, consumer &amp; logistics; Workspace &amp; property operations</x:v>
      </x:c>
      <x:c r="W447" s="2" t="str">
        <x:v>Medium-scale prospects; Large enterprise; Mixed business audience</x:v>
      </x:c>
      <x:c r="X447" s="17" t="n">
        <x:f>IF(AND(H447=F447,NOT(ISNUMBER(N447)),N447="",ISNUMBER(K447)),K447,0)</x:f>
        <x:v>0</x:v>
      </x:c>
      <x:c r="Y447" s="17" t="n">
        <x:f>IF(AND(H447=F447,NOT(ISNUMBER(N447)),N447="",K447="",ISNUMBER(O447)),O447,0)</x:f>
        <x:v>80000</x:v>
      </x:c>
      <x:c r="Z447" s="17" t="n">
        <x:f>IF(AND(H447&gt;0,ISNUMBER(N447)),N447,0)</x:f>
        <x:v>0</x:v>
      </x:c>
      <x:c r="AA447" s="2" t="n">
        <x:f>IF(AND(H447&gt;0,N447="",NOT(ISNUMBER(Q447))),1,0)</x:f>
        <x:v>0</x:v>
      </x:c>
      <x:c r="AB447" s="2" t="n">
        <x:f>IF(AND(H447&gt;0,N447&lt;&gt;"",NOT(ISNUMBER(N447))),1,0)</x:f>
        <x:v>0</x:v>
      </x:c>
    </x:row>
    <x:row r="448" ht="48" customHeight="1">
      <x:c r="A448" s="2" t="str">
        <x:v>PARTNER-M332</x:v>
      </x:c>
      <x:c r="B448" s="2" t="str">
        <x:v>Partner</x:v>
      </x:c>
      <x:c r="C448" s="2" t="str">
        <x:v>Chennai</x:v>
      </x:c>
      <x:c r="D448" s="12" t="str">
        <x:v>Prestige Polygon</x:v>
      </x:c>
      <x:c r="E448" s="12" t="str">
        <x:v>55 inch</x:v>
      </x:c>
      <x:c r="F448" s="2" t="n">
        <x:v>2</x:v>
      </x:c>
      <x:c r="G448" s="2" t="n">
        <x:v>2</x:v>
      </x:c>
      <x:c r="H448" s="2" t="n">
        <x:f>COUNTIFS('Inventory'!$N$7:$N$783,A448,'Inventory'!$A$7:$A$783,1)</x:f>
        <x:v>2</x:v>
      </x:c>
      <x:c r="I448" s="2" t="n">
        <x:f>SUMIFS('Inventory'!$G$7:$G$783,'Inventory'!$N$7:$N$783,A448,'Inventory'!$A$7:$A$783,1)</x:f>
        <x:v>2</x:v>
      </x:c>
      <x:c r="J448" s="12" t="str">
        <x:v>Campaign format rate</x:v>
      </x:c>
      <x:c r="K448" s="17"/>
      <x:c r="L448" s="17" t="n">
        <x:f>$I$5</x:f>
        <x:v>40000</x:v>
      </x:c>
      <x:c r="M448" s="17"/>
      <x:c r="N448" s="19"/>
      <x:c r="O448" s="17" t="n">
        <x:f>IF(ISNUMBER(L448),G448*L448,IF(ISNUMBER(M448),M448,""))</x:f>
        <x:v>80000</x:v>
      </x:c>
      <x:c r="P448" s="17" t="n">
        <x:f>IF(ISNUMBER(K448),K448,IF(ISNUMBER(O448),O448,""))</x:f>
        <x:v>80000</x:v>
      </x:c>
      <x:c r="Q448" s="17" t="n">
        <x:f>IF(H448=0,0,IF(ISNUMBER(N448),N448,IF(N448="",IF(H448=F448,P448,""),"")))</x:f>
        <x:v>80000</x:v>
      </x:c>
      <x:c r="R448" s="17" t="n">
        <x:f>IF(ISNUMBER(Q448),ROUND(Q448*$C$4,2),"")</x:f>
        <x:v>14400</x:v>
      </x:c>
      <x:c r="S448" s="17" t="n">
        <x:f>IF(ISNUMBER(Q448),Q448+R448,"")</x:f>
        <x:v>94400</x:v>
      </x:c>
      <x:c r="T448" s="2" t="str">
        <x:f>IF(H448=0,"Not selected",IF(ISNUMBER(N448),"Quote entered",IF(N448&lt;&gt;"","Enter numeric quote",IF(H448=F448,IF(ISNUMBER(P448),"Complete unit","Price required"),"Partial package: price required"))))</x:f>
        <x:v>Complete unit</x:v>
      </x:c>
      <x:c r="U448" s="2" t="str">
        <x:v>TEN-17CA9B2CE93C; TEN-288E47F6ADE1; TEN-2E0E4384184D; TEN-4C4553C8F64F; TEN-4EB14676114F; TEN-50A9D77E82BD; TEN-5FED6F03A8D3; TEN-642BFD277E31; TEN-8DCD18640A0A; TEN-9FBF261B62C1; TEN-A82F7A1C6BEE; TEN-B68EE3D6C8CA; TEN-B7D6BC892877; TEN-C3CA7D8DCA22</x:v>
      </x:c>
      <x:c r="V448" s="2" t="str">
        <x:v>IT &amp; digital; Finance &amp; insurance; Engineering &amp; manufacturing; Trade, consumer &amp; logistics; Workspace &amp; property operations; Government &amp; nonprofit; Unresolved</x:v>
      </x:c>
      <x:c r="W448" s="2" t="str">
        <x:v>Large enterprise; Institutional; Mixed business audience</x:v>
      </x:c>
      <x:c r="X448" s="17" t="n">
        <x:f>IF(AND(H448=F448,NOT(ISNUMBER(N448)),N448="",ISNUMBER(K448)),K448,0)</x:f>
        <x:v>0</x:v>
      </x:c>
      <x:c r="Y448" s="17" t="n">
        <x:f>IF(AND(H448=F448,NOT(ISNUMBER(N448)),N448="",K448="",ISNUMBER(O448)),O448,0)</x:f>
        <x:v>80000</x:v>
      </x:c>
      <x:c r="Z448" s="17" t="n">
        <x:f>IF(AND(H448&gt;0,ISNUMBER(N448)),N448,0)</x:f>
        <x:v>0</x:v>
      </x:c>
      <x:c r="AA448" s="2" t="n">
        <x:f>IF(AND(H448&gt;0,N448="",NOT(ISNUMBER(Q448))),1,0)</x:f>
        <x:v>0</x:v>
      </x:c>
      <x:c r="AB448" s="2" t="n">
        <x:f>IF(AND(H448&gt;0,N448&lt;&gt;"",NOT(ISNUMBER(N448))),1,0)</x:f>
        <x:v>0</x:v>
      </x:c>
    </x:row>
    <x:row r="449" ht="48" customHeight="1">
      <x:c r="A449" s="2" t="str">
        <x:v>PARTNER-M334</x:v>
      </x:c>
      <x:c r="B449" s="2" t="str">
        <x:v>Partner</x:v>
      </x:c>
      <x:c r="C449" s="2" t="str">
        <x:v>Chennai</x:v>
      </x:c>
      <x:c r="D449" s="12" t="str">
        <x:v>Prestige Zakria Metropolitan</x:v>
      </x:c>
      <x:c r="E449" s="12" t="str">
        <x:v>55 inch</x:v>
      </x:c>
      <x:c r="F449" s="2" t="n">
        <x:v>2</x:v>
      </x:c>
      <x:c r="G449" s="2" t="n">
        <x:v>2</x:v>
      </x:c>
      <x:c r="H449" s="2" t="n">
        <x:f>COUNTIFS('Inventory'!$N$7:$N$783,A449,'Inventory'!$A$7:$A$783,1)</x:f>
        <x:v>2</x:v>
      </x:c>
      <x:c r="I449" s="2" t="n">
        <x:f>SUMIFS('Inventory'!$G$7:$G$783,'Inventory'!$N$7:$N$783,A449,'Inventory'!$A$7:$A$783,1)</x:f>
        <x:v>2</x:v>
      </x:c>
      <x:c r="J449" s="12" t="str">
        <x:v>Campaign format rate</x:v>
      </x:c>
      <x:c r="K449" s="17"/>
      <x:c r="L449" s="17" t="n">
        <x:f>$I$5</x:f>
        <x:v>40000</x:v>
      </x:c>
      <x:c r="M449" s="17"/>
      <x:c r="N449" s="19"/>
      <x:c r="O449" s="17" t="n">
        <x:f>IF(ISNUMBER(L449),G449*L449,IF(ISNUMBER(M449),M449,""))</x:f>
        <x:v>80000</x:v>
      </x:c>
      <x:c r="P449" s="17" t="n">
        <x:f>IF(ISNUMBER(K449),K449,IF(ISNUMBER(O449),O449,""))</x:f>
        <x:v>80000</x:v>
      </x:c>
      <x:c r="Q449" s="17" t="n">
        <x:f>IF(H449=0,0,IF(ISNUMBER(N449),N449,IF(N449="",IF(H449=F449,P449,""),"")))</x:f>
        <x:v>80000</x:v>
      </x:c>
      <x:c r="R449" s="17" t="n">
        <x:f>IF(ISNUMBER(Q449),ROUND(Q449*$C$4,2),"")</x:f>
        <x:v>14400</x:v>
      </x:c>
      <x:c r="S449" s="17" t="n">
        <x:f>IF(ISNUMBER(Q449),Q449+R449,"")</x:f>
        <x:v>94400</x:v>
      </x:c>
      <x:c r="T449" s="2" t="str">
        <x:f>IF(H449=0,"Not selected",IF(ISNUMBER(N449),"Quote entered",IF(N449&lt;&gt;"","Enter numeric quote",IF(H449=F449,IF(ISNUMBER(P449),"Complete unit","Price required"),"Partial package: price required"))))</x:f>
        <x:v>Complete unit</x:v>
      </x:c>
      <x:c r="U449" s="2" t="str">
        <x:v>TEN-11695A472FC1; TEN-34415AA2B02E; TEN-52FBDEAF6627; TEN-80BAA3706B07; TEN-8AF7B3748A5F; TEN-93969D193161; TEN-977F6DCD151C; TEN-ADAEE2D21EB8; TEN-AF1817801D9F; TEN-E14BB6DB933C; TEN-E99C8208C589; TEN-F244698491CB</x:v>
      </x:c>
      <x:c r="V449" s="2" t="str">
        <x:v>IT &amp; digital; Finance &amp; insurance; Engineering &amp; manufacturing; Trade, consumer &amp; logistics; Workspace &amp; property operations</x:v>
      </x:c>
      <x:c r="W449" s="2" t="str">
        <x:v>Small-scale prospects; Medium-scale prospects; Large enterprise; Mixed business audience</x:v>
      </x:c>
      <x:c r="X449" s="17" t="n">
        <x:f>IF(AND(H449=F449,NOT(ISNUMBER(N449)),N449="",ISNUMBER(K449)),K449,0)</x:f>
        <x:v>0</x:v>
      </x:c>
      <x:c r="Y449" s="17" t="n">
        <x:f>IF(AND(H449=F449,NOT(ISNUMBER(N449)),N449="",K449="",ISNUMBER(O449)),O449,0)</x:f>
        <x:v>80000</x:v>
      </x:c>
      <x:c r="Z449" s="17" t="n">
        <x:f>IF(AND(H449&gt;0,ISNUMBER(N449)),N449,0)</x:f>
        <x:v>0</x:v>
      </x:c>
      <x:c r="AA449" s="2" t="n">
        <x:f>IF(AND(H449&gt;0,N449="",NOT(ISNUMBER(Q449))),1,0)</x:f>
        <x:v>0</x:v>
      </x:c>
      <x:c r="AB449" s="2" t="n">
        <x:f>IF(AND(H449&gt;0,N449&lt;&gt;"",NOT(ISNUMBER(N449))),1,0)</x:f>
        <x:v>0</x:v>
      </x:c>
    </x:row>
    <x:row r="450" ht="48" customHeight="1">
      <x:c r="A450" s="2" t="str">
        <x:v>PARTNER-M347</x:v>
      </x:c>
      <x:c r="B450" s="2" t="str">
        <x:v>Partner</x:v>
      </x:c>
      <x:c r="C450" s="2" t="str">
        <x:v>Chennai</x:v>
      </x:c>
      <x:c r="D450" s="12" t="str">
        <x:v>Prince Infocity 1</x:v>
      </x:c>
      <x:c r="E450" s="12" t="str">
        <x:v>55 inch</x:v>
      </x:c>
      <x:c r="F450" s="2" t="n">
        <x:v>2</x:v>
      </x:c>
      <x:c r="G450" s="2" t="n">
        <x:v>2</x:v>
      </x:c>
      <x:c r="H450" s="2" t="n">
        <x:f>COUNTIFS('Inventory'!$N$7:$N$783,A450,'Inventory'!$A$7:$A$783,1)</x:f>
        <x:v>2</x:v>
      </x:c>
      <x:c r="I450" s="2" t="n">
        <x:f>SUMIFS('Inventory'!$G$7:$G$783,'Inventory'!$N$7:$N$783,A450,'Inventory'!$A$7:$A$783,1)</x:f>
        <x:v>2</x:v>
      </x:c>
      <x:c r="J450" s="12" t="str">
        <x:v>Campaign format rate</x:v>
      </x:c>
      <x:c r="K450" s="17"/>
      <x:c r="L450" s="17" t="n">
        <x:f>$I$5</x:f>
        <x:v>40000</x:v>
      </x:c>
      <x:c r="M450" s="17"/>
      <x:c r="N450" s="19"/>
      <x:c r="O450" s="17" t="n">
        <x:f>IF(ISNUMBER(L450),G450*L450,IF(ISNUMBER(M450),M450,""))</x:f>
        <x:v>80000</x:v>
      </x:c>
      <x:c r="P450" s="17" t="n">
        <x:f>IF(ISNUMBER(K450),K450,IF(ISNUMBER(O450),O450,""))</x:f>
        <x:v>80000</x:v>
      </x:c>
      <x:c r="Q450" s="17" t="n">
        <x:f>IF(H450=0,0,IF(ISNUMBER(N450),N450,IF(N450="",IF(H450=F450,P450,""),"")))</x:f>
        <x:v>80000</x:v>
      </x:c>
      <x:c r="R450" s="17" t="n">
        <x:f>IF(ISNUMBER(Q450),ROUND(Q450*$C$4,2),"")</x:f>
        <x:v>14400</x:v>
      </x:c>
      <x:c r="S450" s="17" t="n">
        <x:f>IF(ISNUMBER(Q450),Q450+R450,"")</x:f>
        <x:v>94400</x:v>
      </x:c>
      <x:c r="T450" s="2" t="str">
        <x:f>IF(H450=0,"Not selected",IF(ISNUMBER(N450),"Quote entered",IF(N450&lt;&gt;"","Enter numeric quote",IF(H450=F450,IF(ISNUMBER(P450),"Complete unit","Price required"),"Partial package: price required"))))</x:f>
        <x:v>Complete unit</x:v>
      </x:c>
      <x:c r="U450" s="2" t="str">
        <x:v>TEN-4CD291270F9E; TEN-815E15EB19F8; TEN-ADB237A5DECE; TEN-E44CEBE6EA8C; TEN-FC6EA90A7528</x:v>
      </x:c>
      <x:c r="V450" s="2" t="str">
        <x:v>IT &amp; digital; Professional services; Finance &amp; insurance; Workspace &amp; property operations</x:v>
      </x:c>
      <x:c r="W450" s="2" t="str">
        <x:v>Small-scale prospects; Mixed business audience</x:v>
      </x:c>
      <x:c r="X450" s="17" t="n">
        <x:f>IF(AND(H450=F450,NOT(ISNUMBER(N450)),N450="",ISNUMBER(K450)),K450,0)</x:f>
        <x:v>0</x:v>
      </x:c>
      <x:c r="Y450" s="17" t="n">
        <x:f>IF(AND(H450=F450,NOT(ISNUMBER(N450)),N450="",K450="",ISNUMBER(O450)),O450,0)</x:f>
        <x:v>80000</x:v>
      </x:c>
      <x:c r="Z450" s="17" t="n">
        <x:f>IF(AND(H450&gt;0,ISNUMBER(N450)),N450,0)</x:f>
        <x:v>0</x:v>
      </x:c>
      <x:c r="AA450" s="2" t="n">
        <x:f>IF(AND(H450&gt;0,N450="",NOT(ISNUMBER(Q450))),1,0)</x:f>
        <x:v>0</x:v>
      </x:c>
      <x:c r="AB450" s="2" t="n">
        <x:f>IF(AND(H450&gt;0,N450&lt;&gt;"",NOT(ISNUMBER(N450))),1,0)</x:f>
        <x:v>0</x:v>
      </x:c>
    </x:row>
    <x:row r="451" ht="48" customHeight="1">
      <x:c r="A451" s="2" t="str">
        <x:v>PARTNER-M342</x:v>
      </x:c>
      <x:c r="B451" s="2" t="str">
        <x:v>Partner</x:v>
      </x:c>
      <x:c r="C451" s="2" t="str">
        <x:v>Chennai</x:v>
      </x:c>
      <x:c r="D451" s="12" t="str">
        <x:v>Prince Infocity 2</x:v>
      </x:c>
      <x:c r="E451" s="12" t="str">
        <x:v>55 inch</x:v>
      </x:c>
      <x:c r="F451" s="2" t="n">
        <x:v>5</x:v>
      </x:c>
      <x:c r="G451" s="2" t="n">
        <x:v>5</x:v>
      </x:c>
      <x:c r="H451" s="2" t="n">
        <x:f>COUNTIFS('Inventory'!$N$7:$N$783,A451,'Inventory'!$A$7:$A$783,1)</x:f>
        <x:v>5</x:v>
      </x:c>
      <x:c r="I451" s="2" t="n">
        <x:f>SUMIFS('Inventory'!$G$7:$G$783,'Inventory'!$N$7:$N$783,A451,'Inventory'!$A$7:$A$783,1)</x:f>
        <x:v>5</x:v>
      </x:c>
      <x:c r="J451" s="12" t="str">
        <x:v>Campaign format rate</x:v>
      </x:c>
      <x:c r="K451" s="17"/>
      <x:c r="L451" s="17" t="n">
        <x:f>$I$5</x:f>
        <x:v>40000</x:v>
      </x:c>
      <x:c r="M451" s="17"/>
      <x:c r="N451" s="19"/>
      <x:c r="O451" s="17" t="n">
        <x:f>IF(ISNUMBER(L451),G451*L451,IF(ISNUMBER(M451),M451,""))</x:f>
        <x:v>200000</x:v>
      </x:c>
      <x:c r="P451" s="17" t="n">
        <x:f>IF(ISNUMBER(K451),K451,IF(ISNUMBER(O451),O451,""))</x:f>
        <x:v>200000</x:v>
      </x:c>
      <x:c r="Q451" s="17" t="n">
        <x:f>IF(H451=0,0,IF(ISNUMBER(N451),N451,IF(N451="",IF(H451=F451,P451,""),"")))</x:f>
        <x:v>200000</x:v>
      </x:c>
      <x:c r="R451" s="17" t="n">
        <x:f>IF(ISNUMBER(Q451),ROUND(Q451*$C$4,2),"")</x:f>
        <x:v>36000</x:v>
      </x:c>
      <x:c r="S451" s="17" t="n">
        <x:f>IF(ISNUMBER(Q451),Q451+R451,"")</x:f>
        <x:v>236000</x:v>
      </x:c>
      <x:c r="T451" s="2" t="str">
        <x:f>IF(H451=0,"Not selected",IF(ISNUMBER(N451),"Quote entered",IF(N451&lt;&gt;"","Enter numeric quote",IF(H451=F451,IF(ISNUMBER(P451),"Complete unit","Price required"),"Partial package: price required"))))</x:f>
        <x:v>Complete unit</x:v>
      </x:c>
      <x:c r="U451" s="2" t="str">
        <x:v>TEN-2082E5C8582B; TEN-3FE557A29BB1; TEN-6CCD1ACFB146; TEN-8061FA4B3B34; TEN-916A98F0FA2A; TEN-953F723DD17A; TEN-C60ACB58F3DA; TEN-D30D32A3CC13; TEN-E4218F5619DB</x:v>
      </x:c>
      <x:c r="V451" s="2" t="str">
        <x:v>IT &amp; digital; Healthcare &amp; life sciences; Education; Unresolved</x:v>
      </x:c>
      <x:c r="W451" s="2" t="str">
        <x:v>Small-scale prospects; Large enterprise; Institutional; Mixed business audience</x:v>
      </x:c>
      <x:c r="X451" s="17" t="n">
        <x:f>IF(AND(H451=F451,NOT(ISNUMBER(N451)),N451="",ISNUMBER(K451)),K451,0)</x:f>
        <x:v>0</x:v>
      </x:c>
      <x:c r="Y451" s="17" t="n">
        <x:f>IF(AND(H451=F451,NOT(ISNUMBER(N451)),N451="",K451="",ISNUMBER(O451)),O451,0)</x:f>
        <x:v>200000</x:v>
      </x:c>
      <x:c r="Z451" s="17" t="n">
        <x:f>IF(AND(H451&gt;0,ISNUMBER(N451)),N451,0)</x:f>
        <x:v>0</x:v>
      </x:c>
      <x:c r="AA451" s="2" t="n">
        <x:f>IF(AND(H451&gt;0,N451="",NOT(ISNUMBER(Q451))),1,0)</x:f>
        <x:v>0</x:v>
      </x:c>
      <x:c r="AB451" s="2" t="n">
        <x:f>IF(AND(H451&gt;0,N451&lt;&gt;"",NOT(ISNUMBER(N451))),1,0)</x:f>
        <x:v>0</x:v>
      </x:c>
    </x:row>
    <x:row r="452" ht="48" customHeight="1">
      <x:c r="A452" s="2" t="str">
        <x:v>PARTNER-M350</x:v>
      </x:c>
      <x:c r="B452" s="2" t="str">
        <x:v>Partner</x:v>
      </x:c>
      <x:c r="C452" s="2" t="str">
        <x:v>Chennai</x:v>
      </x:c>
      <x:c r="D452" s="12" t="str">
        <x:v>Prince Infopark</x:v>
      </x:c>
      <x:c r="E452" s="12" t="str">
        <x:v>55 inch</x:v>
      </x:c>
      <x:c r="F452" s="2" t="n">
        <x:v>2</x:v>
      </x:c>
      <x:c r="G452" s="2" t="n">
        <x:v>2</x:v>
      </x:c>
      <x:c r="H452" s="2" t="n">
        <x:f>COUNTIFS('Inventory'!$N$7:$N$783,A452,'Inventory'!$A$7:$A$783,1)</x:f>
        <x:v>2</x:v>
      </x:c>
      <x:c r="I452" s="2" t="n">
        <x:f>SUMIFS('Inventory'!$G$7:$G$783,'Inventory'!$N$7:$N$783,A452,'Inventory'!$A$7:$A$783,1)</x:f>
        <x:v>2</x:v>
      </x:c>
      <x:c r="J452" s="12" t="str">
        <x:v>Campaign format rate</x:v>
      </x:c>
      <x:c r="K452" s="17"/>
      <x:c r="L452" s="17" t="n">
        <x:f>$I$5</x:f>
        <x:v>40000</x:v>
      </x:c>
      <x:c r="M452" s="17"/>
      <x:c r="N452" s="19"/>
      <x:c r="O452" s="17" t="n">
        <x:f>IF(ISNUMBER(L452),G452*L452,IF(ISNUMBER(M452),M452,""))</x:f>
        <x:v>80000</x:v>
      </x:c>
      <x:c r="P452" s="17" t="n">
        <x:f>IF(ISNUMBER(K452),K452,IF(ISNUMBER(O452),O452,""))</x:f>
        <x:v>80000</x:v>
      </x:c>
      <x:c r="Q452" s="17" t="n">
        <x:f>IF(H452=0,0,IF(ISNUMBER(N452),N452,IF(N452="",IF(H452=F452,P452,""),"")))</x:f>
        <x:v>80000</x:v>
      </x:c>
      <x:c r="R452" s="17" t="n">
        <x:f>IF(ISNUMBER(Q452),ROUND(Q452*$C$4,2),"")</x:f>
        <x:v>14400</x:v>
      </x:c>
      <x:c r="S452" s="17" t="n">
        <x:f>IF(ISNUMBER(Q452),Q452+R452,"")</x:f>
        <x:v>94400</x:v>
      </x:c>
      <x:c r="T452" s="2" t="str">
        <x:f>IF(H452=0,"Not selected",IF(ISNUMBER(N452),"Quote entered",IF(N452&lt;&gt;"","Enter numeric quote",IF(H452=F452,IF(ISNUMBER(P452),"Complete unit","Price required"),"Partial package: price required"))))</x:f>
        <x:v>Complete unit</x:v>
      </x:c>
      <x:c r="U452" s="2" t="str">
        <x:v>TEN-01DFE5E03500; TEN-08D2EE4FF19C; TEN-254BC0A18FC5; TEN-3D167F220E41; TEN-5A5035480186; TEN-68D85C0A07A9; TEN-7DCE55C572CC; TEN-8C1ED08A337E; TEN-B810D11F7B55; TEN-BB8FEC9419FA; TEN-D86E0B0A416E; TEN-DF9748595865</x:v>
      </x:c>
      <x:c r="V452" s="2" t="str">
        <x:v>IT &amp; digital; Engineering &amp; manufacturing; Healthcare &amp; life sciences; Trade, consumer &amp; logistics; Unresolved</x:v>
      </x:c>
      <x:c r="W452" s="2" t="str">
        <x:v>Small-scale prospects; Mixed business audience</x:v>
      </x:c>
      <x:c r="X452" s="17" t="n">
        <x:f>IF(AND(H452=F452,NOT(ISNUMBER(N452)),N452="",ISNUMBER(K452)),K452,0)</x:f>
        <x:v>0</x:v>
      </x:c>
      <x:c r="Y452" s="17" t="n">
        <x:f>IF(AND(H452=F452,NOT(ISNUMBER(N452)),N452="",K452="",ISNUMBER(O452)),O452,0)</x:f>
        <x:v>80000</x:v>
      </x:c>
      <x:c r="Z452" s="17" t="n">
        <x:f>IF(AND(H452&gt;0,ISNUMBER(N452)),N452,0)</x:f>
        <x:v>0</x:v>
      </x:c>
      <x:c r="AA452" s="2" t="n">
        <x:f>IF(AND(H452&gt;0,N452="",NOT(ISNUMBER(Q452))),1,0)</x:f>
        <x:v>0</x:v>
      </x:c>
      <x:c r="AB452" s="2" t="n">
        <x:f>IF(AND(H452&gt;0,N452&lt;&gt;"",NOT(ISNUMBER(N452))),1,0)</x:f>
        <x:v>0</x:v>
      </x:c>
    </x:row>
    <x:row r="453" ht="48" customHeight="1">
      <x:c r="A453" s="2" t="str">
        <x:v>PARTNER-M331</x:v>
      </x:c>
      <x:c r="B453" s="2" t="str">
        <x:v>Partner</x:v>
      </x:c>
      <x:c r="C453" s="2" t="str">
        <x:v>Chennai</x:v>
      </x:c>
      <x:c r="D453" s="12" t="str">
        <x:v>Prince Towers</x:v>
      </x:c>
      <x:c r="E453" s="12" t="str">
        <x:v>55 inch</x:v>
      </x:c>
      <x:c r="F453" s="2" t="n">
        <x:v>1</x:v>
      </x:c>
      <x:c r="G453" s="2" t="n">
        <x:v>1</x:v>
      </x:c>
      <x:c r="H453" s="2" t="n">
        <x:f>COUNTIFS('Inventory'!$N$7:$N$783,A453,'Inventory'!$A$7:$A$783,1)</x:f>
        <x:v>1</x:v>
      </x:c>
      <x:c r="I453" s="2" t="n">
        <x:f>SUMIFS('Inventory'!$G$7:$G$783,'Inventory'!$N$7:$N$783,A453,'Inventory'!$A$7:$A$783,1)</x:f>
        <x:v>1</x:v>
      </x:c>
      <x:c r="J453" s="12" t="str">
        <x:v>Campaign format rate</x:v>
      </x:c>
      <x:c r="K453" s="17"/>
      <x:c r="L453" s="17" t="n">
        <x:f>$I$5</x:f>
        <x:v>40000</x:v>
      </x:c>
      <x:c r="M453" s="17"/>
      <x:c r="N453" s="19"/>
      <x:c r="O453" s="17" t="n">
        <x:f>IF(ISNUMBER(L453),G453*L453,IF(ISNUMBER(M453),M453,""))</x:f>
        <x:v>40000</x:v>
      </x:c>
      <x:c r="P453" s="17" t="n">
        <x:f>IF(ISNUMBER(K453),K453,IF(ISNUMBER(O453),O453,""))</x:f>
        <x:v>40000</x:v>
      </x:c>
      <x:c r="Q453" s="17" t="n">
        <x:f>IF(H453=0,0,IF(ISNUMBER(N453),N453,IF(N453="",IF(H453=F453,P453,""),"")))</x:f>
        <x:v>40000</x:v>
      </x:c>
      <x:c r="R453" s="17" t="n">
        <x:f>IF(ISNUMBER(Q453),ROUND(Q453*$C$4,2),"")</x:f>
        <x:v>7200</x:v>
      </x:c>
      <x:c r="S453" s="17" t="n">
        <x:f>IF(ISNUMBER(Q453),Q453+R453,"")</x:f>
        <x:v>47200</x:v>
      </x:c>
      <x:c r="T453" s="2" t="str">
        <x:f>IF(H453=0,"Not selected",IF(ISNUMBER(N453),"Quote entered",IF(N453&lt;&gt;"","Enter numeric quote",IF(H453=F453,IF(ISNUMBER(P453),"Complete unit","Price required"),"Partial package: price required"))))</x:f>
        <x:v>Complete unit</x:v>
      </x:c>
      <x:c r="U453" s="2" t="str">
        <x:v>TEN-56046651CB41; TEN-A11F5674D336; TEN-BFEF756FD7D1; TEN-C944C0646D46; TEN-CCB62E7F914B</x:v>
      </x:c>
      <x:c r="V453" s="2" t="str">
        <x:v>Professional services; Finance &amp; insurance; Engineering &amp; manufacturing; Education</x:v>
      </x:c>
      <x:c r="W453" s="2" t="str">
        <x:v>Small-scale prospects; Medium-scale prospects; Large enterprise; Mixed business audience</x:v>
      </x:c>
      <x:c r="X453" s="17" t="n">
        <x:f>IF(AND(H453=F453,NOT(ISNUMBER(N453)),N453="",ISNUMBER(K453)),K453,0)</x:f>
        <x:v>0</x:v>
      </x:c>
      <x:c r="Y453" s="17" t="n">
        <x:f>IF(AND(H453=F453,NOT(ISNUMBER(N453)),N453="",K453="",ISNUMBER(O453)),O453,0)</x:f>
        <x:v>40000</x:v>
      </x:c>
      <x:c r="Z453" s="17" t="n">
        <x:f>IF(AND(H453&gt;0,ISNUMBER(N453)),N453,0)</x:f>
        <x:v>0</x:v>
      </x:c>
      <x:c r="AA453" s="2" t="n">
        <x:f>IF(AND(H453&gt;0,N453="",NOT(ISNUMBER(Q453))),1,0)</x:f>
        <x:v>0</x:v>
      </x:c>
      <x:c r="AB453" s="2" t="n">
        <x:f>IF(AND(H453&gt;0,N453&lt;&gt;"",NOT(ISNUMBER(N453))),1,0)</x:f>
        <x:v>0</x:v>
      </x:c>
    </x:row>
    <x:row r="454" ht="48" customHeight="1">
      <x:c r="A454" s="2" t="str">
        <x:v>PARTNER-M325</x:v>
      </x:c>
      <x:c r="B454" s="2" t="str">
        <x:v>Partner</x:v>
      </x:c>
      <x:c r="C454" s="2" t="str">
        <x:v>Chennai</x:v>
      </x:c>
      <x:c r="D454" s="12" t="str">
        <x:v>WTC Chennai</x:v>
      </x:c>
      <x:c r="E454" s="12" t="str">
        <x:v>55 inch</x:v>
      </x:c>
      <x:c r="F454" s="2" t="n">
        <x:v>6</x:v>
      </x:c>
      <x:c r="G454" s="2" t="n">
        <x:v>6</x:v>
      </x:c>
      <x:c r="H454" s="2" t="n">
        <x:f>COUNTIFS('Inventory'!$N$7:$N$783,A454,'Inventory'!$A$7:$A$783,1)</x:f>
        <x:v>6</x:v>
      </x:c>
      <x:c r="I454" s="2" t="n">
        <x:f>SUMIFS('Inventory'!$G$7:$G$783,'Inventory'!$N$7:$N$783,A454,'Inventory'!$A$7:$A$783,1)</x:f>
        <x:v>6</x:v>
      </x:c>
      <x:c r="J454" s="12" t="str">
        <x:v>Campaign format rate</x:v>
      </x:c>
      <x:c r="K454" s="17"/>
      <x:c r="L454" s="17" t="n">
        <x:f>$I$5</x:f>
        <x:v>40000</x:v>
      </x:c>
      <x:c r="M454" s="17"/>
      <x:c r="N454" s="19"/>
      <x:c r="O454" s="17" t="n">
        <x:f>IF(ISNUMBER(L454),G454*L454,IF(ISNUMBER(M454),M454,""))</x:f>
        <x:v>240000</x:v>
      </x:c>
      <x:c r="P454" s="17" t="n">
        <x:f>IF(ISNUMBER(K454),K454,IF(ISNUMBER(O454),O454,""))</x:f>
        <x:v>240000</x:v>
      </x:c>
      <x:c r="Q454" s="17" t="n">
        <x:f>IF(H454=0,0,IF(ISNUMBER(N454),N454,IF(N454="",IF(H454=F454,P454,""),"")))</x:f>
        <x:v>240000</x:v>
      </x:c>
      <x:c r="R454" s="17" t="n">
        <x:f>IF(ISNUMBER(Q454),ROUND(Q454*$C$4,2),"")</x:f>
        <x:v>43200</x:v>
      </x:c>
      <x:c r="S454" s="17" t="n">
        <x:f>IF(ISNUMBER(Q454),Q454+R454,"")</x:f>
        <x:v>283200</x:v>
      </x:c>
      <x:c r="T454" s="2" t="str">
        <x:f>IF(H454=0,"Not selected",IF(ISNUMBER(N454),"Quote entered",IF(N454&lt;&gt;"","Enter numeric quote",IF(H454=F454,IF(ISNUMBER(P454),"Complete unit","Price required"),"Partial package: price required"))))</x:f>
        <x:v>Complete unit</x:v>
      </x:c>
      <x:c r="U454" s="2" t="str">
        <x:v>TEN-0AD26213D203; TEN-2FFACCC9B784; TEN-6A6E8AC4729D; TEN-9C630AB31C7F; TEN-B48CAF277BCF; TEN-B5C4E7DB283D; TEN-BAFFDF37AA5D; TEN-CBC62794911F; TEN-D77734EC8672</x:v>
      </x:c>
      <x:c r="V454" s="2" t="str">
        <x:v>IT &amp; digital; Professional services; Engineering &amp; manufacturing; Trade, consumer &amp; logistics; Unresolved</x:v>
      </x:c>
      <x:c r="W454" s="2" t="str">
        <x:v>Small-scale prospects; Large enterprise; Mixed business audience</x:v>
      </x:c>
      <x:c r="X454" s="17" t="n">
        <x:f>IF(AND(H454=F454,NOT(ISNUMBER(N454)),N454="",ISNUMBER(K454)),K454,0)</x:f>
        <x:v>0</x:v>
      </x:c>
      <x:c r="Y454" s="17" t="n">
        <x:f>IF(AND(H454=F454,NOT(ISNUMBER(N454)),N454="",K454="",ISNUMBER(O454)),O454,0)</x:f>
        <x:v>240000</x:v>
      </x:c>
      <x:c r="Z454" s="17" t="n">
        <x:f>IF(AND(H454&gt;0,ISNUMBER(N454)),N454,0)</x:f>
        <x:v>0</x:v>
      </x:c>
      <x:c r="AA454" s="2" t="n">
        <x:f>IF(AND(H454&gt;0,N454="",NOT(ISNUMBER(Q454))),1,0)</x:f>
        <x:v>0</x:v>
      </x:c>
      <x:c r="AB454" s="2" t="n">
        <x:f>IF(AND(H454&gt;0,N454&lt;&gt;"",NOT(ISNUMBER(N454))),1,0)</x:f>
        <x:v>0</x:v>
      </x:c>
    </x:row>
    <x:row r="455" ht="48" customHeight="1">
      <x:c r="A455" s="2" t="str">
        <x:v>PARTNER-M375</x:v>
      </x:c>
      <x:c r="B455" s="2" t="str">
        <x:v>Partner</x:v>
      </x:c>
      <x:c r="C455" s="2" t="str">
        <x:v>Delhi NCR</x:v>
      </x:c>
      <x:c r="D455" s="12" t="str">
        <x:v>Add India Height</x:v>
      </x:c>
      <x:c r="E455" s="12" t="str">
        <x:v>55 inch</x:v>
      </x:c>
      <x:c r="F455" s="2" t="n">
        <x:v>4</x:v>
      </x:c>
      <x:c r="G455" s="2" t="n">
        <x:v>4</x:v>
      </x:c>
      <x:c r="H455" s="2" t="n">
        <x:f>COUNTIFS('Inventory'!$N$7:$N$783,A455,'Inventory'!$A$7:$A$783,1)</x:f>
        <x:v>4</x:v>
      </x:c>
      <x:c r="I455" s="2" t="n">
        <x:f>SUMIFS('Inventory'!$G$7:$G$783,'Inventory'!$N$7:$N$783,A455,'Inventory'!$A$7:$A$783,1)</x:f>
        <x:v>4</x:v>
      </x:c>
      <x:c r="J455" s="12" t="str">
        <x:v>Campaign format rate</x:v>
      </x:c>
      <x:c r="K455" s="17"/>
      <x:c r="L455" s="17" t="n">
        <x:f>$I$5</x:f>
        <x:v>40000</x:v>
      </x:c>
      <x:c r="M455" s="17"/>
      <x:c r="N455" s="19"/>
      <x:c r="O455" s="17" t="n">
        <x:f>IF(ISNUMBER(L455),G455*L455,IF(ISNUMBER(M455),M455,""))</x:f>
        <x:v>160000</x:v>
      </x:c>
      <x:c r="P455" s="17" t="n">
        <x:f>IF(ISNUMBER(K455),K455,IF(ISNUMBER(O455),O455,""))</x:f>
        <x:v>160000</x:v>
      </x:c>
      <x:c r="Q455" s="17" t="n">
        <x:f>IF(H455=0,0,IF(ISNUMBER(N455),N455,IF(N455="",IF(H455=F455,P455,""),"")))</x:f>
        <x:v>160000</x:v>
      </x:c>
      <x:c r="R455" s="17" t="n">
        <x:f>IF(ISNUMBER(Q455),ROUND(Q455*$C$4,2),"")</x:f>
        <x:v>28800</x:v>
      </x:c>
      <x:c r="S455" s="17" t="n">
        <x:f>IF(ISNUMBER(Q455),Q455+R455,"")</x:f>
        <x:v>188800</x:v>
      </x:c>
      <x:c r="T455" s="2" t="str">
        <x:f>IF(H455=0,"Not selected",IF(ISNUMBER(N455),"Quote entered",IF(N455&lt;&gt;"","Enter numeric quote",IF(H455=F455,IF(ISNUMBER(P455),"Complete unit","Price required"),"Partial package: price required"))))</x:f>
        <x:v>Complete unit</x:v>
      </x:c>
      <x:c r="U455" s="2" t="str">
        <x:v>TEN-15231E0E110E; TEN-2F36697C1256; TEN-499A46C1ED38; TEN-4F013726AFD9; TEN-82ABCD71B901; TEN-AAD82B0AF1B8; TEN-BCD2EBC682B7</x:v>
      </x:c>
      <x:c r="V455" s="2" t="str">
        <x:v>IT &amp; digital; Professional services; Trade, consumer &amp; logistics; Unresolved</x:v>
      </x:c>
      <x:c r="W455" s="2" t="str">
        <x:v>Small-scale prospects; Mixed business audience</x:v>
      </x:c>
      <x:c r="X455" s="17" t="n">
        <x:f>IF(AND(H455=F455,NOT(ISNUMBER(N455)),N455="",ISNUMBER(K455)),K455,0)</x:f>
        <x:v>0</x:v>
      </x:c>
      <x:c r="Y455" s="17" t="n">
        <x:f>IF(AND(H455=F455,NOT(ISNUMBER(N455)),N455="",K455="",ISNUMBER(O455)),O455,0)</x:f>
        <x:v>160000</x:v>
      </x:c>
      <x:c r="Z455" s="17" t="n">
        <x:f>IF(AND(H455&gt;0,ISNUMBER(N455)),N455,0)</x:f>
        <x:v>0</x:v>
      </x:c>
      <x:c r="AA455" s="2" t="n">
        <x:f>IF(AND(H455&gt;0,N455="",NOT(ISNUMBER(Q455))),1,0)</x:f>
        <x:v>0</x:v>
      </x:c>
      <x:c r="AB455" s="2" t="n">
        <x:f>IF(AND(H455&gt;0,N455&lt;&gt;"",NOT(ISNUMBER(N455))),1,0)</x:f>
        <x:v>0</x:v>
      </x:c>
    </x:row>
    <x:row r="456" ht="48" customHeight="1">
      <x:c r="A456" s="2" t="str">
        <x:v>PARTNER-M379</x:v>
      </x:c>
      <x:c r="B456" s="2" t="str">
        <x:v>Partner</x:v>
      </x:c>
      <x:c r="C456" s="2" t="str">
        <x:v>Delhi NCR</x:v>
      </x:c>
      <x:c r="D456" s="12" t="str">
        <x:v>Add India Tower 6A</x:v>
      </x:c>
      <x:c r="E456" s="12" t="str">
        <x:v>55 inch</x:v>
      </x:c>
      <x:c r="F456" s="2" t="n">
        <x:v>5</x:v>
      </x:c>
      <x:c r="G456" s="2" t="n">
        <x:v>5</x:v>
      </x:c>
      <x:c r="H456" s="2" t="n">
        <x:f>COUNTIFS('Inventory'!$N$7:$N$783,A456,'Inventory'!$A$7:$A$783,1)</x:f>
        <x:v>5</x:v>
      </x:c>
      <x:c r="I456" s="2" t="n">
        <x:f>SUMIFS('Inventory'!$G$7:$G$783,'Inventory'!$N$7:$N$783,A456,'Inventory'!$A$7:$A$783,1)</x:f>
        <x:v>5</x:v>
      </x:c>
      <x:c r="J456" s="12" t="str">
        <x:v>Campaign format rate</x:v>
      </x:c>
      <x:c r="K456" s="17"/>
      <x:c r="L456" s="17" t="n">
        <x:f>$I$5</x:f>
        <x:v>40000</x:v>
      </x:c>
      <x:c r="M456" s="17"/>
      <x:c r="N456" s="19"/>
      <x:c r="O456" s="17" t="n">
        <x:f>IF(ISNUMBER(L456),G456*L456,IF(ISNUMBER(M456),M456,""))</x:f>
        <x:v>200000</x:v>
      </x:c>
      <x:c r="P456" s="17" t="n">
        <x:f>IF(ISNUMBER(K456),K456,IF(ISNUMBER(O456),O456,""))</x:f>
        <x:v>200000</x:v>
      </x:c>
      <x:c r="Q456" s="17" t="n">
        <x:f>IF(H456=0,0,IF(ISNUMBER(N456),N456,IF(N456="",IF(H456=F456,P456,""),"")))</x:f>
        <x:v>200000</x:v>
      </x:c>
      <x:c r="R456" s="17" t="n">
        <x:f>IF(ISNUMBER(Q456),ROUND(Q456*$C$4,2),"")</x:f>
        <x:v>36000</x:v>
      </x:c>
      <x:c r="S456" s="17" t="n">
        <x:f>IF(ISNUMBER(Q456),Q456+R456,"")</x:f>
        <x:v>236000</x:v>
      </x:c>
      <x:c r="T456" s="2" t="str">
        <x:f>IF(H456=0,"Not selected",IF(ISNUMBER(N456),"Quote entered",IF(N456&lt;&gt;"","Enter numeric quote",IF(H456=F456,IF(ISNUMBER(P456),"Complete unit","Price required"),"Partial package: price required"))))</x:f>
        <x:v>Complete unit</x:v>
      </x:c>
      <x:c r="U456" s="2" t="str">
        <x:v>TEN-752677FEB07A; TEN-DE9CFA8F9BF3; TEN-E845A9E0AC51; TEN-F43D0727CFB6</x:v>
      </x:c>
      <x:c r="V456" s="2" t="str">
        <x:v>IT &amp; digital; Finance &amp; insurance; Trade, consumer &amp; logistics</x:v>
      </x:c>
      <x:c r="W456" s="2" t="str">
        <x:v>Small-scale prospects; Large enterprise</x:v>
      </x:c>
      <x:c r="X456" s="17" t="n">
        <x:f>IF(AND(H456=F456,NOT(ISNUMBER(N456)),N456="",ISNUMBER(K456)),K456,0)</x:f>
        <x:v>0</x:v>
      </x:c>
      <x:c r="Y456" s="17" t="n">
        <x:f>IF(AND(H456=F456,NOT(ISNUMBER(N456)),N456="",K456="",ISNUMBER(O456)),O456,0)</x:f>
        <x:v>200000</x:v>
      </x:c>
      <x:c r="Z456" s="17" t="n">
        <x:f>IF(AND(H456&gt;0,ISNUMBER(N456)),N456,0)</x:f>
        <x:v>0</x:v>
      </x:c>
      <x:c r="AA456" s="2" t="n">
        <x:f>IF(AND(H456&gt;0,N456="",NOT(ISNUMBER(Q456))),1,0)</x:f>
        <x:v>0</x:v>
      </x:c>
      <x:c r="AB456" s="2" t="n">
        <x:f>IF(AND(H456&gt;0,N456&lt;&gt;"",NOT(ISNUMBER(N456))),1,0)</x:f>
        <x:v>0</x:v>
      </x:c>
    </x:row>
    <x:row r="457" ht="48" customHeight="1">
      <x:c r="A457" s="2" t="str">
        <x:v>PARTNER-M358</x:v>
      </x:c>
      <x:c r="B457" s="2" t="str">
        <x:v>Partner</x:v>
      </x:c>
      <x:c r="C457" s="2" t="str">
        <x:v>Delhi NCR</x:v>
      </x:c>
      <x:c r="D457" s="12" t="str">
        <x:v>IHDP Business Park</x:v>
      </x:c>
      <x:c r="E457" s="12" t="str">
        <x:v>55 inch</x:v>
      </x:c>
      <x:c r="F457" s="2" t="n">
        <x:v>7</x:v>
      </x:c>
      <x:c r="G457" s="2" t="n">
        <x:v>7</x:v>
      </x:c>
      <x:c r="H457" s="2" t="n">
        <x:f>COUNTIFS('Inventory'!$N$7:$N$783,A457,'Inventory'!$A$7:$A$783,1)</x:f>
        <x:v>7</x:v>
      </x:c>
      <x:c r="I457" s="2" t="n">
        <x:f>SUMIFS('Inventory'!$G$7:$G$783,'Inventory'!$N$7:$N$783,A457,'Inventory'!$A$7:$A$783,1)</x:f>
        <x:v>7</x:v>
      </x:c>
      <x:c r="J457" s="12" t="str">
        <x:v>Campaign format rate</x:v>
      </x:c>
      <x:c r="K457" s="17"/>
      <x:c r="L457" s="17" t="n">
        <x:f>$I$5</x:f>
        <x:v>40000</x:v>
      </x:c>
      <x:c r="M457" s="17"/>
      <x:c r="N457" s="19"/>
      <x:c r="O457" s="17" t="n">
        <x:f>IF(ISNUMBER(L457),G457*L457,IF(ISNUMBER(M457),M457,""))</x:f>
        <x:v>280000</x:v>
      </x:c>
      <x:c r="P457" s="17" t="n">
        <x:f>IF(ISNUMBER(K457),K457,IF(ISNUMBER(O457),O457,""))</x:f>
        <x:v>280000</x:v>
      </x:c>
      <x:c r="Q457" s="17" t="n">
        <x:f>IF(H457=0,0,IF(ISNUMBER(N457),N457,IF(N457="",IF(H457=F457,P457,""),"")))</x:f>
        <x:v>280000</x:v>
      </x:c>
      <x:c r="R457" s="17" t="n">
        <x:f>IF(ISNUMBER(Q457),ROUND(Q457*$C$4,2),"")</x:f>
        <x:v>50400</x:v>
      </x:c>
      <x:c r="S457" s="17" t="n">
        <x:f>IF(ISNUMBER(Q457),Q457+R457,"")</x:f>
        <x:v>330400</x:v>
      </x:c>
      <x:c r="T457" s="2" t="str">
        <x:f>IF(H457=0,"Not selected",IF(ISNUMBER(N457),"Quote entered",IF(N457&lt;&gt;"","Enter numeric quote",IF(H457=F457,IF(ISNUMBER(P457),"Complete unit","Price required"),"Partial package: price required"))))</x:f>
        <x:v>Complete unit</x:v>
      </x:c>
      <x:c r="U457" s="2" t="str">
        <x:v>TEN-11AE440BBF7C; TEN-BE60E5F94A8F</x:v>
      </x:c>
      <x:c r="V457" s="2" t="str">
        <x:v>IT &amp; digital; Unresolved</x:v>
      </x:c>
      <x:c r="W457" s="2" t="str">
        <x:v>Large enterprise; Mixed business audience</x:v>
      </x:c>
      <x:c r="X457" s="17" t="n">
        <x:f>IF(AND(H457=F457,NOT(ISNUMBER(N457)),N457="",ISNUMBER(K457)),K457,0)</x:f>
        <x:v>0</x:v>
      </x:c>
      <x:c r="Y457" s="17" t="n">
        <x:f>IF(AND(H457=F457,NOT(ISNUMBER(N457)),N457="",K457="",ISNUMBER(O457)),O457,0)</x:f>
        <x:v>280000</x:v>
      </x:c>
      <x:c r="Z457" s="17" t="n">
        <x:f>IF(AND(H457&gt;0,ISNUMBER(N457)),N457,0)</x:f>
        <x:v>0</x:v>
      </x:c>
      <x:c r="AA457" s="2" t="n">
        <x:f>IF(AND(H457&gt;0,N457="",NOT(ISNUMBER(Q457))),1,0)</x:f>
        <x:v>0</x:v>
      </x:c>
      <x:c r="AB457" s="2" t="n">
        <x:f>IF(AND(H457&gt;0,N457&lt;&gt;"",NOT(ISNUMBER(N457))),1,0)</x:f>
        <x:v>0</x:v>
      </x:c>
    </x:row>
    <x:row r="458" ht="48" customHeight="1">
      <x:c r="A458" s="2" t="str">
        <x:v>PARTNER-M353</x:v>
      </x:c>
      <x:c r="B458" s="2" t="str">
        <x:v>Partner</x:v>
      </x:c>
      <x:c r="C458" s="2" t="str">
        <x:v>Delhi NCR</x:v>
      </x:c>
      <x:c r="D458" s="12" t="str">
        <x:v>iLabs Info Technology Center</x:v>
      </x:c>
      <x:c r="E458" s="12" t="str">
        <x:v>55 inch</x:v>
      </x:c>
      <x:c r="F458" s="2" t="n">
        <x:v>5</x:v>
      </x:c>
      <x:c r="G458" s="2" t="n">
        <x:v>5</x:v>
      </x:c>
      <x:c r="H458" s="2" t="n">
        <x:f>COUNTIFS('Inventory'!$N$7:$N$783,A458,'Inventory'!$A$7:$A$783,1)</x:f>
        <x:v>5</x:v>
      </x:c>
      <x:c r="I458" s="2" t="n">
        <x:f>SUMIFS('Inventory'!$G$7:$G$783,'Inventory'!$N$7:$N$783,A458,'Inventory'!$A$7:$A$783,1)</x:f>
        <x:v>5</x:v>
      </x:c>
      <x:c r="J458" s="12" t="str">
        <x:v>Campaign format rate</x:v>
      </x:c>
      <x:c r="K458" s="17"/>
      <x:c r="L458" s="17" t="n">
        <x:f>$I$5</x:f>
        <x:v>40000</x:v>
      </x:c>
      <x:c r="M458" s="17"/>
      <x:c r="N458" s="19"/>
      <x:c r="O458" s="17" t="n">
        <x:f>IF(ISNUMBER(L458),G458*L458,IF(ISNUMBER(M458),M458,""))</x:f>
        <x:v>200000</x:v>
      </x:c>
      <x:c r="P458" s="17" t="n">
        <x:f>IF(ISNUMBER(K458),K458,IF(ISNUMBER(O458),O458,""))</x:f>
        <x:v>200000</x:v>
      </x:c>
      <x:c r="Q458" s="17" t="n">
        <x:f>IF(H458=0,0,IF(ISNUMBER(N458),N458,IF(N458="",IF(H458=F458,P458,""),"")))</x:f>
        <x:v>200000</x:v>
      </x:c>
      <x:c r="R458" s="17" t="n">
        <x:f>IF(ISNUMBER(Q458),ROUND(Q458*$C$4,2),"")</x:f>
        <x:v>36000</x:v>
      </x:c>
      <x:c r="S458" s="17" t="n">
        <x:f>IF(ISNUMBER(Q458),Q458+R458,"")</x:f>
        <x:v>236000</x:v>
      </x:c>
      <x:c r="T458" s="2" t="str">
        <x:f>IF(H458=0,"Not selected",IF(ISNUMBER(N458),"Quote entered",IF(N458&lt;&gt;"","Enter numeric quote",IF(H458=F458,IF(ISNUMBER(P458),"Complete unit","Price required"),"Partial package: price required"))))</x:f>
        <x:v>Complete unit</x:v>
      </x:c>
      <x:c r="U458" s="2" t="str">
        <x:v>TEN-427F056730B2; TEN-48ED1FD35C3C; TEN-52E9D79221AA; TEN-982D8CD25EC5; TEN-D5D133305413</x:v>
      </x:c>
      <x:c r="V458" s="2" t="str">
        <x:v>IT &amp; digital; Healthcare &amp; life sciences</x:v>
      </x:c>
      <x:c r="W458" s="2" t="str">
        <x:v>Small-scale prospects; Medium-scale prospects; Mixed business audience</x:v>
      </x:c>
      <x:c r="X458" s="17" t="n">
        <x:f>IF(AND(H458=F458,NOT(ISNUMBER(N458)),N458="",ISNUMBER(K458)),K458,0)</x:f>
        <x:v>0</x:v>
      </x:c>
      <x:c r="Y458" s="17" t="n">
        <x:f>IF(AND(H458=F458,NOT(ISNUMBER(N458)),N458="",K458="",ISNUMBER(O458)),O458,0)</x:f>
        <x:v>200000</x:v>
      </x:c>
      <x:c r="Z458" s="17" t="n">
        <x:f>IF(AND(H458&gt;0,ISNUMBER(N458)),N458,0)</x:f>
        <x:v>0</x:v>
      </x:c>
      <x:c r="AA458" s="2" t="n">
        <x:f>IF(AND(H458&gt;0,N458="",NOT(ISNUMBER(Q458))),1,0)</x:f>
        <x:v>0</x:v>
      </x:c>
      <x:c r="AB458" s="2" t="n">
        <x:f>IF(AND(H458&gt;0,N458&lt;&gt;"",NOT(ISNUMBER(N458))),1,0)</x:f>
        <x:v>0</x:v>
      </x:c>
    </x:row>
    <x:row r="459" ht="48" customHeight="1">
      <x:c r="A459" s="2" t="str">
        <x:v>PARTNER-M384</x:v>
      </x:c>
      <x:c r="B459" s="2" t="str">
        <x:v>Partner</x:v>
      </x:c>
      <x:c r="C459" s="2" t="str">
        <x:v>Delhi NCR</x:v>
      </x:c>
      <x:c r="D459" s="12" t="str">
        <x:v>NPX Tower</x:v>
      </x:c>
      <x:c r="E459" s="12" t="str">
        <x:v>55 inch</x:v>
      </x:c>
      <x:c r="F459" s="2" t="n">
        <x:v>5</x:v>
      </x:c>
      <x:c r="G459" s="2" t="n">
        <x:v>5</x:v>
      </x:c>
      <x:c r="H459" s="2" t="n">
        <x:f>COUNTIFS('Inventory'!$N$7:$N$783,A459,'Inventory'!$A$7:$A$783,1)</x:f>
        <x:v>5</x:v>
      </x:c>
      <x:c r="I459" s="2" t="n">
        <x:f>SUMIFS('Inventory'!$G$7:$G$783,'Inventory'!$N$7:$N$783,A459,'Inventory'!$A$7:$A$783,1)</x:f>
        <x:v>5</x:v>
      </x:c>
      <x:c r="J459" s="12" t="str">
        <x:v>Campaign format rate</x:v>
      </x:c>
      <x:c r="K459" s="17"/>
      <x:c r="L459" s="17" t="n">
        <x:f>$I$5</x:f>
        <x:v>40000</x:v>
      </x:c>
      <x:c r="M459" s="17"/>
      <x:c r="N459" s="19"/>
      <x:c r="O459" s="17" t="n">
        <x:f>IF(ISNUMBER(L459),G459*L459,IF(ISNUMBER(M459),M459,""))</x:f>
        <x:v>200000</x:v>
      </x:c>
      <x:c r="P459" s="17" t="n">
        <x:f>IF(ISNUMBER(K459),K459,IF(ISNUMBER(O459),O459,""))</x:f>
        <x:v>200000</x:v>
      </x:c>
      <x:c r="Q459" s="17" t="n">
        <x:f>IF(H459=0,0,IF(ISNUMBER(N459),N459,IF(N459="",IF(H459=F459,P459,""),"")))</x:f>
        <x:v>200000</x:v>
      </x:c>
      <x:c r="R459" s="17" t="n">
        <x:f>IF(ISNUMBER(Q459),ROUND(Q459*$C$4,2),"")</x:f>
        <x:v>36000</x:v>
      </x:c>
      <x:c r="S459" s="17" t="n">
        <x:f>IF(ISNUMBER(Q459),Q459+R459,"")</x:f>
        <x:v>236000</x:v>
      </x:c>
      <x:c r="T459" s="2" t="str">
        <x:f>IF(H459=0,"Not selected",IF(ISNUMBER(N459),"Quote entered",IF(N459&lt;&gt;"","Enter numeric quote",IF(H459=F459,IF(ISNUMBER(P459),"Complete unit","Price required"),"Partial package: price required"))))</x:f>
        <x:v>Complete unit</x:v>
      </x:c>
      <x:c r="U459" s="2" t="str">
        <x:v>TEN-2D74E91371DF; TEN-351CB482AEA2; TEN-514C228FF85C; TEN-672E0F0F33A9; TEN-85F80403C42F; TEN-8A7CE4D1DF4D; TEN-BD95AB918566; TEN-C78E842CDD84; TEN-F1E6F3520D7D</x:v>
      </x:c>
      <x:c r="V459" s="2" t="str">
        <x:v>IT &amp; digital; Professional services; Trade, consumer &amp; logistics; Workspace &amp; property operations; Unresolved</x:v>
      </x:c>
      <x:c r="W459" s="2" t="str">
        <x:v>Small-scale prospects; Mixed business audience</x:v>
      </x:c>
      <x:c r="X459" s="17" t="n">
        <x:f>IF(AND(H459=F459,NOT(ISNUMBER(N459)),N459="",ISNUMBER(K459)),K459,0)</x:f>
        <x:v>0</x:v>
      </x:c>
      <x:c r="Y459" s="17" t="n">
        <x:f>IF(AND(H459=F459,NOT(ISNUMBER(N459)),N459="",K459="",ISNUMBER(O459)),O459,0)</x:f>
        <x:v>200000</x:v>
      </x:c>
      <x:c r="Z459" s="17" t="n">
        <x:f>IF(AND(H459&gt;0,ISNUMBER(N459)),N459,0)</x:f>
        <x:v>0</x:v>
      </x:c>
      <x:c r="AA459" s="2" t="n">
        <x:f>IF(AND(H459&gt;0,N459="",NOT(ISNUMBER(Q459))),1,0)</x:f>
        <x:v>0</x:v>
      </x:c>
      <x:c r="AB459" s="2" t="n">
        <x:f>IF(AND(H459&gt;0,N459&lt;&gt;"",NOT(ISNUMBER(N459))),1,0)</x:f>
        <x:v>0</x:v>
      </x:c>
    </x:row>
    <x:row r="460" ht="48" customHeight="1">
      <x:c r="A460" s="2" t="str">
        <x:v>PARTNER-M365</x:v>
      </x:c>
      <x:c r="B460" s="2" t="str">
        <x:v>Partner</x:v>
      </x:c>
      <x:c r="C460" s="2" t="str">
        <x:v>Delhi NCR</x:v>
      </x:c>
      <x:c r="D460" s="12" t="str">
        <x:v>Urbtech Trade Centre</x:v>
      </x:c>
      <x:c r="E460" s="12" t="str">
        <x:v>55 inch</x:v>
      </x:c>
      <x:c r="F460" s="2" t="n">
        <x:v>10</x:v>
      </x:c>
      <x:c r="G460" s="2" t="n">
        <x:v>10</x:v>
      </x:c>
      <x:c r="H460" s="2" t="n">
        <x:f>COUNTIFS('Inventory'!$N$7:$N$783,A460,'Inventory'!$A$7:$A$783,1)</x:f>
        <x:v>10</x:v>
      </x:c>
      <x:c r="I460" s="2" t="n">
        <x:f>SUMIFS('Inventory'!$G$7:$G$783,'Inventory'!$N$7:$N$783,A460,'Inventory'!$A$7:$A$783,1)</x:f>
        <x:v>10</x:v>
      </x:c>
      <x:c r="J460" s="12" t="str">
        <x:v>Campaign format rate</x:v>
      </x:c>
      <x:c r="K460" s="17"/>
      <x:c r="L460" s="17" t="n">
        <x:f>$I$5</x:f>
        <x:v>40000</x:v>
      </x:c>
      <x:c r="M460" s="17"/>
      <x:c r="N460" s="19"/>
      <x:c r="O460" s="17" t="n">
        <x:f>IF(ISNUMBER(L460),G460*L460,IF(ISNUMBER(M460),M460,""))</x:f>
        <x:v>400000</x:v>
      </x:c>
      <x:c r="P460" s="17" t="n">
        <x:f>IF(ISNUMBER(K460),K460,IF(ISNUMBER(O460),O460,""))</x:f>
        <x:v>400000</x:v>
      </x:c>
      <x:c r="Q460" s="17" t="n">
        <x:f>IF(H460=0,0,IF(ISNUMBER(N460),N460,IF(N460="",IF(H460=F460,P460,""),"")))</x:f>
        <x:v>400000</x:v>
      </x:c>
      <x:c r="R460" s="17" t="n">
        <x:f>IF(ISNUMBER(Q460),ROUND(Q460*$C$4,2),"")</x:f>
        <x:v>72000</x:v>
      </x:c>
      <x:c r="S460" s="17" t="n">
        <x:f>IF(ISNUMBER(Q460),Q460+R460,"")</x:f>
        <x:v>472000</x:v>
      </x:c>
      <x:c r="T460" s="2" t="str">
        <x:f>IF(H460=0,"Not selected",IF(ISNUMBER(N460),"Quote entered",IF(N460&lt;&gt;"","Enter numeric quote",IF(H460=F460,IF(ISNUMBER(P460),"Complete unit","Price required"),"Partial package: price required"))))</x:f>
        <x:v>Complete unit</x:v>
      </x:c>
      <x:c r="U460" s="2" t="str">
        <x:v>TEN-0B84B8C86C04; TEN-1C4CDE20CBE1; TEN-24BCCA39B43D; TEN-24E8B74B48CE; TEN-351F2133C349; TEN-4637D767B45C; TEN-6186C00E74F2; TEN-71E33AB069A4; TEN-8B608DCA827C; TEN-9A16AFDC257F; TEN-A84075D6CDAD; TEN-B6D604AAAE8B; TEN-C81CB399F996; TEN-E2657581FE46; TEN-EE965BC63671</x:v>
      </x:c>
      <x:c r="V460" s="2" t="str">
        <x:v>Professional services; Engineering &amp; manufacturing; Healthcare &amp; life sciences; Trade, consumer &amp; logistics; Workspace &amp; property operations; Unresolved</x:v>
      </x:c>
      <x:c r="W460" s="2" t="str">
        <x:v>Small-scale prospects; Medium-scale prospects; Mixed business audience</x:v>
      </x:c>
      <x:c r="X460" s="17" t="n">
        <x:f>IF(AND(H460=F460,NOT(ISNUMBER(N460)),N460="",ISNUMBER(K460)),K460,0)</x:f>
        <x:v>0</x:v>
      </x:c>
      <x:c r="Y460" s="17" t="n">
        <x:f>IF(AND(H460=F460,NOT(ISNUMBER(N460)),N460="",K460="",ISNUMBER(O460)),O460,0)</x:f>
        <x:v>400000</x:v>
      </x:c>
      <x:c r="Z460" s="17" t="n">
        <x:f>IF(AND(H460&gt;0,ISNUMBER(N460)),N460,0)</x:f>
        <x:v>0</x:v>
      </x:c>
      <x:c r="AA460" s="2" t="n">
        <x:f>IF(AND(H460&gt;0,N460="",NOT(ISNUMBER(Q460))),1,0)</x:f>
        <x:v>0</x:v>
      </x:c>
      <x:c r="AB460" s="2" t="n">
        <x:f>IF(AND(H460&gt;0,N460&lt;&gt;"",NOT(ISNUMBER(N460))),1,0)</x:f>
        <x:v>0</x:v>
      </x:c>
    </x:row>
    <x:row r="461" ht="48" customHeight="1">
      <x:c r="A461" s="2" t="str">
        <x:v>PARTNER-M308</x:v>
      </x:c>
      <x:c r="B461" s="2" t="str">
        <x:v>Partner</x:v>
      </x:c>
      <x:c r="C461" s="2" t="str">
        <x:v>Hyderabad</x:v>
      </x:c>
      <x:c r="D461" s="12" t="str">
        <x:v>Aurobindo Galaxy</x:v>
      </x:c>
      <x:c r="E461" s="12" t="str">
        <x:v>55 inch</x:v>
      </x:c>
      <x:c r="F461" s="2" t="n">
        <x:v>4</x:v>
      </x:c>
      <x:c r="G461" s="2" t="n">
        <x:v>4</x:v>
      </x:c>
      <x:c r="H461" s="2" t="n">
        <x:f>COUNTIFS('Inventory'!$N$7:$N$783,A461,'Inventory'!$A$7:$A$783,1)</x:f>
        <x:v>4</x:v>
      </x:c>
      <x:c r="I461" s="2" t="n">
        <x:f>SUMIFS('Inventory'!$G$7:$G$783,'Inventory'!$N$7:$N$783,A461,'Inventory'!$A$7:$A$783,1)</x:f>
        <x:v>4</x:v>
      </x:c>
      <x:c r="J461" s="12" t="str">
        <x:v>Campaign format rate</x:v>
      </x:c>
      <x:c r="K461" s="17"/>
      <x:c r="L461" s="17" t="n">
        <x:f>$I$5</x:f>
        <x:v>40000</x:v>
      </x:c>
      <x:c r="M461" s="17"/>
      <x:c r="N461" s="19"/>
      <x:c r="O461" s="17" t="n">
        <x:f>IF(ISNUMBER(L461),G461*L461,IF(ISNUMBER(M461),M461,""))</x:f>
        <x:v>160000</x:v>
      </x:c>
      <x:c r="P461" s="17" t="n">
        <x:f>IF(ISNUMBER(K461),K461,IF(ISNUMBER(O461),O461,""))</x:f>
        <x:v>160000</x:v>
      </x:c>
      <x:c r="Q461" s="17" t="n">
        <x:f>IF(H461=0,0,IF(ISNUMBER(N461),N461,IF(N461="",IF(H461=F461,P461,""),"")))</x:f>
        <x:v>160000</x:v>
      </x:c>
      <x:c r="R461" s="17" t="n">
        <x:f>IF(ISNUMBER(Q461),ROUND(Q461*$C$4,2),"")</x:f>
        <x:v>28800</x:v>
      </x:c>
      <x:c r="S461" s="17" t="n">
        <x:f>IF(ISNUMBER(Q461),Q461+R461,"")</x:f>
        <x:v>188800</x:v>
      </x:c>
      <x:c r="T461" s="2" t="str">
        <x:f>IF(H461=0,"Not selected",IF(ISNUMBER(N461),"Quote entered",IF(N461&lt;&gt;"","Enter numeric quote",IF(H461=F461,IF(ISNUMBER(P461),"Complete unit","Price required"),"Partial package: price required"))))</x:f>
        <x:v>Complete unit</x:v>
      </x:c>
      <x:c r="U461" s="2" t="str">
        <x:v>TEN-285CEC965FE7; TEN-2F2EE24ED078; TEN-52A348458B44; TEN-564B6BFAB738; TEN-5F079A2B9BA5; TEN-6D3FD8E92D3B; TEN-71B3D21F0CCC; TEN-71E01020DF68; TEN-92B63CC8EFA5; TEN-9F938B95F156; TEN-B4D82B3F4A64; TEN-B68EE3D6C8CA; TEN-D2D88D6E7476; TEN-D37CD0DDC792</x:v>
      </x:c>
      <x:c r="V461" s="2" t="str">
        <x:v>IT &amp; digital; Engineering &amp; manufacturing; Healthcare &amp; life sciences; Workspace &amp; property operations</x:v>
      </x:c>
      <x:c r="W461" s="2" t="str">
        <x:v>Small-scale prospects; Mixed business audience</x:v>
      </x:c>
      <x:c r="X461" s="17" t="n">
        <x:f>IF(AND(H461=F461,NOT(ISNUMBER(N461)),N461="",ISNUMBER(K461)),K461,0)</x:f>
        <x:v>0</x:v>
      </x:c>
      <x:c r="Y461" s="17" t="n">
        <x:f>IF(AND(H461=F461,NOT(ISNUMBER(N461)),N461="",K461="",ISNUMBER(O461)),O461,0)</x:f>
        <x:v>160000</x:v>
      </x:c>
      <x:c r="Z461" s="17" t="n">
        <x:f>IF(AND(H461&gt;0,ISNUMBER(N461)),N461,0)</x:f>
        <x:v>0</x:v>
      </x:c>
      <x:c r="AA461" s="2" t="n">
        <x:f>IF(AND(H461&gt;0,N461="",NOT(ISNUMBER(Q461))),1,0)</x:f>
        <x:v>0</x:v>
      </x:c>
      <x:c r="AB461" s="2" t="n">
        <x:f>IF(AND(H461&gt;0,N461&lt;&gt;"",NOT(ISNUMBER(N461))),1,0)</x:f>
        <x:v>0</x:v>
      </x:c>
    </x:row>
    <x:row r="462" ht="48" customHeight="1">
      <x:c r="A462" s="2" t="str">
        <x:v>PARTNER-M289</x:v>
      </x:c>
      <x:c r="B462" s="2" t="str">
        <x:v>Partner</x:v>
      </x:c>
      <x:c r="C462" s="2" t="str">
        <x:v>Hyderabad</x:v>
      </x:c>
      <x:c r="D462" s="12" t="str">
        <x:v>Cyber Gateway</x:v>
      </x:c>
      <x:c r="E462" s="12" t="str">
        <x:v>55 inch</x:v>
      </x:c>
      <x:c r="F462" s="2" t="n">
        <x:v>6</x:v>
      </x:c>
      <x:c r="G462" s="2" t="n">
        <x:v>6</x:v>
      </x:c>
      <x:c r="H462" s="2" t="n">
        <x:f>COUNTIFS('Inventory'!$N$7:$N$783,A462,'Inventory'!$A$7:$A$783,1)</x:f>
        <x:v>6</x:v>
      </x:c>
      <x:c r="I462" s="2" t="n">
        <x:f>SUMIFS('Inventory'!$G$7:$G$783,'Inventory'!$N$7:$N$783,A462,'Inventory'!$A$7:$A$783,1)</x:f>
        <x:v>6</x:v>
      </x:c>
      <x:c r="J462" s="12" t="str">
        <x:v>Campaign format rate</x:v>
      </x:c>
      <x:c r="K462" s="17"/>
      <x:c r="L462" s="17" t="n">
        <x:f>$I$5</x:f>
        <x:v>40000</x:v>
      </x:c>
      <x:c r="M462" s="17"/>
      <x:c r="N462" s="19"/>
      <x:c r="O462" s="17" t="n">
        <x:f>IF(ISNUMBER(L462),G462*L462,IF(ISNUMBER(M462),M462,""))</x:f>
        <x:v>240000</x:v>
      </x:c>
      <x:c r="P462" s="17" t="n">
        <x:f>IF(ISNUMBER(K462),K462,IF(ISNUMBER(O462),O462,""))</x:f>
        <x:v>240000</x:v>
      </x:c>
      <x:c r="Q462" s="17" t="n">
        <x:f>IF(H462=0,0,IF(ISNUMBER(N462),N462,IF(N462="",IF(H462=F462,P462,""),"")))</x:f>
        <x:v>240000</x:v>
      </x:c>
      <x:c r="R462" s="17" t="n">
        <x:f>IF(ISNUMBER(Q462),ROUND(Q462*$C$4,2),"")</x:f>
        <x:v>43200</x:v>
      </x:c>
      <x:c r="S462" s="17" t="n">
        <x:f>IF(ISNUMBER(Q462),Q462+R462,"")</x:f>
        <x:v>283200</x:v>
      </x:c>
      <x:c r="T462" s="2" t="str">
        <x:f>IF(H462=0,"Not selected",IF(ISNUMBER(N462),"Quote entered",IF(N462&lt;&gt;"","Enter numeric quote",IF(H462=F462,IF(ISNUMBER(P462),"Complete unit","Price required"),"Partial package: price required"))))</x:f>
        <x:v>Complete unit</x:v>
      </x:c>
      <x:c r="U462" s="2" t="str">
        <x:v>TEN-01088BCB5FE4; TEN-147B40FF1F46; TEN-1C04181154C3; TEN-223E0BE4600B; TEN-2B02951507EE; TEN-49A09B6192AC; TEN-4AE3A2A36DB1; TEN-62FC778E4D9D; TEN-64ACC2041078; TEN-6D88C170876C; TEN-7539F6E6B0E4; TEN-8D66D837E37C; TEN-AAA30F61EE87; TEN-AF9253804CA3; TEN-B2C5EC45BFF3; TEN-B51153A92AF3; TEN-C1185EEF281B; TEN-C40D987A6D54; TEN-CDB24A62FB69; TEN-E6B1BC8AE59D; TEN-EFE115AB0E96; TEN-F95B60BD0C88</x:v>
      </x:c>
      <x:c r="V462" s="2" t="str">
        <x:v>IT &amp; digital; Professional services; Finance &amp; insurance; Engineering &amp; manufacturing; Healthcare &amp; life sciences; Education; Trade, consumer &amp; logistics; Unresolved</x:v>
      </x:c>
      <x:c r="W462" s="2" t="str">
        <x:v>Small-scale prospects; Medium-scale prospects; Large enterprise; Mixed business audience</x:v>
      </x:c>
      <x:c r="X462" s="17" t="n">
        <x:f>IF(AND(H462=F462,NOT(ISNUMBER(N462)),N462="",ISNUMBER(K462)),K462,0)</x:f>
        <x:v>0</x:v>
      </x:c>
      <x:c r="Y462" s="17" t="n">
        <x:f>IF(AND(H462=F462,NOT(ISNUMBER(N462)),N462="",K462="",ISNUMBER(O462)),O462,0)</x:f>
        <x:v>240000</x:v>
      </x:c>
      <x:c r="Z462" s="17" t="n">
        <x:f>IF(AND(H462&gt;0,ISNUMBER(N462)),N462,0)</x:f>
        <x:v>0</x:v>
      </x:c>
      <x:c r="AA462" s="2" t="n">
        <x:f>IF(AND(H462&gt;0,N462="",NOT(ISNUMBER(Q462))),1,0)</x:f>
        <x:v>0</x:v>
      </x:c>
      <x:c r="AB462" s="2" t="n">
        <x:f>IF(AND(H462&gt;0,N462&lt;&gt;"",NOT(ISNUMBER(N462))),1,0)</x:f>
        <x:v>0</x:v>
      </x:c>
    </x:row>
    <x:row r="463" ht="48" customHeight="1">
      <x:c r="A463" s="2" t="str">
        <x:v>PARTNER-M295</x:v>
      </x:c>
      <x:c r="B463" s="2" t="str">
        <x:v>Partner</x:v>
      </x:c>
      <x:c r="C463" s="2" t="str">
        <x:v>Hyderabad</x:v>
      </x:c>
      <x:c r="D463" s="12" t="str">
        <x:v>Cyber Tower</x:v>
      </x:c>
      <x:c r="E463" s="12" t="str">
        <x:v>55 inch</x:v>
      </x:c>
      <x:c r="F463" s="2" t="n">
        <x:v>5</x:v>
      </x:c>
      <x:c r="G463" s="2" t="n">
        <x:v>5</x:v>
      </x:c>
      <x:c r="H463" s="2" t="n">
        <x:f>COUNTIFS('Inventory'!$N$7:$N$783,A463,'Inventory'!$A$7:$A$783,1)</x:f>
        <x:v>5</x:v>
      </x:c>
      <x:c r="I463" s="2" t="n">
        <x:f>SUMIFS('Inventory'!$G$7:$G$783,'Inventory'!$N$7:$N$783,A463,'Inventory'!$A$7:$A$783,1)</x:f>
        <x:v>5</x:v>
      </x:c>
      <x:c r="J463" s="12" t="str">
        <x:v>Campaign format rate</x:v>
      </x:c>
      <x:c r="K463" s="17"/>
      <x:c r="L463" s="17" t="n">
        <x:f>$I$5</x:f>
        <x:v>40000</x:v>
      </x:c>
      <x:c r="M463" s="17"/>
      <x:c r="N463" s="19"/>
      <x:c r="O463" s="17" t="n">
        <x:f>IF(ISNUMBER(L463),G463*L463,IF(ISNUMBER(M463),M463,""))</x:f>
        <x:v>200000</x:v>
      </x:c>
      <x:c r="P463" s="17" t="n">
        <x:f>IF(ISNUMBER(K463),K463,IF(ISNUMBER(O463),O463,""))</x:f>
        <x:v>200000</x:v>
      </x:c>
      <x:c r="Q463" s="17" t="n">
        <x:f>IF(H463=0,0,IF(ISNUMBER(N463),N463,IF(N463="",IF(H463=F463,P463,""),"")))</x:f>
        <x:v>200000</x:v>
      </x:c>
      <x:c r="R463" s="17" t="n">
        <x:f>IF(ISNUMBER(Q463),ROUND(Q463*$C$4,2),"")</x:f>
        <x:v>36000</x:v>
      </x:c>
      <x:c r="S463" s="17" t="n">
        <x:f>IF(ISNUMBER(Q463),Q463+R463,"")</x:f>
        <x:v>236000</x:v>
      </x:c>
      <x:c r="T463" s="2" t="str">
        <x:f>IF(H463=0,"Not selected",IF(ISNUMBER(N463),"Quote entered",IF(N463&lt;&gt;"","Enter numeric quote",IF(H463=F463,IF(ISNUMBER(P463),"Complete unit","Price required"),"Partial package: price required"))))</x:f>
        <x:v>Complete unit</x:v>
      </x:c>
      <x:c r="U463" s="2" t="str">
        <x:v>TEN-0E6A5F7C73CC; TEN-0EDD698BAD2E; TEN-172416680C0F; TEN-2043A419E121; TEN-30099B000C5C; TEN-30F6A61A31C7; TEN-6CAB9DFC425C; TEN-6CBA95EE1BC0; TEN-6FBA7BE7F62E; TEN-738CF5E0F324; TEN-89C7DF9519C3; TEN-8A5EDFCA45E4; TEN-8F9C783063DF; TEN-954E3B0AC1F9; TEN-A509A9AAC287; TEN-B5C691D27CD7; TEN-BC3CB45E4A8C; TEN-C22CCD5B65F2; TEN-C23D7DDF638C; TEN-CF9779F42FF3; TEN-D26EFCBBB5D9; TEN-D6CB554DC303; TEN-D8AA87D79F26; TEN-DAFF8DD90485; TEN-E8C5F0A15362; TEN-F123D2B55E66; TEN-F49BB10C12ED; TEN-F8AF322D0456; TEN-F9676989ACD4</x:v>
      </x:c>
      <x:c r="V463" s="2" t="str">
        <x:v>IT &amp; digital; Professional services; Engineering &amp; manufacturing; Unresolved</x:v>
      </x:c>
      <x:c r="W463" s="2" t="str">
        <x:v>Small-scale prospects; Medium-scale prospects; Large enterprise; Mixed business audience</x:v>
      </x:c>
      <x:c r="X463" s="17" t="n">
        <x:f>IF(AND(H463=F463,NOT(ISNUMBER(N463)),N463="",ISNUMBER(K463)),K463,0)</x:f>
        <x:v>0</x:v>
      </x:c>
      <x:c r="Y463" s="17" t="n">
        <x:f>IF(AND(H463=F463,NOT(ISNUMBER(N463)),N463="",K463="",ISNUMBER(O463)),O463,0)</x:f>
        <x:v>200000</x:v>
      </x:c>
      <x:c r="Z463" s="17" t="n">
        <x:f>IF(AND(H463&gt;0,ISNUMBER(N463)),N463,0)</x:f>
        <x:v>0</x:v>
      </x:c>
      <x:c r="AA463" s="2" t="n">
        <x:f>IF(AND(H463&gt;0,N463="",NOT(ISNUMBER(Q463))),1,0)</x:f>
        <x:v>0</x:v>
      </x:c>
      <x:c r="AB463" s="2" t="n">
        <x:f>IF(AND(H463&gt;0,N463&lt;&gt;"",NOT(ISNUMBER(N463))),1,0)</x:f>
        <x:v>0</x:v>
      </x:c>
    </x:row>
    <x:row r="464" ht="48" customHeight="1">
      <x:c r="A464" s="2" t="str">
        <x:v>PARTNER-M283</x:v>
      </x:c>
      <x:c r="B464" s="2" t="str">
        <x:v>Partner</x:v>
      </x:c>
      <x:c r="C464" s="2" t="str">
        <x:v>Hyderabad</x:v>
      </x:c>
      <x:c r="D464" s="12" t="str">
        <x:v>iLabs Tech Park</x:v>
      </x:c>
      <x:c r="E464" s="12" t="str">
        <x:v>55 inch</x:v>
      </x:c>
      <x:c r="F464" s="2" t="n">
        <x:v>6</x:v>
      </x:c>
      <x:c r="G464" s="2" t="n">
        <x:v>6</x:v>
      </x:c>
      <x:c r="H464" s="2" t="n">
        <x:f>COUNTIFS('Inventory'!$N$7:$N$783,A464,'Inventory'!$A$7:$A$783,1)</x:f>
        <x:v>6</x:v>
      </x:c>
      <x:c r="I464" s="2" t="n">
        <x:f>SUMIFS('Inventory'!$G$7:$G$783,'Inventory'!$N$7:$N$783,A464,'Inventory'!$A$7:$A$783,1)</x:f>
        <x:v>6</x:v>
      </x:c>
      <x:c r="J464" s="12" t="str">
        <x:v>Campaign format rate</x:v>
      </x:c>
      <x:c r="K464" s="17"/>
      <x:c r="L464" s="17" t="n">
        <x:f>$I$5</x:f>
        <x:v>40000</x:v>
      </x:c>
      <x:c r="M464" s="17"/>
      <x:c r="N464" s="19"/>
      <x:c r="O464" s="17" t="n">
        <x:f>IF(ISNUMBER(L464),G464*L464,IF(ISNUMBER(M464),M464,""))</x:f>
        <x:v>240000</x:v>
      </x:c>
      <x:c r="P464" s="17" t="n">
        <x:f>IF(ISNUMBER(K464),K464,IF(ISNUMBER(O464),O464,""))</x:f>
        <x:v>240000</x:v>
      </x:c>
      <x:c r="Q464" s="17" t="n">
        <x:f>IF(H464=0,0,IF(ISNUMBER(N464),N464,IF(N464="",IF(H464=F464,P464,""),"")))</x:f>
        <x:v>240000</x:v>
      </x:c>
      <x:c r="R464" s="17" t="n">
        <x:f>IF(ISNUMBER(Q464),ROUND(Q464*$C$4,2),"")</x:f>
        <x:v>43200</x:v>
      </x:c>
      <x:c r="S464" s="17" t="n">
        <x:f>IF(ISNUMBER(Q464),Q464+R464,"")</x:f>
        <x:v>283200</x:v>
      </x:c>
      <x:c r="T464" s="2" t="str">
        <x:f>IF(H464=0,"Not selected",IF(ISNUMBER(N464),"Quote entered",IF(N464&lt;&gt;"","Enter numeric quote",IF(H464=F464,IF(ISNUMBER(P464),"Complete unit","Price required"),"Partial package: price required"))))</x:f>
        <x:v>Complete unit</x:v>
      </x:c>
      <x:c r="U464" s="2" t="str">
        <x:v>TEN-059368F98DEB; TEN-43BE6AC0AAE2; TEN-68BAD0BF4A37; TEN-6FC71948C40F; TEN-93969D193161; TEN-9469C6F797DD; TEN-98F51CB88BC4; TEN-A09CDA62FBCB; TEN-B6F0DAA20D8D; TEN-BC9765585BF0; TEN-CE371D3C6BED; TEN-D67021B8B470; TEN-E8EEF6D2EC99</x:v>
      </x:c>
      <x:c r="V464" s="2" t="str">
        <x:v>IT &amp; digital; Finance &amp; insurance; Engineering &amp; manufacturing; Workspace &amp; property operations; Unresolved</x:v>
      </x:c>
      <x:c r="W464" s="2" t="str">
        <x:v>Large enterprise; Mixed business audience</x:v>
      </x:c>
      <x:c r="X464" s="17" t="n">
        <x:f>IF(AND(H464=F464,NOT(ISNUMBER(N464)),N464="",ISNUMBER(K464)),K464,0)</x:f>
        <x:v>0</x:v>
      </x:c>
      <x:c r="Y464" s="17" t="n">
        <x:f>IF(AND(H464=F464,NOT(ISNUMBER(N464)),N464="",K464="",ISNUMBER(O464)),O464,0)</x:f>
        <x:v>240000</x:v>
      </x:c>
      <x:c r="Z464" s="17" t="n">
        <x:f>IF(AND(H464&gt;0,ISNUMBER(N464)),N464,0)</x:f>
        <x:v>0</x:v>
      </x:c>
      <x:c r="AA464" s="2" t="n">
        <x:f>IF(AND(H464&gt;0,N464="",NOT(ISNUMBER(Q464))),1,0)</x:f>
        <x:v>0</x:v>
      </x:c>
      <x:c r="AB464" s="2" t="n">
        <x:f>IF(AND(H464&gt;0,N464&lt;&gt;"",NOT(ISNUMBER(N464))),1,0)</x:f>
        <x:v>0</x:v>
      </x:c>
    </x:row>
    <x:row r="465" ht="48" customHeight="1">
      <x:c r="A465" s="2" t="str">
        <x:v>PARTNER-M317</x:v>
      </x:c>
      <x:c r="B465" s="2" t="str">
        <x:v>Partner</x:v>
      </x:c>
      <x:c r="C465" s="2" t="str">
        <x:v>Hyderabad</x:v>
      </x:c>
      <x:c r="D465" s="12" t="str">
        <x:v>Kapil Towers</x:v>
      </x:c>
      <x:c r="E465" s="12" t="str">
        <x:v>55 inch</x:v>
      </x:c>
      <x:c r="F465" s="2" t="n">
        <x:v>7</x:v>
      </x:c>
      <x:c r="G465" s="2" t="n">
        <x:v>7</x:v>
      </x:c>
      <x:c r="H465" s="2" t="n">
        <x:f>COUNTIFS('Inventory'!$N$7:$N$783,A465,'Inventory'!$A$7:$A$783,1)</x:f>
        <x:v>7</x:v>
      </x:c>
      <x:c r="I465" s="2" t="n">
        <x:f>SUMIFS('Inventory'!$G$7:$G$783,'Inventory'!$N$7:$N$783,A465,'Inventory'!$A$7:$A$783,1)</x:f>
        <x:v>7</x:v>
      </x:c>
      <x:c r="J465" s="12" t="str">
        <x:v>Campaign format rate</x:v>
      </x:c>
      <x:c r="K465" s="17"/>
      <x:c r="L465" s="17" t="n">
        <x:f>$I$5</x:f>
        <x:v>40000</x:v>
      </x:c>
      <x:c r="M465" s="17"/>
      <x:c r="N465" s="19"/>
      <x:c r="O465" s="17" t="n">
        <x:f>IF(ISNUMBER(L465),G465*L465,IF(ISNUMBER(M465),M465,""))</x:f>
        <x:v>280000</x:v>
      </x:c>
      <x:c r="P465" s="17" t="n">
        <x:f>IF(ISNUMBER(K465),K465,IF(ISNUMBER(O465),O465,""))</x:f>
        <x:v>280000</x:v>
      </x:c>
      <x:c r="Q465" s="17" t="n">
        <x:f>IF(H465=0,0,IF(ISNUMBER(N465),N465,IF(N465="",IF(H465=F465,P465,""),"")))</x:f>
        <x:v>280000</x:v>
      </x:c>
      <x:c r="R465" s="17" t="n">
        <x:f>IF(ISNUMBER(Q465),ROUND(Q465*$C$4,2),"")</x:f>
        <x:v>50400</x:v>
      </x:c>
      <x:c r="S465" s="17" t="n">
        <x:f>IF(ISNUMBER(Q465),Q465+R465,"")</x:f>
        <x:v>330400</x:v>
      </x:c>
      <x:c r="T465" s="2" t="str">
        <x:f>IF(H465=0,"Not selected",IF(ISNUMBER(N465),"Quote entered",IF(N465&lt;&gt;"","Enter numeric quote",IF(H465=F465,IF(ISNUMBER(P465),"Complete unit","Price required"),"Partial package: price required"))))</x:f>
        <x:v>Complete unit</x:v>
      </x:c>
      <x:c r="U465" s="2" t="str">
        <x:v>TEN-0A5ECD30C1C6; TEN-1A35D512D448; TEN-20AE44E7A981; TEN-35116738549F; TEN-4217F70FC2FE; TEN-45562E981863; TEN-4881BA2217F0; TEN-4E9F09D4C240; TEN-5E423FF3D952; TEN-610A92A03F91; TEN-696EBEF1BEC8; TEN-6B83683277A9; TEN-99DC3C2D940B; TEN-9DE4EB87E986; TEN-A0B931E47192; TEN-A5F3E9F1C9E5; TEN-A71520DA2A6E; TEN-AAD0329B77D6; TEN-ABA79A2B2DEC; TEN-B63ABE14A06F; TEN-C425191D5D06; TEN-D17B85E52ABA; TEN-EA94B39D1C72; TEN-ED8AA4B2E058; TEN-F17CDF039CA5; TEN-F67EC79876E7</x:v>
      </x:c>
      <x:c r="V465" s="2" t="str">
        <x:v>IT &amp; digital; Professional services; Finance &amp; insurance; Healthcare &amp; life sciences; Education; Trade, consumer &amp; logistics; Unresolved</x:v>
      </x:c>
      <x:c r="W465" s="2" t="str">
        <x:v>Small-scale prospects; Medium-scale prospects; Mixed business audience</x:v>
      </x:c>
      <x:c r="X465" s="17" t="n">
        <x:f>IF(AND(H465=F465,NOT(ISNUMBER(N465)),N465="",ISNUMBER(K465)),K465,0)</x:f>
        <x:v>0</x:v>
      </x:c>
      <x:c r="Y465" s="17" t="n">
        <x:f>IF(AND(H465=F465,NOT(ISNUMBER(N465)),N465="",K465="",ISNUMBER(O465)),O465,0)</x:f>
        <x:v>280000</x:v>
      </x:c>
      <x:c r="Z465" s="17" t="n">
        <x:f>IF(AND(H465&gt;0,ISNUMBER(N465)),N465,0)</x:f>
        <x:v>0</x:v>
      </x:c>
      <x:c r="AA465" s="2" t="n">
        <x:f>IF(AND(H465&gt;0,N465="",NOT(ISNUMBER(Q465))),1,0)</x:f>
        <x:v>0</x:v>
      </x:c>
      <x:c r="AB465" s="2" t="n">
        <x:f>IF(AND(H465&gt;0,N465&lt;&gt;"",NOT(ISNUMBER(N465))),1,0)</x:f>
        <x:v>0</x:v>
      </x:c>
    </x:row>
    <x:row r="466" ht="48" customHeight="1">
      <x:c r="A466" s="2" t="str">
        <x:v>PARTNER-M312</x:v>
      </x:c>
      <x:c r="B466" s="2" t="str">
        <x:v>Partner</x:v>
      </x:c>
      <x:c r="C466" s="2" t="str">
        <x:v>Hyderabad</x:v>
      </x:c>
      <x:c r="D466" s="12" t="str">
        <x:v>Prestige Skytech </x:v>
      </x:c>
      <x:c r="E466" s="12" t="str">
        <x:v>55 inch</x:v>
      </x:c>
      <x:c r="F466" s="2" t="n">
        <x:v>5</x:v>
      </x:c>
      <x:c r="G466" s="2" t="n">
        <x:v>5</x:v>
      </x:c>
      <x:c r="H466" s="2" t="n">
        <x:f>COUNTIFS('Inventory'!$N$7:$N$783,A466,'Inventory'!$A$7:$A$783,1)</x:f>
        <x:v>5</x:v>
      </x:c>
      <x:c r="I466" s="2" t="n">
        <x:f>SUMIFS('Inventory'!$G$7:$G$783,'Inventory'!$N$7:$N$783,A466,'Inventory'!$A$7:$A$783,1)</x:f>
        <x:v>5</x:v>
      </x:c>
      <x:c r="J466" s="12" t="str">
        <x:v>Campaign format rate</x:v>
      </x:c>
      <x:c r="K466" s="17"/>
      <x:c r="L466" s="17" t="n">
        <x:f>$I$5</x:f>
        <x:v>40000</x:v>
      </x:c>
      <x:c r="M466" s="17"/>
      <x:c r="N466" s="19"/>
      <x:c r="O466" s="17" t="n">
        <x:f>IF(ISNUMBER(L466),G466*L466,IF(ISNUMBER(M466),M466,""))</x:f>
        <x:v>200000</x:v>
      </x:c>
      <x:c r="P466" s="17" t="n">
        <x:f>IF(ISNUMBER(K466),K466,IF(ISNUMBER(O466),O466,""))</x:f>
        <x:v>200000</x:v>
      </x:c>
      <x:c r="Q466" s="17" t="n">
        <x:f>IF(H466=0,0,IF(ISNUMBER(N466),N466,IF(N466="",IF(H466=F466,P466,""),"")))</x:f>
        <x:v>200000</x:v>
      </x:c>
      <x:c r="R466" s="17" t="n">
        <x:f>IF(ISNUMBER(Q466),ROUND(Q466*$C$4,2),"")</x:f>
        <x:v>36000</x:v>
      </x:c>
      <x:c r="S466" s="17" t="n">
        <x:f>IF(ISNUMBER(Q466),Q466+R466,"")</x:f>
        <x:v>236000</x:v>
      </x:c>
      <x:c r="T466" s="2" t="str">
        <x:f>IF(H466=0,"Not selected",IF(ISNUMBER(N466),"Quote entered",IF(N466&lt;&gt;"","Enter numeric quote",IF(H466=F466,IF(ISNUMBER(P466),"Complete unit","Price required"),"Partial package: price required"))))</x:f>
        <x:v>Complete unit</x:v>
      </x:c>
      <x:c r="U466" s="2" t="str">
        <x:v>TEN-03BAC00D147B; TEN-071CA7784A7E; TEN-2DE7A99797BE; TEN-32D5FF7368CA; TEN-413BB748AA81; TEN-DCFBA15B3400</x:v>
      </x:c>
      <x:c r="V466" s="2" t="str">
        <x:v>IT &amp; digital; Healthcare &amp; life sciences; Trade, consumer &amp; logistics</x:v>
      </x:c>
      <x:c r="W466" s="2" t="str">
        <x:v>Small-scale prospects; Mixed business audience</x:v>
      </x:c>
      <x:c r="X466" s="17" t="n">
        <x:f>IF(AND(H466=F466,NOT(ISNUMBER(N466)),N466="",ISNUMBER(K466)),K466,0)</x:f>
        <x:v>0</x:v>
      </x:c>
      <x:c r="Y466" s="17" t="n">
        <x:f>IF(AND(H466=F466,NOT(ISNUMBER(N466)),N466="",K466="",ISNUMBER(O466)),O466,0)</x:f>
        <x:v>200000</x:v>
      </x:c>
      <x:c r="Z466" s="17" t="n">
        <x:f>IF(AND(H466&gt;0,ISNUMBER(N466)),N466,0)</x:f>
        <x:v>0</x:v>
      </x:c>
      <x:c r="AA466" s="2" t="n">
        <x:f>IF(AND(H466&gt;0,N466="",NOT(ISNUMBER(Q466))),1,0)</x:f>
        <x:v>0</x:v>
      </x:c>
      <x:c r="AB466" s="2" t="n">
        <x:f>IF(AND(H466&gt;0,N466&lt;&gt;"",NOT(ISNUMBER(N466))),1,0)</x:f>
        <x:v>0</x:v>
      </x:c>
    </x:row>
    <x:row r="467" ht="48" customHeight="1">
      <x:c r="A467" s="2" t="str">
        <x:v>PARTNER-M300</x:v>
      </x:c>
      <x:c r="B467" s="2" t="str">
        <x:v>Partner</x:v>
      </x:c>
      <x:c r="C467" s="2" t="str">
        <x:v>Hyderabad</x:v>
      </x:c>
      <x:c r="D467" s="12" t="str">
        <x:v>Waverock IT Park</x:v>
      </x:c>
      <x:c r="E467" s="12" t="str">
        <x:v>55 inch</x:v>
      </x:c>
      <x:c r="F467" s="2" t="n">
        <x:v>8</x:v>
      </x:c>
      <x:c r="G467" s="2" t="n">
        <x:v>8</x:v>
      </x:c>
      <x:c r="H467" s="2" t="n">
        <x:f>COUNTIFS('Inventory'!$N$7:$N$783,A467,'Inventory'!$A$7:$A$783,1)</x:f>
        <x:v>8</x:v>
      </x:c>
      <x:c r="I467" s="2" t="n">
        <x:f>SUMIFS('Inventory'!$G$7:$G$783,'Inventory'!$N$7:$N$783,A467,'Inventory'!$A$7:$A$783,1)</x:f>
        <x:v>8</x:v>
      </x:c>
      <x:c r="J467" s="12" t="str">
        <x:v>Campaign format rate</x:v>
      </x:c>
      <x:c r="K467" s="17"/>
      <x:c r="L467" s="17" t="n">
        <x:f>$I$5</x:f>
        <x:v>40000</x:v>
      </x:c>
      <x:c r="M467" s="17"/>
      <x:c r="N467" s="19"/>
      <x:c r="O467" s="17" t="n">
        <x:f>IF(ISNUMBER(L467),G467*L467,IF(ISNUMBER(M467),M467,""))</x:f>
        <x:v>320000</x:v>
      </x:c>
      <x:c r="P467" s="17" t="n">
        <x:f>IF(ISNUMBER(K467),K467,IF(ISNUMBER(O467),O467,""))</x:f>
        <x:v>320000</x:v>
      </x:c>
      <x:c r="Q467" s="17" t="n">
        <x:f>IF(H467=0,0,IF(ISNUMBER(N467),N467,IF(N467="",IF(H467=F467,P467,""),"")))</x:f>
        <x:v>320000</x:v>
      </x:c>
      <x:c r="R467" s="17" t="n">
        <x:f>IF(ISNUMBER(Q467),ROUND(Q467*$C$4,2),"")</x:f>
        <x:v>57600</x:v>
      </x:c>
      <x:c r="S467" s="17" t="n">
        <x:f>IF(ISNUMBER(Q467),Q467+R467,"")</x:f>
        <x:v>377600</x:v>
      </x:c>
      <x:c r="T467" s="2" t="str">
        <x:f>IF(H467=0,"Not selected",IF(ISNUMBER(N467),"Quote entered",IF(N467&lt;&gt;"","Enter numeric quote",IF(H467=F467,IF(ISNUMBER(P467),"Complete unit","Price required"),"Partial package: price required"))))</x:f>
        <x:v>Complete unit</x:v>
      </x:c>
      <x:c r="U467" s="2" t="str">
        <x:v>TEN-0A41DF50FB75; TEN-102EF275BFD6; TEN-13D5183E2424; TEN-1781916B2378; TEN-3EDE65EA0CF4; TEN-45562E981863; TEN-4D748EBD71AF; TEN-5C5CC4165124; TEN-5C7E939E5259; TEN-5FA790F3630F; TEN-605FBFDF4C2C; TEN-866EA055BD61; TEN-956E5A41DB14; TEN-9FE6746863D6; TEN-A5721E1BABB7; TEN-A7905EBB5DD3; TEN-A932AA2FF310; TEN-B043864B7FFB; TEN-C42E337B9F49; TEN-CCF988B40B7F; TEN-CFB36C1F4640; TEN-EAE5AC232E0F; TEN-EDE803F3F786; TEN-EFC60595AA04; TEN-FCE68113EA76</x:v>
      </x:c>
      <x:c r="V467" s="2" t="str">
        <x:v>IT &amp; digital; Professional services; Engineering &amp; manufacturing; Unresolved</x:v>
      </x:c>
      <x:c r="W467" s="2" t="str">
        <x:v>Small-scale prospects; Medium-scale prospects; Large enterprise; Mixed business audience</x:v>
      </x:c>
      <x:c r="X467" s="17" t="n">
        <x:f>IF(AND(H467=F467,NOT(ISNUMBER(N467)),N467="",ISNUMBER(K467)),K467,0)</x:f>
        <x:v>0</x:v>
      </x:c>
      <x:c r="Y467" s="17" t="n">
        <x:f>IF(AND(H467=F467,NOT(ISNUMBER(N467)),N467="",K467="",ISNUMBER(O467)),O467,0)</x:f>
        <x:v>320000</x:v>
      </x:c>
      <x:c r="Z467" s="17" t="n">
        <x:f>IF(AND(H467&gt;0,ISNUMBER(N467)),N467,0)</x:f>
        <x:v>0</x:v>
      </x:c>
      <x:c r="AA467" s="2" t="n">
        <x:f>IF(AND(H467&gt;0,N467="",NOT(ISNUMBER(Q467))),1,0)</x:f>
        <x:v>0</x:v>
      </x:c>
      <x:c r="AB467" s="2" t="n">
        <x:f>IF(AND(H467&gt;0,N467&lt;&gt;"",NOT(ISNUMBER(N467))),1,0)</x:f>
        <x:v>0</x:v>
      </x:c>
    </x:row>
    <x:row r="468" ht="48" customHeight="1">
      <x:c r="A468" s="2" t="str">
        <x:v>PARTNER-M241</x:v>
      </x:c>
      <x:c r="B468" s="2" t="str">
        <x:v>Partner</x:v>
      </x:c>
      <x:c r="C468" s="2" t="str">
        <x:v>Mumbai</x:v>
      </x:c>
      <x:c r="D468" s="12" t="str">
        <x:v>Dynasty Business Park</x:v>
      </x:c>
      <x:c r="E468" s="12" t="str">
        <x:v>55 inch</x:v>
      </x:c>
      <x:c r="F468" s="2" t="n">
        <x:v>2</x:v>
      </x:c>
      <x:c r="G468" s="2" t="n">
        <x:v>2</x:v>
      </x:c>
      <x:c r="H468" s="2" t="n">
        <x:f>COUNTIFS('Inventory'!$N$7:$N$783,A468,'Inventory'!$A$7:$A$783,1)</x:f>
        <x:v>2</x:v>
      </x:c>
      <x:c r="I468" s="2" t="n">
        <x:f>SUMIFS('Inventory'!$G$7:$G$783,'Inventory'!$N$7:$N$783,A468,'Inventory'!$A$7:$A$783,1)</x:f>
        <x:v>2</x:v>
      </x:c>
      <x:c r="J468" s="12" t="str">
        <x:v>Campaign format rate</x:v>
      </x:c>
      <x:c r="K468" s="17"/>
      <x:c r="L468" s="17" t="n">
        <x:f>$I$5</x:f>
        <x:v>40000</x:v>
      </x:c>
      <x:c r="M468" s="17"/>
      <x:c r="N468" s="19"/>
      <x:c r="O468" s="17" t="n">
        <x:f>IF(ISNUMBER(L468),G468*L468,IF(ISNUMBER(M468),M468,""))</x:f>
        <x:v>80000</x:v>
      </x:c>
      <x:c r="P468" s="17" t="n">
        <x:f>IF(ISNUMBER(K468),K468,IF(ISNUMBER(O468),O468,""))</x:f>
        <x:v>80000</x:v>
      </x:c>
      <x:c r="Q468" s="17" t="n">
        <x:f>IF(H468=0,0,IF(ISNUMBER(N468),N468,IF(N468="",IF(H468=F468,P468,""),"")))</x:f>
        <x:v>80000</x:v>
      </x:c>
      <x:c r="R468" s="17" t="n">
        <x:f>IF(ISNUMBER(Q468),ROUND(Q468*$C$4,2),"")</x:f>
        <x:v>14400</x:v>
      </x:c>
      <x:c r="S468" s="17" t="n">
        <x:f>IF(ISNUMBER(Q468),Q468+R468,"")</x:f>
        <x:v>94400</x:v>
      </x:c>
      <x:c r="T468" s="2" t="str">
        <x:f>IF(H468=0,"Not selected",IF(ISNUMBER(N468),"Quote entered",IF(N468&lt;&gt;"","Enter numeric quote",IF(H468=F468,IF(ISNUMBER(P468),"Complete unit","Price required"),"Partial package: price required"))))</x:f>
        <x:v>Complete unit</x:v>
      </x:c>
      <x:c r="U468" s="2" t="str">
        <x:v>TEN-02A1EF31999B; TEN-03071EB4D70B; TEN-119294CA37A5; TEN-11A73E8A1661; TEN-182A654853D9; TEN-1843C84A4318; TEN-27D7FC7285CF; TEN-354BBA9D3C26; TEN-4352939E2375; TEN-48C0B7EF7437; TEN-59AD12AAE07D; TEN-5C8734A6943D; TEN-5EB562386662; TEN-6B6EC1888B41; TEN-80C6959D554D; TEN-845E172C9D1B; TEN-84AFE067D260; TEN-912168D0ACEE; TEN-98A5564F2BD1; TEN-9B946333183D; TEN-ABF9235DCBEF; TEN-BE81391BCE95; TEN-D0B6359CA261; TEN-D3A6CAE33147; TEN-D5F7A8ABBC60; TEN-E2020BBC5880; TEN-E7BD224184BE; TEN-F29BF3D48178; TEN-FA8F7E61C064</x:v>
      </x:c>
      <x:c r="V468" s="2" t="str">
        <x:v>IT &amp; digital; Finance &amp; insurance; Engineering &amp; manufacturing; Trade, consumer &amp; logistics; Workspace &amp; property operations; Unresolved</x:v>
      </x:c>
      <x:c r="W468" s="2" t="str">
        <x:v>Small-scale prospects; Medium-scale prospects; Mixed business audience</x:v>
      </x:c>
      <x:c r="X468" s="17" t="n">
        <x:f>IF(AND(H468=F468,NOT(ISNUMBER(N468)),N468="",ISNUMBER(K468)),K468,0)</x:f>
        <x:v>0</x:v>
      </x:c>
      <x:c r="Y468" s="17" t="n">
        <x:f>IF(AND(H468=F468,NOT(ISNUMBER(N468)),N468="",K468="",ISNUMBER(O468)),O468,0)</x:f>
        <x:v>80000</x:v>
      </x:c>
      <x:c r="Z468" s="17" t="n">
        <x:f>IF(AND(H468&gt;0,ISNUMBER(N468)),N468,0)</x:f>
        <x:v>0</x:v>
      </x:c>
      <x:c r="AA468" s="2" t="n">
        <x:f>IF(AND(H468&gt;0,N468="",NOT(ISNUMBER(Q468))),1,0)</x:f>
        <x:v>0</x:v>
      </x:c>
      <x:c r="AB468" s="2" t="n">
        <x:f>IF(AND(H468&gt;0,N468&lt;&gt;"",NOT(ISNUMBER(N468))),1,0)</x:f>
        <x:v>0</x:v>
      </x:c>
    </x:row>
    <x:row r="469" ht="48" customHeight="1">
      <x:c r="A469" s="2" t="str">
        <x:v>PARTNER-M193</x:v>
      </x:c>
      <x:c r="B469" s="2" t="str">
        <x:v>Partner</x:v>
      </x:c>
      <x:c r="C469" s="2" t="str">
        <x:v>Mumbai</x:v>
      </x:c>
      <x:c r="D469" s="12" t="str">
        <x:v>Empire Tower</x:v>
      </x:c>
      <x:c r="E469" s="12" t="str">
        <x:v>55 inch</x:v>
      </x:c>
      <x:c r="F469" s="2" t="n">
        <x:v>4</x:v>
      </x:c>
      <x:c r="G469" s="2" t="n">
        <x:v>4</x:v>
      </x:c>
      <x:c r="H469" s="2" t="n">
        <x:f>COUNTIFS('Inventory'!$N$7:$N$783,A469,'Inventory'!$A$7:$A$783,1)</x:f>
        <x:v>4</x:v>
      </x:c>
      <x:c r="I469" s="2" t="n">
        <x:f>SUMIFS('Inventory'!$G$7:$G$783,'Inventory'!$N$7:$N$783,A469,'Inventory'!$A$7:$A$783,1)</x:f>
        <x:v>4</x:v>
      </x:c>
      <x:c r="J469" s="12" t="str">
        <x:v>Campaign format rate</x:v>
      </x:c>
      <x:c r="K469" s="17"/>
      <x:c r="L469" s="17" t="n">
        <x:f>$I$5</x:f>
        <x:v>40000</x:v>
      </x:c>
      <x:c r="M469" s="17"/>
      <x:c r="N469" s="19"/>
      <x:c r="O469" s="17" t="n">
        <x:f>IF(ISNUMBER(L469),G469*L469,IF(ISNUMBER(M469),M469,""))</x:f>
        <x:v>160000</x:v>
      </x:c>
      <x:c r="P469" s="17" t="n">
        <x:f>IF(ISNUMBER(K469),K469,IF(ISNUMBER(O469),O469,""))</x:f>
        <x:v>160000</x:v>
      </x:c>
      <x:c r="Q469" s="17" t="n">
        <x:f>IF(H469=0,0,IF(ISNUMBER(N469),N469,IF(N469="",IF(H469=F469,P469,""),"")))</x:f>
        <x:v>160000</x:v>
      </x:c>
      <x:c r="R469" s="17" t="n">
        <x:f>IF(ISNUMBER(Q469),ROUND(Q469*$C$4,2),"")</x:f>
        <x:v>28800</x:v>
      </x:c>
      <x:c r="S469" s="17" t="n">
        <x:f>IF(ISNUMBER(Q469),Q469+R469,"")</x:f>
        <x:v>188800</x:v>
      </x:c>
      <x:c r="T469" s="2" t="str">
        <x:f>IF(H469=0,"Not selected",IF(ISNUMBER(N469),"Quote entered",IF(N469&lt;&gt;"","Enter numeric quote",IF(H469=F469,IF(ISNUMBER(P469),"Complete unit","Price required"),"Partial package: price required"))))</x:f>
        <x:v>Complete unit</x:v>
      </x:c>
      <x:c r="U469" s="2" t="str">
        <x:v>TEN-00B26C576287; TEN-18D91AC992E3; TEN-287C67E28C61; TEN-43C65EC0AB55; TEN-529DBF20A42C; TEN-954EFE4DFA16; TEN-A3B1D465525D; TEN-C505819DE3AF; TEN-CA3E3381A8E6; TEN-D6046E32A027; TEN-D72EAD2E3D44; TEN-EF8161E9BFF2; TEN-FC53D3F16D7A</x:v>
      </x:c>
      <x:c r="V469" s="2" t="str">
        <x:v>IT &amp; digital; Professional services; Engineering &amp; manufacturing; Healthcare &amp; life sciences; Trade, consumer &amp; logistics; Workspace &amp; property operations; Unresolved</x:v>
      </x:c>
      <x:c r="W469" s="2" t="str">
        <x:v>Small-scale prospects; Medium-scale prospects; Large enterprise; Mixed business audience</x:v>
      </x:c>
      <x:c r="X469" s="17" t="n">
        <x:f>IF(AND(H469=F469,NOT(ISNUMBER(N469)),N469="",ISNUMBER(K469)),K469,0)</x:f>
        <x:v>0</x:v>
      </x:c>
      <x:c r="Y469" s="17" t="n">
        <x:f>IF(AND(H469=F469,NOT(ISNUMBER(N469)),N469="",K469="",ISNUMBER(O469)),O469,0)</x:f>
        <x:v>160000</x:v>
      </x:c>
      <x:c r="Z469" s="17" t="n">
        <x:f>IF(AND(H469&gt;0,ISNUMBER(N469)),N469,0)</x:f>
        <x:v>0</x:v>
      </x:c>
      <x:c r="AA469" s="2" t="n">
        <x:f>IF(AND(H469&gt;0,N469="",NOT(ISNUMBER(Q469))),1,0)</x:f>
        <x:v>0</x:v>
      </x:c>
      <x:c r="AB469" s="2" t="n">
        <x:f>IF(AND(H469&gt;0,N469&lt;&gt;"",NOT(ISNUMBER(N469))),1,0)</x:f>
        <x:v>0</x:v>
      </x:c>
    </x:row>
    <x:row r="470" ht="48" customHeight="1">
      <x:c r="A470" s="2" t="str">
        <x:v>PARTNER-M185</x:v>
      </x:c>
      <x:c r="B470" s="2" t="str">
        <x:v>Partner</x:v>
      </x:c>
      <x:c r="C470" s="2" t="str">
        <x:v>Mumbai</x:v>
      </x:c>
      <x:c r="D470" s="12" t="str">
        <x:v>G Corp Tech Park</x:v>
      </x:c>
      <x:c r="E470" s="12" t="str">
        <x:v>55 inch</x:v>
      </x:c>
      <x:c r="F470" s="2" t="n">
        <x:v>3</x:v>
      </x:c>
      <x:c r="G470" s="2" t="n">
        <x:v>3</x:v>
      </x:c>
      <x:c r="H470" s="2" t="n">
        <x:f>COUNTIFS('Inventory'!$N$7:$N$783,A470,'Inventory'!$A$7:$A$783,1)</x:f>
        <x:v>3</x:v>
      </x:c>
      <x:c r="I470" s="2" t="n">
        <x:f>SUMIFS('Inventory'!$G$7:$G$783,'Inventory'!$N$7:$N$783,A470,'Inventory'!$A$7:$A$783,1)</x:f>
        <x:v>3</x:v>
      </x:c>
      <x:c r="J470" s="12" t="str">
        <x:v>Campaign format rate</x:v>
      </x:c>
      <x:c r="K470" s="17"/>
      <x:c r="L470" s="17" t="n">
        <x:f>$I$5</x:f>
        <x:v>40000</x:v>
      </x:c>
      <x:c r="M470" s="17"/>
      <x:c r="N470" s="19"/>
      <x:c r="O470" s="17" t="n">
        <x:f>IF(ISNUMBER(L470),G470*L470,IF(ISNUMBER(M470),M470,""))</x:f>
        <x:v>120000</x:v>
      </x:c>
      <x:c r="P470" s="17" t="n">
        <x:f>IF(ISNUMBER(K470),K470,IF(ISNUMBER(O470),O470,""))</x:f>
        <x:v>120000</x:v>
      </x:c>
      <x:c r="Q470" s="17" t="n">
        <x:f>IF(H470=0,0,IF(ISNUMBER(N470),N470,IF(N470="",IF(H470=F470,P470,""),"")))</x:f>
        <x:v>120000</x:v>
      </x:c>
      <x:c r="R470" s="17" t="n">
        <x:f>IF(ISNUMBER(Q470),ROUND(Q470*$C$4,2),"")</x:f>
        <x:v>21600</x:v>
      </x:c>
      <x:c r="S470" s="17" t="n">
        <x:f>IF(ISNUMBER(Q470),Q470+R470,"")</x:f>
        <x:v>141600</x:v>
      </x:c>
      <x:c r="T470" s="2" t="str">
        <x:f>IF(H470=0,"Not selected",IF(ISNUMBER(N470),"Quote entered",IF(N470&lt;&gt;"","Enter numeric quote",IF(H470=F470,IF(ISNUMBER(P470),"Complete unit","Price required"),"Partial package: price required"))))</x:f>
        <x:v>Complete unit</x:v>
      </x:c>
      <x:c r="U470" s="2" t="str">
        <x:v>TEN-778D09F77BD0; TEN-799B0C7CF86C; TEN-812F14050534; TEN-8FCBA0633921; TEN-A107DE23AABA; TEN-A4FA06EB9338; TEN-BA6AE2780CD4; TEN-E4737DBE1BA9; TEN-EED420C0D2C1</x:v>
      </x:c>
      <x:c r="V470" s="2" t="str">
        <x:v>IT &amp; digital; Professional services; Finance &amp; insurance; Healthcare &amp; life sciences</x:v>
      </x:c>
      <x:c r="W470" s="2" t="str">
        <x:v>Small-scale prospects; Large enterprise; Mixed business audience</x:v>
      </x:c>
      <x:c r="X470" s="17" t="n">
        <x:f>IF(AND(H470=F470,NOT(ISNUMBER(N470)),N470="",ISNUMBER(K470)),K470,0)</x:f>
        <x:v>0</x:v>
      </x:c>
      <x:c r="Y470" s="17" t="n">
        <x:f>IF(AND(H470=F470,NOT(ISNUMBER(N470)),N470="",K470="",ISNUMBER(O470)),O470,0)</x:f>
        <x:v>120000</x:v>
      </x:c>
      <x:c r="Z470" s="17" t="n">
        <x:f>IF(AND(H470&gt;0,ISNUMBER(N470)),N470,0)</x:f>
        <x:v>0</x:v>
      </x:c>
      <x:c r="AA470" s="2" t="n">
        <x:f>IF(AND(H470&gt;0,N470="",NOT(ISNUMBER(Q470))),1,0)</x:f>
        <x:v>0</x:v>
      </x:c>
      <x:c r="AB470" s="2" t="n">
        <x:f>IF(AND(H470&gt;0,N470&lt;&gt;"",NOT(ISNUMBER(N470))),1,0)</x:f>
        <x:v>0</x:v>
      </x:c>
    </x:row>
    <x:row r="471" ht="48" customHeight="1">
      <x:c r="A471" s="2" t="str">
        <x:v>PARTNER-M235</x:v>
      </x:c>
      <x:c r="B471" s="2" t="str">
        <x:v>Partner</x:v>
      </x:c>
      <x:c r="C471" s="2" t="str">
        <x:v>Mumbai</x:v>
      </x:c>
      <x:c r="D471" s="12" t="str">
        <x:v>Kanakia 215 Atrium</x:v>
      </x:c>
      <x:c r="E471" s="12" t="str">
        <x:v>55 inch</x:v>
      </x:c>
      <x:c r="F471" s="2" t="n">
        <x:v>4</x:v>
      </x:c>
      <x:c r="G471" s="2" t="n">
        <x:v>4</x:v>
      </x:c>
      <x:c r="H471" s="2" t="n">
        <x:f>COUNTIFS('Inventory'!$N$7:$N$783,A471,'Inventory'!$A$7:$A$783,1)</x:f>
        <x:v>4</x:v>
      </x:c>
      <x:c r="I471" s="2" t="n">
        <x:f>SUMIFS('Inventory'!$G$7:$G$783,'Inventory'!$N$7:$N$783,A471,'Inventory'!$A$7:$A$783,1)</x:f>
        <x:v>4</x:v>
      </x:c>
      <x:c r="J471" s="12" t="str">
        <x:v>Campaign format rate</x:v>
      </x:c>
      <x:c r="K471" s="17"/>
      <x:c r="L471" s="17" t="n">
        <x:f>$I$5</x:f>
        <x:v>40000</x:v>
      </x:c>
      <x:c r="M471" s="17"/>
      <x:c r="N471" s="19"/>
      <x:c r="O471" s="17" t="n">
        <x:f>IF(ISNUMBER(L471),G471*L471,IF(ISNUMBER(M471),M471,""))</x:f>
        <x:v>160000</x:v>
      </x:c>
      <x:c r="P471" s="17" t="n">
        <x:f>IF(ISNUMBER(K471),K471,IF(ISNUMBER(O471),O471,""))</x:f>
        <x:v>160000</x:v>
      </x:c>
      <x:c r="Q471" s="17" t="n">
        <x:f>IF(H471=0,0,IF(ISNUMBER(N471),N471,IF(N471="",IF(H471=F471,P471,""),"")))</x:f>
        <x:v>160000</x:v>
      </x:c>
      <x:c r="R471" s="17" t="n">
        <x:f>IF(ISNUMBER(Q471),ROUND(Q471*$C$4,2),"")</x:f>
        <x:v>28800</x:v>
      </x:c>
      <x:c r="S471" s="17" t="n">
        <x:f>IF(ISNUMBER(Q471),Q471+R471,"")</x:f>
        <x:v>188800</x:v>
      </x:c>
      <x:c r="T471" s="2" t="str">
        <x:f>IF(H471=0,"Not selected",IF(ISNUMBER(N471),"Quote entered",IF(N471&lt;&gt;"","Enter numeric quote",IF(H471=F471,IF(ISNUMBER(P471),"Complete unit","Price required"),"Partial package: price required"))))</x:f>
        <x:v>Complete unit</x:v>
      </x:c>
      <x:c r="U471" s="2" t="str">
        <x:v>TEN-2DF4390BE20B; TEN-57FA1C55CCF8; TEN-584343DF6352; TEN-5CAEBC2A73C0; TEN-629323F9C9BA; TEN-73D4224ED59C; TEN-9F6FEAE43949; TEN-A9A905D2D15D; TEN-ABA4CECB91B9; TEN-C15D33DD1E40; TEN-DB7C8ADDD504; TEN-DFC9AF331452; TEN-E357B05EB429</x:v>
      </x:c>
      <x:c r="V471" s="2" t="str">
        <x:v>Professional services; Finance &amp; insurance; Engineering &amp; manufacturing; Healthcare &amp; life sciences; Trade, consumer &amp; logistics; Government &amp; nonprofit; Unresolved</x:v>
      </x:c>
      <x:c r="W471" s="2" t="str">
        <x:v>Small-scale prospects; Medium-scale prospects; Institutional; Mixed business audience</x:v>
      </x:c>
      <x:c r="X471" s="17" t="n">
        <x:f>IF(AND(H471=F471,NOT(ISNUMBER(N471)),N471="",ISNUMBER(K471)),K471,0)</x:f>
        <x:v>0</x:v>
      </x:c>
      <x:c r="Y471" s="17" t="n">
        <x:f>IF(AND(H471=F471,NOT(ISNUMBER(N471)),N471="",K471="",ISNUMBER(O471)),O471,0)</x:f>
        <x:v>160000</x:v>
      </x:c>
      <x:c r="Z471" s="17" t="n">
        <x:f>IF(AND(H471&gt;0,ISNUMBER(N471)),N471,0)</x:f>
        <x:v>0</x:v>
      </x:c>
      <x:c r="AA471" s="2" t="n">
        <x:f>IF(AND(H471&gt;0,N471="",NOT(ISNUMBER(Q471))),1,0)</x:f>
        <x:v>0</x:v>
      </x:c>
      <x:c r="AB471" s="2" t="n">
        <x:f>IF(AND(H471&gt;0,N471&lt;&gt;"",NOT(ISNUMBER(N471))),1,0)</x:f>
        <x:v>0</x:v>
      </x:c>
    </x:row>
    <x:row r="472" ht="48" customHeight="1">
      <x:c r="A472" s="2" t="str">
        <x:v>PARTNER-M239</x:v>
      </x:c>
      <x:c r="B472" s="2" t="str">
        <x:v>Partner</x:v>
      </x:c>
      <x:c r="C472" s="2" t="str">
        <x:v>Mumbai</x:v>
      </x:c>
      <x:c r="D472" s="12" t="str">
        <x:v>Kanakia Atrium 2</x:v>
      </x:c>
      <x:c r="E472" s="12" t="str">
        <x:v>55 inch</x:v>
      </x:c>
      <x:c r="F472" s="2" t="n">
        <x:v>2</x:v>
      </x:c>
      <x:c r="G472" s="2" t="n">
        <x:v>2</x:v>
      </x:c>
      <x:c r="H472" s="2" t="n">
        <x:f>COUNTIFS('Inventory'!$N$7:$N$783,A472,'Inventory'!$A$7:$A$783,1)</x:f>
        <x:v>2</x:v>
      </x:c>
      <x:c r="I472" s="2" t="n">
        <x:f>SUMIFS('Inventory'!$G$7:$G$783,'Inventory'!$N$7:$N$783,A472,'Inventory'!$A$7:$A$783,1)</x:f>
        <x:v>2</x:v>
      </x:c>
      <x:c r="J472" s="12" t="str">
        <x:v>Campaign format rate</x:v>
      </x:c>
      <x:c r="K472" s="17"/>
      <x:c r="L472" s="17" t="n">
        <x:f>$I$5</x:f>
        <x:v>40000</x:v>
      </x:c>
      <x:c r="M472" s="17"/>
      <x:c r="N472" s="19"/>
      <x:c r="O472" s="17" t="n">
        <x:f>IF(ISNUMBER(L472),G472*L472,IF(ISNUMBER(M472),M472,""))</x:f>
        <x:v>80000</x:v>
      </x:c>
      <x:c r="P472" s="17" t="n">
        <x:f>IF(ISNUMBER(K472),K472,IF(ISNUMBER(O472),O472,""))</x:f>
        <x:v>80000</x:v>
      </x:c>
      <x:c r="Q472" s="17" t="n">
        <x:f>IF(H472=0,0,IF(ISNUMBER(N472),N472,IF(N472="",IF(H472=F472,P472,""),"")))</x:f>
        <x:v>80000</x:v>
      </x:c>
      <x:c r="R472" s="17" t="n">
        <x:f>IF(ISNUMBER(Q472),ROUND(Q472*$C$4,2),"")</x:f>
        <x:v>14400</x:v>
      </x:c>
      <x:c r="S472" s="17" t="n">
        <x:f>IF(ISNUMBER(Q472),Q472+R472,"")</x:f>
        <x:v>94400</x:v>
      </x:c>
      <x:c r="T472" s="2" t="str">
        <x:f>IF(H472=0,"Not selected",IF(ISNUMBER(N472),"Quote entered",IF(N472&lt;&gt;"","Enter numeric quote",IF(H472=F472,IF(ISNUMBER(P472),"Complete unit","Price required"),"Partial package: price required"))))</x:f>
        <x:v>Complete unit</x:v>
      </x:c>
      <x:c r="U472" s="2" t="str">
        <x:v>TEN-371295751A36; TEN-39E8C5B4595F; TEN-5F3C456982BE; TEN-7FB744292917; TEN-9A7C16D3F193; TEN-D3004A4276FF; TEN-E644ABB7D829</x:v>
      </x:c>
      <x:c r="V472" s="2" t="str">
        <x:v>Professional services; Engineering &amp; manufacturing; Healthcare &amp; life sciences; Trade, consumer &amp; logistics; Unresolved</x:v>
      </x:c>
      <x:c r="W472" s="2" t="str">
        <x:v>Small-scale prospects; Medium-scale prospects; Mixed business audience</x:v>
      </x:c>
      <x:c r="X472" s="17" t="n">
        <x:f>IF(AND(H472=F472,NOT(ISNUMBER(N472)),N472="",ISNUMBER(K472)),K472,0)</x:f>
        <x:v>0</x:v>
      </x:c>
      <x:c r="Y472" s="17" t="n">
        <x:f>IF(AND(H472=F472,NOT(ISNUMBER(N472)),N472="",K472="",ISNUMBER(O472)),O472,0)</x:f>
        <x:v>80000</x:v>
      </x:c>
      <x:c r="Z472" s="17" t="n">
        <x:f>IF(AND(H472&gt;0,ISNUMBER(N472)),N472,0)</x:f>
        <x:v>0</x:v>
      </x:c>
      <x:c r="AA472" s="2" t="n">
        <x:f>IF(AND(H472&gt;0,N472="",NOT(ISNUMBER(Q472))),1,0)</x:f>
        <x:v>0</x:v>
      </x:c>
      <x:c r="AB472" s="2" t="n">
        <x:f>IF(AND(H472&gt;0,N472&lt;&gt;"",NOT(ISNUMBER(N472))),1,0)</x:f>
        <x:v>0</x:v>
      </x:c>
    </x:row>
    <x:row r="473" ht="48" customHeight="1">
      <x:c r="A473" s="2" t="str">
        <x:v>PARTNER-M179</x:v>
      </x:c>
      <x:c r="B473" s="2" t="str">
        <x:v>Partner</x:v>
      </x:c>
      <x:c r="C473" s="2" t="str">
        <x:v>Mumbai</x:v>
      </x:c>
      <x:c r="D473" s="12" t="str">
        <x:v>Kanakia Boomerang</x:v>
      </x:c>
      <x:c r="E473" s="12" t="str">
        <x:v>55 inch</x:v>
      </x:c>
      <x:c r="F473" s="2" t="n">
        <x:v>6</x:v>
      </x:c>
      <x:c r="G473" s="2" t="n">
        <x:v>6</x:v>
      </x:c>
      <x:c r="H473" s="2" t="n">
        <x:f>COUNTIFS('Inventory'!$N$7:$N$783,A473,'Inventory'!$A$7:$A$783,1)</x:f>
        <x:v>6</x:v>
      </x:c>
      <x:c r="I473" s="2" t="n">
        <x:f>SUMIFS('Inventory'!$G$7:$G$783,'Inventory'!$N$7:$N$783,A473,'Inventory'!$A$7:$A$783,1)</x:f>
        <x:v>6</x:v>
      </x:c>
      <x:c r="J473" s="12" t="str">
        <x:v>Campaign format rate</x:v>
      </x:c>
      <x:c r="K473" s="17"/>
      <x:c r="L473" s="17" t="n">
        <x:f>$I$5</x:f>
        <x:v>40000</x:v>
      </x:c>
      <x:c r="M473" s="17"/>
      <x:c r="N473" s="19"/>
      <x:c r="O473" s="17" t="n">
        <x:f>IF(ISNUMBER(L473),G473*L473,IF(ISNUMBER(M473),M473,""))</x:f>
        <x:v>240000</x:v>
      </x:c>
      <x:c r="P473" s="17" t="n">
        <x:f>IF(ISNUMBER(K473),K473,IF(ISNUMBER(O473),O473,""))</x:f>
        <x:v>240000</x:v>
      </x:c>
      <x:c r="Q473" s="17" t="n">
        <x:f>IF(H473=0,0,IF(ISNUMBER(N473),N473,IF(N473="",IF(H473=F473,P473,""),"")))</x:f>
        <x:v>240000</x:v>
      </x:c>
      <x:c r="R473" s="17" t="n">
        <x:f>IF(ISNUMBER(Q473),ROUND(Q473*$C$4,2),"")</x:f>
        <x:v>43200</x:v>
      </x:c>
      <x:c r="S473" s="17" t="n">
        <x:f>IF(ISNUMBER(Q473),Q473+R473,"")</x:f>
        <x:v>283200</x:v>
      </x:c>
      <x:c r="T473" s="2" t="str">
        <x:f>IF(H473=0,"Not selected",IF(ISNUMBER(N473),"Quote entered",IF(N473&lt;&gt;"","Enter numeric quote",IF(H473=F473,IF(ISNUMBER(P473),"Complete unit","Price required"),"Partial package: price required"))))</x:f>
        <x:v>Complete unit</x:v>
      </x:c>
      <x:c r="U473" s="2" t="str">
        <x:v>TEN-10C5B5430B91; TEN-12562C5D297E; TEN-1F792F557E35; TEN-204F804BC276; TEN-272D2169C38E; TEN-2BE4993D4FEC; TEN-5045ABCEFDBB; TEN-5CF27221D70B; TEN-61512E0643A9; TEN-621D5603203C; TEN-6F8D802453D7; TEN-7DBA31647FAA; TEN-DB041B39B6B0; TEN-EA2E8D5F5E0F; TEN-EC31F8A49FA4; TEN-F8D593D0B92D</x:v>
      </x:c>
      <x:c r="V473" s="2" t="str">
        <x:v>IT &amp; digital; Engineering &amp; manufacturing; Trade, consumer &amp; logistics; Government &amp; nonprofit; Unresolved</x:v>
      </x:c>
      <x:c r="W473" s="2" t="str">
        <x:v>Small-scale prospects; Medium-scale prospects; Institutional; Mixed business audience</x:v>
      </x:c>
      <x:c r="X473" s="17" t="n">
        <x:f>IF(AND(H473=F473,NOT(ISNUMBER(N473)),N473="",ISNUMBER(K473)),K473,0)</x:f>
        <x:v>0</x:v>
      </x:c>
      <x:c r="Y473" s="17" t="n">
        <x:f>IF(AND(H473=F473,NOT(ISNUMBER(N473)),N473="",K473="",ISNUMBER(O473)),O473,0)</x:f>
        <x:v>240000</x:v>
      </x:c>
      <x:c r="Z473" s="17" t="n">
        <x:f>IF(AND(H473&gt;0,ISNUMBER(N473)),N473,0)</x:f>
        <x:v>0</x:v>
      </x:c>
      <x:c r="AA473" s="2" t="n">
        <x:f>IF(AND(H473&gt;0,N473="",NOT(ISNUMBER(Q473))),1,0)</x:f>
        <x:v>0</x:v>
      </x:c>
      <x:c r="AB473" s="2" t="n">
        <x:f>IF(AND(H473&gt;0,N473&lt;&gt;"",NOT(ISNUMBER(N473))),1,0)</x:f>
        <x:v>0</x:v>
      </x:c>
    </x:row>
    <x:row r="474" ht="48" customHeight="1">
      <x:c r="A474" s="2" t="str">
        <x:v>PARTNER-M243</x:v>
      </x:c>
      <x:c r="B474" s="2" t="str">
        <x:v>Partner</x:v>
      </x:c>
      <x:c r="C474" s="2" t="str">
        <x:v>Mumbai</x:v>
      </x:c>
      <x:c r="D474" s="12" t="str">
        <x:v>Kohinoor City</x:v>
      </x:c>
      <x:c r="E474" s="12" t="str">
        <x:v>55 inch</x:v>
      </x:c>
      <x:c r="F474" s="2" t="n">
        <x:v>2</x:v>
      </x:c>
      <x:c r="G474" s="2" t="n">
        <x:v>2</x:v>
      </x:c>
      <x:c r="H474" s="2" t="n">
        <x:f>COUNTIFS('Inventory'!$N$7:$N$783,A474,'Inventory'!$A$7:$A$783,1)</x:f>
        <x:v>2</x:v>
      </x:c>
      <x:c r="I474" s="2" t="n">
        <x:f>SUMIFS('Inventory'!$G$7:$G$783,'Inventory'!$N$7:$N$783,A474,'Inventory'!$A$7:$A$783,1)</x:f>
        <x:v>2</x:v>
      </x:c>
      <x:c r="J474" s="12" t="str">
        <x:v>Campaign format rate</x:v>
      </x:c>
      <x:c r="K474" s="17"/>
      <x:c r="L474" s="17" t="n">
        <x:f>$I$5</x:f>
        <x:v>40000</x:v>
      </x:c>
      <x:c r="M474" s="17"/>
      <x:c r="N474" s="19"/>
      <x:c r="O474" s="17" t="n">
        <x:f>IF(ISNUMBER(L474),G474*L474,IF(ISNUMBER(M474),M474,""))</x:f>
        <x:v>80000</x:v>
      </x:c>
      <x:c r="P474" s="17" t="n">
        <x:f>IF(ISNUMBER(K474),K474,IF(ISNUMBER(O474),O474,""))</x:f>
        <x:v>80000</x:v>
      </x:c>
      <x:c r="Q474" s="17" t="n">
        <x:f>IF(H474=0,0,IF(ISNUMBER(N474),N474,IF(N474="",IF(H474=F474,P474,""),"")))</x:f>
        <x:v>80000</x:v>
      </x:c>
      <x:c r="R474" s="17" t="n">
        <x:f>IF(ISNUMBER(Q474),ROUND(Q474*$C$4,2),"")</x:f>
        <x:v>14400</x:v>
      </x:c>
      <x:c r="S474" s="17" t="n">
        <x:f>IF(ISNUMBER(Q474),Q474+R474,"")</x:f>
        <x:v>94400</x:v>
      </x:c>
      <x:c r="T474" s="2" t="str">
        <x:f>IF(H474=0,"Not selected",IF(ISNUMBER(N474),"Quote entered",IF(N474&lt;&gt;"","Enter numeric quote",IF(H474=F474,IF(ISNUMBER(P474),"Complete unit","Price required"),"Partial package: price required"))))</x:f>
        <x:v>Complete unit</x:v>
      </x:c>
      <x:c r="U474" s="2" t="str">
        <x:v>TEN-2ACB1A36E6C1; TEN-43712282FE68; TEN-46B4959BDEE0; TEN-47FF8E27F353; TEN-8473394D087E; TEN-AE772C20AADD; TEN-B0BB02FFCE1D; TEN-D3EFC991FD82; TEN-D6ED1EEBDEED; TEN-F12B2AE1B965</x:v>
      </x:c>
      <x:c r="V474" s="2" t="str">
        <x:v>IT &amp; digital; Professional services; Education; Trade, consumer &amp; logistics; Government &amp; nonprofit</x:v>
      </x:c>
      <x:c r="W474" s="2" t="str">
        <x:v>Micro-scale prospects; Small-scale prospects; Medium-scale prospects; Institutional; Mixed business audience</x:v>
      </x:c>
      <x:c r="X474" s="17" t="n">
        <x:f>IF(AND(H474=F474,NOT(ISNUMBER(N474)),N474="",ISNUMBER(K474)),K474,0)</x:f>
        <x:v>0</x:v>
      </x:c>
      <x:c r="Y474" s="17" t="n">
        <x:f>IF(AND(H474=F474,NOT(ISNUMBER(N474)),N474="",K474="",ISNUMBER(O474)),O474,0)</x:f>
        <x:v>80000</x:v>
      </x:c>
      <x:c r="Z474" s="17" t="n">
        <x:f>IF(AND(H474&gt;0,ISNUMBER(N474)),N474,0)</x:f>
        <x:v>0</x:v>
      </x:c>
      <x:c r="AA474" s="2" t="n">
        <x:f>IF(AND(H474&gt;0,N474="",NOT(ISNUMBER(Q474))),1,0)</x:f>
        <x:v>0</x:v>
      </x:c>
      <x:c r="AB474" s="2" t="n">
        <x:f>IF(AND(H474&gt;0,N474&lt;&gt;"",NOT(ISNUMBER(N474))),1,0)</x:f>
        <x:v>0</x:v>
      </x:c>
    </x:row>
    <x:row r="475" ht="48" customHeight="1">
      <x:c r="A475" s="2" t="str">
        <x:v>PARTNER-M201</x:v>
      </x:c>
      <x:c r="B475" s="2" t="str">
        <x:v>Partner</x:v>
      </x:c>
      <x:c r="C475" s="2" t="str">
        <x:v>Mumbai</x:v>
      </x:c>
      <x:c r="D475" s="12" t="str">
        <x:v>Liberty tower</x:v>
      </x:c>
      <x:c r="E475" s="12" t="str">
        <x:v>55 inch</x:v>
      </x:c>
      <x:c r="F475" s="2" t="n">
        <x:v>2</x:v>
      </x:c>
      <x:c r="G475" s="2" t="n">
        <x:v>2</x:v>
      </x:c>
      <x:c r="H475" s="2" t="n">
        <x:f>COUNTIFS('Inventory'!$N$7:$N$783,A475,'Inventory'!$A$7:$A$783,1)</x:f>
        <x:v>2</x:v>
      </x:c>
      <x:c r="I475" s="2" t="n">
        <x:f>SUMIFS('Inventory'!$G$7:$G$783,'Inventory'!$N$7:$N$783,A475,'Inventory'!$A$7:$A$783,1)</x:f>
        <x:v>2</x:v>
      </x:c>
      <x:c r="J475" s="12" t="str">
        <x:v>Campaign format rate</x:v>
      </x:c>
      <x:c r="K475" s="17"/>
      <x:c r="L475" s="17" t="n">
        <x:f>$I$5</x:f>
        <x:v>40000</x:v>
      </x:c>
      <x:c r="M475" s="17"/>
      <x:c r="N475" s="19"/>
      <x:c r="O475" s="17" t="n">
        <x:f>IF(ISNUMBER(L475),G475*L475,IF(ISNUMBER(M475),M475,""))</x:f>
        <x:v>80000</x:v>
      </x:c>
      <x:c r="P475" s="17" t="n">
        <x:f>IF(ISNUMBER(K475),K475,IF(ISNUMBER(O475),O475,""))</x:f>
        <x:v>80000</x:v>
      </x:c>
      <x:c r="Q475" s="17" t="n">
        <x:f>IF(H475=0,0,IF(ISNUMBER(N475),N475,IF(N475="",IF(H475=F475,P475,""),"")))</x:f>
        <x:v>80000</x:v>
      </x:c>
      <x:c r="R475" s="17" t="n">
        <x:f>IF(ISNUMBER(Q475),ROUND(Q475*$C$4,2),"")</x:f>
        <x:v>14400</x:v>
      </x:c>
      <x:c r="S475" s="17" t="n">
        <x:f>IF(ISNUMBER(Q475),Q475+R475,"")</x:f>
        <x:v>94400</x:v>
      </x:c>
      <x:c r="T475" s="2" t="str">
        <x:f>IF(H475=0,"Not selected",IF(ISNUMBER(N475),"Quote entered",IF(N475&lt;&gt;"","Enter numeric quote",IF(H475=F475,IF(ISNUMBER(P475),"Complete unit","Price required"),"Partial package: price required"))))</x:f>
        <x:v>Complete unit</x:v>
      </x:c>
      <x:c r="U475" s="2" t="str">
        <x:v>TEN-03310C19B984; TEN-26B2AD07B562; TEN-29F25A570409; TEN-42D9546A54E2; TEN-4BC4BBB1EBF1; TEN-5152258A3CCA; TEN-7A3BF6233C80; TEN-7D924CB86824; TEN-80E224094D7E; TEN-A321F0CAA709; TEN-BA21AB5B12DA; TEN-CC3B496B4CCE; TEN-ED4F2BE1879B</x:v>
      </x:c>
      <x:c r="V475" s="2" t="str">
        <x:v>IT &amp; digital; Finance &amp; insurance; Engineering &amp; manufacturing; Healthcare &amp; life sciences; Trade, consumer &amp; logistics; Government &amp; nonprofit; Unresolved</x:v>
      </x:c>
      <x:c r="W475" s="2" t="str">
        <x:v>Small-scale prospects; Institutional; Mixed business audience</x:v>
      </x:c>
      <x:c r="X475" s="17" t="n">
        <x:f>IF(AND(H475=F475,NOT(ISNUMBER(N475)),N475="",ISNUMBER(K475)),K475,0)</x:f>
        <x:v>0</x:v>
      </x:c>
      <x:c r="Y475" s="17" t="n">
        <x:f>IF(AND(H475=F475,NOT(ISNUMBER(N475)),N475="",K475="",ISNUMBER(O475)),O475,0)</x:f>
        <x:v>80000</x:v>
      </x:c>
      <x:c r="Z475" s="17" t="n">
        <x:f>IF(AND(H475&gt;0,ISNUMBER(N475)),N475,0)</x:f>
        <x:v>0</x:v>
      </x:c>
      <x:c r="AA475" s="2" t="n">
        <x:f>IF(AND(H475&gt;0,N475="",NOT(ISNUMBER(Q475))),1,0)</x:f>
        <x:v>0</x:v>
      </x:c>
      <x:c r="AB475" s="2" t="n">
        <x:f>IF(AND(H475&gt;0,N475&lt;&gt;"",NOT(ISNUMBER(N475))),1,0)</x:f>
        <x:v>0</x:v>
      </x:c>
    </x:row>
    <x:row r="476" ht="48" customHeight="1">
      <x:c r="A476" s="2" t="str">
        <x:v>PARTNER-M245</x:v>
      </x:c>
      <x:c r="B476" s="2" t="str">
        <x:v>Partner</x:v>
      </x:c>
      <x:c r="C476" s="2" t="str">
        <x:v>Mumbai</x:v>
      </x:c>
      <x:c r="D476" s="12" t="str">
        <x:v>Lodha iThink</x:v>
      </x:c>
      <x:c r="E476" s="12" t="str">
        <x:v>55 inch</x:v>
      </x:c>
      <x:c r="F476" s="2" t="n">
        <x:v>2</x:v>
      </x:c>
      <x:c r="G476" s="2" t="n">
        <x:v>2</x:v>
      </x:c>
      <x:c r="H476" s="2" t="n">
        <x:f>COUNTIFS('Inventory'!$N$7:$N$783,A476,'Inventory'!$A$7:$A$783,1)</x:f>
        <x:v>2</x:v>
      </x:c>
      <x:c r="I476" s="2" t="n">
        <x:f>SUMIFS('Inventory'!$G$7:$G$783,'Inventory'!$N$7:$N$783,A476,'Inventory'!$A$7:$A$783,1)</x:f>
        <x:v>2</x:v>
      </x:c>
      <x:c r="J476" s="12" t="str">
        <x:v>Campaign format rate</x:v>
      </x:c>
      <x:c r="K476" s="17"/>
      <x:c r="L476" s="17" t="n">
        <x:f>$I$5</x:f>
        <x:v>40000</x:v>
      </x:c>
      <x:c r="M476" s="17"/>
      <x:c r="N476" s="19"/>
      <x:c r="O476" s="17" t="n">
        <x:f>IF(ISNUMBER(L476),G476*L476,IF(ISNUMBER(M476),M476,""))</x:f>
        <x:v>80000</x:v>
      </x:c>
      <x:c r="P476" s="17" t="n">
        <x:f>IF(ISNUMBER(K476),K476,IF(ISNUMBER(O476),O476,""))</x:f>
        <x:v>80000</x:v>
      </x:c>
      <x:c r="Q476" s="17" t="n">
        <x:f>IF(H476=0,0,IF(ISNUMBER(N476),N476,IF(N476="",IF(H476=F476,P476,""),"")))</x:f>
        <x:v>80000</x:v>
      </x:c>
      <x:c r="R476" s="17" t="n">
        <x:f>IF(ISNUMBER(Q476),ROUND(Q476*$C$4,2),"")</x:f>
        <x:v>14400</x:v>
      </x:c>
      <x:c r="S476" s="17" t="n">
        <x:f>IF(ISNUMBER(Q476),Q476+R476,"")</x:f>
        <x:v>94400</x:v>
      </x:c>
      <x:c r="T476" s="2" t="str">
        <x:f>IF(H476=0,"Not selected",IF(ISNUMBER(N476),"Quote entered",IF(N476&lt;&gt;"","Enter numeric quote",IF(H476=F476,IF(ISNUMBER(P476),"Complete unit","Price required"),"Partial package: price required"))))</x:f>
        <x:v>Complete unit</x:v>
      </x:c>
      <x:c r="U476" s="2" t="str">
        <x:v>TEN-4AF50FD6663E; TEN-558F06B9FFAD; TEN-780337EBA367; TEN-C4EB443BC291; TEN-E7A6F56E3B21; TEN-FE5A685BB3BA</x:v>
      </x:c>
      <x:c r="V476" s="2" t="str">
        <x:v>Professional services; Engineering &amp; manufacturing; Trade, consumer &amp; logistics; Unresolved</x:v>
      </x:c>
      <x:c r="W476" s="2" t="str">
        <x:v>Small-scale prospects; Medium-scale prospects; Mixed business audience</x:v>
      </x:c>
      <x:c r="X476" s="17" t="n">
        <x:f>IF(AND(H476=F476,NOT(ISNUMBER(N476)),N476="",ISNUMBER(K476)),K476,0)</x:f>
        <x:v>0</x:v>
      </x:c>
      <x:c r="Y476" s="17" t="n">
        <x:f>IF(AND(H476=F476,NOT(ISNUMBER(N476)),N476="",K476="",ISNUMBER(O476)),O476,0)</x:f>
        <x:v>80000</x:v>
      </x:c>
      <x:c r="Z476" s="17" t="n">
        <x:f>IF(AND(H476&gt;0,ISNUMBER(N476)),N476,0)</x:f>
        <x:v>0</x:v>
      </x:c>
      <x:c r="AA476" s="2" t="n">
        <x:f>IF(AND(H476&gt;0,N476="",NOT(ISNUMBER(Q476))),1,0)</x:f>
        <x:v>0</x:v>
      </x:c>
      <x:c r="AB476" s="2" t="n">
        <x:f>IF(AND(H476&gt;0,N476&lt;&gt;"",NOT(ISNUMBER(N476))),1,0)</x:f>
        <x:v>0</x:v>
      </x:c>
    </x:row>
    <x:row r="477" ht="48" customHeight="1">
      <x:c r="A477" s="2" t="str">
        <x:v>PARTNER-M233</x:v>
      </x:c>
      <x:c r="B477" s="2" t="str">
        <x:v>Partner</x:v>
      </x:c>
      <x:c r="C477" s="2" t="str">
        <x:v>Mumbai</x:v>
      </x:c>
      <x:c r="D477" s="12" t="str">
        <x:v>Lodha Supremus</x:v>
      </x:c>
      <x:c r="E477" s="12" t="str">
        <x:v>55 inch</x:v>
      </x:c>
      <x:c r="F477" s="2" t="n">
        <x:v>2</x:v>
      </x:c>
      <x:c r="G477" s="2" t="n">
        <x:v>2</x:v>
      </x:c>
      <x:c r="H477" s="2" t="n">
        <x:f>COUNTIFS('Inventory'!$N$7:$N$783,A477,'Inventory'!$A$7:$A$783,1)</x:f>
        <x:v>2</x:v>
      </x:c>
      <x:c r="I477" s="2" t="n">
        <x:f>SUMIFS('Inventory'!$G$7:$G$783,'Inventory'!$N$7:$N$783,A477,'Inventory'!$A$7:$A$783,1)</x:f>
        <x:v>2</x:v>
      </x:c>
      <x:c r="J477" s="12" t="str">
        <x:v>Campaign format rate</x:v>
      </x:c>
      <x:c r="K477" s="17"/>
      <x:c r="L477" s="17" t="n">
        <x:f>$I$5</x:f>
        <x:v>40000</x:v>
      </x:c>
      <x:c r="M477" s="17"/>
      <x:c r="N477" s="19"/>
      <x:c r="O477" s="17" t="n">
        <x:f>IF(ISNUMBER(L477),G477*L477,IF(ISNUMBER(M477),M477,""))</x:f>
        <x:v>80000</x:v>
      </x:c>
      <x:c r="P477" s="17" t="n">
        <x:f>IF(ISNUMBER(K477),K477,IF(ISNUMBER(O477),O477,""))</x:f>
        <x:v>80000</x:v>
      </x:c>
      <x:c r="Q477" s="17" t="n">
        <x:f>IF(H477=0,0,IF(ISNUMBER(N477),N477,IF(N477="",IF(H477=F477,P477,""),"")))</x:f>
        <x:v>80000</x:v>
      </x:c>
      <x:c r="R477" s="17" t="n">
        <x:f>IF(ISNUMBER(Q477),ROUND(Q477*$C$4,2),"")</x:f>
        <x:v>14400</x:v>
      </x:c>
      <x:c r="S477" s="17" t="n">
        <x:f>IF(ISNUMBER(Q477),Q477+R477,"")</x:f>
        <x:v>94400</x:v>
      </x:c>
      <x:c r="T477" s="2" t="str">
        <x:f>IF(H477=0,"Not selected",IF(ISNUMBER(N477),"Quote entered",IF(N477&lt;&gt;"","Enter numeric quote",IF(H477=F477,IF(ISNUMBER(P477),"Complete unit","Price required"),"Partial package: price required"))))</x:f>
        <x:v>Complete unit</x:v>
      </x:c>
      <x:c r="U477" s="2" t="str">
        <x:v>TEN-0C7FB88C4308; TEN-C8796D894F18</x:v>
      </x:c>
      <x:c r="V477" s="2" t="str">
        <x:v>Healthcare &amp; life sciences; Trade, consumer &amp; logistics</x:v>
      </x:c>
      <x:c r="W477" s="2" t="str">
        <x:v>Mixed business audience</x:v>
      </x:c>
      <x:c r="X477" s="17" t="n">
        <x:f>IF(AND(H477=F477,NOT(ISNUMBER(N477)),N477="",ISNUMBER(K477)),K477,0)</x:f>
        <x:v>0</x:v>
      </x:c>
      <x:c r="Y477" s="17" t="n">
        <x:f>IF(AND(H477=F477,NOT(ISNUMBER(N477)),N477="",K477="",ISNUMBER(O477)),O477,0)</x:f>
        <x:v>80000</x:v>
      </x:c>
      <x:c r="Z477" s="17" t="n">
        <x:f>IF(AND(H477&gt;0,ISNUMBER(N477)),N477,0)</x:f>
        <x:v>0</x:v>
      </x:c>
      <x:c r="AA477" s="2" t="n">
        <x:f>IF(AND(H477&gt;0,N477="",NOT(ISNUMBER(Q477))),1,0)</x:f>
        <x:v>0</x:v>
      </x:c>
      <x:c r="AB477" s="2" t="n">
        <x:f>IF(AND(H477&gt;0,N477&lt;&gt;"",NOT(ISNUMBER(N477))),1,0)</x:f>
        <x:v>0</x:v>
      </x:c>
    </x:row>
    <x:row r="478" ht="48" customHeight="1">
      <x:c r="A478" s="2" t="str">
        <x:v>PARTNER-M247</x:v>
      </x:c>
      <x:c r="B478" s="2" t="str">
        <x:v>Partner</x:v>
      </x:c>
      <x:c r="C478" s="2" t="str">
        <x:v>Mumbai</x:v>
      </x:c>
      <x:c r="D478" s="12" t="str">
        <x:v>Lodha Supremus</x:v>
      </x:c>
      <x:c r="E478" s="12" t="str">
        <x:v>55 inch</x:v>
      </x:c>
      <x:c r="F478" s="2" t="n">
        <x:v>4</x:v>
      </x:c>
      <x:c r="G478" s="2" t="n">
        <x:v>4</x:v>
      </x:c>
      <x:c r="H478" s="2" t="n">
        <x:f>COUNTIFS('Inventory'!$N$7:$N$783,A478,'Inventory'!$A$7:$A$783,1)</x:f>
        <x:v>4</x:v>
      </x:c>
      <x:c r="I478" s="2" t="n">
        <x:f>SUMIFS('Inventory'!$G$7:$G$783,'Inventory'!$N$7:$N$783,A478,'Inventory'!$A$7:$A$783,1)</x:f>
        <x:v>4</x:v>
      </x:c>
      <x:c r="J478" s="12" t="str">
        <x:v>Campaign format rate</x:v>
      </x:c>
      <x:c r="K478" s="17"/>
      <x:c r="L478" s="17" t="n">
        <x:f>$I$5</x:f>
        <x:v>40000</x:v>
      </x:c>
      <x:c r="M478" s="17"/>
      <x:c r="N478" s="19"/>
      <x:c r="O478" s="17" t="n">
        <x:f>IF(ISNUMBER(L478),G478*L478,IF(ISNUMBER(M478),M478,""))</x:f>
        <x:v>160000</x:v>
      </x:c>
      <x:c r="P478" s="17" t="n">
        <x:f>IF(ISNUMBER(K478),K478,IF(ISNUMBER(O478),O478,""))</x:f>
        <x:v>160000</x:v>
      </x:c>
      <x:c r="Q478" s="17" t="n">
        <x:f>IF(H478=0,0,IF(ISNUMBER(N478),N478,IF(N478="",IF(H478=F478,P478,""),"")))</x:f>
        <x:v>160000</x:v>
      </x:c>
      <x:c r="R478" s="17" t="n">
        <x:f>IF(ISNUMBER(Q478),ROUND(Q478*$C$4,2),"")</x:f>
        <x:v>28800</x:v>
      </x:c>
      <x:c r="S478" s="17" t="n">
        <x:f>IF(ISNUMBER(Q478),Q478+R478,"")</x:f>
        <x:v>188800</x:v>
      </x:c>
      <x:c r="T478" s="2" t="str">
        <x:f>IF(H478=0,"Not selected",IF(ISNUMBER(N478),"Quote entered",IF(N478&lt;&gt;"","Enter numeric quote",IF(H478=F478,IF(ISNUMBER(P478),"Complete unit","Price required"),"Partial package: price required"))))</x:f>
        <x:v>Complete unit</x:v>
      </x:c>
      <x:c r="U478" s="2" t="str">
        <x:v>TEN-047B5C39429C; TEN-195AFC7F05A0; TEN-2DCEAF99E136; TEN-2E7AAE5DD17C; TEN-34FA47A413A3; TEN-5B49D3958B92; TEN-6BCAF693F975; TEN-80ABA2BC6E03; TEN-A04AEB75F5F5; TEN-A6A145176095; TEN-BEBC85511125; TEN-BEE4F75D30E5; TEN-C93E32AC59F9; TEN-D580AF912CAD; TEN-E36A8E484C91</x:v>
      </x:c>
      <x:c r="V478" s="2" t="str">
        <x:v>Professional services; Finance &amp; insurance; Engineering &amp; manufacturing; Trade, consumer &amp; logistics; Unresolved</x:v>
      </x:c>
      <x:c r="W478" s="2" t="str">
        <x:v>Small-scale prospects; Medium-scale prospects; Large enterprise; Mixed business audience</x:v>
      </x:c>
      <x:c r="X478" s="17" t="n">
        <x:f>IF(AND(H478=F478,NOT(ISNUMBER(N478)),N478="",ISNUMBER(K478)),K478,0)</x:f>
        <x:v>0</x:v>
      </x:c>
      <x:c r="Y478" s="17" t="n">
        <x:f>IF(AND(H478=F478,NOT(ISNUMBER(N478)),N478="",K478="",ISNUMBER(O478)),O478,0)</x:f>
        <x:v>160000</x:v>
      </x:c>
      <x:c r="Z478" s="17" t="n">
        <x:f>IF(AND(H478&gt;0,ISNUMBER(N478)),N478,0)</x:f>
        <x:v>0</x:v>
      </x:c>
      <x:c r="AA478" s="2" t="n">
        <x:f>IF(AND(H478&gt;0,N478="",NOT(ISNUMBER(Q478))),1,0)</x:f>
        <x:v>0</x:v>
      </x:c>
      <x:c r="AB478" s="2" t="n">
        <x:f>IF(AND(H478&gt;0,N478&lt;&gt;"",NOT(ISNUMBER(N478))),1,0)</x:f>
        <x:v>0</x:v>
      </x:c>
    </x:row>
    <x:row r="479" ht="48" customHeight="1">
      <x:c r="A479" s="2" t="str">
        <x:v>PARTNER-M171</x:v>
      </x:c>
      <x:c r="B479" s="2" t="str">
        <x:v>Partner</x:v>
      </x:c>
      <x:c r="C479" s="2" t="str">
        <x:v>Mumbai</x:v>
      </x:c>
      <x:c r="D479" s="12" t="str">
        <x:v>Parinee Crescenzo Business Park</x:v>
      </x:c>
      <x:c r="E479" s="12" t="str">
        <x:v>55 inch</x:v>
      </x:c>
      <x:c r="F479" s="2" t="n">
        <x:v>4</x:v>
      </x:c>
      <x:c r="G479" s="2" t="n">
        <x:v>4</x:v>
      </x:c>
      <x:c r="H479" s="2" t="n">
        <x:f>COUNTIFS('Inventory'!$N$7:$N$783,A479,'Inventory'!$A$7:$A$783,1)</x:f>
        <x:v>4</x:v>
      </x:c>
      <x:c r="I479" s="2" t="n">
        <x:f>SUMIFS('Inventory'!$G$7:$G$783,'Inventory'!$N$7:$N$783,A479,'Inventory'!$A$7:$A$783,1)</x:f>
        <x:v>4</x:v>
      </x:c>
      <x:c r="J479" s="12" t="str">
        <x:v>Campaign format rate</x:v>
      </x:c>
      <x:c r="K479" s="17"/>
      <x:c r="L479" s="17" t="n">
        <x:f>$I$5</x:f>
        <x:v>40000</x:v>
      </x:c>
      <x:c r="M479" s="17"/>
      <x:c r="N479" s="19"/>
      <x:c r="O479" s="17" t="n">
        <x:f>IF(ISNUMBER(L479),G479*L479,IF(ISNUMBER(M479),M479,""))</x:f>
        <x:v>160000</x:v>
      </x:c>
      <x:c r="P479" s="17" t="n">
        <x:f>IF(ISNUMBER(K479),K479,IF(ISNUMBER(O479),O479,""))</x:f>
        <x:v>160000</x:v>
      </x:c>
      <x:c r="Q479" s="17" t="n">
        <x:f>IF(H479=0,0,IF(ISNUMBER(N479),N479,IF(N479="",IF(H479=F479,P479,""),"")))</x:f>
        <x:v>160000</x:v>
      </x:c>
      <x:c r="R479" s="17" t="n">
        <x:f>IF(ISNUMBER(Q479),ROUND(Q479*$C$4,2),"")</x:f>
        <x:v>28800</x:v>
      </x:c>
      <x:c r="S479" s="17" t="n">
        <x:f>IF(ISNUMBER(Q479),Q479+R479,"")</x:f>
        <x:v>188800</x:v>
      </x:c>
      <x:c r="T479" s="2" t="str">
        <x:f>IF(H479=0,"Not selected",IF(ISNUMBER(N479),"Quote entered",IF(N479&lt;&gt;"","Enter numeric quote",IF(H479=F479,IF(ISNUMBER(P479),"Complete unit","Price required"),"Partial package: price required"))))</x:f>
        <x:v>Complete unit</x:v>
      </x:c>
      <x:c r="U479" s="2" t="str">
        <x:v>TEN-1E2BE5B93DE6; TEN-2598A96C6EA1; TEN-331FDE4AA88E; TEN-560846A98A9B; TEN-5DBFA12F5818; TEN-78D2184A1F2B; TEN-94475FFBE5A1; TEN-9717823FF639</x:v>
      </x:c>
      <x:c r="V479" s="2" t="str">
        <x:v>Professional services; Finance &amp; insurance; Healthcare &amp; life sciences</x:v>
      </x:c>
      <x:c r="W479" s="2" t="str">
        <x:v>Medium-scale prospects; Large enterprise; Mixed business audience</x:v>
      </x:c>
      <x:c r="X479" s="17" t="n">
        <x:f>IF(AND(H479=F479,NOT(ISNUMBER(N479)),N479="",ISNUMBER(K479)),K479,0)</x:f>
        <x:v>0</x:v>
      </x:c>
      <x:c r="Y479" s="17" t="n">
        <x:f>IF(AND(H479=F479,NOT(ISNUMBER(N479)),N479="",K479="",ISNUMBER(O479)),O479,0)</x:f>
        <x:v>160000</x:v>
      </x:c>
      <x:c r="Z479" s="17" t="n">
        <x:f>IF(AND(H479&gt;0,ISNUMBER(N479)),N479,0)</x:f>
        <x:v>0</x:v>
      </x:c>
      <x:c r="AA479" s="2" t="n">
        <x:f>IF(AND(H479&gt;0,N479="",NOT(ISNUMBER(Q479))),1,0)</x:f>
        <x:v>0</x:v>
      </x:c>
      <x:c r="AB479" s="2" t="n">
        <x:f>IF(AND(H479&gt;0,N479&lt;&gt;"",NOT(ISNUMBER(N479))),1,0)</x:f>
        <x:v>0</x:v>
      </x:c>
    </x:row>
    <x:row r="480" ht="48" customHeight="1">
      <x:c r="A480" s="2" t="str">
        <x:v>PARTNER-M203</x:v>
      </x:c>
      <x:c r="B480" s="2" t="str">
        <x:v>Partner</x:v>
      </x:c>
      <x:c r="C480" s="2" t="str">
        <x:v>Mumbai</x:v>
      </x:c>
      <x:c r="D480" s="12" t="str">
        <x:v>Reliable Plaza</x:v>
      </x:c>
      <x:c r="E480" s="12" t="str">
        <x:v>55 inch</x:v>
      </x:c>
      <x:c r="F480" s="2" t="n">
        <x:v>2</x:v>
      </x:c>
      <x:c r="G480" s="2" t="n">
        <x:v>2</x:v>
      </x:c>
      <x:c r="H480" s="2" t="n">
        <x:f>COUNTIFS('Inventory'!$N$7:$N$783,A480,'Inventory'!$A$7:$A$783,1)</x:f>
        <x:v>2</x:v>
      </x:c>
      <x:c r="I480" s="2" t="n">
        <x:f>SUMIFS('Inventory'!$G$7:$G$783,'Inventory'!$N$7:$N$783,A480,'Inventory'!$A$7:$A$783,1)</x:f>
        <x:v>2</x:v>
      </x:c>
      <x:c r="J480" s="12" t="str">
        <x:v>Campaign format rate</x:v>
      </x:c>
      <x:c r="K480" s="17"/>
      <x:c r="L480" s="17" t="n">
        <x:f>$I$5</x:f>
        <x:v>40000</x:v>
      </x:c>
      <x:c r="M480" s="17"/>
      <x:c r="N480" s="19"/>
      <x:c r="O480" s="17" t="n">
        <x:f>IF(ISNUMBER(L480),G480*L480,IF(ISNUMBER(M480),M480,""))</x:f>
        <x:v>80000</x:v>
      </x:c>
      <x:c r="P480" s="17" t="n">
        <x:f>IF(ISNUMBER(K480),K480,IF(ISNUMBER(O480),O480,""))</x:f>
        <x:v>80000</x:v>
      </x:c>
      <x:c r="Q480" s="17" t="n">
        <x:f>IF(H480=0,0,IF(ISNUMBER(N480),N480,IF(N480="",IF(H480=F480,P480,""),"")))</x:f>
        <x:v>80000</x:v>
      </x:c>
      <x:c r="R480" s="17" t="n">
        <x:f>IF(ISNUMBER(Q480),ROUND(Q480*$C$4,2),"")</x:f>
        <x:v>14400</x:v>
      </x:c>
      <x:c r="S480" s="17" t="n">
        <x:f>IF(ISNUMBER(Q480),Q480+R480,"")</x:f>
        <x:v>94400</x:v>
      </x:c>
      <x:c r="T480" s="2" t="str">
        <x:f>IF(H480=0,"Not selected",IF(ISNUMBER(N480),"Quote entered",IF(N480&lt;&gt;"","Enter numeric quote",IF(H480=F480,IF(ISNUMBER(P480),"Complete unit","Price required"),"Partial package: price required"))))</x:f>
        <x:v>Complete unit</x:v>
      </x:c>
      <x:c r="U480" s="2" t="str">
        <x:v>TEN-03310C19B984; TEN-4BC4BBB1EBF1; TEN-7A3BF6233C80; TEN-ED4F2BE1879B</x:v>
      </x:c>
      <x:c r="V480" s="2" t="str">
        <x:v>IT &amp; digital; Healthcare &amp; life sciences; Unresolved</x:v>
      </x:c>
      <x:c r="W480" s="2" t="str">
        <x:v>Small-scale prospects; Mixed business audience</x:v>
      </x:c>
      <x:c r="X480" s="17" t="n">
        <x:f>IF(AND(H480=F480,NOT(ISNUMBER(N480)),N480="",ISNUMBER(K480)),K480,0)</x:f>
        <x:v>0</x:v>
      </x:c>
      <x:c r="Y480" s="17" t="n">
        <x:f>IF(AND(H480=F480,NOT(ISNUMBER(N480)),N480="",K480="",ISNUMBER(O480)),O480,0)</x:f>
        <x:v>80000</x:v>
      </x:c>
      <x:c r="Z480" s="17" t="n">
        <x:f>IF(AND(H480&gt;0,ISNUMBER(N480)),N480,0)</x:f>
        <x:v>0</x:v>
      </x:c>
      <x:c r="AA480" s="2" t="n">
        <x:f>IF(AND(H480&gt;0,N480="",NOT(ISNUMBER(Q480))),1,0)</x:f>
        <x:v>0</x:v>
      </x:c>
      <x:c r="AB480" s="2" t="n">
        <x:f>IF(AND(H480&gt;0,N480&lt;&gt;"",NOT(ISNUMBER(N480))),1,0)</x:f>
        <x:v>0</x:v>
      </x:c>
    </x:row>
    <x:row r="481" ht="48" customHeight="1">
      <x:c r="A481" s="2" t="str">
        <x:v>PARTNER-M197</x:v>
      </x:c>
      <x:c r="B481" s="2" t="str">
        <x:v>Partner</x:v>
      </x:c>
      <x:c r="C481" s="2" t="str">
        <x:v>Mumbai</x:v>
      </x:c>
      <x:c r="D481" s="12" t="str">
        <x:v>Reliable Tech Park</x:v>
      </x:c>
      <x:c r="E481" s="12" t="str">
        <x:v>55 inch</x:v>
      </x:c>
      <x:c r="F481" s="2" t="n">
        <x:v>4</x:v>
      </x:c>
      <x:c r="G481" s="2" t="n">
        <x:v>4</x:v>
      </x:c>
      <x:c r="H481" s="2" t="n">
        <x:f>COUNTIFS('Inventory'!$N$7:$N$783,A481,'Inventory'!$A$7:$A$783,1)</x:f>
        <x:v>4</x:v>
      </x:c>
      <x:c r="I481" s="2" t="n">
        <x:f>SUMIFS('Inventory'!$G$7:$G$783,'Inventory'!$N$7:$N$783,A481,'Inventory'!$A$7:$A$783,1)</x:f>
        <x:v>4</x:v>
      </x:c>
      <x:c r="J481" s="12" t="str">
        <x:v>Campaign format rate</x:v>
      </x:c>
      <x:c r="K481" s="17"/>
      <x:c r="L481" s="17" t="n">
        <x:f>$I$5</x:f>
        <x:v>40000</x:v>
      </x:c>
      <x:c r="M481" s="17"/>
      <x:c r="N481" s="19"/>
      <x:c r="O481" s="17" t="n">
        <x:f>IF(ISNUMBER(L481),G481*L481,IF(ISNUMBER(M481),M481,""))</x:f>
        <x:v>160000</x:v>
      </x:c>
      <x:c r="P481" s="17" t="n">
        <x:f>IF(ISNUMBER(K481),K481,IF(ISNUMBER(O481),O481,""))</x:f>
        <x:v>160000</x:v>
      </x:c>
      <x:c r="Q481" s="17" t="n">
        <x:f>IF(H481=0,0,IF(ISNUMBER(N481),N481,IF(N481="",IF(H481=F481,P481,""),"")))</x:f>
        <x:v>160000</x:v>
      </x:c>
      <x:c r="R481" s="17" t="n">
        <x:f>IF(ISNUMBER(Q481),ROUND(Q481*$C$4,2),"")</x:f>
        <x:v>28800</x:v>
      </x:c>
      <x:c r="S481" s="17" t="n">
        <x:f>IF(ISNUMBER(Q481),Q481+R481,"")</x:f>
        <x:v>188800</x:v>
      </x:c>
      <x:c r="T481" s="2" t="str">
        <x:f>IF(H481=0,"Not selected",IF(ISNUMBER(N481),"Quote entered",IF(N481&lt;&gt;"","Enter numeric quote",IF(H481=F481,IF(ISNUMBER(P481),"Complete unit","Price required"),"Partial package: price required"))))</x:f>
        <x:v>Complete unit</x:v>
      </x:c>
      <x:c r="U481" s="2" t="str">
        <x:v>TEN-0CDD2A017BE5; TEN-1ABCE44EA9E8; TEN-1DEB513143F7; TEN-298147A4B3E2; TEN-31E219ED8F4E; TEN-4856E7F0424C; TEN-5763FDBE162D; TEN-5DCF807F8D0D; TEN-65A886E0457A; TEN-787004BAB6D4; TEN-7D43CDC02A4B; TEN-83D267F2D2BA; TEN-8A4FFCF51C45; TEN-B67D6F69AB3E; TEN-F04C5BE93A0B</x:v>
      </x:c>
      <x:c r="V481" s="2" t="str">
        <x:v>IT &amp; digital; Professional services; Finance &amp; insurance; Engineering &amp; manufacturing; Healthcare &amp; life sciences; Trade, consumer &amp; logistics; Workspace &amp; property operations; Unresolved</x:v>
      </x:c>
      <x:c r="W481" s="2" t="str">
        <x:v>Small-scale prospects; Medium-scale prospects; Large enterprise; Mixed business audience</x:v>
      </x:c>
      <x:c r="X481" s="17" t="n">
        <x:f>IF(AND(H481=F481,NOT(ISNUMBER(N481)),N481="",ISNUMBER(K481)),K481,0)</x:f>
        <x:v>0</x:v>
      </x:c>
      <x:c r="Y481" s="17" t="n">
        <x:f>IF(AND(H481=F481,NOT(ISNUMBER(N481)),N481="",K481="",ISNUMBER(O481)),O481,0)</x:f>
        <x:v>160000</x:v>
      </x:c>
      <x:c r="Z481" s="17" t="n">
        <x:f>IF(AND(H481&gt;0,ISNUMBER(N481)),N481,0)</x:f>
        <x:v>0</x:v>
      </x:c>
      <x:c r="AA481" s="2" t="n">
        <x:f>IF(AND(H481&gt;0,N481="",NOT(ISNUMBER(Q481))),1,0)</x:f>
        <x:v>0</x:v>
      </x:c>
      <x:c r="AB481" s="2" t="n">
        <x:f>IF(AND(H481&gt;0,N481&lt;&gt;"",NOT(ISNUMBER(N481))),1,0)</x:f>
        <x:v>0</x:v>
      </x:c>
    </x:row>
    <x:row r="482" ht="48" customHeight="1">
      <x:c r="A482" s="2" t="str">
        <x:v>PARTNER-M205</x:v>
      </x:c>
      <x:c r="B482" s="2" t="str">
        <x:v>Partner</x:v>
      </x:c>
      <x:c r="C482" s="2" t="str">
        <x:v>Mumbai</x:v>
      </x:c>
      <x:c r="D482" s="12" t="str">
        <x:v>Rupa Solitaire</x:v>
      </x:c>
      <x:c r="E482" s="12" t="str">
        <x:v>55 inch</x:v>
      </x:c>
      <x:c r="F482" s="2" t="n">
        <x:v>10</x:v>
      </x:c>
      <x:c r="G482" s="2" t="n">
        <x:v>10</x:v>
      </x:c>
      <x:c r="H482" s="2" t="n">
        <x:f>COUNTIFS('Inventory'!$N$7:$N$783,A482,'Inventory'!$A$7:$A$783,1)</x:f>
        <x:v>10</x:v>
      </x:c>
      <x:c r="I482" s="2" t="n">
        <x:f>SUMIFS('Inventory'!$G$7:$G$783,'Inventory'!$N$7:$N$783,A482,'Inventory'!$A$7:$A$783,1)</x:f>
        <x:v>10</x:v>
      </x:c>
      <x:c r="J482" s="12" t="str">
        <x:v>Campaign format rate</x:v>
      </x:c>
      <x:c r="K482" s="17"/>
      <x:c r="L482" s="17" t="n">
        <x:f>$I$5</x:f>
        <x:v>40000</x:v>
      </x:c>
      <x:c r="M482" s="17"/>
      <x:c r="N482" s="19"/>
      <x:c r="O482" s="17" t="n">
        <x:f>IF(ISNUMBER(L482),G482*L482,IF(ISNUMBER(M482),M482,""))</x:f>
        <x:v>400000</x:v>
      </x:c>
      <x:c r="P482" s="17" t="n">
        <x:f>IF(ISNUMBER(K482),K482,IF(ISNUMBER(O482),O482,""))</x:f>
        <x:v>400000</x:v>
      </x:c>
      <x:c r="Q482" s="17" t="n">
        <x:f>IF(H482=0,0,IF(ISNUMBER(N482),N482,IF(N482="",IF(H482=F482,P482,""),"")))</x:f>
        <x:v>400000</x:v>
      </x:c>
      <x:c r="R482" s="17" t="n">
        <x:f>IF(ISNUMBER(Q482),ROUND(Q482*$C$4,2),"")</x:f>
        <x:v>72000</x:v>
      </x:c>
      <x:c r="S482" s="17" t="n">
        <x:f>IF(ISNUMBER(Q482),Q482+R482,"")</x:f>
        <x:v>472000</x:v>
      </x:c>
      <x:c r="T482" s="2" t="str">
        <x:f>IF(H482=0,"Not selected",IF(ISNUMBER(N482),"Quote entered",IF(N482&lt;&gt;"","Enter numeric quote",IF(H482=F482,IF(ISNUMBER(P482),"Complete unit","Price required"),"Partial package: price required"))))</x:f>
        <x:v>Complete unit</x:v>
      </x:c>
      <x:c r="U482"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V482" s="2" t="str">
        <x:v>IT &amp; digital; Finance &amp; insurance; Engineering &amp; manufacturing; Healthcare &amp; life sciences; Unresolved</x:v>
      </x:c>
      <x:c r="W482" s="2" t="str">
        <x:v>Small-scale prospects; Medium-scale prospects; Mixed business audience</x:v>
      </x:c>
      <x:c r="X482" s="17" t="n">
        <x:f>IF(AND(H482=F482,NOT(ISNUMBER(N482)),N482="",ISNUMBER(K482)),K482,0)</x:f>
        <x:v>0</x:v>
      </x:c>
      <x:c r="Y482" s="17" t="n">
        <x:f>IF(AND(H482=F482,NOT(ISNUMBER(N482)),N482="",K482="",ISNUMBER(O482)),O482,0)</x:f>
        <x:v>400000</x:v>
      </x:c>
      <x:c r="Z482" s="17" t="n">
        <x:f>IF(AND(H482&gt;0,ISNUMBER(N482)),N482,0)</x:f>
        <x:v>0</x:v>
      </x:c>
      <x:c r="AA482" s="2" t="n">
        <x:f>IF(AND(H482&gt;0,N482="",NOT(ISNUMBER(Q482))),1,0)</x:f>
        <x:v>0</x:v>
      </x:c>
      <x:c r="AB482" s="2" t="n">
        <x:f>IF(AND(H482&gt;0,N482&lt;&gt;"",NOT(ISNUMBER(N482))),1,0)</x:f>
        <x:v>0</x:v>
      </x:c>
    </x:row>
    <x:row r="483" ht="48" customHeight="1">
      <x:c r="A483" s="2" t="str">
        <x:v>PARTNER-M223</x:v>
      </x:c>
      <x:c r="B483" s="2" t="str">
        <x:v>Partner</x:v>
      </x:c>
      <x:c r="C483" s="2" t="str">
        <x:v>Mumbai</x:v>
      </x:c>
      <x:c r="D483" s="12" t="str">
        <x:v>Technology Center IV</x:v>
      </x:c>
      <x:c r="E483" s="12" t="str">
        <x:v>55 inch</x:v>
      </x:c>
      <x:c r="F483" s="2" t="n">
        <x:v>4</x:v>
      </x:c>
      <x:c r="G483" s="2" t="n">
        <x:v>4</x:v>
      </x:c>
      <x:c r="H483" s="2" t="n">
        <x:f>COUNTIFS('Inventory'!$N$7:$N$783,A483,'Inventory'!$A$7:$A$783,1)</x:f>
        <x:v>4</x:v>
      </x:c>
      <x:c r="I483" s="2" t="n">
        <x:f>SUMIFS('Inventory'!$G$7:$G$783,'Inventory'!$N$7:$N$783,A483,'Inventory'!$A$7:$A$783,1)</x:f>
        <x:v>4</x:v>
      </x:c>
      <x:c r="J483" s="12" t="str">
        <x:v>Campaign format rate</x:v>
      </x:c>
      <x:c r="K483" s="17"/>
      <x:c r="L483" s="17" t="n">
        <x:f>$I$5</x:f>
        <x:v>40000</x:v>
      </x:c>
      <x:c r="M483" s="17"/>
      <x:c r="N483" s="19"/>
      <x:c r="O483" s="17" t="n">
        <x:f>IF(ISNUMBER(L483),G483*L483,IF(ISNUMBER(M483),M483,""))</x:f>
        <x:v>160000</x:v>
      </x:c>
      <x:c r="P483" s="17" t="n">
        <x:f>IF(ISNUMBER(K483),K483,IF(ISNUMBER(O483),O483,""))</x:f>
        <x:v>160000</x:v>
      </x:c>
      <x:c r="Q483" s="17" t="n">
        <x:f>IF(H483=0,0,IF(ISNUMBER(N483),N483,IF(N483="",IF(H483=F483,P483,""),"")))</x:f>
        <x:v>160000</x:v>
      </x:c>
      <x:c r="R483" s="17" t="n">
        <x:f>IF(ISNUMBER(Q483),ROUND(Q483*$C$4,2),"")</x:f>
        <x:v>28800</x:v>
      </x:c>
      <x:c r="S483" s="17" t="n">
        <x:f>IF(ISNUMBER(Q483),Q483+R483,"")</x:f>
        <x:v>188800</x:v>
      </x:c>
      <x:c r="T483" s="2" t="str">
        <x:f>IF(H483=0,"Not selected",IF(ISNUMBER(N483),"Quote entered",IF(N483&lt;&gt;"","Enter numeric quote",IF(H483=F483,IF(ISNUMBER(P483),"Complete unit","Price required"),"Partial package: price required"))))</x:f>
        <x:v>Complete unit</x:v>
      </x:c>
      <x:c r="U483" s="2" t="str">
        <x:v>TEN-0CB5E89248A4; TEN-262F528291FE</x:v>
      </x:c>
      <x:c r="V483" s="2" t="str">
        <x:v>Healthcare &amp; life sciences; Education</x:v>
      </x:c>
      <x:c r="W483" s="2" t="str">
        <x:v>Micro-scale prospects; Mixed business audience</x:v>
      </x:c>
      <x:c r="X483" s="17" t="n">
        <x:f>IF(AND(H483=F483,NOT(ISNUMBER(N483)),N483="",ISNUMBER(K483)),K483,0)</x:f>
        <x:v>0</x:v>
      </x:c>
      <x:c r="Y483" s="17" t="n">
        <x:f>IF(AND(H483=F483,NOT(ISNUMBER(N483)),N483="",K483="",ISNUMBER(O483)),O483,0)</x:f>
        <x:v>160000</x:v>
      </x:c>
      <x:c r="Z483" s="17" t="n">
        <x:f>IF(AND(H483&gt;0,ISNUMBER(N483)),N483,0)</x:f>
        <x:v>0</x:v>
      </x:c>
      <x:c r="AA483" s="2" t="n">
        <x:f>IF(AND(H483&gt;0,N483="",NOT(ISNUMBER(Q483))),1,0)</x:f>
        <x:v>0</x:v>
      </x:c>
      <x:c r="AB483" s="2" t="n">
        <x:f>IF(AND(H483&gt;0,N483&lt;&gt;"",NOT(ISNUMBER(N483))),1,0)</x:f>
        <x:v>0</x:v>
      </x:c>
    </x:row>
    <x:row r="484" ht="48" customHeight="1">
      <x:c r="A484" s="2" t="str">
        <x:v>PARTNER-M175</x:v>
      </x:c>
      <x:c r="B484" s="2" t="str">
        <x:v>Partner</x:v>
      </x:c>
      <x:c r="C484" s="2" t="str">
        <x:v>Mumbai</x:v>
      </x:c>
      <x:c r="D484" s="12" t="str">
        <x:v>The Capital</x:v>
      </x:c>
      <x:c r="E484" s="12" t="str">
        <x:v>55 inch</x:v>
      </x:c>
      <x:c r="F484" s="2" t="n">
        <x:v>3</x:v>
      </x:c>
      <x:c r="G484" s="2" t="n">
        <x:v>3</x:v>
      </x:c>
      <x:c r="H484" s="2" t="n">
        <x:f>COUNTIFS('Inventory'!$N$7:$N$783,A484,'Inventory'!$A$7:$A$783,1)</x:f>
        <x:v>3</x:v>
      </x:c>
      <x:c r="I484" s="2" t="n">
        <x:f>SUMIFS('Inventory'!$G$7:$G$783,'Inventory'!$N$7:$N$783,A484,'Inventory'!$A$7:$A$783,1)</x:f>
        <x:v>3</x:v>
      </x:c>
      <x:c r="J484" s="12" t="str">
        <x:v>Campaign format rate</x:v>
      </x:c>
      <x:c r="K484" s="17"/>
      <x:c r="L484" s="17" t="n">
        <x:f>$I$5</x:f>
        <x:v>40000</x:v>
      </x:c>
      <x:c r="M484" s="17"/>
      <x:c r="N484" s="19"/>
      <x:c r="O484" s="17" t="n">
        <x:f>IF(ISNUMBER(L484),G484*L484,IF(ISNUMBER(M484),M484,""))</x:f>
        <x:v>120000</x:v>
      </x:c>
      <x:c r="P484" s="17" t="n">
        <x:f>IF(ISNUMBER(K484),K484,IF(ISNUMBER(O484),O484,""))</x:f>
        <x:v>120000</x:v>
      </x:c>
      <x:c r="Q484" s="17" t="n">
        <x:f>IF(H484=0,0,IF(ISNUMBER(N484),N484,IF(N484="",IF(H484=F484,P484,""),"")))</x:f>
        <x:v>120000</x:v>
      </x:c>
      <x:c r="R484" s="17" t="n">
        <x:f>IF(ISNUMBER(Q484),ROUND(Q484*$C$4,2),"")</x:f>
        <x:v>21600</x:v>
      </x:c>
      <x:c r="S484" s="17" t="n">
        <x:f>IF(ISNUMBER(Q484),Q484+R484,"")</x:f>
        <x:v>141600</x:v>
      </x:c>
      <x:c r="T484" s="2" t="str">
        <x:f>IF(H484=0,"Not selected",IF(ISNUMBER(N484),"Quote entered",IF(N484&lt;&gt;"","Enter numeric quote",IF(H484=F484,IF(ISNUMBER(P484),"Complete unit","Price required"),"Partial package: price required"))))</x:f>
        <x:v>Complete unit</x:v>
      </x:c>
      <x:c r="U484" s="2" t="str">
        <x:v>TEN-0C9871ACDD81; TEN-126B90B3AAF0; TEN-22C64C35E554; TEN-230FC25B995B; TEN-2E592B5232A8; TEN-3CA8EB0EEB79; TEN-40919C846642; TEN-4818ADBE7A3E; TEN-682BFBE623F3; TEN-713806984796; TEN-7374F6DDD227; TEN-737B94C445E5; TEN-7833F51548E5; TEN-795C2469C0AB; TEN-847162D496C7; TEN-9F3A4329D832; TEN-A09B30E3D0A6; TEN-AD5DF8A9641C; TEN-AE69DE673F61; TEN-C8827568878B; TEN-CBFFDC2663B6; TEN-DF2E8D7953EB; TEN-EEC59CDFE811; TEN-FC8A936BC45B</x:v>
      </x:c>
      <x:c r="V484" s="2" t="str">
        <x:v>IT &amp; digital; Professional services; Finance &amp; insurance; Engineering &amp; manufacturing; Healthcare &amp; life sciences; Trade, consumer &amp; logistics; Government &amp; nonprofit; Unresolved</x:v>
      </x:c>
      <x:c r="W484" s="2" t="str">
        <x:v>Small-scale prospects; Medium-scale prospects; Large enterprise; Institutional; Mixed business audience</x:v>
      </x:c>
      <x:c r="X484" s="17" t="n">
        <x:f>IF(AND(H484=F484,NOT(ISNUMBER(N484)),N484="",ISNUMBER(K484)),K484,0)</x:f>
        <x:v>0</x:v>
      </x:c>
      <x:c r="Y484" s="17" t="n">
        <x:f>IF(AND(H484=F484,NOT(ISNUMBER(N484)),N484="",K484="",ISNUMBER(O484)),O484,0)</x:f>
        <x:v>120000</x:v>
      </x:c>
      <x:c r="Z484" s="17" t="n">
        <x:f>IF(AND(H484&gt;0,ISNUMBER(N484)),N484,0)</x:f>
        <x:v>0</x:v>
      </x:c>
      <x:c r="AA484" s="2" t="n">
        <x:f>IF(AND(H484&gt;0,N484="",NOT(ISNUMBER(Q484))),1,0)</x:f>
        <x:v>0</x:v>
      </x:c>
      <x:c r="AB484" s="2" t="n">
        <x:f>IF(AND(H484&gt;0,N484&lt;&gt;"",NOT(ISNUMBER(N484))),1,0)</x:f>
        <x:v>0</x:v>
      </x:c>
    </x:row>
    <x:row r="485" ht="48" customHeight="1">
      <x:c r="A485" s="2" t="str">
        <x:v>PARTNER-M188</x:v>
      </x:c>
      <x:c r="B485" s="2" t="str">
        <x:v>Partner</x:v>
      </x:c>
      <x:c r="C485" s="2" t="str">
        <x:v>Mumbai</x:v>
      </x:c>
      <x:c r="D485" s="12" t="str">
        <x:v>Urmi Estate</x:v>
      </x:c>
      <x:c r="E485" s="12" t="str">
        <x:v>55 inch</x:v>
      </x:c>
      <x:c r="F485" s="2" t="n">
        <x:v>4</x:v>
      </x:c>
      <x:c r="G485" s="2" t="n">
        <x:v>4</x:v>
      </x:c>
      <x:c r="H485" s="2" t="n">
        <x:f>COUNTIFS('Inventory'!$N$7:$N$783,A485,'Inventory'!$A$7:$A$783,1)</x:f>
        <x:v>4</x:v>
      </x:c>
      <x:c r="I485" s="2" t="n">
        <x:f>SUMIFS('Inventory'!$G$7:$G$783,'Inventory'!$N$7:$N$783,A485,'Inventory'!$A$7:$A$783,1)</x:f>
        <x:v>4</x:v>
      </x:c>
      <x:c r="J485" s="12" t="str">
        <x:v>Campaign format rate</x:v>
      </x:c>
      <x:c r="K485" s="17"/>
      <x:c r="L485" s="17" t="n">
        <x:f>$I$5</x:f>
        <x:v>40000</x:v>
      </x:c>
      <x:c r="M485" s="17"/>
      <x:c r="N485" s="19"/>
      <x:c r="O485" s="17" t="n">
        <x:f>IF(ISNUMBER(L485),G485*L485,IF(ISNUMBER(M485),M485,""))</x:f>
        <x:v>160000</x:v>
      </x:c>
      <x:c r="P485" s="17" t="n">
        <x:f>IF(ISNUMBER(K485),K485,IF(ISNUMBER(O485),O485,""))</x:f>
        <x:v>160000</x:v>
      </x:c>
      <x:c r="Q485" s="17" t="n">
        <x:f>IF(H485=0,0,IF(ISNUMBER(N485),N485,IF(N485="",IF(H485=F485,P485,""),"")))</x:f>
        <x:v>160000</x:v>
      </x:c>
      <x:c r="R485" s="17" t="n">
        <x:f>IF(ISNUMBER(Q485),ROUND(Q485*$C$4,2),"")</x:f>
        <x:v>28800</x:v>
      </x:c>
      <x:c r="S485" s="17" t="n">
        <x:f>IF(ISNUMBER(Q485),Q485+R485,"")</x:f>
        <x:v>188800</x:v>
      </x:c>
      <x:c r="T485" s="2" t="str">
        <x:f>IF(H485=0,"Not selected",IF(ISNUMBER(N485),"Quote entered",IF(N485&lt;&gt;"","Enter numeric quote",IF(H485=F485,IF(ISNUMBER(P485),"Complete unit","Price required"),"Partial package: price required"))))</x:f>
        <x:v>Complete unit</x:v>
      </x:c>
      <x:c r="U485" s="2" t="str">
        <x:v>TEN-2B28F04A8B61; TEN-375E37AB8AEE; TEN-4226BEF8F9C9; TEN-43AE726EC13A; TEN-5A80E9846757; TEN-6511014F09E3; TEN-65F0C1A7EAFF; TEN-88C77A8CE97E; TEN-9D3E03571A85; TEN-9E0F4D8A0AA5; TEN-B9E919CF563D; TEN-D2DC6A741591; TEN-E07EEA591709; TEN-EDA2DFE8C935</x:v>
      </x:c>
      <x:c r="V485" s="2" t="str">
        <x:v>Professional services; Finance &amp; insurance; Education; Trade, consumer &amp; logistics; Government &amp; nonprofit; Unresolved</x:v>
      </x:c>
      <x:c r="W485" s="2" t="str">
        <x:v>Small-scale prospects; Large enterprise; Institutional; Mixed business audience</x:v>
      </x:c>
      <x:c r="X485" s="17" t="n">
        <x:f>IF(AND(H485=F485,NOT(ISNUMBER(N485)),N485="",ISNUMBER(K485)),K485,0)</x:f>
        <x:v>0</x:v>
      </x:c>
      <x:c r="Y485" s="17" t="n">
        <x:f>IF(AND(H485=F485,NOT(ISNUMBER(N485)),N485="",K485="",ISNUMBER(O485)),O485,0)</x:f>
        <x:v>160000</x:v>
      </x:c>
      <x:c r="Z485" s="17" t="n">
        <x:f>IF(AND(H485&gt;0,ISNUMBER(N485)),N485,0)</x:f>
        <x:v>0</x:v>
      </x:c>
      <x:c r="AA485" s="2" t="n">
        <x:f>IF(AND(H485&gt;0,N485="",NOT(ISNUMBER(Q485))),1,0)</x:f>
        <x:v>0</x:v>
      </x:c>
      <x:c r="AB485" s="2" t="n">
        <x:f>IF(AND(H485&gt;0,N485&lt;&gt;"",NOT(ISNUMBER(N485))),1,0)</x:f>
        <x:v>0</x:v>
      </x:c>
    </x:row>
    <x:row r="486" ht="48" customHeight="1">
      <x:c r="A486" s="2" t="str">
        <x:v>PARTNER-M227</x:v>
      </x:c>
      <x:c r="B486" s="2" t="str">
        <x:v>Partner</x:v>
      </x:c>
      <x:c r="C486" s="2" t="str">
        <x:v>Mumbai</x:v>
      </x:c>
      <x:c r="D486" s="12" t="str">
        <x:v>Windsor House</x:v>
      </x:c>
      <x:c r="E486" s="12" t="str">
        <x:v>55 inch</x:v>
      </x:c>
      <x:c r="F486" s="2" t="n">
        <x:v>6</x:v>
      </x:c>
      <x:c r="G486" s="2" t="n">
        <x:v>6</x:v>
      </x:c>
      <x:c r="H486" s="2" t="n">
        <x:f>COUNTIFS('Inventory'!$N$7:$N$783,A486,'Inventory'!$A$7:$A$783,1)</x:f>
        <x:v>6</x:v>
      </x:c>
      <x:c r="I486" s="2" t="n">
        <x:f>SUMIFS('Inventory'!$G$7:$G$783,'Inventory'!$N$7:$N$783,A486,'Inventory'!$A$7:$A$783,1)</x:f>
        <x:v>6</x:v>
      </x:c>
      <x:c r="J486" s="12" t="str">
        <x:v>Campaign format rate</x:v>
      </x:c>
      <x:c r="K486" s="17"/>
      <x:c r="L486" s="17" t="n">
        <x:f>$I$5</x:f>
        <x:v>40000</x:v>
      </x:c>
      <x:c r="M486" s="17"/>
      <x:c r="N486" s="19"/>
      <x:c r="O486" s="17" t="n">
        <x:f>IF(ISNUMBER(L486),G486*L486,IF(ISNUMBER(M486),M486,""))</x:f>
        <x:v>240000</x:v>
      </x:c>
      <x:c r="P486" s="17" t="n">
        <x:f>IF(ISNUMBER(K486),K486,IF(ISNUMBER(O486),O486,""))</x:f>
        <x:v>240000</x:v>
      </x:c>
      <x:c r="Q486" s="17" t="n">
        <x:f>IF(H486=0,0,IF(ISNUMBER(N486),N486,IF(N486="",IF(H486=F486,P486,""),"")))</x:f>
        <x:v>240000</x:v>
      </x:c>
      <x:c r="R486" s="17" t="n">
        <x:f>IF(ISNUMBER(Q486),ROUND(Q486*$C$4,2),"")</x:f>
        <x:v>43200</x:v>
      </x:c>
      <x:c r="S486" s="17" t="n">
        <x:f>IF(ISNUMBER(Q486),Q486+R486,"")</x:f>
        <x:v>283200</x:v>
      </x:c>
      <x:c r="T486" s="2" t="str">
        <x:f>IF(H486=0,"Not selected",IF(ISNUMBER(N486),"Quote entered",IF(N486&lt;&gt;"","Enter numeric quote",IF(H486=F486,IF(ISNUMBER(P486),"Complete unit","Price required"),"Partial package: price required"))))</x:f>
        <x:v>Complete unit</x:v>
      </x:c>
      <x:c r="U486" s="2" t="str">
        <x:v>TEN-04A7BF588AF8; TEN-09DD085FC8CC; TEN-12FFE3FCB38E; TEN-3DAF16CAD05F; TEN-5BA92BB8BE69; TEN-6AABB2EDC69D; TEN-9E587843CD26; TEN-A518E4150708; TEN-AA16486DD980; TEN-B500F96CF69E; TEN-CA95A5D8C4D9; TEN-E1C13B3EF2E0; TEN-E6CED8408C37; TEN-F9306C38D687</x:v>
      </x:c>
      <x:c r="V486" s="2" t="str">
        <x:v>IT &amp; digital; Finance &amp; insurance; Engineering &amp; manufacturing; Trade, consumer &amp; logistics; Unresolved</x:v>
      </x:c>
      <x:c r="W486" s="2" t="str">
        <x:v>Small-scale prospects; Medium-scale prospects; Large enterprise; Mixed business audience</x:v>
      </x:c>
      <x:c r="X486" s="17" t="n">
        <x:f>IF(AND(H486=F486,NOT(ISNUMBER(N486)),N486="",ISNUMBER(K486)),K486,0)</x:f>
        <x:v>0</x:v>
      </x:c>
      <x:c r="Y486" s="17" t="n">
        <x:f>IF(AND(H486=F486,NOT(ISNUMBER(N486)),N486="",K486="",ISNUMBER(O486)),O486,0)</x:f>
        <x:v>240000</x:v>
      </x:c>
      <x:c r="Z486" s="17" t="n">
        <x:f>IF(AND(H486&gt;0,ISNUMBER(N486)),N486,0)</x:f>
        <x:v>0</x:v>
      </x:c>
      <x:c r="AA486" s="2" t="n">
        <x:f>IF(AND(H486&gt;0,N486="",NOT(ISNUMBER(Q486))),1,0)</x:f>
        <x:v>0</x:v>
      </x:c>
      <x:c r="AB486" s="2" t="n">
        <x:f>IF(AND(H486&gt;0,N486&lt;&gt;"",NOT(ISNUMBER(N486))),1,0)</x:f>
        <x:v>0</x:v>
      </x:c>
    </x:row>
    <x:row r="487" ht="48" customHeight="1">
      <x:c r="A487" s="2" t="str">
        <x:v>PARTNER-M268</x:v>
      </x:c>
      <x:c r="B487" s="2" t="str">
        <x:v>Partner</x:v>
      </x:c>
      <x:c r="C487" s="2" t="str">
        <x:v>Pune</x:v>
      </x:c>
      <x:c r="D487" s="12" t="str">
        <x:v>ICC Tech Park</x:v>
      </x:c>
      <x:c r="E487" s="12" t="str">
        <x:v>55 inch</x:v>
      </x:c>
      <x:c r="F487" s="2" t="n">
        <x:v>5</x:v>
      </x:c>
      <x:c r="G487" s="2" t="n">
        <x:v>5</x:v>
      </x:c>
      <x:c r="H487" s="2" t="n">
        <x:f>COUNTIFS('Inventory'!$N$7:$N$783,A487,'Inventory'!$A$7:$A$783,1)</x:f>
        <x:v>5</x:v>
      </x:c>
      <x:c r="I487" s="2" t="n">
        <x:f>SUMIFS('Inventory'!$G$7:$G$783,'Inventory'!$N$7:$N$783,A487,'Inventory'!$A$7:$A$783,1)</x:f>
        <x:v>5</x:v>
      </x:c>
      <x:c r="J487" s="12" t="str">
        <x:v>Campaign format rate</x:v>
      </x:c>
      <x:c r="K487" s="17"/>
      <x:c r="L487" s="17" t="n">
        <x:f>$I$5</x:f>
        <x:v>40000</x:v>
      </x:c>
      <x:c r="M487" s="17"/>
      <x:c r="N487" s="19"/>
      <x:c r="O487" s="17" t="n">
        <x:f>IF(ISNUMBER(L487),G487*L487,IF(ISNUMBER(M487),M487,""))</x:f>
        <x:v>200000</x:v>
      </x:c>
      <x:c r="P487" s="17" t="n">
        <x:f>IF(ISNUMBER(K487),K487,IF(ISNUMBER(O487),O487,""))</x:f>
        <x:v>200000</x:v>
      </x:c>
      <x:c r="Q487" s="17" t="n">
        <x:f>IF(H487=0,0,IF(ISNUMBER(N487),N487,IF(N487="",IF(H487=F487,P487,""),"")))</x:f>
        <x:v>200000</x:v>
      </x:c>
      <x:c r="R487" s="17" t="n">
        <x:f>IF(ISNUMBER(Q487),ROUND(Q487*$C$4,2),"")</x:f>
        <x:v>36000</x:v>
      </x:c>
      <x:c r="S487" s="17" t="n">
        <x:f>IF(ISNUMBER(Q487),Q487+R487,"")</x:f>
        <x:v>236000</x:v>
      </x:c>
      <x:c r="T487" s="2" t="str">
        <x:f>IF(H487=0,"Not selected",IF(ISNUMBER(N487),"Quote entered",IF(N487&lt;&gt;"","Enter numeric quote",IF(H487=F487,IF(ISNUMBER(P487),"Complete unit","Price required"),"Partial package: price required"))))</x:f>
        <x:v>Complete unit</x:v>
      </x:c>
      <x:c r="U487" s="2" t="str">
        <x:v>TEN-0F34FE7346AD; TEN-25F7C5FC4BE0; TEN-282C78C55341; TEN-5DB1442E6DC0; TEN-6DEBCA323DCB; TEN-8461E0C288B0; TEN-8E46D37012AB; TEN-961C7963E78A; TEN-DB33228CD9A7; TEN-DD5A43C002F0; TEN-EA7C003B3B0A</x:v>
      </x:c>
      <x:c r="V487" s="2" t="str">
        <x:v>IT &amp; digital; Professional services; Engineering &amp; manufacturing; Unresolved</x:v>
      </x:c>
      <x:c r="W487" s="2" t="str">
        <x:v>Large enterprise; Mixed business audience</x:v>
      </x:c>
      <x:c r="X487" s="17" t="n">
        <x:f>IF(AND(H487=F487,NOT(ISNUMBER(N487)),N487="",ISNUMBER(K487)),K487,0)</x:f>
        <x:v>0</x:v>
      </x:c>
      <x:c r="Y487" s="17" t="n">
        <x:f>IF(AND(H487=F487,NOT(ISNUMBER(N487)),N487="",K487="",ISNUMBER(O487)),O487,0)</x:f>
        <x:v>200000</x:v>
      </x:c>
      <x:c r="Z487" s="17" t="n">
        <x:f>IF(AND(H487&gt;0,ISNUMBER(N487)),N487,0)</x:f>
        <x:v>0</x:v>
      </x:c>
      <x:c r="AA487" s="2" t="n">
        <x:f>IF(AND(H487&gt;0,N487="",NOT(ISNUMBER(Q487))),1,0)</x:f>
        <x:v>0</x:v>
      </x:c>
      <x:c r="AB487" s="2" t="n">
        <x:f>IF(AND(H487&gt;0,N487&lt;&gt;"",NOT(ISNUMBER(N487))),1,0)</x:f>
        <x:v>0</x:v>
      </x:c>
    </x:row>
    <x:row r="488" ht="48" customHeight="1">
      <x:c r="A488" s="2" t="str">
        <x:v>PARTNER-M252</x:v>
      </x:c>
      <x:c r="B488" s="2" t="str">
        <x:v>Partner</x:v>
      </x:c>
      <x:c r="C488" s="2" t="str">
        <x:v>Pune</x:v>
      </x:c>
      <x:c r="D488" s="12" t="str">
        <x:v>Magarpatta Cyberpark</x:v>
      </x:c>
      <x:c r="E488" s="12" t="str">
        <x:v>55 inch</x:v>
      </x:c>
      <x:c r="F488" s="2" t="n">
        <x:v>9</x:v>
      </x:c>
      <x:c r="G488" s="2" t="n">
        <x:v>9</x:v>
      </x:c>
      <x:c r="H488" s="2" t="n">
        <x:f>COUNTIFS('Inventory'!$N$7:$N$783,A488,'Inventory'!$A$7:$A$783,1)</x:f>
        <x:v>9</x:v>
      </x:c>
      <x:c r="I488" s="2" t="n">
        <x:f>SUMIFS('Inventory'!$G$7:$G$783,'Inventory'!$N$7:$N$783,A488,'Inventory'!$A$7:$A$783,1)</x:f>
        <x:v>9</x:v>
      </x:c>
      <x:c r="J488" s="12" t="str">
        <x:v>Campaign format rate</x:v>
      </x:c>
      <x:c r="K488" s="17"/>
      <x:c r="L488" s="17" t="n">
        <x:f>$I$5</x:f>
        <x:v>40000</x:v>
      </x:c>
      <x:c r="M488" s="17"/>
      <x:c r="N488" s="19"/>
      <x:c r="O488" s="17" t="n">
        <x:f>IF(ISNUMBER(L488),G488*L488,IF(ISNUMBER(M488),M488,""))</x:f>
        <x:v>360000</x:v>
      </x:c>
      <x:c r="P488" s="17" t="n">
        <x:f>IF(ISNUMBER(K488),K488,IF(ISNUMBER(O488),O488,""))</x:f>
        <x:v>360000</x:v>
      </x:c>
      <x:c r="Q488" s="17" t="n">
        <x:f>IF(H488=0,0,IF(ISNUMBER(N488),N488,IF(N488="",IF(H488=F488,P488,""),"")))</x:f>
        <x:v>360000</x:v>
      </x:c>
      <x:c r="R488" s="17" t="n">
        <x:f>IF(ISNUMBER(Q488),ROUND(Q488*$C$4,2),"")</x:f>
        <x:v>64800</x:v>
      </x:c>
      <x:c r="S488" s="17" t="n">
        <x:f>IF(ISNUMBER(Q488),Q488+R488,"")</x:f>
        <x:v>424800</x:v>
      </x:c>
      <x:c r="T488" s="2" t="str">
        <x:f>IF(H488=0,"Not selected",IF(ISNUMBER(N488),"Quote entered",IF(N488&lt;&gt;"","Enter numeric quote",IF(H488=F488,IF(ISNUMBER(P488),"Complete unit","Price required"),"Partial package: price required"))))</x:f>
        <x:v>Complete unit</x:v>
      </x:c>
      <x:c r="U488"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V488" s="2" t="str">
        <x:v>IT &amp; digital; Finance &amp; insurance; Engineering &amp; manufacturing; Healthcare &amp; life sciences; Education; Trade, consumer &amp; logistics</x:v>
      </x:c>
      <x:c r="W488" s="2" t="str">
        <x:v>Small-scale prospects; Large enterprise; Mixed business audience</x:v>
      </x:c>
      <x:c r="X488" s="17" t="n">
        <x:f>IF(AND(H488=F488,NOT(ISNUMBER(N488)),N488="",ISNUMBER(K488)),K488,0)</x:f>
        <x:v>0</x:v>
      </x:c>
      <x:c r="Y488" s="17" t="n">
        <x:f>IF(AND(H488=F488,NOT(ISNUMBER(N488)),N488="",K488="",ISNUMBER(O488)),O488,0)</x:f>
        <x:v>360000</x:v>
      </x:c>
      <x:c r="Z488" s="17" t="n">
        <x:f>IF(AND(H488&gt;0,ISNUMBER(N488)),N488,0)</x:f>
        <x:v>0</x:v>
      </x:c>
      <x:c r="AA488" s="2" t="n">
        <x:f>IF(AND(H488&gt;0,N488="",NOT(ISNUMBER(Q488))),1,0)</x:f>
        <x:v>0</x:v>
      </x:c>
      <x:c r="AB488" s="2" t="n">
        <x:f>IF(AND(H488&gt;0,N488&lt;&gt;"",NOT(ISNUMBER(N488))),1,0)</x:f>
        <x:v>0</x:v>
      </x:c>
    </x:row>
    <x:row r="489" ht="48" customHeight="1">
      <x:c r="A489" s="2" t="str">
        <x:v>PARTNER-M277</x:v>
      </x:c>
      <x:c r="B489" s="2" t="str">
        <x:v>Partner</x:v>
      </x:c>
      <x:c r="C489" s="2" t="str">
        <x:v>Pune</x:v>
      </x:c>
      <x:c r="D489" s="12" t="str">
        <x:v>Nyati Enthral</x:v>
      </x:c>
      <x:c r="E489" s="12" t="str">
        <x:v>55 inch</x:v>
      </x:c>
      <x:c r="F489" s="2" t="n">
        <x:v>5</x:v>
      </x:c>
      <x:c r="G489" s="2" t="n">
        <x:v>5</x:v>
      </x:c>
      <x:c r="H489" s="2" t="n">
        <x:f>COUNTIFS('Inventory'!$N$7:$N$783,A489,'Inventory'!$A$7:$A$783,1)</x:f>
        <x:v>5</x:v>
      </x:c>
      <x:c r="I489" s="2" t="n">
        <x:f>SUMIFS('Inventory'!$G$7:$G$783,'Inventory'!$N$7:$N$783,A489,'Inventory'!$A$7:$A$783,1)</x:f>
        <x:v>5</x:v>
      </x:c>
      <x:c r="J489" s="12" t="str">
        <x:v>Campaign format rate</x:v>
      </x:c>
      <x:c r="K489" s="17"/>
      <x:c r="L489" s="17" t="n">
        <x:f>$I$5</x:f>
        <x:v>40000</x:v>
      </x:c>
      <x:c r="M489" s="17"/>
      <x:c r="N489" s="19"/>
      <x:c r="O489" s="17" t="n">
        <x:f>IF(ISNUMBER(L489),G489*L489,IF(ISNUMBER(M489),M489,""))</x:f>
        <x:v>200000</x:v>
      </x:c>
      <x:c r="P489" s="17" t="n">
        <x:f>IF(ISNUMBER(K489),K489,IF(ISNUMBER(O489),O489,""))</x:f>
        <x:v>200000</x:v>
      </x:c>
      <x:c r="Q489" s="17" t="n">
        <x:f>IF(H489=0,0,IF(ISNUMBER(N489),N489,IF(N489="",IF(H489=F489,P489,""),"")))</x:f>
        <x:v>200000</x:v>
      </x:c>
      <x:c r="R489" s="17" t="n">
        <x:f>IF(ISNUMBER(Q489),ROUND(Q489*$C$4,2),"")</x:f>
        <x:v>36000</x:v>
      </x:c>
      <x:c r="S489" s="17" t="n">
        <x:f>IF(ISNUMBER(Q489),Q489+R489,"")</x:f>
        <x:v>236000</x:v>
      </x:c>
      <x:c r="T489" s="2" t="str">
        <x:f>IF(H489=0,"Not selected",IF(ISNUMBER(N489),"Quote entered",IF(N489&lt;&gt;"","Enter numeric quote",IF(H489=F489,IF(ISNUMBER(P489),"Complete unit","Price required"),"Partial package: price required"))))</x:f>
        <x:v>Complete unit</x:v>
      </x:c>
      <x:c r="U489" s="2" t="str">
        <x:v>TEN-3209262EB544; TEN-3BBC9DDC0771; TEN-57D421286AA8; TEN-66205FE9281A; TEN-88E49CC6261B; TEN-BB47F2F86C7E; TEN-F6EB468BF351</x:v>
      </x:c>
      <x:c r="V489" s="2" t="str">
        <x:v>IT &amp; digital; Professional services; Engineering &amp; manufacturing; Trade, consumer &amp; logistics; Unresolved</x:v>
      </x:c>
      <x:c r="W489" s="2" t="str">
        <x:v>Small-scale prospects; Medium-scale prospects; Mixed business audience</x:v>
      </x:c>
      <x:c r="X489" s="17" t="n">
        <x:f>IF(AND(H489=F489,NOT(ISNUMBER(N489)),N489="",ISNUMBER(K489)),K489,0)</x:f>
        <x:v>0</x:v>
      </x:c>
      <x:c r="Y489" s="17" t="n">
        <x:f>IF(AND(H489=F489,NOT(ISNUMBER(N489)),N489="",K489="",ISNUMBER(O489)),O489,0)</x:f>
        <x:v>200000</x:v>
      </x:c>
      <x:c r="Z489" s="17" t="n">
        <x:f>IF(AND(H489&gt;0,ISNUMBER(N489)),N489,0)</x:f>
        <x:v>0</x:v>
      </x:c>
      <x:c r="AA489" s="2" t="n">
        <x:f>IF(AND(H489&gt;0,N489="",NOT(ISNUMBER(Q489))),1,0)</x:f>
        <x:v>0</x:v>
      </x:c>
      <x:c r="AB489" s="2" t="n">
        <x:f>IF(AND(H489&gt;0,N489&lt;&gt;"",NOT(ISNUMBER(N489))),1,0)</x:f>
        <x:v>0</x:v>
      </x:c>
    </x:row>
    <x:row r="490" ht="48" customHeight="1">
      <x:c r="A490" s="2" t="str">
        <x:v>PARTNER-M273</x:v>
      </x:c>
      <x:c r="B490" s="2" t="str">
        <x:v>Partner</x:v>
      </x:c>
      <x:c r="C490" s="2" t="str">
        <x:v>Pune</x:v>
      </x:c>
      <x:c r="D490" s="12" t="str">
        <x:v>Nyati Tech Park</x:v>
      </x:c>
      <x:c r="E490" s="12" t="str">
        <x:v>55 inch</x:v>
      </x:c>
      <x:c r="F490" s="2" t="n">
        <x:v>4</x:v>
      </x:c>
      <x:c r="G490" s="2" t="n">
        <x:v>4</x:v>
      </x:c>
      <x:c r="H490" s="2" t="n">
        <x:f>COUNTIFS('Inventory'!$N$7:$N$783,A490,'Inventory'!$A$7:$A$783,1)</x:f>
        <x:v>4</x:v>
      </x:c>
      <x:c r="I490" s="2" t="n">
        <x:f>SUMIFS('Inventory'!$G$7:$G$783,'Inventory'!$N$7:$N$783,A490,'Inventory'!$A$7:$A$783,1)</x:f>
        <x:v>4</x:v>
      </x:c>
      <x:c r="J490" s="12" t="str">
        <x:v>Campaign format rate</x:v>
      </x:c>
      <x:c r="K490" s="17"/>
      <x:c r="L490" s="17" t="n">
        <x:f>$I$5</x:f>
        <x:v>40000</x:v>
      </x:c>
      <x:c r="M490" s="17"/>
      <x:c r="N490" s="19"/>
      <x:c r="O490" s="17" t="n">
        <x:f>IF(ISNUMBER(L490),G490*L490,IF(ISNUMBER(M490),M490,""))</x:f>
        <x:v>160000</x:v>
      </x:c>
      <x:c r="P490" s="17" t="n">
        <x:f>IF(ISNUMBER(K490),K490,IF(ISNUMBER(O490),O490,""))</x:f>
        <x:v>160000</x:v>
      </x:c>
      <x:c r="Q490" s="17" t="n">
        <x:f>IF(H490=0,0,IF(ISNUMBER(N490),N490,IF(N490="",IF(H490=F490,P490,""),"")))</x:f>
        <x:v>160000</x:v>
      </x:c>
      <x:c r="R490" s="17" t="n">
        <x:f>IF(ISNUMBER(Q490),ROUND(Q490*$C$4,2),"")</x:f>
        <x:v>28800</x:v>
      </x:c>
      <x:c r="S490" s="17" t="n">
        <x:f>IF(ISNUMBER(Q490),Q490+R490,"")</x:f>
        <x:v>188800</x:v>
      </x:c>
      <x:c r="T490" s="2" t="str">
        <x:f>IF(H490=0,"Not selected",IF(ISNUMBER(N490),"Quote entered",IF(N490&lt;&gt;"","Enter numeric quote",IF(H490=F490,IF(ISNUMBER(P490),"Complete unit","Price required"),"Partial package: price required"))))</x:f>
        <x:v>Complete unit</x:v>
      </x:c>
      <x:c r="U490" s="2" t="str">
        <x:v>TEN-0E1703C24DF3; TEN-B94381F67943; TEN-BB34EFA42885; TEN-CEEB417D463A; TEN-E3B0B0D2C88E</x:v>
      </x:c>
      <x:c r="V490" s="2" t="str">
        <x:v>IT &amp; digital; Unresolved</x:v>
      </x:c>
      <x:c r="W490" s="2" t="str">
        <x:v>Small-scale prospects; Mixed business audience</x:v>
      </x:c>
      <x:c r="X490" s="17" t="n">
        <x:f>IF(AND(H490=F490,NOT(ISNUMBER(N490)),N490="",ISNUMBER(K490)),K490,0)</x:f>
        <x:v>0</x:v>
      </x:c>
      <x:c r="Y490" s="17" t="n">
        <x:f>IF(AND(H490=F490,NOT(ISNUMBER(N490)),N490="",K490="",ISNUMBER(O490)),O490,0)</x:f>
        <x:v>160000</x:v>
      </x:c>
      <x:c r="Z490" s="17" t="n">
        <x:f>IF(AND(H490&gt;0,ISNUMBER(N490)),N490,0)</x:f>
        <x:v>0</x:v>
      </x:c>
      <x:c r="AA490" s="2" t="n">
        <x:f>IF(AND(H490&gt;0,N490="",NOT(ISNUMBER(Q490))),1,0)</x:f>
        <x:v>0</x:v>
      </x:c>
      <x:c r="AB490" s="2" t="n">
        <x:f>IF(AND(H490&gt;0,N490&lt;&gt;"",NOT(ISNUMBER(N490))),1,0)</x:f>
        <x:v>0</x:v>
      </x:c>
    </x:row>
    <x:row r="491" ht="48" customHeight="1">
      <x:c r="A491" s="2" t="str">
        <x:v>PARTNER-M261</x:v>
      </x:c>
      <x:c r="B491" s="2" t="str">
        <x:v>Partner</x:v>
      </x:c>
      <x:c r="C491" s="2" t="str">
        <x:v>Pune</x:v>
      </x:c>
      <x:c r="D491" s="12" t="str">
        <x:v>Pentagon Towers</x:v>
      </x:c>
      <x:c r="E491" s="12" t="str">
        <x:v>55 inch</x:v>
      </x:c>
      <x:c r="F491" s="2" t="n">
        <x:v>4</x:v>
      </x:c>
      <x:c r="G491" s="2" t="n">
        <x:v>4</x:v>
      </x:c>
      <x:c r="H491" s="2" t="n">
        <x:f>COUNTIFS('Inventory'!$N$7:$N$783,A491,'Inventory'!$A$7:$A$783,1)</x:f>
        <x:v>4</x:v>
      </x:c>
      <x:c r="I491" s="2" t="n">
        <x:f>SUMIFS('Inventory'!$G$7:$G$783,'Inventory'!$N$7:$N$783,A491,'Inventory'!$A$7:$A$783,1)</x:f>
        <x:v>4</x:v>
      </x:c>
      <x:c r="J491" s="12" t="str">
        <x:v>Campaign format rate</x:v>
      </x:c>
      <x:c r="K491" s="17"/>
      <x:c r="L491" s="17" t="n">
        <x:f>$I$5</x:f>
        <x:v>40000</x:v>
      </x:c>
      <x:c r="M491" s="17"/>
      <x:c r="N491" s="19"/>
      <x:c r="O491" s="17" t="n">
        <x:f>IF(ISNUMBER(L491),G491*L491,IF(ISNUMBER(M491),M491,""))</x:f>
        <x:v>160000</x:v>
      </x:c>
      <x:c r="P491" s="17" t="n">
        <x:f>IF(ISNUMBER(K491),K491,IF(ISNUMBER(O491),O491,""))</x:f>
        <x:v>160000</x:v>
      </x:c>
      <x:c r="Q491" s="17" t="n">
        <x:f>IF(H491=0,0,IF(ISNUMBER(N491),N491,IF(N491="",IF(H491=F491,P491,""),"")))</x:f>
        <x:v>160000</x:v>
      </x:c>
      <x:c r="R491" s="17" t="n">
        <x:f>IF(ISNUMBER(Q491),ROUND(Q491*$C$4,2),"")</x:f>
        <x:v>28800</x:v>
      </x:c>
      <x:c r="S491" s="17" t="n">
        <x:f>IF(ISNUMBER(Q491),Q491+R491,"")</x:f>
        <x:v>188800</x:v>
      </x:c>
      <x:c r="T491" s="2" t="str">
        <x:f>IF(H491=0,"Not selected",IF(ISNUMBER(N491),"Quote entered",IF(N491&lt;&gt;"","Enter numeric quote",IF(H491=F491,IF(ISNUMBER(P491),"Complete unit","Price required"),"Partial package: price required"))))</x:f>
        <x:v>Complete unit</x:v>
      </x:c>
      <x:c r="U491" s="2" t="str">
        <x:v>TEN-00C591B91416; TEN-039E9F1061C0; TEN-054BC589EE9E; TEN-06B74412C407; TEN-2CD498D73600; TEN-383935C4C9A2; TEN-52E2D5DE0876; TEN-58530B1CAB5C; TEN-7AA45DEA8180; TEN-8C7EAEEF1D2A; TEN-943DC3AC657A; TEN-B261335C03A3; TEN-BC0E58C3E04D; TEN-D9B515FBCE89; TEN-EA1A932C99A1; TEN-EB22DF2431C9; TEN-FB0329803647</x:v>
      </x:c>
      <x:c r="V491" s="2" t="str">
        <x:v>IT &amp; digital; Professional services; Engineering &amp; manufacturing; Healthcare &amp; life sciences; Trade, consumer &amp; logistics; Unresolved</x:v>
      </x:c>
      <x:c r="W491" s="2" t="str">
        <x:v>Small-scale prospects; Large enterprise; Mixed business audience</x:v>
      </x:c>
      <x:c r="X491" s="17" t="n">
        <x:f>IF(AND(H491=F491,NOT(ISNUMBER(N491)),N491="",ISNUMBER(K491)),K491,0)</x:f>
        <x:v>0</x:v>
      </x:c>
      <x:c r="Y491" s="17" t="n">
        <x:f>IF(AND(H491=F491,NOT(ISNUMBER(N491)),N491="",K491="",ISNUMBER(O491)),O491,0)</x:f>
        <x:v>160000</x:v>
      </x:c>
      <x:c r="Z491" s="17" t="n">
        <x:f>IF(AND(H491&gt;0,ISNUMBER(N491)),N491,0)</x:f>
        <x:v>0</x:v>
      </x:c>
      <x:c r="AA491" s="2" t="n">
        <x:f>IF(AND(H491&gt;0,N491="",NOT(ISNUMBER(Q491))),1,0)</x:f>
        <x:v>0</x:v>
      </x:c>
      <x:c r="AB491" s="2" t="n">
        <x:f>IF(AND(H491&gt;0,N491&lt;&gt;"",NOT(ISNUMBER(N491))),1,0)</x:f>
        <x:v>0</x:v>
      </x:c>
    </x:row>
    <x:row r="492" ht="48" customHeight="1">
      <x:c r="A492" s="2" t="str">
        <x:v>PARTNER-M265</x:v>
      </x:c>
      <x:c r="B492" s="2" t="str">
        <x:v>Partner</x:v>
      </x:c>
      <x:c r="C492" s="2" t="str">
        <x:v>Pune</x:v>
      </x:c>
      <x:c r="D492" s="12" t="str">
        <x:v>Symphony IT Park</x:v>
      </x:c>
      <x:c r="E492" s="12" t="str">
        <x:v>55 inch</x:v>
      </x:c>
      <x:c r="F492" s="2" t="n">
        <x:v>3</x:v>
      </x:c>
      <x:c r="G492" s="2" t="n">
        <x:v>3</x:v>
      </x:c>
      <x:c r="H492" s="2" t="n">
        <x:f>COUNTIFS('Inventory'!$N$7:$N$783,A492,'Inventory'!$A$7:$A$783,1)</x:f>
        <x:v>3</x:v>
      </x:c>
      <x:c r="I492" s="2" t="n">
        <x:f>SUMIFS('Inventory'!$G$7:$G$783,'Inventory'!$N$7:$N$783,A492,'Inventory'!$A$7:$A$783,1)</x:f>
        <x:v>3</x:v>
      </x:c>
      <x:c r="J492" s="12" t="str">
        <x:v>Campaign format rate</x:v>
      </x:c>
      <x:c r="K492" s="17"/>
      <x:c r="L492" s="17" t="n">
        <x:f>$I$5</x:f>
        <x:v>40000</x:v>
      </x:c>
      <x:c r="M492" s="17"/>
      <x:c r="N492" s="19"/>
      <x:c r="O492" s="17" t="n">
        <x:f>IF(ISNUMBER(L492),G492*L492,IF(ISNUMBER(M492),M492,""))</x:f>
        <x:v>120000</x:v>
      </x:c>
      <x:c r="P492" s="17" t="n">
        <x:f>IF(ISNUMBER(K492),K492,IF(ISNUMBER(O492),O492,""))</x:f>
        <x:v>120000</x:v>
      </x:c>
      <x:c r="Q492" s="17" t="n">
        <x:f>IF(H492=0,0,IF(ISNUMBER(N492),N492,IF(N492="",IF(H492=F492,P492,""),"")))</x:f>
        <x:v>120000</x:v>
      </x:c>
      <x:c r="R492" s="17" t="n">
        <x:f>IF(ISNUMBER(Q492),ROUND(Q492*$C$4,2),"")</x:f>
        <x:v>21600</x:v>
      </x:c>
      <x:c r="S492" s="17" t="n">
        <x:f>IF(ISNUMBER(Q492),Q492+R492,"")</x:f>
        <x:v>141600</x:v>
      </x:c>
      <x:c r="T492" s="2" t="str">
        <x:f>IF(H492=0,"Not selected",IF(ISNUMBER(N492),"Quote entered",IF(N492&lt;&gt;"","Enter numeric quote",IF(H492=F492,IF(ISNUMBER(P492),"Complete unit","Price required"),"Partial package: price required"))))</x:f>
        <x:v>Complete unit</x:v>
      </x:c>
      <x:c r="U492" s="2" t="str">
        <x:v>TEN-098B8FDAE5BB; TEN-126A3A0D11EC; TEN-519CA13DFB10; TEN-6BE3112897E4; TEN-77F50C34503B; TEN-888DA7433392; TEN-BE5131973D4C; TEN-DE58C1C49DEE; TEN-F2DEC5F8736B</x:v>
      </x:c>
      <x:c r="V492" s="2" t="str">
        <x:v>IT &amp; digital; Finance &amp; insurance; Engineering &amp; manufacturing; Education; Unresolved</x:v>
      </x:c>
      <x:c r="W492" s="2" t="str">
        <x:v>Small-scale prospects; Medium-scale prospects; Mixed business audience</x:v>
      </x:c>
      <x:c r="X492" s="17" t="n">
        <x:f>IF(AND(H492=F492,NOT(ISNUMBER(N492)),N492="",ISNUMBER(K492)),K492,0)</x:f>
        <x:v>0</x:v>
      </x:c>
      <x:c r="Y492" s="17" t="n">
        <x:f>IF(AND(H492=F492,NOT(ISNUMBER(N492)),N492="",K492="",ISNUMBER(O492)),O492,0)</x:f>
        <x:v>120000</x:v>
      </x:c>
      <x:c r="Z492" s="17" t="n">
        <x:f>IF(AND(H492&gt;0,ISNUMBER(N492)),N492,0)</x:f>
        <x:v>0</x:v>
      </x:c>
      <x:c r="AA492" s="2" t="n">
        <x:f>IF(AND(H492&gt;0,N492="",NOT(ISNUMBER(Q492))),1,0)</x:f>
        <x:v>0</x:v>
      </x:c>
      <x:c r="AB492" s="2" t="n">
        <x:f>IF(AND(H492&gt;0,N492&lt;&gt;"",NOT(ISNUMBER(N492))),1,0)</x:f>
        <x:v>0</x:v>
      </x:c>
    </x:row>
  </x:sheetData>
  <x:conditionalFormatting sqref="T9:T492">
    <x:cfRule type="containsText" dxfId="0" priority="1" operator="containsText" text="required"/>
    <x:cfRule type="containsText" dxfId="1" priority="2" operator="containsText" text="Enter numeric"/>
  </x:conditionalFormatting>
  <x:dataValidations count="1">
    <x:dataValidation type="whole" operator="between" sqref="N9:N492">
      <x:formula1>0</x:formula1>
      <x:formula2>1000000000</x:formula2>
    </x:dataValidation>
  </x:dataValidations>
  <x:pageMargins left="0.7" right="0.7" top="0.75" bottom="0.75" header="0.3" footer="0.3"/>
  <x:tableParts count="1">
    <x:tablePart xmlns:r="http://schemas.openxmlformats.org/officeDocument/2006/relationships" r:id="Rd19558334edc4cd1"/>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2" hidden="0" customWidth="1"/>
    <x:col min="2" max="2" width="18" hidden="0" customWidth="1"/>
    <x:col min="3" max="3" width="19" hidden="0" customWidth="1"/>
    <x:col min="4" max="4" width="18" hidden="0" customWidth="1"/>
    <x:col min="5" max="5" width="48" hidden="0" customWidth="1"/>
    <x:col min="6" max="6" width="28" hidden="0" customWidth="1"/>
    <x:col min="7" max="7" width="12" hidden="0" customWidth="1"/>
    <x:col min="8" max="8" width="27" hidden="0" customWidth="1"/>
    <x:col min="9" max="9" width="82" hidden="0" customWidth="1"/>
    <x:col min="10" max="10" width="12" hidden="0" customWidth="1"/>
    <x:col min="11" max="11" width="30" hidden="0" customWidth="1"/>
    <x:col min="12" max="12" width="38" hidden="0" customWidth="1"/>
    <x:col min="13" max="13" width="30" hidden="0" customWidth="1"/>
    <x:col min="14" max="14" width="22" hidden="0" customWidth="1"/>
    <x:col min="15" max="15" width="16" hidden="0" customWidth="1"/>
    <x:col min="16" max="16" width="16" hidden="0" customWidth="1"/>
    <x:col min="17" max="17" width="48" hidden="0" customWidth="1"/>
    <x:col min="18" max="18" width="45" hidden="0" customWidth="1"/>
    <x:col min="19" max="19" width="42" hidden="0" customWidth="1"/>
    <x:col min="20" max="20" width="65" hidden="0" customWidth="1"/>
  </x:cols>
  <x:sheetData>
    <x:row r="1">
      <x:c r="A1" s="2"/>
      <x:c r="B1" s="2"/>
      <x:c r="C1" s="2"/>
      <x:c r="D1" s="2"/>
      <x:c r="E1" s="2"/>
      <x:c r="F1" s="2"/>
      <x:c r="G1" s="2"/>
      <x:c r="H1" s="2"/>
      <x:c r="I1" s="2"/>
      <x:c r="J1" s="2"/>
      <x:c r="K1" s="2"/>
      <x:c r="L1" s="2"/>
      <x:c r="M1" s="2"/>
      <x:c r="N1" s="2"/>
      <x:c r="O1" s="2"/>
      <x:c r="P1" s="2"/>
      <x:c r="Q1" s="2"/>
      <x:c r="R1" s="2"/>
      <x:c r="S1" s="2"/>
      <x:c r="T1" s="2"/>
    </x:row>
    <x:row r="2">
      <x:c r="A2" s="3" t="str">
        <x:v>Corporate screen inventory</x:v>
      </x:c>
      <x:c r="B2" s="2"/>
      <x:c r="C2" s="2"/>
      <x:c r="D2" s="2"/>
      <x:c r="E2" s="2"/>
      <x:c r="F2" s="2"/>
      <x:c r="G2" s="2"/>
      <x:c r="H2" s="2"/>
      <x:c r="I2" s="2"/>
      <x:c r="J2" s="2"/>
      <x:c r="K2" s="2"/>
      <x:c r="L2" s="2"/>
      <x:c r="M2" s="2"/>
      <x:c r="N2" s="2"/>
      <x:c r="O2" s="2"/>
      <x:c r="P2" s="2"/>
      <x:c r="Q2" s="2"/>
      <x:c r="R2" s="2"/>
      <x:c r="S2" s="2"/>
      <x:c r="T2" s="2"/>
    </x:row>
    <x:row r="3">
      <x:c r="A3" s="4"/>
      <x:c r="B3" s="4"/>
      <x:c r="C3" s="4"/>
      <x:c r="D3" s="4"/>
      <x:c r="E3" s="4"/>
      <x:c r="F3" s="4"/>
      <x:c r="G3" s="4"/>
      <x:c r="H3" s="4"/>
      <x:c r="I3" s="4"/>
      <x:c r="J3" s="4"/>
      <x:c r="K3" s="4"/>
      <x:c r="L3" s="4"/>
      <x:c r="M3" s="4"/>
      <x:c r="N3" s="4"/>
      <x:c r="O3" s="4"/>
      <x:c r="P3" s="4"/>
      <x:c r="Q3" s="4"/>
      <x:c r="R3" s="4"/>
      <x:c r="S3" s="4"/>
      <x:c r="T3" s="4"/>
    </x:row>
    <x:row r="4">
      <x:c r="A4" s="2" t="str">
        <x:v>Set Include to 1 or 0 to update the selected corporate budget. Category options use the eligible campaign inventory.</x:v>
      </x:c>
      <x:c r="B4" s="2"/>
      <x:c r="C4" s="2"/>
      <x:c r="D4" s="2"/>
      <x:c r="E4" s="2"/>
      <x:c r="F4" s="2"/>
      <x:c r="G4" s="2"/>
      <x:c r="H4" s="2"/>
      <x:c r="I4" s="2"/>
      <x:c r="J4" s="2"/>
      <x:c r="K4" s="2"/>
      <x:c r="L4" s="2"/>
      <x:c r="M4" s="2"/>
      <x:c r="N4" s="2"/>
      <x:c r="O4" s="2"/>
      <x:c r="P4" s="2"/>
      <x:c r="Q4" s="2"/>
      <x:c r="R4" s="2"/>
      <x:c r="S4" s="2"/>
      <x:c r="T4" s="2"/>
    </x:row>
    <x:row r="5">
      <x:c r="A5" s="2"/>
      <x:c r="B5" s="2"/>
      <x:c r="C5" s="2"/>
      <x:c r="D5" s="2"/>
      <x:c r="E5" s="2"/>
      <x:c r="F5" s="2"/>
      <x:c r="G5" s="2"/>
      <x:c r="H5" s="2"/>
      <x:c r="I5" s="2"/>
      <x:c r="J5" s="2"/>
      <x:c r="K5" s="2"/>
      <x:c r="L5" s="2"/>
      <x:c r="M5" s="2"/>
      <x:c r="N5" s="2"/>
      <x:c r="O5" s="2"/>
      <x:c r="P5" s="2"/>
      <x:c r="Q5" s="2"/>
      <x:c r="R5" s="2"/>
      <x:c r="S5" s="2"/>
      <x:c r="T5" s="2"/>
    </x:row>
    <x:row r="6" ht="42" customHeight="1">
      <x:c r="A6" s="8" t="str">
        <x:v>Include 1 / 0</x:v>
      </x:c>
      <x:c r="B6" s="8" t="str">
        <x:v>Inventory reference</x:v>
      </x:c>
      <x:c r="C6" s="8" t="str">
        <x:v>Market</x:v>
      </x:c>
      <x:c r="D6" s="8" t="str">
        <x:v>Media site ID</x:v>
      </x:c>
      <x:c r="E6" s="8" t="str">
        <x:v>Property</x:v>
      </x:c>
      <x:c r="F6" s="8" t="str">
        <x:v>Locality</x:v>
      </x:c>
      <x:c r="G6" s="8" t="str">
        <x:v>Screens</x:v>
      </x:c>
      <x:c r="H6" s="8" t="str">
        <x:v>Format</x:v>
      </x:c>
      <x:c r="I6" s="8" t="str">
        <x:v>Tenant names</x:v>
      </x:c>
      <x:c r="J6" s="8" t="str">
        <x:v>Named tenants</x:v>
      </x:c>
      <x:c r="K6" s="8" t="str">
        <x:v>Tenant status</x:v>
      </x:c>
      <x:c r="L6" s="8" t="str">
        <x:v>Business sectors</x:v>
      </x:c>
      <x:c r="M6" s="8" t="str">
        <x:v>Outreach segment (indicative)</x:v>
      </x:c>
      <x:c r="N6" s="8" t="str">
        <x:v>Cost unit</x:v>
      </x:c>
      <x:c r="O6" s="8" t="str">
        <x:v>Latitude</x:v>
      </x:c>
      <x:c r="P6" s="8" t="str">
        <x:v>Longitude</x:v>
      </x:c>
      <x:c r="Q6" s="8" t="str">
        <x:v>Map location</x:v>
      </x:c>
      <x:c r="R6" s="8" t="str">
        <x:v>Tenant IDs</x:v>
      </x:c>
      <x:c r="S6" s="8" t="str">
        <x:v>Audience profile</x:v>
      </x:c>
      <x:c r="T6" s="8" t="str">
        <x:v>Segment basis</x:v>
      </x:c>
    </x:row>
    <x:row r="7" ht="64" customHeight="1">
      <x:c r="A7" s="10" t="n">
        <x:v>1</x:v>
      </x:c>
      <x:c r="B7" s="2" t="str">
        <x:v>CORP-0001</x:v>
      </x:c>
      <x:c r="C7" s="2" t="str">
        <x:v>Ahmedabad</x:v>
      </x:c>
      <x:c r="D7" s="2" t="str">
        <x:v>MS0238RW</x:v>
      </x:c>
      <x:c r="E7" s="12" t="str">
        <x:v>Awfis - Krish Cubical</x:v>
      </x:c>
      <x:c r="F7" s="12" t="str">
        <x:v>Thalte</x:v>
      </x:c>
      <x:c r="G7" s="11" t="n">
        <x:v>1</x:v>
      </x:c>
      <x:c r="H7" s="2" t="str">
        <x:v>32 inch LED TV</x:v>
      </x:c>
      <x:c r="I7" s="12" t="str">
        <x:v>Bodal Chemicals Limited; Three Sixty Five Business Consultancy Pvt Ltd; Delex Logiexpress Pvt. Ltd</x:v>
      </x:c>
      <x:c r="J7" s="2" t="n">
        <x:v>3</x:v>
      </x:c>
      <x:c r="K7" s="12" t="str">
        <x:v>Company-listed building/campus context; workspace membership and screen access unverified</x:v>
      </x:c>
      <x:c r="L7" s="12" t="str">
        <x:v>Professional services; Engineering &amp; manufacturing; Trade, consumer &amp; logistics</x:v>
      </x:c>
      <x:c r="M7" s="12" t="str">
        <x:v>Small-scale prospects; Medium-scale prospects; Mixed business audience</x:v>
      </x:c>
      <x:c r="N7" s="12" t="str">
        <x:v>MAIN-005</x:v>
      </x:c>
      <x:c r="O7" s="13" t="n">
        <x:v>23.04884910583496</x:v>
      </x:c>
      <x:c r="P7" s="13" t="n">
        <x:v>72.50868225097656</x:v>
      </x:c>
      <x:c r="Q7" s="2" t="str">
        <x:v>https://www.google.com/maps?q=23.04884910583496,72.50868225097656</x:v>
      </x:c>
      <x:c r="R7" s="2" t="str">
        <x:v>TEN-2D2BD6458539; TEN-CBCCDBFD029C; TEN-EFEC1FDBFFA5</x:v>
      </x:c>
      <x:c r="S7" s="12" t="str">
        <x:v>Flexible workspace / mixed businesses</x:v>
      </x:c>
      <x:c r="T7" s="12" t="str">
        <x:v>Tenant business-type estimates and reviewed company-scale context.</x:v>
      </x:c>
    </x:row>
    <x:row r="8" ht="64" customHeight="1">
      <x:c r="A8" s="10" t="n">
        <x:v>1</x:v>
      </x:c>
      <x:c r="B8" s="2" t="str">
        <x:v>CORP-0002</x:v>
      </x:c>
      <x:c r="C8" s="2" t="str">
        <x:v>Ahmedabad</x:v>
      </x:c>
      <x:c r="D8" s="2" t="str">
        <x:v>MSRAVCCB</x:v>
      </x:c>
      <x:c r="E8" s="12" t="str">
        <x:v>Awfis - RE11</x:v>
      </x:c>
      <x:c r="F8" s="12" t="str">
        <x:v>Ambli</x:v>
      </x:c>
      <x:c r="G8" s="11" t="n">
        <x:v>1</x:v>
      </x:c>
      <x:c r="H8" s="2" t="str">
        <x:v>32 inch LED TV</x:v>
      </x:c>
      <x:c r="I8" s="12" t="str">
        <x:v>Raytex IT Services; Aura Toddlers</x:v>
      </x:c>
      <x:c r="J8" s="2" t="n">
        <x:v>2</x:v>
      </x:c>
      <x:c r="K8" s="12" t="str">
        <x:v>Inventory-listed building/workspace context; current occupancy and screen access unverified</x:v>
      </x:c>
      <x:c r="L8" s="12" t="str">
        <x:v>IT &amp; digital; Education</x:v>
      </x:c>
      <x:c r="M8" s="12" t="str">
        <x:v>Micro-scale prospects; Small-scale prospects</x:v>
      </x:c>
      <x:c r="N8" s="12" t="str">
        <x:v>MAIN-006</x:v>
      </x:c>
      <x:c r="O8" s="13" t="n">
        <x:v>23.026504</x:v>
      </x:c>
      <x:c r="P8" s="13" t="n">
        <x:v>72.502814</x:v>
      </x:c>
      <x:c r="Q8" s="2" t="str">
        <x:v>https://www.google.com/maps?q=23.026504,72.502814</x:v>
      </x:c>
      <x:c r="R8" s="2" t="str">
        <x:v>TEN-E2460C5B469B; TEN-E730D0261178</x:v>
      </x:c>
      <x:c r="S8" s="12" t="str">
        <x:v>Flexible workspace / mixed businesses</x:v>
      </x:c>
      <x:c r="T8" s="12" t="str">
        <x:v>Tenant business-type estimates and reviewed company-scale context.</x:v>
      </x:c>
    </x:row>
    <x:row r="9" ht="64" customHeight="1">
      <x:c r="A9" s="10" t="n">
        <x:v>1</x:v>
      </x:c>
      <x:c r="B9" s="2" t="str">
        <x:v>CORP-0003</x:v>
      </x:c>
      <x:c r="C9" s="2" t="str">
        <x:v>Ahmedabad</x:v>
      </x:c>
      <x:c r="D9" s="2" t="str">
        <x:v>MS3FRYKX</x:v>
      </x:c>
      <x:c r="E9" s="12" t="str">
        <x:v>Oyo Workspace - Mauryansh Elanza</x:v>
      </x:c>
      <x:c r="F9" s="12" t="str">
        <x:v>Shyamal Crossroad</x:v>
      </x:c>
      <x:c r="G9" s="11" t="n">
        <x:v>2</x:v>
      </x:c>
      <x:c r="H9" s="2" t="str">
        <x:v>32 inch LED TV</x:v>
      </x:c>
      <x:c r="I9" s="12" t="str">
        <x:v>Maxim Exports; Jaimin Shah &amp; Associates; Vichar Vimarsh</x:v>
      </x:c>
      <x:c r="J9" s="2" t="n">
        <x:v>3</x:v>
      </x:c>
      <x:c r="K9" s="12" t="str">
        <x:v>Company-listed building/campus context; workspace membership and screen access unverified</x:v>
      </x:c>
      <x:c r="L9" s="12" t="str">
        <x:v>Professional services; Trade, consumer &amp; logistics; Unresolved</x:v>
      </x:c>
      <x:c r="M9" s="12" t="str">
        <x:v>Micro-scale prospects; Small-scale prospects; Mixed business audience</x:v>
      </x:c>
      <x:c r="N9" s="12" t="str">
        <x:v>MAIN-007</x:v>
      </x:c>
      <x:c r="O9" s="13" t="n">
        <x:v>23.012931</x:v>
      </x:c>
      <x:c r="P9" s="13" t="n">
        <x:v>72.529779</x:v>
      </x:c>
      <x:c r="Q9" s="2" t="str">
        <x:v>https://www.google.com/maps?q=23.012931,72.529779</x:v>
      </x:c>
      <x:c r="R9" s="2" t="str">
        <x:v>TEN-3BAC052E3DDF; TEN-ADF3ECE39127; TEN-F01481C57FC4</x:v>
      </x:c>
      <x:c r="S9" s="12" t="str">
        <x:v>Flexible workspace / mixed businesses</x:v>
      </x:c>
      <x:c r="T9" s="12" t="str">
        <x:v>Tenant business-type estimates and reviewed company-scale context.</x:v>
      </x:c>
    </x:row>
    <x:row r="10" ht="64" customHeight="1">
      <x:c r="A10" s="10" t="n">
        <x:v>1</x:v>
      </x:c>
      <x:c r="B10" s="2" t="str">
        <x:v>CORP-0004</x:v>
      </x:c>
      <x:c r="C10" s="2" t="str">
        <x:v>Ahmedabad</x:v>
      </x:c>
      <x:c r="D10" s="2" t="str">
        <x:v>MSGA50HN</x:v>
      </x:c>
      <x:c r="E10" s="12" t="str">
        <x:v>Solaris Business Park</x:v>
      </x:c>
      <x:c r="F10" s="12" t="str">
        <x:v>Sola</x:v>
      </x:c>
      <x:c r="G10" s="11" t="n">
        <x:v>8</x:v>
      </x:c>
      <x:c r="H10" s="2" t="str">
        <x:v>24 inch LED TV</x:v>
      </x:c>
      <x:c r="I10" s="12" t="str"/>
      <x:c r="J10" s="2" t="n">
        <x:v>0</x:v>
      </x:c>
      <x:c r="K10" s="12" t="str">
        <x:v>Unresolved; no supported tenant names</x:v>
      </x:c>
      <x:c r="L10" s="12" t="str">
        <x:v>Unclassified</x:v>
      </x:c>
      <x:c r="M10" s="12" t="str">
        <x:v>Mixed business audience</x:v>
      </x:c>
      <x:c r="N10" s="12" t="str">
        <x:v>MAIN-008</x:v>
      </x:c>
      <x:c r="O10" s="13" t="n">
        <x:v>23.058717727661133</x:v>
      </x:c>
      <x:c r="P10" s="13" t="n">
        <x:v>72.53912353515625</x:v>
      </x:c>
      <x:c r="Q10" s="2" t="str">
        <x:v>https://www.google.com/maps?q=23.058717727661133,72.53912353515625</x:v>
      </x:c>
      <x:c r="R10" s="2" t="str"/>
      <x:c r="S10" s="12" t="str">
        <x:v>Office and retail business hub</x:v>
      </x:c>
      <x:c r="T10" s="12" t="str">
        <x:v>Developer markets Solaris Business Hub on Sola Road for both small offices and major retail brands. Inventory says Business Park; likely Business Hub at supplied Sola location. Profile applies to the format, pending exact name reconciliation.</x:v>
      </x:c>
    </x:row>
    <x:row r="11" ht="64" customHeight="1">
      <x:c r="A11" s="10" t="n">
        <x:v>1</x:v>
      </x:c>
      <x:c r="B11" s="2" t="str">
        <x:v>CORP-0005</x:v>
      </x:c>
      <x:c r="C11" s="2" t="str">
        <x:v>Bengaluru</x:v>
      </x:c>
      <x:c r="D11" s="2" t="str">
        <x:v>MS804BVM</x:v>
      </x:c>
      <x:c r="E11" s="12" t="str">
        <x:v>Akshay Tech Park</x:v>
      </x:c>
      <x:c r="F11" s="12" t="str">
        <x:v>ITPL</x:v>
      </x:c>
      <x:c r="G11" s="11" t="n">
        <x:v>8</x:v>
      </x:c>
      <x:c r="H11" s="2" t="str">
        <x:v>32 inch LED TV</x:v>
      </x:c>
      <x:c r="I11" s="12" t="str">
        <x:v>Boat; biipbyte Technologies Pvt Ltd; Mirafra; CMPTL; South India bank; ImStrong; Sagacious IP Bangalore; goodworks; Future hook; LTECH solutions; Extentia Information technology</x:v>
      </x:c>
      <x:c r="J11" s="2" t="n">
        <x:v>11</x:v>
      </x:c>
      <x:c r="K11" s="12" t="str">
        <x:v>Inventory-listed building/workspace context; current occupancy and screen access unverified</x:v>
      </x:c>
      <x:c r="L11" s="12" t="str">
        <x:v>IT &amp; digital; Professional services; Finance &amp; insurance; Trade, consumer &amp; logistics; Workspace &amp; property operations; Unresolved</x:v>
      </x:c>
      <x:c r="M11" s="12" t="str">
        <x:v>Small-scale prospects; Mixed business audience</x:v>
      </x:c>
      <x:c r="N11" s="12" t="str">
        <x:v>MAIN-009</x:v>
      </x:c>
      <x:c r="O11" s="13" t="n">
        <x:v>12.979701042175293</x:v>
      </x:c>
      <x:c r="P11" s="13" t="n">
        <x:v>77.7224349975586</x:v>
      </x:c>
      <x:c r="Q11" s="2" t="str">
        <x:v>https://www.google.com/maps?q=12.979701042175293,77.7224349975586</x:v>
      </x:c>
      <x:c r="R11" s="2" t="str">
        <x:v>TEN-25CDB46D8D21; TEN-4D5ABFAB0D72; TEN-53488A70F413; TEN-89B79C32DF1D; TEN-B1431D1B5AF5; TEN-C6E3A023B2FA; TEN-D4A0022B593B; TEN-D77A75DAFFAB; TEN-ECADA1AE0F98; TEN-F920AA980FA1; TEN-FB91131C276B</x:v>
      </x:c>
      <x:c r="S11" s="12" t="str">
        <x:v>IT and enterprise campus</x:v>
      </x:c>
      <x:c r="T11" s="12" t="str">
        <x:v>Tenant business-type estimates and reviewed company-scale context.</x:v>
      </x:c>
    </x:row>
    <x:row r="12" ht="64" customHeight="1">
      <x:c r="A12" s="10" t="n">
        <x:v>1</x:v>
      </x:c>
      <x:c r="B12" s="2" t="str">
        <x:v>CORP-0006</x:v>
      </x:c>
      <x:c r="C12" s="2" t="str">
        <x:v>Bengaluru</x:v>
      </x:c>
      <x:c r="D12" s="2" t="str">
        <x:v>MSM8GGAA</x:v>
      </x:c>
      <x:c r="E12" s="12" t="str">
        <x:v>Ataura Business Centre</x:v>
      </x:c>
      <x:c r="F12" s="12" t="str">
        <x:v>KHB Colony</x:v>
      </x:c>
      <x:c r="G12" s="11" t="n">
        <x:v>1</x:v>
      </x:c>
      <x:c r="H12" s="2" t="str">
        <x:v>32 inch LED TV</x:v>
      </x:c>
      <x:c r="I12" s="12" t="str">
        <x:v>CA Salsabeel and Co; Quickups PVT.LTD; Pacific It solution; AliKnow Labs Pvt.Ltd; Fugensys; Subman consulting services; Resident Boost; Act Insta; Shulkway Fees management systwms</x:v>
      </x:c>
      <x:c r="J12" s="2" t="n">
        <x:v>9</x:v>
      </x:c>
      <x:c r="K12" s="12" t="str">
        <x:v>Inventory-listed building/workspace context; current occupancy and screen access unverified</x:v>
      </x:c>
      <x:c r="L12" s="12" t="str">
        <x:v>IT &amp; digital; Professional services; Trade, consumer &amp; logistics; Unresolved</x:v>
      </x:c>
      <x:c r="M12" s="12" t="str">
        <x:v>Micro-scale prospects; Small-scale prospects; Medium-scale prospects; Mixed business audience</x:v>
      </x:c>
      <x:c r="N12" s="12" t="str">
        <x:v>MAIN-010</x:v>
      </x:c>
      <x:c r="O12" s="13" t="n">
        <x:v>12.935856</x:v>
      </x:c>
      <x:c r="P12" s="13" t="n">
        <x:v>77.615458</x:v>
      </x:c>
      <x:c r="Q12" s="2" t="str">
        <x:v>https://www.google.com/maps?q=12.935856,77.615458</x:v>
      </x:c>
      <x:c r="R12" s="2" t="str">
        <x:v>TEN-08BA913363E2; TEN-2A148617E1B4; TEN-40F283DADDAE; TEN-55C9DB2EBA8B; TEN-80AE4E40F9CD; TEN-84E37ADD7FEC; TEN-A5E183486EFD; TEN-B4897F7ABC8F; TEN-DE5E974C017A</x:v>
      </x:c>
      <x:c r="S12" s="12" t="str">
        <x:v>Mixed commercial workplace</x:v>
      </x:c>
      <x:c r="T12" s="12" t="str">
        <x:v>Tenant business-type estimates and reviewed company-scale context.</x:v>
      </x:c>
    </x:row>
    <x:row r="13" ht="64" customHeight="1">
      <x:c r="A13" s="10" t="n">
        <x:v>1</x:v>
      </x:c>
      <x:c r="B13" s="2" t="str">
        <x:v>CORP-0007</x:v>
      </x:c>
      <x:c r="C13" s="2" t="str">
        <x:v>Bengaluru</x:v>
      </x:c>
      <x:c r="D13" s="2" t="str">
        <x:v>MSTTSZWK</x:v>
      </x:c>
      <x:c r="E13" s="12" t="str">
        <x:v>Awfis - Brigade Metropolis</x:v>
      </x:c>
      <x:c r="F13" s="12" t="str">
        <x:v>Garudachar Palya</x:v>
      </x:c>
      <x:c r="G13" s="11" t="n">
        <x:v>1</x:v>
      </x:c>
      <x:c r="H13" s="2" t="str">
        <x:v>32 inch LED TV</x:v>
      </x:c>
      <x:c r="I13" s="12" t="str">
        <x:v>Fubeus Technology Pvt. Ltd; Adecco India; Kapture CX; Ernst and Young; INVOTRIX TECHNOLOGIES; Capgemini Technology Services India Limited</x:v>
      </x:c>
      <x:c r="J13" s="2" t="n">
        <x:v>6</x:v>
      </x:c>
      <x:c r="K13" s="12" t="str">
        <x:v>Inventory-listed building/workspace context; current occupancy and screen access unverified</x:v>
      </x:c>
      <x:c r="L13" s="12" t="str">
        <x:v>IT &amp; digital; Professional services; Unresolved</x:v>
      </x:c>
      <x:c r="M13" s="12" t="str">
        <x:v>Small-scale prospects; Large enterprise; Mixed business audience</x:v>
      </x:c>
      <x:c r="N13" s="12" t="str">
        <x:v>MAIN-011</x:v>
      </x:c>
      <x:c r="O13" s="13" t="n">
        <x:v>12.992473</x:v>
      </x:c>
      <x:c r="P13" s="13" t="n">
        <x:v>77.703463</x:v>
      </x:c>
      <x:c r="Q13" s="2" t="str">
        <x:v>https://www.google.com/maps?q=12.992473,77.703463</x:v>
      </x:c>
      <x:c r="R13" s="2" t="str">
        <x:v>TEN-1B2AB90246EE; TEN-1DE6F8F03AAB; TEN-3AFBF365C56B; TEN-69A068939DEA; TEN-81BA36E7B3F1; TEN-E1F3AEFC4A1F</x:v>
      </x:c>
      <x:c r="S13" s="12" t="str">
        <x:v>Flexible workspace / mixed businesses</x:v>
      </x:c>
      <x:c r="T13" s="12" t="str">
        <x:v>Tenant business-type estimates and reviewed company-scale context.</x:v>
      </x:c>
    </x:row>
    <x:row r="14" ht="64" customHeight="1">
      <x:c r="A14" s="10" t="n">
        <x:v>1</x:v>
      </x:c>
      <x:c r="B14" s="2" t="str">
        <x:v>CORP-0008</x:v>
      </x:c>
      <x:c r="C14" s="2" t="str">
        <x:v>Bengaluru</x:v>
      </x:c>
      <x:c r="D14" s="2" t="str">
        <x:v>MS145NA4</x:v>
      </x:c>
      <x:c r="E14" s="12" t="str">
        <x:v>Awfis - Kirloskar Tech Park</x:v>
      </x:c>
      <x:c r="F14" s="12" t="str">
        <x:v>Kempapura</x:v>
      </x:c>
      <x:c r="G14" s="11" t="n">
        <x:v>2</x:v>
      </x:c>
      <x:c r="H14" s="2" t="str">
        <x:v>32 inch LED TV</x:v>
      </x:c>
      <x:c r="I14" s="12" t="str">
        <x:v>Kairos Technologies</x:v>
      </x:c>
      <x:c r="J14" s="2" t="n">
        <x:v>1</x:v>
      </x:c>
      <x:c r="K14" s="12" t="str">
        <x:v>Inventory-listed building/workspace context; current occupancy and screen access unverified</x:v>
      </x:c>
      <x:c r="L14" s="12" t="str">
        <x:v>IT &amp; digital</x:v>
      </x:c>
      <x:c r="M14" s="12" t="str">
        <x:v>Small-scale prospects</x:v>
      </x:c>
      <x:c r="N14" s="12" t="str">
        <x:v>MAIN-012</x:v>
      </x:c>
      <x:c r="O14" s="13" t="n">
        <x:v>13.05172</x:v>
      </x:c>
      <x:c r="P14" s="13" t="n">
        <x:v>77.59535</x:v>
      </x:c>
      <x:c r="Q14" s="2" t="str">
        <x:v>https://www.google.com/maps?q=13.05172,77.59535</x:v>
      </x:c>
      <x:c r="R14" s="2" t="str">
        <x:v>TEN-5A6E2962D1EB</x:v>
      </x:c>
      <x:c r="S14" s="12" t="str">
        <x:v>Flexible workspace / mixed businesses</x:v>
      </x:c>
      <x:c r="T14" s="12" t="str">
        <x:v>Tenant business-type estimates and reviewed company-scale context.</x:v>
      </x:c>
    </x:row>
    <x:row r="15" ht="64" customHeight="1">
      <x:c r="A15" s="10" t="n">
        <x:v>1</x:v>
      </x:c>
      <x:c r="B15" s="2" t="str">
        <x:v>CORP-0009</x:v>
      </x:c>
      <x:c r="C15" s="2" t="str">
        <x:v>Bengaluru</x:v>
      </x:c>
      <x:c r="D15" s="2" t="str">
        <x:v>MSF7RQX1</x:v>
      </x:c>
      <x:c r="E15" s="12" t="str">
        <x:v>Awfis - Mantri Commerce</x:v>
      </x:c>
      <x:c r="F15" s="12" t="str">
        <x:v>BTM Layout</x:v>
      </x:c>
      <x:c r="G15" s="11" t="n">
        <x:v>2</x:v>
      </x:c>
      <x:c r="H15" s="2" t="str">
        <x:v>32 inch LED TV</x:v>
      </x:c>
      <x:c r="I15" s="12" t="str">
        <x:v>Rareism; MRI Software India Pvt Ltd</x:v>
      </x:c>
      <x:c r="J15" s="2" t="n">
        <x:v>2</x:v>
      </x:c>
      <x:c r="K15" s="12" t="str">
        <x:v>Inventory-listed building/workspace context; current occupancy and screen access unverified</x:v>
      </x:c>
      <x:c r="L15" s="12" t="str">
        <x:v>IT &amp; digital; Trade, consumer &amp; logistics</x:v>
      </x:c>
      <x:c r="M15" s="12" t="str">
        <x:v>Mixed business audience</x:v>
      </x:c>
      <x:c r="N15" s="12" t="str">
        <x:v>MAIN-013</x:v>
      </x:c>
      <x:c r="O15" s="13"/>
      <x:c r="P15" s="13"/>
      <x:c r="Q15" s="2" t="str"/>
      <x:c r="R15" s="2" t="str">
        <x:v>TEN-341AA59EDF1F; TEN-D8D88329A6BC</x:v>
      </x:c>
      <x:c r="S15" s="12" t="str">
        <x:v>Flexible workspace / mixed businesses</x:v>
      </x:c>
      <x:c r="T15" s="12" t="str">
        <x:v>Tenant business-type estimates and reviewed company-scale context.</x:v>
      </x:c>
    </x:row>
    <x:row r="16" ht="64" customHeight="1">
      <x:c r="A16" s="10" t="n">
        <x:v>1</x:v>
      </x:c>
      <x:c r="B16" s="2" t="str">
        <x:v>CORP-0010</x:v>
      </x:c>
      <x:c r="C16" s="2" t="str">
        <x:v>Bengaluru</x:v>
      </x:c>
      <x:c r="D16" s="2" t="str">
        <x:v>MSKH843Q</x:v>
      </x:c>
      <x:c r="E16" s="12" t="str">
        <x:v>Awfis - Mission Road</x:v>
      </x:c>
      <x:c r="F16" s="12" t="str">
        <x:v>Mission RD</x:v>
      </x:c>
      <x:c r="G16" s="11" t="n">
        <x:v>4</x:v>
      </x:c>
      <x:c r="H16" s="2" t="str">
        <x:v>32 inch LED TV</x:v>
      </x:c>
      <x:c r="I16" s="12" t="str">
        <x:v>ncube; Itssa; Navanc; Ewol Now Private Limited; aster; databytes</x:v>
      </x:c>
      <x:c r="J16" s="2" t="n">
        <x:v>6</x:v>
      </x:c>
      <x:c r="K16" s="12" t="str">
        <x:v>Inventory-listed building/workspace context; current occupancy and screen access unverified</x:v>
      </x:c>
      <x:c r="L16" s="12" t="str">
        <x:v>IT &amp; digital; Unresolved</x:v>
      </x:c>
      <x:c r="M16" s="12" t="str">
        <x:v>Small-scale prospects; Mixed business audience</x:v>
      </x:c>
      <x:c r="N16" s="12" t="str">
        <x:v>MAIN-014</x:v>
      </x:c>
      <x:c r="O16" s="13" t="n">
        <x:v>12.962632</x:v>
      </x:c>
      <x:c r="P16" s="13" t="n">
        <x:v>77.590556</x:v>
      </x:c>
      <x:c r="Q16" s="2" t="str">
        <x:v>https://www.google.com/maps?q=12.962632,77.590556</x:v>
      </x:c>
      <x:c r="R16" s="2" t="str">
        <x:v>TEN-04238E6BAC8F; TEN-52DEDECEAB90; TEN-60D63EAE0667; TEN-9A14611F66A4; TEN-B9245A5BADFE; TEN-CC657A30A7F0</x:v>
      </x:c>
      <x:c r="S16" s="12" t="str">
        <x:v>Flexible workspace / mixed businesses</x:v>
      </x:c>
      <x:c r="T16" s="12" t="str">
        <x:v>Tenant business-type estimates and reviewed company-scale context.</x:v>
      </x:c>
    </x:row>
    <x:row r="17" ht="64" customHeight="1">
      <x:c r="A17" s="10" t="n">
        <x:v>1</x:v>
      </x:c>
      <x:c r="B17" s="2" t="str">
        <x:v>CORP-0011</x:v>
      </x:c>
      <x:c r="C17" s="2" t="str">
        <x:v>Bengaluru</x:v>
      </x:c>
      <x:c r="D17" s="2" t="str">
        <x:v>MSX43XNC</x:v>
      </x:c>
      <x:c r="E17" s="12" t="str">
        <x:v>Awfis - Prestige Blue Chip</x:v>
      </x:c>
      <x:c r="F17" s="12" t="str">
        <x:v>Adugodi</x:v>
      </x:c>
      <x:c r="G17" s="11" t="n">
        <x:v>1</x:v>
      </x:c>
      <x:c r="H17" s="2" t="str">
        <x:v>32 inch LED TV</x:v>
      </x:c>
      <x:c r="I17" s="12" t="str">
        <x:v>PharmEasy; Synopsys; Collabera; QuadGen Technology; Smartstream; Raja Group; VI; ICON; Ascendion; Marlabs; Barracuda</x:v>
      </x:c>
      <x:c r="J17" s="2" t="n">
        <x:v>11</x:v>
      </x:c>
      <x:c r="K17" s="12" t="str">
        <x:v>Inventory-listed building/workspace context; current occupancy and screen access unverified</x:v>
      </x:c>
      <x:c r="L17" s="12" t="str">
        <x:v>IT &amp; digital; Professional services; Finance &amp; insurance; Engineering &amp; manufacturing; Healthcare &amp; life sciences; Unresolved</x:v>
      </x:c>
      <x:c r="M17" s="12" t="str">
        <x:v>Mixed business audience</x:v>
      </x:c>
      <x:c r="N17" s="12" t="str">
        <x:v>MAIN-015</x:v>
      </x:c>
      <x:c r="O17" s="13" t="n">
        <x:v>12.93739</x:v>
      </x:c>
      <x:c r="P17" s="13" t="n">
        <x:v>77.60545</x:v>
      </x:c>
      <x:c r="Q17" s="2" t="str">
        <x:v>https://www.google.com/maps?q=12.93739,77.60545</x:v>
      </x:c>
      <x:c r="R17" s="2" t="str">
        <x:v>TEN-03226AD79BD1; TEN-2E92046B6F07; TEN-363435ED1329; TEN-3DA83F161DB1; TEN-593912EBC21F; TEN-5F9DB4EAC423; TEN-C0FF93EA8927; TEN-C2D4B446A44C; TEN-C7267F9A1E45; TEN-EF5C70BAD0AA; TEN-F2743CB33EB1</x:v>
      </x:c>
      <x:c r="S17" s="12" t="str">
        <x:v>Flexible workspace / mixed businesses</x:v>
      </x:c>
      <x:c r="T17" s="12" t="str">
        <x:v>Tenant business-type estimates and reviewed company-scale context.</x:v>
      </x:c>
    </x:row>
    <x:row r="18" ht="64" customHeight="1">
      <x:c r="A18" s="10" t="n">
        <x:v>1</x:v>
      </x:c>
      <x:c r="B18" s="2" t="str">
        <x:v>CORP-0012</x:v>
      </x:c>
      <x:c r="C18" s="2" t="str">
        <x:v>Bengaluru</x:v>
      </x:c>
      <x:c r="D18" s="2" t="str">
        <x:v>MSR0D7GT</x:v>
      </x:c>
      <x:c r="E18" s="12" t="str">
        <x:v>Awfis - Prestige Dotcom</x:v>
      </x:c>
      <x:c r="F18" s="12" t="str">
        <x:v>Shanthala Nagar</x:v>
      </x:c>
      <x:c r="G18" s="11" t="n">
        <x:v>4</x:v>
      </x:c>
      <x:c r="H18" s="2" t="str">
        <x:v>32 inch LED TV</x:v>
      </x:c>
      <x:c r="I18" s="12" t="str">
        <x:v>luminar; Quickjet cargo airlined; peer capital; Body capital pvt ltd; ISG</x:v>
      </x:c>
      <x:c r="J18" s="2" t="n">
        <x:v>5</x:v>
      </x:c>
      <x:c r="K18" s="12" t="str">
        <x:v>Inventory-listed building/workspace context; current occupancy and screen access unverified</x:v>
      </x:c>
      <x:c r="L18" s="12" t="str">
        <x:v>Finance &amp; insurance; Engineering &amp; manufacturing; Trade, consumer &amp; logistics; Unresolved</x:v>
      </x:c>
      <x:c r="M18" s="12" t="str">
        <x:v>Medium-scale prospects; Mixed business audience</x:v>
      </x:c>
      <x:c r="N18" s="12" t="str">
        <x:v>MAIN-016</x:v>
      </x:c>
      <x:c r="O18" s="13" t="n">
        <x:v>12.968653</x:v>
      </x:c>
      <x:c r="P18" s="13" t="n">
        <x:v>77.598717</x:v>
      </x:c>
      <x:c r="Q18" s="2" t="str">
        <x:v>https://www.google.com/maps?q=12.968653,77.598717</x:v>
      </x:c>
      <x:c r="R18" s="2" t="str">
        <x:v>TEN-1E27AF402EC5; TEN-4DE4E8CC2F04; TEN-8DF8FD56D1D2; TEN-B7F72869D568; TEN-CE5F67CFFACA</x:v>
      </x:c>
      <x:c r="S18" s="12" t="str">
        <x:v>Flexible workspace / mixed businesses</x:v>
      </x:c>
      <x:c r="T18" s="12" t="str">
        <x:v>Tenant business-type estimates and reviewed company-scale context.</x:v>
      </x:c>
    </x:row>
    <x:row r="19" ht="64" customHeight="1">
      <x:c r="A19" s="10" t="n">
        <x:v>1</x:v>
      </x:c>
      <x:c r="B19" s="2" t="str">
        <x:v>CORP-0013</x:v>
      </x:c>
      <x:c r="C19" s="2" t="str">
        <x:v>Bengaluru</x:v>
      </x:c>
      <x:c r="D19" s="2" t="str">
        <x:v>MSCCJGKG</x:v>
      </x:c>
      <x:c r="E19" s="12" t="str">
        <x:v>Awfis - Prestige Shantiniketan</x:v>
      </x:c>
      <x:c r="F19" s="12" t="str">
        <x:v>Hoodi</x:v>
      </x:c>
      <x:c r="G19" s="11" t="n">
        <x:v>2</x:v>
      </x:c>
      <x:c r="H19" s="2" t="str">
        <x:v>32 inch LED TV</x:v>
      </x:c>
      <x:c r="I19" s="12" t="str">
        <x:v>Mozarc Medical India Private Limited; Tata Elxsi Limited; Zensar Technologies Ltd; Optym India Private Limited; Pathfinder Realty Solutions; Emerson Automation Solutions; NL Transportation pvt ltd; Flowserve Global Technology &amp; Engineering Center (GTEC)</x:v>
      </x:c>
      <x:c r="J19" s="2" t="n">
        <x:v>8</x:v>
      </x:c>
      <x:c r="K19" s="12" t="str">
        <x:v>Inventory-listed building/workspace context; current occupancy and screen access unverified</x:v>
      </x:c>
      <x:c r="L19" s="12" t="str">
        <x:v>IT &amp; digital; Engineering &amp; manufacturing; Healthcare &amp; life sciences; Trade, consumer &amp; logistics</x:v>
      </x:c>
      <x:c r="M19" s="12" t="str">
        <x:v>Small-scale prospects; Medium-scale prospects; Large enterprise; Mixed business audience</x:v>
      </x:c>
      <x:c r="N19" s="12" t="str">
        <x:v>MAIN-017</x:v>
      </x:c>
      <x:c r="O19" s="13" t="n">
        <x:v>12.988898</x:v>
      </x:c>
      <x:c r="P19" s="13" t="n">
        <x:v>77.729035</x:v>
      </x:c>
      <x:c r="Q19" s="2" t="str">
        <x:v>https://www.google.com/maps?q=12.988898,77.729035</x:v>
      </x:c>
      <x:c r="R19" s="2" t="str">
        <x:v>TEN-084E2EC3A700; TEN-8409366CFBB2; TEN-8AD337DA4F25; TEN-9CDD1B64DEF0; TEN-A28C5273EF9B; TEN-A7C7B2FB5107; TEN-B01D8FD40501; TEN-FECD2DA15F6C</x:v>
      </x:c>
      <x:c r="S19" s="12" t="str">
        <x:v>Flexible workspace / mixed businesses</x:v>
      </x:c>
      <x:c r="T19" s="12" t="str">
        <x:v>Tenant business-type estimates and reviewed company-scale context.</x:v>
      </x:c>
    </x:row>
    <x:row r="20" ht="64" customHeight="1">
      <x:c r="A20" s="10" t="n">
        <x:v>1</x:v>
      </x:c>
      <x:c r="B20" s="2" t="str">
        <x:v>CORP-0014</x:v>
      </x:c>
      <x:c r="C20" s="2" t="str">
        <x:v>Bengaluru</x:v>
      </x:c>
      <x:c r="D20" s="2" t="str">
        <x:v>MSAHQ683</x:v>
      </x:c>
      <x:c r="E20" s="12" t="str">
        <x:v>Awfis - Prestige Tech Park</x:v>
      </x:c>
      <x:c r="F20" s="12" t="str">
        <x:v>Dr Puneeth Rajkumar Rd</x:v>
      </x:c>
      <x:c r="G20" s="11" t="n">
        <x:v>3</x:v>
      </x:c>
      <x:c r="H20" s="2" t="str">
        <x:v>32 inch LED TV</x:v>
      </x:c>
      <x:c r="I20" s="12" t="str">
        <x:v>Deloitte</x:v>
      </x:c>
      <x:c r="J20" s="2" t="n">
        <x:v>1</x:v>
      </x:c>
      <x:c r="K20" s="12" t="str">
        <x:v>Inventory-listed building/workspace context; current occupancy and screen access unverified</x:v>
      </x:c>
      <x:c r="L20" s="12" t="str">
        <x:v>Professional services</x:v>
      </x:c>
      <x:c r="M20" s="12" t="str">
        <x:v>Large enterprise</x:v>
      </x:c>
      <x:c r="N20" s="12" t="str">
        <x:v>MAIN-018</x:v>
      </x:c>
      <x:c r="O20" s="13" t="n">
        <x:v>12.94038</x:v>
      </x:c>
      <x:c r="P20" s="13" t="n">
        <x:v>77.68906</x:v>
      </x:c>
      <x:c r="Q20" s="2" t="str">
        <x:v>https://www.google.com/maps?q=12.94038,77.68906</x:v>
      </x:c>
      <x:c r="R20" s="2" t="str">
        <x:v>TEN-3E808ECE8227</x:v>
      </x:c>
      <x:c r="S20" s="12" t="str">
        <x:v>Flexible workspace / mixed businesses</x:v>
      </x:c>
      <x:c r="T20" s="12" t="str">
        <x:v>Tenant business-type estimates and reviewed company-scale context.</x:v>
      </x:c>
    </x:row>
    <x:row r="21" ht="64" customHeight="1">
      <x:c r="A21" s="10" t="n">
        <x:v>1</x:v>
      </x:c>
      <x:c r="B21" s="2" t="str">
        <x:v>CORP-0015</x:v>
      </x:c>
      <x:c r="C21" s="2" t="str">
        <x:v>Bengaluru</x:v>
      </x:c>
      <x:c r="D21" s="2" t="str">
        <x:v>MSDA9R3R</x:v>
      </x:c>
      <x:c r="E21" s="12" t="str">
        <x:v>Awfis - Prestige Tech Park 2 (Mercury)</x:v>
      </x:c>
      <x:c r="F21" s="12" t="str">
        <x:v>Bellandur</x:v>
      </x:c>
      <x:c r="G21" s="11" t="n">
        <x:v>4</x:v>
      </x:c>
      <x:c r="H21" s="2" t="str">
        <x:v>32 inch LED TV</x:v>
      </x:c>
      <x:c r="I21" s="12" t="str">
        <x:v>Futures First Info Services Pvt. Ltd; Lycadigital Private Limited; Deloitte India Pvt Ltd; Technacle IT Services Pvt Ltd</x:v>
      </x:c>
      <x:c r="J21" s="2" t="n">
        <x:v>4</x:v>
      </x:c>
      <x:c r="K21" s="12" t="str">
        <x:v>Inventory-listed building/workspace context; current occupancy and screen access unverified</x:v>
      </x:c>
      <x:c r="L21" s="12" t="str">
        <x:v>IT &amp; digital; Professional services; Unresolved</x:v>
      </x:c>
      <x:c r="M21" s="12" t="str">
        <x:v>Small-scale prospects; Large enterprise; Mixed business audience</x:v>
      </x:c>
      <x:c r="N21" s="12" t="str">
        <x:v>MAIN-019</x:v>
      </x:c>
      <x:c r="O21" s="13" t="n">
        <x:v>12.942049980163574</x:v>
      </x:c>
      <x:c r="P21" s="13" t="n">
        <x:v>77.69395446777344</x:v>
      </x:c>
      <x:c r="Q21" s="2" t="str">
        <x:v>https://www.google.com/maps?q=12.942049980163574,77.69395446777344</x:v>
      </x:c>
      <x:c r="R21" s="2" t="str">
        <x:v>TEN-2D6976ADE238; TEN-62B33B9D15E1; TEN-C0693165E3AF; TEN-D8D1BC06B2BE</x:v>
      </x:c>
      <x:c r="S21" s="12" t="str">
        <x:v>Flexible workspace / mixed businesses</x:v>
      </x:c>
      <x:c r="T21" s="12" t="str">
        <x:v>Tenant business-type estimates and reviewed company-scale context.</x:v>
      </x:c>
    </x:row>
    <x:row r="22" ht="64" customHeight="1">
      <x:c r="A22" s="10" t="n">
        <x:v>1</x:v>
      </x:c>
      <x:c r="B22" s="2" t="str">
        <x:v>CORP-0016</x:v>
      </x:c>
      <x:c r="C22" s="2" t="str">
        <x:v>Bengaluru</x:v>
      </x:c>
      <x:c r="D22" s="2" t="str">
        <x:v>MSYTRYBQ</x:v>
      </x:c>
      <x:c r="E22" s="12" t="str">
        <x:v>AWFIS - PTP 4 Jupiter</x:v>
      </x:c>
      <x:c r="F22" s="12" t="str">
        <x:v>Bellandur</x:v>
      </x:c>
      <x:c r="G22" s="11" t="n">
        <x:v>1</x:v>
      </x:c>
      <x:c r="H22" s="2" t="str">
        <x:v>32 inch LED TV</x:v>
      </x:c>
      <x:c r="I22" s="12" t="str">
        <x:v>Honda R&amp;D (India) Private Limited; Codilar Technologies Pvt Ltd; UNO MINDA Global Centre</x:v>
      </x:c>
      <x:c r="J22" s="2" t="n">
        <x:v>3</x:v>
      </x:c>
      <x:c r="K22" s="12" t="str">
        <x:v>Inventory-listed building/workspace context; current occupancy and screen access unverified</x:v>
      </x:c>
      <x:c r="L22" s="12" t="str">
        <x:v>IT &amp; digital; Professional services; Engineering &amp; manufacturing</x:v>
      </x:c>
      <x:c r="M22" s="12" t="str">
        <x:v>Medium-scale prospects; Mixed business audience</x:v>
      </x:c>
      <x:c r="N22" s="12" t="str">
        <x:v>MAIN-020</x:v>
      </x:c>
      <x:c r="O22" s="13" t="n">
        <x:v>12.942512512207031</x:v>
      </x:c>
      <x:c r="P22" s="13" t="n">
        <x:v>77.69507598876953</x:v>
      </x:c>
      <x:c r="Q22" s="2" t="str">
        <x:v>https://www.google.com/maps?q=12.942512512207031,77.69507598876953</x:v>
      </x:c>
      <x:c r="R22" s="2" t="str">
        <x:v>TEN-0E45FC6E55A1; TEN-5A77600C2DAB; TEN-74F11F226AA1</x:v>
      </x:c>
      <x:c r="S22" s="12" t="str">
        <x:v>Flexible workspace / mixed businesses</x:v>
      </x:c>
      <x:c r="T22" s="12" t="str">
        <x:v>Tenant business-type estimates and reviewed company-scale context.</x:v>
      </x:c>
    </x:row>
    <x:row r="23" ht="64" customHeight="1">
      <x:c r="A23" s="10" t="n">
        <x:v>1</x:v>
      </x:c>
      <x:c r="B23" s="2" t="str">
        <x:v>CORP-0017</x:v>
      </x:c>
      <x:c r="C23" s="2" t="str">
        <x:v>Bengaluru</x:v>
      </x:c>
      <x:c r="D23" s="2" t="str">
        <x:v>MS03T17J</x:v>
      </x:c>
      <x:c r="E23" s="12" t="str">
        <x:v>AWFIS - PTP 4 Venus</x:v>
      </x:c>
      <x:c r="F23" s="12" t="str">
        <x:v>Bellandur</x:v>
      </x:c>
      <x:c r="G23" s="11" t="n">
        <x:v>1</x:v>
      </x:c>
      <x:c r="H23" s="2" t="str">
        <x:v>32 inch LED TV</x:v>
      </x:c>
      <x:c r="I23" s="12" t="str">
        <x:v>Centaus Technologies</x:v>
      </x:c>
      <x:c r="J23" s="2" t="n">
        <x:v>1</x:v>
      </x:c>
      <x:c r="K23" s="12" t="str">
        <x:v>Inventory-listed building/workspace context; current occupancy and screen access unverified</x:v>
      </x:c>
      <x:c r="L23" s="12" t="str">
        <x:v>Unresolved</x:v>
      </x:c>
      <x:c r="M23" s="12" t="str">
        <x:v>Mixed business audience</x:v>
      </x:c>
      <x:c r="N23" s="12" t="str">
        <x:v>MAIN-021</x:v>
      </x:c>
      <x:c r="O23" s="13" t="n">
        <x:v>12.942169189453125</x:v>
      </x:c>
      <x:c r="P23" s="13" t="n">
        <x:v>77.69219970703125</x:v>
      </x:c>
      <x:c r="Q23" s="2" t="str">
        <x:v>https://www.google.com/maps?q=12.942169189453125,77.69219970703125</x:v>
      </x:c>
      <x:c r="R23" s="2" t="str">
        <x:v>TEN-22AB01C3CE3F</x:v>
      </x:c>
      <x:c r="S23" s="12" t="str">
        <x:v>Flexible workspace / mixed businesses</x:v>
      </x:c>
      <x:c r="T23" s="12" t="str">
        <x:v>Tenant business-type estimates and reviewed company-scale context.</x:v>
      </x:c>
    </x:row>
    <x:row r="24" ht="64" customHeight="1">
      <x:c r="A24" s="10" t="n">
        <x:v>1</x:v>
      </x:c>
      <x:c r="B24" s="2" t="str">
        <x:v>CORP-0018</x:v>
      </x:c>
      <x:c r="C24" s="2" t="str">
        <x:v>Bengaluru</x:v>
      </x:c>
      <x:c r="D24" s="2" t="str">
        <x:v>MSJX9ET1</x:v>
      </x:c>
      <x:c r="E24" s="12" t="str">
        <x:v>Awfis - Residency Road</x:v>
      </x:c>
      <x:c r="F24" s="12" t="str">
        <x:v>Ashok Nagar</x:v>
      </x:c>
      <x:c r="G24" s="11" t="n">
        <x:v>2</x:v>
      </x:c>
      <x:c r="H24" s="2" t="str">
        <x:v>32 inch LED TV</x:v>
      </x:c>
      <x:c r="I24" s="12" t="str">
        <x:v>Cubic logic; Acalvio technlogies; We sure; Msh; EF informstion systems; Sodexo; Kontoor</x:v>
      </x:c>
      <x:c r="J24" s="2" t="n">
        <x:v>7</x:v>
      </x:c>
      <x:c r="K24" s="12" t="str">
        <x:v>Inventory-listed building/workspace context; current occupancy and screen access unverified</x:v>
      </x:c>
      <x:c r="L24" s="12" t="str">
        <x:v>IT &amp; digital; Trade, consumer &amp; logistics; Unresolved</x:v>
      </x:c>
      <x:c r="M24" s="12" t="str">
        <x:v>Small-scale prospects; Large enterprise; Mixed business audience</x:v>
      </x:c>
      <x:c r="N24" s="12" t="str">
        <x:v>MAIN-022</x:v>
      </x:c>
      <x:c r="O24" s="13" t="n">
        <x:v>12.972040176391602</x:v>
      </x:c>
      <x:c r="P24" s="13" t="n">
        <x:v>77.60591125488281</x:v>
      </x:c>
      <x:c r="Q24" s="2" t="str">
        <x:v>https://www.google.com/maps?q=12.972040176391602,77.60591125488281</x:v>
      </x:c>
      <x:c r="R24" s="2" t="str">
        <x:v>TEN-2154BACB4876; TEN-2A043F714A5D; TEN-38F159E0F563; TEN-789152CEB14A; TEN-9798C1F06070; TEN-CBF7D0A12825; TEN-D898066E6A61</x:v>
      </x:c>
      <x:c r="S24" s="12" t="str">
        <x:v>Flexible workspace / mixed businesses</x:v>
      </x:c>
      <x:c r="T24" s="12" t="str">
        <x:v>Tenant business-type estimates and reviewed company-scale context.</x:v>
      </x:c>
    </x:row>
    <x:row r="25" ht="64" customHeight="1">
      <x:c r="A25" s="10" t="n">
        <x:v>1</x:v>
      </x:c>
      <x:c r="B25" s="2" t="str">
        <x:v>CORP-0019</x:v>
      </x:c>
      <x:c r="C25" s="2" t="str">
        <x:v>Bengaluru</x:v>
      </x:c>
      <x:c r="D25" s="2" t="str">
        <x:v>MSXJ1N8R</x:v>
      </x:c>
      <x:c r="E25" s="12" t="str">
        <x:v>Awfis - Residency Square</x:v>
      </x:c>
      <x:c r="F25" s="12" t="str">
        <x:v>Shanthala Nagar</x:v>
      </x:c>
      <x:c r="G25" s="11" t="n">
        <x:v>6</x:v>
      </x:c>
      <x:c r="H25" s="2" t="str">
        <x:v>32 inch LED TV</x:v>
      </x:c>
      <x:c r="I25" s="12" t="str">
        <x:v>Info School SAS Training Centre; Sonata Software</x:v>
      </x:c>
      <x:c r="J25" s="2" t="n">
        <x:v>2</x:v>
      </x:c>
      <x:c r="K25" s="12" t="str">
        <x:v>Inventory-listed building/workspace context; current occupancy and screen access unverified</x:v>
      </x:c>
      <x:c r="L25" s="12" t="str">
        <x:v>IT &amp; digital; Education</x:v>
      </x:c>
      <x:c r="M25" s="12" t="str">
        <x:v>Small-scale prospects; Large enterprise</x:v>
      </x:c>
      <x:c r="N25" s="12" t="str">
        <x:v>MAIN-023</x:v>
      </x:c>
      <x:c r="O25" s="13" t="n">
        <x:v>12.96582</x:v>
      </x:c>
      <x:c r="P25" s="13" t="n">
        <x:v>77.600314</x:v>
      </x:c>
      <x:c r="Q25" s="2" t="str">
        <x:v>https://www.google.com/maps?q=12.96582,77.600314</x:v>
      </x:c>
      <x:c r="R25" s="2" t="str">
        <x:v>TEN-278F9A56272F; TEN-BF2CB5C4CB25</x:v>
      </x:c>
      <x:c r="S25" s="12" t="str">
        <x:v>Flexible workspace / mixed businesses</x:v>
      </x:c>
      <x:c r="T25" s="12" t="str">
        <x:v>Tenant business-type estimates and reviewed company-scale context.</x:v>
      </x:c>
    </x:row>
    <x:row r="26" ht="64" customHeight="1">
      <x:c r="A26" s="10" t="n">
        <x:v>1</x:v>
      </x:c>
      <x:c r="B26" s="2" t="str">
        <x:v>CORP-0020</x:v>
      </x:c>
      <x:c r="C26" s="2" t="str">
        <x:v>Bengaluru</x:v>
      </x:c>
      <x:c r="D26" s="2" t="str">
        <x:v>MS5WJ2MR</x:v>
      </x:c>
      <x:c r="E26" s="12" t="str">
        <x:v>Awfis - Soul Space Paradigm</x:v>
      </x:c>
      <x:c r="F26" s="12" t="str">
        <x:v>Varthur</x:v>
      </x:c>
      <x:c r="G26" s="11" t="n">
        <x:v>2</x:v>
      </x:c>
      <x:c r="H26" s="2" t="str">
        <x:v>32 inch LED TV</x:v>
      </x:c>
      <x:c r="I26" s="12" t="str">
        <x:v>Cybergyan Software Training; Colossal Developers Pvt.Ltd</x:v>
      </x:c>
      <x:c r="J26" s="2" t="n">
        <x:v>2</x:v>
      </x:c>
      <x:c r="K26" s="12" t="str">
        <x:v>Inventory-listed building/workspace context; current occupancy and screen access unverified</x:v>
      </x:c>
      <x:c r="L26" s="12" t="str">
        <x:v>Education; Trade, consumer &amp; logistics</x:v>
      </x:c>
      <x:c r="M26" s="12" t="str">
        <x:v>Small-scale prospects</x:v>
      </x:c>
      <x:c r="N26" s="12" t="str">
        <x:v>MAIN-024</x:v>
      </x:c>
      <x:c r="O26" s="13" t="n">
        <x:v>12.95128</x:v>
      </x:c>
      <x:c r="P26" s="13" t="n">
        <x:v>77.69924</x:v>
      </x:c>
      <x:c r="Q26" s="2" t="str">
        <x:v>https://www.google.com/maps?q=12.95128,77.69924</x:v>
      </x:c>
      <x:c r="R26" s="2" t="str">
        <x:v>TEN-21D8CC8F4466; TEN-3E2A5D865C6E</x:v>
      </x:c>
      <x:c r="S26" s="12" t="str">
        <x:v>Flexible workspace / mixed businesses</x:v>
      </x:c>
      <x:c r="T26" s="12" t="str">
        <x:v>Tenant business-type estimates and reviewed company-scale context.</x:v>
      </x:c>
    </x:row>
    <x:row r="27" ht="64" customHeight="1">
      <x:c r="A27" s="10" t="n">
        <x:v>1</x:v>
      </x:c>
      <x:c r="B27" s="2" t="str">
        <x:v>CORP-0021</x:v>
      </x:c>
      <x:c r="C27" s="2" t="str">
        <x:v>Bengaluru</x:v>
      </x:c>
      <x:c r="D27" s="2" t="str">
        <x:v>MSK5X3FM</x:v>
      </x:c>
      <x:c r="E27" s="12" t="str">
        <x:v>Awfis - ST Mark's Road</x:v>
      </x:c>
      <x:c r="F27" s="12" t="str">
        <x:v>Shantala Nagar</x:v>
      </x:c>
      <x:c r="G27" s="11" t="n">
        <x:v>5</x:v>
      </x:c>
      <x:c r="H27" s="2" t="str">
        <x:v>32 inch LED TV</x:v>
      </x:c>
      <x:c r="I27" s="12" t="str">
        <x:v>Alucor; Collison; Delixus Software India Ltd; AdventSys Technologies Private Limited; BoopinCommunications Pvt. ltd; Install 365; Skyland Immigration and Careers; Paybooks</x:v>
      </x:c>
      <x:c r="J27" s="2" t="n">
        <x:v>8</x:v>
      </x:c>
      <x:c r="K27" s="12" t="str">
        <x:v>Inventory-listed building/workspace context; current occupancy and screen access unverified</x:v>
      </x:c>
      <x:c r="L27" s="12" t="str">
        <x:v>IT &amp; digital; Professional services; Engineering &amp; manufacturing; Unresolved</x:v>
      </x:c>
      <x:c r="M27" s="12" t="str">
        <x:v>Small-scale prospects; Medium-scale prospects; Mixed business audience</x:v>
      </x:c>
      <x:c r="N27" s="12" t="str">
        <x:v>MAIN-025</x:v>
      </x:c>
      <x:c r="O27" s="13" t="n">
        <x:v>12.96957</x:v>
      </x:c>
      <x:c r="P27" s="13" t="n">
        <x:v>77.60054</x:v>
      </x:c>
      <x:c r="Q27" s="2" t="str">
        <x:v>https://www.google.com/maps?q=12.96957,77.60054</x:v>
      </x:c>
      <x:c r="R27" s="2" t="str">
        <x:v>TEN-1C3B3DE3D7AC; TEN-6301EA260891; TEN-7C36EE850090; TEN-AF8F13CB7306; TEN-B68573D869BB; TEN-CD1E3E30F0DB; TEN-DAD06958BAD2; TEN-EEB196C4318F</x:v>
      </x:c>
      <x:c r="S27" s="12" t="str">
        <x:v>Flexible workspace / mixed businesses</x:v>
      </x:c>
      <x:c r="T27" s="12" t="str">
        <x:v>Tenant business-type estimates and reviewed company-scale context.</x:v>
      </x:c>
    </x:row>
    <x:row r="28" ht="64" customHeight="1">
      <x:c r="A28" s="10" t="n">
        <x:v>1</x:v>
      </x:c>
      <x:c r="B28" s="2" t="str">
        <x:v>CORP-0022</x:v>
      </x:c>
      <x:c r="C28" s="2" t="str">
        <x:v>Bengaluru</x:v>
      </x:c>
      <x:c r="D28" s="2" t="str">
        <x:v>MSAD7JWX</x:v>
      </x:c>
      <x:c r="E28" s="12" t="str">
        <x:v>Awfis - Vajram Esteva</x:v>
      </x:c>
      <x:c r="F28" s="12" t="str">
        <x:v>Devarabisanahalli</x:v>
      </x:c>
      <x:c r="G28" s="11" t="n">
        <x:v>4</x:v>
      </x:c>
      <x:c r="H28" s="2" t="str">
        <x:v>32 inch LED TV</x:v>
      </x:c>
      <x:c r="I28" s="12" t="str">
        <x:v>WayCool; Truminds Software Systems; Scalene Works</x:v>
      </x:c>
      <x:c r="J28" s="2" t="n">
        <x:v>3</x:v>
      </x:c>
      <x:c r="K28" s="12" t="str">
        <x:v>Inventory-listed building/workspace context; current occupancy and screen access unverified</x:v>
      </x:c>
      <x:c r="L28" s="12" t="str">
        <x:v>IT &amp; digital; Professional services; Trade, consumer &amp; logistics</x:v>
      </x:c>
      <x:c r="M28" s="12" t="str">
        <x:v>Small-scale prospects</x:v>
      </x:c>
      <x:c r="N28" s="12" t="str">
        <x:v>MAIN-026</x:v>
      </x:c>
      <x:c r="O28" s="13" t="n">
        <x:v>12.930465</x:v>
      </x:c>
      <x:c r="P28" s="13" t="n">
        <x:v>77.68628</x:v>
      </x:c>
      <x:c r="Q28" s="2" t="str">
        <x:v>https://www.google.com/maps?q=12.930465,77.68628</x:v>
      </x:c>
      <x:c r="R28" s="2" t="str">
        <x:v>TEN-197BE48BE03D; TEN-7AA934A270B5; TEN-918C82EDA072</x:v>
      </x:c>
      <x:c r="S28" s="12" t="str">
        <x:v>Flexible workspace / mixed businesses</x:v>
      </x:c>
      <x:c r="T28" s="12" t="str">
        <x:v>Tenant business-type estimates and reviewed company-scale context.</x:v>
      </x:c>
    </x:row>
    <x:row r="29" ht="64" customHeight="1">
      <x:c r="A29" s="10" t="n">
        <x:v>1</x:v>
      </x:c>
      <x:c r="B29" s="2" t="str">
        <x:v>CORP-0023</x:v>
      </x:c>
      <x:c r="C29" s="2" t="str">
        <x:v>Bengaluru</x:v>
      </x:c>
      <x:c r="D29" s="2" t="str">
        <x:v>MSV4ZXW2</x:v>
      </x:c>
      <x:c r="E29" s="12" t="str">
        <x:v>Bhive Workspace - AKR Tech Park</x:v>
      </x:c>
      <x:c r="F29" s="12" t="str">
        <x:v>Krishna Reddy Industrial Area</x:v>
      </x:c>
      <x:c r="G29" s="11" t="n">
        <x:v>6</x:v>
      </x:c>
      <x:c r="H29" s="2" t="str">
        <x:v>32 inch LED TV</x:v>
      </x:c>
      <x:c r="I29" s="12" t="str">
        <x:v>Altruist technologies; ienergizer IT Serviece Pvt.Ltd; Bureau veritas consumer product service Pvt.Ltd; Taal Tech India Pvt.Ltd</x:v>
      </x:c>
      <x:c r="J29" s="2" t="n">
        <x:v>4</x:v>
      </x:c>
      <x:c r="K29" s="12" t="str">
        <x:v>Inventory-listed building/workspace context; current occupancy and screen access unverified</x:v>
      </x:c>
      <x:c r="L29" s="12" t="str">
        <x:v>IT &amp; digital; Professional services; Engineering &amp; manufacturing</x:v>
      </x:c>
      <x:c r="M29" s="12" t="str">
        <x:v>Small-scale prospects; Medium-scale prospects; Mixed business audience</x:v>
      </x:c>
      <x:c r="N29" s="12" t="str">
        <x:v>MAIN-027</x:v>
      </x:c>
      <x:c r="O29" s="13" t="n">
        <x:v>12.892623901367188</x:v>
      </x:c>
      <x:c r="P29" s="13" t="n">
        <x:v>77.63954162597656</x:v>
      </x:c>
      <x:c r="Q29" s="2" t="str">
        <x:v>https://www.google.com/maps?q=12.892623901367188,77.63954162597656</x:v>
      </x:c>
      <x:c r="R29" s="2" t="str">
        <x:v>TEN-46217CA33338; TEN-4B0E7517D5F2; TEN-A627CC7CE64B; TEN-B27BEC4C0CF2</x:v>
      </x:c>
      <x:c r="S29" s="12" t="str">
        <x:v>Flexible workspace / mixed businesses</x:v>
      </x:c>
      <x:c r="T29" s="12" t="str">
        <x:v>Tenant business-type estimates and reviewed company-scale context.</x:v>
      </x:c>
    </x:row>
    <x:row r="30" ht="64" customHeight="1">
      <x:c r="A30" s="10" t="n">
        <x:v>1</x:v>
      </x:c>
      <x:c r="B30" s="2" t="str">
        <x:v>CORP-0024</x:v>
      </x:c>
      <x:c r="C30" s="2" t="str">
        <x:v>Bengaluru</x:v>
      </x:c>
      <x:c r="D30" s="2" t="str">
        <x:v>MS0RVAYF</x:v>
      </x:c>
      <x:c r="E30" s="12" t="str">
        <x:v>Bhive Workspace - HSR Layout 27Th Main</x:v>
      </x:c>
      <x:c r="F30" s="12" t="str">
        <x:v>HSR Layout</x:v>
      </x:c>
      <x:c r="G30" s="11" t="n">
        <x:v>1</x:v>
      </x:c>
      <x:c r="H30" s="2" t="str">
        <x:v>32 inch LED TV</x:v>
      </x:c>
      <x:c r="I30" s="12" t="str">
        <x:v>ROBORA; Magical Nest Pvt Ltd; Perceived Design Pvt Ltd; Tokovr; Scientiamobile Technologies India Pvt Ltd; BLUEJAY WORKTECH PRIVATE LIMITED; Goldstone Technologies Limited; Glossaread Technologies Pvt Ltd; SUPER V TECHNOLOGIES; Findem technologies India Pvt ltd; SOBEK GUARDING PVT LTD</x:v>
      </x:c>
      <x:c r="J30" s="2" t="n">
        <x:v>11</x:v>
      </x:c>
      <x:c r="K30" s="12" t="str">
        <x:v>Inventory-listed building/workspace context; current occupancy and screen access unverified</x:v>
      </x:c>
      <x:c r="L30" s="12" t="str">
        <x:v>IT &amp; digital; Professional services; Education; Unresolved</x:v>
      </x:c>
      <x:c r="M30" s="12" t="str">
        <x:v>Small-scale prospects; Mixed business audience</x:v>
      </x:c>
      <x:c r="N30" s="12" t="str">
        <x:v>MAIN-028</x:v>
      </x:c>
      <x:c r="O30" s="13" t="n">
        <x:v>12.90082836151123</x:v>
      </x:c>
      <x:c r="P30" s="13" t="n">
        <x:v>77.64825439453125</x:v>
      </x:c>
      <x:c r="Q30" s="2" t="str">
        <x:v>https://www.google.com/maps?q=12.90082836151123,77.64825439453125</x:v>
      </x:c>
      <x:c r="R30" s="2" t="str">
        <x:v>TEN-0E9A282DFFCB; TEN-1C5B10435526; TEN-1F1E5E68B842; TEN-21D1AC1A15C8; TEN-53CEEF981FF3; TEN-5530B09CCCE4; TEN-C2614279D52E; TEN-CC59F257497B; TEN-D718C642648D; TEN-EDB7F8479A70; TEN-F0A871FED375</x:v>
      </x:c>
      <x:c r="S30" s="12" t="str">
        <x:v>Flexible workspace / mixed businesses</x:v>
      </x:c>
      <x:c r="T30" s="12" t="str">
        <x:v>Tenant business-type estimates and reviewed company-scale context.</x:v>
      </x:c>
    </x:row>
    <x:row r="31" ht="64" customHeight="1">
      <x:c r="A31" s="10" t="n">
        <x:v>1</x:v>
      </x:c>
      <x:c r="B31" s="2" t="str">
        <x:v>CORP-0025</x:v>
      </x:c>
      <x:c r="C31" s="2" t="str">
        <x:v>Bengaluru</x:v>
      </x:c>
      <x:c r="D31" s="2" t="str">
        <x:v>MSHKBKA9</x:v>
      </x:c>
      <x:c r="E31" s="12" t="str">
        <x:v>Bhive Workspace - HSR Sector 6 Service Road Unit A</x:v>
      </x:c>
      <x:c r="F31" s="12" t="str">
        <x:v>HSR Layout</x:v>
      </x:c>
      <x:c r="G31" s="11" t="n">
        <x:v>3</x:v>
      </x:c>
      <x:c r="H31" s="2" t="str">
        <x:v>32 inch LED TV</x:v>
      </x:c>
      <x:c r="I31" s="12" t="str">
        <x:v>Zenith LLP; TuskerWorkspace Pvt.Ltd; Boston Business Solutions Pvt.Ltd; Netambit; SpaceAtlas Proptech LLP</x:v>
      </x:c>
      <x:c r="J31" s="2" t="n">
        <x:v>5</x:v>
      </x:c>
      <x:c r="K31" s="12" t="str">
        <x:v>Inventory-listed building/workspace context; current occupancy and screen access unverified</x:v>
      </x:c>
      <x:c r="L31" s="12" t="str">
        <x:v>Professional services; Trade, consumer &amp; logistics; Workspace &amp; property operations; Unresolved</x:v>
      </x:c>
      <x:c r="M31" s="12" t="str">
        <x:v>Small-scale prospects; Mixed business audience</x:v>
      </x:c>
      <x:c r="N31" s="12" t="str">
        <x:v>MAIN-029</x:v>
      </x:c>
      <x:c r="O31" s="13" t="n">
        <x:v>12.917844</x:v>
      </x:c>
      <x:c r="P31" s="13" t="n">
        <x:v>77.624769</x:v>
      </x:c>
      <x:c r="Q31" s="2" t="str">
        <x:v>https://www.google.com/maps?q=12.917844,77.624769</x:v>
      </x:c>
      <x:c r="R31" s="2" t="str">
        <x:v>TEN-45324BA64065; TEN-912465DAB3C4; TEN-A37CB298D632; TEN-C6AEEBB4913C; TEN-DF08715E63C4</x:v>
      </x:c>
      <x:c r="S31" s="12" t="str">
        <x:v>Flexible workspace / mixed businesses</x:v>
      </x:c>
      <x:c r="T31" s="12" t="str">
        <x:v>Tenant business-type estimates and reviewed company-scale context.</x:v>
      </x:c>
    </x:row>
    <x:row r="32" ht="64" customHeight="1">
      <x:c r="A32" s="10" t="n">
        <x:v>1</x:v>
      </x:c>
      <x:c r="B32" s="2" t="str">
        <x:v>CORP-0026</x:v>
      </x:c>
      <x:c r="C32" s="2" t="str">
        <x:v>Bengaluru</x:v>
      </x:c>
      <x:c r="D32" s="2" t="str">
        <x:v>MS84VQZG</x:v>
      </x:c>
      <x:c r="E32" s="12" t="str">
        <x:v>Bhive Workspace - Indiranagar</x:v>
      </x:c>
      <x:c r="F32" s="12" t="str">
        <x:v>Shri Krishna Temple Rd</x:v>
      </x:c>
      <x:c r="G32" s="11" t="n">
        <x:v>6</x:v>
      </x:c>
      <x:c r="H32" s="2" t="str">
        <x:v>32 inch LED TV</x:v>
      </x:c>
      <x:c r="I32" s="12" t="str">
        <x:v>Protecto India Pvt.Ltd; ETAN Transactional India Pvt.Ltd; Dynami Technologies Pvt.Ltd; Augsburg Innowerks Pvt.Ltd; NR Developers and Promoters; Energetic AI Pvt.Ltd; FIRMSAP Rentals LLP; Chutney Retails Services Pvt.Ltd; Manrasa Technologies Pvt.Lt; Chill Life Hospitality LLP; Roling Arrays Consulting Pvt.Ltd</x:v>
      </x:c>
      <x:c r="J32" s="2" t="n">
        <x:v>11</x:v>
      </x:c>
      <x:c r="K32" s="12" t="str">
        <x:v>Inventory-listed building/workspace context; current occupancy and screen access unverified</x:v>
      </x:c>
      <x:c r="L32" s="12" t="str">
        <x:v>IT &amp; digital; Professional services; Trade, consumer &amp; logistics; Unresolved</x:v>
      </x:c>
      <x:c r="M32" s="12" t="str">
        <x:v>Small-scale prospects; Mixed business audience</x:v>
      </x:c>
      <x:c r="N32" s="12" t="str">
        <x:v>MAIN-030</x:v>
      </x:c>
      <x:c r="O32" s="13" t="n">
        <x:v>12.97891902923584</x:v>
      </x:c>
      <x:c r="P32" s="13" t="n">
        <x:v>77.64048767089844</x:v>
      </x:c>
      <x:c r="Q32" s="2" t="str">
        <x:v>https://www.google.com/maps?q=12.97891902923584,77.64048767089844</x:v>
      </x:c>
      <x:c r="R32" s="2" t="str">
        <x:v>TEN-01198AB1CD80; TEN-057756A71604; TEN-11D3882F484B; TEN-1DE8CBBDF5B3; TEN-2CE860A5EC59; TEN-3FAD6CDAE2DF; TEN-93CA6984E0A1; TEN-96311B221568; TEN-97B55E7BDDF1; TEN-D3DBB73A0C6F; TEN-E457419AAEE3</x:v>
      </x:c>
      <x:c r="S32" s="12" t="str">
        <x:v>Flexible workspace / mixed businesses</x:v>
      </x:c>
      <x:c r="T32" s="12" t="str">
        <x:v>Tenant business-type estimates and reviewed company-scale context.</x:v>
      </x:c>
    </x:row>
    <x:row r="33" ht="64" customHeight="1">
      <x:c r="A33" s="10" t="n">
        <x:v>1</x:v>
      </x:c>
      <x:c r="B33" s="2" t="str">
        <x:v>CORP-0027</x:v>
      </x:c>
      <x:c r="C33" s="2" t="str">
        <x:v>Bengaluru</x:v>
      </x:c>
      <x:c r="D33" s="2" t="str">
        <x:v>MSXEQRWN</x:v>
      </x:c>
      <x:c r="E33" s="12" t="str">
        <x:v>Bhive Workspace - Koramangala 5TH Block</x:v>
      </x:c>
      <x:c r="F33" s="12" t="str">
        <x:v>Koramangala</x:v>
      </x:c>
      <x:c r="G33" s="11" t="n">
        <x:v>2</x:v>
      </x:c>
      <x:c r="H33" s="2" t="str">
        <x:v>32 inch LED TV</x:v>
      </x:c>
      <x:c r="I33" s="12" t="str">
        <x:v>Mymoneykarma Infomatics India Pvt ltd; Abreco Freight Pvt.Ltd; Insuremile; Kloude Code Technologies Pvt.Ltd; Catalyst Trusteeship Ltd; Tyreplex Technologies Pvt.Ltd; Secure Connection Pvt.Ltd; Digirovers Solutions; Teachmile; Bharathi &amp; Associations Asset Building Pvt.Ltd; Quiqup Innovation Pvt.Ltd</x:v>
      </x:c>
      <x:c r="J33" s="2" t="n">
        <x:v>11</x:v>
      </x:c>
      <x:c r="K33" s="12" t="str">
        <x:v>Inventory-listed building/workspace context; current occupancy and screen access unverified</x:v>
      </x:c>
      <x:c r="L33" s="12" t="str">
        <x:v>Finance &amp; insurance; Education; Trade, consumer &amp; logistics; Unresolved</x:v>
      </x:c>
      <x:c r="M33" s="12" t="str">
        <x:v>Small-scale prospects; Medium-scale prospects; Mixed business audience</x:v>
      </x:c>
      <x:c r="N33" s="12" t="str">
        <x:v>MAIN-031</x:v>
      </x:c>
      <x:c r="O33" s="13" t="n">
        <x:v>12.934749</x:v>
      </x:c>
      <x:c r="P33" s="13" t="n">
        <x:v>77.612304</x:v>
      </x:c>
      <x:c r="Q33" s="2" t="str">
        <x:v>https://www.google.com/maps?q=12.934749,77.612304</x:v>
      </x:c>
      <x:c r="R33" s="2" t="str">
        <x:v>TEN-04D50CB55236; TEN-0932D55AA74D; TEN-442034601B25; TEN-4CC77A869D12; TEN-8780B4FF8456; TEN-91B387646AE7; TEN-9C17595C000B; TEN-AE331F7CF136; TEN-BDCF2FEA9EB0; TEN-DE8400B24025; TEN-EF524E426F94</x:v>
      </x:c>
      <x:c r="S33" s="12" t="str">
        <x:v>Flexible workspace / mixed businesses</x:v>
      </x:c>
      <x:c r="T33" s="12" t="str">
        <x:v>Tenant business-type estimates and reviewed company-scale context.</x:v>
      </x:c>
    </x:row>
    <x:row r="34" ht="64" customHeight="1">
      <x:c r="A34" s="10" t="n">
        <x:v>1</x:v>
      </x:c>
      <x:c r="B34" s="2" t="str">
        <x:v>CORP-0028</x:v>
      </x:c>
      <x:c r="C34" s="2" t="str">
        <x:v>Bengaluru</x:v>
      </x:c>
      <x:c r="D34" s="2" t="str">
        <x:v>MSVD8SZN</x:v>
      </x:c>
      <x:c r="E34" s="12" t="str">
        <x:v>Bhive Workspace - MG Road</x:v>
      </x:c>
      <x:c r="F34" s="12" t="str">
        <x:v>MG ROAD</x:v>
      </x:c>
      <x:c r="G34" s="11" t="n">
        <x:v>2</x:v>
      </x:c>
      <x:c r="H34" s="2" t="str">
        <x:v>32 inch LED TV</x:v>
      </x:c>
      <x:c r="I34" s="12" t="str">
        <x:v>Winner Games and Technology Pvt.Ltd; Fabulous Club Pvt.Ltd; Ensculp; NK Realtors; Optinn Solutions Pvt.Ltd; Iquadrant Projects Pvt.Ltd; One Earth; Experinztrak Pvt.Ltd; NSD Solutions; Crafting Dialogue Pvt.Ltd; Hill and Bach Lifestyle</x:v>
      </x:c>
      <x:c r="J34" s="2" t="n">
        <x:v>11</x:v>
      </x:c>
      <x:c r="K34" s="12" t="str">
        <x:v>Inventory-listed building/workspace context; current occupancy and screen access unverified</x:v>
      </x:c>
      <x:c r="L34" s="12" t="str">
        <x:v>Trade, consumer &amp; logistics; Unresolved</x:v>
      </x:c>
      <x:c r="M34" s="12" t="str">
        <x:v>Small-scale prospects; Mixed business audience</x:v>
      </x:c>
      <x:c r="N34" s="12" t="str">
        <x:v>MAIN-032</x:v>
      </x:c>
      <x:c r="O34" s="13" t="n">
        <x:v>12.973509</x:v>
      </x:c>
      <x:c r="P34" s="13" t="n">
        <x:v>77.614234</x:v>
      </x:c>
      <x:c r="Q34" s="2" t="str">
        <x:v>https://www.google.com/maps?q=12.973509,77.614234</x:v>
      </x:c>
      <x:c r="R34" s="2" t="str">
        <x:v>TEN-05E5855E29EC; TEN-0B6A8948E21D; TEN-16CA3200A70E; TEN-2F13FED7698A; TEN-389E9A21EACC; TEN-51CFE7F8A5FA; TEN-9504045C2AB3; TEN-9504C9232320; TEN-9B9A4AB08A56; TEN-B32819CCF671; TEN-F405EA0EE2B7</x:v>
      </x:c>
      <x:c r="S34" s="12" t="str">
        <x:v>Flexible workspace / mixed businesses</x:v>
      </x:c>
      <x:c r="T34" s="12" t="str">
        <x:v>Tenant business-type estimates and reviewed company-scale context.</x:v>
      </x:c>
    </x:row>
    <x:row r="35" ht="64" customHeight="1">
      <x:c r="A35" s="10" t="n">
        <x:v>1</x:v>
      </x:c>
      <x:c r="B35" s="2" t="str">
        <x:v>CORP-0029</x:v>
      </x:c>
      <x:c r="C35" s="2" t="str">
        <x:v>Bengaluru</x:v>
      </x:c>
      <x:c r="D35" s="2" t="str">
        <x:v>MSFWFZV8</x:v>
      </x:c>
      <x:c r="E35" s="12" t="str">
        <x:v>Bridge - Excel</x:v>
      </x:c>
      <x:c r="F35" s="12" t="str">
        <x:v>Appareddipalya</x:v>
      </x:c>
      <x:c r="G35" s="11" t="n">
        <x:v>1</x:v>
      </x:c>
      <x:c r="H35" s="2" t="str">
        <x:v>32 inch LED TV</x:v>
      </x:c>
      <x:c r="I35" s="12" t="str">
        <x:v>Swelect Pvt.Ltd; Forth Fortuner</x:v>
      </x:c>
      <x:c r="J35" s="2" t="n">
        <x:v>2</x:v>
      </x:c>
      <x:c r="K35" s="12" t="str">
        <x:v>Inventory-listed building/workspace context; current occupancy and screen access unverified</x:v>
      </x:c>
      <x:c r="L35" s="12" t="str">
        <x:v>Engineering &amp; manufacturing; Unresolved</x:v>
      </x:c>
      <x:c r="M35" s="12" t="str">
        <x:v>Mixed business audience</x:v>
      </x:c>
      <x:c r="N35" s="12" t="str">
        <x:v>MAIN-033</x:v>
      </x:c>
      <x:c r="O35" s="13" t="n">
        <x:v>12.971048</x:v>
      </x:c>
      <x:c r="P35" s="13" t="n">
        <x:v>77.63817</x:v>
      </x:c>
      <x:c r="Q35" s="2" t="str">
        <x:v>https://www.google.com/maps?q=12.971048,77.63817</x:v>
      </x:c>
      <x:c r="R35" s="2" t="str">
        <x:v>TEN-5B3F0160CC24; TEN-A5525ED3A856</x:v>
      </x:c>
      <x:c r="S35" s="12" t="str">
        <x:v>Mixed commercial workplace</x:v>
      </x:c>
      <x:c r="T35" s="12" t="str">
        <x:v>Tenant business-type estimates and reviewed company-scale context.</x:v>
      </x:c>
    </x:row>
    <x:row r="36" ht="64" customHeight="1">
      <x:c r="A36" s="10" t="n">
        <x:v>1</x:v>
      </x:c>
      <x:c r="B36" s="2" t="str">
        <x:v>CORP-0030</x:v>
      </x:c>
      <x:c r="C36" s="2" t="str">
        <x:v>Bengaluru</x:v>
      </x:c>
      <x:c r="D36" s="2" t="str">
        <x:v>MSWNHPFV</x:v>
      </x:c>
      <x:c r="E36" s="12" t="str">
        <x:v>Bridge - Landmark</x:v>
      </x:c>
      <x:c r="F36" s="12" t="str">
        <x:v>HAL 3rd Stage</x:v>
      </x:c>
      <x:c r="G36" s="11" t="n">
        <x:v>1</x:v>
      </x:c>
      <x:c r="H36" s="2" t="str">
        <x:v>32 inch LED TV</x:v>
      </x:c>
      <x:c r="I36" s="12" t="str"/>
      <x:c r="J36" s="2" t="n">
        <x:v>0</x:v>
      </x:c>
      <x:c r="K36" s="12" t="str">
        <x:v>Unresolved; no supported tenant names</x:v>
      </x:c>
      <x:c r="L36" s="12" t="str">
        <x:v>Unclassified</x:v>
      </x:c>
      <x:c r="M36" s="12" t="str">
        <x:v>Mixed business audience</x:v>
      </x:c>
      <x:c r="N36" s="12" t="str">
        <x:v>MAIN-034</x:v>
      </x:c>
      <x:c r="O36" s="13" t="n">
        <x:v>12.9788191</x:v>
      </x:c>
      <x:c r="P36" s="13" t="n">
        <x:v>77.6470612</x:v>
      </x:c>
      <x:c r="Q36" s="2" t="str">
        <x:v>https://www.google.com/maps?q=12.9788191,77.6470612</x:v>
      </x:c>
      <x:c r="R36" s="2" t="str"/>
      <x:c r="S36" s="12" t="str">
        <x:v>Flexible coworking workspace</x:v>
      </x:c>
      <x:c r="T36" s="12" t="str">
        <x:v>Bridge operator identifies Landmark at HAL/Indiranagar and offers desks, cabins and managed offices. Operator self-published location/profile. No client companies or legal MSME size established.</x:v>
      </x:c>
    </x:row>
    <x:row r="37" ht="64" customHeight="1">
      <x:c r="A37" s="10" t="n">
        <x:v>1</x:v>
      </x:c>
      <x:c r="B37" s="2" t="str">
        <x:v>CORP-0031</x:v>
      </x:c>
      <x:c r="C37" s="2" t="str">
        <x:v>Bengaluru</x:v>
      </x:c>
      <x:c r="D37" s="2" t="str">
        <x:v>MS2DNWMM</x:v>
      </x:c>
      <x:c r="E37" s="12" t="str">
        <x:v>Bridge - Work 365 Space</x:v>
      </x:c>
      <x:c r="F37" s="12" t="str">
        <x:v>Binnamangala</x:v>
      </x:c>
      <x:c r="G37" s="11" t="n">
        <x:v>1</x:v>
      </x:c>
      <x:c r="H37" s="2" t="str">
        <x:v>32 inch LED TV</x:v>
      </x:c>
      <x:c r="I37" s="12" t="str">
        <x:v>Telco; Feel at Home; BWW; 3 concepts Building solutions; Premier Abodes; LearNow</x:v>
      </x:c>
      <x:c r="J37" s="2" t="n">
        <x:v>6</x:v>
      </x:c>
      <x:c r="K37" s="12" t="str">
        <x:v>Inventory-listed building/workspace context; current occupancy and screen access unverified</x:v>
      </x:c>
      <x:c r="L37" s="12" t="str">
        <x:v>Education; Unresolved</x:v>
      </x:c>
      <x:c r="M37" s="12" t="str">
        <x:v>Small-scale prospects; Mixed business audience</x:v>
      </x:c>
      <x:c r="N37" s="12" t="str">
        <x:v>MAIN-035</x:v>
      </x:c>
      <x:c r="O37" s="13" t="n">
        <x:v>12.97873259</x:v>
      </x:c>
      <x:c r="P37" s="13" t="n">
        <x:v>77.64424689</x:v>
      </x:c>
      <x:c r="Q37" s="2" t="str">
        <x:v>https://www.google.com/maps?q=12.97873259,77.64424689</x:v>
      </x:c>
      <x:c r="R37" s="2" t="str">
        <x:v>TEN-3A4504E28AA9; TEN-4D017C35F549; TEN-65F6D553633D; TEN-AB266C5DBB39; TEN-CF788C68A5A1; TEN-F750F88F10BD</x:v>
      </x:c>
      <x:c r="S37" s="12" t="str">
        <x:v>Mixed commercial workplace</x:v>
      </x:c>
      <x:c r="T37" s="12" t="str">
        <x:v>Tenant business-type estimates and reviewed company-scale context.</x:v>
      </x:c>
    </x:row>
    <x:row r="38" ht="64" customHeight="1">
      <x:c r="A38" s="10" t="n">
        <x:v>1</x:v>
      </x:c>
      <x:c r="B38" s="2" t="str">
        <x:v>CORP-0032</x:v>
      </x:c>
      <x:c r="C38" s="2" t="str">
        <x:v>Bengaluru</x:v>
      </x:c>
      <x:c r="D38" s="2" t="str">
        <x:v>MS954EG0</x:v>
      </x:c>
      <x:c r="E38" s="12" t="str">
        <x:v>Brookfield - Azure</x:v>
      </x:c>
      <x:c r="F38" s="12" t="str">
        <x:v>Doddaballapur Road</x:v>
      </x:c>
      <x:c r="G38" s="11" t="n">
        <x:v>2</x:v>
      </x:c>
      <x:c r="H38" s="2" t="str">
        <x:v>55 inch LED TV</x:v>
      </x:c>
      <x:c r="I38" s="12" t="str"/>
      <x:c r="J38" s="2" t="n">
        <x:v>0</x:v>
      </x:c>
      <x:c r="K38" s="12" t="str">
        <x:v>Unresolved; no supported tenant names</x:v>
      </x:c>
      <x:c r="L38" s="12" t="str">
        <x:v>Unclassified</x:v>
      </x:c>
      <x:c r="M38" s="12" t="str">
        <x:v>Mixed business audience</x:v>
      </x:c>
      <x:c r="N38" s="12" t="str">
        <x:v>MAIN-036</x:v>
      </x:c>
      <x:c r="O38" s="13" t="n">
        <x:v>13.055606842041016</x:v>
      </x:c>
      <x:c r="P38" s="13" t="n">
        <x:v>77.59391021728516</x:v>
      </x:c>
      <x:c r="Q38" s="2" t="str">
        <x:v>https://www.google.com/maps?q=13.055606842041016,77.59391021728516</x:v>
      </x:c>
      <x:c r="R38" s="2" t="str"/>
      <x:c r="S38" s="12" t="str">
        <x:v>Enterprise office building</x:v>
      </x:c>
      <x:c r="T38" s="12" t="str">
        <x:v>Brookfield identifies Azure as a Bengaluru commercial asset; current investor material identifies approximately 0.5 million sq ft. Source locality says Doddaballapur Road/Yelahanka; exact asset location needs reconciliation. No sector-specific tenant attribution.</x:v>
      </x:c>
    </x:row>
    <x:row r="39" ht="64" customHeight="1">
      <x:c r="A39" s="10" t="n">
        <x:v>1</x:v>
      </x:c>
      <x:c r="B39" s="2" t="str">
        <x:v>CORP-0033</x:v>
      </x:c>
      <x:c r="C39" s="2" t="str">
        <x:v>Bengaluru</x:v>
      </x:c>
      <x:c r="D39" s="2" t="str">
        <x:v>MSXQRZBT</x:v>
      </x:c>
      <x:c r="E39" s="12" t="str">
        <x:v>Brookfield - Centennial</x:v>
      </x:c>
      <x:c r="F39" s="12" t="str">
        <x:v>Brookefield</x:v>
      </x:c>
      <x:c r="G39" s="11" t="n">
        <x:v>2</x:v>
      </x:c>
      <x:c r="H39" s="2" t="str">
        <x:v>55 inch LED TV</x:v>
      </x:c>
      <x:c r="I39" s="12" t="str">
        <x:v>Atos Global IT Solutions and Services Private Limited; Syntel Pvt Ltd; Paladion Networks Pvt Ltd; Eviden IT Services Private Limited</x:v>
      </x:c>
      <x:c r="J39" s="2" t="n">
        <x:v>4</x:v>
      </x:c>
      <x:c r="K39" s="12" t="str">
        <x:v>Company-listed building/campus context; workspace membership and screen access unverified</x:v>
      </x:c>
      <x:c r="L39" s="12" t="str">
        <x:v>IT &amp; digital</x:v>
      </x:c>
      <x:c r="M39" s="12" t="str">
        <x:v>Large enterprise</x:v>
      </x:c>
      <x:c r="N39" s="12" t="str">
        <x:v>MAIN-037</x:v>
      </x:c>
      <x:c r="O39" s="13" t="n">
        <x:v>12.975973129272461</x:v>
      </x:c>
      <x:c r="P39" s="13" t="n">
        <x:v>77.71170806884766</x:v>
      </x:c>
      <x:c r="Q39" s="2" t="str">
        <x:v>https://www.google.com/maps?q=12.975973129272461,77.71170806884766</x:v>
      </x:c>
      <x:c r="R39" s="2" t="str">
        <x:v>TEN-482FDA90611F; TEN-A3B1C08CAD5D; TEN-A59639D4A5A6; TEN-D18D18F1C7DA</x:v>
      </x:c>
      <x:c r="S39" s="12" t="str">
        <x:v>Mixed commercial workplace</x:v>
      </x:c>
      <x:c r="T39" s="12" t="str">
        <x:v>Tenant business-type estimates and reviewed company-scale context.</x:v>
      </x:c>
    </x:row>
    <x:row r="40" ht="64" customHeight="1">
      <x:c r="A40" s="10" t="n">
        <x:v>1</x:v>
      </x:c>
      <x:c r="B40" s="2" t="str">
        <x:v>CORP-0034</x:v>
      </x:c>
      <x:c r="C40" s="2" t="str">
        <x:v>Bengaluru</x:v>
      </x:c>
      <x:c r="D40" s="2" t="str">
        <x:v>MS0SXC3W</x:v>
      </x:c>
      <x:c r="E40" s="12" t="str">
        <x:v>Brookfield - Ecospace</x:v>
      </x:c>
      <x:c r="F40" s="12" t="str">
        <x:v>Bellandur</x:v>
      </x:c>
      <x:c r="G40" s="11" t="n">
        <x:v>4</x:v>
      </x:c>
      <x:c r="H40" s="2" t="str">
        <x:v>55 inch LED TV</x:v>
      </x:c>
      <x:c r="I40" s="12" t="str"/>
      <x:c r="J40" s="2" t="n">
        <x:v>0</x:v>
      </x:c>
      <x:c r="K40" s="12" t="str">
        <x:v>Unresolved; no supported tenant names</x:v>
      </x:c>
      <x:c r="L40" s="12" t="str">
        <x:v>Unclassified</x:v>
      </x:c>
      <x:c r="M40" s="12" t="str">
        <x:v>Mixed business audience</x:v>
      </x:c>
      <x:c r="N40" s="12" t="str">
        <x:v>MAIN-038</x:v>
      </x:c>
      <x:c r="O40" s="13" t="n">
        <x:v>12.928048133850098</x:v>
      </x:c>
      <x:c r="P40" s="13" t="n">
        <x:v>77.68106842041016</x:v>
      </x:c>
      <x:c r="Q40" s="2" t="str">
        <x:v>https://www.google.com/maps?q=12.928048133850098,77.68106842041016</x:v>
      </x:c>
      <x:c r="R40" s="2" t="str"/>
      <x:c r="S40" s="12" t="str">
        <x:v>Enterprise office campus</x:v>
      </x:c>
      <x:c r="T40" s="12" t="str">
        <x:v>Brookfield describes Ecospace in Bellandur as a 25-acre Grade A office campus with 1.5 million sq ft and six completed buildings. Portrait and landscape rows share a property profile only. Their different supplied coordinates are preserved and not treated as an exact shared screen location.</x:v>
      </x:c>
    </x:row>
    <x:row r="41" ht="64" customHeight="1">
      <x:c r="A41" s="10" t="n">
        <x:v>1</x:v>
      </x:c>
      <x:c r="B41" s="2" t="str">
        <x:v>CORP-0035</x:v>
      </x:c>
      <x:c r="C41" s="2" t="str">
        <x:v>Bengaluru</x:v>
      </x:c>
      <x:c r="D41" s="2" t="str">
        <x:v>MSYGK5QH</x:v>
      </x:c>
      <x:c r="E41" s="12" t="str">
        <x:v>Brookfield - EcoWorld</x:v>
      </x:c>
      <x:c r="F41" s="12" t="str">
        <x:v>Bellandur</x:v>
      </x:c>
      <x:c r="G41" s="11" t="n">
        <x:v>16</x:v>
      </x:c>
      <x:c r="H41" s="2" t="str">
        <x:v>55 inch LED TV</x:v>
      </x:c>
      <x:c r="I41" s="12" t="str">
        <x:v>Morgan Stanley; Cadence Design Systems (I) Pvt Ltd; Capgemini Technology Services India Limited; COWRKS India Private Limited</x:v>
      </x:c>
      <x:c r="J41" s="2" t="n">
        <x:v>4</x:v>
      </x:c>
      <x:c r="K41" s="12" t="str">
        <x:v>Company-listed tower/campus context; exact screen access unverified</x:v>
      </x:c>
      <x:c r="L41" s="12" t="str">
        <x:v>IT &amp; digital; Finance &amp; insurance; Engineering &amp; manufacturing; Workspace &amp; property operations</x:v>
      </x:c>
      <x:c r="M41" s="12" t="str">
        <x:v>Large enterprise; Mixed business audience</x:v>
      </x:c>
      <x:c r="N41" s="12" t="str">
        <x:v>MAIN-039</x:v>
      </x:c>
      <x:c r="O41" s="13" t="n">
        <x:v>12.920809745788574</x:v>
      </x:c>
      <x:c r="P41" s="13" t="n">
        <x:v>77.6836929321289</x:v>
      </x:c>
      <x:c r="Q41" s="2" t="str">
        <x:v>https://www.google.com/maps?q=12.920809745788574,77.6836929321289</x:v>
      </x:c>
      <x:c r="R41" s="2" t="str">
        <x:v>TEN-6228A5824A1E; TEN-CB8F9497136D; TEN-E1F3AEFC4A1F; TEN-E2FECF32E1CD</x:v>
      </x:c>
      <x:c r="S41" s="12" t="str">
        <x:v>Mixed commercial workplace</x:v>
      </x:c>
      <x:c r="T41" s="12" t="str">
        <x:v>Tenant business-type estimates and reviewed company-scale context.</x:v>
      </x:c>
    </x:row>
    <x:row r="42" ht="64" customHeight="1">
      <x:c r="A42" s="10" t="n">
        <x:v>1</x:v>
      </x:c>
      <x:c r="B42" s="2" t="str">
        <x:v>CORP-0036</x:v>
      </x:c>
      <x:c r="C42" s="2" t="str">
        <x:v>Bengaluru</x:v>
      </x:c>
      <x:c r="D42" s="2" t="str">
        <x:v>MS7WT645</x:v>
      </x:c>
      <x:c r="E42" s="12" t="str">
        <x:v>Brookfield - North Star</x:v>
      </x:c>
      <x:c r="F42" s="12" t="str">
        <x:v>Yelahanka</x:v>
      </x:c>
      <x:c r="G42" s="11" t="n">
        <x:v>2</x:v>
      </x:c>
      <x:c r="H42" s="2" t="str">
        <x:v>55 inch LED TV</x:v>
      </x:c>
      <x:c r="I42" s="12" t="str"/>
      <x:c r="J42" s="2" t="n">
        <x:v>0</x:v>
      </x:c>
      <x:c r="K42" s="12" t="str">
        <x:v>Unresolved; no supported tenant names</x:v>
      </x:c>
      <x:c r="L42" s="12" t="str">
        <x:v>Unclassified</x:v>
      </x:c>
      <x:c r="M42" s="12" t="str">
        <x:v>Mixed business audience</x:v>
      </x:c>
      <x:c r="N42" s="12" t="str">
        <x:v>MAIN-040</x:v>
      </x:c>
      <x:c r="O42" s="13" t="n">
        <x:v>13.098288536071777</x:v>
      </x:c>
      <x:c r="P42" s="13" t="n">
        <x:v>77.59552001953125</x:v>
      </x:c>
      <x:c r="Q42" s="2" t="str">
        <x:v>https://www.google.com/maps?q=13.098288536071777,77.59552001953125</x:v>
      </x:c>
      <x:c r="R42" s="2" t="str"/>
      <x:c r="S42" s="12" t="str">
        <x:v>Office campus with flexible workspace</x:v>
      </x:c>
      <x:c r="T42" s="12" t="str">
        <x:v>Brookfield portfolio identifies Northstar, Bengaluru and a CoWrks North Star workspace. Historical 2021 portfolio confirms format context, not current clients or headcount.</x:v>
      </x:c>
    </x:row>
    <x:row r="43" ht="64" customHeight="1">
      <x:c r="A43" s="10" t="n">
        <x:v>1</x:v>
      </x:c>
      <x:c r="B43" s="2" t="str">
        <x:v>CORP-0037</x:v>
      </x:c>
      <x:c r="C43" s="2" t="str">
        <x:v>Bengaluru</x:v>
      </x:c>
      <x:c r="D43" s="2" t="str">
        <x:v>MSAEYMZZ</x:v>
      </x:c>
      <x:c r="E43" s="12" t="str">
        <x:v>Brookfield - NXT</x:v>
      </x:c>
      <x:c r="F43" s="12" t="str">
        <x:v>Whitefield</x:v>
      </x:c>
      <x:c r="G43" s="11" t="n">
        <x:v>4</x:v>
      </x:c>
      <x:c r="H43" s="2" t="str">
        <x:v>55 inch LED TV</x:v>
      </x:c>
      <x:c r="I43" s="12" t="str"/>
      <x:c r="J43" s="2" t="n">
        <x:v>0</x:v>
      </x:c>
      <x:c r="K43" s="12" t="str">
        <x:v>Unresolved; no supported tenant names</x:v>
      </x:c>
      <x:c r="L43" s="12" t="str">
        <x:v>Unclassified</x:v>
      </x:c>
      <x:c r="M43" s="12" t="str">
        <x:v>Mixed business audience</x:v>
      </x:c>
      <x:c r="N43" s="12" t="str">
        <x:v>MAIN-041</x:v>
      </x:c>
      <x:c r="O43" s="13" t="n">
        <x:v>12.97848129272461</x:v>
      </x:c>
      <x:c r="P43" s="13" t="n">
        <x:v>77.71327209472656</x:v>
      </x:c>
      <x:c r="Q43" s="2" t="str">
        <x:v>https://www.google.com/maps?q=12.97848129272461,77.71327209472656</x:v>
      </x:c>
      <x:c r="R43" s="2" t="str"/>
      <x:c r="S43" s="12" t="str">
        <x:v>Enterprise office campus</x:v>
      </x:c>
      <x:c r="T43" s="12" t="str">
        <x:v>Owner financial disclosure describes NXT as a commercial office park in Sonnenahalli/KR Puram, Bengaluru. Whitefield is the supplied commercial market. Exact tower and tenants remain unspecified.</x:v>
      </x:c>
    </x:row>
    <x:row r="44" ht="64" customHeight="1">
      <x:c r="A44" s="10" t="n">
        <x:v>1</x:v>
      </x:c>
      <x:c r="B44" s="2" t="str">
        <x:v>CORP-0039</x:v>
      </x:c>
      <x:c r="C44" s="2" t="str">
        <x:v>Bengaluru</x:v>
      </x:c>
      <x:c r="D44" s="2" t="str">
        <x:v>MSJ31MR5</x:v>
      </x:c>
      <x:c r="E44" s="12" t="str">
        <x:v>Coffee Day Square(TST)</x:v>
      </x:c>
      <x:c r="F44" s="12" t="str">
        <x:v>Ashok Nagar</x:v>
      </x:c>
      <x:c r="G44" s="11" t="n">
        <x:v>4</x:v>
      </x:c>
      <x:c r="H44" s="2" t="str">
        <x:v>55 inch LED TV</x:v>
      </x:c>
      <x:c r="I44" s="12" t="str"/>
      <x:c r="J44" s="2" t="n">
        <x:v>0</x:v>
      </x:c>
      <x:c r="K44" s="12" t="str">
        <x:v>Unresolved; no supported tenant names</x:v>
      </x:c>
      <x:c r="L44" s="12" t="str">
        <x:v>Unclassified</x:v>
      </x:c>
      <x:c r="M44" s="12" t="str">
        <x:v>Mixed business audience</x:v>
      </x:c>
      <x:c r="N44" s="12" t="str">
        <x:v>MAIN-043</x:v>
      </x:c>
      <x:c r="O44" s="13" t="n">
        <x:v>12.971683502197266</x:v>
      </x:c>
      <x:c r="P44" s="13" t="n">
        <x:v>77.5942153930664</x:v>
      </x:c>
      <x:c r="Q44" s="2" t="str">
        <x:v>https://www.google.com/maps?q=12.971683502197266,77.5942153930664</x:v>
      </x:c>
      <x:c r="R44" s="2" t="str"/>
      <x:c r="S44" s="12" t="str">
        <x:v>Central business district managed-office context</x:v>
      </x:c>
      <x:c r="T44" s="12" t="str">
        <x:v>Table Space offers a managed office location on Vittal Mallya Road next to Cafe Coffee Day Square. Inventory Coffee Day Square (TST) may refer to the neighbouring Table Space Towers VMR. Do not equate the cafe, Coffee Day office building and Table Space tower without placement confirmation.</x:v>
      </x:c>
    </x:row>
    <x:row r="45" ht="64" customHeight="1">
      <x:c r="A45" s="10" t="n">
        <x:v>1</x:v>
      </x:c>
      <x:c r="B45" s="2" t="str">
        <x:v>CORP-0040</x:v>
      </x:c>
      <x:c r="C45" s="2" t="str">
        <x:v>Bengaluru</x:v>
      </x:c>
      <x:c r="D45" s="2" t="str">
        <x:v>MSAHRHWB</x:v>
      </x:c>
      <x:c r="E45" s="12" t="str">
        <x:v>DSR Techno Cube IT Park</x:v>
      </x:c>
      <x:c r="F45" s="12" t="str">
        <x:v>Varthur</x:v>
      </x:c>
      <x:c r="G45" s="11" t="n">
        <x:v>2</x:v>
      </x:c>
      <x:c r="H45" s="2" t="str">
        <x:v>43 inch LED TV</x:v>
      </x:c>
      <x:c r="I45" s="12" t="str">
        <x:v>Immidart Technologies; CloudifyOps Pvt Ltd; Celona Networks Private Limited; TTK Global Mobility Services</x:v>
      </x:c>
      <x:c r="J45" s="2" t="n">
        <x:v>4</x:v>
      </x:c>
      <x:c r="K45" s="12" t="str">
        <x:v>Inventory-listed building/workspace context; current occupancy and screen access unverified</x:v>
      </x:c>
      <x:c r="L45" s="12" t="str">
        <x:v>IT &amp; digital; Professional services</x:v>
      </x:c>
      <x:c r="M45" s="12" t="str">
        <x:v>Small-scale prospects</x:v>
      </x:c>
      <x:c r="N45" s="12" t="str">
        <x:v>MAIN-044</x:v>
      </x:c>
      <x:c r="O45" s="13" t="n">
        <x:v>12.955511</x:v>
      </x:c>
      <x:c r="P45" s="13" t="n">
        <x:v>77.716235</x:v>
      </x:c>
      <x:c r="Q45" s="2" t="str">
        <x:v>https://www.google.com/maps?q=12.955511,77.716235</x:v>
      </x:c>
      <x:c r="R45" s="2" t="str">
        <x:v>TEN-26965549D9A4; TEN-4ACDF81AA293; TEN-ACC1CC2BE8B0; TEN-CBE8E62BDCBE</x:v>
      </x:c>
      <x:c r="S45" s="12" t="str">
        <x:v>IT and enterprise campus</x:v>
      </x:c>
      <x:c r="T45" s="12" t="str">
        <x:v>Tenant business-type estimates and reviewed company-scale context.</x:v>
      </x:c>
    </x:row>
    <x:row r="46" ht="64" customHeight="1">
      <x:c r="A46" s="10" t="n">
        <x:v>1</x:v>
      </x:c>
      <x:c r="B46" s="2" t="str">
        <x:v>CORP-0041</x:v>
      </x:c>
      <x:c r="C46" s="2" t="str">
        <x:v>Bengaluru</x:v>
      </x:c>
      <x:c r="D46" s="2" t="str">
        <x:v>MSPCD0VH</x:v>
      </x:c>
      <x:c r="E46" s="12" t="str">
        <x:v>Ecradle Coworking Space</x:v>
      </x:c>
      <x:c r="F46" s="12" t="str">
        <x:v>HSR Layout</x:v>
      </x:c>
      <x:c r="G46" s="11" t="n">
        <x:v>2</x:v>
      </x:c>
      <x:c r="H46" s="2" t="str">
        <x:v>32 inch LED TV</x:v>
      </x:c>
      <x:c r="I46" s="12" t="str">
        <x:v>Charzera tech pvt ltd; DSYNCULTR; Realty Focus; span workz; Knowic Infotech pvt ltd; Nodesec; IM solutions; audiocodes; Motorola service centre; VE10xSOFT india pvt ltd; Deevia Software India</x:v>
      </x:c>
      <x:c r="J46" s="2" t="n">
        <x:v>11</x:v>
      </x:c>
      <x:c r="K46" s="12" t="str">
        <x:v>Inventory-listed building/workspace context; current occupancy and screen access unverified</x:v>
      </x:c>
      <x:c r="L46" s="12" t="str">
        <x:v>IT &amp; digital; Engineering &amp; manufacturing; Trade, consumer &amp; logistics; Unresolved</x:v>
      </x:c>
      <x:c r="M46" s="12" t="str">
        <x:v>Small-scale prospects; Mixed business audience</x:v>
      </x:c>
      <x:c r="N46" s="12" t="str">
        <x:v>MAIN-045</x:v>
      </x:c>
      <x:c r="O46" s="13" t="n">
        <x:v>12.909866333007812</x:v>
      </x:c>
      <x:c r="P46" s="13" t="n">
        <x:v>77.63263702392578</x:v>
      </x:c>
      <x:c r="Q46" s="2" t="str">
        <x:v>https://www.google.com/maps?q=12.909866333007812,77.63263702392578</x:v>
      </x:c>
      <x:c r="R46" s="2" t="str">
        <x:v>TEN-16362ADD6C25; TEN-1F166FC93DD9; TEN-58991ECEAA88; TEN-676234A77596; TEN-786F7AC509DC; TEN-883B582891E2; TEN-8D2FC7FF868A; TEN-981025AEFE37; TEN-BC35E03468A2; TEN-BF362F202CF6; TEN-E76AB53619A7</x:v>
      </x:c>
      <x:c r="S46" s="12" t="str">
        <x:v>Flexible workspace / mixed businesses</x:v>
      </x:c>
      <x:c r="T46" s="12" t="str">
        <x:v>Tenant business-type estimates and reviewed company-scale context.</x:v>
      </x:c>
    </x:row>
    <x:row r="47" ht="64" customHeight="1">
      <x:c r="A47" s="10" t="n">
        <x:v>1</x:v>
      </x:c>
      <x:c r="B47" s="2" t="str">
        <x:v>CORP-0042</x:v>
      </x:c>
      <x:c r="C47" s="2" t="str">
        <x:v>Bengaluru</x:v>
      </x:c>
      <x:c r="D47" s="2" t="str">
        <x:v>MSPGD410</x:v>
      </x:c>
      <x:c r="E47" s="12" t="str">
        <x:v>Global Technology Park</x:v>
      </x:c>
      <x:c r="F47" s="12" t="str">
        <x:v>Bellandur</x:v>
      </x:c>
      <x:c r="G47" s="11" t="n">
        <x:v>2</x:v>
      </x:c>
      <x:c r="H47" s="2" t="str">
        <x:v>43 inch LED TV</x:v>
      </x:c>
      <x:c r="I47" s="12" t="str">
        <x:v>GlobalLogic India Private Limited; Accenture; Societe Generale Global Solution Center; Transworld Systems India</x:v>
      </x:c>
      <x:c r="J47" s="2" t="n">
        <x:v>4</x:v>
      </x:c>
      <x:c r="K47" s="12" t="str">
        <x:v>Campus/portfolio roster; individual building occupancy unverified</x:v>
      </x:c>
      <x:c r="L47" s="12" t="str">
        <x:v>IT &amp; digital; Finance &amp; insurance</x:v>
      </x:c>
      <x:c r="M47" s="12" t="str">
        <x:v>Large enterprise; Mixed business audience</x:v>
      </x:c>
      <x:c r="N47" s="12" t="str">
        <x:v>MAIN-046</x:v>
      </x:c>
      <x:c r="O47" s="13" t="n">
        <x:v>12.92381</x:v>
      </x:c>
      <x:c r="P47" s="13" t="n">
        <x:v>77.679697</x:v>
      </x:c>
      <x:c r="Q47" s="2" t="str">
        <x:v>https://www.google.com/maps?q=12.92381,77.679697</x:v>
      </x:c>
      <x:c r="R47" s="2" t="str">
        <x:v>TEN-0DC405922287; TEN-4D748EBD71AF; TEN-8B2321A1E6EF; TEN-F4CEA31C825C</x:v>
      </x:c>
      <x:c r="S47" s="12" t="str">
        <x:v>IT and enterprise campus</x:v>
      </x:c>
      <x:c r="T47" s="12" t="str">
        <x:v>Tenant business-type estimates and reviewed company-scale context.</x:v>
      </x:c>
    </x:row>
    <x:row r="48" ht="64" customHeight="1">
      <x:c r="A48" s="10" t="n">
        <x:v>1</x:v>
      </x:c>
      <x:c r="B48" s="2" t="str">
        <x:v>CORP-0043</x:v>
      </x:c>
      <x:c r="C48" s="2" t="str">
        <x:v>Bengaluru</x:v>
      </x:c>
      <x:c r="D48" s="2" t="str">
        <x:v>MSVRJMH4</x:v>
      </x:c>
      <x:c r="E48" s="12" t="str">
        <x:v>Global Technology park </x:v>
      </x:c>
      <x:c r="F48" s="12" t="str">
        <x:v>Bellandur</x:v>
      </x:c>
      <x:c r="G48" s="11" t="n">
        <x:v>4</x:v>
      </x:c>
      <x:c r="H48" s="2" t="str">
        <x:v>43 inch LED TV</x:v>
      </x:c>
      <x:c r="I48" s="12" t="str">
        <x:v>GlobalLogic India Private Limited; Accenture; Societe Generale Global Solution Center; Transworld Systems India</x:v>
      </x:c>
      <x:c r="J48" s="2" t="n">
        <x:v>4</x:v>
      </x:c>
      <x:c r="K48" s="12" t="str">
        <x:v>Campus/portfolio roster; individual building occupancy unverified</x:v>
      </x:c>
      <x:c r="L48" s="12" t="str">
        <x:v>IT &amp; digital; Finance &amp; insurance</x:v>
      </x:c>
      <x:c r="M48" s="12" t="str">
        <x:v>Large enterprise; Mixed business audience</x:v>
      </x:c>
      <x:c r="N48" s="12" t="str">
        <x:v>MAIN-047</x:v>
      </x:c>
      <x:c r="O48" s="13" t="n">
        <x:v>12.923810005187988</x:v>
      </x:c>
      <x:c r="P48" s="13" t="n">
        <x:v>77.67969512939453</x:v>
      </x:c>
      <x:c r="Q48" s="2" t="str">
        <x:v>https://www.google.com/maps?q=12.923810005187988,77.67969512939453</x:v>
      </x:c>
      <x:c r="R48" s="2" t="str">
        <x:v>TEN-0DC405922287; TEN-4D748EBD71AF; TEN-8B2321A1E6EF; TEN-F4CEA31C825C</x:v>
      </x:c>
      <x:c r="S48" s="12" t="str">
        <x:v>IT and enterprise campus</x:v>
      </x:c>
      <x:c r="T48" s="12" t="str">
        <x:v>Tenant business-type estimates and reviewed company-scale context.</x:v>
      </x:c>
    </x:row>
    <x:row r="49" ht="64" customHeight="1">
      <x:c r="A49" s="10" t="n">
        <x:v>1</x:v>
      </x:c>
      <x:c r="B49" s="2" t="str">
        <x:v>CORP-0044</x:v>
      </x:c>
      <x:c r="C49" s="2" t="str">
        <x:v>Bengaluru</x:v>
      </x:c>
      <x:c r="D49" s="2" t="str">
        <x:v>MS38Z908</x:v>
      </x:c>
      <x:c r="E49" s="12" t="str">
        <x:v>Golden Millenium Tech Park</x:v>
      </x:c>
      <x:c r="F49" s="12" t="str">
        <x:v>Vasanth Nagar</x:v>
      </x:c>
      <x:c r="G49" s="11" t="n">
        <x:v>3</x:v>
      </x:c>
      <x:c r="H49" s="2" t="str">
        <x:v>43 inch LED TV</x:v>
      </x:c>
      <x:c r="I49" s="12" t="str">
        <x:v>AMD Architects; WIND WORLD (INDIA) LTD; Fcm Travel Solutions India Pvt Ltd</x:v>
      </x:c>
      <x:c r="J49" s="2" t="n">
        <x:v>3</x:v>
      </x:c>
      <x:c r="K49" s="12" t="str">
        <x:v>Campus/portfolio roster; individual building occupancy unverified</x:v>
      </x:c>
      <x:c r="L49" s="12" t="str">
        <x:v>Professional services; Engineering &amp; manufacturing; Trade, consumer &amp; logistics</x:v>
      </x:c>
      <x:c r="M49" s="12" t="str">
        <x:v>Small-scale prospects; Mixed business audience</x:v>
      </x:c>
      <x:c r="N49" s="12" t="str">
        <x:v>MAIN-048</x:v>
      </x:c>
      <x:c r="O49" s="13" t="n">
        <x:v>12.990995</x:v>
      </x:c>
      <x:c r="P49" s="13" t="n">
        <x:v>77.593763</x:v>
      </x:c>
      <x:c r="Q49" s="2" t="str">
        <x:v>https://www.google.com/maps?q=12.990995,77.593763</x:v>
      </x:c>
      <x:c r="R49" s="2" t="str">
        <x:v>TEN-1C7A49CFBD0F; TEN-70FB189454F7; TEN-F0FE959E9D6B</x:v>
      </x:c>
      <x:c r="S49" s="12" t="str">
        <x:v>IT and enterprise campus</x:v>
      </x:c>
      <x:c r="T49" s="12" t="str">
        <x:v>Tenant business-type estimates and reviewed company-scale context.</x:v>
      </x:c>
    </x:row>
    <x:row r="50" ht="64" customHeight="1">
      <x:c r="A50" s="10" t="n">
        <x:v>1</x:v>
      </x:c>
      <x:c r="B50" s="2" t="str">
        <x:v>CORP-0045</x:v>
      </x:c>
      <x:c r="C50" s="2" t="str">
        <x:v>Bengaluru</x:v>
      </x:c>
      <x:c r="D50" s="2" t="str">
        <x:v>MS0ZWCF0</x:v>
      </x:c>
      <x:c r="E50" s="12" t="str">
        <x:v>Golden Millenium Tech Park (Pod Screens)</x:v>
      </x:c>
      <x:c r="F50" s="12" t="str">
        <x:v>Vasanth Nagar</x:v>
      </x:c>
      <x:c r="G50" s="11" t="n">
        <x:v>2</x:v>
      </x:c>
      <x:c r="H50" s="2" t="str">
        <x:v>43 inch LED TV</x:v>
      </x:c>
      <x:c r="I50" s="12" t="str">
        <x:v>AMD Architects; WIND WORLD (INDIA) LTD; JustAnswer; DataCore Software India Pvt Ltd; Fcm Travel Solutions India Pvt Ltd</x:v>
      </x:c>
      <x:c r="J50" s="2" t="n">
        <x:v>5</x:v>
      </x:c>
      <x:c r="K50" s="12" t="str">
        <x:v>Campus/portfolio roster; individual building occupancy unverified</x:v>
      </x:c>
      <x:c r="L50" s="12" t="str">
        <x:v>IT &amp; digital; Professional services; Engineering &amp; manufacturing; Trade, consumer &amp; logistics</x:v>
      </x:c>
      <x:c r="M50" s="12" t="str">
        <x:v>Small-scale prospects; Mixed business audience</x:v>
      </x:c>
      <x:c r="N50" s="12" t="str">
        <x:v>MAIN-049</x:v>
      </x:c>
      <x:c r="O50" s="13" t="n">
        <x:v>12.990937</x:v>
      </x:c>
      <x:c r="P50" s="13" t="n">
        <x:v>77.593775</x:v>
      </x:c>
      <x:c r="Q50" s="2" t="str">
        <x:v>https://www.google.com/maps?q=12.990937,77.593775</x:v>
      </x:c>
      <x:c r="R50" s="2" t="str">
        <x:v>TEN-1C7A49CFBD0F; TEN-70FB189454F7; TEN-87E2BA2B12A3; TEN-CAC431BD1CA4; TEN-F0FE959E9D6B</x:v>
      </x:c>
      <x:c r="S50" s="12" t="str">
        <x:v>IT and enterprise campus</x:v>
      </x:c>
      <x:c r="T50" s="12" t="str">
        <x:v>Tenant business-type estimates and reviewed company-scale context.</x:v>
      </x:c>
    </x:row>
    <x:row r="51" ht="64" customHeight="1">
      <x:c r="A51" s="10" t="n">
        <x:v>1</x:v>
      </x:c>
      <x:c r="B51" s="2" t="str">
        <x:v>CORP-0046</x:v>
      </x:c>
      <x:c r="C51" s="2" t="str">
        <x:v>Bengaluru</x:v>
      </x:c>
      <x:c r="D51" s="2" t="str">
        <x:v>MSD4QEPK</x:v>
      </x:c>
      <x:c r="E51" s="12" t="str">
        <x:v>Golden Square</x:v>
      </x:c>
      <x:c r="F51" s="12" t="str">
        <x:v>Vittal Malya Road</x:v>
      </x:c>
      <x:c r="G51" s="11" t="n">
        <x:v>1</x:v>
      </x:c>
      <x:c r="H51" s="2" t="str">
        <x:v>32 inch LED TV</x:v>
      </x:c>
      <x:c r="I51" s="12" t="str">
        <x:v>Exium India Pvt.Ltd; Liberated Enterprise Creators LLp; Foscher Pvt.Ltd; Biomartt Exports Private Limited; Kyro-SAAS Technologies Pvt.Ltd; L7 Informatics India Pvt.Ltd; Network Advantage LLP; Neuroglee Therapeutics India Pvt.Ltd; Techthota agritech Private Limite; MediaMath India Pvt.Ltd; YojakaPvt.Ltd</x:v>
      </x:c>
      <x:c r="J51" s="2" t="n">
        <x:v>11</x:v>
      </x:c>
      <x:c r="K51" s="12" t="str">
        <x:v>Inventory-listed building/workspace context; current occupancy and screen access unverified</x:v>
      </x:c>
      <x:c r="L51" s="12" t="str">
        <x:v>IT &amp; digital; Healthcare &amp; life sciences; Trade, consumer &amp; logistics; Unresolved</x:v>
      </x:c>
      <x:c r="M51" s="12" t="str">
        <x:v>Small-scale prospects; Medium-scale prospects; Mixed business audience</x:v>
      </x:c>
      <x:c r="N51" s="12" t="str">
        <x:v>MAIN-050</x:v>
      </x:c>
      <x:c r="O51" s="13" t="n">
        <x:v>12.970964</x:v>
      </x:c>
      <x:c r="P51" s="13" t="n">
        <x:v>77.594816</x:v>
      </x:c>
      <x:c r="Q51" s="2" t="str">
        <x:v>https://www.google.com/maps?q=12.970964,77.594816</x:v>
      </x:c>
      <x:c r="R51" s="2" t="str">
        <x:v>TEN-350D5C6F5255; TEN-4DD0879CF20C; TEN-5CBF5F7BE7A6; TEN-84B3A38783C4; TEN-872F9565D946; TEN-95D77927F473; TEN-9B4FBAB33228; TEN-A9FCC2041375; TEN-AA2312B42CA4; TEN-E5E162DE2CA1; TEN-E63F4ABE40AA</x:v>
      </x:c>
      <x:c r="S51" s="12" t="str">
        <x:v>Mixed commercial workplace</x:v>
      </x:c>
      <x:c r="T51" s="12" t="str">
        <x:v>Tenant business-type estimates and reviewed company-scale context.</x:v>
      </x:c>
    </x:row>
    <x:row r="52" ht="64" customHeight="1">
      <x:c r="A52" s="10" t="n">
        <x:v>1</x:v>
      </x:c>
      <x:c r="B52" s="2" t="str">
        <x:v>CORP-0047</x:v>
      </x:c>
      <x:c r="C52" s="2" t="str">
        <x:v>Bengaluru</x:v>
      </x:c>
      <x:c r="D52" s="2" t="str">
        <x:v>MSFHD603</x:v>
      </x:c>
      <x:c r="E52" s="12" t="str">
        <x:v>Kalyani Camellia (TST Whitefield)</x:v>
      </x:c>
      <x:c r="F52" s="12" t="str">
        <x:v>Whitefield</x:v>
      </x:c>
      <x:c r="G52" s="11" t="n">
        <x:v>2</x:v>
      </x:c>
      <x:c r="H52" s="2" t="str">
        <x:v>55 inch LED TV</x:v>
      </x:c>
      <x:c r="I52" s="12" t="str"/>
      <x:c r="J52" s="2" t="n">
        <x:v>0</x:v>
      </x:c>
      <x:c r="K52" s="12" t="str">
        <x:v>Unresolved; no supported tenant names</x:v>
      </x:c>
      <x:c r="L52" s="12" t="str">
        <x:v>Unclassified</x:v>
      </x:c>
      <x:c r="M52" s="12" t="str">
        <x:v>Mixed business audience</x:v>
      </x:c>
      <x:c r="N52" s="12" t="str">
        <x:v>MAIN-051</x:v>
      </x:c>
      <x:c r="O52" s="13" t="n">
        <x:v>12.996774673461914</x:v>
      </x:c>
      <x:c r="P52" s="13" t="n">
        <x:v>77.7022933959961</x:v>
      </x:c>
      <x:c r="Q52" s="2" t="str">
        <x:v>https://www.google.com/maps?q=12.996774673461914,77.7022933959961</x:v>
      </x:c>
      <x:c r="R52" s="2" t="str"/>
      <x:c r="S52" s="12" t="str">
        <x:v>Commercial office / managed-workspace context</x:v>
      </x:c>
      <x:c r="T52" s="12" t="str">
        <x:v>A stock-exchange-filed valuation table identifies Kalyani Camellia in Whitefield as commercial property sold by Kalyani to Table Space. Market-transaction evidence supports the commercial format; exact current operator extent and tenants are not established.</x:v>
      </x:c>
    </x:row>
    <x:row r="53" ht="64" customHeight="1">
      <x:c r="A53" s="10" t="n">
        <x:v>1</x:v>
      </x:c>
      <x:c r="B53" s="2" t="str">
        <x:v>CORP-0048</x:v>
      </x:c>
      <x:c r="C53" s="2" t="str">
        <x:v>Bengaluru</x:v>
      </x:c>
      <x:c r="D53" s="2" t="str">
        <x:v>MSX82G45</x:v>
      </x:c>
      <x:c r="E53" s="12" t="str">
        <x:v>Mantri Commercio</x:v>
      </x:c>
      <x:c r="F53" s="12" t="str">
        <x:v>Bellandur</x:v>
      </x:c>
      <x:c r="G53" s="11" t="n">
        <x:v>18</x:v>
      </x:c>
      <x:c r="H53" s="2" t="str">
        <x:v>32 inch LED TV</x:v>
      </x:c>
      <x:c r="I53" s="12" t="str">
        <x:v>2gether; Blue Yonder; Analog Devices; Diligent</x:v>
      </x:c>
      <x:c r="J53" s="2" t="n">
        <x:v>4</x:v>
      </x:c>
      <x:c r="K53" s="12" t="str">
        <x:v>Inventory-listed building/workspace context; current occupancy and screen access unverified</x:v>
      </x:c>
      <x:c r="L53" s="12" t="str">
        <x:v>IT &amp; digital; Engineering &amp; manufacturing; Unresolved</x:v>
      </x:c>
      <x:c r="M53" s="12" t="str">
        <x:v>Large enterprise; Mixed business audience</x:v>
      </x:c>
      <x:c r="N53" s="12" t="str">
        <x:v>MAIN-052</x:v>
      </x:c>
      <x:c r="O53" s="13" t="n">
        <x:v>12.932697296142578</x:v>
      </x:c>
      <x:c r="P53" s="13" t="n">
        <x:v>77.6837158203125</x:v>
      </x:c>
      <x:c r="Q53" s="2" t="str">
        <x:v>https://www.google.com/maps?q=12.932697296142578,77.6837158203125</x:v>
      </x:c>
      <x:c r="R53" s="2" t="str">
        <x:v>TEN-023FA99679B2; TEN-071009974983; TEN-BB424F07FC73; TEN-CF08FCCD9D8B</x:v>
      </x:c>
      <x:c r="S53" s="12" t="str">
        <x:v>Mixed commercial workplace</x:v>
      </x:c>
      <x:c r="T53" s="12" t="str">
        <x:v>Tenant business-type estimates and reviewed company-scale context.</x:v>
      </x:c>
    </x:row>
    <x:row r="54" ht="64" customHeight="1">
      <x:c r="A54" s="10" t="n">
        <x:v>1</x:v>
      </x:c>
      <x:c r="B54" s="2" t="str">
        <x:v>CORP-0049</x:v>
      </x:c>
      <x:c r="C54" s="2" t="str">
        <x:v>Bengaluru</x:v>
      </x:c>
      <x:c r="D54" s="2" t="str">
        <x:v>MSB2K6YY</x:v>
      </x:c>
      <x:c r="E54" s="12" t="str">
        <x:v>Maruthi Mansion</x:v>
      </x:c>
      <x:c r="F54" s="12" t="str">
        <x:v>Vasanth Nagar</x:v>
      </x:c>
      <x:c r="G54" s="11" t="n">
        <x:v>4</x:v>
      </x:c>
      <x:c r="H54" s="2" t="str">
        <x:v>32 inch LED TV</x:v>
      </x:c>
      <x:c r="I54" s="12" t="str">
        <x:v>Canara Bank-General Branch; Kukkr Bangalore; Page Point Services India Pvt Ltd</x:v>
      </x:c>
      <x:c r="J54" s="2" t="n">
        <x:v>3</x:v>
      </x:c>
      <x:c r="K54" s="12" t="str">
        <x:v>Inventory-listed building/workspace context; current occupancy and screen access unverified</x:v>
      </x:c>
      <x:c r="L54" s="12" t="str">
        <x:v>Finance &amp; insurance; Unresolved</x:v>
      </x:c>
      <x:c r="M54" s="12" t="str">
        <x:v>Large enterprise; Mixed business audience</x:v>
      </x:c>
      <x:c r="N54" s="12" t="str">
        <x:v>MAIN-053</x:v>
      </x:c>
      <x:c r="O54" s="13" t="n">
        <x:v>12.986807823181152</x:v>
      </x:c>
      <x:c r="P54" s="13" t="n">
        <x:v>77.59513092041016</x:v>
      </x:c>
      <x:c r="Q54" s="2" t="str">
        <x:v>https://www.google.com/maps?q=12.986807823181152,77.59513092041016</x:v>
      </x:c>
      <x:c r="R54" s="2" t="str">
        <x:v>TEN-3C994B7C46CE; TEN-94E4888B30AD; TEN-D8AA00083F8E</x:v>
      </x:c>
      <x:c r="S54" s="12" t="str">
        <x:v>Mixed commercial workplace</x:v>
      </x:c>
      <x:c r="T54" s="12" t="str">
        <x:v>Tenant business-type estimates and reviewed company-scale context.</x:v>
      </x:c>
    </x:row>
    <x:row r="55" ht="64" customHeight="1">
      <x:c r="A55" s="10" t="n">
        <x:v>1</x:v>
      </x:c>
      <x:c r="B55" s="2" t="str">
        <x:v>CORP-0050</x:v>
      </x:c>
      <x:c r="C55" s="2" t="str">
        <x:v>Bengaluru</x:v>
      </x:c>
      <x:c r="D55" s="2" t="str">
        <x:v>MSH3S2J2</x:v>
      </x:c>
      <x:c r="E55" s="12" t="str">
        <x:v>Maruthi Platinum</x:v>
      </x:c>
      <x:c r="F55" s="12" t="str">
        <x:v>Vasanth Nagar</x:v>
      </x:c>
      <x:c r="G55" s="11" t="n">
        <x:v>19</x:v>
      </x:c>
      <x:c r="H55" s="2" t="str">
        <x:v>32 inch LED TV</x:v>
      </x:c>
      <x:c r="I55" s="12" t="str">
        <x:v>Eurofins IT Solutions Pvt Limited; CIPHOR; State Bank of India</x:v>
      </x:c>
      <x:c r="J55" s="2" t="n">
        <x:v>3</x:v>
      </x:c>
      <x:c r="K55" s="12" t="str">
        <x:v>Inventory-listed building/workspace context; current occupancy and screen access unverified</x:v>
      </x:c>
      <x:c r="L55" s="12" t="str">
        <x:v>IT &amp; digital; Finance &amp; insurance</x:v>
      </x:c>
      <x:c r="M55" s="12" t="str">
        <x:v>Small-scale prospects; Large enterprise; Mixed business audience</x:v>
      </x:c>
      <x:c r="N55" s="12" t="str">
        <x:v>MAIN-054</x:v>
      </x:c>
      <x:c r="O55" s="13" t="n">
        <x:v>12.9595082</x:v>
      </x:c>
      <x:c r="P55" s="13" t="n">
        <x:v>77.71536158</x:v>
      </x:c>
      <x:c r="Q55" s="2" t="str">
        <x:v>https://www.google.com/maps?q=12.9595082,77.71536158</x:v>
      </x:c>
      <x:c r="R55" s="2" t="str">
        <x:v>TEN-29F13F64AB10; TEN-391E3B1AA5D2; TEN-65326AA32AB9</x:v>
      </x:c>
      <x:c r="S55" s="12" t="str">
        <x:v>Mixed commercial workplace</x:v>
      </x:c>
      <x:c r="T55" s="12" t="str">
        <x:v>Tenant business-type estimates and reviewed company-scale context.</x:v>
      </x:c>
    </x:row>
    <x:row r="56" ht="64" customHeight="1">
      <x:c r="A56" s="10" t="n">
        <x:v>1</x:v>
      </x:c>
      <x:c r="B56" s="2" t="str">
        <x:v>CORP-0051</x:v>
      </x:c>
      <x:c r="C56" s="2" t="str">
        <x:v>Bengaluru</x:v>
      </x:c>
      <x:c r="D56" s="2" t="str">
        <x:v>MSRY7ANC</x:v>
      </x:c>
      <x:c r="E56" s="12" t="str">
        <x:v>Novel Offices - MSR Novel</x:v>
      </x:c>
      <x:c r="F56" s="12" t="str">
        <x:v>Marathahalli</x:v>
      </x:c>
      <x:c r="G56" s="11" t="n">
        <x:v>2</x:v>
      </x:c>
      <x:c r="H56" s="2" t="str">
        <x:v>32 inch LED TV</x:v>
      </x:c>
      <x:c r="I56" s="12" t="str">
        <x:v>CRS Info Solutions Salesforce Training Course; Concentric AI; Pragathi Solutions; Bhima Jewellers</x:v>
      </x:c>
      <x:c r="J56" s="2" t="n">
        <x:v>4</x:v>
      </x:c>
      <x:c r="K56" s="12" t="str">
        <x:v>Inventory-listed building/workspace context; current occupancy and screen access unverified</x:v>
      </x:c>
      <x:c r="L56" s="12" t="str">
        <x:v>IT &amp; digital; Education; Trade, consumer &amp; logistics; Unresolved</x:v>
      </x:c>
      <x:c r="M56" s="12" t="str">
        <x:v>Small-scale prospects; Mixed business audience</x:v>
      </x:c>
      <x:c r="N56" s="12" t="str">
        <x:v>MAIN-MSRY7ANC</x:v>
      </x:c>
      <x:c r="O56" s="13" t="n">
        <x:v>12.956939</x:v>
      </x:c>
      <x:c r="P56" s="13" t="n">
        <x:v>77.699891</x:v>
      </x:c>
      <x:c r="Q56" s="2" t="str">
        <x:v>https://www.google.com/maps?q=12.956939,77.699891</x:v>
      </x:c>
      <x:c r="R56" s="2" t="str">
        <x:v>TEN-0A5D7E2C01FC; TEN-4EEAB8193C3F; TEN-9A5A957FDC10; TEN-9B3AF305EFBE</x:v>
      </x:c>
      <x:c r="S56" s="12" t="str">
        <x:v>Flexible workspace / mixed businesses</x:v>
      </x:c>
      <x:c r="T56" s="12" t="str">
        <x:v>Tenant business-type estimates and reviewed company-scale context.</x:v>
      </x:c>
    </x:row>
    <x:row r="57" ht="64" customHeight="1">
      <x:c r="A57" s="10" t="n">
        <x:v>1</x:v>
      </x:c>
      <x:c r="B57" s="2" t="str">
        <x:v>CORP-0052</x:v>
      </x:c>
      <x:c r="C57" s="2" t="str">
        <x:v>Bengaluru</x:v>
      </x:c>
      <x:c r="D57" s="2" t="str">
        <x:v>MSRY7ANC</x:v>
      </x:c>
      <x:c r="E57" s="12" t="str">
        <x:v>Novel Offices - MSR Novel</x:v>
      </x:c>
      <x:c r="F57" s="12" t="str">
        <x:v>Marathahalli</x:v>
      </x:c>
      <x:c r="G57" s="11" t="n">
        <x:v>4</x:v>
      </x:c>
      <x:c r="H57" s="2" t="str">
        <x:v>43 inch LED TV</x:v>
      </x:c>
      <x:c r="I57" s="12" t="str">
        <x:v>CRS Info Solutions Salesforce Training Course; Concentric AI; Pragathi Solutions; Bhima Jewellers</x:v>
      </x:c>
      <x:c r="J57" s="2" t="n">
        <x:v>4</x:v>
      </x:c>
      <x:c r="K57" s="12" t="str">
        <x:v>Inventory-listed building/workspace context; current occupancy and screen access unverified</x:v>
      </x:c>
      <x:c r="L57" s="12" t="str">
        <x:v>IT &amp; digital; Education; Trade, consumer &amp; logistics; Unresolved</x:v>
      </x:c>
      <x:c r="M57" s="12" t="str">
        <x:v>Small-scale prospects; Mixed business audience</x:v>
      </x:c>
      <x:c r="N57" s="12" t="str">
        <x:v>MAIN-MSRY7ANC</x:v>
      </x:c>
      <x:c r="O57" s="13" t="n">
        <x:v>12.956939</x:v>
      </x:c>
      <x:c r="P57" s="13" t="n">
        <x:v>77.699891</x:v>
      </x:c>
      <x:c r="Q57" s="2" t="str">
        <x:v>https://www.google.com/maps?q=12.956939,77.699891</x:v>
      </x:c>
      <x:c r="R57" s="2" t="str">
        <x:v>TEN-0A5D7E2C01FC; TEN-4EEAB8193C3F; TEN-9A5A957FDC10; TEN-9B3AF305EFBE</x:v>
      </x:c>
      <x:c r="S57" s="12" t="str">
        <x:v>Flexible workspace / mixed businesses</x:v>
      </x:c>
      <x:c r="T57" s="12" t="str">
        <x:v>Tenant business-type estimates and reviewed company-scale context.</x:v>
      </x:c>
    </x:row>
    <x:row r="58" ht="64" customHeight="1">
      <x:c r="A58" s="10" t="n">
        <x:v>1</x:v>
      </x:c>
      <x:c r="B58" s="2" t="str">
        <x:v>CORP-0053</x:v>
      </x:c>
      <x:c r="C58" s="2" t="str">
        <x:v>Bengaluru</x:v>
      </x:c>
      <x:c r="D58" s="2" t="str">
        <x:v>MSPKMAES</x:v>
      </x:c>
      <x:c r="E58" s="12" t="str">
        <x:v>Novel Offices - Queens Road</x:v>
      </x:c>
      <x:c r="F58" s="12" t="str">
        <x:v>Vasanth Nagar</x:v>
      </x:c>
      <x:c r="G58" s="11" t="n">
        <x:v>3</x:v>
      </x:c>
      <x:c r="H58" s="2" t="str">
        <x:v>32 inch LED TV</x:v>
      </x:c>
      <x:c r="I58" s="12" t="str">
        <x:v>Novel Offices (workspace operator inferred from property name; tenant occupants unconfirmed)</x:v>
      </x:c>
      <x:c r="J58" s="2" t="n">
        <x:v>1</x:v>
      </x:c>
      <x:c r="K58" s="12" t="str">
        <x:v>Workspace operator inferred from explicit property name; tenant occupants unconfirmed</x:v>
      </x:c>
      <x:c r="L58" s="12" t="str">
        <x:v>Workspace &amp; property operations</x:v>
      </x:c>
      <x:c r="M58" s="12" t="str">
        <x:v>Mixed business audience</x:v>
      </x:c>
      <x:c r="N58" s="12" t="str">
        <x:v>MAIN-057</x:v>
      </x:c>
      <x:c r="O58" s="13" t="n">
        <x:v>12.990655899047852</x:v>
      </x:c>
      <x:c r="P58" s="13" t="n">
        <x:v>77.59931182861328</x:v>
      </x:c>
      <x:c r="Q58" s="2" t="str">
        <x:v>https://www.google.com/maps?q=12.990655899047852,77.59931182861328</x:v>
      </x:c>
      <x:c r="R58" s="2" t="str">
        <x:v>TEN-CBDE5EAC5F77</x:v>
      </x:c>
      <x:c r="S58" s="12" t="str">
        <x:v>Flexible workspace / mixed businesses</x:v>
      </x:c>
      <x:c r="T58" s="12" t="str">
        <x:v>Tenant business-type estimates and reviewed company-scale context.</x:v>
      </x:c>
    </x:row>
    <x:row r="59" ht="64" customHeight="1">
      <x:c r="A59" s="10" t="n">
        <x:v>1</x:v>
      </x:c>
      <x:c r="B59" s="2" t="str">
        <x:v>CORP-0054</x:v>
      </x:c>
      <x:c r="C59" s="2" t="str">
        <x:v>Bengaluru</x:v>
      </x:c>
      <x:c r="D59" s="2" t="str">
        <x:v>MSQTTW1V</x:v>
      </x:c>
      <x:c r="E59" s="12" t="str">
        <x:v>Novel Offices - WorkHub</x:v>
      </x:c>
      <x:c r="F59" s="12" t="str">
        <x:v>Mahadevapura</x:v>
      </x:c>
      <x:c r="G59" s="11" t="n">
        <x:v>4</x:v>
      </x:c>
      <x:c r="H59" s="2" t="str">
        <x:v>43 inch LED TV</x:v>
      </x:c>
      <x:c r="I59" s="12" t="str">
        <x:v>Novel Offices (workspace operator inferred from property name; tenant occupants unconfirmed)</x:v>
      </x:c>
      <x:c r="J59" s="2" t="n">
        <x:v>1</x:v>
      </x:c>
      <x:c r="K59" s="12" t="str">
        <x:v>Workspace operator inferred from explicit property name; tenant occupants unconfirmed</x:v>
      </x:c>
      <x:c r="L59" s="12" t="str">
        <x:v>Workspace &amp; property operations</x:v>
      </x:c>
      <x:c r="M59" s="12" t="str">
        <x:v>Mixed business audience</x:v>
      </x:c>
      <x:c r="N59" s="12" t="str">
        <x:v>MAIN-058</x:v>
      </x:c>
      <x:c r="O59" s="13" t="n">
        <x:v>12.989218711853027</x:v>
      </x:c>
      <x:c r="P59" s="13" t="n">
        <x:v>77.70721435546875</x:v>
      </x:c>
      <x:c r="Q59" s="2" t="str">
        <x:v>https://www.google.com/maps?q=12.989218711853027,77.70721435546875</x:v>
      </x:c>
      <x:c r="R59" s="2" t="str">
        <x:v>TEN-CBDE5EAC5F77</x:v>
      </x:c>
      <x:c r="S59" s="12" t="str">
        <x:v>Flexible workspace / mixed businesses</x:v>
      </x:c>
      <x:c r="T59" s="12" t="str">
        <x:v>Tenant business-type estimates and reviewed company-scale context.</x:v>
      </x:c>
    </x:row>
    <x:row r="60" ht="64" customHeight="1">
      <x:c r="A60" s="10" t="n">
        <x:v>1</x:v>
      </x:c>
      <x:c r="B60" s="2" t="str">
        <x:v>CORP-0055</x:v>
      </x:c>
      <x:c r="C60" s="2" t="str">
        <x:v>Bengaluru</x:v>
      </x:c>
      <x:c r="D60" s="2" t="str">
        <x:v>MSNGN7JR</x:v>
      </x:c>
      <x:c r="E60" s="12" t="str">
        <x:v>Novel Tech Park</x:v>
      </x:c>
      <x:c r="F60" s="12" t="str">
        <x:v>Kudlu Agrahara Road</x:v>
      </x:c>
      <x:c r="G60" s="11" t="n">
        <x:v>8</x:v>
      </x:c>
      <x:c r="H60" s="2" t="str">
        <x:v>32 inch LED TV</x:v>
      </x:c>
      <x:c r="I60" s="12" t="str">
        <x:v>Technosoft India Pvt Ltd; Tek Hummingbird Pvt Ltd; Intelenet Global zservices Pvt Ltd; Madhupushpa HR Consultancy; Ultrafastchargers; InfraStack Labs Technologies Pvt Ltd; Gymoryx; Sathya Technosoft India Pvt Ltd; Valuesoft Info Services; Synergic Software</x:v>
      </x:c>
      <x:c r="J60" s="2" t="n">
        <x:v>10</x:v>
      </x:c>
      <x:c r="K60" s="12" t="str">
        <x:v>Inventory-listed building/workspace context; current occupancy and screen access unverified</x:v>
      </x:c>
      <x:c r="L60" s="12" t="str">
        <x:v>IT &amp; digital; Professional services; Engineering &amp; manufacturing; Healthcare &amp; life sciences; Unresolved</x:v>
      </x:c>
      <x:c r="M60" s="12" t="str">
        <x:v>Small-scale prospects; Medium-scale prospects; Mixed business audience</x:v>
      </x:c>
      <x:c r="N60" s="12" t="str">
        <x:v>MAIN-059</x:v>
      </x:c>
      <x:c r="O60" s="13" t="n">
        <x:v>12.891464233398438</x:v>
      </x:c>
      <x:c r="P60" s="13" t="n">
        <x:v>77.63890838623047</x:v>
      </x:c>
      <x:c r="Q60" s="2" t="str">
        <x:v>https://www.google.com/maps?q=12.891464233398438,77.63890838623047</x:v>
      </x:c>
      <x:c r="R60" s="2" t="str">
        <x:v>TEN-04F202FBF5EA; TEN-142E170DC497; TEN-2A6BCCCC6FFB; TEN-65A73EFC76E1; TEN-7390097A224B; TEN-7F563D349816; TEN-8DA2C436460E; TEN-9EC6F680C0E5; TEN-AEB35762B6A7; TEN-B4CCCBDBA7EA; TEN-E47B93135ACE</x:v>
      </x:c>
      <x:c r="S60" s="12" t="str">
        <x:v>IT and enterprise campus</x:v>
      </x:c>
      <x:c r="T60" s="12" t="str">
        <x:v>Tenant business-type estimates and reviewed company-scale context.</x:v>
      </x:c>
    </x:row>
    <x:row r="61" ht="64" customHeight="1">
      <x:c r="A61" s="10" t="n">
        <x:v>1</x:v>
      </x:c>
      <x:c r="B61" s="2" t="str">
        <x:v>CORP-0056</x:v>
      </x:c>
      <x:c r="C61" s="2" t="str">
        <x:v>Bengaluru</x:v>
      </x:c>
      <x:c r="D61" s="2" t="str">
        <x:v>MSERYBF6</x:v>
      </x:c>
      <x:c r="E61" s="12" t="str">
        <x:v>Nucleus - Cessna Business Park</x:v>
      </x:c>
      <x:c r="F61" s="12" t="str">
        <x:v>Kadubeesanahalli</x:v>
      </x:c>
      <x:c r="G61" s="11" t="n">
        <x:v>6</x:v>
      </x:c>
      <x:c r="H61" s="2" t="str">
        <x:v>55 inch LED TV</x:v>
      </x:c>
      <x:c r="I61" s="12" t="str">
        <x:v>walmart; cargill; iTroni Technology; Cisco; HDFC Bank; Capgemini</x:v>
      </x:c>
      <x:c r="J61" s="2" t="n">
        <x:v>6</x:v>
      </x:c>
      <x:c r="K61" s="12" t="str">
        <x:v>Inventory-listed building/workspace context; current occupancy and screen access unverified</x:v>
      </x:c>
      <x:c r="L61" s="12" t="str">
        <x:v>IT &amp; digital; Finance &amp; insurance; Trade, consumer &amp; logistics; Unresolved</x:v>
      </x:c>
      <x:c r="M61" s="12" t="str">
        <x:v>Large enterprise; Mixed business audience</x:v>
      </x:c>
      <x:c r="N61" s="12" t="str">
        <x:v>MAIN-060</x:v>
      </x:c>
      <x:c r="O61" s="13" t="n">
        <x:v>12.932727813720703</x:v>
      </x:c>
      <x:c r="P61" s="13" t="n">
        <x:v>77.693115234375</x:v>
      </x:c>
      <x:c r="Q61" s="2" t="str">
        <x:v>https://www.google.com/maps?q=12.932727813720703,77.693115234375</x:v>
      </x:c>
      <x:c r="R61" s="2" t="str">
        <x:v>TEN-943C3EEB252D; TEN-B91BF0E0084F; TEN-D297BBA735FE; TEN-E73B79A0B10F; TEN-F43D0727CFB6; TEN-F55A85B2F2EB</x:v>
      </x:c>
      <x:c r="S61" s="12" t="str">
        <x:v>Multi-tenant business offices</x:v>
      </x:c>
      <x:c r="T61" s="12" t="str">
        <x:v>Tenant business-type estimates and reviewed company-scale context.</x:v>
      </x:c>
    </x:row>
    <x:row r="62" ht="64" customHeight="1">
      <x:c r="A62" s="10" t="n">
        <x:v>1</x:v>
      </x:c>
      <x:c r="B62" s="2" t="str">
        <x:v>CORP-0058</x:v>
      </x:c>
      <x:c r="C62" s="2" t="str">
        <x:v>Bengaluru</x:v>
      </x:c>
      <x:c r="D62" s="2" t="str">
        <x:v>MSE14C1E</x:v>
      </x:c>
      <x:c r="E62" s="12" t="str">
        <x:v>Nucleus - Exora Business Park</x:v>
      </x:c>
      <x:c r="F62" s="12" t="str">
        <x:v>Kadubeesanahalli</x:v>
      </x:c>
      <x:c r="G62" s="11" t="n">
        <x:v>5</x:v>
      </x:c>
      <x:c r="H62" s="2" t="str">
        <x:v>55 inch LED TV</x:v>
      </x:c>
      <x:c r="I62" s="12" t="str">
        <x:v>Amadeus; Juniper Networks; Guidewire Software Solutions Pvt Ltd; Bosch Global Software Technologies; Juniper India Toastmasters Club; HM Prasanth Cpmapny Pvt Ltd</x:v>
      </x:c>
      <x:c r="J62" s="2" t="n">
        <x:v>6</x:v>
      </x:c>
      <x:c r="K62" s="12" t="str">
        <x:v>Campus/portfolio roster; individual building occupancy unverified</x:v>
      </x:c>
      <x:c r="L62" s="12" t="str">
        <x:v>IT &amp; digital; Engineering &amp; manufacturing; Government &amp; nonprofit; Unresolved</x:v>
      </x:c>
      <x:c r="M62" s="12" t="str">
        <x:v>Large enterprise; Institutional; Mixed business audience</x:v>
      </x:c>
      <x:c r="N62" s="12" t="str">
        <x:v>MAIN-062</x:v>
      </x:c>
      <x:c r="O62" s="13" t="n">
        <x:v>12.942238807678223</x:v>
      </x:c>
      <x:c r="P62" s="13" t="n">
        <x:v>77.6887435913086</x:v>
      </x:c>
      <x:c r="Q62" s="2" t="str">
        <x:v>https://www.google.com/maps?q=12.942238807678223,77.6887435913086</x:v>
      </x:c>
      <x:c r="R62" s="2" t="str">
        <x:v>TEN-1AAF3025033C; TEN-28CBC5A35638; TEN-BC00765320D0; TEN-CC1BF7890031; TEN-DFAD7388CC62; TEN-ECB57128BCE9</x:v>
      </x:c>
      <x:c r="S62" s="12" t="str">
        <x:v>Multi-tenant business offices</x:v>
      </x:c>
      <x:c r="T62" s="12" t="str">
        <x:v>Tenant business-type estimates and reviewed company-scale context.</x:v>
      </x:c>
    </x:row>
    <x:row r="63" ht="75" customHeight="1">
      <x:c r="A63" s="10" t="n">
        <x:v>1</x:v>
      </x:c>
      <x:c r="B63" s="2" t="str">
        <x:v>CORP-0059</x:v>
      </x:c>
      <x:c r="C63" s="2" t="str">
        <x:v>Bengaluru</x:v>
      </x:c>
      <x:c r="D63" s="2" t="str">
        <x:v>MSYQ8TEX</x:v>
      </x:c>
      <x:c r="E63" s="12" t="str">
        <x:v>Nucleus - Prestige One Trade Tower</x:v>
      </x:c>
      <x:c r="F63" s="12" t="str">
        <x:v>Palace Rd</x:v>
      </x:c>
      <x:c r="G63" s="11" t="n">
        <x:v>2</x:v>
      </x:c>
      <x:c r="H63" s="2" t="str">
        <x:v>55 inch LED TV</x:v>
      </x:c>
      <x:c r="I63" s="12" t="str">
        <x:v>ABCO; The Executive Centre; AMD India Pvt.Ltd; Deloitte; Table Space; Marquee by corporate; Misu; Brik Oven; Amazon web services India Private Limited; Automation Anywhere; Essilor India Pvt.Ltd</x:v>
      </x:c>
      <x:c r="J63" s="2" t="n">
        <x:v>11</x:v>
      </x:c>
      <x:c r="K63" s="12" t="str">
        <x:v>Inventory-listed building/workspace context; current occupancy and screen access unverified</x:v>
      </x:c>
      <x:c r="L63" s="12" t="str">
        <x:v>IT &amp; digital; Professional services; Engineering &amp; manufacturing; Healthcare &amp; life sciences; Trade, consumer &amp; logistics; Workspace &amp; property operations; Unresolved</x:v>
      </x:c>
      <x:c r="M63" s="12" t="str">
        <x:v>Small-scale prospects; Large enterprise; Mixed business audience</x:v>
      </x:c>
      <x:c r="N63" s="12" t="str">
        <x:v>MAIN-063</x:v>
      </x:c>
      <x:c r="O63" s="13" t="n">
        <x:v>12.98595448</x:v>
      </x:c>
      <x:c r="P63" s="13" t="n">
        <x:v>77.5876193</x:v>
      </x:c>
      <x:c r="Q63" s="2" t="str">
        <x:v>https://www.google.com/maps?q=12.98595448,77.5876193</x:v>
      </x:c>
      <x:c r="R63" s="2" t="str">
        <x:v>TEN-15DD2ABC35D5; TEN-3821E9F1FF90; TEN-3DC171281801; TEN-3E808ECE8227; TEN-4F90BB2CBD83; TEN-528DA6917A84; TEN-5F1955B90E63; TEN-69AFDF39DA60; TEN-6BFCEA63FC2C; TEN-9FFBD94DEBEC; TEN-B8719DBA3547</x:v>
      </x:c>
      <x:c r="S63" s="12" t="str">
        <x:v>Multi-tenant business offices</x:v>
      </x:c>
      <x:c r="T63" s="12" t="str">
        <x:v>Tenant business-type estimates and reviewed company-scale context.</x:v>
      </x:c>
    </x:row>
    <x:row r="64" ht="64" customHeight="1">
      <x:c r="A64" s="10" t="n">
        <x:v>1</x:v>
      </x:c>
      <x:c r="B64" s="2" t="str">
        <x:v>CORP-0060</x:v>
      </x:c>
      <x:c r="C64" s="2" t="str">
        <x:v>Bengaluru</x:v>
      </x:c>
      <x:c r="D64" s="2" t="str">
        <x:v>MSV2PY0J</x:v>
      </x:c>
      <x:c r="E64" s="12" t="str">
        <x:v>Obeya - Brio</x:v>
      </x:c>
      <x:c r="F64" s="12" t="str">
        <x:v>HSR Layout</x:v>
      </x:c>
      <x:c r="G64" s="11" t="n">
        <x:v>1</x:v>
      </x:c>
      <x:c r="H64" s="2" t="str">
        <x:v>32 inch LED TV</x:v>
      </x:c>
      <x:c r="I64" s="12" t="str">
        <x:v>Amarakosha Technologies Private Limited; Pagarbook</x:v>
      </x:c>
      <x:c r="J64" s="2" t="n">
        <x:v>2</x:v>
      </x:c>
      <x:c r="K64" s="12" t="str">
        <x:v>Inventory-listed building/workspace context; current occupancy and screen access unverified</x:v>
      </x:c>
      <x:c r="L64" s="12" t="str">
        <x:v>IT &amp; digital; Unresolved</x:v>
      </x:c>
      <x:c r="M64" s="12" t="str">
        <x:v>Small-scale prospects; Mixed business audience</x:v>
      </x:c>
      <x:c r="N64" s="12" t="str">
        <x:v>MAIN-064</x:v>
      </x:c>
      <x:c r="O64" s="13" t="n">
        <x:v>12.919789</x:v>
      </x:c>
      <x:c r="P64" s="13" t="n">
        <x:v>77.642872</x:v>
      </x:c>
      <x:c r="Q64" s="2" t="str">
        <x:v>https://www.google.com/maps?q=12.919789,77.642872</x:v>
      </x:c>
      <x:c r="R64" s="2" t="str">
        <x:v>TEN-2789E0ED91DF; TEN-768BAA309EEE</x:v>
      </x:c>
      <x:c r="S64" s="12" t="str">
        <x:v>Mixed commercial workplace</x:v>
      </x:c>
      <x:c r="T64" s="12" t="str">
        <x:v>Tenant business-type estimates and reviewed company-scale context.</x:v>
      </x:c>
    </x:row>
    <x:row r="65" ht="64" customHeight="1">
      <x:c r="A65" s="10" t="n">
        <x:v>1</x:v>
      </x:c>
      <x:c r="B65" s="2" t="str">
        <x:v>CORP-0061</x:v>
      </x:c>
      <x:c r="C65" s="2" t="str">
        <x:v>Bengaluru</x:v>
      </x:c>
      <x:c r="D65" s="2" t="str">
        <x:v>MSPZGKA7</x:v>
      </x:c>
      <x:c r="E65" s="12" t="str">
        <x:v>Obeya - Elan</x:v>
      </x:c>
      <x:c r="F65" s="12" t="str">
        <x:v>80 Feet Rd</x:v>
      </x:c>
      <x:c r="G65" s="11" t="n">
        <x:v>1</x:v>
      </x:c>
      <x:c r="H65" s="2" t="str">
        <x:v>32 inch LED TV</x:v>
      </x:c>
      <x:c r="I65" s="12" t="str">
        <x:v>ABSYZ software consulting pvt ltd; Leadership boulevard pvt ltd; Paxcom india Pvt Ltd; Onsite electro services pvt ltd</x:v>
      </x:c>
      <x:c r="J65" s="2" t="n">
        <x:v>4</x:v>
      </x:c>
      <x:c r="K65" s="12" t="str">
        <x:v>Inventory-listed building/workspace context; current occupancy and screen access unverified</x:v>
      </x:c>
      <x:c r="L65" s="12" t="str">
        <x:v>IT &amp; digital; Professional services; Engineering &amp; manufacturing; Education</x:v>
      </x:c>
      <x:c r="M65" s="12" t="str">
        <x:v>Small-scale prospects; Medium-scale prospects; Mixed business audience</x:v>
      </x:c>
      <x:c r="N65" s="12" t="str">
        <x:v>MAIN-065</x:v>
      </x:c>
      <x:c r="O65" s="13" t="n">
        <x:v>12.933671</x:v>
      </x:c>
      <x:c r="P65" s="13" t="n">
        <x:v>77.627933</x:v>
      </x:c>
      <x:c r="Q65" s="2" t="str">
        <x:v>https://www.google.com/maps?q=12.933671,77.627933</x:v>
      </x:c>
      <x:c r="R65" s="2" t="str">
        <x:v>TEN-82B0C843061B; TEN-95FE0A4B6AB9; TEN-99215B383888; TEN-B20DF9F5D980</x:v>
      </x:c>
      <x:c r="S65" s="12" t="str">
        <x:v>Mixed commercial workplace</x:v>
      </x:c>
      <x:c r="T65" s="12" t="str">
        <x:v>Tenant business-type estimates and reviewed company-scale context.</x:v>
      </x:c>
    </x:row>
    <x:row r="66" ht="64" customHeight="1">
      <x:c r="A66" s="10" t="n">
        <x:v>1</x:v>
      </x:c>
      <x:c r="B66" s="2" t="str">
        <x:v>CORP-0062</x:v>
      </x:c>
      <x:c r="C66" s="2" t="str">
        <x:v>Bengaluru</x:v>
      </x:c>
      <x:c r="D66" s="2" t="str">
        <x:v>MS94V10T</x:v>
      </x:c>
      <x:c r="E66" s="12" t="str">
        <x:v>Obeya - Gusto</x:v>
      </x:c>
      <x:c r="F66" s="12" t="str">
        <x:v>HSR Layout</x:v>
      </x:c>
      <x:c r="G66" s="11" t="n">
        <x:v>1</x:v>
      </x:c>
      <x:c r="H66" s="2" t="str">
        <x:v>32 inch LED TV</x:v>
      </x:c>
      <x:c r="I66" s="12" t="str">
        <x:v>Ctruh technologies pvt ltd; Upflex anarock india pvt ltd; Arus info Pvt Ltd; Hiring hunt solutions pvt ltd</x:v>
      </x:c>
      <x:c r="J66" s="2" t="n">
        <x:v>4</x:v>
      </x:c>
      <x:c r="K66" s="12" t="str">
        <x:v>Inventory-listed building/workspace context; current occupancy and screen access unverified</x:v>
      </x:c>
      <x:c r="L66" s="12" t="str">
        <x:v>Professional services; Trade, consumer &amp; logistics; Unresolved</x:v>
      </x:c>
      <x:c r="M66" s="12" t="str">
        <x:v>Small-scale prospects; Mixed business audience</x:v>
      </x:c>
      <x:c r="N66" s="12" t="str">
        <x:v>MAIN-066</x:v>
      </x:c>
      <x:c r="O66" s="13" t="n">
        <x:v>12.915825</x:v>
      </x:c>
      <x:c r="P66" s="13" t="n">
        <x:v>77.630335</x:v>
      </x:c>
      <x:c r="Q66" s="2" t="str">
        <x:v>https://www.google.com/maps?q=12.915825,77.630335</x:v>
      </x:c>
      <x:c r="R66" s="2" t="str">
        <x:v>TEN-05D0DCE8B2C4; TEN-1CFBC06C3B3F; TEN-5741AB36EBF3; TEN-D957E432757E</x:v>
      </x:c>
      <x:c r="S66" s="12" t="str">
        <x:v>Mixed commercial workplace</x:v>
      </x:c>
      <x:c r="T66" s="12" t="str">
        <x:v>Tenant business-type estimates and reviewed company-scale context.</x:v>
      </x:c>
    </x:row>
    <x:row r="67" ht="64" customHeight="1">
      <x:c r="A67" s="10" t="n">
        <x:v>1</x:v>
      </x:c>
      <x:c r="B67" s="2" t="str">
        <x:v>CORP-0063</x:v>
      </x:c>
      <x:c r="C67" s="2" t="str">
        <x:v>Bengaluru</x:v>
      </x:c>
      <x:c r="D67" s="2" t="str">
        <x:v>MSSPG93C</x:v>
      </x:c>
      <x:c r="E67" s="12" t="str">
        <x:v>Obeya - Pulse</x:v>
      </x:c>
      <x:c r="F67" s="12" t="str">
        <x:v>Ulsoor Rd</x:v>
      </x:c>
      <x:c r="G67" s="11" t="n">
        <x:v>2</x:v>
      </x:c>
      <x:c r="H67" s="2" t="str">
        <x:v>32 inch LED TV</x:v>
      </x:c>
      <x:c r="I67" s="12" t="str">
        <x:v>Performio India Private Limited; Proptiger Marketing Service Pvt. Ltd; CDDEP India Private Limited; Caste Software India Private Limited; Healthcubed India Private Limited</x:v>
      </x:c>
      <x:c r="J67" s="2" t="n">
        <x:v>5</x:v>
      </x:c>
      <x:c r="K67" s="12" t="str">
        <x:v>Inventory-listed building/workspace context; current occupancy and screen access unverified</x:v>
      </x:c>
      <x:c r="L67" s="12" t="str">
        <x:v>IT &amp; digital; Healthcare &amp; life sciences; Trade, consumer &amp; logistics; Unresolved</x:v>
      </x:c>
      <x:c r="M67" s="12" t="str">
        <x:v>Small-scale prospects; Mixed business audience</x:v>
      </x:c>
      <x:c r="N67" s="12" t="str">
        <x:v>MAIN-067</x:v>
      </x:c>
      <x:c r="O67" s="13" t="n">
        <x:v>12.97488</x:v>
      </x:c>
      <x:c r="P67" s="13" t="n">
        <x:v>77.617345</x:v>
      </x:c>
      <x:c r="Q67" s="2" t="str">
        <x:v>https://www.google.com/maps?q=12.97488,77.617345</x:v>
      </x:c>
      <x:c r="R67" s="2" t="str">
        <x:v>TEN-52D1010C4A30; TEN-56139C97F2DA; TEN-7C8285B4AA0D; TEN-A90DFC47A741; TEN-DA77AD889F5F</x:v>
      </x:c>
      <x:c r="S67" s="12" t="str">
        <x:v>Mixed commercial workplace</x:v>
      </x:c>
      <x:c r="T67" s="12" t="str">
        <x:v>Tenant business-type estimates and reviewed company-scale context.</x:v>
      </x:c>
    </x:row>
    <x:row r="68" ht="64" customHeight="1">
      <x:c r="A68" s="10" t="n">
        <x:v>1</x:v>
      </x:c>
      <x:c r="B68" s="2" t="str">
        <x:v>CORP-0064</x:v>
      </x:c>
      <x:c r="C68" s="2" t="str">
        <x:v>Bengaluru</x:v>
      </x:c>
      <x:c r="D68" s="2" t="str">
        <x:v>MS6ZTF3N</x:v>
      </x:c>
      <x:c r="E68" s="12" t="str">
        <x:v>Obeya - Roses</x:v>
      </x:c>
      <x:c r="F68" s="12" t="str">
        <x:v>HSR Layout</x:v>
      </x:c>
      <x:c r="G68" s="11" t="n">
        <x:v>1</x:v>
      </x:c>
      <x:c r="H68" s="2" t="str">
        <x:v>32 inch LED TV</x:v>
      </x:c>
      <x:c r="I68" s="12" t="str">
        <x:v>Gamut Analytics Private Limited; Acuvea Analytics Private Limited</x:v>
      </x:c>
      <x:c r="J68" s="2" t="n">
        <x:v>2</x:v>
      </x:c>
      <x:c r="K68" s="12" t="str">
        <x:v>Inventory-listed building/workspace context; current occupancy and screen access unverified</x:v>
      </x:c>
      <x:c r="L68" s="12" t="str">
        <x:v>IT &amp; digital</x:v>
      </x:c>
      <x:c r="M68" s="12" t="str">
        <x:v>Small-scale prospects</x:v>
      </x:c>
      <x:c r="N68" s="12" t="str">
        <x:v>MAIN-068</x:v>
      </x:c>
      <x:c r="O68" s="13" t="n">
        <x:v>12.912737</x:v>
      </x:c>
      <x:c r="P68" s="13" t="n">
        <x:v>77.63404</x:v>
      </x:c>
      <x:c r="Q68" s="2" t="str">
        <x:v>https://www.google.com/maps?q=12.912737,77.63404</x:v>
      </x:c>
      <x:c r="R68" s="2" t="str">
        <x:v>TEN-912570EAC05D; TEN-CBC12151BBB3</x:v>
      </x:c>
      <x:c r="S68" s="12" t="str">
        <x:v>Mixed commercial workplace</x:v>
      </x:c>
      <x:c r="T68" s="12" t="str">
        <x:v>Tenant business-type estimates and reviewed company-scale context.</x:v>
      </x:c>
    </x:row>
    <x:row r="69" ht="64" customHeight="1">
      <x:c r="A69" s="10" t="n">
        <x:v>1</x:v>
      </x:c>
      <x:c r="B69" s="2" t="str">
        <x:v>CORP-0065</x:v>
      </x:c>
      <x:c r="C69" s="2" t="str">
        <x:v>Bengaluru</x:v>
      </x:c>
      <x:c r="D69" s="2" t="str">
        <x:v>MS53Q1KG</x:v>
      </x:c>
      <x:c r="E69" s="12" t="str">
        <x:v>Obeya - Spurce</x:v>
      </x:c>
      <x:c r="F69" s="12" t="str">
        <x:v>Kadubeesanahalli</x:v>
      </x:c>
      <x:c r="G69" s="11" t="n">
        <x:v>2</x:v>
      </x:c>
      <x:c r="H69" s="2" t="str">
        <x:v>32 inch LED TV</x:v>
      </x:c>
      <x:c r="I69" s="12" t="str">
        <x:v>Zinner; Symega Technology Centre; Infinity Research; Wissen</x:v>
      </x:c>
      <x:c r="J69" s="2" t="n">
        <x:v>4</x:v>
      </x:c>
      <x:c r="K69" s="12" t="str">
        <x:v>Inventory-listed building/workspace context; current occupancy and screen access unverified</x:v>
      </x:c>
      <x:c r="L69" s="12" t="str">
        <x:v>IT &amp; digital; Professional services; Unresolved</x:v>
      </x:c>
      <x:c r="M69" s="12" t="str">
        <x:v>Small-scale prospects; Mixed business audience</x:v>
      </x:c>
      <x:c r="N69" s="12" t="str">
        <x:v>MAIN-069</x:v>
      </x:c>
      <x:c r="O69" s="13" t="n">
        <x:v>12.936511</x:v>
      </x:c>
      <x:c r="P69" s="13" t="n">
        <x:v>77.69111</x:v>
      </x:c>
      <x:c r="Q69" s="2" t="str">
        <x:v>https://www.google.com/maps?q=12.936511,77.69111</x:v>
      </x:c>
      <x:c r="R69" s="2" t="str">
        <x:v>TEN-5F9D50990EA1; TEN-7DF0FE268FFA; TEN-B7562CCFBAFA; TEN-ED83BB1519D2</x:v>
      </x:c>
      <x:c r="S69" s="12" t="str">
        <x:v>Mixed commercial workplace</x:v>
      </x:c>
      <x:c r="T69" s="12" t="str">
        <x:v>Tenant business-type estimates and reviewed company-scale context.</x:v>
      </x:c>
    </x:row>
    <x:row r="70" ht="64" customHeight="1">
      <x:c r="A70" s="10" t="n">
        <x:v>1</x:v>
      </x:c>
      <x:c r="B70" s="2" t="str">
        <x:v>CORP-0066</x:v>
      </x:c>
      <x:c r="C70" s="2" t="str">
        <x:v>Bengaluru</x:v>
      </x:c>
      <x:c r="D70" s="2" t="str">
        <x:v>MS2V6DZ4</x:v>
      </x:c>
      <x:c r="E70" s="12" t="str">
        <x:v>Obeya - Tranquil</x:v>
      </x:c>
      <x:c r="F70" s="12" t="str">
        <x:v>HSR Layout</x:v>
      </x:c>
      <x:c r="G70" s="11" t="n">
        <x:v>1</x:v>
      </x:c>
      <x:c r="H70" s="2" t="str">
        <x:v>32 inch LED TV</x:v>
      </x:c>
      <x:c r="I70" s="12" t="str">
        <x:v>Kavach Financial Services Private Limited; Upflex- Anarock India Limited; Konde Products &amp; Services Pvt. Ltd; Anarock Group Business Services Private Limited</x:v>
      </x:c>
      <x:c r="J70" s="2" t="n">
        <x:v>4</x:v>
      </x:c>
      <x:c r="K70" s="12" t="str">
        <x:v>Inventory-listed building/workspace context; current occupancy and screen access unverified</x:v>
      </x:c>
      <x:c r="L70" s="12" t="str">
        <x:v>Finance &amp; insurance; Trade, consumer &amp; logistics; Unresolved</x:v>
      </x:c>
      <x:c r="M70" s="12" t="str">
        <x:v>Medium-scale prospects; Mixed business audience</x:v>
      </x:c>
      <x:c r="N70" s="12" t="str">
        <x:v>MAIN-070</x:v>
      </x:c>
      <x:c r="O70" s="13" t="n">
        <x:v>12.910346</x:v>
      </x:c>
      <x:c r="P70" s="13" t="n">
        <x:v>77.630141</x:v>
      </x:c>
      <x:c r="Q70" s="2" t="str">
        <x:v>https://www.google.com/maps?q=12.910346,77.630141</x:v>
      </x:c>
      <x:c r="R70" s="2" t="str">
        <x:v>TEN-687E08E2CB17; TEN-A98310C4E2EE; TEN-D4180954D964; TEN-E5D9071CFFE6; TEN-F81028DE58EF</x:v>
      </x:c>
      <x:c r="S70" s="12" t="str">
        <x:v>Mixed commercial workplace</x:v>
      </x:c>
      <x:c r="T70" s="12" t="str">
        <x:v>Tenant business-type estimates and reviewed company-scale context.</x:v>
      </x:c>
    </x:row>
    <x:row r="71" ht="64" customHeight="1">
      <x:c r="A71" s="10" t="n">
        <x:v>1</x:v>
      </x:c>
      <x:c r="B71" s="2" t="str">
        <x:v>CORP-0067</x:v>
      </x:c>
      <x:c r="C71" s="2" t="str">
        <x:v>Bengaluru</x:v>
      </x:c>
      <x:c r="D71" s="2" t="str">
        <x:v>MSQ57N3B</x:v>
      </x:c>
      <x:c r="E71" s="12" t="str">
        <x:v>Obeya - Verve</x:v>
      </x:c>
      <x:c r="F71" s="12" t="str">
        <x:v>HSR Layout</x:v>
      </x:c>
      <x:c r="G71" s="11" t="n">
        <x:v>1</x:v>
      </x:c>
      <x:c r="H71" s="2" t="str">
        <x:v>32 inch LED TV</x:v>
      </x:c>
      <x:c r="I71" s="12" t="str">
        <x:v>Daytona System Pvt.Ltd; Fluidi5 Technologies Pvt.Ltd; PZ Medical India Pvt Ltd; I-Roomz India Private Limited; A2M TEchnologies; Quick Logi Technologies Idia Pvt.Ltd; Fampay Solutions Pvt.Ltd</x:v>
      </x:c>
      <x:c r="J71" s="2" t="n">
        <x:v>7</x:v>
      </x:c>
      <x:c r="K71" s="12" t="str">
        <x:v>Inventory-listed building/workspace context; current occupancy and screen access unverified</x:v>
      </x:c>
      <x:c r="L71" s="12" t="str">
        <x:v>IT &amp; digital; Finance &amp; insurance; Healthcare &amp; life sciences; Trade, consumer &amp; logistics; Unresolved</x:v>
      </x:c>
      <x:c r="M71" s="12" t="str">
        <x:v>Small-scale prospects; Medium-scale prospects; Mixed business audience</x:v>
      </x:c>
      <x:c r="N71" s="12" t="str">
        <x:v>MAIN-071</x:v>
      </x:c>
      <x:c r="O71" s="13" t="n">
        <x:v>12.914367</x:v>
      </x:c>
      <x:c r="P71" s="13" t="n">
        <x:v>77.630259</x:v>
      </x:c>
      <x:c r="Q71" s="2" t="str">
        <x:v>https://www.google.com/maps?q=12.914367,77.630259</x:v>
      </x:c>
      <x:c r="R71" s="2" t="str">
        <x:v>TEN-14394EB753CA; TEN-3F096CC5D9DD; TEN-5B0F75D66A88; TEN-60C01465DD42; TEN-6B86B1AF6901; TEN-85A2BCA26E54; TEN-E7ECD96DD676</x:v>
      </x:c>
      <x:c r="S71" s="12" t="str">
        <x:v>Mixed commercial workplace</x:v>
      </x:c>
      <x:c r="T71" s="12" t="str">
        <x:v>Tenant business-type estimates and reviewed company-scale context.</x:v>
      </x:c>
    </x:row>
    <x:row r="72" ht="64" customHeight="1">
      <x:c r="A72" s="10" t="n">
        <x:v>1</x:v>
      </x:c>
      <x:c r="B72" s="2" t="str">
        <x:v>CORP-0068</x:v>
      </x:c>
      <x:c r="C72" s="2" t="str">
        <x:v>Bengaluru</x:v>
      </x:c>
      <x:c r="D72" s="2" t="str">
        <x:v>MS3K4MRP</x:v>
      </x:c>
      <x:c r="E72" s="12" t="str">
        <x:v>Prestige Etamin (Redbrick Offices)</x:v>
      </x:c>
      <x:c r="F72" s="12" t="str">
        <x:v>Kadabeesanahalli</x:v>
      </x:c>
      <x:c r="G72" s="11" t="n">
        <x:v>1</x:v>
      </x:c>
      <x:c r="H72" s="2" t="str">
        <x:v>32 inch LED TV</x:v>
      </x:c>
      <x:c r="I72" s="12" t="str">
        <x:v>Guidewire Software Solutions India Pvt Ltd; Amadeus; Juniper Networks; EisnerAmper (India) Bengaluru; Schneider Electric; Juniper India Toastmasters Club; Activ Doctors Clinic</x:v>
      </x:c>
      <x:c r="J72" s="2" t="n">
        <x:v>7</x:v>
      </x:c>
      <x:c r="K72" s="12" t="str">
        <x:v>Campus/portfolio roster; individual building occupancy unverified</x:v>
      </x:c>
      <x:c r="L72" s="12" t="str">
        <x:v>IT &amp; digital; Professional services; Engineering &amp; manufacturing; Healthcare &amp; life sciences; Government &amp; nonprofit</x:v>
      </x:c>
      <x:c r="M72" s="12" t="str">
        <x:v>Micro-scale prospects; Large enterprise; Institutional; Mixed business audience</x:v>
      </x:c>
      <x:c r="N72" s="12" t="str">
        <x:v>MAIN-072</x:v>
      </x:c>
      <x:c r="O72" s="13" t="n">
        <x:v>12.941646575927734</x:v>
      </x:c>
      <x:c r="P72" s="13" t="n">
        <x:v>77.69093322753906</x:v>
      </x:c>
      <x:c r="Q72" s="2" t="str">
        <x:v>https://www.google.com/maps?q=12.941646575927734,77.69093322753906</x:v>
      </x:c>
      <x:c r="R72" s="2" t="str">
        <x:v>TEN-1368D08A6983; TEN-1AAF3025033C; TEN-28CBC5A35638; TEN-7EC7B0FA329F; TEN-BC3067AC45DF; TEN-DFAD7388CC62; TEN-FEDED0C77570</x:v>
      </x:c>
      <x:c r="S72" s="12" t="str">
        <x:v>Multi-tenant business offices</x:v>
      </x:c>
      <x:c r="T72" s="12" t="str">
        <x:v>Tenant business-type estimates and reviewed company-scale context.</x:v>
      </x:c>
    </x:row>
    <x:row r="73" ht="75" customHeight="1">
      <x:c r="A73" s="10" t="n">
        <x:v>1</x:v>
      </x:c>
      <x:c r="B73" s="2" t="str">
        <x:v>CORP-0069</x:v>
      </x:c>
      <x:c r="C73" s="2" t="str">
        <x:v>Bengaluru</x:v>
      </x:c>
      <x:c r="D73" s="2" t="str">
        <x:v>MS3YRKZP</x:v>
      </x:c>
      <x:c r="E73" s="12" t="str">
        <x:v>Prestige Obelisk</x:v>
      </x:c>
      <x:c r="F73" s="12" t="str">
        <x:v>MG Road</x:v>
      </x:c>
      <x:c r="G73" s="11" t="n">
        <x:v>1</x:v>
      </x:c>
      <x:c r="H73" s="2" t="str">
        <x:v>55 inch LED TV</x:v>
      </x:c>
      <x:c r="I73" s="12" t="str">
        <x:v>IndusViva HealthSciences Pvt. Ltd; Urban Vault; Yes Bank; Borqs Software Solutions; Yamazaki Mazak India Pvt. Ltd; German Consulate General; Thermo Fisher Scientific India; The Cash Pharmacy; Dr. Shetty's Aesthetic; Coface India; Cigna TTK Health Insurance Company Ltd; Flicker projects Pvt. Ltd; JK Cement Ltd; Eaton Technologies Pvt. Ltd; Lake Chemicals Pvt. Ltd; JSA Advocates and Solicitors</x:v>
      </x:c>
      <x:c r="J73" s="2" t="n">
        <x:v>16</x:v>
      </x:c>
      <x:c r="K73" s="12" t="str">
        <x:v>Same-building name inference from another supplied inventory row; exact site-ID match absent</x:v>
      </x:c>
      <x:c r="L73" s="12" t="str">
        <x:v>IT &amp; digital; Professional services; Finance &amp; insurance; Engineering &amp; manufacturing; Healthcare &amp; life sciences; Workspace &amp; property operations; Government &amp; nonprofit; Unresolved</x:v>
      </x:c>
      <x:c r="M73" s="12" t="str">
        <x:v>Small-scale prospects; Medium-scale prospects; Large enterprise; Institutional; Mixed business audience</x:v>
      </x:c>
      <x:c r="N73" s="12" t="str">
        <x:v>MAIN-073</x:v>
      </x:c>
      <x:c r="O73" s="13" t="n">
        <x:v>12.972103118896484</x:v>
      </x:c>
      <x:c r="P73" s="13" t="n">
        <x:v>77.59368133544922</x:v>
      </x:c>
      <x:c r="Q73" s="2" t="str">
        <x:v>https://www.google.com/maps?q=12.972103118896484,77.59368133544922</x:v>
      </x:c>
      <x:c r="R73" s="2" t="str">
        <x:v>TEN-05C3EA2B409C; TEN-13258F6CB706; TEN-1C593F87A18C; TEN-2E1A93A8B010; TEN-47445949BEEF; TEN-6CF5FB813A56; TEN-7D7278F45745; TEN-8A72227343A9; TEN-8EDB9C45B20E; TEN-907D11AE3179; TEN-A04E8DBF862F; TEN-A7F7AF8EB3A5; TEN-AABF376657C0; TEN-B3FD6E87E781; TEN-D6FCC16B02C8; TEN-E9968F77222F</x:v>
      </x:c>
      <x:c r="S73" s="12" t="str">
        <x:v>Mixed commercial workplace</x:v>
      </x:c>
      <x:c r="T73" s="12" t="str">
        <x:v>Tenant business-type estimates and reviewed company-scale context.</x:v>
      </x:c>
    </x:row>
    <x:row r="74" ht="64" customHeight="1">
      <x:c r="A74" s="10" t="n">
        <x:v>1</x:v>
      </x:c>
      <x:c r="B74" s="2" t="str">
        <x:v>CORP-0070</x:v>
      </x:c>
      <x:c r="C74" s="2" t="str">
        <x:v>Bengaluru</x:v>
      </x:c>
      <x:c r="D74" s="2" t="str">
        <x:v>MSRS2VXS</x:v>
      </x:c>
      <x:c r="E74" s="12" t="str">
        <x:v>Prestige Trade Tower</x:v>
      </x:c>
      <x:c r="F74" s="12" t="str">
        <x:v>Hebbal</x:v>
      </x:c>
      <x:c r="G74" s="11" t="n">
        <x:v>3</x:v>
      </x:c>
      <x:c r="H74" s="2" t="str">
        <x:v>55 inch LED TV</x:v>
      </x:c>
      <x:c r="I74" s="12" t="str"/>
      <x:c r="J74" s="2" t="n">
        <x:v>0</x:v>
      </x:c>
      <x:c r="K74" s="12" t="str">
        <x:v>Unresolved; no supported tenant names</x:v>
      </x:c>
      <x:c r="L74" s="12" t="str">
        <x:v>Unclassified</x:v>
      </x:c>
      <x:c r="M74" s="12" t="str">
        <x:v>Mixed business audience</x:v>
      </x:c>
      <x:c r="N74" s="12" t="str">
        <x:v>MAIN-074</x:v>
      </x:c>
      <x:c r="O74" s="13" t="n">
        <x:v>12.985893249511719</x:v>
      </x:c>
      <x:c r="P74" s="13" t="n">
        <x:v>77.58814239501953</x:v>
      </x:c>
      <x:c r="Q74" s="2" t="str">
        <x:v>https://www.google.com/maps?q=12.985893249511719,77.58814239501953</x:v>
      </x:c>
      <x:c r="R74" s="2" t="str"/>
      <x:c r="S74" s="12" t="str">
        <x:v>Business tower with flexible offices</x:v>
      </x:c>
      <x:c r="T74" s="12" t="str">
        <x:v>The Executive Centre describes Prestige Trade Tower as a 23-storey office building and its flexible workspace on Level 11. Official address Palace Road/High Grounds conflicts with raw Hebbal locality. Profile does not assign operator clients to all three screens.</x:v>
      </x:c>
    </x:row>
    <x:row r="75" ht="64" customHeight="1">
      <x:c r="A75" s="10" t="n">
        <x:v>1</x:v>
      </x:c>
      <x:c r="B75" s="2" t="str">
        <x:v>CORP-0071</x:v>
      </x:c>
      <x:c r="C75" s="2" t="str">
        <x:v>Bengaluru</x:v>
      </x:c>
      <x:c r="D75" s="2" t="str">
        <x:v>MSN8D497</x:v>
      </x:c>
      <x:c r="E75" s="12" t="str">
        <x:v>Prestige Tristar (Redbrick Offices)</x:v>
      </x:c>
      <x:c r="F75" s="12" t="str">
        <x:v>Halasuru</x:v>
      </x:c>
      <x:c r="G75" s="11" t="n">
        <x:v>3</x:v>
      </x:c>
      <x:c r="H75" s="2" t="str">
        <x:v>32 inch LED TV</x:v>
      </x:c>
      <x:c r="I75" s="12" t="str">
        <x:v>GEMSWORTH INFRA LLP</x:v>
      </x:c>
      <x:c r="J75" s="2" t="n">
        <x:v>1</x:v>
      </x:c>
      <x:c r="K75" s="12" t="str">
        <x:v>Inventory-listed building/workspace context; current occupancy and screen access unverified</x:v>
      </x:c>
      <x:c r="L75" s="12" t="str">
        <x:v>Engineering &amp; manufacturing</x:v>
      </x:c>
      <x:c r="M75" s="12" t="str">
        <x:v>Medium-scale prospects</x:v>
      </x:c>
      <x:c r="N75" s="12" t="str">
        <x:v>MAIN-075</x:v>
      </x:c>
      <x:c r="O75" s="13" t="n">
        <x:v>12.97676944732666</x:v>
      </x:c>
      <x:c r="P75" s="13" t="n">
        <x:v>77.61580657958984</x:v>
      </x:c>
      <x:c r="Q75" s="2" t="str">
        <x:v>https://www.google.com/maps?q=12.97676944732666,77.61580657958984</x:v>
      </x:c>
      <x:c r="R75" s="2" t="str">
        <x:v>TEN-83D1C43212E5</x:v>
      </x:c>
      <x:c r="S75" s="12" t="str">
        <x:v>Multi-tenant business offices</x:v>
      </x:c>
      <x:c r="T75" s="12" t="str">
        <x:v>Tenant business-type estimates and reviewed company-scale context.</x:v>
      </x:c>
    </x:row>
    <x:row r="76" ht="64" customHeight="1">
      <x:c r="A76" s="10" t="n">
        <x:v>1</x:v>
      </x:c>
      <x:c r="B76" s="2" t="str">
        <x:v>CORP-0072</x:v>
      </x:c>
      <x:c r="C76" s="2" t="str">
        <x:v>Bengaluru</x:v>
      </x:c>
      <x:c r="D76" s="2" t="str">
        <x:v>MSC98DP9</x:v>
      </x:c>
      <x:c r="E76" s="12" t="str">
        <x:v>Quest Office</x:v>
      </x:c>
      <x:c r="F76" s="12" t="str">
        <x:v>Ashok Nagar</x:v>
      </x:c>
      <x:c r="G76" s="11" t="n">
        <x:v>1</x:v>
      </x:c>
      <x:c r="H76" s="2" t="str">
        <x:v>32 inch LED TV</x:v>
      </x:c>
      <x:c r="I76" s="12" t="str">
        <x:v>Quest Offices (workspace operator inferred from property name; tenant occupants unconfirmed)</x:v>
      </x:c>
      <x:c r="J76" s="2" t="n">
        <x:v>1</x:v>
      </x:c>
      <x:c r="K76" s="12" t="str">
        <x:v>Workspace operator inferred from explicit property name; tenant occupants unconfirmed</x:v>
      </x:c>
      <x:c r="L76" s="12" t="str">
        <x:v>Workspace &amp; property operations</x:v>
      </x:c>
      <x:c r="M76" s="12" t="str">
        <x:v>Mixed business audience</x:v>
      </x:c>
      <x:c r="N76" s="12" t="str">
        <x:v>MAIN-076</x:v>
      </x:c>
      <x:c r="O76" s="13" t="n">
        <x:v>12.97642707824707</x:v>
      </x:c>
      <x:c r="P76" s="13" t="n">
        <x:v>77.61445617675781</x:v>
      </x:c>
      <x:c r="Q76" s="2" t="str">
        <x:v>https://www.google.com/maps?q=12.97642707824707,77.61445617675781</x:v>
      </x:c>
      <x:c r="R76" s="2" t="str">
        <x:v>TEN-F17C5FB2D022</x:v>
      </x:c>
      <x:c r="S76" s="12" t="str">
        <x:v>Multi-tenant business offices</x:v>
      </x:c>
      <x:c r="T76" s="12" t="str">
        <x:v>Tenant business-type estimates and reviewed company-scale context.</x:v>
      </x:c>
    </x:row>
    <x:row r="77" ht="64" customHeight="1">
      <x:c r="A77" s="10" t="n">
        <x:v>1</x:v>
      </x:c>
      <x:c r="B77" s="2" t="str">
        <x:v>CORP-0073</x:v>
      </x:c>
      <x:c r="C77" s="2" t="str">
        <x:v>Bengaluru</x:v>
      </x:c>
      <x:c r="D77" s="2" t="str">
        <x:v>MSN3HZ3D</x:v>
      </x:c>
      <x:c r="E77" s="12" t="str">
        <x:v>Raheja Towers</x:v>
      </x:c>
      <x:c r="F77" s="12" t="str">
        <x:v>Mahatma Gandhi Road</x:v>
      </x:c>
      <x:c r="G77" s="11" t="n">
        <x:v>11</x:v>
      </x:c>
      <x:c r="H77" s="2" t="str">
        <x:v>32 inch LED TV</x:v>
      </x:c>
      <x:c r="I77" s="12" t="str">
        <x:v>Cubelogic Software India Pvt Ltd; Mudra Media; Webbs Sales Service Pvt Ltd; Data Minder Infotek Pvt Ltd; The Math Company; Quest Offices Pvt Ltd; National Company Law Tribunal; The Institution of Engineering and Technology; Vieira Brand Services</x:v>
      </x:c>
      <x:c r="J77" s="2" t="n">
        <x:v>9</x:v>
      </x:c>
      <x:c r="K77" s="12" t="str">
        <x:v>Inventory-listed building/workspace context; current occupancy and screen access unverified</x:v>
      </x:c>
      <x:c r="L77" s="12" t="str">
        <x:v>IT &amp; digital; Professional services; Trade, consumer &amp; logistics; Workspace &amp; property operations; Government &amp; nonprofit; Unresolved</x:v>
      </x:c>
      <x:c r="M77" s="12" t="str">
        <x:v>Small-scale prospects; Institutional; Mixed business audience</x:v>
      </x:c>
      <x:c r="N77" s="12" t="str">
        <x:v>MAIN-077</x:v>
      </x:c>
      <x:c r="O77" s="13" t="n">
        <x:v>12.973102569580078</x:v>
      </x:c>
      <x:c r="P77" s="13" t="n">
        <x:v>77.61376190185547</x:v>
      </x:c>
      <x:c r="Q77" s="2" t="str">
        <x:v>https://www.google.com/maps?q=12.973102569580078,77.61376190185547</x:v>
      </x:c>
      <x:c r="R77" s="2" t="str">
        <x:v>TEN-28D1E16E18A8; TEN-2BFB7DC3AEC8; TEN-64F695501113; TEN-7954016EF06C; TEN-8E5EF5C92C7D; TEN-B2C75F70B174; TEN-C0A774A885BE; TEN-DC79DAAE1127; TEN-E57705276ACD</x:v>
      </x:c>
      <x:c r="S77" s="12" t="str">
        <x:v>Mixed commercial workplace</x:v>
      </x:c>
      <x:c r="T77" s="12" t="str">
        <x:v>Tenant business-type estimates and reviewed company-scale context.</x:v>
      </x:c>
    </x:row>
    <x:row r="78" ht="64" customHeight="1">
      <x:c r="A78" s="10" t="n">
        <x:v>1</x:v>
      </x:c>
      <x:c r="B78" s="2" t="str">
        <x:v>CORP-0074</x:v>
      </x:c>
      <x:c r="C78" s="2" t="str">
        <x:v>Bengaluru</x:v>
      </x:c>
      <x:c r="D78" s="2" t="str">
        <x:v>MSP72BFR</x:v>
      </x:c>
      <x:c r="E78" s="12" t="str">
        <x:v>Sargod Imperial Tech Park</x:v>
      </x:c>
      <x:c r="F78" s="12" t="str">
        <x:v>Ashok Nagar</x:v>
      </x:c>
      <x:c r="G78" s="11" t="n">
        <x:v>5</x:v>
      </x:c>
      <x:c r="H78" s="2" t="str">
        <x:v>43 inch LED TV</x:v>
      </x:c>
      <x:c r="I78" s="12" t="str">
        <x:v>SolarWinds India Private Limited</x:v>
      </x:c>
      <x:c r="J78" s="2" t="n">
        <x:v>1</x:v>
      </x:c>
      <x:c r="K78" s="12" t="str">
        <x:v>Inventory-listed building/workspace context; current occupancy and screen access unverified</x:v>
      </x:c>
      <x:c r="L78" s="12" t="str">
        <x:v>IT &amp; digital</x:v>
      </x:c>
      <x:c r="M78" s="12" t="str">
        <x:v>Mixed business audience</x:v>
      </x:c>
      <x:c r="N78" s="12" t="str">
        <x:v>MAIN-078</x:v>
      </x:c>
      <x:c r="O78" s="13" t="n">
        <x:v>12.971713066101074</x:v>
      </x:c>
      <x:c r="P78" s="13" t="n">
        <x:v>77.60567474365234</x:v>
      </x:c>
      <x:c r="Q78" s="2" t="str">
        <x:v>https://www.google.com/maps?q=12.971713066101074,77.60567474365234</x:v>
      </x:c>
      <x:c r="R78" s="2" t="str">
        <x:v>TEN-9F4CA485123F; TEN-B6F590BF9615</x:v>
      </x:c>
      <x:c r="S78" s="12" t="str">
        <x:v>IT and enterprise campus</x:v>
      </x:c>
      <x:c r="T78" s="12" t="str">
        <x:v>Tenant business-type estimates and reviewed company-scale context.</x:v>
      </x:c>
    </x:row>
    <x:row r="79" ht="64" customHeight="1">
      <x:c r="A79" s="10" t="n">
        <x:v>1</x:v>
      </x:c>
      <x:c r="B79" s="2" t="str">
        <x:v>CORP-0075</x:v>
      </x:c>
      <x:c r="C79" s="2" t="str">
        <x:v>Bengaluru</x:v>
      </x:c>
      <x:c r="D79" s="2" t="str">
        <x:v>MSM63JV9</x:v>
      </x:c>
      <x:c r="E79" s="12" t="str">
        <x:v>Senate </x:v>
      </x:c>
      <x:c r="F79" s="12" t="str">
        <x:v>MG Road</x:v>
      </x:c>
      <x:c r="G79" s="11" t="n">
        <x:v>2</x:v>
      </x:c>
      <x:c r="H79" s="2" t="str">
        <x:v>55 inch LED TV</x:v>
      </x:c>
      <x:c r="I79" s="12" t="str"/>
      <x:c r="J79" s="2" t="n">
        <x:v>0</x:v>
      </x:c>
      <x:c r="K79" s="12" t="str">
        <x:v>Unresolved; no supported tenant names</x:v>
      </x:c>
      <x:c r="L79" s="12" t="str">
        <x:v>Unclassified</x:v>
      </x:c>
      <x:c r="M79" s="12" t="str">
        <x:v>Mixed business audience</x:v>
      </x:c>
      <x:c r="N79" s="12" t="str">
        <x:v>MAIN-079</x:v>
      </x:c>
      <x:c r="O79" s="13" t="n">
        <x:v>12.975263595581055</x:v>
      </x:c>
      <x:c r="P79" s="13" t="n">
        <x:v>77.61756134033203</x:v>
      </x:c>
      <x:c r="Q79" s="2" t="str">
        <x:v>https://www.google.com/maps?q=12.975263595581055,77.61756134033203</x:v>
      </x:c>
      <x:c r="R79" s="2" t="str"/>
      <x:c r="S79" s="12" t="str">
        <x:v>Central business district managed offices</x:v>
      </x:c>
      <x:c r="T79" s="12" t="str">
        <x:v>Table Space reports leasing Senate on Ulsoor Road for managed offices and describes enterprise/GCC demand. Operator republication dated 26 March 2026. Source MG Road is a broader market; exact address is Ulsoor Road.</x:v>
      </x:c>
    </x:row>
    <x:row r="80" ht="64" customHeight="1">
      <x:c r="A80" s="10" t="n">
        <x:v>1</x:v>
      </x:c>
      <x:c r="B80" s="2" t="str">
        <x:v>CORP-0076</x:v>
      </x:c>
      <x:c r="C80" s="2" t="str">
        <x:v>Bengaluru</x:v>
      </x:c>
      <x:c r="D80" s="2" t="str">
        <x:v>MSWEEVS9</x:v>
      </x:c>
      <x:c r="E80" s="12" t="str">
        <x:v>Shankar Hospital</x:v>
      </x:c>
      <x:c r="F80" s="12" t="str">
        <x:v>Raghuvanahalli</x:v>
      </x:c>
      <x:c r="G80" s="11" t="n">
        <x:v>1</x:v>
      </x:c>
      <x:c r="H80" s="2" t="str">
        <x:v>32 inch LED TV</x:v>
      </x:c>
      <x:c r="I80" s="12" t="str"/>
      <x:c r="J80" s="2" t="n">
        <x:v>0</x:v>
      </x:c>
      <x:c r="K80" s="12" t="str">
        <x:v>Unresolved; no supported tenant names</x:v>
      </x:c>
      <x:c r="L80" s="12" t="str">
        <x:v>Unclassified</x:v>
      </x:c>
      <x:c r="M80" s="12" t="str">
        <x:v>Mixed business audience</x:v>
      </x:c>
      <x:c r="N80" s="12" t="str">
        <x:v>MAIN-080</x:v>
      </x:c>
      <x:c r="O80" s="13"/>
      <x:c r="P80" s="13"/>
      <x:c r="Q80" s="2" t="str"/>
      <x:c r="R80" s="2" t="str"/>
      <x:c r="S80" s="12" t="str">
        <x:v>Healthcare venue</x:v>
      </x:c>
      <x:c r="T80" s="12" t="str">
        <x:v>Shankar Super Speciality Hospital gives an exact Raghuvanahalli address on its official website. Raw zone Yelahanka conflicts with Raghuvanahalli address. Screen audience may include patients and attendants; not a pure corporate employee audience.</x:v>
      </x:c>
    </x:row>
    <x:row r="81" ht="64" customHeight="1">
      <x:c r="A81" s="10" t="n">
        <x:v>1</x:v>
      </x:c>
      <x:c r="B81" s="2" t="str">
        <x:v>CORP-0077</x:v>
      </x:c>
      <x:c r="C81" s="2" t="str">
        <x:v>Bengaluru</x:v>
      </x:c>
      <x:c r="D81" s="2" t="str">
        <x:v>MS2RCP2F</x:v>
      </x:c>
      <x:c r="E81" s="12" t="str">
        <x:v>Sierra Cartel</x:v>
      </x:c>
      <x:c r="F81" s="12" t="str">
        <x:v>Sector 4</x:v>
      </x:c>
      <x:c r="G81" s="11" t="n">
        <x:v>2</x:v>
      </x:c>
      <x:c r="H81" s="2" t="str">
        <x:v>32 inch LED TV</x:v>
      </x:c>
      <x:c r="I81" s="12" t="str">
        <x:v>Dwelling ventures; Blitz Squad; Clohype llp; ICICI Bank Ltd; Comedia technologies; Hanbaz India; Shubhadha consultancy; Hyperplay tech pvt ld; Healthshiop wellness pvt ltd; Design Webtech; Asunto technology</x:v>
      </x:c>
      <x:c r="J81" s="2" t="n">
        <x:v>11</x:v>
      </x:c>
      <x:c r="K81" s="12" t="str">
        <x:v>Inventory-listed building/workspace context; current occupancy and screen access unverified</x:v>
      </x:c>
      <x:c r="L81" s="12" t="str">
        <x:v>IT &amp; digital; Professional services; Finance &amp; insurance; Healthcare &amp; life sciences; Trade, consumer &amp; logistics; Unresolved</x:v>
      </x:c>
      <x:c r="M81" s="12" t="str">
        <x:v>Small-scale prospects; Large enterprise; Mixed business audience</x:v>
      </x:c>
      <x:c r="N81" s="12" t="str">
        <x:v>MAIN-081</x:v>
      </x:c>
      <x:c r="O81" s="13" t="n">
        <x:v>12.90985987</x:v>
      </x:c>
      <x:c r="P81" s="13" t="n">
        <x:v>77.63567712</x:v>
      </x:c>
      <x:c r="Q81" s="2" t="str">
        <x:v>https://www.google.com/maps?q=12.90985987,77.63567712</x:v>
      </x:c>
      <x:c r="R81" s="2" t="str">
        <x:v>TEN-322746B1C9C3; TEN-419FFC22FB32; TEN-4407D65F4D09; TEN-57408D93A706; TEN-6613992388BF; TEN-6E8D723B53AA; TEN-8B9791537146; TEN-9B83D7804FE5; TEN-C2A223C25123; TEN-D0F5589E5FAE; TEN-D260B37CCDE9</x:v>
      </x:c>
      <x:c r="S81" s="12" t="str">
        <x:v>Mixed commercial workplace</x:v>
      </x:c>
      <x:c r="T81" s="12" t="str">
        <x:v>Tenant business-type estimates and reviewed company-scale context.</x:v>
      </x:c>
    </x:row>
    <x:row r="82" ht="64" customHeight="1">
      <x:c r="A82" s="10" t="n">
        <x:v>1</x:v>
      </x:c>
      <x:c r="B82" s="2" t="str">
        <x:v>CORP-0078</x:v>
      </x:c>
      <x:c r="C82" s="2" t="str">
        <x:v>Bengaluru</x:v>
      </x:c>
      <x:c r="D82" s="2" t="str">
        <x:v>MSYA3RFF</x:v>
      </x:c>
      <x:c r="E82" s="12" t="str">
        <x:v>Sirius Building (Pod Screens)</x:v>
      </x:c>
      <x:c r="F82" s="12" t="str">
        <x:v>Vasanth Nagar</x:v>
      </x:c>
      <x:c r="G82" s="11" t="n">
        <x:v>2</x:v>
      </x:c>
      <x:c r="H82" s="2" t="str">
        <x:v>43 inch LED TV</x:v>
      </x:c>
      <x:c r="I82" s="12" t="str">
        <x:v>Fly Hub Travel Pvt Ltd</x:v>
      </x:c>
      <x:c r="J82" s="2" t="n">
        <x:v>1</x:v>
      </x:c>
      <x:c r="K82" s="12" t="str">
        <x:v>Campus/portfolio roster; individual building occupancy unverified</x:v>
      </x:c>
      <x:c r="L82" s="12" t="str">
        <x:v>Trade, consumer &amp; logistics</x:v>
      </x:c>
      <x:c r="M82" s="12" t="str">
        <x:v>Small-scale prospects</x:v>
      </x:c>
      <x:c r="N82" s="12" t="str">
        <x:v>MAIN-082</x:v>
      </x:c>
      <x:c r="O82" s="13" t="n">
        <x:v>12.99045</x:v>
      </x:c>
      <x:c r="P82" s="13" t="n">
        <x:v>77.593882</x:v>
      </x:c>
      <x:c r="Q82" s="2" t="str">
        <x:v>https://www.google.com/maps?q=12.99045,77.593882</x:v>
      </x:c>
      <x:c r="R82" s="2" t="str">
        <x:v>TEN-DBD359CDEA8A; TEN-F00072705532</x:v>
      </x:c>
      <x:c r="S82" s="12" t="str">
        <x:v>Mixed commercial workplace</x:v>
      </x:c>
      <x:c r="T82" s="12" t="str">
        <x:v>Tenant business-type estimates and reviewed company-scale context.</x:v>
      </x:c>
    </x:row>
    <x:row r="83" ht="64" customHeight="1">
      <x:c r="A83" s="10" t="n">
        <x:v>1</x:v>
      </x:c>
      <x:c r="B83" s="2" t="str">
        <x:v>CORP-0079</x:v>
      </x:c>
      <x:c r="C83" s="2" t="str">
        <x:v>Bengaluru</x:v>
      </x:c>
      <x:c r="D83" s="2" t="str">
        <x:v>MS4PATZK</x:v>
      </x:c>
      <x:c r="E83" s="12" t="str">
        <x:v>Sirius Building Tech Park</x:v>
      </x:c>
      <x:c r="F83" s="12" t="str">
        <x:v>Vasanth Nagar</x:v>
      </x:c>
      <x:c r="G83" s="11" t="n">
        <x:v>3</x:v>
      </x:c>
      <x:c r="H83" s="2" t="str">
        <x:v>32 inch LED TV</x:v>
      </x:c>
      <x:c r="I83" s="12" t="str">
        <x:v>Fly Hub Travel Pvt Ltd</x:v>
      </x:c>
      <x:c r="J83" s="2" t="n">
        <x:v>1</x:v>
      </x:c>
      <x:c r="K83" s="12" t="str">
        <x:v>Campus/portfolio roster; individual building occupancy unverified</x:v>
      </x:c>
      <x:c r="L83" s="12" t="str">
        <x:v>Trade, consumer &amp; logistics</x:v>
      </x:c>
      <x:c r="M83" s="12" t="str">
        <x:v>Small-scale prospects</x:v>
      </x:c>
      <x:c r="N83" s="12" t="str">
        <x:v>MAIN-083</x:v>
      </x:c>
      <x:c r="O83" s="13" t="n">
        <x:v>12.990257263183594</x:v>
      </x:c>
      <x:c r="P83" s="13" t="n">
        <x:v>77.59385681152344</x:v>
      </x:c>
      <x:c r="Q83" s="2" t="str">
        <x:v>https://www.google.com/maps?q=12.990257263183594,77.59385681152344</x:v>
      </x:c>
      <x:c r="R83" s="2" t="str">
        <x:v>TEN-DBD359CDEA8A; TEN-F00072705532</x:v>
      </x:c>
      <x:c r="S83" s="12" t="str">
        <x:v>IT and enterprise campus</x:v>
      </x:c>
      <x:c r="T83" s="12" t="str">
        <x:v>Tenant business-type estimates and reviewed company-scale context.</x:v>
      </x:c>
    </x:row>
    <x:row r="84" ht="64" customHeight="1">
      <x:c r="A84" s="10" t="n">
        <x:v>1</x:v>
      </x:c>
      <x:c r="B84" s="2" t="str">
        <x:v>CORP-0080</x:v>
      </x:c>
      <x:c r="C84" s="2" t="str">
        <x:v>Bengaluru</x:v>
      </x:c>
      <x:c r="D84" s="2" t="str">
        <x:v>MS6N65KZ</x:v>
      </x:c>
      <x:c r="E84" s="12" t="str">
        <x:v>SJR Union City</x:v>
      </x:c>
      <x:c r="F84" s="12" t="str">
        <x:v>ITPL</x:v>
      </x:c>
      <x:c r="G84" s="11" t="n">
        <x:v>2</x:v>
      </x:c>
      <x:c r="H84" s="2" t="str">
        <x:v>55 inch LED TV</x:v>
      </x:c>
      <x:c r="I84" s="12" t="str"/>
      <x:c r="J84" s="2" t="n">
        <x:v>0</x:v>
      </x:c>
      <x:c r="K84" s="12" t="str">
        <x:v>Unresolved; no supported tenant names</x:v>
      </x:c>
      <x:c r="L84" s="12" t="str">
        <x:v>Unclassified</x:v>
      </x:c>
      <x:c r="M84" s="12" t="str">
        <x:v>Mixed business audience</x:v>
      </x:c>
      <x:c r="N84" s="12" t="str">
        <x:v>MAIN-084</x:v>
      </x:c>
      <x:c r="O84" s="13" t="n">
        <x:v>12.989109992980957</x:v>
      </x:c>
      <x:c r="P84" s="13" t="n">
        <x:v>77.7326889038086</x:v>
      </x:c>
      <x:c r="Q84" s="2" t="str">
        <x:v>https://www.google.com/maps?q=12.989109992980957,77.7326889038086</x:v>
      </x:c>
      <x:c r="R84" s="2" t="str"/>
      <x:c r="S84" s="12" t="str">
        <x:v>Technology-corridor managed offices</x:v>
      </x:c>
      <x:c r="T84" s="12" t="str">
        <x:v>Table Space describes SJR Union City in Kadugodi/ITPL as managed workspace for growing technology and service teams. Property context only; specific businesses and team sizes at the two screens remain unknown.</x:v>
      </x:c>
    </x:row>
    <x:row r="85" ht="64" customHeight="1">
      <x:c r="A85" s="10" t="n">
        <x:v>1</x:v>
      </x:c>
      <x:c r="B85" s="2" t="str">
        <x:v>CORP-0081</x:v>
      </x:c>
      <x:c r="C85" s="2" t="str">
        <x:v>Bengaluru</x:v>
      </x:c>
      <x:c r="D85" s="2" t="str">
        <x:v>MSP9AHP5</x:v>
      </x:c>
      <x:c r="E85" s="12" t="str">
        <x:v>Smartworks The Cube</x:v>
      </x:c>
      <x:c r="F85" s="12" t="str">
        <x:v>Kasaba Hobli</x:v>
      </x:c>
      <x:c r="G85" s="11" t="n">
        <x:v>3</x:v>
      </x:c>
      <x:c r="H85" s="2" t="str">
        <x:v>43 inch LED TV</x:v>
      </x:c>
      <x:c r="I85" s="12" t="str">
        <x:v>Persistent Systems; STL Digital; Infobell IT Solutions Pvt Ltd; Amantya technologies</x:v>
      </x:c>
      <x:c r="J85" s="2" t="n">
        <x:v>4</x:v>
      </x:c>
      <x:c r="K85" s="12" t="str">
        <x:v>Campus/portfolio roster; individual building occupancy unverified</x:v>
      </x:c>
      <x:c r="L85" s="12" t="str">
        <x:v>IT &amp; digital</x:v>
      </x:c>
      <x:c r="M85" s="12" t="str">
        <x:v>Small-scale prospects; Large enterprise; Mixed business audience</x:v>
      </x:c>
      <x:c r="N85" s="12" t="str">
        <x:v>MAIN-085</x:v>
      </x:c>
      <x:c r="O85" s="13" t="n">
        <x:v>13.044198989868164</x:v>
      </x:c>
      <x:c r="P85" s="13" t="n">
        <x:v>77.61346435546875</x:v>
      </x:c>
      <x:c r="Q85" s="2" t="str">
        <x:v>https://www.google.com/maps?q=13.044198989868164,77.61346435546875</x:v>
      </x:c>
      <x:c r="R85" s="2" t="str">
        <x:v>TEN-956E5A41DB14; TEN-C63644CF5B4D; TEN-CF8B634D45D8; TEN-ECC7EC65401A</x:v>
      </x:c>
      <x:c r="S85" s="12" t="str">
        <x:v>Flexible workspace / mixed businesses</x:v>
      </x:c>
      <x:c r="T85" s="12" t="str">
        <x:v>Tenant business-type estimates and reviewed company-scale context.</x:v>
      </x:c>
    </x:row>
    <x:row r="86" ht="64" customHeight="1">
      <x:c r="A86" s="10" t="n">
        <x:v>1</x:v>
      </x:c>
      <x:c r="B86" s="2" t="str">
        <x:v>CORP-0082</x:v>
      </x:c>
      <x:c r="C86" s="2" t="str">
        <x:v>Bengaluru</x:v>
      </x:c>
      <x:c r="D86" s="2" t="str">
        <x:v>MSM0BFG2</x:v>
      </x:c>
      <x:c r="E86" s="12" t="str">
        <x:v>Startuphuts- Unit 1</x:v>
      </x:c>
      <x:c r="F86" s="12" t="str">
        <x:v>HSR Layout</x:v>
      </x:c>
      <x:c r="G86" s="11" t="n">
        <x:v>1</x:v>
      </x:c>
      <x:c r="H86" s="2" t="str">
        <x:v>32 inch LED TV</x:v>
      </x:c>
      <x:c r="I86" s="12" t="str">
        <x:v>FAIRDEBT SOLUTIONS PRIVATE LIMITED; Ackee Software Pvt Ltd; The Vivah Services; AG Privilege; Tristar Infinity Services</x:v>
      </x:c>
      <x:c r="J86" s="2" t="n">
        <x:v>5</x:v>
      </x:c>
      <x:c r="K86" s="12" t="str">
        <x:v>Inventory-listed building/workspace context; current occupancy and screen access unverified</x:v>
      </x:c>
      <x:c r="L86" s="12" t="str">
        <x:v>IT &amp; digital; Finance &amp; insurance; Trade, consumer &amp; logistics; Unresolved</x:v>
      </x:c>
      <x:c r="M86" s="12" t="str">
        <x:v>Small-scale prospects; Medium-scale prospects; Mixed business audience</x:v>
      </x:c>
      <x:c r="N86" s="12" t="str">
        <x:v>MAIN-086</x:v>
      </x:c>
      <x:c r="O86" s="13" t="n">
        <x:v>12.909928321838379</x:v>
      </x:c>
      <x:c r="P86" s="13" t="n">
        <x:v>77.64985656738281</x:v>
      </x:c>
      <x:c r="Q86" s="2" t="str">
        <x:v>https://www.google.com/maps?q=12.909928321838379,77.64985656738281</x:v>
      </x:c>
      <x:c r="R86" s="2" t="str">
        <x:v>TEN-0F0CFC68477E; TEN-0F9E04732186; TEN-30C4D20E1CBE; TEN-9104E1CC29F2; TEN-BF501ACCCD71</x:v>
      </x:c>
      <x:c r="S86" s="12" t="str">
        <x:v>Mixed commercial workplace</x:v>
      </x:c>
      <x:c r="T86" s="12" t="str">
        <x:v>Tenant business-type estimates and reviewed company-scale context.</x:v>
      </x:c>
    </x:row>
    <x:row r="87" ht="64" customHeight="1">
      <x:c r="A87" s="10" t="n">
        <x:v>1</x:v>
      </x:c>
      <x:c r="B87" s="2" t="str">
        <x:v>CORP-0083</x:v>
      </x:c>
      <x:c r="C87" s="2" t="str">
        <x:v>Bengaluru</x:v>
      </x:c>
      <x:c r="D87" s="2" t="str">
        <x:v>MSMKYY2G</x:v>
      </x:c>
      <x:c r="E87" s="12" t="str">
        <x:v>Startuphuts- Unit 3</x:v>
      </x:c>
      <x:c r="F87" s="12" t="str">
        <x:v>HSR Layout</x:v>
      </x:c>
      <x:c r="G87" s="11" t="n">
        <x:v>1</x:v>
      </x:c>
      <x:c r="H87" s="2" t="str">
        <x:v>32 inch LED TV</x:v>
      </x:c>
      <x:c r="I87" s="12" t="str">
        <x:v>Eveez Office; shamika heritage</x:v>
      </x:c>
      <x:c r="J87" s="2" t="n">
        <x:v>2</x:v>
      </x:c>
      <x:c r="K87" s="12" t="str">
        <x:v>Inventory-listed building/workspace context; current occupancy and screen access unverified</x:v>
      </x:c>
      <x:c r="L87" s="12" t="str">
        <x:v>Trade, consumer &amp; logistics; Unresolved</x:v>
      </x:c>
      <x:c r="M87" s="12" t="str">
        <x:v>Medium-scale prospects; Mixed business audience</x:v>
      </x:c>
      <x:c r="N87" s="12" t="str">
        <x:v>MAIN-087</x:v>
      </x:c>
      <x:c r="O87" s="13" t="n">
        <x:v>12.908298</x:v>
      </x:c>
      <x:c r="P87" s="13" t="n">
        <x:v>77.649722</x:v>
      </x:c>
      <x:c r="Q87" s="2" t="str">
        <x:v>https://www.google.com/maps?q=12.908298,77.649722</x:v>
      </x:c>
      <x:c r="R87" s="2" t="str">
        <x:v>TEN-08ED8C16AC6E; TEN-13AE387FC0B7</x:v>
      </x:c>
      <x:c r="S87" s="12" t="str">
        <x:v>Mixed commercial workplace</x:v>
      </x:c>
      <x:c r="T87" s="12" t="str">
        <x:v>Tenant business-type estimates and reviewed company-scale context.</x:v>
      </x:c>
    </x:row>
    <x:row r="88" ht="64" customHeight="1">
      <x:c r="A88" s="10" t="n">
        <x:v>1</x:v>
      </x:c>
      <x:c r="B88" s="2" t="str">
        <x:v>CORP-0084</x:v>
      </x:c>
      <x:c r="C88" s="2" t="str">
        <x:v>Bengaluru</x:v>
      </x:c>
      <x:c r="D88" s="2" t="str">
        <x:v>MS2T22GW</x:v>
      </x:c>
      <x:c r="E88" s="12" t="str">
        <x:v>Startuphuts- Unit 4</x:v>
      </x:c>
      <x:c r="F88" s="12" t="str">
        <x:v>HSR Layout</x:v>
      </x:c>
      <x:c r="G88" s="11" t="n">
        <x:v>2</x:v>
      </x:c>
      <x:c r="H88" s="2" t="str">
        <x:v>32 inch LED TV</x:v>
      </x:c>
      <x:c r="I88" s="12" t="str">
        <x:v>Infrabeat; Bhanzu</x:v>
      </x:c>
      <x:c r="J88" s="2" t="n">
        <x:v>2</x:v>
      </x:c>
      <x:c r="K88" s="12" t="str">
        <x:v>Inventory-listed building/workspace context; current occupancy and screen access unverified</x:v>
      </x:c>
      <x:c r="L88" s="12" t="str">
        <x:v>IT &amp; digital; Education</x:v>
      </x:c>
      <x:c r="M88" s="12" t="str">
        <x:v>Small-scale prospects; Mixed business audience</x:v>
      </x:c>
      <x:c r="N88" s="12" t="str">
        <x:v>MAIN-088</x:v>
      </x:c>
      <x:c r="O88" s="13" t="n">
        <x:v>12.91163138</x:v>
      </x:c>
      <x:c r="P88" s="13" t="n">
        <x:v>77.65159438</x:v>
      </x:c>
      <x:c r="Q88" s="2" t="str">
        <x:v>https://www.google.com/maps?q=12.91163138,77.65159438</x:v>
      </x:c>
      <x:c r="R88" s="2" t="str">
        <x:v>TEN-F0BA5FA690D0; TEN-F9DD0973ACFC</x:v>
      </x:c>
      <x:c r="S88" s="12" t="str">
        <x:v>Mixed commercial workplace</x:v>
      </x:c>
      <x:c r="T88" s="12" t="str">
        <x:v>Tenant business-type estimates and reviewed company-scale context.</x:v>
      </x:c>
    </x:row>
    <x:row r="89" ht="64" customHeight="1">
      <x:c r="A89" s="10" t="n">
        <x:v>1</x:v>
      </x:c>
      <x:c r="B89" s="2" t="str">
        <x:v>CORP-0085</x:v>
      </x:c>
      <x:c r="C89" s="2" t="str">
        <x:v>Bengaluru</x:v>
      </x:c>
      <x:c r="D89" s="2" t="str">
        <x:v>MSTDYH7F</x:v>
      </x:c>
      <x:c r="E89" s="12" t="str">
        <x:v>Startuphuts- Unit 6</x:v>
      </x:c>
      <x:c r="F89" s="12" t="str">
        <x:v>HSR Layout</x:v>
      </x:c>
      <x:c r="G89" s="11" t="n">
        <x:v>1</x:v>
      </x:c>
      <x:c r="H89" s="2" t="str">
        <x:v>32 inch LED TV</x:v>
      </x:c>
      <x:c r="I89" s="12" t="str">
        <x:v>Husys; Simplotel; Akira</x:v>
      </x:c>
      <x:c r="J89" s="2" t="n">
        <x:v>3</x:v>
      </x:c>
      <x:c r="K89" s="12" t="str">
        <x:v>Inventory-listed building/workspace context; current occupancy and screen access unverified</x:v>
      </x:c>
      <x:c r="L89" s="12" t="str">
        <x:v>IT &amp; digital; Professional services; Unresolved</x:v>
      </x:c>
      <x:c r="M89" s="12" t="str">
        <x:v>Small-scale prospects; Mixed business audience</x:v>
      </x:c>
      <x:c r="N89" s="12" t="str">
        <x:v>MAIN-089</x:v>
      </x:c>
      <x:c r="O89" s="13" t="n">
        <x:v>12.910282</x:v>
      </x:c>
      <x:c r="P89" s="13" t="n">
        <x:v>77.649813</x:v>
      </x:c>
      <x:c r="Q89" s="2" t="str">
        <x:v>https://www.google.com/maps?q=12.910282,77.649813</x:v>
      </x:c>
      <x:c r="R89" s="2" t="str">
        <x:v>TEN-79FC67E012A7; TEN-7EB2F6F01F1B; TEN-8D8F469ED2EF</x:v>
      </x:c>
      <x:c r="S89" s="12" t="str">
        <x:v>Mixed commercial workplace</x:v>
      </x:c>
      <x:c r="T89" s="12" t="str">
        <x:v>Tenant business-type estimates and reviewed company-scale context.</x:v>
      </x:c>
    </x:row>
    <x:row r="90" ht="64" customHeight="1">
      <x:c r="A90" s="10" t="n">
        <x:v>1</x:v>
      </x:c>
      <x:c r="B90" s="2" t="str">
        <x:v>CORP-0086</x:v>
      </x:c>
      <x:c r="C90" s="2" t="str">
        <x:v>Bengaluru</x:v>
      </x:c>
      <x:c r="D90" s="2" t="str">
        <x:v>MS081KJX</x:v>
      </x:c>
      <x:c r="E90" s="12" t="str">
        <x:v>Startuphuts- Unit 7</x:v>
      </x:c>
      <x:c r="F90" s="12" t="str">
        <x:v>HSR Layout</x:v>
      </x:c>
      <x:c r="G90" s="11" t="n">
        <x:v>2</x:v>
      </x:c>
      <x:c r="H90" s="2" t="str">
        <x:v>32 inch LED TV</x:v>
      </x:c>
      <x:c r="I90" s="12" t="str">
        <x:v>Yourdost; Classklap; SL4Technology India Pvt.Ltd; ada</x:v>
      </x:c>
      <x:c r="J90" s="2" t="n">
        <x:v>4</x:v>
      </x:c>
      <x:c r="K90" s="12" t="str">
        <x:v>Inventory-listed building/workspace context; current occupancy and screen access unverified</x:v>
      </x:c>
      <x:c r="L90" s="12" t="str">
        <x:v>Healthcare &amp; life sciences; Education; Unresolved</x:v>
      </x:c>
      <x:c r="M90" s="12" t="str">
        <x:v>Small-scale prospects; Mixed business audience</x:v>
      </x:c>
      <x:c r="N90" s="12" t="str">
        <x:v>MAIN-090</x:v>
      </x:c>
      <x:c r="O90" s="13" t="n">
        <x:v>12.91287469</x:v>
      </x:c>
      <x:c r="P90" s="13" t="n">
        <x:v>77.65215147</x:v>
      </x:c>
      <x:c r="Q90" s="2" t="str">
        <x:v>https://www.google.com/maps?q=12.91287469,77.65215147</x:v>
      </x:c>
      <x:c r="R90" s="2" t="str">
        <x:v>TEN-1152FAEF57CF; TEN-5BC7BE6ECE7C; TEN-CBFA5A6E37BE; TEN-FDEE430D40BD</x:v>
      </x:c>
      <x:c r="S90" s="12" t="str">
        <x:v>Mixed commercial workplace</x:v>
      </x:c>
      <x:c r="T90" s="12" t="str">
        <x:v>Tenant business-type estimates and reviewed company-scale context.</x:v>
      </x:c>
    </x:row>
    <x:row r="91" ht="64" customHeight="1">
      <x:c r="A91" s="10" t="n">
        <x:v>1</x:v>
      </x:c>
      <x:c r="B91" s="2" t="str">
        <x:v>CORP-0087</x:v>
      </x:c>
      <x:c r="C91" s="2" t="str">
        <x:v>Bengaluru</x:v>
      </x:c>
      <x:c r="D91" s="2" t="str">
        <x:v>MS1KM5EX</x:v>
      </x:c>
      <x:c r="E91" s="12" t="str">
        <x:v>Startuphuts- Unit 8</x:v>
      </x:c>
      <x:c r="F91" s="12" t="str">
        <x:v>jakkasandra</x:v>
      </x:c>
      <x:c r="G91" s="11" t="n">
        <x:v>2</x:v>
      </x:c>
      <x:c r="H91" s="2" t="str">
        <x:v>32 inch LED TV</x:v>
      </x:c>
      <x:c r="I91" s="12" t="str">
        <x:v>Bullsmart; KritiKal Solutions; Cortiqa</x:v>
      </x:c>
      <x:c r="J91" s="2" t="n">
        <x:v>3</x:v>
      </x:c>
      <x:c r="K91" s="12" t="str">
        <x:v>Inventory-listed building/workspace context; current occupancy and screen access unverified</x:v>
      </x:c>
      <x:c r="L91" s="12" t="str">
        <x:v>IT &amp; digital; Finance &amp; insurance; Engineering &amp; manufacturing</x:v>
      </x:c>
      <x:c r="M91" s="12" t="str">
        <x:v>Small-scale prospects; Medium-scale prospects</x:v>
      </x:c>
      <x:c r="N91" s="12" t="str">
        <x:v>MAIN-091</x:v>
      </x:c>
      <x:c r="O91" s="13" t="n">
        <x:v>12.925574</x:v>
      </x:c>
      <x:c r="P91" s="13" t="n">
        <x:v>77.635436</x:v>
      </x:c>
      <x:c r="Q91" s="2" t="str">
        <x:v>https://www.google.com/maps?q=12.925574,77.635436</x:v>
      </x:c>
      <x:c r="R91" s="2" t="str">
        <x:v>TEN-28788F1DD8EE; TEN-722C60CE3D88; TEN-A8A4F777A65C</x:v>
      </x:c>
      <x:c r="S91" s="12" t="str">
        <x:v>Mixed commercial workplace</x:v>
      </x:c>
      <x:c r="T91" s="12" t="str">
        <x:v>Tenant business-type estimates and reviewed company-scale context.</x:v>
      </x:c>
    </x:row>
    <x:row r="92" ht="64" customHeight="1">
      <x:c r="A92" s="10" t="n">
        <x:v>1</x:v>
      </x:c>
      <x:c r="B92" s="2" t="str">
        <x:v>CORP-0088</x:v>
      </x:c>
      <x:c r="C92" s="2" t="str">
        <x:v>Bengaluru</x:v>
      </x:c>
      <x:c r="D92" s="2" t="str">
        <x:v>MSSHMR20</x:v>
      </x:c>
      <x:c r="E92" s="12" t="str">
        <x:v>The Cube (Karle)It Park (Pod Screens)</x:v>
      </x:c>
      <x:c r="F92" s="12" t="str">
        <x:v>Kasaba Hobli</x:v>
      </x:c>
      <x:c r="G92" s="11" t="n">
        <x:v>2</x:v>
      </x:c>
      <x:c r="H92" s="2" t="str">
        <x:v>43 inch LED TV</x:v>
      </x:c>
      <x:c r="I92" s="12" t="str">
        <x:v>Kasmo; Persistent Systems; STL Digital; Infobell IT Solutions Pvt Ltd; Amantya technologies</x:v>
      </x:c>
      <x:c r="J92" s="2" t="n">
        <x:v>5</x:v>
      </x:c>
      <x:c r="K92" s="12" t="str">
        <x:v>Campus/portfolio roster; individual building occupancy unverified</x:v>
      </x:c>
      <x:c r="L92" s="12" t="str">
        <x:v>IT &amp; digital</x:v>
      </x:c>
      <x:c r="M92" s="12" t="str">
        <x:v>Small-scale prospects; Large enterprise; Mixed business audience</x:v>
      </x:c>
      <x:c r="N92" s="12" t="str">
        <x:v>MAIN-092</x:v>
      </x:c>
      <x:c r="O92" s="13" t="n">
        <x:v>13.044235229492188</x:v>
      </x:c>
      <x:c r="P92" s="13" t="n">
        <x:v>77.61347198486328</x:v>
      </x:c>
      <x:c r="Q92" s="2" t="str">
        <x:v>https://www.google.com/maps?q=13.044235229492188,77.61347198486328</x:v>
      </x:c>
      <x:c r="R92" s="2" t="str">
        <x:v>TEN-1DCB318D6FA6; TEN-956E5A41DB14; TEN-C63644CF5B4D; TEN-CF8B634D45D8; TEN-ECC7EC65401A</x:v>
      </x:c>
      <x:c r="S92" s="12" t="str">
        <x:v>IT and enterprise campus</x:v>
      </x:c>
      <x:c r="T92" s="12" t="str">
        <x:v>Tenant business-type estimates and reviewed company-scale context.</x:v>
      </x:c>
    </x:row>
    <x:row r="93" ht="64" customHeight="1">
      <x:c r="A93" s="10" t="n">
        <x:v>1</x:v>
      </x:c>
      <x:c r="B93" s="2" t="str">
        <x:v>CORP-0089</x:v>
      </x:c>
      <x:c r="C93" s="2" t="str">
        <x:v>Bengaluru</x:v>
      </x:c>
      <x:c r="D93" s="2" t="str">
        <x:v>MSFVTBA0</x:v>
      </x:c>
      <x:c r="E93" s="12" t="str">
        <x:v>The Venture Studios</x:v>
      </x:c>
      <x:c r="F93" s="12" t="str">
        <x:v>Sector 6</x:v>
      </x:c>
      <x:c r="G93" s="11" t="n">
        <x:v>1</x:v>
      </x:c>
      <x:c r="H93" s="2" t="str">
        <x:v>32 inch LED TV</x:v>
      </x:c>
      <x:c r="I93" s="12" t="str">
        <x:v>Sharpsell Technology Pvt.Ltd; Agile Labs; Mavenoak Properties LLP; CompUp; Anicca Data Science Solution Pvt.Ltd; ISR Designs; Experience Analytics Pvt.Ltd</x:v>
      </x:c>
      <x:c r="J93" s="2" t="n">
        <x:v>7</x:v>
      </x:c>
      <x:c r="K93" s="12" t="str">
        <x:v>Inventory-listed building/workspace context; current occupancy and screen access unverified</x:v>
      </x:c>
      <x:c r="L93" s="12" t="str">
        <x:v>IT &amp; digital; Trade, consumer &amp; logistics; Unresolved</x:v>
      </x:c>
      <x:c r="M93" s="12" t="str">
        <x:v>Small-scale prospects; Mixed business audience</x:v>
      </x:c>
      <x:c r="N93" s="12" t="str">
        <x:v>MAIN-093</x:v>
      </x:c>
      <x:c r="O93" s="13" t="n">
        <x:v>12.916073</x:v>
      </x:c>
      <x:c r="P93" s="13" t="n">
        <x:v>77.629525</x:v>
      </x:c>
      <x:c r="Q93" s="2" t="str">
        <x:v>https://www.google.com/maps?q=12.916073,77.629525</x:v>
      </x:c>
      <x:c r="R93" s="2" t="str">
        <x:v>TEN-12AA2A79B0A6; TEN-731DBD118BBD; TEN-82C3BFFEEF29; TEN-894BD711A108; TEN-9CB90BDA82CB; TEN-C40F3464BCD7; TEN-E32A2C3696BC</x:v>
      </x:c>
      <x:c r="S93" s="12" t="str">
        <x:v>Mixed commercial workplace</x:v>
      </x:c>
      <x:c r="T93" s="12" t="str">
        <x:v>Tenant business-type estimates and reviewed company-scale context.</x:v>
      </x:c>
    </x:row>
    <x:row r="94" ht="64" customHeight="1">
      <x:c r="A94" s="10" t="n">
        <x:v>1</x:v>
      </x:c>
      <x:c r="B94" s="2" t="str">
        <x:v>CORP-0090</x:v>
      </x:c>
      <x:c r="C94" s="2" t="str">
        <x:v>Bengaluru</x:v>
      </x:c>
      <x:c r="D94" s="2" t="str">
        <x:v>MSN7TTBH</x:v>
      </x:c>
      <x:c r="E94" s="12" t="str">
        <x:v>UB City</x:v>
      </x:c>
      <x:c r="F94" s="12" t="str">
        <x:v>Ashok Nagar</x:v>
      </x:c>
      <x:c r="G94" s="11" t="n">
        <x:v>1</x:v>
      </x:c>
      <x:c r="H94" s="2" t="str">
        <x:v>55 inch LED TV</x:v>
      </x:c>
      <x:c r="I94" s="12" t="str"/>
      <x:c r="J94" s="2" t="n">
        <x:v>0</x:v>
      </x:c>
      <x:c r="K94" s="12" t="str">
        <x:v>Unresolved; no supported tenant names</x:v>
      </x:c>
      <x:c r="L94" s="12" t="str">
        <x:v>Unclassified</x:v>
      </x:c>
      <x:c r="M94" s="12" t="str">
        <x:v>Mixed business audience</x:v>
      </x:c>
      <x:c r="N94" s="12" t="str">
        <x:v>MAIN-094</x:v>
      </x:c>
      <x:c r="O94" s="13" t="n">
        <x:v>12.971724510192871</x:v>
      </x:c>
      <x:c r="P94" s="13" t="n">
        <x:v>77.59447479248047</x:v>
      </x:c>
      <x:c r="Q94" s="2" t="str">
        <x:v>https://www.google.com/maps?q=12.971724510192871,77.59447479248047</x:v>
      </x:c>
      <x:c r="R94" s="2" t="str"/>
      <x:c r="S94" s="12" t="str">
        <x:v>Mixed business and retail destination</x:v>
      </x:c>
      <x:c r="T94" s="12" t="str">
        <x:v>UB City official site establishes The Collection at Vittal Mallya Road, with retail and dining. The inventory places a corporate screen in the complex. Exact tower/floor absent. Do not infer that a generic UB City screen reaches only corporate staff or only shoppers.</x:v>
      </x:c>
    </x:row>
    <x:row r="95" ht="64" customHeight="1">
      <x:c r="A95" s="10" t="n">
        <x:v>1</x:v>
      </x:c>
      <x:c r="B95" s="2" t="str">
        <x:v>CORP-0091</x:v>
      </x:c>
      <x:c r="C95" s="2" t="str">
        <x:v>Bengaluru</x:v>
      </x:c>
      <x:c r="D95" s="2" t="str">
        <x:v>MSEJB1WW</x:v>
      </x:c>
      <x:c r="E95" s="12" t="str">
        <x:v>Urban Vault- 6/A</x:v>
      </x:c>
      <x:c r="F95" s="12" t="str">
        <x:v>HSR Layout</x:v>
      </x:c>
      <x:c r="G95" s="11" t="n">
        <x:v>2</x:v>
      </x:c>
      <x:c r="H95" s="2" t="str">
        <x:v>32 inch LED TV</x:v>
      </x:c>
      <x:c r="I95" s="12" t="str">
        <x:v>Fibbir; Uprised; Vision Tech Private Limited</x:v>
      </x:c>
      <x:c r="J95" s="2" t="n">
        <x:v>3</x:v>
      </x:c>
      <x:c r="K95" s="12" t="str">
        <x:v>Inventory-listed building/workspace context; current occupancy and screen access unverified</x:v>
      </x:c>
      <x:c r="L95" s="12" t="str">
        <x:v>Unresolved</x:v>
      </x:c>
      <x:c r="M95" s="12" t="str">
        <x:v>Mixed business audience</x:v>
      </x:c>
      <x:c r="N95" s="12" t="str">
        <x:v>MAIN-095</x:v>
      </x:c>
      <x:c r="O95" s="13" t="n">
        <x:v>12.90803822</x:v>
      </x:c>
      <x:c r="P95" s="13" t="n">
        <x:v>77.64416068</x:v>
      </x:c>
      <x:c r="Q95" s="2" t="str">
        <x:v>https://www.google.com/maps?q=12.90803822,77.64416068</x:v>
      </x:c>
      <x:c r="R95" s="2" t="str">
        <x:v>TEN-674252DF0AE9; TEN-B1AD052757E7; TEN-C180FD5F29F8</x:v>
      </x:c>
      <x:c r="S95" s="12" t="str">
        <x:v>Mixed commercial workplace</x:v>
      </x:c>
      <x:c r="T95" s="12" t="str">
        <x:v>Tenant business-type estimates and reviewed company-scale context.</x:v>
      </x:c>
    </x:row>
    <x:row r="96" ht="64" customHeight="1">
      <x:c r="A96" s="10" t="n">
        <x:v>1</x:v>
      </x:c>
      <x:c r="B96" s="2" t="str">
        <x:v>CORP-0092</x:v>
      </x:c>
      <x:c r="C96" s="2" t="str">
        <x:v>Bengaluru</x:v>
      </x:c>
      <x:c r="D96" s="2" t="str">
        <x:v>MS566NPQ</x:v>
      </x:c>
      <x:c r="E96" s="12" t="str">
        <x:v>Urban Vault- 65</x:v>
      </x:c>
      <x:c r="F96" s="12" t="str">
        <x:v>HSR Layout</x:v>
      </x:c>
      <x:c r="G96" s="11" t="n">
        <x:v>2</x:v>
      </x:c>
      <x:c r="H96" s="2" t="str">
        <x:v>32 inch LED TV</x:v>
      </x:c>
      <x:c r="I96" s="12" t="str">
        <x:v>Entrepreneur First; Julia Hub; carestack; Hyperverge; prophecy</x:v>
      </x:c>
      <x:c r="J96" s="2" t="n">
        <x:v>5</x:v>
      </x:c>
      <x:c r="K96" s="12" t="str">
        <x:v>Inventory-listed building/workspace context; current occupancy and screen access unverified</x:v>
      </x:c>
      <x:c r="L96" s="12" t="str">
        <x:v>IT &amp; digital; Finance &amp; insurance</x:v>
      </x:c>
      <x:c r="M96" s="12" t="str">
        <x:v>Small-scale prospects; Medium-scale prospects</x:v>
      </x:c>
      <x:c r="N96" s="12" t="str">
        <x:v>MAIN-096</x:v>
      </x:c>
      <x:c r="O96" s="13" t="n">
        <x:v>12.91307261</x:v>
      </x:c>
      <x:c r="P96" s="13" t="n">
        <x:v>77.63635137</x:v>
      </x:c>
      <x:c r="Q96" s="2" t="str">
        <x:v>https://www.google.com/maps?q=12.91307261,77.63635137</x:v>
      </x:c>
      <x:c r="R96" s="2" t="str">
        <x:v>TEN-07D066428D01; TEN-2CBDDD182E39; TEN-8443D2DCCA7C; TEN-B02D68728E8B; TEN-D0D0FF9462AA</x:v>
      </x:c>
      <x:c r="S96" s="12" t="str">
        <x:v>Mixed commercial workplace</x:v>
      </x:c>
      <x:c r="T96" s="12" t="str">
        <x:v>Tenant business-type estimates and reviewed company-scale context.</x:v>
      </x:c>
    </x:row>
    <x:row r="97" ht="64" customHeight="1">
      <x:c r="A97" s="10" t="n">
        <x:v>1</x:v>
      </x:c>
      <x:c r="B97" s="2" t="str">
        <x:v>CORP-0093</x:v>
      </x:c>
      <x:c r="C97" s="2" t="str">
        <x:v>Bengaluru</x:v>
      </x:c>
      <x:c r="D97" s="2" t="str">
        <x:v>MS30REXB</x:v>
      </x:c>
      <x:c r="E97" s="12" t="str">
        <x:v>Urban Vault- 97</x:v>
      </x:c>
      <x:c r="F97" s="12" t="str">
        <x:v>HSR Layout</x:v>
      </x:c>
      <x:c r="G97" s="11" t="n">
        <x:v>1</x:v>
      </x:c>
      <x:c r="H97" s="2" t="str">
        <x:v>32 inch LED TV</x:v>
      </x:c>
      <x:c r="I97" s="12" t="str">
        <x:v>SPOTDRAFT; DEALShare</x:v>
      </x:c>
      <x:c r="J97" s="2" t="n">
        <x:v>2</x:v>
      </x:c>
      <x:c r="K97" s="12" t="str">
        <x:v>Inventory-listed building/workspace context; current occupancy and screen access unverified</x:v>
      </x:c>
      <x:c r="L97" s="12" t="str">
        <x:v>IT &amp; digital; Trade, consumer &amp; logistics</x:v>
      </x:c>
      <x:c r="M97" s="12" t="str">
        <x:v>Small-scale prospects</x:v>
      </x:c>
      <x:c r="N97" s="12" t="str">
        <x:v>MAIN-097</x:v>
      </x:c>
      <x:c r="O97" s="13" t="n">
        <x:v>12.91241052</x:v>
      </x:c>
      <x:c r="P97" s="13" t="n">
        <x:v>77.63967148</x:v>
      </x:c>
      <x:c r="Q97" s="2" t="str">
        <x:v>https://www.google.com/maps?q=12.91241052,77.63967148</x:v>
      </x:c>
      <x:c r="R97" s="2" t="str">
        <x:v>TEN-50B0085E2E91; TEN-EB3A79B604CA</x:v>
      </x:c>
      <x:c r="S97" s="12" t="str">
        <x:v>Mixed commercial workplace</x:v>
      </x:c>
      <x:c r="T97" s="12" t="str">
        <x:v>Tenant business-type estimates and reviewed company-scale context.</x:v>
      </x:c>
    </x:row>
    <x:row r="98" ht="64" customHeight="1">
      <x:c r="A98" s="10" t="n">
        <x:v>1</x:v>
      </x:c>
      <x:c r="B98" s="2" t="str">
        <x:v>CORP-0094</x:v>
      </x:c>
      <x:c r="C98" s="2" t="str">
        <x:v>Bengaluru</x:v>
      </x:c>
      <x:c r="D98" s="2" t="str">
        <x:v>MS4JC8XY</x:v>
      </x:c>
      <x:c r="E98" s="12" t="str">
        <x:v>Urban Vault- 145</x:v>
      </x:c>
      <x:c r="F98" s="12" t="str">
        <x:v>HSR Layout</x:v>
      </x:c>
      <x:c r="G98" s="11" t="n">
        <x:v>2</x:v>
      </x:c>
      <x:c r="H98" s="2" t="str">
        <x:v>32 inch LED TV</x:v>
      </x:c>
      <x:c r="I98" s="12" t="str">
        <x:v>Triomics; Blissclub; Growthschool</x:v>
      </x:c>
      <x:c r="J98" s="2" t="n">
        <x:v>3</x:v>
      </x:c>
      <x:c r="K98" s="12" t="str">
        <x:v>Inventory-listed building/workspace context; current occupancy and screen access unverified</x:v>
      </x:c>
      <x:c r="L98" s="12" t="str">
        <x:v>Healthcare &amp; life sciences; Education; Trade, consumer &amp; logistics</x:v>
      </x:c>
      <x:c r="M98" s="12" t="str">
        <x:v>Small-scale prospects; Medium-scale prospects</x:v>
      </x:c>
      <x:c r="N98" s="12" t="str">
        <x:v>MAIN-098</x:v>
      </x:c>
      <x:c r="O98" s="13" t="n">
        <x:v>12.9147163</x:v>
      </x:c>
      <x:c r="P98" s="13" t="n">
        <x:v>77.63217376</x:v>
      </x:c>
      <x:c r="Q98" s="2" t="str">
        <x:v>https://www.google.com/maps?q=12.9147163,77.63217376</x:v>
      </x:c>
      <x:c r="R98" s="2" t="str">
        <x:v>TEN-36266ED012C5; TEN-4372F5F2C226; TEN-FC16200FF43D</x:v>
      </x:c>
      <x:c r="S98" s="12" t="str">
        <x:v>Mixed commercial workplace</x:v>
      </x:c>
      <x:c r="T98" s="12" t="str">
        <x:v>Tenant business-type estimates and reviewed company-scale context.</x:v>
      </x:c>
    </x:row>
    <x:row r="99" ht="64" customHeight="1">
      <x:c r="A99" s="10" t="n">
        <x:v>1</x:v>
      </x:c>
      <x:c r="B99" s="2" t="str">
        <x:v>CORP-0095</x:v>
      </x:c>
      <x:c r="C99" s="2" t="str">
        <x:v>Bengaluru</x:v>
      </x:c>
      <x:c r="D99" s="2" t="str">
        <x:v>MSWNRMNW</x:v>
      </x:c>
      <x:c r="E99" s="12" t="str">
        <x:v>Urban Vault- 316</x:v>
      </x:c>
      <x:c r="F99" s="12" t="str">
        <x:v>Sector 6</x:v>
      </x:c>
      <x:c r="G99" s="11" t="n">
        <x:v>2</x:v>
      </x:c>
      <x:c r="H99" s="2" t="str">
        <x:v>32 inch LED TV</x:v>
      </x:c>
      <x:c r="I99" s="12" t="str">
        <x:v>Customer Glu</x:v>
      </x:c>
      <x:c r="J99" s="2" t="n">
        <x:v>1</x:v>
      </x:c>
      <x:c r="K99" s="12" t="str">
        <x:v>Inventory-listed building/workspace context; current occupancy and screen access unverified</x:v>
      </x:c>
      <x:c r="L99" s="12" t="str">
        <x:v>IT &amp; digital</x:v>
      </x:c>
      <x:c r="M99" s="12" t="str">
        <x:v>Small-scale prospects</x:v>
      </x:c>
      <x:c r="N99" s="12" t="str">
        <x:v>MAIN-099</x:v>
      </x:c>
      <x:c r="O99" s="13" t="n">
        <x:v>12.914657</x:v>
      </x:c>
      <x:c r="P99" s="13" t="n">
        <x:v>77.631109</x:v>
      </x:c>
      <x:c r="Q99" s="2" t="str">
        <x:v>https://www.google.com/maps?q=12.914657,77.631109</x:v>
      </x:c>
      <x:c r="R99" s="2" t="str">
        <x:v>TEN-71D66DBB439D; TEN-D071DE59348F</x:v>
      </x:c>
      <x:c r="S99" s="12" t="str">
        <x:v>Mixed commercial workplace</x:v>
      </x:c>
      <x:c r="T99" s="12" t="str">
        <x:v>Tenant business-type estimates and reviewed company-scale context.</x:v>
      </x:c>
    </x:row>
    <x:row r="100" ht="64" customHeight="1">
      <x:c r="A100" s="10" t="n">
        <x:v>1</x:v>
      </x:c>
      <x:c r="B100" s="2" t="str">
        <x:v>CORP-0096</x:v>
      </x:c>
      <x:c r="C100" s="2" t="str">
        <x:v>Bengaluru</x:v>
      </x:c>
      <x:c r="D100" s="2" t="str">
        <x:v>MST4X1C9</x:v>
      </x:c>
      <x:c r="E100" s="12" t="str">
        <x:v>Urban Vault- 591</x:v>
      </x:c>
      <x:c r="F100" s="12" t="str">
        <x:v>HSR Layout</x:v>
      </x:c>
      <x:c r="G100" s="11" t="n">
        <x:v>2</x:v>
      </x:c>
      <x:c r="H100" s="2" t="str">
        <x:v>32 inch LED TV</x:v>
      </x:c>
      <x:c r="I100" s="12" t="str">
        <x:v>Davinta; MavenTech Labs; two dot seven; goelQ; winuall; galleria</x:v>
      </x:c>
      <x:c r="J100" s="2" t="n">
        <x:v>6</x:v>
      </x:c>
      <x:c r="K100" s="12" t="str">
        <x:v>Inventory-listed building/workspace context; current occupancy and screen access unverified</x:v>
      </x:c>
      <x:c r="L100" s="12" t="str">
        <x:v>Finance &amp; insurance; Education; Unresolved</x:v>
      </x:c>
      <x:c r="M100" s="12" t="str">
        <x:v>Small-scale prospects; Medium-scale prospects; Mixed business audience</x:v>
      </x:c>
      <x:c r="N100" s="12" t="str">
        <x:v>MAIN-100</x:v>
      </x:c>
      <x:c r="O100" s="13" t="n">
        <x:v>12.909162</x:v>
      </x:c>
      <x:c r="P100" s="13" t="n">
        <x:v>77.637245</x:v>
      </x:c>
      <x:c r="Q100" s="2" t="str">
        <x:v>https://www.google.com/maps?q=12.909162,77.637245</x:v>
      </x:c>
      <x:c r="R100" s="2" t="str">
        <x:v>TEN-28EC12D4E890; TEN-40CDA80E2C11; TEN-593C230D0BE4; TEN-5FED48060BC2; TEN-6C48A85FAF3B; TEN-C9015464958C</x:v>
      </x:c>
      <x:c r="S100" s="12" t="str">
        <x:v>Mixed commercial workplace</x:v>
      </x:c>
      <x:c r="T100" s="12" t="str">
        <x:v>Tenant business-type estimates and reviewed company-scale context.</x:v>
      </x:c>
    </x:row>
    <x:row r="101" ht="64" customHeight="1">
      <x:c r="A101" s="10" t="n">
        <x:v>1</x:v>
      </x:c>
      <x:c r="B101" s="2" t="str">
        <x:v>CORP-0097</x:v>
      </x:c>
      <x:c r="C101" s="2" t="str">
        <x:v>Bengaluru</x:v>
      </x:c>
      <x:c r="D101" s="2" t="str">
        <x:v>MSW6H94E</x:v>
      </x:c>
      <x:c r="E101" s="12" t="str">
        <x:v>Urban Vault- 761</x:v>
      </x:c>
      <x:c r="F101" s="12" t="str">
        <x:v>HSR Layout</x:v>
      </x:c>
      <x:c r="G101" s="11" t="n">
        <x:v>2</x:v>
      </x:c>
      <x:c r="H101" s="2" t="str">
        <x:v>32 inch LED TV</x:v>
      </x:c>
      <x:c r="I101" s="12" t="str">
        <x:v>Murf.Ai; Woovly</x:v>
      </x:c>
      <x:c r="J101" s="2" t="n">
        <x:v>2</x:v>
      </x:c>
      <x:c r="K101" s="12" t="str">
        <x:v>Inventory-listed building/workspace context; current occupancy and screen access unverified</x:v>
      </x:c>
      <x:c r="L101" s="12" t="str">
        <x:v>IT &amp; digital; Trade, consumer &amp; logistics</x:v>
      </x:c>
      <x:c r="M101" s="12" t="str">
        <x:v>Small-scale prospects</x:v>
      </x:c>
      <x:c r="N101" s="12" t="str">
        <x:v>MAIN-101</x:v>
      </x:c>
      <x:c r="O101" s="13" t="n">
        <x:v>12.910093</x:v>
      </x:c>
      <x:c r="P101" s="13" t="n">
        <x:v>77.642547</x:v>
      </x:c>
      <x:c r="Q101" s="2" t="str">
        <x:v>https://www.google.com/maps?q=12.910093,77.642547</x:v>
      </x:c>
      <x:c r="R101" s="2" t="str">
        <x:v>TEN-458B5BB6E9BE; TEN-BA9461CED01A</x:v>
      </x:c>
      <x:c r="S101" s="12" t="str">
        <x:v>Mixed commercial workplace</x:v>
      </x:c>
      <x:c r="T101" s="12" t="str">
        <x:v>Tenant business-type estimates and reviewed company-scale context.</x:v>
      </x:c>
    </x:row>
    <x:row r="102" ht="64" customHeight="1">
      <x:c r="A102" s="10" t="n">
        <x:v>1</x:v>
      </x:c>
      <x:c r="B102" s="2" t="str">
        <x:v>CORP-0098</x:v>
      </x:c>
      <x:c r="C102" s="2" t="str">
        <x:v>Bengaluru</x:v>
      </x:c>
      <x:c r="D102" s="2" t="str">
        <x:v>MSTNH9W4</x:v>
      </x:c>
      <x:c r="E102" s="12" t="str">
        <x:v>Urban Vault- 762</x:v>
      </x:c>
      <x:c r="F102" s="12" t="str">
        <x:v>Parangi Palaya</x:v>
      </x:c>
      <x:c r="G102" s="11" t="n">
        <x:v>2</x:v>
      </x:c>
      <x:c r="H102" s="2" t="str">
        <x:v>32 inch LED TV</x:v>
      </x:c>
      <x:c r="I102" s="12" t="str">
        <x:v>Zyoin; CYWARE</x:v>
      </x:c>
      <x:c r="J102" s="2" t="n">
        <x:v>2</x:v>
      </x:c>
      <x:c r="K102" s="12" t="str">
        <x:v>Inventory-listed building/workspace context; current occupancy and screen access unverified</x:v>
      </x:c>
      <x:c r="L102" s="12" t="str">
        <x:v>IT &amp; digital; Professional services</x:v>
      </x:c>
      <x:c r="M102" s="12" t="str">
        <x:v>Small-scale prospects</x:v>
      </x:c>
      <x:c r="N102" s="12" t="str">
        <x:v>MAIN-102</x:v>
      </x:c>
      <x:c r="O102" s="13" t="n">
        <x:v>12.91036</x:v>
      </x:c>
      <x:c r="P102" s="13" t="n">
        <x:v>77.642568</x:v>
      </x:c>
      <x:c r="Q102" s="2" t="str">
        <x:v>https://www.google.com/maps?q=12.91036,77.642568</x:v>
      </x:c>
      <x:c r="R102" s="2" t="str">
        <x:v>TEN-854944265FFF; TEN-BAA6D3865F7F</x:v>
      </x:c>
      <x:c r="S102" s="12" t="str">
        <x:v>Mixed commercial workplace</x:v>
      </x:c>
      <x:c r="T102" s="12" t="str">
        <x:v>Tenant business-type estimates and reviewed company-scale context.</x:v>
      </x:c>
    </x:row>
    <x:row r="103" ht="64" customHeight="1">
      <x:c r="A103" s="10" t="n">
        <x:v>1</x:v>
      </x:c>
      <x:c r="B103" s="2" t="str">
        <x:v>CORP-0099</x:v>
      </x:c>
      <x:c r="C103" s="2" t="str">
        <x:v>Bengaluru</x:v>
      </x:c>
      <x:c r="D103" s="2" t="str">
        <x:v>MS5EV8Z5</x:v>
      </x:c>
      <x:c r="E103" s="12" t="str">
        <x:v>Urban Vault- 1086</x:v>
      </x:c>
      <x:c r="F103" s="12" t="str">
        <x:v>18th Cross Rd</x:v>
      </x:c>
      <x:c r="G103" s="11" t="n">
        <x:v>1</x:v>
      </x:c>
      <x:c r="H103" s="2" t="str">
        <x:v>32 inch LED TV</x:v>
      </x:c>
      <x:c r="I103" s="12" t="str">
        <x:v>Miebach; Bluestone; Merkle Science; Jungle</x:v>
      </x:c>
      <x:c r="J103" s="2" t="n">
        <x:v>4</x:v>
      </x:c>
      <x:c r="K103" s="12" t="str">
        <x:v>Inventory-listed building/workspace context; current occupancy and screen access unverified</x:v>
      </x:c>
      <x:c r="L103" s="12" t="str">
        <x:v>IT &amp; digital; Professional services; Trade, consumer &amp; logistics; Unresolved</x:v>
      </x:c>
      <x:c r="M103" s="12" t="str">
        <x:v>Small-scale prospects; Mixed business audience</x:v>
      </x:c>
      <x:c r="N103" s="12" t="str">
        <x:v>MAIN-103</x:v>
      </x:c>
      <x:c r="O103" s="13" t="n">
        <x:v>12.911829</x:v>
      </x:c>
      <x:c r="P103" s="13" t="n">
        <x:v>77.636394</x:v>
      </x:c>
      <x:c r="Q103" s="2" t="str">
        <x:v>https://www.google.com/maps?q=12.911829,77.636394</x:v>
      </x:c>
      <x:c r="R103" s="2" t="str">
        <x:v>TEN-1D81EC4AC755; TEN-5065EDF9A8BE; TEN-85792A69F213; TEN-91ED2EF15EEE</x:v>
      </x:c>
      <x:c r="S103" s="12" t="str">
        <x:v>Mixed commercial workplace</x:v>
      </x:c>
      <x:c r="T103" s="12" t="str">
        <x:v>Tenant business-type estimates and reviewed company-scale context.</x:v>
      </x:c>
    </x:row>
    <x:row r="104" ht="64" customHeight="1">
      <x:c r="A104" s="10" t="n">
        <x:v>1</x:v>
      </x:c>
      <x:c r="B104" s="2" t="str">
        <x:v>CORP-0100</x:v>
      </x:c>
      <x:c r="C104" s="2" t="str">
        <x:v>Bengaluru</x:v>
      </x:c>
      <x:c r="D104" s="2" t="str">
        <x:v>MS83X1M1</x:v>
      </x:c>
      <x:c r="E104" s="12" t="str">
        <x:v>Urban Vault- 1090/A</x:v>
      </x:c>
      <x:c r="F104" s="12" t="str">
        <x:v>HSR Layout</x:v>
      </x:c>
      <x:c r="G104" s="11" t="n">
        <x:v>1</x:v>
      </x:c>
      <x:c r="H104" s="2" t="str">
        <x:v>32 inch LED TV</x:v>
      </x:c>
      <x:c r="I104" s="12" t="str">
        <x:v>Mispras Furnishing Pvt.Ltd; acceldata</x:v>
      </x:c>
      <x:c r="J104" s="2" t="n">
        <x:v>2</x:v>
      </x:c>
      <x:c r="K104" s="12" t="str">
        <x:v>Inventory-listed building/workspace context; current occupancy and screen access unverified</x:v>
      </x:c>
      <x:c r="L104" s="12" t="str">
        <x:v>IT &amp; digital; Trade, consumer &amp; logistics</x:v>
      </x:c>
      <x:c r="M104" s="12" t="str">
        <x:v>Small-scale prospects</x:v>
      </x:c>
      <x:c r="N104" s="12" t="str">
        <x:v>MAIN-104</x:v>
      </x:c>
      <x:c r="O104" s="13" t="n">
        <x:v>12.911818</x:v>
      </x:c>
      <x:c r="P104" s="13" t="n">
        <x:v>77.639346</x:v>
      </x:c>
      <x:c r="Q104" s="2" t="str">
        <x:v>https://www.google.com/maps?q=12.911818,77.639346</x:v>
      </x:c>
      <x:c r="R104" s="2" t="str">
        <x:v>TEN-6EE34828A4B0; TEN-BDC65A4AB4C4</x:v>
      </x:c>
      <x:c r="S104" s="12" t="str">
        <x:v>Mixed commercial workplace</x:v>
      </x:c>
      <x:c r="T104" s="12" t="str">
        <x:v>Tenant business-type estimates and reviewed company-scale context.</x:v>
      </x:c>
    </x:row>
    <x:row r="105" ht="64" customHeight="1">
      <x:c r="A105" s="10" t="n">
        <x:v>1</x:v>
      </x:c>
      <x:c r="B105" s="2" t="str">
        <x:v>CORP-0101</x:v>
      </x:c>
      <x:c r="C105" s="2" t="str">
        <x:v>Bengaluru</x:v>
      </x:c>
      <x:c r="D105" s="2" t="str">
        <x:v>MSXD201K</x:v>
      </x:c>
      <x:c r="E105" s="12" t="str">
        <x:v>Urban Vault- 1498</x:v>
      </x:c>
      <x:c r="F105" s="12" t="str">
        <x:v>HSR Layout</x:v>
      </x:c>
      <x:c r="G105" s="11" t="n">
        <x:v>1</x:v>
      </x:c>
      <x:c r="H105" s="2" t="str">
        <x:v>32 inch LED TV</x:v>
      </x:c>
      <x:c r="I105" s="12" t="str">
        <x:v>Powerplay; Bambrew</x:v>
      </x:c>
      <x:c r="J105" s="2" t="n">
        <x:v>2</x:v>
      </x:c>
      <x:c r="K105" s="12" t="str">
        <x:v>Inventory-listed building/workspace context; current occupancy and screen access unverified</x:v>
      </x:c>
      <x:c r="L105" s="12" t="str">
        <x:v>IT &amp; digital; Engineering &amp; manufacturing</x:v>
      </x:c>
      <x:c r="M105" s="12" t="str">
        <x:v>Small-scale prospects; Medium-scale prospects</x:v>
      </x:c>
      <x:c r="N105" s="12" t="str">
        <x:v>MAIN-105</x:v>
      </x:c>
      <x:c r="O105" s="13" t="n">
        <x:v>12.91840384</x:v>
      </x:c>
      <x:c r="P105" s="13" t="n">
        <x:v>77.64502874</x:v>
      </x:c>
      <x:c r="Q105" s="2" t="str">
        <x:v>https://www.google.com/maps?q=12.91840384,77.64502874</x:v>
      </x:c>
      <x:c r="R105" s="2" t="str">
        <x:v>TEN-0D77911E21C0; TEN-357493962351</x:v>
      </x:c>
      <x:c r="S105" s="12" t="str">
        <x:v>Mixed commercial workplace</x:v>
      </x:c>
      <x:c r="T105" s="12" t="str">
        <x:v>Tenant business-type estimates and reviewed company-scale context.</x:v>
      </x:c>
    </x:row>
    <x:row r="106" ht="64" customHeight="1">
      <x:c r="A106" s="10" t="n">
        <x:v>1</x:v>
      </x:c>
      <x:c r="B106" s="2" t="str">
        <x:v>CORP-0102</x:v>
      </x:c>
      <x:c r="C106" s="2" t="str">
        <x:v>Bengaluru</x:v>
      </x:c>
      <x:c r="D106" s="2" t="str">
        <x:v>MSJFRSKH</x:v>
      </x:c>
      <x:c r="E106" s="12" t="str">
        <x:v>Urban Vault- 1515</x:v>
      </x:c>
      <x:c r="F106" s="12" t="str">
        <x:v>HSR Layout</x:v>
      </x:c>
      <x:c r="G106" s="11" t="n">
        <x:v>2</x:v>
      </x:c>
      <x:c r="H106" s="2" t="str">
        <x:v>32 inch LED TV</x:v>
      </x:c>
      <x:c r="I106" s="12" t="str">
        <x:v>Kiwi; Loop; Davinta; Ximkart</x:v>
      </x:c>
      <x:c r="J106" s="2" t="n">
        <x:v>4</x:v>
      </x:c>
      <x:c r="K106" s="12" t="str">
        <x:v>Inventory-listed building/workspace context; current occupancy and screen access unverified</x:v>
      </x:c>
      <x:c r="L106" s="12" t="str">
        <x:v>Finance &amp; insurance; Trade, consumer &amp; logistics; Unresolved</x:v>
      </x:c>
      <x:c r="M106" s="12" t="str">
        <x:v>Small-scale prospects; Medium-scale prospects; Mixed business audience</x:v>
      </x:c>
      <x:c r="N106" s="12" t="str">
        <x:v>MAIN-106</x:v>
      </x:c>
      <x:c r="O106" s="13" t="n">
        <x:v>12.915891</x:v>
      </x:c>
      <x:c r="P106" s="13" t="n">
        <x:v>77.642829</x:v>
      </x:c>
      <x:c r="Q106" s="2" t="str">
        <x:v>https://www.google.com/maps?q=12.915891,77.642829</x:v>
      </x:c>
      <x:c r="R106" s="2" t="str">
        <x:v>TEN-1A5AFEDA973D; TEN-254637F72EFC; TEN-28EC12D4E890; TEN-E2DF8D4882CE</x:v>
      </x:c>
      <x:c r="S106" s="12" t="str">
        <x:v>Mixed commercial workplace</x:v>
      </x:c>
      <x:c r="T106" s="12" t="str">
        <x:v>Tenant business-type estimates and reviewed company-scale context.</x:v>
      </x:c>
    </x:row>
    <x:row r="107" ht="64" customHeight="1">
      <x:c r="A107" s="10" t="n">
        <x:v>1</x:v>
      </x:c>
      <x:c r="B107" s="2" t="str">
        <x:v>CORP-0103</x:v>
      </x:c>
      <x:c r="C107" s="2" t="str">
        <x:v>Bengaluru</x:v>
      </x:c>
      <x:c r="D107" s="2" t="str">
        <x:v>MSRKZM91</x:v>
      </x:c>
      <x:c r="E107" s="12" t="str">
        <x:v>Urban Vault- 1608</x:v>
      </x:c>
      <x:c r="F107" s="12" t="str">
        <x:v>Agrahara Village</x:v>
      </x:c>
      <x:c r="G107" s="11" t="n">
        <x:v>2</x:v>
      </x:c>
      <x:c r="H107" s="2" t="str">
        <x:v>32 inch LED TV</x:v>
      </x:c>
      <x:c r="I107" s="12" t="str">
        <x:v>SUPERFONE; SNAP2INSIGHT; Unity</x:v>
      </x:c>
      <x:c r="J107" s="2" t="n">
        <x:v>3</x:v>
      </x:c>
      <x:c r="K107" s="12" t="str">
        <x:v>Inventory-listed building/workspace context; current occupancy and screen access unverified</x:v>
      </x:c>
      <x:c r="L107" s="12" t="str">
        <x:v>IT &amp; digital; Unresolved</x:v>
      </x:c>
      <x:c r="M107" s="12" t="str">
        <x:v>Small-scale prospects; Mixed business audience</x:v>
      </x:c>
      <x:c r="N107" s="12" t="str">
        <x:v>MAIN-107</x:v>
      </x:c>
      <x:c r="O107" s="13" t="n">
        <x:v>12.919645</x:v>
      </x:c>
      <x:c r="P107" s="13" t="n">
        <x:v>77.643517</x:v>
      </x:c>
      <x:c r="Q107" s="2" t="str">
        <x:v>https://www.google.com/maps?q=12.919645,77.643517</x:v>
      </x:c>
      <x:c r="R107" s="2" t="str">
        <x:v>TEN-0533EE71FB65; TEN-8027B5AD4104; TEN-A5790B06F63B</x:v>
      </x:c>
      <x:c r="S107" s="12" t="str">
        <x:v>Mixed commercial workplace</x:v>
      </x:c>
      <x:c r="T107" s="12" t="str">
        <x:v>Tenant business-type estimates and reviewed company-scale context.</x:v>
      </x:c>
    </x:row>
    <x:row r="108" ht="64" customHeight="1">
      <x:c r="A108" s="10" t="n">
        <x:v>1</x:v>
      </x:c>
      <x:c r="B108" s="2" t="str">
        <x:v>CORP-0104</x:v>
      </x:c>
      <x:c r="C108" s="2" t="str">
        <x:v>Bengaluru</x:v>
      </x:c>
      <x:c r="D108" s="2" t="str">
        <x:v>MSMXGSSB</x:v>
      </x:c>
      <x:c r="E108" s="12" t="str">
        <x:v>Urban Vault- 1781</x:v>
      </x:c>
      <x:c r="F108" s="12" t="str">
        <x:v>HSR Layout</x:v>
      </x:c>
      <x:c r="G108" s="11" t="n">
        <x:v>2</x:v>
      </x:c>
      <x:c r="H108" s="2" t="str">
        <x:v>32 inch LED TV</x:v>
      </x:c>
      <x:c r="I108" s="12" t="str">
        <x:v>frnd; ETHOS; Rummy verse; Questt; Electric Pe; Intervue</x:v>
      </x:c>
      <x:c r="J108" s="2" t="n">
        <x:v>6</x:v>
      </x:c>
      <x:c r="K108" s="12" t="str">
        <x:v>Inventory-listed building/workspace context; current occupancy and screen access unverified</x:v>
      </x:c>
      <x:c r="L108" s="12" t="str">
        <x:v>IT &amp; digital; Education; Trade, consumer &amp; logistics</x:v>
      </x:c>
      <x:c r="M108" s="12" t="str">
        <x:v>Small-scale prospects</x:v>
      </x:c>
      <x:c r="N108" s="12" t="str">
        <x:v>MAIN-108</x:v>
      </x:c>
      <x:c r="O108" s="13" t="n">
        <x:v>12.915044</x:v>
      </x:c>
      <x:c r="P108" s="13" t="n">
        <x:v>77.642689</x:v>
      </x:c>
      <x:c r="Q108" s="2" t="str">
        <x:v>https://www.google.com/maps?q=12.915044,77.642689</x:v>
      </x:c>
      <x:c r="R108" s="2" t="str">
        <x:v>TEN-8320B886DB16; TEN-95175E23C3CB; TEN-9C57863DFC76; TEN-A320EB654686; TEN-B769DB8ED13F; TEN-FE21BDC7D5BD</x:v>
      </x:c>
      <x:c r="S108" s="12" t="str">
        <x:v>Mixed commercial workplace</x:v>
      </x:c>
      <x:c r="T108" s="12" t="str">
        <x:v>Tenant business-type estimates and reviewed company-scale context.</x:v>
      </x:c>
    </x:row>
    <x:row r="109" ht="64" customHeight="1">
      <x:c r="A109" s="10" t="n">
        <x:v>1</x:v>
      </x:c>
      <x:c r="B109" s="2" t="str">
        <x:v>CORP-0105</x:v>
      </x:c>
      <x:c r="C109" s="2" t="str">
        <x:v>Bengaluru</x:v>
      </x:c>
      <x:c r="D109" s="2" t="str">
        <x:v>MS3B7K5A</x:v>
      </x:c>
      <x:c r="E109" s="12" t="str">
        <x:v>Urban Vault- 2907</x:v>
      </x:c>
      <x:c r="F109" s="12" t="str">
        <x:v>HSR Layout</x:v>
      </x:c>
      <x:c r="G109" s="11" t="n">
        <x:v>2</x:v>
      </x:c>
      <x:c r="H109" s="2" t="str">
        <x:v>32 inch LED TV</x:v>
      </x:c>
      <x:c r="I109" s="12" t="str">
        <x:v>Chalo; Swift; Zenda</x:v>
      </x:c>
      <x:c r="J109" s="2" t="n">
        <x:v>3</x:v>
      </x:c>
      <x:c r="K109" s="12" t="str">
        <x:v>Inventory-listed building/workspace context; current occupancy and screen access unverified</x:v>
      </x:c>
      <x:c r="L109" s="12" t="str">
        <x:v>Trade, consumer &amp; logistics; Unresolved</x:v>
      </x:c>
      <x:c r="M109" s="12" t="str">
        <x:v>Medium-scale prospects; Mixed business audience</x:v>
      </x:c>
      <x:c r="N109" s="12" t="str">
        <x:v>MAIN-109</x:v>
      </x:c>
      <x:c r="O109" s="13" t="n">
        <x:v>12.909051</x:v>
      </x:c>
      <x:c r="P109" s="13" t="n">
        <x:v>77.643934</x:v>
      </x:c>
      <x:c r="Q109" s="2" t="str">
        <x:v>https://www.google.com/maps?q=12.909051,77.643934</x:v>
      </x:c>
      <x:c r="R109" s="2" t="str">
        <x:v>TEN-20FDC37C36AD; TEN-848822CFB226; TEN-849CC660E855; TEN-A33603BF79F7; TEN-E681BA589DB7</x:v>
      </x:c>
      <x:c r="S109" s="12" t="str">
        <x:v>Mixed commercial workplace</x:v>
      </x:c>
      <x:c r="T109" s="12" t="str">
        <x:v>Tenant business-type estimates and reviewed company-scale context.</x:v>
      </x:c>
    </x:row>
    <x:row r="110" ht="64" customHeight="1">
      <x:c r="A110" s="10" t="n">
        <x:v>1</x:v>
      </x:c>
      <x:c r="B110" s="2" t="str">
        <x:v>CORP-0106</x:v>
      </x:c>
      <x:c r="C110" s="2" t="str">
        <x:v>Bengaluru</x:v>
      </x:c>
      <x:c r="D110" s="2" t="str">
        <x:v>MSWWBHTY</x:v>
      </x:c>
      <x:c r="E110" s="12" t="str">
        <x:v>Urban Vault- 2908</x:v>
      </x:c>
      <x:c r="F110" s="12" t="str">
        <x:v>HSR Layout</x:v>
      </x:c>
      <x:c r="G110" s="11" t="n">
        <x:v>2</x:v>
      </x:c>
      <x:c r="H110" s="2" t="str">
        <x:v>32 inch LED TV</x:v>
      </x:c>
      <x:c r="I110" s="12" t="str">
        <x:v>indid; upstox; G.O.A.T Brand Labs; NeuroPixoLAI</x:v>
      </x:c>
      <x:c r="J110" s="2" t="n">
        <x:v>4</x:v>
      </x:c>
      <x:c r="K110" s="12" t="str">
        <x:v>Inventory-listed building/workspace context; current occupancy and screen access unverified</x:v>
      </x:c>
      <x:c r="L110" s="12" t="str">
        <x:v>Finance &amp; insurance; Trade, consumer &amp; logistics; Unresolved</x:v>
      </x:c>
      <x:c r="M110" s="12" t="str">
        <x:v>Small-scale prospects; Mixed business audience</x:v>
      </x:c>
      <x:c r="N110" s="12" t="str">
        <x:v>MAIN-110</x:v>
      </x:c>
      <x:c r="O110" s="13" t="n">
        <x:v>12.909099</x:v>
      </x:c>
      <x:c r="P110" s="13" t="n">
        <x:v>77.643857</x:v>
      </x:c>
      <x:c r="Q110" s="2" t="str">
        <x:v>https://www.google.com/maps?q=12.909099,77.643857</x:v>
      </x:c>
      <x:c r="R110" s="2" t="str">
        <x:v>TEN-442159F9AF42; TEN-4EE0FA710885; TEN-5AC89DBAD1DE; TEN-EED2FD71A969</x:v>
      </x:c>
      <x:c r="S110" s="12" t="str">
        <x:v>Mixed commercial workplace</x:v>
      </x:c>
      <x:c r="T110" s="12" t="str">
        <x:v>Tenant business-type estimates and reviewed company-scale context.</x:v>
      </x:c>
    </x:row>
    <x:row r="111" ht="64" customHeight="1">
      <x:c r="A111" s="10" t="n">
        <x:v>1</x:v>
      </x:c>
      <x:c r="B111" s="2" t="str">
        <x:v>CORP-0107</x:v>
      </x:c>
      <x:c r="C111" s="2" t="str">
        <x:v>Bengaluru</x:v>
      </x:c>
      <x:c r="D111" s="2" t="str">
        <x:v>MS2D7NV8</x:v>
      </x:c>
      <x:c r="E111" s="12" t="str">
        <x:v>Urban Vault- Head Quarters</x:v>
      </x:c>
      <x:c r="F111" s="12" t="str">
        <x:v>Sector 4</x:v>
      </x:c>
      <x:c r="G111" s="11" t="n">
        <x:v>1</x:v>
      </x:c>
      <x:c r="H111" s="2" t="str">
        <x:v>32 inch LED TV</x:v>
      </x:c>
      <x:c r="I111" s="12" t="str">
        <x:v>Purnabrahma Restaurant; Blue Tokai; Cafe Tulum Culture; Brigosha Technologies; Brigosha Tech</x:v>
      </x:c>
      <x:c r="J111" s="2" t="n">
        <x:v>5</x:v>
      </x:c>
      <x:c r="K111" s="12" t="str">
        <x:v>Inventory-listed building/workspace context; current occupancy and screen access unverified</x:v>
      </x:c>
      <x:c r="L111" s="12" t="str">
        <x:v>IT &amp; digital; Trade, consumer &amp; logistics</x:v>
      </x:c>
      <x:c r="M111" s="12" t="str">
        <x:v>Micro-scale prospects; Small-scale prospects; Mixed business audience</x:v>
      </x:c>
      <x:c r="N111" s="12" t="str">
        <x:v>MAIN-111</x:v>
      </x:c>
      <x:c r="O111" s="13" t="n">
        <x:v>12.912731</x:v>
      </x:c>
      <x:c r="P111" s="13" t="n">
        <x:v>77.642635</x:v>
      </x:c>
      <x:c r="Q111" s="2" t="str">
        <x:v>https://www.google.com/maps?q=12.912731,77.642635</x:v>
      </x:c>
      <x:c r="R111" s="2" t="str">
        <x:v>TEN-0A260D0BDF2D; TEN-6833ABA80C52; TEN-766583A204E4; TEN-D1D0F589C024; TEN-F203D8BBAC6A</x:v>
      </x:c>
      <x:c r="S111" s="12" t="str">
        <x:v>Mixed commercial workplace</x:v>
      </x:c>
      <x:c r="T111" s="12" t="str">
        <x:v>Tenant business-type estimates and reviewed company-scale context.</x:v>
      </x:c>
    </x:row>
    <x:row r="112" ht="64" customHeight="1">
      <x:c r="A112" s="10" t="n">
        <x:v>1</x:v>
      </x:c>
      <x:c r="B112" s="2" t="str">
        <x:v>CORP-0108</x:v>
      </x:c>
      <x:c r="C112" s="2" t="str">
        <x:v>Bengaluru</x:v>
      </x:c>
      <x:c r="D112" s="2" t="str">
        <x:v>MS244WFQ</x:v>
      </x:c>
      <x:c r="E112" s="12" t="str">
        <x:v>WeWork - Cherry Hills</x:v>
      </x:c>
      <x:c r="F112" s="12" t="str">
        <x:v>Challaghatta</x:v>
      </x:c>
      <x:c r="G112" s="11" t="n">
        <x:v>1</x:v>
      </x:c>
      <x:c r="H112" s="2" t="str">
        <x:v>43 inch LED TV</x:v>
      </x:c>
      <x:c r="I112" s="12" t="str">
        <x:v>Goldman Sachs; Moveworks; Disney Star; Citrix Systems; Hotstar</x:v>
      </x:c>
      <x:c r="J112" s="2" t="n">
        <x:v>5</x:v>
      </x:c>
      <x:c r="K112" s="12" t="str">
        <x:v>Inventory-listed building/workspace context; current occupancy and screen access unverified</x:v>
      </x:c>
      <x:c r="L112" s="12" t="str">
        <x:v>IT &amp; digital; Finance &amp; insurance; Trade, consumer &amp; logistics</x:v>
      </x:c>
      <x:c r="M112" s="12" t="str">
        <x:v>Mixed business audience</x:v>
      </x:c>
      <x:c r="N112" s="12" t="str">
        <x:v>MAIN-112</x:v>
      </x:c>
      <x:c r="O112" s="13" t="n">
        <x:v>12.950215339660645</x:v>
      </x:c>
      <x:c r="P112" s="13" t="n">
        <x:v>77.64173889160156</x:v>
      </x:c>
      <x:c r="Q112" s="2" t="str">
        <x:v>https://www.google.com/maps?q=12.950215339660645,77.64173889160156</x:v>
      </x:c>
      <x:c r="R112" s="2" t="str">
        <x:v>TEN-7105A46CB4C2; TEN-901D155A2AAB; TEN-BB5042D9B00B; TEN-C89B9174C0F0; TEN-EDA2DFE8C935</x:v>
      </x:c>
      <x:c r="S112" s="12" t="str">
        <x:v>Flexible workspace / mixed businesses</x:v>
      </x:c>
      <x:c r="T112" s="12" t="str">
        <x:v>Tenant business-type estimates and reviewed company-scale context.</x:v>
      </x:c>
    </x:row>
    <x:row r="113" ht="64" customHeight="1">
      <x:c r="A113" s="10" t="n">
        <x:v>1</x:v>
      </x:c>
      <x:c r="B113" s="2" t="str">
        <x:v>CORP-0109</x:v>
      </x:c>
      <x:c r="C113" s="2" t="str">
        <x:v>Bengaluru</x:v>
      </x:c>
      <x:c r="D113" s="2" t="str">
        <x:v>MSGT1JT2</x:v>
      </x:c>
      <x:c r="E113" s="12" t="str">
        <x:v>WeWork - EGL</x:v>
      </x:c>
      <x:c r="F113" s="12" t="str">
        <x:v>Challaghatta</x:v>
      </x:c>
      <x:c r="G113" s="11" t="n">
        <x:v>4</x:v>
      </x:c>
      <x:c r="H113" s="2" t="str">
        <x:v>43 inch LED TV</x:v>
      </x:c>
      <x:c r="I113" s="12" t="str">
        <x:v>Kyron Management Services Pvt Ltd; Techstars; Leviton; Squarepoint Technologies India Pvt Ltd; Atlassian India; Precisely software and data India Pvt Ltd</x:v>
      </x:c>
      <x:c r="J113" s="2" t="n">
        <x:v>6</x:v>
      </x:c>
      <x:c r="K113" s="12" t="str">
        <x:v>Campus/portfolio roster; individual building occupancy unverified</x:v>
      </x:c>
      <x:c r="L113" s="12" t="str">
        <x:v>IT &amp; digital; Professional services; Engineering &amp; manufacturing; Unresolved</x:v>
      </x:c>
      <x:c r="M113" s="12" t="str">
        <x:v>Small-scale prospects; Large enterprise; Mixed business audience</x:v>
      </x:c>
      <x:c r="N113" s="12" t="str">
        <x:v>MAIN-113</x:v>
      </x:c>
      <x:c r="O113" s="13" t="n">
        <x:v>12.951312065124512</x:v>
      </x:c>
      <x:c r="P113" s="13" t="n">
        <x:v>77.63729858398438</x:v>
      </x:c>
      <x:c r="Q113" s="2" t="str">
        <x:v>https://www.google.com/maps?q=12.951312065124512,77.63729858398438</x:v>
      </x:c>
      <x:c r="R113" s="2" t="str">
        <x:v>TEN-34ACAFF17988; TEN-78346E1DD33E; TEN-BD06E0108A69; TEN-C044E2C928F5; TEN-CC236CA9F0D8; TEN-D218324446AC</x:v>
      </x:c>
      <x:c r="S113" s="12" t="str">
        <x:v>Flexible workspace / mixed businesses</x:v>
      </x:c>
      <x:c r="T113" s="12" t="str">
        <x:v>Tenant business-type estimates and reviewed company-scale context.</x:v>
      </x:c>
    </x:row>
    <x:row r="114" ht="64" customHeight="1">
      <x:c r="A114" s="10" t="n">
        <x:v>1</x:v>
      </x:c>
      <x:c r="B114" s="2" t="str">
        <x:v>CORP-0110</x:v>
      </x:c>
      <x:c r="C114" s="2" t="str">
        <x:v>Bengaluru</x:v>
      </x:c>
      <x:c r="D114" s="2" t="str">
        <x:v>MSRZTNKM</x:v>
      </x:c>
      <x:c r="E114" s="12" t="str">
        <x:v>Wework - Embassy One</x:v>
      </x:c>
      <x:c r="F114" s="12" t="str">
        <x:v>Ganganagar</x:v>
      </x:c>
      <x:c r="G114" s="11" t="n">
        <x:v>2</x:v>
      </x:c>
      <x:c r="H114" s="2" t="str">
        <x:v>43 inch LED TV</x:v>
      </x:c>
      <x:c r="I114" s="12" t="str">
        <x:v>Belden India Pvt Ltd; Infuse Spa at Four Seasons Hotel Bengaluru at Embassy; Consulate General of the Kingdom of the Netherlands; KOTRA Bangalore; Illumina Solution Center; Hyundai Motor India</x:v>
      </x:c>
      <x:c r="J114" s="2" t="n">
        <x:v>6</x:v>
      </x:c>
      <x:c r="K114" s="12" t="str">
        <x:v>Inventory-listed building/workspace context; current occupancy and screen access unverified</x:v>
      </x:c>
      <x:c r="L114" s="12" t="str">
        <x:v>IT &amp; digital; Engineering &amp; manufacturing; Healthcare &amp; life sciences; Trade, consumer &amp; logistics; Government &amp; nonprofit</x:v>
      </x:c>
      <x:c r="M114" s="12" t="str">
        <x:v>Institutional; Mixed business audience</x:v>
      </x:c>
      <x:c r="N114" s="12" t="str">
        <x:v>MAIN-114</x:v>
      </x:c>
      <x:c r="O114" s="13" t="n">
        <x:v>13.019450187683105</x:v>
      </x:c>
      <x:c r="P114" s="13" t="n">
        <x:v>77.58428192138672</x:v>
      </x:c>
      <x:c r="Q114" s="2" t="str">
        <x:v>https://www.google.com/maps?q=13.019450187683105,77.58428192138672</x:v>
      </x:c>
      <x:c r="R114" s="2" t="str">
        <x:v>TEN-4B0ECD1B387D; TEN-4F3101461825; TEN-7989E7FF0546; TEN-873037B174A4; TEN-C1340F89DF88; TEN-CB23CDD2295E</x:v>
      </x:c>
      <x:c r="S114" s="12" t="str">
        <x:v>Flexible workspace / mixed businesses</x:v>
      </x:c>
      <x:c r="T114" s="12" t="str">
        <x:v>Tenant business-type estimates and reviewed company-scale context.</x:v>
      </x:c>
    </x:row>
    <x:row r="115" ht="64" customHeight="1">
      <x:c r="A115" s="10" t="n">
        <x:v>1</x:v>
      </x:c>
      <x:c r="B115" s="2" t="str">
        <x:v>CORP-0111</x:v>
      </x:c>
      <x:c r="C115" s="2" t="str">
        <x:v>Bengaluru</x:v>
      </x:c>
      <x:c r="D115" s="2" t="str">
        <x:v>MS8AHGQ5</x:v>
      </x:c>
      <x:c r="E115" s="12" t="str">
        <x:v>Wework - Embassy Quest</x:v>
      </x:c>
      <x:c r="F115" s="12" t="str">
        <x:v>Ashok Nagar</x:v>
      </x:c>
      <x:c r="G115" s="11" t="n">
        <x:v>4</x:v>
      </x:c>
      <x:c r="H115" s="2" t="str">
        <x:v>43 inch LED TV</x:v>
      </x:c>
      <x:c r="I115" s="12" t="str">
        <x:v>Khaitan &amp; Co; Apollo Corporate Office Bangalore; Laundryheap India; CollegePass</x:v>
      </x:c>
      <x:c r="J115" s="2" t="n">
        <x:v>4</x:v>
      </x:c>
      <x:c r="K115" s="12" t="str">
        <x:v>Inventory-listed building/workspace context; current occupancy and screen access unverified</x:v>
      </x:c>
      <x:c r="L115" s="12" t="str">
        <x:v>Professional services; Education; Trade, consumer &amp; logistics; Unresolved</x:v>
      </x:c>
      <x:c r="M115" s="12" t="str">
        <x:v>Small-scale prospects; Large enterprise; Mixed business audience</x:v>
      </x:c>
      <x:c r="N115" s="12" t="str">
        <x:v>MAIN-115</x:v>
      </x:c>
      <x:c r="O115" s="13" t="n">
        <x:v>12.9688239</x:v>
      </x:c>
      <x:c r="P115" s="13" t="n">
        <x:v>77.6138096</x:v>
      </x:c>
      <x:c r="Q115" s="2" t="str">
        <x:v>https://www.google.com/maps?q=12.9688239,77.6138096</x:v>
      </x:c>
      <x:c r="R115" s="2" t="str">
        <x:v>TEN-0343379BA4A0; TEN-1C20B1A4BABD; TEN-306C8F629100; TEN-C0EA8E7C1508</x:v>
      </x:c>
      <x:c r="S115" s="12" t="str">
        <x:v>Flexible workspace / mixed businesses</x:v>
      </x:c>
      <x:c r="T115" s="12" t="str">
        <x:v>Tenant business-type estimates and reviewed company-scale context.</x:v>
      </x:c>
    </x:row>
    <x:row r="116" ht="64" customHeight="1">
      <x:c r="A116" s="10" t="n">
        <x:v>1</x:v>
      </x:c>
      <x:c r="B116" s="2" t="str">
        <x:v>CORP-0112</x:v>
      </x:c>
      <x:c r="C116" s="2" t="str">
        <x:v>Bengaluru</x:v>
      </x:c>
      <x:c r="D116" s="2" t="str">
        <x:v>MS3FAP6H</x:v>
      </x:c>
      <x:c r="E116" s="12" t="str">
        <x:v>WeWork - ETV</x:v>
      </x:c>
      <x:c r="F116" s="12" t="str">
        <x:v>Bellandur</x:v>
      </x:c>
      <x:c r="G116" s="11" t="n">
        <x:v>7</x:v>
      </x:c>
      <x:c r="H116" s="2" t="str">
        <x:v>43 inch LED TV</x:v>
      </x:c>
      <x:c r="I116" s="12" t="str">
        <x:v>CloudAI Pvt Ltd; Alteryx; Lookout IndiaTechnologies LLP; Arrcus Software Pvt Ltd; ProteanTecs; Cequence Security India Pvt Ltd; SowTechno Consulting Pvt. Ltd; Instabase India Private Ltd; WebWings Global Solutions Pvt. Ltd; Bluejersey18 Technologies Private Limited; Wayfair Global Technology Private Limited</x:v>
      </x:c>
      <x:c r="J116" s="2" t="n">
        <x:v>11</x:v>
      </x:c>
      <x:c r="K116" s="12" t="str">
        <x:v>Inventory-listed building/workspace context; current occupancy and screen access unverified</x:v>
      </x:c>
      <x:c r="L116" s="12" t="str">
        <x:v>IT &amp; digital; Professional services; Engineering &amp; manufacturing; Trade, consumer &amp; logistics; Unresolved</x:v>
      </x:c>
      <x:c r="M116" s="12" t="str">
        <x:v>Small-scale prospects; Medium-scale prospects; Large enterprise; Mixed business audience</x:v>
      </x:c>
      <x:c r="N116" s="12" t="str">
        <x:v>MAIN-116</x:v>
      </x:c>
      <x:c r="O116" s="13" t="n">
        <x:v>12.933943748474121</x:v>
      </x:c>
      <x:c r="P116" s="13" t="n">
        <x:v>77.6924819946289</x:v>
      </x:c>
      <x:c r="Q116" s="2" t="str">
        <x:v>https://www.google.com/maps?q=12.933943748474121,77.6924819946289</x:v>
      </x:c>
      <x:c r="R116" s="2" t="str">
        <x:v>TEN-34C2FF8C28F0; TEN-55E4D63DB5A3; TEN-6A068657AA54; TEN-9E3EBC1B58D6; TEN-A4DF6C46B83A; TEN-B3AD9B3F9232; TEN-C911002E4318; TEN-CE4BF0FAF396; TEN-ED1ACD68C76E; TEN-F4768D7D29EC; TEN-F6C7E6892C6F</x:v>
      </x:c>
      <x:c r="S116" s="12" t="str">
        <x:v>Flexible workspace / mixed businesses</x:v>
      </x:c>
      <x:c r="T116" s="12" t="str">
        <x:v>Tenant business-type estimates and reviewed company-scale context.</x:v>
      </x:c>
    </x:row>
    <x:row r="117" ht="64" customHeight="1">
      <x:c r="A117" s="10" t="n">
        <x:v>1</x:v>
      </x:c>
      <x:c r="B117" s="2" t="str">
        <x:v>CORP-0113</x:v>
      </x:c>
      <x:c r="C117" s="2" t="str">
        <x:v>Bengaluru</x:v>
      </x:c>
      <x:c r="D117" s="2" t="str">
        <x:v>MSMD64VJ</x:v>
      </x:c>
      <x:c r="E117" s="12" t="str">
        <x:v>WeWork - Jupiter</x:v>
      </x:c>
      <x:c r="F117" s="12" t="str">
        <x:v>Kadubeesanahalli</x:v>
      </x:c>
      <x:c r="G117" s="11" t="n">
        <x:v>2</x:v>
      </x:c>
      <x:c r="H117" s="2" t="str">
        <x:v>43 inch LED TV</x:v>
      </x:c>
      <x:c r="I117" s="12" t="str">
        <x:v>Kantar</x:v>
      </x:c>
      <x:c r="J117" s="2" t="n">
        <x:v>1</x:v>
      </x:c>
      <x:c r="K117" s="12" t="str">
        <x:v>Inventory-listed building/workspace context; current occupancy and screen access unverified</x:v>
      </x:c>
      <x:c r="L117" s="12" t="str">
        <x:v>Professional services</x:v>
      </x:c>
      <x:c r="M117" s="12" t="str">
        <x:v>Mixed business audience</x:v>
      </x:c>
      <x:c r="N117" s="12" t="str">
        <x:v>MAIN-117</x:v>
      </x:c>
      <x:c r="O117" s="13" t="n">
        <x:v>12.942366600036621</x:v>
      </x:c>
      <x:c r="P117" s="13" t="n">
        <x:v>77.69470977783203</x:v>
      </x:c>
      <x:c r="Q117" s="2" t="str">
        <x:v>https://www.google.com/maps?q=12.942366600036621,77.69470977783203</x:v>
      </x:c>
      <x:c r="R117" s="2" t="str">
        <x:v>TEN-0AA7D6A50FF6</x:v>
      </x:c>
      <x:c r="S117" s="12" t="str">
        <x:v>Flexible workspace / mixed businesses</x:v>
      </x:c>
      <x:c r="T117" s="12" t="str">
        <x:v>Tenant business-type estimates and reviewed company-scale context.</x:v>
      </x:c>
    </x:row>
    <x:row r="118" ht="64" customHeight="1">
      <x:c r="A118" s="10" t="n">
        <x:v>1</x:v>
      </x:c>
      <x:c r="B118" s="2" t="str">
        <x:v>CORP-0114</x:v>
      </x:c>
      <x:c r="C118" s="2" t="str">
        <x:v>Bengaluru</x:v>
      </x:c>
      <x:c r="D118" s="2" t="str">
        <x:v>MSJ80VMM</x:v>
      </x:c>
      <x:c r="E118" s="12" t="str">
        <x:v>WeWork - Manyata Mahogany</x:v>
      </x:c>
      <x:c r="F118" s="12" t="str">
        <x:v>Nagawara</x:v>
      </x:c>
      <x:c r="G118" s="11" t="n">
        <x:v>2</x:v>
      </x:c>
      <x:c r="H118" s="2" t="str">
        <x:v>43 inch LED TV</x:v>
      </x:c>
      <x:c r="I118" s="12" t="str">
        <x:v>Bricstal Group; Mitel; Unmatched studio</x:v>
      </x:c>
      <x:c r="J118" s="2" t="n">
        <x:v>3</x:v>
      </x:c>
      <x:c r="K118" s="12" t="str">
        <x:v>Inventory-listed building/workspace context; current occupancy and screen access unverified</x:v>
      </x:c>
      <x:c r="L118" s="12" t="str">
        <x:v>IT &amp; digital; Professional services; Unresolved</x:v>
      </x:c>
      <x:c r="M118" s="12" t="str">
        <x:v>Small-scale prospects; Mixed business audience</x:v>
      </x:c>
      <x:c r="N118" s="12" t="str">
        <x:v>MAIN-118</x:v>
      </x:c>
      <x:c r="O118" s="13" t="n">
        <x:v>13.050227165222168</x:v>
      </x:c>
      <x:c r="P118" s="13" t="n">
        <x:v>77.62283325195312</x:v>
      </x:c>
      <x:c r="Q118" s="2" t="str">
        <x:v>https://www.google.com/maps?q=13.050227165222168,77.62283325195312</x:v>
      </x:c>
      <x:c r="R118" s="2" t="str">
        <x:v>TEN-7488A822E29F; TEN-758EF4462DE3; TEN-B6572C5BA0FF</x:v>
      </x:c>
      <x:c r="S118" s="12" t="str">
        <x:v>Flexible workspace / mixed businesses</x:v>
      </x:c>
      <x:c r="T118" s="12" t="str">
        <x:v>Tenant business-type estimates and reviewed company-scale context.</x:v>
      </x:c>
    </x:row>
    <x:row r="119" ht="64" customHeight="1">
      <x:c r="A119" s="10" t="n">
        <x:v>1</x:v>
      </x:c>
      <x:c r="B119" s="2" t="str">
        <x:v>CORP-0115</x:v>
      </x:c>
      <x:c r="C119" s="2" t="str">
        <x:v>Bengaluru</x:v>
      </x:c>
      <x:c r="D119" s="2" t="str">
        <x:v>MST33NPD</x:v>
      </x:c>
      <x:c r="E119" s="12" t="str">
        <x:v>WeWork - Prestige Atlanta</x:v>
      </x:c>
      <x:c r="F119" s="12" t="str">
        <x:v>Koramangala</x:v>
      </x:c>
      <x:c r="G119" s="11" t="n">
        <x:v>5</x:v>
      </x:c>
      <x:c r="H119" s="2" t="str">
        <x:v>43 inch LED TV</x:v>
      </x:c>
      <x:c r="I119" s="12" t="str">
        <x:v>Instawork India; Springboard; Accode Software Pvt Ltd; ADMIREASIA; Sphyrna; SaaS Sauce; Yume Labs; AppTweak India</x:v>
      </x:c>
      <x:c r="J119" s="2" t="n">
        <x:v>8</x:v>
      </x:c>
      <x:c r="K119" s="12" t="str">
        <x:v>Inventory-listed building/workspace context; current occupancy and screen access unverified</x:v>
      </x:c>
      <x:c r="L119" s="12" t="str">
        <x:v>IT &amp; digital; Professional services; Education; Unresolved</x:v>
      </x:c>
      <x:c r="M119" s="12" t="str">
        <x:v>Small-scale prospects; Mixed business audience</x:v>
      </x:c>
      <x:c r="N119" s="12" t="str">
        <x:v>MAIN-119</x:v>
      </x:c>
      <x:c r="O119" s="13" t="n">
        <x:v>12.928949356079102</x:v>
      </x:c>
      <x:c r="P119" s="13" t="n">
        <x:v>77.63288879394531</x:v>
      </x:c>
      <x:c r="Q119" s="2" t="str">
        <x:v>https://www.google.com/maps?q=12.928949356079102,77.63288879394531</x:v>
      </x:c>
      <x:c r="R119" s="2" t="str">
        <x:v>TEN-1E664D2C3EAB; TEN-4E3ADD43CDF9; TEN-57F46E8C661D; TEN-A1609153A053; TEN-BC728F0E1BE2; TEN-C034EAA2E032; TEN-C257FB17CEAF; TEN-FD35A90C9F34</x:v>
      </x:c>
      <x:c r="S119" s="12" t="str">
        <x:v>Flexible workspace / mixed businesses</x:v>
      </x:c>
      <x:c r="T119" s="12" t="str">
        <x:v>Tenant business-type estimates and reviewed company-scale context.</x:v>
      </x:c>
    </x:row>
    <x:row r="120" ht="64" customHeight="1">
      <x:c r="A120" s="10" t="n">
        <x:v>1</x:v>
      </x:c>
      <x:c r="B120" s="2" t="str">
        <x:v>CORP-0116</x:v>
      </x:c>
      <x:c r="C120" s="2" t="str">
        <x:v>Bengaluru</x:v>
      </x:c>
      <x:c r="D120" s="2" t="str">
        <x:v>MSWWP1EZ</x:v>
      </x:c>
      <x:c r="E120" s="12" t="str">
        <x:v>WeWork - Prestige Central</x:v>
      </x:c>
      <x:c r="F120" s="12" t="str">
        <x:v>Shivaji Nagar</x:v>
      </x:c>
      <x:c r="G120" s="11" t="n">
        <x:v>8</x:v>
      </x:c>
      <x:c r="H120" s="2" t="str">
        <x:v>43 inch LED TV</x:v>
      </x:c>
      <x:c r="I120" s="12" t="str">
        <x:v>WeWork (workspace operator inferred from property name; tenant occupants unconfirmed)</x:v>
      </x:c>
      <x:c r="J120" s="2" t="n">
        <x:v>1</x:v>
      </x:c>
      <x:c r="K120" s="12" t="str">
        <x:v>Workspace operator inferred from explicit property name; tenant occupants unconfirmed</x:v>
      </x:c>
      <x:c r="L120" s="12" t="str">
        <x:v>Workspace &amp; property operations</x:v>
      </x:c>
      <x:c r="M120" s="12" t="str">
        <x:v>Mixed business audience</x:v>
      </x:c>
      <x:c r="N120" s="12" t="str">
        <x:v>MAIN-120</x:v>
      </x:c>
      <x:c r="O120" s="13" t="n">
        <x:v>12.980831146240234</x:v>
      </x:c>
      <x:c r="P120" s="13" t="n">
        <x:v>77.60310363769531</x:v>
      </x:c>
      <x:c r="Q120" s="2" t="str">
        <x:v>https://www.google.com/maps?q=12.980831146240234,77.60310363769531</x:v>
      </x:c>
      <x:c r="R120" s="2" t="str">
        <x:v>TEN-5B81D52D4310</x:v>
      </x:c>
      <x:c r="S120" s="12" t="str">
        <x:v>Flexible workspace / mixed businesses</x:v>
      </x:c>
      <x:c r="T120" s="12" t="str">
        <x:v>Tenant business-type estimates and reviewed company-scale context.</x:v>
      </x:c>
    </x:row>
    <x:row r="121" ht="64" customHeight="1">
      <x:c r="A121" s="10" t="n">
        <x:v>1</x:v>
      </x:c>
      <x:c r="B121" s="2" t="str">
        <x:v>CORP-0117</x:v>
      </x:c>
      <x:c r="C121" s="2" t="str">
        <x:v>Bengaluru</x:v>
      </x:c>
      <x:c r="D121" s="2" t="str">
        <x:v>MSKKKV30</x:v>
      </x:c>
      <x:c r="E121" s="12" t="str">
        <x:v>Wework - Prestige Cube</x:v>
      </x:c>
      <x:c r="F121" s="12" t="str">
        <x:v>Adugodi</x:v>
      </x:c>
      <x:c r="G121" s="11" t="n">
        <x:v>4</x:v>
      </x:c>
      <x:c r="H121" s="2" t="str">
        <x:v>43 inch LED TV</x:v>
      </x:c>
      <x:c r="I121" s="12" t="str">
        <x:v>AMS project consultants; Infurnia Technologies; GoSats; Into Education India private limited</x:v>
      </x:c>
      <x:c r="J121" s="2" t="n">
        <x:v>4</x:v>
      </x:c>
      <x:c r="K121" s="12" t="str">
        <x:v>Inventory-listed building/workspace context; current occupancy and screen access unverified</x:v>
      </x:c>
      <x:c r="L121" s="12" t="str">
        <x:v>IT &amp; digital; Professional services; Education</x:v>
      </x:c>
      <x:c r="M121" s="12" t="str">
        <x:v>Small-scale prospects</x:v>
      </x:c>
      <x:c r="N121" s="12" t="str">
        <x:v>MAIN-121</x:v>
      </x:c>
      <x:c r="O121" s="13" t="n">
        <x:v>12.9364947</x:v>
      </x:c>
      <x:c r="P121" s="13" t="n">
        <x:v>77.6109681</x:v>
      </x:c>
      <x:c r="Q121" s="2" t="str">
        <x:v>https://www.google.com/maps?q=12.9364947,77.6109681</x:v>
      </x:c>
      <x:c r="R121" s="2" t="str">
        <x:v>TEN-B2049BFB027D; TEN-B46369E6981D; TEN-C9C6B572276E; TEN-E381AEDD9876</x:v>
      </x:c>
      <x:c r="S121" s="12" t="str">
        <x:v>Flexible workspace / mixed businesses</x:v>
      </x:c>
      <x:c r="T121" s="12" t="str">
        <x:v>Tenant business-type estimates and reviewed company-scale context.</x:v>
      </x:c>
    </x:row>
    <x:row r="122" ht="64" customHeight="1">
      <x:c r="A122" s="10" t="n">
        <x:v>1</x:v>
      </x:c>
      <x:c r="B122" s="2" t="str">
        <x:v>CORP-0118</x:v>
      </x:c>
      <x:c r="C122" s="2" t="str">
        <x:v>Bengaluru</x:v>
      </x:c>
      <x:c r="D122" s="2" t="str">
        <x:v>MS7C63J4</x:v>
      </x:c>
      <x:c r="E122" s="12" t="str">
        <x:v>Wework - Princeville</x:v>
      </x:c>
      <x:c r="F122" s="12" t="str">
        <x:v>Domlur </x:v>
      </x:c>
      <x:c r="G122" s="11" t="n">
        <x:v>3</x:v>
      </x:c>
      <x:c r="H122" s="2" t="str">
        <x:v>43 inch LED TV</x:v>
      </x:c>
      <x:c r="I122" s="12" t="str">
        <x:v>SmartCow AI Technologies Pvt Ltd</x:v>
      </x:c>
      <x:c r="J122" s="2" t="n">
        <x:v>1</x:v>
      </x:c>
      <x:c r="K122" s="12" t="str">
        <x:v>Inventory-listed building/workspace context; current occupancy and screen access unverified</x:v>
      </x:c>
      <x:c r="L122" s="12" t="str">
        <x:v>IT &amp; digital</x:v>
      </x:c>
      <x:c r="M122" s="12" t="str">
        <x:v>Small-scale prospects</x:v>
      </x:c>
      <x:c r="N122" s="12" t="str">
        <x:v>MAIN-122</x:v>
      </x:c>
      <x:c r="O122" s="13" t="n">
        <x:v>12.949568</x:v>
      </x:c>
      <x:c r="P122" s="13" t="n">
        <x:v>77.643253</x:v>
      </x:c>
      <x:c r="Q122" s="2" t="str">
        <x:v>https://www.google.com/maps?q=12.949568,77.643253</x:v>
      </x:c>
      <x:c r="R122" s="2" t="str">
        <x:v>TEN-9102A007CE45</x:v>
      </x:c>
      <x:c r="S122" s="12" t="str">
        <x:v>Flexible workspace / mixed businesses</x:v>
      </x:c>
      <x:c r="T122" s="12" t="str">
        <x:v>Tenant business-type estimates and reviewed company-scale context.</x:v>
      </x:c>
    </x:row>
    <x:row r="123" ht="64" customHeight="1">
      <x:c r="A123" s="10" t="n">
        <x:v>1</x:v>
      </x:c>
      <x:c r="B123" s="2" t="str">
        <x:v>CORP-0119</x:v>
      </x:c>
      <x:c r="C123" s="2" t="str">
        <x:v>Bengaluru</x:v>
      </x:c>
      <x:c r="D123" s="2" t="str">
        <x:v>MSTWEPBN</x:v>
      </x:c>
      <x:c r="E123" s="12" t="str">
        <x:v>WeWork - Redwood</x:v>
      </x:c>
      <x:c r="F123" s="12" t="str">
        <x:v>Manyata Tech Park Rd</x:v>
      </x:c>
      <x:c r="G123" s="11" t="n">
        <x:v>2</x:v>
      </x:c>
      <x:c r="H123" s="2" t="str">
        <x:v>43 inch LED TV</x:v>
      </x:c>
      <x:c r="I123" s="12" t="str">
        <x:v>WeWork (workspace operator inferred from property name; tenant occupants unconfirmed)</x:v>
      </x:c>
      <x:c r="J123" s="2" t="n">
        <x:v>1</x:v>
      </x:c>
      <x:c r="K123" s="12" t="str">
        <x:v>Workspace operator inferred from explicit property name; tenant occupants unconfirmed</x:v>
      </x:c>
      <x:c r="L123" s="12" t="str">
        <x:v>Workspace &amp; property operations</x:v>
      </x:c>
      <x:c r="M123" s="12" t="str">
        <x:v>Mixed business audience</x:v>
      </x:c>
      <x:c r="N123" s="12" t="str">
        <x:v>MAIN-123</x:v>
      </x:c>
      <x:c r="O123" s="13" t="n">
        <x:v>13.048789024353027</x:v>
      </x:c>
      <x:c r="P123" s="13" t="n">
        <x:v>77.62015533447266</x:v>
      </x:c>
      <x:c r="Q123" s="2" t="str">
        <x:v>https://www.google.com/maps?q=13.048789024353027,77.62015533447266</x:v>
      </x:c>
      <x:c r="R123" s="2" t="str">
        <x:v>TEN-5B81D52D4310</x:v>
      </x:c>
      <x:c r="S123" s="12" t="str">
        <x:v>Flexible workspace / mixed businesses</x:v>
      </x:c>
      <x:c r="T123" s="12" t="str">
        <x:v>Tenant business-type estimates and reviewed company-scale context.</x:v>
      </x:c>
    </x:row>
    <x:row r="124" ht="64" customHeight="1">
      <x:c r="A124" s="10" t="n">
        <x:v>1</x:v>
      </x:c>
      <x:c r="B124" s="2" t="str">
        <x:v>CORP-0120</x:v>
      </x:c>
      <x:c r="C124" s="2" t="str">
        <x:v>Bengaluru</x:v>
      </x:c>
      <x:c r="D124" s="2" t="str">
        <x:v>MSC8DW28</x:v>
      </x:c>
      <x:c r="E124" s="12" t="str">
        <x:v>WeWork - RMZ Latitude</x:v>
      </x:c>
      <x:c r="F124" s="12" t="str">
        <x:v>Byatarayanapura</x:v>
      </x:c>
      <x:c r="G124" s="11" t="n">
        <x:v>4</x:v>
      </x:c>
      <x:c r="H124" s="2" t="str">
        <x:v>43 inch LED TV</x:v>
      </x:c>
      <x:c r="I124" s="12" t="str">
        <x:v>Tilaka Technologies Pvt Ltd; Qt India Technology Private Limited; BLH.Software; Vivusoft Technologies; Solutionswilcom; Pricewaterhouse; Cuemath Online Tution Center; Living Forests India; Cimpress Bangalore; Paxal Marbles &amp; Granites; Hajana Technologies</x:v>
      </x:c>
      <x:c r="J124" s="2" t="n">
        <x:v>11</x:v>
      </x:c>
      <x:c r="K124" s="12" t="str">
        <x:v>Inventory-listed building/workspace context; current occupancy and screen access unverified</x:v>
      </x:c>
      <x:c r="L124" s="12" t="str">
        <x:v>IT &amp; digital; Professional services; Education; Trade, consumer &amp; logistics; Unresolved</x:v>
      </x:c>
      <x:c r="M124" s="12" t="str">
        <x:v>Small-scale prospects; Large enterprise; Mixed business audience</x:v>
      </x:c>
      <x:c r="N124" s="12" t="str">
        <x:v>MAIN-124</x:v>
      </x:c>
      <x:c r="O124" s="13" t="n">
        <x:v>13.056395530700684</x:v>
      </x:c>
      <x:c r="P124" s="13" t="n">
        <x:v>77.59430694580078</x:v>
      </x:c>
      <x:c r="Q124" s="2" t="str">
        <x:v>https://www.google.com/maps?q=13.056395530700684,77.59430694580078</x:v>
      </x:c>
      <x:c r="R124" s="2" t="str">
        <x:v>TEN-1A928963EA58; TEN-4E4EABF6E4C9; TEN-57FDEDC0DEC7; TEN-8339DA98BD73; TEN-881CB9BE282C; TEN-906A7F314B08; TEN-9FFDE6DEDC6D; TEN-A4B489F44A39; TEN-B82219A14E90; TEN-EC305B6618A4; TEN-FB464099276C</x:v>
      </x:c>
      <x:c r="S124" s="12" t="str">
        <x:v>Flexible workspace / mixed businesses</x:v>
      </x:c>
      <x:c r="T124" s="12" t="str">
        <x:v>Tenant business-type estimates and reviewed company-scale context.</x:v>
      </x:c>
    </x:row>
    <x:row r="125" ht="64" customHeight="1">
      <x:c r="A125" s="10" t="n">
        <x:v>1</x:v>
      </x:c>
      <x:c r="B125" s="2" t="str">
        <x:v>CORP-0121</x:v>
      </x:c>
      <x:c r="C125" s="2" t="str">
        <x:v>Bengaluru</x:v>
      </x:c>
      <x:c r="D125" s="2" t="str">
        <x:v>MSPPSD79</x:v>
      </x:c>
      <x:c r="E125" s="12" t="str">
        <x:v>WeWork - Roshni TH</x:v>
      </x:c>
      <x:c r="F125" s="12" t="str">
        <x:v>Chinnapanna Halli</x:v>
      </x:c>
      <x:c r="G125" s="11" t="n">
        <x:v>2</x:v>
      </x:c>
      <x:c r="H125" s="2" t="str">
        <x:v>43 inch LED TV</x:v>
      </x:c>
      <x:c r="I125" s="12" t="str">
        <x:v>WeWork (workspace operator inferred from property name; tenant occupants unconfirmed)</x:v>
      </x:c>
      <x:c r="J125" s="2" t="n">
        <x:v>1</x:v>
      </x:c>
      <x:c r="K125" s="12" t="str">
        <x:v>Workspace operator inferred from explicit property name; tenant occupants unconfirmed</x:v>
      </x:c>
      <x:c r="L125" s="12" t="str">
        <x:v>Workspace &amp; property operations</x:v>
      </x:c>
      <x:c r="M125" s="12" t="str">
        <x:v>Mixed business audience</x:v>
      </x:c>
      <x:c r="N125" s="12" t="str">
        <x:v>MAIN-125</x:v>
      </x:c>
      <x:c r="O125" s="13" t="n">
        <x:v>12.963951110839844</x:v>
      </x:c>
      <x:c r="P125" s="13" t="n">
        <x:v>77.70223999023438</x:v>
      </x:c>
      <x:c r="Q125" s="2" t="str">
        <x:v>https://www.google.com/maps?q=12.963951110839844,77.70223999023438</x:v>
      </x:c>
      <x:c r="R125" s="2" t="str">
        <x:v>TEN-5B81D52D4310</x:v>
      </x:c>
      <x:c r="S125" s="12" t="str">
        <x:v>Flexible workspace / mixed businesses</x:v>
      </x:c>
      <x:c r="T125" s="12" t="str">
        <x:v>Tenant business-type estimates and reviewed company-scale context.</x:v>
      </x:c>
    </x:row>
    <x:row r="126" ht="64" customHeight="1">
      <x:c r="A126" s="10" t="n">
        <x:v>1</x:v>
      </x:c>
      <x:c r="B126" s="2" t="str">
        <x:v>CORP-0122</x:v>
      </x:c>
      <x:c r="C126" s="2" t="str">
        <x:v>Bengaluru</x:v>
      </x:c>
      <x:c r="D126" s="2" t="str">
        <x:v>MSQHF4YB</x:v>
      </x:c>
      <x:c r="E126" s="12" t="str">
        <x:v>WeWork - Salarpuria Magnificia</x:v>
      </x:c>
      <x:c r="F126" s="12" t="str">
        <x:v>Mahadevapura</x:v>
      </x:c>
      <x:c r="G126" s="11" t="n">
        <x:v>8</x:v>
      </x:c>
      <x:c r="H126" s="2" t="str">
        <x:v>43 inch LED TV</x:v>
      </x:c>
      <x:c r="I126" s="12" t="str">
        <x:v>SAY-SO TECHNOLOGIES; WowExp; Air Water India Private Limited; ptek multiples pvt ltd; Tata Consultancy Services; Talisma Corporation Private Limited; Oleic Technologies; Osram; Toprankers Edtech Solutions Pvt Ltd; Rystad Energy India Pvt Ltd</x:v>
      </x:c>
      <x:c r="J126" s="2" t="n">
        <x:v>10</x:v>
      </x:c>
      <x:c r="K126" s="12" t="str">
        <x:v>Inventory-listed building/workspace context; current occupancy and screen access unverified</x:v>
      </x:c>
      <x:c r="L126" s="12" t="str">
        <x:v>IT &amp; digital; Professional services; Engineering &amp; manufacturing; Education; Unresolved</x:v>
      </x:c>
      <x:c r="M126" s="12" t="str">
        <x:v>Small-scale prospects; Large enterprise; Mixed business audience</x:v>
      </x:c>
      <x:c r="N126" s="12" t="str">
        <x:v>MAIN-126</x:v>
      </x:c>
      <x:c r="O126" s="13" t="n">
        <x:v>12.99622917175293</x:v>
      </x:c>
      <x:c r="P126" s="13" t="n">
        <x:v>77.66897583007812</x:v>
      </x:c>
      <x:c r="Q126" s="2" t="str">
        <x:v>https://www.google.com/maps?q=12.99622917175293,77.66897583007812</x:v>
      </x:c>
      <x:c r="R126" s="2" t="str">
        <x:v>TEN-1719E5D67F49; TEN-1CD245F812EB; TEN-27E5329AC430; TEN-47542BC197FE; TEN-5FA790F3630F; TEN-894090F78BDD; TEN-98D6043D3E03; TEN-A7F0F4E06BC5; TEN-A95FFCA723A6; TEN-AB43FD6C420A</x:v>
      </x:c>
      <x:c r="S126" s="12" t="str">
        <x:v>Flexible workspace / mixed businesses</x:v>
      </x:c>
      <x:c r="T126" s="12" t="str">
        <x:v>Tenant business-type estimates and reviewed company-scale context.</x:v>
      </x:c>
    </x:row>
    <x:row r="127" ht="64" customHeight="1">
      <x:c r="A127" s="10" t="n">
        <x:v>1</x:v>
      </x:c>
      <x:c r="B127" s="2" t="str">
        <x:v>CORP-0123</x:v>
      </x:c>
      <x:c r="C127" s="2" t="str">
        <x:v>Bengaluru</x:v>
      </x:c>
      <x:c r="D127" s="2" t="str">
        <x:v>MSAQMYJW</x:v>
      </x:c>
      <x:c r="E127" s="12" t="str">
        <x:v>WeWork - Salarpuria Symbiosis</x:v>
      </x:c>
      <x:c r="F127" s="12" t="str">
        <x:v>Arekere Village</x:v>
      </x:c>
      <x:c r="G127" s="11" t="n">
        <x:v>5</x:v>
      </x:c>
      <x:c r="H127" s="2" t="str">
        <x:v>43 inch LED TV</x:v>
      </x:c>
      <x:c r="I127" s="12" t="str">
        <x:v>HikeOn Technologies Private Limited; Qnas Marketing LLP; FourNxt Technologies; The Third Eye Films; Stafz IT Services Private Limited; Arafa Vegetables; Zoapi Innovations; Nanoheal; NetConnect Global</x:v>
      </x:c>
      <x:c r="J127" s="2" t="n">
        <x:v>9</x:v>
      </x:c>
      <x:c r="K127" s="12" t="str">
        <x:v>Inventory-listed building/workspace context; current occupancy and screen access unverified</x:v>
      </x:c>
      <x:c r="L127" s="12" t="str">
        <x:v>IT &amp; digital; Professional services; Trade, consumer &amp; logistics; Unresolved</x:v>
      </x:c>
      <x:c r="M127" s="12" t="str">
        <x:v>Small-scale prospects; Mixed business audience</x:v>
      </x:c>
      <x:c r="N127" s="12" t="str">
        <x:v>MAIN-127</x:v>
      </x:c>
      <x:c r="O127" s="13" t="n">
        <x:v>12.887084007263184</x:v>
      </x:c>
      <x:c r="P127" s="13" t="n">
        <x:v>77.59757232666016</x:v>
      </x:c>
      <x:c r="Q127" s="2" t="str">
        <x:v>https://www.google.com/maps?q=12.887084007263184,77.59757232666016</x:v>
      </x:c>
      <x:c r="R127" s="2" t="str">
        <x:v>TEN-17FB8DB6E637; TEN-379CF8E21D6F; TEN-99FA68C349B3; TEN-9FD66800C491; TEN-A636D088018E; TEN-B79A492C4FE0; TEN-E5D3BFD31881; TEN-F122850E25D2; TEN-F537587C0EE8</x:v>
      </x:c>
      <x:c r="S127" s="12" t="str">
        <x:v>Flexible workspace / mixed businesses</x:v>
      </x:c>
      <x:c r="T127" s="12" t="str">
        <x:v>Tenant business-type estimates and reviewed company-scale context.</x:v>
      </x:c>
    </x:row>
    <x:row r="128" ht="64" customHeight="1">
      <x:c r="A128" s="10" t="n">
        <x:v>1</x:v>
      </x:c>
      <x:c r="B128" s="2" t="str">
        <x:v>CORP-0124</x:v>
      </x:c>
      <x:c r="C128" s="2" t="str">
        <x:v>Bengaluru</x:v>
      </x:c>
      <x:c r="D128" s="2" t="str">
        <x:v>MSF1ZABE</x:v>
      </x:c>
      <x:c r="E128" s="12" t="str">
        <x:v>Wework - Sunriver</x:v>
      </x:c>
      <x:c r="F128" s="12" t="str">
        <x:v>Domlur</x:v>
      </x:c>
      <x:c r="G128" s="11" t="n">
        <x:v>1</x:v>
      </x:c>
      <x:c r="H128" s="2" t="str">
        <x:v>43 inch LED TV</x:v>
      </x:c>
      <x:c r="I128" s="12" t="str">
        <x:v>Kyron Management Services Pvt Ltd; Techstars; Leviton; Squarepoint Technologies India Pvt Ltd; Atlassian India; Precisely software and data India Pvt Ltd</x:v>
      </x:c>
      <x:c r="J128" s="2" t="n">
        <x:v>6</x:v>
      </x:c>
      <x:c r="K128" s="12" t="str">
        <x:v>Campus/portfolio roster; individual building occupancy unverified</x:v>
      </x:c>
      <x:c r="L128" s="12" t="str">
        <x:v>IT &amp; digital; Professional services; Engineering &amp; manufacturing; Unresolved</x:v>
      </x:c>
      <x:c r="M128" s="12" t="str">
        <x:v>Small-scale prospects; Large enterprise; Mixed business audience</x:v>
      </x:c>
      <x:c r="N128" s="12" t="str">
        <x:v>MAIN-128</x:v>
      </x:c>
      <x:c r="O128" s="13" t="n">
        <x:v>12.951322</x:v>
      </x:c>
      <x:c r="P128" s="13" t="n">
        <x:v>77.640938</x:v>
      </x:c>
      <x:c r="Q128" s="2" t="str">
        <x:v>https://www.google.com/maps?q=12.951322,77.640938</x:v>
      </x:c>
      <x:c r="R128" s="2" t="str">
        <x:v>TEN-34ACAFF17988; TEN-78346E1DD33E; TEN-BD06E0108A69; TEN-C044E2C928F5; TEN-CC236CA9F0D8; TEN-D218324446AC</x:v>
      </x:c>
      <x:c r="S128" s="12" t="str">
        <x:v>Flexible workspace / mixed businesses</x:v>
      </x:c>
      <x:c r="T128" s="12" t="str">
        <x:v>Tenant business-type estimates and reviewed company-scale context.</x:v>
      </x:c>
    </x:row>
    <x:row r="129" ht="64" customHeight="1">
      <x:c r="A129" s="10" t="n">
        <x:v>1</x:v>
      </x:c>
      <x:c r="B129" s="2" t="str">
        <x:v>CORP-0125</x:v>
      </x:c>
      <x:c r="C129" s="2" t="str">
        <x:v>Bengaluru</x:v>
      </x:c>
      <x:c r="D129" s="2" t="str">
        <x:v>MSEN0AE7</x:v>
      </x:c>
      <x:c r="E129" s="12" t="str">
        <x:v>WeWork - The Galaxy</x:v>
      </x:c>
      <x:c r="F129" s="12" t="str">
        <x:v>Ashok Nagar</x:v>
      </x:c>
      <x:c r="G129" s="11" t="n">
        <x:v>7</x:v>
      </x:c>
      <x:c r="H129" s="2" t="str">
        <x:v>43 inch LED TV</x:v>
      </x:c>
      <x:c r="I129" s="12" t="str">
        <x:v>LIFTR; RDB Associates; vMobo Mobile Pvt. Ltd; The Scalers; Wildhub Designs pvt ltd; CogBooks India; Mindset Consulting; IndigoEdge; CogBooks</x:v>
      </x:c>
      <x:c r="J129" s="2" t="n">
        <x:v>9</x:v>
      </x:c>
      <x:c r="K129" s="12" t="str">
        <x:v>Inventory-listed building/workspace context; current occupancy and screen access unverified</x:v>
      </x:c>
      <x:c r="L129" s="12" t="str">
        <x:v>Professional services; Finance &amp; insurance; Healthcare &amp; life sciences; Education; Unresolved</x:v>
      </x:c>
      <x:c r="M129" s="12" t="str">
        <x:v>Small-scale prospects; Medium-scale prospects; Mixed business audience</x:v>
      </x:c>
      <x:c r="N129" s="12" t="str">
        <x:v>MAIN-129</x:v>
      </x:c>
      <x:c r="O129" s="13" t="n">
        <x:v>12.963587760925293</x:v>
      </x:c>
      <x:c r="P129" s="13" t="n">
        <x:v>77.5920639038086</x:v>
      </x:c>
      <x:c r="Q129" s="2" t="str">
        <x:v>https://www.google.com/maps?q=12.963587760925293,77.5920639038086</x:v>
      </x:c>
      <x:c r="R129" s="2" t="str">
        <x:v>TEN-070EA3276414; TEN-0C938E21B4E2; TEN-0CDB38A6A30B; TEN-6A551DA31D50; TEN-6CA4D108C413; TEN-764410B207C5; TEN-837526D88A14; TEN-A296D95DED54; TEN-B3F99731DE4E</x:v>
      </x:c>
      <x:c r="S129" s="12" t="str">
        <x:v>Flexible workspace / mixed businesses</x:v>
      </x:c>
      <x:c r="T129" s="12" t="str">
        <x:v>Tenant business-type estimates and reviewed company-scale context.</x:v>
      </x:c>
    </x:row>
    <x:row r="130" ht="64" customHeight="1">
      <x:c r="A130" s="10" t="n">
        <x:v>1</x:v>
      </x:c>
      <x:c r="B130" s="2" t="str">
        <x:v>CORP-0126</x:v>
      </x:c>
      <x:c r="C130" s="2" t="str">
        <x:v>Bengaluru</x:v>
      </x:c>
      <x:c r="D130" s="2" t="str">
        <x:v>MSS69FAP</x:v>
      </x:c>
      <x:c r="E130" s="12" t="str">
        <x:v>WeWork - The Pavilion</x:v>
      </x:c>
      <x:c r="F130" s="12" t="str">
        <x:v>Church St, Ashok Nagar</x:v>
      </x:c>
      <x:c r="G130" s="11" t="n">
        <x:v>4</x:v>
      </x:c>
      <x:c r="H130" s="2" t="str">
        <x:v>43 inch LED TV</x:v>
      </x:c>
      <x:c r="I130" s="12" t="str">
        <x:v>Ilahui; Haya Foreign Money Exchange; Katerra Technologies Pvt Ltd; Myoki; Prep Zone AcademyTM; Lacoste</x:v>
      </x:c>
      <x:c r="J130" s="2" t="n">
        <x:v>6</x:v>
      </x:c>
      <x:c r="K130" s="12" t="str">
        <x:v>Inventory-listed building/workspace context; current occupancy and screen access unverified</x:v>
      </x:c>
      <x:c r="L130" s="12" t="str">
        <x:v>Finance &amp; insurance; Education; Trade, consumer &amp; logistics; Unresolved</x:v>
      </x:c>
      <x:c r="M130" s="12" t="str">
        <x:v>Small-scale prospects; Medium-scale prospects; Mixed business audience</x:v>
      </x:c>
      <x:c r="N130" s="12" t="str">
        <x:v>MAIN-130</x:v>
      </x:c>
      <x:c r="O130" s="13" t="n">
        <x:v>12.974547386169434</x:v>
      </x:c>
      <x:c r="P130" s="13" t="n">
        <x:v>77.6070556640625</x:v>
      </x:c>
      <x:c r="Q130" s="2" t="str">
        <x:v>https://www.google.com/maps?q=12.974547386169434,77.6070556640625</x:v>
      </x:c>
      <x:c r="R130" s="2" t="str">
        <x:v>TEN-36C8EBC108EE; TEN-37C0A4119F06; TEN-3897B0BACDB2; TEN-9F93AD55A758; TEN-E27BBBA05F44; TEN-F955F62DAB66</x:v>
      </x:c>
      <x:c r="S130" s="12" t="str">
        <x:v>Flexible workspace / mixed businesses</x:v>
      </x:c>
      <x:c r="T130" s="12" t="str">
        <x:v>Tenant business-type estimates and reviewed company-scale context.</x:v>
      </x:c>
    </x:row>
    <x:row r="131" ht="64" customHeight="1">
      <x:c r="A131" s="10" t="n">
        <x:v>1</x:v>
      </x:c>
      <x:c r="B131" s="2" t="str">
        <x:v>CORP-0127</x:v>
      </x:c>
      <x:c r="C131" s="2" t="str">
        <x:v>Bengaluru</x:v>
      </x:c>
      <x:c r="D131" s="2" t="str">
        <x:v>MS65G9TT</x:v>
      </x:c>
      <x:c r="E131" s="12" t="str">
        <x:v>Wework - Vaishnavi Signature</x:v>
      </x:c>
      <x:c r="F131" s="12" t="str">
        <x:v>Bellandur</x:v>
      </x:c>
      <x:c r="G131" s="11" t="n">
        <x:v>11</x:v>
      </x:c>
      <x:c r="H131" s="2" t="str">
        <x:v>43 inch LED TV</x:v>
      </x:c>
      <x:c r="I131" s="12" t="str">
        <x:v>A.P Architects &amp; Interiors; LatentView Analytics; Winkl HQ; Komprise India Private Limited; Lookout India Technologies LLP; 75F Smart Innovations India Pvt.Ltd; Design Code Interiors &amp; Architects; Framsikt Technologies Pvt Ltd; Presidio Cloud Solutions Pvt Ltd</x:v>
      </x:c>
      <x:c r="J131" s="2" t="n">
        <x:v>9</x:v>
      </x:c>
      <x:c r="K131" s="12" t="str">
        <x:v>Inventory-listed building/workspace context; current occupancy and screen access unverified</x:v>
      </x:c>
      <x:c r="L131" s="12" t="str">
        <x:v>IT &amp; digital; Professional services; Unresolved</x:v>
      </x:c>
      <x:c r="M131" s="12" t="str">
        <x:v>Small-scale prospects; Mixed business audience</x:v>
      </x:c>
      <x:c r="N131" s="12" t="str">
        <x:v>MAIN-131</x:v>
      </x:c>
      <x:c r="O131" s="13" t="n">
        <x:v>12.925505</x:v>
      </x:c>
      <x:c r="P131" s="13" t="n">
        <x:v>77.6748513</x:v>
      </x:c>
      <x:c r="Q131" s="2" t="str">
        <x:v>https://www.google.com/maps?q=12.925505,77.6748513</x:v>
      </x:c>
      <x:c r="R131" s="2" t="str">
        <x:v>TEN-02B5417A7C79; TEN-410DCA695D2B; TEN-5D20CA1753A5; TEN-6A334590C904; TEN-8A4ED1CC4A06; TEN-9C3C0E56B4EE; TEN-C66147931584; TEN-D74F5318167A; TEN-EC3BB4E16FE2</x:v>
      </x:c>
      <x:c r="S131" s="12" t="str">
        <x:v>Flexible workspace / mixed businesses</x:v>
      </x:c>
      <x:c r="T131" s="12" t="str">
        <x:v>Tenant business-type estimates and reviewed company-scale context.</x:v>
      </x:c>
    </x:row>
    <x:row r="132" ht="64" customHeight="1">
      <x:c r="A132" s="10" t="n">
        <x:v>1</x:v>
      </x:c>
      <x:c r="B132" s="2" t="str">
        <x:v>CORP-0128</x:v>
      </x:c>
      <x:c r="C132" s="2" t="str">
        <x:v>Bengaluru</x:v>
      </x:c>
      <x:c r="D132" s="2" t="str">
        <x:v>MSSH6HH4</x:v>
      </x:c>
      <x:c r="E132" s="12" t="str">
        <x:v>WeWork-Iwf Campus</x:v>
      </x:c>
      <x:c r="F132" s="12" t="str">
        <x:v>Mahadevapura</x:v>
      </x:c>
      <x:c r="G132" s="11" t="n">
        <x:v>3</x:v>
      </x:c>
      <x:c r="H132" s="2" t="str">
        <x:v>43 inch LED TV</x:v>
      </x:c>
      <x:c r="I132" s="12" t="str">
        <x:v>WeWork (workspace operator inferred from property name; tenant occupants unconfirmed)</x:v>
      </x:c>
      <x:c r="J132" s="2" t="n">
        <x:v>1</x:v>
      </x:c>
      <x:c r="K132" s="12" t="str">
        <x:v>Workspace operator inferred from explicit property name; tenant occupants unconfirmed</x:v>
      </x:c>
      <x:c r="L132" s="12" t="str">
        <x:v>Workspace &amp; property operations</x:v>
      </x:c>
      <x:c r="M132" s="12" t="str">
        <x:v>Mixed business audience</x:v>
      </x:c>
      <x:c r="N132" s="12" t="str">
        <x:v>MAIN-132</x:v>
      </x:c>
      <x:c r="O132" s="13" t="n">
        <x:v>12.998063087463379</x:v>
      </x:c>
      <x:c r="P132" s="13" t="n">
        <x:v>77.68854522705078</x:v>
      </x:c>
      <x:c r="Q132" s="2" t="str">
        <x:v>https://www.google.com/maps?q=12.998063087463379,77.68854522705078</x:v>
      </x:c>
      <x:c r="R132" s="2" t="str">
        <x:v>TEN-5B81D52D4310</x:v>
      </x:c>
      <x:c r="S132" s="12" t="str">
        <x:v>Flexible workspace / mixed businesses</x:v>
      </x:c>
      <x:c r="T132" s="12" t="str">
        <x:v>Tenant business-type estimates and reviewed company-scale context.</x:v>
      </x:c>
    </x:row>
    <x:row r="133" ht="64" customHeight="1">
      <x:c r="A133" s="10" t="n">
        <x:v>1</x:v>
      </x:c>
      <x:c r="B133" s="2" t="str">
        <x:v>CORP-0129</x:v>
      </x:c>
      <x:c r="C133" s="2" t="str">
        <x:v>Bengaluru</x:v>
      </x:c>
      <x:c r="D133" s="2" t="str">
        <x:v>MS96C4WA</x:v>
      </x:c>
      <x:c r="E133" s="12" t="str">
        <x:v>Workflow by Oyo - Ranka</x:v>
      </x:c>
      <x:c r="F133" s="12" t="str">
        <x:v>Krishna Reddy Industrial Estate</x:v>
      </x:c>
      <x:c r="G133" s="11" t="n">
        <x:v>2</x:v>
      </x:c>
      <x:c r="H133" s="2" t="str">
        <x:v>32 inch LED TV</x:v>
      </x:c>
      <x:c r="I133" s="12" t="str">
        <x:v>Ramani Innovative; Mejoba Consulting India Pvt.Ltd; Intellect select Pvt; Melange Upskilling Studio; Viacatalyst Consultancy Pvt.Ltd</x:v>
      </x:c>
      <x:c r="J133" s="2" t="n">
        <x:v>5</x:v>
      </x:c>
      <x:c r="K133" s="12" t="str">
        <x:v>Inventory-listed building/workspace context; current occupancy and screen access unverified</x:v>
      </x:c>
      <x:c r="L133" s="12" t="str">
        <x:v>Professional services; Education; Unresolved</x:v>
      </x:c>
      <x:c r="M133" s="12" t="str">
        <x:v>Small-scale prospects; Mixed business audience</x:v>
      </x:c>
      <x:c r="N133" s="12" t="str">
        <x:v>MAIN-133</x:v>
      </x:c>
      <x:c r="O133" s="13" t="n">
        <x:v>12.99769</x:v>
      </x:c>
      <x:c r="P133" s="13" t="n">
        <x:v>77.666951</x:v>
      </x:c>
      <x:c r="Q133" s="2" t="str">
        <x:v>https://www.google.com/maps?q=12.99769,77.666951</x:v>
      </x:c>
      <x:c r="R133" s="2" t="str">
        <x:v>TEN-3CA1AAB723EB; TEN-9C4F70484B81; TEN-AAEEDBF5BC96; TEN-B49D5403D442; TEN-EB0F5FEA7995</x:v>
      </x:c>
      <x:c r="S133" s="12" t="str">
        <x:v>Mixed commercial workplace</x:v>
      </x:c>
      <x:c r="T133" s="12" t="str">
        <x:v>Tenant business-type estimates and reviewed company-scale context.</x:v>
      </x:c>
    </x:row>
    <x:row r="134" ht="64" customHeight="1">
      <x:c r="A134" s="10" t="n">
        <x:v>1</x:v>
      </x:c>
      <x:c r="B134" s="2" t="str">
        <x:v>CORP-0130</x:v>
      </x:c>
      <x:c r="C134" s="2" t="str">
        <x:v>Bengaluru</x:v>
      </x:c>
      <x:c r="D134" s="2" t="str">
        <x:v>MSENS40E</x:v>
      </x:c>
      <x:c r="E134" s="12" t="str">
        <x:v>Workhome - Coworking Space</x:v>
      </x:c>
      <x:c r="F134" s="12" t="str">
        <x:v>Koramangala</x:v>
      </x:c>
      <x:c r="G134" s="11" t="n">
        <x:v>2</x:v>
      </x:c>
      <x:c r="H134" s="2" t="str">
        <x:v>32 inch LED TV</x:v>
      </x:c>
      <x:c r="I134" s="12" t="str">
        <x:v>Slow Art; lue coffee roasters</x:v>
      </x:c>
      <x:c r="J134" s="2" t="n">
        <x:v>2</x:v>
      </x:c>
      <x:c r="K134" s="12" t="str">
        <x:v>Inventory-listed building/workspace context; current occupancy and screen access unverified</x:v>
      </x:c>
      <x:c r="L134" s="12" t="str">
        <x:v>Trade, consumer &amp; logistics; Unresolved</x:v>
      </x:c>
      <x:c r="M134" s="12" t="str">
        <x:v>Small-scale prospects; Mixed business audience</x:v>
      </x:c>
      <x:c r="N134" s="12" t="str">
        <x:v>MAIN-134</x:v>
      </x:c>
      <x:c r="O134" s="13" t="n">
        <x:v>12.935169</x:v>
      </x:c>
      <x:c r="P134" s="13" t="n">
        <x:v>77.620841</x:v>
      </x:c>
      <x:c r="Q134" s="2" t="str">
        <x:v>https://www.google.com/maps?q=12.935169,77.620841</x:v>
      </x:c>
      <x:c r="R134" s="2" t="str">
        <x:v>TEN-1437B6073554; TEN-AD047657DCA2</x:v>
      </x:c>
      <x:c r="S134" s="12" t="str">
        <x:v>Flexible workspace / mixed businesses</x:v>
      </x:c>
      <x:c r="T134" s="12" t="str">
        <x:v>Tenant business-type estimates and reviewed company-scale context.</x:v>
      </x:c>
    </x:row>
    <x:row r="135" ht="64" customHeight="1">
      <x:c r="A135" s="10" t="n">
        <x:v>1</x:v>
      </x:c>
      <x:c r="B135" s="2" t="str">
        <x:v>CORP-0131</x:v>
      </x:c>
      <x:c r="C135" s="2" t="str">
        <x:v>Bengaluru</x:v>
      </x:c>
      <x:c r="D135" s="2" t="str">
        <x:v>MS483ZM0</x:v>
      </x:c>
      <x:c r="E135" s="12" t="str">
        <x:v>Zonasha Frontier</x:v>
      </x:c>
      <x:c r="F135" s="12" t="str">
        <x:v>Mahadevapura</x:v>
      </x:c>
      <x:c r="G135" s="11" t="n">
        <x:v>1</x:v>
      </x:c>
      <x:c r="H135" s="2" t="str">
        <x:v>55 inch LED TV</x:v>
      </x:c>
      <x:c r="I135" s="12" t="str">
        <x:v>24/7 Games; Dell</x:v>
      </x:c>
      <x:c r="J135" s="2" t="n">
        <x:v>2</x:v>
      </x:c>
      <x:c r="K135" s="12" t="str">
        <x:v>Inventory-listed building/workspace context; current occupancy and screen access unverified</x:v>
      </x:c>
      <x:c r="L135" s="12" t="str">
        <x:v>Engineering &amp; manufacturing; Trade, consumer &amp; logistics</x:v>
      </x:c>
      <x:c r="M135" s="12" t="str">
        <x:v>Small-scale prospects; Large enterprise</x:v>
      </x:c>
      <x:c r="N135" s="12" t="str">
        <x:v>MAIN-135</x:v>
      </x:c>
      <x:c r="O135" s="13" t="n">
        <x:v>12.975430488586426</x:v>
      </x:c>
      <x:c r="P135" s="13" t="n">
        <x:v>77.69624328613281</x:v>
      </x:c>
      <x:c r="Q135" s="2" t="str">
        <x:v>https://www.google.com/maps?q=12.975430488586426,77.69624328613281</x:v>
      </x:c>
      <x:c r="R135" s="2" t="str">
        <x:v>TEN-7C0CB89957C8; TEN-D0E2ECE166BD</x:v>
      </x:c>
      <x:c r="S135" s="12" t="str">
        <x:v>Mixed commercial workplace</x:v>
      </x:c>
      <x:c r="T135" s="12" t="str">
        <x:v>Tenant business-type estimates and reviewed company-scale context.</x:v>
      </x:c>
    </x:row>
    <x:row r="136" ht="64" customHeight="1">
      <x:c r="A136" s="10" t="n">
        <x:v>1</x:v>
      </x:c>
      <x:c r="B136" s="2" t="str">
        <x:v>CORP-0132</x:v>
      </x:c>
      <x:c r="C136" s="2" t="str">
        <x:v>Bhubaneswar</x:v>
      </x:c>
      <x:c r="D136" s="2" t="str">
        <x:v>MSVARHWJ</x:v>
      </x:c>
      <x:c r="E136" s="12" t="str">
        <x:v>Awfis - Ginger</x:v>
      </x:c>
      <x:c r="F136" s="12" t="str">
        <x:v>Jayadev Vihar</x:v>
      </x:c>
      <x:c r="G136" s="11" t="n">
        <x:v>2</x:v>
      </x:c>
      <x:c r="H136" s="2" t="str">
        <x:v>32 inch LED TV</x:v>
      </x:c>
      <x:c r="I136" s="12" t="str">
        <x:v>State Bank of India</x:v>
      </x:c>
      <x:c r="J136" s="2" t="n">
        <x:v>1</x:v>
      </x:c>
      <x:c r="K136" s="12" t="str">
        <x:v>Inventory-listed building/workspace context; current occupancy and screen access unverified</x:v>
      </x:c>
      <x:c r="L136" s="12" t="str">
        <x:v>Finance &amp; insurance</x:v>
      </x:c>
      <x:c r="M136" s="12" t="str">
        <x:v>Large enterprise</x:v>
      </x:c>
      <x:c r="N136" s="12" t="str">
        <x:v>MAIN-136</x:v>
      </x:c>
      <x:c r="O136" s="13" t="n">
        <x:v>20.3034565755376</x:v>
      </x:c>
      <x:c r="P136" s="13" t="n">
        <x:v>85.8230363423289</x:v>
      </x:c>
      <x:c r="Q136" s="2" t="str">
        <x:v>https://www.google.com/maps?q=20.3034565755376,85.8230363423289</x:v>
      </x:c>
      <x:c r="R136" s="2" t="str">
        <x:v>TEN-65326AA32AB9</x:v>
      </x:c>
      <x:c r="S136" s="12" t="str">
        <x:v>Flexible workspace / mixed businesses</x:v>
      </x:c>
      <x:c r="T136" s="12" t="str">
        <x:v>Tenant business-type estimates and reviewed company-scale context.</x:v>
      </x:c>
    </x:row>
    <x:row r="137" ht="64" customHeight="1">
      <x:c r="A137" s="10" t="n">
        <x:v>1</x:v>
      </x:c>
      <x:c r="B137" s="2" t="str">
        <x:v>CORP-0133</x:v>
      </x:c>
      <x:c r="C137" s="2" t="str">
        <x:v>Bhubaneswar</x:v>
      </x:c>
      <x:c r="D137" s="2" t="str">
        <x:v>MS7S1WQC</x:v>
      </x:c>
      <x:c r="E137" s="12" t="str">
        <x:v>Awfis - SRB Tower</x:v>
      </x:c>
      <x:c r="F137" s="12" t="str">
        <x:v>Patia</x:v>
      </x:c>
      <x:c r="G137" s="11" t="n">
        <x:v>2</x:v>
      </x:c>
      <x:c r="H137" s="2" t="str">
        <x:v>32 inch LED TV</x:v>
      </x:c>
      <x:c r="I137" s="12" t="str">
        <x:v>urban Developers and Builders; MotorFloor; Cozentus Technologies (P) Ltd</x:v>
      </x:c>
      <x:c r="J137" s="2" t="n">
        <x:v>3</x:v>
      </x:c>
      <x:c r="K137" s="12" t="str">
        <x:v>Inventory-listed building/workspace context; current occupancy and screen access unverified</x:v>
      </x:c>
      <x:c r="L137" s="12" t="str">
        <x:v>IT &amp; digital; Engineering &amp; manufacturing; Trade, consumer &amp; logistics</x:v>
      </x:c>
      <x:c r="M137" s="12" t="str">
        <x:v>Small-scale prospects; Medium-scale prospects</x:v>
      </x:c>
      <x:c r="N137" s="12" t="str">
        <x:v>MAIN-137</x:v>
      </x:c>
      <x:c r="O137" s="13" t="n">
        <x:v>20.343154907226562</x:v>
      </x:c>
      <x:c r="P137" s="13" t="n">
        <x:v>85.81068420410156</x:v>
      </x:c>
      <x:c r="Q137" s="2" t="str">
        <x:v>https://www.google.com/maps?q=20.343154907226562,85.81068420410156</x:v>
      </x:c>
      <x:c r="R137" s="2" t="str">
        <x:v>TEN-2CD243D0A3EB; TEN-48C25C3A552B; TEN-5138C32F78E3; TEN-5EEBF120A5F4</x:v>
      </x:c>
      <x:c r="S137" s="12" t="str">
        <x:v>Flexible workspace / mixed businesses</x:v>
      </x:c>
      <x:c r="T137" s="12" t="str">
        <x:v>Tenant business-type estimates and reviewed company-scale context.</x:v>
      </x:c>
    </x:row>
    <x:row r="138" ht="64" customHeight="1">
      <x:c r="A138" s="10" t="n">
        <x:v>1</x:v>
      </x:c>
      <x:c r="B138" s="2" t="str">
        <x:v>CORP-0134</x:v>
      </x:c>
      <x:c r="C138" s="2" t="str">
        <x:v>Chennai</x:v>
      </x:c>
      <x:c r="D138" s="2" t="str">
        <x:v>MS2W0971</x:v>
      </x:c>
      <x:c r="E138" s="12" t="str">
        <x:v>Arihant Verge Global Park (Pod Screens)</x:v>
      </x:c>
      <x:c r="F138" s="12" t="str">
        <x:v>Perungudi</x:v>
      </x:c>
      <x:c r="G138" s="11" t="n">
        <x:v>2</x:v>
      </x:c>
      <x:c r="H138" s="2" t="str">
        <x:v>43 inch LED TV</x:v>
      </x:c>
      <x:c r="I138" s="12" t="str">
        <x:v>Promantis Inc; HCLTech</x:v>
      </x:c>
      <x:c r="J138" s="2" t="n">
        <x:v>2</x:v>
      </x:c>
      <x:c r="K138" s="12" t="str">
        <x:v>Inventory-listed building/workspace context; current occupancy and screen access unverified</x:v>
      </x:c>
      <x:c r="L138" s="12" t="str">
        <x:v>IT &amp; digital; Unresolved</x:v>
      </x:c>
      <x:c r="M138" s="12" t="str">
        <x:v>Large enterprise; Mixed business audience</x:v>
      </x:c>
      <x:c r="N138" s="12" t="str">
        <x:v>MAIN-138</x:v>
      </x:c>
      <x:c r="O138" s="13" t="n">
        <x:v>12.969722</x:v>
      </x:c>
      <x:c r="P138" s="13" t="n">
        <x:v>80.249482</x:v>
      </x:c>
      <x:c r="Q138" s="2" t="str">
        <x:v>https://www.google.com/maps?q=12.969722,80.249482</x:v>
      </x:c>
      <x:c r="R138" s="2" t="str">
        <x:v>TEN-78925369B27F; TEN-E6F146354586</x:v>
      </x:c>
      <x:c r="S138" s="12" t="str">
        <x:v>Mixed commercial workplace</x:v>
      </x:c>
      <x:c r="T138" s="12" t="str">
        <x:v>Tenant business-type estimates and reviewed company-scale context.</x:v>
      </x:c>
    </x:row>
    <x:row r="139" ht="64" customHeight="1">
      <x:c r="A139" s="10" t="n">
        <x:v>1</x:v>
      </x:c>
      <x:c r="B139" s="2" t="str">
        <x:v>CORP-0135</x:v>
      </x:c>
      <x:c r="C139" s="2" t="str">
        <x:v>Chennai</x:v>
      </x:c>
      <x:c r="D139" s="2" t="str">
        <x:v>MSJGAYNP</x:v>
      </x:c>
      <x:c r="E139" s="12" t="str">
        <x:v>Awfis - Gemini Circle</x:v>
      </x:c>
      <x:c r="F139" s="12" t="str">
        <x:v>Nungambakkam</x:v>
      </x:c>
      <x:c r="G139" s="11" t="n">
        <x:v>5</x:v>
      </x:c>
      <x:c r="H139" s="2" t="str">
        <x:v>32 inch LED TV</x:v>
      </x:c>
      <x:c r="I139" s="12" t="str">
        <x:v>Invas Technologies; HTL Logistics; Collinson India PVT LTD; EIOQU; Legal Force</x:v>
      </x:c>
      <x:c r="J139" s="2" t="n">
        <x:v>5</x:v>
      </x:c>
      <x:c r="K139" s="12" t="str">
        <x:v>Inventory-listed building/workspace context; current occupancy and screen access unverified</x:v>
      </x:c>
      <x:c r="L139" s="12" t="str">
        <x:v>Professional services; Trade, consumer &amp; logistics; Unresolved</x:v>
      </x:c>
      <x:c r="M139" s="12" t="str">
        <x:v>Small-scale prospects; Medium-scale prospects; Mixed business audience</x:v>
      </x:c>
      <x:c r="N139" s="12" t="str">
        <x:v>MAIN-139</x:v>
      </x:c>
      <x:c r="O139" s="13" t="n">
        <x:v>13.053960032009</x:v>
      </x:c>
      <x:c r="P139" s="13" t="n">
        <x:v>80.2505009973279</x:v>
      </x:c>
      <x:c r="Q139" s="2" t="str">
        <x:v>https://www.google.com/maps?q=13.053960032009,80.2505009973279</x:v>
      </x:c>
      <x:c r="R139" s="2" t="str">
        <x:v>TEN-1264CA38DECB; TEN-59F47C57E3E6; TEN-AF3AAC2C86FE; TEN-C8342EFF5C6C; TEN-D425AE684836</x:v>
      </x:c>
      <x:c r="S139" s="12" t="str">
        <x:v>Flexible workspace / mixed businesses</x:v>
      </x:c>
      <x:c r="T139" s="12" t="str">
        <x:v>Tenant business-type estimates and reviewed company-scale context.</x:v>
      </x:c>
    </x:row>
    <x:row r="140" ht="64" customHeight="1">
      <x:c r="A140" s="10" t="n">
        <x:v>1</x:v>
      </x:c>
      <x:c r="B140" s="2" t="str">
        <x:v>CORP-0136</x:v>
      </x:c>
      <x:c r="C140" s="2" t="str">
        <x:v>Chennai</x:v>
      </x:c>
      <x:c r="D140" s="2" t="str">
        <x:v>MSCZXDGC</x:v>
      </x:c>
      <x:c r="E140" s="12" t="str">
        <x:v>Awfis - OMR</x:v>
      </x:c>
      <x:c r="F140" s="12" t="str">
        <x:v>Perungudi</x:v>
      </x:c>
      <x:c r="G140" s="11" t="n">
        <x:v>7</x:v>
      </x:c>
      <x:c r="H140" s="2" t="str">
        <x:v>32 inch LED TV</x:v>
      </x:c>
      <x:c r="I140" s="12" t="str">
        <x:v>durus consulting; nebeskie; QSOFT Solutions; AMBS Knowledge Driven Solutions; SCYBERS; nagaro; corezi; avosina; coked; einfochips; cliq Solutions</x:v>
      </x:c>
      <x:c r="J140" s="2" t="n">
        <x:v>11</x:v>
      </x:c>
      <x:c r="K140" s="12" t="str">
        <x:v>Inventory-listed building/workspace context; current occupancy and screen access unverified</x:v>
      </x:c>
      <x:c r="L140" s="12" t="str">
        <x:v>IT &amp; digital; Professional services; Engineering &amp; manufacturing; Unresolved</x:v>
      </x:c>
      <x:c r="M140" s="12" t="str">
        <x:v>Small-scale prospects; Large enterprise; Mixed business audience</x:v>
      </x:c>
      <x:c r="N140" s="12" t="str">
        <x:v>MAIN-140</x:v>
      </x:c>
      <x:c r="O140" s="13" t="n">
        <x:v>12.9677012609338</x:v>
      </x:c>
      <x:c r="P140" s="13" t="n">
        <x:v>80.24810091267</x:v>
      </x:c>
      <x:c r="Q140" s="2" t="str">
        <x:v>https://www.google.com/maps?q=12.9677012609338,80.24810091267</x:v>
      </x:c>
      <x:c r="R140" s="2" t="str">
        <x:v>TEN-05E2B0A1B938; TEN-1E7D193E1AB3; TEN-3A6BC54B4437; TEN-3E13E1C0E061; TEN-5A517687BF13; TEN-757EAEA137D5; TEN-AE0965DF4BB7; TEN-BB7F414379C6; TEN-E0D35E7B9595; TEN-EAF4D7735EC1; TEN-F9337D4627CA</x:v>
      </x:c>
      <x:c r="S140" s="12" t="str">
        <x:v>Flexible workspace / mixed businesses</x:v>
      </x:c>
      <x:c r="T140" s="12" t="str">
        <x:v>Tenant business-type estimates and reviewed company-scale context.</x:v>
      </x:c>
    </x:row>
    <x:row r="141" ht="64" customHeight="1">
      <x:c r="A141" s="10" t="n">
        <x:v>1</x:v>
      </x:c>
      <x:c r="B141" s="2" t="str">
        <x:v>CORP-0137</x:v>
      </x:c>
      <x:c r="C141" s="2" t="str">
        <x:v>Chennai</x:v>
      </x:c>
      <x:c r="D141" s="2" t="str">
        <x:v>MS3W7R8B</x:v>
      </x:c>
      <x:c r="E141" s="12" t="str">
        <x:v>Awfis - Prestige Cosmopolitan-I</x:v>
      </x:c>
      <x:c r="F141" s="12" t="str">
        <x:v>Saidapet</x:v>
      </x:c>
      <x:c r="G141" s="11" t="n">
        <x:v>4</x:v>
      </x:c>
      <x:c r="H141" s="2" t="str">
        <x:v>32 inch LED TV</x:v>
      </x:c>
      <x:c r="I141" s="12" t="str">
        <x:v>WayCool; Mitsubishi Corporation India; SWITCH; DVS; Metal One Corporation India PVT.LTD; TalentShip</x:v>
      </x:c>
      <x:c r="J141" s="2" t="n">
        <x:v>6</x:v>
      </x:c>
      <x:c r="K141" s="12" t="str">
        <x:v>Inventory-listed building/workspace context; current occupancy and screen access unverified</x:v>
      </x:c>
      <x:c r="L141" s="12" t="str">
        <x:v>Professional services; Engineering &amp; manufacturing; Trade, consumer &amp; logistics; Unresolved</x:v>
      </x:c>
      <x:c r="M141" s="12" t="str">
        <x:v>Small-scale prospects; Mixed business audience</x:v>
      </x:c>
      <x:c r="N141" s="12" t="str">
        <x:v>MAIN-141</x:v>
      </x:c>
      <x:c r="O141" s="13" t="n">
        <x:v>13.0120507978262</x:v>
      </x:c>
      <x:c r="P141" s="13" t="n">
        <x:v>80.222822754999</x:v>
      </x:c>
      <x:c r="Q141" s="2" t="str">
        <x:v>https://www.google.com/maps?q=13.0120507978262,80.222822754999</x:v>
      </x:c>
      <x:c r="R141" s="2" t="str">
        <x:v>TEN-197BE48BE03D; TEN-462162D29E77; TEN-78B49FB2CC2D; TEN-9E6B337110FE; TEN-AC70DCB61780; TEN-FC69E443209A</x:v>
      </x:c>
      <x:c r="S141" s="12" t="str">
        <x:v>Flexible workspace / mixed businesses</x:v>
      </x:c>
      <x:c r="T141" s="12" t="str">
        <x:v>Tenant business-type estimates and reviewed company-scale context.</x:v>
      </x:c>
    </x:row>
    <x:row r="142" ht="64" customHeight="1">
      <x:c r="A142" s="10" t="n">
        <x:v>1</x:v>
      </x:c>
      <x:c r="B142" s="2" t="str">
        <x:v>CORP-0138</x:v>
      </x:c>
      <x:c r="C142" s="2" t="str">
        <x:v>Chennai</x:v>
      </x:c>
      <x:c r="D142" s="2" t="str">
        <x:v>MS0ZNE1F</x:v>
      </x:c>
      <x:c r="E142" s="12" t="str">
        <x:v>Awfis - Sierra</x:v>
      </x:c>
      <x:c r="F142" s="12" t="str">
        <x:v>Sholinganallur</x:v>
      </x:c>
      <x:c r="G142" s="11" t="n">
        <x:v>3</x:v>
      </x:c>
      <x:c r="H142" s="2" t="str">
        <x:v>32 inch LED TV</x:v>
      </x:c>
      <x:c r="I142" s="12" t="str">
        <x:v>Aerosquad private limited; MOAR Digital 360 Pvt Ltd; Evolv; Sonel Instruments India Pvt Ltd</x:v>
      </x:c>
      <x:c r="J142" s="2" t="n">
        <x:v>4</x:v>
      </x:c>
      <x:c r="K142" s="12" t="str">
        <x:v>Inventory-listed building/workspace context; current occupancy and screen access unverified</x:v>
      </x:c>
      <x:c r="L142" s="12" t="str">
        <x:v>IT &amp; digital; Professional services; Engineering &amp; manufacturing; Unresolved</x:v>
      </x:c>
      <x:c r="M142" s="12" t="str">
        <x:v>Medium-scale prospects; Mixed business audience</x:v>
      </x:c>
      <x:c r="N142" s="12" t="str">
        <x:v>MAIN-142</x:v>
      </x:c>
      <x:c r="O142" s="13" t="n">
        <x:v>12.955183</x:v>
      </x:c>
      <x:c r="P142" s="13" t="n">
        <x:v>80.244114</x:v>
      </x:c>
      <x:c r="Q142" s="2" t="str">
        <x:v>https://www.google.com/maps?q=12.955183,80.244114</x:v>
      </x:c>
      <x:c r="R142" s="2" t="str">
        <x:v>TEN-122B60C0A5AE; TEN-1C939685F784; TEN-3EAF3CE6E89D; TEN-8ADA0F71C1EF</x:v>
      </x:c>
      <x:c r="S142" s="12" t="str">
        <x:v>Flexible workspace / mixed businesses</x:v>
      </x:c>
      <x:c r="T142" s="12" t="str">
        <x:v>Tenant business-type estimates and reviewed company-scale context.</x:v>
      </x:c>
    </x:row>
    <x:row r="143" ht="64" customHeight="1">
      <x:c r="A143" s="10" t="n">
        <x:v>1</x:v>
      </x:c>
      <x:c r="B143" s="2" t="str">
        <x:v>CORP-0139</x:v>
      </x:c>
      <x:c r="C143" s="2" t="str">
        <x:v>Chennai</x:v>
      </x:c>
      <x:c r="D143" s="2" t="str">
        <x:v>MSCY00KX</x:v>
      </x:c>
      <x:c r="E143" s="12" t="str">
        <x:v>Bharati Vilas Tech Park</x:v>
      </x:c>
      <x:c r="F143" s="12" t="str">
        <x:v>Ekkatuthangal</x:v>
      </x:c>
      <x:c r="G143" s="11" t="n">
        <x:v>2</x:v>
      </x:c>
      <x:c r="H143" s="2" t="str">
        <x:v>43 inch LED TV</x:v>
      </x:c>
      <x:c r="I143" s="12" t="str">
        <x:v>Greater Goods; MVI Technologies India Pvt Limited; OREL PC; RheinBrücke IT Consulting Pvt Ltd; Lightstorm telecom Chennai office; Ingersoll Rand; Versa Networks; E-Billing Solutions Pvt Ltd</x:v>
      </x:c>
      <x:c r="J143" s="2" t="n">
        <x:v>8</x:v>
      </x:c>
      <x:c r="K143" s="12" t="str">
        <x:v>Campus/portfolio roster; individual building occupancy unverified</x:v>
      </x:c>
      <x:c r="L143" s="12" t="str">
        <x:v>IT &amp; digital; Professional services; Engineering &amp; manufacturing; Unresolved</x:v>
      </x:c>
      <x:c r="M143" s="12" t="str">
        <x:v>Small-scale prospects; Mixed business audience</x:v>
      </x:c>
      <x:c r="N143" s="12" t="str">
        <x:v>MAIN-143</x:v>
      </x:c>
      <x:c r="O143" s="13" t="n">
        <x:v>13.025026</x:v>
      </x:c>
      <x:c r="P143" s="13" t="n">
        <x:v>80.207205</x:v>
      </x:c>
      <x:c r="Q143" s="2" t="str">
        <x:v>https://www.google.com/maps?q=13.025026,80.207205</x:v>
      </x:c>
      <x:c r="R143" s="2" t="str">
        <x:v>TEN-1E8C28665D38; TEN-30821A93F5E2; TEN-654BE09498F8; TEN-680C934EABCB; TEN-7A7FCCF359A2; TEN-A0548562CF88; TEN-B7B27EA467E4; TEN-BAEEB8F9E40B</x:v>
      </x:c>
      <x:c r="S143" s="12" t="str">
        <x:v>IT and enterprise campus</x:v>
      </x:c>
      <x:c r="T143" s="12" t="str">
        <x:v>Tenant business-type estimates and reviewed company-scale context.</x:v>
      </x:c>
    </x:row>
    <x:row r="144" ht="64" customHeight="1">
      <x:c r="A144" s="10" t="n">
        <x:v>1</x:v>
      </x:c>
      <x:c r="B144" s="2" t="str">
        <x:v>CORP-0140</x:v>
      </x:c>
      <x:c r="C144" s="2" t="str">
        <x:v>Chennai</x:v>
      </x:c>
      <x:c r="D144" s="2" t="str">
        <x:v>MS8K3XD6</x:v>
      </x:c>
      <x:c r="E144" s="12" t="str">
        <x:v>Bharati Vilas Tech Park(POD Screens)</x:v>
      </x:c>
      <x:c r="F144" s="12" t="str">
        <x:v>Ekkatuthangal</x:v>
      </x:c>
      <x:c r="G144" s="11" t="n">
        <x:v>1</x:v>
      </x:c>
      <x:c r="H144" s="2" t="str">
        <x:v>43 inch LED TV</x:v>
      </x:c>
      <x:c r="I144" s="12" t="str">
        <x:v>Greater Goods; MVI Technologies India Pvt Limited; OREL PC; RheinBrücke IT Consulting Pvt Ltd; Lightstorm telecom Chennai office; Ingersoll Rand; Versa Networks; E-Billing Solutions Pvt Ltd</x:v>
      </x:c>
      <x:c r="J144" s="2" t="n">
        <x:v>8</x:v>
      </x:c>
      <x:c r="K144" s="12" t="str">
        <x:v>Campus/portfolio roster; individual building occupancy unverified</x:v>
      </x:c>
      <x:c r="L144" s="12" t="str">
        <x:v>IT &amp; digital; Professional services; Engineering &amp; manufacturing; Unresolved</x:v>
      </x:c>
      <x:c r="M144" s="12" t="str">
        <x:v>Small-scale prospects; Mixed business audience</x:v>
      </x:c>
      <x:c r="N144" s="12" t="str">
        <x:v>MAIN-144</x:v>
      </x:c>
      <x:c r="O144" s="13" t="n">
        <x:v>13.025026321411133</x:v>
      </x:c>
      <x:c r="P144" s="13" t="n">
        <x:v>80.20720672607422</x:v>
      </x:c>
      <x:c r="Q144" s="2" t="str">
        <x:v>https://www.google.com/maps?q=13.025026321411133,80.20720672607422</x:v>
      </x:c>
      <x:c r="R144" s="2" t="str">
        <x:v>TEN-1E8C28665D38; TEN-30821A93F5E2; TEN-654BE09498F8; TEN-680C934EABCB; TEN-7A7FCCF359A2; TEN-A0548562CF88; TEN-B7B27EA467E4; TEN-BAEEB8F9E40B</x:v>
      </x:c>
      <x:c r="S144" s="12" t="str">
        <x:v>IT and enterprise campus</x:v>
      </x:c>
      <x:c r="T144" s="12" t="str">
        <x:v>Tenant business-type estimates and reviewed company-scale context.</x:v>
      </x:c>
    </x:row>
    <x:row r="145" ht="64" customHeight="1">
      <x:c r="A145" s="10" t="n">
        <x:v>1</x:v>
      </x:c>
      <x:c r="B145" s="2" t="str">
        <x:v>CORP-0142</x:v>
      </x:c>
      <x:c r="C145" s="2" t="str">
        <x:v>Chennai</x:v>
      </x:c>
      <x:c r="D145" s="2" t="str">
        <x:v>MSRJDMQ1</x:v>
      </x:c>
      <x:c r="E145" s="12" t="str">
        <x:v>Global Infocity Park</x:v>
      </x:c>
      <x:c r="F145" s="12" t="str">
        <x:v>Perungudi</x:v>
      </x:c>
      <x:c r="G145" s="11" t="n">
        <x:v>4</x:v>
      </x:c>
      <x:c r="H145" s="2" t="str">
        <x:v>55 inch LED TV</x:v>
      </x:c>
      <x:c r="I145" s="12" t="str">
        <x:v>Global Lifestyle Interior; einfochips</x:v>
      </x:c>
      <x:c r="J145" s="2" t="n">
        <x:v>2</x:v>
      </x:c>
      <x:c r="K145" s="12" t="str">
        <x:v>Company-listed building/campus context; workspace membership and screen access unverified</x:v>
      </x:c>
      <x:c r="L145" s="12" t="str">
        <x:v>Professional services; Engineering &amp; manufacturing; Trade, consumer &amp; logistics</x:v>
      </x:c>
      <x:c r="M145" s="12" t="str">
        <x:v>Small-scale prospects; Large enterprise</x:v>
      </x:c>
      <x:c r="N145" s="12" t="str">
        <x:v>MAIN-146</x:v>
      </x:c>
      <x:c r="O145" s="13" t="n">
        <x:v>12.969228744506836</x:v>
      </x:c>
      <x:c r="P145" s="13" t="n">
        <x:v>80.24365234375</x:v>
      </x:c>
      <x:c r="Q145" s="2" t="str">
        <x:v>https://www.google.com/maps?q=12.969228744506836,80.24365234375</x:v>
      </x:c>
      <x:c r="R145" s="2" t="str">
        <x:v>TEN-1582793ECA86; TEN-EAF4D7735EC1</x:v>
      </x:c>
      <x:c r="S145" s="12" t="str">
        <x:v>Mixed commercial workplace</x:v>
      </x:c>
      <x:c r="T145" s="12" t="str">
        <x:v>Tenant business-type estimates and reviewed company-scale context.</x:v>
      </x:c>
    </x:row>
    <x:row r="146" ht="64" customHeight="1">
      <x:c r="A146" s="10" t="n">
        <x:v>1</x:v>
      </x:c>
      <x:c r="B146" s="2" t="str">
        <x:v>CORP-0143</x:v>
      </x:c>
      <x:c r="C146" s="2" t="str">
        <x:v>Chennai</x:v>
      </x:c>
      <x:c r="D146" s="2" t="str">
        <x:v>MSHDCDV6</x:v>
      </x:c>
      <x:c r="E146" s="12" t="str">
        <x:v>K Raheja Corp - Commerzone</x:v>
      </x:c>
      <x:c r="F146" s="12" t="str">
        <x:v>Poonamallee</x:v>
      </x:c>
      <x:c r="G146" s="11" t="n">
        <x:v>5</x:v>
      </x:c>
      <x:c r="H146" s="2" t="str">
        <x:v>55 inch LED TV</x:v>
      </x:c>
      <x:c r="I146" s="12" t="str"/>
      <x:c r="J146" s="2" t="n">
        <x:v>0</x:v>
      </x:c>
      <x:c r="K146" s="12" t="str">
        <x:v>Unresolved; no supported tenant names</x:v>
      </x:c>
      <x:c r="L146" s="12" t="str">
        <x:v>Unclassified</x:v>
      </x:c>
      <x:c r="M146" s="12" t="str">
        <x:v>Mixed business audience</x:v>
      </x:c>
      <x:c r="N146" s="12" t="str">
        <x:v>MAIN-147</x:v>
      </x:c>
      <x:c r="O146" s="13" t="n">
        <x:v>13.029641151428223</x:v>
      </x:c>
      <x:c r="P146" s="13" t="n">
        <x:v>80.16920471191406</x:v>
      </x:c>
      <x:c r="Q146" s="2" t="str">
        <x:v>https://www.google.com/maps?q=13.029641151428223,80.16920471191406</x:v>
      </x:c>
      <x:c r="R146" s="2" t="str"/>
      <x:c r="S146" s="12" t="str">
        <x:v>Enterprise office campus</x:v>
      </x:c>
      <x:c r="T146" s="12" t="str">
        <x:v>Mindspace describes Commerzone Porur as a six-acre office business environment with shared workplace amenities. Raw Poonamallee/Thiruverkadu wording differs from official Mugalivakkam/Porur on Mount Poonamallee Road. Match is property and Chennai context, not exact screen placement.</x:v>
      </x:c>
    </x:row>
    <x:row r="147" ht="64" customHeight="1">
      <x:c r="A147" s="10" t="n">
        <x:v>1</x:v>
      </x:c>
      <x:c r="B147" s="2" t="str">
        <x:v>CORP-0144</x:v>
      </x:c>
      <x:c r="C147" s="2" t="str">
        <x:v>Chennai</x:v>
      </x:c>
      <x:c r="D147" s="2" t="str">
        <x:v>MSRC3KVV</x:v>
      </x:c>
      <x:c r="E147" s="12" t="str">
        <x:v>Kochar Globe Tech Park</x:v>
      </x:c>
      <x:c r="F147" s="12" t="str">
        <x:v>Guindy</x:v>
      </x:c>
      <x:c r="G147" s="11" t="n">
        <x:v>4</x:v>
      </x:c>
      <x:c r="H147" s="2" t="str">
        <x:v>43 inch LED TV</x:v>
      </x:c>
      <x:c r="I147" s="12" t="str">
        <x:v>Nova Capital Advisors Private Limited; TECHFULLY PVT LTD; BDO India LLP; JSW Group Office; Wheelocity Fresh Pvt Ltd; Keyence India Pvt Ltd; Software AG Chennai Development Center; Freight Systems Limited</x:v>
      </x:c>
      <x:c r="J147" s="2" t="n">
        <x:v>8</x:v>
      </x:c>
      <x:c r="K147" s="12" t="str">
        <x:v>Campus/portfolio roster; individual building occupancy unverified</x:v>
      </x:c>
      <x:c r="L147" s="12" t="str">
        <x:v>IT &amp; digital; Professional services; Finance &amp; insurance; Engineering &amp; manufacturing; Trade, consumer &amp; logistics; Unresolved</x:v>
      </x:c>
      <x:c r="M147" s="12" t="str">
        <x:v>Small-scale prospects; Medium-scale prospects; Mixed business audience</x:v>
      </x:c>
      <x:c r="N147" s="12" t="str">
        <x:v>MAIN-148</x:v>
      </x:c>
      <x:c r="O147" s="13" t="n">
        <x:v>13.014246940612793</x:v>
      </x:c>
      <x:c r="P147" s="13" t="n">
        <x:v>80.20198822021484</x:v>
      </x:c>
      <x:c r="Q147" s="2" t="str">
        <x:v>https://www.google.com/maps?q=13.014246940612793,80.20198822021484</x:v>
      </x:c>
      <x:c r="R147" s="2" t="str">
        <x:v>TEN-2AFEAF10567A; TEN-3762CDCBB25B; TEN-55920F87BD83; TEN-58C8E75727F0; TEN-61616DAE58CF; TEN-B4C545A10172; TEN-BB3DCEEAA381; TEN-F0694C6E2DE4</x:v>
      </x:c>
      <x:c r="S147" s="12" t="str">
        <x:v>IT and enterprise campus</x:v>
      </x:c>
      <x:c r="T147" s="12" t="str">
        <x:v>Tenant business-type estimates and reviewed company-scale context.</x:v>
      </x:c>
    </x:row>
    <x:row r="148" ht="64" customHeight="1">
      <x:c r="A148" s="10" t="n">
        <x:v>1</x:v>
      </x:c>
      <x:c r="B148" s="2" t="str">
        <x:v>CORP-0145</x:v>
      </x:c>
      <x:c r="C148" s="2" t="str">
        <x:v>Chennai</x:v>
      </x:c>
      <x:c r="D148" s="2" t="str">
        <x:v>MSDNHQC7</x:v>
      </x:c>
      <x:c r="E148" s="12" t="str">
        <x:v>Kochar Globe Tech Park (Pod Screens)</x:v>
      </x:c>
      <x:c r="F148" s="12" t="str">
        <x:v>Guindy</x:v>
      </x:c>
      <x:c r="G148" s="11" t="n">
        <x:v>2</x:v>
      </x:c>
      <x:c r="H148" s="2" t="str">
        <x:v>43 inch LED TV</x:v>
      </x:c>
      <x:c r="I148" s="12" t="str">
        <x:v>Nova Capital Advisors Private Limited; TECHFULLY PVT LTD; BDO India LLP; JSW Group Office; Wheelocity Fresh Pvt Ltd; Keyence India Pvt Ltd; Software AG Chennai Development Center; HYUNDAI AutoEver India Pvt. Ltd</x:v>
      </x:c>
      <x:c r="J148" s="2" t="n">
        <x:v>8</x:v>
      </x:c>
      <x:c r="K148" s="12" t="str">
        <x:v>Campus/portfolio roster; individual building occupancy unverified</x:v>
      </x:c>
      <x:c r="L148" s="12" t="str">
        <x:v>IT &amp; digital; Professional services; Finance &amp; insurance; Engineering &amp; manufacturing; Trade, consumer &amp; logistics; Unresolved</x:v>
      </x:c>
      <x:c r="M148" s="12" t="str">
        <x:v>Small-scale prospects; Medium-scale prospects; Mixed business audience</x:v>
      </x:c>
      <x:c r="N148" s="12" t="str">
        <x:v>MAIN-149</x:v>
      </x:c>
      <x:c r="O148" s="13" t="n">
        <x:v>13.014289</x:v>
      </x:c>
      <x:c r="P148" s="13" t="n">
        <x:v>80.202085</x:v>
      </x:c>
      <x:c r="Q148" s="2" t="str">
        <x:v>https://www.google.com/maps?q=13.014289,80.202085</x:v>
      </x:c>
      <x:c r="R148" s="2" t="str">
        <x:v>TEN-2AFEAF10567A; TEN-3762CDCBB25B; TEN-55920F87BD83; TEN-58C8E75727F0; TEN-61616DAE58CF; TEN-B4C545A10172; TEN-BB3DCEEAA381; TEN-E0E2154DC268</x:v>
      </x:c>
      <x:c r="S148" s="12" t="str">
        <x:v>IT and enterprise campus</x:v>
      </x:c>
      <x:c r="T148" s="12" t="str">
        <x:v>Tenant business-type estimates and reviewed company-scale context.</x:v>
      </x:c>
    </x:row>
    <x:row r="149" ht="64" customHeight="1">
      <x:c r="A149" s="10" t="n">
        <x:v>1</x:v>
      </x:c>
      <x:c r="B149" s="2" t="str">
        <x:v>CORP-0146</x:v>
      </x:c>
      <x:c r="C149" s="2" t="str">
        <x:v>Chennai</x:v>
      </x:c>
      <x:c r="D149" s="2" t="str">
        <x:v>MSH7WNQ4</x:v>
      </x:c>
      <x:c r="E149" s="12" t="str">
        <x:v>Millenia Business Park 2</x:v>
      </x:c>
      <x:c r="F149" s="12" t="str">
        <x:v>Perungudi</x:v>
      </x:c>
      <x:c r="G149" s="11" t="n">
        <x:v>2</x:v>
      </x:c>
      <x:c r="H149" s="2" t="str">
        <x:v>43 inch LED TV</x:v>
      </x:c>
      <x:c r="I149" s="12" t="str">
        <x:v>Konecranes; KK winds; Dalet India Private Limited; Ilink Digital; Shipnet Software Private Limited; Dun &amp; Bradstreet; IBS software Private Limited; AMC Bridge Technology India Private Limited</x:v>
      </x:c>
      <x:c r="J149" s="2" t="n">
        <x:v>8</x:v>
      </x:c>
      <x:c r="K149" s="12" t="str">
        <x:v>Inventory-listed building/workspace context; current occupancy and screen access unverified</x:v>
      </x:c>
      <x:c r="L149" s="12" t="str">
        <x:v>IT &amp; digital; Finance &amp; insurance; Engineering &amp; manufacturing</x:v>
      </x:c>
      <x:c r="M149" s="12" t="str">
        <x:v>Small-scale prospects; Medium-scale prospects; Mixed business audience</x:v>
      </x:c>
      <x:c r="N149" s="12" t="str">
        <x:v>MAIN-150</x:v>
      </x:c>
      <x:c r="O149" s="13" t="n">
        <x:v>13.06364</x:v>
      </x:c>
      <x:c r="P149" s="13" t="n">
        <x:v>80.263925</x:v>
      </x:c>
      <x:c r="Q149" s="2" t="str">
        <x:v>https://www.google.com/maps?q=13.06364,80.263925</x:v>
      </x:c>
      <x:c r="R149" s="2" t="str">
        <x:v>TEN-0392C3B9EE62; TEN-04128772C484; TEN-0B724CA91807; TEN-1D4C6B5EB3AF; TEN-33BF340ECE27; TEN-41DC9788C660; TEN-8BD2EBE42538; TEN-ECAE75B33F0B</x:v>
      </x:c>
      <x:c r="S149" s="12" t="str">
        <x:v>Multi-tenant business offices</x:v>
      </x:c>
      <x:c r="T149" s="12" t="str">
        <x:v>Tenant business-type estimates and reviewed company-scale context.</x:v>
      </x:c>
    </x:row>
    <x:row r="150" ht="64" customHeight="1">
      <x:c r="A150" s="10" t="n">
        <x:v>1</x:v>
      </x:c>
      <x:c r="B150" s="2" t="str">
        <x:v>CORP-0147</x:v>
      </x:c>
      <x:c r="C150" s="2" t="str">
        <x:v>Chennai</x:v>
      </x:c>
      <x:c r="D150" s="2" t="str">
        <x:v>MS6CFYBE</x:v>
      </x:c>
      <x:c r="E150" s="12" t="str">
        <x:v>Nucleus - Kosmo One</x:v>
      </x:c>
      <x:c r="F150" s="12" t="str">
        <x:v>Sri Venkateswara Nagar</x:v>
      </x:c>
      <x:c r="G150" s="11" t="n">
        <x:v>4</x:v>
      </x:c>
      <x:c r="H150" s="2" t="str">
        <x:v>55 inch LED TV</x:v>
      </x:c>
      <x:c r="I150" s="12" t="str">
        <x:v>Bee Aura Tech; Armsoftech Pvt Ltd; Antontech; KnackForge India; Zenox Gas Systems Pvt Ltd</x:v>
      </x:c>
      <x:c r="J150" s="2" t="n">
        <x:v>5</x:v>
      </x:c>
      <x:c r="K150" s="12" t="str">
        <x:v>Company-listed building/campus context; workspace membership and screen access unverified</x:v>
      </x:c>
      <x:c r="L150" s="12" t="str">
        <x:v>IT &amp; digital; Engineering &amp; manufacturing; Unresolved</x:v>
      </x:c>
      <x:c r="M150" s="12" t="str">
        <x:v>Small-scale prospects; Medium-scale prospects; Mixed business audience</x:v>
      </x:c>
      <x:c r="N150" s="12" t="str">
        <x:v>MAIN-151</x:v>
      </x:c>
      <x:c r="O150" s="13" t="n">
        <x:v>13.09234722</x:v>
      </x:c>
      <x:c r="P150" s="13" t="n">
        <x:v>80.16317861</x:v>
      </x:c>
      <x:c r="Q150" s="2" t="str">
        <x:v>https://www.google.com/maps?q=13.09234722,80.16317861</x:v>
      </x:c>
      <x:c r="R150" s="2" t="str">
        <x:v>TEN-5477F6F03C2C; TEN-5F80F36FD8F7; TEN-80B24726F3BE; TEN-A211E5F0EFE9; TEN-F2F36505A5A1</x:v>
      </x:c>
      <x:c r="S150" s="12" t="str">
        <x:v>Mixed commercial workplace</x:v>
      </x:c>
      <x:c r="T150" s="12" t="str">
        <x:v>Tenant business-type estimates and reviewed company-scale context.</x:v>
      </x:c>
    </x:row>
    <x:row r="151" ht="64" customHeight="1">
      <x:c r="A151" s="10" t="n">
        <x:v>1</x:v>
      </x:c>
      <x:c r="B151" s="2" t="str">
        <x:v>CORP-0148</x:v>
      </x:c>
      <x:c r="C151" s="2" t="str">
        <x:v>Chennai</x:v>
      </x:c>
      <x:c r="D151" s="2" t="str">
        <x:v>MSFYJJTS</x:v>
      </x:c>
      <x:c r="E151" s="12" t="str">
        <x:v>Olympia Cyberspace</x:v>
      </x:c>
      <x:c r="F151" s="12" t="str">
        <x:v>Aruliammanpet</x:v>
      </x:c>
      <x:c r="G151" s="11" t="n">
        <x:v>2</x:v>
      </x:c>
      <x:c r="H151" s="2" t="str">
        <x:v>43 inch LED TV</x:v>
      </x:c>
      <x:c r="I151" s="12" t="str">
        <x:v>Yexle Limited; Pozent lab; Taza Pay; Triyam Technologie; D4T4 - Celebrus India Pvt Ltd; Philips; City Plots; Freight Systems</x:v>
      </x:c>
      <x:c r="J151" s="2" t="n">
        <x:v>8</x:v>
      </x:c>
      <x:c r="K151" s="12" t="str">
        <x:v>Inventory-listed building/workspace context; current occupancy and screen access unverified</x:v>
      </x:c>
      <x:c r="L151" s="12" t="str">
        <x:v>IT &amp; digital; Engineering &amp; manufacturing; Healthcare &amp; life sciences; Trade, consumer &amp; logistics; Unresolved</x:v>
      </x:c>
      <x:c r="M151" s="12" t="str">
        <x:v>Small-scale prospects; Medium-scale prospects; Large enterprise; Mixed business audience</x:v>
      </x:c>
      <x:c r="N151" s="12" t="str">
        <x:v>MAIN-152</x:v>
      </x:c>
      <x:c r="O151" s="13" t="n">
        <x:v>13.016522</x:v>
      </x:c>
      <x:c r="P151" s="13" t="n">
        <x:v>80.215422</x:v>
      </x:c>
      <x:c r="Q151" s="2" t="str">
        <x:v>https://www.google.com/maps?q=13.016522,80.215422</x:v>
      </x:c>
      <x:c r="R151" s="2" t="str">
        <x:v>TEN-0A6CDB8E6C32; TEN-12E6D2D09383; TEN-18DD81D8F636; TEN-CB8CE351BDF8; TEN-DB6C877226A2; TEN-DD4CB9CF52F0; TEN-E2E08B128519; TEN-E833260CE7B6</x:v>
      </x:c>
      <x:c r="S151" s="12" t="str">
        <x:v>IT and enterprise campus</x:v>
      </x:c>
      <x:c r="T151" s="12" t="str">
        <x:v>Tenant business-type estimates and reviewed company-scale context.</x:v>
      </x:c>
    </x:row>
    <x:row r="152" ht="64" customHeight="1">
      <x:c r="A152" s="10" t="n">
        <x:v>1</x:v>
      </x:c>
      <x:c r="B152" s="2" t="str">
        <x:v>CORP-0149</x:v>
      </x:c>
      <x:c r="C152" s="2" t="str">
        <x:v>Chennai</x:v>
      </x:c>
      <x:c r="D152" s="2" t="str">
        <x:v>MSNTFX01</x:v>
      </x:c>
      <x:c r="E152" s="12" t="str">
        <x:v>Olympia National Tower</x:v>
      </x:c>
      <x:c r="F152" s="12" t="str">
        <x:v>Guindy</x:v>
      </x:c>
      <x:c r="G152" s="11" t="n">
        <x:v>4</x:v>
      </x:c>
      <x:c r="H152" s="2" t="str">
        <x:v>43 inch LED TV</x:v>
      </x:c>
      <x:c r="I152" s="12" t="str">
        <x:v>IBOB SCS - SF INTERNATIONAL; J K Enterprises; Infiot; EY GDS; Xoriant Solutions Pvt Ltd; FTC Solar India Pvt Ltd</x:v>
      </x:c>
      <x:c r="J152" s="2" t="n">
        <x:v>6</x:v>
      </x:c>
      <x:c r="K152" s="12" t="str">
        <x:v>Campus/portfolio roster; individual building occupancy unverified</x:v>
      </x:c>
      <x:c r="L152" s="12" t="str">
        <x:v>IT &amp; digital; Professional services; Engineering &amp; manufacturing; Trade, consumer &amp; logistics; Unresolved</x:v>
      </x:c>
      <x:c r="M152" s="12" t="str">
        <x:v>Small-scale prospects; Large enterprise; Mixed business audience</x:v>
      </x:c>
      <x:c r="N152" s="12" t="str">
        <x:v>MAIN-153</x:v>
      </x:c>
      <x:c r="O152" s="13" t="n">
        <x:v>13.010223388671875</x:v>
      </x:c>
      <x:c r="P152" s="13" t="n">
        <x:v>80.21102142333984</x:v>
      </x:c>
      <x:c r="Q152" s="2" t="str">
        <x:v>https://www.google.com/maps?q=13.010223388671875,80.21102142333984</x:v>
      </x:c>
      <x:c r="R152" s="2" t="str">
        <x:v>TEN-735468BC79FE; TEN-7382C89C2DDF; TEN-86EBE5471EA0; TEN-9A02EA5289C7; TEN-A509A9AAC287; TEN-CF31BC52344C</x:v>
      </x:c>
      <x:c r="S152" s="12" t="str">
        <x:v>Mixed commercial workplace</x:v>
      </x:c>
      <x:c r="T152" s="12" t="str">
        <x:v>Tenant business-type estimates and reviewed company-scale context.</x:v>
      </x:c>
    </x:row>
    <x:row r="153" ht="64" customHeight="1">
      <x:c r="A153" s="10" t="n">
        <x:v>1</x:v>
      </x:c>
      <x:c r="B153" s="2" t="str">
        <x:v>CORP-0150</x:v>
      </x:c>
      <x:c r="C153" s="2" t="str">
        <x:v>Chennai</x:v>
      </x:c>
      <x:c r="D153" s="2" t="str">
        <x:v>MSQTKZR2</x:v>
      </x:c>
      <x:c r="E153" s="12" t="str">
        <x:v>Olympia National Tower (Pod Screens)</x:v>
      </x:c>
      <x:c r="F153" s="12" t="str">
        <x:v>Guindy</x:v>
      </x:c>
      <x:c r="G153" s="11" t="n">
        <x:v>2</x:v>
      </x:c>
      <x:c r="H153" s="2" t="str">
        <x:v>43 inch LED TV</x:v>
      </x:c>
      <x:c r="I153" s="12" t="str">
        <x:v>IBOB SCS - SF INTERNATIONAL; Infiot; EY GDS; Xoriant Solutions Pvt Ltd; FTC Solar India Pvt Ltd</x:v>
      </x:c>
      <x:c r="J153" s="2" t="n">
        <x:v>5</x:v>
      </x:c>
      <x:c r="K153" s="12" t="str">
        <x:v>Campus/portfolio roster; individual building occupancy unverified</x:v>
      </x:c>
      <x:c r="L153" s="12" t="str">
        <x:v>IT &amp; digital; Professional services; Engineering &amp; manufacturing; Trade, consumer &amp; logistics</x:v>
      </x:c>
      <x:c r="M153" s="12" t="str">
        <x:v>Small-scale prospects; Large enterprise; Mixed business audience</x:v>
      </x:c>
      <x:c r="N153" s="12" t="str">
        <x:v>MAIN-154</x:v>
      </x:c>
      <x:c r="O153" s="13" t="n">
        <x:v>13.010223</x:v>
      </x:c>
      <x:c r="P153" s="13" t="n">
        <x:v>80.210934</x:v>
      </x:c>
      <x:c r="Q153" s="2" t="str">
        <x:v>https://www.google.com/maps?q=13.010223,80.210934</x:v>
      </x:c>
      <x:c r="R153" s="2" t="str">
        <x:v>TEN-735468BC79FE; TEN-86EBE5471EA0; TEN-9A02EA5289C7; TEN-A509A9AAC287; TEN-CF31BC52344C</x:v>
      </x:c>
      <x:c r="S153" s="12" t="str">
        <x:v>Mixed commercial workplace</x:v>
      </x:c>
      <x:c r="T153" s="12" t="str">
        <x:v>Tenant business-type estimates and reviewed company-scale context.</x:v>
      </x:c>
    </x:row>
    <x:row r="154" ht="64" customHeight="1">
      <x:c r="A154" s="10" t="n">
        <x:v>1</x:v>
      </x:c>
      <x:c r="B154" s="2" t="str">
        <x:v>CORP-0151</x:v>
      </x:c>
      <x:c r="C154" s="2" t="str">
        <x:v>Chennai</x:v>
      </x:c>
      <x:c r="D154" s="2" t="str">
        <x:v>MSYWKSKN</x:v>
      </x:c>
      <x:c r="E154" s="12" t="str">
        <x:v>Olympia Pinnacle Technology Park</x:v>
      </x:c>
      <x:c r="F154" s="12" t="str">
        <x:v>Thoraipakkam</x:v>
      </x:c>
      <x:c r="G154" s="11" t="n">
        <x:v>1</x:v>
      </x:c>
      <x:c r="H154" s="2" t="str">
        <x:v>43 inch LED TV</x:v>
      </x:c>
      <x:c r="I154" s="12" t="str">
        <x:v>Clayfin Technologies Private Limited</x:v>
      </x:c>
      <x:c r="J154" s="2" t="n">
        <x:v>1</x:v>
      </x:c>
      <x:c r="K154" s="12" t="str">
        <x:v>Inventory-listed building/workspace context; current occupancy and screen access unverified</x:v>
      </x:c>
      <x:c r="L154" s="12" t="str">
        <x:v>IT &amp; digital</x:v>
      </x:c>
      <x:c r="M154" s="12" t="str">
        <x:v>Small-scale prospects</x:v>
      </x:c>
      <x:c r="N154" s="12" t="str">
        <x:v>MAIN-155</x:v>
      </x:c>
      <x:c r="O154" s="13" t="n">
        <x:v>12.950742721557617</x:v>
      </x:c>
      <x:c r="P154" s="13" t="n">
        <x:v>80.2409896850586</x:v>
      </x:c>
      <x:c r="Q154" s="2" t="str">
        <x:v>https://www.google.com/maps?q=12.950742721557617,80.2409896850586</x:v>
      </x:c>
      <x:c r="R154" s="2" t="str">
        <x:v>TEN-337F2DC67A95</x:v>
      </x:c>
      <x:c r="S154" s="12" t="str">
        <x:v>IT and enterprise campus</x:v>
      </x:c>
      <x:c r="T154" s="12" t="str">
        <x:v>Tenant business-type estimates and reviewed company-scale context.</x:v>
      </x:c>
    </x:row>
    <x:row r="155" ht="64" customHeight="1">
      <x:c r="A155" s="10" t="n">
        <x:v>1</x:v>
      </x:c>
      <x:c r="B155" s="2" t="str">
        <x:v>CORP-0152</x:v>
      </x:c>
      <x:c r="C155" s="2" t="str">
        <x:v>Chennai</x:v>
      </x:c>
      <x:c r="D155" s="2" t="str">
        <x:v>MSTVF69Z</x:v>
      </x:c>
      <x:c r="E155" s="12" t="str">
        <x:v>Prestige Polygon IT Park</x:v>
      </x:c>
      <x:c r="F155" s="12" t="str">
        <x:v>Teynampet</x:v>
      </x:c>
      <x:c r="G155" s="11" t="n">
        <x:v>1</x:v>
      </x:c>
      <x:c r="H155" s="2" t="str">
        <x:v>43 inch LED TV</x:v>
      </x:c>
      <x:c r="I155" s="12" t="str">
        <x:v>Durr India Pvt. Ltd; Mindgate Solutions Pvt Ltd; RR Donnelley; RRD; Sharpwiz Technologies Private Limited</x:v>
      </x:c>
      <x:c r="J155" s="2" t="n">
        <x:v>5</x:v>
      </x:c>
      <x:c r="K155" s="12" t="str">
        <x:v>Campus/portfolio roster; individual building occupancy unverified</x:v>
      </x:c>
      <x:c r="L155" s="12" t="str">
        <x:v>IT &amp; digital; Engineering &amp; manufacturing; Unresolved</x:v>
      </x:c>
      <x:c r="M155" s="12" t="str">
        <x:v>Small-scale prospects; Mixed business audience</x:v>
      </x:c>
      <x:c r="N155" s="12" t="str">
        <x:v>MAIN-156</x:v>
      </x:c>
      <x:c r="O155" s="13" t="n">
        <x:v>13.032926</x:v>
      </x:c>
      <x:c r="P155" s="13" t="n">
        <x:v>80.244227</x:v>
      </x:c>
      <x:c r="Q155" s="2" t="str">
        <x:v>https://www.google.com/maps?q=13.032926,80.244227</x:v>
      </x:c>
      <x:c r="R155" s="2" t="str">
        <x:v>TEN-2AD84453C261; TEN-8DF0CA31AB4A; TEN-A8E8785BC584; TEN-C3CA7D8DCA22; TEN-DD6C0292E0C6</x:v>
      </x:c>
      <x:c r="S155" s="12" t="str">
        <x:v>IT and enterprise campus</x:v>
      </x:c>
      <x:c r="T155" s="12" t="str">
        <x:v>Tenant business-type estimates and reviewed company-scale context.</x:v>
      </x:c>
    </x:row>
    <x:row r="156" ht="64" customHeight="1">
      <x:c r="A156" s="10" t="n">
        <x:v>1</x:v>
      </x:c>
      <x:c r="B156" s="2" t="str">
        <x:v>CORP-0153</x:v>
      </x:c>
      <x:c r="C156" s="2" t="str">
        <x:v>Chennai</x:v>
      </x:c>
      <x:c r="D156" s="2" t="str">
        <x:v>MSBJTW9T</x:v>
      </x:c>
      <x:c r="E156" s="12" t="str">
        <x:v>Prestige Polygon Tech Park (Pod Screens)</x:v>
      </x:c>
      <x:c r="F156" s="12" t="str">
        <x:v>Teynampet</x:v>
      </x:c>
      <x:c r="G156" s="11" t="n">
        <x:v>3</x:v>
      </x:c>
      <x:c r="H156" s="2" t="str">
        <x:v>32 inch LED TV</x:v>
      </x:c>
      <x:c r="I156" s="12" t="str">
        <x:v>Durr India Pvt. Ltd; Mindgate Solutions Pvt Ltd; RR Donnelley; RRD; Sharpwiz Technologies Private Limited</x:v>
      </x:c>
      <x:c r="J156" s="2" t="n">
        <x:v>5</x:v>
      </x:c>
      <x:c r="K156" s="12" t="str">
        <x:v>Campus/portfolio roster; individual building occupancy unverified</x:v>
      </x:c>
      <x:c r="L156" s="12" t="str">
        <x:v>IT &amp; digital; Engineering &amp; manufacturing; Unresolved</x:v>
      </x:c>
      <x:c r="M156" s="12" t="str">
        <x:v>Small-scale prospects; Mixed business audience</x:v>
      </x:c>
      <x:c r="N156" s="12" t="str">
        <x:v>MAIN-157</x:v>
      </x:c>
      <x:c r="O156" s="13" t="n">
        <x:v>13.032800674438477</x:v>
      </x:c>
      <x:c r="P156" s="13" t="n">
        <x:v>80.24418640136719</x:v>
      </x:c>
      <x:c r="Q156" s="2" t="str">
        <x:v>https://www.google.com/maps?q=13.032800674438477,80.24418640136719</x:v>
      </x:c>
      <x:c r="R156" s="2" t="str">
        <x:v>TEN-2AD84453C261; TEN-8DF0CA31AB4A; TEN-A8E8785BC584; TEN-C3CA7D8DCA22; TEN-DD6C0292E0C6</x:v>
      </x:c>
      <x:c r="S156" s="12" t="str">
        <x:v>IT and enterprise campus</x:v>
      </x:c>
      <x:c r="T156" s="12" t="str">
        <x:v>Tenant business-type estimates and reviewed company-scale context.</x:v>
      </x:c>
    </x:row>
    <x:row r="157" ht="64" customHeight="1">
      <x:c r="A157" s="10" t="n">
        <x:v>1</x:v>
      </x:c>
      <x:c r="B157" s="2" t="str">
        <x:v>CORP-0154</x:v>
      </x:c>
      <x:c r="C157" s="2" t="str">
        <x:v>Chennai</x:v>
      </x:c>
      <x:c r="D157" s="2" t="str">
        <x:v>MS49HAEY</x:v>
      </x:c>
      <x:c r="E157" s="12" t="str">
        <x:v>Prestige Zackria Metropolitan</x:v>
      </x:c>
      <x:c r="F157" s="12" t="str">
        <x:v>Anna Salai</x:v>
      </x:c>
      <x:c r="G157" s="11" t="n">
        <x:v>2</x:v>
      </x:c>
      <x:c r="H157" s="2" t="str">
        <x:v>43 inch LED TV</x:v>
      </x:c>
      <x:c r="I157" s="12" t="str">
        <x:v>Marsh India Insurance Brokers Pvt Ltd; Zomato; Adenza Technology India Private Limited; Group M; Ovation Services Pvt Ltd</x:v>
      </x:c>
      <x:c r="J157" s="2" t="n">
        <x:v>5</x:v>
      </x:c>
      <x:c r="K157" s="12" t="str">
        <x:v>Inventory-listed building/workspace context; current occupancy and screen access unverified</x:v>
      </x:c>
      <x:c r="L157" s="12" t="str">
        <x:v>IT &amp; digital; Professional services; Finance &amp; insurance; Trade, consumer &amp; logistics; Unresolved</x:v>
      </x:c>
      <x:c r="M157" s="12" t="str">
        <x:v>Mixed business audience</x:v>
      </x:c>
      <x:c r="N157" s="12" t="str">
        <x:v>MAIN-158</x:v>
      </x:c>
      <x:c r="O157" s="13" t="n">
        <x:v>13.063643455505371</x:v>
      </x:c>
      <x:c r="P157" s="13" t="n">
        <x:v>80.26392364501953</x:v>
      </x:c>
      <x:c r="Q157" s="2" t="str">
        <x:v>https://www.google.com/maps?q=13.063643455505371,80.26392364501953</x:v>
      </x:c>
      <x:c r="R157" s="2" t="str">
        <x:v>TEN-0D54E5331AF7; TEN-4A3892E5BC96; TEN-6429D6117F38; TEN-8ADB9CA624D1; TEN-9893181D2970</x:v>
      </x:c>
      <x:c r="S157" s="12" t="str">
        <x:v>Mixed commercial workplace</x:v>
      </x:c>
      <x:c r="T157" s="12" t="str">
        <x:v>Tenant business-type estimates and reviewed company-scale context.</x:v>
      </x:c>
    </x:row>
    <x:row r="158" ht="64" customHeight="1">
      <x:c r="A158" s="10" t="n">
        <x:v>1</x:v>
      </x:c>
      <x:c r="B158" s="2" t="str">
        <x:v>CORP-0155</x:v>
      </x:c>
      <x:c r="C158" s="2" t="str">
        <x:v>Chennai</x:v>
      </x:c>
      <x:c r="D158" s="2" t="str">
        <x:v>MSAZ99XG</x:v>
      </x:c>
      <x:c r="E158" s="12" t="str">
        <x:v>Wingspace - Coworking Space IN Perungudi</x:v>
      </x:c>
      <x:c r="F158" s="12" t="str">
        <x:v>Rajiv Gandhi Salai</x:v>
      </x:c>
      <x:c r="G158" s="11" t="n">
        <x:v>1</x:v>
      </x:c>
      <x:c r="H158" s="2" t="str">
        <x:v>32 inch LED TV</x:v>
      </x:c>
      <x:c r="I158" s="12" t="str">
        <x:v>Mikael Global Solutions; Everonn Education Limited; Swiggy OMR joining office; Protorix India; Emergys India; Ecotech Engineering Consultancy Pvt Ltd; Vyomiq School ERP Software; HUE Touch Technologies Pvt Ltd; Infoplus Technologies</x:v>
      </x:c>
      <x:c r="J158" s="2" t="n">
        <x:v>9</x:v>
      </x:c>
      <x:c r="K158" s="12" t="str">
        <x:v>Inventory-listed building/workspace context; current occupancy and screen access unverified</x:v>
      </x:c>
      <x:c r="L158" s="12" t="str">
        <x:v>IT &amp; digital; Engineering &amp; manufacturing; Education; Trade, consumer &amp; logistics; Unresolved</x:v>
      </x:c>
      <x:c r="M158" s="12" t="str">
        <x:v>Small-scale prospects; Medium-scale prospects; Mixed business audience</x:v>
      </x:c>
      <x:c r="N158" s="12" t="str">
        <x:v>MAIN-159</x:v>
      </x:c>
      <x:c r="O158" s="13" t="n">
        <x:v>12.956263</x:v>
      </x:c>
      <x:c r="P158" s="13" t="n">
        <x:v>80.247669</x:v>
      </x:c>
      <x:c r="Q158" s="2" t="str">
        <x:v>https://www.google.com/maps?q=12.956263,80.247669</x:v>
      </x:c>
      <x:c r="R158" s="2" t="str">
        <x:v>TEN-18BA3D03B696; TEN-1A5E028F30B8; TEN-1FE83FD8C056; TEN-5240559B6AFA; TEN-5A68B9DB37DE; TEN-60F97FFFDBBB; TEN-7E1C21AC33D5; TEN-89BC704C61F9; TEN-933A19328F9C</x:v>
      </x:c>
      <x:c r="S158" s="12" t="str">
        <x:v>Flexible workspace / mixed businesses</x:v>
      </x:c>
      <x:c r="T158" s="12" t="str">
        <x:v>Tenant business-type estimates and reviewed company-scale context.</x:v>
      </x:c>
    </x:row>
    <x:row r="159" ht="64" customHeight="1">
      <x:c r="A159" s="10" t="n">
        <x:v>1</x:v>
      </x:c>
      <x:c r="B159" s="2" t="str">
        <x:v>CORP-0156</x:v>
      </x:c>
      <x:c r="C159" s="2" t="str">
        <x:v>Chennai</x:v>
      </x:c>
      <x:c r="D159" s="2" t="str">
        <x:v>MSVB27EM</x:v>
      </x:c>
      <x:c r="E159" s="12" t="str">
        <x:v>Workflo by Oyo - Innov8 Millenia</x:v>
      </x:c>
      <x:c r="F159" s="12" t="str">
        <x:v>Perungudi</x:v>
      </x:c>
      <x:c r="G159" s="11" t="n">
        <x:v>1</x:v>
      </x:c>
      <x:c r="H159" s="2" t="str">
        <x:v>32 inch LED TV</x:v>
      </x:c>
      <x:c r="I159" s="12" t="str">
        <x:v>Ilink Digital; Property sulekha; Ciklum; IBS Software; Tiger Analytics</x:v>
      </x:c>
      <x:c r="J159" s="2" t="n">
        <x:v>5</x:v>
      </x:c>
      <x:c r="K159" s="12" t="str">
        <x:v>Inventory-listed building/workspace context; current occupancy and screen access unverified</x:v>
      </x:c>
      <x:c r="L159" s="12" t="str">
        <x:v>IT &amp; digital; Trade, consumer &amp; logistics</x:v>
      </x:c>
      <x:c r="M159" s="12" t="str">
        <x:v>Small-scale prospects; Mixed business audience</x:v>
      </x:c>
      <x:c r="N159" s="12" t="str">
        <x:v>MAIN-160</x:v>
      </x:c>
      <x:c r="O159" s="13" t="n">
        <x:v>12.97439</x:v>
      </x:c>
      <x:c r="P159" s="13" t="n">
        <x:v>80.244002</x:v>
      </x:c>
      <x:c r="Q159" s="2" t="str">
        <x:v>https://www.google.com/maps?q=12.97439,80.244002</x:v>
      </x:c>
      <x:c r="R159" s="2" t="str">
        <x:v>TEN-1D4C6B5EB3AF; TEN-AFA9827C3A8D; TEN-B3B549850AA9; TEN-F975ADEAF864; TEN-FFDA1A899520</x:v>
      </x:c>
      <x:c r="S159" s="12" t="str">
        <x:v>Mixed commercial workplace</x:v>
      </x:c>
      <x:c r="T159" s="12" t="str">
        <x:v>Tenant business-type estimates and reviewed company-scale context.</x:v>
      </x:c>
    </x:row>
    <x:row r="160" ht="64" customHeight="1">
      <x:c r="A160" s="10" t="n">
        <x:v>1</x:v>
      </x:c>
      <x:c r="B160" s="2" t="str">
        <x:v>CORP-0157</x:v>
      </x:c>
      <x:c r="C160" s="2" t="str">
        <x:v>Chennai</x:v>
      </x:c>
      <x:c r="D160" s="2" t="str">
        <x:v>MSRY4SEX</x:v>
      </x:c>
      <x:c r="E160" s="12" t="str">
        <x:v>Workflow by Oyo - Guindy</x:v>
      </x:c>
      <x:c r="F160" s="12" t="str">
        <x:v>Guindy Industrial Estate</x:v>
      </x:c>
      <x:c r="G160" s="11" t="n">
        <x:v>1</x:v>
      </x:c>
      <x:c r="H160" s="2" t="str">
        <x:v>32 inch LED TV</x:v>
      </x:c>
      <x:c r="I160" s="12" t="str">
        <x:v>Cooper Standard; Malladi Drugs and Pharmaceuticals limited; Innovate; Interise Project Management; Yokogawa</x:v>
      </x:c>
      <x:c r="J160" s="2" t="n">
        <x:v>5</x:v>
      </x:c>
      <x:c r="K160" s="12" t="str">
        <x:v>Inventory-listed building/workspace context; current occupancy and screen access unverified</x:v>
      </x:c>
      <x:c r="L160" s="12" t="str">
        <x:v>Engineering &amp; manufacturing; Healthcare &amp; life sciences; Trade, consumer &amp; logistics; Unresolved</x:v>
      </x:c>
      <x:c r="M160" s="12" t="str">
        <x:v>Small-scale prospects; Mixed business audience</x:v>
      </x:c>
      <x:c r="N160" s="12" t="str">
        <x:v>MAIN-161</x:v>
      </x:c>
      <x:c r="O160" s="13" t="n">
        <x:v>13.01575402</x:v>
      </x:c>
      <x:c r="P160" s="13" t="n">
        <x:v>80.19981473</x:v>
      </x:c>
      <x:c r="Q160" s="2" t="str">
        <x:v>https://www.google.com/maps?q=13.01575402,80.19981473</x:v>
      </x:c>
      <x:c r="R160" s="2" t="str">
        <x:v>TEN-415DF7078045; TEN-9FD92F05F310; TEN-A3315D1C95D3; TEN-B5F3F71440ED; TEN-E922BA855F02</x:v>
      </x:c>
      <x:c r="S160" s="12" t="str">
        <x:v>Mixed commercial workplace</x:v>
      </x:c>
      <x:c r="T160" s="12" t="str">
        <x:v>Tenant business-type estimates and reviewed company-scale context.</x:v>
      </x:c>
    </x:row>
    <x:row r="161" ht="64" customHeight="1">
      <x:c r="A161" s="10" t="n">
        <x:v>1</x:v>
      </x:c>
      <x:c r="B161" s="2" t="str">
        <x:v>CORP-0158</x:v>
      </x:c>
      <x:c r="C161" s="2" t="str">
        <x:v>Delhi NCR</x:v>
      </x:c>
      <x:c r="D161" s="2" t="str">
        <x:v>MSRE3633</x:v>
      </x:c>
      <x:c r="E161" s="12" t="str">
        <x:v>Awfis - Connaught Place</x:v>
      </x:c>
      <x:c r="F161" s="12" t="str">
        <x:v>Cannaught Place</x:v>
      </x:c>
      <x:c r="G161" s="11" t="n">
        <x:v>2</x:v>
      </x:c>
      <x:c r="H161" s="2" t="str">
        <x:v>32 inch LED TV</x:v>
      </x:c>
      <x:c r="I161" s="12" t="str">
        <x:v>Trafigura; seagate; AdZ; alive&amp;thrive; triggerise; ag aqugen; silox; New Vertical; CGSC; RUSSELL</x:v>
      </x:c>
      <x:c r="J161" s="2" t="n">
        <x:v>10</x:v>
      </x:c>
      <x:c r="K161" s="12" t="str">
        <x:v>Inventory-listed building/workspace context; current occupancy and screen access unverified</x:v>
      </x:c>
      <x:c r="L161" s="12" t="str">
        <x:v>Engineering &amp; manufacturing; Trade, consumer &amp; logistics; Unresolved</x:v>
      </x:c>
      <x:c r="M161" s="12" t="str">
        <x:v>Medium-scale prospects; Mixed business audience</x:v>
      </x:c>
      <x:c r="N161" s="12" t="str">
        <x:v>MAIN-162</x:v>
      </x:c>
      <x:c r="O161" s="13" t="n">
        <x:v>28.634251</x:v>
      </x:c>
      <x:c r="P161" s="13" t="n">
        <x:v>77.222087</x:v>
      </x:c>
      <x:c r="Q161" s="2" t="str">
        <x:v>https://www.google.com/maps?q=28.634251,77.222087</x:v>
      </x:c>
      <x:c r="R161" s="2" t="str">
        <x:v>TEN-31041A1A1091; TEN-40A8DB52D8F5; TEN-474177C9CCE2; TEN-47E022B2F6C9; TEN-59DF3EFE3F23; TEN-6808A4E9C9BB; TEN-744696B4409B; TEN-A291C3AB2411; TEN-A50481FFDD48; TEN-EC87D0E0735C</x:v>
      </x:c>
      <x:c r="S161" s="12" t="str">
        <x:v>Flexible workspace / mixed businesses</x:v>
      </x:c>
      <x:c r="T161" s="12" t="str">
        <x:v>Tenant business-type estimates and reviewed company-scale context.</x:v>
      </x:c>
    </x:row>
    <x:row r="162" ht="64" customHeight="1">
      <x:c r="A162" s="10" t="n">
        <x:v>1</x:v>
      </x:c>
      <x:c r="B162" s="2" t="str">
        <x:v>CORP-0159</x:v>
      </x:c>
      <x:c r="C162" s="2" t="str">
        <x:v>Delhi NCR</x:v>
      </x:c>
      <x:c r="D162" s="2" t="str">
        <x:v>MS728N6B</x:v>
      </x:c>
      <x:c r="E162" s="12" t="str">
        <x:v>Awfis - Mohan Cooperative</x:v>
      </x:c>
      <x:c r="F162" s="12" t="str">
        <x:v>Badarpur</x:v>
      </x:c>
      <x:c r="G162" s="11" t="n">
        <x:v>3</x:v>
      </x:c>
      <x:c r="H162" s="2" t="str">
        <x:v>32 inch LED TV</x:v>
      </x:c>
      <x:c r="I162" s="12" t="str">
        <x:v>asuku India Pvt Ltd; ADG; BMM; tech connect; GODREJ INFOTECH; iVlentor; practo; Six Red Marbles</x:v>
      </x:c>
      <x:c r="J162" s="2" t="n">
        <x:v>8</x:v>
      </x:c>
      <x:c r="K162" s="12" t="str">
        <x:v>Campus/portfolio roster; individual building occupancy unverified</x:v>
      </x:c>
      <x:c r="L162" s="12" t="str">
        <x:v>IT &amp; digital; Healthcare &amp; life sciences; Education; Unresolved</x:v>
      </x:c>
      <x:c r="M162" s="12" t="str">
        <x:v>Small-scale prospects; Mixed business audience</x:v>
      </x:c>
      <x:c r="N162" s="12" t="str">
        <x:v>MAIN-163</x:v>
      </x:c>
      <x:c r="O162" s="13" t="n">
        <x:v>28.526133</x:v>
      </x:c>
      <x:c r="P162" s="13" t="n">
        <x:v>77.290043</x:v>
      </x:c>
      <x:c r="Q162" s="2" t="str">
        <x:v>https://www.google.com/maps?q=28.526133,77.290043</x:v>
      </x:c>
      <x:c r="R162" s="2" t="str">
        <x:v>TEN-069C6A580D35; TEN-508BB24BB9BD; TEN-61BF9757EB71; TEN-7BE11149A114; TEN-A462520BC920; TEN-E3C920552F7B; TEN-E9EBDCC61F12; TEN-F66746C19057</x:v>
      </x:c>
      <x:c r="S162" s="12" t="str">
        <x:v>Flexible workspace / mixed businesses</x:v>
      </x:c>
      <x:c r="T162" s="12" t="str">
        <x:v>Tenant business-type estimates and reviewed company-scale context.</x:v>
      </x:c>
    </x:row>
    <x:row r="163" ht="64" customHeight="1">
      <x:c r="A163" s="10" t="n">
        <x:v>1</x:v>
      </x:c>
      <x:c r="B163" s="2" t="str">
        <x:v>CORP-0160</x:v>
      </x:c>
      <x:c r="C163" s="2" t="str">
        <x:v>Delhi NCR</x:v>
      </x:c>
      <x:c r="D163" s="2" t="str">
        <x:v>MS0EXRH6</x:v>
      </x:c>
      <x:c r="E163" s="12" t="str">
        <x:v>Awfis - Mohan Cooperative 2</x:v>
      </x:c>
      <x:c r="F163" s="12" t="str">
        <x:v>Badarpur</x:v>
      </x:c>
      <x:c r="G163" s="11" t="n">
        <x:v>1</x:v>
      </x:c>
      <x:c r="H163" s="2" t="str">
        <x:v>32 inch LED TV</x:v>
      </x:c>
      <x:c r="I163" s="12" t="str">
        <x:v>asuku India Pvt Ltd; ADG; BMM; tech connect; GODREJ INFOTECH; iVlentor; practo; Six Red Marbles</x:v>
      </x:c>
      <x:c r="J163" s="2" t="n">
        <x:v>8</x:v>
      </x:c>
      <x:c r="K163" s="12" t="str">
        <x:v>Campus/portfolio roster; individual building occupancy unverified</x:v>
      </x:c>
      <x:c r="L163" s="12" t="str">
        <x:v>IT &amp; digital; Healthcare &amp; life sciences; Education; Unresolved</x:v>
      </x:c>
      <x:c r="M163" s="12" t="str">
        <x:v>Small-scale prospects; Mixed business audience</x:v>
      </x:c>
      <x:c r="N163" s="12" t="str">
        <x:v>MAIN-164</x:v>
      </x:c>
      <x:c r="O163" s="13" t="n">
        <x:v>28.526067</x:v>
      </x:c>
      <x:c r="P163" s="13" t="n">
        <x:v>77.290226</x:v>
      </x:c>
      <x:c r="Q163" s="2" t="str">
        <x:v>https://www.google.com/maps?q=28.526067,77.290226</x:v>
      </x:c>
      <x:c r="R163" s="2" t="str">
        <x:v>TEN-069C6A580D35; TEN-508BB24BB9BD; TEN-61BF9757EB71; TEN-7BE11149A114; TEN-A462520BC920; TEN-E3C920552F7B; TEN-E9EBDCC61F12; TEN-F66746C19057</x:v>
      </x:c>
      <x:c r="S163" s="12" t="str">
        <x:v>Flexible workspace / mixed businesses</x:v>
      </x:c>
      <x:c r="T163" s="12" t="str">
        <x:v>Tenant business-type estimates and reviewed company-scale context.</x:v>
      </x:c>
    </x:row>
    <x:row r="164" ht="64" customHeight="1">
      <x:c r="A164" s="10" t="n">
        <x:v>1</x:v>
      </x:c>
      <x:c r="B164" s="2" t="str">
        <x:v>CORP-0161</x:v>
      </x:c>
      <x:c r="C164" s="2" t="str">
        <x:v>Delhi NCR</x:v>
      </x:c>
      <x:c r="D164" s="2" t="str">
        <x:v>MSTW7GDW</x:v>
      </x:c>
      <x:c r="E164" s="12" t="str">
        <x:v>Awfis - Qutab 2</x:v>
      </x:c>
      <x:c r="F164" s="12" t="str">
        <x:v>Qutub Institutional Area</x:v>
      </x:c>
      <x:c r="G164" s="11" t="n">
        <x:v>1</x:v>
      </x:c>
      <x:c r="H164" s="2" t="str">
        <x:v>32 inch LED TV</x:v>
      </x:c>
      <x:c r="I164" s="12" t="str">
        <x:v>Awfis (workspace operator inferred from property name; tenant occupants unconfirmed)</x:v>
      </x:c>
      <x:c r="J164" s="2" t="n">
        <x:v>1</x:v>
      </x:c>
      <x:c r="K164" s="12" t="str">
        <x:v>Workspace operator inferred from explicit property name; tenant occupants unconfirmed</x:v>
      </x:c>
      <x:c r="L164" s="12" t="str">
        <x:v>Workspace &amp; property operations</x:v>
      </x:c>
      <x:c r="M164" s="12" t="str">
        <x:v>Mixed business audience</x:v>
      </x:c>
      <x:c r="N164" s="12" t="str">
        <x:v>MAIN-165</x:v>
      </x:c>
      <x:c r="O164" s="13" t="n">
        <x:v>28.536894</x:v>
      </x:c>
      <x:c r="P164" s="13" t="n">
        <x:v>77.187324</x:v>
      </x:c>
      <x:c r="Q164" s="2" t="str">
        <x:v>https://www.google.com/maps?q=28.536894,77.187324</x:v>
      </x:c>
      <x:c r="R164" s="2" t="str">
        <x:v>TEN-298147A4B3E2</x:v>
      </x:c>
      <x:c r="S164" s="12" t="str">
        <x:v>Flexible workspace / mixed businesses</x:v>
      </x:c>
      <x:c r="T164" s="12" t="str">
        <x:v>Tenant business-type estimates and reviewed company-scale context.</x:v>
      </x:c>
    </x:row>
    <x:row r="165" ht="64" customHeight="1">
      <x:c r="A165" s="10" t="n">
        <x:v>1</x:v>
      </x:c>
      <x:c r="B165" s="2" t="str">
        <x:v>CORP-0162</x:v>
      </x:c>
      <x:c r="C165" s="2" t="str">
        <x:v>Delhi NCR</x:v>
      </x:c>
      <x:c r="D165" s="2" t="str">
        <x:v>MSAS452J</x:v>
      </x:c>
      <x:c r="E165" s="12" t="str">
        <x:v>Corporate Park</x:v>
      </x:c>
      <x:c r="F165" s="12" t="str">
        <x:v>Sector 122</x:v>
      </x:c>
      <x:c r="G165" s="11" t="n">
        <x:v>2</x:v>
      </x:c>
      <x:c r="H165" s="2" t="str">
        <x:v>43 inch LED TV</x:v>
      </x:c>
      <x:c r="I165" s="12" t="str">
        <x:v>KritiKal Solutions; VoerEir India Private Limited; Rezo.AI; SourceFuse Technologies India; Magic FinServ</x:v>
      </x:c>
      <x:c r="J165" s="2" t="n">
        <x:v>5</x:v>
      </x:c>
      <x:c r="K165" s="12" t="str">
        <x:v>Inventory-listed building/workspace context; current occupancy and screen access unverified</x:v>
      </x:c>
      <x:c r="L165" s="12" t="str">
        <x:v>IT &amp; digital; Finance &amp; insurance; Engineering &amp; manufacturing</x:v>
      </x:c>
      <x:c r="M165" s="12" t="str">
        <x:v>Small-scale prospects; Medium-scale prospects</x:v>
      </x:c>
      <x:c r="N165" s="12" t="str">
        <x:v>MAIN-166</x:v>
      </x:c>
      <x:c r="O165" s="13"/>
      <x:c r="P165" s="13"/>
      <x:c r="Q165" s="2" t="str"/>
      <x:c r="R165" s="2" t="str">
        <x:v>TEN-722C60CE3D88; TEN-792911A1FF69; TEN-DCF9DC421B47; TEN-E4D518380716; TEN-F057355754F4</x:v>
      </x:c>
      <x:c r="S165" s="12" t="str">
        <x:v>Multi-tenant business offices</x:v>
      </x:c>
      <x:c r="T165" s="12" t="str">
        <x:v>Tenant business-type estimates and reviewed company-scale context.</x:v>
      </x:c>
    </x:row>
    <x:row r="166" ht="64" customHeight="1">
      <x:c r="A166" s="10" t="n">
        <x:v>1</x:v>
      </x:c>
      <x:c r="B166" s="2" t="str">
        <x:v>CORP-0163</x:v>
      </x:c>
      <x:c r="C166" s="2" t="str">
        <x:v>Delhi NCR</x:v>
      </x:c>
      <x:c r="D166" s="2" t="str">
        <x:v>MSCA4AB4</x:v>
      </x:c>
      <x:c r="E166" s="12" t="str">
        <x:v>Emaar Colonnade</x:v>
      </x:c>
      <x:c r="F166" s="12" t="str">
        <x:v>Sector 66</x:v>
      </x:c>
      <x:c r="G166" s="11" t="n">
        <x:v>5</x:v>
      </x:c>
      <x:c r="H166" s="2" t="str">
        <x:v>55 inch LED TV</x:v>
      </x:c>
      <x:c r="I166" s="12" t="str">
        <x:v>Reliance; Eldeco; Ekana; Sony; ICICI Lombard; Doorbhai</x:v>
      </x:c>
      <x:c r="J166" s="2" t="n">
        <x:v>6</x:v>
      </x:c>
      <x:c r="K166" s="12" t="str">
        <x:v>Inventory-listed building/workspace context; current occupancy and screen access unverified</x:v>
      </x:c>
      <x:c r="L166" s="12" t="str">
        <x:v>Finance &amp; insurance; Engineering &amp; manufacturing; Trade, consumer &amp; logistics; Unresolved</x:v>
      </x:c>
      <x:c r="M166" s="12" t="str">
        <x:v>Small-scale prospects; Large enterprise; Mixed business audience</x:v>
      </x:c>
      <x:c r="N166" s="12" t="str">
        <x:v>MAIN-167</x:v>
      </x:c>
      <x:c r="O166" s="13" t="n">
        <x:v>28.406205</x:v>
      </x:c>
      <x:c r="P166" s="13" t="n">
        <x:v>77.056604</x:v>
      </x:c>
      <x:c r="Q166" s="2" t="str">
        <x:v>https://www.google.com/maps?q=28.406205,77.056604</x:v>
      </x:c>
      <x:c r="R166" s="2" t="str">
        <x:v>TEN-0BF923F90AB2; TEN-20B144369BB5; TEN-3792C75A4225; TEN-587D392B6C76; TEN-597730F8975C; TEN-5CC2D9AD4311</x:v>
      </x:c>
      <x:c r="S166" s="12" t="str">
        <x:v>Mixed commercial workplace</x:v>
      </x:c>
      <x:c r="T166" s="12" t="str">
        <x:v>Tenant business-type estimates and reviewed company-scale context.</x:v>
      </x:c>
    </x:row>
    <x:row r="167" ht="64" customHeight="1">
      <x:c r="A167" s="10" t="n">
        <x:v>1</x:v>
      </x:c>
      <x:c r="B167" s="2" t="str">
        <x:v>CORP-0164</x:v>
      </x:c>
      <x:c r="C167" s="2" t="str">
        <x:v>Delhi NCR</x:v>
      </x:c>
      <x:c r="D167" s="2" t="str">
        <x:v>MSD6A5H7</x:v>
      </x:c>
      <x:c r="E167" s="12" t="str">
        <x:v>India Accelerator Coworking - BPTP Centra One</x:v>
      </x:c>
      <x:c r="F167" s="12" t="str">
        <x:v>Sector 61</x:v>
      </x:c>
      <x:c r="G167" s="11" t="n">
        <x:v>5</x:v>
      </x:c>
      <x:c r="H167" s="2" t="str">
        <x:v>55 inch LED TV</x:v>
      </x:c>
      <x:c r="I167" s="12" t="str">
        <x:v>RippleHR Global Consulting; Invest Plus Realty: Build Your Dreams; BAHALA GROUP; HONO (SequelOne Solutions Pvt.Ltd, India); ERA CASA PICASSO</x:v>
      </x:c>
      <x:c r="J167" s="2" t="n">
        <x:v>5</x:v>
      </x:c>
      <x:c r="K167" s="12" t="str">
        <x:v>Inventory-listed building/workspace context; current occupancy and screen access unverified</x:v>
      </x:c>
      <x:c r="L167" s="12" t="str">
        <x:v>IT &amp; digital; Professional services; Trade, consumer &amp; logistics; Unresolved</x:v>
      </x:c>
      <x:c r="M167" s="12" t="str">
        <x:v>Small-scale prospects; Mixed business audience</x:v>
      </x:c>
      <x:c r="N167" s="12" t="str">
        <x:v>MAIN-168</x:v>
      </x:c>
      <x:c r="O167" s="13" t="n">
        <x:v>28.4161319732666</x:v>
      </x:c>
      <x:c r="P167" s="13" t="n">
        <x:v>77.09305572509766</x:v>
      </x:c>
      <x:c r="Q167" s="2" t="str">
        <x:v>https://www.google.com/maps?q=28.4161319732666,77.09305572509766</x:v>
      </x:c>
      <x:c r="R167" s="2" t="str">
        <x:v>TEN-0DBD6055C8F3; TEN-477AA10EEFDA; TEN-64653706431C; TEN-79E64640C221; TEN-C852B4C0C245; TEN-EB14258F7152</x:v>
      </x:c>
      <x:c r="S167" s="12" t="str">
        <x:v>Flexible workspace / mixed businesses</x:v>
      </x:c>
      <x:c r="T167" s="12" t="str">
        <x:v>Tenant business-type estimates and reviewed company-scale context.</x:v>
      </x:c>
    </x:row>
    <x:row r="168" ht="64" customHeight="1">
      <x:c r="A168" s="10" t="n">
        <x:v>1</x:v>
      </x:c>
      <x:c r="B168" s="2" t="str">
        <x:v>CORP-0165</x:v>
      </x:c>
      <x:c r="C168" s="2" t="str">
        <x:v>Delhi NCR</x:v>
      </x:c>
      <x:c r="D168" s="2" t="str">
        <x:v>MS0GT2PQ</x:v>
      </x:c>
      <x:c r="E168" s="12" t="str">
        <x:v>Logix Cyber Park</x:v>
      </x:c>
      <x:c r="F168" s="12" t="str">
        <x:v>Sector 62</x:v>
      </x:c>
      <x:c r="G168" s="11" t="n">
        <x:v>15</x:v>
      </x:c>
      <x:c r="H168" s="2" t="str">
        <x:v>43 inch LED TV</x:v>
      </x:c>
      <x:c r="I168" s="12" t="str">
        <x:v>Akognos Life Sciences Pvt. Ltd; Inferrix Greentech Private Limited; IBA InfoTech Pvt. Ltd; MAssist CRM Software; Kanoon-e Law Firm; CodeVyasa; Siemens Advanta</x:v>
      </x:c>
      <x:c r="J168" s="2" t="n">
        <x:v>7</x:v>
      </x:c>
      <x:c r="K168" s="12" t="str">
        <x:v>Inventory-listed building/workspace context; current occupancy and screen access unverified</x:v>
      </x:c>
      <x:c r="L168" s="12" t="str">
        <x:v>IT &amp; digital; Professional services; Engineering &amp; manufacturing; Healthcare &amp; life sciences; Unresolved</x:v>
      </x:c>
      <x:c r="M168" s="12" t="str">
        <x:v>Small-scale prospects; Medium-scale prospects; Large enterprise; Mixed business audience</x:v>
      </x:c>
      <x:c r="N168" s="12" t="str">
        <x:v>MAIN-169</x:v>
      </x:c>
      <x:c r="O168" s="13" t="n">
        <x:v>28.6124324798584</x:v>
      </x:c>
      <x:c r="P168" s="13" t="n">
        <x:v>77.36554718017578</x:v>
      </x:c>
      <x:c r="Q168" s="2" t="str">
        <x:v>https://www.google.com/maps?q=28.6124324798584,77.36554718017578</x:v>
      </x:c>
      <x:c r="R168" s="2" t="str">
        <x:v>TEN-440DA864FC31; TEN-547E42BBB09E; TEN-59A3B078B07D; TEN-9ADCE18F8C92; TEN-A9AF929E65A2; TEN-B6EB7D8C755F; TEN-F9972B840FFF</x:v>
      </x:c>
      <x:c r="S168" s="12" t="str">
        <x:v>IT and enterprise campus</x:v>
      </x:c>
      <x:c r="T168" s="12" t="str">
        <x:v>Tenant business-type estimates and reviewed company-scale context.</x:v>
      </x:c>
    </x:row>
    <x:row r="169" ht="64" customHeight="1">
      <x:c r="A169" s="10" t="n">
        <x:v>1</x:v>
      </x:c>
      <x:c r="B169" s="2" t="str">
        <x:v>CORP-0166</x:v>
      </x:c>
      <x:c r="C169" s="2" t="str">
        <x:v>Delhi NCR</x:v>
      </x:c>
      <x:c r="D169" s="2" t="str">
        <x:v>MS1694FV</x:v>
      </x:c>
      <x:c r="E169" s="12" t="str">
        <x:v>Logix Infotech Park - 2</x:v>
      </x:c>
      <x:c r="F169" s="12" t="str">
        <x:v>Sector 26</x:v>
      </x:c>
      <x:c r="G169" s="11" t="n">
        <x:v>4</x:v>
      </x:c>
      <x:c r="H169" s="2" t="str">
        <x:v>32 inch LED TV</x:v>
      </x:c>
      <x:c r="I169" s="12" t="str"/>
      <x:c r="J169" s="2" t="n">
        <x:v>0</x:v>
      </x:c>
      <x:c r="K169" s="12" t="str">
        <x:v>Unresolved; no supported tenant names</x:v>
      </x:c>
      <x:c r="L169" s="12" t="str">
        <x:v>Unclassified</x:v>
      </x:c>
      <x:c r="M169" s="12" t="str">
        <x:v>Mixed business audience</x:v>
      </x:c>
      <x:c r="N169" s="12" t="str">
        <x:v>MAIN-170</x:v>
      </x:c>
      <x:c r="O169" s="13"/>
      <x:c r="P169" s="13"/>
      <x:c r="Q169" s="2" t="str"/>
      <x:c r="R169" s="2" t="str"/>
      <x:c r="S169" s="12" t="str">
        <x:v>Technology-oriented business offices</x:v>
      </x:c>
      <x:c r="T169" s="12" t="str">
        <x:v>Infotech Park naming supports a provisional technology-office environment; no safe exact match for suffix 2 and supplied Sector 26 was found. Public results predominantly identify Logix Infotech Park in Sector 59, not supplied Sector 26. Do not import those tenant lists.</x:v>
      </x:c>
    </x:row>
    <x:row r="170" ht="64" customHeight="1">
      <x:c r="A170" s="10" t="n">
        <x:v>1</x:v>
      </x:c>
      <x:c r="B170" s="2" t="str">
        <x:v>CORP-0167</x:v>
      </x:c>
      <x:c r="C170" s="2" t="str">
        <x:v>Delhi NCR</x:v>
      </x:c>
      <x:c r="D170" s="2" t="str">
        <x:v>MSZ48NST</x:v>
      </x:c>
      <x:c r="E170" s="12" t="str">
        <x:v>WeWork - Eldeco</x:v>
      </x:c>
      <x:c r="F170" s="12" t="str">
        <x:v>Malviya Nagar</x:v>
      </x:c>
      <x:c r="G170" s="11" t="n">
        <x:v>1</x:v>
      </x:c>
      <x:c r="H170" s="2" t="str">
        <x:v>43 inch LED TV</x:v>
      </x:c>
      <x:c r="I170" s="12" t="str">
        <x:v>Clove Dental</x:v>
      </x:c>
      <x:c r="J170" s="2" t="n">
        <x:v>1</x:v>
      </x:c>
      <x:c r="K170" s="12" t="str">
        <x:v>Inventory-listed building/workspace context; current occupancy and screen access unverified</x:v>
      </x:c>
      <x:c r="L170" s="12" t="str">
        <x:v>Healthcare &amp; life sciences</x:v>
      </x:c>
      <x:c r="M170" s="12" t="str">
        <x:v>Mixed business audience</x:v>
      </x:c>
      <x:c r="N170" s="12" t="str">
        <x:v>MAIN-171</x:v>
      </x:c>
      <x:c r="O170" s="13" t="n">
        <x:v>28.528833389282227</x:v>
      </x:c>
      <x:c r="P170" s="13" t="n">
        <x:v>77.20541381835938</x:v>
      </x:c>
      <x:c r="Q170" s="2" t="str">
        <x:v>https://www.google.com/maps?q=28.528833389282227,77.20541381835938</x:v>
      </x:c>
      <x:c r="R170" s="2" t="str">
        <x:v>TEN-522C7A456D3F</x:v>
      </x:c>
      <x:c r="S170" s="12" t="str">
        <x:v>Flexible workspace / mixed businesses</x:v>
      </x:c>
      <x:c r="T170" s="12" t="str">
        <x:v>Tenant business-type estimates and reviewed company-scale context.</x:v>
      </x:c>
    </x:row>
    <x:row r="171" ht="64" customHeight="1">
      <x:c r="A171" s="10" t="n">
        <x:v>1</x:v>
      </x:c>
      <x:c r="B171" s="2" t="str">
        <x:v>CORP-0168</x:v>
      </x:c>
      <x:c r="C171" s="2" t="str">
        <x:v>Delhi NCR</x:v>
      </x:c>
      <x:c r="D171" s="2" t="str">
        <x:v>MS92VJSJ</x:v>
      </x:c>
      <x:c r="E171" s="12" t="str">
        <x:v>Workflow by Oyo - Aerocity</x:v>
      </x:c>
      <x:c r="F171" s="12" t="str">
        <x:v>Aerocity</x:v>
      </x:c>
      <x:c r="G171" s="11" t="n">
        <x:v>3</x:v>
      </x:c>
      <x:c r="H171" s="2" t="str">
        <x:v>32 inch LED TV</x:v>
      </x:c>
      <x:c r="I171" s="12" t="str">
        <x:v>Benesse india Pvt Ltd; Skyhub aero Pvt.Ltd; August energy pvt.ltd; Hyperqube Ionic Pvt.Ltd; Metavasi energy Pvt.Ltd</x:v>
      </x:c>
      <x:c r="J171" s="2" t="n">
        <x:v>5</x:v>
      </x:c>
      <x:c r="K171" s="12" t="str">
        <x:v>Inventory-listed building/workspace context; current occupancy and screen access unverified</x:v>
      </x:c>
      <x:c r="L171" s="12" t="str">
        <x:v>Engineering &amp; manufacturing; Education; Unresolved</x:v>
      </x:c>
      <x:c r="M171" s="12" t="str">
        <x:v>Medium-scale prospects; Mixed business audience</x:v>
      </x:c>
      <x:c r="N171" s="12" t="str">
        <x:v>MAIN-172</x:v>
      </x:c>
      <x:c r="O171" s="13" t="n">
        <x:v>28.549797</x:v>
      </x:c>
      <x:c r="P171" s="13" t="n">
        <x:v>77.121154</x:v>
      </x:c>
      <x:c r="Q171" s="2" t="str">
        <x:v>https://www.google.com/maps?q=28.549797,77.121154</x:v>
      </x:c>
      <x:c r="R171" s="2" t="str">
        <x:v>TEN-4912FC070A64; TEN-60F4EF0E242B; TEN-690474F0C5B4; TEN-904E6EA13879; TEN-AD61C2989C09</x:v>
      </x:c>
      <x:c r="S171" s="12" t="str">
        <x:v>Mixed commercial workplace</x:v>
      </x:c>
      <x:c r="T171" s="12" t="str">
        <x:v>Tenant business-type estimates and reviewed company-scale context.</x:v>
      </x:c>
    </x:row>
    <x:row r="172" ht="64" customHeight="1">
      <x:c r="A172" s="10" t="n">
        <x:v>1</x:v>
      </x:c>
      <x:c r="B172" s="2" t="str">
        <x:v>CORP-0169</x:v>
      </x:c>
      <x:c r="C172" s="2" t="str">
        <x:v>Delhi NCR</x:v>
      </x:c>
      <x:c r="D172" s="2" t="str">
        <x:v>MSEJFCXA</x:v>
      </x:c>
      <x:c r="E172" s="12" t="str">
        <x:v>Workflow by Oyo - CP Regal</x:v>
      </x:c>
      <x:c r="F172" s="12" t="str">
        <x:v>Connaught Place</x:v>
      </x:c>
      <x:c r="G172" s="11" t="n">
        <x:v>1</x:v>
      </x:c>
      <x:c r="H172" s="2" t="str">
        <x:v>32 inch LED TV</x:v>
      </x:c>
      <x:c r="I172" s="12" t="str">
        <x:v>EduPristine; Dristee; Virkauf DMC; Bookmyartist; StudyReach</x:v>
      </x:c>
      <x:c r="J172" s="2" t="n">
        <x:v>5</x:v>
      </x:c>
      <x:c r="K172" s="12" t="str">
        <x:v>Inventory-listed building/workspace context; current occupancy and screen access unverified</x:v>
      </x:c>
      <x:c r="L172" s="12" t="str">
        <x:v>Education; Trade, consumer &amp; logistics; Unresolved</x:v>
      </x:c>
      <x:c r="M172" s="12" t="str">
        <x:v>Small-scale prospects; Mixed business audience</x:v>
      </x:c>
      <x:c r="N172" s="12" t="str">
        <x:v>MAIN-173</x:v>
      </x:c>
      <x:c r="O172" s="13" t="n">
        <x:v>28.630673</x:v>
      </x:c>
      <x:c r="P172" s="13" t="n">
        <x:v>77.213914</x:v>
      </x:c>
      <x:c r="Q172" s="2" t="str">
        <x:v>https://www.google.com/maps?q=28.630673,77.213914</x:v>
      </x:c>
      <x:c r="R172" s="2" t="str">
        <x:v>TEN-07032E5E2F11; TEN-4B3033162A43; TEN-83F49B1ECB34; TEN-B157654CDD7A; TEN-C388B75ED68D</x:v>
      </x:c>
      <x:c r="S172" s="12" t="str">
        <x:v>Mixed commercial workplace</x:v>
      </x:c>
      <x:c r="T172" s="12" t="str">
        <x:v>Tenant business-type estimates and reviewed company-scale context.</x:v>
      </x:c>
    </x:row>
    <x:row r="173" ht="64" customHeight="1">
      <x:c r="A173" s="10" t="n">
        <x:v>1</x:v>
      </x:c>
      <x:c r="B173" s="2" t="str">
        <x:v>CORP-0170</x:v>
      </x:c>
      <x:c r="C173" s="2" t="str">
        <x:v>Delhi NCR</x:v>
      </x:c>
      <x:c r="D173" s="2" t="str">
        <x:v>MSZH95MK</x:v>
      </x:c>
      <x:c r="E173" s="12" t="str">
        <x:v>Workflow by Oyo - CP2</x:v>
      </x:c>
      <x:c r="F173" s="12" t="str">
        <x:v>Connaught Place</x:v>
      </x:c>
      <x:c r="G173" s="11" t="n">
        <x:v>2</x:v>
      </x:c>
      <x:c r="H173" s="2" t="str">
        <x:v>32 inch LED TV</x:v>
      </x:c>
      <x:c r="I173" s="12" t="str">
        <x:v>Oyo Workspace (workspace operator inferred from property name; tenant occupants unconfirmed)</x:v>
      </x:c>
      <x:c r="J173" s="2" t="n">
        <x:v>1</x:v>
      </x:c>
      <x:c r="K173" s="12" t="str">
        <x:v>Workspace operator inferred from explicit property name; tenant occupants unconfirmed</x:v>
      </x:c>
      <x:c r="L173" s="12" t="str">
        <x:v>Workspace &amp; property operations</x:v>
      </x:c>
      <x:c r="M173" s="12" t="str">
        <x:v>Mixed business audience</x:v>
      </x:c>
      <x:c r="N173" s="12" t="str">
        <x:v>MAIN-174</x:v>
      </x:c>
      <x:c r="O173" s="13" t="n">
        <x:v>28.630673</x:v>
      </x:c>
      <x:c r="P173" s="13" t="n">
        <x:v>77.213914</x:v>
      </x:c>
      <x:c r="Q173" s="2" t="str">
        <x:v>https://www.google.com/maps?q=28.630673,77.213914</x:v>
      </x:c>
      <x:c r="R173" s="2" t="str">
        <x:v>TEN-3C6BC4EB7AAD</x:v>
      </x:c>
      <x:c r="S173" s="12" t="str">
        <x:v>Mixed commercial workplace</x:v>
      </x:c>
      <x:c r="T173" s="12" t="str">
        <x:v>Tenant business-type estimates and reviewed company-scale context.</x:v>
      </x:c>
    </x:row>
    <x:row r="174" ht="64" customHeight="1">
      <x:c r="A174" s="10" t="n">
        <x:v>1</x:v>
      </x:c>
      <x:c r="B174" s="2" t="str">
        <x:v>CORP-0171</x:v>
      </x:c>
      <x:c r="C174" s="2" t="str">
        <x:v>Delhi NCR</x:v>
      </x:c>
      <x:c r="D174" s="2" t="str">
        <x:v>MS05DCM5</x:v>
      </x:c>
      <x:c r="E174" s="12" t="str">
        <x:v>Workflow by Oyo - Old Fort Saket</x:v>
      </x:c>
      <x:c r="F174" s="12" t="str">
        <x:v>Pushp Vihar</x:v>
      </x:c>
      <x:c r="G174" s="11" t="n">
        <x:v>1</x:v>
      </x:c>
      <x:c r="H174" s="2" t="str">
        <x:v>32 inch LED TV</x:v>
      </x:c>
      <x:c r="I174" s="12" t="str">
        <x:v>Wozo Gaming pvt ltd; Transactree enterprises pvt ltd; Ionline ventures pvt ltd; Whitestone advisory services llp; Skyewave; Ifflair consulting private limited; Synapse value tech pvt ltd; Supergrowth investments pvt ltd; Voxo studios; Medhavi professional services pvt ltd</x:v>
      </x:c>
      <x:c r="J174" s="2" t="n">
        <x:v>10</x:v>
      </x:c>
      <x:c r="K174" s="12" t="str">
        <x:v>Inventory-listed building/workspace context; current occupancy and screen access unverified</x:v>
      </x:c>
      <x:c r="L174" s="12" t="str">
        <x:v>Professional services; Finance &amp; insurance; Trade, consumer &amp; logistics; Unresolved</x:v>
      </x:c>
      <x:c r="M174" s="12" t="str">
        <x:v>Small-scale prospects; Medium-scale prospects; Mixed business audience</x:v>
      </x:c>
      <x:c r="N174" s="12" t="str">
        <x:v>MAIN-175</x:v>
      </x:c>
      <x:c r="O174" s="13" t="n">
        <x:v>28.52902915</x:v>
      </x:c>
      <x:c r="P174" s="13" t="n">
        <x:v>77.2162008</x:v>
      </x:c>
      <x:c r="Q174" s="2" t="str">
        <x:v>https://www.google.com/maps?q=28.52902915,77.2162008</x:v>
      </x:c>
      <x:c r="R174" s="2" t="str">
        <x:v>TEN-05A1DC3C79FD; TEN-1555F6364F01; TEN-38D920B1B6A2; TEN-518A857F7FE9; TEN-52A6BDDA690D; TEN-53DE01F21DAB; TEN-5723C6F86E45; TEN-8566DAFA0898; TEN-BC80F75880B5; TEN-C023C86F4E67; TEN-E1DBFBBDFA3C</x:v>
      </x:c>
      <x:c r="S174" s="12" t="str">
        <x:v>Mixed commercial workplace</x:v>
      </x:c>
      <x:c r="T174" s="12" t="str">
        <x:v>Tenant business-type estimates and reviewed company-scale context.</x:v>
      </x:c>
    </x:row>
    <x:row r="175" ht="64" customHeight="1">
      <x:c r="A175" s="10" t="n">
        <x:v>1</x:v>
      </x:c>
      <x:c r="B175" s="2" t="str">
        <x:v>CORP-0172</x:v>
      </x:c>
      <x:c r="C175" s="2" t="str">
        <x:v>Delhi NCR</x:v>
      </x:c>
      <x:c r="D175" s="2" t="str">
        <x:v>MS0WE9VP</x:v>
      </x:c>
      <x:c r="E175" s="12" t="str">
        <x:v>Workflow by Oyo - RV Saket</x:v>
      </x:c>
      <x:c r="F175" s="12" t="str">
        <x:v>Pushp Vihar</x:v>
      </x:c>
      <x:c r="G175" s="11" t="n">
        <x:v>1</x:v>
      </x:c>
      <x:c r="H175" s="2" t="str">
        <x:v>32 inch LED TV</x:v>
      </x:c>
      <x:c r="I175" s="12" t="str">
        <x:v>Oyo Workspace (workspace operator inferred from property name; tenant occupants unconfirmed)</x:v>
      </x:c>
      <x:c r="J175" s="2" t="n">
        <x:v>1</x:v>
      </x:c>
      <x:c r="K175" s="12" t="str">
        <x:v>Workspace operator inferred from explicit property name; tenant occupants unconfirmed</x:v>
      </x:c>
      <x:c r="L175" s="12" t="str">
        <x:v>Workspace &amp; property operations</x:v>
      </x:c>
      <x:c r="M175" s="12" t="str">
        <x:v>Mixed business audience</x:v>
      </x:c>
      <x:c r="N175" s="12" t="str">
        <x:v>MAIN-176</x:v>
      </x:c>
      <x:c r="O175" s="13" t="n">
        <x:v>28.52783</x:v>
      </x:c>
      <x:c r="P175" s="13" t="n">
        <x:v>77.217587</x:v>
      </x:c>
      <x:c r="Q175" s="2" t="str">
        <x:v>https://www.google.com/maps?q=28.52783,77.217587</x:v>
      </x:c>
      <x:c r="R175" s="2" t="str">
        <x:v>TEN-3C6BC4EB7AAD</x:v>
      </x:c>
      <x:c r="S175" s="12" t="str">
        <x:v>Mixed commercial workplace</x:v>
      </x:c>
      <x:c r="T175" s="12" t="str">
        <x:v>Tenant business-type estimates and reviewed company-scale context.</x:v>
      </x:c>
    </x:row>
    <x:row r="176" ht="64" customHeight="1">
      <x:c r="A176" s="10" t="n">
        <x:v>1</x:v>
      </x:c>
      <x:c r="B176" s="2" t="str">
        <x:v>CORP-0173</x:v>
      </x:c>
      <x:c r="C176" s="2" t="str">
        <x:v>Delhi NCR</x:v>
      </x:c>
      <x:c r="D176" s="2" t="str">
        <x:v>MSD8HEFV</x:v>
      </x:c>
      <x:c r="E176" s="12" t="str">
        <x:v>Worldmark 4</x:v>
      </x:c>
      <x:c r="F176" s="12" t="str">
        <x:v>RK Puram</x:v>
      </x:c>
      <x:c r="G176" s="11" t="n">
        <x:v>1</x:v>
      </x:c>
      <x:c r="H176" s="2" t="str">
        <x:v>55 inch LED TV</x:v>
      </x:c>
      <x:c r="I176" s="12" t="str"/>
      <x:c r="J176" s="2" t="n">
        <x:v>0</x:v>
      </x:c>
      <x:c r="K176" s="12" t="str">
        <x:v>Unresolved; no supported tenant names</x:v>
      </x:c>
      <x:c r="L176" s="12" t="str">
        <x:v>Unclassified</x:v>
      </x:c>
      <x:c r="M176" s="12" t="str">
        <x:v>Mixed business audience</x:v>
      </x:c>
      <x:c r="N176" s="12" t="str">
        <x:v>MAIN-177</x:v>
      </x:c>
      <x:c r="O176" s="13" t="n">
        <x:v>28.548999786376953</x:v>
      </x:c>
      <x:c r="P176" s="13" t="n">
        <x:v>77.12332916259766</x:v>
      </x:c>
      <x:c r="Q176" s="2" t="str">
        <x:v>https://www.google.com/maps?q=28.548999786376953,77.12332916259766</x:v>
      </x:c>
      <x:c r="R176" s="2" t="str"/>
      <x:c r="S176" s="12" t="str">
        <x:v>Enterprise office district</x:v>
      </x:c>
      <x:c r="T176" s="12" t="str">
        <x:v>Bharti describes 4 Worldmark at Aerocity as approximately 1.05 million sq ft of offices designed for enterprises at scale. Raw locality RK Puram conflicts with official Aerocity address. No current occupant identities established.</x:v>
      </x:c>
    </x:row>
    <x:row r="177" ht="64" customHeight="1">
      <x:c r="A177" s="10" t="n">
        <x:v>1</x:v>
      </x:c>
      <x:c r="B177" s="2" t="str">
        <x:v>CORP-0174</x:v>
      </x:c>
      <x:c r="C177" s="2" t="str">
        <x:v>Delhi NCR</x:v>
      </x:c>
      <x:c r="D177" s="2" t="str">
        <x:v>MSY6WSM1</x:v>
      </x:c>
      <x:c r="E177" s="12" t="str">
        <x:v>Atrium Spaces</x:v>
      </x:c>
      <x:c r="F177" s="12" t="str">
        <x:v>Sector 18</x:v>
      </x:c>
      <x:c r="G177" s="11" t="n">
        <x:v>1</x:v>
      </x:c>
      <x:c r="H177" s="2" t="str">
        <x:v>55 inch LED TV</x:v>
      </x:c>
      <x:c r="I177" s="12" t="str"/>
      <x:c r="J177" s="2" t="n">
        <x:v>0</x:v>
      </x:c>
      <x:c r="K177" s="12" t="str">
        <x:v>Unresolved; no supported tenant names</x:v>
      </x:c>
      <x:c r="L177" s="12" t="str">
        <x:v>Unclassified</x:v>
      </x:c>
      <x:c r="M177" s="12" t="str">
        <x:v>Mixed business audience</x:v>
      </x:c>
      <x:c r="N177" s="12" t="str">
        <x:v>MAIN-178</x:v>
      </x:c>
      <x:c r="O177" s="13" t="n">
        <x:v>28.50200653076172</x:v>
      </x:c>
      <x:c r="P177" s="13" t="n">
        <x:v>77.08491516113281</x:v>
      </x:c>
      <x:c r="Q177" s="2" t="str">
        <x:v>https://www.google.com/maps?q=28.50200653076172,77.08491516113281</x:v>
      </x:c>
      <x:c r="R177" s="2" t="str"/>
      <x:c r="S177" s="12" t="str">
        <x:v>General business offices</x:v>
      </x:c>
      <x:c r="T177" s="12" t="str">
        <x:v>The supplied corporate inventory names Atrium Spaces. A DLF Atrium Place campus exists in Udyog Vihar, but identity is not conclusive. Do not rename Atrium Spaces as Atrium Place or assign DLF campus occupants. Use generic office context until exact property identity is established.</x:v>
      </x:c>
    </x:row>
    <x:row r="178" ht="64" customHeight="1">
      <x:c r="A178" s="10" t="n">
        <x:v>1</x:v>
      </x:c>
      <x:c r="B178" s="2" t="str">
        <x:v>CORP-0175</x:v>
      </x:c>
      <x:c r="C178" s="2" t="str">
        <x:v>Delhi NCR</x:v>
      </x:c>
      <x:c r="D178" s="2" t="str">
        <x:v>MS0WA2TR</x:v>
      </x:c>
      <x:c r="E178" s="12" t="str">
        <x:v>Awfis - Ambience Mall</x:v>
      </x:c>
      <x:c r="F178" s="12" t="str">
        <x:v>Ambience Island, NH 48</x:v>
      </x:c>
      <x:c r="G178" s="11" t="n">
        <x:v>3</x:v>
      </x:c>
      <x:c r="H178" s="2" t="str">
        <x:v>32 inch LED TV</x:v>
      </x:c>
      <x:c r="I178" s="12" t="str">
        <x:v>Burda Media India Pvt. Ltd; Procloz</x:v>
      </x:c>
      <x:c r="J178" s="2" t="n">
        <x:v>2</x:v>
      </x:c>
      <x:c r="K178" s="12" t="str">
        <x:v>Inventory-listed building/workspace context; current occupancy and screen access unverified</x:v>
      </x:c>
      <x:c r="L178" s="12" t="str">
        <x:v>Trade, consumer &amp; logistics; Unresolved</x:v>
      </x:c>
      <x:c r="M178" s="12" t="str">
        <x:v>Mixed business audience</x:v>
      </x:c>
      <x:c r="N178" s="12" t="str">
        <x:v>MAIN-179</x:v>
      </x:c>
      <x:c r="O178" s="13" t="n">
        <x:v>28.50251131</x:v>
      </x:c>
      <x:c r="P178" s="13" t="n">
        <x:v>77.09739055</x:v>
      </x:c>
      <x:c r="Q178" s="2" t="str">
        <x:v>https://www.google.com/maps?q=28.50251131,77.09739055</x:v>
      </x:c>
      <x:c r="R178" s="2" t="str">
        <x:v>TEN-3BF12FCD804F; TEN-987385221605</x:v>
      </x:c>
      <x:c r="S178" s="12" t="str">
        <x:v>Flexible workspace / mixed businesses</x:v>
      </x:c>
      <x:c r="T178" s="12" t="str">
        <x:v>Tenant business-type estimates and reviewed company-scale context.</x:v>
      </x:c>
    </x:row>
    <x:row r="179" ht="64" customHeight="1">
      <x:c r="A179" s="10" t="n">
        <x:v>1</x:v>
      </x:c>
      <x:c r="B179" s="2" t="str">
        <x:v>CORP-0176</x:v>
      </x:c>
      <x:c r="C179" s="2" t="str">
        <x:v>Delhi NCR</x:v>
      </x:c>
      <x:c r="D179" s="2" t="str">
        <x:v>MSYTT6CA</x:v>
      </x:c>
      <x:c r="E179" s="12" t="str">
        <x:v>Awfis - Paras Trinity</x:v>
      </x:c>
      <x:c r="F179" s="12" t="str">
        <x:v>Sector-63</x:v>
      </x:c>
      <x:c r="G179" s="11" t="n">
        <x:v>3</x:v>
      </x:c>
      <x:c r="H179" s="2" t="str">
        <x:v>32 inch LED TV</x:v>
      </x:c>
      <x:c r="I179" s="12" t="str">
        <x:v>asuku India Pvt Ltd; Sportiva lifestyle pvt ltd; imentor; tech connect; GODREJ INFOTECH; practo; Six Red Marbles</x:v>
      </x:c>
      <x:c r="J179" s="2" t="n">
        <x:v>7</x:v>
      </x:c>
      <x:c r="K179" s="12" t="str">
        <x:v>Campus/portfolio roster; individual building occupancy unverified</x:v>
      </x:c>
      <x:c r="L179" s="12" t="str">
        <x:v>IT &amp; digital; Healthcare &amp; life sciences; Education; Trade, consumer &amp; logistics; Unresolved</x:v>
      </x:c>
      <x:c r="M179" s="12" t="str">
        <x:v>Small-scale prospects; Mixed business audience</x:v>
      </x:c>
      <x:c r="N179" s="12" t="str">
        <x:v>MAIN-180</x:v>
      </x:c>
      <x:c r="O179" s="13" t="n">
        <x:v>28.401274</x:v>
      </x:c>
      <x:c r="P179" s="13" t="n">
        <x:v>77.091767</x:v>
      </x:c>
      <x:c r="Q179" s="2" t="str">
        <x:v>https://www.google.com/maps?q=28.401274,77.091767</x:v>
      </x:c>
      <x:c r="R179" s="2" t="str">
        <x:v>TEN-069C6A580D35; TEN-2AD8BDD748C5; TEN-3DDDC2C575B6; TEN-7BE11149A114; TEN-A462520BC920; TEN-E9EBDCC61F12; TEN-F66746C19057</x:v>
      </x:c>
      <x:c r="S179" s="12" t="str">
        <x:v>Flexible workspace / mixed businesses</x:v>
      </x:c>
      <x:c r="T179" s="12" t="str">
        <x:v>Tenant business-type estimates and reviewed company-scale context.</x:v>
      </x:c>
    </x:row>
    <x:row r="180" ht="64" customHeight="1">
      <x:c r="A180" s="10" t="n">
        <x:v>1</x:v>
      </x:c>
      <x:c r="B180" s="2" t="str">
        <x:v>CORP-0177</x:v>
      </x:c>
      <x:c r="C180" s="2" t="str">
        <x:v>Delhi NCR</x:v>
      </x:c>
      <x:c r="D180" s="2" t="str">
        <x:v>MS1WYF4B</x:v>
      </x:c>
      <x:c r="E180" s="12" t="str">
        <x:v>Awfis - Suncity Success Tower</x:v>
      </x:c>
      <x:c r="F180" s="12" t="str">
        <x:v>Sector 65</x:v>
      </x:c>
      <x:c r="G180" s="11" t="n">
        <x:v>2</x:v>
      </x:c>
      <x:c r="H180" s="2" t="str">
        <x:v>32 inch LED TV</x:v>
      </x:c>
      <x:c r="I180" s="12" t="str">
        <x:v>ADFI digital pvt ltd; Finzoom investment advisors pvt ltd; INDmoney pvt ltd</x:v>
      </x:c>
      <x:c r="J180" s="2" t="n">
        <x:v>3</x:v>
      </x:c>
      <x:c r="K180" s="12" t="str">
        <x:v>Inventory-listed building/workspace context; current occupancy and screen access unverified</x:v>
      </x:c>
      <x:c r="L180" s="12" t="str">
        <x:v>IT &amp; digital; Finance &amp; insurance</x:v>
      </x:c>
      <x:c r="M180" s="12" t="str">
        <x:v>Small-scale prospects; Medium-scale prospects</x:v>
      </x:c>
      <x:c r="N180" s="12" t="str">
        <x:v>MAIN-181</x:v>
      </x:c>
      <x:c r="O180" s="13" t="n">
        <x:v>28.408963</x:v>
      </x:c>
      <x:c r="P180" s="13" t="n">
        <x:v>77.070567</x:v>
      </x:c>
      <x:c r="Q180" s="2" t="str">
        <x:v>https://www.google.com/maps?q=28.408963,77.070567</x:v>
      </x:c>
      <x:c r="R180" s="2" t="str">
        <x:v>TEN-9FE870D6A369; TEN-B44EF163E1EE; TEN-ED4013670945</x:v>
      </x:c>
      <x:c r="S180" s="12" t="str">
        <x:v>Flexible workspace / mixed businesses</x:v>
      </x:c>
      <x:c r="T180" s="12" t="str">
        <x:v>Tenant business-type estimates and reviewed company-scale context.</x:v>
      </x:c>
    </x:row>
    <x:row r="181" ht="75" customHeight="1">
      <x:c r="A181" s="10" t="n">
        <x:v>1</x:v>
      </x:c>
      <x:c r="B181" s="2" t="str">
        <x:v>CORP-0178</x:v>
      </x:c>
      <x:c r="C181" s="2" t="str">
        <x:v>Delhi NCR</x:v>
      </x:c>
      <x:c r="D181" s="2" t="str">
        <x:v>MSZTPY8H</x:v>
      </x:c>
      <x:c r="E181" s="12" t="str">
        <x:v>Awfis - Unitech Cyber Park - 2</x:v>
      </x:c>
      <x:c r="F181" s="12" t="str">
        <x:v>Durga Colony, Sector-40</x:v>
      </x:c>
      <x:c r="G181" s="11" t="n">
        <x:v>2</x:v>
      </x:c>
      <x:c r="H181" s="2" t="str">
        <x:v>32 inch LED TV</x:v>
      </x:c>
      <x:c r="I181" s="12" t="str">
        <x:v>amantyatechnology pvt ltd; Sato argox india pvt ltd; AZB patners; ultra commercia; regus business centre; Xoriant Solutions Pvt Ltd; archer and bullet; Pariwar finance; Make positive provar pvt ltd; Martwork; passion gaming</x:v>
      </x:c>
      <x:c r="J181" s="2" t="n">
        <x:v>11</x:v>
      </x:c>
      <x:c r="K181" s="12" t="str">
        <x:v>Inventory-listed building/workspace context; current occupancy and screen access unverified</x:v>
      </x:c>
      <x:c r="L181" s="12" t="str">
        <x:v>IT &amp; digital; Professional services; Finance &amp; insurance; Engineering &amp; manufacturing; Trade, consumer &amp; logistics; Workspace &amp; property operations; Unresolved</x:v>
      </x:c>
      <x:c r="M181" s="12" t="str">
        <x:v>Small-scale prospects; Medium-scale prospects; Large enterprise; Mixed business audience</x:v>
      </x:c>
      <x:c r="N181" s="12" t="str">
        <x:v>MAIN-182</x:v>
      </x:c>
      <x:c r="O181" s="13" t="n">
        <x:v>28.444673</x:v>
      </x:c>
      <x:c r="P181" s="13" t="n">
        <x:v>77.057911</x:v>
      </x:c>
      <x:c r="Q181" s="2" t="str">
        <x:v>https://www.google.com/maps?q=28.444673,77.057911</x:v>
      </x:c>
      <x:c r="R181" s="2" t="str">
        <x:v>TEN-0AFDD9743E82; TEN-0E22A9EB7739; TEN-408FF4FBBE84; TEN-75FBE0ACF96A; TEN-845E172C9D1B; TEN-A509A9AAC287; TEN-C848A0DACEA1; TEN-CE212CD84140; TEN-D1645981CBCA; TEN-E7005D82FDA9; TEN-F0D786C6413F</x:v>
      </x:c>
      <x:c r="S181" s="12" t="str">
        <x:v>Flexible workspace / mixed businesses</x:v>
      </x:c>
      <x:c r="T181" s="12" t="str">
        <x:v>Tenant business-type estimates and reviewed company-scale context.</x:v>
      </x:c>
    </x:row>
    <x:row r="182" ht="64" customHeight="1">
      <x:c r="A182" s="10" t="n">
        <x:v>1</x:v>
      </x:c>
      <x:c r="B182" s="2" t="str">
        <x:v>CORP-0179</x:v>
      </x:c>
      <x:c r="C182" s="2" t="str">
        <x:v>Delhi NCR</x:v>
      </x:c>
      <x:c r="D182" s="2" t="str">
        <x:v>MSWWFWVM</x:v>
      </x:c>
      <x:c r="E182" s="12" t="str">
        <x:v>Centrum Plaza</x:v>
      </x:c>
      <x:c r="F182" s="12" t="str">
        <x:v>Sector 49</x:v>
      </x:c>
      <x:c r="G182" s="11" t="n">
        <x:v>1</x:v>
      </x:c>
      <x:c r="H182" s="2" t="str">
        <x:v>32 inch LED TV</x:v>
      </x:c>
      <x:c r="I182" s="12" t="str">
        <x:v>FC Fettle Crave; Homeseek Realtors; MoreTasks; One Gloge; Nissin ABC Logistics Pvt. LTD; Graphica Printing Store; Elefo Biotech Private Limited; Unicharm India Private Limited</x:v>
      </x:c>
      <x:c r="J182" s="2" t="n">
        <x:v>8</x:v>
      </x:c>
      <x:c r="K182" s="12" t="str">
        <x:v>Inventory-listed building/workspace context; current occupancy and screen access unverified</x:v>
      </x:c>
      <x:c r="L182" s="12" t="str">
        <x:v>Healthcare &amp; life sciences; Trade, consumer &amp; logistics; Unresolved</x:v>
      </x:c>
      <x:c r="M182" s="12" t="str">
        <x:v>Small-scale prospects; Medium-scale prospects; Mixed business audience</x:v>
      </x:c>
      <x:c r="N182" s="12" t="str">
        <x:v>MAIN-183</x:v>
      </x:c>
      <x:c r="O182" s="13"/>
      <x:c r="P182" s="13"/>
      <x:c r="Q182" s="2" t="str"/>
      <x:c r="R182" s="2" t="str">
        <x:v>TEN-44D64AA6DF29; TEN-48EAF2D3C920; TEN-6E91D3983FD3; TEN-7308931D8DAC; TEN-9EA031381EA9; TEN-BBE9B7C570D7; TEN-CCBC3D20E8CE; TEN-FF527D28FF82</x:v>
      </x:c>
      <x:c r="S182" s="12" t="str">
        <x:v>Multi-tenant business offices</x:v>
      </x:c>
      <x:c r="T182" s="12" t="str">
        <x:v>Tenant business-type estimates and reviewed company-scale context.</x:v>
      </x:c>
    </x:row>
    <x:row r="183" ht="64" customHeight="1">
      <x:c r="A183" s="10" t="n">
        <x:v>1</x:v>
      </x:c>
      <x:c r="B183" s="2" t="str">
        <x:v>CORP-0180</x:v>
      </x:c>
      <x:c r="C183" s="2" t="str">
        <x:v>Delhi NCR</x:v>
      </x:c>
      <x:c r="D183" s="2" t="str">
        <x:v>MSWWFWVM</x:v>
      </x:c>
      <x:c r="E183" s="12" t="str">
        <x:v>Centrum Plaza</x:v>
      </x:c>
      <x:c r="F183" s="12" t="str">
        <x:v>Sector 49</x:v>
      </x:c>
      <x:c r="G183" s="11" t="n">
        <x:v>3</x:v>
      </x:c>
      <x:c r="H183" s="2" t="str">
        <x:v>43 inch LED TV</x:v>
      </x:c>
      <x:c r="I183" s="12" t="str">
        <x:v>FC Fettle Crave; Homeseek Realtors; MoreTasks; One Gloge; Nissin ABC Logistics Pvt. LTD; Graphica Printing Store; Elefo Biotech Private Limited; Unicharm India Private Limited</x:v>
      </x:c>
      <x:c r="J183" s="2" t="n">
        <x:v>8</x:v>
      </x:c>
      <x:c r="K183" s="12" t="str">
        <x:v>Inventory-listed building/workspace context; current occupancy and screen access unverified</x:v>
      </x:c>
      <x:c r="L183" s="12" t="str">
        <x:v>Healthcare &amp; life sciences; Trade, consumer &amp; logistics; Unresolved</x:v>
      </x:c>
      <x:c r="M183" s="12" t="str">
        <x:v>Small-scale prospects; Medium-scale prospects; Mixed business audience</x:v>
      </x:c>
      <x:c r="N183" s="12" t="str">
        <x:v>MAIN-184</x:v>
      </x:c>
      <x:c r="O183" s="13"/>
      <x:c r="P183" s="13"/>
      <x:c r="Q183" s="2" t="str"/>
      <x:c r="R183" s="2" t="str">
        <x:v>TEN-44D64AA6DF29; TEN-48EAF2D3C920; TEN-6E91D3983FD3; TEN-7308931D8DAC; TEN-9EA031381EA9; TEN-BBE9B7C570D7; TEN-CCBC3D20E8CE; TEN-FF527D28FF82</x:v>
      </x:c>
      <x:c r="S183" s="12" t="str">
        <x:v>Multi-tenant business offices</x:v>
      </x:c>
      <x:c r="T183" s="12" t="str">
        <x:v>Tenant business-type estimates and reviewed company-scale context.</x:v>
      </x:c>
    </x:row>
    <x:row r="184" ht="64" customHeight="1">
      <x:c r="A184" s="10" t="n">
        <x:v>1</x:v>
      </x:c>
      <x:c r="B184" s="2" t="str">
        <x:v>CORP-0181</x:v>
      </x:c>
      <x:c r="C184" s="2" t="str">
        <x:v>Delhi NCR</x:v>
      </x:c>
      <x:c r="D184" s="2" t="str">
        <x:v>MSSE4MG8</x:v>
      </x:c>
      <x:c r="E184" s="12" t="str">
        <x:v>DLF Cyber City Building 8</x:v>
      </x:c>
      <x:c r="F184" s="12" t="str">
        <x:v>DLF Phase 3</x:v>
      </x:c>
      <x:c r="G184" s="11" t="n">
        <x:v>2</x:v>
      </x:c>
      <x:c r="H184" s="2" t="str">
        <x:v>55 inch LED TV</x:v>
      </x:c>
      <x:c r="I184" s="12" t="str"/>
      <x:c r="J184" s="2" t="n">
        <x:v>0</x:v>
      </x:c>
      <x:c r="K184" s="12" t="str">
        <x:v>Unresolved; no supported tenant names</x:v>
      </x:c>
      <x:c r="L184" s="12" t="str">
        <x:v>Unclassified</x:v>
      </x:c>
      <x:c r="M184" s="12" t="str">
        <x:v>Mixed business audience</x:v>
      </x:c>
      <x:c r="N184" s="12" t="str">
        <x:v>MAIN-185</x:v>
      </x:c>
      <x:c r="O184" s="13" t="n">
        <x:v>28.49506378173828</x:v>
      </x:c>
      <x:c r="P184" s="13" t="n">
        <x:v>77.08914184570312</x:v>
      </x:c>
      <x:c r="Q184" s="2" t="str">
        <x:v>https://www.google.com/maps?q=28.49506378173828,77.08914184570312</x:v>
      </x:c>
      <x:c r="R184" s="2" t="str"/>
      <x:c r="S184" s="12" t="str">
        <x:v>Enterprise office campus</x:v>
      </x:c>
      <x:c r="T184" s="12" t="str">
        <x:v>DLF official compliance documents explicitly list Cyber City Building 8 and Building 10 as separate commercial buildings. No building-specific tenant or sector mix inferred from the wider Cyber City brand.</x:v>
      </x:c>
    </x:row>
    <x:row r="185" ht="64" customHeight="1">
      <x:c r="A185" s="10" t="n">
        <x:v>1</x:v>
      </x:c>
      <x:c r="B185" s="2" t="str">
        <x:v>CORP-0182</x:v>
      </x:c>
      <x:c r="C185" s="2" t="str">
        <x:v>Delhi NCR</x:v>
      </x:c>
      <x:c r="D185" s="2" t="str">
        <x:v>MSDGS582</x:v>
      </x:c>
      <x:c r="E185" s="12" t="str">
        <x:v>DLF Cyber City Building 10</x:v>
      </x:c>
      <x:c r="F185" s="12" t="str">
        <x:v>DLF Phase 3</x:v>
      </x:c>
      <x:c r="G185" s="11" t="n">
        <x:v>3</x:v>
      </x:c>
      <x:c r="H185" s="2" t="str">
        <x:v>55 inch LED TV</x:v>
      </x:c>
      <x:c r="I185" s="12" t="str"/>
      <x:c r="J185" s="2" t="n">
        <x:v>0</x:v>
      </x:c>
      <x:c r="K185" s="12" t="str">
        <x:v>Unresolved; no supported tenant names</x:v>
      </x:c>
      <x:c r="L185" s="12" t="str">
        <x:v>Unclassified</x:v>
      </x:c>
      <x:c r="M185" s="12" t="str">
        <x:v>Mixed business audience</x:v>
      </x:c>
      <x:c r="N185" s="12" t="str">
        <x:v>MAIN-186</x:v>
      </x:c>
      <x:c r="O185" s="13" t="n">
        <x:v>28.496782302856445</x:v>
      </x:c>
      <x:c r="P185" s="13" t="n">
        <x:v>77.09459686279297</x:v>
      </x:c>
      <x:c r="Q185" s="2" t="str">
        <x:v>https://www.google.com/maps?q=28.496782302856445,77.09459686279297</x:v>
      </x:c>
      <x:c r="R185" s="2" t="str"/>
      <x:c r="S185" s="12" t="str">
        <x:v>Enterprise office campus</x:v>
      </x:c>
      <x:c r="T185" s="12" t="str">
        <x:v>DLF official compliance documents explicitly list Cyber City Building 8 and Building 10 as separate commercial buildings. No building-specific tenant or sector mix inferred from the wider Cyber City brand.</x:v>
      </x:c>
    </x:row>
    <x:row r="186" ht="64" customHeight="1">
      <x:c r="A186" s="10" t="n">
        <x:v>1</x:v>
      </x:c>
      <x:c r="B186" s="2" t="str">
        <x:v>CORP-0183</x:v>
      </x:c>
      <x:c r="C186" s="2" t="str">
        <x:v>Delhi NCR</x:v>
      </x:c>
      <x:c r="D186" s="2" t="str">
        <x:v>MS0Q6ZCB</x:v>
      </x:c>
      <x:c r="E186" s="12" t="str">
        <x:v>DLF Downtown 4</x:v>
      </x:c>
      <x:c r="F186" s="12" t="str">
        <x:v>DLF Phase 3</x:v>
      </x:c>
      <x:c r="G186" s="11" t="n">
        <x:v>1</x:v>
      </x:c>
      <x:c r="H186" s="2" t="str">
        <x:v>55 inch LED TV</x:v>
      </x:c>
      <x:c r="I186" s="12" t="str">
        <x:v>Zenatix</x:v>
      </x:c>
      <x:c r="J186" s="2" t="n">
        <x:v>1</x:v>
      </x:c>
      <x:c r="K186" s="12" t="str">
        <x:v>Company-listed building/campus context; workspace membership and screen access unverified</x:v>
      </x:c>
      <x:c r="L186" s="12" t="str">
        <x:v>Engineering &amp; manufacturing</x:v>
      </x:c>
      <x:c r="M186" s="12" t="str">
        <x:v>Medium-scale prospects</x:v>
      </x:c>
      <x:c r="N186" s="12" t="str">
        <x:v>MAIN-187</x:v>
      </x:c>
      <x:c r="O186" s="13" t="n">
        <x:v>28.494380950927734</x:v>
      </x:c>
      <x:c r="P186" s="13" t="n">
        <x:v>77.09992218017578</x:v>
      </x:c>
      <x:c r="Q186" s="2" t="str">
        <x:v>https://www.google.com/maps?q=28.494380950927734,77.09992218017578</x:v>
      </x:c>
      <x:c r="R186" s="2" t="str">
        <x:v>TEN-4607AC0710AC</x:v>
      </x:c>
      <x:c r="S186" s="12" t="str">
        <x:v>Mixed commercial workplace</x:v>
      </x:c>
      <x:c r="T186" s="12" t="str">
        <x:v>Tenant business-type estimates and reviewed company-scale context.</x:v>
      </x:c>
    </x:row>
    <x:row r="187" ht="64" customHeight="1">
      <x:c r="A187" s="10" t="n">
        <x:v>1</x:v>
      </x:c>
      <x:c r="B187" s="2" t="str">
        <x:v>CORP-0184</x:v>
      </x:c>
      <x:c r="C187" s="2" t="str">
        <x:v>Delhi NCR</x:v>
      </x:c>
      <x:c r="D187" s="2" t="str">
        <x:v>MSAW07RP</x:v>
      </x:c>
      <x:c r="E187" s="12" t="str">
        <x:v>DLF Two Horizon Center</x:v>
      </x:c>
      <x:c r="F187" s="12" t="str">
        <x:v>DLF Phase 1</x:v>
      </x:c>
      <x:c r="G187" s="11" t="n">
        <x:v>2</x:v>
      </x:c>
      <x:c r="H187" s="2" t="str">
        <x:v>55 inch LED TV</x:v>
      </x:c>
      <x:c r="I187" s="12" t="str"/>
      <x:c r="J187" s="2" t="n">
        <x:v>0</x:v>
      </x:c>
      <x:c r="K187" s="12" t="str">
        <x:v>Unresolved; no supported tenant names</x:v>
      </x:c>
      <x:c r="L187" s="12" t="str">
        <x:v>Unclassified</x:v>
      </x:c>
      <x:c r="M187" s="12" t="str">
        <x:v>Mixed business audience</x:v>
      </x:c>
      <x:c r="N187" s="12" t="str">
        <x:v>MAIN-188</x:v>
      </x:c>
      <x:c r="O187" s="13" t="n">
        <x:v>28.47634506225586</x:v>
      </x:c>
      <x:c r="P187" s="13" t="n">
        <x:v>77.09313201904297</x:v>
      </x:c>
      <x:c r="Q187" s="2" t="str">
        <x:v>https://www.google.com/maps?q=28.47634506225586,77.09313201904297</x:v>
      </x:c>
      <x:c r="R187" s="2" t="str"/>
      <x:c r="S187" s="12" t="str">
        <x:v>Premium business tower</x:v>
      </x:c>
      <x:c r="T187" s="12" t="str">
        <x:v>DLF describes Two Horizon Center on Golf Course Road as a 1.17 million sq ft office property for business leaders. Business format scale, not verified employer turnover, investment or employee seniority.</x:v>
      </x:c>
    </x:row>
    <x:row r="188" ht="64" customHeight="1">
      <x:c r="A188" s="10" t="n">
        <x:v>1</x:v>
      </x:c>
      <x:c r="B188" s="2" t="str">
        <x:v>CORP-0185</x:v>
      </x:c>
      <x:c r="C188" s="2" t="str">
        <x:v>Delhi NCR</x:v>
      </x:c>
      <x:c r="D188" s="2" t="str">
        <x:v>MSW52EMH</x:v>
      </x:c>
      <x:c r="E188" s="12" t="str">
        <x:v>Global Gateway</x:v>
      </x:c>
      <x:c r="F188" s="12" t="str">
        <x:v>MG Road</x:v>
      </x:c>
      <x:c r="G188" s="11" t="n">
        <x:v>1</x:v>
      </x:c>
      <x:c r="H188" s="2" t="str">
        <x:v>55 inch LED TV</x:v>
      </x:c>
      <x:c r="I188" s="12" t="str"/>
      <x:c r="J188" s="2" t="n">
        <x:v>0</x:v>
      </x:c>
      <x:c r="K188" s="12" t="str">
        <x:v>Unresolved; no supported tenant names</x:v>
      </x:c>
      <x:c r="L188" s="12" t="str">
        <x:v>Unclassified</x:v>
      </x:c>
      <x:c r="M188" s="12" t="str">
        <x:v>Mixed business audience</x:v>
      </x:c>
      <x:c r="N188" s="12" t="str">
        <x:v>MAIN-189</x:v>
      </x:c>
      <x:c r="O188" s="13" t="n">
        <x:v>28.481279373168945</x:v>
      </x:c>
      <x:c r="P188" s="13" t="n">
        <x:v>77.103759765625</x:v>
      </x:c>
      <x:c r="Q188" s="2" t="str">
        <x:v>https://www.google.com/maps?q=28.481279373168945,77.103759765625</x:v>
      </x:c>
      <x:c r="R188" s="2" t="str"/>
      <x:c r="S188" s="12" t="str">
        <x:v>Mixed business offices</x:v>
      </x:c>
      <x:c r="T188" s="12" t="str">
        <x:v>A government SEZ filing records a registered office in Tower B Global Gateway, MG Road, Gurugram, supporting commercial-office use. Filing is historical registered-office context, not a current building occupant census. No tenant created here.</x:v>
      </x:c>
    </x:row>
    <x:row r="189" ht="64" customHeight="1">
      <x:c r="A189" s="10" t="n">
        <x:v>1</x:v>
      </x:c>
      <x:c r="B189" s="2" t="str">
        <x:v>CORP-0186</x:v>
      </x:c>
      <x:c r="C189" s="2" t="str">
        <x:v>Delhi NCR</x:v>
      </x:c>
      <x:c r="D189" s="2" t="str">
        <x:v>MSCVKSVD</x:v>
      </x:c>
      <x:c r="E189" s="12" t="str">
        <x:v>Good Earth Business Bay</x:v>
      </x:c>
      <x:c r="F189" s="12" t="str">
        <x:v>Golf Course Ext Rd</x:v>
      </x:c>
      <x:c r="G189" s="11" t="n">
        <x:v>2</x:v>
      </x:c>
      <x:c r="H189" s="2" t="str">
        <x:v>55 inch LED TV</x:v>
      </x:c>
      <x:c r="I189" s="12" t="str"/>
      <x:c r="J189" s="2" t="n">
        <x:v>0</x:v>
      </x:c>
      <x:c r="K189" s="12" t="str">
        <x:v>Unresolved; no supported tenant names</x:v>
      </x:c>
      <x:c r="L189" s="12" t="str">
        <x:v>Unclassified</x:v>
      </x:c>
      <x:c r="M189" s="12" t="str">
        <x:v>Mixed business audience</x:v>
      </x:c>
      <x:c r="N189" s="12" t="str">
        <x:v>MAIN-190</x:v>
      </x:c>
      <x:c r="O189" s="13" t="n">
        <x:v>28.41431999206543</x:v>
      </x:c>
      <x:c r="P189" s="13" t="n">
        <x:v>77.1083755493164</x:v>
      </x:c>
      <x:c r="Q189" s="2" t="str">
        <x:v>https://www.google.com/maps?q=28.41431999206543,77.1083755493164</x:v>
      </x:c>
      <x:c r="R189" s="2" t="str"/>
      <x:c r="S189" s="12" t="str">
        <x:v>Mixed business offices</x:v>
      </x:c>
      <x:c r="T189" s="12" t="str">
        <x:v>Good Earth lists Business Bay I and II as delivered offices in Sector 58, Golf Course Extension, Gurugram. Inventory does not identify phase I/II. No tenant inference or phase-level map correction applied.</x:v>
      </x:c>
    </x:row>
    <x:row r="190" ht="64" customHeight="1">
      <x:c r="A190" s="10" t="n">
        <x:v>1</x:v>
      </x:c>
      <x:c r="B190" s="2" t="str">
        <x:v>CORP-0187</x:v>
      </x:c>
      <x:c r="C190" s="2" t="str">
        <x:v>Delhi NCR</x:v>
      </x:c>
      <x:c r="D190" s="2" t="str">
        <x:v>MS2VP1PQ</x:v>
      </x:c>
      <x:c r="E190" s="12" t="str">
        <x:v>ILD Trade Centre</x:v>
      </x:c>
      <x:c r="F190" s="12" t="str">
        <x:v>SOHNA ROAD</x:v>
      </x:c>
      <x:c r="G190" s="11" t="n">
        <x:v>1</x:v>
      </x:c>
      <x:c r="H190" s="2" t="str">
        <x:v>55 inch LED TV</x:v>
      </x:c>
      <x:c r="I190" s="12" t="str">
        <x:v>My Wed Light; Satya Nora; Rahul Chaudhry &amp; Partners</x:v>
      </x:c>
      <x:c r="J190" s="2" t="n">
        <x:v>3</x:v>
      </x:c>
      <x:c r="K190" s="12" t="str">
        <x:v>Inventory-listed building/workspace context; current occupancy and screen access unverified</x:v>
      </x:c>
      <x:c r="L190" s="12" t="str">
        <x:v>Professional services; Unresolved</x:v>
      </x:c>
      <x:c r="M190" s="12" t="str">
        <x:v>Small-scale prospects; Mixed business audience</x:v>
      </x:c>
      <x:c r="N190" s="12" t="str">
        <x:v>MAIN-191</x:v>
      </x:c>
      <x:c r="O190" s="13" t="n">
        <x:v>28.449617385864258</x:v>
      </x:c>
      <x:c r="P190" s="13" t="n">
        <x:v>77.04130554199219</x:v>
      </x:c>
      <x:c r="Q190" s="2" t="str">
        <x:v>https://www.google.com/maps?q=28.449617385864258,77.04130554199219</x:v>
      </x:c>
      <x:c r="R190" s="2" t="str">
        <x:v>TEN-036736E05B14; TEN-A6A693646399; TEN-AAF89E19ACB5</x:v>
      </x:c>
      <x:c r="S190" s="12" t="str">
        <x:v>Mixed commercial workplace</x:v>
      </x:c>
      <x:c r="T190" s="12" t="str">
        <x:v>Tenant business-type estimates and reviewed company-scale context.</x:v>
      </x:c>
    </x:row>
    <x:row r="191" ht="64" customHeight="1">
      <x:c r="A191" s="10" t="n">
        <x:v>1</x:v>
      </x:c>
      <x:c r="B191" s="2" t="str">
        <x:v>CORP-0188</x:v>
      </x:c>
      <x:c r="C191" s="2" t="str">
        <x:v>Delhi NCR</x:v>
      </x:c>
      <x:c r="D191" s="2" t="str">
        <x:v>MSHZR6EP</x:v>
      </x:c>
      <x:c r="E191" s="12" t="str">
        <x:v>India Accelerator Coworking - IA Udyog Vihar</x:v>
      </x:c>
      <x:c r="F191" s="12" t="str">
        <x:v>Sector 19</x:v>
      </x:c>
      <x:c r="G191" s="11" t="n">
        <x:v>1</x:v>
      </x:c>
      <x:c r="H191" s="2" t="str">
        <x:v>55 inch LED TV</x:v>
      </x:c>
      <x:c r="I191" s="12" t="str">
        <x:v>India Accelerator (workspace operator inferred from property name; tenant occupants unconfirmed)</x:v>
      </x:c>
      <x:c r="J191" s="2" t="n">
        <x:v>1</x:v>
      </x:c>
      <x:c r="K191" s="12" t="str">
        <x:v>Workspace operator inferred from explicit property name; tenant occupants unconfirmed</x:v>
      </x:c>
      <x:c r="L191" s="12" t="str">
        <x:v>Workspace &amp; property operations</x:v>
      </x:c>
      <x:c r="M191" s="12" t="str">
        <x:v>Mixed business audience</x:v>
      </x:c>
      <x:c r="N191" s="12" t="str">
        <x:v>MAIN-192</x:v>
      </x:c>
      <x:c r="O191" s="13" t="n">
        <x:v>28.50094223022461</x:v>
      </x:c>
      <x:c r="P191" s="13" t="n">
        <x:v>77.08051300048828</x:v>
      </x:c>
      <x:c r="Q191" s="2" t="str">
        <x:v>https://www.google.com/maps?q=28.50094223022461,77.08051300048828</x:v>
      </x:c>
      <x:c r="R191" s="2" t="str">
        <x:v>TEN-5186376CE032</x:v>
      </x:c>
      <x:c r="S191" s="12" t="str">
        <x:v>Flexible workspace / mixed businesses</x:v>
      </x:c>
      <x:c r="T191" s="12" t="str">
        <x:v>Tenant business-type estimates and reviewed company-scale context.</x:v>
      </x:c>
    </x:row>
    <x:row r="192" ht="64" customHeight="1">
      <x:c r="A192" s="10" t="n">
        <x:v>1</x:v>
      </x:c>
      <x:c r="B192" s="2" t="str">
        <x:v>CORP-0189</x:v>
      </x:c>
      <x:c r="C192" s="2" t="str">
        <x:v>Delhi NCR</x:v>
      </x:c>
      <x:c r="D192" s="2" t="str">
        <x:v>MSHZR6EP</x:v>
      </x:c>
      <x:c r="E192" s="12" t="str">
        <x:v>India Accelerator Coworking - IA Udyog Vihar</x:v>
      </x:c>
      <x:c r="F192" s="12" t="str">
        <x:v>Sector 19</x:v>
      </x:c>
      <x:c r="G192" s="11" t="n">
        <x:v>3</x:v>
      </x:c>
      <x:c r="H192" s="2" t="str">
        <x:v>32 inch LED TV</x:v>
      </x:c>
      <x:c r="I192" s="12" t="str">
        <x:v>India Accelerator (workspace operator inferred from property name; tenant occupants unconfirmed)</x:v>
      </x:c>
      <x:c r="J192" s="2" t="n">
        <x:v>1</x:v>
      </x:c>
      <x:c r="K192" s="12" t="str">
        <x:v>Workspace operator inferred from explicit property name; tenant occupants unconfirmed</x:v>
      </x:c>
      <x:c r="L192" s="12" t="str">
        <x:v>Workspace &amp; property operations</x:v>
      </x:c>
      <x:c r="M192" s="12" t="str">
        <x:v>Mixed business audience</x:v>
      </x:c>
      <x:c r="N192" s="12" t="str">
        <x:v>MAIN-193</x:v>
      </x:c>
      <x:c r="O192" s="13" t="n">
        <x:v>28.50094223022461</x:v>
      </x:c>
      <x:c r="P192" s="13" t="n">
        <x:v>77.08051300048828</x:v>
      </x:c>
      <x:c r="Q192" s="2" t="str">
        <x:v>https://www.google.com/maps?q=28.50094223022461,77.08051300048828</x:v>
      </x:c>
      <x:c r="R192" s="2" t="str">
        <x:v>TEN-5186376CE032</x:v>
      </x:c>
      <x:c r="S192" s="12" t="str">
        <x:v>Flexible workspace / mixed businesses</x:v>
      </x:c>
      <x:c r="T192" s="12" t="str">
        <x:v>Tenant business-type estimates and reviewed company-scale context.</x:v>
      </x:c>
    </x:row>
    <x:row r="193" ht="64" customHeight="1">
      <x:c r="A193" s="10" t="n">
        <x:v>1</x:v>
      </x:c>
      <x:c r="B193" s="2" t="str">
        <x:v>CORP-0190</x:v>
      </x:c>
      <x:c r="C193" s="2" t="str">
        <x:v>Delhi NCR</x:v>
      </x:c>
      <x:c r="D193" s="2" t="str">
        <x:v>MSYQNMSD</x:v>
      </x:c>
      <x:c r="E193" s="12" t="str">
        <x:v>India Accelerator Coworking - MGF Metropolis Mall</x:v>
      </x:c>
      <x:c r="F193" s="12" t="str">
        <x:v>Sector 25</x:v>
      </x:c>
      <x:c r="G193" s="11" t="n">
        <x:v>6</x:v>
      </x:c>
      <x:c r="H193" s="2" t="str">
        <x:v>55 inch LED TV</x:v>
      </x:c>
      <x:c r="I193" s="12" t="str">
        <x:v>ITO ELECTRONICS INDIA PVT. LTD; STEPSMITH IMMIGRATION SERVICES PVT. LTD; KOSE Corporation India Pvt. Ltd; GIC HOUSING FINANCE LTD</x:v>
      </x:c>
      <x:c r="J193" s="2" t="n">
        <x:v>4</x:v>
      </x:c>
      <x:c r="K193" s="12" t="str">
        <x:v>Inventory-listed building/workspace context; current occupancy and screen access unverified</x:v>
      </x:c>
      <x:c r="L193" s="12" t="str">
        <x:v>Professional services; Finance &amp; insurance; Engineering &amp; manufacturing; Trade, consumer &amp; logistics</x:v>
      </x:c>
      <x:c r="M193" s="12" t="str">
        <x:v>Small-scale prospects; Medium-scale prospects; Mixed business audience</x:v>
      </x:c>
      <x:c r="N193" s="12" t="str">
        <x:v>MAIN-194</x:v>
      </x:c>
      <x:c r="O193" s="13" t="n">
        <x:v>28.481225</x:v>
      </x:c>
      <x:c r="P193" s="13" t="n">
        <x:v>77.080309</x:v>
      </x:c>
      <x:c r="Q193" s="2" t="str">
        <x:v>https://www.google.com/maps?q=28.481225,77.080309</x:v>
      </x:c>
      <x:c r="R193" s="2" t="str">
        <x:v>TEN-172CBFFE5C71; TEN-73D84E96C940; TEN-A52F83B010B6; TEN-F93408F90DB3</x:v>
      </x:c>
      <x:c r="S193" s="12" t="str">
        <x:v>Flexible workspace / mixed businesses</x:v>
      </x:c>
      <x:c r="T193" s="12" t="str">
        <x:v>Tenant business-type estimates and reviewed company-scale context.</x:v>
      </x:c>
    </x:row>
    <x:row r="194" ht="64" customHeight="1">
      <x:c r="A194" s="10" t="n">
        <x:v>1</x:v>
      </x:c>
      <x:c r="B194" s="2" t="str">
        <x:v>CORP-0191</x:v>
      </x:c>
      <x:c r="C194" s="2" t="str">
        <x:v>Delhi NCR</x:v>
      </x:c>
      <x:c r="D194" s="2" t="str">
        <x:v>MS0WQZN8</x:v>
      </x:c>
      <x:c r="E194" s="12" t="str">
        <x:v>India Accelerator Coworking - Vatika Triangle</x:v>
      </x:c>
      <x:c r="F194" s="12" t="str">
        <x:v>Sushant Lok Phase I</x:v>
      </x:c>
      <x:c r="G194" s="11" t="n">
        <x:v>3</x:v>
      </x:c>
      <x:c r="H194" s="2" t="str">
        <x:v>43 inch LED TV</x:v>
      </x:c>
      <x:c r="I194" s="12" t="str">
        <x:v>Mitsubishi Chemical India Pvt. Ltd; Proman Securitech Pvt. Ltd; Mytex Polymers India Pvt Ltd; Boerger India Pvt. Ltd; Empathy Relocations Gurgaon; UAS International Holidays Pvt Ltd; Dairy Craft India Pvt Ltd</x:v>
      </x:c>
      <x:c r="J194" s="2" t="n">
        <x:v>7</x:v>
      </x:c>
      <x:c r="K194" s="12" t="str">
        <x:v>Inventory-listed building/workspace context; current occupancy and screen access unverified</x:v>
      </x:c>
      <x:c r="L194" s="12" t="str">
        <x:v>Professional services; Engineering &amp; manufacturing; Trade, consumer &amp; logistics; Unresolved</x:v>
      </x:c>
      <x:c r="M194" s="12" t="str">
        <x:v>Small-scale prospects; Medium-scale prospects; Mixed business audience</x:v>
      </x:c>
      <x:c r="N194" s="12" t="str">
        <x:v>MAIN-195</x:v>
      </x:c>
      <x:c r="O194" s="13" t="n">
        <x:v>28.479536056518555</x:v>
      </x:c>
      <x:c r="P194" s="13" t="n">
        <x:v>77.08334350585938</x:v>
      </x:c>
      <x:c r="Q194" s="2" t="str">
        <x:v>https://www.google.com/maps?q=28.479536056518555,77.08334350585938</x:v>
      </x:c>
      <x:c r="R194" s="2" t="str">
        <x:v>TEN-0F816088DDB0; TEN-2AC9A3F3ED06; TEN-45103F2C037D; TEN-8BBE512452EF; TEN-B06027704491; TEN-D38B042527EB; TEN-F6C3D7E2CE93</x:v>
      </x:c>
      <x:c r="S194" s="12" t="str">
        <x:v>Flexible workspace / mixed businesses</x:v>
      </x:c>
      <x:c r="T194" s="12" t="str">
        <x:v>Tenant business-type estimates and reviewed company-scale context.</x:v>
      </x:c>
    </x:row>
    <x:row r="195" ht="64" customHeight="1">
      <x:c r="A195" s="10" t="n">
        <x:v>1</x:v>
      </x:c>
      <x:c r="B195" s="2" t="str">
        <x:v>CORP-0192</x:v>
      </x:c>
      <x:c r="C195" s="2" t="str">
        <x:v>Delhi NCR</x:v>
      </x:c>
      <x:c r="D195" s="2" t="str">
        <x:v>MSM7RZVR</x:v>
      </x:c>
      <x:c r="E195" s="12" t="str">
        <x:v>Kallton</x:v>
      </x:c>
      <x:c r="F195" s="12" t="str">
        <x:v>Udyog Viha</x:v>
      </x:c>
      <x:c r="G195" s="11" t="n">
        <x:v>5</x:v>
      </x:c>
      <x:c r="H195" s="2" t="str">
        <x:v>55 inch LED TV</x:v>
      </x:c>
      <x:c r="I195" s="12" t="str">
        <x:v>Survey2connect; Nirvasa Healthcare Pvt. Ltd; TaskUs Mystiqa–Gurugram; Robosurg MedTech Pvt Ltd</x:v>
      </x:c>
      <x:c r="J195" s="2" t="n">
        <x:v>4</x:v>
      </x:c>
      <x:c r="K195" s="12" t="str">
        <x:v>Inventory-listed building/workspace context; current occupancy and screen access unverified</x:v>
      </x:c>
      <x:c r="L195" s="12" t="str">
        <x:v>IT &amp; digital; Healthcare &amp; life sciences</x:v>
      </x:c>
      <x:c r="M195" s="12" t="str">
        <x:v>Small-scale prospects; Mixed business audience</x:v>
      </x:c>
      <x:c r="N195" s="12" t="str">
        <x:v>MAIN-196</x:v>
      </x:c>
      <x:c r="O195" s="13" t="n">
        <x:v>28.508905</x:v>
      </x:c>
      <x:c r="P195" s="13" t="n">
        <x:v>77.092119</x:v>
      </x:c>
      <x:c r="Q195" s="2" t="str">
        <x:v>https://www.google.com/maps?q=28.508905,77.092119</x:v>
      </x:c>
      <x:c r="R195" s="2" t="str">
        <x:v>TEN-04F457C9EB4D; TEN-3BF04266C40F; TEN-B9280E6ABABB; TEN-D5D133305413</x:v>
      </x:c>
      <x:c r="S195" s="12" t="str">
        <x:v>Mixed commercial workplace</x:v>
      </x:c>
      <x:c r="T195" s="12" t="str">
        <x:v>Tenant business-type estimates and reviewed company-scale context.</x:v>
      </x:c>
    </x:row>
    <x:row r="196" ht="64" customHeight="1">
      <x:c r="A196" s="10" t="n">
        <x:v>1</x:v>
      </x:c>
      <x:c r="B196" s="2" t="str">
        <x:v>CORP-0193</x:v>
      </x:c>
      <x:c r="C196" s="2" t="str">
        <x:v>Delhi NCR</x:v>
      </x:c>
      <x:c r="D196" s="2" t="str">
        <x:v>MSG5VGYQ</x:v>
      </x:c>
      <x:c r="E196" s="12" t="str">
        <x:v>Nucleus - One Qube</x:v>
      </x:c>
      <x:c r="F196" s="12" t="str">
        <x:v>Sector 18</x:v>
      </x:c>
      <x:c r="G196" s="11" t="n">
        <x:v>3</x:v>
      </x:c>
      <x:c r="H196" s="2" t="str">
        <x:v>55 inch LED TV</x:v>
      </x:c>
      <x:c r="I196" s="12" t="str">
        <x:v>Klay</x:v>
      </x:c>
      <x:c r="J196" s="2" t="n">
        <x:v>1</x:v>
      </x:c>
      <x:c r="K196" s="12" t="str">
        <x:v>Inventory-listed building/workspace context; current occupancy and screen access unverified</x:v>
      </x:c>
      <x:c r="L196" s="12" t="str">
        <x:v>Education</x:v>
      </x:c>
      <x:c r="M196" s="12" t="str">
        <x:v>Mixed business audience</x:v>
      </x:c>
      <x:c r="N196" s="12" t="str">
        <x:v>MAIN-197</x:v>
      </x:c>
      <x:c r="O196" s="13" t="n">
        <x:v>28.48594093322754</x:v>
      </x:c>
      <x:c r="P196" s="13" t="n">
        <x:v>77.07490539550781</x:v>
      </x:c>
      <x:c r="Q196" s="2" t="str">
        <x:v>https://www.google.com/maps?q=28.48594093322754,77.07490539550781</x:v>
      </x:c>
      <x:c r="R196" s="2" t="str">
        <x:v>TEN-1A250C4D13AC</x:v>
      </x:c>
      <x:c r="S196" s="12" t="str">
        <x:v>Mixed commercial workplace</x:v>
      </x:c>
      <x:c r="T196" s="12" t="str">
        <x:v>Tenant business-type estimates and reviewed company-scale context.</x:v>
      </x:c>
    </x:row>
    <x:row r="197" ht="64" customHeight="1">
      <x:c r="A197" s="10" t="n">
        <x:v>1</x:v>
      </x:c>
      <x:c r="B197" s="2" t="str">
        <x:v>CORP-0194</x:v>
      </x:c>
      <x:c r="C197" s="2" t="str">
        <x:v>Delhi NCR</x:v>
      </x:c>
      <x:c r="D197" s="2" t="str">
        <x:v>MSE3BHTQ</x:v>
      </x:c>
      <x:c r="E197" s="12" t="str">
        <x:v>Satya The Element One</x:v>
      </x:c>
      <x:c r="F197" s="12" t="str">
        <x:v>Sector 49</x:v>
      </x:c>
      <x:c r="G197" s="11" t="n">
        <x:v>4</x:v>
      </x:c>
      <x:c r="H197" s="2" t="str">
        <x:v>24 inch LED TV</x:v>
      </x:c>
      <x:c r="I197" s="12" t="str">
        <x:v>Spa Lavish Massage Center-Thai Spa in Sector 49 Gurgaon; Advik Real Estate; Triss Salon Gurugram; Arogya Yogshala</x:v>
      </x:c>
      <x:c r="J197" s="2" t="n">
        <x:v>4</x:v>
      </x:c>
      <x:c r="K197" s="12" t="str">
        <x:v>Inventory-listed building/workspace context; current occupancy and screen access unverified</x:v>
      </x:c>
      <x:c r="L197" s="12" t="str">
        <x:v>Healthcare &amp; life sciences; Trade, consumer &amp; logistics</x:v>
      </x:c>
      <x:c r="M197" s="12" t="str">
        <x:v>Small-scale prospects</x:v>
      </x:c>
      <x:c r="N197" s="12" t="str">
        <x:v>MAIN-198</x:v>
      </x:c>
      <x:c r="O197" s="13" t="n">
        <x:v>28.420336</x:v>
      </x:c>
      <x:c r="P197" s="13" t="n">
        <x:v>77.050941</x:v>
      </x:c>
      <x:c r="Q197" s="2" t="str">
        <x:v>https://www.google.com/maps?q=28.420336,77.050941</x:v>
      </x:c>
      <x:c r="R197" s="2" t="str">
        <x:v>TEN-0C640AA2B409; TEN-192B0F3559B4; TEN-2360B838D6B9; TEN-C45C1EA08B3F</x:v>
      </x:c>
      <x:c r="S197" s="12" t="str">
        <x:v>Mixed commercial workplace</x:v>
      </x:c>
      <x:c r="T197" s="12" t="str">
        <x:v>Tenant business-type estimates and reviewed company-scale context.</x:v>
      </x:c>
    </x:row>
    <x:row r="198" ht="64" customHeight="1">
      <x:c r="A198" s="10" t="n">
        <x:v>1</x:v>
      </x:c>
      <x:c r="B198" s="2" t="str">
        <x:v>CORP-0195</x:v>
      </x:c>
      <x:c r="C198" s="2" t="str">
        <x:v>Delhi NCR</x:v>
      </x:c>
      <x:c r="D198" s="2" t="str">
        <x:v>MSY5CNJR</x:v>
      </x:c>
      <x:c r="E198" s="12" t="str">
        <x:v>Satya The Hive</x:v>
      </x:c>
      <x:c r="F198" s="12" t="str">
        <x:v>Sector 102</x:v>
      </x:c>
      <x:c r="G198" s="11" t="n">
        <x:v>1</x:v>
      </x:c>
      <x:c r="H198" s="2" t="str">
        <x:v>55 inch LED TV</x:v>
      </x:c>
      <x:c r="I198" s="12" t="str">
        <x:v>The Holy Kingdom Conference Center; Propcop Realtors Pvt.Ltd; Desire Div; Mediff Pharma Pvt Ltd</x:v>
      </x:c>
      <x:c r="J198" s="2" t="n">
        <x:v>4</x:v>
      </x:c>
      <x:c r="K198" s="12" t="str">
        <x:v>Inventory-listed building/workspace context; current occupancy and screen access unverified</x:v>
      </x:c>
      <x:c r="L198" s="12" t="str">
        <x:v>IT &amp; digital; Healthcare &amp; life sciences; Trade, consumer &amp; logistics; Unresolved</x:v>
      </x:c>
      <x:c r="M198" s="12" t="str">
        <x:v>Small-scale prospects; Medium-scale prospects; Mixed business audience</x:v>
      </x:c>
      <x:c r="N198" s="12" t="str">
        <x:v>MAIN-199</x:v>
      </x:c>
      <x:c r="O198" s="13" t="n">
        <x:v>28.470913</x:v>
      </x:c>
      <x:c r="P198" s="13" t="n">
        <x:v>76.962616</x:v>
      </x:c>
      <x:c r="Q198" s="2" t="str">
        <x:v>https://www.google.com/maps?q=28.470913,76.962616</x:v>
      </x:c>
      <x:c r="R198" s="2" t="str">
        <x:v>TEN-79585655FA86; TEN-830632AB0595; TEN-D7BFD09F399F; TEN-F594EFF6BD97</x:v>
      </x:c>
      <x:c r="S198" s="12" t="str">
        <x:v>Mixed commercial workplace</x:v>
      </x:c>
      <x:c r="T198" s="12" t="str">
        <x:v>Tenant business-type estimates and reviewed company-scale context.</x:v>
      </x:c>
    </x:row>
    <x:row r="199" ht="64" customHeight="1">
      <x:c r="A199" s="10" t="n">
        <x:v>1</x:v>
      </x:c>
      <x:c r="B199" s="2" t="str">
        <x:v>CORP-0196</x:v>
      </x:c>
      <x:c r="C199" s="2" t="str">
        <x:v>Delhi NCR</x:v>
      </x:c>
      <x:c r="D199" s="2" t="str">
        <x:v>MS0AEWEV</x:v>
      </x:c>
      <x:c r="E199" s="12" t="str">
        <x:v>Satya The Hive {IE}</x:v>
      </x:c>
      <x:c r="F199" s="12" t="str">
        <x:v> Sector 102</x:v>
      </x:c>
      <x:c r="G199" s="11" t="n">
        <x:v>7</x:v>
      </x:c>
      <x:c r="H199" s="2" t="str">
        <x:v>24 inch LED TV</x:v>
      </x:c>
      <x:c r="I199" s="12" t="str">
        <x:v>VIKAS CHOUDHARY AND COMPANY; Benson Trophy Manufacture in Gurgaon; DkOr Modular Kitchen &amp; Interiors; The Holy Kingdom Conference Center; Crime Scanner Pvt. Ltd. (Detective Agency); FEBROL LIFT INDIA PRIVATE LIMITED; Propcop Realtors Pvt.Ltd; Desire Div</x:v>
      </x:c>
      <x:c r="J199" s="2" t="n">
        <x:v>8</x:v>
      </x:c>
      <x:c r="K199" s="12" t="str">
        <x:v>Inventory-listed building/workspace context; current occupancy and screen access unverified</x:v>
      </x:c>
      <x:c r="L199" s="12" t="str">
        <x:v>IT &amp; digital; Professional services; Engineering &amp; manufacturing; Trade, consumer &amp; logistics; Unresolved</x:v>
      </x:c>
      <x:c r="M199" s="12" t="str">
        <x:v>Small-scale prospects; Medium-scale prospects; Mixed business audience</x:v>
      </x:c>
      <x:c r="N199" s="12" t="str">
        <x:v>MAIN-200</x:v>
      </x:c>
      <x:c r="O199" s="13" t="n">
        <x:v>28.471032</x:v>
      </x:c>
      <x:c r="P199" s="13" t="n">
        <x:v>76.962608</x:v>
      </x:c>
      <x:c r="Q199" s="2" t="str">
        <x:v>https://www.google.com/maps?q=28.471032,76.962608</x:v>
      </x:c>
      <x:c r="R199" s="2" t="str">
        <x:v>TEN-40D61050D2A8; TEN-4CEEF779B054; TEN-4EF55CFDD5DE; TEN-79585655FA86; TEN-815BBEF4584A; TEN-8282A9D2DF02; TEN-830632AB0595; TEN-D7BFD09F399F</x:v>
      </x:c>
      <x:c r="S199" s="12" t="str">
        <x:v>Mixed commercial workplace</x:v>
      </x:c>
      <x:c r="T199" s="12" t="str">
        <x:v>Tenant business-type estimates and reviewed company-scale context.</x:v>
      </x:c>
    </x:row>
    <x:row r="200" ht="64" customHeight="1">
      <x:c r="A200" s="10" t="n">
        <x:v>1</x:v>
      </x:c>
      <x:c r="B200" s="2" t="str">
        <x:v>CORP-0197</x:v>
      </x:c>
      <x:c r="C200" s="2" t="str">
        <x:v>Delhi NCR</x:v>
      </x:c>
      <x:c r="D200" s="2" t="str">
        <x:v>MS7GG0QS</x:v>
      </x:c>
      <x:c r="E200" s="12" t="str">
        <x:v>Unitech - Business Park</x:v>
      </x:c>
      <x:c r="F200" s="12" t="str">
        <x:v>Sector 41</x:v>
      </x:c>
      <x:c r="G200" s="11" t="n">
        <x:v>2</x:v>
      </x:c>
      <x:c r="H200" s="2" t="str">
        <x:v>55 inch LED TV</x:v>
      </x:c>
      <x:c r="I200" s="12" t="str">
        <x:v>NEWTIMES DEVELOPMENT INDIA PVT. LTD; LOREAL INDIA PRIVATE LIMITED; Energy Efficiency Services Limited; Alchemist Marketing Talent Solutions Private Limited; Bosch Ltd; ETAS India; x-foN Solutions; IntelliSmart; Okaya &amp; Co India Pvt.Ltd</x:v>
      </x:c>
      <x:c r="J200" s="2" t="n">
        <x:v>9</x:v>
      </x:c>
      <x:c r="K200" s="12" t="str">
        <x:v>Inventory-listed building/workspace context; current occupancy and screen access unverified</x:v>
      </x:c>
      <x:c r="L200" s="12" t="str">
        <x:v>Professional services; Engineering &amp; manufacturing; Trade, consumer &amp; logistics; Unresolved</x:v>
      </x:c>
      <x:c r="M200" s="12" t="str">
        <x:v>Small-scale prospects; Large enterprise; Mixed business audience</x:v>
      </x:c>
      <x:c r="N200" s="12" t="str">
        <x:v>MAIN-201</x:v>
      </x:c>
      <x:c r="O200" s="13" t="n">
        <x:v>28.458200454711914</x:v>
      </x:c>
      <x:c r="P200" s="13" t="n">
        <x:v>77.0702896118164</x:v>
      </x:c>
      <x:c r="Q200" s="2" t="str">
        <x:v>https://www.google.com/maps?q=28.458200454711914,77.0702896118164</x:v>
      </x:c>
      <x:c r="R200" s="2" t="str">
        <x:v>TEN-02C89D9D3AB3; TEN-30679AB2F724; TEN-38827CAF6040; TEN-8BB187FB202E; TEN-8BB4D44E4590; TEN-B290CA83CB50; TEN-C42EAC9E3B7D; TEN-EDB7D88FB7D1; TEN-F354DF1E461B</x:v>
      </x:c>
      <x:c r="S200" s="12" t="str">
        <x:v>Multi-tenant business offices</x:v>
      </x:c>
      <x:c r="T200" s="12" t="str">
        <x:v>Tenant business-type estimates and reviewed company-scale context.</x:v>
      </x:c>
    </x:row>
    <x:row r="201" ht="64" customHeight="1">
      <x:c r="A201" s="10" t="n">
        <x:v>1</x:v>
      </x:c>
      <x:c r="B201" s="2" t="str">
        <x:v>CORP-0198</x:v>
      </x:c>
      <x:c r="C201" s="2" t="str">
        <x:v>Delhi NCR</x:v>
      </x:c>
      <x:c r="D201" s="2" t="str">
        <x:v>MSE002V6</x:v>
      </x:c>
      <x:c r="E201" s="12" t="str">
        <x:v>Unitech - Business Zone</x:v>
      </x:c>
      <x:c r="F201" s="12" t="str">
        <x:v>Sector 50</x:v>
      </x:c>
      <x:c r="G201" s="11" t="n">
        <x:v>4</x:v>
      </x:c>
      <x:c r="H201" s="2" t="str">
        <x:v>55 inch LED TV</x:v>
      </x:c>
      <x:c r="I201" s="12" t="str">
        <x:v>S R K Tele Energy India Private Limited; INDXX Capital Management Pvt. Ltd; Meltwater Corp; Sodhi Super Market Nirvana Sector 50; Starfin India Private Limited; CoElevate @ Nirvana Country; LEX IP CARE; Mcnroe Consumer Products Pvt. Ltd; Ooms Polymer Modified Bitumen P. Ltd; VERDIS; Trinity Infratech</x:v>
      </x:c>
      <x:c r="J201" s="2" t="n">
        <x:v>11</x:v>
      </x:c>
      <x:c r="K201" s="12" t="str">
        <x:v>Inventory-listed building/workspace context; current occupancy and screen access unverified</x:v>
      </x:c>
      <x:c r="L201" s="12" t="str">
        <x:v>Professional services; Finance &amp; insurance; Engineering &amp; manufacturing; Trade, consumer &amp; logistics; Workspace &amp; property operations; Unresolved</x:v>
      </x:c>
      <x:c r="M201" s="12" t="str">
        <x:v>Small-scale prospects; Medium-scale prospects; Mixed business audience</x:v>
      </x:c>
      <x:c r="N201" s="12" t="str">
        <x:v>MAIN-202</x:v>
      </x:c>
      <x:c r="O201" s="13" t="n">
        <x:v>28.413759</x:v>
      </x:c>
      <x:c r="P201" s="13" t="n">
        <x:v>77.072056</x:v>
      </x:c>
      <x:c r="Q201" s="2" t="str">
        <x:v>https://www.google.com/maps?q=28.413759,77.072056</x:v>
      </x:c>
      <x:c r="R201" s="2" t="str">
        <x:v>TEN-52BE44FF1D72; TEN-545B2057211C; TEN-55A25B803D5B; TEN-5FCAB9A3B233; TEN-6450FFFEB53D; TEN-64F651426DF4; TEN-9AAE0E9061B2; TEN-A226C8D1E09A; TEN-BA3AB4FE5F45; TEN-E3B62F0935E9; TEN-F4594632ACFC</x:v>
      </x:c>
      <x:c r="S201" s="12" t="str">
        <x:v>Mixed commercial workplace</x:v>
      </x:c>
      <x:c r="T201" s="12" t="str">
        <x:v>Tenant business-type estimates and reviewed company-scale context.</x:v>
      </x:c>
    </x:row>
    <x:row r="202" ht="64" customHeight="1">
      <x:c r="A202" s="10" t="n">
        <x:v>1</x:v>
      </x:c>
      <x:c r="B202" s="2" t="str">
        <x:v>CORP-0199</x:v>
      </x:c>
      <x:c r="C202" s="2" t="str">
        <x:v>Delhi NCR</x:v>
      </x:c>
      <x:c r="D202" s="2" t="str">
        <x:v>MS4V6TEV</x:v>
      </x:c>
      <x:c r="E202" s="12" t="str">
        <x:v>Unitech - Commercial Tower 2</x:v>
      </x:c>
      <x:c r="F202" s="12" t="str">
        <x:v>Sector 45, Arya Samaj Rd, Greenwood City</x:v>
      </x:c>
      <x:c r="G202" s="11" t="n">
        <x:v>1</x:v>
      </x:c>
      <x:c r="H202" s="2" t="str">
        <x:v>55 inch LED TV</x:v>
      </x:c>
      <x:c r="I202" s="12" t="str">
        <x:v>Nupay (Entellus Business Solutions Private Limited); Liquid Designs; Delmonte New Office; Adiona Travels Pvt; SARFINS CARE</x:v>
      </x:c>
      <x:c r="J202" s="2" t="n">
        <x:v>5</x:v>
      </x:c>
      <x:c r="K202" s="12" t="str">
        <x:v>Inventory-listed building/workspace context; current occupancy and screen access unverified</x:v>
      </x:c>
      <x:c r="L202" s="12" t="str">
        <x:v>Professional services; Finance &amp; insurance; Trade, consumer &amp; logistics; Unresolved</x:v>
      </x:c>
      <x:c r="M202" s="12" t="str">
        <x:v>Small-scale prospects; Medium-scale prospects; Mixed business audience</x:v>
      </x:c>
      <x:c r="N202" s="12" t="str">
        <x:v>MAIN-203</x:v>
      </x:c>
      <x:c r="O202" s="13" t="n">
        <x:v>28.44415</x:v>
      </x:c>
      <x:c r="P202" s="13" t="n">
        <x:v>77.059761</x:v>
      </x:c>
      <x:c r="Q202" s="2" t="str">
        <x:v>https://www.google.com/maps?q=28.44415,77.059761</x:v>
      </x:c>
      <x:c r="R202" s="2" t="str">
        <x:v>TEN-256796B02D49; TEN-28872BA7C482; TEN-4860FE88B18A; TEN-4BCB797C8F86; TEN-BA99DD73577A</x:v>
      </x:c>
      <x:c r="S202" s="12" t="str">
        <x:v>Mixed commercial workplace</x:v>
      </x:c>
      <x:c r="T202" s="12" t="str">
        <x:v>Tenant business-type estimates and reviewed company-scale context.</x:v>
      </x:c>
    </x:row>
    <x:row r="203" ht="64" customHeight="1">
      <x:c r="A203" s="10" t="n">
        <x:v>1</x:v>
      </x:c>
      <x:c r="B203" s="2" t="str">
        <x:v>CORP-0200</x:v>
      </x:c>
      <x:c r="C203" s="2" t="str">
        <x:v>Delhi NCR</x:v>
      </x:c>
      <x:c r="D203" s="2" t="str">
        <x:v>MSD7DMZF</x:v>
      </x:c>
      <x:c r="E203" s="12" t="str">
        <x:v>Unitech - Cyber Park</x:v>
      </x:c>
      <x:c r="F203" s="12" t="str">
        <x:v>Durga Colony, Sector 39</x:v>
      </x:c>
      <x:c r="G203" s="11" t="n">
        <x:v>4</x:v>
      </x:c>
      <x:c r="H203" s="2" t="str">
        <x:v>55 inch LED TV</x:v>
      </x:c>
      <x:c r="I203" s="12" t="str">
        <x:v>PMG Ideation Centre; Refpay Media Pvt Ltd; Thome Ship Management; CIF INDUSTRIES PRIVATE LIMITED; Accor Plus- Gurgaon office; Sequential Technology International; DotPe Private Limited; Infollion Research Services; Xoriant Solutions Pvt Ltd; Sankalp Bharat</x:v>
      </x:c>
      <x:c r="J203" s="2" t="n">
        <x:v>10</x:v>
      </x:c>
      <x:c r="K203" s="12" t="str">
        <x:v>Inventory-listed building/workspace context; current occupancy and screen access unverified</x:v>
      </x:c>
      <x:c r="L203" s="12" t="str">
        <x:v>IT &amp; digital; Professional services; Education; Trade, consumer &amp; logistics; Unresolved</x:v>
      </x:c>
      <x:c r="M203" s="12" t="str">
        <x:v>Small-scale prospects; Large enterprise; Mixed business audience</x:v>
      </x:c>
      <x:c r="N203" s="12" t="str">
        <x:v>MAIN-204</x:v>
      </x:c>
      <x:c r="O203" s="13" t="n">
        <x:v>28.443366</x:v>
      </x:c>
      <x:c r="P203" s="13" t="n">
        <x:v>77.056084</x:v>
      </x:c>
      <x:c r="Q203" s="2" t="str">
        <x:v>https://www.google.com/maps?q=28.443366,77.056084</x:v>
      </x:c>
      <x:c r="R203" s="2" t="str">
        <x:v>TEN-08DB387FE18E; TEN-1A66578C0D36; TEN-385E4D0AF812; TEN-4EA5DCC360A3; TEN-4F2219C6EF6C; TEN-554414125D75; TEN-6FA072EC66D1; TEN-9CBC7082FF4F; TEN-A509A9AAC287; TEN-AF0213D0C54B</x:v>
      </x:c>
      <x:c r="S203" s="12" t="str">
        <x:v>IT and enterprise campus</x:v>
      </x:c>
      <x:c r="T203" s="12" t="str">
        <x:v>Tenant business-type estimates and reviewed company-scale context.</x:v>
      </x:c>
    </x:row>
    <x:row r="204" ht="64" customHeight="1">
      <x:c r="A204" s="10" t="n">
        <x:v>1</x:v>
      </x:c>
      <x:c r="B204" s="2" t="str">
        <x:v>CORP-0201</x:v>
      </x:c>
      <x:c r="C204" s="2" t="str">
        <x:v>Delhi NCR</x:v>
      </x:c>
      <x:c r="D204" s="2" t="str">
        <x:v>MSWBPSVY</x:v>
      </x:c>
      <x:c r="E204" s="12" t="str">
        <x:v>Unitech - Gateway Tower</x:v>
      </x:c>
      <x:c r="F204" s="12" t="str">
        <x:v>Sikanderpur, Sector 26</x:v>
      </x:c>
      <x:c r="G204" s="11" t="n">
        <x:v>1</x:v>
      </x:c>
      <x:c r="H204" s="2" t="str">
        <x:v>55 inch LED TV</x:v>
      </x:c>
      <x:c r="I204" s="12" t="str">
        <x:v>MMTC-PAMP India Pvt. Ltd; Mitsubishi Electric India Private Limited; Tecnimont</x:v>
      </x:c>
      <x:c r="J204" s="2" t="n">
        <x:v>3</x:v>
      </x:c>
      <x:c r="K204" s="12" t="str">
        <x:v>Inventory-listed building/workspace context; current occupancy and screen access unverified</x:v>
      </x:c>
      <x:c r="L204" s="12" t="str">
        <x:v>Engineering &amp; manufacturing; Trade, consumer &amp; logistics</x:v>
      </x:c>
      <x:c r="M204" s="12" t="str">
        <x:v>Mixed business audience</x:v>
      </x:c>
      <x:c r="N204" s="12" t="str">
        <x:v>MAIN-205</x:v>
      </x:c>
      <x:c r="O204" s="13" t="n">
        <x:v>28.48133087158203</x:v>
      </x:c>
      <x:c r="P204" s="13" t="n">
        <x:v>77.10389709472656</x:v>
      </x:c>
      <x:c r="Q204" s="2" t="str">
        <x:v>https://www.google.com/maps?q=28.48133087158203,77.10389709472656</x:v>
      </x:c>
      <x:c r="R204" s="2" t="str">
        <x:v>TEN-499BCABB0AA7; TEN-6DEBCA323DCB; TEN-C0A298F426FD</x:v>
      </x:c>
      <x:c r="S204" s="12" t="str">
        <x:v>Mixed commercial workplace</x:v>
      </x:c>
      <x:c r="T204" s="12" t="str">
        <x:v>Tenant business-type estimates and reviewed company-scale context.</x:v>
      </x:c>
    </x:row>
    <x:row r="205" ht="75" customHeight="1">
      <x:c r="A205" s="10" t="n">
        <x:v>1</x:v>
      </x:c>
      <x:c r="B205" s="2" t="str">
        <x:v>CORP-0202</x:v>
      </x:c>
      <x:c r="C205" s="2" t="str">
        <x:v>Delhi NCR</x:v>
      </x:c>
      <x:c r="D205" s="2" t="str">
        <x:v>MSA2MHFK</x:v>
      </x:c>
      <x:c r="E205" s="12" t="str">
        <x:v>Unitech - Global Business Park</x:v>
      </x:c>
      <x:c r="F205" s="12" t="str">
        <x:v>Sikandarpur</x:v>
      </x:c>
      <x:c r="G205" s="11" t="n">
        <x:v>3</x:v>
      </x:c>
      <x:c r="H205" s="2" t="str">
        <x:v>55 inch LED TV</x:v>
      </x:c>
      <x:c r="I205" s="12" t="str">
        <x:v>Sesderma India Private Limited; ISM EDUTECH PVT LTD; IBERIA SKIN BRANDS INDIA PVT. LTD; Quest Venture Cooordinators Pvt. Ltd; Third Eye Integrated Services Pvt Ltd; iFixit Apple Service Centre; ETAP AUTOMATION PVT. LTD; FUJIFILM Sonosite India Pvt Ltd; GBP I Healthcare Services Private Limited; Perfetti Van Melle India Private Limited</x:v>
      </x:c>
      <x:c r="J205" s="2" t="n">
        <x:v>10</x:v>
      </x:c>
      <x:c r="K205" s="12" t="str">
        <x:v>Inventory-listed building/workspace context; current occupancy and screen access unverified</x:v>
      </x:c>
      <x:c r="L205" s="12" t="str">
        <x:v>Professional services; Engineering &amp; manufacturing; Healthcare &amp; life sciences; Trade, consumer &amp; logistics; Unresolved</x:v>
      </x:c>
      <x:c r="M205" s="12" t="str">
        <x:v>Small-scale prospects; Medium-scale prospects; Mixed business audience</x:v>
      </x:c>
      <x:c r="N205" s="12" t="str">
        <x:v>MAIN-206</x:v>
      </x:c>
      <x:c r="O205" s="13" t="n">
        <x:v>28.481244</x:v>
      </x:c>
      <x:c r="P205" s="13" t="n">
        <x:v>77.102029</x:v>
      </x:c>
      <x:c r="Q205" s="2" t="str">
        <x:v>https://www.google.com/maps?q=28.481244,77.102029</x:v>
      </x:c>
      <x:c r="R205" s="2" t="str">
        <x:v>TEN-3CF00757ED3D; TEN-4CC101225BFC; TEN-4E97CF101F1F; TEN-61D7F9904E77; TEN-64E1511D96B7; TEN-7A405702E4CC; TEN-94B8104C6F5F; TEN-A92CF6031CF8; TEN-BFB7EE93F259; TEN-C78AB6EFC57B</x:v>
      </x:c>
      <x:c r="S205" s="12" t="str">
        <x:v>Multi-tenant business offices</x:v>
      </x:c>
      <x:c r="T205" s="12" t="str">
        <x:v>Tenant business-type estimates and reviewed company-scale context.</x:v>
      </x:c>
    </x:row>
    <x:row r="206" ht="75" customHeight="1">
      <x:c r="A206" s="10" t="n">
        <x:v>1</x:v>
      </x:c>
      <x:c r="B206" s="2" t="str">
        <x:v>CORP-0203</x:v>
      </x:c>
      <x:c r="C206" s="2" t="str">
        <x:v>Delhi NCR</x:v>
      </x:c>
      <x:c r="D206" s="2" t="str">
        <x:v>MS0TBEKG</x:v>
      </x:c>
      <x:c r="E206" s="12" t="str">
        <x:v>Unitech - Signature Tower</x:v>
      </x:c>
      <x:c r="F206" s="12" t="str">
        <x:v>Sector 15</x:v>
      </x:c>
      <x:c r="G206" s="11" t="n">
        <x:v>2</x:v>
      </x:c>
      <x:c r="H206" s="2" t="str">
        <x:v>55 inch LED TV</x:v>
      </x:c>
      <x:c r="I206" s="12" t="str">
        <x:v>JFE SHOJI INDIA PVT LTD. Gurgram Branch; Prakash associate and company; Incuspaze; Ashok Leyland Ltd; QuickSun Technologies; Toll Global Forwarding (India) Pvt. Ltd; MullenLowe Lintas Group; NK COMPUTER CLASSES; SD Biosensor Healthcare Pvt Ltd; Becton Dickinson Private Limited; KIRANAKART TECHNOLOGIES PRIVATE LIMITED</x:v>
      </x:c>
      <x:c r="J206" s="2" t="n">
        <x:v>11</x:v>
      </x:c>
      <x:c r="K206" s="12" t="str">
        <x:v>Inventory-listed building/workspace context; current occupancy and screen access unverified</x:v>
      </x:c>
      <x:c r="L206" s="12" t="str">
        <x:v>Professional services; Engineering &amp; manufacturing; Healthcare &amp; life sciences; Education; Trade, consumer &amp; logistics; Workspace &amp; property operations; Unresolved</x:v>
      </x:c>
      <x:c r="M206" s="12" t="str">
        <x:v>Small-scale prospects; Mixed business audience</x:v>
      </x:c>
      <x:c r="N206" s="12" t="str">
        <x:v>MAIN-207</x:v>
      </x:c>
      <x:c r="O206" s="13" t="n">
        <x:v>28.466611862182617</x:v>
      </x:c>
      <x:c r="P206" s="13" t="n">
        <x:v>77.05805206298828</x:v>
      </x:c>
      <x:c r="Q206" s="2" t="str">
        <x:v>https://www.google.com/maps?q=28.466611862182617,77.05805206298828</x:v>
      </x:c>
      <x:c r="R206" s="2" t="str">
        <x:v>TEN-0A8BCA93EB03; TEN-0EBD06999016; TEN-5231E575AC27; TEN-55BBAC060EB2; TEN-631DCFEADDEF; TEN-663FA8BBE4DA; TEN-7A076A165601; TEN-87E3DB70689A; TEN-AD30C3FBCD6C; TEN-BB2B0F8A6E69; TEN-CC48C5F170E3</x:v>
      </x:c>
      <x:c r="S206" s="12" t="str">
        <x:v>Mixed commercial workplace</x:v>
      </x:c>
      <x:c r="T206" s="12" t="str">
        <x:v>Tenant business-type estimates and reviewed company-scale context.</x:v>
      </x:c>
    </x:row>
    <x:row r="207" ht="64" customHeight="1">
      <x:c r="A207" s="10" t="n">
        <x:v>1</x:v>
      </x:c>
      <x:c r="B207" s="2" t="str">
        <x:v>CORP-0204</x:v>
      </x:c>
      <x:c r="C207" s="2" t="str">
        <x:v>Delhi NCR</x:v>
      </x:c>
      <x:c r="D207" s="2" t="str">
        <x:v>MSJJ4KJR</x:v>
      </x:c>
      <x:c r="E207" s="12" t="str">
        <x:v>Unitech - Trade Center</x:v>
      </x:c>
      <x:c r="F207" s="12" t="str">
        <x:v>Sushant Lok Phase I</x:v>
      </x:c>
      <x:c r="G207" s="11" t="n">
        <x:v>1</x:v>
      </x:c>
      <x:c r="H207" s="2" t="str">
        <x:v>55 inch LED TV</x:v>
      </x:c>
      <x:c r="I207" s="12" t="str">
        <x:v>Kognoz Research &amp; Consulting Private Limited; Fulcrum ALM Solutions; Bertelsmann (BII) - Gurgaon; NTT DATA Corporation; AccountabilIT GDC India Pvt. Ltd; Six Red Marbles</x:v>
      </x:c>
      <x:c r="J207" s="2" t="n">
        <x:v>6</x:v>
      </x:c>
      <x:c r="K207" s="12" t="str">
        <x:v>Inventory-listed building/workspace context; current occupancy and screen access unverified</x:v>
      </x:c>
      <x:c r="L207" s="12" t="str">
        <x:v>IT &amp; digital; Professional services; Finance &amp; insurance; Education; Unresolved</x:v>
      </x:c>
      <x:c r="M207" s="12" t="str">
        <x:v>Small-scale prospects; Large enterprise; Mixed business audience</x:v>
      </x:c>
      <x:c r="N207" s="12" t="str">
        <x:v>MAIN-208</x:v>
      </x:c>
      <x:c r="O207" s="13" t="n">
        <x:v>28.458889</x:v>
      </x:c>
      <x:c r="P207" s="13" t="n">
        <x:v>77.076964</x:v>
      </x:c>
      <x:c r="Q207" s="2" t="str">
        <x:v>https://www.google.com/maps?q=28.458889,77.076964</x:v>
      </x:c>
      <x:c r="R207" s="2" t="str">
        <x:v>TEN-1B26A1EAB1AF; TEN-55B93C4E3B87; TEN-5D0C383E84BD; TEN-61D3F1332192; TEN-85B7E717ED99; TEN-F66746C19057</x:v>
      </x:c>
      <x:c r="S207" s="12" t="str">
        <x:v>Mixed commercial workplace</x:v>
      </x:c>
      <x:c r="T207" s="12" t="str">
        <x:v>Tenant business-type estimates and reviewed company-scale context.</x:v>
      </x:c>
    </x:row>
    <x:row r="208" ht="64" customHeight="1">
      <x:c r="A208" s="10" t="n">
        <x:v>1</x:v>
      </x:c>
      <x:c r="B208" s="2" t="str">
        <x:v>CORP-0205</x:v>
      </x:c>
      <x:c r="C208" s="2" t="str">
        <x:v>Delhi NCR</x:v>
      </x:c>
      <x:c r="D208" s="2" t="str">
        <x:v>MSPR1V9P</x:v>
      </x:c>
      <x:c r="E208" s="12" t="str">
        <x:v>WeWork - Blue One Square</x:v>
      </x:c>
      <x:c r="F208" s="12" t="str">
        <x:v>Udhoy Vihar</x:v>
      </x:c>
      <x:c r="G208" s="11" t="n">
        <x:v>10</x:v>
      </x:c>
      <x:c r="H208" s="2" t="str">
        <x:v>43 inch LED TV</x:v>
      </x:c>
      <x:c r="I208" s="12" t="str">
        <x:v>Crescendo Global</x:v>
      </x:c>
      <x:c r="J208" s="2" t="n">
        <x:v>1</x:v>
      </x:c>
      <x:c r="K208" s="12" t="str">
        <x:v>Inventory-listed building/workspace context; current occupancy and screen access unverified</x:v>
      </x:c>
      <x:c r="L208" s="12" t="str">
        <x:v>Professional services</x:v>
      </x:c>
      <x:c r="M208" s="12" t="str">
        <x:v>Small-scale prospects</x:v>
      </x:c>
      <x:c r="N208" s="12" t="str">
        <x:v>MAIN-209</x:v>
      </x:c>
      <x:c r="O208" s="13" t="n">
        <x:v>28.495519638061523</x:v>
      </x:c>
      <x:c r="P208" s="13" t="n">
        <x:v>77.0849838256836</x:v>
      </x:c>
      <x:c r="Q208" s="2" t="str">
        <x:v>https://www.google.com/maps?q=28.495519638061523,77.0849838256836</x:v>
      </x:c>
      <x:c r="R208" s="2" t="str">
        <x:v>TEN-8101C2E2D34F</x:v>
      </x:c>
      <x:c r="S208" s="12" t="str">
        <x:v>Flexible workspace / mixed businesses</x:v>
      </x:c>
      <x:c r="T208" s="12" t="str">
        <x:v>Tenant business-type estimates and reviewed company-scale context.</x:v>
      </x:c>
    </x:row>
    <x:row r="209" ht="64" customHeight="1">
      <x:c r="A209" s="10" t="n">
        <x:v>1</x:v>
      </x:c>
      <x:c r="B209" s="2" t="str">
        <x:v>CORP-0206</x:v>
      </x:c>
      <x:c r="C209" s="2" t="str">
        <x:v>Delhi NCR</x:v>
      </x:c>
      <x:c r="D209" s="2" t="str">
        <x:v>MS3PDAHW</x:v>
      </x:c>
      <x:c r="E209" s="12" t="str">
        <x:v>WeWork - Forum</x:v>
      </x:c>
      <x:c r="F209" s="12" t="str">
        <x:v>Cybercity</x:v>
      </x:c>
      <x:c r="G209" s="11" t="n">
        <x:v>14</x:v>
      </x:c>
      <x:c r="H209" s="2" t="str">
        <x:v>43 inch LED TV</x:v>
      </x:c>
      <x:c r="I209" s="12" t="str">
        <x:v>Amalgo Labs; CA B K Goyal &amp; Co LLP Chartered Accountants; AB media</x:v>
      </x:c>
      <x:c r="J209" s="2" t="n">
        <x:v>3</x:v>
      </x:c>
      <x:c r="K209" s="12" t="str">
        <x:v>Inventory-listed building/workspace context; current occupancy and screen access unverified</x:v>
      </x:c>
      <x:c r="L209" s="12" t="str">
        <x:v>Professional services; Trade, consumer &amp; logistics; Unresolved</x:v>
      </x:c>
      <x:c r="M209" s="12" t="str">
        <x:v>Micro-scale prospects; Small-scale prospects; Mixed business audience</x:v>
      </x:c>
      <x:c r="N209" s="12" t="str">
        <x:v>MAIN-210</x:v>
      </x:c>
      <x:c r="O209" s="13" t="n">
        <x:v>28.49688148498535</x:v>
      </x:c>
      <x:c r="P209" s="13" t="n">
        <x:v>77.09190368652344</x:v>
      </x:c>
      <x:c r="Q209" s="2" t="str">
        <x:v>https://www.google.com/maps?q=28.49688148498535,77.09190368652344</x:v>
      </x:c>
      <x:c r="R209" s="2" t="str">
        <x:v>TEN-242B52F0117F; TEN-4B4B35DB7BA4; TEN-E64DFB9A7C4E</x:v>
      </x:c>
      <x:c r="S209" s="12" t="str">
        <x:v>Flexible workspace / mixed businesses</x:v>
      </x:c>
      <x:c r="T209" s="12" t="str">
        <x:v>Tenant business-type estimates and reviewed company-scale context.</x:v>
      </x:c>
    </x:row>
    <x:row r="210" ht="64" customHeight="1">
      <x:c r="A210" s="10" t="n">
        <x:v>1</x:v>
      </x:c>
      <x:c r="B210" s="2" t="str">
        <x:v>CORP-0207</x:v>
      </x:c>
      <x:c r="C210" s="2" t="str">
        <x:v>Delhi NCR</x:v>
      </x:c>
      <x:c r="D210" s="2" t="str">
        <x:v>MSNZFDDZ</x:v>
      </x:c>
      <x:c r="E210" s="12" t="str">
        <x:v>Wework - VI John</x:v>
      </x:c>
      <x:c r="F210" s="12" t="str">
        <x:v>Udyog Vihar</x:v>
      </x:c>
      <x:c r="G210" s="11" t="n">
        <x:v>8</x:v>
      </x:c>
      <x:c r="H210" s="2" t="str">
        <x:v>43 inch LED TV</x:v>
      </x:c>
      <x:c r="I210" s="12" t="str">
        <x:v>Media sense India; Captain decor; Mercury Solution limited</x:v>
      </x:c>
      <x:c r="J210" s="2" t="n">
        <x:v>3</x:v>
      </x:c>
      <x:c r="K210" s="12" t="str">
        <x:v>Inventory-listed building/workspace context; current occupancy and screen access unverified</x:v>
      </x:c>
      <x:c r="L210" s="12" t="str">
        <x:v>Professional services; Trade, consumer &amp; logistics; Unresolved</x:v>
      </x:c>
      <x:c r="M210" s="12" t="str">
        <x:v>Small-scale prospects; Mixed business audience</x:v>
      </x:c>
      <x:c r="N210" s="12" t="str">
        <x:v>MAIN-211</x:v>
      </x:c>
      <x:c r="O210" s="13" t="n">
        <x:v>28.505718231201172</x:v>
      </x:c>
      <x:c r="P210" s="13" t="n">
        <x:v>77.08865356445312</x:v>
      </x:c>
      <x:c r="Q210" s="2" t="str">
        <x:v>https://www.google.com/maps?q=28.505718231201172,77.08865356445312</x:v>
      </x:c>
      <x:c r="R210" s="2" t="str">
        <x:v>TEN-9ADF4B12033A; TEN-AD95F6E4E93C; TEN-CC09BF697AED</x:v>
      </x:c>
      <x:c r="S210" s="12" t="str">
        <x:v>Flexible workspace / mixed businesses</x:v>
      </x:c>
      <x:c r="T210" s="12" t="str">
        <x:v>Tenant business-type estimates and reviewed company-scale context.</x:v>
      </x:c>
    </x:row>
    <x:row r="211" ht="64" customHeight="1">
      <x:c r="A211" s="10" t="n">
        <x:v>1</x:v>
      </x:c>
      <x:c r="B211" s="2" t="str">
        <x:v>CORP-0208</x:v>
      </x:c>
      <x:c r="C211" s="2" t="str">
        <x:v>Delhi NCR</x:v>
      </x:c>
      <x:c r="D211" s="2" t="str">
        <x:v>MSTK11X1</x:v>
      </x:c>
      <x:c r="E211" s="12" t="str">
        <x:v>Workflow by Oyo - Golf Course Road</x:v>
      </x:c>
      <x:c r="F211" s="12" t="str">
        <x:v>Sector 53</x:v>
      </x:c>
      <x:c r="G211" s="11" t="n">
        <x:v>2</x:v>
      </x:c>
      <x:c r="H211" s="2" t="str">
        <x:v>32 inch LED TV</x:v>
      </x:c>
      <x:c r="I211" s="12" t="str">
        <x:v>Yes2growth; Blue Optima; Enivox Services; Walmart India; Idiotic Media</x:v>
      </x:c>
      <x:c r="J211" s="2" t="n">
        <x:v>5</x:v>
      </x:c>
      <x:c r="K211" s="12" t="str">
        <x:v>Inventory-listed building/workspace context; current occupancy and screen access unverified</x:v>
      </x:c>
      <x:c r="L211" s="12" t="str">
        <x:v>IT &amp; digital; Trade, consumer &amp; logistics; Unresolved</x:v>
      </x:c>
      <x:c r="M211" s="12" t="str">
        <x:v>Small-scale prospects; Mixed business audience</x:v>
      </x:c>
      <x:c r="N211" s="12" t="str">
        <x:v>MAIN-212</x:v>
      </x:c>
      <x:c r="O211" s="13" t="n">
        <x:v>28.43292808532715</x:v>
      </x:c>
      <x:c r="P211" s="13" t="n">
        <x:v>77.10140228271484</x:v>
      </x:c>
      <x:c r="Q211" s="2" t="str">
        <x:v>https://www.google.com/maps?q=28.43292808532715,77.10140228271484</x:v>
      </x:c>
      <x:c r="R211" s="2" t="str">
        <x:v>TEN-4573DD09A1D9; TEN-81A1D02B9C6A; TEN-B430C8DE7AA8; TEN-C8390D04D3EE; TEN-CFE80234CF49; TEN-EA0570A92324</x:v>
      </x:c>
      <x:c r="S211" s="12" t="str">
        <x:v>Mixed commercial workplace</x:v>
      </x:c>
      <x:c r="T211" s="12" t="str">
        <x:v>Tenant business-type estimates and reviewed company-scale context.</x:v>
      </x:c>
    </x:row>
    <x:row r="212" ht="64" customHeight="1">
      <x:c r="A212" s="10" t="n">
        <x:v>1</x:v>
      </x:c>
      <x:c r="B212" s="2" t="str">
        <x:v>CORP-0209</x:v>
      </x:c>
      <x:c r="C212" s="2" t="str">
        <x:v>Hyderabad</x:v>
      </x:c>
      <x:c r="D212" s="2" t="str">
        <x:v>MSM097ZF</x:v>
      </x:c>
      <x:c r="E212" s="12" t="str">
        <x:v>Aurobindo Galaxy (TS)</x:v>
      </x:c>
      <x:c r="F212" s="12" t="str">
        <x:v>Hitech city</x:v>
      </x:c>
      <x:c r="G212" s="11" t="n">
        <x:v>5</x:v>
      </x:c>
      <x:c r="H212" s="2" t="str">
        <x:v>55 inch LED TV</x:v>
      </x:c>
      <x:c r="I212" s="12" t="str"/>
      <x:c r="J212" s="2" t="n">
        <x:v>0</x:v>
      </x:c>
      <x:c r="K212" s="12" t="str">
        <x:v>Unresolved; no supported tenant names</x:v>
      </x:c>
      <x:c r="L212" s="12" t="str">
        <x:v>Unclassified</x:v>
      </x:c>
      <x:c r="M212" s="12" t="str">
        <x:v>Mixed business audience</x:v>
      </x:c>
      <x:c r="N212" s="12" t="str">
        <x:v>MAIN-213</x:v>
      </x:c>
      <x:c r="O212" s="13" t="n">
        <x:v>17.4434757232666</x:v>
      </x:c>
      <x:c r="P212" s="13" t="n">
        <x:v>78.377197265625</x:v>
      </x:c>
      <x:c r="Q212" s="2" t="str">
        <x:v>https://www.google.com/maps?q=17.4434757232666,78.377197265625</x:v>
      </x:c>
      <x:c r="R212" s="2" t="str"/>
      <x:c r="S212" s="12" t="str">
        <x:v>Enterprise managed offices</x:v>
      </x:c>
      <x:c r="T212" s="12" t="str">
        <x:v>Table Space explicitly describes Aurobindo Galaxy in HITEC City as a large-format campus suited to large enterprises. Operator extent and exact screen floor are distinct from whole-campus audience.</x:v>
      </x:c>
    </x:row>
    <x:row r="213" ht="64" customHeight="1">
      <x:c r="A213" s="10" t="n">
        <x:v>1</x:v>
      </x:c>
      <x:c r="B213" s="2" t="str">
        <x:v>CORP-0211</x:v>
      </x:c>
      <x:c r="C213" s="2" t="str">
        <x:v>Hyderabad</x:v>
      </x:c>
      <x:c r="D213" s="2" t="str">
        <x:v>MSE7WE6S</x:v>
      </x:c>
      <x:c r="E213" s="12" t="str">
        <x:v>Awfis - B144Lorven Tiara</x:v>
      </x:c>
      <x:c r="F213" s="12" t="str">
        <x:v>Kondapur</x:v>
      </x:c>
      <x:c r="G213" s="11" t="n">
        <x:v>8</x:v>
      </x:c>
      <x:c r="H213" s="2" t="str">
        <x:v>32 inch LED TV</x:v>
      </x:c>
      <x:c r="I213" s="12" t="str">
        <x:v>TECHSOL; HATHORITY; Acads 360; Toyota Tshusho</x:v>
      </x:c>
      <x:c r="J213" s="2" t="n">
        <x:v>4</x:v>
      </x:c>
      <x:c r="K213" s="12" t="str">
        <x:v>Inventory-listed building/workspace context; current occupancy and screen access unverified</x:v>
      </x:c>
      <x:c r="L213" s="12" t="str">
        <x:v>IT &amp; digital; Engineering &amp; manufacturing; Education; Unresolved</x:v>
      </x:c>
      <x:c r="M213" s="12" t="str">
        <x:v>Small-scale prospects; Mixed business audience</x:v>
      </x:c>
      <x:c r="N213" s="12" t="str">
        <x:v>MAIN-215</x:v>
      </x:c>
      <x:c r="O213" s="13" t="n">
        <x:v>17.458914</x:v>
      </x:c>
      <x:c r="P213" s="13" t="n">
        <x:v>78.366565</x:v>
      </x:c>
      <x:c r="Q213" s="2" t="str">
        <x:v>https://www.google.com/maps?q=17.458914,78.366565</x:v>
      </x:c>
      <x:c r="R213" s="2" t="str">
        <x:v>TEN-20994E8D41B3; TEN-628E4C3127EB; TEN-7DA7E229D048; TEN-81815D26A3F0</x:v>
      </x:c>
      <x:c r="S213" s="12" t="str">
        <x:v>Flexible workspace / mixed businesses</x:v>
      </x:c>
      <x:c r="T213" s="12" t="str">
        <x:v>Tenant business-type estimates and reviewed company-scale context.</x:v>
      </x:c>
    </x:row>
    <x:row r="214" ht="64" customHeight="1">
      <x:c r="A214" s="10" t="n">
        <x:v>1</x:v>
      </x:c>
      <x:c r="B214" s="2" t="str">
        <x:v>CORP-0212</x:v>
      </x:c>
      <x:c r="C214" s="2" t="str">
        <x:v>Hyderabad</x:v>
      </x:c>
      <x:c r="D214" s="2" t="str">
        <x:v>MSJ0TTVY</x:v>
      </x:c>
      <x:c r="E214" s="12" t="str">
        <x:v>Awfis - DSL Abacus IT Park</x:v>
      </x:c>
      <x:c r="F214" s="12" t="str">
        <x:v>Uppal</x:v>
      </x:c>
      <x:c r="G214" s="11" t="n">
        <x:v>2</x:v>
      </x:c>
      <x:c r="H214" s="2" t="str">
        <x:v>32 inch LED TV</x:v>
      </x:c>
      <x:c r="I214" s="12" t="str">
        <x:v>SPACE OIL AND GAS; CYGNUS DIGITAL ENGINEERING SERVICES; INFORMATICS INDIA PVT LTD; SOGNUTECHNOLOGIES PVT LTD; DIGILOGIC SYSTEM PVT LTD; JMA WIRELESSPHAZR INDIA PVT LTD; SKYWORTH INDIA ELECTRONICS PVT LTD; HRH NEXT SERVICES PVT LTD; INDOFIL INDUSTRIES LTD; ACUMENT IT SOLUTIONS; SALIGRAM TECHNOLOGIES PVT LTD</x:v>
      </x:c>
      <x:c r="J214" s="2" t="n">
        <x:v>11</x:v>
      </x:c>
      <x:c r="K214" s="12" t="str">
        <x:v>Inventory-listed building/workspace context; current occupancy and screen access unverified</x:v>
      </x:c>
      <x:c r="L214" s="12" t="str">
        <x:v>IT &amp; digital; Engineering &amp; manufacturing; Unresolved</x:v>
      </x:c>
      <x:c r="M214" s="12" t="str">
        <x:v>Small-scale prospects; Medium-scale prospects; Mixed business audience</x:v>
      </x:c>
      <x:c r="N214" s="12" t="str">
        <x:v>MAIN-216</x:v>
      </x:c>
      <x:c r="O214" s="13" t="n">
        <x:v>17.400036</x:v>
      </x:c>
      <x:c r="P214" s="13" t="n">
        <x:v>78.555569</x:v>
      </x:c>
      <x:c r="Q214" s="2" t="str">
        <x:v>https://www.google.com/maps?q=17.400036,78.555569</x:v>
      </x:c>
      <x:c r="R214" s="2" t="str">
        <x:v>TEN-29E4A775BC88; TEN-5C5D346958F3; TEN-60EAFC738403; TEN-705C0F9C3F03; TEN-990BC2BC88C9; TEN-9F5A39E11E3A; TEN-AABA7A1D0419; TEN-B90FFE81C61A; TEN-BCB13DC1344E; TEN-C3FC44005541; TEN-E1CBD9AE574D; TEN-F498E1746FB4</x:v>
      </x:c>
      <x:c r="S214" s="12" t="str">
        <x:v>Flexible workspace / mixed businesses</x:v>
      </x:c>
      <x:c r="T214" s="12" t="str">
        <x:v>Tenant business-type estimates and reviewed company-scale context.</x:v>
      </x:c>
    </x:row>
    <x:row r="215" ht="64" customHeight="1">
      <x:c r="A215" s="10" t="n">
        <x:v>1</x:v>
      </x:c>
      <x:c r="B215" s="2" t="str">
        <x:v>CORP-0213</x:v>
      </x:c>
      <x:c r="C215" s="2" t="str">
        <x:v>Hyderabad</x:v>
      </x:c>
      <x:c r="D215" s="2" t="str">
        <x:v>MSCWGWYM</x:v>
      </x:c>
      <x:c r="E215" s="12" t="str">
        <x:v>Awfis - Hitech City 1st</x:v>
      </x:c>
      <x:c r="F215" s="12" t="str">
        <x:v>HITEC City</x:v>
      </x:c>
      <x:c r="G215" s="11" t="n">
        <x:v>3</x:v>
      </x:c>
      <x:c r="H215" s="2" t="str">
        <x:v>32 inch LED TV</x:v>
      </x:c>
      <x:c r="I215" s="12" t="str">
        <x:v>Divimaxim; neobric; dispatch track; cloud angles; sun positive</x:v>
      </x:c>
      <x:c r="J215" s="2" t="n">
        <x:v>5</x:v>
      </x:c>
      <x:c r="K215" s="12" t="str">
        <x:v>Inventory-listed building/workspace context; current occupancy and screen access unverified</x:v>
      </x:c>
      <x:c r="L215" s="12" t="str">
        <x:v>IT &amp; digital; Unresolved</x:v>
      </x:c>
      <x:c r="M215" s="12" t="str">
        <x:v>Small-scale prospects; Mixed business audience</x:v>
      </x:c>
      <x:c r="N215" s="12" t="str">
        <x:v>MAIN-217</x:v>
      </x:c>
      <x:c r="O215" s="13" t="n">
        <x:v>17.451797</x:v>
      </x:c>
      <x:c r="P215" s="13" t="n">
        <x:v>78.371037</x:v>
      </x:c>
      <x:c r="Q215" s="2" t="str">
        <x:v>https://www.google.com/maps?q=17.451797,78.371037</x:v>
      </x:c>
      <x:c r="R215" s="2" t="str">
        <x:v>TEN-104332CE4C07; TEN-696EF014F52C; TEN-897383DD281F; TEN-B8E6D97935CA; TEN-DE3D6001F138</x:v>
      </x:c>
      <x:c r="S215" s="12" t="str">
        <x:v>Flexible workspace / mixed businesses</x:v>
      </x:c>
      <x:c r="T215" s="12" t="str">
        <x:v>Tenant business-type estimates and reviewed company-scale context.</x:v>
      </x:c>
    </x:row>
    <x:row r="216" ht="64" customHeight="1">
      <x:c r="A216" s="10" t="n">
        <x:v>1</x:v>
      </x:c>
      <x:c r="B216" s="2" t="str">
        <x:v>CORP-0214</x:v>
      </x:c>
      <x:c r="C216" s="2" t="str">
        <x:v>Hyderabad</x:v>
      </x:c>
      <x:c r="D216" s="2" t="str">
        <x:v>MSKTEMG2</x:v>
      </x:c>
      <x:c r="E216" s="12" t="str">
        <x:v>Awfis - Hitech City 4th</x:v>
      </x:c>
      <x:c r="F216" s="12" t="str">
        <x:v>HITEC City</x:v>
      </x:c>
      <x:c r="G216" s="11" t="n">
        <x:v>3</x:v>
      </x:c>
      <x:c r="H216" s="2" t="str">
        <x:v>32 inch LED TV</x:v>
      </x:c>
      <x:c r="I216" s="12" t="str">
        <x:v>Glass free life; Stratmed; technominds; archents; Celzene; servo icon</x:v>
      </x:c>
      <x:c r="J216" s="2" t="n">
        <x:v>6</x:v>
      </x:c>
      <x:c r="K216" s="12" t="str">
        <x:v>Inventory-listed building/workspace context; current occupancy and screen access unverified</x:v>
      </x:c>
      <x:c r="L216" s="12" t="str">
        <x:v>Healthcare &amp; life sciences; Unresolved</x:v>
      </x:c>
      <x:c r="M216" s="12" t="str">
        <x:v>Medium-scale prospects; Mixed business audience</x:v>
      </x:c>
      <x:c r="N216" s="12" t="str">
        <x:v>MAIN-218</x:v>
      </x:c>
      <x:c r="O216" s="13" t="n">
        <x:v>17.45181655883789</x:v>
      </x:c>
      <x:c r="P216" s="13" t="n">
        <x:v>78.37104034423828</x:v>
      </x:c>
      <x:c r="Q216" s="2" t="str">
        <x:v>https://www.google.com/maps?q=17.45181655883789,78.37104034423828</x:v>
      </x:c>
      <x:c r="R216" s="2" t="str">
        <x:v>TEN-1060001425BF; TEN-26EB931B4D24; TEN-4421EF3FD27F; TEN-7BD90F1535C8; TEN-7FBD858E7FC7; TEN-D39F51DEE522</x:v>
      </x:c>
      <x:c r="S216" s="12" t="str">
        <x:v>Flexible workspace / mixed businesses</x:v>
      </x:c>
      <x:c r="T216" s="12" t="str">
        <x:v>Tenant business-type estimates and reviewed company-scale context.</x:v>
      </x:c>
    </x:row>
    <x:row r="217" ht="64" customHeight="1">
      <x:c r="A217" s="10" t="n">
        <x:v>1</x:v>
      </x:c>
      <x:c r="B217" s="2" t="str">
        <x:v>CORP-0215</x:v>
      </x:c>
      <x:c r="C217" s="2" t="str">
        <x:v>Hyderabad</x:v>
      </x:c>
      <x:c r="D217" s="2" t="str">
        <x:v>MSGBY6HE</x:v>
      </x:c>
      <x:c r="E217" s="12" t="str">
        <x:v>Awfis - Hitech City 6th</x:v>
      </x:c>
      <x:c r="F217" s="12" t="str">
        <x:v>HITEC City</x:v>
      </x:c>
      <x:c r="G217" s="11" t="n">
        <x:v>2</x:v>
      </x:c>
      <x:c r="H217" s="2" t="str">
        <x:v>32 inch LED TV</x:v>
      </x:c>
      <x:c r="I217" s="12" t="str">
        <x:v>Worl Immigration Consultants; Whiteoak Capital Group; carbanio; Visamint overseas service; Life Overseas Career; Piramal Swasthya; Madduri IT services; Mahindra Logistics; Migration Standards; Fund Insiight Investment; iRich</x:v>
      </x:c>
      <x:c r="J217" s="2" t="n">
        <x:v>11</x:v>
      </x:c>
      <x:c r="K217" s="12" t="str">
        <x:v>Inventory-listed building/workspace context; current occupancy and screen access unverified</x:v>
      </x:c>
      <x:c r="L217" s="12" t="str">
        <x:v>IT &amp; digital; Professional services; Finance &amp; insurance; Healthcare &amp; life sciences; Trade, consumer &amp; logistics; Unresolved</x:v>
      </x:c>
      <x:c r="M217" s="12" t="str">
        <x:v>Small-scale prospects; Medium-scale prospects; Large enterprise; Mixed business audience</x:v>
      </x:c>
      <x:c r="N217" s="12" t="str">
        <x:v>MAIN-219</x:v>
      </x:c>
      <x:c r="O217" s="13" t="n">
        <x:v>17.451776</x:v>
      </x:c>
      <x:c r="P217" s="13" t="n">
        <x:v>78.370972</x:v>
      </x:c>
      <x:c r="Q217" s="2" t="str">
        <x:v>https://www.google.com/maps?q=17.451776,78.370972</x:v>
      </x:c>
      <x:c r="R217" s="2" t="str">
        <x:v>TEN-3EF1EF17F0B1; TEN-41ACC4C416AA; TEN-498CDFB360D3; TEN-7CDCC156D8FE; TEN-9299DB4A2A77; TEN-B608E2C75AC8; TEN-BC81BE6A17D3; TEN-C525AC6A72A0; TEN-DD342226D88C; TEN-F245DCACA3B9; TEN-F6797F6E5637</x:v>
      </x:c>
      <x:c r="S217" s="12" t="str">
        <x:v>Flexible workspace / mixed businesses</x:v>
      </x:c>
      <x:c r="T217" s="12" t="str">
        <x:v>Tenant business-type estimates and reviewed company-scale context.</x:v>
      </x:c>
    </x:row>
    <x:row r="218" ht="64" customHeight="1">
      <x:c r="A218" s="10" t="n">
        <x:v>1</x:v>
      </x:c>
      <x:c r="B218" s="2" t="str">
        <x:v>CORP-0216</x:v>
      </x:c>
      <x:c r="C218" s="2" t="str">
        <x:v>Hyderabad</x:v>
      </x:c>
      <x:c r="D218" s="2" t="str">
        <x:v>MSTY8QSC</x:v>
      </x:c>
      <x:c r="E218" s="12" t="str">
        <x:v>Awfis - Myscape Weave</x:v>
      </x:c>
      <x:c r="F218" s="12" t="str">
        <x:v>Nanakaramguda</x:v>
      </x:c>
      <x:c r="G218" s="11" t="n">
        <x:v>2</x:v>
      </x:c>
      <x:c r="H218" s="2" t="str">
        <x:v>32 inch LED TV</x:v>
      </x:c>
      <x:c r="I218" s="12" t="str">
        <x:v>Van lavino</x:v>
      </x:c>
      <x:c r="J218" s="2" t="n">
        <x:v>1</x:v>
      </x:c>
      <x:c r="K218" s="12" t="str">
        <x:v>Inventory-listed building/workspace context; current occupancy and screen access unverified</x:v>
      </x:c>
      <x:c r="L218" s="12" t="str">
        <x:v>Trade, consumer &amp; logistics</x:v>
      </x:c>
      <x:c r="M218" s="12" t="str">
        <x:v>Small-scale prospects</x:v>
      </x:c>
      <x:c r="N218" s="12" t="str">
        <x:v>MAIN-220</x:v>
      </x:c>
      <x:c r="O218" s="13" t="n">
        <x:v>17.41456413269043</x:v>
      </x:c>
      <x:c r="P218" s="13" t="n">
        <x:v>78.33641052246094</x:v>
      </x:c>
      <x:c r="Q218" s="2" t="str">
        <x:v>https://www.google.com/maps?q=17.41456413269043,78.33641052246094</x:v>
      </x:c>
      <x:c r="R218" s="2" t="str">
        <x:v>TEN-7EEAA5C48638</x:v>
      </x:c>
      <x:c r="S218" s="12" t="str">
        <x:v>Flexible workspace / mixed businesses</x:v>
      </x:c>
      <x:c r="T218" s="12" t="str">
        <x:v>Tenant business-type estimates and reviewed company-scale context.</x:v>
      </x:c>
    </x:row>
    <x:row r="219" ht="64" customHeight="1">
      <x:c r="A219" s="10" t="n">
        <x:v>1</x:v>
      </x:c>
      <x:c r="B219" s="2" t="str">
        <x:v>CORP-0217</x:v>
      </x:c>
      <x:c r="C219" s="2" t="str">
        <x:v>Hyderabad</x:v>
      </x:c>
      <x:c r="D219" s="2" t="str">
        <x:v>MS04G7X0</x:v>
      </x:c>
      <x:c r="E219" s="12" t="str">
        <x:v>Awfis - Oyster Complex</x:v>
      </x:c>
      <x:c r="F219" s="12" t="str">
        <x:v>Begumpet</x:v>
      </x:c>
      <x:c r="G219" s="11" t="n">
        <x:v>3</x:v>
      </x:c>
      <x:c r="H219" s="2" t="str">
        <x:v>24 inch LED TV, 32 inch LED TV</x:v>
      </x:c>
      <x:c r="I219" s="12" t="str">
        <x:v>Visamint; Neemans; Fund insights investment; world immigration consultant; Lead brand media; Piramal; Migration Standards; iRich</x:v>
      </x:c>
      <x:c r="J219" s="2" t="n">
        <x:v>8</x:v>
      </x:c>
      <x:c r="K219" s="12" t="str">
        <x:v>Inventory-listed building/workspace context; current occupancy and screen access unverified</x:v>
      </x:c>
      <x:c r="L219" s="12" t="str">
        <x:v>Professional services; Finance &amp; insurance; Trade, consumer &amp; logistics; Unresolved</x:v>
      </x:c>
      <x:c r="M219" s="12" t="str">
        <x:v>Small-scale prospects; Medium-scale prospects; Mixed business audience</x:v>
      </x:c>
      <x:c r="N219" s="12" t="str">
        <x:v>MAIN-221</x:v>
      </x:c>
      <x:c r="O219" s="13" t="n">
        <x:v>17.430423736572266</x:v>
      </x:c>
      <x:c r="P219" s="13" t="n">
        <x:v>78.4564208984375</x:v>
      </x:c>
      <x:c r="Q219" s="2" t="str">
        <x:v>https://www.google.com/maps?q=17.430423736572266,78.4564208984375</x:v>
      </x:c>
      <x:c r="R219" s="2" t="str">
        <x:v>TEN-520E38F2296E; TEN-55B1CEC73AC7; TEN-55F53741C757; TEN-92AB83E2F102; TEN-AAC1A4C13A29; TEN-B0B13A53811B; TEN-DD342226D88C; TEN-F6797F6E5637</x:v>
      </x:c>
      <x:c r="S219" s="12" t="str">
        <x:v>Flexible workspace / mixed businesses</x:v>
      </x:c>
      <x:c r="T219" s="12" t="str">
        <x:v>Tenant business-type estimates and reviewed company-scale context.</x:v>
      </x:c>
    </x:row>
    <x:row r="220" ht="64" customHeight="1">
      <x:c r="A220" s="10" t="n">
        <x:v>1</x:v>
      </x:c>
      <x:c r="B220" s="2" t="str">
        <x:v>CORP-0218</x:v>
      </x:c>
      <x:c r="C220" s="2" t="str">
        <x:v>Hyderabad</x:v>
      </x:c>
      <x:c r="D220" s="2" t="str">
        <x:v>MSFSMGZE</x:v>
      </x:c>
      <x:c r="E220" s="12" t="str">
        <x:v>Awfis - Prestige Phoenix</x:v>
      </x:c>
      <x:c r="F220" s="12" t="str">
        <x:v>Begumpet</x:v>
      </x:c>
      <x:c r="G220" s="11" t="n">
        <x:v>3</x:v>
      </x:c>
      <x:c r="H220" s="2" t="str">
        <x:v>32 inch LED TV</x:v>
      </x:c>
      <x:c r="I220" s="12" t="str">
        <x:v>Digit; Merck; Novateur electrical and digital enterprises</x:v>
      </x:c>
      <x:c r="J220" s="2" t="n">
        <x:v>3</x:v>
      </x:c>
      <x:c r="K220" s="12" t="str">
        <x:v>Inventory-listed building/workspace context; current occupancy and screen access unverified</x:v>
      </x:c>
      <x:c r="L220" s="12" t="str">
        <x:v>Finance &amp; insurance; Engineering &amp; manufacturing; Healthcare &amp; life sciences</x:v>
      </x:c>
      <x:c r="M220" s="12" t="str">
        <x:v>Mixed business audience</x:v>
      </x:c>
      <x:c r="N220" s="12" t="str">
        <x:v>MAIN-222</x:v>
      </x:c>
      <x:c r="O220" s="13" t="n">
        <x:v>17.437199</x:v>
      </x:c>
      <x:c r="P220" s="13" t="n">
        <x:v>78.457087</x:v>
      </x:c>
      <x:c r="Q220" s="2" t="str">
        <x:v>https://www.google.com/maps?q=17.437199,78.457087</x:v>
      </x:c>
      <x:c r="R220" s="2" t="str">
        <x:v>TEN-95FF34CF19E6; TEN-C4D854EC4DAA; TEN-F8D66EC99CED</x:v>
      </x:c>
      <x:c r="S220" s="12" t="str">
        <x:v>Flexible workspace / mixed businesses</x:v>
      </x:c>
      <x:c r="T220" s="12" t="str">
        <x:v>Tenant business-type estimates and reviewed company-scale context.</x:v>
      </x:c>
    </x:row>
    <x:row r="221" ht="64" customHeight="1">
      <x:c r="A221" s="10" t="n">
        <x:v>1</x:v>
      </x:c>
      <x:c r="B221" s="2" t="str">
        <x:v>CORP-0219</x:v>
      </x:c>
      <x:c r="C221" s="2" t="str">
        <x:v>Hyderabad</x:v>
      </x:c>
      <x:c r="D221" s="2" t="str">
        <x:v>MS58GHAP</x:v>
      </x:c>
      <x:c r="E221" s="12" t="str">
        <x:v>Awfis - Prestige Skytech</x:v>
      </x:c>
      <x:c r="F221" s="12" t="str">
        <x:v>Financial District</x:v>
      </x:c>
      <x:c r="G221" s="11" t="n">
        <x:v>2</x:v>
      </x:c>
      <x:c r="H221" s="2" t="str">
        <x:v>32 inch LED TV</x:v>
      </x:c>
      <x:c r="I221" s="12" t="str">
        <x:v>Dattam Labs</x:v>
      </x:c>
      <x:c r="J221" s="2" t="n">
        <x:v>1</x:v>
      </x:c>
      <x:c r="K221" s="12" t="str">
        <x:v>Inventory-listed building/workspace context; current occupancy and screen access unverified</x:v>
      </x:c>
      <x:c r="L221" s="12" t="str">
        <x:v>IT &amp; digital</x:v>
      </x:c>
      <x:c r="M221" s="12" t="str">
        <x:v>Small-scale prospects</x:v>
      </x:c>
      <x:c r="N221" s="12" t="str">
        <x:v>MAIN-223</x:v>
      </x:c>
      <x:c r="O221" s="13" t="n">
        <x:v>17.414167404174805</x:v>
      </x:c>
      <x:c r="P221" s="13" t="n">
        <x:v>78.33903503417969</x:v>
      </x:c>
      <x:c r="Q221" s="2" t="str">
        <x:v>https://www.google.com/maps?q=17.414167404174805,78.33903503417969</x:v>
      </x:c>
      <x:c r="R221" s="2" t="str">
        <x:v>TEN-01852F0C541F</x:v>
      </x:c>
      <x:c r="S221" s="12" t="str">
        <x:v>Flexible workspace / mixed businesses</x:v>
      </x:c>
      <x:c r="T221" s="12" t="str">
        <x:v>Tenant business-type estimates and reviewed company-scale context.</x:v>
      </x:c>
    </x:row>
    <x:row r="222" ht="64" customHeight="1">
      <x:c r="A222" s="10" t="n">
        <x:v>1</x:v>
      </x:c>
      <x:c r="B222" s="2" t="str">
        <x:v>CORP-0220</x:v>
      </x:c>
      <x:c r="C222" s="2" t="str">
        <x:v>Hyderabad</x:v>
      </x:c>
      <x:c r="D222" s="2" t="str">
        <x:v>MSW45DT1</x:v>
      </x:c>
      <x:c r="E222" s="12" t="str">
        <x:v>Awfis - Rajapushpa Summit</x:v>
      </x:c>
      <x:c r="F222" s="12" t="str">
        <x:v>Nanakaramguda</x:v>
      </x:c>
      <x:c r="G222" s="11" t="n">
        <x:v>3</x:v>
      </x:c>
      <x:c r="H222" s="2" t="str">
        <x:v>32 inch LED TV</x:v>
      </x:c>
      <x:c r="I222" s="12" t="str">
        <x:v>TATA elxsi; WeWork; Rational services; thoughtworks technologies pvt ltd; urvo india symbyont smart spaces</x:v>
      </x:c>
      <x:c r="J222" s="2" t="n">
        <x:v>5</x:v>
      </x:c>
      <x:c r="K222" s="12" t="str">
        <x:v>Campus/portfolio roster; individual building occupancy unverified</x:v>
      </x:c>
      <x:c r="L222" s="12" t="str">
        <x:v>IT &amp; digital; Trade, consumer &amp; logistics; Workspace &amp; property operations; Unresolved</x:v>
      </x:c>
      <x:c r="M222" s="12" t="str">
        <x:v>Small-scale prospects; Large enterprise; Mixed business audience</x:v>
      </x:c>
      <x:c r="N222" s="12" t="str">
        <x:v>MAIN-224</x:v>
      </x:c>
      <x:c r="O222" s="13" t="n">
        <x:v>17.423187255859375</x:v>
      </x:c>
      <x:c r="P222" s="13" t="n">
        <x:v>78.33953857421875</x:v>
      </x:c>
      <x:c r="Q222" s="2" t="str">
        <x:v>https://www.google.com/maps?q=17.423187255859375,78.33953857421875</x:v>
      </x:c>
      <x:c r="R222" s="2" t="str">
        <x:v>TEN-45D9225952C7; TEN-5B81D52D4310; TEN-7AF845A38273; TEN-AF5979674500; TEN-C28DCC1AC830</x:v>
      </x:c>
      <x:c r="S222" s="12" t="str">
        <x:v>Flexible workspace / mixed businesses</x:v>
      </x:c>
      <x:c r="T222" s="12" t="str">
        <x:v>Tenant business-type estimates and reviewed company-scale context.</x:v>
      </x:c>
    </x:row>
    <x:row r="223" ht="64" customHeight="1">
      <x:c r="A223" s="10" t="n">
        <x:v>1</x:v>
      </x:c>
      <x:c r="B223" s="2" t="str">
        <x:v>CORP-0221</x:v>
      </x:c>
      <x:c r="C223" s="2" t="str">
        <x:v>Hyderabad</x:v>
      </x:c>
      <x:c r="D223" s="2" t="str">
        <x:v>MS2311D3</x:v>
      </x:c>
      <x:c r="E223" s="12" t="str">
        <x:v>Awfis - Vasavi MPM Mall</x:v>
      </x:c>
      <x:c r="F223" s="12" t="str">
        <x:v>Ameerpet</x:v>
      </x:c>
      <x:c r="G223" s="11" t="n">
        <x:v>2</x:v>
      </x:c>
      <x:c r="H223" s="2" t="str">
        <x:v>32 inch LED TV</x:v>
      </x:c>
      <x:c r="I223" s="12" t="str">
        <x:v>Hash Overseas; willis towers watson; Study overseas; skyland; Aarth; ernota technogies; Gleneagles hospitals; digital Brandlance</x:v>
      </x:c>
      <x:c r="J223" s="2" t="n">
        <x:v>8</x:v>
      </x:c>
      <x:c r="K223" s="12" t="str">
        <x:v>Inventory-listed building/workspace context; current occupancy and screen access unverified</x:v>
      </x:c>
      <x:c r="L223" s="12" t="str">
        <x:v>IT &amp; digital; Professional services; Healthcare &amp; life sciences; Education; Unresolved</x:v>
      </x:c>
      <x:c r="M223" s="12" t="str">
        <x:v>Small-scale prospects; Mixed business audience</x:v>
      </x:c>
      <x:c r="N223" s="12" t="str">
        <x:v>MAIN-225</x:v>
      </x:c>
      <x:c r="O223" s="13" t="n">
        <x:v>17.43308143</x:v>
      </x:c>
      <x:c r="P223" s="13" t="n">
        <x:v>78.44863917</x:v>
      </x:c>
      <x:c r="Q223" s="2" t="str">
        <x:v>https://www.google.com/maps?q=17.43308143,78.44863917</x:v>
      </x:c>
      <x:c r="R223" s="2" t="str">
        <x:v>TEN-00C839FED430; TEN-21A82BF14B76; TEN-4DAC977F7C8C; TEN-65B3339FFCA4; TEN-681BFF1142BC; TEN-7480369513A1; TEN-AA97FBCCF197; TEN-DDCD44A7DAAA</x:v>
      </x:c>
      <x:c r="S223" s="12" t="str">
        <x:v>Flexible workspace / mixed businesses</x:v>
      </x:c>
      <x:c r="T223" s="12" t="str">
        <x:v>Tenant business-type estimates and reviewed company-scale context.</x:v>
      </x:c>
    </x:row>
    <x:row r="224" ht="64" customHeight="1">
      <x:c r="A224" s="10" t="n">
        <x:v>1</x:v>
      </x:c>
      <x:c r="B224" s="2" t="str">
        <x:v>CORP-0222</x:v>
      </x:c>
      <x:c r="C224" s="2" t="str">
        <x:v>Hyderabad</x:v>
      </x:c>
      <x:c r="D224" s="2" t="str">
        <x:v>MS8XWDQH</x:v>
      </x:c>
      <x:c r="E224" s="12" t="str">
        <x:v>CIE Office Space</x:v>
      </x:c>
      <x:c r="F224" s="12" t="str">
        <x:v>Ground Floor, Vindhya C4, IIIT-H Campus, Gachibowli, Telangana 500032</x:v>
      </x:c>
      <x:c r="G224" s="11" t="n">
        <x:v>4</x:v>
      </x:c>
      <x:c r="H224" s="2" t="str">
        <x:v>32 inch LED TV</x:v>
      </x:c>
      <x:c r="I224" s="12" t="str">
        <x:v>Indriyn Data analytics; Kainoos geospartial technologies; Avanthika Innovations; Alphamu software technologies; Akrantha software PVT LTD; Shine projects; Aapah innovations; MED365; Five fingers innovative solutions; Agilitix Al; bucker HQ</x:v>
      </x:c>
      <x:c r="J224" s="2" t="n">
        <x:v>11</x:v>
      </x:c>
      <x:c r="K224" s="12" t="str">
        <x:v>Inventory-listed building/workspace context; current occupancy and screen access unverified</x:v>
      </x:c>
      <x:c r="L224" s="12" t="str">
        <x:v>IT &amp; digital; Healthcare &amp; life sciences; Unresolved</x:v>
      </x:c>
      <x:c r="M224" s="12" t="str">
        <x:v>Small-scale prospects; Medium-scale prospects; Mixed business audience</x:v>
      </x:c>
      <x:c r="N224" s="12" t="str">
        <x:v>MAIN-226</x:v>
      </x:c>
      <x:c r="O224" s="13" t="n">
        <x:v>17.44615936279297</x:v>
      </x:c>
      <x:c r="P224" s="13" t="n">
        <x:v>78.34999084472656</x:v>
      </x:c>
      <x:c r="Q224" s="2" t="str">
        <x:v>https://www.google.com/maps?q=17.44615936279297,78.34999084472656</x:v>
      </x:c>
      <x:c r="R224" s="2" t="str">
        <x:v>TEN-0D6EE04B36F3; TEN-1C803D88AFC5; TEN-3650DF32F50C; TEN-4749F5FD72F9; TEN-4831FEA01C5A; TEN-5D217103CFD8; TEN-7AA9C7FAD1B1; TEN-8D6660F8A757; TEN-942AB959209B; TEN-9AC38C1AEF1F; TEN-CF222513A60C</x:v>
      </x:c>
      <x:c r="S224" s="12" t="str">
        <x:v>Multi-tenant business offices</x:v>
      </x:c>
      <x:c r="T224" s="12" t="str">
        <x:v>Tenant business-type estimates and reviewed company-scale context.</x:v>
      </x:c>
    </x:row>
    <x:row r="225" ht="64" customHeight="1">
      <x:c r="A225" s="10" t="n">
        <x:v>1</x:v>
      </x:c>
      <x:c r="B225" s="2" t="str">
        <x:v>CORP-0223</x:v>
      </x:c>
      <x:c r="C225" s="2" t="str">
        <x:v>Hyderabad</x:v>
      </x:c>
      <x:c r="D225" s="2" t="str">
        <x:v>MSV5H71Q</x:v>
      </x:c>
      <x:c r="E225" s="12" t="str">
        <x:v>Draper</x:v>
      </x:c>
      <x:c r="F225" s="12" t="str">
        <x:v>Gachibowli</x:v>
      </x:c>
      <x:c r="G225" s="11" t="n">
        <x:v>3</x:v>
      </x:c>
      <x:c r="H225" s="2" t="str">
        <x:v>32 inch LED TV</x:v>
      </x:c>
      <x:c r="I225" s="12" t="str">
        <x:v>Headstart Network Foundation; GroundZero; TG10X</x:v>
      </x:c>
      <x:c r="J225" s="2" t="n">
        <x:v>3</x:v>
      </x:c>
      <x:c r="K225" s="12" t="str">
        <x:v>Inventory-listed building/workspace context; current occupancy and screen access unverified</x:v>
      </x:c>
      <x:c r="L225" s="12" t="str">
        <x:v>Government &amp; nonprofit; Unresolved</x:v>
      </x:c>
      <x:c r="M225" s="12" t="str">
        <x:v>Institutional; Mixed business audience</x:v>
      </x:c>
      <x:c r="N225" s="12" t="str">
        <x:v>MAIN-227</x:v>
      </x:c>
      <x:c r="O225" s="13" t="n">
        <x:v>17.442853927612305</x:v>
      </x:c>
      <x:c r="P225" s="13" t="n">
        <x:v>78.35852813720703</x:v>
      </x:c>
      <x:c r="Q225" s="2" t="str">
        <x:v>https://www.google.com/maps?q=17.442853927612305,78.35852813720703</x:v>
      </x:c>
      <x:c r="R225" s="2" t="str">
        <x:v>TEN-35F8EBAADD16; TEN-51276467ED49; TEN-DAD83D548056</x:v>
      </x:c>
      <x:c r="S225" s="12" t="str">
        <x:v>Mixed commercial workplace</x:v>
      </x:c>
      <x:c r="T225" s="12" t="str">
        <x:v>Tenant business-type estimates and reviewed company-scale context.</x:v>
      </x:c>
    </x:row>
    <x:row r="226" ht="64" customHeight="1">
      <x:c r="A226" s="10" t="n">
        <x:v>1</x:v>
      </x:c>
      <x:c r="B226" s="2" t="str">
        <x:v>CORP-0224</x:v>
      </x:c>
      <x:c r="C226" s="2" t="str">
        <x:v>Hyderabad</x:v>
      </x:c>
      <x:c r="D226" s="2" t="str">
        <x:v>MSJ2NE10</x:v>
      </x:c>
      <x:c r="E226" s="12" t="str">
        <x:v>DSL Abacus IT Park</x:v>
      </x:c>
      <x:c r="F226" s="12" t="str">
        <x:v>Hyderabad</x:v>
      </x:c>
      <x:c r="G226" s="11" t="n">
        <x:v>4</x:v>
      </x:c>
      <x:c r="H226" s="2" t="str">
        <x:v>32 inch LED TV</x:v>
      </x:c>
      <x:c r="I226" s="12" t="str"/>
      <x:c r="J226" s="2" t="n">
        <x:v>0</x:v>
      </x:c>
      <x:c r="K226" s="12" t="str">
        <x:v>Unresolved; no supported tenant names</x:v>
      </x:c>
      <x:c r="L226" s="12" t="str">
        <x:v>Unclassified</x:v>
      </x:c>
      <x:c r="M226" s="12" t="str">
        <x:v>Mixed business audience</x:v>
      </x:c>
      <x:c r="N226" s="12" t="str">
        <x:v>MAIN-228</x:v>
      </x:c>
      <x:c r="O226" s="13" t="n">
        <x:v>17.399776458740234</x:v>
      </x:c>
      <x:c r="P226" s="13" t="n">
        <x:v>78.55554962158203</x:v>
      </x:c>
      <x:c r="Q226" s="2" t="str">
        <x:v>https://www.google.com/maps?q=17.399776458740234,78.55554962158203</x:v>
      </x:c>
      <x:c r="R226" s="2" t="str"/>
      <x:c r="S226" s="12" t="str">
        <x:v>Technology office park</x:v>
      </x:c>
      <x:c r="T226" s="12" t="str">
        <x:v>The official DSL Abacus project identifies itself as an IT park in Uppal. Standard and POD rows share the same named property profile. No occupant list or summed headcount inferred.</x:v>
      </x:c>
    </x:row>
    <x:row r="227" ht="64" customHeight="1">
      <x:c r="A227" s="10" t="n">
        <x:v>1</x:v>
      </x:c>
      <x:c r="B227" s="2" t="str">
        <x:v>CORP-0226</x:v>
      </x:c>
      <x:c r="C227" s="2" t="str">
        <x:v>Hyderabad</x:v>
      </x:c>
      <x:c r="D227" s="2" t="str">
        <x:v>MSF5QG1H</x:v>
      </x:c>
      <x:c r="E227" s="12" t="str">
        <x:v>Elemental</x:v>
      </x:c>
      <x:c r="F227" s="12" t="str">
        <x:v>Financial District</x:v>
      </x:c>
      <x:c r="G227" s="11" t="n">
        <x:v>4</x:v>
      </x:c>
      <x:c r="H227" s="2" t="str">
        <x:v>43 inch LED TV</x:v>
      </x:c>
      <x:c r="I227" s="12" t="str">
        <x:v>Info Services Digitech India; Elemental Realty Pvt Ltd</x:v>
      </x:c>
      <x:c r="J227" s="2" t="n">
        <x:v>2</x:v>
      </x:c>
      <x:c r="K227" s="12" t="str">
        <x:v>Inventory-listed building/workspace context; current occupancy and screen access unverified</x:v>
      </x:c>
      <x:c r="L227" s="12" t="str">
        <x:v>Trade, consumer &amp; logistics; Unresolved</x:v>
      </x:c>
      <x:c r="M227" s="12" t="str">
        <x:v>Small-scale prospects; Mixed business audience</x:v>
      </x:c>
      <x:c r="N227" s="12" t="str">
        <x:v>MAIN-230</x:v>
      </x:c>
      <x:c r="O227" s="13" t="n">
        <x:v>17.413440704345703</x:v>
      </x:c>
      <x:c r="P227" s="13" t="n">
        <x:v>78.34354400634766</x:v>
      </x:c>
      <x:c r="Q227" s="2" t="str">
        <x:v>https://www.google.com/maps?q=17.413440704345703,78.34354400634766</x:v>
      </x:c>
      <x:c r="R227" s="2" t="str">
        <x:v>TEN-1D0B501C3EE3; TEN-283307F05C7F</x:v>
      </x:c>
      <x:c r="S227" s="12" t="str">
        <x:v>Mixed commercial workplace</x:v>
      </x:c>
      <x:c r="T227" s="12" t="str">
        <x:v>Tenant business-type estimates and reviewed company-scale context.</x:v>
      </x:c>
    </x:row>
    <x:row r="228" ht="64" customHeight="1">
      <x:c r="A228" s="10" t="n">
        <x:v>1</x:v>
      </x:c>
      <x:c r="B228" s="2" t="str">
        <x:v>CORP-0228</x:v>
      </x:c>
      <x:c r="C228" s="2" t="str">
        <x:v>Hyderabad</x:v>
      </x:c>
      <x:c r="D228" s="2" t="str">
        <x:v>MS274R65</x:v>
      </x:c>
      <x:c r="E228" s="12" t="str">
        <x:v>GAR Laxmi Infobahn (T1, T2){IE}</x:v>
      </x:c>
      <x:c r="F228" s="12" t="str">
        <x:v>Gandipet</x:v>
      </x:c>
      <x:c r="G228" s="11" t="n">
        <x:v>21</x:v>
      </x:c>
      <x:c r="H228" s="2" t="str">
        <x:v>24 inch LED TV</x:v>
      </x:c>
      <x:c r="I228" s="12" t="str">
        <x:v>Innova Solutions; CorroHealth Infotech Pvt Ltd</x:v>
      </x:c>
      <x:c r="J228" s="2" t="n">
        <x:v>2</x:v>
      </x:c>
      <x:c r="K228" s="12" t="str">
        <x:v>Company-listed tower/campus context; exact screen access unverified</x:v>
      </x:c>
      <x:c r="L228" s="12" t="str">
        <x:v>IT &amp; digital; Healthcare &amp; life sciences</x:v>
      </x:c>
      <x:c r="M228" s="12" t="str">
        <x:v>Large enterprise</x:v>
      </x:c>
      <x:c r="N228" s="12" t="str">
        <x:v>MAIN-232</x:v>
      </x:c>
      <x:c r="O228" s="13" t="n">
        <x:v>17.38088607788086</x:v>
      </x:c>
      <x:c r="P228" s="13" t="n">
        <x:v>78.32452392578125</x:v>
      </x:c>
      <x:c r="Q228" s="2" t="str">
        <x:v>https://www.google.com/maps?q=17.38088607788086,78.32452392578125</x:v>
      </x:c>
      <x:c r="R228" s="2" t="str">
        <x:v>TEN-48EF4A7809DE; TEN-AF1255090479</x:v>
      </x:c>
      <x:c r="S228" s="12" t="str">
        <x:v>Mixed commercial workplace</x:v>
      </x:c>
      <x:c r="T228" s="12" t="str">
        <x:v>Tenant business-type estimates and reviewed company-scale context.</x:v>
      </x:c>
    </x:row>
    <x:row r="229" ht="64" customHeight="1">
      <x:c r="A229" s="10" t="n">
        <x:v>1</x:v>
      </x:c>
      <x:c r="B229" s="2" t="str">
        <x:v>CORP-0230</x:v>
      </x:c>
      <x:c r="C229" s="2" t="str">
        <x:v>Hyderabad</x:v>
      </x:c>
      <x:c r="D229" s="2" t="str">
        <x:v>MSRYTHNT</x:v>
      </x:c>
      <x:c r="E229" s="12" t="str">
        <x:v>GAR Laxmi Infobahn (T3, T4) {IE}</x:v>
      </x:c>
      <x:c r="F229" s="12" t="str">
        <x:v>Kokapet</x:v>
      </x:c>
      <x:c r="G229" s="11" t="n">
        <x:v>16</x:v>
      </x:c>
      <x:c r="H229" s="2" t="str">
        <x:v>24 inch LED TV</x:v>
      </x:c>
      <x:c r="I229" s="12" t="str">
        <x:v>Capgemini Technology Services India Limited</x:v>
      </x:c>
      <x:c r="J229" s="2" t="n">
        <x:v>1</x:v>
      </x:c>
      <x:c r="K229" s="12" t="str">
        <x:v>Company-listed tower/campus context; exact screen access unverified</x:v>
      </x:c>
      <x:c r="L229" s="12" t="str">
        <x:v>IT &amp; digital</x:v>
      </x:c>
      <x:c r="M229" s="12" t="str">
        <x:v>Large enterprise</x:v>
      </x:c>
      <x:c r="N229" s="12" t="str">
        <x:v>MAIN-234</x:v>
      </x:c>
      <x:c r="O229" s="13" t="n">
        <x:v>17.40387535095215</x:v>
      </x:c>
      <x:c r="P229" s="13" t="n">
        <x:v>78.33106231689453</x:v>
      </x:c>
      <x:c r="Q229" s="2" t="str">
        <x:v>https://www.google.com/maps?q=17.40387535095215,78.33106231689453</x:v>
      </x:c>
      <x:c r="R229" s="2" t="str">
        <x:v>TEN-E1F3AEFC4A1F</x:v>
      </x:c>
      <x:c r="S229" s="12" t="str">
        <x:v>Mixed commercial workplace</x:v>
      </x:c>
      <x:c r="T229" s="12" t="str">
        <x:v>Tenant business-type estimates and reviewed company-scale context.</x:v>
      </x:c>
    </x:row>
    <x:row r="230" ht="64" customHeight="1">
      <x:c r="A230" s="10" t="n">
        <x:v>1</x:v>
      </x:c>
      <x:c r="B230" s="2" t="str">
        <x:v>CORP-0231</x:v>
      </x:c>
      <x:c r="C230" s="2" t="str">
        <x:v>Hyderabad</x:v>
      </x:c>
      <x:c r="D230" s="2" t="str">
        <x:v>MSPTE45W</x:v>
      </x:c>
      <x:c r="E230" s="12" t="str">
        <x:v>GAR Laxmi Infobahn (T5, T6)</x:v>
      </x:c>
      <x:c r="F230" s="12" t="str">
        <x:v>Gandipet</x:v>
      </x:c>
      <x:c r="G230" s="11" t="n">
        <x:v>9</x:v>
      </x:c>
      <x:c r="H230" s="2" t="str">
        <x:v>55 inch LED TV</x:v>
      </x:c>
      <x:c r="I230" s="12" t="str">
        <x:v>Alstom; Zeta; Lansum; Cognizant; Capgemini</x:v>
      </x:c>
      <x:c r="J230" s="2" t="n">
        <x:v>5</x:v>
      </x:c>
      <x:c r="K230" s="12" t="str">
        <x:v>Campus/portfolio roster; individual building occupancy unverified</x:v>
      </x:c>
      <x:c r="L230" s="12" t="str">
        <x:v>IT &amp; digital; Finance &amp; insurance; Engineering &amp; manufacturing; Trade, consumer &amp; logistics</x:v>
      </x:c>
      <x:c r="M230" s="12" t="str">
        <x:v>Small-scale prospects; Large enterprise</x:v>
      </x:c>
      <x:c r="N230" s="12" t="str">
        <x:v>MAIN-235</x:v>
      </x:c>
      <x:c r="O230" s="13" t="n">
        <x:v>17.38088607788086</x:v>
      </x:c>
      <x:c r="P230" s="13" t="n">
        <x:v>78.32452392578125</x:v>
      </x:c>
      <x:c r="Q230" s="2" t="str">
        <x:v>https://www.google.com/maps?q=17.38088607788086,78.32452392578125</x:v>
      </x:c>
      <x:c r="R230" s="2" t="str">
        <x:v>TEN-36E26473A4E8; TEN-5CC10D9143B2; TEN-60E773B49B70; TEN-86F73DFE7BB6; TEN-F55A85B2F2EB</x:v>
      </x:c>
      <x:c r="S230" s="12" t="str">
        <x:v>Mixed commercial workplace</x:v>
      </x:c>
      <x:c r="T230" s="12" t="str">
        <x:v>Tenant business-type estimates and reviewed company-scale context.</x:v>
      </x:c>
    </x:row>
    <x:row r="231" ht="64" customHeight="1">
      <x:c r="A231" s="10" t="n">
        <x:v>1</x:v>
      </x:c>
      <x:c r="B231" s="2" t="str">
        <x:v>CORP-0232</x:v>
      </x:c>
      <x:c r="C231" s="2" t="str">
        <x:v>Hyderabad</x:v>
      </x:c>
      <x:c r="D231" s="2" t="str">
        <x:v>MSQHZRP6</x:v>
      </x:c>
      <x:c r="E231" s="12" t="str">
        <x:v>GAR Laxmi Infobahn (T5, T6){IE}</x:v>
      </x:c>
      <x:c r="F231" s="12" t="str">
        <x:v>Gandipet</x:v>
      </x:c>
      <x:c r="G231" s="11" t="n">
        <x:v>27</x:v>
      </x:c>
      <x:c r="H231" s="2" t="str">
        <x:v>24 inch LED TV</x:v>
      </x:c>
      <x:c r="I231" s="12" t="str">
        <x:v>Alstom; Zeta; Lansum; Cognizant; Capgemini</x:v>
      </x:c>
      <x:c r="J231" s="2" t="n">
        <x:v>5</x:v>
      </x:c>
      <x:c r="K231" s="12" t="str">
        <x:v>Campus/portfolio roster; individual building occupancy unverified</x:v>
      </x:c>
      <x:c r="L231" s="12" t="str">
        <x:v>IT &amp; digital; Finance &amp; insurance; Engineering &amp; manufacturing; Trade, consumer &amp; logistics</x:v>
      </x:c>
      <x:c r="M231" s="12" t="str">
        <x:v>Small-scale prospects; Large enterprise</x:v>
      </x:c>
      <x:c r="N231" s="12" t="str">
        <x:v>MAIN-236</x:v>
      </x:c>
      <x:c r="O231" s="13" t="n">
        <x:v>17.38088607788086</x:v>
      </x:c>
      <x:c r="P231" s="13" t="n">
        <x:v>78.32452392578125</x:v>
      </x:c>
      <x:c r="Q231" s="2" t="str">
        <x:v>https://www.google.com/maps?q=17.38088607788086,78.32452392578125</x:v>
      </x:c>
      <x:c r="R231" s="2" t="str">
        <x:v>TEN-36E26473A4E8; TEN-5CC10D9143B2; TEN-60E773B49B70; TEN-86F73DFE7BB6; TEN-F55A85B2F2EB</x:v>
      </x:c>
      <x:c r="S231" s="12" t="str">
        <x:v>Mixed commercial workplace</x:v>
      </x:c>
      <x:c r="T231" s="12" t="str">
        <x:v>Tenant business-type estimates and reviewed company-scale context.</x:v>
      </x:c>
    </x:row>
    <x:row r="232" ht="64" customHeight="1">
      <x:c r="A232" s="10" t="n">
        <x:v>1</x:v>
      </x:c>
      <x:c r="B232" s="2" t="str">
        <x:v>CORP-0233</x:v>
      </x:c>
      <x:c r="C232" s="2" t="str">
        <x:v>Hyderabad</x:v>
      </x:c>
      <x:c r="D232" s="2" t="str">
        <x:v>MSRKK39Z</x:v>
      </x:c>
      <x:c r="E232" s="12" t="str">
        <x:v>Meenakshi Tech Park</x:v>
      </x:c>
      <x:c r="F232" s="12" t="str">
        <x:v>Gachibowli and Hitech City</x:v>
      </x:c>
      <x:c r="G232" s="11" t="n">
        <x:v>2</x:v>
      </x:c>
      <x:c r="H232" s="2" t="str">
        <x:v>55 inch LED TV</x:v>
      </x:c>
      <x:c r="I232" s="12" t="str">
        <x:v>Areteans Hyderabad; Ivy Comptech Meenakshi; O.C.Tanner India Pvt Ltd; Credera Hyderabad; Reliance Retail Limited; Itya TV; KlearTone Pvt Ltd</x:v>
      </x:c>
      <x:c r="J232" s="2" t="n">
        <x:v>7</x:v>
      </x:c>
      <x:c r="K232" s="12" t="str">
        <x:v>Campus/portfolio roster; individual building occupancy unverified</x:v>
      </x:c>
      <x:c r="L232" s="12" t="str">
        <x:v>IT &amp; digital; Professional services; Trade, consumer &amp; logistics; Unresolved</x:v>
      </x:c>
      <x:c r="M232" s="12" t="str">
        <x:v>Small-scale prospects; Large enterprise; Mixed business audience</x:v>
      </x:c>
      <x:c r="N232" s="12" t="str">
        <x:v>MAIN-237</x:v>
      </x:c>
      <x:c r="O232" s="13" t="n">
        <x:v>17.443562</x:v>
      </x:c>
      <x:c r="P232" s="13" t="n">
        <x:v>78.369468</x:v>
      </x:c>
      <x:c r="Q232" s="2" t="str">
        <x:v>https://www.google.com/maps?q=17.443562,78.369468</x:v>
      </x:c>
      <x:c r="R232" s="2" t="str">
        <x:v>TEN-0B1B737E0D61; TEN-2167B7AB9B82; TEN-76119E99264F; TEN-78DCE9DD9B5D; TEN-A451FD13D198; TEN-CFD92216CFD8; TEN-FAE50BFB0E7A</x:v>
      </x:c>
      <x:c r="S232" s="12" t="str">
        <x:v>IT and enterprise campus</x:v>
      </x:c>
      <x:c r="T232" s="12" t="str">
        <x:v>Tenant business-type estimates and reviewed company-scale context.</x:v>
      </x:c>
    </x:row>
    <x:row r="233" ht="64" customHeight="1">
      <x:c r="A233" s="10" t="n">
        <x:v>1</x:v>
      </x:c>
      <x:c r="B233" s="2" t="str">
        <x:v>CORP-0234</x:v>
      </x:c>
      <x:c r="C233" s="2" t="str">
        <x:v>Hyderabad</x:v>
      </x:c>
      <x:c r="D233" s="2" t="str">
        <x:v>MSJ5XHT2</x:v>
      </x:c>
      <x:c r="E233" s="12" t="str">
        <x:v>Meenakshi Tech Park {IE}</x:v>
      </x:c>
      <x:c r="F233" s="12" t="str">
        <x:v>Gachibowli</x:v>
      </x:c>
      <x:c r="G233" s="11" t="n">
        <x:v>11</x:v>
      </x:c>
      <x:c r="H233" s="2" t="str">
        <x:v>24 inch LED TV</x:v>
      </x:c>
      <x:c r="I233" s="12" t="str">
        <x:v>Areteans Hyderabad; Smart drive; IVY groups; Meritytics; Reliance Retail Limited; HDFC; ATN</x:v>
      </x:c>
      <x:c r="J233" s="2" t="n">
        <x:v>7</x:v>
      </x:c>
      <x:c r="K233" s="12" t="str">
        <x:v>Campus/portfolio roster; individual building occupancy unverified</x:v>
      </x:c>
      <x:c r="L233" s="12" t="str">
        <x:v>IT &amp; digital; Finance &amp; insurance; Trade, consumer &amp; logistics; Unresolved</x:v>
      </x:c>
      <x:c r="M233" s="12" t="str">
        <x:v>Small-scale prospects; Large enterprise; Mixed business audience</x:v>
      </x:c>
      <x:c r="N233" s="12" t="str">
        <x:v>MAIN-238</x:v>
      </x:c>
      <x:c r="O233" s="13" t="n">
        <x:v>17.443790435791016</x:v>
      </x:c>
      <x:c r="P233" s="13" t="n">
        <x:v>78.36992645263672</x:v>
      </x:c>
      <x:c r="Q233" s="2" t="str">
        <x:v>https://www.google.com/maps?q=17.443790435791016,78.36992645263672</x:v>
      </x:c>
      <x:c r="R233" s="2" t="str">
        <x:v>TEN-0B1B737E0D61; TEN-9733364DAF39; TEN-A0C3E5D27CA4; TEN-A3FF8FA9D548; TEN-A451FD13D198; TEN-B023B39C07DC; TEN-C79EC7F1D968</x:v>
      </x:c>
      <x:c r="S233" s="12" t="str">
        <x:v>IT and enterprise campus</x:v>
      </x:c>
      <x:c r="T233" s="12" t="str">
        <x:v>Tenant business-type estimates and reviewed company-scale context.</x:v>
      </x:c>
    </x:row>
    <x:row r="234" ht="64" customHeight="1">
      <x:c r="A234" s="10" t="n">
        <x:v>1</x:v>
      </x:c>
      <x:c r="B234" s="2" t="str">
        <x:v>CORP-0235</x:v>
      </x:c>
      <x:c r="C234" s="2" t="str">
        <x:v>Hyderabad</x:v>
      </x:c>
      <x:c r="D234" s="2" t="str">
        <x:v>MS4AZRPD</x:v>
      </x:c>
      <x:c r="E234" s="12" t="str">
        <x:v>Meenakshi Tech Park-43 Inch Pods</x:v>
      </x:c>
      <x:c r="F234" s="12" t="str">
        <x:v>Gachibowli</x:v>
      </x:c>
      <x:c r="G234" s="11" t="n">
        <x:v>12</x:v>
      </x:c>
      <x:c r="H234" s="2" t="str">
        <x:v>43 inch LED TV</x:v>
      </x:c>
      <x:c r="I234" s="12" t="str">
        <x:v>Areteans Hyderabad; Smart drive; IVY groups; Meritytics; Reliance Retail Limited; HDFC; ATN</x:v>
      </x:c>
      <x:c r="J234" s="2" t="n">
        <x:v>7</x:v>
      </x:c>
      <x:c r="K234" s="12" t="str">
        <x:v>Campus/portfolio roster; individual building occupancy unverified</x:v>
      </x:c>
      <x:c r="L234" s="12" t="str">
        <x:v>IT &amp; digital; Finance &amp; insurance; Trade, consumer &amp; logistics; Unresolved</x:v>
      </x:c>
      <x:c r="M234" s="12" t="str">
        <x:v>Small-scale prospects; Large enterprise; Mixed business audience</x:v>
      </x:c>
      <x:c r="N234" s="12" t="str">
        <x:v>MAIN-239</x:v>
      </x:c>
      <x:c r="O234" s="13" t="n">
        <x:v>17.443790435791016</x:v>
      </x:c>
      <x:c r="P234" s="13" t="n">
        <x:v>78.36992645263672</x:v>
      </x:c>
      <x:c r="Q234" s="2" t="str">
        <x:v>https://www.google.com/maps?q=17.443790435791016,78.36992645263672</x:v>
      </x:c>
      <x:c r="R234" s="2" t="str">
        <x:v>TEN-0B1B737E0D61; TEN-9733364DAF39; TEN-A0C3E5D27CA4; TEN-A3FF8FA9D548; TEN-A451FD13D198; TEN-B023B39C07DC; TEN-C79EC7F1D968</x:v>
      </x:c>
      <x:c r="S234" s="12" t="str">
        <x:v>IT and enterprise campus</x:v>
      </x:c>
      <x:c r="T234" s="12" t="str">
        <x:v>Tenant business-type estimates and reviewed company-scale context.</x:v>
      </x:c>
    </x:row>
    <x:row r="235" ht="75" customHeight="1">
      <x:c r="A235" s="10" t="n">
        <x:v>1</x:v>
      </x:c>
      <x:c r="B235" s="2" t="str">
        <x:v>CORP-0236</x:v>
      </x:c>
      <x:c r="C235" s="2" t="str">
        <x:v>Hyderabad</x:v>
      </x:c>
      <x:c r="D235" s="2" t="str">
        <x:v>MSVKR57Z</x:v>
      </x:c>
      <x:c r="E235" s="12" t="str">
        <x:v>NSL Arena Tech Park</x:v>
      </x:c>
      <x:c r="F235" s="12" t="str">
        <x:v>Survey No- 1, 6, Uppal - Ramanthapur Rd, Uppal, Hyderabad, Telangana 500039</x:v>
      </x:c>
      <x:c r="G235" s="11" t="n">
        <x:v>13</x:v>
      </x:c>
      <x:c r="H235" s="2" t="str">
        <x:v>32 inch LED TV</x:v>
      </x:c>
      <x:c r="I235" s="12" t="str">
        <x:v>Midnight cravings; Smart folks; IKS Health Pvt. Ltd; Cyient Ltd; LIC; Excelra; Honey bees; ProKarma Softech; Suja Associates Pvt Ltd; Techintelli solutions pvt ltd; Lancesoft india pvt ltd</x:v>
      </x:c>
      <x:c r="J235" s="2" t="n">
        <x:v>11</x:v>
      </x:c>
      <x:c r="K235" s="12" t="str">
        <x:v>Inventory-listed building/workspace context; current occupancy and screen access unverified</x:v>
      </x:c>
      <x:c r="L235" s="12" t="str">
        <x:v>IT &amp; digital; Professional services; Finance &amp; insurance; Engineering &amp; manufacturing; Healthcare &amp; life sciences; Trade, consumer &amp; logistics; Unresolved</x:v>
      </x:c>
      <x:c r="M235" s="12" t="str">
        <x:v>Small-scale prospects; Large enterprise; Mixed business audience</x:v>
      </x:c>
      <x:c r="N235" s="12" t="str">
        <x:v>MAIN-240</x:v>
      </x:c>
      <x:c r="O235" s="13" t="n">
        <x:v>17.402703</x:v>
      </x:c>
      <x:c r="P235" s="13" t="n">
        <x:v>78.546431</x:v>
      </x:c>
      <x:c r="Q235" s="2" t="str">
        <x:v>https://www.google.com/maps?q=17.402703,78.546431</x:v>
      </x:c>
      <x:c r="R235" s="2" t="str">
        <x:v>TEN-0C8F4D4F49A4; TEN-0F7677687E72; TEN-1E631D09DAD4; TEN-2DC3FC5EA3A9; TEN-49CB34E27FC7; TEN-61A77647D76D; TEN-69933A2A2C74; TEN-93885B6F1F10; TEN-9B6EF6DB8E1A; TEN-9D2DD6B8C1DF; TEN-A300DA7026D8</x:v>
      </x:c>
      <x:c r="S235" s="12" t="str">
        <x:v>IT and enterprise campus</x:v>
      </x:c>
      <x:c r="T235" s="12" t="str">
        <x:v>Tenant business-type estimates and reviewed company-scale context.</x:v>
      </x:c>
    </x:row>
    <x:row r="236" ht="64" customHeight="1">
      <x:c r="A236" s="10" t="n">
        <x:v>1</x:v>
      </x:c>
      <x:c r="B236" s="2" t="str">
        <x:v>CORP-0238</x:v>
      </x:c>
      <x:c r="C236" s="2" t="str">
        <x:v>Hyderabad</x:v>
      </x:c>
      <x:c r="D236" s="2" t="str">
        <x:v>MSVJ4VSQ</x:v>
      </x:c>
      <x:c r="E236" s="12" t="str">
        <x:v>NSL Centrum Mall</x:v>
      </x:c>
      <x:c r="F236" s="12" t="str">
        <x:v>KPHB</x:v>
      </x:c>
      <x:c r="G236" s="11" t="n">
        <x:v>2</x:v>
      </x:c>
      <x:c r="H236" s="2" t="str">
        <x:v>24 inch LED TV</x:v>
      </x:c>
      <x:c r="I236" s="12" t="str">
        <x:v>Tata STRIVE Skill Development Centre; Teleperformance Hyderabad</x:v>
      </x:c>
      <x:c r="J236" s="2" t="n">
        <x:v>2</x:v>
      </x:c>
      <x:c r="K236" s="12" t="str">
        <x:v>Inventory-listed building/workspace context; current occupancy and screen access unverified</x:v>
      </x:c>
      <x:c r="L236" s="12" t="str">
        <x:v>IT &amp; digital; Education</x:v>
      </x:c>
      <x:c r="M236" s="12" t="str">
        <x:v>Mixed business audience</x:v>
      </x:c>
      <x:c r="N236" s="12" t="str">
        <x:v>MAIN-242</x:v>
      </x:c>
      <x:c r="O236" s="13" t="n">
        <x:v>17.48344612121582</x:v>
      </x:c>
      <x:c r="P236" s="13" t="n">
        <x:v>78.39322662353516</x:v>
      </x:c>
      <x:c r="Q236" s="2" t="str">
        <x:v>https://www.google.com/maps?q=17.48344612121582,78.39322662353516</x:v>
      </x:c>
      <x:c r="R236" s="2" t="str">
        <x:v>TEN-6F61DB52A98D; TEN-E8D0DB07FC5C</x:v>
      </x:c>
      <x:c r="S236" s="12" t="str">
        <x:v>Multi-tenant business offices</x:v>
      </x:c>
      <x:c r="T236" s="12" t="str">
        <x:v>Tenant business-type estimates and reviewed company-scale context.</x:v>
      </x:c>
    </x:row>
    <x:row r="237" ht="64" customHeight="1">
      <x:c r="A237" s="10" t="n">
        <x:v>1</x:v>
      </x:c>
      <x:c r="B237" s="2" t="str">
        <x:v>CORP-0239</x:v>
      </x:c>
      <x:c r="C237" s="2" t="str">
        <x:v>Hyderabad</x:v>
      </x:c>
      <x:c r="D237" s="2" t="str">
        <x:v>MSZS4JJN</x:v>
      </x:c>
      <x:c r="E237" s="12" t="str">
        <x:v>NSL Icon</x:v>
      </x:c>
      <x:c r="F237" s="12" t="str">
        <x:v>Banjara Hills and Jubilee Hills</x:v>
      </x:c>
      <x:c r="G237" s="11" t="n">
        <x:v>2</x:v>
      </x:c>
      <x:c r="H237" s="2" t="str">
        <x:v>43 inch LED TV</x:v>
      </x:c>
      <x:c r="I237" s="12" t="str">
        <x:v>NSL Textiles Limited; Swarna Shubha Bhoomi; Konecranes India; Heritage fresh</x:v>
      </x:c>
      <x:c r="J237" s="2" t="n">
        <x:v>4</x:v>
      </x:c>
      <x:c r="K237" s="12" t="str">
        <x:v>Inventory-listed building/workspace context; current occupancy and screen access unverified</x:v>
      </x:c>
      <x:c r="L237" s="12" t="str">
        <x:v>Engineering &amp; manufacturing; Trade, consumer &amp; logistics</x:v>
      </x:c>
      <x:c r="M237" s="12" t="str">
        <x:v>Small-scale prospects; Mixed business audience</x:v>
      </x:c>
      <x:c r="N237" s="12" t="str">
        <x:v>MAIN-243</x:v>
      </x:c>
      <x:c r="O237" s="13" t="n">
        <x:v>17.411884307861328</x:v>
      </x:c>
      <x:c r="P237" s="13" t="n">
        <x:v>78.43603515625</x:v>
      </x:c>
      <x:c r="Q237" s="2" t="str">
        <x:v>https://www.google.com/maps?q=17.411884307861328,78.43603515625</x:v>
      </x:c>
      <x:c r="R237" s="2" t="str">
        <x:v>TEN-1ADCE1DFDBEF; TEN-41F8EEA85BA7; TEN-60BEED08B6CD; TEN-C90BC7E0B9D7</x:v>
      </x:c>
      <x:c r="S237" s="12" t="str">
        <x:v>Mixed commercial workplace</x:v>
      </x:c>
      <x:c r="T237" s="12" t="str">
        <x:v>Tenant business-type estimates and reviewed company-scale context.</x:v>
      </x:c>
    </x:row>
    <x:row r="238" ht="75" customHeight="1">
      <x:c r="A238" s="10" t="n">
        <x:v>1</x:v>
      </x:c>
      <x:c r="B238" s="2" t="str">
        <x:v>CORP-0240</x:v>
      </x:c>
      <x:c r="C238" s="2" t="str">
        <x:v>Hyderabad</x:v>
      </x:c>
      <x:c r="D238" s="2" t="str">
        <x:v>MSS2ZA3P</x:v>
      </x:c>
      <x:c r="E238" s="12" t="str">
        <x:v>Oyo Workspace - Hitech</x:v>
      </x:c>
      <x:c r="F238" s="12" t="str">
        <x:v>HITEC City</x:v>
      </x:c>
      <x:c r="G238" s="11" t="n">
        <x:v>2</x:v>
      </x:c>
      <x:c r="H238" s="2" t="str">
        <x:v>32 inch LED TV</x:v>
      </x:c>
      <x:c r="I238" s="12" t="str">
        <x:v>CAPELLA ENTERPRISES; INFIRAY SOFTWARE; NAIDU DIGITAL PAYMENTS PRIVATE LIMITED; NAIDU FINTECH PRIVATE LIMITED; NXTDIV TECHNOLOGIES PVT LTD; ROADSIDE VENTURES PRIVATE LIMITED; LINKUPH BHARATH PVT LTD; SCOTCH N WATER INNOVATIONS PVT LTD; KITAAB TECHNOLOGIES PVT LTD; NAIDU SOFTWARE TECHNOLOGIES PRIVATE LIMITED; REALVERSE PROPTECH PRIVATE LIMITED</x:v>
      </x:c>
      <x:c r="J238" s="2" t="n">
        <x:v>11</x:v>
      </x:c>
      <x:c r="K238" s="12" t="str">
        <x:v>Inventory-listed building/workspace context; current occupancy and screen access unverified</x:v>
      </x:c>
      <x:c r="L238" s="12" t="str">
        <x:v>IT &amp; digital; Finance &amp; insurance; Trade, consumer &amp; logistics; Unresolved</x:v>
      </x:c>
      <x:c r="M238" s="12" t="str">
        <x:v>Small-scale prospects; Medium-scale prospects; Mixed business audience</x:v>
      </x:c>
      <x:c r="N238" s="12" t="str">
        <x:v>MAIN-244</x:v>
      </x:c>
      <x:c r="O238" s="13" t="n">
        <x:v>17.456728</x:v>
      </x:c>
      <x:c r="P238" s="13" t="n">
        <x:v>78.373513</x:v>
      </x:c>
      <x:c r="Q238" s="2" t="str">
        <x:v>https://www.google.com/maps?q=17.456728,78.373513</x:v>
      </x:c>
      <x:c r="R238" s="2" t="str">
        <x:v>TEN-464F9C5379BC; TEN-526477BACCAC; TEN-599CBC1C57D0; TEN-992B900C54B6; TEN-C6E4BD473001; TEN-C84BDABCAA71; TEN-CC1F41A505F0; TEN-CD0BD7252CCD; TEN-D655F2A6AE11; TEN-F5BCE861BB3F; TEN-FA461A42B5F7</x:v>
      </x:c>
      <x:c r="S238" s="12" t="str">
        <x:v>Flexible workspace / mixed businesses</x:v>
      </x:c>
      <x:c r="T238" s="12" t="str">
        <x:v>Tenant business-type estimates and reviewed company-scale context.</x:v>
      </x:c>
    </x:row>
    <x:row r="239" ht="64" customHeight="1">
      <x:c r="A239" s="10" t="n">
        <x:v>1</x:v>
      </x:c>
      <x:c r="B239" s="2" t="str">
        <x:v>CORP-0241</x:v>
      </x:c>
      <x:c r="C239" s="2" t="str">
        <x:v>Hyderabad</x:v>
      </x:c>
      <x:c r="D239" s="2" t="str">
        <x:v>MSXZS7KJ</x:v>
      </x:c>
      <x:c r="E239" s="12" t="str">
        <x:v>Phoenix IVY</x:v>
      </x:c>
      <x:c r="F239" s="12" t="str">
        <x:v>Navanirman Nagar Colony</x:v>
      </x:c>
      <x:c r="G239" s="11" t="n">
        <x:v>1</x:v>
      </x:c>
      <x:c r="H239" s="2" t="str">
        <x:v>55 inch LED TV</x:v>
      </x:c>
      <x:c r="I239" s="12" t="str">
        <x:v>D.E shaw pvt ltd; Neuland laboratories pvt ltd</x:v>
      </x:c>
      <x:c r="J239" s="2" t="n">
        <x:v>2</x:v>
      </x:c>
      <x:c r="K239" s="12" t="str">
        <x:v>Inventory-listed building/workspace context; current occupancy and screen access unverified</x:v>
      </x:c>
      <x:c r="L239" s="12" t="str">
        <x:v>Finance &amp; insurance; Healthcare &amp; life sciences</x:v>
      </x:c>
      <x:c r="M239" s="12" t="str">
        <x:v>Mixed business audience</x:v>
      </x:c>
      <x:c r="N239" s="12" t="str">
        <x:v>MAIN-245</x:v>
      </x:c>
      <x:c r="O239" s="13" t="n">
        <x:v>17.420555114746094</x:v>
      </x:c>
      <x:c r="P239" s="13" t="n">
        <x:v>78.4109878540039</x:v>
      </x:c>
      <x:c r="Q239" s="2" t="str">
        <x:v>https://www.google.com/maps?q=17.420555114746094,78.4109878540039</x:v>
      </x:c>
      <x:c r="R239" s="2" t="str">
        <x:v>TEN-B0659027A62A; TEN-FF81037D87B2</x:v>
      </x:c>
      <x:c r="S239" s="12" t="str">
        <x:v>Mixed commercial workplace</x:v>
      </x:c>
      <x:c r="T239" s="12" t="str">
        <x:v>Tenant business-type estimates and reviewed company-scale context.</x:v>
      </x:c>
    </x:row>
    <x:row r="240" ht="64" customHeight="1">
      <x:c r="A240" s="10" t="n">
        <x:v>1</x:v>
      </x:c>
      <x:c r="B240" s="2" t="str">
        <x:v>CORP-0242</x:v>
      </x:c>
      <x:c r="C240" s="2" t="str">
        <x:v>Hyderabad</x:v>
      </x:c>
      <x:c r="D240" s="2" t="str">
        <x:v>MS9D3Q1H</x:v>
      </x:c>
      <x:c r="E240" s="12" t="str">
        <x:v>Purva Summit Tech Park</x:v>
      </x:c>
      <x:c r="F240" s="12" t="str">
        <x:v>Kondapur</x:v>
      </x:c>
      <x:c r="G240" s="11" t="n">
        <x:v>1</x:v>
      </x:c>
      <x:c r="H240" s="2" t="str">
        <x:v>43 inch LED TV</x:v>
      </x:c>
      <x:c r="I240" s="12" t="str">
        <x:v>Nemetschek India (formerly Spacewell India); Uber Development Center Hyderabad; Pentagon interior; KP AI Solutions (Whatsapp Chatbot for Real Estate ,Hospitals etc); Infotech global ltd india; KodeCorp Technology Solutions</x:v>
      </x:c>
      <x:c r="J240" s="2" t="n">
        <x:v>6</x:v>
      </x:c>
      <x:c r="K240" s="12" t="str">
        <x:v>Inventory-listed building/workspace context; current occupancy and screen access unverified</x:v>
      </x:c>
      <x:c r="L240" s="12" t="str">
        <x:v>IT &amp; digital; Professional services</x:v>
      </x:c>
      <x:c r="M240" s="12" t="str">
        <x:v>Small-scale prospects; Large enterprise; Mixed business audience</x:v>
      </x:c>
      <x:c r="N240" s="12" t="str">
        <x:v>MAIN-246</x:v>
      </x:c>
      <x:c r="O240" s="13"/>
      <x:c r="P240" s="13"/>
      <x:c r="Q240" s="2" t="str"/>
      <x:c r="R240" s="2" t="str">
        <x:v>TEN-6591D67E331F; TEN-74881CF03C29; TEN-8374251B30D0; TEN-9CAC587E99B7; TEN-A4AB520E8F5F; TEN-EA32BBCF7041</x:v>
      </x:c>
      <x:c r="S240" s="12" t="str">
        <x:v>IT and enterprise campus</x:v>
      </x:c>
      <x:c r="T240" s="12" t="str">
        <x:v>Tenant business-type estimates and reviewed company-scale context.</x:v>
      </x:c>
    </x:row>
    <x:row r="241" ht="64" customHeight="1">
      <x:c r="A241" s="10" t="n">
        <x:v>1</x:v>
      </x:c>
      <x:c r="B241" s="2" t="str">
        <x:v>CORP-0243</x:v>
      </x:c>
      <x:c r="C241" s="2" t="str">
        <x:v>Hyderabad</x:v>
      </x:c>
      <x:c r="D241" s="2" t="str">
        <x:v>MSVJAYD1</x:v>
      </x:c>
      <x:c r="E241" s="12" t="str">
        <x:v>Quick Start - Cynosure Gachibowli</x:v>
      </x:c>
      <x:c r="F241" s="12" t="str">
        <x:v>Gachibowli</x:v>
      </x:c>
      <x:c r="G241" s="11" t="n">
        <x:v>1</x:v>
      </x:c>
      <x:c r="H241" s="2" t="str">
        <x:v>32 inch LED TV</x:v>
      </x:c>
      <x:c r="I241" s="12" t="str">
        <x:v>Oxiv Recruitment services; W3SOFTECH INDIA PRIVATE LIMITED; Palmeto Solutions; Ericom Software Systems; AeroByte Innovations Pvt. Ltd</x:v>
      </x:c>
      <x:c r="J241" s="2" t="n">
        <x:v>5</x:v>
      </x:c>
      <x:c r="K241" s="12" t="str">
        <x:v>Inventory-listed building/workspace context; current occupancy and screen access unverified</x:v>
      </x:c>
      <x:c r="L241" s="12" t="str">
        <x:v>IT &amp; digital; Professional services; Unresolved</x:v>
      </x:c>
      <x:c r="M241" s="12" t="str">
        <x:v>Small-scale prospects; Mixed business audience</x:v>
      </x:c>
      <x:c r="N241" s="12" t="str">
        <x:v>MAIN-247</x:v>
      </x:c>
      <x:c r="O241" s="13" t="n">
        <x:v>17.437328338623047</x:v>
      </x:c>
      <x:c r="P241" s="13" t="n">
        <x:v>78.36690521240234</x:v>
      </x:c>
      <x:c r="Q241" s="2" t="str">
        <x:v>https://www.google.com/maps?q=17.437328338623047,78.36690521240234</x:v>
      </x:c>
      <x:c r="R241" s="2" t="str">
        <x:v>TEN-35C4BF441720; TEN-74EDD6DDC8EC; TEN-7C4FC1E96922; TEN-BA5E74923D14; TEN-D50AE0B08964</x:v>
      </x:c>
      <x:c r="S241" s="12" t="str">
        <x:v>Mixed commercial workplace</x:v>
      </x:c>
      <x:c r="T241" s="12" t="str">
        <x:v>Tenant business-type estimates and reviewed company-scale context.</x:v>
      </x:c>
    </x:row>
    <x:row r="242" ht="64" customHeight="1">
      <x:c r="A242" s="10" t="n">
        <x:v>1</x:v>
      </x:c>
      <x:c r="B242" s="2" t="str">
        <x:v>CORP-0244</x:v>
      </x:c>
      <x:c r="C242" s="2" t="str">
        <x:v>Hyderabad</x:v>
      </x:c>
      <x:c r="D242" s="2" t="str">
        <x:v>MSDTM6SC</x:v>
      </x:c>
      <x:c r="E242" s="12" t="str">
        <x:v>Quick Start - Madhapur</x:v>
      </x:c>
      <x:c r="F242" s="12" t="str">
        <x:v>Madhapur</x:v>
      </x:c>
      <x:c r="G242" s="11" t="n">
        <x:v>3</x:v>
      </x:c>
      <x:c r="H242" s="2" t="str">
        <x:v>32 inch LED TV</x:v>
      </x:c>
      <x:c r="I242" s="12" t="str">
        <x:v>NxtHire India Private Limited; Airsah Solutions Pvt Ltd</x:v>
      </x:c>
      <x:c r="J242" s="2" t="n">
        <x:v>2</x:v>
      </x:c>
      <x:c r="K242" s="12" t="str">
        <x:v>Inventory-listed building/workspace context; current occupancy and screen access unverified</x:v>
      </x:c>
      <x:c r="L242" s="12" t="str">
        <x:v>Professional services; Unresolved</x:v>
      </x:c>
      <x:c r="M242" s="12" t="str">
        <x:v>Small-scale prospects; Mixed business audience</x:v>
      </x:c>
      <x:c r="N242" s="12" t="str">
        <x:v>MAIN-248</x:v>
      </x:c>
      <x:c r="O242" s="13" t="n">
        <x:v>17.446043014526367</x:v>
      </x:c>
      <x:c r="P242" s="13" t="n">
        <x:v>78.38471984863281</x:v>
      </x:c>
      <x:c r="Q242" s="2" t="str">
        <x:v>https://www.google.com/maps?q=17.446043014526367,78.38471984863281</x:v>
      </x:c>
      <x:c r="R242" s="2" t="str">
        <x:v>TEN-2F91A8AFEB8D; TEN-B35F6FDA0695</x:v>
      </x:c>
      <x:c r="S242" s="12" t="str">
        <x:v>Mixed commercial workplace</x:v>
      </x:c>
      <x:c r="T242" s="12" t="str">
        <x:v>Tenant business-type estimates and reviewed company-scale context.</x:v>
      </x:c>
    </x:row>
    <x:row r="243" ht="64" customHeight="1">
      <x:c r="A243" s="10" t="n">
        <x:v>1</x:v>
      </x:c>
      <x:c r="B243" s="2" t="str">
        <x:v>CORP-0245</x:v>
      </x:c>
      <x:c r="C243" s="2" t="str">
        <x:v>Hyderabad</x:v>
      </x:c>
      <x:c r="D243" s="2" t="str">
        <x:v>MST6XYSD</x:v>
      </x:c>
      <x:c r="E243" s="12" t="str">
        <x:v>Quick Start - Vasavi Sky City Gachibowli</x:v>
      </x:c>
      <x:c r="F243" s="12" t="str">
        <x:v>Gachibowli</x:v>
      </x:c>
      <x:c r="G243" s="11" t="n">
        <x:v>3</x:v>
      </x:c>
      <x:c r="H243" s="2" t="str">
        <x:v>32 inch LED TV</x:v>
      </x:c>
      <x:c r="I243" s="12" t="str">
        <x:v>Ratnadeep Super Market Pvt. Ltd; Airsah Solutions Pvt Ltd</x:v>
      </x:c>
      <x:c r="J243" s="2" t="n">
        <x:v>2</x:v>
      </x:c>
      <x:c r="K243" s="12" t="str">
        <x:v>Inventory-listed building/workspace context; current occupancy and screen access unverified</x:v>
      </x:c>
      <x:c r="L243" s="12" t="str">
        <x:v>Trade, consumer &amp; logistics; Unresolved</x:v>
      </x:c>
      <x:c r="M243" s="12" t="str">
        <x:v>Mixed business audience</x:v>
      </x:c>
      <x:c r="N243" s="12" t="str">
        <x:v>MAIN-249</x:v>
      </x:c>
      <x:c r="O243" s="13" t="n">
        <x:v>17.443986892700195</x:v>
      </x:c>
      <x:c r="P243" s="13" t="n">
        <x:v>78.36515045166016</x:v>
      </x:c>
      <x:c r="Q243" s="2" t="str">
        <x:v>https://www.google.com/maps?q=17.443986892700195,78.36515045166016</x:v>
      </x:c>
      <x:c r="R243" s="2" t="str">
        <x:v>TEN-7E12240EFC1E; TEN-B35F6FDA0695</x:v>
      </x:c>
      <x:c r="S243" s="12" t="str">
        <x:v>Mixed commercial workplace</x:v>
      </x:c>
      <x:c r="T243" s="12" t="str">
        <x:v>Tenant business-type estimates and reviewed company-scale context.</x:v>
      </x:c>
    </x:row>
    <x:row r="244" ht="64" customHeight="1">
      <x:c r="A244" s="10" t="n">
        <x:v>1</x:v>
      </x:c>
      <x:c r="B244" s="2" t="str">
        <x:v>CORP-0246</x:v>
      </x:c>
      <x:c r="C244" s="2" t="str">
        <x:v>Hyderabad</x:v>
      </x:c>
      <x:c r="D244" s="2" t="str">
        <x:v>MS6BHXVA</x:v>
      </x:c>
      <x:c r="E244" s="12" t="str">
        <x:v>Raheja 2A (Redbrick Offices)</x:v>
      </x:c>
      <x:c r="F244" s="12" t="str">
        <x:v>HITEC City</x:v>
      </x:c>
      <x:c r="G244" s="11" t="n">
        <x:v>1</x:v>
      </x:c>
      <x:c r="H244" s="2" t="str">
        <x:v>32 inch LED TV</x:v>
      </x:c>
      <x:c r="I244" s="12" t="str">
        <x:v>Surya Soft Tech; 24-7 Intouch; Radix Business Solutions; Cushman &amp; Wakefield; Concentrix Daksh India Pvt Ltd; Universal Interior Designs; Reachout Business Analytics; iAppSys Technologies; Accelalpha; Thundersoft India Pvt Ltd</x:v>
      </x:c>
      <x:c r="J244" s="2" t="n">
        <x:v>10</x:v>
      </x:c>
      <x:c r="K244" s="12" t="str">
        <x:v>Inventory-listed building/workspace context; current occupancy and screen access unverified</x:v>
      </x:c>
      <x:c r="L244" s="12" t="str">
        <x:v>IT &amp; digital; Professional services; Trade, consumer &amp; logistics</x:v>
      </x:c>
      <x:c r="M244" s="12" t="str">
        <x:v>Small-scale prospects; Large enterprise; Mixed business audience</x:v>
      </x:c>
      <x:c r="N244" s="12" t="str">
        <x:v>MAIN-250</x:v>
      </x:c>
      <x:c r="O244" s="13" t="n">
        <x:v>17.44499397277832</x:v>
      </x:c>
      <x:c r="P244" s="13" t="n">
        <x:v>78.38067626953125</x:v>
      </x:c>
      <x:c r="Q244" s="2" t="str">
        <x:v>https://www.google.com/maps?q=17.44499397277832,78.38067626953125</x:v>
      </x:c>
      <x:c r="R244" s="2" t="str">
        <x:v>TEN-2AE6F2F143A1; TEN-3411C22AE83B; TEN-3C41B38ACE41; TEN-3D1BACA6D51F; TEN-5A02EC14AC05; TEN-BE1735A89BDA; TEN-CBC5887ABFDF; TEN-D117446EF669; TEN-D570183BA689; TEN-FF5ED712C6BE</x:v>
      </x:c>
      <x:c r="S244" s="12" t="str">
        <x:v>Multi-tenant business offices</x:v>
      </x:c>
      <x:c r="T244" s="12" t="str">
        <x:v>Tenant business-type estimates and reviewed company-scale context.</x:v>
      </x:c>
    </x:row>
    <x:row r="245" ht="64" customHeight="1">
      <x:c r="A245" s="10" t="n">
        <x:v>1</x:v>
      </x:c>
      <x:c r="B245" s="2" t="str">
        <x:v>CORP-0247</x:v>
      </x:c>
      <x:c r="C245" s="2" t="str">
        <x:v>Hyderabad</x:v>
      </x:c>
      <x:c r="D245" s="2" t="str">
        <x:v>MSQ4B834</x:v>
      </x:c>
      <x:c r="E245" s="12" t="str">
        <x:v>Raheja IT Park Tower 3</x:v>
      </x:c>
      <x:c r="F245" s="12" t="str">
        <x:v>Hitech city</x:v>
      </x:c>
      <x:c r="G245" s="11" t="n">
        <x:v>2</x:v>
      </x:c>
      <x:c r="H245" s="2" t="str">
        <x:v>43 inch LED TV</x:v>
      </x:c>
      <x:c r="I245" s="12" t="str">
        <x:v>Cytel Statistical Software &amp; Services Private Limited; Copart India Center; Mogli Labs India Pvt Ltd; DigitalTrust Technologies; Sodexo Hyderabad; Pi Square Technologies India Pvt Ltd; Visvi Info Private Limited; Envoy Global India Pvt Limited; SDC Clinical (India) Private Limited</x:v>
      </x:c>
      <x:c r="J245" s="2" t="n">
        <x:v>9</x:v>
      </x:c>
      <x:c r="K245" s="12" t="str">
        <x:v>Inventory-listed building/workspace context; current occupancy and screen access unverified</x:v>
      </x:c>
      <x:c r="L245" s="12" t="str">
        <x:v>IT &amp; digital; Professional services; Healthcare &amp; life sciences; Trade, consumer &amp; logistics; Unresolved</x:v>
      </x:c>
      <x:c r="M245" s="12" t="str">
        <x:v>Small-scale prospects; Large enterprise; Mixed business audience</x:v>
      </x:c>
      <x:c r="N245" s="12" t="str">
        <x:v>MAIN-251</x:v>
      </x:c>
      <x:c r="O245" s="13" t="n">
        <x:v>17.443674087524414</x:v>
      </x:c>
      <x:c r="P245" s="13" t="n">
        <x:v>78.3798828125</x:v>
      </x:c>
      <x:c r="Q245" s="2" t="str">
        <x:v>https://www.google.com/maps?q=17.443674087524414,78.3798828125</x:v>
      </x:c>
      <x:c r="R245" s="2" t="str">
        <x:v>TEN-2DE61E4711F8; TEN-44DD619604F9; TEN-5B2E564D923D; TEN-6F11DEE58E05; TEN-87B3B0B3D245; TEN-9AC1EEB1DD41; TEN-AF4A0F3BF801; TEN-B40C1F698519; TEN-F0BBFCDE7C5C</x:v>
      </x:c>
      <x:c r="S245" s="12" t="str">
        <x:v>IT and enterprise campus</x:v>
      </x:c>
      <x:c r="T245" s="12" t="str">
        <x:v>Tenant business-type estimates and reviewed company-scale context.</x:v>
      </x:c>
    </x:row>
    <x:row r="246" ht="64" customHeight="1">
      <x:c r="A246" s="10" t="n">
        <x:v>1</x:v>
      </x:c>
      <x:c r="B246" s="2" t="str">
        <x:v>CORP-0248</x:v>
      </x:c>
      <x:c r="C246" s="2" t="str">
        <x:v>Hyderabad</x:v>
      </x:c>
      <x:c r="D246" s="2" t="str">
        <x:v>MSY9BEBA</x:v>
      </x:c>
      <x:c r="E246" s="12" t="str">
        <x:v>Raheja Mindspace Building 4 (TS)</x:v>
      </x:c>
      <x:c r="F246" s="12" t="str">
        <x:v>Hitech city</x:v>
      </x:c>
      <x:c r="G246" s="11" t="n">
        <x:v>8</x:v>
      </x:c>
      <x:c r="H246" s="2" t="str">
        <x:v>55 inch LED TV</x:v>
      </x:c>
      <x:c r="I246" s="12" t="str"/>
      <x:c r="J246" s="2" t="n">
        <x:v>0</x:v>
      </x:c>
      <x:c r="K246" s="12" t="str">
        <x:v>Unresolved; no supported tenant names</x:v>
      </x:c>
      <x:c r="L246" s="12" t="str">
        <x:v>Unclassified</x:v>
      </x:c>
      <x:c r="M246" s="12" t="str">
        <x:v>Mixed business audience</x:v>
      </x:c>
      <x:c r="N246" s="12" t="str">
        <x:v>MAIN-252</x:v>
      </x:c>
      <x:c r="O246" s="13" t="n">
        <x:v>17.442489624023438</x:v>
      </x:c>
      <x:c r="P246" s="13" t="n">
        <x:v>78.3797378540039</x:v>
      </x:c>
      <x:c r="Q246" s="2" t="str">
        <x:v>https://www.google.com/maps?q=17.442489624023438,78.3797378540039</x:v>
      </x:c>
      <x:c r="R246" s="2" t="str"/>
      <x:c r="S246" s="12" t="str">
        <x:v>Enterprise managed offices</x:v>
      </x:c>
      <x:c r="T246" s="12" t="str">
        <x:v>Table Space identifies Mindspace Building 4 in HITEC City and describes enterprise teams, flexible zones and meeting suites. Building-specific operator context; no member/client identities inferred.</x:v>
      </x:c>
    </x:row>
    <x:row r="247" ht="64" customHeight="1">
      <x:c r="A247" s="10" t="n">
        <x:v>1</x:v>
      </x:c>
      <x:c r="B247" s="2" t="str">
        <x:v>CORP-0249</x:v>
      </x:c>
      <x:c r="C247" s="2" t="str">
        <x:v>Hyderabad</x:v>
      </x:c>
      <x:c r="D247" s="2" t="str">
        <x:v>MSGYTRGN</x:v>
      </x:c>
      <x:c r="E247" s="12" t="str">
        <x:v>Raheja Mindspace IT Park - Madhapur</x:v>
      </x:c>
      <x:c r="F247" s="12" t="str">
        <x:v>Madhapur</x:v>
      </x:c>
      <x:c r="G247" s="11" t="n">
        <x:v>21</x:v>
      </x:c>
      <x:c r="H247" s="2" t="str">
        <x:v>55 inch LED TV</x:v>
      </x:c>
      <x:c r="I247" s="12" t="str">
        <x:v>Policy Bazar; Facebook; Wipro; Global Edge; Cognizant; Mindtree; IBM; Schneider; Thomson Reuters; Amazon; HSBC</x:v>
      </x:c>
      <x:c r="J247" s="2" t="n">
        <x:v>11</x:v>
      </x:c>
      <x:c r="K247" s="12" t="str">
        <x:v>Inventory-listed building/workspace context; current occupancy and screen access unverified</x:v>
      </x:c>
      <x:c r="L247" s="12" t="str">
        <x:v>IT &amp; digital; Finance &amp; insurance; Engineering &amp; manufacturing</x:v>
      </x:c>
      <x:c r="M247" s="12" t="str">
        <x:v>Small-scale prospects; Large enterprise; Mixed business audience</x:v>
      </x:c>
      <x:c r="N247" s="12" t="str">
        <x:v>MAIN-253</x:v>
      </x:c>
      <x:c r="O247" s="13" t="n">
        <x:v>17.438325881958008</x:v>
      </x:c>
      <x:c r="P247" s="13" t="n">
        <x:v>78.38472747802734</x:v>
      </x:c>
      <x:c r="Q247" s="2" t="str">
        <x:v>https://www.google.com/maps?q=17.438325881958008,78.38472747802734</x:v>
      </x:c>
      <x:c r="R247" s="2" t="str">
        <x:v>TEN-33554C5EEC69; TEN-3D59F7548E1A; TEN-5528A266F145; TEN-6C678B9A5EE4; TEN-86F73DFE7BB6; TEN-9120856F15CD; TEN-916A98F0FA2A; TEN-C5F975B35C72; TEN-CB571403F03F; TEN-CBC62794911F; TEN-CE749E840DCA</x:v>
      </x:c>
      <x:c r="S247" s="12" t="str">
        <x:v>IT and enterprise campus</x:v>
      </x:c>
      <x:c r="T247" s="12" t="str">
        <x:v>Tenant business-type estimates and reviewed company-scale context.</x:v>
      </x:c>
    </x:row>
    <x:row r="248" ht="64" customHeight="1">
      <x:c r="A248" s="10" t="n">
        <x:v>1</x:v>
      </x:c>
      <x:c r="B248" s="2" t="str">
        <x:v>CORP-0250</x:v>
      </x:c>
      <x:c r="C248" s="2" t="str">
        <x:v>Hyderabad</x:v>
      </x:c>
      <x:c r="D248" s="2" t="str">
        <x:v>MSM1YJP5</x:v>
      </x:c>
      <x:c r="E248" s="12" t="str">
        <x:v>Sattva Octave (Redbrick Offices)</x:v>
      </x:c>
      <x:c r="F248" s="12" t="str">
        <x:v>Madhapur</x:v>
      </x:c>
      <x:c r="G248" s="11" t="n">
        <x:v>1</x:v>
      </x:c>
      <x:c r="H248" s="2" t="str">
        <x:v>32 inch LED TV</x:v>
      </x:c>
      <x:c r="I248" s="12" t="str">
        <x:v>GD Goenka La Petite Montessori PreSchool; Splunk Services India Private Limited; Lloyds Technology Centre; MyLandscaping Solutions Private Limited; Invenio Business Solutions Pvt Ltd; Silabs India Private Limited; Nextracker India Pvt. Ltd; Chubb Business Services India Private Limited</x:v>
      </x:c>
      <x:c r="J248" s="2" t="n">
        <x:v>8</x:v>
      </x:c>
      <x:c r="K248" s="12" t="str">
        <x:v>Inventory-listed building/workspace context; current occupancy and screen access unverified</x:v>
      </x:c>
      <x:c r="L248" s="12" t="str">
        <x:v>IT &amp; digital; Finance &amp; insurance; Engineering &amp; manufacturing; Education; Trade, consumer &amp; logistics</x:v>
      </x:c>
      <x:c r="M248" s="12" t="str">
        <x:v>Small-scale prospects; Institutional; Mixed business audience</x:v>
      </x:c>
      <x:c r="N248" s="12" t="str">
        <x:v>MAIN-254</x:v>
      </x:c>
      <x:c r="O248" s="13" t="n">
        <x:v>17.434263229370117</x:v>
      </x:c>
      <x:c r="P248" s="13" t="n">
        <x:v>78.382080078125</x:v>
      </x:c>
      <x:c r="Q248" s="2" t="str">
        <x:v>https://www.google.com/maps?q=17.434263229370117,78.382080078125</x:v>
      </x:c>
      <x:c r="R248" s="2" t="str">
        <x:v>TEN-228285280116; TEN-4430DECF01B7; TEN-4636CEEC7F60; TEN-6792620C9DF3; TEN-81B89869EA5E; TEN-B70A6D2260B8; TEN-DFBAD1C953CB; TEN-F2D6B3DEBABF</x:v>
      </x:c>
      <x:c r="S248" s="12" t="str">
        <x:v>Multi-tenant business offices</x:v>
      </x:c>
      <x:c r="T248" s="12" t="str">
        <x:v>Tenant business-type estimates and reviewed company-scale context.</x:v>
      </x:c>
    </x:row>
    <x:row r="249" ht="75" customHeight="1">
      <x:c r="A249" s="10" t="n">
        <x:v>1</x:v>
      </x:c>
      <x:c r="B249" s="2" t="str">
        <x:v>CORP-0251</x:v>
      </x:c>
      <x:c r="C249" s="2" t="str">
        <x:v>Hyderabad</x:v>
      </x:c>
      <x:c r="D249" s="2" t="str">
        <x:v>MSZPRN20</x:v>
      </x:c>
      <x:c r="E249" s="12" t="str">
        <x:v>Sattva Orwell (Redbrick Offices)</x:v>
      </x:c>
      <x:c r="F249" s="12" t="str">
        <x:v>Hitech city</x:v>
      </x:c>
      <x:c r="G249" s="11" t="n">
        <x:v>3</x:v>
      </x:c>
      <x:c r="H249" s="2" t="str">
        <x:v>32 inch LED TV</x:v>
      </x:c>
      <x:c r="I249" s="12" t="str">
        <x:v>JDA Software; ANAROCK Property Consultants; TATWA INFOCOM PRIVATE LIMITED; Mentor Graphics India Private Limited; Synopsys; Nihira Business Solutions India pvt ltd; Belatrix Software Pvt Ltd; Design Group (DG); EcoEvolve Bio Private Limited; Siemens EDA India Private Ltd; Kshema General Insurance Limited; JD Sports Fashion India LLP</x:v>
      </x:c>
      <x:c r="J249" s="2" t="n">
        <x:v>12</x:v>
      </x:c>
      <x:c r="K249" s="12" t="str">
        <x:v>Inventory-listed building/workspace context; current occupancy and screen access unverified</x:v>
      </x:c>
      <x:c r="L249" s="12" t="str">
        <x:v>IT &amp; digital; Professional services; Finance &amp; insurance; Engineering &amp; manufacturing; Healthcare &amp; life sciences; Trade, consumer &amp; logistics; Unresolved</x:v>
      </x:c>
      <x:c r="M249" s="12" t="str">
        <x:v>Small-scale prospects; Mixed business audience</x:v>
      </x:c>
      <x:c r="N249" s="12" t="str">
        <x:v>MAIN-255</x:v>
      </x:c>
      <x:c r="O249" s="13" t="n">
        <x:v>17.43275260925293</x:v>
      </x:c>
      <x:c r="P249" s="13" t="n">
        <x:v>78.38138580322266</x:v>
      </x:c>
      <x:c r="Q249" s="2" t="str">
        <x:v>https://www.google.com/maps?q=17.43275260925293,78.38138580322266</x:v>
      </x:c>
      <x:c r="R249" s="2" t="str">
        <x:v>TEN-01BAB972A90E; TEN-1D32A0A61549; TEN-23491BCF607A; TEN-2B4489C3A6C2; TEN-2E92046B6F07; TEN-7169561ED73E; TEN-776EBC473AD4; TEN-81EC9D699A67; TEN-8F327FC157B7; TEN-BCA5D19DA317; TEN-EF04B4583793; TEN-FE468748B896</x:v>
      </x:c>
      <x:c r="S249" s="12" t="str">
        <x:v>Multi-tenant business offices</x:v>
      </x:c>
      <x:c r="T249" s="12" t="str">
        <x:v>Tenant business-type estimates and reviewed company-scale context.</x:v>
      </x:c>
    </x:row>
    <x:row r="250" ht="64" customHeight="1">
      <x:c r="A250" s="10" t="n">
        <x:v>1</x:v>
      </x:c>
      <x:c r="B250" s="2" t="str">
        <x:v>CORP-0252</x:v>
      </x:c>
      <x:c r="C250" s="2" t="str">
        <x:v>Hyderabad</x:v>
      </x:c>
      <x:c r="D250" s="2" t="str">
        <x:v>MS2VFZ3C</x:v>
      </x:c>
      <x:c r="E250" s="12" t="str">
        <x:v>Sohini Tech Park (TS)</x:v>
      </x:c>
      <x:c r="F250" s="12" t="str">
        <x:v>Nanakramguda</x:v>
      </x:c>
      <x:c r="G250" s="11" t="n">
        <x:v>2</x:v>
      </x:c>
      <x:c r="H250" s="2" t="str">
        <x:v>55 inch LED TV</x:v>
      </x:c>
      <x:c r="I250" s="12" t="str">
        <x:v>Latinem Private Ltd; Wenable Technologies; Egen; Mirabel Technologies</x:v>
      </x:c>
      <x:c r="J250" s="2" t="n">
        <x:v>4</x:v>
      </x:c>
      <x:c r="K250" s="12" t="str">
        <x:v>Company-listed building/campus context; workspace membership and screen access unverified</x:v>
      </x:c>
      <x:c r="L250" s="12" t="str">
        <x:v>IT &amp; digital; Professional services</x:v>
      </x:c>
      <x:c r="M250" s="12" t="str">
        <x:v>Small-scale prospects</x:v>
      </x:c>
      <x:c r="N250" s="12" t="str">
        <x:v>MAIN-256</x:v>
      </x:c>
      <x:c r="O250" s="13" t="n">
        <x:v>17.423004150390625</x:v>
      </x:c>
      <x:c r="P250" s="13" t="n">
        <x:v>78.34717559814453</x:v>
      </x:c>
      <x:c r="Q250" s="2" t="str">
        <x:v>https://www.google.com/maps?q=17.423004150390625,78.34717559814453</x:v>
      </x:c>
      <x:c r="R250" s="2" t="str">
        <x:v>TEN-01BA4C6C497A; TEN-A69698F6A73D; TEN-B197266D2265; TEN-E7CAC422537C</x:v>
      </x:c>
      <x:c r="S250" s="12" t="str">
        <x:v>IT and enterprise campus</x:v>
      </x:c>
      <x:c r="T250" s="12" t="str">
        <x:v>Tenant business-type estimates and reviewed company-scale context.</x:v>
      </x:c>
    </x:row>
    <x:row r="251" ht="64" customHeight="1">
      <x:c r="A251" s="10" t="n">
        <x:v>1</x:v>
      </x:c>
      <x:c r="B251" s="2" t="str">
        <x:v>CORP-0253</x:v>
      </x:c>
      <x:c r="C251" s="2" t="str">
        <x:v>Hyderabad</x:v>
      </x:c>
      <x:c r="D251" s="2" t="str">
        <x:v>MS3WEYPC</x:v>
      </x:c>
      <x:c r="E251" s="12" t="str">
        <x:v>Symbyont Smart Space Aurobindo Orbit</x:v>
      </x:c>
      <x:c r="F251" s="12" t="str">
        <x:v>HITEC City</x:v>
      </x:c>
      <x:c r="G251" s="11" t="n">
        <x:v>2</x:v>
      </x:c>
      <x:c r="H251" s="2" t="str">
        <x:v>43 inch LED TV</x:v>
      </x:c>
      <x:c r="I251" s="12" t="str">
        <x:v>Capital Now; Credit Vidya (Info credit service); Storable India Pvt Ltd; Premier Energies Limited; Davisware Software Solutions Pvt Ltd</x:v>
      </x:c>
      <x:c r="J251" s="2" t="n">
        <x:v>5</x:v>
      </x:c>
      <x:c r="K251" s="12" t="str">
        <x:v>Inventory-listed building/workspace context; current occupancy and screen access unverified</x:v>
      </x:c>
      <x:c r="L251" s="12" t="str">
        <x:v>IT &amp; digital; Finance &amp; insurance; Engineering &amp; manufacturing</x:v>
      </x:c>
      <x:c r="M251" s="12" t="str">
        <x:v>Small-scale prospects; Medium-scale prospects; Mixed business audience</x:v>
      </x:c>
      <x:c r="N251" s="12" t="str">
        <x:v>MAIN-257</x:v>
      </x:c>
      <x:c r="O251" s="13" t="n">
        <x:v>17.434783935546875</x:v>
      </x:c>
      <x:c r="P251" s="13" t="n">
        <x:v>78.31624603271484</x:v>
      </x:c>
      <x:c r="Q251" s="2" t="str">
        <x:v>https://www.google.com/maps?q=17.434783935546875,78.31624603271484</x:v>
      </x:c>
      <x:c r="R251" s="2" t="str">
        <x:v>TEN-29CCA10F58D0; TEN-2D9DF6A9EB0C; TEN-43D26C2AE619; TEN-913DCEB4808B; TEN-BE4220A2067C</x:v>
      </x:c>
      <x:c r="S251" s="12" t="str">
        <x:v>Mixed commercial workplace</x:v>
      </x:c>
      <x:c r="T251" s="12" t="str">
        <x:v>Tenant business-type estimates and reviewed company-scale context.</x:v>
      </x:c>
    </x:row>
    <x:row r="252" ht="64" customHeight="1">
      <x:c r="A252" s="10" t="n">
        <x:v>1</x:v>
      </x:c>
      <x:c r="B252" s="2" t="str">
        <x:v>CORP-0254</x:v>
      </x:c>
      <x:c r="C252" s="2" t="str">
        <x:v>Hyderabad</x:v>
      </x:c>
      <x:c r="D252" s="2" t="str">
        <x:v>MSVCYW37</x:v>
      </x:c>
      <x:c r="E252" s="12" t="str">
        <x:v>Symbyont Smart Space Dallas Centre</x:v>
      </x:c>
      <x:c r="F252" s="12" t="str">
        <x:v>Silpa Gram Craft Villag</x:v>
      </x:c>
      <x:c r="G252" s="11" t="n">
        <x:v>5</x:v>
      </x:c>
      <x:c r="H252" s="2" t="str">
        <x:v>55 inch LED TV</x:v>
      </x:c>
      <x:c r="I252" s="12" t="str">
        <x:v>Softobiz Technologies; Recvue (I) Pvt Ltd; Fint Solutions; Fluxon Apps; Unirac Solar India LLP; Ovation Services Pvt Ltd; Perficient India Private Limited; Avani Tech Solutions Pvt Ltd; Tek Tree Software Solutions; Knight Frank India Pvt Ltd; Release Point</x:v>
      </x:c>
      <x:c r="J252" s="2" t="n">
        <x:v>11</x:v>
      </x:c>
      <x:c r="K252" s="12" t="str">
        <x:v>Inventory-listed building/workspace context; current occupancy and screen access unverified</x:v>
      </x:c>
      <x:c r="L252" s="12" t="str">
        <x:v>IT &amp; digital; Engineering &amp; manufacturing; Trade, consumer &amp; logistics; Unresolved</x:v>
      </x:c>
      <x:c r="M252" s="12" t="str">
        <x:v>Small-scale prospects; Medium-scale prospects; Mixed business audience</x:v>
      </x:c>
      <x:c r="N252" s="12" t="str">
        <x:v>MAIN-258</x:v>
      </x:c>
      <x:c r="O252" s="13" t="n">
        <x:v>17.433302</x:v>
      </x:c>
      <x:c r="P252" s="13" t="n">
        <x:v>78.378452</x:v>
      </x:c>
      <x:c r="Q252" s="2" t="str">
        <x:v>https://www.google.com/maps?q=17.433302,78.378452</x:v>
      </x:c>
      <x:c r="R252" s="2" t="str">
        <x:v>TEN-1FB8742AF01D; TEN-2110489FAD91; TEN-4AE3A2A36DB1; TEN-6790EB887573; TEN-983B838AAED4; TEN-9893181D2970; TEN-B34E0B904F17; TEN-C84EE5F68808; TEN-D23268DCF54E; TEN-EB22DF2431C9; TEN-FBE4AE7104D0</x:v>
      </x:c>
      <x:c r="S252" s="12" t="str">
        <x:v>Mixed commercial workplace</x:v>
      </x:c>
      <x:c r="T252" s="12" t="str">
        <x:v>Tenant business-type estimates and reviewed company-scale context.</x:v>
      </x:c>
    </x:row>
    <x:row r="253" ht="64" customHeight="1">
      <x:c r="A253" s="10" t="n">
        <x:v>1</x:v>
      </x:c>
      <x:c r="B253" s="2" t="str">
        <x:v>CORP-0255</x:v>
      </x:c>
      <x:c r="C253" s="2" t="str">
        <x:v>Hyderabad</x:v>
      </x:c>
      <x:c r="D253" s="2" t="str">
        <x:v>MSN5812F</x:v>
      </x:c>
      <x:c r="E253" s="12" t="str">
        <x:v>Symbyont Smart Space Rajapushpa Summit</x:v>
      </x:c>
      <x:c r="F253" s="12" t="str">
        <x:v>Financial District</x:v>
      </x:c>
      <x:c r="G253" s="11" t="n">
        <x:v>1</x:v>
      </x:c>
      <x:c r="H253" s="2" t="str">
        <x:v>43 inch LED TV</x:v>
      </x:c>
      <x:c r="I253" s="12" t="str">
        <x:v>Turvo India Pvt Ltd; Typeface AI; Euklid Innovations; Qbrainx India Private Limited; Highspot; CBL Solutions; Adaptoid Labs India Private Limited; Scalify India Private Limited; Mordor Intelligence</x:v>
      </x:c>
      <x:c r="J253" s="2" t="n">
        <x:v>9</x:v>
      </x:c>
      <x:c r="K253" s="12" t="str">
        <x:v>Inventory-listed building/workspace context; current occupancy and screen access unverified</x:v>
      </x:c>
      <x:c r="L253" s="12" t="str">
        <x:v>IT &amp; digital; Professional services; Unresolved</x:v>
      </x:c>
      <x:c r="M253" s="12" t="str">
        <x:v>Small-scale prospects; Mixed business audience</x:v>
      </x:c>
      <x:c r="N253" s="12" t="str">
        <x:v>MAIN-259</x:v>
      </x:c>
      <x:c r="O253" s="13" t="n">
        <x:v>17.423080444335938</x:v>
      </x:c>
      <x:c r="P253" s="13" t="n">
        <x:v>78.33920288085938</x:v>
      </x:c>
      <x:c r="Q253" s="2" t="str">
        <x:v>https://www.google.com/maps?q=17.423080444335938,78.33920288085938</x:v>
      </x:c>
      <x:c r="R253" s="2" t="str">
        <x:v>TEN-01E660DEC960; TEN-0BF40938E92E; TEN-0C0D0BCA0825; TEN-238E58E8EF2D; TEN-2B128031063A; TEN-614F7C87ABB5; TEN-642106BA717C; TEN-8D7972B23DAD; TEN-95E86F58BA7F</x:v>
      </x:c>
      <x:c r="S253" s="12" t="str">
        <x:v>Mixed commercial workplace</x:v>
      </x:c>
      <x:c r="T253" s="12" t="str">
        <x:v>Tenant business-type estimates and reviewed company-scale context.</x:v>
      </x:c>
    </x:row>
    <x:row r="254" ht="64" customHeight="1">
      <x:c r="A254" s="10" t="n">
        <x:v>1</x:v>
      </x:c>
      <x:c r="B254" s="2" t="str">
        <x:v>CORP-0256</x:v>
      </x:c>
      <x:c r="C254" s="2" t="str">
        <x:v>Hyderabad</x:v>
      </x:c>
      <x:c r="D254" s="2" t="str">
        <x:v>MSZ98CPD</x:v>
      </x:c>
      <x:c r="E254" s="12" t="str">
        <x:v>T-Hub</x:v>
      </x:c>
      <x:c r="F254" s="12" t="str">
        <x:v>Serilingampally</x:v>
      </x:c>
      <x:c r="G254" s="11" t="n">
        <x:v>22</x:v>
      </x:c>
      <x:c r="H254" s="2" t="str">
        <x:v>32 inch LED TV</x:v>
      </x:c>
      <x:c r="I254" s="12" t="str">
        <x:v>KVK Energy and infrastructure pvt ltd; Choice solutions limited; Freedom Surgical; TMI Group; Alanati restaurent</x:v>
      </x:c>
      <x:c r="J254" s="2" t="n">
        <x:v>5</x:v>
      </x:c>
      <x:c r="K254" s="12" t="str">
        <x:v>Inventory-listed building/workspace context; current occupancy and screen access unverified</x:v>
      </x:c>
      <x:c r="L254" s="12" t="str">
        <x:v>IT &amp; digital; Engineering &amp; manufacturing; Healthcare &amp; life sciences; Trade, consumer &amp; logistics; Unresolved</x:v>
      </x:c>
      <x:c r="M254" s="12" t="str">
        <x:v>Small-scale prospects; Mixed business audience</x:v>
      </x:c>
      <x:c r="N254" s="12" t="str">
        <x:v>MAIN-260</x:v>
      </x:c>
      <x:c r="O254" s="13" t="n">
        <x:v>17.43385887145996</x:v>
      </x:c>
      <x:c r="P254" s="13" t="n">
        <x:v>78.37599182128906</x:v>
      </x:c>
      <x:c r="Q254" s="2" t="str">
        <x:v>https://www.google.com/maps?q=17.43385887145996,78.37599182128906</x:v>
      </x:c>
      <x:c r="R254" s="2" t="str">
        <x:v>TEN-399D9BFC3C0B; TEN-404B0D4EBDF8; TEN-A4280C2C5D86; TEN-C2ECECEBA97C; TEN-ED5537070C6C</x:v>
      </x:c>
      <x:c r="S254" s="12" t="str">
        <x:v>Mixed commercial workplace</x:v>
      </x:c>
      <x:c r="T254" s="12" t="str">
        <x:v>Tenant business-type estimates and reviewed company-scale context.</x:v>
      </x:c>
    </x:row>
    <x:row r="255" ht="64" customHeight="1">
      <x:c r="A255" s="10" t="n">
        <x:v>1</x:v>
      </x:c>
      <x:c r="B255" s="2" t="str">
        <x:v>CORP-0257</x:v>
      </x:c>
      <x:c r="C255" s="2" t="str">
        <x:v>Hyderabad</x:v>
      </x:c>
      <x:c r="D255" s="2" t="str">
        <x:v>MSZN0BE3</x:v>
      </x:c>
      <x:c r="E255" s="12" t="str">
        <x:v>Vasavi Sky city</x:v>
      </x:c>
      <x:c r="F255" s="12" t="str">
        <x:v>Gachibowli</x:v>
      </x:c>
      <x:c r="G255" s="11" t="n">
        <x:v>10</x:v>
      </x:c>
      <x:c r="H255" s="2" t="str">
        <x:v>24 inch LED TV</x:v>
      </x:c>
      <x:c r="I255" s="12" t="str">
        <x:v>Keka HR Payroll Software; Aviz Networks India; Livello India Private Limited; Joshpunar projects Private Limited</x:v>
      </x:c>
      <x:c r="J255" s="2" t="n">
        <x:v>4</x:v>
      </x:c>
      <x:c r="K255" s="12" t="str">
        <x:v>Inventory-listed building/workspace context; current occupancy and screen access unverified</x:v>
      </x:c>
      <x:c r="L255" s="12" t="str">
        <x:v>IT &amp; digital; Unresolved</x:v>
      </x:c>
      <x:c r="M255" s="12" t="str">
        <x:v>Small-scale prospects; Mixed business audience</x:v>
      </x:c>
      <x:c r="N255" s="12" t="str">
        <x:v>MAIN-261</x:v>
      </x:c>
      <x:c r="O255" s="13" t="n">
        <x:v>17.43882179260254</x:v>
      </x:c>
      <x:c r="P255" s="13" t="n">
        <x:v>78.36436462402344</x:v>
      </x:c>
      <x:c r="Q255" s="2" t="str">
        <x:v>https://www.google.com/maps?q=17.43882179260254,78.36436462402344</x:v>
      </x:c>
      <x:c r="R255" s="2" t="str">
        <x:v>TEN-5C1A79D4FF83; TEN-5E25BA93F1B8; TEN-7802BA0ED8E8; TEN-D2F08A3B9FD3</x:v>
      </x:c>
      <x:c r="S255" s="12" t="str">
        <x:v>Mixed commercial workplace</x:v>
      </x:c>
      <x:c r="T255" s="12" t="str">
        <x:v>Tenant business-type estimates and reviewed company-scale context.</x:v>
      </x:c>
    </x:row>
    <x:row r="256" ht="64" customHeight="1">
      <x:c r="A256" s="10" t="n">
        <x:v>1</x:v>
      </x:c>
      <x:c r="B256" s="2" t="str">
        <x:v>CORP-0258</x:v>
      </x:c>
      <x:c r="C256" s="2" t="str">
        <x:v>Hyderabad</x:v>
      </x:c>
      <x:c r="D256" s="2" t="str">
        <x:v>MSZJ0FQX</x:v>
      </x:c>
      <x:c r="E256" s="12" t="str">
        <x:v>Wework - Krishe Emerald</x:v>
      </x:c>
      <x:c r="F256" s="12" t="str">
        <x:v>Kondapur</x:v>
      </x:c>
      <x:c r="G256" s="11" t="n">
        <x:v>9</x:v>
      </x:c>
      <x:c r="H256" s="2" t="str">
        <x:v>43 inch LED TV</x:v>
      </x:c>
      <x:c r="I256" s="12" t="str">
        <x:v>Abhinav Immigration Services Pvt. Ltd; 9AV Ads; Option Zero Research &amp; Consulting Services; Rabrigid Private Limited; Enwave Concepts and Consultants; PDI Software India LLP</x:v>
      </x:c>
      <x:c r="J256" s="2" t="n">
        <x:v>6</x:v>
      </x:c>
      <x:c r="K256" s="12" t="str">
        <x:v>Inventory-listed building/workspace context; current occupancy and screen access unverified</x:v>
      </x:c>
      <x:c r="L256" s="12" t="str">
        <x:v>IT &amp; digital; Professional services; Engineering &amp; manufacturing; Unresolved</x:v>
      </x:c>
      <x:c r="M256" s="12" t="str">
        <x:v>Small-scale prospects; Medium-scale prospects; Mixed business audience</x:v>
      </x:c>
      <x:c r="N256" s="12" t="str">
        <x:v>MAIN-262</x:v>
      </x:c>
      <x:c r="O256" s="13" t="n">
        <x:v>17.4583957</x:v>
      </x:c>
      <x:c r="P256" s="13" t="n">
        <x:v>78.368352</x:v>
      </x:c>
      <x:c r="Q256" s="2" t="str">
        <x:v>https://www.google.com/maps?q=17.4583957,78.368352</x:v>
      </x:c>
      <x:c r="R256" s="2" t="str">
        <x:v>TEN-54BFBC460F9A; TEN-592C65297F79; TEN-9CA9DFB04AA5; TEN-ADE48E9316FE; TEN-BCA50A2419EE; TEN-E0050031C27B</x:v>
      </x:c>
      <x:c r="S256" s="12" t="str">
        <x:v>Flexible workspace / mixed businesses</x:v>
      </x:c>
      <x:c r="T256" s="12" t="str">
        <x:v>Tenant business-type estimates and reviewed company-scale context.</x:v>
      </x:c>
    </x:row>
    <x:row r="257" ht="64" customHeight="1">
      <x:c r="A257" s="10" t="n">
        <x:v>1</x:v>
      </x:c>
      <x:c r="B257" s="2" t="str">
        <x:v>CORP-0259</x:v>
      </x:c>
      <x:c r="C257" s="2" t="str">
        <x:v>Hyderabad</x:v>
      </x:c>
      <x:c r="D257" s="2" t="str">
        <x:v>MSB03YZV</x:v>
      </x:c>
      <x:c r="E257" s="12" t="str">
        <x:v>WeWork - Mindspace</x:v>
      </x:c>
      <x:c r="F257" s="12" t="str">
        <x:v>Madhapur</x:v>
      </x:c>
      <x:c r="G257" s="11" t="n">
        <x:v>1</x:v>
      </x:c>
      <x:c r="H257" s="2" t="str">
        <x:v>43 inch LED TV</x:v>
      </x:c>
      <x:c r="I257" s="12" t="str">
        <x:v>Concentrix Daksh Business Services Pvt Ltd; Eminence Business Media LLP; Flylines India Visa Consultancy Service; JP Morgan Chase India Private Limited; IBM India Pvt. Ltd</x:v>
      </x:c>
      <x:c r="J257" s="2" t="n">
        <x:v>5</x:v>
      </x:c>
      <x:c r="K257" s="12" t="str">
        <x:v>Inventory-listed building/workspace context; current occupancy and screen access unverified</x:v>
      </x:c>
      <x:c r="L257" s="12" t="str">
        <x:v>IT &amp; digital; Professional services; Finance &amp; insurance; Trade, consumer &amp; logistics</x:v>
      </x:c>
      <x:c r="M257" s="12" t="str">
        <x:v>Small-scale prospects; Large enterprise; Mixed business audience</x:v>
      </x:c>
      <x:c r="N257" s="12" t="str">
        <x:v>MAIN-263</x:v>
      </x:c>
      <x:c r="O257" s="13" t="n">
        <x:v>17.44149398803711</x:v>
      </x:c>
      <x:c r="P257" s="13" t="n">
        <x:v>78.38087463378906</x:v>
      </x:c>
      <x:c r="Q257" s="2" t="str">
        <x:v>https://www.google.com/maps?q=17.44149398803711,78.38087463378906</x:v>
      </x:c>
      <x:c r="R257" s="2" t="str">
        <x:v>TEN-0E1C583F6A7B; TEN-2787E6CA3B5E; TEN-6CAD670EAED5; TEN-93D2337E5D18; TEN-D3D424C3C181</x:v>
      </x:c>
      <x:c r="S257" s="12" t="str">
        <x:v>Flexible workspace / mixed businesses</x:v>
      </x:c>
      <x:c r="T257" s="12" t="str">
        <x:v>Tenant business-type estimates and reviewed company-scale context.</x:v>
      </x:c>
    </x:row>
    <x:row r="258" ht="64" customHeight="1">
      <x:c r="A258" s="10" t="n">
        <x:v>1</x:v>
      </x:c>
      <x:c r="B258" s="2" t="str">
        <x:v>CORP-0260</x:v>
      </x:c>
      <x:c r="C258" s="2" t="str">
        <x:v>Hyderabad</x:v>
      </x:c>
      <x:c r="D258" s="2" t="str">
        <x:v>MS1V1P3R</x:v>
      </x:c>
      <x:c r="E258" s="12" t="str">
        <x:v>Wework - Rajapushpa Summit</x:v>
      </x:c>
      <x:c r="F258" s="12" t="str">
        <x:v>Manikonda Jagir</x:v>
      </x:c>
      <x:c r="G258" s="11" t="n">
        <x:v>4</x:v>
      </x:c>
      <x:c r="H258" s="2" t="str">
        <x:v>43 inch LED TV</x:v>
      </x:c>
      <x:c r="I258" s="12" t="str">
        <x:v>Futluz Technologies; CloudBuilders Technologies Private Limited</x:v>
      </x:c>
      <x:c r="J258" s="2" t="n">
        <x:v>2</x:v>
      </x:c>
      <x:c r="K258" s="12" t="str">
        <x:v>Inventory-listed building/workspace context; current occupancy and screen access unverified</x:v>
      </x:c>
      <x:c r="L258" s="12" t="str">
        <x:v>IT &amp; digital; Unresolved</x:v>
      </x:c>
      <x:c r="M258" s="12" t="str">
        <x:v>Small-scale prospects; Mixed business audience</x:v>
      </x:c>
      <x:c r="N258" s="12" t="str">
        <x:v>MAIN-264</x:v>
      </x:c>
      <x:c r="O258" s="13" t="n">
        <x:v>17.4231761</x:v>
      </x:c>
      <x:c r="P258" s="13" t="n">
        <x:v>78.3390326</x:v>
      </x:c>
      <x:c r="Q258" s="2" t="str">
        <x:v>https://www.google.com/maps?q=17.4231761,78.3390326</x:v>
      </x:c>
      <x:c r="R258" s="2" t="str">
        <x:v>TEN-2286F252C42A; TEN-957E37CA19C4</x:v>
      </x:c>
      <x:c r="S258" s="12" t="str">
        <x:v>Flexible workspace / mixed businesses</x:v>
      </x:c>
      <x:c r="T258" s="12" t="str">
        <x:v>Tenant business-type estimates and reviewed company-scale context.</x:v>
      </x:c>
    </x:row>
    <x:row r="259" ht="64" customHeight="1">
      <x:c r="A259" s="10" t="n">
        <x:v>1</x:v>
      </x:c>
      <x:c r="B259" s="2" t="str">
        <x:v>CORP-0261</x:v>
      </x:c>
      <x:c r="C259" s="2" t="str">
        <x:v>Hyderabad</x:v>
      </x:c>
      <x:c r="D259" s="2" t="str">
        <x:v>MSX89PDY</x:v>
      </x:c>
      <x:c r="E259" s="12" t="str">
        <x:v>WeWork - RMZ Spire</x:v>
      </x:c>
      <x:c r="F259" s="12" t="str">
        <x:v>Silpa Gram Craft Village</x:v>
      </x:c>
      <x:c r="G259" s="11" t="n">
        <x:v>4</x:v>
      </x:c>
      <x:c r="H259" s="2" t="str">
        <x:v>43 inch LED TV</x:v>
      </x:c>
      <x:c r="I259" s="12" t="str">
        <x:v>Urban School; Orané Studio; Clifford Chance Business Services; Nielsen Media India Pvt Ltd; Info It Solutions Private Limited; Opland ERP; RVR ADGAMEFILM STUDIOS; Indian Explosives Pvt Ltd (Orica)</x:v>
      </x:c>
      <x:c r="J259" s="2" t="n">
        <x:v>8</x:v>
      </x:c>
      <x:c r="K259" s="12" t="str">
        <x:v>Inventory-listed building/workspace context; current occupancy and screen access unverified</x:v>
      </x:c>
      <x:c r="L259" s="12" t="str">
        <x:v>IT &amp; digital; Professional services; Engineering &amp; manufacturing; Education; Trade, consumer &amp; logistics; Unresolved</x:v>
      </x:c>
      <x:c r="M259" s="12" t="str">
        <x:v>Small-scale prospects; Mixed business audience</x:v>
      </x:c>
      <x:c r="N259" s="12" t="str">
        <x:v>MAIN-265</x:v>
      </x:c>
      <x:c r="O259" s="13" t="n">
        <x:v>17.433408737182617</x:v>
      </x:c>
      <x:c r="P259" s="13" t="n">
        <x:v>78.3824234008789</x:v>
      </x:c>
      <x:c r="Q259" s="2" t="str">
        <x:v>https://www.google.com/maps?q=17.433408737182617,78.3824234008789</x:v>
      </x:c>
      <x:c r="R259" s="2" t="str">
        <x:v>TEN-75F5370EFA4D; TEN-814FBCF1E1A0; TEN-CD4C13F13D3E; TEN-DC5D5F33E499; TEN-EE2DF17770F8; TEN-EE6A48A43A19; TEN-F064C5D05AD3; TEN-F17F1636FFB9</x:v>
      </x:c>
      <x:c r="S259" s="12" t="str">
        <x:v>Flexible workspace / mixed businesses</x:v>
      </x:c>
      <x:c r="T259" s="12" t="str">
        <x:v>Tenant business-type estimates and reviewed company-scale context.</x:v>
      </x:c>
    </x:row>
    <x:row r="260" ht="64" customHeight="1">
      <x:c r="A260" s="10" t="n">
        <x:v>1</x:v>
      </x:c>
      <x:c r="B260" s="2" t="str">
        <x:v>CORP-0262</x:v>
      </x:c>
      <x:c r="C260" s="2" t="str">
        <x:v>Indore</x:v>
      </x:c>
      <x:c r="D260" s="2" t="str">
        <x:v>MSAJVD4G</x:v>
      </x:c>
      <x:c r="E260" s="12" t="str">
        <x:v>Airen Heights</x:v>
      </x:c>
      <x:c r="F260" s="12" t="str">
        <x:v>Scheme no 53</x:v>
      </x:c>
      <x:c r="G260" s="11" t="n">
        <x:v>1</x:v>
      </x:c>
      <x:c r="H260" s="2" t="str">
        <x:v>43 inch LED TV</x:v>
      </x:c>
      <x:c r="I260" s="12" t="str">
        <x:v>Bajaj Finserv; Laxyo; BioUrja; Techinfini; Inwizards; Kalinda; Digivalet; Moksh; Satguru; Westplains; Pramerica; Lancesoft; The India Cements Ltd; Wonder Cement; Viji; Finknit; Piramal Finance; Indr; Noborders; Sagar Cements; Canopus; Mars; Webllisto; Mactosys; Airen Group; Shivangi Steels; Stewart</x:v>
      </x:c>
      <x:c r="J260" s="2" t="n">
        <x:v>27</x:v>
      </x:c>
      <x:c r="K260" s="12" t="str">
        <x:v>Inventory-listed building/workspace context; current occupancy and screen access unverified</x:v>
      </x:c>
      <x:c r="L260" s="12" t="str">
        <x:v>IT &amp; digital; Professional services; Finance &amp; insurance; Engineering &amp; manufacturing; Trade, consumer &amp; logistics; Unresolved</x:v>
      </x:c>
      <x:c r="M260" s="12" t="str">
        <x:v>Small-scale prospects; Medium-scale prospects; Large enterprise; Mixed business audience</x:v>
      </x:c>
      <x:c r="N260" s="12" t="str">
        <x:v>MAIN-266</x:v>
      </x:c>
      <x:c r="O260" s="13" t="n">
        <x:v>22.74527931213379</x:v>
      </x:c>
      <x:c r="P260" s="13" t="n">
        <x:v>75.89221954345703</x:v>
      </x:c>
      <x:c r="Q260" s="2" t="str">
        <x:v>https://www.google.com/maps?q=22.74527931213379,75.89221954345703</x:v>
      </x:c>
      <x:c r="R260" s="2" t="str">
        <x:v>TEN-0470467C47DA; TEN-0759A53FE3DF; TEN-0E58FC443FF5; TEN-27EBE35B86A3; TEN-33247E76C552; TEN-3430682EB17F; TEN-356EE5DC254F; TEN-3CFC42C07A81; TEN-4DA6C6809231; TEN-63E926341C95; TEN-660B3482AF97; TEN-728B4321F7A2; TEN-771063175848; TEN-830061D89C71; TEN-923F68A01FFD; TEN-93516E9B2EB3; TEN-9400E30186D5; TEN-A50B9A607896; TEN-B0F2A2BD7A3C; TEN-B1D3552541D5; TEN-C7D44E633249; TEN-D158BE41DB87; TEN-E381635B7337; TEN-E4C80A123088; TEN-E911ACD7AC00; TEN-EB671BBEA10E; TEN-FC4FE1AF2B46</x:v>
      </x:c>
      <x:c r="S260" s="12" t="str">
        <x:v>Mixed commercial workplace</x:v>
      </x:c>
      <x:c r="T260" s="12" t="str">
        <x:v>Tenant business-type estimates and reviewed company-scale context.</x:v>
      </x:c>
    </x:row>
    <x:row r="261" ht="88" customHeight="1">
      <x:c r="A261" s="10" t="n">
        <x:v>1</x:v>
      </x:c>
      <x:c r="B261" s="2" t="str">
        <x:v>CORP-0263</x:v>
      </x:c>
      <x:c r="C261" s="2" t="str">
        <x:v>Indore</x:v>
      </x:c>
      <x:c r="D261" s="2" t="str">
        <x:v>MSQZXV0F</x:v>
      </x:c>
      <x:c r="E261" s="12" t="str">
        <x:v>Apollo Gold Plaza</x:v>
      </x:c>
      <x:c r="F261" s="12" t="str">
        <x:v>Nipania</x:v>
      </x:c>
      <x:c r="G261" s="11" t="n">
        <x:v>2</x:v>
      </x:c>
      <x:c r="H261" s="2" t="str">
        <x:v>43 inch LED TV</x:v>
      </x:c>
      <x:c r="I261" s="12" t="str">
        <x:v>Shreemaya; Yes Bank; App Sphere Softwares; The Wardrobe; The Work Nation; Global Exim Consultancy; Top &amp; Town; Apollo Dental; Kraftzee; Hammer Events; Upgrad; OPPO; Rayonner; Mr. Investors; Samsung; Sagar Cements Ltd; Passport Seva Kendra; Megha Engineering</x:v>
      </x:c>
      <x:c r="J261" s="2" t="n">
        <x:v>18</x:v>
      </x:c>
      <x:c r="K261" s="12" t="str">
        <x:v>Inventory-listed building/workspace context; current occupancy and screen access unverified</x:v>
      </x:c>
      <x:c r="L261" s="12" t="str">
        <x:v>IT &amp; digital; Professional services; Finance &amp; insurance; Engineering &amp; manufacturing; Healthcare &amp; life sciences; Education; Trade, consumer &amp; logistics; Workspace &amp; property operations; Government &amp; nonprofit; Unresolved</x:v>
      </x:c>
      <x:c r="M261" s="12" t="str">
        <x:v>Small-scale prospects; Medium-scale prospects; Large enterprise; Institutional; Mixed business audience</x:v>
      </x:c>
      <x:c r="N261" s="12" t="str">
        <x:v>MAIN-267</x:v>
      </x:c>
      <x:c r="O261" s="13" t="n">
        <x:v>22.759260177612305</x:v>
      </x:c>
      <x:c r="P261" s="13" t="n">
        <x:v>75.92206573486328</x:v>
      </x:c>
      <x:c r="Q261" s="2" t="str">
        <x:v>https://www.google.com/maps?q=22.759260177612305,75.92206573486328</x:v>
      </x:c>
      <x:c r="R261" s="2" t="str">
        <x:v>TEN-0E6A64179D0F; TEN-1C593F87A18C; TEN-1CAE3150CD93; TEN-30E052F4048B; TEN-43D8802BE4D6; TEN-4FECE7E10BAF; TEN-5AD09C016EC1; TEN-621F0FBC68F3; TEN-628A998CF468; TEN-6D42C4AA277D; TEN-76CFEC1C272A; TEN-8147E6FED86D; TEN-8918FBD5F4F5; TEN-8D2A37C827BC; TEN-968E2D5B0868; TEN-A79DD0F512DB; TEN-C6B55D0681FA; TEN-F92A50840CD9</x:v>
      </x:c>
      <x:c r="S261" s="12" t="str">
        <x:v>Mixed commercial workplace</x:v>
      </x:c>
      <x:c r="T261" s="12" t="str">
        <x:v>Tenant business-type estimates and reviewed company-scale context.</x:v>
      </x:c>
    </x:row>
    <x:row r="262" ht="127" customHeight="1">
      <x:c r="A262" s="10" t="n">
        <x:v>1</x:v>
      </x:c>
      <x:c r="B262" s="2" t="str">
        <x:v>CORP-0264</x:v>
      </x:c>
      <x:c r="C262" s="2" t="str">
        <x:v>Indore</x:v>
      </x:c>
      <x:c r="D262" s="2" t="str">
        <x:v>MS3DSA8N</x:v>
      </x:c>
      <x:c r="E262" s="12" t="str">
        <x:v>Apollo Premier</x:v>
      </x:c>
      <x:c r="F262" s="12" t="str">
        <x:v>Vijay nagar</x:v>
      </x:c>
      <x:c r="G262" s="11" t="n">
        <x:v>2</x:v>
      </x:c>
      <x:c r="H262" s="2" t="str">
        <x:v>55 inch LED TV</x:v>
      </x:c>
      <x:c r="I262" s="12" t="str">
        <x:v>SiS Enterprises; Piano Project; BOSCH; Fabastech; Climeto; Aadrika Associates Pvt. Ltd; Mayura Steels; Fairdeal; R21; Happiness Plans; Mama Loca; Dwellfox; Blissclub; Jain Pravin &amp; Associates; Shripadm Global Business; RedMonk; Saify Construction Co; Progressive Packaging; NBN Minerals Pvt. Ltd; Assure; MicroMitti; Revolution; NumeroEINS; Apollo Tyres Ltd; SBI Securities; Whichfloor; Escorts; Chroniclo Cloud; BR Bang; DLX Reality; Sharekhan; Tata Croma; OCA; Techquaint; FabIndia; MP Metro; Accume; Canara X HSBC Insurance; Presume Overseas Education; Srijan Solutions; Eagle; AI Trillion; Ilead; Happy Weddings; Synapse; Farzi Cafe; Fusion; Ecosystem Ventures</x:v>
      </x:c>
      <x:c r="J262" s="2" t="n">
        <x:v>48</x:v>
      </x:c>
      <x:c r="K262" s="12" t="str">
        <x:v>Inventory-listed building/workspace context; current occupancy and screen access unverified</x:v>
      </x:c>
      <x:c r="L262" s="12" t="str">
        <x:v>IT &amp; digital; Finance &amp; insurance; Engineering &amp; manufacturing; Education; Trade, consumer &amp; logistics; Unresolved</x:v>
      </x:c>
      <x:c r="M262" s="12" t="str">
        <x:v>Small-scale prospects; Medium-scale prospects; Large enterprise; Mixed business audience</x:v>
      </x:c>
      <x:c r="N262" s="12" t="str">
        <x:v>MAIN-268</x:v>
      </x:c>
      <x:c r="O262" s="13" t="n">
        <x:v>22.75022315979004</x:v>
      </x:c>
      <x:c r="P262" s="13" t="n">
        <x:v>75.89677429199219</x:v>
      </x:c>
      <x:c r="Q262" s="2" t="str">
        <x:v>https://www.google.com/maps?q=22.75022315979004,75.89677429199219</x:v>
      </x:c>
      <x:c r="R262" s="2" t="str">
        <x:v>TEN-02307EC68AF1; TEN-04C4F86B0D0A; TEN-0600C79833CC; TEN-0690190DD270; TEN-0744BB22C8B2; TEN-0B56B6EC5EA6; TEN-0FE71AFA8B33; TEN-148467CBDDAE; TEN-27700B8C80E5; TEN-294E778CB1A4; TEN-38964F2926E6; TEN-43449F44510F; TEN-4372F5F2C226; TEN-521F2A24ED8E; TEN-526F74215D36; TEN-56B8BA98F7F4; TEN-5E23D7683439; TEN-6020795B1CE6; TEN-623B80FBF08D; TEN-63BE8044D771; TEN-6AD0A30CACD0; TEN-70B6144FAE4D; TEN-7A3739772D44; TEN-839DEB3142C5; TEN-87650DA43E90; TEN-950484B1F075; TEN-9A22E5ED9042; TEN-A0E57F90BD10; TEN-A7E1C1C99457; TEN-ACD29E20304D; TEN-B07B67C76413; TEN-B2E697A06F9A; TEN-B8C120ECAB54; TEN-B951544E9D99; TEN-B9974CC73E15; TEN-BEA5248C6C80; TEN-C66D09431C09; TEN-C73172A3BDEB; TEN-CB09D6D1B767; TEN-E6542CB80A35; TEN-E73B48F750BE; TEN-EB4F5CB9E5EC; TEN-EF6C0A3D2A0E; TEN-F1446726068A; TEN-F208248E5969; TEN-F36C3561BBA5; TEN-F5D36C673CEA; TEN-F79F4922D3B3</x:v>
      </x:c>
      <x:c r="S262" s="12" t="str">
        <x:v>Mixed commercial workplace</x:v>
      </x:c>
      <x:c r="T262" s="12" t="str">
        <x:v>Tenant business-type estimates and reviewed company-scale context.</x:v>
      </x:c>
    </x:row>
    <x:row r="263" ht="64" customHeight="1">
      <x:c r="A263" s="10" t="n">
        <x:v>1</x:v>
      </x:c>
      <x:c r="B263" s="2" t="str">
        <x:v>CORP-0265</x:v>
      </x:c>
      <x:c r="C263" s="2" t="str">
        <x:v>Indore</x:v>
      </x:c>
      <x:c r="D263" s="2" t="str">
        <x:v>MSWV4NGK</x:v>
      </x:c>
      <x:c r="E263" s="12" t="str">
        <x:v>Benchmark</x:v>
      </x:c>
      <x:c r="F263" s="12" t="str">
        <x:v>Vijay nagar</x:v>
      </x:c>
      <x:c r="G263" s="11" t="n">
        <x:v>1</x:v>
      </x:c>
      <x:c r="H263" s="2" t="str">
        <x:v>55 inch LED TV</x:v>
      </x:c>
      <x:c r="I263" s="12" t="str">
        <x:v>Wurfel; Zudio; SK Finance; INDU; Aditya Birla Group; Agrawal Sweets; National Insurance; SUD Life; Miniso; Adani; Anytime Fitness; Edelweiss Life Insurance; IDFC First Bank; Van Heusen; SMFG India Credit; Peter England; Kotak Life; InCred; Birla Opus Paints; AU Bank; Poonawala Fincorp; Coromandel; Allen Solly</x:v>
      </x:c>
      <x:c r="J263" s="2" t="n">
        <x:v>23</x:v>
      </x:c>
      <x:c r="K263" s="12" t="str">
        <x:v>Inventory-listed building/workspace context; current occupancy and screen access unverified</x:v>
      </x:c>
      <x:c r="L263" s="12" t="str">
        <x:v>Finance &amp; insurance; Engineering &amp; manufacturing; Healthcare &amp; life sciences; Trade, consumer &amp; logistics; Unresolved</x:v>
      </x:c>
      <x:c r="M263" s="12" t="str">
        <x:v>Micro-scale prospects; Small-scale prospects; Medium-scale prospects; Large enterprise; Mixed business audience</x:v>
      </x:c>
      <x:c r="N263" s="12" t="str">
        <x:v>MAIN-269</x:v>
      </x:c>
      <x:c r="O263" s="13" t="n">
        <x:v>22.754899978637695</x:v>
      </x:c>
      <x:c r="P263" s="13" t="n">
        <x:v>75.89832305908203</x:v>
      </x:c>
      <x:c r="Q263" s="2" t="str">
        <x:v>https://www.google.com/maps?q=22.754899978637695,75.89832305908203</x:v>
      </x:c>
      <x:c r="R263" s="2" t="str">
        <x:v>TEN-003A9BE2D25C; TEN-01C854795E61; TEN-081CE58110FF; TEN-3D7313DBDA83; TEN-4142B3BC93EF; TEN-65E55002CE6A; TEN-6A6775B6325F; TEN-6E39FF852CB7; TEN-8C1713589E8E; TEN-8FCCCD18B630; TEN-940CC6BFC3C4; TEN-A1D4A79B9988; TEN-A9E3F127D53F; TEN-C6A6BD76D408; TEN-D16A96037885; TEN-E353B4E25D40; TEN-E4B2E6D6E722; TEN-EA021C6E19D8; TEN-EEE8236F2BE2; TEN-F0F59D5208F6; TEN-F338051AA62C; TEN-F7F44358B02D; TEN-FFDD85E02F24</x:v>
      </x:c>
      <x:c r="S263" s="12" t="str">
        <x:v>Mixed commercial workplace</x:v>
      </x:c>
      <x:c r="T263" s="12" t="str">
        <x:v>Tenant business-type estimates and reviewed company-scale context.</x:v>
      </x:c>
    </x:row>
    <x:row r="264" ht="64" customHeight="1">
      <x:c r="A264" s="10" t="n">
        <x:v>1</x:v>
      </x:c>
      <x:c r="B264" s="2" t="str">
        <x:v>CORP-0266</x:v>
      </x:c>
      <x:c r="C264" s="2" t="str">
        <x:v>Indore</x:v>
      </x:c>
      <x:c r="D264" s="2" t="str">
        <x:v>MS606WCY</x:v>
      </x:c>
      <x:c r="E264" s="12" t="str">
        <x:v>Cliffton Corporate</x:v>
      </x:c>
      <x:c r="F264" s="12" t="str">
        <x:v>Vijay nagar</x:v>
      </x:c>
      <x:c r="G264" s="11" t="n">
        <x:v>1</x:v>
      </x:c>
      <x:c r="H264" s="2" t="str">
        <x:v>43 inch LED TV</x:v>
      </x:c>
      <x:c r="I264" s="12" t="str">
        <x:v>TATA Capital; Sprint Logistics; Bidyut Innovation; GIGO; Mirnah; ITGeeks; Coffee by Di Bella; Goodwill; Satin Housing Finance Ltd; Namdev Finvest Pvt. Ltd; Intellect; RULoans; VCrest Enterprise; New Vision; Let's Go Tours; Grab Space; Easycom; Vidhiniti; NUVOCO; Bajaj Allianz; Altin</x:v>
      </x:c>
      <x:c r="J264" s="2" t="n">
        <x:v>21</x:v>
      </x:c>
      <x:c r="K264" s="12" t="str">
        <x:v>Inventory-listed building/workspace context; current occupancy and screen access unverified</x:v>
      </x:c>
      <x:c r="L264" s="12" t="str">
        <x:v>IT &amp; digital; Finance &amp; insurance; Engineering &amp; manufacturing; Trade, consumer &amp; logistics; Workspace &amp; property operations; Unresolved</x:v>
      </x:c>
      <x:c r="M264" s="12" t="str">
        <x:v>Small-scale prospects; Medium-scale prospects; Large enterprise; Mixed business audience</x:v>
      </x:c>
      <x:c r="N264" s="12" t="str">
        <x:v>MAIN-270</x:v>
      </x:c>
      <x:c r="O264" s="13" t="n">
        <x:v>22.761255264282227</x:v>
      </x:c>
      <x:c r="P264" s="13" t="n">
        <x:v>75.89797973632812</x:v>
      </x:c>
      <x:c r="Q264" s="2" t="str">
        <x:v>https://www.google.com/maps?q=22.761255264282227,75.89797973632812</x:v>
      </x:c>
      <x:c r="R264" s="2" t="str">
        <x:v>TEN-0599633AC599; TEN-194ABFD5CF0A; TEN-217A3357FE5A; TEN-21B547D50FFF; TEN-2E5A588EB035; TEN-387C19F5DB1C; TEN-3A4174138191; TEN-47B2D9943B23; TEN-4B1E6BDB3887; TEN-4E47C1B5FEBC; TEN-718B3BA4D288; TEN-753F2A7D1BCF; TEN-8212EE32812B; TEN-8EA8DF83F556; TEN-9A7E548DD883; TEN-A8130969F4B5; TEN-C1483C72A9FF; TEN-C3C9FF9406F1; TEN-CF8527DC52D8; TEN-EFA1AA1770B7; TEN-F38062E0D24B</x:v>
      </x:c>
      <x:c r="S264" s="12" t="str">
        <x:v>Multi-tenant business offices</x:v>
      </x:c>
      <x:c r="T264" s="12" t="str">
        <x:v>Tenant business-type estimates and reviewed company-scale context.</x:v>
      </x:c>
    </x:row>
    <x:row r="265" ht="64" customHeight="1">
      <x:c r="A265" s="10" t="n">
        <x:v>1</x:v>
      </x:c>
      <x:c r="B265" s="2" t="str">
        <x:v>CORP-0267</x:v>
      </x:c>
      <x:c r="C265" s="2" t="str">
        <x:v>Indore</x:v>
      </x:c>
      <x:c r="D265" s="2" t="str">
        <x:v>MS8904RS</x:v>
      </x:c>
      <x:c r="E265" s="12" t="str">
        <x:v>Dhan Trident</x:v>
      </x:c>
      <x:c r="F265" s="12" t="str">
        <x:v>Vijay nagar</x:v>
      </x:c>
      <x:c r="G265" s="11" t="n">
        <x:v>2</x:v>
      </x:c>
      <x:c r="H265" s="2" t="str">
        <x:v>43 inch LED TV</x:v>
      </x:c>
      <x:c r="I265" s="12" t="str">
        <x:v>QUESS; SIDBI; L&amp;T Finance; Axis Bank; Bharat Certis; Vakarangee; Keen Solution; Mahindra Finance; IDFC First Bank; Tata AIA; Schneider Electric; UGRO Capital; Shreenath Logistics; Asian Paints; GRIHUM; ORAVEL; Reliance Retail; Orient Electric; Home First; AU Bank</x:v>
      </x:c>
      <x:c r="J265" s="2" t="n">
        <x:v>20</x:v>
      </x:c>
      <x:c r="K265" s="12" t="str">
        <x:v>Inventory-listed building/workspace context; current occupancy and screen access unverified</x:v>
      </x:c>
      <x:c r="L265" s="12" t="str">
        <x:v>Professional services; Finance &amp; insurance; Engineering &amp; manufacturing; Trade, consumer &amp; logistics; Unresolved</x:v>
      </x:c>
      <x:c r="M265" s="12" t="str">
        <x:v>Medium-scale prospects; Large enterprise; Mixed business audience</x:v>
      </x:c>
      <x:c r="N265" s="12" t="str">
        <x:v>MAIN-271</x:v>
      </x:c>
      <x:c r="O265" s="13" t="n">
        <x:v>22.754064559936523</x:v>
      </x:c>
      <x:c r="P265" s="13" t="n">
        <x:v>75.89757537841797</x:v>
      </x:c>
      <x:c r="Q265" s="2" t="str">
        <x:v>https://www.google.com/maps?q=22.754064559936523,75.89757537841797</x:v>
      </x:c>
      <x:c r="R265" s="2" t="str">
        <x:v>TEN-20A7D31FBA30; TEN-305094995AAD; TEN-3C294306421C; TEN-52CC75641406; TEN-5DB1123C398D; TEN-6E06B8D9E2A3; TEN-92A46CAA865E; TEN-A12F99DD2F8D; TEN-A9E3F127D53F; TEN-BB9D93D4756A; TEN-BC3067AC45DF; TEN-C3AFC9E0B8DF; TEN-C94B4C730018; TEN-D0879CBAC1A9; TEN-D113F5BCE96F; TEN-DF36F95F74EA; TEN-E970D13343C8; TEN-EC14C966B91D; TEN-F0434252015E; TEN-F0F59D5208F6</x:v>
      </x:c>
      <x:c r="S265" s="12" t="str">
        <x:v>Mixed commercial workplace</x:v>
      </x:c>
      <x:c r="T265" s="12" t="str">
        <x:v>Tenant business-type estimates and reviewed company-scale context.</x:v>
      </x:c>
    </x:row>
    <x:row r="266" ht="88" customHeight="1">
      <x:c r="A266" s="10" t="n">
        <x:v>1</x:v>
      </x:c>
      <x:c r="B266" s="2" t="str">
        <x:v>CORP-0268</x:v>
      </x:c>
      <x:c r="C266" s="2" t="str">
        <x:v>Indore</x:v>
      </x:c>
      <x:c r="D266" s="2" t="str">
        <x:v>MS573P17</x:v>
      </x:c>
      <x:c r="E266" s="12" t="str">
        <x:v>Maloo - 01</x:v>
      </x:c>
      <x:c r="F266" s="12" t="str">
        <x:v>Scheme no 94</x:v>
      </x:c>
      <x:c r="G266" s="11" t="n">
        <x:v>1</x:v>
      </x:c>
      <x:c r="H266" s="2" t="str">
        <x:v>43 inch LED TV</x:v>
      </x:c>
      <x:c r="I266" s="12" t="str">
        <x:v>Ruhi Enterprises; Alive; PR 24X7; ATC India; Alstom; Nayara Energy; Panasonic; Carrier; Vedang Cellular Service; SUD Life; Regus; AISECT; NGRT Systems; Accretion Aviation; HERO; MCC; AISECT University; Vimta; Bluestar; NEXA; Kent Mineral RO; TATA Hitachi; Red FM</x:v>
      </x:c>
      <x:c r="J266" s="2" t="n">
        <x:v>23</x:v>
      </x:c>
      <x:c r="K266" s="12" t="str">
        <x:v>Inventory-listed building/workspace context; current occupancy and screen access unverified</x:v>
      </x:c>
      <x:c r="L266" s="12" t="str">
        <x:v>IT &amp; digital; Professional services; Finance &amp; insurance; Engineering &amp; manufacturing; Healthcare &amp; life sciences; Education; Trade, consumer &amp; logistics; Workspace &amp; property operations; Unresolved</x:v>
      </x:c>
      <x:c r="M266" s="12" t="str">
        <x:v>Small-scale prospects; Large enterprise; Institutional; Mixed business audience</x:v>
      </x:c>
      <x:c r="N266" s="12" t="str">
        <x:v>MAIN-272</x:v>
      </x:c>
      <x:c r="O266" s="13" t="n">
        <x:v>22.746036529541016</x:v>
      </x:c>
      <x:c r="P266" s="13" t="n">
        <x:v>75.90342712402344</x:v>
      </x:c>
      <x:c r="Q266" s="2" t="str">
        <x:v>https://www.google.com/maps?q=22.746036529541016,75.90342712402344</x:v>
      </x:c>
      <x:c r="R266" s="2" t="str">
        <x:v>TEN-115B79902469; TEN-135FC7A09DA2; TEN-223A5501D90B; TEN-337FC025530C; TEN-36E26473A4E8; TEN-45F6BC07047C; TEN-46C759E87193; TEN-5803587E6791; TEN-615F95D34C39; TEN-6E39FF852CB7; TEN-6FC71948C40F; TEN-934CA7C0EEF3; TEN-9F6BB1723925; TEN-A0342370923A; TEN-AE6C79D10F1F; TEN-C81D24A89AC9; TEN-CA27C6C18E1C; TEN-D9ADBE0C3AA9; TEN-E0C400B0984A; TEN-E73975ED917E; TEN-EA8975B4C51B; TEN-EFC1A00D0AE7; TEN-FDAC38268C21</x:v>
      </x:c>
      <x:c r="S266" s="12" t="str">
        <x:v>Mixed commercial workplace</x:v>
      </x:c>
      <x:c r="T266" s="12" t="str">
        <x:v>Tenant business-type estimates and reviewed company-scale context.</x:v>
      </x:c>
    </x:row>
    <x:row r="267" ht="101" customHeight="1">
      <x:c r="A267" s="10" t="n">
        <x:v>1</x:v>
      </x:c>
      <x:c r="B267" s="2" t="str">
        <x:v>CORP-0269</x:v>
      </x:c>
      <x:c r="C267" s="2" t="str">
        <x:v>Indore</x:v>
      </x:c>
      <x:c r="D267" s="2" t="str">
        <x:v>MS23AGHB</x:v>
      </x:c>
      <x:c r="E267" s="12" t="str">
        <x:v>Metro Tower</x:v>
      </x:c>
      <x:c r="F267" s="12" t="str">
        <x:v>Vijay nagar</x:v>
      </x:c>
      <x:c r="G267" s="11" t="n">
        <x:v>2</x:v>
      </x:c>
      <x:c r="H267" s="2" t="str">
        <x:v>43 inch LED TV</x:v>
      </x:c>
      <x:c r="I267" s="12" t="str">
        <x:v>LifeCell International Pvt. Ltd; Reddito Capital Research Private Limited; Shaad Agro Private Limited; Paskola Value Management Consultant Private Limited; Addrest Tech Solutions Private Limited; Wisdom Box Infosystem LLP; Stockbazari NVR Technologies Private Limited; Premshree IT Park LLP; Surtel Technologies Private Limited; Soni Agriculture &amp; Live Stock Private Limited; Ishani Finserv Private Limited; Swan Investment Distributors Private Limited; Hightee Hotels Private Limited; Aspire Techlish Solutions LLP</x:v>
      </x:c>
      <x:c r="J267" s="2" t="n">
        <x:v>14</x:v>
      </x:c>
      <x:c r="K267" s="12" t="str">
        <x:v>Inventory-listed building/workspace context; current occupancy and screen access unverified</x:v>
      </x:c>
      <x:c r="L267" s="12" t="str">
        <x:v>Professional services; Finance &amp; insurance; Healthcare &amp; life sciences; Trade, consumer &amp; logistics; Unresolved</x:v>
      </x:c>
      <x:c r="M267" s="12" t="str">
        <x:v>Small-scale prospects; Medium-scale prospects; Mixed business audience</x:v>
      </x:c>
      <x:c r="N267" s="12" t="str">
        <x:v>MAIN-273</x:v>
      </x:c>
      <x:c r="O267" s="13" t="n">
        <x:v>22.753543853759766</x:v>
      </x:c>
      <x:c r="P267" s="13" t="n">
        <x:v>75.89706420898438</x:v>
      </x:c>
      <x:c r="Q267" s="2" t="str">
        <x:v>https://www.google.com/maps?q=22.753543853759766,75.89706420898438</x:v>
      </x:c>
      <x:c r="R267" s="2" t="str">
        <x:v>TEN-0129C6C3CDEB; TEN-1F31C89E234E; TEN-26974B5A07BB; TEN-336DDD08276C; TEN-4E0D8ECA527F; TEN-4F55DE894B56; TEN-6AC98C9B1C20; TEN-916E00835FFF; TEN-97436A7FB207; TEN-9CEA2EBE4EB1; TEN-A21333F9DEE9; TEN-AC9D9F310977; TEN-BDA2979FE4F0; TEN-D60A7EBBA35C</x:v>
      </x:c>
      <x:c r="S267" s="12" t="str">
        <x:v>Mixed commercial workplace</x:v>
      </x:c>
      <x:c r="T267" s="12" t="str">
        <x:v>Tenant business-type estimates and reviewed company-scale context.</x:v>
      </x:c>
    </x:row>
    <x:row r="268" ht="75" customHeight="1">
      <x:c r="A268" s="10" t="n">
        <x:v>1</x:v>
      </x:c>
      <x:c r="B268" s="2" t="str">
        <x:v>CORP-0270</x:v>
      </x:c>
      <x:c r="C268" s="2" t="str">
        <x:v>Indore</x:v>
      </x:c>
      <x:c r="D268" s="2" t="str">
        <x:v>MSFCDYX2</x:v>
      </x:c>
      <x:c r="E268" s="12" t="str">
        <x:v>Princess Sky Line</x:v>
      </x:c>
      <x:c r="F268" s="12" t="str">
        <x:v>PU - 3</x:v>
      </x:c>
      <x:c r="G268" s="11" t="n">
        <x:v>1</x:v>
      </x:c>
      <x:c r="H268" s="2" t="str">
        <x:v>55 inch LED TV</x:v>
      </x:c>
      <x:c r="I268" s="12" t="str">
        <x:v>Workie; Seventh IT Technology; Visa Alliance; SOFTOPS; Phoenix Event Media; Sumeru Global; ESP Softech; Westside; TATA Play; Havells; L&amp;T Construction; Kabelo; Integra Magna; Work Fox; RAS Infra; AngelOne</x:v>
      </x:c>
      <x:c r="J268" s="2" t="n">
        <x:v>16</x:v>
      </x:c>
      <x:c r="K268" s="12" t="str">
        <x:v>Inventory-listed building/workspace context; current occupancy and screen access unverified</x:v>
      </x:c>
      <x:c r="L268" s="12" t="str">
        <x:v>IT &amp; digital; Professional services; Finance &amp; insurance; Engineering &amp; manufacturing; Trade, consumer &amp; logistics; Workspace &amp; property operations; Unresolved</x:v>
      </x:c>
      <x:c r="M268" s="12" t="str">
        <x:v>Small-scale prospects; Medium-scale prospects; Large enterprise; Mixed business audience</x:v>
      </x:c>
      <x:c r="N268" s="12" t="str">
        <x:v>MAIN-274</x:v>
      </x:c>
      <x:c r="O268" s="13" t="n">
        <x:v>22.747114181518555</x:v>
      </x:c>
      <x:c r="P268" s="13" t="n">
        <x:v>75.89385223388672</x:v>
      </x:c>
      <x:c r="Q268" s="2" t="str">
        <x:v>https://www.google.com/maps?q=22.747114181518555,75.89385223388672</x:v>
      </x:c>
      <x:c r="R268" s="2" t="str">
        <x:v>TEN-13B3D65B3A89; TEN-21F20696E755; TEN-285D895E54B2; TEN-3532BE488AD1; TEN-391AC3F6E1D6; TEN-6F9E06E492D7; TEN-779119155C24; TEN-9DA70176374D; TEN-9EC50CBFF08B; TEN-C548E6EFB312; TEN-C912B7601C6F; TEN-CDFF61B47EDF; TEN-DF9DEDCFAC33; TEN-EBEED76FF4AE; TEN-EEC364C03494; TEN-FE47F9E7F7A1</x:v>
      </x:c>
      <x:c r="S268" s="12" t="str">
        <x:v>Mixed commercial workplace</x:v>
      </x:c>
      <x:c r="T268" s="12" t="str">
        <x:v>Tenant business-type estimates and reviewed company-scale context.</x:v>
      </x:c>
    </x:row>
    <x:row r="269" ht="64" customHeight="1">
      <x:c r="A269" s="10" t="n">
        <x:v>1</x:v>
      </x:c>
      <x:c r="B269" s="2" t="str">
        <x:v>CORP-0271</x:v>
      </x:c>
      <x:c r="C269" s="2" t="str">
        <x:v>Indore</x:v>
      </x:c>
      <x:c r="D269" s="2" t="str">
        <x:v>MSPNF19D</x:v>
      </x:c>
      <x:c r="E269" s="12" t="str">
        <x:v>Princess Sky Park</x:v>
      </x:c>
      <x:c r="F269" s="12" t="str">
        <x:v>PU - 3</x:v>
      </x:c>
      <x:c r="G269" s="11" t="n">
        <x:v>1</x:v>
      </x:c>
      <x:c r="H269" s="2" t="str">
        <x:v>55 inch LED TV</x:v>
      </x:c>
      <x:c r="I269" s="12" t="str">
        <x:v>PNB Met Life; Metro; Alzato Overseas Education; Vguard; JC Ventures; Titan; JK Lakshmi Cement; Morni Saree; Tanishq; Rise Agro Infra Pvt. Ltd; Kone; OPPO; USHA; Sony Pictures; Unilever; WitMates; cargill; Befree; Mars; JSW; Crocs; Antares; JadeBlue; Supreme</x:v>
      </x:c>
      <x:c r="J269" s="2" t="n">
        <x:v>24</x:v>
      </x:c>
      <x:c r="K269" s="12" t="str">
        <x:v>Inventory-listed building/workspace context; current occupancy and screen access unverified</x:v>
      </x:c>
      <x:c r="L269" s="12" t="str">
        <x:v>Professional services; Finance &amp; insurance; Engineering &amp; manufacturing; Education; Trade, consumer &amp; logistics; Unresolved</x:v>
      </x:c>
      <x:c r="M269" s="12" t="str">
        <x:v>Small-scale prospects; Medium-scale prospects; Large enterprise; Mixed business audience</x:v>
      </x:c>
      <x:c r="N269" s="12" t="str">
        <x:v>MAIN-275</x:v>
      </x:c>
      <x:c r="O269" s="13" t="n">
        <x:v>22.74597930908203</x:v>
      </x:c>
      <x:c r="P269" s="13" t="n">
        <x:v>75.89300537109375</x:v>
      </x:c>
      <x:c r="Q269" s="2" t="str">
        <x:v>https://www.google.com/maps?q=22.74597930908203,75.89300537109375</x:v>
      </x:c>
      <x:c r="R269" s="2" t="str">
        <x:v>TEN-08BAA6938F5C; TEN-0BC851D8E886; TEN-1BC985E184F6; TEN-2667DE31EFF0; TEN-342144404B2C; TEN-40A7E9ACB062; TEN-48EF6586AAC8; TEN-4E928BF5B45A; TEN-6BF6072410B7; TEN-6D11383E271F; TEN-7746C2BF988E; TEN-8147E6FED86D; TEN-9CC857B15A66; TEN-9E5953867F35; TEN-A38C2D7BFC42; TEN-A6C5ECD8B565; TEN-B91BF0E0084F; TEN-BB5FB69704FE; TEN-D158BE41DB87; TEN-D462DBD2DAB0; TEN-DC49949A782B; TEN-F43C7B93298A; TEN-F5DB59F358F0; TEN-F8F474A55BEF</x:v>
      </x:c>
      <x:c r="S269" s="12" t="str">
        <x:v>Mixed commercial workplace</x:v>
      </x:c>
      <x:c r="T269" s="12" t="str">
        <x:v>Tenant business-type estimates and reviewed company-scale context.</x:v>
      </x:c>
    </x:row>
    <x:row r="270" ht="64" customHeight="1">
      <x:c r="A270" s="10" t="n">
        <x:v>1</x:v>
      </x:c>
      <x:c r="B270" s="2" t="str">
        <x:v>CORP-0272</x:v>
      </x:c>
      <x:c r="C270" s="2" t="str">
        <x:v>Indore</x:v>
      </x:c>
      <x:c r="D270" s="2" t="str">
        <x:v>MSRT9858</x:v>
      </x:c>
      <x:c r="E270" s="12" t="str">
        <x:v>Satyaraj Complex</x:v>
      </x:c>
      <x:c r="F270" s="12" t="str">
        <x:v>PU - 3</x:v>
      </x:c>
      <x:c r="G270" s="11" t="n">
        <x:v>1</x:v>
      </x:c>
      <x:c r="H270" s="2" t="str">
        <x:v>43 inch LED TV</x:v>
      </x:c>
      <x:c r="I270" s="12" t="str">
        <x:v>Indra IVF; Reliance Jewels; HDFC Life; The Eighteen; State Bank of India; ORRA</x:v>
      </x:c>
      <x:c r="J270" s="2" t="n">
        <x:v>6</x:v>
      </x:c>
      <x:c r="K270" s="12" t="str">
        <x:v>Inventory-listed building/workspace context; current occupancy and screen access unverified</x:v>
      </x:c>
      <x:c r="L270" s="12" t="str">
        <x:v>Finance &amp; insurance; Healthcare &amp; life sciences; Trade, consumer &amp; logistics; Unresolved</x:v>
      </x:c>
      <x:c r="M270" s="12" t="str">
        <x:v>Large enterprise; Mixed business audience</x:v>
      </x:c>
      <x:c r="N270" s="12" t="str">
        <x:v>MAIN-276</x:v>
      </x:c>
      <x:c r="O270" s="13" t="n">
        <x:v>22.745384216308594</x:v>
      </x:c>
      <x:c r="P270" s="13" t="n">
        <x:v>75.89309692382812</x:v>
      </x:c>
      <x:c r="Q270" s="2" t="str">
        <x:v>https://www.google.com/maps?q=22.745384216308594,75.89309692382812</x:v>
      </x:c>
      <x:c r="R270" s="2" t="str">
        <x:v>TEN-2DA96B231E19; TEN-2E0B81FD4E43; TEN-4390DF4D2AFF; TEN-46F3D8FACEF4; TEN-65326AA32AB9; TEN-8F00E521A8BC</x:v>
      </x:c>
      <x:c r="S270" s="12" t="str">
        <x:v>Mixed commercial workplace</x:v>
      </x:c>
      <x:c r="T270" s="12" t="str">
        <x:v>Tenant business-type estimates and reviewed company-scale context.</x:v>
      </x:c>
    </x:row>
    <x:row r="271" ht="64" customHeight="1">
      <x:c r="A271" s="10" t="n">
        <x:v>1</x:v>
      </x:c>
      <x:c r="B271" s="2" t="str">
        <x:v>CORP-0273</x:v>
      </x:c>
      <x:c r="C271" s="2" t="str">
        <x:v>Kochi</x:v>
      </x:c>
      <x:c r="D271" s="2" t="str">
        <x:v>MSPNJWZT</x:v>
      </x:c>
      <x:c r="E271" s="12" t="str">
        <x:v>Awfis - Mezmatrix</x:v>
      </x:c>
      <x:c r="F271" s="12" t="str">
        <x:v>Chitoor Road</x:v>
      </x:c>
      <x:c r="G271" s="11" t="n">
        <x:v>2</x:v>
      </x:c>
      <x:c r="H271" s="2" t="str">
        <x:v>32 inch LED TV</x:v>
      </x:c>
      <x:c r="I271" s="12" t="str">
        <x:v>Whisper Media; Qartlz Pvt.Ltd; Edu Bird; Bizgrace Delight PVT LTD; Inbounderz; Hexxarch</x:v>
      </x:c>
      <x:c r="J271" s="2" t="n">
        <x:v>6</x:v>
      </x:c>
      <x:c r="K271" s="12" t="str">
        <x:v>Inventory-listed building/workspace context; current occupancy and screen access unverified</x:v>
      </x:c>
      <x:c r="L271" s="12" t="str">
        <x:v>Professional services; Education; Trade, consumer &amp; logistics; Unresolved</x:v>
      </x:c>
      <x:c r="M271" s="12" t="str">
        <x:v>Small-scale prospects; Mixed business audience</x:v>
      </x:c>
      <x:c r="N271" s="12" t="str">
        <x:v>MAIN-277</x:v>
      </x:c>
      <x:c r="O271" s="13" t="n">
        <x:v>9.976727</x:v>
      </x:c>
      <x:c r="P271" s="13" t="n">
        <x:v>76.28487</x:v>
      </x:c>
      <x:c r="Q271" s="2" t="str">
        <x:v>https://www.google.com/maps?q=9.976727,76.28487</x:v>
      </x:c>
      <x:c r="R271" s="2" t="str">
        <x:v>TEN-119AAADEDD3A; TEN-1218A0632377; TEN-2C43A4D50743; TEN-31A2AFA67FE9; TEN-8743108309E5; TEN-D80C916AEFE7</x:v>
      </x:c>
      <x:c r="S271" s="12" t="str">
        <x:v>Flexible workspace / mixed businesses</x:v>
      </x:c>
      <x:c r="T271" s="12" t="str">
        <x:v>Tenant business-type estimates and reviewed company-scale context.</x:v>
      </x:c>
    </x:row>
    <x:row r="272" ht="64" customHeight="1">
      <x:c r="A272" s="10" t="n">
        <x:v>1</x:v>
      </x:c>
      <x:c r="B272" s="2" t="str">
        <x:v>CORP-0274</x:v>
      </x:c>
      <x:c r="C272" s="2" t="str">
        <x:v>Kolkata</x:v>
      </x:c>
      <x:c r="D272" s="2" t="str">
        <x:v>MS5S3A8F</x:v>
      </x:c>
      <x:c r="E272" s="12" t="str">
        <x:v>Awfis - Acropolis Mall</x:v>
      </x:c>
      <x:c r="F272" s="12" t="str">
        <x:v>Rajdanga Main Road</x:v>
      </x:c>
      <x:c r="G272" s="11" t="n">
        <x:v>1</x:v>
      </x:c>
      <x:c r="H272" s="2" t="str">
        <x:v>32 inch LED TV</x:v>
      </x:c>
      <x:c r="I272" s="12" t="str">
        <x:v>Tally Solutions Pvt Ltd; KHWAHISH; SMSRC Private Limited</x:v>
      </x:c>
      <x:c r="J272" s="2" t="n">
        <x:v>3</x:v>
      </x:c>
      <x:c r="K272" s="12" t="str">
        <x:v>Inventory-listed building/workspace context; current occupancy and screen access unverified</x:v>
      </x:c>
      <x:c r="L272" s="12" t="str">
        <x:v>IT &amp; digital; Trade, consumer &amp; logistics; Unresolved</x:v>
      </x:c>
      <x:c r="M272" s="12" t="str">
        <x:v>Small-scale prospects; Mixed business audience</x:v>
      </x:c>
      <x:c r="N272" s="12" t="str">
        <x:v>MAIN-278</x:v>
      </x:c>
      <x:c r="O272" s="13" t="n">
        <x:v>22.5152476</x:v>
      </x:c>
      <x:c r="P272" s="13" t="n">
        <x:v>88.3933951</x:v>
      </x:c>
      <x:c r="Q272" s="2" t="str">
        <x:v>https://www.google.com/maps?q=22.5152476,88.3933951</x:v>
      </x:c>
      <x:c r="R272" s="2" t="str">
        <x:v>TEN-43C2D8676CC0; TEN-AFF6767D0CEC; TEN-D56060015633</x:v>
      </x:c>
      <x:c r="S272" s="12" t="str">
        <x:v>Flexible workspace / mixed businesses</x:v>
      </x:c>
      <x:c r="T272" s="12" t="str">
        <x:v>Tenant business-type estimates and reviewed company-scale context.</x:v>
      </x:c>
    </x:row>
    <x:row r="273" ht="64" customHeight="1">
      <x:c r="A273" s="10" t="n">
        <x:v>1</x:v>
      </x:c>
      <x:c r="B273" s="2" t="str">
        <x:v>CORP-0275</x:v>
      </x:c>
      <x:c r="C273" s="2" t="str">
        <x:v>Kolkata</x:v>
      </x:c>
      <x:c r="D273" s="2" t="str">
        <x:v>MSMBHCCR</x:v>
      </x:c>
      <x:c r="E273" s="12" t="str">
        <x:v>Awfis - Delta Towers</x:v>
      </x:c>
      <x:c r="F273" s="12" t="str">
        <x:v>Sector V</x:v>
      </x:c>
      <x:c r="G273" s="11" t="n">
        <x:v>3</x:v>
      </x:c>
      <x:c r="H273" s="2" t="str">
        <x:v>32 inch LED TV</x:v>
      </x:c>
      <x:c r="I273" s="12" t="str">
        <x:v>Steel Consultancy Services</x:v>
      </x:c>
      <x:c r="J273" s="2" t="n">
        <x:v>1</x:v>
      </x:c>
      <x:c r="K273" s="12" t="str">
        <x:v>Inventory-listed building/workspace context; current occupancy and screen access unverified</x:v>
      </x:c>
      <x:c r="L273" s="12" t="str">
        <x:v>Engineering &amp; manufacturing</x:v>
      </x:c>
      <x:c r="M273" s="12" t="str">
        <x:v>Medium-scale prospects</x:v>
      </x:c>
      <x:c r="N273" s="12" t="str">
        <x:v>MAIN-279</x:v>
      </x:c>
      <x:c r="O273" s="13" t="n">
        <x:v>22.570554733276367</x:v>
      </x:c>
      <x:c r="P273" s="13" t="n">
        <x:v>88.43585968017578</x:v>
      </x:c>
      <x:c r="Q273" s="2" t="str">
        <x:v>https://www.google.com/maps?q=22.570554733276367,88.43585968017578</x:v>
      </x:c>
      <x:c r="R273" s="2" t="str">
        <x:v>TEN-B46907E2D3AD</x:v>
      </x:c>
      <x:c r="S273" s="12" t="str">
        <x:v>Flexible workspace / mixed businesses</x:v>
      </x:c>
      <x:c r="T273" s="12" t="str">
        <x:v>Tenant business-type estimates and reviewed company-scale context.</x:v>
      </x:c>
    </x:row>
    <x:row r="274" ht="64" customHeight="1">
      <x:c r="A274" s="10" t="n">
        <x:v>1</x:v>
      </x:c>
      <x:c r="B274" s="2" t="str">
        <x:v>CORP-0276</x:v>
      </x:c>
      <x:c r="C274" s="2" t="str">
        <x:v>Kolkata</x:v>
      </x:c>
      <x:c r="D274" s="2" t="str">
        <x:v>MSHP5MX9</x:v>
      </x:c>
      <x:c r="E274" s="12" t="str">
        <x:v>Awfis - Eco Center</x:v>
      </x:c>
      <x:c r="F274" s="12" t="str">
        <x:v>EM Block</x:v>
      </x:c>
      <x:c r="G274" s="11" t="n">
        <x:v>2</x:v>
      </x:c>
      <x:c r="H274" s="2" t="str">
        <x:v>32 inch LED TV</x:v>
      </x:c>
      <x:c r="I274" s="12" t="str">
        <x:v>PromotEdge; Rocmob Performance Private Limited; Merico Agro; Grant Thornton INDUS; Altair; ACOS technology; ABP Wedding HQ; OneStop Weddings</x:v>
      </x:c>
      <x:c r="J274" s="2" t="n">
        <x:v>8</x:v>
      </x:c>
      <x:c r="K274" s="12" t="str">
        <x:v>Inventory-listed building/workspace context; current occupancy and screen access unverified</x:v>
      </x:c>
      <x:c r="L274" s="12" t="str">
        <x:v>IT &amp; digital; Professional services; Trade, consumer &amp; logistics; Unresolved</x:v>
      </x:c>
      <x:c r="M274" s="12" t="str">
        <x:v>Small-scale prospects; Medium-scale prospects; Mixed business audience</x:v>
      </x:c>
      <x:c r="N274" s="12" t="str">
        <x:v>MAIN-280</x:v>
      </x:c>
      <x:c r="O274" s="13" t="n">
        <x:v>22.576614</x:v>
      </x:c>
      <x:c r="P274" s="13" t="n">
        <x:v>88.42735</x:v>
      </x:c>
      <x:c r="Q274" s="2" t="str">
        <x:v>https://www.google.com/maps?q=22.576614,88.42735</x:v>
      </x:c>
      <x:c r="R274" s="2" t="str">
        <x:v>TEN-1401F867297B; TEN-40F1C7433997; TEN-670A277FECF1; TEN-6B8E94322C2D; TEN-6BFBAAC71E1C; TEN-A546690B1C8E; TEN-C70D08EBFA9A; TEN-D61C2F8C1A58</x:v>
      </x:c>
      <x:c r="S274" s="12" t="str">
        <x:v>Flexible workspace / mixed businesses</x:v>
      </x:c>
      <x:c r="T274" s="12" t="str">
        <x:v>Tenant business-type estimates and reviewed company-scale context.</x:v>
      </x:c>
    </x:row>
    <x:row r="275" ht="64" customHeight="1">
      <x:c r="A275" s="10" t="n">
        <x:v>1</x:v>
      </x:c>
      <x:c r="B275" s="2" t="str">
        <x:v>CORP-0277</x:v>
      </x:c>
      <x:c r="C275" s="2" t="str">
        <x:v>Kolkata</x:v>
      </x:c>
      <x:c r="D275" s="2" t="str">
        <x:v>MSE8RZ02</x:v>
      </x:c>
      <x:c r="E275" s="12" t="str">
        <x:v>Awfis - Ecospace Business Park</x:v>
      </x:c>
      <x:c r="F275" s="12" t="str">
        <x:v>Chakpachuria</x:v>
      </x:c>
      <x:c r="G275" s="11" t="n">
        <x:v>1</x:v>
      </x:c>
      <x:c r="H275" s="2" t="str">
        <x:v>32 inch LED TV</x:v>
      </x:c>
      <x:c r="I275" s="12" t="str">
        <x:v>Ambuja Neotia; Voith Paper Technology India Pvt Ltd; Tata Consultancy Services; Bajaj Allianz Life Insurance Company Limited; Webvio Technologies Private Limited</x:v>
      </x:c>
      <x:c r="J275" s="2" t="n">
        <x:v>5</x:v>
      </x:c>
      <x:c r="K275" s="12" t="str">
        <x:v>Inventory-listed building/workspace context; current occupancy and screen access unverified</x:v>
      </x:c>
      <x:c r="L275" s="12" t="str">
        <x:v>IT &amp; digital; Finance &amp; insurance; Engineering &amp; manufacturing; Trade, consumer &amp; logistics</x:v>
      </x:c>
      <x:c r="M275" s="12" t="str">
        <x:v>Small-scale prospects; Large enterprise; Mixed business audience</x:v>
      </x:c>
      <x:c r="N275" s="12" t="str">
        <x:v>MAIN-281</x:v>
      </x:c>
      <x:c r="O275" s="13" t="n">
        <x:v>22.587198</x:v>
      </x:c>
      <x:c r="P275" s="13" t="n">
        <x:v>88.489599</x:v>
      </x:c>
      <x:c r="Q275" s="2" t="str">
        <x:v>https://www.google.com/maps?q=22.587198,88.489599</x:v>
      </x:c>
      <x:c r="R275" s="2" t="str">
        <x:v>TEN-0D4FF0BF40A4; TEN-18D2D996398B; TEN-5FA790F3630F; TEN-A3F403EC4923; TEN-C639481B6C24</x:v>
      </x:c>
      <x:c r="S275" s="12" t="str">
        <x:v>Flexible workspace / mixed businesses</x:v>
      </x:c>
      <x:c r="T275" s="12" t="str">
        <x:v>Tenant business-type estimates and reviewed company-scale context.</x:v>
      </x:c>
    </x:row>
    <x:row r="276" ht="64" customHeight="1">
      <x:c r="A276" s="10" t="n">
        <x:v>1</x:v>
      </x:c>
      <x:c r="B276" s="2" t="str">
        <x:v>CORP-0278</x:v>
      </x:c>
      <x:c r="C276" s="2" t="str">
        <x:v>Kolkata</x:v>
      </x:c>
      <x:c r="D276" s="2" t="str">
        <x:v>MSN3RX96</x:v>
      </x:c>
      <x:c r="E276" s="12" t="str">
        <x:v>Awfis - Ecospace Business Park 2</x:v>
      </x:c>
      <x:c r="F276" s="12" t="str">
        <x:v>Ecospace Business Park Premises, AA II</x:v>
      </x:c>
      <x:c r="G276" s="11" t="n">
        <x:v>2</x:v>
      </x:c>
      <x:c r="H276" s="2" t="str">
        <x:v>32 inch LED TV</x:v>
      </x:c>
      <x:c r="I276" s="12" t="str">
        <x:v>Dhruv Food Industry Pvt. Ltd; DIGIrabbits; PAHAL TRAVEL; oneskai; Orphius Healthcare Private Limited; Home and Solution; NEATmet</x:v>
      </x:c>
      <x:c r="J276" s="2" t="n">
        <x:v>7</x:v>
      </x:c>
      <x:c r="K276" s="12" t="str">
        <x:v>Inventory-listed building/workspace context; current occupancy and screen access unverified</x:v>
      </x:c>
      <x:c r="L276" s="12" t="str">
        <x:v>Healthcare &amp; life sciences; Trade, consumer &amp; logistics; Unresolved</x:v>
      </x:c>
      <x:c r="M276" s="12" t="str">
        <x:v>Small-scale prospects; Mixed business audience</x:v>
      </x:c>
      <x:c r="N276" s="12" t="str">
        <x:v>MAIN-282</x:v>
      </x:c>
      <x:c r="O276" s="13" t="n">
        <x:v>22.587106704711914</x:v>
      </x:c>
      <x:c r="P276" s="13" t="n">
        <x:v>88.48780822753906</x:v>
      </x:c>
      <x:c r="Q276" s="2" t="str">
        <x:v>https://www.google.com/maps?q=22.587106704711914,88.48780822753906</x:v>
      </x:c>
      <x:c r="R276" s="2" t="str">
        <x:v>TEN-1E76D28260D9; TEN-4CC8C2DA7EF5; TEN-54576A5562BF; TEN-7AC726F69096; TEN-8BFE9C212422; TEN-92CBFF4101A3; TEN-C77D619554DC</x:v>
      </x:c>
      <x:c r="S276" s="12" t="str">
        <x:v>Flexible workspace / mixed businesses</x:v>
      </x:c>
      <x:c r="T276" s="12" t="str">
        <x:v>Tenant business-type estimates and reviewed company-scale context.</x:v>
      </x:c>
    </x:row>
    <x:row r="277" ht="64" customHeight="1">
      <x:c r="A277" s="10" t="n">
        <x:v>1</x:v>
      </x:c>
      <x:c r="B277" s="2" t="str">
        <x:v>CORP-0279</x:v>
      </x:c>
      <x:c r="C277" s="2" t="str">
        <x:v>Kolkata</x:v>
      </x:c>
      <x:c r="D277" s="2" t="str">
        <x:v>MS7JBZPD</x:v>
      </x:c>
      <x:c r="E277" s="12" t="str">
        <x:v>Awfis - Siddha Esplanade</x:v>
      </x:c>
      <x:c r="F277" s="12" t="str">
        <x:v>Esplanade</x:v>
      </x:c>
      <x:c r="G277" s="11" t="n">
        <x:v>2</x:v>
      </x:c>
      <x:c r="H277" s="2" t="str">
        <x:v>32 inch LED TV</x:v>
      </x:c>
      <x:c r="I277" s="12" t="str">
        <x:v>Fisdom; NTT DATA; Jade Global</x:v>
      </x:c>
      <x:c r="J277" s="2" t="n">
        <x:v>3</x:v>
      </x:c>
      <x:c r="K277" s="12" t="str">
        <x:v>Inventory-listed building/workspace context; current occupancy and screen access unverified</x:v>
      </x:c>
      <x:c r="L277" s="12" t="str">
        <x:v>IT &amp; digital; Finance &amp; insurance</x:v>
      </x:c>
      <x:c r="M277" s="12" t="str">
        <x:v>Medium-scale prospects; Large enterprise; Mixed business audience</x:v>
      </x:c>
      <x:c r="N277" s="12" t="str">
        <x:v>MAIN-283</x:v>
      </x:c>
      <x:c r="O277" s="13" t="n">
        <x:v>22.56427574157715</x:v>
      </x:c>
      <x:c r="P277" s="13" t="n">
        <x:v>88.35174560546875</x:v>
      </x:c>
      <x:c r="Q277" s="2" t="str">
        <x:v>https://www.google.com/maps?q=22.56427574157715,88.35174560546875</x:v>
      </x:c>
      <x:c r="R277" s="2" t="str">
        <x:v>TEN-2E0773AD6B19; TEN-68BAD0BF4A37; TEN-F6941EA19143</x:v>
      </x:c>
      <x:c r="S277" s="12" t="str">
        <x:v>Flexible workspace / mixed businesses</x:v>
      </x:c>
      <x:c r="T277" s="12" t="str">
        <x:v>Tenant business-type estimates and reviewed company-scale context.</x:v>
      </x:c>
    </x:row>
    <x:row r="278" ht="64" customHeight="1">
      <x:c r="A278" s="10" t="n">
        <x:v>1</x:v>
      </x:c>
      <x:c r="B278" s="2" t="str">
        <x:v>CORP-0280</x:v>
      </x:c>
      <x:c r="C278" s="2" t="str">
        <x:v>Kolkata</x:v>
      </x:c>
      <x:c r="D278" s="2" t="str">
        <x:v>MSMTZ2CY</x:v>
      </x:c>
      <x:c r="E278" s="12" t="str">
        <x:v>Awfis - Technopolis</x:v>
      </x:c>
      <x:c r="F278" s="12" t="str">
        <x:v>Sector V</x:v>
      </x:c>
      <x:c r="G278" s="11" t="n">
        <x:v>2</x:v>
      </x:c>
      <x:c r="H278" s="2" t="str">
        <x:v>32 inch LED TV</x:v>
      </x:c>
      <x:c r="I278" s="12" t="str">
        <x:v>Juniper; Metal7; Neosoft; EXBO group; Toshiba; Vcomply; Ixoraa; Moonatic</x:v>
      </x:c>
      <x:c r="J278" s="2" t="n">
        <x:v>8</x:v>
      </x:c>
      <x:c r="K278" s="12" t="str">
        <x:v>Inventory-listed building/workspace context; current occupancy and screen access unverified</x:v>
      </x:c>
      <x:c r="L278" s="12" t="str">
        <x:v>IT &amp; digital; Engineering &amp; manufacturing; Unresolved</x:v>
      </x:c>
      <x:c r="M278" s="12" t="str">
        <x:v>Medium-scale prospects; Mixed business audience</x:v>
      </x:c>
      <x:c r="N278" s="12" t="str">
        <x:v>MAIN-284</x:v>
      </x:c>
      <x:c r="O278" s="13" t="n">
        <x:v>22.579729080200195</x:v>
      </x:c>
      <x:c r="P278" s="13" t="n">
        <x:v>88.43777465820312</x:v>
      </x:c>
      <x:c r="Q278" s="2" t="str">
        <x:v>https://www.google.com/maps?q=22.579729080200195,88.43777465820312</x:v>
      </x:c>
      <x:c r="R278" s="2" t="str">
        <x:v>TEN-17840323EA59; TEN-2C404B75B9D4; TEN-2CB3DF79B99F; TEN-3E18C4D2C923; TEN-9D1FA6A70A5F; TEN-BC236A8ABD26; TEN-C8FB87999BD0; TEN-EEFE8E76853C; TEN-F54AB844242B; TEN-F7E439011DF5; TEN-F8CC5DBFE162</x:v>
      </x:c>
      <x:c r="S278" s="12" t="str">
        <x:v>Flexible workspace / mixed businesses</x:v>
      </x:c>
      <x:c r="T278" s="12" t="str">
        <x:v>Tenant business-type estimates and reviewed company-scale context.</x:v>
      </x:c>
    </x:row>
    <x:row r="279" ht="64" customHeight="1">
      <x:c r="A279" s="10" t="n">
        <x:v>1</x:v>
      </x:c>
      <x:c r="B279" s="2" t="str">
        <x:v>CORP-0281</x:v>
      </x:c>
      <x:c r="C279" s="2" t="str">
        <x:v>Kolkata</x:v>
      </x:c>
      <x:c r="D279" s="2" t="str">
        <x:v>MSWV1EG5</x:v>
      </x:c>
      <x:c r="E279" s="12" t="str">
        <x:v>Awfis - Technopolis</x:v>
      </x:c>
      <x:c r="F279" s="12" t="str">
        <x:v>Bhiddhanagar</x:v>
      </x:c>
      <x:c r="G279" s="11" t="n">
        <x:v>1</x:v>
      </x:c>
      <x:c r="H279" s="2" t="str">
        <x:v>32 inch LED TV</x:v>
      </x:c>
      <x:c r="I279" s="12" t="str">
        <x:v>Juniper; Metal7; Neosoft; EXBO group; Toshiba; Vcomply; Ixoraa; Moonatic</x:v>
      </x:c>
      <x:c r="J279" s="2" t="n">
        <x:v>8</x:v>
      </x:c>
      <x:c r="K279" s="12" t="str">
        <x:v>Same-building name inference from another supplied inventory row; exact site-ID match absent</x:v>
      </x:c>
      <x:c r="L279" s="12" t="str">
        <x:v>IT &amp; digital; Engineering &amp; manufacturing; Unresolved</x:v>
      </x:c>
      <x:c r="M279" s="12" t="str">
        <x:v>Medium-scale prospects; Mixed business audience</x:v>
      </x:c>
      <x:c r="N279" s="12" t="str">
        <x:v>MAIN-285</x:v>
      </x:c>
      <x:c r="O279" s="13" t="n">
        <x:v>22.580026626586914</x:v>
      </x:c>
      <x:c r="P279" s="13" t="n">
        <x:v>88.43766021728516</x:v>
      </x:c>
      <x:c r="Q279" s="2" t="str">
        <x:v>https://www.google.com/maps?q=22.580026626586914,88.43766021728516</x:v>
      </x:c>
      <x:c r="R279" s="2" t="str">
        <x:v>TEN-17840323EA59; TEN-2C404B75B9D4; TEN-2CB3DF79B99F; TEN-3E18C4D2C923; TEN-9D1FA6A70A5F; TEN-BC236A8ABD26; TEN-C8FB87999BD0; TEN-EEFE8E76853C; TEN-F54AB844242B; TEN-F7E439011DF5; TEN-F8CC5DBFE162</x:v>
      </x:c>
      <x:c r="S279" s="12" t="str">
        <x:v>Flexible workspace / mixed businesses</x:v>
      </x:c>
      <x:c r="T279" s="12" t="str">
        <x:v>Tenant business-type estimates and reviewed company-scale context.</x:v>
      </x:c>
    </x:row>
    <x:row r="280" ht="64" customHeight="1">
      <x:c r="A280" s="10" t="n">
        <x:v>1</x:v>
      </x:c>
      <x:c r="B280" s="2" t="str">
        <x:v>CORP-0282</x:v>
      </x:c>
      <x:c r="C280" s="2" t="str">
        <x:v>Kolkata</x:v>
      </x:c>
      <x:c r="D280" s="2" t="str">
        <x:v>MSGR50E4</x:v>
      </x:c>
      <x:c r="E280" s="12" t="str">
        <x:v>Awfis GWS</x:v>
      </x:c>
      <x:c r="F280" s="12" t="str">
        <x:v>Sector V</x:v>
      </x:c>
      <x:c r="G280" s="11" t="n">
        <x:v>8</x:v>
      </x:c>
      <x:c r="H280" s="2" t="str">
        <x:v>32 inch LED TV</x:v>
      </x:c>
      <x:c r="I280" s="12" t="str">
        <x:v>CSoft Marketing Pvt Ltd; Gainwell Commosales Pvt Lt; Genpact Tomso Solution Ltd; CIEL HR Services Pvt Ltd</x:v>
      </x:c>
      <x:c r="J280" s="2" t="n">
        <x:v>4</x:v>
      </x:c>
      <x:c r="K280" s="12" t="str">
        <x:v>Inventory-listed building/workspace context; current occupancy and screen access unverified</x:v>
      </x:c>
      <x:c r="L280" s="12" t="str">
        <x:v>IT &amp; digital; Professional services; Trade, consumer &amp; logistics</x:v>
      </x:c>
      <x:c r="M280" s="12" t="str">
        <x:v>Small-scale prospects; Mixed business audience</x:v>
      </x:c>
      <x:c r="N280" s="12" t="str">
        <x:v>MAIN-286</x:v>
      </x:c>
      <x:c r="O280" s="13" t="n">
        <x:v>22.573418</x:v>
      </x:c>
      <x:c r="P280" s="13" t="n">
        <x:v>88.435434</x:v>
      </x:c>
      <x:c r="Q280" s="2" t="str">
        <x:v>https://www.google.com/maps?q=22.573418,88.435434</x:v>
      </x:c>
      <x:c r="R280" s="2" t="str">
        <x:v>TEN-44747DEEA5CA; TEN-622192EE7D1F; TEN-91CD363A290C; TEN-DBE7EEE76AB6</x:v>
      </x:c>
      <x:c r="S280" s="12" t="str">
        <x:v>Flexible workspace / mixed businesses</x:v>
      </x:c>
      <x:c r="T280" s="12" t="str">
        <x:v>Tenant business-type estimates and reviewed company-scale context.</x:v>
      </x:c>
    </x:row>
    <x:row r="281" ht="64" customHeight="1">
      <x:c r="A281" s="10" t="n">
        <x:v>1</x:v>
      </x:c>
      <x:c r="B281" s="2" t="str">
        <x:v>CORP-0283</x:v>
      </x:c>
      <x:c r="C281" s="2" t="str">
        <x:v>Kolkata</x:v>
      </x:c>
      <x:c r="D281" s="2" t="str">
        <x:v>MSPDTDR0</x:v>
      </x:c>
      <x:c r="E281" s="12" t="str">
        <x:v>DLF Galleria</x:v>
      </x:c>
      <x:c r="F281" s="12" t="str">
        <x:v>Block AF 8</x:v>
      </x:c>
      <x:c r="G281" s="11" t="n">
        <x:v>5</x:v>
      </x:c>
      <x:c r="H281" s="2" t="str">
        <x:v>32 inch LED TV</x:v>
      </x:c>
      <x:c r="I281" s="12" t="str">
        <x:v>Svarna Infrastructre &amp; Builder Pvt Ltd; CTA-Comtemporary Training academy; OG Hep Pvt Ltd; Textbelt Industries Pvt Ltd; DUCA Industries Pvt Ltd; eParivahan; ZoomedInPixel Comunication Pvt Ltd; Rishi Group; Copro Solutions Pvt Ltd</x:v>
      </x:c>
      <x:c r="J281" s="2" t="n">
        <x:v>9</x:v>
      </x:c>
      <x:c r="K281" s="12" t="str">
        <x:v>Inventory-listed building/workspace context; current occupancy and screen access unverified</x:v>
      </x:c>
      <x:c r="L281" s="12" t="str">
        <x:v>Engineering &amp; manufacturing; Education; Trade, consumer &amp; logistics; Unresolved</x:v>
      </x:c>
      <x:c r="M281" s="12" t="str">
        <x:v>Small-scale prospects; Medium-scale prospects; Mixed business audience</x:v>
      </x:c>
      <x:c r="N281" s="12" t="str">
        <x:v>MAIN-287</x:v>
      </x:c>
      <x:c r="O281" s="13" t="n">
        <x:v>22.58174287</x:v>
      </x:c>
      <x:c r="P281" s="13" t="n">
        <x:v>88.46050313</x:v>
      </x:c>
      <x:c r="Q281" s="2" t="str">
        <x:v>https://www.google.com/maps?q=22.58174287,88.46050313</x:v>
      </x:c>
      <x:c r="R281" s="2" t="str">
        <x:v>TEN-86BB95263026; TEN-995AA36A28FC; TEN-B112C787549C; TEN-BBC77584AD9B; TEN-D237B55ECC46; TEN-D33230E775D9; TEN-E5180142EA22; TEN-EC60AE731320; TEN-F7B286C658EE</x:v>
      </x:c>
      <x:c r="S281" s="12" t="str">
        <x:v>Mixed commercial workplace</x:v>
      </x:c>
      <x:c r="T281" s="12" t="str">
        <x:v>Tenant business-type estimates and reviewed company-scale context.</x:v>
      </x:c>
    </x:row>
    <x:row r="282" ht="64" customHeight="1">
      <x:c r="A282" s="10" t="n">
        <x:v>1</x:v>
      </x:c>
      <x:c r="B282" s="2" t="str">
        <x:v>CORP-0284</x:v>
      </x:c>
      <x:c r="C282" s="2" t="str">
        <x:v>Lucknow</x:v>
      </x:c>
      <x:c r="D282" s="2" t="str">
        <x:v>MSQ12TNY</x:v>
      </x:c>
      <x:c r="E282" s="12" t="str">
        <x:v>Bhavya Corporate Tower</x:v>
      </x:c>
      <x:c r="F282" s="12" t="str">
        <x:v>Gomti Nagar</x:v>
      </x:c>
      <x:c r="G282" s="11" t="n">
        <x:v>2</x:v>
      </x:c>
      <x:c r="H282" s="2" t="str">
        <x:v>43 inch LED TV</x:v>
      </x:c>
      <x:c r="I282" s="12" t="str">
        <x:v>GTL; India News; awesomesauce; spiny; GTS Infratech; SpaceN; Neohub; Wood Rap; car24; Boxally; Gramic</x:v>
      </x:c>
      <x:c r="J282" s="2" t="n">
        <x:v>11</x:v>
      </x:c>
      <x:c r="K282" s="12" t="str">
        <x:v>Inventory-listed building/workspace context; current occupancy and screen access unverified</x:v>
      </x:c>
      <x:c r="L282" s="12" t="str">
        <x:v>Trade, consumer &amp; logistics; Unresolved</x:v>
      </x:c>
      <x:c r="M282" s="12" t="str">
        <x:v>Small-scale prospects; Mixed business audience</x:v>
      </x:c>
      <x:c r="N282" s="12" t="str">
        <x:v>MAIN-288</x:v>
      </x:c>
      <x:c r="O282" s="13" t="n">
        <x:v>26.866926</x:v>
      </x:c>
      <x:c r="P282" s="13" t="n">
        <x:v>81.001881</x:v>
      </x:c>
      <x:c r="Q282" s="2" t="str">
        <x:v>https://www.google.com/maps?q=26.866926,81.001881</x:v>
      </x:c>
      <x:c r="R282" s="2" t="str">
        <x:v>TEN-0A2E2E688479; TEN-199013F9C68B; TEN-2EE57059EE6D; TEN-38DA413E1AFF; TEN-4DB63E5149AB; TEN-637CB01B6C0E; TEN-7EC18FCAE18F; TEN-7F5D07BD8295; TEN-BC652A17D88B; TEN-D4F5F3367894; TEN-EC9203AA35AB</x:v>
      </x:c>
      <x:c r="S282" s="12" t="str">
        <x:v>Multi-tenant business offices</x:v>
      </x:c>
      <x:c r="T282" s="12" t="str">
        <x:v>Tenant business-type estimates and reviewed company-scale context.</x:v>
      </x:c>
    </x:row>
    <x:row r="283" ht="64" customHeight="1">
      <x:c r="A283" s="10" t="n">
        <x:v>1</x:v>
      </x:c>
      <x:c r="B283" s="2" t="str">
        <x:v>CORP-0285</x:v>
      </x:c>
      <x:c r="C283" s="2" t="str">
        <x:v>Lucknow</x:v>
      </x:c>
      <x:c r="D283" s="2" t="str">
        <x:v>MS7S5BQT</x:v>
      </x:c>
      <x:c r="E283" s="12" t="str">
        <x:v>Eldeco Corporate Chamber 1</x:v>
      </x:c>
      <x:c r="F283" s="12" t="str">
        <x:v>Gomti Nagar Ext</x:v>
      </x:c>
      <x:c r="G283" s="11" t="n">
        <x:v>1</x:v>
      </x:c>
      <x:c r="H283" s="2" t="str">
        <x:v>55 inch LED TV</x:v>
      </x:c>
      <x:c r="I283" s="12" t="str"/>
      <x:c r="J283" s="2" t="n">
        <x:v>0</x:v>
      </x:c>
      <x:c r="K283" s="12" t="str">
        <x:v>Unresolved; no supported tenant names</x:v>
      </x:c>
      <x:c r="L283" s="12" t="str">
        <x:v>Unclassified</x:v>
      </x:c>
      <x:c r="M283" s="12" t="str">
        <x:v>Mixed business audience</x:v>
      </x:c>
      <x:c r="N283" s="12" t="str">
        <x:v>MAIN-289</x:v>
      </x:c>
      <x:c r="O283" s="13" t="n">
        <x:v>26.869047164916992</x:v>
      </x:c>
      <x:c r="P283" s="13" t="n">
        <x:v>80.99922943115234</x:v>
      </x:c>
      <x:c r="Q283" s="2" t="str">
        <x:v>https://www.google.com/maps?q=26.869047164916992,80.99922943115234</x:v>
      </x:c>
      <x:c r="R283" s="2" t="str"/>
      <x:c r="S283" s="12" t="str">
        <x:v>Mixed business offices</x:v>
      </x:c>
      <x:c r="T283" s="12" t="str">
        <x:v>Eldeco identifies Corporate Chamber I at Vibhuti Khand, Gomti Nagar as a commercial complex. Raw Gomti Nagar Ext differs from official Vibhuti Khand wording. Property profile only.</x:v>
      </x:c>
    </x:row>
    <x:row r="284" ht="64" customHeight="1">
      <x:c r="A284" s="10" t="n">
        <x:v>1</x:v>
      </x:c>
      <x:c r="B284" s="2" t="str">
        <x:v>CORP-0286</x:v>
      </x:c>
      <x:c r="C284" s="2" t="str">
        <x:v>Lucknow</x:v>
      </x:c>
      <x:c r="D284" s="2" t="str">
        <x:v>MSWQ511T</x:v>
      </x:c>
      <x:c r="E284" s="12" t="str">
        <x:v>Eldeco Elegente</x:v>
      </x:c>
      <x:c r="F284" s="12" t="str">
        <x:v>Gomti Nagar Ext</x:v>
      </x:c>
      <x:c r="G284" s="11" t="n">
        <x:v>1</x:v>
      </x:c>
      <x:c r="H284" s="2" t="str">
        <x:v>55 inch LED TV</x:v>
      </x:c>
      <x:c r="I284" s="12" t="str">
        <x:v>SIS Limited; Amrit Planners Pvt. Ltd; VastuGenesis Architects; Epitome Interior; Safety Zone (AMP Services); Comfort My Travel</x:v>
      </x:c>
      <x:c r="J284" s="2" t="n">
        <x:v>6</x:v>
      </x:c>
      <x:c r="K284" s="12" t="str">
        <x:v>Inventory-listed building/workspace context; current occupancy and screen access unverified</x:v>
      </x:c>
      <x:c r="L284" s="12" t="str">
        <x:v>Professional services; Trade, consumer &amp; logistics; Unresolved</x:v>
      </x:c>
      <x:c r="M284" s="12" t="str">
        <x:v>Small-scale prospects; Mixed business audience</x:v>
      </x:c>
      <x:c r="N284" s="12" t="str">
        <x:v>MAIN-290</x:v>
      </x:c>
      <x:c r="O284" s="13" t="n">
        <x:v>26.86240005493164</x:v>
      </x:c>
      <x:c r="P284" s="13" t="n">
        <x:v>81.00859832763672</x:v>
      </x:c>
      <x:c r="Q284" s="2" t="str">
        <x:v>https://www.google.com/maps?q=26.86240005493164,81.00859832763672</x:v>
      </x:c>
      <x:c r="R284" s="2" t="str">
        <x:v>TEN-0A1B7BF36AFB; TEN-217C7370F820; TEN-28ACA2C7A273; TEN-77D42BF0BA58; TEN-83E66BCA4229; TEN-FA0DDD5275C1</x:v>
      </x:c>
      <x:c r="S284" s="12" t="str">
        <x:v>Mixed commercial workplace</x:v>
      </x:c>
      <x:c r="T284" s="12" t="str">
        <x:v>Tenant business-type estimates and reviewed company-scale context.</x:v>
      </x:c>
    </x:row>
    <x:row r="285" ht="64" customHeight="1">
      <x:c r="A285" s="10" t="n">
        <x:v>1</x:v>
      </x:c>
      <x:c r="B285" s="2" t="str">
        <x:v>CORP-0287</x:v>
      </x:c>
      <x:c r="C285" s="2" t="str">
        <x:v>Lucknow</x:v>
      </x:c>
      <x:c r="D285" s="2" t="str">
        <x:v>MSV3DG66</x:v>
      </x:c>
      <x:c r="E285" s="12" t="str">
        <x:v>Levana Cyber Heights</x:v>
      </x:c>
      <x:c r="F285" s="12" t="str">
        <x:v>Vibhuti Khand</x:v>
      </x:c>
      <x:c r="G285" s="11" t="n">
        <x:v>4</x:v>
      </x:c>
      <x:c r="H285" s="2" t="str">
        <x:v>55 inch LED TV</x:v>
      </x:c>
      <x:c r="I285" s="12" t="str">
        <x:v>Bhutani Group; Anglo eastern; HDFC Life; Acer India; atlantis Diagnostic center; Big daddy; Square Yard; Bingo bee</x:v>
      </x:c>
      <x:c r="J285" s="2" t="n">
        <x:v>8</x:v>
      </x:c>
      <x:c r="K285" s="12" t="str">
        <x:v>Inventory-listed building/workspace context; current occupancy and screen access unverified</x:v>
      </x:c>
      <x:c r="L285" s="12" t="str">
        <x:v>Finance &amp; insurance; Engineering &amp; manufacturing; Healthcare &amp; life sciences; Trade, consumer &amp; logistics; Unresolved</x:v>
      </x:c>
      <x:c r="M285" s="12" t="str">
        <x:v>Small-scale prospects; Large enterprise; Mixed business audience</x:v>
      </x:c>
      <x:c r="N285" s="12" t="str">
        <x:v>MAIN-291</x:v>
      </x:c>
      <x:c r="O285" s="13" t="n">
        <x:v>26.867912</x:v>
      </x:c>
      <x:c r="P285" s="13" t="n">
        <x:v>81.009957</x:v>
      </x:c>
      <x:c r="Q285" s="2" t="str">
        <x:v>https://www.google.com/maps?q=26.867912,81.009957</x:v>
      </x:c>
      <x:c r="R285" s="2" t="str">
        <x:v>TEN-00BC9C2397F4; TEN-40E88EA2F489; TEN-4390DF4D2AFF; TEN-4C139C225475; TEN-A1CAB074F125; TEN-A51B11D31E60; TEN-C8E1ABF7F3C8; TEN-FA6E54D148C8</x:v>
      </x:c>
      <x:c r="S285" s="12" t="str">
        <x:v>IT and enterprise campus</x:v>
      </x:c>
      <x:c r="T285" s="12" t="str">
        <x:v>Tenant business-type estimates and reviewed company-scale context.</x:v>
      </x:c>
    </x:row>
    <x:row r="286" ht="64" customHeight="1">
      <x:c r="A286" s="10" t="n">
        <x:v>1</x:v>
      </x:c>
      <x:c r="B286" s="2" t="str">
        <x:v>CORP-0288</x:v>
      </x:c>
      <x:c r="C286" s="2" t="str">
        <x:v>Lucknow</x:v>
      </x:c>
      <x:c r="D286" s="2" t="str">
        <x:v>MSD8FRJ1</x:v>
      </x:c>
      <x:c r="E286" s="12" t="str">
        <x:v>Levana Cyber Tower</x:v>
      </x:c>
      <x:c r="F286" s="12" t="str">
        <x:v>Vibhuti Khand</x:v>
      </x:c>
      <x:c r="G286" s="11" t="n">
        <x:v>3</x:v>
      </x:c>
      <x:c r="H286" s="2" t="str">
        <x:v>55 inch LED TV</x:v>
      </x:c>
      <x:c r="I286" s="12" t="str">
        <x:v>omaxe housing; Purple Finance; Care Health; Finesse informition system; OMC Power Pvt ltd; Birla Corpooration; Raj Desigens &amp; exhibitis</x:v>
      </x:c>
      <x:c r="J286" s="2" t="n">
        <x:v>7</x:v>
      </x:c>
      <x:c r="K286" s="12" t="str">
        <x:v>Inventory-listed building/workspace context; current occupancy and screen access unverified</x:v>
      </x:c>
      <x:c r="L286" s="12" t="str">
        <x:v>Finance &amp; insurance; Engineering &amp; manufacturing; Healthcare &amp; life sciences; Trade, consumer &amp; logistics; Unresolved</x:v>
      </x:c>
      <x:c r="M286" s="12" t="str">
        <x:v>Medium-scale prospects; Mixed business audience</x:v>
      </x:c>
      <x:c r="N286" s="12" t="str">
        <x:v>MAIN-292</x:v>
      </x:c>
      <x:c r="O286" s="13" t="n">
        <x:v>26.868686</x:v>
      </x:c>
      <x:c r="P286" s="13" t="n">
        <x:v>81.00657</x:v>
      </x:c>
      <x:c r="Q286" s="2" t="str">
        <x:v>https://www.google.com/maps?q=26.868686,81.00657</x:v>
      </x:c>
      <x:c r="R286" s="2" t="str">
        <x:v>TEN-29D7F81C9D8B; TEN-42777503B9F4; TEN-45699C1D6DAE; TEN-65C07372CD3C; TEN-7539C30876CE; TEN-8816BD509BFD; TEN-E4F62EEBC64C</x:v>
      </x:c>
      <x:c r="S286" s="12" t="str">
        <x:v>IT and enterprise campus</x:v>
      </x:c>
      <x:c r="T286" s="12" t="str">
        <x:v>Tenant business-type estimates and reviewed company-scale context.</x:v>
      </x:c>
    </x:row>
    <x:row r="287" ht="64" customHeight="1">
      <x:c r="A287" s="10" t="n">
        <x:v>1</x:v>
      </x:c>
      <x:c r="B287" s="2" t="str">
        <x:v>CORP-0289</x:v>
      </x:c>
      <x:c r="C287" s="2" t="str">
        <x:v>Mumbai</x:v>
      </x:c>
      <x:c r="D287" s="2" t="str">
        <x:v>MSF425EV</x:v>
      </x:c>
      <x:c r="E287" s="12" t="str">
        <x:v>Altimus (TS)</x:v>
      </x:c>
      <x:c r="F287" s="12" t="str">
        <x:v>Lower Parel</x:v>
      </x:c>
      <x:c r="G287" s="11" t="n">
        <x:v>1</x:v>
      </x:c>
      <x:c r="H287" s="2" t="str">
        <x:v>55 inch LED TV</x:v>
      </x:c>
      <x:c r="I287" s="12" t="str">
        <x:v>J.P. Morgan</x:v>
      </x:c>
      <x:c r="J287" s="2" t="n">
        <x:v>1</x:v>
      </x:c>
      <x:c r="K287" s="12" t="str">
        <x:v>Same-building name inference from another supplied inventory row; exact site-ID match absent</x:v>
      </x:c>
      <x:c r="L287" s="12" t="str">
        <x:v>Finance &amp; insurance</x:v>
      </x:c>
      <x:c r="M287" s="12" t="str">
        <x:v>Large enterprise</x:v>
      </x:c>
      <x:c r="N287" s="12" t="str">
        <x:v>MAIN-293</x:v>
      </x:c>
      <x:c r="O287" s="13" t="n">
        <x:v>19.00618553161621</x:v>
      </x:c>
      <x:c r="P287" s="13" t="n">
        <x:v>72.82119750976562</x:v>
      </x:c>
      <x:c r="Q287" s="2" t="str">
        <x:v>https://www.google.com/maps?q=19.00618553161621,72.82119750976562</x:v>
      </x:c>
      <x:c r="R287" s="2" t="str">
        <x:v>TEN-8217BB19EBF1</x:v>
      </x:c>
      <x:c r="S287" s="12" t="str">
        <x:v>Mixed commercial workplace</x:v>
      </x:c>
      <x:c r="T287" s="12" t="str">
        <x:v>Tenant business-type estimates and reviewed company-scale context.</x:v>
      </x:c>
    </x:row>
    <x:row r="288" ht="64" customHeight="1">
      <x:c r="A288" s="10" t="n">
        <x:v>1</x:v>
      </x:c>
      <x:c r="B288" s="2" t="str">
        <x:v>CORP-0290</x:v>
      </x:c>
      <x:c r="C288" s="2" t="str">
        <x:v>Mumbai</x:v>
      </x:c>
      <x:c r="D288" s="2" t="str">
        <x:v>MSMEQGHY</x:v>
      </x:c>
      <x:c r="E288" s="12" t="str">
        <x:v>Avior Corporate Park</x:v>
      </x:c>
      <x:c r="F288" s="12" t="str">
        <x:v>Borivali</x:v>
      </x:c>
      <x:c r="G288" s="11" t="n">
        <x:v>39</x:v>
      </x:c>
      <x:c r="H288" s="2" t="str">
        <x:v>32 inch LED TV</x:v>
      </x:c>
      <x:c r="I288" s="12" t="str">
        <x:v>Popular interior; Pehel child development centre; Paras Metallurgical Industries; Mishara; Jindal Warehouse; Iconic Family saloon; Gibbs; Porlob; Josho Learning PVT.LTD; Kundalika rafting</x:v>
      </x:c>
      <x:c r="J288" s="2" t="n">
        <x:v>10</x:v>
      </x:c>
      <x:c r="K288" s="12" t="str">
        <x:v>Inventory-listed building/workspace context; current occupancy and screen access unverified</x:v>
      </x:c>
      <x:c r="L288" s="12" t="str">
        <x:v>IT &amp; digital; Professional services; Engineering &amp; manufacturing; Education; Trade, consumer &amp; logistics; Unresolved</x:v>
      </x:c>
      <x:c r="M288" s="12" t="str">
        <x:v>Small-scale prospects; Medium-scale prospects; Mixed business audience</x:v>
      </x:c>
      <x:c r="N288" s="12" t="str">
        <x:v>MAIN-294</x:v>
      </x:c>
      <x:c r="O288" s="13" t="n">
        <x:v>19.17255486</x:v>
      </x:c>
      <x:c r="P288" s="13" t="n">
        <x:v>72.94148432</x:v>
      </x:c>
      <x:c r="Q288" s="2" t="str">
        <x:v>https://www.google.com/maps?q=19.17255486,72.94148432</x:v>
      </x:c>
      <x:c r="R288" s="2" t="str">
        <x:v>TEN-0FBBCA859902; TEN-17DC2BB3BD30; TEN-201CFFEC4ACD; TEN-2592FDF194F6; TEN-511D184A4002; TEN-BC193D0D7F42; TEN-C0BC2A1F1E0F; TEN-C1EA652089D1; TEN-CE5430F7ABD8; TEN-EAEBA0777B03</x:v>
      </x:c>
      <x:c r="S288" s="12" t="str">
        <x:v>Multi-tenant business offices</x:v>
      </x:c>
      <x:c r="T288" s="12" t="str">
        <x:v>Tenant business-type estimates and reviewed company-scale context.</x:v>
      </x:c>
    </x:row>
    <x:row r="289" ht="64" customHeight="1">
      <x:c r="A289" s="10" t="n">
        <x:v>1</x:v>
      </x:c>
      <x:c r="B289" s="2" t="str">
        <x:v>CORP-0291</x:v>
      </x:c>
      <x:c r="C289" s="2" t="str">
        <x:v>Mumbai</x:v>
      </x:c>
      <x:c r="D289" s="2" t="str">
        <x:v>MS8C7BDZ</x:v>
      </x:c>
      <x:c r="E289" s="12" t="str">
        <x:v>Awfis - Adani Inspire, BKC</x:v>
      </x:c>
      <x:c r="F289" s="12" t="str">
        <x:v>BKC</x:v>
      </x:c>
      <x:c r="G289" s="11" t="n">
        <x:v>1</x:v>
      </x:c>
      <x:c r="H289" s="2" t="str">
        <x:v>32 inch LED TV</x:v>
      </x:c>
      <x:c r="I289" s="12" t="str">
        <x:v>VITO; BOLT TECH; MUFG; AUTOLYTICS; DE DIETRICH</x:v>
      </x:c>
      <x:c r="J289" s="2" t="n">
        <x:v>5</x:v>
      </x:c>
      <x:c r="K289" s="12" t="str">
        <x:v>Inventory-listed building/workspace context; current occupancy and screen access unverified</x:v>
      </x:c>
      <x:c r="L289" s="12" t="str">
        <x:v>Finance &amp; insurance; Engineering &amp; manufacturing; Unresolved</x:v>
      </x:c>
      <x:c r="M289" s="12" t="str">
        <x:v>Medium-scale prospects; Mixed business audience</x:v>
      </x:c>
      <x:c r="N289" s="12" t="str">
        <x:v>MAIN-295</x:v>
      </x:c>
      <x:c r="O289" s="13" t="n">
        <x:v>19.0650915561825</x:v>
      </x:c>
      <x:c r="P289" s="13" t="n">
        <x:v>72.8595969539757</x:v>
      </x:c>
      <x:c r="Q289" s="2" t="str">
        <x:v>https://www.google.com/maps?q=19.0650915561825,72.8595969539757</x:v>
      </x:c>
      <x:c r="R289" s="2" t="str">
        <x:v>TEN-5362C2C3DA52; TEN-705C1B5267C6; TEN-7FC379543F07; TEN-A5BCAFB06351; TEN-B3C6A33B50CF</x:v>
      </x:c>
      <x:c r="S289" s="12" t="str">
        <x:v>Flexible workspace / mixed businesses</x:v>
      </x:c>
      <x:c r="T289" s="12" t="str">
        <x:v>Tenant business-type estimates and reviewed company-scale context.</x:v>
      </x:c>
    </x:row>
    <x:row r="290" ht="64" customHeight="1">
      <x:c r="A290" s="10" t="n">
        <x:v>1</x:v>
      </x:c>
      <x:c r="B290" s="2" t="str">
        <x:v>CORP-0292</x:v>
      </x:c>
      <x:c r="C290" s="2" t="str">
        <x:v>Mumbai</x:v>
      </x:c>
      <x:c r="D290" s="2" t="str">
        <x:v>MSGYA4RT</x:v>
      </x:c>
      <x:c r="E290" s="12" t="str">
        <x:v>Awfis - Cyber One</x:v>
      </x:c>
      <x:c r="F290" s="12" t="str">
        <x:v>Vashi</x:v>
      </x:c>
      <x:c r="G290" s="11" t="n">
        <x:v>1</x:v>
      </x:c>
      <x:c r="H290" s="2" t="str">
        <x:v>32 inch LED TV</x:v>
      </x:c>
      <x:c r="I290" s="12" t="str">
        <x:v>SCHLUMBERGER OILFIELD EASTERN LIMITED; RADCLIFFE EDUCATION PVT LTD; Skymet Weather Services Pvt; NEXTQORE PRIVATE LIMITED; SCHLUMBERGER SOLUTIONS PRIVATE LIMITED; Lifestarter Project Pvt Ltd; KASPERSKY LAB INDIA PRIVATE LIMITE; Planquadrat India Pvt Ltd; PRISTYN CARE</x:v>
      </x:c>
      <x:c r="J290" s="2" t="n">
        <x:v>9</x:v>
      </x:c>
      <x:c r="K290" s="12" t="str">
        <x:v>Inventory-listed building/workspace context; current occupancy and screen access unverified</x:v>
      </x:c>
      <x:c r="L290" s="12" t="str">
        <x:v>IT &amp; digital; Professional services; Engineering &amp; manufacturing; Healthcare &amp; life sciences; Education; Unresolved</x:v>
      </x:c>
      <x:c r="M290" s="12" t="str">
        <x:v>Small-scale prospects; Mixed business audience</x:v>
      </x:c>
      <x:c r="N290" s="12" t="str">
        <x:v>MAIN-296</x:v>
      </x:c>
      <x:c r="O290" s="13" t="n">
        <x:v>19.0685030749733</x:v>
      </x:c>
      <x:c r="P290" s="13" t="n">
        <x:v>72.9932662767071</x:v>
      </x:c>
      <x:c r="Q290" s="2" t="str">
        <x:v>https://www.google.com/maps?q=19.0685030749733,72.9932662767071</x:v>
      </x:c>
      <x:c r="R290" s="2" t="str">
        <x:v>TEN-355F52D9EF7F; TEN-371A223F5468; TEN-479084FF9511; TEN-61D4EDA9A318; TEN-7E64662BC085; TEN-8808F6FA4B8D; TEN-904C75C4FCE9; TEN-A2BE5E2994D8; TEN-CA17E7D3259A</x:v>
      </x:c>
      <x:c r="S290" s="12" t="str">
        <x:v>Flexible workspace / mixed businesses</x:v>
      </x:c>
      <x:c r="T290" s="12" t="str">
        <x:v>Tenant business-type estimates and reviewed company-scale context.</x:v>
      </x:c>
    </x:row>
    <x:row r="291" ht="64" customHeight="1">
      <x:c r="A291" s="10" t="n">
        <x:v>1</x:v>
      </x:c>
      <x:c r="B291" s="2" t="str">
        <x:v>CORP-0293</x:v>
      </x:c>
      <x:c r="C291" s="2" t="str">
        <x:v>Mumbai</x:v>
      </x:c>
      <x:c r="D291" s="2" t="str">
        <x:v>MSVD56PA</x:v>
      </x:c>
      <x:c r="E291" s="12" t="str">
        <x:v>Awfis - Empire Tower</x:v>
      </x:c>
      <x:c r="F291" s="12" t="str">
        <x:v>Airoli</x:v>
      </x:c>
      <x:c r="G291" s="11" t="n">
        <x:v>1</x:v>
      </x:c>
      <x:c r="H291" s="2" t="str">
        <x:v>32 inch LED TV</x:v>
      </x:c>
      <x:c r="I291" s="12" t="str">
        <x:v>TaskUs India Private Limited; GEBBS Healthcare Solutions Pvt Ltd; Alten Calsoft Labs (India) Private Limited; CORBION INDIA PRIVATE LIMITED; CGG Services India Private Limited</x:v>
      </x:c>
      <x:c r="J291" s="2" t="n">
        <x:v>5</x:v>
      </x:c>
      <x:c r="K291" s="12" t="str">
        <x:v>Inventory-listed building/workspace context; current occupancy and screen access unverified</x:v>
      </x:c>
      <x:c r="L291" s="12" t="str">
        <x:v>IT &amp; digital; Engineering &amp; manufacturing; Healthcare &amp; life sciences</x:v>
      </x:c>
      <x:c r="M291" s="12" t="str">
        <x:v>Mixed business audience</x:v>
      </x:c>
      <x:c r="N291" s="12" t="str">
        <x:v>MAIN-297</x:v>
      </x:c>
      <x:c r="O291" s="13" t="n">
        <x:v>19.170026</x:v>
      </x:c>
      <x:c r="P291" s="13" t="n">
        <x:v>72.999936</x:v>
      </x:c>
      <x:c r="Q291" s="2" t="str">
        <x:v>https://www.google.com/maps?q=19.170026,72.999936</x:v>
      </x:c>
      <x:c r="R291" s="2" t="str">
        <x:v>TEN-458F293830E4; TEN-5BBB79904634; TEN-8FA9382A9706; TEN-CF94E9B95014; TEN-D0B98ADA645D</x:v>
      </x:c>
      <x:c r="S291" s="12" t="str">
        <x:v>Flexible workspace / mixed businesses</x:v>
      </x:c>
      <x:c r="T291" s="12" t="str">
        <x:v>Tenant business-type estimates and reviewed company-scale context.</x:v>
      </x:c>
    </x:row>
    <x:row r="292" ht="64" customHeight="1">
      <x:c r="A292" s="10" t="n">
        <x:v>1</x:v>
      </x:c>
      <x:c r="B292" s="2" t="str">
        <x:v>CORP-0294</x:v>
      </x:c>
      <x:c r="C292" s="2" t="str">
        <x:v>Mumbai</x:v>
      </x:c>
      <x:c r="D292" s="2" t="str">
        <x:v>MS77APEG</x:v>
      </x:c>
      <x:c r="E292" s="12" t="str">
        <x:v>Awfis - Kalpataru Prime</x:v>
      </x:c>
      <x:c r="F292" s="12" t="str">
        <x:v>Nehru Nagar</x:v>
      </x:c>
      <x:c r="G292" s="11" t="n">
        <x:v>2</x:v>
      </x:c>
      <x:c r="H292" s="2" t="str">
        <x:v>32 inch LED TV</x:v>
      </x:c>
      <x:c r="I292" s="12" t="str">
        <x:v>Shobhas World; Coactuar; Idolize; BIFCO; Vedam; Big picture; Terralenze; Monster; Jisram</x:v>
      </x:c>
      <x:c r="J292" s="2" t="n">
        <x:v>9</x:v>
      </x:c>
      <x:c r="K292" s="12" t="str">
        <x:v>Inventory-listed building/workspace context; current occupancy and screen access unverified</x:v>
      </x:c>
      <x:c r="L292" s="12" t="str">
        <x:v>Professional services; Unresolved</x:v>
      </x:c>
      <x:c r="M292" s="12" t="str">
        <x:v>Mixed business audience</x:v>
      </x:c>
      <x:c r="N292" s="12" t="str">
        <x:v>MAIN-298</x:v>
      </x:c>
      <x:c r="O292" s="13" t="n">
        <x:v>19.196884</x:v>
      </x:c>
      <x:c r="P292" s="13" t="n">
        <x:v>72.956587</x:v>
      </x:c>
      <x:c r="Q292" s="2" t="str">
        <x:v>https://www.google.com/maps?q=19.196884,72.956587</x:v>
      </x:c>
      <x:c r="R292" s="2" t="str">
        <x:v>TEN-3702E185B519; TEN-3CE3F5332C33; TEN-5393AAF00CE1; TEN-8902B4CC832B; TEN-8D75FBD6F92C; TEN-9D4238E274CB; TEN-A2107A1D62E5; TEN-BEAAFA510BCC; TEN-C10188F01158</x:v>
      </x:c>
      <x:c r="S292" s="12" t="str">
        <x:v>Flexible workspace / mixed businesses</x:v>
      </x:c>
      <x:c r="T292" s="12" t="str">
        <x:v>Tenant business-type estimates and reviewed company-scale context.</x:v>
      </x:c>
    </x:row>
    <x:row r="293" ht="64" customHeight="1">
      <x:c r="A293" s="10" t="n">
        <x:v>1</x:v>
      </x:c>
      <x:c r="B293" s="2" t="str">
        <x:v>CORP-0295</x:v>
      </x:c>
      <x:c r="C293" s="2" t="str">
        <x:v>Mumbai</x:v>
      </x:c>
      <x:c r="D293" s="2" t="str">
        <x:v>MSRN415F</x:v>
      </x:c>
      <x:c r="E293" s="12" t="str">
        <x:v>Awfis - Lodha IThink</x:v>
      </x:c>
      <x:c r="F293" s="12" t="str">
        <x:v>Chirak Nagar</x:v>
      </x:c>
      <x:c r="G293" s="11" t="n">
        <x:v>1</x:v>
      </x:c>
      <x:c r="H293" s="2" t="str">
        <x:v>32 inch LED TV</x:v>
      </x:c>
      <x:c r="I293" s="12" t="str">
        <x:v>Pan Gulf Technologies Pvt. Ltd; Techint India Private Limited; Euronet Services India; Ingenero Technologies (I) Pvt. Ltd</x:v>
      </x:c>
      <x:c r="J293" s="2" t="n">
        <x:v>4</x:v>
      </x:c>
      <x:c r="K293" s="12" t="str">
        <x:v>Inventory-listed building/workspace context; current occupancy and screen access unverified</x:v>
      </x:c>
      <x:c r="L293" s="12" t="str">
        <x:v>Finance &amp; insurance; Engineering &amp; manufacturing; Unresolved</x:v>
      </x:c>
      <x:c r="M293" s="12" t="str">
        <x:v>Medium-scale prospects; Mixed business audience</x:v>
      </x:c>
      <x:c r="N293" s="12" t="str">
        <x:v>MAIN-299</x:v>
      </x:c>
      <x:c r="O293" s="13" t="n">
        <x:v>19.211417</x:v>
      </x:c>
      <x:c r="P293" s="13" t="n">
        <x:v>72.971283</x:v>
      </x:c>
      <x:c r="Q293" s="2" t="str">
        <x:v>https://www.google.com/maps?q=19.211417,72.971283</x:v>
      </x:c>
      <x:c r="R293" s="2" t="str">
        <x:v>TEN-4DB086C6D158; TEN-859FAA1E34CC; TEN-8D7782804191; TEN-C8FC51571F17</x:v>
      </x:c>
      <x:c r="S293" s="12" t="str">
        <x:v>Flexible workspace / mixed businesses</x:v>
      </x:c>
      <x:c r="T293" s="12" t="str">
        <x:v>Tenant business-type estimates and reviewed company-scale context.</x:v>
      </x:c>
    </x:row>
    <x:row r="294" ht="64" customHeight="1">
      <x:c r="A294" s="10" t="n">
        <x:v>1</x:v>
      </x:c>
      <x:c r="B294" s="2" t="str">
        <x:v>CORP-0296</x:v>
      </x:c>
      <x:c r="C294" s="2" t="str">
        <x:v>Mumbai</x:v>
      </x:c>
      <x:c r="D294" s="2" t="str">
        <x:v>MSE1010G</x:v>
      </x:c>
      <x:c r="E294" s="12" t="str">
        <x:v>Awfis - Lokhandwala Aston Building</x:v>
      </x:c>
      <x:c r="F294" s="12" t="str">
        <x:v>Andheri</x:v>
      </x:c>
      <x:c r="G294" s="11" t="n">
        <x:v>1</x:v>
      </x:c>
      <x:c r="H294" s="2" t="str">
        <x:v>32 inch LED TV</x:v>
      </x:c>
      <x:c r="I294" s="12" t="str">
        <x:v>LOne Ranger; Beleive realtors; Mayoral ModaInfantil pvt ltd; Y axis; RKD Studious; hudl; Nirman productions Pvt Ltd; T&amp;K interactive; American Wellness; Ashish Life science pvt ltd</x:v>
      </x:c>
      <x:c r="J294" s="2" t="n">
        <x:v>10</x:v>
      </x:c>
      <x:c r="K294" s="12" t="str">
        <x:v>Inventory-listed building/workspace context; current occupancy and screen access unverified</x:v>
      </x:c>
      <x:c r="L294" s="12" t="str">
        <x:v>Professional services; Healthcare &amp; life sciences; Trade, consumer &amp; logistics; Unresolved</x:v>
      </x:c>
      <x:c r="M294" s="12" t="str">
        <x:v>Small-scale prospects; Medium-scale prospects; Mixed business audience</x:v>
      </x:c>
      <x:c r="N294" s="12" t="str">
        <x:v>MAIN-300</x:v>
      </x:c>
      <x:c r="O294" s="13" t="n">
        <x:v>19.138233442353</x:v>
      </x:c>
      <x:c r="P294" s="13" t="n">
        <x:v>72.8258936539757</x:v>
      </x:c>
      <x:c r="Q294" s="2" t="str">
        <x:v>https://www.google.com/maps?q=19.138233442353,72.8258936539757</x:v>
      </x:c>
      <x:c r="R294" s="2" t="str">
        <x:v>TEN-00CDD24B4743; TEN-166DE523A0A8; TEN-3CF778DB1DB4; TEN-3FB64171B8B2; TEN-5DD986B04CFE; TEN-861283AE7D6D; TEN-93A2EEF4D997; TEN-CEAA3A09F22D; TEN-D2E4BC60D287; TEN-DB3A04A96C4C</x:v>
      </x:c>
      <x:c r="S294" s="12" t="str">
        <x:v>Flexible workspace / mixed businesses</x:v>
      </x:c>
      <x:c r="T294" s="12" t="str">
        <x:v>Tenant business-type estimates and reviewed company-scale context.</x:v>
      </x:c>
    </x:row>
    <x:row r="295" ht="64" customHeight="1">
      <x:c r="A295" s="10" t="n">
        <x:v>1</x:v>
      </x:c>
      <x:c r="B295" s="2" t="str">
        <x:v>CORP-0297</x:v>
      </x:c>
      <x:c r="C295" s="2" t="str">
        <x:v>Mumbai</x:v>
      </x:c>
      <x:c r="D295" s="2" t="str">
        <x:v>MSFMWYCW</x:v>
      </x:c>
      <x:c r="E295" s="12" t="str">
        <x:v>Awfis - Raheja Titanium</x:v>
      </x:c>
      <x:c r="F295" s="12" t="str">
        <x:v>Goregaon</x:v>
      </x:c>
      <x:c r="G295" s="11" t="n">
        <x:v>1</x:v>
      </x:c>
      <x:c r="H295" s="2" t="str">
        <x:v>32 inch LED TV</x:v>
      </x:c>
      <x:c r="I295" s="12" t="str">
        <x:v>Awfis (workspace operator inferred from property name; tenant occupants unconfirmed)</x:v>
      </x:c>
      <x:c r="J295" s="2" t="n">
        <x:v>1</x:v>
      </x:c>
      <x:c r="K295" s="12" t="str">
        <x:v>Workspace operator inferred from explicit property name; tenant occupants unconfirmed</x:v>
      </x:c>
      <x:c r="L295" s="12" t="str">
        <x:v>Workspace &amp; property operations</x:v>
      </x:c>
      <x:c r="M295" s="12" t="str">
        <x:v>Mixed business audience</x:v>
      </x:c>
      <x:c r="N295" s="12" t="str">
        <x:v>MAIN-301</x:v>
      </x:c>
      <x:c r="O295" s="13" t="n">
        <x:v>19.150096893310547</x:v>
      </x:c>
      <x:c r="P295" s="13" t="n">
        <x:v>72.85445404052734</x:v>
      </x:c>
      <x:c r="Q295" s="2" t="str">
        <x:v>https://www.google.com/maps?q=19.150096893310547,72.85445404052734</x:v>
      </x:c>
      <x:c r="R295" s="2" t="str">
        <x:v>TEN-298147A4B3E2</x:v>
      </x:c>
      <x:c r="S295" s="12" t="str">
        <x:v>Flexible workspace / mixed businesses</x:v>
      </x:c>
      <x:c r="T295" s="12" t="str">
        <x:v>Tenant business-type estimates and reviewed company-scale context.</x:v>
      </x:c>
    </x:row>
    <x:row r="296" ht="64" customHeight="1">
      <x:c r="A296" s="10" t="n">
        <x:v>1</x:v>
      </x:c>
      <x:c r="B296" s="2" t="str">
        <x:v>CORP-0298</x:v>
      </x:c>
      <x:c r="C296" s="2" t="str">
        <x:v>Mumbai</x:v>
      </x:c>
      <x:c r="D296" s="2" t="str">
        <x:v>MSZ4E8KB</x:v>
      </x:c>
      <x:c r="E296" s="12" t="str">
        <x:v>Awfis - Ruby Towers</x:v>
      </x:c>
      <x:c r="F296" s="12" t="str">
        <x:v>Dadar</x:v>
      </x:c>
      <x:c r="G296" s="11" t="n">
        <x:v>2</x:v>
      </x:c>
      <x:c r="H296" s="2" t="str">
        <x:v>32 inch LED TV</x:v>
      </x:c>
      <x:c r="I296" s="12" t="str">
        <x:v>Neosoft; Asset Reconstruction Company (India) Ltd; Web Werks India Pvt Ltd</x:v>
      </x:c>
      <x:c r="J296" s="2" t="n">
        <x:v>3</x:v>
      </x:c>
      <x:c r="K296" s="12" t="str">
        <x:v>Inventory-listed building/workspace context; current occupancy and screen access unverified</x:v>
      </x:c>
      <x:c r="L296" s="12" t="str">
        <x:v>IT &amp; digital; Finance &amp; insurance</x:v>
      </x:c>
      <x:c r="M296" s="12" t="str">
        <x:v>Mixed business audience</x:v>
      </x:c>
      <x:c r="N296" s="12" t="str">
        <x:v>MAIN-302</x:v>
      </x:c>
      <x:c r="O296" s="13" t="n">
        <x:v>19.024285</x:v>
      </x:c>
      <x:c r="P296" s="13" t="n">
        <x:v>72.842372</x:v>
      </x:c>
      <x:c r="Q296" s="2" t="str">
        <x:v>https://www.google.com/maps?q=19.024285,72.842372</x:v>
      </x:c>
      <x:c r="R296" s="2" t="str">
        <x:v>TEN-3E18C4D2C923; TEN-496B7BB6B430; TEN-CB18F9AE9A8C</x:v>
      </x:c>
      <x:c r="S296" s="12" t="str">
        <x:v>Flexible workspace / mixed businesses</x:v>
      </x:c>
      <x:c r="T296" s="12" t="str">
        <x:v>Tenant business-type estimates and reviewed company-scale context.</x:v>
      </x:c>
    </x:row>
    <x:row r="297" ht="64" customHeight="1">
      <x:c r="A297" s="10" t="n">
        <x:v>1</x:v>
      </x:c>
      <x:c r="B297" s="2" t="str">
        <x:v>CORP-0299</x:v>
      </x:c>
      <x:c r="C297" s="2" t="str">
        <x:v>Mumbai</x:v>
      </x:c>
      <x:c r="D297" s="2" t="str">
        <x:v>MS4BZWZZ</x:v>
      </x:c>
      <x:c r="E297" s="12" t="str">
        <x:v>Awfis - Schindler House</x:v>
      </x:c>
      <x:c r="F297" s="12" t="str">
        <x:v>Ghatkopar</x:v>
      </x:c>
      <x:c r="G297" s="11" t="n">
        <x:v>1</x:v>
      </x:c>
      <x:c r="H297" s="2" t="str">
        <x:v>32 inch LED TV</x:v>
      </x:c>
      <x:c r="I297" s="12" t="str">
        <x:v>RR Kabel; MMR; FLipkart; Bhartnext; Pixelated; Serviceberry; Cleartrip</x:v>
      </x:c>
      <x:c r="J297" s="2" t="n">
        <x:v>7</x:v>
      </x:c>
      <x:c r="K297" s="12" t="str">
        <x:v>Inventory-listed building/workspace context; current occupancy and screen access unverified</x:v>
      </x:c>
      <x:c r="L297" s="12" t="str">
        <x:v>IT &amp; digital; Engineering &amp; manufacturing; Trade, consumer &amp; logistics; Unresolved</x:v>
      </x:c>
      <x:c r="M297" s="12" t="str">
        <x:v>Small-scale prospects; Mixed business audience</x:v>
      </x:c>
      <x:c r="N297" s="12" t="str">
        <x:v>MAIN-303</x:v>
      </x:c>
      <x:c r="O297" s="13" t="n">
        <x:v>19.099361</x:v>
      </x:c>
      <x:c r="P297" s="13" t="n">
        <x:v>72.914153</x:v>
      </x:c>
      <x:c r="Q297" s="2" t="str">
        <x:v>https://www.google.com/maps?q=19.099361,72.914153</x:v>
      </x:c>
      <x:c r="R297" s="2" t="str">
        <x:v>TEN-0333C4F2B8CC; TEN-49548B34B134; TEN-4E8C67D62118; TEN-76CFAA52B5B5; TEN-8A092F1101A6; TEN-8FEEAF77AB0E; TEN-A309C887A783</x:v>
      </x:c>
      <x:c r="S297" s="12" t="str">
        <x:v>Flexible workspace / mixed businesses</x:v>
      </x:c>
      <x:c r="T297" s="12" t="str">
        <x:v>Tenant business-type estimates and reviewed company-scale context.</x:v>
      </x:c>
    </x:row>
    <x:row r="298" ht="64" customHeight="1">
      <x:c r="A298" s="10" t="n">
        <x:v>1</x:v>
      </x:c>
      <x:c r="B298" s="2" t="str">
        <x:v>CORP-0300</x:v>
      </x:c>
      <x:c r="C298" s="2" t="str">
        <x:v>Mumbai</x:v>
      </x:c>
      <x:c r="D298" s="2" t="str">
        <x:v>MSFXAFF9</x:v>
      </x:c>
      <x:c r="E298" s="12" t="str">
        <x:v>Awfis - Skyline Icon</x:v>
      </x:c>
      <x:c r="F298" s="12" t="str">
        <x:v>Andheri</x:v>
      </x:c>
      <x:c r="G298" s="11" t="n">
        <x:v>2</x:v>
      </x:c>
      <x:c r="H298" s="2" t="str">
        <x:v>32 inch LED TV</x:v>
      </x:c>
      <x:c r="I298" s="12" t="str">
        <x:v>Gozoop group; Baldor technologies; Dhani Loans amnd evices; More retails pvt ltd; VOdafone India ltd; Yusen Logisticcs pvt ltd; cean network express india pvt ltd; Indus towers ltd; prsashasti developrs pvt ltd; FCM travel PVt ltd</x:v>
      </x:c>
      <x:c r="J298" s="2" t="n">
        <x:v>10</x:v>
      </x:c>
      <x:c r="K298" s="12" t="str">
        <x:v>Inventory-listed building/workspace context; current occupancy and screen access unverified</x:v>
      </x:c>
      <x:c r="L298" s="12" t="str">
        <x:v>IT &amp; digital; Professional services; Finance &amp; insurance; Engineering &amp; manufacturing; Trade, consumer &amp; logistics; Unresolved</x:v>
      </x:c>
      <x:c r="M298" s="12" t="str">
        <x:v>Small-scale prospects; Mixed business audience</x:v>
      </x:c>
      <x:c r="N298" s="12" t="str">
        <x:v>MAIN-304</x:v>
      </x:c>
      <x:c r="O298" s="13" t="n">
        <x:v>19.1064758593329</x:v>
      </x:c>
      <x:c r="P298" s="13" t="n">
        <x:v>72.8814356920486</x:v>
      </x:c>
      <x:c r="Q298" s="2" t="str">
        <x:v>https://www.google.com/maps?q=19.1064758593329,72.8814356920486</x:v>
      </x:c>
      <x:c r="R298" s="2" t="str">
        <x:v>TEN-017ED77F31FC; TEN-30CD0B02435B; TEN-34E334A5632D; TEN-59C96154EEBA; TEN-6DC1E5EDD38E; TEN-81E4FD2D1FF2; TEN-8ADB906B0167; TEN-C270FFA2797F; TEN-D616A0BCE12E; TEN-F558F36CF55C</x:v>
      </x:c>
      <x:c r="S298" s="12" t="str">
        <x:v>Flexible workspace / mixed businesses</x:v>
      </x:c>
      <x:c r="T298" s="12" t="str">
        <x:v>Tenant business-type estimates and reviewed company-scale context.</x:v>
      </x:c>
    </x:row>
    <x:row r="299" ht="64" customHeight="1">
      <x:c r="A299" s="10" t="n">
        <x:v>1</x:v>
      </x:c>
      <x:c r="B299" s="2" t="str">
        <x:v>CORP-0301</x:v>
      </x:c>
      <x:c r="C299" s="2" t="str">
        <x:v>Mumbai</x:v>
      </x:c>
      <x:c r="D299" s="2" t="str">
        <x:v>MSXGHHQQ</x:v>
      </x:c>
      <x:c r="E299" s="12" t="str">
        <x:v>Awfis - Vaman Techno Center</x:v>
      </x:c>
      <x:c r="F299" s="12" t="str">
        <x:v>Andheri</x:v>
      </x:c>
      <x:c r="G299" s="11" t="n">
        <x:v>2</x:v>
      </x:c>
      <x:c r="H299" s="2" t="str">
        <x:v>32 inch LED TV</x:v>
      </x:c>
      <x:c r="I299" s="12" t="str">
        <x:v>Yes Bank; Gr. Impactguru technology ventures Pvt. LTD; Brima Sagar Maharastra Distilleries LTD; U.Y Industries PVT. LTD; Impaxt Guru Technology ventures; Rustic Earth; Brihans Laboratories</x:v>
      </x:c>
      <x:c r="J299" s="2" t="n">
        <x:v>7</x:v>
      </x:c>
      <x:c r="K299" s="12" t="str">
        <x:v>Inventory-listed building/workspace context; current occupancy and screen access unverified</x:v>
      </x:c>
      <x:c r="L299" s="12" t="str">
        <x:v>Finance &amp; insurance; Healthcare &amp; life sciences; Trade, consumer &amp; logistics; Unresolved</x:v>
      </x:c>
      <x:c r="M299" s="12" t="str">
        <x:v>Small-scale prospects; Large enterprise; Mixed business audience</x:v>
      </x:c>
      <x:c r="N299" s="12" t="str">
        <x:v>MAIN-305</x:v>
      </x:c>
      <x:c r="O299" s="13" t="n">
        <x:v>19.1125518713633</x:v>
      </x:c>
      <x:c r="P299" s="13" t="n">
        <x:v>72.8822431</x:v>
      </x:c>
      <x:c r="Q299" s="2" t="str">
        <x:v>https://www.google.com/maps?q=19.1125518713633,72.8822431</x:v>
      </x:c>
      <x:c r="R299" s="2" t="str">
        <x:v>TEN-1C593F87A18C; TEN-2C4019B762AB; TEN-2FD515B5FF3F; TEN-45DAE655BCBD; TEN-930A6627E874; TEN-9C77A4603B32; TEN-E978525A3709</x:v>
      </x:c>
      <x:c r="S299" s="12" t="str">
        <x:v>Flexible workspace / mixed businesses</x:v>
      </x:c>
      <x:c r="T299" s="12" t="str">
        <x:v>Tenant business-type estimates and reviewed company-scale context.</x:v>
      </x:c>
    </x:row>
    <x:row r="300" ht="64" customHeight="1">
      <x:c r="A300" s="10" t="n">
        <x:v>1</x:v>
      </x:c>
      <x:c r="B300" s="2" t="str">
        <x:v>CORP-0302</x:v>
      </x:c>
      <x:c r="C300" s="2" t="str">
        <x:v>Mumbai</x:v>
      </x:c>
      <x:c r="D300" s="2" t="str">
        <x:v>MS4FJQGH</x:v>
      </x:c>
      <x:c r="E300" s="12" t="str">
        <x:v>Awfis - Vios Towers</x:v>
      </x:c>
      <x:c r="F300" s="12" t="str">
        <x:v>Wadala</x:v>
      </x:c>
      <x:c r="G300" s="11" t="n">
        <x:v>1</x:v>
      </x:c>
      <x:c r="H300" s="2" t="str">
        <x:v>32 inch LED TV</x:v>
      </x:c>
      <x:c r="I300" s="12" t="str">
        <x:v>GMM Pfaudler</x:v>
      </x:c>
      <x:c r="J300" s="2" t="n">
        <x:v>1</x:v>
      </x:c>
      <x:c r="K300" s="12" t="str">
        <x:v>Inventory-listed building/workspace context; current occupancy and screen access unverified</x:v>
      </x:c>
      <x:c r="L300" s="12" t="str">
        <x:v>Engineering &amp; manufacturing</x:v>
      </x:c>
      <x:c r="M300" s="12" t="str">
        <x:v>Mixed business audience</x:v>
      </x:c>
      <x:c r="N300" s="12" t="str">
        <x:v>MAIN-306</x:v>
      </x:c>
      <x:c r="O300" s="13" t="n">
        <x:v>19.3148250579834</x:v>
      </x:c>
      <x:c r="P300" s="13" t="n">
        <x:v>73.00001525878906</x:v>
      </x:c>
      <x:c r="Q300" s="2" t="str">
        <x:v>https://www.google.com/maps?q=19.3148250579834,73.00001525878906</x:v>
      </x:c>
      <x:c r="R300" s="2" t="str">
        <x:v>TEN-762CB01FB1C2; TEN-7A70CA8FF555</x:v>
      </x:c>
      <x:c r="S300" s="12" t="str">
        <x:v>Flexible workspace / mixed businesses</x:v>
      </x:c>
      <x:c r="T300" s="12" t="str">
        <x:v>Tenant business-type estimates and reviewed company-scale context.</x:v>
      </x:c>
    </x:row>
    <x:row r="301" ht="64" customHeight="1">
      <x:c r="A301" s="10" t="n">
        <x:v>1</x:v>
      </x:c>
      <x:c r="B301" s="2" t="str">
        <x:v>CORP-0303</x:v>
      </x:c>
      <x:c r="C301" s="2" t="str">
        <x:v>Mumbai</x:v>
      </x:c>
      <x:c r="D301" s="2" t="str">
        <x:v>MSF28KVR</x:v>
      </x:c>
      <x:c r="E301" s="12" t="str">
        <x:v>Blue Rose IND</x:v>
      </x:c>
      <x:c r="F301" s="12" t="str">
        <x:v>Borivali</x:v>
      </x:c>
      <x:c r="G301" s="11" t="n">
        <x:v>22</x:v>
      </x:c>
      <x:c r="H301" s="2" t="str">
        <x:v>32 inch LED TV</x:v>
      </x:c>
      <x:c r="I301" s="12" t="str">
        <x:v>Krishna Foils Corporation; Crux Digital Pvt Ltd; Muez Hest India Pvt. Ltd; Ellusion Entertainment; CINEGENCE; Amba Enterprises Limited; GHCL Limited; JOPINGS INTERCRAFT LLP; AKP Sublimations</x:v>
      </x:c>
      <x:c r="J301" s="2" t="n">
        <x:v>9</x:v>
      </x:c>
      <x:c r="K301" s="12" t="str">
        <x:v>Inventory-listed building/workspace context; current occupancy and screen access unverified</x:v>
      </x:c>
      <x:c r="L301" s="12" t="str">
        <x:v>IT &amp; digital; Engineering &amp; manufacturing; Trade, consumer &amp; logistics; Unresolved</x:v>
      </x:c>
      <x:c r="M301" s="12" t="str">
        <x:v>Small-scale prospects; Medium-scale prospects; Large enterprise; Mixed business audience</x:v>
      </x:c>
      <x:c r="N301" s="12" t="str">
        <x:v>MAIN-307</x:v>
      </x:c>
      <x:c r="O301" s="13" t="n">
        <x:v>19.219306</x:v>
      </x:c>
      <x:c r="P301" s="13" t="n">
        <x:v>72.864986</x:v>
      </x:c>
      <x:c r="Q301" s="2" t="str">
        <x:v>https://www.google.com/maps?q=19.219306,72.864986</x:v>
      </x:c>
      <x:c r="R301" s="2" t="str">
        <x:v>TEN-0474E7AB4372; TEN-22D6EAAAD3BD; TEN-2C76D29FC1CC; TEN-33207C8AC7FA; TEN-436E0E6B6326; TEN-606E58F1D65E; TEN-90BDBD8E6D14; TEN-C3253FB0AE69; TEN-E0D827A703DC</x:v>
      </x:c>
      <x:c r="S301" s="12" t="str">
        <x:v>Mixed commercial workplace</x:v>
      </x:c>
      <x:c r="T301" s="12" t="str">
        <x:v>Tenant business-type estimates and reviewed company-scale context.</x:v>
      </x:c>
    </x:row>
    <x:row r="302" ht="64" customHeight="1">
      <x:c r="A302" s="10" t="n">
        <x:v>1</x:v>
      </x:c>
      <x:c r="B302" s="2" t="str">
        <x:v>CORP-0304</x:v>
      </x:c>
      <x:c r="C302" s="2" t="str">
        <x:v>Mumbai</x:v>
      </x:c>
      <x:c r="D302" s="2" t="str">
        <x:v>MS43WB9G</x:v>
      </x:c>
      <x:c r="E302" s="12" t="str">
        <x:v>Bsel Tech Park</x:v>
      </x:c>
      <x:c r="F302" s="12" t="str">
        <x:v>Vashi</x:v>
      </x:c>
      <x:c r="G302" s="11" t="n">
        <x:v>47</x:v>
      </x:c>
      <x:c r="H302" s="2" t="str">
        <x:v>32 inch LED TV</x:v>
      </x:c>
      <x:c r="I302" s="12" t="str">
        <x:v>Wellness forever; Webvistar Technifo pvt ltd; Aditya birla capital health insurance; Wanbury Ltd; Vodafone Idea store; EIKEM SOUTH ASIA PVT LTD; P-Mech Consultant pvt ltd; Cams Vashi Office; Aimil ltd</x:v>
      </x:c>
      <x:c r="J302" s="2" t="n">
        <x:v>9</x:v>
      </x:c>
      <x:c r="K302" s="12" t="str">
        <x:v>Inventory-listed building/workspace context; current occupancy and screen access unverified</x:v>
      </x:c>
      <x:c r="L302" s="12" t="str">
        <x:v>IT &amp; digital; Finance &amp; insurance; Engineering &amp; manufacturing; Healthcare &amp; life sciences; Unresolved</x:v>
      </x:c>
      <x:c r="M302" s="12" t="str">
        <x:v>Medium-scale prospects; Large enterprise; Mixed business audience</x:v>
      </x:c>
      <x:c r="N302" s="12" t="str">
        <x:v>MAIN-308</x:v>
      </x:c>
      <x:c r="O302" s="13" t="n">
        <x:v>19.064712</x:v>
      </x:c>
      <x:c r="P302" s="13" t="n">
        <x:v>72.999709</x:v>
      </x:c>
      <x:c r="Q302" s="2" t="str">
        <x:v>https://www.google.com/maps?q=19.064712,72.999709</x:v>
      </x:c>
      <x:c r="R302" s="2" t="str">
        <x:v>TEN-2C08FF12203D; TEN-4819C4E4B5D3; TEN-52D3771C1219; TEN-5ED10AC2ED61; TEN-748D67EDE4D7; TEN-8E96374870CC; TEN-C92BBCAD9CDE; TEN-E8A956B73F6D; TEN-FB22E0C0AFC9</x:v>
      </x:c>
      <x:c r="S302" s="12" t="str">
        <x:v>IT and enterprise campus</x:v>
      </x:c>
      <x:c r="T302" s="12" t="str">
        <x:v>Tenant business-type estimates and reviewed company-scale context.</x:v>
      </x:c>
    </x:row>
    <x:row r="303" ht="64" customHeight="1">
      <x:c r="A303" s="10" t="n">
        <x:v>1</x:v>
      </x:c>
      <x:c r="B303" s="2" t="str">
        <x:v>CORP-0305</x:v>
      </x:c>
      <x:c r="C303" s="2" t="str">
        <x:v>Mumbai</x:v>
      </x:c>
      <x:c r="D303" s="2" t="str">
        <x:v>MSR549G4</x:v>
      </x:c>
      <x:c r="E303" s="12" t="str">
        <x:v>Carnival HUB Work Spaces</x:v>
      </x:c>
      <x:c r="F303" s="12" t="str">
        <x:v>Mulund</x:v>
      </x:c>
      <x:c r="G303" s="11" t="n">
        <x:v>1</x:v>
      </x:c>
      <x:c r="H303" s="2" t="str">
        <x:v>32 inch LED TV</x:v>
      </x:c>
      <x:c r="I303" s="12" t="str">
        <x:v>ShadowFax Mumbai; Realmi Mobile</x:v>
      </x:c>
      <x:c r="J303" s="2" t="n">
        <x:v>2</x:v>
      </x:c>
      <x:c r="K303" s="12" t="str">
        <x:v>Inventory-listed building/workspace context; current occupancy and screen access unverified</x:v>
      </x:c>
      <x:c r="L303" s="12" t="str">
        <x:v>Trade, consumer &amp; logistics</x:v>
      </x:c>
      <x:c r="M303" s="12" t="str">
        <x:v>Mixed business audience</x:v>
      </x:c>
      <x:c r="N303" s="12" t="str">
        <x:v>MAIN-309</x:v>
      </x:c>
      <x:c r="O303" s="13" t="n">
        <x:v>19.150379180908203</x:v>
      </x:c>
      <x:c r="P303" s="13" t="n">
        <x:v>72.85641479492188</x:v>
      </x:c>
      <x:c r="Q303" s="2" t="str">
        <x:v>https://www.google.com/maps?q=19.150379180908203,72.85641479492188</x:v>
      </x:c>
      <x:c r="R303" s="2" t="str">
        <x:v>TEN-4FBD42D10201; TEN-C41AB9D1B907</x:v>
      </x:c>
      <x:c r="S303" s="12" t="str">
        <x:v>Flexible workspace / mixed businesses</x:v>
      </x:c>
      <x:c r="T303" s="12" t="str">
        <x:v>Tenant business-type estimates and reviewed company-scale context.</x:v>
      </x:c>
    </x:row>
    <x:row r="304" ht="64" customHeight="1">
      <x:c r="A304" s="10" t="n">
        <x:v>1</x:v>
      </x:c>
      <x:c r="B304" s="2" t="str">
        <x:v>CORP-0306</x:v>
      </x:c>
      <x:c r="C304" s="2" t="str">
        <x:v>Mumbai</x:v>
      </x:c>
      <x:c r="D304" s="2" t="str">
        <x:v>MSQ1Z3CK</x:v>
      </x:c>
      <x:c r="E304" s="12" t="str">
        <x:v>Centrum IT Park</x:v>
      </x:c>
      <x:c r="F304" s="12" t="str">
        <x:v>Waghbil</x:v>
      </x:c>
      <x:c r="G304" s="11" t="n">
        <x:v>2</x:v>
      </x:c>
      <x:c r="H304" s="2" t="str">
        <x:v>55 inch LED TV</x:v>
      </x:c>
      <x:c r="I304" s="12" t="str"/>
      <x:c r="J304" s="2" t="n">
        <x:v>0</x:v>
      </x:c>
      <x:c r="K304" s="12" t="str">
        <x:v>Unresolved; no supported tenant names</x:v>
      </x:c>
      <x:c r="L304" s="12" t="str">
        <x:v>Unclassified</x:v>
      </x:c>
      <x:c r="M304" s="12" t="str">
        <x:v>Mixed business audience</x:v>
      </x:c>
      <x:c r="N304" s="12" t="str">
        <x:v>MAIN-310</x:v>
      </x:c>
      <x:c r="O304" s="13" t="n">
        <x:v>19.188587188720703</x:v>
      </x:c>
      <x:c r="P304" s="13" t="n">
        <x:v>72.9549789428711</x:v>
      </x:c>
      <x:c r="Q304" s="2" t="str">
        <x:v>https://www.google.com/maps?q=19.188587188720703,72.9549789428711</x:v>
      </x:c>
      <x:c r="R304" s="2" t="str"/>
      <x:c r="S304" s="12" t="str">
        <x:v>Mixed business / IT offices</x:v>
      </x:c>
      <x:c r="T304" s="12" t="str">
        <x:v>Developer Ace Realty and engineering company Shethia publish corporate office addresses at Centrum IT Park, Wagle Estate. Inventory locality Waghbil conflicts with official Wagle Estate. These are exact named-building address examples, not a screen-level occupant census. No names added.</x:v>
      </x:c>
    </x:row>
    <x:row r="305" ht="64" customHeight="1">
      <x:c r="A305" s="10" t="n">
        <x:v>1</x:v>
      </x:c>
      <x:c r="B305" s="2" t="str">
        <x:v>CORP-0307</x:v>
      </x:c>
      <x:c r="C305" s="2" t="str">
        <x:v>Mumbai</x:v>
      </x:c>
      <x:c r="D305" s="2" t="str">
        <x:v>MSQ1Z3CK</x:v>
      </x:c>
      <x:c r="E305" s="12" t="str">
        <x:v>Centrum IT Park</x:v>
      </x:c>
      <x:c r="F305" s="12" t="str">
        <x:v>Waghbil</x:v>
      </x:c>
      <x:c r="G305" s="11" t="n">
        <x:v>12</x:v>
      </x:c>
      <x:c r="H305" s="2" t="str">
        <x:v>32 inch LED TV</x:v>
      </x:c>
      <x:c r="I305" s="12" t="str"/>
      <x:c r="J305" s="2" t="n">
        <x:v>0</x:v>
      </x:c>
      <x:c r="K305" s="12" t="str">
        <x:v>Unresolved; no supported tenant names</x:v>
      </x:c>
      <x:c r="L305" s="12" t="str">
        <x:v>Unclassified</x:v>
      </x:c>
      <x:c r="M305" s="12" t="str">
        <x:v>Mixed business audience</x:v>
      </x:c>
      <x:c r="N305" s="12" t="str">
        <x:v>MAIN-311</x:v>
      </x:c>
      <x:c r="O305" s="13" t="n">
        <x:v>19.188587188720703</x:v>
      </x:c>
      <x:c r="P305" s="13" t="n">
        <x:v>72.9549789428711</x:v>
      </x:c>
      <x:c r="Q305" s="2" t="str">
        <x:v>https://www.google.com/maps?q=19.188587188720703,72.9549789428711</x:v>
      </x:c>
      <x:c r="R305" s="2" t="str"/>
      <x:c r="S305" s="12" t="str">
        <x:v>Mixed business / IT offices</x:v>
      </x:c>
      <x:c r="T305" s="12" t="str">
        <x:v>Developer Ace Realty and engineering company Shethia publish corporate office addresses at Centrum IT Park, Wagle Estate. Inventory locality Waghbil conflicts with official Wagle Estate. These are exact named-building address examples, not a screen-level occupant census. No names added.</x:v>
      </x:c>
    </x:row>
    <x:row r="306" ht="64" customHeight="1">
      <x:c r="A306" s="10" t="n">
        <x:v>1</x:v>
      </x:c>
      <x:c r="B306" s="2" t="str">
        <x:v>CORP-0308</x:v>
      </x:c>
      <x:c r="C306" s="2" t="str">
        <x:v>Mumbai</x:v>
      </x:c>
      <x:c r="D306" s="2" t="str">
        <x:v>MS8Z8A8C</x:v>
      </x:c>
      <x:c r="E306" s="12" t="str">
        <x:v>Deekay Tech Park</x:v>
      </x:c>
      <x:c r="F306" s="12" t="str">
        <x:v>Turbhe</x:v>
      </x:c>
      <x:c r="G306" s="11" t="n">
        <x:v>6</x:v>
      </x:c>
      <x:c r="H306" s="2" t="str">
        <x:v>32 inch LED TV</x:v>
      </x:c>
      <x:c r="I306" s="12" t="str">
        <x:v>Expert Sources Global Services Pvt Ltd; Nikarams technologies</x:v>
      </x:c>
      <x:c r="J306" s="2" t="n">
        <x:v>2</x:v>
      </x:c>
      <x:c r="K306" s="12" t="str">
        <x:v>Inventory-listed building/workspace context; current occupancy and screen access unverified</x:v>
      </x:c>
      <x:c r="L306" s="12" t="str">
        <x:v>Unresolved</x:v>
      </x:c>
      <x:c r="M306" s="12" t="str">
        <x:v>Mixed business audience</x:v>
      </x:c>
      <x:c r="N306" s="12" t="str">
        <x:v>MAIN-312</x:v>
      </x:c>
      <x:c r="O306" s="13" t="n">
        <x:v>19.07373</x:v>
      </x:c>
      <x:c r="P306" s="13" t="n">
        <x:v>73.026778</x:v>
      </x:c>
      <x:c r="Q306" s="2" t="str">
        <x:v>https://www.google.com/maps?q=19.07373,73.026778</x:v>
      </x:c>
      <x:c r="R306" s="2" t="str">
        <x:v>TEN-58DF597940A3; TEN-E323D2D2ED43</x:v>
      </x:c>
      <x:c r="S306" s="12" t="str">
        <x:v>IT and enterprise campus</x:v>
      </x:c>
      <x:c r="T306" s="12" t="str">
        <x:v>Tenant business-type estimates and reviewed company-scale context.</x:v>
      </x:c>
    </x:row>
    <x:row r="307" ht="64" customHeight="1">
      <x:c r="A307" s="10" t="n">
        <x:v>1</x:v>
      </x:c>
      <x:c r="B307" s="2" t="str">
        <x:v>CORP-0309</x:v>
      </x:c>
      <x:c r="C307" s="2" t="str">
        <x:v>Mumbai</x:v>
      </x:c>
      <x:c r="D307" s="2" t="str">
        <x:v>MSRQFCNJ</x:v>
      </x:c>
      <x:c r="E307" s="12" t="str">
        <x:v>Everest Nirwana</x:v>
      </x:c>
      <x:c r="F307" s="12" t="str">
        <x:v>Turbhe</x:v>
      </x:c>
      <x:c r="G307" s="11" t="n">
        <x:v>21</x:v>
      </x:c>
      <x:c r="H307" s="2" t="str">
        <x:v>32 inch LED TV</x:v>
      </x:c>
      <x:c r="I307" s="12" t="str">
        <x:v>New Rampgreen Technologies Pvt. Ltd; Sage Software Solutions Pvt Ltd; Inogic; VFORM TECHNOPACK PRIVATE LIMITED; Pocket HRMS; 7c cafe; Zebra on wheels; Digicell; Greytix; Charcoal Eats</x:v>
      </x:c>
      <x:c r="J307" s="2" t="n">
        <x:v>10</x:v>
      </x:c>
      <x:c r="K307" s="12" t="str">
        <x:v>Inventory-listed building/workspace context; current occupancy and screen access unverified</x:v>
      </x:c>
      <x:c r="L307" s="12" t="str">
        <x:v>IT &amp; digital; Engineering &amp; manufacturing; Trade, consumer &amp; logistics; Unresolved</x:v>
      </x:c>
      <x:c r="M307" s="12" t="str">
        <x:v>Micro-scale prospects; Small-scale prospects; Medium-scale prospects; Mixed business audience</x:v>
      </x:c>
      <x:c r="N307" s="12" t="str">
        <x:v>MAIN-313</x:v>
      </x:c>
      <x:c r="O307" s="13" t="n">
        <x:v>19.07194</x:v>
      </x:c>
      <x:c r="P307" s="13" t="n">
        <x:v>73.02787</x:v>
      </x:c>
      <x:c r="Q307" s="2" t="str">
        <x:v>https://www.google.com/maps?q=19.07194,73.02787</x:v>
      </x:c>
      <x:c r="R307" s="2" t="str">
        <x:v>TEN-17C1A739EC36; TEN-2EF84D923835; TEN-62CD49329E56; TEN-6A758510FE04; TEN-7A6085BE2ECB; TEN-7F1BE9AADC7F; TEN-839D47983478; TEN-AFC9E379D2B5; TEN-C0F32A457876; TEN-E8742C488447</x:v>
      </x:c>
      <x:c r="S307" s="12" t="str">
        <x:v>Mixed commercial workplace</x:v>
      </x:c>
      <x:c r="T307" s="12" t="str">
        <x:v>Tenant business-type estimates and reviewed company-scale context.</x:v>
      </x:c>
    </x:row>
    <x:row r="308" ht="64" customHeight="1">
      <x:c r="A308" s="10" t="n">
        <x:v>1</x:v>
      </x:c>
      <x:c r="B308" s="2" t="str">
        <x:v>CORP-0310</x:v>
      </x:c>
      <x:c r="C308" s="2" t="str">
        <x:v>Mumbai</x:v>
      </x:c>
      <x:c r="D308" s="2" t="str">
        <x:v>MSZ0QJ91</x:v>
      </x:c>
      <x:c r="E308" s="12" t="str">
        <x:v>Fitness Kingdom Golds</x:v>
      </x:c>
      <x:c r="F308" s="12" t="str">
        <x:v>Koperkhairen</x:v>
      </x:c>
      <x:c r="G308" s="11" t="n">
        <x:v>2</x:v>
      </x:c>
      <x:c r="H308" s="2" t="str">
        <x:v>32 inch LED TV</x:v>
      </x:c>
      <x:c r="I308" s="12" t="str"/>
      <x:c r="J308" s="2" t="n">
        <x:v>0</x:v>
      </x:c>
      <x:c r="K308" s="12" t="str">
        <x:v>Unresolved; no supported tenant names</x:v>
      </x:c>
      <x:c r="L308" s="12" t="str">
        <x:v>Unclassified</x:v>
      </x:c>
      <x:c r="M308" s="12" t="str">
        <x:v>Mixed business audience</x:v>
      </x:c>
      <x:c r="N308" s="12" t="str">
        <x:v>MAIN-314</x:v>
      </x:c>
      <x:c r="O308" s="13" t="n">
        <x:v>19.09540243</x:v>
      </x:c>
      <x:c r="P308" s="13" t="n">
        <x:v>73.00526482</x:v>
      </x:c>
      <x:c r="Q308" s="2" t="str">
        <x:v>https://www.google.com/maps?q=19.09540243,73.00526482</x:v>
      </x:c>
      <x:c r="R308" s="2" t="str"/>
      <x:c r="S308" s="12" t="str">
        <x:v>Fitness and wellness venue</x:v>
      </x:c>
      <x:c r="T308" s="12" t="str">
        <x:v>The supplied venue name and locality identify a fitness format. It is useful as a wellness audience placement, not a generic office employee placement. No exact official operator page corroborated. An unrelated Fitness Kingdom Club site in Pune was excluded. No member occupation or statutory business size inference.</x:v>
      </x:c>
    </x:row>
    <x:row r="309" ht="64" customHeight="1">
      <x:c r="A309" s="10" t="n">
        <x:v>1</x:v>
      </x:c>
      <x:c r="B309" s="2" t="str">
        <x:v>CORP-0311</x:v>
      </x:c>
      <x:c r="C309" s="2" t="str">
        <x:v>Mumbai</x:v>
      </x:c>
      <x:c r="D309" s="2" t="str">
        <x:v>MSHJ68SD</x:v>
      </x:c>
      <x:c r="E309" s="12" t="str">
        <x:v>Fitness Kingdom Platinum</x:v>
      </x:c>
      <x:c r="F309" s="12" t="str">
        <x:v>Kharghar</x:v>
      </x:c>
      <x:c r="G309" s="11" t="n">
        <x:v>3</x:v>
      </x:c>
      <x:c r="H309" s="2" t="str">
        <x:v>32 inch LED TV</x:v>
      </x:c>
      <x:c r="I309" s="12" t="str"/>
      <x:c r="J309" s="2" t="n">
        <x:v>0</x:v>
      </x:c>
      <x:c r="K309" s="12" t="str">
        <x:v>Unresolved; no supported tenant names</x:v>
      </x:c>
      <x:c r="L309" s="12" t="str">
        <x:v>Unclassified</x:v>
      </x:c>
      <x:c r="M309" s="12" t="str">
        <x:v>Mixed business audience</x:v>
      </x:c>
      <x:c r="N309" s="12" t="str">
        <x:v>MAIN-315</x:v>
      </x:c>
      <x:c r="O309" s="13" t="n">
        <x:v>19.04710851</x:v>
      </x:c>
      <x:c r="P309" s="13" t="n">
        <x:v>73.06993593</x:v>
      </x:c>
      <x:c r="Q309" s="2" t="str">
        <x:v>https://www.google.com/maps?q=19.04710851,73.06993593</x:v>
      </x:c>
      <x:c r="R309" s="2" t="str"/>
      <x:c r="S309" s="12" t="str">
        <x:v>Fitness and wellness venue</x:v>
      </x:c>
      <x:c r="T309" s="12" t="str">
        <x:v>The supplied venue name and locality identify a fitness format. It is useful as a wellness audience placement, not a generic office employee placement. No exact official operator page corroborated. An unrelated Fitness Kingdom Club site in Pune was excluded. No member occupation or statutory business size inference.</x:v>
      </x:c>
    </x:row>
    <x:row r="310" ht="64" customHeight="1">
      <x:c r="A310" s="10" t="n">
        <x:v>1</x:v>
      </x:c>
      <x:c r="B310" s="2" t="str">
        <x:v>CORP-0312</x:v>
      </x:c>
      <x:c r="C310" s="2" t="str">
        <x:v>Mumbai</x:v>
      </x:c>
      <x:c r="D310" s="2" t="str">
        <x:v>MSK04HBQ</x:v>
      </x:c>
      <x:c r="E310" s="12" t="str">
        <x:v>Fleet House Global Park</x:v>
      </x:c>
      <x:c r="F310" s="12" t="str">
        <x:v>Marol Naka</x:v>
      </x:c>
      <x:c r="G310" s="11" t="n">
        <x:v>2</x:v>
      </x:c>
      <x:c r="H310" s="2" t="str">
        <x:v>43 inch LED TV</x:v>
      </x:c>
      <x:c r="I310" s="12" t="str">
        <x:v>Universal NutriScience Pvt Ltd; Fortrea; Ethika Insurance Broking Pvt. Ltd; Texport Syndicate Private Limited</x:v>
      </x:c>
      <x:c r="J310" s="2" t="n">
        <x:v>4</x:v>
      </x:c>
      <x:c r="K310" s="12" t="str">
        <x:v>Inventory-listed building/workspace context; current occupancy and screen access unverified</x:v>
      </x:c>
      <x:c r="L310" s="12" t="str">
        <x:v>Finance &amp; insurance; Engineering &amp; manufacturing; Healthcare &amp; life sciences</x:v>
      </x:c>
      <x:c r="M310" s="12" t="str">
        <x:v>Small-scale prospects; Medium-scale prospects; Mixed business audience</x:v>
      </x:c>
      <x:c r="N310" s="12" t="str">
        <x:v>MAIN-316</x:v>
      </x:c>
      <x:c r="O310" s="13" t="n">
        <x:v>19.108753</x:v>
      </x:c>
      <x:c r="P310" s="13" t="n">
        <x:v>72.879082</x:v>
      </x:c>
      <x:c r="Q310" s="2" t="str">
        <x:v>https://www.google.com/maps?q=19.108753,72.879082</x:v>
      </x:c>
      <x:c r="R310" s="2" t="str">
        <x:v>TEN-008C592B5A21; TEN-50F0697A25EA; TEN-6B2B539857F5; TEN-BCA1134C91EB</x:v>
      </x:c>
      <x:c r="S310" s="12" t="str">
        <x:v>Mixed commercial workplace</x:v>
      </x:c>
      <x:c r="T310" s="12" t="str">
        <x:v>Tenant business-type estimates and reviewed company-scale context.</x:v>
      </x:c>
    </x:row>
    <x:row r="311" ht="64" customHeight="1">
      <x:c r="A311" s="10" t="n">
        <x:v>1</x:v>
      </x:c>
      <x:c r="B311" s="2" t="str">
        <x:v>CORP-0313</x:v>
      </x:c>
      <x:c r="C311" s="2" t="str">
        <x:v>Mumbai</x:v>
      </x:c>
      <x:c r="D311" s="2" t="str">
        <x:v>MS6RV8YQ</x:v>
      </x:c>
      <x:c r="E311" s="12" t="str">
        <x:v>GigaPlex</x:v>
      </x:c>
      <x:c r="F311" s="12" t="str">
        <x:v>Airoli</x:v>
      </x:c>
      <x:c r="G311" s="11" t="n">
        <x:v>1</x:v>
      </x:c>
      <x:c r="H311" s="2" t="str">
        <x:v>55 inch LED TV</x:v>
      </x:c>
      <x:c r="I311" s="12" t="str"/>
      <x:c r="J311" s="2" t="n">
        <x:v>0</x:v>
      </x:c>
      <x:c r="K311" s="12" t="str">
        <x:v>Unresolved; no supported tenant names</x:v>
      </x:c>
      <x:c r="L311" s="12" t="str">
        <x:v>Unclassified</x:v>
      </x:c>
      <x:c r="M311" s="12" t="str">
        <x:v>Mixed business audience</x:v>
      </x:c>
      <x:c r="N311" s="12" t="str">
        <x:v>MAIN-317</x:v>
      </x:c>
      <x:c r="O311" s="13" t="n">
        <x:v>19.174888610839844</x:v>
      </x:c>
      <x:c r="P311" s="13" t="n">
        <x:v>72.99213409423828</x:v>
      </x:c>
      <x:c r="Q311" s="2" t="str">
        <x:v>https://www.google.com/maps?q=19.174888610839844,72.99213409423828</x:v>
      </x:c>
      <x:c r="R311" s="2" t="str"/>
      <x:c r="S311" s="12" t="str">
        <x:v>Enterprise technology campus</x:v>
      </x:c>
      <x:c r="T311" s="12" t="str">
        <x:v>Mindspace owner publications associate Gigaplex with Airoli business-park and data-centre development. Campus context only. The one screen is not assigned all park occupants or construction workers.</x:v>
      </x:c>
    </x:row>
    <x:row r="312" ht="64" customHeight="1">
      <x:c r="A312" s="10" t="n">
        <x:v>1</x:v>
      </x:c>
      <x:c r="B312" s="2" t="str">
        <x:v>CORP-0314</x:v>
      </x:c>
      <x:c r="C312" s="2" t="str">
        <x:v>Mumbai</x:v>
      </x:c>
      <x:c r="D312" s="2" t="str">
        <x:v>MS6W32XF</x:v>
      </x:c>
      <x:c r="E312" s="12" t="str">
        <x:v>Kaledonia (Redbrick Offices)</x:v>
      </x:c>
      <x:c r="F312" s="12" t="str">
        <x:v>Andheri East</x:v>
      </x:c>
      <x:c r="G312" s="11" t="n">
        <x:v>2</x:v>
      </x:c>
      <x:c r="H312" s="2" t="str">
        <x:v>32 inch LED TV</x:v>
      </x:c>
      <x:c r="I312" s="12" t="str">
        <x:v>Sapio Analytics; WebAxis; Maharashtra Aviation Academy; Corporatehunt; GoAir Training Centre Kaledonia; Imarticus Learning Mumbai; Brandmovers India; ARKA Fincap Ltd</x:v>
      </x:c>
      <x:c r="J312" s="2" t="n">
        <x:v>8</x:v>
      </x:c>
      <x:c r="K312" s="12" t="str">
        <x:v>Inventory-listed building/workspace context; current occupancy and screen access unverified</x:v>
      </x:c>
      <x:c r="L312" s="12" t="str">
        <x:v>IT &amp; digital; Professional services; Finance &amp; insurance; Education; Trade, consumer &amp; logistics; Unresolved</x:v>
      </x:c>
      <x:c r="M312" s="12" t="str">
        <x:v>Small-scale prospects; Mixed business audience</x:v>
      </x:c>
      <x:c r="N312" s="12" t="str">
        <x:v>MAIN-318</x:v>
      </x:c>
      <x:c r="O312" s="13" t="n">
        <x:v>19.113752365112305</x:v>
      </x:c>
      <x:c r="P312" s="13" t="n">
        <x:v>72.84725189208984</x:v>
      </x:c>
      <x:c r="Q312" s="2" t="str">
        <x:v>https://www.google.com/maps?q=19.113752365112305,72.84725189208984</x:v>
      </x:c>
      <x:c r="R312" s="2" t="str">
        <x:v>TEN-01CDE5809600; TEN-1A88E4F7C46C; TEN-4EEBA7BCE105; TEN-70BA232C2774; TEN-8D05759FFE00; TEN-A678093949D3; TEN-BB53FE43D8A6; TEN-E3DC8F201DEF</x:v>
      </x:c>
      <x:c r="S312" s="12" t="str">
        <x:v>Multi-tenant business offices</x:v>
      </x:c>
      <x:c r="T312" s="12" t="str">
        <x:v>Tenant business-type estimates and reviewed company-scale context.</x:v>
      </x:c>
    </x:row>
    <x:row r="313" ht="64" customHeight="1">
      <x:c r="A313" s="10" t="n">
        <x:v>1</x:v>
      </x:c>
      <x:c r="B313" s="2" t="str">
        <x:v>CORP-0315</x:v>
      </x:c>
      <x:c r="C313" s="2" t="str">
        <x:v>Mumbai</x:v>
      </x:c>
      <x:c r="D313" s="2" t="str">
        <x:v>MSEW8CP6</x:v>
      </x:c>
      <x:c r="E313" s="12" t="str">
        <x:v>Kalpataru Prime (Redbrick Offices)</x:v>
      </x:c>
      <x:c r="F313" s="12" t="str">
        <x:v>Estat</x:v>
      </x:c>
      <x:c r="G313" s="11" t="n">
        <x:v>1</x:v>
      </x:c>
      <x:c r="H313" s="2" t="str">
        <x:v>32 inch LED TV</x:v>
      </x:c>
      <x:c r="I313" s="12" t="str">
        <x:v>Reliance Home Finance; Owens Asia Private Limited; Procentris India Private Limited; GDFS Wealth; Financial Software &amp; Systems Pvt Ltd; Cogent; Shree Laxmi Auto Mobile Engineering Works</x:v>
      </x:c>
      <x:c r="J313" s="2" t="n">
        <x:v>7</x:v>
      </x:c>
      <x:c r="K313" s="12" t="str">
        <x:v>Inventory-listed building/workspace context; current occupancy and screen access unverified</x:v>
      </x:c>
      <x:c r="L313" s="12" t="str">
        <x:v>IT &amp; digital; Finance &amp; insurance; Engineering &amp; manufacturing; Unresolved</x:v>
      </x:c>
      <x:c r="M313" s="12" t="str">
        <x:v>Small-scale prospects; Medium-scale prospects; Mixed business audience</x:v>
      </x:c>
      <x:c r="N313" s="12" t="str">
        <x:v>MAIN-319</x:v>
      </x:c>
      <x:c r="O313" s="13" t="n">
        <x:v>19.19737434387207</x:v>
      </x:c>
      <x:c r="P313" s="13" t="n">
        <x:v>72.95653533935547</x:v>
      </x:c>
      <x:c r="Q313" s="2" t="str">
        <x:v>https://www.google.com/maps?q=19.19737434387207,72.95653533935547</x:v>
      </x:c>
      <x:c r="R313" s="2" t="str">
        <x:v>TEN-13BC031717FC; TEN-1EE00EFBFE12; TEN-4BB05FE0A3D5; TEN-56026A5BCEFA; TEN-9181FE4A83A6; TEN-B14ECF80C8CB; TEN-DEF227101D5D</x:v>
      </x:c>
      <x:c r="S313" s="12" t="str">
        <x:v>Multi-tenant business offices</x:v>
      </x:c>
      <x:c r="T313" s="12" t="str">
        <x:v>Tenant business-type estimates and reviewed company-scale context.</x:v>
      </x:c>
    </x:row>
    <x:row r="314" ht="64" customHeight="1">
      <x:c r="A314" s="10" t="n">
        <x:v>1</x:v>
      </x:c>
      <x:c r="B314" s="2" t="str">
        <x:v>CORP-0316</x:v>
      </x:c>
      <x:c r="C314" s="2" t="str">
        <x:v>Mumbai</x:v>
      </x:c>
      <x:c r="D314" s="2" t="str">
        <x:v>MSF96GRZ</x:v>
      </x:c>
      <x:c r="E314" s="12" t="str">
        <x:v>Kane Plaza</x:v>
      </x:c>
      <x:c r="F314" s="12" t="str">
        <x:v>Malad</x:v>
      </x:c>
      <x:c r="G314" s="11" t="n">
        <x:v>6</x:v>
      </x:c>
      <x:c r="H314" s="2" t="str">
        <x:v>32 inch LED TV</x:v>
      </x:c>
      <x:c r="I314" s="12" t="str">
        <x:v>Ak Marble &amp; Granite ( India ) Private Limited; Maharstra Masala And Jenral Stoer; Harish caters; Jitendra Shop; Nazar Store</x:v>
      </x:c>
      <x:c r="J314" s="2" t="n">
        <x:v>5</x:v>
      </x:c>
      <x:c r="K314" s="12" t="str">
        <x:v>Inventory-listed building/workspace context; current occupancy and screen access unverified</x:v>
      </x:c>
      <x:c r="L314" s="12" t="str">
        <x:v>Engineering &amp; manufacturing; Trade, consumer &amp; logistics</x:v>
      </x:c>
      <x:c r="M314" s="12" t="str">
        <x:v>Small-scale prospects; Medium-scale prospects</x:v>
      </x:c>
      <x:c r="N314" s="12" t="str">
        <x:v>MAIN-320</x:v>
      </x:c>
      <x:c r="O314" s="13" t="n">
        <x:v>19.178434</x:v>
      </x:c>
      <x:c r="P314" s="13" t="n">
        <x:v>72.834331</x:v>
      </x:c>
      <x:c r="Q314" s="2" t="str">
        <x:v>https://www.google.com/maps?q=19.178434,72.834331</x:v>
      </x:c>
      <x:c r="R314" s="2" t="str">
        <x:v>TEN-62357265C4F9; TEN-97BC11E6C347; TEN-D4CA40CB2DE3; TEN-D92D491D68E3; TEN-DF285E1CF24C</x:v>
      </x:c>
      <x:c r="S314" s="12" t="str">
        <x:v>Mixed commercial workplace</x:v>
      </x:c>
      <x:c r="T314" s="12" t="str">
        <x:v>Tenant business-type estimates and reviewed company-scale context.</x:v>
      </x:c>
    </x:row>
    <x:row r="315" ht="64" customHeight="1">
      <x:c r="A315" s="10" t="n">
        <x:v>1</x:v>
      </x:c>
      <x:c r="B315" s="2" t="str">
        <x:v>CORP-0317</x:v>
      </x:c>
      <x:c r="C315" s="2" t="str">
        <x:v>Mumbai</x:v>
      </x:c>
      <x:c r="D315" s="2" t="str">
        <x:v>MS4QE45V</x:v>
      </x:c>
      <x:c r="E315" s="12" t="str">
        <x:v>Lodha Ithink (Redbrick Offices)</x:v>
      </x:c>
      <x:c r="F315" s="12" t="str">
        <x:v>Chirak Nagar</x:v>
      </x:c>
      <x:c r="G315" s="11" t="n">
        <x:v>1</x:v>
      </x:c>
      <x:c r="H315" s="2" t="str">
        <x:v>32 inch LED TV</x:v>
      </x:c>
      <x:c r="I315" s="12" t="str">
        <x:v>Ventura Securities Ltd; Ipsos DSC; Novateur Electrical &amp; Digital System Pvt. Ltd; ProgIST Solutions LLP; Techint India Private Limited; Euronet Services India; Panasonic Life Solutions; Ingenero Technologies (I) Pvt. Ltd; Onmobile Global; NoBroker</x:v>
      </x:c>
      <x:c r="J315" s="2" t="n">
        <x:v>10</x:v>
      </x:c>
      <x:c r="K315" s="12" t="str">
        <x:v>Inventory-listed building/workspace context; current occupancy and screen access unverified</x:v>
      </x:c>
      <x:c r="L315" s="12" t="str">
        <x:v>IT &amp; digital; Professional services; Finance &amp; insurance; Engineering &amp; manufacturing; Trade, consumer &amp; logistics</x:v>
      </x:c>
      <x:c r="M315" s="12" t="str">
        <x:v>Small-scale prospects; Medium-scale prospects; Large enterprise; Mixed business audience</x:v>
      </x:c>
      <x:c r="N315" s="12" t="str">
        <x:v>MAIN-321</x:v>
      </x:c>
      <x:c r="O315" s="13" t="n">
        <x:v>19.211387634277344</x:v>
      </x:c>
      <x:c r="P315" s="13" t="n">
        <x:v>72.97148132324219</x:v>
      </x:c>
      <x:c r="Q315" s="2" t="str">
        <x:v>https://www.google.com/maps?q=19.211387634277344,72.97148132324219</x:v>
      </x:c>
      <x:c r="R315" s="2" t="str">
        <x:v>TEN-0269ACD8F795; TEN-220688A64425; TEN-275AAF160D86; TEN-5303A5FDFA90; TEN-859FAA1E34CC; TEN-8D7782804191; TEN-B863E69832C3; TEN-C8FC51571F17; TEN-D1CD02082C62; TEN-D34D1901D9D3</x:v>
      </x:c>
      <x:c r="S315" s="12" t="str">
        <x:v>Multi-tenant business offices</x:v>
      </x:c>
      <x:c r="T315" s="12" t="str">
        <x:v>Tenant business-type estimates and reviewed company-scale context.</x:v>
      </x:c>
    </x:row>
    <x:row r="316" ht="64" customHeight="1">
      <x:c r="A316" s="10" t="n">
        <x:v>1</x:v>
      </x:c>
      <x:c r="B316" s="2" t="str">
        <x:v>CORP-0319</x:v>
      </x:c>
      <x:c r="C316" s="2" t="str">
        <x:v>Mumbai</x:v>
      </x:c>
      <x:c r="D316" s="2" t="str">
        <x:v>MS1A79AM</x:v>
      </x:c>
      <x:c r="E316" s="12" t="str">
        <x:v>Mumbai - BKC</x:v>
      </x:c>
      <x:c r="F316" s="12" t="str">
        <x:v>BKC</x:v>
      </x:c>
      <x:c r="G316" s="11" t="n">
        <x:v>1</x:v>
      </x:c>
      <x:c r="H316" s="2" t="str">
        <x:v>32 inch LED TV</x:v>
      </x:c>
      <x:c r="I316" s="12" t="str">
        <x:v>TATA Medicals; Felabaility HR Solutions; Tech4billion Media Pvt Ltd; ABC Consultants; Goindia Advisors; Kredx; Strata Property Management service; TATA Asset management services; SBI Mutual Funds; Fractal Investments Pvt Ltd</x:v>
      </x:c>
      <x:c r="J316" s="2" t="n">
        <x:v>10</x:v>
      </x:c>
      <x:c r="K316" s="12" t="str">
        <x:v>Inventory-listed building/workspace context; current occupancy and screen access unverified</x:v>
      </x:c>
      <x:c r="L316" s="12" t="str">
        <x:v>Professional services; Finance &amp; insurance; Healthcare &amp; life sciences; Trade, consumer &amp; logistics</x:v>
      </x:c>
      <x:c r="M316" s="12" t="str">
        <x:v>Small-scale prospects; Medium-scale prospects; Large enterprise; Mixed business audience</x:v>
      </x:c>
      <x:c r="N316" s="12" t="str">
        <x:v>MAIN-323</x:v>
      </x:c>
      <x:c r="O316" s="13" t="n">
        <x:v>19.062274932861328</x:v>
      </x:c>
      <x:c r="P316" s="13" t="n">
        <x:v>72.86825561523438</x:v>
      </x:c>
      <x:c r="Q316" s="2" t="str">
        <x:v>https://www.google.com/maps?q=19.062274932861328,72.86825561523438</x:v>
      </x:c>
      <x:c r="R316" s="2" t="str">
        <x:v>TEN-1A400B0DD288; TEN-2772569204D6; TEN-3333361BCCFC; TEN-3688FF078C0E; TEN-627EA7935C00; TEN-78D2184A1F2B; TEN-91C446C3D4D7; TEN-92968129C75E; TEN-CC51F3504D6F; TEN-EA1792C21111</x:v>
      </x:c>
      <x:c r="S316" s="12" t="str">
        <x:v>Mixed commercial workplace</x:v>
      </x:c>
      <x:c r="T316" s="12" t="str">
        <x:v>Tenant business-type estimates and reviewed company-scale context.</x:v>
      </x:c>
    </x:row>
    <x:row r="317" ht="64" customHeight="1">
      <x:c r="A317" s="10" t="n">
        <x:v>1</x:v>
      </x:c>
      <x:c r="B317" s="2" t="str">
        <x:v>CORP-0320</x:v>
      </x:c>
      <x:c r="C317" s="2" t="str">
        <x:v>Mumbai</x:v>
      </x:c>
      <x:c r="D317" s="2" t="str">
        <x:v>MSPJ2GQN</x:v>
      </x:c>
      <x:c r="E317" s="12" t="str">
        <x:v>NMS Titanium</x:v>
      </x:c>
      <x:c r="F317" s="12" t="str">
        <x:v>Belapur</x:v>
      </x:c>
      <x:c r="G317" s="11" t="n">
        <x:v>5</x:v>
      </x:c>
      <x:c r="H317" s="2" t="str">
        <x:v>32 inch LED TV</x:v>
      </x:c>
      <x:c r="I317" s="12" t="str"/>
      <x:c r="J317" s="2" t="n">
        <x:v>0</x:v>
      </x:c>
      <x:c r="K317" s="12" t="str">
        <x:v>Unresolved; no supported tenant names</x:v>
      </x:c>
      <x:c r="L317" s="12" t="str">
        <x:v>Unclassified</x:v>
      </x:c>
      <x:c r="M317" s="12" t="str">
        <x:v>Mixed business audience</x:v>
      </x:c>
      <x:c r="N317" s="12" t="str">
        <x:v>MAIN-324</x:v>
      </x:c>
      <x:c r="O317" s="13" t="n">
        <x:v>19.009201049804688</x:v>
      </x:c>
      <x:c r="P317" s="13" t="n">
        <x:v>73.03582000732422</x:v>
      </x:c>
      <x:c r="Q317" s="2" t="str">
        <x:v>https://www.google.com/maps?q=19.009201049804688,73.03582000732422</x:v>
      </x:c>
      <x:c r="R317" s="2" t="str"/>
      <x:c r="S317" s="12" t="str">
        <x:v>Mixed business offices</x:v>
      </x:c>
      <x:c r="T317" s="12" t="str">
        <x:v>A business primary website gives an office address at NMS Titanium, Sector 15 CBD Belapur, supporting office use. One corporate address cannot establish the building-wide sector mix. No occupant or employee-count claim added.</x:v>
      </x:c>
    </x:row>
    <x:row r="318" ht="64" customHeight="1">
      <x:c r="A318" s="10" t="n">
        <x:v>1</x:v>
      </x:c>
      <x:c r="B318" s="2" t="str">
        <x:v>CORP-0321</x:v>
      </x:c>
      <x:c r="C318" s="2" t="str">
        <x:v>Mumbai</x:v>
      </x:c>
      <x:c r="D318" s="2" t="str">
        <x:v>MS9MEHK8</x:v>
      </x:c>
      <x:c r="E318" s="12" t="str">
        <x:v>Nucleus - One BKC</x:v>
      </x:c>
      <x:c r="F318" s="12" t="str">
        <x:v>Bandra East</x:v>
      </x:c>
      <x:c r="G318" s="11" t="n">
        <x:v>2</x:v>
      </x:c>
      <x:c r="H318" s="2" t="str">
        <x:v>55 inch LED TV</x:v>
      </x:c>
      <x:c r="I318" s="12" t="str">
        <x:v>CFA Institute; Kamani Foods; Glander International Bunkering Pvt Ltd; Sawariya Futureworks Limited; Dream11; ICBC; PIX Transmissions Ltd; Amezone; Swiss Reinsurance company pvt ltd; Trafigura India Pvt Ltd; RISE World Limited</x:v>
      </x:c>
      <x:c r="J318" s="2" t="n">
        <x:v>11</x:v>
      </x:c>
      <x:c r="K318" s="12" t="str">
        <x:v>Inventory-listed building/workspace context; current occupancy and screen access unverified</x:v>
      </x:c>
      <x:c r="L318" s="12" t="str">
        <x:v>Finance &amp; insurance; Engineering &amp; manufacturing; Trade, consumer &amp; logistics; Government &amp; nonprofit; Unresolved</x:v>
      </x:c>
      <x:c r="M318" s="12" t="str">
        <x:v>Small-scale prospects; Large enterprise; Institutional; Mixed business audience</x:v>
      </x:c>
      <x:c r="N318" s="12" t="str">
        <x:v>MAIN-325</x:v>
      </x:c>
      <x:c r="O318" s="13" t="n">
        <x:v>19.060237884521484</x:v>
      </x:c>
      <x:c r="P318" s="13" t="n">
        <x:v>72.86289978027344</x:v>
      </x:c>
      <x:c r="Q318" s="2" t="str">
        <x:v>https://www.google.com/maps?q=19.060237884521484,72.86289978027344</x:v>
      </x:c>
      <x:c r="R318" s="2" t="str">
        <x:v>TEN-0D0617B41A0D; TEN-19A94B5F240F; TEN-1A9BDE0C8985; TEN-1D36B3EBD188; TEN-5E97C0064347; TEN-82F0EBFD4F57; TEN-9AAB56726C26; TEN-C113FA983474; TEN-D383F63EC668; TEN-D7828298EF2E; TEN-EC27AEBDBCFB</x:v>
      </x:c>
      <x:c r="S318" s="12" t="str">
        <x:v>Mixed commercial workplace</x:v>
      </x:c>
      <x:c r="T318" s="12" t="str">
        <x:v>Tenant business-type estimates and reviewed company-scale context.</x:v>
      </x:c>
    </x:row>
    <x:row r="319" ht="64" customHeight="1">
      <x:c r="A319" s="10" t="n">
        <x:v>1</x:v>
      </x:c>
      <x:c r="B319" s="2" t="str">
        <x:v>CORP-0322</x:v>
      </x:c>
      <x:c r="C319" s="2" t="str">
        <x:v>Mumbai</x:v>
      </x:c>
      <x:c r="D319" s="2" t="str">
        <x:v>MSQWJJ3A</x:v>
      </x:c>
      <x:c r="E319" s="12" t="str">
        <x:v>Nucleus - One International Center</x:v>
      </x:c>
      <x:c r="F319" s="12" t="str">
        <x:v>Prabhadevi</x:v>
      </x:c>
      <x:c r="G319" s="11" t="n">
        <x:v>9</x:v>
      </x:c>
      <x:c r="H319" s="2" t="str">
        <x:v>55 inch LED TV</x:v>
      </x:c>
      <x:c r="I319" s="12" t="str">
        <x:v>Atradious India Credit Management service; TUNGALOY India pvt ltd; Atraduius Collection; Pepper India Business Service Pvt Ltd; Mondelez India Food Pvt Ltd; Moet Hennessy India Pvt Ltd; EuroLife Health Care Pvt Ltd; Fever 104 FM; KOTRA Mumbai</x:v>
      </x:c>
      <x:c r="J319" s="2" t="n">
        <x:v>9</x:v>
      </x:c>
      <x:c r="K319" s="12" t="str">
        <x:v>Campus/portfolio roster; individual building occupancy unverified</x:v>
      </x:c>
      <x:c r="L319" s="12" t="str">
        <x:v>Finance &amp; insurance; Engineering &amp; manufacturing; Healthcare &amp; life sciences; Trade, consumer &amp; logistics; Government &amp; nonprofit; Unresolved</x:v>
      </x:c>
      <x:c r="M319" s="12" t="str">
        <x:v>Small-scale prospects; Institutional; Mixed business audience</x:v>
      </x:c>
      <x:c r="N319" s="12" t="str">
        <x:v>MAIN-326</x:v>
      </x:c>
      <x:c r="O319" s="13" t="n">
        <x:v>19.010373</x:v>
      </x:c>
      <x:c r="P319" s="13" t="n">
        <x:v>72.833134</x:v>
      </x:c>
      <x:c r="Q319" s="2" t="str">
        <x:v>https://www.google.com/maps?q=19.010373,72.833134</x:v>
      </x:c>
      <x:c r="R319" s="2" t="str">
        <x:v>TEN-1A7118C1FC7F; TEN-1AA929D469F6; TEN-36780DC603DA; TEN-7C48F1E5A50A; TEN-801A43D48DD3; TEN-8E6ECCA9BBE1; TEN-96F63367FE10; TEN-A53F68861A8C; TEN-E622BF93922B; TEN-FF15D0106369</x:v>
      </x:c>
      <x:c r="S319" s="12" t="str">
        <x:v>Mixed commercial workplace</x:v>
      </x:c>
      <x:c r="T319" s="12" t="str">
        <x:v>Tenant business-type estimates and reviewed company-scale context.</x:v>
      </x:c>
    </x:row>
    <x:row r="320" ht="64" customHeight="1">
      <x:c r="A320" s="10" t="n">
        <x:v>1</x:v>
      </x:c>
      <x:c r="B320" s="2" t="str">
        <x:v>CORP-0323</x:v>
      </x:c>
      <x:c r="C320" s="2" t="str">
        <x:v>Mumbai</x:v>
      </x:c>
      <x:c r="D320" s="2" t="str">
        <x:v>MSVN6ZMR</x:v>
      </x:c>
      <x:c r="E320" s="12" t="str">
        <x:v>Nucleus - One World Center</x:v>
      </x:c>
      <x:c r="F320" s="12" t="str">
        <x:v>Lower Parel</x:v>
      </x:c>
      <x:c r="G320" s="11" t="n">
        <x:v>8</x:v>
      </x:c>
      <x:c r="H320" s="2" t="str">
        <x:v>55 inch LED TV</x:v>
      </x:c>
      <x:c r="I320" s="12" t="str">
        <x:v>Khaitan &amp; Co; Indusind bank Corporate office; Mylan Pharmaceuticals; Prahar; Flexiloans Teachnologies Pvt Ltd; RBL Bank Ltd; IDFC First Bank; Thomson Reuters; Indospace Development Management Pvt Ltd; Transunion Software Services Pvt Ltd</x:v>
      </x:c>
      <x:c r="J320" s="2" t="n">
        <x:v>10</x:v>
      </x:c>
      <x:c r="K320" s="12" t="str">
        <x:v>Inventory-listed building/workspace context; current occupancy and screen access unverified</x:v>
      </x:c>
      <x:c r="L320" s="12" t="str">
        <x:v>IT &amp; digital; Professional services; Finance &amp; insurance; Healthcare &amp; life sciences; Trade, consumer &amp; logistics; Unresolved</x:v>
      </x:c>
      <x:c r="M320" s="12" t="str">
        <x:v>Medium-scale prospects; Large enterprise; Mixed business audience</x:v>
      </x:c>
      <x:c r="N320" s="12" t="str">
        <x:v>MAIN-327</x:v>
      </x:c>
      <x:c r="O320" s="13" t="n">
        <x:v>19.006616592407227</x:v>
      </x:c>
      <x:c r="P320" s="13" t="n">
        <x:v>72.83004760742188</x:v>
      </x:c>
      <x:c r="Q320" s="2" t="str">
        <x:v>https://www.google.com/maps?q=19.006616592407227,72.83004760742188</x:v>
      </x:c>
      <x:c r="R320" s="2" t="str">
        <x:v>TEN-0343379BA4A0; TEN-36B6546CB786; TEN-460DF29B25EA; TEN-4B10DE9A2535; TEN-7925879E314A; TEN-9A29B1AC02B6; TEN-A9E3F127D53F; TEN-CB571403F03F; TEN-CFE74AB3F5EB; TEN-F1D95BCB2EFB</x:v>
      </x:c>
      <x:c r="S320" s="12" t="str">
        <x:v>Mixed commercial workplace</x:v>
      </x:c>
      <x:c r="T320" s="12" t="str">
        <x:v>Tenant business-type estimates and reviewed company-scale context.</x:v>
      </x:c>
    </x:row>
    <x:row r="321" ht="64" customHeight="1">
      <x:c r="A321" s="10" t="n">
        <x:v>1</x:v>
      </x:c>
      <x:c r="B321" s="2" t="str">
        <x:v>CORP-0324</x:v>
      </x:c>
      <x:c r="C321" s="2" t="str">
        <x:v>Mumbai</x:v>
      </x:c>
      <x:c r="D321" s="2" t="str">
        <x:v>MSRKMX06</x:v>
      </x:c>
      <x:c r="E321" s="12" t="str">
        <x:v>Nucleus - Prima Bay</x:v>
      </x:c>
      <x:c r="F321" s="12" t="str">
        <x:v>Powai</x:v>
      </x:c>
      <x:c r="G321" s="11" t="n">
        <x:v>3</x:v>
      </x:c>
      <x:c r="H321" s="2" t="str">
        <x:v>55 inch LED TV</x:v>
      </x:c>
      <x:c r="I321" s="12" t="str">
        <x:v>Klay; Schneider Electric</x:v>
      </x:c>
      <x:c r="J321" s="2" t="n">
        <x:v>2</x:v>
      </x:c>
      <x:c r="K321" s="12" t="str">
        <x:v>Inventory-listed building/workspace context; current occupancy and screen access unverified</x:v>
      </x:c>
      <x:c r="L321" s="12" t="str">
        <x:v>Engineering &amp; manufacturing; Education</x:v>
      </x:c>
      <x:c r="M321" s="12" t="str">
        <x:v>Large enterprise; Mixed business audience</x:v>
      </x:c>
      <x:c r="N321" s="12" t="str">
        <x:v>MAIN-328</x:v>
      </x:c>
      <x:c r="O321" s="13" t="n">
        <x:v>19.123997</x:v>
      </x:c>
      <x:c r="P321" s="13" t="n">
        <x:v>72.891113</x:v>
      </x:c>
      <x:c r="Q321" s="2" t="str">
        <x:v>https://www.google.com/maps?q=19.123997,72.891113</x:v>
      </x:c>
      <x:c r="R321" s="2" t="str">
        <x:v>TEN-1A250C4D13AC; TEN-BC3067AC45DF</x:v>
      </x:c>
      <x:c r="S321" s="12" t="str">
        <x:v>Mixed commercial workplace</x:v>
      </x:c>
      <x:c r="T321" s="12" t="str">
        <x:v>Tenant business-type estimates and reviewed company-scale context.</x:v>
      </x:c>
    </x:row>
    <x:row r="322" ht="64" customHeight="1">
      <x:c r="A322" s="10" t="n">
        <x:v>1</x:v>
      </x:c>
      <x:c r="B322" s="2" t="str">
        <x:v>CORP-0326</x:v>
      </x:c>
      <x:c r="C322" s="2" t="str">
        <x:v>Mumbai</x:v>
      </x:c>
      <x:c r="D322" s="2" t="str">
        <x:v>MSKP6T6X</x:v>
      </x:c>
      <x:c r="E322" s="12" t="str">
        <x:v>Oberoi Commerz-III</x:v>
      </x:c>
      <x:c r="F322" s="12" t="str">
        <x:v>Goregaon</x:v>
      </x:c>
      <x:c r="G322" s="11" t="n">
        <x:v>1</x:v>
      </x:c>
      <x:c r="H322" s="2" t="str">
        <x:v>55 inch LED TV</x:v>
      </x:c>
      <x:c r="I322" s="12" t="str"/>
      <x:c r="J322" s="2" t="n">
        <x:v>0</x:v>
      </x:c>
      <x:c r="K322" s="12" t="str">
        <x:v>Unresolved; no supported tenant names</x:v>
      </x:c>
      <x:c r="L322" s="12" t="str">
        <x:v>Unclassified</x:v>
      </x:c>
      <x:c r="M322" s="12" t="str">
        <x:v>Mixed business audience</x:v>
      </x:c>
      <x:c r="N322" s="12" t="str">
        <x:v>MAIN-330</x:v>
      </x:c>
      <x:c r="O322" s="13" t="n">
        <x:v>19.142230987548828</x:v>
      </x:c>
      <x:c r="P322" s="13" t="n">
        <x:v>72.85506439208984</x:v>
      </x:c>
      <x:c r="Q322" s="2" t="str">
        <x:v>https://www.google.com/maps?q=19.142230987548828,72.85506439208984</x:v>
      </x:c>
      <x:c r="R322" s="2" t="str"/>
      <x:c r="S322" s="12" t="str">
        <x:v>Enterprise financial-services / managed-office building</x:v>
      </x:c>
      <x:c r="T322" s="12" t="str">
        <x:v>Morgan Stanley announced its Commerz III Mumbai Global Center in November 2024; Table Space separately reports managed office space at Commerz III. The building is mixed in delivery context. Do not assign the single screen specifically to Morgan Stanley or use its campus staff count as measured audience.</x:v>
      </x:c>
    </x:row>
    <x:row r="323" ht="64" customHeight="1">
      <x:c r="A323" s="10" t="n">
        <x:v>1</x:v>
      </x:c>
      <x:c r="B323" s="2" t="str">
        <x:v>CORP-0327</x:v>
      </x:c>
      <x:c r="C323" s="2" t="str">
        <x:v>Mumbai</x:v>
      </x:c>
      <x:c r="D323" s="2" t="str">
        <x:v>MSW7YBPY</x:v>
      </x:c>
      <x:c r="E323" s="12" t="str">
        <x:v>One World Centre (Redbrick Offices)</x:v>
      </x:c>
      <x:c r="F323" s="12" t="str">
        <x:v>Lower Parel</x:v>
      </x:c>
      <x:c r="G323" s="11" t="n">
        <x:v>1</x:v>
      </x:c>
      <x:c r="H323" s="2" t="str">
        <x:v>32 inch LED TV</x:v>
      </x:c>
      <x:c r="I323" s="12" t="str">
        <x:v>Aditya Birla Health Insurance Co. Limited; Kirloskar Capital Ltd; British Council; SORIL Infra Resources Limited; Prahaar; Oman India Joint Investment Fund; Flexiloans Technologies Pvt. Ltd</x:v>
      </x:c>
      <x:c r="J323" s="2" t="n">
        <x:v>7</x:v>
      </x:c>
      <x:c r="K323" s="12" t="str">
        <x:v>Inventory-listed building/workspace context; current occupancy and screen access unverified</x:v>
      </x:c>
      <x:c r="L323" s="12" t="str">
        <x:v>Finance &amp; insurance; Engineering &amp; manufacturing; Healthcare &amp; life sciences; Government &amp; nonprofit; Unresolved</x:v>
      </x:c>
      <x:c r="M323" s="12" t="str">
        <x:v>Medium-scale prospects; Large enterprise; Institutional; Mixed business audience</x:v>
      </x:c>
      <x:c r="N323" s="12" t="str">
        <x:v>MAIN-331</x:v>
      </x:c>
      <x:c r="O323" s="13" t="n">
        <x:v>19.00655174255371</x:v>
      </x:c>
      <x:c r="P323" s="13" t="n">
        <x:v>72.83246612548828</x:v>
      </x:c>
      <x:c r="Q323" s="2" t="str">
        <x:v>https://www.google.com/maps?q=19.00655174255371,72.83246612548828</x:v>
      </x:c>
      <x:c r="R323" s="2" t="str">
        <x:v>TEN-092903F0473D; TEN-4C7CA5D23DE5; TEN-62D03FBBED53; TEN-6D85929AD09C; TEN-818F82632375; TEN-B0073002DBE1; TEN-EE47961584F5</x:v>
      </x:c>
      <x:c r="S323" s="12" t="str">
        <x:v>Multi-tenant business offices</x:v>
      </x:c>
      <x:c r="T323" s="12" t="str">
        <x:v>Tenant business-type estimates and reviewed company-scale context.</x:v>
      </x:c>
    </x:row>
    <x:row r="324" ht="64" customHeight="1">
      <x:c r="A324" s="10" t="n">
        <x:v>1</x:v>
      </x:c>
      <x:c r="B324" s="2" t="str">
        <x:v>CORP-0328</x:v>
      </x:c>
      <x:c r="C324" s="2" t="str">
        <x:v>Mumbai</x:v>
      </x:c>
      <x:c r="D324" s="2" t="str">
        <x:v>MS0REW7A</x:v>
      </x:c>
      <x:c r="E324" s="12" t="str">
        <x:v>Oyo Workspace - Solitaire</x:v>
      </x:c>
      <x:c r="F324" s="12" t="str">
        <x:v>Chakala</x:v>
      </x:c>
      <x:c r="G324" s="11" t="n">
        <x:v>3</x:v>
      </x:c>
      <x:c r="H324" s="2" t="str">
        <x:v>32 inch LED TV</x:v>
      </x:c>
      <x:c r="I324" s="12" t="str">
        <x:v>Oyo Workspace (workspace operator inferred from property name; tenant occupants unconfirmed)</x:v>
      </x:c>
      <x:c r="J324" s="2" t="n">
        <x:v>1</x:v>
      </x:c>
      <x:c r="K324" s="12" t="str">
        <x:v>Workspace operator inferred from explicit property name; tenant occupants unconfirmed</x:v>
      </x:c>
      <x:c r="L324" s="12" t="str">
        <x:v>Workspace &amp; property operations</x:v>
      </x:c>
      <x:c r="M324" s="12" t="str">
        <x:v>Mixed business audience</x:v>
      </x:c>
      <x:c r="N324" s="12" t="str">
        <x:v>MAIN-332</x:v>
      </x:c>
      <x:c r="O324" s="13" t="n">
        <x:v>19.111763</x:v>
      </x:c>
      <x:c r="P324" s="13" t="n">
        <x:v>72.858143</x:v>
      </x:c>
      <x:c r="Q324" s="2" t="str">
        <x:v>https://www.google.com/maps?q=19.111763,72.858143</x:v>
      </x:c>
      <x:c r="R324" s="2" t="str">
        <x:v>TEN-3C6BC4EB7AAD</x:v>
      </x:c>
      <x:c r="S324" s="12" t="str">
        <x:v>Flexible workspace / mixed businesses</x:v>
      </x:c>
      <x:c r="T324" s="12" t="str">
        <x:v>Tenant business-type estimates and reviewed company-scale context.</x:v>
      </x:c>
    </x:row>
    <x:row r="325" ht="64" customHeight="1">
      <x:c r="A325" s="10" t="n">
        <x:v>1</x:v>
      </x:c>
      <x:c r="B325" s="2" t="str">
        <x:v>CORP-0329</x:v>
      </x:c>
      <x:c r="C325" s="2" t="str">
        <x:v>Mumbai</x:v>
      </x:c>
      <x:c r="D325" s="2" t="str">
        <x:v>MSR1HAPX</x:v>
      </x:c>
      <x:c r="E325" s="12" t="str">
        <x:v>Oyo Workspace - Time Square</x:v>
      </x:c>
      <x:c r="F325" s="12" t="str">
        <x:v>Chimatpada</x:v>
      </x:c>
      <x:c r="G325" s="11" t="n">
        <x:v>1</x:v>
      </x:c>
      <x:c r="H325" s="2" t="str">
        <x:v>32 inch LED TV</x:v>
      </x:c>
      <x:c r="I325" s="12" t="str">
        <x:v>VEDIKENT BUDDY LLP; EURASIAN BUSINESS SERVICES PRIVATE LIMITED; QUICKYEARNING PRIVATE LIMITED; Vayu Realty; Farmer counsil of bharth; Penta Freight Private Limited; RAINSHINE ENTERTAINMENT Pvt.Ltd; Truvoices reaserch and cunusutant Pvt.Ltd; Mapv Solution; KRION CONSULTING PVT LTD</x:v>
      </x:c>
      <x:c r="J325" s="2" t="n">
        <x:v>10</x:v>
      </x:c>
      <x:c r="K325" s="12" t="str">
        <x:v>Inventory-listed building/workspace context; current occupancy and screen access unverified</x:v>
      </x:c>
      <x:c r="L325" s="12" t="str">
        <x:v>Professional services; Trade, consumer &amp; logistics; Government &amp; nonprofit; Unresolved</x:v>
      </x:c>
      <x:c r="M325" s="12" t="str">
        <x:v>Small-scale prospects; Medium-scale prospects; Institutional; Mixed business audience</x:v>
      </x:c>
      <x:c r="N325" s="12" t="str">
        <x:v>MAIN-333</x:v>
      </x:c>
      <x:c r="O325" s="13" t="n">
        <x:v>19.108052</x:v>
      </x:c>
      <x:c r="P325" s="13" t="n">
        <x:v>72.88348</x:v>
      </x:c>
      <x:c r="Q325" s="2" t="str">
        <x:v>https://www.google.com/maps?q=19.108052,72.88348</x:v>
      </x:c>
      <x:c r="R325" s="2" t="str">
        <x:v>TEN-1EE64F788B53; TEN-33BC7F9C1F26; TEN-35EFAAA811DC; TEN-789301E9239F; TEN-9843CE209EFD; TEN-9C192EC7E759; TEN-CEDC7C952F52; TEN-DC1A32B41282; TEN-E69A3E303D06; TEN-EF8D39F68EC6; TEN-FF14B3331AFF</x:v>
      </x:c>
      <x:c r="S325" s="12" t="str">
        <x:v>Flexible workspace / mixed businesses</x:v>
      </x:c>
      <x:c r="T325" s="12" t="str">
        <x:v>Tenant business-type estimates and reviewed company-scale context.</x:v>
      </x:c>
    </x:row>
    <x:row r="326" ht="64" customHeight="1">
      <x:c r="A326" s="10" t="n">
        <x:v>1</x:v>
      </x:c>
      <x:c r="B326" s="2" t="str">
        <x:v>CORP-0330</x:v>
      </x:c>
      <x:c r="C326" s="2" t="str">
        <x:v>Mumbai</x:v>
      </x:c>
      <x:c r="D326" s="2" t="str">
        <x:v>MS5WF763</x:v>
      </x:c>
      <x:c r="E326" s="12" t="str">
        <x:v>Paradigm Technology Park</x:v>
      </x:c>
      <x:c r="F326" s="12" t="str">
        <x:v>Malad West</x:v>
      </x:c>
      <x:c r="G326" s="11" t="n">
        <x:v>1</x:v>
      </x:c>
      <x:c r="H326" s="2" t="str">
        <x:v>43 inch LED TV</x:v>
      </x:c>
      <x:c r="I326" s="12" t="str">
        <x:v>The Game Ranch; Travelex India Pvt Ltd; NYVFXWAALA</x:v>
      </x:c>
      <x:c r="J326" s="2" t="n">
        <x:v>3</x:v>
      </x:c>
      <x:c r="K326" s="12" t="str">
        <x:v>Inventory-listed building/workspace context; current occupancy and screen access unverified</x:v>
      </x:c>
      <x:c r="L326" s="12" t="str">
        <x:v>Trade, consumer &amp; logistics</x:v>
      </x:c>
      <x:c r="M326" s="12" t="str">
        <x:v>Small-scale prospects; Mixed business audience</x:v>
      </x:c>
      <x:c r="N326" s="12" t="str">
        <x:v>MAIN-334</x:v>
      </x:c>
      <x:c r="O326" s="13" t="n">
        <x:v>19.180559158325195</x:v>
      </x:c>
      <x:c r="P326" s="13" t="n">
        <x:v>72.83326721191406</x:v>
      </x:c>
      <x:c r="Q326" s="2" t="str">
        <x:v>https://www.google.com/maps?q=19.180559158325195,72.83326721191406</x:v>
      </x:c>
      <x:c r="R326" s="2" t="str">
        <x:v>TEN-3648B43DCA8B; TEN-78E3559A99F9; TEN-ADC38A504E62</x:v>
      </x:c>
      <x:c r="S326" s="12" t="str">
        <x:v>IT and enterprise campus</x:v>
      </x:c>
      <x:c r="T326" s="12" t="str">
        <x:v>Tenant business-type estimates and reviewed company-scale context.</x:v>
      </x:c>
    </x:row>
    <x:row r="327" ht="64" customHeight="1">
      <x:c r="A327" s="10" t="n">
        <x:v>1</x:v>
      </x:c>
      <x:c r="B327" s="2" t="str">
        <x:v>CORP-0331</x:v>
      </x:c>
      <x:c r="C327" s="2" t="str">
        <x:v>Mumbai</x:v>
      </x:c>
      <x:c r="D327" s="2" t="str">
        <x:v>MS5Z02JR</x:v>
      </x:c>
      <x:c r="E327" s="12" t="str">
        <x:v>R Square</x:v>
      </x:c>
      <x:c r="F327" s="12" t="str">
        <x:v>Ville Parle West</x:v>
      </x:c>
      <x:c r="G327" s="11" t="n">
        <x:v>2</x:v>
      </x:c>
      <x:c r="H327" s="2" t="str">
        <x:v>55 inch LED TV</x:v>
      </x:c>
      <x:c r="I327" s="12" t="str"/>
      <x:c r="J327" s="2" t="n">
        <x:v>0</x:v>
      </x:c>
      <x:c r="K327" s="12" t="str">
        <x:v>Unresolved; no supported tenant names</x:v>
      </x:c>
      <x:c r="L327" s="12" t="str">
        <x:v>Unclassified</x:v>
      </x:c>
      <x:c r="M327" s="12" t="str">
        <x:v>Mixed business audience</x:v>
      </x:c>
      <x:c r="N327" s="12" t="str">
        <x:v>MAIN-335</x:v>
      </x:c>
      <x:c r="O327" s="13" t="n">
        <x:v>19.112268447875977</x:v>
      </x:c>
      <x:c r="P327" s="13" t="n">
        <x:v>72.86922454833984</x:v>
      </x:c>
      <x:c r="Q327" s="2" t="str">
        <x:v>https://www.google.com/maps?q=19.112268447875977,72.86922454833984</x:v>
      </x:c>
      <x:c r="R327" s="2" t="str"/>
      <x:c r="S327" s="12" t="str">
        <x:v>Managed business offices</x:v>
      </x:c>
      <x:c r="T327" s="12" t="str">
        <x:v>Table Space identifies R Square managed offices on Andheri Kurla Road in Andheri East. Raw Vile Parle West conflicts with official Andheri East. Candidate property match should be checked before a precise geographic or occupant assertion.</x:v>
      </x:c>
    </x:row>
    <x:row r="328" ht="64" customHeight="1">
      <x:c r="A328" s="10" t="n">
        <x:v>1</x:v>
      </x:c>
      <x:c r="B328" s="2" t="str">
        <x:v>CORP-0332</x:v>
      </x:c>
      <x:c r="C328" s="2" t="str">
        <x:v>Mumbai</x:v>
      </x:c>
      <x:c r="D328" s="2" t="str">
        <x:v>MS1037TY</x:v>
      </x:c>
      <x:c r="E328" s="12" t="str">
        <x:v>Raheja Mindspace - Altimus </x:v>
      </x:c>
      <x:c r="F328" s="12" t="str">
        <x:v>Lower Parel</x:v>
      </x:c>
      <x:c r="G328" s="11" t="n">
        <x:v>2</x:v>
      </x:c>
      <x:c r="H328" s="2" t="str">
        <x:v>55 inch LED TV</x:v>
      </x:c>
      <x:c r="I328" s="12" t="str">
        <x:v>J.P. Morgan</x:v>
      </x:c>
      <x:c r="J328" s="2" t="n">
        <x:v>1</x:v>
      </x:c>
      <x:c r="K328" s="12" t="str">
        <x:v>Inventory-listed building/workspace context; current occupancy and screen access unverified</x:v>
      </x:c>
      <x:c r="L328" s="12" t="str">
        <x:v>Finance &amp; insurance</x:v>
      </x:c>
      <x:c r="M328" s="12" t="str">
        <x:v>Large enterprise</x:v>
      </x:c>
      <x:c r="N328" s="12" t="str">
        <x:v>MAIN-336</x:v>
      </x:c>
      <x:c r="O328" s="13" t="n">
        <x:v>19.0060977935791</x:v>
      </x:c>
      <x:c r="P328" s="13" t="n">
        <x:v>72.82121276855469</x:v>
      </x:c>
      <x:c r="Q328" s="2" t="str">
        <x:v>https://www.google.com/maps?q=19.0060977935791,72.82121276855469</x:v>
      </x:c>
      <x:c r="R328" s="2" t="str">
        <x:v>TEN-8217BB19EBF1</x:v>
      </x:c>
      <x:c r="S328" s="12" t="str">
        <x:v>IT and enterprise campus</x:v>
      </x:c>
      <x:c r="T328" s="12" t="str">
        <x:v>Tenant business-type estimates and reviewed company-scale context.</x:v>
      </x:c>
    </x:row>
    <x:row r="329" ht="64" customHeight="1">
      <x:c r="A329" s="10" t="n">
        <x:v>1</x:v>
      </x:c>
      <x:c r="B329" s="2" t="str">
        <x:v>CORP-0333</x:v>
      </x:c>
      <x:c r="C329" s="2" t="str">
        <x:v>Mumbai</x:v>
      </x:c>
      <x:c r="D329" s="2" t="str">
        <x:v>MS21WEP9</x:v>
      </x:c>
      <x:c r="E329" s="12" t="str">
        <x:v>Raheja Mindspace IT Park - Airoli East</x:v>
      </x:c>
      <x:c r="F329" s="12" t="str">
        <x:v>Airoli</x:v>
      </x:c>
      <x:c r="G329" s="11" t="n">
        <x:v>12</x:v>
      </x:c>
      <x:c r="H329" s="2" t="str">
        <x:v>32 inch LED TV</x:v>
      </x:c>
      <x:c r="I329" s="12" t="str">
        <x:v>LTI; Accenture; Wipro; L&amp;T; Cognizant; Citius Tech; IBM; GLOBE UP; Teradata; Eclerx; Crisil</x:v>
      </x:c>
      <x:c r="J329" s="2" t="n">
        <x:v>11</x:v>
      </x:c>
      <x:c r="K329" s="12" t="str">
        <x:v>Inventory-listed building/workspace context; current occupancy and screen access unverified</x:v>
      </x:c>
      <x:c r="L329" s="12" t="str">
        <x:v>IT &amp; digital; Finance &amp; insurance; Engineering &amp; manufacturing; Healthcare &amp; life sciences; Unresolved</x:v>
      </x:c>
      <x:c r="M329" s="12" t="str">
        <x:v>Large enterprise; Mixed business audience</x:v>
      </x:c>
      <x:c r="N329" s="12" t="str">
        <x:v>MAIN-337</x:v>
      </x:c>
      <x:c r="O329" s="13" t="n">
        <x:v>19.16215705871582</x:v>
      </x:c>
      <x:c r="P329" s="13" t="n">
        <x:v>73.000732421875</x:v>
      </x:c>
      <x:c r="Q329" s="2" t="str">
        <x:v>https://www.google.com/maps?q=19.16215705871582,73.000732421875</x:v>
      </x:c>
      <x:c r="R329" s="2" t="str">
        <x:v>TEN-413FC25CD812; TEN-4D748EBD71AF; TEN-5528A266F145; TEN-6A63F4755B0E; TEN-86F73DFE7BB6; TEN-88C817E54866; TEN-916A98F0FA2A; TEN-9A2067692E3A; TEN-9CF8C9635F36; TEN-C004492EC46F; TEN-D9BA66358074</x:v>
      </x:c>
      <x:c r="S329" s="12" t="str">
        <x:v>IT and enterprise campus</x:v>
      </x:c>
      <x:c r="T329" s="12" t="str">
        <x:v>Tenant business-type estimates and reviewed company-scale context.</x:v>
      </x:c>
    </x:row>
    <x:row r="330" ht="64" customHeight="1">
      <x:c r="A330" s="10" t="n">
        <x:v>1</x:v>
      </x:c>
      <x:c r="B330" s="2" t="str">
        <x:v>CORP-0334</x:v>
      </x:c>
      <x:c r="C330" s="2" t="str">
        <x:v>Mumbai</x:v>
      </x:c>
      <x:c r="D330" s="2" t="str">
        <x:v>MSFXT374</x:v>
      </x:c>
      <x:c r="E330" s="12" t="str">
        <x:v>Raheja Mindspaces - Airoli West</x:v>
      </x:c>
      <x:c r="F330" s="12" t="str">
        <x:v>Airoli</x:v>
      </x:c>
      <x:c r="G330" s="11" t="n">
        <x:v>5</x:v>
      </x:c>
      <x:c r="H330" s="2" t="str">
        <x:v>55 inch LED TV</x:v>
      </x:c>
      <x:c r="I330" s="12" t="str">
        <x:v>UBS; Black Box; KRC; ATOS; Accenture; Axis Bank; Wipro; Crossasyst; EY Service PVT LTD; Here Solutions; Essar UK; IDFC; HDFC; Sharekhan; GEP; Technimount; Finicity; CMA; Infrasoft (Kiya.ai)</x:v>
      </x:c>
      <x:c r="J330" s="2" t="n">
        <x:v>19</x:v>
      </x:c>
      <x:c r="K330" s="12" t="str">
        <x:v>Inventory-listed building/workspace context; current occupancy and screen access unverified</x:v>
      </x:c>
      <x:c r="L330" s="12" t="str">
        <x:v>IT &amp; digital; Professional services; Finance &amp; insurance; Engineering &amp; manufacturing; Unresolved</x:v>
      </x:c>
      <x:c r="M330" s="12" t="str">
        <x:v>Small-scale prospects; Large enterprise; Mixed business audience</x:v>
      </x:c>
      <x:c r="N330" s="12" t="str">
        <x:v>MAIN-338</x:v>
      </x:c>
      <x:c r="O330" s="13" t="n">
        <x:v>19.17477035522461</x:v>
      </x:c>
      <x:c r="P330" s="13" t="n">
        <x:v>72.99337768554688</x:v>
      </x:c>
      <x:c r="Q330" s="2" t="str">
        <x:v>https://www.google.com/maps?q=19.17477035522461,72.99337768554688</x:v>
      </x:c>
      <x:c r="R330" s="2" t="str">
        <x:v>TEN-0D8D7B583F99; TEN-1699A5C0AE77; TEN-1DED0A1D282F; TEN-46FF0B8F24EC; TEN-4D748EBD71AF; TEN-52CC75641406; TEN-5528A266F145; TEN-723943909E6B; TEN-9499A1BE2319; TEN-972F82E4DD0E; TEN-A49AC35AAD06; TEN-AA432FAD821D; TEN-B023B39C07DC; TEN-B07B67C76413; TEN-B921575579A8; TEN-DA16E7A8F245; TEN-E9167BFA6167; TEN-F0D2BE946F8E; TEN-F4B98DC0EA7C</x:v>
      </x:c>
      <x:c r="S330" s="12" t="str">
        <x:v>IT and enterprise campus</x:v>
      </x:c>
      <x:c r="T330" s="12" t="str">
        <x:v>Tenant business-type estimates and reviewed company-scale context.</x:v>
      </x:c>
    </x:row>
    <x:row r="331" ht="64" customHeight="1">
      <x:c r="A331" s="10" t="n">
        <x:v>1</x:v>
      </x:c>
      <x:c r="B331" s="2" t="str">
        <x:v>CORP-0335</x:v>
      </x:c>
      <x:c r="C331" s="2" t="str">
        <x:v>Mumbai</x:v>
      </x:c>
      <x:c r="D331" s="2" t="str">
        <x:v>MSSWWEE3</x:v>
      </x:c>
      <x:c r="E331" s="12" t="str">
        <x:v>Raheja Mindspaces - Ascent</x:v>
      </x:c>
      <x:c r="F331" s="12" t="str">
        <x:v>Lower Parel</x:v>
      </x:c>
      <x:c r="G331" s="11" t="n">
        <x:v>2</x:v>
      </x:c>
      <x:c r="H331" s="2" t="str">
        <x:v>55 inch LED TV</x:v>
      </x:c>
      <x:c r="I331" s="12" t="str"/>
      <x:c r="J331" s="2" t="n">
        <x:v>0</x:v>
      </x:c>
      <x:c r="K331" s="12" t="str">
        <x:v>Unresolved; no supported tenant names</x:v>
      </x:c>
      <x:c r="L331" s="12" t="str">
        <x:v>Unclassified</x:v>
      </x:c>
      <x:c r="M331" s="12" t="str">
        <x:v>Mixed business audience</x:v>
      </x:c>
      <x:c r="N331" s="12" t="str">
        <x:v>MAIN-339</x:v>
      </x:c>
      <x:c r="O331" s="13" t="n">
        <x:v>19.00796127319336</x:v>
      </x:c>
      <x:c r="P331" s="13" t="n">
        <x:v>72.82056427001953</x:v>
      </x:c>
      <x:c r="Q331" s="2" t="str">
        <x:v>https://www.google.com/maps?q=19.00796127319336,72.82056427001953</x:v>
      </x:c>
      <x:c r="R331" s="2" t="str"/>
      <x:c r="S331" s="12" t="str">
        <x:v>Premium business offices</x:v>
      </x:c>
      <x:c r="T331" s="12" t="str">
        <x:v>Mindspace describes Ascent Worli as a premium office development with spacious floors and a separate smaller-unit wing. Raw Lower Parel is wider-area wording, official location Worli. No exact tower/wing assignment.</x:v>
      </x:c>
    </x:row>
    <x:row r="332" ht="64" customHeight="1">
      <x:c r="A332" s="10" t="n">
        <x:v>1</x:v>
      </x:c>
      <x:c r="B332" s="2" t="str">
        <x:v>CORP-0336</x:v>
      </x:c>
      <x:c r="C332" s="2" t="str">
        <x:v>Mumbai</x:v>
      </x:c>
      <x:c r="D332" s="2" t="str">
        <x:v>MSJYEH34</x:v>
      </x:c>
      <x:c r="E332" s="12" t="str">
        <x:v>Raheja Mindspaces - Juinagar</x:v>
      </x:c>
      <x:c r="F332" s="12" t="str">
        <x:v>Juinagar</x:v>
      </x:c>
      <x:c r="G332" s="11" t="n">
        <x:v>3</x:v>
      </x:c>
      <x:c r="H332" s="2" t="str">
        <x:v>55 inch LED TV</x:v>
      </x:c>
      <x:c r="I332" s="12" t="str"/>
      <x:c r="J332" s="2" t="n">
        <x:v>0</x:v>
      </x:c>
      <x:c r="K332" s="12" t="str">
        <x:v>Unresolved; no supported tenant names</x:v>
      </x:c>
      <x:c r="L332" s="12" t="str">
        <x:v>Unclassified</x:v>
      </x:c>
      <x:c r="M332" s="12" t="str">
        <x:v>Mixed business audience</x:v>
      </x:c>
      <x:c r="N332" s="12" t="str">
        <x:v>MAIN-340</x:v>
      </x:c>
      <x:c r="O332" s="13" t="n">
        <x:v>19.052223205566406</x:v>
      </x:c>
      <x:c r="P332" s="13" t="n">
        <x:v>73.02864837646484</x:v>
      </x:c>
      <x:c r="Q332" s="2" t="str">
        <x:v>https://www.google.com/maps?q=19.052223205566406,73.02864837646484</x:v>
      </x:c>
      <x:c r="R332" s="2" t="str"/>
      <x:c r="S332" s="12" t="str">
        <x:v>Enterprise business campus</x:v>
      </x:c>
      <x:c r="T332" s="12" t="str">
        <x:v>K Raheja confirms Mindspace Business Parks Juinagar in its corporate history; its official brochure describes a 55-acre business park. Historical campus context only. No current tenant identities or aggregate park staff attributed to three screens.</x:v>
      </x:c>
    </x:row>
    <x:row r="333" ht="64" customHeight="1">
      <x:c r="A333" s="10" t="n">
        <x:v>1</x:v>
      </x:c>
      <x:c r="B333" s="2" t="str">
        <x:v>CORP-0337</x:v>
      </x:c>
      <x:c r="C333" s="2" t="str">
        <x:v>Mumbai</x:v>
      </x:c>
      <x:c r="D333" s="2" t="str">
        <x:v>MSDJN6AF</x:v>
      </x:c>
      <x:c r="E333" s="12" t="str">
        <x:v>Rupa Renaissance (Redbrick Offices)</x:v>
      </x:c>
      <x:c r="F333" s="12" t="str">
        <x:v>Turbhe</x:v>
      </x:c>
      <x:c r="G333" s="11" t="n">
        <x:v>1</x:v>
      </x:c>
      <x:c r="H333" s="2" t="str">
        <x:v>32 inch LED TV</x:v>
      </x:c>
      <x:c r="I333" s="12" t="str">
        <x:v>Blenheim Chalcot IT Services India Pvt. Ltd. (Navi Mumbai); Infinx; Inspire Cospaces; Electricité de France; Econship Tech Pvt. Ltd</x:v>
      </x:c>
      <x:c r="J333" s="2" t="n">
        <x:v>5</x:v>
      </x:c>
      <x:c r="K333" s="12" t="str">
        <x:v>Inventory-listed building/workspace context; current occupancy and screen access unverified</x:v>
      </x:c>
      <x:c r="L333" s="12" t="str">
        <x:v>IT &amp; digital; Finance &amp; insurance; Engineering &amp; manufacturing; Trade, consumer &amp; logistics; Workspace &amp; property operations</x:v>
      </x:c>
      <x:c r="M333" s="12" t="str">
        <x:v>Medium-scale prospects; Mixed business audience</x:v>
      </x:c>
      <x:c r="N333" s="12" t="str">
        <x:v>MAIN-341</x:v>
      </x:c>
      <x:c r="O333" s="13" t="n">
        <x:v>19.063308715820312</x:v>
      </x:c>
      <x:c r="P333" s="13" t="n">
        <x:v>73.02747344970703</x:v>
      </x:c>
      <x:c r="Q333" s="2" t="str">
        <x:v>https://www.google.com/maps?q=19.063308715820312,73.02747344970703</x:v>
      </x:c>
      <x:c r="R333" s="2" t="str">
        <x:v>TEN-0E6024625C2C; TEN-3C79F72B4753; TEN-4817EBAEA4B9; TEN-8DAD9A71BA1C; TEN-FF339EB08605</x:v>
      </x:c>
      <x:c r="S333" s="12" t="str">
        <x:v>Multi-tenant business offices</x:v>
      </x:c>
      <x:c r="T333" s="12" t="str">
        <x:v>Tenant business-type estimates and reviewed company-scale context.</x:v>
      </x:c>
    </x:row>
    <x:row r="334" ht="64" customHeight="1">
      <x:c r="A334" s="10" t="n">
        <x:v>1</x:v>
      </x:c>
      <x:c r="B334" s="2" t="str">
        <x:v>CORP-0338</x:v>
      </x:c>
      <x:c r="C334" s="2" t="str">
        <x:v>Mumbai</x:v>
      </x:c>
      <x:c r="D334" s="2" t="str">
        <x:v>MSH1ZXCB</x:v>
      </x:c>
      <x:c r="E334" s="12" t="str">
        <x:v>Rustomjee Eaze Zone Mall</x:v>
      </x:c>
      <x:c r="F334" s="12" t="str">
        <x:v>Malad</x:v>
      </x:c>
      <x:c r="G334" s="11" t="n">
        <x:v>26</x:v>
      </x:c>
      <x:c r="H334" s="2" t="str">
        <x:v>32 inch LED TV</x:v>
      </x:c>
      <x:c r="I334" s="12" t="str">
        <x:v>Meera Cotton &amp; Synthetic Mills ( Pvt ) Ltd; Smile Please Media; Studio Youmania; ABHIYANK ENTERPRISES; MAC REVIVE; Professional Associates; nand Rathi Share And Stock Brokers Ltd; RAMA Corporate &amp; IT Solutions LLP; Qbytech Solutions Pvt Ltd; BOTHRA PROPERTIES</x:v>
      </x:c>
      <x:c r="J334" s="2" t="n">
        <x:v>10</x:v>
      </x:c>
      <x:c r="K334" s="12" t="str">
        <x:v>Inventory-listed building/workspace context; current occupancy and screen access unverified</x:v>
      </x:c>
      <x:c r="L334" s="12" t="str">
        <x:v>IT &amp; digital; Finance &amp; insurance; Engineering &amp; manufacturing; Trade, consumer &amp; logistics; Unresolved</x:v>
      </x:c>
      <x:c r="M334" s="12" t="str">
        <x:v>Small-scale prospects; Medium-scale prospects; Mixed business audience</x:v>
      </x:c>
      <x:c r="N334" s="12" t="str">
        <x:v>MAIN-342</x:v>
      </x:c>
      <x:c r="O334" s="13" t="n">
        <x:v>19.174534</x:v>
      </x:c>
      <x:c r="P334" s="13" t="n">
        <x:v>72.8419546</x:v>
      </x:c>
      <x:c r="Q334" s="2" t="str">
        <x:v>https://www.google.com/maps?q=19.174534,72.8419546</x:v>
      </x:c>
      <x:c r="R334" s="2" t="str">
        <x:v>TEN-2195B4F4BEF0; TEN-332F87BC5E89; TEN-5E0268F6057E; TEN-6084B957DCD5; TEN-74CE377FCE32; TEN-757CC22101FA; TEN-B6AA44AC4564; TEN-B8675CD3E646; TEN-EA0C33070EEE; TEN-F95278102ACA</x:v>
      </x:c>
      <x:c r="S334" s="12" t="str">
        <x:v>Mixed commercial workplace</x:v>
      </x:c>
      <x:c r="T334" s="12" t="str">
        <x:v>Tenant business-type estimates and reviewed company-scale context.</x:v>
      </x:c>
    </x:row>
    <x:row r="335" ht="64" customHeight="1">
      <x:c r="A335" s="10" t="n">
        <x:v>1</x:v>
      </x:c>
      <x:c r="B335" s="2" t="str">
        <x:v>CORP-0339</x:v>
      </x:c>
      <x:c r="C335" s="2" t="str">
        <x:v>Mumbai</x:v>
      </x:c>
      <x:c r="D335" s="2" t="str">
        <x:v>MS745VAC</x:v>
      </x:c>
      <x:c r="E335" s="12" t="str">
        <x:v>Sagar Tech Plaza A </x:v>
      </x:c>
      <x:c r="F335" s="12" t="str">
        <x:v>Andheri</x:v>
      </x:c>
      <x:c r="G335" s="11" t="n">
        <x:v>2</x:v>
      </x:c>
      <x:c r="H335" s="2" t="str">
        <x:v>32 inch LED TV</x:v>
      </x:c>
      <x:c r="I335" s="12" t="str">
        <x:v>Media Nucleus India; Vision Engineering; UBM India; ABC Techno Labs; Victaulic India; De Dietrich Process Systems</x:v>
      </x:c>
      <x:c r="J335" s="2" t="n">
        <x:v>6</x:v>
      </x:c>
      <x:c r="K335" s="12" t="str">
        <x:v>Campus/portfolio roster; individual building occupancy unverified</x:v>
      </x:c>
      <x:c r="L335" s="12" t="str">
        <x:v>Engineering &amp; manufacturing; Trade, consumer &amp; logistics</x:v>
      </x:c>
      <x:c r="M335" s="12" t="str">
        <x:v>Small-scale prospects; Medium-scale prospects; Mixed business audience</x:v>
      </x:c>
      <x:c r="N335" s="12" t="str">
        <x:v>MAIN-343</x:v>
      </x:c>
      <x:c r="O335" s="13" t="n">
        <x:v>19.103410720825195</x:v>
      </x:c>
      <x:c r="P335" s="13" t="n">
        <x:v>72.88626098632812</x:v>
      </x:c>
      <x:c r="Q335" s="2" t="str">
        <x:v>https://www.google.com/maps?q=19.103410720825195,72.88626098632812</x:v>
      </x:c>
      <x:c r="R335" s="2" t="str">
        <x:v>TEN-21CE05DB330F; TEN-24071FD75C0B; TEN-2F98BAE5C1A1; TEN-AAEEA46EA3EC; TEN-E080263FD3AF; TEN-FECD0178719F</x:v>
      </x:c>
      <x:c r="S335" s="12" t="str">
        <x:v>Mixed commercial workplace</x:v>
      </x:c>
      <x:c r="T335" s="12" t="str">
        <x:v>Tenant business-type estimates and reviewed company-scale context.</x:v>
      </x:c>
    </x:row>
    <x:row r="336" ht="64" customHeight="1">
      <x:c r="A336" s="10" t="n">
        <x:v>1</x:v>
      </x:c>
      <x:c r="B336" s="2" t="str">
        <x:v>CORP-0340</x:v>
      </x:c>
      <x:c r="C336" s="2" t="str">
        <x:v>Mumbai</x:v>
      </x:c>
      <x:c r="D336" s="2" t="str">
        <x:v>MS9D726F</x:v>
      </x:c>
      <x:c r="E336" s="12" t="str">
        <x:v>Sagar Tech Plaza A {IE}</x:v>
      </x:c>
      <x:c r="F336" s="12" t="str">
        <x:v>Andheri</x:v>
      </x:c>
      <x:c r="G336" s="11" t="n">
        <x:v>3</x:v>
      </x:c>
      <x:c r="H336" s="2" t="str">
        <x:v>24 inch LED TV</x:v>
      </x:c>
      <x:c r="I336" s="12" t="str">
        <x:v>Media Nucleus India; Vision Engineering; UBM India (Events &amp; Exhibitions); ABC Techno Labs; Victaulic India; De Dietrich Process Systems</x:v>
      </x:c>
      <x:c r="J336" s="2" t="n">
        <x:v>6</x:v>
      </x:c>
      <x:c r="K336" s="12" t="str">
        <x:v>Campus/portfolio roster; individual building occupancy unverified</x:v>
      </x:c>
      <x:c r="L336" s="12" t="str">
        <x:v>Engineering &amp; manufacturing; Trade, consumer &amp; logistics</x:v>
      </x:c>
      <x:c r="M336" s="12" t="str">
        <x:v>Small-scale prospects; Medium-scale prospects; Mixed business audience</x:v>
      </x:c>
      <x:c r="N336" s="12" t="str">
        <x:v>MAIN-344</x:v>
      </x:c>
      <x:c r="O336" s="13" t="n">
        <x:v>19.103410720825195</x:v>
      </x:c>
      <x:c r="P336" s="13" t="n">
        <x:v>72.88626098632812</x:v>
      </x:c>
      <x:c r="Q336" s="2" t="str">
        <x:v>https://www.google.com/maps?q=19.103410720825195,72.88626098632812</x:v>
      </x:c>
      <x:c r="R336" s="2" t="str">
        <x:v>TEN-21CE05DB330F; TEN-24071FD75C0B; TEN-66035669957D; TEN-AAEEA46EA3EC; TEN-E080263FD3AF; TEN-FECD0178719F</x:v>
      </x:c>
      <x:c r="S336" s="12" t="str">
        <x:v>Mixed commercial workplace</x:v>
      </x:c>
      <x:c r="T336" s="12" t="str">
        <x:v>Tenant business-type estimates and reviewed company-scale context.</x:v>
      </x:c>
    </x:row>
    <x:row r="337" ht="64" customHeight="1">
      <x:c r="A337" s="10" t="n">
        <x:v>1</x:v>
      </x:c>
      <x:c r="B337" s="2" t="str">
        <x:v>CORP-0341</x:v>
      </x:c>
      <x:c r="C337" s="2" t="str">
        <x:v>Mumbai</x:v>
      </x:c>
      <x:c r="D337" s="2" t="str">
        <x:v>MSGJ1AJA</x:v>
      </x:c>
      <x:c r="E337" s="12" t="str">
        <x:v>Sagar Tech Plaza B </x:v>
      </x:c>
      <x:c r="F337" s="12" t="str">
        <x:v>Andheri</x:v>
      </x:c>
      <x:c r="G337" s="11" t="n">
        <x:v>1</x:v>
      </x:c>
      <x:c r="H337" s="2" t="str">
        <x:v>32 inch LED TV</x:v>
      </x:c>
      <x:c r="I337" s="12" t="str">
        <x:v>WNS Global Services; Accenture; Arlo Ship Management; Sutherland Global Services; Capgemini; De Dietrich Process Systems</x:v>
      </x:c>
      <x:c r="J337" s="2" t="n">
        <x:v>6</x:v>
      </x:c>
      <x:c r="K337" s="12" t="str">
        <x:v>Campus/portfolio roster; individual building occupancy unverified</x:v>
      </x:c>
      <x:c r="L337" s="12" t="str">
        <x:v>IT &amp; digital; Engineering &amp; manufacturing; Trade, consumer &amp; logistics</x:v>
      </x:c>
      <x:c r="M337" s="12" t="str">
        <x:v>Small-scale prospects; Large enterprise; Mixed business audience</x:v>
      </x:c>
      <x:c r="N337" s="12" t="str">
        <x:v>MAIN-345</x:v>
      </x:c>
      <x:c r="O337" s="13" t="n">
        <x:v>19.103410720825195</x:v>
      </x:c>
      <x:c r="P337" s="13" t="n">
        <x:v>72.88626098632812</x:v>
      </x:c>
      <x:c r="Q337" s="2" t="str">
        <x:v>https://www.google.com/maps?q=19.103410720825195,72.88626098632812</x:v>
      </x:c>
      <x:c r="R337" s="2" t="str">
        <x:v>TEN-413BB748AA81; TEN-4D748EBD71AF; TEN-6A9D4FE5CE43; TEN-80E224094D7E; TEN-F55A85B2F2EB; TEN-FECD0178719F</x:v>
      </x:c>
      <x:c r="S337" s="12" t="str">
        <x:v>Mixed commercial workplace</x:v>
      </x:c>
      <x:c r="T337" s="12" t="str">
        <x:v>Tenant business-type estimates and reviewed company-scale context.</x:v>
      </x:c>
    </x:row>
    <x:row r="338" ht="64" customHeight="1">
      <x:c r="A338" s="10" t="n">
        <x:v>1</x:v>
      </x:c>
      <x:c r="B338" s="2" t="str">
        <x:v>CORP-0342</x:v>
      </x:c>
      <x:c r="C338" s="2" t="str">
        <x:v>Mumbai</x:v>
      </x:c>
      <x:c r="D338" s="2" t="str">
        <x:v>MSTV3DEN</x:v>
      </x:c>
      <x:c r="E338" s="12" t="str">
        <x:v>Sagar Tech Plaza B {IE}</x:v>
      </x:c>
      <x:c r="F338" s="12" t="str">
        <x:v>Andheri</x:v>
      </x:c>
      <x:c r="G338" s="11" t="n">
        <x:v>3</x:v>
      </x:c>
      <x:c r="H338" s="2" t="str">
        <x:v>24 inch LED TV</x:v>
      </x:c>
      <x:c r="I338" s="12" t="str">
        <x:v>Vision Engineering; WNS Global Services; Accenture; Arlo Ship Management; Sutherland Global Services; Capgemini; De Dietrich Process Systems</x:v>
      </x:c>
      <x:c r="J338" s="2" t="n">
        <x:v>7</x:v>
      </x:c>
      <x:c r="K338" s="12" t="str">
        <x:v>Campus/portfolio roster; individual building occupancy unverified</x:v>
      </x:c>
      <x:c r="L338" s="12" t="str">
        <x:v>IT &amp; digital; Engineering &amp; manufacturing; Trade, consumer &amp; logistics</x:v>
      </x:c>
      <x:c r="M338" s="12" t="str">
        <x:v>Small-scale prospects; Medium-scale prospects; Large enterprise; Mixed business audience</x:v>
      </x:c>
      <x:c r="N338" s="12" t="str">
        <x:v>MAIN-346</x:v>
      </x:c>
      <x:c r="O338" s="13" t="n">
        <x:v>19.103410720825195</x:v>
      </x:c>
      <x:c r="P338" s="13" t="n">
        <x:v>72.88626098632812</x:v>
      </x:c>
      <x:c r="Q338" s="2" t="str">
        <x:v>https://www.google.com/maps?q=19.103410720825195,72.88626098632812</x:v>
      </x:c>
      <x:c r="R338" s="2" t="str">
        <x:v>TEN-24071FD75C0B; TEN-413BB748AA81; TEN-4D748EBD71AF; TEN-6A9D4FE5CE43; TEN-80E224094D7E; TEN-F55A85B2F2EB; TEN-FECD0178719F</x:v>
      </x:c>
      <x:c r="S338" s="12" t="str">
        <x:v>Mixed commercial workplace</x:v>
      </x:c>
      <x:c r="T338" s="12" t="str">
        <x:v>Tenant business-type estimates and reviewed company-scale context.</x:v>
      </x:c>
    </x:row>
    <x:row r="339" ht="64" customHeight="1">
      <x:c r="A339" s="10" t="n">
        <x:v>1</x:v>
      </x:c>
      <x:c r="B339" s="2" t="str">
        <x:v>CORP-0343</x:v>
      </x:c>
      <x:c r="C339" s="2" t="str">
        <x:v>Mumbai</x:v>
      </x:c>
      <x:c r="D339" s="2" t="str">
        <x:v>MSXECX9R</x:v>
      </x:c>
      <x:c r="E339" s="12" t="str">
        <x:v>Symphony IT Park (Redbrick Offices)</x:v>
      </x:c>
      <x:c r="F339" s="12" t="str">
        <x:v>Chadivali</x:v>
      </x:c>
      <x:c r="G339" s="11" t="n">
        <x:v>2</x:v>
      </x:c>
      <x:c r="H339" s="2" t="str">
        <x:v>32 inch LED TV</x:v>
      </x:c>
      <x:c r="I339" s="12" t="str">
        <x:v>Buzz Bee Studio; ATHENA BPO PVT. LTD; Vernost Marketing Technology Solutions Pvt. Ltd</x:v>
      </x:c>
      <x:c r="J339" s="2" t="n">
        <x:v>3</x:v>
      </x:c>
      <x:c r="K339" s="12" t="str">
        <x:v>Inventory-listed building/workspace context; current occupancy and screen access unverified</x:v>
      </x:c>
      <x:c r="L339" s="12" t="str">
        <x:v>IT &amp; digital; Professional services</x:v>
      </x:c>
      <x:c r="M339" s="12" t="str">
        <x:v>Small-scale prospects</x:v>
      </x:c>
      <x:c r="N339" s="12" t="str">
        <x:v>MAIN-347</x:v>
      </x:c>
      <x:c r="O339" s="13"/>
      <x:c r="P339" s="13"/>
      <x:c r="Q339" s="2" t="str"/>
      <x:c r="R339" s="2" t="str">
        <x:v>TEN-652C71309085; TEN-7505CCD0823D; TEN-AAE414031EA7</x:v>
      </x:c>
      <x:c r="S339" s="12" t="str">
        <x:v>IT and enterprise campus</x:v>
      </x:c>
      <x:c r="T339" s="12" t="str">
        <x:v>Tenant business-type estimates and reviewed company-scale context.</x:v>
      </x:c>
    </x:row>
    <x:row r="340" ht="64" customHeight="1">
      <x:c r="A340" s="10" t="n">
        <x:v>1</x:v>
      </x:c>
      <x:c r="B340" s="2" t="str">
        <x:v>CORP-0344</x:v>
      </x:c>
      <x:c r="C340" s="2" t="str">
        <x:v>Mumbai</x:v>
      </x:c>
      <x:c r="D340" s="2" t="str">
        <x:v>MSG66C6W</x:v>
      </x:c>
      <x:c r="E340" s="12" t="str">
        <x:v>TEX Centre (Redbrick Offices)</x:v>
      </x:c>
      <x:c r="F340" s="12" t="str">
        <x:v>Yadav Nagar</x:v>
      </x:c>
      <x:c r="G340" s="11" t="n">
        <x:v>1</x:v>
      </x:c>
      <x:c r="H340" s="2" t="str">
        <x:v>32 inch LED TV</x:v>
      </x:c>
      <x:c r="I340" s="12" t="str">
        <x:v>AdvaCare Pharma USA; Evo Foods; Intertek India; Ace Logic Business Solutions; Time Technoplast Ltd</x:v>
      </x:c>
      <x:c r="J340" s="2" t="n">
        <x:v>5</x:v>
      </x:c>
      <x:c r="K340" s="12" t="str">
        <x:v>Inventory-listed building/workspace context; current occupancy and screen access unverified</x:v>
      </x:c>
      <x:c r="L340" s="12" t="str">
        <x:v>Professional services; Engineering &amp; manufacturing; Healthcare &amp; life sciences; Trade, consumer &amp; logistics</x:v>
      </x:c>
      <x:c r="M340" s="12" t="str">
        <x:v>Small-scale prospects; Medium-scale prospects; Mixed business audience</x:v>
      </x:c>
      <x:c r="N340" s="12" t="str">
        <x:v>MAIN-348</x:v>
      </x:c>
      <x:c r="O340" s="13" t="n">
        <x:v>19.111520767211914</x:v>
      </x:c>
      <x:c r="P340" s="13" t="n">
        <x:v>72.89276885986328</x:v>
      </x:c>
      <x:c r="Q340" s="2" t="str">
        <x:v>https://www.google.com/maps?q=19.111520767211914,72.89276885986328</x:v>
      </x:c>
      <x:c r="R340" s="2" t="str">
        <x:v>TEN-773606B8B731; TEN-85F83B52EA01; TEN-950FC4DC0333; TEN-D50C629E9CEF; TEN-F37232276DC6</x:v>
      </x:c>
      <x:c r="S340" s="12" t="str">
        <x:v>Multi-tenant business offices</x:v>
      </x:c>
      <x:c r="T340" s="12" t="str">
        <x:v>Tenant business-type estimates and reviewed company-scale context.</x:v>
      </x:c>
    </x:row>
    <x:row r="341" ht="64" customHeight="1">
      <x:c r="A341" s="10" t="n">
        <x:v>1</x:v>
      </x:c>
      <x:c r="B341" s="2" t="str">
        <x:v>CORP-0345</x:v>
      </x:c>
      <x:c r="C341" s="2" t="str">
        <x:v>Mumbai</x:v>
      </x:c>
      <x:c r="D341" s="2" t="str">
        <x:v>MSSDH87V</x:v>
      </x:c>
      <x:c r="E341" s="12" t="str">
        <x:v>The Landmark - Kharghar</x:v>
      </x:c>
      <x:c r="F341" s="12" t="str">
        <x:v>Kharghar</x:v>
      </x:c>
      <x:c r="G341" s="11" t="n">
        <x:v>10</x:v>
      </x:c>
      <x:c r="H341" s="2" t="str">
        <x:v>32 inch LED TV</x:v>
      </x:c>
      <x:c r="I341" s="12" t="str">
        <x:v>HYBRID 360FIT; Labh Homemakers Pvt Ltd; The sharp kids</x:v>
      </x:c>
      <x:c r="J341" s="2" t="n">
        <x:v>3</x:v>
      </x:c>
      <x:c r="K341" s="12" t="str">
        <x:v>Inventory-listed building/workspace context; current occupancy and screen access unverified</x:v>
      </x:c>
      <x:c r="L341" s="12" t="str">
        <x:v>Education; Trade, consumer &amp; logistics; Unresolved</x:v>
      </x:c>
      <x:c r="M341" s="12" t="str">
        <x:v>Small-scale prospects; Mixed business audience</x:v>
      </x:c>
      <x:c r="N341" s="12" t="str">
        <x:v>MAIN-349</x:v>
      </x:c>
      <x:c r="O341" s="13" t="n">
        <x:v>19.03380584716797</x:v>
      </x:c>
      <x:c r="P341" s="13" t="n">
        <x:v>73.0661849975586</x:v>
      </x:c>
      <x:c r="Q341" s="2" t="str">
        <x:v>https://www.google.com/maps?q=19.03380584716797,73.0661849975586</x:v>
      </x:c>
      <x:c r="R341" s="2" t="str">
        <x:v>TEN-0F0BA7A72DF3; TEN-3960A582F1CE; TEN-62CF3B92AF07</x:v>
      </x:c>
      <x:c r="S341" s="12" t="str">
        <x:v>Mixed commercial workplace</x:v>
      </x:c>
      <x:c r="T341" s="12" t="str">
        <x:v>Tenant business-type estimates and reviewed company-scale context.</x:v>
      </x:c>
    </x:row>
    <x:row r="342" ht="64" customHeight="1">
      <x:c r="A342" s="10" t="n">
        <x:v>1</x:v>
      </x:c>
      <x:c r="B342" s="2" t="str">
        <x:v>CORP-0346</x:v>
      </x:c>
      <x:c r="C342" s="2" t="str">
        <x:v>Mumbai</x:v>
      </x:c>
      <x:c r="D342" s="2" t="str">
        <x:v>MSG925Q1</x:v>
      </x:c>
      <x:c r="E342" s="12" t="str">
        <x:v>The Summit Business Park Premises</x:v>
      </x:c>
      <x:c r="F342" s="12" t="str">
        <x:v>Andheri</x:v>
      </x:c>
      <x:c r="G342" s="11" t="n">
        <x:v>70</x:v>
      </x:c>
      <x:c r="H342" s="2" t="str">
        <x:v>32 inch LED TV</x:v>
      </x:c>
      <x:c r="I342" s="12" t="str">
        <x:v>Halewood Laboratories Pvt. Ltd; Proactive Data Systems Pvt. Ltd; Belito solution LLP; Matrix &amp; Cheryls Education Studio; Growth Corner Advisor Pvt. Ltd; Proactive Data Systems Pvt; Acumen HR Consulting Services; E-Axis Immigration Pvt. Ltd; FREIGHT SYSTEMS (I) PVT. LTD; RRDL and Associates; FinMen Advisors Pvt Ltd</x:v>
      </x:c>
      <x:c r="J342" s="2" t="n">
        <x:v>11</x:v>
      </x:c>
      <x:c r="K342" s="12" t="str">
        <x:v>Inventory-listed building/workspace context; current occupancy and screen access unverified</x:v>
      </x:c>
      <x:c r="L342" s="12" t="str">
        <x:v>IT &amp; digital; Professional services; Finance &amp; insurance; Healthcare &amp; life sciences; Education; Trade, consumer &amp; logistics; Unresolved</x:v>
      </x:c>
      <x:c r="M342" s="12" t="str">
        <x:v>Small-scale prospects; Medium-scale prospects; Mixed business audience</x:v>
      </x:c>
      <x:c r="N342" s="12" t="str">
        <x:v>MAIN-350</x:v>
      </x:c>
      <x:c r="O342" s="13" t="n">
        <x:v>19.116499</x:v>
      </x:c>
      <x:c r="P342" s="13" t="n">
        <x:v>72.857413</x:v>
      </x:c>
      <x:c r="Q342" s="2" t="str">
        <x:v>https://www.google.com/maps?q=19.116499,72.857413</x:v>
      </x:c>
      <x:c r="R342" s="2" t="str">
        <x:v>TEN-0170851682E7; TEN-0294C6401D36; TEN-19546A6A3D52; TEN-40C5B64FE457; TEN-48FEE15EC13F; TEN-67F112877A5A; TEN-70E16A6A7C42; TEN-AC6537F236BF; TEN-B783B550E2C6; TEN-EA5C473E1C47; TEN-FF33B1F9D92F</x:v>
      </x:c>
      <x:c r="S342" s="12" t="str">
        <x:v>Multi-tenant business offices</x:v>
      </x:c>
      <x:c r="T342" s="12" t="str">
        <x:v>Tenant business-type estimates and reviewed company-scale context.</x:v>
      </x:c>
    </x:row>
    <x:row r="343" ht="64" customHeight="1">
      <x:c r="A343" s="10" t="n">
        <x:v>1</x:v>
      </x:c>
      <x:c r="B343" s="2" t="str">
        <x:v>CORP-0347</x:v>
      </x:c>
      <x:c r="C343" s="2" t="str">
        <x:v>Mumbai</x:v>
      </x:c>
      <x:c r="D343" s="2" t="str">
        <x:v>MS08VDN4</x:v>
      </x:c>
      <x:c r="E343" s="12" t="str">
        <x:v>The Western Edge 2</x:v>
      </x:c>
      <x:c r="F343" s="12" t="str">
        <x:v>Borivali East</x:v>
      </x:c>
      <x:c r="G343" s="11" t="n">
        <x:v>39</x:v>
      </x:c>
      <x:c r="H343" s="2" t="str">
        <x:v>32 inch LED TV</x:v>
      </x:c>
      <x:c r="I343" s="12" t="str">
        <x:v>Mobavenue media pvt ltd; Medwiz health care; Teamlease edtech ltd; Shreeji woodcraft PVT.LTD; Guru krupa grp; Sick india pvt ltd; My insurance club; Mahanagar gas ltd; Ace technologies grp; Rotex automation; WARPP ENGINEERS PVT LTD</x:v>
      </x:c>
      <x:c r="J343" s="2" t="n">
        <x:v>11</x:v>
      </x:c>
      <x:c r="K343" s="12" t="str">
        <x:v>Inventory-listed building/workspace context; current occupancy and screen access unverified</x:v>
      </x:c>
      <x:c r="L343" s="12" t="str">
        <x:v>Finance &amp; insurance; Engineering &amp; manufacturing; Healthcare &amp; life sciences; Education; Trade, consumer &amp; logistics; Unresolved</x:v>
      </x:c>
      <x:c r="M343" s="12" t="str">
        <x:v>Small-scale prospects; Medium-scale prospects; Large enterprise; Mixed business audience</x:v>
      </x:c>
      <x:c r="N343" s="12" t="str">
        <x:v>MAIN-351</x:v>
      </x:c>
      <x:c r="O343" s="13" t="n">
        <x:v>19.218667</x:v>
      </x:c>
      <x:c r="P343" s="13" t="n">
        <x:v>72.86361</x:v>
      </x:c>
      <x:c r="Q343" s="2" t="str">
        <x:v>https://www.google.com/maps?q=19.218667,72.86361</x:v>
      </x:c>
      <x:c r="R343" s="2" t="str">
        <x:v>TEN-33E6C4FE4E0A; TEN-5EB8C702BE35; TEN-63A06480467E; TEN-6AE306FD3DA9; TEN-9366394BE9A7; TEN-AF407DAC656E; TEN-C9A41E937F53; TEN-CAF0DEEE6D40; TEN-CD777AFE8002; TEN-D010DD4A03E6; TEN-D6F3D69FDAC8</x:v>
      </x:c>
      <x:c r="S343" s="12" t="str">
        <x:v>Mixed commercial workplace</x:v>
      </x:c>
      <x:c r="T343" s="12" t="str">
        <x:v>Tenant business-type estimates and reviewed company-scale context.</x:v>
      </x:c>
    </x:row>
    <x:row r="344" ht="64" customHeight="1">
      <x:c r="A344" s="10" t="n">
        <x:v>1</x:v>
      </x:c>
      <x:c r="B344" s="2" t="str">
        <x:v>CORP-0348</x:v>
      </x:c>
      <x:c r="C344" s="2" t="str">
        <x:v>Mumbai</x:v>
      </x:c>
      <x:c r="D344" s="2" t="str">
        <x:v>MSMKSB97</x:v>
      </x:c>
      <x:c r="E344" s="12" t="str">
        <x:v>Times Square Tech Park</x:v>
      </x:c>
      <x:c r="F344" s="12" t="str">
        <x:v>Andheri east</x:v>
      </x:c>
      <x:c r="G344" s="11" t="n">
        <x:v>4</x:v>
      </x:c>
      <x:c r="H344" s="2" t="str">
        <x:v>43 inch LED TV</x:v>
      </x:c>
      <x:c r="I344" s="12" t="str">
        <x:v>Iron Mountain INDIA Pvt Ltd; Interactive Brokers India Pvt. Ltd; Viva Composite Panel Pvt Ltd; Raksha Health Insurance TPA Pvt Ltd; Penta Freight Private Limited; Digital Vidya; Beco - Kwick Living (I) Pvt Ltd</x:v>
      </x:c>
      <x:c r="J344" s="2" t="n">
        <x:v>7</x:v>
      </x:c>
      <x:c r="K344" s="12" t="str">
        <x:v>Inventory-listed building/workspace context; current occupancy and screen access unverified</x:v>
      </x:c>
      <x:c r="L344" s="12" t="str">
        <x:v>Finance &amp; insurance; Engineering &amp; manufacturing; Healthcare &amp; life sciences; Education; Trade, consumer &amp; logistics</x:v>
      </x:c>
      <x:c r="M344" s="12" t="str">
        <x:v>Small-scale prospects; Medium-scale prospects; Large enterprise; Mixed business audience</x:v>
      </x:c>
      <x:c r="N344" s="12" t="str">
        <x:v>MAIN-352</x:v>
      </x:c>
      <x:c r="O344" s="13" t="n">
        <x:v>19.108286</x:v>
      </x:c>
      <x:c r="P344" s="13" t="n">
        <x:v>72.883445</x:v>
      </x:c>
      <x:c r="Q344" s="2" t="str">
        <x:v>https://www.google.com/maps?q=19.108286,72.883445</x:v>
      </x:c>
      <x:c r="R344" s="2" t="str">
        <x:v>TEN-0446C1106A93; TEN-70570D313277; TEN-8A7939DD00E0; TEN-C3DB07F84AD2; TEN-CEDC7C952F52; TEN-E443E35E8926; TEN-FADB5FECC373</x:v>
      </x:c>
      <x:c r="S344" s="12" t="str">
        <x:v>IT and enterprise campus</x:v>
      </x:c>
      <x:c r="T344" s="12" t="str">
        <x:v>Tenant business-type estimates and reviewed company-scale context.</x:v>
      </x:c>
    </x:row>
    <x:row r="345" ht="64" customHeight="1">
      <x:c r="A345" s="10" t="n">
        <x:v>1</x:v>
      </x:c>
      <x:c r="B345" s="2" t="str">
        <x:v>CORP-0349</x:v>
      </x:c>
      <x:c r="C345" s="2" t="str">
        <x:v>Mumbai</x:v>
      </x:c>
      <x:c r="D345" s="2" t="str">
        <x:v>MSX9D186</x:v>
      </x:c>
      <x:c r="E345" s="12" t="str">
        <x:v>WeWork - BKC</x:v>
      </x:c>
      <x:c r="F345" s="12" t="str">
        <x:v>Bandra East</x:v>
      </x:c>
      <x:c r="G345" s="11" t="n">
        <x:v>17</x:v>
      </x:c>
      <x:c r="H345" s="2" t="str">
        <x:v>43 inch LED TV</x:v>
      </x:c>
      <x:c r="I345" s="12" t="str">
        <x:v>BerryPlus Technologies Private Limited; Leaders' Quest; Quantinio Technologies Private Limited; Pinstorm Technologies Limited; Eduwork International Services Pvt. Ltd; Eiosys Private Limited</x:v>
      </x:c>
      <x:c r="J345" s="2" t="n">
        <x:v>6</x:v>
      </x:c>
      <x:c r="K345" s="12" t="str">
        <x:v>Inventory-listed building/workspace context; current occupancy and screen access unverified</x:v>
      </x:c>
      <x:c r="L345" s="12" t="str">
        <x:v>IT &amp; digital; Professional services; Education; Unresolved</x:v>
      </x:c>
      <x:c r="M345" s="12" t="str">
        <x:v>Small-scale prospects; Mixed business audience</x:v>
      </x:c>
      <x:c r="N345" s="12" t="str">
        <x:v>MAIN-353</x:v>
      </x:c>
      <x:c r="O345" s="13" t="n">
        <x:v>19.058210372924805</x:v>
      </x:c>
      <x:c r="P345" s="13" t="n">
        <x:v>72.86511993408203</x:v>
      </x:c>
      <x:c r="Q345" s="2" t="str">
        <x:v>https://www.google.com/maps?q=19.058210372924805,72.86511993408203</x:v>
      </x:c>
      <x:c r="R345" s="2" t="str">
        <x:v>TEN-10D01265A325; TEN-2E1662BB6811; TEN-40C9B208C300; TEN-4A3F94504EB7; TEN-A8C0A50B8328; TEN-D73ADB1D6681</x:v>
      </x:c>
      <x:c r="S345" s="12" t="str">
        <x:v>Flexible workspace / mixed businesses</x:v>
      </x:c>
      <x:c r="T345" s="12" t="str">
        <x:v>Tenant business-type estimates and reviewed company-scale context.</x:v>
      </x:c>
    </x:row>
    <x:row r="346" ht="64" customHeight="1">
      <x:c r="A346" s="10" t="n">
        <x:v>1</x:v>
      </x:c>
      <x:c r="B346" s="2" t="str">
        <x:v>CORP-0350</x:v>
      </x:c>
      <x:c r="C346" s="2" t="str">
        <x:v>Mumbai</x:v>
      </x:c>
      <x:c r="D346" s="2" t="str">
        <x:v>MS7QRPD7</x:v>
      </x:c>
      <x:c r="E346" s="12" t="str">
        <x:v>Wework - Express Tower</x:v>
      </x:c>
      <x:c r="F346" s="12" t="str">
        <x:v>Nariman Point</x:v>
      </x:c>
      <x:c r="G346" s="11" t="n">
        <x:v>1</x:v>
      </x:c>
      <x:c r="H346" s="2" t="str">
        <x:v>43 inch LED TV</x:v>
      </x:c>
      <x:c r="I346" s="12" t="str">
        <x:v>Indian hotels company pvt ltd; Consulate General of spain</x:v>
      </x:c>
      <x:c r="J346" s="2" t="n">
        <x:v>2</x:v>
      </x:c>
      <x:c r="K346" s="12" t="str">
        <x:v>Inventory-listed building/workspace context; current occupancy and screen access unverified</x:v>
      </x:c>
      <x:c r="L346" s="12" t="str">
        <x:v>Trade, consumer &amp; logistics; Government &amp; nonprofit</x:v>
      </x:c>
      <x:c r="M346" s="12" t="str">
        <x:v>Large enterprise; Institutional</x:v>
      </x:c>
      <x:c r="N346" s="12" t="str">
        <x:v>MAIN-354</x:v>
      </x:c>
      <x:c r="O346" s="13" t="n">
        <x:v>18.928171</x:v>
      </x:c>
      <x:c r="P346" s="13" t="n">
        <x:v>72.820095</x:v>
      </x:c>
      <x:c r="Q346" s="2" t="str">
        <x:v>https://www.google.com/maps?q=18.928171,72.820095</x:v>
      </x:c>
      <x:c r="R346" s="2" t="str">
        <x:v>TEN-A95540D918DF; TEN-B70A5DB4FE8D</x:v>
      </x:c>
      <x:c r="S346" s="12" t="str">
        <x:v>Flexible workspace / mixed businesses</x:v>
      </x:c>
      <x:c r="T346" s="12" t="str">
        <x:v>Tenant business-type estimates and reviewed company-scale context.</x:v>
      </x:c>
    </x:row>
    <x:row r="347" ht="64" customHeight="1">
      <x:c r="A347" s="10" t="n">
        <x:v>1</x:v>
      </x:c>
      <x:c r="B347" s="2" t="str">
        <x:v>CORP-0351</x:v>
      </x:c>
      <x:c r="C347" s="2" t="str">
        <x:v>Mumbai</x:v>
      </x:c>
      <x:c r="D347" s="2" t="str">
        <x:v>MSWEZFH4</x:v>
      </x:c>
      <x:c r="E347" s="12" t="str">
        <x:v>WeWork - Nesco IT Park</x:v>
      </x:c>
      <x:c r="F347" s="12" t="str">
        <x:v>Goregaon East</x:v>
      </x:c>
      <x:c r="G347" s="11" t="n">
        <x:v>4</x:v>
      </x:c>
      <x:c r="H347" s="2" t="str">
        <x:v>43 inch LED TV</x:v>
      </x:c>
      <x:c r="I347" s="12" t="str">
        <x:v>KPMG; Dominos Pizza</x:v>
      </x:c>
      <x:c r="J347" s="2" t="n">
        <x:v>2</x:v>
      </x:c>
      <x:c r="K347" s="12" t="str">
        <x:v>Inventory-listed building/workspace context; current occupancy and screen access unverified</x:v>
      </x:c>
      <x:c r="L347" s="12" t="str">
        <x:v>Professional services; Trade, consumer &amp; logistics</x:v>
      </x:c>
      <x:c r="M347" s="12" t="str">
        <x:v>Large enterprise; Mixed business audience</x:v>
      </x:c>
      <x:c r="N347" s="12" t="str">
        <x:v>MAIN-355</x:v>
      </x:c>
      <x:c r="O347" s="13" t="n">
        <x:v>19.152610778808594</x:v>
      </x:c>
      <x:c r="P347" s="13" t="n">
        <x:v>72.855712890625</x:v>
      </x:c>
      <x:c r="Q347" s="2" t="str">
        <x:v>https://www.google.com/maps?q=19.152610778808594,72.855712890625</x:v>
      </x:c>
      <x:c r="R347" s="2" t="str">
        <x:v>TEN-344BFF8B2788; TEN-A07443C67004</x:v>
      </x:c>
      <x:c r="S347" s="12" t="str">
        <x:v>Flexible workspace / mixed businesses</x:v>
      </x:c>
      <x:c r="T347" s="12" t="str">
        <x:v>Tenant business-type estimates and reviewed company-scale context.</x:v>
      </x:c>
    </x:row>
    <x:row r="348" ht="64" customHeight="1">
      <x:c r="A348" s="10" t="n">
        <x:v>1</x:v>
      </x:c>
      <x:c r="B348" s="2" t="str">
        <x:v>CORP-0352</x:v>
      </x:c>
      <x:c r="C348" s="2" t="str">
        <x:v>Mumbai</x:v>
      </x:c>
      <x:c r="D348" s="2" t="str">
        <x:v>MSE78GGC</x:v>
      </x:c>
      <x:c r="E348" s="12" t="str">
        <x:v>WeWork - Oberoi Commerz</x:v>
      </x:c>
      <x:c r="F348" s="12" t="str">
        <x:v>Goregaon East</x:v>
      </x:c>
      <x:c r="G348" s="11" t="n">
        <x:v>8</x:v>
      </x:c>
      <x:c r="H348" s="2" t="str">
        <x:v>43 inch LED TV</x:v>
      </x:c>
      <x:c r="I348" s="12" t="str">
        <x:v>Bonito Designs Goregaon Mumbai; Morgan Stanley Financial Advisors; ITW Consulting Pvt Ltd; Navicent Solutions Private Limited; Bolanile Infratech Pvt Ltd; Prospera Productions</x:v>
      </x:c>
      <x:c r="J348" s="2" t="n">
        <x:v>6</x:v>
      </x:c>
      <x:c r="K348" s="12" t="str">
        <x:v>Inventory-listed building/workspace context; current occupancy and screen access unverified</x:v>
      </x:c>
      <x:c r="L348" s="12" t="str">
        <x:v>Professional services; Finance &amp; insurance; Trade, consumer &amp; logistics; Unresolved</x:v>
      </x:c>
      <x:c r="M348" s="12" t="str">
        <x:v>Small-scale prospects; Mixed business audience</x:v>
      </x:c>
      <x:c r="N348" s="12" t="str">
        <x:v>MAIN-356</x:v>
      </x:c>
      <x:c r="O348" s="13" t="n">
        <x:v>19.170326232910156</x:v>
      </x:c>
      <x:c r="P348" s="13" t="n">
        <x:v>72.86023712158203</x:v>
      </x:c>
      <x:c r="Q348" s="2" t="str">
        <x:v>https://www.google.com/maps?q=19.170326232910156,72.86023712158203</x:v>
      </x:c>
      <x:c r="R348" s="2" t="str">
        <x:v>TEN-263FF83A24E8; TEN-2D3A352738FE; TEN-999743C47BE0; TEN-9C74E7799258; TEN-B8183D6109C1; TEN-F6F0CA999510</x:v>
      </x:c>
      <x:c r="S348" s="12" t="str">
        <x:v>Flexible workspace / mixed businesses</x:v>
      </x:c>
      <x:c r="T348" s="12" t="str">
        <x:v>Tenant business-type estimates and reviewed company-scale context.</x:v>
      </x:c>
    </x:row>
    <x:row r="349" ht="64" customHeight="1">
      <x:c r="A349" s="10" t="n">
        <x:v>1</x:v>
      </x:c>
      <x:c r="B349" s="2" t="str">
        <x:v>CORP-0353</x:v>
      </x:c>
      <x:c r="C349" s="2" t="str">
        <x:v>Mumbai</x:v>
      </x:c>
      <x:c r="D349" s="2" t="str">
        <x:v>MSVMM3RA</x:v>
      </x:c>
      <x:c r="E349" s="12" t="str">
        <x:v>Wework - Raheja Platinum</x:v>
      </x:c>
      <x:c r="F349" s="12" t="str">
        <x:v>Andheri East</x:v>
      </x:c>
      <x:c r="G349" s="11" t="n">
        <x:v>19</x:v>
      </x:c>
      <x:c r="H349" s="2" t="str">
        <x:v>43 inch LED TV</x:v>
      </x:c>
      <x:c r="I349" s="12" t="str">
        <x:v>Rockworth Systems Furniture India Private Limited; Ethika Insurance Broking Pvt. Ltd; NetObjex; WEH Ventures; Dyneema</x:v>
      </x:c>
      <x:c r="J349" s="2" t="n">
        <x:v>5</x:v>
      </x:c>
      <x:c r="K349" s="12" t="str">
        <x:v>Company-listed tower/campus context; exact screen access unverified</x:v>
      </x:c>
      <x:c r="L349" s="12" t="str">
        <x:v>IT &amp; digital; Professional services; Finance &amp; insurance; Engineering &amp; manufacturing; Trade, consumer &amp; logistics</x:v>
      </x:c>
      <x:c r="M349" s="12" t="str">
        <x:v>Small-scale prospects; Medium-scale prospects; Mixed business audience</x:v>
      </x:c>
      <x:c r="N349" s="12" t="str">
        <x:v>MAIN-357</x:v>
      </x:c>
      <x:c r="O349" s="13" t="n">
        <x:v>19.108947</x:v>
      </x:c>
      <x:c r="P349" s="13" t="n">
        <x:v>72.885331</x:v>
      </x:c>
      <x:c r="Q349" s="2" t="str">
        <x:v>https://www.google.com/maps?q=19.108947,72.885331</x:v>
      </x:c>
      <x:c r="R349" s="2" t="str">
        <x:v>TEN-5E520C1DF23A; TEN-6B2B539857F5; TEN-7691050A7104; TEN-FE37A1FFE9AC; TEN-FFCF2D2DD7B5</x:v>
      </x:c>
      <x:c r="S349" s="12" t="str">
        <x:v>Flexible workspace / mixed businesses</x:v>
      </x:c>
      <x:c r="T349" s="12" t="str">
        <x:v>Tenant business-type estimates and reviewed company-scale context.</x:v>
      </x:c>
    </x:row>
    <x:row r="350" ht="64" customHeight="1">
      <x:c r="A350" s="10" t="n">
        <x:v>1</x:v>
      </x:c>
      <x:c r="B350" s="2" t="str">
        <x:v>CORP-0354</x:v>
      </x:c>
      <x:c r="C350" s="2" t="str">
        <x:v>Mumbai</x:v>
      </x:c>
      <x:c r="D350" s="2" t="str">
        <x:v>MSSBHNWK</x:v>
      </x:c>
      <x:c r="E350" s="12" t="str">
        <x:v>WeWork - Spectrum</x:v>
      </x:c>
      <x:c r="F350" s="12" t="str">
        <x:v>Malad West</x:v>
      </x:c>
      <x:c r="G350" s="11" t="n">
        <x:v>8</x:v>
      </x:c>
      <x:c r="H350" s="2" t="str">
        <x:v>43 inch LED TV</x:v>
      </x:c>
      <x:c r="I350" s="12" t="str">
        <x:v>Bharathi axa life insurance</x:v>
      </x:c>
      <x:c r="J350" s="2" t="n">
        <x:v>1</x:v>
      </x:c>
      <x:c r="K350" s="12" t="str">
        <x:v>Inventory-listed building/workspace context; current occupancy and screen access unverified</x:v>
      </x:c>
      <x:c r="L350" s="12" t="str">
        <x:v>Finance &amp; insurance</x:v>
      </x:c>
      <x:c r="M350" s="12" t="str">
        <x:v>Mixed business audience</x:v>
      </x:c>
      <x:c r="N350" s="12" t="str">
        <x:v>MAIN-358</x:v>
      </x:c>
      <x:c r="O350" s="13" t="n">
        <x:v>19.179710388183594</x:v>
      </x:c>
      <x:c r="P350" s="13" t="n">
        <x:v>72.83541107177734</x:v>
      </x:c>
      <x:c r="Q350" s="2" t="str">
        <x:v>https://www.google.com/maps?q=19.179710388183594,72.83541107177734</x:v>
      </x:c>
      <x:c r="R350" s="2" t="str">
        <x:v>TEN-CF5DE55991E4</x:v>
      </x:c>
      <x:c r="S350" s="12" t="str">
        <x:v>Flexible workspace / mixed businesses</x:v>
      </x:c>
      <x:c r="T350" s="12" t="str">
        <x:v>Tenant business-type estimates and reviewed company-scale context.</x:v>
      </x:c>
    </x:row>
    <x:row r="351" ht="64" customHeight="1">
      <x:c r="A351" s="10" t="n">
        <x:v>1</x:v>
      </x:c>
      <x:c r="B351" s="2" t="str">
        <x:v>CORP-0355</x:v>
      </x:c>
      <x:c r="C351" s="2" t="str">
        <x:v>Mumbai</x:v>
      </x:c>
      <x:c r="D351" s="2" t="str">
        <x:v>MSGCAVCF</x:v>
      </x:c>
      <x:c r="E351" s="12" t="str">
        <x:v>Wework - Vaswani Chambers</x:v>
      </x:c>
      <x:c r="F351" s="12" t="str">
        <x:v>Worli</x:v>
      </x:c>
      <x:c r="G351" s="11" t="n">
        <x:v>3</x:v>
      </x:c>
      <x:c r="H351" s="2" t="str">
        <x:v>43 inch LED TV</x:v>
      </x:c>
      <x:c r="I351" s="12" t="str">
        <x:v>Ideeya Technologies; Atlys India Pvt Ltd; Manarj Innovations pvt. Ltd; NDTV Mumbai; Indie Radiation Private Limited; Sonal Holland Wine Academy</x:v>
      </x:c>
      <x:c r="J351" s="2" t="n">
        <x:v>6</x:v>
      </x:c>
      <x:c r="K351" s="12" t="str">
        <x:v>Inventory-listed building/workspace context; current occupancy and screen access unverified</x:v>
      </x:c>
      <x:c r="L351" s="12" t="str">
        <x:v>Professional services; Education; Trade, consumer &amp; logistics; Unresolved</x:v>
      </x:c>
      <x:c r="M351" s="12" t="str">
        <x:v>Small-scale prospects; Mixed business audience</x:v>
      </x:c>
      <x:c r="N351" s="12" t="str">
        <x:v>MAIN-359</x:v>
      </x:c>
      <x:c r="O351" s="13" t="n">
        <x:v>19.012185</x:v>
      </x:c>
      <x:c r="P351" s="13" t="n">
        <x:v>72.821374</x:v>
      </x:c>
      <x:c r="Q351" s="2" t="str">
        <x:v>https://www.google.com/maps?q=19.012185,72.821374</x:v>
      </x:c>
      <x:c r="R351" s="2" t="str">
        <x:v>TEN-1F2DC6C58E3F; TEN-1F7F342C1544; TEN-23C3202EF35A; TEN-7D436D761FA5; TEN-93355E9D939C; TEN-F790189B8F49</x:v>
      </x:c>
      <x:c r="S351" s="12" t="str">
        <x:v>Flexible workspace / mixed businesses</x:v>
      </x:c>
      <x:c r="T351" s="12" t="str">
        <x:v>Tenant business-type estimates and reviewed company-scale context.</x:v>
      </x:c>
    </x:row>
    <x:row r="352" ht="64" customHeight="1">
      <x:c r="A352" s="10" t="n">
        <x:v>1</x:v>
      </x:c>
      <x:c r="B352" s="2" t="str">
        <x:v>CORP-0356</x:v>
      </x:c>
      <x:c r="C352" s="2" t="str">
        <x:v>Mumbai</x:v>
      </x:c>
      <x:c r="D352" s="2" t="str">
        <x:v>MS0GKW8Y</x:v>
      </x:c>
      <x:c r="E352" s="12" t="str">
        <x:v>Wework - Vijay Diamond</x:v>
      </x:c>
      <x:c r="F352" s="12" t="str">
        <x:v>Andheri East</x:v>
      </x:c>
      <x:c r="G352" s="11" t="n">
        <x:v>4</x:v>
      </x:c>
      <x:c r="H352" s="2" t="str">
        <x:v>43 inch LED TV</x:v>
      </x:c>
      <x:c r="I352" s="12" t="str">
        <x:v>FYND</x:v>
      </x:c>
      <x:c r="J352" s="2" t="n">
        <x:v>1</x:v>
      </x:c>
      <x:c r="K352" s="12" t="str">
        <x:v>Inventory-listed building/workspace context; current occupancy and screen access unverified</x:v>
      </x:c>
      <x:c r="L352" s="12" t="str">
        <x:v>Trade, consumer &amp; logistics</x:v>
      </x:c>
      <x:c r="M352" s="12" t="str">
        <x:v>Small-scale prospects</x:v>
      </x:c>
      <x:c r="N352" s="12" t="str">
        <x:v>MAIN-360</x:v>
      </x:c>
      <x:c r="O352" s="13" t="n">
        <x:v>19.11741</x:v>
      </x:c>
      <x:c r="P352" s="13" t="n">
        <x:v>72.86921</x:v>
      </x:c>
      <x:c r="Q352" s="2" t="str">
        <x:v>https://www.google.com/maps?q=19.11741,72.86921</x:v>
      </x:c>
      <x:c r="R352" s="2" t="str">
        <x:v>TEN-2A2AD6E644C7</x:v>
      </x:c>
      <x:c r="S352" s="12" t="str">
        <x:v>Flexible workspace / mixed businesses</x:v>
      </x:c>
      <x:c r="T352" s="12" t="str">
        <x:v>Tenant business-type estimates and reviewed company-scale context.</x:v>
      </x:c>
    </x:row>
    <x:row r="353" ht="64" customHeight="1">
      <x:c r="A353" s="10" t="n">
        <x:v>1</x:v>
      </x:c>
      <x:c r="B353" s="2" t="str">
        <x:v>CORP-0357</x:v>
      </x:c>
      <x:c r="C353" s="2" t="str">
        <x:v>Mumbai</x:v>
      </x:c>
      <x:c r="D353" s="2" t="str">
        <x:v>MS4YF841</x:v>
      </x:c>
      <x:c r="E353" s="12" t="str">
        <x:v>WeWork - Vikhroil 247</x:v>
      </x:c>
      <x:c r="F353" s="12" t="str">
        <x:v>Vikhroli West</x:v>
      </x:c>
      <x:c r="G353" s="11" t="n">
        <x:v>4</x:v>
      </x:c>
      <x:c r="H353" s="2" t="str">
        <x:v>43 inch LED TV</x:v>
      </x:c>
      <x:c r="I353" s="12" t="str">
        <x:v>Simplicity Investing India Private Limited; AISeon Healthcare Technologies Pvt. Ltd; Felix Advisory Private Limited; Nexus Select Malls Corporate Office</x:v>
      </x:c>
      <x:c r="J353" s="2" t="n">
        <x:v>4</x:v>
      </x:c>
      <x:c r="K353" s="12" t="str">
        <x:v>Inventory-listed building/workspace context; current occupancy and screen access unverified</x:v>
      </x:c>
      <x:c r="L353" s="12" t="str">
        <x:v>Professional services; Finance &amp; insurance; Healthcare &amp; life sciences; Trade, consumer &amp; logistics</x:v>
      </x:c>
      <x:c r="M353" s="12" t="str">
        <x:v>Small-scale prospects; Medium-scale prospects; Mixed business audience</x:v>
      </x:c>
      <x:c r="N353" s="12" t="str">
        <x:v>MAIN-361</x:v>
      </x:c>
      <x:c r="O353" s="13" t="n">
        <x:v>19.120332717895508</x:v>
      </x:c>
      <x:c r="P353" s="13" t="n">
        <x:v>72.92671966552734</x:v>
      </x:c>
      <x:c r="Q353" s="2" t="str">
        <x:v>https://www.google.com/maps?q=19.120332717895508,72.92671966552734</x:v>
      </x:c>
      <x:c r="R353" s="2" t="str">
        <x:v>TEN-3B5F1F4D82D5; TEN-57178E4DABB3; TEN-841072F668E0; TEN-D81104AA66DA</x:v>
      </x:c>
      <x:c r="S353" s="12" t="str">
        <x:v>Flexible workspace / mixed businesses</x:v>
      </x:c>
      <x:c r="T353" s="12" t="str">
        <x:v>Tenant business-type estimates and reviewed company-scale context.</x:v>
      </x:c>
    </x:row>
    <x:row r="354" ht="64" customHeight="1">
      <x:c r="A354" s="10" t="n">
        <x:v>1</x:v>
      </x:c>
      <x:c r="B354" s="2" t="str">
        <x:v>CORP-0358</x:v>
      </x:c>
      <x:c r="C354" s="2" t="str">
        <x:v>Mumbai</x:v>
      </x:c>
      <x:c r="D354" s="2" t="str">
        <x:v>MSDXPAMN</x:v>
      </x:c>
      <x:c r="E354" s="12" t="str">
        <x:v>WeWork - Zenia</x:v>
      </x:c>
      <x:c r="F354" s="12" t="str">
        <x:v>Hiranandani Estate</x:v>
      </x:c>
      <x:c r="G354" s="11" t="n">
        <x:v>12</x:v>
      </x:c>
      <x:c r="H354" s="2" t="str">
        <x:v>43 inch LED TV</x:v>
      </x:c>
      <x:c r="I354" s="12" t="str">
        <x:v>Envu India; SunInfra Energies Private Limited; Nobis Technologies Pvt. Ltd; Zapkey; PDG Software India Pvt. Ltd; JGC Construction International Pte Ltd</x:v>
      </x:c>
      <x:c r="J354" s="2" t="n">
        <x:v>6</x:v>
      </x:c>
      <x:c r="K354" s="12" t="str">
        <x:v>Inventory-listed building/workspace context; current occupancy and screen access unverified</x:v>
      </x:c>
      <x:c r="L354" s="12" t="str">
        <x:v>IT &amp; digital; Engineering &amp; manufacturing; Trade, consumer &amp; logistics; Unresolved</x:v>
      </x:c>
      <x:c r="M354" s="12" t="str">
        <x:v>Small-scale prospects; Medium-scale prospects; Mixed business audience</x:v>
      </x:c>
      <x:c r="N354" s="12" t="str">
        <x:v>MAIN-362</x:v>
      </x:c>
      <x:c r="O354" s="13" t="n">
        <x:v>19.25481605529785</x:v>
      </x:c>
      <x:c r="P354" s="13" t="n">
        <x:v>72.98158264160156</x:v>
      </x:c>
      <x:c r="Q354" s="2" t="str">
        <x:v>https://www.google.com/maps?q=19.25481605529785,72.98158264160156</x:v>
      </x:c>
      <x:c r="R354" s="2" t="str">
        <x:v>TEN-4A49FD0B38E1; TEN-6C4F14749F20; TEN-6C506FB53136; TEN-7BA3AA933005; TEN-A88384F59E7A; TEN-B4806FD1AEE1</x:v>
      </x:c>
      <x:c r="S354" s="12" t="str">
        <x:v>Flexible workspace / mixed businesses</x:v>
      </x:c>
      <x:c r="T354" s="12" t="str">
        <x:v>Tenant business-type estimates and reviewed company-scale context.</x:v>
      </x:c>
    </x:row>
    <x:row r="355" ht="64" customHeight="1">
      <x:c r="A355" s="10" t="n">
        <x:v>1</x:v>
      </x:c>
      <x:c r="B355" s="2" t="str">
        <x:v>CORP-0359</x:v>
      </x:c>
      <x:c r="C355" s="2" t="str">
        <x:v>Delhi NCR</x:v>
      </x:c>
      <x:c r="D355" s="2" t="str">
        <x:v>MSVSP7ZC</x:v>
      </x:c>
      <x:c r="E355" s="12" t="str">
        <x:v>ATS Bouquet</x:v>
      </x:c>
      <x:c r="F355" s="12" t="str">
        <x:v>Sector 136</x:v>
      </x:c>
      <x:c r="G355" s="11" t="n">
        <x:v>6</x:v>
      </x:c>
      <x:c r="H355" s="2" t="str">
        <x:v>55 inch LED TV</x:v>
      </x:c>
      <x:c r="I355" s="12" t="str"/>
      <x:c r="J355" s="2" t="n">
        <x:v>0</x:v>
      </x:c>
      <x:c r="K355" s="12" t="str">
        <x:v>Unresolved; no supported tenant names</x:v>
      </x:c>
      <x:c r="L355" s="12" t="str">
        <x:v>Unclassified</x:v>
      </x:c>
      <x:c r="M355" s="12" t="str">
        <x:v>Mixed business audience</x:v>
      </x:c>
      <x:c r="N355" s="12" t="str">
        <x:v>MAIN-363</x:v>
      </x:c>
      <x:c r="O355" s="13" t="n">
        <x:v>28.510347366333008</x:v>
      </x:c>
      <x:c r="P355" s="13" t="n">
        <x:v>77.38070678710938</x:v>
      </x:c>
      <x:c r="Q355" s="2" t="str">
        <x:v>https://www.google.com/maps?q=28.510347366333008,77.38070678710938</x:v>
      </x:c>
      <x:c r="R355" s="2" t="str"/>
      <x:c r="S355" s="12" t="str">
        <x:v>IT / IT-enabled-services offices</x:v>
      </x:c>
      <x:c r="T355" s="12" t="str">
        <x:v>ATS explicitly describes Bouquet as a commercial offering for IT/ITeS in Sector 132 Noida. Inventory Sector 136 conflicts with official Sector 132. Corporate screen count retained unchanged.</x:v>
      </x:c>
    </x:row>
    <x:row r="356" ht="64" customHeight="1">
      <x:c r="A356" s="10" t="n">
        <x:v>1</x:v>
      </x:c>
      <x:c r="B356" s="2" t="str">
        <x:v>CORP-0360</x:v>
      </x:c>
      <x:c r="C356" s="2" t="str">
        <x:v>Delhi NCR</x:v>
      </x:c>
      <x:c r="D356" s="2" t="str">
        <x:v>MSA17YGS</x:v>
      </x:c>
      <x:c r="E356" s="12" t="str">
        <x:v>Awfis - Bhutani Technopark</x:v>
      </x:c>
      <x:c r="F356" s="12" t="str">
        <x:v>Sector 127</x:v>
      </x:c>
      <x:c r="G356" s="11" t="n">
        <x:v>1</x:v>
      </x:c>
      <x:c r="H356" s="2" t="str">
        <x:v>32 inch LED TV</x:v>
      </x:c>
      <x:c r="I356" s="12" t="str">
        <x:v>Awfis (workspace operator inferred from property name; tenant occupants unconfirmed)</x:v>
      </x:c>
      <x:c r="J356" s="2" t="n">
        <x:v>1</x:v>
      </x:c>
      <x:c r="K356" s="12" t="str">
        <x:v>Workspace operator inferred from explicit property name; tenant occupants unconfirmed</x:v>
      </x:c>
      <x:c r="L356" s="12" t="str">
        <x:v>Workspace &amp; property operations</x:v>
      </x:c>
      <x:c r="M356" s="12" t="str">
        <x:v>Mixed business audience</x:v>
      </x:c>
      <x:c r="N356" s="12" t="str">
        <x:v>MAIN-364</x:v>
      </x:c>
      <x:c r="O356" s="13" t="n">
        <x:v>28.576995849609375</x:v>
      </x:c>
      <x:c r="P356" s="13" t="n">
        <x:v>77.2767333984375</x:v>
      </x:c>
      <x:c r="Q356" s="2" t="str">
        <x:v>https://www.google.com/maps?q=28.576995849609375,77.2767333984375</x:v>
      </x:c>
      <x:c r="R356" s="2" t="str">
        <x:v>TEN-298147A4B3E2</x:v>
      </x:c>
      <x:c r="S356" s="12" t="str">
        <x:v>Flexible workspace / mixed businesses</x:v>
      </x:c>
      <x:c r="T356" s="12" t="str">
        <x:v>Tenant business-type estimates and reviewed company-scale context.</x:v>
      </x:c>
    </x:row>
    <x:row r="357" ht="64" customHeight="1">
      <x:c r="A357" s="10" t="n">
        <x:v>1</x:v>
      </x:c>
      <x:c r="B357" s="2" t="str">
        <x:v>CORP-0361</x:v>
      </x:c>
      <x:c r="C357" s="2" t="str">
        <x:v>Delhi NCR</x:v>
      </x:c>
      <x:c r="D357" s="2" t="str">
        <x:v>MSGBNRPJ</x:v>
      </x:c>
      <x:c r="E357" s="12" t="str">
        <x:v>Awfis - Connaught Place</x:v>
      </x:c>
      <x:c r="F357" s="12" t="str">
        <x:v>Connaught Place</x:v>
      </x:c>
      <x:c r="G357" s="11" t="n">
        <x:v>1</x:v>
      </x:c>
      <x:c r="H357" s="2" t="str">
        <x:v>32 inch LED TV</x:v>
      </x:c>
      <x:c r="I357" s="12" t="str">
        <x:v>Awfis (workspace operator inferred from property name; tenant occupants unconfirmed)</x:v>
      </x:c>
      <x:c r="J357" s="2" t="n">
        <x:v>1</x:v>
      </x:c>
      <x:c r="K357" s="12" t="str">
        <x:v>Workspace operator inferred from explicit property name; tenant occupants unconfirmed</x:v>
      </x:c>
      <x:c r="L357" s="12" t="str">
        <x:v>Workspace &amp; property operations</x:v>
      </x:c>
      <x:c r="M357" s="12" t="str">
        <x:v>Mixed business audience</x:v>
      </x:c>
      <x:c r="N357" s="12" t="str">
        <x:v>MAIN-365</x:v>
      </x:c>
      <x:c r="O357" s="13" t="n">
        <x:v>28.634357</x:v>
      </x:c>
      <x:c r="P357" s="13" t="n">
        <x:v>77.222136</x:v>
      </x:c>
      <x:c r="Q357" s="2" t="str">
        <x:v>https://www.google.com/maps?q=28.634357,77.222136</x:v>
      </x:c>
      <x:c r="R357" s="2" t="str">
        <x:v>TEN-298147A4B3E2</x:v>
      </x:c>
      <x:c r="S357" s="12" t="str">
        <x:v>Flexible workspace / mixed businesses</x:v>
      </x:c>
      <x:c r="T357" s="12" t="str">
        <x:v>Tenant business-type estimates and reviewed company-scale context.</x:v>
      </x:c>
    </x:row>
    <x:row r="358" ht="64" customHeight="1">
      <x:c r="A358" s="10" t="n">
        <x:v>1</x:v>
      </x:c>
      <x:c r="B358" s="2" t="str">
        <x:v>CORP-0362</x:v>
      </x:c>
      <x:c r="C358" s="2" t="str">
        <x:v>Delhi NCR</x:v>
      </x:c>
      <x:c r="D358" s="2" t="str">
        <x:v>MSXASYCH</x:v>
      </x:c>
      <x:c r="E358" s="12" t="str">
        <x:v>Awfis - Knowledge Boulevard</x:v>
      </x:c>
      <x:c r="F358" s="12" t="str">
        <x:v>Commercial and IT Hub Localities</x:v>
      </x:c>
      <x:c r="G358" s="11" t="n">
        <x:v>3</x:v>
      </x:c>
      <x:c r="H358" s="2" t="str">
        <x:v>32 inch LED TV</x:v>
      </x:c>
      <x:c r="I358" s="12" t="str">
        <x:v>Altran Technologies India Pvt. Ltd; Tectura India; Ericsson India Global Services; Affiliated Computer Services of India Pvt Ltd; Drishtee; Quiver Infoservices Ltd; Bureau Veritas GSSC</x:v>
      </x:c>
      <x:c r="J358" s="2" t="n">
        <x:v>7</x:v>
      </x:c>
      <x:c r="K358" s="12" t="str">
        <x:v>Inventory-listed building/workspace context; current occupancy and screen access unverified</x:v>
      </x:c>
      <x:c r="L358" s="12" t="str">
        <x:v>IT &amp; digital; Professional services; Unresolved</x:v>
      </x:c>
      <x:c r="M358" s="12" t="str">
        <x:v>Large enterprise; Mixed business audience</x:v>
      </x:c>
      <x:c r="N358" s="12" t="str">
        <x:v>MAIN-366</x:v>
      </x:c>
      <x:c r="O358" s="13" t="n">
        <x:v>28.630014419555664</x:v>
      </x:c>
      <x:c r="P358" s="13" t="n">
        <x:v>77.36787414550781</x:v>
      </x:c>
      <x:c r="Q358" s="2" t="str">
        <x:v>https://www.google.com/maps?q=28.630014419555664,77.36787414550781</x:v>
      </x:c>
      <x:c r="R358" s="2" t="str">
        <x:v>TEN-38E35F68D170; TEN-39DB6EEDD0D0; TEN-9625EE75B676; TEN-C7F623980871; TEN-D1E9A66243A1; TEN-D2930875EE54; TEN-FA64C255E7B6; TEN-FF0B654DAE85</x:v>
      </x:c>
      <x:c r="S358" s="12" t="str">
        <x:v>Flexible workspace / mixed businesses</x:v>
      </x:c>
      <x:c r="T358" s="12" t="str">
        <x:v>Tenant business-type estimates and reviewed company-scale context.</x:v>
      </x:c>
    </x:row>
    <x:row r="359" ht="64" customHeight="1">
      <x:c r="A359" s="10" t="n">
        <x:v>1</x:v>
      </x:c>
      <x:c r="B359" s="2" t="str">
        <x:v>CORP-0363</x:v>
      </x:c>
      <x:c r="C359" s="2" t="str">
        <x:v>Delhi NCR</x:v>
      </x:c>
      <x:c r="D359" s="2" t="str">
        <x:v>MSS98KVH</x:v>
      </x:c>
      <x:c r="E359" s="12" t="str">
        <x:v>Awfis - Majestic Signia</x:v>
      </x:c>
      <x:c r="F359" s="12" t="str">
        <x:v>Sector 62</x:v>
      </x:c>
      <x:c r="G359" s="11" t="n">
        <x:v>2</x:v>
      </x:c>
      <x:c r="H359" s="2" t="str">
        <x:v>32 inch LED TV</x:v>
      </x:c>
      <x:c r="I359" s="12" t="str">
        <x:v>Neeuweg Technologies; Insights Opinion; UXDLAB Software; MEESHA INTERNATIONAL</x:v>
      </x:c>
      <x:c r="J359" s="2" t="n">
        <x:v>4</x:v>
      </x:c>
      <x:c r="K359" s="12" t="str">
        <x:v>Inventory-listed building/workspace context; current occupancy and screen access unverified</x:v>
      </x:c>
      <x:c r="L359" s="12" t="str">
        <x:v>IT &amp; digital; Professional services; Unresolved</x:v>
      </x:c>
      <x:c r="M359" s="12" t="str">
        <x:v>Small-scale prospects; Mixed business audience</x:v>
      </x:c>
      <x:c r="N359" s="12" t="str">
        <x:v>MAIN-367</x:v>
      </x:c>
      <x:c r="O359" s="13" t="n">
        <x:v>28.628358</x:v>
      </x:c>
      <x:c r="P359" s="13" t="n">
        <x:v>77.358741</x:v>
      </x:c>
      <x:c r="Q359" s="2" t="str">
        <x:v>https://www.google.com/maps?q=28.628358,77.358741</x:v>
      </x:c>
      <x:c r="R359" s="2" t="str">
        <x:v>TEN-3AB43178E7C3; TEN-671EB40229E4; TEN-B19C4E0394F9; TEN-BEFD8D06B80C</x:v>
      </x:c>
      <x:c r="S359" s="12" t="str">
        <x:v>Flexible workspace / mixed businesses</x:v>
      </x:c>
      <x:c r="T359" s="12" t="str">
        <x:v>Tenant business-type estimates and reviewed company-scale context.</x:v>
      </x:c>
    </x:row>
    <x:row r="360" ht="64" customHeight="1">
      <x:c r="A360" s="10" t="n">
        <x:v>1</x:v>
      </x:c>
      <x:c r="B360" s="2" t="str">
        <x:v>CORP-0364</x:v>
      </x:c>
      <x:c r="C360" s="2" t="str">
        <x:v>Delhi NCR</x:v>
      </x:c>
      <x:c r="D360" s="2" t="str">
        <x:v>MSZTKMXQ</x:v>
      </x:c>
      <x:c r="E360" s="12" t="str">
        <x:v>BPTP Capital City</x:v>
      </x:c>
      <x:c r="F360" s="12" t="str">
        <x:v>Sector 94</x:v>
      </x:c>
      <x:c r="G360" s="11" t="n">
        <x:v>4</x:v>
      </x:c>
      <x:c r="H360" s="2" t="str">
        <x:v>55 inch LED TV</x:v>
      </x:c>
      <x:c r="I360" s="12" t="str"/>
      <x:c r="J360" s="2" t="n">
        <x:v>0</x:v>
      </x:c>
      <x:c r="K360" s="12" t="str">
        <x:v>Unresolved; no supported tenant names</x:v>
      </x:c>
      <x:c r="L360" s="12" t="str">
        <x:v>Unclassified</x:v>
      </x:c>
      <x:c r="M360" s="12" t="str">
        <x:v>Mixed business audience</x:v>
      </x:c>
      <x:c r="N360" s="12" t="str">
        <x:v>MAIN-368</x:v>
      </x:c>
      <x:c r="O360" s="13" t="n">
        <x:v>28.552125930786133</x:v>
      </x:c>
      <x:c r="P360" s="13" t="n">
        <x:v>77.32496643066406</x:v>
      </x:c>
      <x:c r="Q360" s="2" t="str">
        <x:v>https://www.google.com/maps?q=28.552125930786133,77.32496643066406</x:v>
      </x:c>
      <x:c r="R360" s="2" t="str"/>
      <x:c r="S360" s="12" t="str">
        <x:v>Premium business offices</x:v>
      </x:c>
      <x:c r="T360" s="12" t="str">
        <x:v>BPTP identifies Capital City as a delivered commercial workplace in Sector 94 Noida. Exact current tenant-sector mix remains unknown.</x:v>
      </x:c>
    </x:row>
    <x:row r="361" ht="64" customHeight="1">
      <x:c r="A361" s="10" t="n">
        <x:v>1</x:v>
      </x:c>
      <x:c r="B361" s="2" t="str">
        <x:v>CORP-0365</x:v>
      </x:c>
      <x:c r="C361" s="2" t="str">
        <x:v>Delhi NCR</x:v>
      </x:c>
      <x:c r="D361" s="2" t="str">
        <x:v>MSWMRGC2</x:v>
      </x:c>
      <x:c r="E361" s="12" t="str">
        <x:v>Corporate Park-Maple</x:v>
      </x:c>
      <x:c r="F361" s="12" t="str">
        <x:v>Sector 122</x:v>
      </x:c>
      <x:c r="G361" s="11" t="n">
        <x:v>2</x:v>
      </x:c>
      <x:c r="H361" s="2" t="str">
        <x:v>43 inch LED TV</x:v>
      </x:c>
      <x:c r="I361" s="12" t="str"/>
      <x:c r="J361" s="2" t="n">
        <x:v>0</x:v>
      </x:c>
      <x:c r="K361" s="12" t="str">
        <x:v>Unresolved; no supported tenant names</x:v>
      </x:c>
      <x:c r="L361" s="12" t="str">
        <x:v>Unclassified</x:v>
      </x:c>
      <x:c r="M361" s="12" t="str">
        <x:v>Mixed business audience</x:v>
      </x:c>
      <x:c r="N361" s="12" t="str">
        <x:v>MAIN-369</x:v>
      </x:c>
      <x:c r="O361" s="13"/>
      <x:c r="P361" s="13"/>
      <x:c r="Q361" s="2" t="str"/>
      <x:c r="R361" s="2" t="str"/>
      <x:c r="S361" s="12" t="str">
        <x:v>Managed corporate offices</x:v>
      </x:c>
      <x:c r="T361" s="12" t="str">
        <x:v>Smartworks prospectus identifies Maple Corporate Park Noida as a 270,000 sq ft property taken on lease for its managed campus model. Source Sector 122 is not corroborated by this evidence. Earlier Maple Corporate Park source context is Sector 125; do not silently geolocate.</x:v>
      </x:c>
    </x:row>
    <x:row r="362" ht="64" customHeight="1">
      <x:c r="A362" s="10" t="n">
        <x:v>1</x:v>
      </x:c>
      <x:c r="B362" s="2" t="str">
        <x:v>CORP-0366</x:v>
      </x:c>
      <x:c r="C362" s="2" t="str">
        <x:v>Delhi NCR</x:v>
      </x:c>
      <x:c r="D362" s="2" t="str">
        <x:v>MSTJHHF2</x:v>
      </x:c>
      <x:c r="E362" s="12" t="str">
        <x:v>DLF Tech Park</x:v>
      </x:c>
      <x:c r="F362" s="12" t="str">
        <x:v>Sector 137</x:v>
      </x:c>
      <x:c r="G362" s="11" t="n">
        <x:v>3</x:v>
      </x:c>
      <x:c r="H362" s="2" t="str">
        <x:v>55 inch LED TV</x:v>
      </x:c>
      <x:c r="I362" s="12" t="str"/>
      <x:c r="J362" s="2" t="n">
        <x:v>0</x:v>
      </x:c>
      <x:c r="K362" s="12" t="str">
        <x:v>Unresolved; no supported tenant names</x:v>
      </x:c>
      <x:c r="L362" s="12" t="str">
        <x:v>Unclassified</x:v>
      </x:c>
      <x:c r="M362" s="12" t="str">
        <x:v>Mixed business audience</x:v>
      </x:c>
      <x:c r="N362" s="12" t="str">
        <x:v>MAIN-370</x:v>
      </x:c>
      <x:c r="O362" s="13" t="n">
        <x:v>28.500516891479492</x:v>
      </x:c>
      <x:c r="P362" s="13" t="n">
        <x:v>77.42157745361328</x:v>
      </x:c>
      <x:c r="Q362" s="2" t="str">
        <x:v>https://www.google.com/maps?q=28.500516891479492,77.42157745361328</x:v>
      </x:c>
      <x:c r="R362" s="2" t="str"/>
      <x:c r="S362" s="12" t="str">
        <x:v>Enterprise technology / data-centre campus</x:v>
      </x:c>
      <x:c r="T362" s="12" t="str">
        <x:v>DLF describes Techpark Noida as a technology-focused campus with operational data centres and IT offices. Do not equate office workforce with data-centre capacity or assume every screen reaches both.</x:v>
      </x:c>
    </x:row>
    <x:row r="363" ht="64" customHeight="1">
      <x:c r="A363" s="10" t="n">
        <x:v>1</x:v>
      </x:c>
      <x:c r="B363" s="2" t="str">
        <x:v>CORP-0367</x:v>
      </x:c>
      <x:c r="C363" s="2" t="str">
        <x:v>Delhi NCR</x:v>
      </x:c>
      <x:c r="D363" s="2" t="str">
        <x:v>MSTGAQEV</x:v>
      </x:c>
      <x:c r="E363" s="12" t="str">
        <x:v>Etherea - Coworking Space</x:v>
      </x:c>
      <x:c r="F363" s="12" t="str">
        <x:v>Sector 90</x:v>
      </x:c>
      <x:c r="G363" s="11" t="n">
        <x:v>3</x:v>
      </x:c>
      <x:c r="H363" s="2" t="str">
        <x:v>32 inch LED TV</x:v>
      </x:c>
      <x:c r="I363" s="12" t="str">
        <x:v>Avanthika InnovationsPVT; Parkmate Hive; Badaghaar</x:v>
      </x:c>
      <x:c r="J363" s="2" t="n">
        <x:v>3</x:v>
      </x:c>
      <x:c r="K363" s="12" t="str">
        <x:v>Inventory-listed building/workspace context; current occupancy and screen access unverified</x:v>
      </x:c>
      <x:c r="L363" s="12" t="str">
        <x:v>Unresolved</x:v>
      </x:c>
      <x:c r="M363" s="12" t="str">
        <x:v>Mixed business audience</x:v>
      </x:c>
      <x:c r="N363" s="12" t="str">
        <x:v>MAIN-371</x:v>
      </x:c>
      <x:c r="O363" s="13" t="n">
        <x:v>28.513225</x:v>
      </x:c>
      <x:c r="P363" s="13" t="n">
        <x:v>77.408527</x:v>
      </x:c>
      <x:c r="Q363" s="2" t="str">
        <x:v>https://www.google.com/maps?q=28.513225,77.408527</x:v>
      </x:c>
      <x:c r="R363" s="2" t="str">
        <x:v>TEN-51377B2CA4B8; TEN-761A47C104F3; TEN-9E29CC6A4F3E</x:v>
      </x:c>
      <x:c r="S363" s="12" t="str">
        <x:v>Flexible workspace / mixed businesses</x:v>
      </x:c>
      <x:c r="T363" s="12" t="str">
        <x:v>Tenant business-type estimates and reviewed company-scale context.</x:v>
      </x:c>
    </x:row>
    <x:row r="364" ht="64" customHeight="1">
      <x:c r="A364" s="10" t="n">
        <x:v>1</x:v>
      </x:c>
      <x:c r="B364" s="2" t="str">
        <x:v>CORP-0368</x:v>
      </x:c>
      <x:c r="C364" s="2" t="str">
        <x:v>Delhi NCR</x:v>
      </x:c>
      <x:c r="D364" s="2" t="str">
        <x:v>MSJ4AD4F</x:v>
      </x:c>
      <x:c r="E364" s="12" t="str">
        <x:v>Express Trade Towers 2</x:v>
      </x:c>
      <x:c r="F364" s="12" t="str">
        <x:v>Sector 132</x:v>
      </x:c>
      <x:c r="G364" s="11" t="n">
        <x:v>48</x:v>
      </x:c>
      <x:c r="H364" s="2" t="str">
        <x:v>32 inch LED TV</x:v>
      </x:c>
      <x:c r="I364" s="12" t="str"/>
      <x:c r="J364" s="2" t="n">
        <x:v>0</x:v>
      </x:c>
      <x:c r="K364" s="12" t="str">
        <x:v>Unresolved; no supported tenant names</x:v>
      </x:c>
      <x:c r="L364" s="12" t="str">
        <x:v>Unclassified</x:v>
      </x:c>
      <x:c r="M364" s="12" t="str">
        <x:v>Mixed business audience</x:v>
      </x:c>
      <x:c r="N364" s="12" t="str">
        <x:v>MAIN-372</x:v>
      </x:c>
      <x:c r="O364" s="13" t="n">
        <x:v>28.51494</x:v>
      </x:c>
      <x:c r="P364" s="13" t="n">
        <x:v>77.37937</x:v>
      </x:c>
      <x:c r="Q364" s="2" t="str">
        <x:v>https://www.google.com/maps?q=28.51494,77.37937</x:v>
      </x:c>
      <x:c r="R364" s="2" t="str"/>
      <x:c r="S364" s="12" t="str">
        <x:v>Large mixed business-office complex</x:v>
      </x:c>
      <x:c r="T364" s="12" t="str">
        <x:v>ETT developer identifies Express Trade Towers 2 on the Noida Expressway at Sector 132, approximately one million sq ft with office-complex amenities. Large property does not establish large-company-only tenants. 48 screens are the supplied schedule, not verified audience reach.</x:v>
      </x:c>
    </x:row>
    <x:row r="365" ht="64" customHeight="1">
      <x:c r="A365" s="10" t="n">
        <x:v>1</x:v>
      </x:c>
      <x:c r="B365" s="2" t="str">
        <x:v>CORP-0369</x:v>
      </x:c>
      <x:c r="C365" s="2" t="str">
        <x:v>Delhi NCR</x:v>
      </x:c>
      <x:c r="D365" s="2" t="str">
        <x:v>MSQEMCD2</x:v>
      </x:c>
      <x:c r="E365" s="12" t="str">
        <x:v>India Accelerator Coworking - The Iconic Corenthum</x:v>
      </x:c>
      <x:c r="F365" s="12" t="str">
        <x:v>Sector 62</x:v>
      </x:c>
      <x:c r="G365" s="11" t="n">
        <x:v>6</x:v>
      </x:c>
      <x:c r="H365" s="2" t="str">
        <x:v>55 inch LED TV</x:v>
      </x:c>
      <x:c r="I365" s="12" t="str">
        <x:v>ZUBDHA PRIVATE LIMITED; Upflex anarock india pvt ltd; Brandzindia Services Private Limited; KRH MANUFACTURING AND MANAGEMENT PRIVATE LIMITED; Qdesq Realtech Private Limited; Legal Angle; Oye Turtle LLP ( Earlier it was Spotlight); The BIZ LADY; EURONICS INDUSTRIES PRIVATE LIMITED; SANEG ENGINEERING PRIVATE LIMITED</x:v>
      </x:c>
      <x:c r="J365" s="2" t="n">
        <x:v>10</x:v>
      </x:c>
      <x:c r="K365" s="12" t="str">
        <x:v>Inventory-listed building/workspace context; current occupancy and screen access unverified</x:v>
      </x:c>
      <x:c r="L365" s="12" t="str">
        <x:v>Professional services; Engineering &amp; manufacturing; Trade, consumer &amp; logistics; Unresolved</x:v>
      </x:c>
      <x:c r="M365" s="12" t="str">
        <x:v>Small-scale prospects; Medium-scale prospects; Mixed business audience</x:v>
      </x:c>
      <x:c r="N365" s="12" t="str">
        <x:v>MAIN-373</x:v>
      </x:c>
      <x:c r="O365" s="13" t="n">
        <x:v>28.627609</x:v>
      </x:c>
      <x:c r="P365" s="13" t="n">
        <x:v>77.373694</x:v>
      </x:c>
      <x:c r="Q365" s="2" t="str">
        <x:v>https://www.google.com/maps?q=28.627609,77.373694</x:v>
      </x:c>
      <x:c r="R365" s="2" t="str">
        <x:v>TEN-068C60202969; TEN-1CFBC06C3B3F; TEN-4AEC6EEBDC4E; TEN-4EE91ACB050F; TEN-587750C75D36; TEN-A67355571C1D; TEN-C07185675D77; TEN-E5ACEA4453C8; TEN-E916968E4822; TEN-F640633E9C84</x:v>
      </x:c>
      <x:c r="S365" s="12" t="str">
        <x:v>Flexible workspace / mixed businesses</x:v>
      </x:c>
      <x:c r="T365" s="12" t="str">
        <x:v>Tenant business-type estimates and reviewed company-scale context.</x:v>
      </x:c>
    </x:row>
    <x:row r="366" ht="64" customHeight="1">
      <x:c r="A366" s="10" t="n">
        <x:v>1</x:v>
      </x:c>
      <x:c r="B366" s="2" t="str">
        <x:v>CORP-0370</x:v>
      </x:c>
      <x:c r="C366" s="2" t="str">
        <x:v>Delhi NCR</x:v>
      </x:c>
      <x:c r="D366" s="2" t="str">
        <x:v>MSNZ2R2N</x:v>
      </x:c>
      <x:c r="E366" s="12" t="str">
        <x:v>Logix Infotech Park</x:v>
      </x:c>
      <x:c r="F366" s="12" t="str">
        <x:v>Sector 59</x:v>
      </x:c>
      <x:c r="G366" s="11" t="n">
        <x:v>2</x:v>
      </x:c>
      <x:c r="H366" s="2" t="str">
        <x:v>55 inch LED TV</x:v>
      </x:c>
      <x:c r="I366" s="12" t="str">
        <x:v>Hire Indians Infotech Pvt Ltd; Niva Bupa Health Insurance Company Limited; HashStudioz Technologies PVT. LTD; TrackOlap; Technopolis Global Pvt. ltd; Anritsu India Pvt. Ltd</x:v>
      </x:c>
      <x:c r="J366" s="2" t="n">
        <x:v>6</x:v>
      </x:c>
      <x:c r="K366" s="12" t="str">
        <x:v>Inventory-listed building/workspace context; current occupancy and screen access unverified</x:v>
      </x:c>
      <x:c r="L366" s="12" t="str">
        <x:v>IT &amp; digital; Finance &amp; insurance; Healthcare &amp; life sciences; Unresolved</x:v>
      </x:c>
      <x:c r="M366" s="12" t="str">
        <x:v>Small-scale prospects; Mixed business audience</x:v>
      </x:c>
      <x:c r="N366" s="12" t="str">
        <x:v>MAIN-374</x:v>
      </x:c>
      <x:c r="O366" s="13"/>
      <x:c r="P366" s="13"/>
      <x:c r="Q366" s="2" t="str"/>
      <x:c r="R366" s="2" t="str">
        <x:v>TEN-09D0F443DA94; TEN-2D6265593158; TEN-321230932C5B; TEN-6400FD4DD74A; TEN-B116E9D247D3; TEN-D4B4760000F5</x:v>
      </x:c>
      <x:c r="S366" s="12" t="str">
        <x:v>IT and enterprise campus</x:v>
      </x:c>
      <x:c r="T366" s="12" t="str">
        <x:v>Tenant business-type estimates and reviewed company-scale context.</x:v>
      </x:c>
    </x:row>
    <x:row r="367" ht="64" customHeight="1">
      <x:c r="A367" s="10" t="n">
        <x:v>1</x:v>
      </x:c>
      <x:c r="B367" s="2" t="str">
        <x:v>CORP-0371</x:v>
      </x:c>
      <x:c r="C367" s="2" t="str">
        <x:v>Delhi NCR</x:v>
      </x:c>
      <x:c r="D367" s="2" t="str">
        <x:v>MSNZ2R2N</x:v>
      </x:c>
      <x:c r="E367" s="12" t="str">
        <x:v>Logix Infotech Park</x:v>
      </x:c>
      <x:c r="F367" s="12" t="str">
        <x:v>Sector 59</x:v>
      </x:c>
      <x:c r="G367" s="11" t="n">
        <x:v>4</x:v>
      </x:c>
      <x:c r="H367" s="2" t="str">
        <x:v>32 inch LED TV</x:v>
      </x:c>
      <x:c r="I367" s="12" t="str">
        <x:v>Hire Indians Infotech Pvt Ltd; Niva Bupa Health Insurance Company Limited; HashStudioz Technologies PVT. LTD; TrackOlap; Technopolis Global Pvt. ltd; Anritsu India Pvt. Ltd</x:v>
      </x:c>
      <x:c r="J367" s="2" t="n">
        <x:v>6</x:v>
      </x:c>
      <x:c r="K367" s="12" t="str">
        <x:v>Inventory-listed building/workspace context; current occupancy and screen access unverified</x:v>
      </x:c>
      <x:c r="L367" s="12" t="str">
        <x:v>IT &amp; digital; Finance &amp; insurance; Healthcare &amp; life sciences; Unresolved</x:v>
      </x:c>
      <x:c r="M367" s="12" t="str">
        <x:v>Small-scale prospects; Mixed business audience</x:v>
      </x:c>
      <x:c r="N367" s="12" t="str">
        <x:v>MAIN-375</x:v>
      </x:c>
      <x:c r="O367" s="13"/>
      <x:c r="P367" s="13"/>
      <x:c r="Q367" s="2" t="str"/>
      <x:c r="R367" s="2" t="str">
        <x:v>TEN-09D0F443DA94; TEN-2D6265593158; TEN-321230932C5B; TEN-6400FD4DD74A; TEN-B116E9D247D3; TEN-D4B4760000F5</x:v>
      </x:c>
      <x:c r="S367" s="12" t="str">
        <x:v>IT and enterprise campus</x:v>
      </x:c>
      <x:c r="T367" s="12" t="str">
        <x:v>Tenant business-type estimates and reviewed company-scale context.</x:v>
      </x:c>
    </x:row>
    <x:row r="368" ht="64" customHeight="1">
      <x:c r="A368" s="10" t="n">
        <x:v>1</x:v>
      </x:c>
      <x:c r="B368" s="2" t="str">
        <x:v>CORP-0372</x:v>
      </x:c>
      <x:c r="C368" s="2" t="str">
        <x:v>Delhi NCR</x:v>
      </x:c>
      <x:c r="D368" s="2" t="str">
        <x:v>MS6SVF41</x:v>
      </x:c>
      <x:c r="E368" s="12" t="str">
        <x:v>Qbicals Coworking - Sector 63</x:v>
      </x:c>
      <x:c r="F368" s="12" t="str">
        <x:v>Sector 63</x:v>
      </x:c>
      <x:c r="G368" s="11" t="n">
        <x:v>2</x:v>
      </x:c>
      <x:c r="H368" s="2" t="str">
        <x:v>32 inch LED TV</x:v>
      </x:c>
      <x:c r="I368" s="12" t="str">
        <x:v>Info Edge (India) Ltd. — Jeevansathi</x:v>
      </x:c>
      <x:c r="J368" s="2" t="n">
        <x:v>1</x:v>
      </x:c>
      <x:c r="K368" s="12" t="str">
        <x:v>Company-listed building/campus context; workspace membership and screen access unverified</x:v>
      </x:c>
      <x:c r="L368" s="12" t="str">
        <x:v>Trade, consumer &amp; logistics</x:v>
      </x:c>
      <x:c r="M368" s="12" t="str">
        <x:v>Mixed business audience</x:v>
      </x:c>
      <x:c r="N368" s="12" t="str">
        <x:v>MAIN-376</x:v>
      </x:c>
      <x:c r="O368" s="13" t="n">
        <x:v>28.626246</x:v>
      </x:c>
      <x:c r="P368" s="13" t="n">
        <x:v>77.377604</x:v>
      </x:c>
      <x:c r="Q368" s="2" t="str">
        <x:v>https://www.google.com/maps?q=28.626246,77.377604</x:v>
      </x:c>
      <x:c r="R368" s="2" t="str">
        <x:v>TEN-845294EF5247</x:v>
      </x:c>
      <x:c r="S368" s="12" t="str">
        <x:v>Flexible workspace / mixed businesses</x:v>
      </x:c>
      <x:c r="T368" s="12" t="str">
        <x:v>Tenant business-type estimates and reviewed company-scale context.</x:v>
      </x:c>
    </x:row>
    <x:row r="369" ht="64" customHeight="1">
      <x:c r="A369" s="10" t="n">
        <x:v>1</x:v>
      </x:c>
      <x:c r="B369" s="2" t="str">
        <x:v>CORP-0373</x:v>
      </x:c>
      <x:c r="C369" s="2" t="str">
        <x:v>Delhi NCR</x:v>
      </x:c>
      <x:c r="D369" s="2" t="str">
        <x:v>MSYEFS2X</x:v>
      </x:c>
      <x:c r="E369" s="12" t="str">
        <x:v>WeWork - Berger One</x:v>
      </x:c>
      <x:c r="F369" s="12" t="str">
        <x:v>Sector 16B</x:v>
      </x:c>
      <x:c r="G369" s="11" t="n">
        <x:v>6</x:v>
      </x:c>
      <x:c r="H369" s="2" t="str">
        <x:v>43 inch LED TV</x:v>
      </x:c>
      <x:c r="I369" s="12" t="str">
        <x:v>WeWork (workspace operator inferred from property name; tenant occupants unconfirmed)</x:v>
      </x:c>
      <x:c r="J369" s="2" t="n">
        <x:v>1</x:v>
      </x:c>
      <x:c r="K369" s="12" t="str">
        <x:v>Workspace operator inferred from explicit property name; tenant occupants unconfirmed</x:v>
      </x:c>
      <x:c r="L369" s="12" t="str">
        <x:v>Workspace &amp; property operations</x:v>
      </x:c>
      <x:c r="M369" s="12" t="str">
        <x:v>Mixed business audience</x:v>
      </x:c>
      <x:c r="N369" s="12" t="str">
        <x:v>MAIN-377</x:v>
      </x:c>
      <x:c r="O369" s="13" t="n">
        <x:v>28.57412338256836</x:v>
      </x:c>
      <x:c r="P369" s="13" t="n">
        <x:v>77.30876922607422</x:v>
      </x:c>
      <x:c r="Q369" s="2" t="str">
        <x:v>https://www.google.com/maps?q=28.57412338256836,77.30876922607422</x:v>
      </x:c>
      <x:c r="R369" s="2" t="str">
        <x:v>TEN-5B81D52D4310</x:v>
      </x:c>
      <x:c r="S369" s="12" t="str">
        <x:v>Flexible workspace / mixed businesses</x:v>
      </x:c>
      <x:c r="T369" s="12" t="str">
        <x:v>Tenant business-type estimates and reviewed company-scale context.</x:v>
      </x:c>
    </x:row>
    <x:row r="370" ht="64" customHeight="1">
      <x:c r="A370" s="10" t="n">
        <x:v>1</x:v>
      </x:c>
      <x:c r="B370" s="2" t="str">
        <x:v>CORP-0374</x:v>
      </x:c>
      <x:c r="C370" s="2" t="str">
        <x:v>Delhi NCR</x:v>
      </x:c>
      <x:c r="D370" s="2" t="str">
        <x:v>MSSCMGZ7</x:v>
      </x:c>
      <x:c r="E370" s="12" t="str">
        <x:v>World Trade Tower</x:v>
      </x:c>
      <x:c r="F370" s="12" t="str">
        <x:v>Sector 16</x:v>
      </x:c>
      <x:c r="G370" s="11" t="n">
        <x:v>13</x:v>
      </x:c>
      <x:c r="H370" s="2" t="str">
        <x:v>43 inch LED TV</x:v>
      </x:c>
      <x:c r="I370" s="12" t="str">
        <x:v>Instadeal; Elconconnectors Cables Pvt Ltd; Ultratech Cement Limited; Cube Highways and Transport Assets Advisors Private Limited; House Of Diagnostics</x:v>
      </x:c>
      <x:c r="J370" s="2" t="n">
        <x:v>5</x:v>
      </x:c>
      <x:c r="K370" s="12" t="str">
        <x:v>Inventory-listed building/workspace context; current occupancy and screen access unverified</x:v>
      </x:c>
      <x:c r="L370" s="12" t="str">
        <x:v>Professional services; Engineering &amp; manufacturing; Healthcare &amp; life sciences; Trade, consumer &amp; logistics</x:v>
      </x:c>
      <x:c r="M370" s="12" t="str">
        <x:v>Small-scale prospects; Medium-scale prospects; Large enterprise; Mixed business audience</x:v>
      </x:c>
      <x:c r="N370" s="12" t="str">
        <x:v>MAIN-378</x:v>
      </x:c>
      <x:c r="O370" s="13" t="n">
        <x:v>28.576401</x:v>
      </x:c>
      <x:c r="P370" s="13" t="n">
        <x:v>77.316625</x:v>
      </x:c>
      <x:c r="Q370" s="2" t="str">
        <x:v>https://www.google.com/maps?q=28.576401,77.316625</x:v>
      </x:c>
      <x:c r="R370" s="2" t="str">
        <x:v>TEN-02E5BF6EE24C; TEN-0574A9A166FD; TEN-64872098ACA9; TEN-66CADC6FE62F; TEN-958DC8F886EA</x:v>
      </x:c>
      <x:c r="S370" s="12" t="str">
        <x:v>Multi-tenant business offices</x:v>
      </x:c>
      <x:c r="T370" s="12" t="str">
        <x:v>Tenant business-type estimates and reviewed company-scale context.</x:v>
      </x:c>
    </x:row>
    <x:row r="371" ht="64" customHeight="1">
      <x:c r="A371" s="10" t="n">
        <x:v>1</x:v>
      </x:c>
      <x:c r="B371" s="2" t="str">
        <x:v>CORP-0375</x:v>
      </x:c>
      <x:c r="C371" s="2" t="str">
        <x:v>Pune</x:v>
      </x:c>
      <x:c r="D371" s="2" t="str">
        <x:v>MS2XB4NY</x:v>
      </x:c>
      <x:c r="E371" s="12" t="str">
        <x:v>11 Cowork</x:v>
      </x:c>
      <x:c r="F371" s="12" t="str">
        <x:v>Wakad - Bhosari BRTS Rd</x:v>
      </x:c>
      <x:c r="G371" s="11" t="n">
        <x:v>1</x:v>
      </x:c>
      <x:c r="H371" s="2" t="str">
        <x:v>32 inch LED TV</x:v>
      </x:c>
      <x:c r="I371" s="12" t="str">
        <x:v>Candle light club; Richer health Nutrition; Phantom hospitality; Elite tankship; Shahaji fortune grp; Aniket enterprises; Haldirams</x:v>
      </x:c>
      <x:c r="J371" s="2" t="n">
        <x:v>7</x:v>
      </x:c>
      <x:c r="K371" s="12" t="str">
        <x:v>Inventory-listed building/workspace context; current occupancy and screen access unverified</x:v>
      </x:c>
      <x:c r="L371" s="12" t="str">
        <x:v>Healthcare &amp; life sciences; Trade, consumer &amp; logistics; Unresolved</x:v>
      </x:c>
      <x:c r="M371" s="12" t="str">
        <x:v>Small-scale prospects; Medium-scale prospects; Mixed business audience</x:v>
      </x:c>
      <x:c r="N371" s="12" t="str">
        <x:v>MAIN-379</x:v>
      </x:c>
      <x:c r="O371" s="13" t="n">
        <x:v>18.593695</x:v>
      </x:c>
      <x:c r="P371" s="13" t="n">
        <x:v>73.783707</x:v>
      </x:c>
      <x:c r="Q371" s="2" t="str">
        <x:v>https://www.google.com/maps?q=18.593695,73.783707</x:v>
      </x:c>
      <x:c r="R371" s="2" t="str">
        <x:v>TEN-0CCB511F7B14; TEN-53313CE6DF7D; TEN-8F6404B5FB2F; TEN-AA989F3D8E31; TEN-B046733A1A26; TEN-B8DA2A0FAF46; TEN-E03A5ACF6E58</x:v>
      </x:c>
      <x:c r="S371" s="12" t="str">
        <x:v>Flexible workspace / mixed businesses</x:v>
      </x:c>
      <x:c r="T371" s="12" t="str">
        <x:v>Tenant business-type estimates and reviewed company-scale context.</x:v>
      </x:c>
    </x:row>
    <x:row r="372" ht="64" customHeight="1">
      <x:c r="A372" s="10" t="n">
        <x:v>1</x:v>
      </x:c>
      <x:c r="B372" s="2" t="str">
        <x:v>CORP-0376</x:v>
      </x:c>
      <x:c r="C372" s="2" t="str">
        <x:v>Pune</x:v>
      </x:c>
      <x:c r="D372" s="2" t="str">
        <x:v>MS1FXKNP</x:v>
      </x:c>
      <x:c r="E372" s="12" t="str">
        <x:v>43Eq Technology Park</x:v>
      </x:c>
      <x:c r="F372" s="12" t="str">
        <x:v>Balewadi</x:v>
      </x:c>
      <x:c r="G372" s="11" t="n">
        <x:v>6</x:v>
      </x:c>
      <x:c r="H372" s="2" t="str">
        <x:v>43 inch LED TV</x:v>
      </x:c>
      <x:c r="I372" s="12" t="str">
        <x:v>CRIF Solution Private Limited</x:v>
      </x:c>
      <x:c r="J372" s="2" t="n">
        <x:v>1</x:v>
      </x:c>
      <x:c r="K372" s="12" t="str">
        <x:v>Inventory-listed building/workspace context; current occupancy and screen access unverified</x:v>
      </x:c>
      <x:c r="L372" s="12" t="str">
        <x:v>Finance &amp; insurance</x:v>
      </x:c>
      <x:c r="M372" s="12" t="str">
        <x:v>Mixed business audience</x:v>
      </x:c>
      <x:c r="N372" s="12" t="str">
        <x:v>MAIN-380</x:v>
      </x:c>
      <x:c r="O372" s="13" t="n">
        <x:v>18.57482147216797</x:v>
      </x:c>
      <x:c r="P372" s="13" t="n">
        <x:v>73.7726821899414</x:v>
      </x:c>
      <x:c r="Q372" s="2" t="str">
        <x:v>https://www.google.com/maps?q=18.57482147216797,73.7726821899414</x:v>
      </x:c>
      <x:c r="R372" s="2" t="str">
        <x:v>TEN-265E801D779A</x:v>
      </x:c>
      <x:c r="S372" s="12" t="str">
        <x:v>IT and enterprise campus</x:v>
      </x:c>
      <x:c r="T372" s="12" t="str">
        <x:v>Tenant business-type estimates and reviewed company-scale context.</x:v>
      </x:c>
    </x:row>
    <x:row r="373" ht="64" customHeight="1">
      <x:c r="A373" s="10" t="n">
        <x:v>1</x:v>
      </x:c>
      <x:c r="B373" s="2" t="str">
        <x:v>CORP-0377</x:v>
      </x:c>
      <x:c r="C373" s="2" t="str">
        <x:v>Pune</x:v>
      </x:c>
      <x:c r="D373" s="2" t="str">
        <x:v>MSC0995T</x:v>
      </x:c>
      <x:c r="E373" s="12" t="str">
        <x:v>Amar Pristine Tech Park</x:v>
      </x:c>
      <x:c r="F373" s="12" t="str">
        <x:v>Mundhwa</x:v>
      </x:c>
      <x:c r="G373" s="11" t="n">
        <x:v>4</x:v>
      </x:c>
      <x:c r="H373" s="2" t="str">
        <x:v>43 inch LED TV</x:v>
      </x:c>
      <x:c r="I373" s="12" t="str">
        <x:v>Signify Innovations India Ltd. (Cooper Lighting Solutions); Poonawalla Finance Pvt. Ltd; Ziff Davis Performance Marketing; Cyient Ltd; Beghou Consulting; METRO GLOBAL SOLUTION CENTER; FPT Automotive India; Crane Consulting and Outsourcing Pvt Ltd; Mindbody Software Pvt. Ltd</x:v>
      </x:c>
      <x:c r="J373" s="2" t="n">
        <x:v>9</x:v>
      </x:c>
      <x:c r="K373" s="12" t="str">
        <x:v>Inventory-listed building/workspace context; current occupancy and screen access unverified</x:v>
      </x:c>
      <x:c r="L373" s="12" t="str">
        <x:v>IT &amp; digital; Professional services; Finance &amp; insurance; Engineering &amp; manufacturing; Trade, consumer &amp; logistics</x:v>
      </x:c>
      <x:c r="M373" s="12" t="str">
        <x:v>Small-scale prospects; Large enterprise; Mixed business audience</x:v>
      </x:c>
      <x:c r="N373" s="12" t="str">
        <x:v>MAIN-381</x:v>
      </x:c>
      <x:c r="O373" s="13" t="n">
        <x:v>18.535625457763672</x:v>
      </x:c>
      <x:c r="P373" s="13" t="n">
        <x:v>73.91344451904297</x:v>
      </x:c>
      <x:c r="Q373" s="2" t="str">
        <x:v>https://www.google.com/maps?q=18.535625457763672,73.91344451904297</x:v>
      </x:c>
      <x:c r="R373" s="2" t="str">
        <x:v>TEN-0B5D48FD30C7; TEN-181DA5EB3FBF; TEN-1A76EBA762D9; TEN-2DC3FC5EA3A9; TEN-2F339524DD3D; TEN-4D3373CF6F0F; TEN-5E4D9D0A79B0; TEN-A1330F668902; TEN-D33E381C60D5</x:v>
      </x:c>
      <x:c r="S373" s="12" t="str">
        <x:v>IT and enterprise campus</x:v>
      </x:c>
      <x:c r="T373" s="12" t="str">
        <x:v>Tenant business-type estimates and reviewed company-scale context.</x:v>
      </x:c>
    </x:row>
    <x:row r="374" ht="64" customHeight="1">
      <x:c r="A374" s="10" t="n">
        <x:v>1</x:v>
      </x:c>
      <x:c r="B374" s="2" t="str">
        <x:v>CORP-0378</x:v>
      </x:c>
      <x:c r="C374" s="2" t="str">
        <x:v>Pune</x:v>
      </x:c>
      <x:c r="D374" s="2" t="str">
        <x:v>MS596R7J</x:v>
      </x:c>
      <x:c r="E374" s="12" t="str">
        <x:v>Amar Sadanand Tech Park</x:v>
      </x:c>
      <x:c r="F374" s="12" t="str">
        <x:v>Baner</x:v>
      </x:c>
      <x:c r="G374" s="11" t="n">
        <x:v>7</x:v>
      </x:c>
      <x:c r="H374" s="2" t="str">
        <x:v>43 inch LED TV</x:v>
      </x:c>
      <x:c r="I374" s="12" t="str">
        <x:v>Schaeffler India Limited Corporate Office; Bridgestone city office; Just In Time Watch Store; Stryder Cycle Pvt Ltd (Cyc.clic)</x:v>
      </x:c>
      <x:c r="J374" s="2" t="n">
        <x:v>4</x:v>
      </x:c>
      <x:c r="K374" s="12" t="str">
        <x:v>Inventory-listed building/workspace context; current occupancy and screen access unverified</x:v>
      </x:c>
      <x:c r="L374" s="12" t="str">
        <x:v>Engineering &amp; manufacturing; Trade, consumer &amp; logistics</x:v>
      </x:c>
      <x:c r="M374" s="12" t="str">
        <x:v>Small-scale prospects; Mixed business audience</x:v>
      </x:c>
      <x:c r="N374" s="12" t="str">
        <x:v>MAIN-382</x:v>
      </x:c>
      <x:c r="O374" s="13" t="n">
        <x:v>18.568178176879883</x:v>
      </x:c>
      <x:c r="P374" s="13" t="n">
        <x:v>73.76742553710938</x:v>
      </x:c>
      <x:c r="Q374" s="2" t="str">
        <x:v>https://www.google.com/maps?q=18.568178176879883,73.76742553710938</x:v>
      </x:c>
      <x:c r="R374" s="2" t="str">
        <x:v>TEN-01272F6C55B7; TEN-53F71D1CF28F; TEN-83FAF196AC32; TEN-C0CDA80C9315</x:v>
      </x:c>
      <x:c r="S374" s="12" t="str">
        <x:v>IT and enterprise campus</x:v>
      </x:c>
      <x:c r="T374" s="12" t="str">
        <x:v>Tenant business-type estimates and reviewed company-scale context.</x:v>
      </x:c>
    </x:row>
    <x:row r="375" ht="64" customHeight="1">
      <x:c r="A375" s="10" t="n">
        <x:v>1</x:v>
      </x:c>
      <x:c r="B375" s="2" t="str">
        <x:v>CORP-0379</x:v>
      </x:c>
      <x:c r="C375" s="2" t="str">
        <x:v>Pune</x:v>
      </x:c>
      <x:c r="D375" s="2" t="str">
        <x:v>MS2E8Q9E</x:v>
      </x:c>
      <x:c r="E375" s="12" t="str">
        <x:v>Amar Tech Center</x:v>
      </x:c>
      <x:c r="F375" s="12" t="str">
        <x:v>Viman Nagar</x:v>
      </x:c>
      <x:c r="G375" s="11" t="n">
        <x:v>4</x:v>
      </x:c>
      <x:c r="H375" s="2" t="str">
        <x:v>43 inch LED TV</x:v>
      </x:c>
      <x:c r="I375" s="12" t="str">
        <x:v>Hyosung T &amp; D India Pvt. Ltd</x:v>
      </x:c>
      <x:c r="J375" s="2" t="n">
        <x:v>1</x:v>
      </x:c>
      <x:c r="K375" s="12" t="str">
        <x:v>Inventory-listed building/workspace context; current occupancy and screen access unverified</x:v>
      </x:c>
      <x:c r="L375" s="12" t="str">
        <x:v>Engineering &amp; manufacturing</x:v>
      </x:c>
      <x:c r="M375" s="12" t="str">
        <x:v>Mixed business audience</x:v>
      </x:c>
      <x:c r="N375" s="12" t="str">
        <x:v>MAIN-383</x:v>
      </x:c>
      <x:c r="O375" s="13" t="n">
        <x:v>18.56702995300293</x:v>
      </x:c>
      <x:c r="P375" s="13" t="n">
        <x:v>73.90547943115234</x:v>
      </x:c>
      <x:c r="Q375" s="2" t="str">
        <x:v>https://www.google.com/maps?q=18.56702995300293,73.90547943115234</x:v>
      </x:c>
      <x:c r="R375" s="2" t="str">
        <x:v>TEN-F626E376EF5E</x:v>
      </x:c>
      <x:c r="S375" s="12" t="str">
        <x:v>Mixed commercial workplace</x:v>
      </x:c>
      <x:c r="T375" s="12" t="str">
        <x:v>Tenant business-type estimates and reviewed company-scale context.</x:v>
      </x:c>
    </x:row>
    <x:row r="376" ht="64" customHeight="1">
      <x:c r="A376" s="10" t="n">
        <x:v>1</x:v>
      </x:c>
      <x:c r="B376" s="2" t="str">
        <x:v>CORP-0380</x:v>
      </x:c>
      <x:c r="C376" s="2" t="str">
        <x:v>Pune</x:v>
      </x:c>
      <x:c r="D376" s="2" t="str">
        <x:v>MS1HMH7N</x:v>
      </x:c>
      <x:c r="E376" s="12" t="str">
        <x:v>Amar Tech Park (TS)</x:v>
      </x:c>
      <x:c r="F376" s="12" t="str">
        <x:v>Balewadi</x:v>
      </x:c>
      <x:c r="G376" s="11" t="n">
        <x:v>2</x:v>
      </x:c>
      <x:c r="H376" s="2" t="str">
        <x:v>55 inch LED TV</x:v>
      </x:c>
      <x:c r="I376" s="12" t="str">
        <x:v>Onward Technologies; BMW TechWorks India; Redbrick IT Support Limited; Lentra AI Private Limited</x:v>
      </x:c>
      <x:c r="J376" s="2" t="n">
        <x:v>4</x:v>
      </x:c>
      <x:c r="K376" s="12" t="str">
        <x:v>Company-listed building/campus context; workspace membership and screen access unverified</x:v>
      </x:c>
      <x:c r="L376" s="12" t="str">
        <x:v>IT &amp; digital; Engineering &amp; manufacturing</x:v>
      </x:c>
      <x:c r="M376" s="12" t="str">
        <x:v>Small-scale prospects; Mixed business audience</x:v>
      </x:c>
      <x:c r="N376" s="12" t="str">
        <x:v>MAIN-384</x:v>
      </x:c>
      <x:c r="O376" s="13" t="n">
        <x:v>18.575674057006836</x:v>
      </x:c>
      <x:c r="P376" s="13" t="n">
        <x:v>73.76484680175781</x:v>
      </x:c>
      <x:c r="Q376" s="2" t="str">
        <x:v>https://www.google.com/maps?q=18.575674057006836,73.76484680175781</x:v>
      </x:c>
      <x:c r="R376" s="2" t="str">
        <x:v>TEN-55851B7ABCA3; TEN-7FB575E3B4B0; TEN-D96307B671BF; TEN-FCD721E29835</x:v>
      </x:c>
      <x:c r="S376" s="12" t="str">
        <x:v>IT and enterprise campus</x:v>
      </x:c>
      <x:c r="T376" s="12" t="str">
        <x:v>Tenant business-type estimates and reviewed company-scale context.</x:v>
      </x:c>
    </x:row>
    <x:row r="377" ht="64" customHeight="1">
      <x:c r="A377" s="10" t="n">
        <x:v>1</x:v>
      </x:c>
      <x:c r="B377" s="2" t="str">
        <x:v>CORP-0381</x:v>
      </x:c>
      <x:c r="C377" s="2" t="str">
        <x:v>Pune</x:v>
      </x:c>
      <x:c r="D377" s="2" t="str">
        <x:v>MSSQ2AZJ</x:v>
      </x:c>
      <x:c r="E377" s="12" t="str">
        <x:v>Anchors Coworking</x:v>
      </x:c>
      <x:c r="F377" s="12" t="str">
        <x:v>Pan Card Club Rd</x:v>
      </x:c>
      <x:c r="G377" s="11" t="n">
        <x:v>1</x:v>
      </x:c>
      <x:c r="H377" s="2" t="str">
        <x:v>32 inch LED TV</x:v>
      </x:c>
      <x:c r="I377" s="12" t="str">
        <x:v>Edufund; IAMPOS; ETP; Cars24; GLIMPSFIVE; Giveplease; SAVEMAX; MYCARE</x:v>
      </x:c>
      <x:c r="J377" s="2" t="n">
        <x:v>8</x:v>
      </x:c>
      <x:c r="K377" s="12" t="str">
        <x:v>Inventory-listed building/workspace context; current occupancy and screen access unverified</x:v>
      </x:c>
      <x:c r="L377" s="12" t="str">
        <x:v>Healthcare &amp; life sciences; Education; Trade, consumer &amp; logistics; Unresolved</x:v>
      </x:c>
      <x:c r="M377" s="12" t="str">
        <x:v>Small-scale prospects; Mixed business audience</x:v>
      </x:c>
      <x:c r="N377" s="12" t="str">
        <x:v>MAIN-385</x:v>
      </x:c>
      <x:c r="O377" s="13" t="n">
        <x:v>18.558433</x:v>
      </x:c>
      <x:c r="P377" s="13" t="n">
        <x:v>73.775607</x:v>
      </x:c>
      <x:c r="Q377" s="2" t="str">
        <x:v>https://www.google.com/maps?q=18.558433,73.775607</x:v>
      </x:c>
      <x:c r="R377" s="2" t="str">
        <x:v>TEN-221912755C05; TEN-41D71312C5C1; TEN-8144549A7116; TEN-99E829F578DD; TEN-A15C13F2DAF4; TEN-A96613F3E4DD; TEN-DC70656A098D; TEN-EEBDEB528F38</x:v>
      </x:c>
      <x:c r="S377" s="12" t="str">
        <x:v>Flexible workspace / mixed businesses</x:v>
      </x:c>
      <x:c r="T377" s="12" t="str">
        <x:v>Tenant business-type estimates and reviewed company-scale context.</x:v>
      </x:c>
    </x:row>
    <x:row r="378" ht="64" customHeight="1">
      <x:c r="A378" s="10" t="n">
        <x:v>1</x:v>
      </x:c>
      <x:c r="B378" s="2" t="str">
        <x:v>CORP-0382</x:v>
      </x:c>
      <x:c r="C378" s="2" t="str">
        <x:v>Pune</x:v>
      </x:c>
      <x:c r="D378" s="2" t="str">
        <x:v>MSDF5H4B</x:v>
      </x:c>
      <x:c r="E378" s="12" t="str">
        <x:v>Awfis - Amanora Mall</x:v>
      </x:c>
      <x:c r="F378" s="12" t="str">
        <x:v>Amanora Park Town</x:v>
      </x:c>
      <x:c r="G378" s="11" t="n">
        <x:v>1</x:v>
      </x:c>
      <x:c r="H378" s="2" t="str">
        <x:v>32 inch LED TV</x:v>
      </x:c>
      <x:c r="I378" s="12" t="str">
        <x:v>ElectRay Technologies Pvt. Ltd; SQR INFOTECH PVT LTD; ConnectingDots Infotech; The Sleep Company Experience Store -Amanora; Aviabird Technologies Pvt. Ltd; Symbiotic Technology Solutions Pvt Ltd; Anukoolan Solutions; CCube9 infotech Pvt. Ltd; Marcomm Essentials; Enovate IT Outsourcing Pvt Ltd; NutaNXT Technologies India</x:v>
      </x:c>
      <x:c r="J378" s="2" t="n">
        <x:v>11</x:v>
      </x:c>
      <x:c r="K378" s="12" t="str">
        <x:v>Inventory-listed building/workspace context; current occupancy and screen access unverified</x:v>
      </x:c>
      <x:c r="L378" s="12" t="str">
        <x:v>IT &amp; digital; Professional services; Trade, consumer &amp; logistics; Unresolved</x:v>
      </x:c>
      <x:c r="M378" s="12" t="str">
        <x:v>Small-scale prospects; Mixed business audience</x:v>
      </x:c>
      <x:c r="N378" s="12" t="str">
        <x:v>MAIN-386</x:v>
      </x:c>
      <x:c r="O378" s="13" t="n">
        <x:v>18.518868</x:v>
      </x:c>
      <x:c r="P378" s="13" t="n">
        <x:v>73.935712</x:v>
      </x:c>
      <x:c r="Q378" s="2" t="str">
        <x:v>https://www.google.com/maps?q=18.518868,73.935712</x:v>
      </x:c>
      <x:c r="R378" s="2" t="str">
        <x:v>TEN-21547F90B021; TEN-468F13A024BF; TEN-4B78498AB581; TEN-6039480EF58D; TEN-606A7820DBB1; TEN-82912B769ADD; TEN-945F177BCC3D; TEN-9B085FDF9B41; TEN-C0593D51DA8B; TEN-F1431134EFB9; TEN-FDDB23A263CE</x:v>
      </x:c>
      <x:c r="S378" s="12" t="str">
        <x:v>Flexible workspace / mixed businesses</x:v>
      </x:c>
      <x:c r="T378" s="12" t="str">
        <x:v>Tenant business-type estimates and reviewed company-scale context.</x:v>
      </x:c>
    </x:row>
    <x:row r="379" ht="64" customHeight="1">
      <x:c r="A379" s="10" t="n">
        <x:v>1</x:v>
      </x:c>
      <x:c r="B379" s="2" t="str">
        <x:v>CORP-0383</x:v>
      </x:c>
      <x:c r="C379" s="2" t="str">
        <x:v>Pune</x:v>
      </x:c>
      <x:c r="D379" s="2" t="str">
        <x:v>MS4WSH9F</x:v>
      </x:c>
      <x:c r="E379" s="12" t="str">
        <x:v>Awfis - Baner Business Bay</x:v>
      </x:c>
      <x:c r="F379" s="12" t="str">
        <x:v>Baner</x:v>
      </x:c>
      <x:c r="G379" s="11" t="n">
        <x:v>1</x:v>
      </x:c>
      <x:c r="H379" s="2" t="str">
        <x:v>32 inch LED TV</x:v>
      </x:c>
      <x:c r="I379" s="12" t="str">
        <x:v>Awfis (workspace operator inferred from property name; tenant occupants unconfirmed)</x:v>
      </x:c>
      <x:c r="J379" s="2" t="n">
        <x:v>1</x:v>
      </x:c>
      <x:c r="K379" s="12" t="str">
        <x:v>Workspace operator inferred from explicit property name; tenant occupants unconfirmed</x:v>
      </x:c>
      <x:c r="L379" s="12" t="str">
        <x:v>Workspace &amp; property operations</x:v>
      </x:c>
      <x:c r="M379" s="12" t="str">
        <x:v>Mixed business audience</x:v>
      </x:c>
      <x:c r="N379" s="12" t="str">
        <x:v>MAIN-387</x:v>
      </x:c>
      <x:c r="O379" s="13" t="n">
        <x:v>18.548581</x:v>
      </x:c>
      <x:c r="P379" s="13" t="n">
        <x:v>73.769523</x:v>
      </x:c>
      <x:c r="Q379" s="2" t="str">
        <x:v>https://www.google.com/maps?q=18.548581,73.769523</x:v>
      </x:c>
      <x:c r="R379" s="2" t="str">
        <x:v>TEN-298147A4B3E2</x:v>
      </x:c>
      <x:c r="S379" s="12" t="str">
        <x:v>Flexible workspace / mixed businesses</x:v>
      </x:c>
      <x:c r="T379" s="12" t="str">
        <x:v>Tenant business-type estimates and reviewed company-scale context.</x:v>
      </x:c>
    </x:row>
    <x:row r="380" ht="64" customHeight="1">
      <x:c r="A380" s="10" t="n">
        <x:v>1</x:v>
      </x:c>
      <x:c r="B380" s="2" t="str">
        <x:v>CORP-0384</x:v>
      </x:c>
      <x:c r="C380" s="2" t="str">
        <x:v>Pune</x:v>
      </x:c>
      <x:c r="D380" s="2" t="str">
        <x:v>MS0BWB1H</x:v>
      </x:c>
      <x:c r="E380" s="12" t="str">
        <x:v>Awfis - GK Mall</x:v>
      </x:c>
      <x:c r="F380" s="12" t="str">
        <x:v>Pimple Saudagar</x:v>
      </x:c>
      <x:c r="G380" s="11" t="n">
        <x:v>2</x:v>
      </x:c>
      <x:c r="H380" s="2" t="str">
        <x:v>32 inch LED TV</x:v>
      </x:c>
      <x:c r="I380" s="12" t="str">
        <x:v>WeEn Semiconductors; Aims Digital Services; Brand Studios (Atlas Copco Group)</x:v>
      </x:c>
      <x:c r="J380" s="2" t="n">
        <x:v>3</x:v>
      </x:c>
      <x:c r="K380" s="12" t="str">
        <x:v>Inventory-listed building/workspace context; current occupancy and screen access unverified</x:v>
      </x:c>
      <x:c r="L380" s="12" t="str">
        <x:v>IT &amp; digital; Engineering &amp; manufacturing</x:v>
      </x:c>
      <x:c r="M380" s="12" t="str">
        <x:v>Small-scale prospects; Mixed business audience</x:v>
      </x:c>
      <x:c r="N380" s="12" t="str">
        <x:v>MAIN-388</x:v>
      </x:c>
      <x:c r="O380" s="13" t="n">
        <x:v>18.5966168</x:v>
      </x:c>
      <x:c r="P380" s="13" t="n">
        <x:v>73.7955613</x:v>
      </x:c>
      <x:c r="Q380" s="2" t="str">
        <x:v>https://www.google.com/maps?q=18.5966168,73.7955613</x:v>
      </x:c>
      <x:c r="R380" s="2" t="str">
        <x:v>TEN-32436E849088; TEN-5E5F0F62ACE8; TEN-CB5214A112D9</x:v>
      </x:c>
      <x:c r="S380" s="12" t="str">
        <x:v>Flexible workspace / mixed businesses</x:v>
      </x:c>
      <x:c r="T380" s="12" t="str">
        <x:v>Tenant business-type estimates and reviewed company-scale context.</x:v>
      </x:c>
    </x:row>
    <x:row r="381" ht="64" customHeight="1">
      <x:c r="A381" s="10" t="n">
        <x:v>1</x:v>
      </x:c>
      <x:c r="B381" s="2" t="str">
        <x:v>CORP-0385</x:v>
      </x:c>
      <x:c r="C381" s="2" t="str">
        <x:v>Pune</x:v>
      </x:c>
      <x:c r="D381" s="2" t="str">
        <x:v>MSYX10CH</x:v>
      </x:c>
      <x:c r="E381" s="12" t="str">
        <x:v>Awfis - Nyati Empress</x:v>
      </x:c>
      <x:c r="F381" s="12" t="str">
        <x:v>Vaman nagar</x:v>
      </x:c>
      <x:c r="G381" s="11" t="n">
        <x:v>2</x:v>
      </x:c>
      <x:c r="H381" s="2" t="str">
        <x:v>32 inch LED TV</x:v>
      </x:c>
      <x:c r="I381" s="12" t="str">
        <x:v>Percivon Technologies Pvt Ltd Pune (India); Unique School App India LLP; Maestro Realtek; Assystem Stup; RadarSoft Technologies LLP; Motion Education Vimannagar; Synpulse India Pvt Ltd; Fortis Links LLP; AMEYA ASSOCIATES LLP; Convergint India Pvt. Ltd</x:v>
      </x:c>
      <x:c r="J381" s="2" t="n">
        <x:v>10</x:v>
      </x:c>
      <x:c r="K381" s="12" t="str">
        <x:v>Inventory-listed building/workspace context; current occupancy and screen access unverified</x:v>
      </x:c>
      <x:c r="L381" s="12" t="str">
        <x:v>IT &amp; digital; Engineering &amp; manufacturing; Education; Trade, consumer &amp; logistics; Unresolved</x:v>
      </x:c>
      <x:c r="M381" s="12" t="str">
        <x:v>Small-scale prospects; Mixed business audience</x:v>
      </x:c>
      <x:c r="N381" s="12" t="str">
        <x:v>MAIN-389</x:v>
      </x:c>
      <x:c r="O381" s="13" t="n">
        <x:v>18.564251</x:v>
      </x:c>
      <x:c r="P381" s="13" t="n">
        <x:v>73.918355</x:v>
      </x:c>
      <x:c r="Q381" s="2" t="str">
        <x:v>https://www.google.com/maps?q=18.564251,73.918355</x:v>
      </x:c>
      <x:c r="R381" s="2" t="str">
        <x:v>TEN-0326E980B70D; TEN-06727277697A; TEN-2998ED5504A1; TEN-38C0CE06A8BC; TEN-6969B4A0FF58; TEN-7415B9829C2E; TEN-8304F5E570A0; TEN-83D4208E08C1; TEN-90FAE2E6BE07; TEN-9C6170918FFD</x:v>
      </x:c>
      <x:c r="S381" s="12" t="str">
        <x:v>Flexible workspace / mixed businesses</x:v>
      </x:c>
      <x:c r="T381" s="12" t="str">
        <x:v>Tenant business-type estimates and reviewed company-scale context.</x:v>
      </x:c>
    </x:row>
    <x:row r="382" ht="64" customHeight="1">
      <x:c r="A382" s="10" t="n">
        <x:v>1</x:v>
      </x:c>
      <x:c r="B382" s="2" t="str">
        <x:v>CORP-0386</x:v>
      </x:c>
      <x:c r="C382" s="2" t="str">
        <x:v>Pune</x:v>
      </x:c>
      <x:c r="D382" s="2" t="str">
        <x:v>MS52KPN8</x:v>
      </x:c>
      <x:c r="E382" s="12" t="str">
        <x:v>Awfis - Que Spaces</x:v>
      </x:c>
      <x:c r="F382" s="12" t="str">
        <x:v>Hadapsar</x:v>
      </x:c>
      <x:c r="G382" s="11" t="n">
        <x:v>1</x:v>
      </x:c>
      <x:c r="H382" s="2" t="str">
        <x:v>32 inch LED TV</x:v>
      </x:c>
      <x:c r="I382" s="12" t="str">
        <x:v>Reliance digital; Marieclaire; croma; pantaloons; Shopper stop; Regal; trends; Lifestyle; i venus; Hp; Habibs; Max; Shervil; Cinepolis; Robotouch; Absolute barbecue; Mi; VIP; Cue spaces</x:v>
      </x:c>
      <x:c r="J382" s="2" t="n">
        <x:v>19</x:v>
      </x:c>
      <x:c r="K382" s="12" t="str">
        <x:v>Inventory-listed building/workspace context; current occupancy and screen access unverified</x:v>
      </x:c>
      <x:c r="L382" s="12" t="str">
        <x:v>Engineering &amp; manufacturing; Trade, consumer &amp; logistics; Workspace &amp; property operations; Unresolved</x:v>
      </x:c>
      <x:c r="M382" s="12" t="str">
        <x:v>Small-scale prospects; Large enterprise; Mixed business audience</x:v>
      </x:c>
      <x:c r="N382" s="12" t="str">
        <x:v>MAIN-390</x:v>
      </x:c>
      <x:c r="O382" s="13" t="n">
        <x:v>18.5194418</x:v>
      </x:c>
      <x:c r="P382" s="13" t="n">
        <x:v>73.9310744</x:v>
      </x:c>
      <x:c r="Q382" s="2" t="str">
        <x:v>https://www.google.com/maps?q=18.5194418,73.9310744</x:v>
      </x:c>
      <x:c r="R382" s="2" t="str">
        <x:v>TEN-0BF65E02B55B; TEN-177143D144A7; TEN-17EF62BE4FAF; TEN-1CC4F645DA2D; TEN-400B12B9213E; TEN-44D980DAC028; TEN-4DEC05E892A7; TEN-61A78304B3C4; TEN-76D9D5E81093; TEN-93969D193161; TEN-9ADA93CCAD10; TEN-9BAF3A40312F; TEN-B423960A2E90; TEN-C82109C6EDE0; TEN-D6C66DBDE5EB; TEN-EC1837F50F67; TEN-EEE1C1ADE652; TEN-F9505A739A8F; TEN-FF7C6D9BF585</x:v>
      </x:c>
      <x:c r="S382" s="12" t="str">
        <x:v>Flexible workspace / mixed businesses</x:v>
      </x:c>
      <x:c r="T382" s="12" t="str">
        <x:v>Tenant business-type estimates and reviewed company-scale context.</x:v>
      </x:c>
    </x:row>
    <x:row r="383" ht="64" customHeight="1">
      <x:c r="A383" s="10" t="n">
        <x:v>1</x:v>
      </x:c>
      <x:c r="B383" s="2" t="str">
        <x:v>CORP-0387</x:v>
      </x:c>
      <x:c r="C383" s="2" t="str">
        <x:v>Pune</x:v>
      </x:c>
      <x:c r="D383" s="2" t="str">
        <x:v>MS87S6BQ</x:v>
      </x:c>
      <x:c r="E383" s="12" t="str">
        <x:v>Awfis - Sterling Towers</x:v>
      </x:c>
      <x:c r="F383" s="12" t="str">
        <x:v>Baner</x:v>
      </x:c>
      <x:c r="G383" s="11" t="n">
        <x:v>1</x:v>
      </x:c>
      <x:c r="H383" s="2" t="str">
        <x:v>32 inch LED TV</x:v>
      </x:c>
      <x:c r="I383" s="12" t="str">
        <x:v>Listenlights Pvt. Ltd; Inditrade Capital</x:v>
      </x:c>
      <x:c r="J383" s="2" t="n">
        <x:v>2</x:v>
      </x:c>
      <x:c r="K383" s="12" t="str">
        <x:v>Inventory-listed building/workspace context; current occupancy and screen access unverified</x:v>
      </x:c>
      <x:c r="L383" s="12" t="str">
        <x:v>Finance &amp; insurance; Engineering &amp; manufacturing</x:v>
      </x:c>
      <x:c r="M383" s="12" t="str">
        <x:v>Medium-scale prospects; Mixed business audience</x:v>
      </x:c>
      <x:c r="N383" s="12" t="str">
        <x:v>MAIN-391</x:v>
      </x:c>
      <x:c r="O383" s="13" t="n">
        <x:v>18.5537164</x:v>
      </x:c>
      <x:c r="P383" s="13" t="n">
        <x:v>73.7779184</x:v>
      </x:c>
      <x:c r="Q383" s="2" t="str">
        <x:v>https://www.google.com/maps?q=18.5537164,73.7779184</x:v>
      </x:c>
      <x:c r="R383" s="2" t="str">
        <x:v>TEN-440B05A629E1; TEN-F14290F59852</x:v>
      </x:c>
      <x:c r="S383" s="12" t="str">
        <x:v>Flexible workspace / mixed businesses</x:v>
      </x:c>
      <x:c r="T383" s="12" t="str">
        <x:v>Tenant business-type estimates and reviewed company-scale context.</x:v>
      </x:c>
    </x:row>
    <x:row r="384" ht="64" customHeight="1">
      <x:c r="A384" s="10" t="n">
        <x:v>1</x:v>
      </x:c>
      <x:c r="B384" s="2" t="str">
        <x:v>CORP-0388</x:v>
      </x:c>
      <x:c r="C384" s="2" t="str">
        <x:v>Pune</x:v>
      </x:c>
      <x:c r="D384" s="2" t="str">
        <x:v>MSQA6SZT</x:v>
      </x:c>
      <x:c r="E384" s="12" t="str">
        <x:v>Awfis - The Kode</x:v>
      </x:c>
      <x:c r="F384" s="12" t="str">
        <x:v>Baner</x:v>
      </x:c>
      <x:c r="G384" s="11" t="n">
        <x:v>2</x:v>
      </x:c>
      <x:c r="H384" s="2" t="str">
        <x:v>32 inch LED TV</x:v>
      </x:c>
      <x:c r="I384" s="12" t="str">
        <x:v>Hella India automotivepvt.ltd; Walworth Reality</x:v>
      </x:c>
      <x:c r="J384" s="2" t="n">
        <x:v>2</x:v>
      </x:c>
      <x:c r="K384" s="12" t="str">
        <x:v>Inventory-listed building/workspace context; current occupancy and screen access unverified</x:v>
      </x:c>
      <x:c r="L384" s="12" t="str">
        <x:v>Engineering &amp; manufacturing; Trade, consumer &amp; logistics</x:v>
      </x:c>
      <x:c r="M384" s="12" t="str">
        <x:v>Small-scale prospects; Mixed business audience</x:v>
      </x:c>
      <x:c r="N384" s="12" t="str">
        <x:v>MAIN-392</x:v>
      </x:c>
      <x:c r="O384" s="13"/>
      <x:c r="P384" s="13"/>
      <x:c r="Q384" s="2" t="str"/>
      <x:c r="R384" s="2" t="str">
        <x:v>TEN-110C38B1F574; TEN-2B016B188C7A</x:v>
      </x:c>
      <x:c r="S384" s="12" t="str">
        <x:v>Flexible workspace / mixed businesses</x:v>
      </x:c>
      <x:c r="T384" s="12" t="str">
        <x:v>Tenant business-type estimates and reviewed company-scale context.</x:v>
      </x:c>
    </x:row>
    <x:row r="385" ht="64" customHeight="1">
      <x:c r="A385" s="10" t="n">
        <x:v>1</x:v>
      </x:c>
      <x:c r="B385" s="2" t="str">
        <x:v>CORP-0389</x:v>
      </x:c>
      <x:c r="C385" s="2" t="str">
        <x:v>Pune</x:v>
      </x:c>
      <x:c r="D385" s="2" t="str">
        <x:v>MSB6PSKG</x:v>
      </x:c>
      <x:c r="E385" s="12" t="str">
        <x:v>Balewadi Tech Park</x:v>
      </x:c>
      <x:c r="F385" s="12" t="str">
        <x:v>Balewadi</x:v>
      </x:c>
      <x:c r="G385" s="11" t="n">
        <x:v>1</x:v>
      </x:c>
      <x:c r="H385" s="2" t="str">
        <x:v>55 inch LED TV</x:v>
      </x:c>
      <x:c r="I385" s="12" t="str"/>
      <x:c r="J385" s="2" t="n">
        <x:v>0</x:v>
      </x:c>
      <x:c r="K385" s="12" t="str">
        <x:v>Unresolved; no supported tenant names</x:v>
      </x:c>
      <x:c r="L385" s="12" t="str">
        <x:v>Unclassified</x:v>
      </x:c>
      <x:c r="M385" s="12" t="str">
        <x:v>Mixed business audience</x:v>
      </x:c>
      <x:c r="N385" s="12" t="str">
        <x:v>MAIN-393</x:v>
      </x:c>
      <x:c r="O385" s="13" t="n">
        <x:v>18.570777893066406</x:v>
      </x:c>
      <x:c r="P385" s="13" t="n">
        <x:v>73.77484893798828</x:v>
      </x:c>
      <x:c r="Q385" s="2" t="str">
        <x:v>https://www.google.com/maps?q=18.570777893066406,73.77484893798828</x:v>
      </x:c>
      <x:c r="R385" s="2" t="str"/>
      <x:c r="S385" s="12" t="str">
        <x:v>Managed business offices</x:v>
      </x:c>
      <x:c r="T385" s="12" t="str">
        <x:v>Table Space identifies Balewadi Tech Park in Laxman Nagar/Baner as a managed workspace serving the western business corridor. No clients or team headcounts inferred.</x:v>
      </x:c>
    </x:row>
    <x:row r="386" ht="64" customHeight="1">
      <x:c r="A386" s="10" t="n">
        <x:v>1</x:v>
      </x:c>
      <x:c r="B386" s="2" t="str">
        <x:v>CORP-0390</x:v>
      </x:c>
      <x:c r="C386" s="2" t="str">
        <x:v>Pune</x:v>
      </x:c>
      <x:c r="D386" s="2" t="str">
        <x:v>MSVM4E0Z</x:v>
      </x:c>
      <x:c r="E386" s="12" t="str">
        <x:v>Bootstart - Clover Hills Plaza</x:v>
      </x:c>
      <x:c r="F386" s="12" t="str">
        <x:v>NIBM Rd</x:v>
      </x:c>
      <x:c r="G386" s="11" t="n">
        <x:v>1</x:v>
      </x:c>
      <x:c r="H386" s="2" t="str">
        <x:v>32 inch LED TV</x:v>
      </x:c>
      <x:c r="I386" s="12" t="str">
        <x:v>Cloudnaut Technologies LLP</x:v>
      </x:c>
      <x:c r="J386" s="2" t="n">
        <x:v>1</x:v>
      </x:c>
      <x:c r="K386" s="12" t="str">
        <x:v>Inventory-listed building/workspace context; current occupancy and screen access unverified</x:v>
      </x:c>
      <x:c r="L386" s="12" t="str">
        <x:v>IT &amp; digital</x:v>
      </x:c>
      <x:c r="M386" s="12" t="str">
        <x:v>Small-scale prospects</x:v>
      </x:c>
      <x:c r="N386" s="12" t="str">
        <x:v>MAIN-394</x:v>
      </x:c>
      <x:c r="O386" s="13" t="n">
        <x:v>18.467419</x:v>
      </x:c>
      <x:c r="P386" s="13" t="n">
        <x:v>73.90172</x:v>
      </x:c>
      <x:c r="Q386" s="2" t="str">
        <x:v>https://www.google.com/maps?q=18.467419,73.90172</x:v>
      </x:c>
      <x:c r="R386" s="2" t="str">
        <x:v>TEN-333981AAF1CC</x:v>
      </x:c>
      <x:c r="S386" s="12" t="str">
        <x:v>Mixed commercial workplace</x:v>
      </x:c>
      <x:c r="T386" s="12" t="str">
        <x:v>Tenant business-type estimates and reviewed company-scale context.</x:v>
      </x:c>
    </x:row>
    <x:row r="387" ht="64" customHeight="1">
      <x:c r="A387" s="10" t="n">
        <x:v>1</x:v>
      </x:c>
      <x:c r="B387" s="2" t="str">
        <x:v>CORP-0391</x:v>
      </x:c>
      <x:c r="C387" s="2" t="str">
        <x:v>Pune</x:v>
      </x:c>
      <x:c r="D387" s="2" t="str">
        <x:v>MSYRH0GT</x:v>
      </x:c>
      <x:c r="E387" s="12" t="str">
        <x:v>Bootstart Arcadian</x:v>
      </x:c>
      <x:c r="F387" s="12" t="str">
        <x:v>Koregaon Park</x:v>
      </x:c>
      <x:c r="G387" s="11" t="n">
        <x:v>1</x:v>
      </x:c>
      <x:c r="H387" s="2" t="str">
        <x:v>32 inch LED TV</x:v>
      </x:c>
      <x:c r="I387" s="12" t="str">
        <x:v>O A Dewani &amp; co; Derma Space; Patron Accounting LLP; Shepherd's Hill; Diplomat Bio-Information Pvt.Ltd; IVORY; Rajesh Builders</x:v>
      </x:c>
      <x:c r="J387" s="2" t="n">
        <x:v>7</x:v>
      </x:c>
      <x:c r="K387" s="12" t="str">
        <x:v>Inventory-listed building/workspace context; current occupancy and screen access unverified</x:v>
      </x:c>
      <x:c r="L387" s="12" t="str">
        <x:v>Professional services; Healthcare &amp; life sciences; Trade, consumer &amp; logistics; Unresolved</x:v>
      </x:c>
      <x:c r="M387" s="12" t="str">
        <x:v>Small-scale prospects; Mixed business audience</x:v>
      </x:c>
      <x:c r="N387" s="12" t="str">
        <x:v>MAIN-395</x:v>
      </x:c>
      <x:c r="O387" s="13" t="n">
        <x:v>18.538947</x:v>
      </x:c>
      <x:c r="P387" s="13" t="n">
        <x:v>73.895734</x:v>
      </x:c>
      <x:c r="Q387" s="2" t="str">
        <x:v>https://www.google.com/maps?q=18.538947,73.895734</x:v>
      </x:c>
      <x:c r="R387" s="2" t="str">
        <x:v>TEN-1C3EC3D2C486; TEN-905DC3BE01C5; TEN-99B6213B308F; TEN-BB2996861C7F; TEN-BDE489F8D79E; TEN-C679DA09E353; TEN-FD729CB32F6E</x:v>
      </x:c>
      <x:c r="S387" s="12" t="str">
        <x:v>Mixed commercial workplace</x:v>
      </x:c>
      <x:c r="T387" s="12" t="str">
        <x:v>Tenant business-type estimates and reviewed company-scale context.</x:v>
      </x:c>
    </x:row>
    <x:row r="388" ht="64" customHeight="1">
      <x:c r="A388" s="10" t="n">
        <x:v>1</x:v>
      </x:c>
      <x:c r="B388" s="2" t="str">
        <x:v>CORP-0392</x:v>
      </x:c>
      <x:c r="C388" s="2" t="str">
        <x:v>Pune</x:v>
      </x:c>
      <x:c r="D388" s="2" t="str">
        <x:v>MSS6S321</x:v>
      </x:c>
      <x:c r="E388" s="12" t="str">
        <x:v>Brookfield - 45Icon Business Parks</x:v>
      </x:c>
      <x:c r="F388" s="12" t="str">
        <x:v>Baner</x:v>
      </x:c>
      <x:c r="G388" s="11" t="n">
        <x:v>5</x:v>
      </x:c>
      <x:c r="H388" s="2" t="str">
        <x:v>55 inch LED TV</x:v>
      </x:c>
      <x:c r="I388" s="12" t="str"/>
      <x:c r="J388" s="2" t="n">
        <x:v>0</x:v>
      </x:c>
      <x:c r="K388" s="12" t="str">
        <x:v>Unresolved; no supported tenant names</x:v>
      </x:c>
      <x:c r="L388" s="12" t="str">
        <x:v>Unclassified</x:v>
      </x:c>
      <x:c r="M388" s="12" t="str">
        <x:v>Mixed business audience</x:v>
      </x:c>
      <x:c r="N388" s="12" t="str">
        <x:v>MAIN-396</x:v>
      </x:c>
      <x:c r="O388" s="13" t="n">
        <x:v>18.554706573486328</x:v>
      </x:c>
      <x:c r="P388" s="13" t="n">
        <x:v>73.7971420288086</x:v>
      </x:c>
      <x:c r="Q388" s="2" t="str">
        <x:v>https://www.google.com/maps?q=18.554706573486328,73.7971420288086</x:v>
      </x:c>
      <x:c r="R388" s="2" t="str"/>
      <x:c r="S388" s="12" t="str">
        <x:v>Business office campus</x:v>
      </x:c>
      <x:c r="T388" s="12" t="str">
        <x:v>Brookfield financial disclosure identifies Icon Pune campus at 45 Baner Road/Baner-Pashan Link Road. Commercial-office property context only, with no current tenant-sector breakdown.</x:v>
      </x:c>
    </x:row>
    <x:row r="389" ht="64" customHeight="1">
      <x:c r="A389" s="10" t="n">
        <x:v>1</x:v>
      </x:c>
      <x:c r="B389" s="2" t="str">
        <x:v>CORP-0393</x:v>
      </x:c>
      <x:c r="C389" s="2" t="str">
        <x:v>Pune</x:v>
      </x:c>
      <x:c r="D389" s="2" t="str">
        <x:v>MSTPTBDT</x:v>
      </x:c>
      <x:c r="E389" s="12" t="str">
        <x:v>BSB Capital (Redbrick Offices)</x:v>
      </x:c>
      <x:c r="F389" s="12" t="str">
        <x:v>Sakal Nagar</x:v>
      </x:c>
      <x:c r="G389" s="11" t="n">
        <x:v>1</x:v>
      </x:c>
      <x:c r="H389" s="2" t="str">
        <x:v>32 inch LED TV</x:v>
      </x:c>
      <x:c r="I389" s="12" t="str">
        <x:v>Deserve Labs</x:v>
      </x:c>
      <x:c r="J389" s="2" t="n">
        <x:v>1</x:v>
      </x:c>
      <x:c r="K389" s="12" t="str">
        <x:v>Inventory-listed building/workspace context; current occupancy and screen access unverified</x:v>
      </x:c>
      <x:c r="L389" s="12" t="str">
        <x:v>Unresolved</x:v>
      </x:c>
      <x:c r="M389" s="12" t="str">
        <x:v>Mixed business audience</x:v>
      </x:c>
      <x:c r="N389" s="12" t="str">
        <x:v>MAIN-397</x:v>
      </x:c>
      <x:c r="O389" s="13" t="n">
        <x:v>18.547436</x:v>
      </x:c>
      <x:c r="P389" s="13" t="n">
        <x:v>73.81707</x:v>
      </x:c>
      <x:c r="Q389" s="2" t="str">
        <x:v>https://www.google.com/maps?q=18.547436,73.81707</x:v>
      </x:c>
      <x:c r="R389" s="2" t="str">
        <x:v>TEN-2DF359358C9E</x:v>
      </x:c>
      <x:c r="S389" s="12" t="str">
        <x:v>Multi-tenant business offices</x:v>
      </x:c>
      <x:c r="T389" s="12" t="str">
        <x:v>Tenant business-type estimates and reviewed company-scale context.</x:v>
      </x:c>
    </x:row>
    <x:row r="390" ht="64" customHeight="1">
      <x:c r="A390" s="10" t="n">
        <x:v>1</x:v>
      </x:c>
      <x:c r="B390" s="2" t="str">
        <x:v>CORP-0394</x:v>
      </x:c>
      <x:c r="C390" s="2" t="str">
        <x:v>Pune</x:v>
      </x:c>
      <x:c r="D390" s="2" t="str">
        <x:v>MSWZ90PX</x:v>
      </x:c>
      <x:c r="E390" s="12" t="str">
        <x:v>Credence Global Solutions</x:v>
      </x:c>
      <x:c r="F390" s="12" t="str">
        <x:v>Thite nagar</x:v>
      </x:c>
      <x:c r="G390" s="11" t="n">
        <x:v>7</x:v>
      </x:c>
      <x:c r="H390" s="2" t="str">
        <x:v>32 inch LED TV</x:v>
      </x:c>
      <x:c r="I390" s="12" t="str">
        <x:v>Zensar; Credence; conneqt</x:v>
      </x:c>
      <x:c r="J390" s="2" t="n">
        <x:v>3</x:v>
      </x:c>
      <x:c r="K390" s="12" t="str">
        <x:v>Inventory-listed building/workspace context; current occupancy and screen access unverified</x:v>
      </x:c>
      <x:c r="L390" s="12" t="str">
        <x:v>IT &amp; digital; Unresolved</x:v>
      </x:c>
      <x:c r="M390" s="12" t="str">
        <x:v>Mixed business audience</x:v>
      </x:c>
      <x:c r="N390" s="12" t="str">
        <x:v>MAIN-398</x:v>
      </x:c>
      <x:c r="O390" s="13" t="n">
        <x:v>18.547372817993164</x:v>
      </x:c>
      <x:c r="P390" s="13" t="n">
        <x:v>73.9382095336914</x:v>
      </x:c>
      <x:c r="Q390" s="2" t="str">
        <x:v>https://www.google.com/maps?q=18.547372817993164,73.9382095336914</x:v>
      </x:c>
      <x:c r="R390" s="2" t="str">
        <x:v>TEN-6A50CCC096D5; TEN-D934E49EEA7C; TEN-F19F825E6EF8</x:v>
      </x:c>
      <x:c r="S390" s="12" t="str">
        <x:v>Mixed commercial workplace</x:v>
      </x:c>
      <x:c r="T390" s="12" t="str">
        <x:v>Tenant business-type estimates and reviewed company-scale context.</x:v>
      </x:c>
    </x:row>
    <x:row r="391" ht="64" customHeight="1">
      <x:c r="A391" s="10" t="n">
        <x:v>1</x:v>
      </x:c>
      <x:c r="B391" s="2" t="str">
        <x:v>CORP-0395</x:v>
      </x:c>
      <x:c r="C391" s="2" t="str">
        <x:v>Pune</x:v>
      </x:c>
      <x:c r="D391" s="2" t="str">
        <x:v>MSEXKKQS</x:v>
      </x:c>
      <x:c r="E391" s="12" t="str">
        <x:v>GLT Raheja Woods </x:v>
      </x:c>
      <x:c r="F391" s="12" t="str">
        <x:v>Kalyani Nagar</x:v>
      </x:c>
      <x:c r="G391" s="11" t="n">
        <x:v>1</x:v>
      </x:c>
      <x:c r="H391" s="2" t="str">
        <x:v>55 inch LED TV</x:v>
      </x:c>
      <x:c r="I391" s="12" t="str"/>
      <x:c r="J391" s="2" t="n">
        <x:v>0</x:v>
      </x:c>
      <x:c r="K391" s="12" t="str">
        <x:v>Unresolved; no supported tenant names</x:v>
      </x:c>
      <x:c r="L391" s="12" t="str">
        <x:v>Unclassified</x:v>
      </x:c>
      <x:c r="M391" s="12" t="str">
        <x:v>Mixed business audience</x:v>
      </x:c>
      <x:c r="N391" s="12" t="str">
        <x:v>MAIN-399</x:v>
      </x:c>
      <x:c r="O391" s="13" t="n">
        <x:v>18.486927032470703</x:v>
      </x:c>
      <x:c r="P391" s="13" t="n">
        <x:v>73.79293823242188</x:v>
      </x:c>
      <x:c r="Q391" s="2" t="str">
        <x:v>https://www.google.com/maps?q=18.486927032470703,73.79293823242188</x:v>
      </x:c>
      <x:c r="R391" s="2" t="str"/>
      <x:c r="S391" s="12" t="str">
        <x:v>Managed business offices</x:v>
      </x:c>
      <x:c r="T391" s="12" t="str">
        <x:v>Table Space identifies GLT Raheja Woods as custom-built managed offices at Building 4, Kalyani Nagar. Supplied coordinates appear inconsistent with the named Kalyani Nagar area. Preserve coordinates separately and verify before precise map use.</x:v>
      </x:c>
    </x:row>
    <x:row r="392" ht="64" customHeight="1">
      <x:c r="A392" s="10" t="n">
        <x:v>1</x:v>
      </x:c>
      <x:c r="B392" s="2" t="str">
        <x:v>CORP-0396</x:v>
      </x:c>
      <x:c r="C392" s="2" t="str">
        <x:v>Pune</x:v>
      </x:c>
      <x:c r="D392" s="2" t="str">
        <x:v>MSTBZ2W7</x:v>
      </x:c>
      <x:c r="E392" s="12" t="str">
        <x:v>Godrej Koregaon Park Annex</x:v>
      </x:c>
      <x:c r="F392" s="12" t="str">
        <x:v>Koregaon Park</x:v>
      </x:c>
      <x:c r="G392" s="11" t="n">
        <x:v>1</x:v>
      </x:c>
      <x:c r="H392" s="2" t="str">
        <x:v>55 inch LED TV</x:v>
      </x:c>
      <x:c r="I392" s="12" t="str"/>
      <x:c r="J392" s="2" t="n">
        <x:v>0</x:v>
      </x:c>
      <x:c r="K392" s="12" t="str">
        <x:v>Unresolved; no supported tenant names</x:v>
      </x:c>
      <x:c r="L392" s="12" t="str">
        <x:v>Unclassified</x:v>
      </x:c>
      <x:c r="M392" s="12" t="str">
        <x:v>Mixed business audience</x:v>
      </x:c>
      <x:c r="N392" s="12" t="str">
        <x:v>MAIN-400</x:v>
      </x:c>
      <x:c r="O392" s="13" t="n">
        <x:v>18.53655242919922</x:v>
      </x:c>
      <x:c r="P392" s="13" t="n">
        <x:v>73.91175842285156</x:v>
      </x:c>
      <x:c r="Q392" s="2" t="str">
        <x:v>https://www.google.com/maps?q=18.53655242919922,73.91175842285156</x:v>
      </x:c>
      <x:c r="R392" s="2" t="str"/>
      <x:c r="S392" s="12" t="str">
        <x:v>Managed business offices</x:v>
      </x:c>
      <x:c r="T392" s="12" t="str">
        <x:v>Table Space lists Godrej Koregaon Park as custom-built suites in Koregaon Park Annexe, Mundhwa. Do not substitute Godrej Millennium, a different named property on other official pages.</x:v>
      </x:c>
    </x:row>
    <x:row r="393" ht="64" customHeight="1">
      <x:c r="A393" s="10" t="n">
        <x:v>1</x:v>
      </x:c>
      <x:c r="B393" s="2" t="str">
        <x:v>CORP-0397</x:v>
      </x:c>
      <x:c r="C393" s="2" t="str">
        <x:v>Pune</x:v>
      </x:c>
      <x:c r="D393" s="2" t="str">
        <x:v>MSXFG0FK</x:v>
      </x:c>
      <x:c r="E393" s="12" t="str">
        <x:v>International Tech Park Pune - ITPP</x:v>
      </x:c>
      <x:c r="F393" s="12" t="str">
        <x:v>Kharadi</x:v>
      </x:c>
      <x:c r="G393" s="11" t="n">
        <x:v>1</x:v>
      </x:c>
      <x:c r="H393" s="2" t="str">
        <x:v>55 inch LED TV</x:v>
      </x:c>
      <x:c r="I393" s="12" t="str"/>
      <x:c r="J393" s="2" t="n">
        <x:v>0</x:v>
      </x:c>
      <x:c r="K393" s="12" t="str">
        <x:v>Unresolved; no supported tenant names</x:v>
      </x:c>
      <x:c r="L393" s="12" t="str">
        <x:v>Unclassified</x:v>
      </x:c>
      <x:c r="M393" s="12" t="str">
        <x:v>Mixed business audience</x:v>
      </x:c>
      <x:c r="N393" s="12" t="str">
        <x:v>MAIN-401</x:v>
      </x:c>
      <x:c r="O393" s="13"/>
      <x:c r="P393" s="13"/>
      <x:c r="Q393" s="2" t="str"/>
      <x:c r="R393" s="2" t="str"/>
      <x:c r="S393" s="12" t="str">
        <x:v>Technology campus with managed-office options</x:v>
      </x:c>
      <x:c r="T393" s="12" t="str">
        <x:v>CapitaLand identifies ITPP Kharadi as an operational IT park with several office blocks, fitted offices and incubation space. Do not add campus sizes or count incubation seats as actual occupants at the one supplied screen.</x:v>
      </x:c>
    </x:row>
    <x:row r="394" ht="64" customHeight="1">
      <x:c r="A394" s="10" t="n">
        <x:v>1</x:v>
      </x:c>
      <x:c r="B394" s="2" t="str">
        <x:v>CORP-0398</x:v>
      </x:c>
      <x:c r="C394" s="2" t="str">
        <x:v>Pune</x:v>
      </x:c>
      <x:c r="D394" s="2" t="str">
        <x:v>MS9F3B8S</x:v>
      </x:c>
      <x:c r="E394" s="12" t="str">
        <x:v>Kolte Patil Downtown City Vista</x:v>
      </x:c>
      <x:c r="F394" s="12" t="str">
        <x:v>Kharadi</x:v>
      </x:c>
      <x:c r="G394" s="11" t="n">
        <x:v>9</x:v>
      </x:c>
      <x:c r="H394" s="2" t="str">
        <x:v>32 inch LED TV</x:v>
      </x:c>
      <x:c r="I394" s="12" t="str">
        <x:v>Techweb IT solutions</x:v>
      </x:c>
      <x:c r="J394" s="2" t="n">
        <x:v>1</x:v>
      </x:c>
      <x:c r="K394" s="12" t="str">
        <x:v>Inventory-listed building/workspace context; current occupancy and screen access unverified</x:v>
      </x:c>
      <x:c r="L394" s="12" t="str">
        <x:v>IT &amp; digital</x:v>
      </x:c>
      <x:c r="M394" s="12" t="str">
        <x:v>Small-scale prospects</x:v>
      </x:c>
      <x:c r="N394" s="12" t="str">
        <x:v>MAIN-402</x:v>
      </x:c>
      <x:c r="O394" s="13" t="n">
        <x:v>18.5613519</x:v>
      </x:c>
      <x:c r="P394" s="13" t="n">
        <x:v>73.9448264</x:v>
      </x:c>
      <x:c r="Q394" s="2" t="str">
        <x:v>https://www.google.com/maps?q=18.5613519,73.9448264</x:v>
      </x:c>
      <x:c r="R394" s="2" t="str">
        <x:v>TEN-066213415683</x:v>
      </x:c>
      <x:c r="S394" s="12" t="str">
        <x:v>Mixed commercial workplace</x:v>
      </x:c>
      <x:c r="T394" s="12" t="str">
        <x:v>Tenant business-type estimates and reviewed company-scale context.</x:v>
      </x:c>
    </x:row>
    <x:row r="395" ht="64" customHeight="1">
      <x:c r="A395" s="10" t="n">
        <x:v>1</x:v>
      </x:c>
      <x:c r="B395" s="2" t="str">
        <x:v>CORP-0399</x:v>
      </x:c>
      <x:c r="C395" s="2" t="str">
        <x:v>Pune</x:v>
      </x:c>
      <x:c r="D395" s="2" t="str">
        <x:v>MSGJDZXW</x:v>
      </x:c>
      <x:c r="E395" s="12" t="str">
        <x:v>M Agile Tech Park</x:v>
      </x:c>
      <x:c r="F395" s="12" t="str">
        <x:v>Baner</x:v>
      </x:c>
      <x:c r="G395" s="11" t="n">
        <x:v>4</x:v>
      </x:c>
      <x:c r="H395" s="2" t="str">
        <x:v>43 inch LED TV</x:v>
      </x:c>
      <x:c r="I395" s="12" t="str">
        <x:v>Crane NXT Pvt. Ltd; Jade Global Software Pvt. Ltd; ITC Infotech; Anchanto Services Pvt Ltd; Wissen Technology; Abhijeet Plastics India Pvt. Ltd; Connexis Technologies Pvt. Ltd</x:v>
      </x:c>
      <x:c r="J395" s="2" t="n">
        <x:v>7</x:v>
      </x:c>
      <x:c r="K395" s="12" t="str">
        <x:v>Inventory-listed building/workspace context; current occupancy and screen access unverified</x:v>
      </x:c>
      <x:c r="L395" s="12" t="str">
        <x:v>IT &amp; digital; Engineering &amp; manufacturing</x:v>
      </x:c>
      <x:c r="M395" s="12" t="str">
        <x:v>Small-scale prospects; Medium-scale prospects; Mixed business audience</x:v>
      </x:c>
      <x:c r="N395" s="12" t="str">
        <x:v>MAIN-403</x:v>
      </x:c>
      <x:c r="O395" s="13" t="n">
        <x:v>18.55588722229004</x:v>
      </x:c>
      <x:c r="P395" s="13" t="n">
        <x:v>73.77670288085938</x:v>
      </x:c>
      <x:c r="Q395" s="2" t="str">
        <x:v>https://www.google.com/maps?q=18.55588722229004,73.77670288085938</x:v>
      </x:c>
      <x:c r="R395" s="2" t="str">
        <x:v>TEN-2BA699ECCB6E; TEN-32D5FF7368CA; TEN-433FFE8165A6; TEN-9287B2BCD212; TEN-C59546E98326; TEN-E1F0AD0EC4D2; TEN-EE34A3B310C4</x:v>
      </x:c>
      <x:c r="S395" s="12" t="str">
        <x:v>IT and enterprise campus</x:v>
      </x:c>
      <x:c r="T395" s="12" t="str">
        <x:v>Tenant business-type estimates and reviewed company-scale context.</x:v>
      </x:c>
    </x:row>
    <x:row r="396" ht="64" customHeight="1">
      <x:c r="A396" s="10" t="n">
        <x:v>1</x:v>
      </x:c>
      <x:c r="B396" s="2" t="str">
        <x:v>CORP-0400</x:v>
      </x:c>
      <x:c r="C396" s="2" t="str">
        <x:v>Pune</x:v>
      </x:c>
      <x:c r="D396" s="2" t="str">
        <x:v>MS9MZ5AV</x:v>
      </x:c>
      <x:c r="E396" s="12" t="str">
        <x:v>Mayfield Towers</x:v>
      </x:c>
      <x:c r="F396" s="12" t="str">
        <x:v>Wakadewadi</x:v>
      </x:c>
      <x:c r="G396" s="11" t="n">
        <x:v>3</x:v>
      </x:c>
      <x:c r="H396" s="2" t="str">
        <x:v>43 inch LED TV</x:v>
      </x:c>
      <x:c r="I396" s="12" t="str">
        <x:v>Oriental Insurance Company Limited; Softcell Software Group; Kennametal India Ltd; Racold Thermo Private Ltd; Accel IT Services ( A division of Accel Limited); OLA Experience Centre</x:v>
      </x:c>
      <x:c r="J396" s="2" t="n">
        <x:v>6</x:v>
      </x:c>
      <x:c r="K396" s="12" t="str">
        <x:v>Inventory-listed building/workspace context; current occupancy and screen access unverified</x:v>
      </x:c>
      <x:c r="L396" s="12" t="str">
        <x:v>IT &amp; digital; Finance &amp; insurance; Engineering &amp; manufacturing; Trade, consumer &amp; logistics</x:v>
      </x:c>
      <x:c r="M396" s="12" t="str">
        <x:v>Mixed business audience</x:v>
      </x:c>
      <x:c r="N396" s="12" t="str">
        <x:v>MAIN-404</x:v>
      </x:c>
      <x:c r="O396" s="13" t="n">
        <x:v>18.536848</x:v>
      </x:c>
      <x:c r="P396" s="13" t="n">
        <x:v>73.851036</x:v>
      </x:c>
      <x:c r="Q396" s="2" t="str">
        <x:v>https://www.google.com/maps?q=18.536848,73.851036</x:v>
      </x:c>
      <x:c r="R396" s="2" t="str">
        <x:v>TEN-64169C68A9B2; TEN-66DFC81EEFC3; TEN-B47C6547D90A; TEN-DF18A5911CC8; TEN-F05B963F9327; TEN-F192623D2043</x:v>
      </x:c>
      <x:c r="S396" s="12" t="str">
        <x:v>Mixed commercial workplace</x:v>
      </x:c>
      <x:c r="T396" s="12" t="str">
        <x:v>Tenant business-type estimates and reviewed company-scale context.</x:v>
      </x:c>
    </x:row>
    <x:row r="397" ht="64" customHeight="1">
      <x:c r="A397" s="10" t="n">
        <x:v>1</x:v>
      </x:c>
      <x:c r="B397" s="2" t="str">
        <x:v>CORP-0401</x:v>
      </x:c>
      <x:c r="C397" s="2" t="str">
        <x:v>Pune</x:v>
      </x:c>
      <x:c r="D397" s="2" t="str">
        <x:v>MSMRMMWB</x:v>
      </x:c>
      <x:c r="E397" s="12" t="str">
        <x:v>Olympia B Premises</x:v>
      </x:c>
      <x:c r="F397" s="12" t="str">
        <x:v>Baner</x:v>
      </x:c>
      <x:c r="G397" s="11" t="n">
        <x:v>1</x:v>
      </x:c>
      <x:c r="H397" s="2" t="str">
        <x:v>32 inch LED TV</x:v>
      </x:c>
      <x:c r="I397" s="12" t="str">
        <x:v>Wintech Digital Solutions LLP; Epinomi Training Consulting; Accleco; Gryphon Academy Pvt. Ltd; Elite Admission; Smartscripts Private Limited; ACHALARE REALTORS; RealX</x:v>
      </x:c>
      <x:c r="J397" s="2" t="n">
        <x:v>8</x:v>
      </x:c>
      <x:c r="K397" s="12" t="str">
        <x:v>Inventory-listed building/workspace context; current occupancy and screen access unverified</x:v>
      </x:c>
      <x:c r="L397" s="12" t="str">
        <x:v>IT &amp; digital; Professional services; Finance &amp; insurance; Education; Trade, consumer &amp; logistics; Unresolved</x:v>
      </x:c>
      <x:c r="M397" s="12" t="str">
        <x:v>Small-scale prospects; Mixed business audience</x:v>
      </x:c>
      <x:c r="N397" s="12" t="str">
        <x:v>MAIN-405</x:v>
      </x:c>
      <x:c r="O397" s="13" t="n">
        <x:v>18.553754806518555</x:v>
      </x:c>
      <x:c r="P397" s="13" t="n">
        <x:v>73.77081298828125</x:v>
      </x:c>
      <x:c r="Q397" s="2" t="str">
        <x:v>https://www.google.com/maps?q=18.553754806518555,73.77081298828125</x:v>
      </x:c>
      <x:c r="R397" s="2" t="str">
        <x:v>TEN-0519A3DAAF8C; TEN-113BF217B1F3; TEN-5287C35B15B1; TEN-834434DB6B68; TEN-89AA1F9C78E6; TEN-E975E0EC9394; TEN-F01F46101559; TEN-FD8D253C74F8</x:v>
      </x:c>
      <x:c r="S397" s="12" t="str">
        <x:v>Mixed commercial workplace</x:v>
      </x:c>
      <x:c r="T397" s="12" t="str">
        <x:v>Tenant business-type estimates and reviewed company-scale context.</x:v>
      </x:c>
    </x:row>
    <x:row r="398" ht="64" customHeight="1">
      <x:c r="A398" s="10" t="n">
        <x:v>1</x:v>
      </x:c>
      <x:c r="B398" s="2" t="str">
        <x:v>CORP-0402</x:v>
      </x:c>
      <x:c r="C398" s="2" t="str">
        <x:v>Pune</x:v>
      </x:c>
      <x:c r="D398" s="2" t="str">
        <x:v>MSFCM30N</x:v>
      </x:c>
      <x:c r="E398" s="12" t="str">
        <x:v>OLYMPIA B PREMISES Inside Elevator</x:v>
      </x:c>
      <x:c r="F398" s="12" t="str">
        <x:v>Baner</x:v>
      </x:c>
      <x:c r="G398" s="11" t="n">
        <x:v>1</x:v>
      </x:c>
      <x:c r="H398" s="2" t="str">
        <x:v>24 inch LED TV</x:v>
      </x:c>
      <x:c r="I398" s="12" t="str">
        <x:v>Wintech Digital Solutions LLP; Epinomi Training Consulting; Accleco; Gryphon Academy Pvt. Ltd; Elite Admission; Smartscripts Private Limited; ACHALARE REALTORS; RealX</x:v>
      </x:c>
      <x:c r="J398" s="2" t="n">
        <x:v>8</x:v>
      </x:c>
      <x:c r="K398" s="12" t="str">
        <x:v>Same-building name inference from another supplied inventory row; exact site-ID match absent</x:v>
      </x:c>
      <x:c r="L398" s="12" t="str">
        <x:v>IT &amp; digital; Professional services; Finance &amp; insurance; Education; Trade, consumer &amp; logistics; Unresolved</x:v>
      </x:c>
      <x:c r="M398" s="12" t="str">
        <x:v>Small-scale prospects; Mixed business audience</x:v>
      </x:c>
      <x:c r="N398" s="12" t="str">
        <x:v>MAIN-406</x:v>
      </x:c>
      <x:c r="O398" s="13" t="n">
        <x:v>18.553754806518555</x:v>
      </x:c>
      <x:c r="P398" s="13" t="n">
        <x:v>73.77081298828125</x:v>
      </x:c>
      <x:c r="Q398" s="2" t="str">
        <x:v>https://www.google.com/maps?q=18.553754806518555,73.77081298828125</x:v>
      </x:c>
      <x:c r="R398" s="2" t="str">
        <x:v>TEN-0519A3DAAF8C; TEN-113BF217B1F3; TEN-5287C35B15B1; TEN-834434DB6B68; TEN-89AA1F9C78E6; TEN-E975E0EC9394; TEN-F01F46101559; TEN-FD8D253C74F8</x:v>
      </x:c>
      <x:c r="S398" s="12" t="str">
        <x:v>Mixed commercial workplace</x:v>
      </x:c>
      <x:c r="T398" s="12" t="str">
        <x:v>Tenant business-type estimates and reviewed company-scale context.</x:v>
      </x:c>
    </x:row>
    <x:row r="399" ht="64" customHeight="1">
      <x:c r="A399" s="10" t="n">
        <x:v>1</x:v>
      </x:c>
      <x:c r="B399" s="2" t="str">
        <x:v>CORP-0403</x:v>
      </x:c>
      <x:c r="C399" s="2" t="str">
        <x:v>Pune</x:v>
      </x:c>
      <x:c r="D399" s="2" t="str">
        <x:v>MSVPP3E1</x:v>
      </x:c>
      <x:c r="E399" s="12" t="str">
        <x:v>Oyo Workspace - Innov8 Suman Business Park</x:v>
      </x:c>
      <x:c r="F399" s="12" t="str">
        <x:v>Kalyani Nagar</x:v>
      </x:c>
      <x:c r="G399" s="11" t="n">
        <x:v>2</x:v>
      </x:c>
      <x:c r="H399" s="2" t="str">
        <x:v>32 inch LED TV</x:v>
      </x:c>
      <x:c r="I399" s="12" t="str">
        <x:v>The Oriental Insurance Co.Ltd; TATA Community Initiatives Trust; Tasty Bite Eatables Limited; ATC Telecom Infrastructure; RevalAnalytical Services; Racold Thermo Limited; LUJO AUTOCORP; Indian Register of Shipping; Softech Technologies Global; Rivulis Irrigation India Pvt.Ltd; Religare Securities</x:v>
      </x:c>
      <x:c r="J399" s="2" t="n">
        <x:v>11</x:v>
      </x:c>
      <x:c r="K399" s="12" t="str">
        <x:v>Inventory-listed building/workspace context; current occupancy and screen access unverified</x:v>
      </x:c>
      <x:c r="L399" s="12" t="str">
        <x:v>IT &amp; digital; Finance &amp; insurance; Engineering &amp; manufacturing; Trade, consumer &amp; logistics; Government &amp; nonprofit; Unresolved</x:v>
      </x:c>
      <x:c r="M399" s="12" t="str">
        <x:v>Small-scale prospects; Medium-scale prospects; Institutional; Mixed business audience</x:v>
      </x:c>
      <x:c r="N399" s="12" t="str">
        <x:v>MAIN-407</x:v>
      </x:c>
      <x:c r="O399" s="13" t="n">
        <x:v>18.54604066</x:v>
      </x:c>
      <x:c r="P399" s="13" t="n">
        <x:v>73.9067271</x:v>
      </x:c>
      <x:c r="Q399" s="2" t="str">
        <x:v>https://www.google.com/maps?q=18.54604066,73.9067271</x:v>
      </x:c>
      <x:c r="R399" s="2" t="str">
        <x:v>TEN-03D5A073B430; TEN-047619AF3AB9; TEN-0A337D28CD0B; TEN-0AD3D799437B; TEN-2FCA526E6EBB; TEN-487AAAFE33F4; TEN-4E958160A031; TEN-56FA58CE1FC6; TEN-81BA24BC70DD; TEN-89794163A43F; TEN-F877D8925526</x:v>
      </x:c>
      <x:c r="S399" s="12" t="str">
        <x:v>Flexible workspace / mixed businesses</x:v>
      </x:c>
      <x:c r="T399" s="12" t="str">
        <x:v>Tenant business-type estimates and reviewed company-scale context.</x:v>
      </x:c>
    </x:row>
    <x:row r="400" ht="64" customHeight="1">
      <x:c r="A400" s="10" t="n">
        <x:v>1</x:v>
      </x:c>
      <x:c r="B400" s="2" t="str">
        <x:v>CORP-0404</x:v>
      </x:c>
      <x:c r="C400" s="2" t="str">
        <x:v>Pune</x:v>
      </x:c>
      <x:c r="D400" s="2" t="str">
        <x:v>MS4MJ8VY</x:v>
      </x:c>
      <x:c r="E400" s="12" t="str">
        <x:v>Panchshil Viman Nagar (TS)</x:v>
      </x:c>
      <x:c r="F400" s="12" t="str">
        <x:v>Viman Nagar</x:v>
      </x:c>
      <x:c r="G400" s="11" t="n">
        <x:v>1</x:v>
      </x:c>
      <x:c r="H400" s="2" t="str">
        <x:v>55 inch LED TV</x:v>
      </x:c>
      <x:c r="I400" s="12" t="str"/>
      <x:c r="J400" s="2" t="n">
        <x:v>0</x:v>
      </x:c>
      <x:c r="K400" s="12" t="str">
        <x:v>Unresolved; no supported tenant names</x:v>
      </x:c>
      <x:c r="L400" s="12" t="str">
        <x:v>Unclassified</x:v>
      </x:c>
      <x:c r="M400" s="12" t="str">
        <x:v>Mixed business audience</x:v>
      </x:c>
      <x:c r="N400" s="12" t="str">
        <x:v>MAIN-408</x:v>
      </x:c>
      <x:c r="O400" s="13" t="n">
        <x:v>18.562477111816406</x:v>
      </x:c>
      <x:c r="P400" s="13" t="n">
        <x:v>73.91664123535156</x:v>
      </x:c>
      <x:c r="Q400" s="2" t="str">
        <x:v>https://www.google.com/maps?q=18.562477111816406,73.91664123535156</x:v>
      </x:c>
      <x:c r="R400" s="2" t="str"/>
      <x:c r="S400" s="12" t="str">
        <x:v>Managed business offices</x:v>
      </x:c>
      <x:c r="T400" s="12" t="str">
        <x:v>Table Space identifies Panchshil Viman Nagar managed offices; Panchshil identifies its East business park in Viman Nagar. Exact Table Space floor/screen requires booking confirmation.</x:v>
      </x:c>
    </x:row>
    <x:row r="401" ht="64" customHeight="1">
      <x:c r="A401" s="10" t="n">
        <x:v>1</x:v>
      </x:c>
      <x:c r="B401" s="2" t="str">
        <x:v>CORP-0405</x:v>
      </x:c>
      <x:c r="C401" s="2" t="str">
        <x:v>Pune</x:v>
      </x:c>
      <x:c r="D401" s="2" t="str">
        <x:v>MSCZVKY5</x:v>
      </x:c>
      <x:c r="E401" s="12" t="str">
        <x:v>Pavillion Mall (Redbrick Offices)</x:v>
      </x:c>
      <x:c r="F401" s="12" t="str">
        <x:v>Shivajinagar</x:v>
      </x:c>
      <x:c r="G401" s="11" t="n">
        <x:v>1</x:v>
      </x:c>
      <x:c r="H401" s="2" t="str">
        <x:v>32 inch LED TV</x:v>
      </x:c>
      <x:c r="I401" s="12" t="str">
        <x:v>Xcaliber Infotech Pvt. Ltd; Golden Ratio Consulting Private Limited; LogicMonitor; Anju Life Sciences Private Limited</x:v>
      </x:c>
      <x:c r="J401" s="2" t="n">
        <x:v>4</x:v>
      </x:c>
      <x:c r="K401" s="12" t="str">
        <x:v>Inventory-listed building/workspace context; current occupancy and screen access unverified</x:v>
      </x:c>
      <x:c r="L401" s="12" t="str">
        <x:v>IT &amp; digital; Professional services; Healthcare &amp; life sciences</x:v>
      </x:c>
      <x:c r="M401" s="12" t="str">
        <x:v>Small-scale prospects; Medium-scale prospects; Mixed business audience</x:v>
      </x:c>
      <x:c r="N401" s="12" t="str">
        <x:v>MAIN-409</x:v>
      </x:c>
      <x:c r="O401" s="13" t="n">
        <x:v>18.533972</x:v>
      </x:c>
      <x:c r="P401" s="13" t="n">
        <x:v>73.829621</x:v>
      </x:c>
      <x:c r="Q401" s="2" t="str">
        <x:v>https://www.google.com/maps?q=18.533972,73.829621</x:v>
      </x:c>
      <x:c r="R401" s="2" t="str">
        <x:v>TEN-06CA3A8EC4E5; TEN-8811A6E72E7C; TEN-AA07CBFFEF18; TEN-EC11082DA4CE</x:v>
      </x:c>
      <x:c r="S401" s="12" t="str">
        <x:v>Multi-tenant business offices</x:v>
      </x:c>
      <x:c r="T401" s="12" t="str">
        <x:v>Tenant business-type estimates and reviewed company-scale context.</x:v>
      </x:c>
    </x:row>
    <x:row r="402" ht="64" customHeight="1">
      <x:c r="A402" s="10" t="n">
        <x:v>1</x:v>
      </x:c>
      <x:c r="B402" s="2" t="str">
        <x:v>CORP-0406</x:v>
      </x:c>
      <x:c r="C402" s="2" t="str">
        <x:v>Pune</x:v>
      </x:c>
      <x:c r="D402" s="2" t="str">
        <x:v>MSK1R0HZ</x:v>
      </x:c>
      <x:c r="E402" s="12" t="str">
        <x:v>PBP Balewadi High Street (Redbrick Offices)</x:v>
      </x:c>
      <x:c r="F402" s="12" t="str">
        <x:v>Baner</x:v>
      </x:c>
      <x:c r="G402" s="11" t="n">
        <x:v>1</x:v>
      </x:c>
      <x:c r="H402" s="2" t="str">
        <x:v>32 inch LED TV</x:v>
      </x:c>
      <x:c r="I402" s="12" t="str">
        <x:v>Nitya IT Solution; Rockwell Automation; John Crane Sealing Systems I Pvt Ltd; Shivam Logistics Movers and Packers; Xseven Marketing</x:v>
      </x:c>
      <x:c r="J402" s="2" t="n">
        <x:v>5</x:v>
      </x:c>
      <x:c r="K402" s="12" t="str">
        <x:v>Campus/portfolio roster; individual building occupancy unverified</x:v>
      </x:c>
      <x:c r="L402" s="12" t="str">
        <x:v>Professional services; Engineering &amp; manufacturing; Trade, consumer &amp; logistics; Unresolved</x:v>
      </x:c>
      <x:c r="M402" s="12" t="str">
        <x:v>Small-scale prospects; Medium-scale prospects; Mixed business audience</x:v>
      </x:c>
      <x:c r="N402" s="12" t="str">
        <x:v>MAIN-410</x:v>
      </x:c>
      <x:c r="O402" s="13" t="n">
        <x:v>18.572332</x:v>
      </x:c>
      <x:c r="P402" s="13" t="n">
        <x:v>73.773389</x:v>
      </x:c>
      <x:c r="Q402" s="2" t="str">
        <x:v>https://www.google.com/maps?q=18.572332,73.773389</x:v>
      </x:c>
      <x:c r="R402" s="2" t="str">
        <x:v>TEN-3494B3B134A1; TEN-3FAC3110656F; TEN-807B0FE3F8D3; TEN-CD9B8AD2B916; TEN-DA5DBDFC224C</x:v>
      </x:c>
      <x:c r="S402" s="12" t="str">
        <x:v>Multi-tenant business offices</x:v>
      </x:c>
      <x:c r="T402" s="12" t="str">
        <x:v>Tenant business-type estimates and reviewed company-scale context.</x:v>
      </x:c>
    </x:row>
    <x:row r="403" ht="64" customHeight="1">
      <x:c r="A403" s="10" t="n">
        <x:v>1</x:v>
      </x:c>
      <x:c r="B403" s="2" t="str">
        <x:v>CORP-0407</x:v>
      </x:c>
      <x:c r="C403" s="2" t="str">
        <x:v>Pune</x:v>
      </x:c>
      <x:c r="D403" s="2" t="str">
        <x:v>MSB9DEPS</x:v>
      </x:c>
      <x:c r="E403" s="12" t="str">
        <x:v>Raheja Mindspace - The Square</x:v>
      </x:c>
      <x:c r="F403" s="12" t="str">
        <x:v>Wadgaon Sheri</x:v>
      </x:c>
      <x:c r="G403" s="11" t="n">
        <x:v>1</x:v>
      </x:c>
      <x:c r="H403" s="2" t="str">
        <x:v>55 inch LED TV</x:v>
      </x:c>
      <x:c r="I403" s="12" t="str"/>
      <x:c r="J403" s="2" t="n">
        <x:v>0</x:v>
      </x:c>
      <x:c r="K403" s="12" t="str">
        <x:v>Unresolved; no supported tenant names</x:v>
      </x:c>
      <x:c r="L403" s="12" t="str">
        <x:v>Unclassified</x:v>
      </x:c>
      <x:c r="M403" s="12" t="str">
        <x:v>Mixed business audience</x:v>
      </x:c>
      <x:c r="N403" s="12" t="str">
        <x:v>MAIN-411</x:v>
      </x:c>
      <x:c r="O403" s="13" t="n">
        <x:v>18.560178756713867</x:v>
      </x:c>
      <x:c r="P403" s="13" t="n">
        <x:v>73.92035675048828</x:v>
      </x:c>
      <x:c r="Q403" s="2" t="str">
        <x:v>https://www.google.com/maps?q=18.560178756713867,73.92035675048828</x:v>
      </x:c>
      <x:c r="R403" s="2" t="str"/>
      <x:c r="S403" s="12" t="str">
        <x:v>Enterprise business offices</x:v>
      </x:c>
      <x:c r="T403" s="12" t="str">
        <x:v>Mindspace describes The Square as two office buildings in Wadgaon Sheri/Nagar Road and identifies financial/business-service context in its property list. Property-level sector context, not named tenant attribution to the screen.</x:v>
      </x:c>
    </x:row>
    <x:row r="404" ht="64" customHeight="1">
      <x:c r="A404" s="10" t="n">
        <x:v>1</x:v>
      </x:c>
      <x:c r="B404" s="2" t="str">
        <x:v>CORP-0408</x:v>
      </x:c>
      <x:c r="C404" s="2" t="str">
        <x:v>Pune</x:v>
      </x:c>
      <x:c r="D404" s="2" t="str">
        <x:v>MSAA691M</x:v>
      </x:c>
      <x:c r="E404" s="12" t="str">
        <x:v>Raheja Mindspaces - Kharadi</x:v>
      </x:c>
      <x:c r="F404" s="12" t="str">
        <x:v>Kharadi</x:v>
      </x:c>
      <x:c r="G404" s="11" t="n">
        <x:v>3</x:v>
      </x:c>
      <x:c r="H404" s="2" t="str">
        <x:v>55 inch LED TV</x:v>
      </x:c>
      <x:c r="I404" s="12" t="str"/>
      <x:c r="J404" s="2" t="n">
        <x:v>0</x:v>
      </x:c>
      <x:c r="K404" s="12" t="str">
        <x:v>Unresolved; no supported tenant names</x:v>
      </x:c>
      <x:c r="L404" s="12" t="str">
        <x:v>Unclassified</x:v>
      </x:c>
      <x:c r="M404" s="12" t="str">
        <x:v>Mixed business audience</x:v>
      </x:c>
      <x:c r="N404" s="12" t="str">
        <x:v>MAIN-412</x:v>
      </x:c>
      <x:c r="O404" s="13" t="n">
        <x:v>18.554506301879883</x:v>
      </x:c>
      <x:c r="P404" s="13" t="n">
        <x:v>73.95805358886719</x:v>
      </x:c>
      <x:c r="Q404" s="2" t="str">
        <x:v>https://www.google.com/maps?q=18.554506301879883,73.95805358886719</x:v>
      </x:c>
      <x:c r="R404" s="2" t="str"/>
      <x:c r="S404" s="12" t="str">
        <x:v>Enterprise office campus</x:v>
      </x:c>
      <x:c r="T404" s="12" t="str">
        <x:v>Mindspace describes Gera Commerzone Kharadi as an office campus attracting multinational occupiers. Inventory abbreviated Mindspaces Kharadi is matched at campus level. No tower-specific tenant attribution.</x:v>
      </x:c>
    </x:row>
    <x:row r="405" ht="64" customHeight="1">
      <x:c r="A405" s="10" t="n">
        <x:v>1</x:v>
      </x:c>
      <x:c r="B405" s="2" t="str">
        <x:v>CORP-0409</x:v>
      </x:c>
      <x:c r="C405" s="2" t="str">
        <x:v>Pune</x:v>
      </x:c>
      <x:c r="D405" s="2" t="str">
        <x:v>MSH24BK7</x:v>
      </x:c>
      <x:c r="E405" s="12" t="str">
        <x:v>Raheja Mindspaces - Yerawada</x:v>
      </x:c>
      <x:c r="F405" s="12" t="str">
        <x:v>Yerwada</x:v>
      </x:c>
      <x:c r="G405" s="11" t="n">
        <x:v>2</x:v>
      </x:c>
      <x:c r="H405" s="2" t="str">
        <x:v>55 inch LED TV</x:v>
      </x:c>
      <x:c r="I405" s="12" t="str">
        <x:v>UBS; Cadence; Tata Consultancy Services; Prins Venture; ABS; Queen Street; Inventive Health; Vodafone; Amazon; Aptify; BNY Mellon; Tea Post; Bajaj Allianz; Tibco; Schlumberger</x:v>
      </x:c>
      <x:c r="J405" s="2" t="n">
        <x:v>15</x:v>
      </x:c>
      <x:c r="K405" s="12" t="str">
        <x:v>Inventory-listed building/workspace context; current occupancy and screen access unverified</x:v>
      </x:c>
      <x:c r="L405" s="12" t="str">
        <x:v>IT &amp; digital; Finance &amp; insurance; Engineering &amp; manufacturing; Healthcare &amp; life sciences; Trade, consumer &amp; logistics; Unresolved</x:v>
      </x:c>
      <x:c r="M405" s="12" t="str">
        <x:v>Large enterprise; Mixed business audience</x:v>
      </x:c>
      <x:c r="N405" s="12" t="str">
        <x:v>MAIN-413</x:v>
      </x:c>
      <x:c r="O405" s="13" t="n">
        <x:v>18.563283920288086</x:v>
      </x:c>
      <x:c r="P405" s="13" t="n">
        <x:v>73.88459014892578</x:v>
      </x:c>
      <x:c r="Q405" s="2" t="str">
        <x:v>https://www.google.com/maps?q=18.563283920288086,73.88459014892578</x:v>
      </x:c>
      <x:c r="R405" s="2" t="str">
        <x:v>TEN-0D8D7B583F99; TEN-4F6B9E1C24D9; TEN-5FA790F3630F; TEN-62F2CF2F4744; TEN-78DA4A596A88; TEN-AE00016741A7; TEN-BA46922C1A73; TEN-C09DEE999673; TEN-CBC62794911F; TEN-D83FDFEE4416; TEN-E9992F5DAD60; TEN-EE841894B95B; TEN-EFA1AA1770B7; TEN-F5D48E8663A5; TEN-FB73478A8028</x:v>
      </x:c>
      <x:c r="S405" s="12" t="str">
        <x:v>IT and enterprise campus</x:v>
      </x:c>
      <x:c r="T405" s="12" t="str">
        <x:v>Tenant business-type estimates and reviewed company-scale context.</x:v>
      </x:c>
    </x:row>
    <x:row r="406" ht="64" customHeight="1">
      <x:c r="A406" s="10" t="n">
        <x:v>1</x:v>
      </x:c>
      <x:c r="B406" s="2" t="str">
        <x:v>CORP-0410</x:v>
      </x:c>
      <x:c r="C406" s="2" t="str">
        <x:v>Pune</x:v>
      </x:c>
      <x:c r="D406" s="2" t="str">
        <x:v>MSG7P47S</x:v>
      </x:c>
      <x:c r="E406" s="12" t="str">
        <x:v>Smartworks Amar Madhuban Tech Park</x:v>
      </x:c>
      <x:c r="F406" s="12" t="str">
        <x:v>Baner</x:v>
      </x:c>
      <x:c r="G406" s="11" t="n">
        <x:v>3</x:v>
      </x:c>
      <x:c r="H406" s="2" t="str">
        <x:v>43 inch LED TV</x:v>
      </x:c>
      <x:c r="I406" s="12" t="str">
        <x:v>Larsen &amp; Toubro Technology Services; ITHENA Technologies Pvt. Ltd; Tridiagonal Solution Pvt. Ltd</x:v>
      </x:c>
      <x:c r="J406" s="2" t="n">
        <x:v>3</x:v>
      </x:c>
      <x:c r="K406" s="12" t="str">
        <x:v>Inventory-listed building/workspace context; current occupancy and screen access unverified</x:v>
      </x:c>
      <x:c r="L406" s="12" t="str">
        <x:v>IT &amp; digital; Engineering &amp; manufacturing</x:v>
      </x:c>
      <x:c r="M406" s="12" t="str">
        <x:v>Small-scale prospects; Medium-scale prospects; Large enterprise</x:v>
      </x:c>
      <x:c r="N406" s="12" t="str">
        <x:v>MAIN-414</x:v>
      </x:c>
      <x:c r="O406" s="13" t="n">
        <x:v>18.568288803100586</x:v>
      </x:c>
      <x:c r="P406" s="13" t="n">
        <x:v>73.76742553710938</x:v>
      </x:c>
      <x:c r="Q406" s="2" t="str">
        <x:v>https://www.google.com/maps?q=18.568288803100586,73.76742553710938</x:v>
      </x:c>
      <x:c r="R406" s="2" t="str">
        <x:v>TEN-53D60BF43086; TEN-F0BE48C951D0; TEN-F56CF5CC1A07</x:v>
      </x:c>
      <x:c r="S406" s="12" t="str">
        <x:v>Flexible workspace / mixed businesses</x:v>
      </x:c>
      <x:c r="T406" s="12" t="str">
        <x:v>Tenant business-type estimates and reviewed company-scale context.</x:v>
      </x:c>
    </x:row>
    <x:row r="407" ht="75" customHeight="1">
      <x:c r="A407" s="10" t="n">
        <x:v>1</x:v>
      </x:c>
      <x:c r="B407" s="2" t="str">
        <x:v>CORP-0411</x:v>
      </x:c>
      <x:c r="C407" s="2" t="str">
        <x:v>Pune</x:v>
      </x:c>
      <x:c r="D407" s="2" t="str">
        <x:v>MSVQ0WTQ</x:v>
      </x:c>
      <x:c r="E407" s="12" t="str">
        <x:v>The Powerpoint Coworking Space</x:v>
      </x:c>
      <x:c r="F407" s="12" t="str">
        <x:v>Balewadi</x:v>
      </x:c>
      <x:c r="G407" s="11" t="n">
        <x:v>1</x:v>
      </x:c>
      <x:c r="H407" s="2" t="str">
        <x:v>32 inch LED TV</x:v>
      </x:c>
      <x:c r="I407" s="12" t="str">
        <x:v>DSK Detective Agency Pune; dynamic health studio; Talentracker Technologies CCW; Eatsure food court; Rahul shiksha academy; Ping pong entertainment; Charterd Coworks; Core project engineer and consultant; We Idliwale Baroom; kyansh construction pvt ltd; Clyde Industries pvt ltd; GTS technosoft pvt ltd</x:v>
      </x:c>
      <x:c r="J407" s="2" t="n">
        <x:v>12</x:v>
      </x:c>
      <x:c r="K407" s="12" t="str">
        <x:v>Inventory-listed building/workspace context; current occupancy and screen access unverified</x:v>
      </x:c>
      <x:c r="L407" s="12" t="str">
        <x:v>Professional services; Engineering &amp; manufacturing; Healthcare &amp; life sciences; Education; Trade, consumer &amp; logistics; Workspace &amp; property operations; Unresolved</x:v>
      </x:c>
      <x:c r="M407" s="12" t="str">
        <x:v>Small-scale prospects; Medium-scale prospects; Mixed business audience</x:v>
      </x:c>
      <x:c r="N407" s="12" t="str">
        <x:v>MAIN-415</x:v>
      </x:c>
      <x:c r="O407" s="13" t="n">
        <x:v>18.57042</x:v>
      </x:c>
      <x:c r="P407" s="13" t="n">
        <x:v>73.769685</x:v>
      </x:c>
      <x:c r="Q407" s="2" t="str">
        <x:v>https://www.google.com/maps?q=18.57042,73.769685</x:v>
      </x:c>
      <x:c r="R407" s="2" t="str">
        <x:v>TEN-1D042210FE01; TEN-313934832607; TEN-34B4DA2E643E; TEN-39AE983C4636; TEN-9214F6CD648F; TEN-A2E949894464; TEN-B89A12E50ABA; TEN-BABF16146449; TEN-BC5D38FDFD90; TEN-BC7208810F72; TEN-C2243270963A; TEN-DF3CFF77814A</x:v>
      </x:c>
      <x:c r="S407" s="12" t="str">
        <x:v>Flexible workspace / mixed businesses</x:v>
      </x:c>
      <x:c r="T407" s="12" t="str">
        <x:v>Tenant business-type estimates and reviewed company-scale context.</x:v>
      </x:c>
    </x:row>
    <x:row r="408" ht="64" customHeight="1">
      <x:c r="A408" s="10" t="n">
        <x:v>1</x:v>
      </x:c>
      <x:c r="B408" s="2" t="str">
        <x:v>CORP-0412</x:v>
      </x:c>
      <x:c r="C408" s="2" t="str">
        <x:v>Pune</x:v>
      </x:c>
      <x:c r="D408" s="2" t="str">
        <x:v>MS836GR9</x:v>
      </x:c>
      <x:c r="E408" s="12" t="str">
        <x:v>WeWork - Amanora</x:v>
      </x:c>
      <x:c r="F408" s="12" t="str">
        <x:v>Magarpatta</x:v>
      </x:c>
      <x:c r="G408" s="11" t="n">
        <x:v>2</x:v>
      </x:c>
      <x:c r="H408" s="2" t="str">
        <x:v>43 inch LED TV</x:v>
      </x:c>
      <x:c r="I408" s="12" t="str">
        <x:v>WeWork (workspace operator inferred from property name; tenant occupants unconfirmed)</x:v>
      </x:c>
      <x:c r="J408" s="2" t="n">
        <x:v>1</x:v>
      </x:c>
      <x:c r="K408" s="12" t="str">
        <x:v>Workspace operator inferred from explicit property name; tenant occupants unconfirmed</x:v>
      </x:c>
      <x:c r="L408" s="12" t="str">
        <x:v>Workspace &amp; property operations</x:v>
      </x:c>
      <x:c r="M408" s="12" t="str">
        <x:v>Mixed business audience</x:v>
      </x:c>
      <x:c r="N408" s="12" t="str">
        <x:v>MAIN-416</x:v>
      </x:c>
      <x:c r="O408" s="13" t="n">
        <x:v>18.518089294433594</x:v>
      </x:c>
      <x:c r="P408" s="13" t="n">
        <x:v>73.93472290039062</x:v>
      </x:c>
      <x:c r="Q408" s="2" t="str">
        <x:v>https://www.google.com/maps?q=18.518089294433594,73.93472290039062</x:v>
      </x:c>
      <x:c r="R408" s="2" t="str">
        <x:v>TEN-5B81D52D4310</x:v>
      </x:c>
      <x:c r="S408" s="12" t="str">
        <x:v>Flexible workspace / mixed businesses</x:v>
      </x:c>
      <x:c r="T408" s="12" t="str">
        <x:v>Tenant business-type estimates and reviewed company-scale context.</x:v>
      </x:c>
    </x:row>
    <x:row r="409" ht="64" customHeight="1">
      <x:c r="A409" s="10" t="n">
        <x:v>1</x:v>
      </x:c>
      <x:c r="B409" s="2" t="str">
        <x:v>CORP-0413</x:v>
      </x:c>
      <x:c r="C409" s="2" t="str">
        <x:v>Pune</x:v>
      </x:c>
      <x:c r="D409" s="2" t="str">
        <x:v>MSCK7GXB</x:v>
      </x:c>
      <x:c r="E409" s="12" t="str">
        <x:v>Wework - Eleven West</x:v>
      </x:c>
      <x:c r="F409" s="12" t="str">
        <x:v>Baner</x:v>
      </x:c>
      <x:c r="G409" s="11" t="n">
        <x:v>4</x:v>
      </x:c>
      <x:c r="H409" s="2" t="str">
        <x:v>43 inch LED TV</x:v>
      </x:c>
      <x:c r="I409" s="12" t="str">
        <x:v>Sudharsan Chemical industries LTD</x:v>
      </x:c>
      <x:c r="J409" s="2" t="n">
        <x:v>1</x:v>
      </x:c>
      <x:c r="K409" s="12" t="str">
        <x:v>Inventory-listed building/workspace context; current occupancy and screen access unverified</x:v>
      </x:c>
      <x:c r="L409" s="12" t="str">
        <x:v>Engineering &amp; manufacturing</x:v>
      </x:c>
      <x:c r="M409" s="12" t="str">
        <x:v>Mixed business audience</x:v>
      </x:c>
      <x:c r="N409" s="12" t="str">
        <x:v>MAIN-417</x:v>
      </x:c>
      <x:c r="O409" s="13" t="n">
        <x:v>18.556555</x:v>
      </x:c>
      <x:c r="P409" s="13" t="n">
        <x:v>73.78379</x:v>
      </x:c>
      <x:c r="Q409" s="2" t="str">
        <x:v>https://www.google.com/maps?q=18.556555,73.78379</x:v>
      </x:c>
      <x:c r="R409" s="2" t="str">
        <x:v>TEN-40CBF518E84A</x:v>
      </x:c>
      <x:c r="S409" s="12" t="str">
        <x:v>Flexible workspace / mixed businesses</x:v>
      </x:c>
      <x:c r="T409" s="12" t="str">
        <x:v>Tenant business-type estimates and reviewed company-scale context.</x:v>
      </x:c>
    </x:row>
    <x:row r="410" ht="64" customHeight="1">
      <x:c r="A410" s="10" t="n">
        <x:v>1</x:v>
      </x:c>
      <x:c r="B410" s="2" t="str">
        <x:v>CORP-0414</x:v>
      </x:c>
      <x:c r="C410" s="2" t="str">
        <x:v>Pune</x:v>
      </x:c>
      <x:c r="D410" s="2" t="str">
        <x:v>MS5H220Q</x:v>
      </x:c>
      <x:c r="E410" s="12" t="str">
        <x:v>WeWork - EON IT Park</x:v>
      </x:c>
      <x:c r="F410" s="12" t="str">
        <x:v>Kharadi</x:v>
      </x:c>
      <x:c r="G410" s="11" t="n">
        <x:v>1</x:v>
      </x:c>
      <x:c r="H410" s="2" t="str">
        <x:v>43 inch LED TV</x:v>
      </x:c>
      <x:c r="I410" s="12" t="str">
        <x:v>WeWork (workspace operator inferred from property name; tenant occupants unconfirmed)</x:v>
      </x:c>
      <x:c r="J410" s="2" t="n">
        <x:v>1</x:v>
      </x:c>
      <x:c r="K410" s="12" t="str">
        <x:v>Workspace operator inferred from explicit property name; tenant occupants unconfirmed</x:v>
      </x:c>
      <x:c r="L410" s="12" t="str">
        <x:v>Workspace &amp; property operations</x:v>
      </x:c>
      <x:c r="M410" s="12" t="str">
        <x:v>Mixed business audience</x:v>
      </x:c>
      <x:c r="N410" s="12" t="str">
        <x:v>MAIN-418</x:v>
      </x:c>
      <x:c r="O410" s="13" t="n">
        <x:v>18.55091667175293</x:v>
      </x:c>
      <x:c r="P410" s="13" t="n">
        <x:v>73.95040893554688</x:v>
      </x:c>
      <x:c r="Q410" s="2" t="str">
        <x:v>https://www.google.com/maps?q=18.55091667175293,73.95040893554688</x:v>
      </x:c>
      <x:c r="R410" s="2" t="str">
        <x:v>TEN-5B81D52D4310</x:v>
      </x:c>
      <x:c r="S410" s="12" t="str">
        <x:v>Flexible workspace / mixed businesses</x:v>
      </x:c>
      <x:c r="T410" s="12" t="str">
        <x:v>Tenant business-type estimates and reviewed company-scale context.</x:v>
      </x:c>
    </x:row>
    <x:row r="411" ht="64" customHeight="1">
      <x:c r="A411" s="10" t="n">
        <x:v>1</x:v>
      </x:c>
      <x:c r="B411" s="2" t="str">
        <x:v>CORP-0415</x:v>
      </x:c>
      <x:c r="C411" s="2" t="str">
        <x:v>Pune</x:v>
      </x:c>
      <x:c r="D411" s="2" t="str">
        <x:v>MS9WTYS2</x:v>
      </x:c>
      <x:c r="E411" s="12" t="str">
        <x:v>WeWork - Futura</x:v>
      </x:c>
      <x:c r="F411" s="12" t="str">
        <x:v>Magarpatta city</x:v>
      </x:c>
      <x:c r="G411" s="11" t="n">
        <x:v>2</x:v>
      </x:c>
      <x:c r="H411" s="2" t="str">
        <x:v>43 inch LED TV</x:v>
      </x:c>
      <x:c r="I411" s="12" t="str">
        <x:v>Sai baba autowheels; Janizga Spa; MSCI</x:v>
      </x:c>
      <x:c r="J411" s="2" t="n">
        <x:v>3</x:v>
      </x:c>
      <x:c r="K411" s="12" t="str">
        <x:v>Inventory-listed building/workspace context; current occupancy and screen access unverified</x:v>
      </x:c>
      <x:c r="L411" s="12" t="str">
        <x:v>Finance &amp; insurance; Trade, consumer &amp; logistics; Unresolved</x:v>
      </x:c>
      <x:c r="M411" s="12" t="str">
        <x:v>Small-scale prospects; Mixed business audience</x:v>
      </x:c>
      <x:c r="N411" s="12" t="str">
        <x:v>MAIN-419</x:v>
      </x:c>
      <x:c r="O411" s="13" t="n">
        <x:v>18.52035903930664</x:v>
      </x:c>
      <x:c r="P411" s="13" t="n">
        <x:v>73.93233489990234</x:v>
      </x:c>
      <x:c r="Q411" s="2" t="str">
        <x:v>https://www.google.com/maps?q=18.52035903930664,73.93233489990234</x:v>
      </x:c>
      <x:c r="R411" s="2" t="str">
        <x:v>TEN-05BAAC1A6C05; TEN-752C9AB593B6; TEN-A8C9C0A3E774</x:v>
      </x:c>
      <x:c r="S411" s="12" t="str">
        <x:v>Flexible workspace / mixed businesses</x:v>
      </x:c>
      <x:c r="T411" s="12" t="str">
        <x:v>Tenant business-type estimates and reviewed company-scale context.</x:v>
      </x:c>
    </x:row>
    <x:row r="412" ht="64" customHeight="1">
      <x:c r="A412" s="10" t="n">
        <x:v>1</x:v>
      </x:c>
      <x:c r="B412" s="2" t="str">
        <x:v>CORP-0416</x:v>
      </x:c>
      <x:c r="C412" s="2" t="str">
        <x:v>Pune</x:v>
      </x:c>
      <x:c r="D412" s="2" t="str">
        <x:v>MS5A6818</x:v>
      </x:c>
      <x:c r="E412" s="12" t="str">
        <x:v>WeWork - Raheja Woods</x:v>
      </x:c>
      <x:c r="F412" s="12" t="str">
        <x:v>Kalyani Nagar</x:v>
      </x:c>
      <x:c r="G412" s="11" t="n">
        <x:v>6</x:v>
      </x:c>
      <x:c r="H412" s="2" t="str">
        <x:v>43 inch LED TV</x:v>
      </x:c>
      <x:c r="I412" s="12" t="str">
        <x:v>Khaitan &amp; Co</x:v>
      </x:c>
      <x:c r="J412" s="2" t="n">
        <x:v>1</x:v>
      </x:c>
      <x:c r="K412" s="12" t="str">
        <x:v>Inventory-listed building/workspace context; current occupancy and screen access unverified</x:v>
      </x:c>
      <x:c r="L412" s="12" t="str">
        <x:v>Professional services</x:v>
      </x:c>
      <x:c r="M412" s="12" t="str">
        <x:v>Large enterprise</x:v>
      </x:c>
      <x:c r="N412" s="12" t="str">
        <x:v>MAIN-420</x:v>
      </x:c>
      <x:c r="O412" s="13" t="n">
        <x:v>18.5461368560791</x:v>
      </x:c>
      <x:c r="P412" s="13" t="n">
        <x:v>73.89569854736328</x:v>
      </x:c>
      <x:c r="Q412" s="2" t="str">
        <x:v>https://www.google.com/maps?q=18.5461368560791,73.89569854736328</x:v>
      </x:c>
      <x:c r="R412" s="2" t="str">
        <x:v>TEN-0343379BA4A0</x:v>
      </x:c>
      <x:c r="S412" s="12" t="str">
        <x:v>Flexible workspace / mixed businesses</x:v>
      </x:c>
      <x:c r="T412" s="12" t="str">
        <x:v>Tenant business-type estimates and reviewed company-scale context.</x:v>
      </x:c>
    </x:row>
    <x:row r="413" ht="64" customHeight="1">
      <x:c r="A413" s="10" t="n">
        <x:v>1</x:v>
      </x:c>
      <x:c r="B413" s="2" t="str">
        <x:v>CORP-0417</x:v>
      </x:c>
      <x:c r="C413" s="2" t="str">
        <x:v>Pune</x:v>
      </x:c>
      <x:c r="D413" s="2" t="str">
        <x:v>MSK541ND</x:v>
      </x:c>
      <x:c r="E413" s="12" t="str">
        <x:v>WeWork - World Trade Centre</x:v>
      </x:c>
      <x:c r="F413" s="12" t="str">
        <x:v>MIDC</x:v>
      </x:c>
      <x:c r="G413" s="11" t="n">
        <x:v>4</x:v>
      </x:c>
      <x:c r="H413" s="2" t="str">
        <x:v>43 inch LED TV</x:v>
      </x:c>
      <x:c r="I413" s="12" t="str">
        <x:v>GWESOFT LLP</x:v>
      </x:c>
      <x:c r="J413" s="2" t="n">
        <x:v>1</x:v>
      </x:c>
      <x:c r="K413" s="12" t="str">
        <x:v>Inventory-listed building/workspace context; current occupancy and screen access unverified</x:v>
      </x:c>
      <x:c r="L413" s="12" t="str">
        <x:v>IT &amp; digital</x:v>
      </x:c>
      <x:c r="M413" s="12" t="str">
        <x:v>Small-scale prospects</x:v>
      </x:c>
      <x:c r="N413" s="12" t="str">
        <x:v>MAIN-421</x:v>
      </x:c>
      <x:c r="O413" s="13" t="n">
        <x:v>18.54941177368164</x:v>
      </x:c>
      <x:c r="P413" s="13" t="n">
        <x:v>73.94747161865234</x:v>
      </x:c>
      <x:c r="Q413" s="2" t="str">
        <x:v>https://www.google.com/maps?q=18.54941177368164,73.94747161865234</x:v>
      </x:c>
      <x:c r="R413" s="2" t="str">
        <x:v>TEN-908D8D983772</x:v>
      </x:c>
      <x:c r="S413" s="12" t="str">
        <x:v>Flexible workspace / mixed businesses</x:v>
      </x:c>
      <x:c r="T413" s="12" t="str">
        <x:v>Tenant business-type estimates and reviewed company-scale context.</x:v>
      </x:c>
    </x:row>
    <x:row r="414" ht="64" customHeight="1">
      <x:c r="A414" s="10" t="n">
        <x:v>1</x:v>
      </x:c>
      <x:c r="B414" s="2" t="str">
        <x:v>CORP-0418</x:v>
      </x:c>
      <x:c r="C414" s="2" t="str">
        <x:v>Pune</x:v>
      </x:c>
      <x:c r="D414" s="2" t="str">
        <x:v>MSWZ699J</x:v>
      </x:c>
      <x:c r="E414" s="12" t="str">
        <x:v>Workflow by Oyo - Icon Tower</x:v>
      </x:c>
      <x:c r="F414" s="12" t="str">
        <x:v>Baner</x:v>
      </x:c>
      <x:c r="G414" s="11" t="n">
        <x:v>3</x:v>
      </x:c>
      <x:c r="H414" s="2" t="str">
        <x:v>32 inch LED TV</x:v>
      </x:c>
      <x:c r="I414" s="12" t="str">
        <x:v>Bajaj Housing finance; Bramasol; Schenell; Athena Health; Ola; State Bank of India; MOJO; Housiey</x:v>
      </x:c>
      <x:c r="J414" s="2" t="n">
        <x:v>8</x:v>
      </x:c>
      <x:c r="K414" s="12" t="str">
        <x:v>Inventory-listed building/workspace context; current occupancy and screen access unverified</x:v>
      </x:c>
      <x:c r="L414" s="12" t="str">
        <x:v>IT &amp; digital; Finance &amp; insurance; Healthcare &amp; life sciences; Trade, consumer &amp; logistics; Unresolved</x:v>
      </x:c>
      <x:c r="M414" s="12" t="str">
        <x:v>Small-scale prospects; Large enterprise; Mixed business audience</x:v>
      </x:c>
      <x:c r="N414" s="12" t="str">
        <x:v>MAIN-422</x:v>
      </x:c>
      <x:c r="O414" s="13" t="n">
        <x:v>18.565308</x:v>
      </x:c>
      <x:c r="P414" s="13" t="n">
        <x:v>73.771582</x:v>
      </x:c>
      <x:c r="Q414" s="2" t="str">
        <x:v>https://www.google.com/maps?q=18.565308,73.771582</x:v>
      </x:c>
      <x:c r="R414" s="2" t="str">
        <x:v>TEN-0C0136DB04F2; TEN-18A174B5F51D; TEN-205EC7DC0390; TEN-243411AB0A80; TEN-55A9F4F8994B; TEN-65326AA32AB9; TEN-B3DEB173436F; TEN-F48B6B2935C5</x:v>
      </x:c>
      <x:c r="S414" s="12" t="str">
        <x:v>Mixed commercial workplace</x:v>
      </x:c>
      <x:c r="T414" s="12" t="str">
        <x:v>Tenant business-type estimates and reviewed company-scale context.</x:v>
      </x:c>
    </x:row>
    <x:row r="415" ht="64" customHeight="1">
      <x:c r="A415" s="10" t="n">
        <x:v>1</x:v>
      </x:c>
      <x:c r="B415" s="2" t="str">
        <x:v>CORP-0419</x:v>
      </x:c>
      <x:c r="C415" s="2" t="str">
        <x:v>Pune</x:v>
      </x:c>
      <x:c r="D415" s="2" t="str">
        <x:v>MSG2XT04</x:v>
      </x:c>
      <x:c r="E415" s="12" t="str">
        <x:v>World Trade Center (TS)</x:v>
      </x:c>
      <x:c r="F415" s="12" t="str">
        <x:v>Kharadi</x:v>
      </x:c>
      <x:c r="G415" s="11" t="n">
        <x:v>1</x:v>
      </x:c>
      <x:c r="H415" s="2" t="str">
        <x:v>55 inch LED TV</x:v>
      </x:c>
      <x:c r="I415" s="12" t="str"/>
      <x:c r="J415" s="2" t="n">
        <x:v>0</x:v>
      </x:c>
      <x:c r="K415" s="12" t="str">
        <x:v>Unresolved; no supported tenant names</x:v>
      </x:c>
      <x:c r="L415" s="12" t="str">
        <x:v>Unclassified</x:v>
      </x:c>
      <x:c r="M415" s="12" t="str">
        <x:v>Mixed business audience</x:v>
      </x:c>
      <x:c r="N415" s="12" t="str">
        <x:v>MAIN-423</x:v>
      </x:c>
      <x:c r="O415" s="13" t="n">
        <x:v>18.553035736083984</x:v>
      </x:c>
      <x:c r="P415" s="13" t="n">
        <x:v>73.94844055175781</x:v>
      </x:c>
      <x:c r="Q415" s="2" t="str">
        <x:v>https://www.google.com/maps?q=18.553035736083984,73.94844055175781</x:v>
      </x:c>
      <x:c r="R415" s="2" t="str"/>
      <x:c r="S415" s="12" t="str">
        <x:v>Technology business park with managed offices</x:v>
      </x:c>
      <x:c r="T415" s="12" t="str">
        <x:v>Panchshil identifies WTC Pune in Kharadi as a five-tower tech park; Table Space identifies its WTC managed workspace. TS suffix suggests managed office context, but the one screen is not equated with all five towers.</x:v>
      </x:c>
    </x:row>
    <x:row r="416" ht="218" customHeight="1">
      <x:c r="A416" s="10" t="n">
        <x:v>1</x:v>
      </x:c>
      <x:c r="B416" s="2" t="str">
        <x:v>CORP-0420</x:v>
      </x:c>
      <x:c r="C416" s="2" t="str">
        <x:v>Bengaluru</x:v>
      </x:c>
      <x:c r="D416" s="2" t="str"/>
      <x:c r="E416" s="12" t="str">
        <x:v>International Tech Park (ITPB)</x:v>
      </x:c>
      <x:c r="F416" s="12" t="str">
        <x:v>Creator - Reception Lobby</x:v>
      </x:c>
      <x:c r="G416" s="11" t="n">
        <x:v>1</x:v>
      </x:c>
      <x:c r="H416" s="2" t="str">
        <x:v>55 inch</x:v>
      </x:c>
      <x:c r="I416" s="12" t="str">
        <x:v>EXA-AG; judge India; Gyansys Infotech; Kaalari Capital; SOA IT; Kyndryl; Reliance; Sycomp; Scientific Games; N.F Simth; Jupiter Intergrated; PPalc Networks; Thoucentric; Denso International; Xandr India; Galax E Solutions; Nokia; Zenmonics Software; Nextgen; Technicolor India; Siemens; Sabre Travel; The Dhanalakshmi Bank; NTT Cloud; Panasoni Life; Glenburn; Infovision; DBA xcom labs; Mentora; RLE; Open Bet; Tyfone; Bharat Sanchar Nigam; Technicolor; Aegis; Revolt Intellicorp Pvt; Tata Communications; Telia; Criterion; Tata Consultancy Services; Webdunia.com; Omens Animation; Rsab; Sacha Engineering; Upilot; Plastic Omnium Auto; First Advantage; Kennametal; Skiva; Sharp Software; Criterion Networks; Achronix; Mobicip; Osi Energy automation; Capital Land; Kotak; IBM; Insemi Technology; Xinthe Technologies; US Technology; Ecinical; General Motors; Xerox Technology; Einfolge; Galax; Globant; First advantage Global; Happy Visitor Esoutions; Carnation; Longhorns labs; Truspeq; ATOS IT; ECI Telecom; Cognisure; Incred Financial; V4U; Index Lithigraphy; Kingslake; Institute Bio informatis; Fiorano; Tata; MBB Labs; Tech Mahindra; Innoactive; Hireright; Citi Bank; Certes; Applied Materials; Alcatel-Lucent; Sycomp Technologies; Mindsprint</x:v>
      </x:c>
      <x:c r="J416" s="2" t="n">
        <x:v>91</x:v>
      </x:c>
      <x:c r="K416" s="12" t="str">
        <x:v>Campus/portfolio roster; individual building occupancy unverified</x:v>
      </x:c>
      <x:c r="L416" s="12" t="str">
        <x:v>IT &amp; digital; Professional services; Finance &amp; insurance; Engineering &amp; manufacturing; Education; Trade, consumer &amp; logistics; Unresolved</x:v>
      </x:c>
      <x:c r="M416" s="12" t="str">
        <x:v>Small-scale prospects; Medium-scale prospects; Large enterprise; Mixed business audience</x:v>
      </x:c>
      <x:c r="N416" s="12" t="str">
        <x:v>PARTNER-M002</x:v>
      </x:c>
      <x:c r="O416" s="13"/>
      <x:c r="P416" s="13"/>
      <x:c r="Q416" s="2" t="str"/>
      <x:c r="R416"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S416" s="12" t="str">
        <x:v>IT and enterprise campus</x:v>
      </x:c>
      <x:c r="T416" s="12" t="str">
        <x:v>Tenant business-type estimates and reviewed company-scale context.</x:v>
      </x:c>
    </x:row>
    <x:row r="417" ht="218" customHeight="1">
      <x:c r="A417" s="10" t="n">
        <x:v>1</x:v>
      </x:c>
      <x:c r="B417" s="2" t="str">
        <x:v>CORP-0421</x:v>
      </x:c>
      <x:c r="C417" s="2" t="str">
        <x:v>Bengaluru</x:v>
      </x:c>
      <x:c r="D417" s="2" t="str"/>
      <x:c r="E417" s="12" t="str">
        <x:v>International Tech Park (ITPB)</x:v>
      </x:c>
      <x:c r="F417" s="12" t="str">
        <x:v>Discover - Reception Lobby</x:v>
      </x:c>
      <x:c r="G417" s="11" t="n">
        <x:v>1</x:v>
      </x:c>
      <x:c r="H417" s="2" t="str">
        <x:v>55 inch</x:v>
      </x:c>
      <x:c r="I417" s="12" t="str">
        <x:v>EXA-AG; judge India; Gyansys Infotech; Kaalari Capital; SOA IT; Kyndryl; Reliance; Sycomp; Scientific Games; N.F Simth; Jupiter Intergrated; PPalc Networks; Thoucentric; Denso International; Xandr India; Galax E Solutions; Nokia; Zenmonics Software; Nextgen; Technicolor India; Siemens; Sabre Travel; The Dhanalakshmi Bank; NTT Cloud; Panasoni Life; Glenburn; Infovision; DBA xcom labs; Mentora; RLE; Open Bet; Tyfone; Bharat Sanchar Nigam; Technicolor; Aegis; Revolt Intellicorp Pvt; Tata Communications; Telia; Criterion; Tata Consultancy Services; Webdunia.com; Omens Animation; Rsab; Sacha Engineering; Upilot; Plastic Omnium Auto; First Advantage; Kennametal; Skiva; Sharp Software; Criterion Networks; Achronix; Mobicip; Osi Energy automation; Capital Land; Kotak; IBM; Insemi Technology; Xinthe Technologies; US Technology; Ecinical; General Motors; Xerox Technology; Einfolge; Galax; Globant; First advantage Global; Happy Visitor Esoutions; Carnation; Longhorns labs; Truspeq; ATOS IT; ECI Telecom; Cognisure; Incred Financial; V4U; Index Lithigraphy; Kingslake; Institute Bio informatis; Fiorano; Tata; MBB Labs; Tech Mahindra; Innoactive; Hireright; Citi Bank; Certes; Applied Materials; Alcatel-Lucent; Sycomp Technologies; Mindsprint</x:v>
      </x:c>
      <x:c r="J417" s="2" t="n">
        <x:v>91</x:v>
      </x:c>
      <x:c r="K417" s="12" t="str">
        <x:v>Campus/portfolio roster; individual building occupancy unverified</x:v>
      </x:c>
      <x:c r="L417" s="12" t="str">
        <x:v>IT &amp; digital; Professional services; Finance &amp; insurance; Engineering &amp; manufacturing; Education; Trade, consumer &amp; logistics; Unresolved</x:v>
      </x:c>
      <x:c r="M417" s="12" t="str">
        <x:v>Small-scale prospects; Medium-scale prospects; Large enterprise; Mixed business audience</x:v>
      </x:c>
      <x:c r="N417" s="12" t="str">
        <x:v>PARTNER-M002</x:v>
      </x:c>
      <x:c r="O417" s="13"/>
      <x:c r="P417" s="13"/>
      <x:c r="Q417" s="2" t="str"/>
      <x:c r="R417"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S417" s="12" t="str">
        <x:v>IT and enterprise campus</x:v>
      </x:c>
      <x:c r="T417" s="12" t="str">
        <x:v>Tenant business-type estimates and reviewed company-scale context.</x:v>
      </x:c>
    </x:row>
    <x:row r="418" ht="218" customHeight="1">
      <x:c r="A418" s="10" t="n">
        <x:v>1</x:v>
      </x:c>
      <x:c r="B418" s="2" t="str">
        <x:v>CORP-0422</x:v>
      </x:c>
      <x:c r="C418" s="2" t="str">
        <x:v>Bengaluru</x:v>
      </x:c>
      <x:c r="D418" s="2" t="str"/>
      <x:c r="E418" s="12" t="str">
        <x:v>International Tech Park (ITPB)</x:v>
      </x:c>
      <x:c r="F418" s="12" t="str">
        <x:v>Explorer - Reception Lobby</x:v>
      </x:c>
      <x:c r="G418" s="11" t="n">
        <x:v>1</x:v>
      </x:c>
      <x:c r="H418" s="2" t="str">
        <x:v>55 inch</x:v>
      </x:c>
      <x:c r="I418" s="12" t="str">
        <x:v>EXA-AG; judge India; Gyansys Infotech; Kaalari Capital; SOA IT; Kyndryl; Reliance; Sycomp; Scientific Games; N.F Simth; Jupiter Intergrated; PPalc Networks; Thoucentric; Denso International; Xandr India; Galax E Solutions; Nokia; Zenmonics Software; Nextgen; Technicolor India; Siemens; Sabre Travel; The Dhanalakshmi Bank; NTT Cloud; Panasoni Life; Glenburn; Infovision; DBA xcom labs; Mentora; RLE; Open Bet; Tyfone; Bharat Sanchar Nigam; Technicolor; Aegis; Revolt Intellicorp Pvt; Tata Communications; Telia; Criterion; Tata Consultancy Services; Webdunia.com; Omens Animation; Rsab; Sacha Engineering; Upilot; Plastic Omnium Auto; First Advantage; Kennametal; Skiva; Sharp Software; Criterion Networks; Achronix; Mobicip; Osi Energy automation; Capital Land; Kotak; IBM; Insemi Technology; Xinthe Technologies; US Technology; Ecinical; General Motors; Xerox Technology; Einfolge; Galax; Globant; First advantage Global; Happy Visitor Esoutions; Carnation; Longhorns labs; Truspeq; ATOS IT; ECI Telecom; Cognisure; Incred Financial; V4U; Index Lithigraphy; Kingslake; Institute Bio informatis; Fiorano; Tata; MBB Labs; Tech Mahindra; Innoactive; Hireright; Citi Bank; Certes; Applied Materials; Alcatel-Lucent; Sycomp Technologies; Mindsprint</x:v>
      </x:c>
      <x:c r="J418" s="2" t="n">
        <x:v>91</x:v>
      </x:c>
      <x:c r="K418" s="12" t="str">
        <x:v>Campus/portfolio roster; individual building occupancy unverified</x:v>
      </x:c>
      <x:c r="L418" s="12" t="str">
        <x:v>IT &amp; digital; Professional services; Finance &amp; insurance; Engineering &amp; manufacturing; Education; Trade, consumer &amp; logistics; Unresolved</x:v>
      </x:c>
      <x:c r="M418" s="12" t="str">
        <x:v>Small-scale prospects; Medium-scale prospects; Large enterprise; Mixed business audience</x:v>
      </x:c>
      <x:c r="N418" s="12" t="str">
        <x:v>PARTNER-M002</x:v>
      </x:c>
      <x:c r="O418" s="13"/>
      <x:c r="P418" s="13"/>
      <x:c r="Q418" s="2" t="str"/>
      <x:c r="R418"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S418" s="12" t="str">
        <x:v>IT and enterprise campus</x:v>
      </x:c>
      <x:c r="T418" s="12" t="str">
        <x:v>Tenant business-type estimates and reviewed company-scale context.</x:v>
      </x:c>
    </x:row>
    <x:row r="419" ht="218" customHeight="1">
      <x:c r="A419" s="10" t="n">
        <x:v>1</x:v>
      </x:c>
      <x:c r="B419" s="2" t="str">
        <x:v>CORP-0423</x:v>
      </x:c>
      <x:c r="C419" s="2" t="str">
        <x:v>Bengaluru</x:v>
      </x:c>
      <x:c r="D419" s="2" t="str"/>
      <x:c r="E419" s="12" t="str">
        <x:v>International Tech Park (ITPB)</x:v>
      </x:c>
      <x:c r="F419" s="12" t="str">
        <x:v>Innovator - Reception Lobby</x:v>
      </x:c>
      <x:c r="G419" s="11" t="n">
        <x:v>1</x:v>
      </x:c>
      <x:c r="H419" s="2" t="str">
        <x:v>55 inch</x:v>
      </x:c>
      <x:c r="I419" s="12" t="str">
        <x:v>EXA-AG; judge India; Gyansys Infotech; Kaalari Capital; SOA IT; Kyndryl; Reliance; Sycomp; Scientific Games; N.F Simth; Jupiter Intergrated; PPalc Networks; Thoucentric; Denso International; Xandr India; Galax E Solutions; Nokia; Zenmonics Software; Nextgen; Technicolor India; Siemens; Sabre Travel; The Dhanalakshmi Bank; NTT Cloud; Panasoni Life; Glenburn; Infovision; DBA xcom labs; Mentora; RLE; Open Bet; Tyfone; Bharat Sanchar Nigam; Technicolor; Aegis; Revolt Intellicorp Pvt; Tata Communications; Telia; Criterion; Tata Consultancy Services; Webdunia.com; Omens Animation; Rsab; Sacha Engineering; Upilot; Plastic Omnium Auto; First Advantage; Kennametal; Skiva; Sharp Software; Criterion Networks; Achronix; Mobicip; Osi Energy automation; Capital Land; Kotak; IBM; Insemi Technology; Xinthe Technologies; US Technology; Ecinical; General Motors; Xerox Technology; Einfolge; Galax; Globant; First advantage Global; Happy Visitor Esoutions; Carnation; Longhorns labs; Truspeq; ATOS IT; ECI Telecom; Cognisure; Incred Financial; V4U; Index Lithigraphy; Kingslake; Institute Bio informatis; Fiorano; Tata; MBB Labs; Tech Mahindra; Innoactive; Hireright; Citi Bank; Certes; Applied Materials; Alcatel-Lucent; Sycomp Technologies; Mindsprint</x:v>
      </x:c>
      <x:c r="J419" s="2" t="n">
        <x:v>91</x:v>
      </x:c>
      <x:c r="K419" s="12" t="str">
        <x:v>Campus/portfolio roster; individual building occupancy unverified</x:v>
      </x:c>
      <x:c r="L419" s="12" t="str">
        <x:v>IT &amp; digital; Professional services; Finance &amp; insurance; Engineering &amp; manufacturing; Education; Trade, consumer &amp; logistics; Unresolved</x:v>
      </x:c>
      <x:c r="M419" s="12" t="str">
        <x:v>Small-scale prospects; Medium-scale prospects; Large enterprise; Mixed business audience</x:v>
      </x:c>
      <x:c r="N419" s="12" t="str">
        <x:v>PARTNER-M002</x:v>
      </x:c>
      <x:c r="O419" s="13"/>
      <x:c r="P419" s="13"/>
      <x:c r="Q419" s="2" t="str"/>
      <x:c r="R419"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S419" s="12" t="str">
        <x:v>IT and enterprise campus</x:v>
      </x:c>
      <x:c r="T419" s="12" t="str">
        <x:v>Tenant business-type estimates and reviewed company-scale context.</x:v>
      </x:c>
    </x:row>
    <x:row r="420" ht="218" customHeight="1">
      <x:c r="A420" s="10" t="n">
        <x:v>1</x:v>
      </x:c>
      <x:c r="B420" s="2" t="str">
        <x:v>CORP-0424</x:v>
      </x:c>
      <x:c r="C420" s="2" t="str">
        <x:v>Bengaluru</x:v>
      </x:c>
      <x:c r="D420" s="2" t="str"/>
      <x:c r="E420" s="12" t="str">
        <x:v>International Tech Park (ITPB)</x:v>
      </x:c>
      <x:c r="F420" s="12" t="str">
        <x:v>Inventor - Reception Lobby</x:v>
      </x:c>
      <x:c r="G420" s="11" t="n">
        <x:v>1</x:v>
      </x:c>
      <x:c r="H420" s="2" t="str">
        <x:v>55 inch</x:v>
      </x:c>
      <x:c r="I420" s="12" t="str">
        <x:v>EXA-AG; judge India; Gyansys Infotech; Kaalari Capital; SOA IT; Kyndryl; Reliance; Sycomp; Scientific Games; N.F Simth; Jupiter Intergrated; PPalc Networks; Thoucentric; Denso International; Xandr India; Galax E Solutions; Nokia; Zenmonics Software; Nextgen; Technicolor India; Siemens; Sabre Travel; The Dhanalakshmi Bank; NTT Cloud; Panasoni Life; Glenburn; Infovision; DBA xcom labs; Mentora; RLE; Open Bet; Tyfone; Bharat Sanchar Nigam; Technicolor; Aegis; Revolt Intellicorp Pvt; Tata Communications; Telia; Criterion; Tata Consultancy Services; Webdunia.com; Omens Animation; Rsab; Sacha Engineering; Upilot; Plastic Omnium Auto; First Advantage; Kennametal; Skiva; Sharp Software; Criterion Networks; Achronix; Mobicip; Osi Energy automation; Capital Land; Kotak; IBM; Insemi Technology; Xinthe Technologies; US Technology; Ecinical; General Motors; Xerox Technology; Einfolge; Galax; Globant; First advantage Global; Happy Visitor Esoutions; Carnation; Longhorns labs; Truspeq; ATOS IT; ECI Telecom; Cognisure; Incred Financial; V4U; Index Lithigraphy; Kingslake; Institute Bio informatis; Fiorano; Tata; MBB Labs; Tech Mahindra; Innoactive; Hireright; Citi Bank; Certes; Applied Materials; Alcatel-Lucent; Sycomp Technologies; Mindsprint</x:v>
      </x:c>
      <x:c r="J420" s="2" t="n">
        <x:v>91</x:v>
      </x:c>
      <x:c r="K420" s="12" t="str">
        <x:v>Campus/portfolio roster; individual building occupancy unverified</x:v>
      </x:c>
      <x:c r="L420" s="12" t="str">
        <x:v>IT &amp; digital; Professional services; Finance &amp; insurance; Engineering &amp; manufacturing; Education; Trade, consumer &amp; logistics; Unresolved</x:v>
      </x:c>
      <x:c r="M420" s="12" t="str">
        <x:v>Small-scale prospects; Medium-scale prospects; Large enterprise; Mixed business audience</x:v>
      </x:c>
      <x:c r="N420" s="12" t="str">
        <x:v>PARTNER-M002</x:v>
      </x:c>
      <x:c r="O420" s="13"/>
      <x:c r="P420" s="13"/>
      <x:c r="Q420" s="2" t="str"/>
      <x:c r="R420"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S420" s="12" t="str">
        <x:v>IT and enterprise campus</x:v>
      </x:c>
      <x:c r="T420" s="12" t="str">
        <x:v>Tenant business-type estimates and reviewed company-scale context.</x:v>
      </x:c>
    </x:row>
    <x:row r="421" ht="218" customHeight="1">
      <x:c r="A421" s="10" t="n">
        <x:v>1</x:v>
      </x:c>
      <x:c r="B421" s="2" t="str">
        <x:v>CORP-0425</x:v>
      </x:c>
      <x:c r="C421" s="2" t="str">
        <x:v>Bengaluru</x:v>
      </x:c>
      <x:c r="D421" s="2" t="str"/>
      <x:c r="E421" s="12" t="str">
        <x:v>International Tech Park (ITPB)</x:v>
      </x:c>
      <x:c r="F421" s="12" t="str">
        <x:v>Navigator - Reception Lobby</x:v>
      </x:c>
      <x:c r="G421" s="11" t="n">
        <x:v>1</x:v>
      </x:c>
      <x:c r="H421" s="2" t="str">
        <x:v>55 inch</x:v>
      </x:c>
      <x:c r="I421" s="12" t="str">
        <x:v>EXA-AG; judge India; Gyansys Infotech; Kaalari Capital; SOA IT; Kyndryl; Reliance; Sycomp; Scientific Games; N.F Simth; Jupiter Intergrated; PPalc Networks; Thoucentric; Denso International; Xandr India; Galax E Solutions; Nokia; Zenmonics Software; Nextgen; Technicolor India; Siemens; Sabre Travel; The Dhanalakshmi Bank; NTT Cloud; Panasoni Life; Glenburn; Infovision; DBA xcom labs; Mentora; RLE; Open Bet; Tyfone; Bharat Sanchar Nigam; Technicolor; Aegis; Revolt Intellicorp Pvt; Tata Communications; Telia; Criterion; Tata Consultancy Services; Webdunia.com; Omens Animation; Rsab; Sacha Engineering; Upilot; Plastic Omnium Auto; First Advantage; Kennametal; Skiva; Sharp Software; Criterion Networks; Achronix; Mobicip; Osi Energy automation; Capital Land; Kotak; IBM; Insemi Technology; Xinthe Technologies; US Technology; Ecinical; General Motors; Xerox Technology; Einfolge; Galax; Globant; First advantage Global; Happy Visitor Esoutions; Carnation; Longhorns labs; Truspeq; ATOS IT; ECI Telecom; Cognisure; Incred Financial; V4U; Index Lithigraphy; Kingslake; Institute Bio informatis; Fiorano; Tata; MBB Labs; Tech Mahindra; Innoactive; Hireright; Citi Bank; Certes; Applied Materials; Alcatel-Lucent; Sycomp Technologies; Mindsprint</x:v>
      </x:c>
      <x:c r="J421" s="2" t="n">
        <x:v>91</x:v>
      </x:c>
      <x:c r="K421" s="12" t="str">
        <x:v>Campus/portfolio roster; individual building occupancy unverified</x:v>
      </x:c>
      <x:c r="L421" s="12" t="str">
        <x:v>IT &amp; digital; Professional services; Finance &amp; insurance; Engineering &amp; manufacturing; Education; Trade, consumer &amp; logistics; Unresolved</x:v>
      </x:c>
      <x:c r="M421" s="12" t="str">
        <x:v>Small-scale prospects; Medium-scale prospects; Large enterprise; Mixed business audience</x:v>
      </x:c>
      <x:c r="N421" s="12" t="str">
        <x:v>PARTNER-M002</x:v>
      </x:c>
      <x:c r="O421" s="13"/>
      <x:c r="P421" s="13"/>
      <x:c r="Q421" s="2" t="str"/>
      <x:c r="R421"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S421" s="12" t="str">
        <x:v>IT and enterprise campus</x:v>
      </x:c>
      <x:c r="T421" s="12" t="str">
        <x:v>Tenant business-type estimates and reviewed company-scale context.</x:v>
      </x:c>
    </x:row>
    <x:row r="422" ht="218" customHeight="1">
      <x:c r="A422" s="10" t="n">
        <x:v>1</x:v>
      </x:c>
      <x:c r="B422" s="2" t="str">
        <x:v>CORP-0426</x:v>
      </x:c>
      <x:c r="C422" s="2" t="str">
        <x:v>Bengaluru</x:v>
      </x:c>
      <x:c r="D422" s="2" t="str"/>
      <x:c r="E422" s="12" t="str">
        <x:v>International Tech Park (ITPB)</x:v>
      </x:c>
      <x:c r="F422" s="12" t="str">
        <x:v>Concourse Area - 1</x:v>
      </x:c>
      <x:c r="G422" s="11" t="n">
        <x:v>1</x:v>
      </x:c>
      <x:c r="H422" s="2" t="str">
        <x:v>55 inch</x:v>
      </x:c>
      <x:c r="I422" s="12" t="str">
        <x:v>EXA-AG; judge India; Gyansys Infotech; Kaalari Capital; SOA IT; Kyndryl; Reliance; Sycomp; Scientific Games; N.F Simth; Jupiter Intergrated; PPalc Networks; Thoucentric; Denso International; Xandr India; Galax E Solutions; Nokia; Zenmonics Software; Nextgen; Technicolor India; Siemens; Sabre Travel; The Dhanalakshmi Bank; NTT Cloud; Panasoni Life; Glenburn; Infovision; DBA xcom labs; Mentora; RLE; Open Bet; Tyfone; Bharat Sanchar Nigam; Technicolor; Aegis; Revolt Intellicorp Pvt; Tata Communications; Telia; Criterion; Tata Consultancy Services; Webdunia.com; Omens Animation; Rsab; Sacha Engineering; Upilot; Plastic Omnium Auto; First Advantage; Kennametal; Skiva; Sharp Software; Criterion Networks; Achronix; Mobicip; Osi Energy automation; Capital Land; Kotak; IBM; Insemi Technology; Xinthe Technologies; US Technology; Ecinical; General Motors; Xerox Technology; Einfolge; Galax; Globant; First advantage Global; Happy Visitor Esoutions; Carnation; Longhorns labs; Truspeq; ATOS IT; ECI Telecom; Cognisure; Incred Financial; V4U; Index Lithigraphy; Kingslake; Institute Bio informatis; Fiorano; Tata; MBB Labs; Tech Mahindra; Innoactive; Hireright; Citi Bank; Certes; Applied Materials; Alcatel-Lucent; Sycomp Technologies; Mindsprint</x:v>
      </x:c>
      <x:c r="J422" s="2" t="n">
        <x:v>91</x:v>
      </x:c>
      <x:c r="K422" s="12" t="str">
        <x:v>Campus/portfolio roster; individual building occupancy unverified</x:v>
      </x:c>
      <x:c r="L422" s="12" t="str">
        <x:v>IT &amp; digital; Professional services; Finance &amp; insurance; Engineering &amp; manufacturing; Education; Trade, consumer &amp; logistics; Unresolved</x:v>
      </x:c>
      <x:c r="M422" s="12" t="str">
        <x:v>Small-scale prospects; Medium-scale prospects; Large enterprise; Mixed business audience</x:v>
      </x:c>
      <x:c r="N422" s="12" t="str">
        <x:v>PARTNER-M002</x:v>
      </x:c>
      <x:c r="O422" s="13"/>
      <x:c r="P422" s="13"/>
      <x:c r="Q422" s="2" t="str"/>
      <x:c r="R422"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S422" s="12" t="str">
        <x:v>IT and enterprise campus</x:v>
      </x:c>
      <x:c r="T422" s="12" t="str">
        <x:v>Tenant business-type estimates and reviewed company-scale context.</x:v>
      </x:c>
    </x:row>
    <x:row r="423" ht="218" customHeight="1">
      <x:c r="A423" s="10" t="n">
        <x:v>1</x:v>
      </x:c>
      <x:c r="B423" s="2" t="str">
        <x:v>CORP-0427</x:v>
      </x:c>
      <x:c r="C423" s="2" t="str">
        <x:v>Bengaluru</x:v>
      </x:c>
      <x:c r="D423" s="2" t="str"/>
      <x:c r="E423" s="12" t="str">
        <x:v>International Tech Park (ITPB)</x:v>
      </x:c>
      <x:c r="F423" s="12" t="str">
        <x:v>Concourse Area - 2</x:v>
      </x:c>
      <x:c r="G423" s="11" t="n">
        <x:v>1</x:v>
      </x:c>
      <x:c r="H423" s="2" t="str">
        <x:v>55 inch</x:v>
      </x:c>
      <x:c r="I423" s="12" t="str">
        <x:v>EXA-AG; judge India; Gyansys Infotech; Kaalari Capital; SOA IT; Kyndryl; Reliance; Sycomp; Scientific Games; N.F Simth; Jupiter Intergrated; PPalc Networks; Thoucentric; Denso International; Xandr India; Galax E Solutions; Nokia; Zenmonics Software; Nextgen; Technicolor India; Siemens; Sabre Travel; The Dhanalakshmi Bank; NTT Cloud; Panasoni Life; Glenburn; Infovision; DBA xcom labs; Mentora; RLE; Open Bet; Tyfone; Bharat Sanchar Nigam; Technicolor; Aegis; Revolt Intellicorp Pvt; Tata Communications; Telia; Criterion; Tata Consultancy Services; Webdunia.com; Omens Animation; Rsab; Sacha Engineering; Upilot; Plastic Omnium Auto; First Advantage; Kennametal; Skiva; Sharp Software; Criterion Networks; Achronix; Mobicip; Osi Energy automation; Capital Land; Kotak; IBM; Insemi Technology; Xinthe Technologies; US Technology; Ecinical; General Motors; Xerox Technology; Einfolge; Galax; Globant; First advantage Global; Happy Visitor Esoutions; Carnation; Longhorns labs; Truspeq; ATOS IT; ECI Telecom; Cognisure; Incred Financial; V4U; Index Lithigraphy; Kingslake; Institute Bio informatis; Fiorano; Tata; MBB Labs; Tech Mahindra; Innoactive; Hireright; Citi Bank; Certes; Applied Materials; Alcatel-Lucent; Sycomp Technologies; Mindsprint</x:v>
      </x:c>
      <x:c r="J423" s="2" t="n">
        <x:v>91</x:v>
      </x:c>
      <x:c r="K423" s="12" t="str">
        <x:v>Campus/portfolio roster; individual building occupancy unverified</x:v>
      </x:c>
      <x:c r="L423" s="12" t="str">
        <x:v>IT &amp; digital; Professional services; Finance &amp; insurance; Engineering &amp; manufacturing; Education; Trade, consumer &amp; logistics; Unresolved</x:v>
      </x:c>
      <x:c r="M423" s="12" t="str">
        <x:v>Small-scale prospects; Medium-scale prospects; Large enterprise; Mixed business audience</x:v>
      </x:c>
      <x:c r="N423" s="12" t="str">
        <x:v>PARTNER-M002</x:v>
      </x:c>
      <x:c r="O423" s="13"/>
      <x:c r="P423" s="13"/>
      <x:c r="Q423" s="2" t="str"/>
      <x:c r="R423"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S423" s="12" t="str">
        <x:v>IT and enterprise campus</x:v>
      </x:c>
      <x:c r="T423" s="12" t="str">
        <x:v>Tenant business-type estimates and reviewed company-scale context.</x:v>
      </x:c>
    </x:row>
    <x:row r="424" ht="218" customHeight="1">
      <x:c r="A424" s="10" t="n">
        <x:v>1</x:v>
      </x:c>
      <x:c r="B424" s="2" t="str">
        <x:v>CORP-0428</x:v>
      </x:c>
      <x:c r="C424" s="2" t="str">
        <x:v>Bengaluru</x:v>
      </x:c>
      <x:c r="D424" s="2" t="str"/>
      <x:c r="E424" s="12" t="str">
        <x:v>International Tech Park (ITPB)</x:v>
      </x:c>
      <x:c r="F424" s="12" t="str">
        <x:v>Concourse Area - 3</x:v>
      </x:c>
      <x:c r="G424" s="11" t="n">
        <x:v>1</x:v>
      </x:c>
      <x:c r="H424" s="2" t="str">
        <x:v>55 inch</x:v>
      </x:c>
      <x:c r="I424" s="12" t="str">
        <x:v>EXA-AG; judge India; Gyansys Infotech; Kaalari Capital; SOA IT; Kyndryl; Reliance; Sycomp; Scientific Games; N.F Simth; Jupiter Intergrated; PPalc Networks; Thoucentric; Denso International; Xandr India; Galax E Solutions; Nokia; Zenmonics Software; Nextgen; Technicolor India; Siemens; Sabre Travel; The Dhanalakshmi Bank; NTT Cloud; Panasoni Life; Glenburn; Infovision; DBA xcom labs; Mentora; RLE; Open Bet; Tyfone; Bharat Sanchar Nigam; Technicolor; Aegis; Revolt Intellicorp Pvt; Tata Communications; Telia; Criterion; Tata Consultancy Services; Webdunia.com; Omens Animation; Rsab; Sacha Engineering; Upilot; Plastic Omnium Auto; First Advantage; Kennametal; Skiva; Sharp Software; Criterion Networks; Achronix; Mobicip; Osi Energy automation; Capital Land; Kotak; IBM; Insemi Technology; Xinthe Technologies; US Technology; Ecinical; General Motors; Xerox Technology; Einfolge; Galax; Globant; First advantage Global; Happy Visitor Esoutions; Carnation; Longhorns labs; Truspeq; ATOS IT; ECI Telecom; Cognisure; Incred Financial; V4U; Index Lithigraphy; Kingslake; Institute Bio informatis; Fiorano; Tata; MBB Labs; Tech Mahindra; Innoactive; Hireright; Citi Bank; Certes; Applied Materials; Alcatel-Lucent; Sycomp Technologies; Mindsprint</x:v>
      </x:c>
      <x:c r="J424" s="2" t="n">
        <x:v>91</x:v>
      </x:c>
      <x:c r="K424" s="12" t="str">
        <x:v>Campus/portfolio roster; individual building occupancy unverified</x:v>
      </x:c>
      <x:c r="L424" s="12" t="str">
        <x:v>IT &amp; digital; Professional services; Finance &amp; insurance; Engineering &amp; manufacturing; Education; Trade, consumer &amp; logistics; Unresolved</x:v>
      </x:c>
      <x:c r="M424" s="12" t="str">
        <x:v>Small-scale prospects; Medium-scale prospects; Large enterprise; Mixed business audience</x:v>
      </x:c>
      <x:c r="N424" s="12" t="str">
        <x:v>PARTNER-M002</x:v>
      </x:c>
      <x:c r="O424" s="13"/>
      <x:c r="P424" s="13"/>
      <x:c r="Q424" s="2" t="str"/>
      <x:c r="R424" s="2" t="str">
        <x:v>TEN-020941631166; TEN-046FCB362D0A; TEN-06DF4DFB01BE; TEN-0716830D1238; TEN-095DAC44FBD3; TEN-0B9EE0B94DB9; TEN-0BF923F90AB2; TEN-0EFAB3176540; TEN-0F0E714E580D; TEN-184C1AE98B51; TEN-1B4CDA7D6285; TEN-2026E5F6610A; TEN-20DEB070372D; TEN-21972B078EB5; TEN-22A366EB6CEC; TEN-2417E5B2BCE7; TEN-2AB6D53E717A; TEN-2DBBBD8AD08B; TEN-2E737C2291BC; TEN-2EDD47EC3C4F; TEN-30E363D3E8C5; TEN-316635638FCB; TEN-330E380FC660; TEN-3338D6A28C63; TEN-33DF04958DCA; TEN-34185282371F; TEN-356AAB6A94F0; TEN-3669A97CEE08; TEN-3CCDB2E97517; TEN-43BD5FC2D8E2; TEN-46EE12AD6E57; TEN-4B42B5258CA7; TEN-50A50A4E75D3; TEN-5346DFE17486; TEN-598F7A741A1E; TEN-59E713BB9B49; TEN-5B5245AFFE44; TEN-5D77DB2A2906; TEN-5F435B82E7E9; TEN-5FA790F3630F; TEN-60B66A73DC22; TEN-60CDE18C0230; TEN-676DC956336D; TEN-6994CDC0D34E; TEN-6BC09C13CCE1; TEN-6E2912BABF92; TEN-6F273F8143F0; TEN-6F4C691FF4A1; TEN-7318D4E0C064; TEN-764319AE4FB8; TEN-7ECB3C42E303; TEN-8174968E6F72; TEN-81F921B8E00A; TEN-891353748B3A; TEN-8C4275F1FD40; TEN-8DCD18640A0A; TEN-916A98F0FA2A; TEN-97720ABA5A0C; TEN-97B053EFF73B; TEN-99E39EB751AE; TEN-A08385AC9A90; TEN-A57526B5D973; TEN-A5F5259A3FFE; TEN-A7907C2DB975; TEN-A88487AEFC99; TEN-A9A1855F9C7F; TEN-A9B3E7D54A8C; TEN-AFB51487B347; TEN-B1E1798527DF; TEN-B431E151D906; TEN-B73878E16AE9; TEN-B73A39ADECC4; TEN-B9223DF94855; TEN-BDA4D17476FE; TEN-BE234565AEEE; TEN-BFE647B51B50; TEN-C27FF66117D5; TEN-CC2C556FA10A; TEN-CDDAE2627D47; TEN-D04CE1F77A17; TEN-D1C7C99C6E2E; TEN-D2E269F83158; TEN-D72EAD2E3D44; TEN-D817CF92B660; TEN-D820F7EB8DD2; TEN-D886B2C883A6; TEN-DA7A5218187E; TEN-E1F279A6A033; TEN-EA30894BD53C; TEN-EB2197E38208; TEN-F4FDCAC4C72C</x:v>
      </x:c>
      <x:c r="S424" s="12" t="str">
        <x:v>IT and enterprise campus</x:v>
      </x:c>
      <x:c r="T424" s="12" t="str">
        <x:v>Tenant business-type estimates and reviewed company-scale context.</x:v>
      </x:c>
    </x:row>
    <x:row r="425" ht="64" customHeight="1">
      <x:c r="A425" s="10" t="n">
        <x:v>1</x:v>
      </x:c>
      <x:c r="B425" s="2" t="str">
        <x:v>CORP-0429</x:v>
      </x:c>
      <x:c r="C425" s="2" t="str">
        <x:v>Bengaluru</x:v>
      </x:c>
      <x:c r="D425" s="2" t="str"/>
      <x:c r="E425" s="12" t="str">
        <x:v>International Tech Park (ITPB - SEZ)</x:v>
      </x:c>
      <x:c r="F425" s="12" t="str">
        <x:v>Voyager - Reception Lobby</x:v>
      </x:c>
      <x:c r="G425" s="11" t="n">
        <x:v>1</x:v>
      </x:c>
      <x:c r="H425" s="2" t="str">
        <x:v>55 inch</x:v>
      </x:c>
      <x:c r="I425" s="12" t="str">
        <x:v>Amelia Global Services; Natixis Services in India; Scientific Games; IPsoft Global Services; Conduent Business Services India; Dealslooter.in; Tata Consultancy Services; HCL; Galaxe Solutions; Mu Sigma; CSS Corp; Slash Support; Movate Technologies; Societe Generale</x:v>
      </x:c>
      <x:c r="J425" s="2" t="n">
        <x:v>14</x:v>
      </x:c>
      <x:c r="K425" s="12" t="str">
        <x:v>Campus/portfolio roster; individual building occupancy unverified</x:v>
      </x:c>
      <x:c r="L425" s="12" t="str">
        <x:v>IT &amp; digital; Finance &amp; insurance; Trade, consumer &amp; logistics; Unresolved</x:v>
      </x:c>
      <x:c r="M425" s="12" t="str">
        <x:v>Small-scale prospects; Large enterprise; Mixed business audience</x:v>
      </x:c>
      <x:c r="N425" s="12" t="str">
        <x:v>PARTNER-M011</x:v>
      </x:c>
      <x:c r="O425" s="13"/>
      <x:c r="P425" s="13"/>
      <x:c r="Q425" s="2" t="str"/>
      <x:c r="R425" s="2" t="str">
        <x:v>TEN-03A4F323A24B; TEN-096E2E0989A6; TEN-0F0E714E580D; TEN-17B1E60B57B8; TEN-4BBC20253CB6; TEN-58331B396902; TEN-5FA790F3630F; TEN-ACFE8450840B; TEN-B5C691D27CD7; TEN-CA80269ADE3A; TEN-D254184A081B; TEN-EBC4BBC5D3E0; TEN-F2E3013A0309; TEN-F6768D57BDBC</x:v>
      </x:c>
      <x:c r="S425" s="12" t="str">
        <x:v>IT and enterprise campus</x:v>
      </x:c>
      <x:c r="T425" s="12" t="str">
        <x:v>Tenant business-type estimates and reviewed company-scale context.</x:v>
      </x:c>
    </x:row>
    <x:row r="426" ht="64" customHeight="1">
      <x:c r="A426" s="10" t="n">
        <x:v>1</x:v>
      </x:c>
      <x:c r="B426" s="2" t="str">
        <x:v>CORP-0430</x:v>
      </x:c>
      <x:c r="C426" s="2" t="str">
        <x:v>Bengaluru</x:v>
      </x:c>
      <x:c r="D426" s="2" t="str"/>
      <x:c r="E426" s="12" t="str">
        <x:v>International Tech Park (ITPB - SEZ)</x:v>
      </x:c>
      <x:c r="F426" s="12" t="str">
        <x:v>Vector - Reception Lobby</x:v>
      </x:c>
      <x:c r="G426" s="11" t="n">
        <x:v>1</x:v>
      </x:c>
      <x:c r="H426" s="2" t="str">
        <x:v>55 inch</x:v>
      </x:c>
      <x:c r="I426" s="12" t="str">
        <x:v>Amelia Global Services; Natixis Services in India; Scientific Games; IPsoft Global Services; Conduent Business Services India; Dealslooter.in; Tata Consultancy Services; HCL; Galaxe Solutions; Mu Sigma; CSS Corp; Slash Support; Movate Technologies; Societe Generale</x:v>
      </x:c>
      <x:c r="J426" s="2" t="n">
        <x:v>14</x:v>
      </x:c>
      <x:c r="K426" s="12" t="str">
        <x:v>Campus/portfolio roster; individual building occupancy unverified</x:v>
      </x:c>
      <x:c r="L426" s="12" t="str">
        <x:v>IT &amp; digital; Finance &amp; insurance; Trade, consumer &amp; logistics; Unresolved</x:v>
      </x:c>
      <x:c r="M426" s="12" t="str">
        <x:v>Small-scale prospects; Large enterprise; Mixed business audience</x:v>
      </x:c>
      <x:c r="N426" s="12" t="str">
        <x:v>PARTNER-M011</x:v>
      </x:c>
      <x:c r="O426" s="13"/>
      <x:c r="P426" s="13"/>
      <x:c r="Q426" s="2" t="str"/>
      <x:c r="R426" s="2" t="str">
        <x:v>TEN-03A4F323A24B; TEN-096E2E0989A6; TEN-0F0E714E580D; TEN-17B1E60B57B8; TEN-4BBC20253CB6; TEN-58331B396902; TEN-5FA790F3630F; TEN-ACFE8450840B; TEN-B5C691D27CD7; TEN-CA80269ADE3A; TEN-D254184A081B; TEN-EBC4BBC5D3E0; TEN-F2E3013A0309; TEN-F6768D57BDBC</x:v>
      </x:c>
      <x:c r="S426" s="12" t="str">
        <x:v>IT and enterprise campus</x:v>
      </x:c>
      <x:c r="T426" s="12" t="str">
        <x:v>Tenant business-type estimates and reviewed company-scale context.</x:v>
      </x:c>
    </x:row>
    <x:row r="427" ht="64" customHeight="1">
      <x:c r="A427" s="10" t="n">
        <x:v>1</x:v>
      </x:c>
      <x:c r="B427" s="2" t="str">
        <x:v>CORP-0431</x:v>
      </x:c>
      <x:c r="C427" s="2" t="str">
        <x:v>Bengaluru</x:v>
      </x:c>
      <x:c r="D427" s="2" t="str"/>
      <x:c r="E427" s="12" t="str">
        <x:v>International Tech Park (ITPB - SEZ)</x:v>
      </x:c>
      <x:c r="F427" s="12" t="str">
        <x:v>Aviator - Reception Lobby</x:v>
      </x:c>
      <x:c r="G427" s="11" t="n">
        <x:v>1</x:v>
      </x:c>
      <x:c r="H427" s="2" t="str">
        <x:v>55 inch</x:v>
      </x:c>
      <x:c r="I427" s="12" t="str">
        <x:v>Amelia Global Services; Natixis Services in India; Scientific Games; IPsoft Global Services; Conduent Business Services India; Dealslooter.in; Tata Consultancy Services; HCL; Galaxe Solutions; Mu Sigma; CSS Corp; Slash Support; Movate Technologies; Societe Generale</x:v>
      </x:c>
      <x:c r="J427" s="2" t="n">
        <x:v>14</x:v>
      </x:c>
      <x:c r="K427" s="12" t="str">
        <x:v>Campus/portfolio roster; individual building occupancy unverified</x:v>
      </x:c>
      <x:c r="L427" s="12" t="str">
        <x:v>IT &amp; digital; Finance &amp; insurance; Trade, consumer &amp; logistics; Unresolved</x:v>
      </x:c>
      <x:c r="M427" s="12" t="str">
        <x:v>Small-scale prospects; Large enterprise; Mixed business audience</x:v>
      </x:c>
      <x:c r="N427" s="12" t="str">
        <x:v>PARTNER-M011</x:v>
      </x:c>
      <x:c r="O427" s="13"/>
      <x:c r="P427" s="13"/>
      <x:c r="Q427" s="2" t="str"/>
      <x:c r="R427" s="2" t="str">
        <x:v>TEN-03A4F323A24B; TEN-096E2E0989A6; TEN-0F0E714E580D; TEN-17B1E60B57B8; TEN-4BBC20253CB6; TEN-58331B396902; TEN-5FA790F3630F; TEN-ACFE8450840B; TEN-B5C691D27CD7; TEN-CA80269ADE3A; TEN-D254184A081B; TEN-EBC4BBC5D3E0; TEN-F2E3013A0309; TEN-F6768D57BDBC</x:v>
      </x:c>
      <x:c r="S427" s="12" t="str">
        <x:v>IT and enterprise campus</x:v>
      </x:c>
      <x:c r="T427" s="12" t="str">
        <x:v>Tenant business-type estimates and reviewed company-scale context.</x:v>
      </x:c>
    </x:row>
    <x:row r="428" ht="75" customHeight="1">
      <x:c r="A428" s="10" t="n">
        <x:v>1</x:v>
      </x:c>
      <x:c r="B428" s="2" t="str">
        <x:v>CORP-0432</x:v>
      </x:c>
      <x:c r="C428" s="2" t="str">
        <x:v>Bengaluru</x:v>
      </x:c>
      <x:c r="D428" s="2" t="str"/>
      <x:c r="E428" s="12" t="str">
        <x:v>Prestige Tech Park</x:v>
      </x:c>
      <x:c r="F428" s="12" t="str">
        <x:v>Mercury - Reception Lobby</x:v>
      </x:c>
      <x:c r="G428" s="11" t="n">
        <x:v>1</x:v>
      </x:c>
      <x:c r="H428" s="2" t="str">
        <x:v>55 inch</x:v>
      </x:c>
      <x:c r="I428"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28" s="2" t="n">
        <x:v>18</x:v>
      </x:c>
      <x:c r="K428" s="12" t="str">
        <x:v>Campus/portfolio roster; individual building occupancy unverified</x:v>
      </x:c>
      <x:c r="L428" s="12" t="str">
        <x:v>IT &amp; digital; Professional services; Finance &amp; insurance; Engineering &amp; manufacturing; Trade, consumer &amp; logistics; Unresolved</x:v>
      </x:c>
      <x:c r="M428" s="12" t="str">
        <x:v>Small-scale prospects; Medium-scale prospects; Large enterprise; Mixed business audience</x:v>
      </x:c>
      <x:c r="N428" s="12" t="str">
        <x:v>PARTNER-M014</x:v>
      </x:c>
      <x:c r="O428" s="13"/>
      <x:c r="P428" s="13"/>
      <x:c r="Q428" s="2" t="str"/>
      <x:c r="R428"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28" s="12" t="str">
        <x:v>IT and enterprise campus</x:v>
      </x:c>
      <x:c r="T428" s="12" t="str">
        <x:v>Tenant business-type estimates and reviewed company-scale context.</x:v>
      </x:c>
    </x:row>
    <x:row r="429" ht="75" customHeight="1">
      <x:c r="A429" s="10" t="n">
        <x:v>1</x:v>
      </x:c>
      <x:c r="B429" s="2" t="str">
        <x:v>CORP-0433</x:v>
      </x:c>
      <x:c r="C429" s="2" t="str">
        <x:v>Bengaluru</x:v>
      </x:c>
      <x:c r="D429" s="2" t="str"/>
      <x:c r="E429" s="12" t="str">
        <x:v>Prestige Tech Park</x:v>
      </x:c>
      <x:c r="F429" s="12" t="str">
        <x:v>Velocity - Reception Lobby</x:v>
      </x:c>
      <x:c r="G429" s="11" t="n">
        <x:v>1</x:v>
      </x:c>
      <x:c r="H429" s="2" t="str">
        <x:v>55 inch</x:v>
      </x:c>
      <x:c r="I429"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29" s="2" t="n">
        <x:v>18</x:v>
      </x:c>
      <x:c r="K429" s="12" t="str">
        <x:v>Campus/portfolio roster; individual building occupancy unverified</x:v>
      </x:c>
      <x:c r="L429" s="12" t="str">
        <x:v>IT &amp; digital; Professional services; Finance &amp; insurance; Engineering &amp; manufacturing; Trade, consumer &amp; logistics; Unresolved</x:v>
      </x:c>
      <x:c r="M429" s="12" t="str">
        <x:v>Small-scale prospects; Medium-scale prospects; Large enterprise; Mixed business audience</x:v>
      </x:c>
      <x:c r="N429" s="12" t="str">
        <x:v>PARTNER-M014</x:v>
      </x:c>
      <x:c r="O429" s="13"/>
      <x:c r="P429" s="13"/>
      <x:c r="Q429" s="2" t="str"/>
      <x:c r="R429"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29" s="12" t="str">
        <x:v>IT and enterprise campus</x:v>
      </x:c>
      <x:c r="T429" s="12" t="str">
        <x:v>Tenant business-type estimates and reviewed company-scale context.</x:v>
      </x:c>
    </x:row>
    <x:row r="430" ht="75" customHeight="1">
      <x:c r="A430" s="10" t="n">
        <x:v>1</x:v>
      </x:c>
      <x:c r="B430" s="2" t="str">
        <x:v>CORP-0434</x:v>
      </x:c>
      <x:c r="C430" s="2" t="str">
        <x:v>Bengaluru</x:v>
      </x:c>
      <x:c r="D430" s="2" t="str"/>
      <x:c r="E430" s="12" t="str">
        <x:v>Prestige Tech Park</x:v>
      </x:c>
      <x:c r="F430" s="12" t="str">
        <x:v>Valence - Reception Lobby</x:v>
      </x:c>
      <x:c r="G430" s="11" t="n">
        <x:v>1</x:v>
      </x:c>
      <x:c r="H430" s="2" t="str">
        <x:v>55 inch</x:v>
      </x:c>
      <x:c r="I430"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30" s="2" t="n">
        <x:v>18</x:v>
      </x:c>
      <x:c r="K430" s="12" t="str">
        <x:v>Campus/portfolio roster; individual building occupancy unverified</x:v>
      </x:c>
      <x:c r="L430" s="12" t="str">
        <x:v>IT &amp; digital; Professional services; Finance &amp; insurance; Engineering &amp; manufacturing; Trade, consumer &amp; logistics; Unresolved</x:v>
      </x:c>
      <x:c r="M430" s="12" t="str">
        <x:v>Small-scale prospects; Medium-scale prospects; Large enterprise; Mixed business audience</x:v>
      </x:c>
      <x:c r="N430" s="12" t="str">
        <x:v>PARTNER-M014</x:v>
      </x:c>
      <x:c r="O430" s="13"/>
      <x:c r="P430" s="13"/>
      <x:c r="Q430" s="2" t="str"/>
      <x:c r="R430"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30" s="12" t="str">
        <x:v>IT and enterprise campus</x:v>
      </x:c>
      <x:c r="T430" s="12" t="str">
        <x:v>Tenant business-type estimates and reviewed company-scale context.</x:v>
      </x:c>
    </x:row>
    <x:row r="431" ht="75" customHeight="1">
      <x:c r="A431" s="10" t="n">
        <x:v>1</x:v>
      </x:c>
      <x:c r="B431" s="2" t="str">
        <x:v>CORP-0435</x:v>
      </x:c>
      <x:c r="C431" s="2" t="str">
        <x:v>Bengaluru</x:v>
      </x:c>
      <x:c r="D431" s="2" t="str"/>
      <x:c r="E431" s="12" t="str">
        <x:v>Prestige Tech Park</x:v>
      </x:c>
      <x:c r="F431" s="12" t="str">
        <x:v>PTP 4 - Reception Lobby</x:v>
      </x:c>
      <x:c r="G431" s="11" t="n">
        <x:v>1</x:v>
      </x:c>
      <x:c r="H431" s="2" t="str">
        <x:v>55 inch</x:v>
      </x:c>
      <x:c r="I431"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31" s="2" t="n">
        <x:v>18</x:v>
      </x:c>
      <x:c r="K431" s="12" t="str">
        <x:v>Campus/portfolio roster; individual building occupancy unverified</x:v>
      </x:c>
      <x:c r="L431" s="12" t="str">
        <x:v>IT &amp; digital; Professional services; Finance &amp; insurance; Engineering &amp; manufacturing; Trade, consumer &amp; logistics; Unresolved</x:v>
      </x:c>
      <x:c r="M431" s="12" t="str">
        <x:v>Small-scale prospects; Medium-scale prospects; Large enterprise; Mixed business audience</x:v>
      </x:c>
      <x:c r="N431" s="12" t="str">
        <x:v>PARTNER-M014</x:v>
      </x:c>
      <x:c r="O431" s="13"/>
      <x:c r="P431" s="13"/>
      <x:c r="Q431" s="2" t="str"/>
      <x:c r="R431"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31" s="12" t="str">
        <x:v>IT and enterprise campus</x:v>
      </x:c>
      <x:c r="T431" s="12" t="str">
        <x:v>Tenant business-type estimates and reviewed company-scale context.</x:v>
      </x:c>
    </x:row>
    <x:row r="432" ht="75" customHeight="1">
      <x:c r="A432" s="10" t="n">
        <x:v>1</x:v>
      </x:c>
      <x:c r="B432" s="2" t="str">
        <x:v>CORP-0436</x:v>
      </x:c>
      <x:c r="C432" s="2" t="str">
        <x:v>Bengaluru</x:v>
      </x:c>
      <x:c r="D432" s="2" t="str"/>
      <x:c r="E432" s="12" t="str">
        <x:v>Prestige Tech Park</x:v>
      </x:c>
      <x:c r="F432" s="12" t="str">
        <x:v>Venus - Reception Lobby</x:v>
      </x:c>
      <x:c r="G432" s="11" t="n">
        <x:v>1</x:v>
      </x:c>
      <x:c r="H432" s="2" t="str">
        <x:v>55 inch</x:v>
      </x:c>
      <x:c r="I432"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32" s="2" t="n">
        <x:v>18</x:v>
      </x:c>
      <x:c r="K432" s="12" t="str">
        <x:v>Campus/portfolio roster; individual building occupancy unverified</x:v>
      </x:c>
      <x:c r="L432" s="12" t="str">
        <x:v>IT &amp; digital; Professional services; Finance &amp; insurance; Engineering &amp; manufacturing; Trade, consumer &amp; logistics; Unresolved</x:v>
      </x:c>
      <x:c r="M432" s="12" t="str">
        <x:v>Small-scale prospects; Medium-scale prospects; Large enterprise; Mixed business audience</x:v>
      </x:c>
      <x:c r="N432" s="12" t="str">
        <x:v>PARTNER-M014</x:v>
      </x:c>
      <x:c r="O432" s="13"/>
      <x:c r="P432" s="13"/>
      <x:c r="Q432" s="2" t="str"/>
      <x:c r="R432"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32" s="12" t="str">
        <x:v>IT and enterprise campus</x:v>
      </x:c>
      <x:c r="T432" s="12" t="str">
        <x:v>Tenant business-type estimates and reviewed company-scale context.</x:v>
      </x:c>
    </x:row>
    <x:row r="433" ht="75" customHeight="1">
      <x:c r="A433" s="10" t="n">
        <x:v>1</x:v>
      </x:c>
      <x:c r="B433" s="2" t="str">
        <x:v>CORP-0437</x:v>
      </x:c>
      <x:c r="C433" s="2" t="str">
        <x:v>Bengaluru</x:v>
      </x:c>
      <x:c r="D433" s="2" t="str"/>
      <x:c r="E433" s="12" t="str">
        <x:v>Prestige Tech Park</x:v>
      </x:c>
      <x:c r="F433" s="12" t="str">
        <x:v>Jupiter - Reception Lobby</x:v>
      </x:c>
      <x:c r="G433" s="11" t="n">
        <x:v>1</x:v>
      </x:c>
      <x:c r="H433" s="2" t="str">
        <x:v>55 inch</x:v>
      </x:c>
      <x:c r="I433"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33" s="2" t="n">
        <x:v>18</x:v>
      </x:c>
      <x:c r="K433" s="12" t="str">
        <x:v>Campus/portfolio roster; individual building occupancy unverified</x:v>
      </x:c>
      <x:c r="L433" s="12" t="str">
        <x:v>IT &amp; digital; Professional services; Finance &amp; insurance; Engineering &amp; manufacturing; Trade, consumer &amp; logistics; Unresolved</x:v>
      </x:c>
      <x:c r="M433" s="12" t="str">
        <x:v>Small-scale prospects; Medium-scale prospects; Large enterprise; Mixed business audience</x:v>
      </x:c>
      <x:c r="N433" s="12" t="str">
        <x:v>PARTNER-M014</x:v>
      </x:c>
      <x:c r="O433" s="13"/>
      <x:c r="P433" s="13"/>
      <x:c r="Q433" s="2" t="str"/>
      <x:c r="R433"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33" s="12" t="str">
        <x:v>IT and enterprise campus</x:v>
      </x:c>
      <x:c r="T433" s="12" t="str">
        <x:v>Tenant business-type estimates and reviewed company-scale context.</x:v>
      </x:c>
    </x:row>
    <x:row r="434" ht="75" customHeight="1">
      <x:c r="A434" s="10" t="n">
        <x:v>1</x:v>
      </x:c>
      <x:c r="B434" s="2" t="str">
        <x:v>CORP-0438</x:v>
      </x:c>
      <x:c r="C434" s="2" t="str">
        <x:v>Bengaluru</x:v>
      </x:c>
      <x:c r="D434" s="2" t="str"/>
      <x:c r="E434" s="12" t="str">
        <x:v>Prestige Tech Park</x:v>
      </x:c>
      <x:c r="F434" s="12" t="str">
        <x:v>Vector - Reception Lobby</x:v>
      </x:c>
      <x:c r="G434" s="11" t="n">
        <x:v>1</x:v>
      </x:c>
      <x:c r="H434" s="2" t="str">
        <x:v>55 inch</x:v>
      </x:c>
      <x:c r="I434"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34" s="2" t="n">
        <x:v>18</x:v>
      </x:c>
      <x:c r="K434" s="12" t="str">
        <x:v>Campus/portfolio roster; individual building occupancy unverified</x:v>
      </x:c>
      <x:c r="L434" s="12" t="str">
        <x:v>IT &amp; digital; Professional services; Finance &amp; insurance; Engineering &amp; manufacturing; Trade, consumer &amp; logistics; Unresolved</x:v>
      </x:c>
      <x:c r="M434" s="12" t="str">
        <x:v>Small-scale prospects; Medium-scale prospects; Large enterprise; Mixed business audience</x:v>
      </x:c>
      <x:c r="N434" s="12" t="str">
        <x:v>PARTNER-M014</x:v>
      </x:c>
      <x:c r="O434" s="13"/>
      <x:c r="P434" s="13"/>
      <x:c r="Q434" s="2" t="str"/>
      <x:c r="R434"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34" s="12" t="str">
        <x:v>IT and enterprise campus</x:v>
      </x:c>
      <x:c r="T434" s="12" t="str">
        <x:v>Tenant business-type estimates and reviewed company-scale context.</x:v>
      </x:c>
    </x:row>
    <x:row r="435" ht="75" customHeight="1">
      <x:c r="A435" s="10" t="n">
        <x:v>1</x:v>
      </x:c>
      <x:c r="B435" s="2" t="str">
        <x:v>CORP-0439</x:v>
      </x:c>
      <x:c r="C435" s="2" t="str">
        <x:v>Bengaluru</x:v>
      </x:c>
      <x:c r="D435" s="2" t="str"/>
      <x:c r="E435" s="12" t="str">
        <x:v>Prestige Tech Park</x:v>
      </x:c>
      <x:c r="F435" s="12" t="str">
        <x:v>Platina - Reception Lobby</x:v>
      </x:c>
      <x:c r="G435" s="11" t="n">
        <x:v>1</x:v>
      </x:c>
      <x:c r="H435" s="2" t="str">
        <x:v>55 inch</x:v>
      </x:c>
      <x:c r="I435"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35" s="2" t="n">
        <x:v>18</x:v>
      </x:c>
      <x:c r="K435" s="12" t="str">
        <x:v>Campus/portfolio roster; individual building occupancy unverified</x:v>
      </x:c>
      <x:c r="L435" s="12" t="str">
        <x:v>IT &amp; digital; Professional services; Finance &amp; insurance; Engineering &amp; manufacturing; Trade, consumer &amp; logistics; Unresolved</x:v>
      </x:c>
      <x:c r="M435" s="12" t="str">
        <x:v>Small-scale prospects; Medium-scale prospects; Large enterprise; Mixed business audience</x:v>
      </x:c>
      <x:c r="N435" s="12" t="str">
        <x:v>PARTNER-M014</x:v>
      </x:c>
      <x:c r="O435" s="13"/>
      <x:c r="P435" s="13"/>
      <x:c r="Q435" s="2" t="str"/>
      <x:c r="R435"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35" s="12" t="str">
        <x:v>IT and enterprise campus</x:v>
      </x:c>
      <x:c r="T435" s="12" t="str">
        <x:v>Tenant business-type estimates and reviewed company-scale context.</x:v>
      </x:c>
    </x:row>
    <x:row r="436" ht="75" customHeight="1">
      <x:c r="A436" s="10" t="n">
        <x:v>1</x:v>
      </x:c>
      <x:c r="B436" s="2" t="str">
        <x:v>CORP-0440</x:v>
      </x:c>
      <x:c r="C436" s="2" t="str">
        <x:v>Bengaluru</x:v>
      </x:c>
      <x:c r="D436" s="2" t="str"/>
      <x:c r="E436" s="12" t="str">
        <x:v>Prestige Tech Park</x:v>
      </x:c>
      <x:c r="F436" s="12" t="str">
        <x:v>Fitco Entry Lobby</x:v>
      </x:c>
      <x:c r="G436" s="11" t="n">
        <x:v>1</x:v>
      </x:c>
      <x:c r="H436" s="2" t="str">
        <x:v>55 inch</x:v>
      </x:c>
      <x:c r="I436"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36" s="2" t="n">
        <x:v>18</x:v>
      </x:c>
      <x:c r="K436" s="12" t="str">
        <x:v>Campus/portfolio roster; individual building occupancy unverified</x:v>
      </x:c>
      <x:c r="L436" s="12" t="str">
        <x:v>IT &amp; digital; Professional services; Finance &amp; insurance; Engineering &amp; manufacturing; Trade, consumer &amp; logistics; Unresolved</x:v>
      </x:c>
      <x:c r="M436" s="12" t="str">
        <x:v>Small-scale prospects; Medium-scale prospects; Large enterprise; Mixed business audience</x:v>
      </x:c>
      <x:c r="N436" s="12" t="str">
        <x:v>PARTNER-M014</x:v>
      </x:c>
      <x:c r="O436" s="13"/>
      <x:c r="P436" s="13"/>
      <x:c r="Q436" s="2" t="str"/>
      <x:c r="R436"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36" s="12" t="str">
        <x:v>IT and enterprise campus</x:v>
      </x:c>
      <x:c r="T436" s="12" t="str">
        <x:v>Tenant business-type estimates and reviewed company-scale context.</x:v>
      </x:c>
    </x:row>
    <x:row r="437" ht="75" customHeight="1">
      <x:c r="A437" s="10" t="n">
        <x:v>1</x:v>
      </x:c>
      <x:c r="B437" s="2" t="str">
        <x:v>CORP-0441</x:v>
      </x:c>
      <x:c r="C437" s="2" t="str">
        <x:v>Bengaluru</x:v>
      </x:c>
      <x:c r="D437" s="2" t="str"/>
      <x:c r="E437" s="12" t="str">
        <x:v>Prestige Tech Park</x:v>
      </x:c>
      <x:c r="F437" s="12" t="str">
        <x:v>Gravity Lobby</x:v>
      </x:c>
      <x:c r="G437" s="11" t="n">
        <x:v>1</x:v>
      </x:c>
      <x:c r="H437" s="2" t="str">
        <x:v>55 inch</x:v>
      </x:c>
      <x:c r="I437" s="12" t="str">
        <x:v>Avaya Global Connect Ltd; Aptos India Private Limited; Frog Design Studio; Futures First Info Services; Aruba Networks; Mobile Programming; Nagarro Software Pvt. Ltd; Grab Greco LLP; J.P. Morgan; Oracle; AQUANTIA SEMICONDUCTOR INDIA PVT LTD; Conga (Apttus) Software Pvt. Ltd; Schneider Electric; BlueJeans Networks Pvt Ltd; Money View; Citi Bank; Walmart Labs; Capgemini</x:v>
      </x:c>
      <x:c r="J437" s="2" t="n">
        <x:v>18</x:v>
      </x:c>
      <x:c r="K437" s="12" t="str">
        <x:v>Campus/portfolio roster; individual building occupancy unverified</x:v>
      </x:c>
      <x:c r="L437" s="12" t="str">
        <x:v>IT &amp; digital; Professional services; Finance &amp; insurance; Engineering &amp; manufacturing; Trade, consumer &amp; logistics; Unresolved</x:v>
      </x:c>
      <x:c r="M437" s="12" t="str">
        <x:v>Small-scale prospects; Medium-scale prospects; Large enterprise; Mixed business audience</x:v>
      </x:c>
      <x:c r="N437" s="12" t="str">
        <x:v>PARTNER-M014</x:v>
      </x:c>
      <x:c r="O437" s="13"/>
      <x:c r="P437" s="13"/>
      <x:c r="Q437" s="2" t="str"/>
      <x:c r="R437" s="2" t="str">
        <x:v>TEN-11B177B76116; TEN-1A32A2EA27AE; TEN-1B8499B49BB3; TEN-38773D0009A0; TEN-49F1F88DBFE4; TEN-53296B6A946C; TEN-72DA9DBF0092; TEN-76DBEE9F2C38; TEN-775865062819; TEN-78522B7571D3; TEN-8217BB19EBF1; TEN-9202AF6CE925; TEN-9B7F5525854D; TEN-B909749F4464; TEN-BC3067AC45DF; TEN-C34DF63CE5F2; TEN-C47675D3BD0C; TEN-D886B2C883A6; TEN-D9364FD0A5DE; TEN-F55A85B2F2EB</x:v>
      </x:c>
      <x:c r="S437" s="12" t="str">
        <x:v>IT and enterprise campus</x:v>
      </x:c>
      <x:c r="T437" s="12" t="str">
        <x:v>Tenant business-type estimates and reviewed company-scale context.</x:v>
      </x:c>
    </x:row>
    <x:row r="438" ht="127" customHeight="1">
      <x:c r="A438" s="10" t="n">
        <x:v>1</x:v>
      </x:c>
      <x:c r="B438" s="2" t="str">
        <x:v>CORP-0445</x:v>
      </x:c>
      <x:c r="C438" s="2" t="str">
        <x:v>Bengaluru</x:v>
      </x:c>
      <x:c r="D438" s="2" t="str"/>
      <x:c r="E438" s="12" t="str">
        <x:v>Prestige Shantiniketan</x:v>
      </x:c>
      <x:c r="F438" s="12" t="str">
        <x:v>Crescent 1 - Reception Lobby</x:v>
      </x:c>
      <x:c r="G438" s="11" t="n">
        <x:v>1</x:v>
      </x:c>
      <x:c r="H438" s="2" t="str">
        <x:v>55 inch</x:v>
      </x:c>
      <x:c r="I438" s="12" t="str">
        <x:v>Cogent eservices private limited PSN Bangalore; Algorythm; Genisys Group; Herbalife International India Pvt Ltd; Tata Consultancy Services; Tata Elxsi Limited; Hexaware Technologies Limited; Britannia Industries Limited; GE Healthcare; Hindustan Unilever (UniOps business unit); Optym India Private Limited; Thermo Fisher Scientific; Kaseya; Concentrix; ICICI Bank; India Document Solutions Private Ltd; Rockstar Games India; Synapse Techno Design Innovations Private Limited; Nielsen Sports; Baxter Innovations &amp; Business Solutions Pvt Ltd; CapRelo Mobility India Private Limited; Elocity Technologies India Private Limited; MEDTRONIC; Flowserve Global Technology &amp; Engineering Center (GTEC)</x:v>
      </x:c>
      <x:c r="J438" s="2" t="n">
        <x:v>24</x:v>
      </x:c>
      <x:c r="K438" s="12" t="str">
        <x:v>Campus/portfolio roster; individual building occupancy unverified</x:v>
      </x:c>
      <x:c r="L438" s="12" t="str">
        <x:v>IT &amp; digital; Professional services; Finance &amp; insurance; Engineering &amp; manufacturing; Healthcare &amp; life sciences; Trade, consumer &amp; logistics; Unresolved</x:v>
      </x:c>
      <x:c r="M438" s="12" t="str">
        <x:v>Small-scale prospects; Large enterprise; Mixed business audience</x:v>
      </x:c>
      <x:c r="N438" s="12" t="str">
        <x:v>PARTNER-M027</x:v>
      </x:c>
      <x:c r="O438" s="13" t="n">
        <x:v>12.988898</x:v>
      </x:c>
      <x:c r="P438" s="13" t="n">
        <x:v>77.729035</x:v>
      </x:c>
      <x:c r="Q438" s="2" t="str">
        <x:v>https://www.google.com/maps?q=12.988898,77.729035</x:v>
      </x:c>
      <x:c r="R438" s="2" t="str">
        <x:v>TEN-0C81B9564D37; TEN-1D6F21C9D1AB; TEN-31F8B6C7A65B; TEN-53B505C1CAE2; TEN-5FA790F3630F; TEN-8409366CFBB2; TEN-849229AF9AC7; TEN-9636D9305A9A; TEN-985483497785; TEN-9987FF0A3CAC; TEN-9CDD1B64DEF0; TEN-A7FC7DAF4DA4; TEN-B877247CA363; TEN-BA6AE2780CD4; TEN-BEE4F75D30E5; TEN-CCAF93725C39; TEN-D850894DB864; TEN-D860D87EBCF5; TEN-DF4521B8C430; TEN-E23305C78818; TEN-E517F4484EEE; TEN-E88697226669; TEN-EE0CA20290EC; TEN-FECD2DA15F6C</x:v>
      </x:c>
      <x:c r="S438" s="12" t="str">
        <x:v>Mixed commercial workplace</x:v>
      </x:c>
      <x:c r="T438" s="12" t="str">
        <x:v>Tenant business-type estimates and reviewed company-scale context.</x:v>
      </x:c>
    </x:row>
    <x:row r="439" ht="127" customHeight="1">
      <x:c r="A439" s="10" t="n">
        <x:v>1</x:v>
      </x:c>
      <x:c r="B439" s="2" t="str">
        <x:v>CORP-0446</x:v>
      </x:c>
      <x:c r="C439" s="2" t="str">
        <x:v>Bengaluru</x:v>
      </x:c>
      <x:c r="D439" s="2" t="str"/>
      <x:c r="E439" s="12" t="str">
        <x:v>Prestige Shantiniketan</x:v>
      </x:c>
      <x:c r="F439" s="12" t="str">
        <x:v>Crescent 2 - Reception Lobby</x:v>
      </x:c>
      <x:c r="G439" s="11" t="n">
        <x:v>1</x:v>
      </x:c>
      <x:c r="H439" s="2" t="str">
        <x:v>55 inch</x:v>
      </x:c>
      <x:c r="I439" s="12" t="str">
        <x:v>Cogent eservices private limited PSN Bangalore; Algorythm; Genisys Group; Herbalife International India Pvt Ltd; Tata Consultancy Services; Tata Elxsi Limited; Hexaware Technologies Limited; Britannia Industries Limited; GE Healthcare; Hindustan Unilever (UniOps business unit); Optym India Private Limited; Thermo Fisher Scientific; Kaseya; Concentrix; ICICI Bank; India Document Solutions Private Ltd; Rockstar Games India; Synapse Techno Design Innovations Private Limited; Nielsen Sports; Baxter Innovations &amp; Business Solutions Pvt Ltd; CapRelo Mobility India Private Limited; Elocity Technologies India Private Limited; MEDTRONIC; Flowserve Global Technology &amp; Engineering Center (GTEC)</x:v>
      </x:c>
      <x:c r="J439" s="2" t="n">
        <x:v>24</x:v>
      </x:c>
      <x:c r="K439" s="12" t="str">
        <x:v>Campus/portfolio roster; individual building occupancy unverified</x:v>
      </x:c>
      <x:c r="L439" s="12" t="str">
        <x:v>IT &amp; digital; Professional services; Finance &amp; insurance; Engineering &amp; manufacturing; Healthcare &amp; life sciences; Trade, consumer &amp; logistics; Unresolved</x:v>
      </x:c>
      <x:c r="M439" s="12" t="str">
        <x:v>Small-scale prospects; Large enterprise; Mixed business audience</x:v>
      </x:c>
      <x:c r="N439" s="12" t="str">
        <x:v>PARTNER-M027</x:v>
      </x:c>
      <x:c r="O439" s="13" t="n">
        <x:v>12.988898</x:v>
      </x:c>
      <x:c r="P439" s="13" t="n">
        <x:v>77.729035</x:v>
      </x:c>
      <x:c r="Q439" s="2" t="str">
        <x:v>https://www.google.com/maps?q=12.988898,77.729035</x:v>
      </x:c>
      <x:c r="R439" s="2" t="str">
        <x:v>TEN-0C81B9564D37; TEN-1D6F21C9D1AB; TEN-31F8B6C7A65B; TEN-53B505C1CAE2; TEN-5FA790F3630F; TEN-8409366CFBB2; TEN-849229AF9AC7; TEN-9636D9305A9A; TEN-985483497785; TEN-9987FF0A3CAC; TEN-9CDD1B64DEF0; TEN-A7FC7DAF4DA4; TEN-B877247CA363; TEN-BA6AE2780CD4; TEN-BEE4F75D30E5; TEN-CCAF93725C39; TEN-D850894DB864; TEN-D860D87EBCF5; TEN-DF4521B8C430; TEN-E23305C78818; TEN-E517F4484EEE; TEN-E88697226669; TEN-EE0CA20290EC; TEN-FECD2DA15F6C</x:v>
      </x:c>
      <x:c r="S439" s="12" t="str">
        <x:v>Mixed commercial workplace</x:v>
      </x:c>
      <x:c r="T439" s="12" t="str">
        <x:v>Tenant business-type estimates and reviewed company-scale context.</x:v>
      </x:c>
    </x:row>
    <x:row r="440" ht="127" customHeight="1">
      <x:c r="A440" s="10" t="n">
        <x:v>1</x:v>
      </x:c>
      <x:c r="B440" s="2" t="str">
        <x:v>CORP-0447</x:v>
      </x:c>
      <x:c r="C440" s="2" t="str">
        <x:v>Bengaluru</x:v>
      </x:c>
      <x:c r="D440" s="2" t="str"/>
      <x:c r="E440" s="12" t="str">
        <x:v>Prestige Shantiniketan</x:v>
      </x:c>
      <x:c r="F440" s="12" t="str">
        <x:v>Crescent 3 - Reception Lobby</x:v>
      </x:c>
      <x:c r="G440" s="11" t="n">
        <x:v>1</x:v>
      </x:c>
      <x:c r="H440" s="2" t="str">
        <x:v>55 inch</x:v>
      </x:c>
      <x:c r="I440" s="12" t="str">
        <x:v>Cogent eservices private limited PSN Bangalore; Algorythm; Genisys Group; Herbalife International India Pvt Ltd; Tata Consultancy Services; Tata Elxsi Limited; Hexaware Technologies Limited; Britannia Industries Limited; GE Healthcare; Hindustan Unilever (UniOps business unit); Optym India Private Limited; Thermo Fisher Scientific; Kaseya; Concentrix; ICICI Bank; India Document Solutions Private Ltd; Rockstar Games India; Synapse Techno Design Innovations Private Limited; Nielsen Sports; Baxter Innovations &amp; Business Solutions Pvt Ltd; CapRelo Mobility India Private Limited; Elocity Technologies India Private Limited; MEDTRONIC; Flowserve Global Technology &amp; Engineering Center (GTEC)</x:v>
      </x:c>
      <x:c r="J440" s="2" t="n">
        <x:v>24</x:v>
      </x:c>
      <x:c r="K440" s="12" t="str">
        <x:v>Campus/portfolio roster; individual building occupancy unverified</x:v>
      </x:c>
      <x:c r="L440" s="12" t="str">
        <x:v>IT &amp; digital; Professional services; Finance &amp; insurance; Engineering &amp; manufacturing; Healthcare &amp; life sciences; Trade, consumer &amp; logistics; Unresolved</x:v>
      </x:c>
      <x:c r="M440" s="12" t="str">
        <x:v>Small-scale prospects; Large enterprise; Mixed business audience</x:v>
      </x:c>
      <x:c r="N440" s="12" t="str">
        <x:v>PARTNER-M027</x:v>
      </x:c>
      <x:c r="O440" s="13" t="n">
        <x:v>12.988898</x:v>
      </x:c>
      <x:c r="P440" s="13" t="n">
        <x:v>77.729035</x:v>
      </x:c>
      <x:c r="Q440" s="2" t="str">
        <x:v>https://www.google.com/maps?q=12.988898,77.729035</x:v>
      </x:c>
      <x:c r="R440" s="2" t="str">
        <x:v>TEN-0C81B9564D37; TEN-1D6F21C9D1AB; TEN-31F8B6C7A65B; TEN-53B505C1CAE2; TEN-5FA790F3630F; TEN-8409366CFBB2; TEN-849229AF9AC7; TEN-9636D9305A9A; TEN-985483497785; TEN-9987FF0A3CAC; TEN-9CDD1B64DEF0; TEN-A7FC7DAF4DA4; TEN-B877247CA363; TEN-BA6AE2780CD4; TEN-BEE4F75D30E5; TEN-CCAF93725C39; TEN-D850894DB864; TEN-D860D87EBCF5; TEN-DF4521B8C430; TEN-E23305C78818; TEN-E517F4484EEE; TEN-E88697226669; TEN-EE0CA20290EC; TEN-FECD2DA15F6C</x:v>
      </x:c>
      <x:c r="S440" s="12" t="str">
        <x:v>Mixed commercial workplace</x:v>
      </x:c>
      <x:c r="T440" s="12" t="str">
        <x:v>Tenant business-type estimates and reviewed company-scale context.</x:v>
      </x:c>
    </x:row>
    <x:row r="441" ht="127" customHeight="1">
      <x:c r="A441" s="10" t="n">
        <x:v>1</x:v>
      </x:c>
      <x:c r="B441" s="2" t="str">
        <x:v>CORP-0448</x:v>
      </x:c>
      <x:c r="C441" s="2" t="str">
        <x:v>Bengaluru</x:v>
      </x:c>
      <x:c r="D441" s="2" t="str"/>
      <x:c r="E441" s="12" t="str">
        <x:v>Prestige Shantiniketan</x:v>
      </x:c>
      <x:c r="F441" s="12" t="str">
        <x:v>Crescent 4 - Reception Lobby</x:v>
      </x:c>
      <x:c r="G441" s="11" t="n">
        <x:v>1</x:v>
      </x:c>
      <x:c r="H441" s="2" t="str">
        <x:v>55 inch</x:v>
      </x:c>
      <x:c r="I441" s="12" t="str">
        <x:v>Cogent eservices private limited PSN Bangalore; Algorythm; Genisys Group; Herbalife International India Pvt Ltd; Tata Consultancy Services; Tata Elxsi Limited; Hexaware Technologies Limited; Britannia Industries Limited; GE Healthcare; Hindustan Unilever (UniOps business unit); Optym India Private Limited; Thermo Fisher Scientific; Kaseya; Concentrix; ICICI Bank; India Document Solutions Private Ltd; Rockstar Games India; Synapse Techno Design Innovations Private Limited; Nielsen Sports; Baxter Innovations &amp; Business Solutions Pvt Ltd; CapRelo Mobility India Private Limited; Elocity Technologies India Private Limited; MEDTRONIC; Flowserve Global Technology &amp; Engineering Center (GTEC)</x:v>
      </x:c>
      <x:c r="J441" s="2" t="n">
        <x:v>24</x:v>
      </x:c>
      <x:c r="K441" s="12" t="str">
        <x:v>Campus/portfolio roster; individual building occupancy unverified</x:v>
      </x:c>
      <x:c r="L441" s="12" t="str">
        <x:v>IT &amp; digital; Professional services; Finance &amp; insurance; Engineering &amp; manufacturing; Healthcare &amp; life sciences; Trade, consumer &amp; logistics; Unresolved</x:v>
      </x:c>
      <x:c r="M441" s="12" t="str">
        <x:v>Small-scale prospects; Large enterprise; Mixed business audience</x:v>
      </x:c>
      <x:c r="N441" s="12" t="str">
        <x:v>PARTNER-M027</x:v>
      </x:c>
      <x:c r="O441" s="13" t="n">
        <x:v>12.988898</x:v>
      </x:c>
      <x:c r="P441" s="13" t="n">
        <x:v>77.729035</x:v>
      </x:c>
      <x:c r="Q441" s="2" t="str">
        <x:v>https://www.google.com/maps?q=12.988898,77.729035</x:v>
      </x:c>
      <x:c r="R441" s="2" t="str">
        <x:v>TEN-0C81B9564D37; TEN-1D6F21C9D1AB; TEN-31F8B6C7A65B; TEN-53B505C1CAE2; TEN-5FA790F3630F; TEN-8409366CFBB2; TEN-849229AF9AC7; TEN-9636D9305A9A; TEN-985483497785; TEN-9987FF0A3CAC; TEN-9CDD1B64DEF0; TEN-A7FC7DAF4DA4; TEN-B877247CA363; TEN-BA6AE2780CD4; TEN-BEE4F75D30E5; TEN-CCAF93725C39; TEN-D850894DB864; TEN-D860D87EBCF5; TEN-DF4521B8C430; TEN-E23305C78818; TEN-E517F4484EEE; TEN-E88697226669; TEN-EE0CA20290EC; TEN-FECD2DA15F6C</x:v>
      </x:c>
      <x:c r="S441" s="12" t="str">
        <x:v>Mixed commercial workplace</x:v>
      </x:c>
      <x:c r="T441" s="12" t="str">
        <x:v>Tenant business-type estimates and reviewed company-scale context.</x:v>
      </x:c>
    </x:row>
    <x:row r="442" ht="127" customHeight="1">
      <x:c r="A442" s="10" t="n">
        <x:v>1</x:v>
      </x:c>
      <x:c r="B442" s="2" t="str">
        <x:v>CORP-0449</x:v>
      </x:c>
      <x:c r="C442" s="2" t="str">
        <x:v>Bengaluru</x:v>
      </x:c>
      <x:c r="D442" s="2" t="str"/>
      <x:c r="E442" s="12" t="str">
        <x:v>Prestige Shantiniketan</x:v>
      </x:c>
      <x:c r="F442" s="12" t="str">
        <x:v>Tower A - Reception Lobby</x:v>
      </x:c>
      <x:c r="G442" s="11" t="n">
        <x:v>1</x:v>
      </x:c>
      <x:c r="H442" s="2" t="str">
        <x:v>55 inch</x:v>
      </x:c>
      <x:c r="I442" s="12" t="str">
        <x:v>Cogent eservices private limited PSN Bangalore; Algorythm; Genisys Group; Herbalife International India Pvt Ltd; Tata Consultancy Services; Tata Elxsi Limited; Hexaware Technologies Limited; Britannia Industries Limited; GE Healthcare; Hindustan Unilever (UniOps business unit); Optym India Private Limited; Thermo Fisher Scientific; Kaseya; Concentrix; ICICI Bank; India Document Solutions Private Ltd; Rockstar Games India; Synapse Techno Design Innovations Private Limited; Nielsen Sports; Baxter Innovations &amp; Business Solutions Pvt Ltd; CapRelo Mobility India Private Limited; Elocity Technologies India Private Limited; MEDTRONIC; Flowserve Global Technology &amp; Engineering Center (GTEC)</x:v>
      </x:c>
      <x:c r="J442" s="2" t="n">
        <x:v>24</x:v>
      </x:c>
      <x:c r="K442" s="12" t="str">
        <x:v>Campus/portfolio roster; individual building occupancy unverified</x:v>
      </x:c>
      <x:c r="L442" s="12" t="str">
        <x:v>IT &amp; digital; Professional services; Finance &amp; insurance; Engineering &amp; manufacturing; Healthcare &amp; life sciences; Trade, consumer &amp; logistics; Unresolved</x:v>
      </x:c>
      <x:c r="M442" s="12" t="str">
        <x:v>Small-scale prospects; Large enterprise; Mixed business audience</x:v>
      </x:c>
      <x:c r="N442" s="12" t="str">
        <x:v>PARTNER-M027</x:v>
      </x:c>
      <x:c r="O442" s="13" t="n">
        <x:v>12.988898</x:v>
      </x:c>
      <x:c r="P442" s="13" t="n">
        <x:v>77.729035</x:v>
      </x:c>
      <x:c r="Q442" s="2" t="str">
        <x:v>https://www.google.com/maps?q=12.988898,77.729035</x:v>
      </x:c>
      <x:c r="R442" s="2" t="str">
        <x:v>TEN-0C81B9564D37; TEN-1D6F21C9D1AB; TEN-31F8B6C7A65B; TEN-53B505C1CAE2; TEN-5FA790F3630F; TEN-8409366CFBB2; TEN-849229AF9AC7; TEN-9636D9305A9A; TEN-985483497785; TEN-9987FF0A3CAC; TEN-9CDD1B64DEF0; TEN-A7FC7DAF4DA4; TEN-B877247CA363; TEN-BA6AE2780CD4; TEN-BEE4F75D30E5; TEN-CCAF93725C39; TEN-D850894DB864; TEN-D860D87EBCF5; TEN-DF4521B8C430; TEN-E23305C78818; TEN-E517F4484EEE; TEN-E88697226669; TEN-EE0CA20290EC; TEN-FECD2DA15F6C</x:v>
      </x:c>
      <x:c r="S442" s="12" t="str">
        <x:v>Mixed commercial workplace</x:v>
      </x:c>
      <x:c r="T442" s="12" t="str">
        <x:v>Tenant business-type estimates and reviewed company-scale context.</x:v>
      </x:c>
    </x:row>
    <x:row r="443" ht="127" customHeight="1">
      <x:c r="A443" s="10" t="n">
        <x:v>1</x:v>
      </x:c>
      <x:c r="B443" s="2" t="str">
        <x:v>CORP-0450</x:v>
      </x:c>
      <x:c r="C443" s="2" t="str">
        <x:v>Bengaluru</x:v>
      </x:c>
      <x:c r="D443" s="2" t="str"/>
      <x:c r="E443" s="12" t="str">
        <x:v>Prestige Shantiniketan</x:v>
      </x:c>
      <x:c r="F443" s="12" t="str">
        <x:v>Tower B - Reception Lobby</x:v>
      </x:c>
      <x:c r="G443" s="11" t="n">
        <x:v>1</x:v>
      </x:c>
      <x:c r="H443" s="2" t="str">
        <x:v>55 inch</x:v>
      </x:c>
      <x:c r="I443" s="12" t="str">
        <x:v>Cogent eservices private limited PSN Bangalore; Algorythm; Genisys Group; Herbalife International India Pvt Ltd; Tata Consultancy Services; Tata Elxsi Limited; Hexaware Technologies Limited; Britannia Industries Limited; GE Healthcare; Hindustan Unilever (UniOps business unit); Optym India Private Limited; Thermo Fisher Scientific; Kaseya; Concentrix; ICICI Bank; India Document Solutions Private Ltd; Rockstar Games India; Synapse Techno Design Innovations Private Limited; Nielsen Sports; Baxter Innovations &amp; Business Solutions Pvt Ltd; CapRelo Mobility India Private Limited; Elocity Technologies India Private Limited; MEDTRONIC; Flowserve Global Technology &amp; Engineering Center (GTEC)</x:v>
      </x:c>
      <x:c r="J443" s="2" t="n">
        <x:v>24</x:v>
      </x:c>
      <x:c r="K443" s="12" t="str">
        <x:v>Campus/portfolio roster; individual building occupancy unverified</x:v>
      </x:c>
      <x:c r="L443" s="12" t="str">
        <x:v>IT &amp; digital; Professional services; Finance &amp; insurance; Engineering &amp; manufacturing; Healthcare &amp; life sciences; Trade, consumer &amp; logistics; Unresolved</x:v>
      </x:c>
      <x:c r="M443" s="12" t="str">
        <x:v>Small-scale prospects; Large enterprise; Mixed business audience</x:v>
      </x:c>
      <x:c r="N443" s="12" t="str">
        <x:v>PARTNER-M027</x:v>
      </x:c>
      <x:c r="O443" s="13" t="n">
        <x:v>12.988898</x:v>
      </x:c>
      <x:c r="P443" s="13" t="n">
        <x:v>77.729035</x:v>
      </x:c>
      <x:c r="Q443" s="2" t="str">
        <x:v>https://www.google.com/maps?q=12.988898,77.729035</x:v>
      </x:c>
      <x:c r="R443" s="2" t="str">
        <x:v>TEN-0C81B9564D37; TEN-1D6F21C9D1AB; TEN-31F8B6C7A65B; TEN-53B505C1CAE2; TEN-5FA790F3630F; TEN-8409366CFBB2; TEN-849229AF9AC7; TEN-9636D9305A9A; TEN-985483497785; TEN-9987FF0A3CAC; TEN-9CDD1B64DEF0; TEN-A7FC7DAF4DA4; TEN-B877247CA363; TEN-BA6AE2780CD4; TEN-BEE4F75D30E5; TEN-CCAF93725C39; TEN-D850894DB864; TEN-D860D87EBCF5; TEN-DF4521B8C430; TEN-E23305C78818; TEN-E517F4484EEE; TEN-E88697226669; TEN-EE0CA20290EC; TEN-FECD2DA15F6C</x:v>
      </x:c>
      <x:c r="S443" s="12" t="str">
        <x:v>Mixed commercial workplace</x:v>
      </x:c>
      <x:c r="T443" s="12" t="str">
        <x:v>Tenant business-type estimates and reviewed company-scale context.</x:v>
      </x:c>
    </x:row>
    <x:row r="444" ht="127" customHeight="1">
      <x:c r="A444" s="10" t="n">
        <x:v>1</x:v>
      </x:c>
      <x:c r="B444" s="2" t="str">
        <x:v>CORP-0451</x:v>
      </x:c>
      <x:c r="C444" s="2" t="str">
        <x:v>Bengaluru</x:v>
      </x:c>
      <x:c r="D444" s="2" t="str"/>
      <x:c r="E444" s="12" t="str">
        <x:v>Prestige Shantiniketan</x:v>
      </x:c>
      <x:c r="F444" s="12" t="str">
        <x:v>Tower C - Reception Lobby</x:v>
      </x:c>
      <x:c r="G444" s="11" t="n">
        <x:v>1</x:v>
      </x:c>
      <x:c r="H444" s="2" t="str">
        <x:v>55 inch</x:v>
      </x:c>
      <x:c r="I444" s="12" t="str">
        <x:v>Cogent eservices private limited PSN Bangalore; Algorythm; Genisys Group; Herbalife International India Pvt Ltd; Tata Consultancy Services; Tata Elxsi Limited; Hexaware Technologies Limited; Britannia Industries Limited; GE Healthcare; Hindustan Unilever (UniOps business unit); Optym India Private Limited; Thermo Fisher Scientific; Kaseya; Concentrix; ICICI Bank; India Document Solutions Private Ltd; Rockstar Games India; Synapse Techno Design Innovations Private Limited; Nielsen Sports; Baxter Innovations &amp; Business Solutions Pvt Ltd; CapRelo Mobility India Private Limited; Elocity Technologies India Private Limited; MEDTRONIC; Flowserve Global Technology &amp; Engineering Center (GTEC)</x:v>
      </x:c>
      <x:c r="J444" s="2" t="n">
        <x:v>24</x:v>
      </x:c>
      <x:c r="K444" s="12" t="str">
        <x:v>Campus/portfolio roster; individual building occupancy unverified</x:v>
      </x:c>
      <x:c r="L444" s="12" t="str">
        <x:v>IT &amp; digital; Professional services; Finance &amp; insurance; Engineering &amp; manufacturing; Healthcare &amp; life sciences; Trade, consumer &amp; logistics; Unresolved</x:v>
      </x:c>
      <x:c r="M444" s="12" t="str">
        <x:v>Small-scale prospects; Large enterprise; Mixed business audience</x:v>
      </x:c>
      <x:c r="N444" s="12" t="str">
        <x:v>PARTNER-M027</x:v>
      </x:c>
      <x:c r="O444" s="13" t="n">
        <x:v>12.988898</x:v>
      </x:c>
      <x:c r="P444" s="13" t="n">
        <x:v>77.729035</x:v>
      </x:c>
      <x:c r="Q444" s="2" t="str">
        <x:v>https://www.google.com/maps?q=12.988898,77.729035</x:v>
      </x:c>
      <x:c r="R444" s="2" t="str">
        <x:v>TEN-0C81B9564D37; TEN-1D6F21C9D1AB; TEN-31F8B6C7A65B; TEN-53B505C1CAE2; TEN-5FA790F3630F; TEN-8409366CFBB2; TEN-849229AF9AC7; TEN-9636D9305A9A; TEN-985483497785; TEN-9987FF0A3CAC; TEN-9CDD1B64DEF0; TEN-A7FC7DAF4DA4; TEN-B877247CA363; TEN-BA6AE2780CD4; TEN-BEE4F75D30E5; TEN-CCAF93725C39; TEN-D850894DB864; TEN-D860D87EBCF5; TEN-DF4521B8C430; TEN-E23305C78818; TEN-E517F4484EEE; TEN-E88697226669; TEN-EE0CA20290EC; TEN-FECD2DA15F6C</x:v>
      </x:c>
      <x:c r="S444" s="12" t="str">
        <x:v>Mixed commercial workplace</x:v>
      </x:c>
      <x:c r="T444" s="12" t="str">
        <x:v>Tenant business-type estimates and reviewed company-scale context.</x:v>
      </x:c>
    </x:row>
    <x:row r="445" ht="75" customHeight="1">
      <x:c r="A445" s="10" t="n">
        <x:v>1</x:v>
      </x:c>
      <x:c r="B445" s="2" t="str">
        <x:v>CORP-0452</x:v>
      </x:c>
      <x:c r="C445" s="2" t="str">
        <x:v>Bengaluru</x:v>
      </x:c>
      <x:c r="D445" s="2" t="str"/>
      <x:c r="E445" s="12" t="str">
        <x:v>Prestige Technostar</x:v>
      </x:c>
      <x:c r="F445" s="12" t="str">
        <x:v>Reception Lobby - B1</x:v>
      </x:c>
      <x:c r="G445" s="11" t="n">
        <x:v>1</x:v>
      </x:c>
      <x:c r="H445" s="2" t="str">
        <x:v>55 inch</x:v>
      </x:c>
      <x:c r="I445" s="12" t="str">
        <x:v>Annalect; AMD; Route Mobile Limited (RouteLab unit); Aeries Technology Private Limited; Relevance Lab Pvt. Ltd; TBWA\India; Stratus Technologies; Inspirage Software Consulting Pvt. Ltd; Brady Company India Pvt. Ltd; Symplr; Gartner India Research and Advisory Services Pvt. Ltd; o9 Solutions; Adept Chip Services Pvt. Ltd; sophisTex Pvt. Ltd; DealerSocket India Private Limited</x:v>
      </x:c>
      <x:c r="J445" s="2" t="n">
        <x:v>15</x:v>
      </x:c>
      <x:c r="K445" s="12" t="str">
        <x:v>Campus/portfolio roster; individual building occupancy unverified</x:v>
      </x:c>
      <x:c r="L445" s="12" t="str">
        <x:v>IT &amp; digital; Professional services; Engineering &amp; manufacturing; Healthcare &amp; life sciences; Unresolved</x:v>
      </x:c>
      <x:c r="M445" s="12" t="str">
        <x:v>Small-scale prospects; Medium-scale prospects; Large enterprise; Mixed business audience</x:v>
      </x:c>
      <x:c r="N445" s="12" t="str">
        <x:v>PARTNER-M034</x:v>
      </x:c>
      <x:c r="O445" s="13"/>
      <x:c r="P445" s="13"/>
      <x:c r="Q445" s="2" t="str"/>
      <x:c r="R445" s="2" t="str">
        <x:v>TEN-223D607AEE9C; TEN-240389F4B730; TEN-3A1978BEBDE0; TEN-6B0F63C5E611; TEN-8651A1F195D9; TEN-9C8100FC00FA; TEN-C003E01D846B; TEN-C042D03D597E; TEN-C534FF89F340; TEN-CA38967873EE; TEN-CCF2DC9DADF3; TEN-D273C9F9C1A3; TEN-DBAB58D7E29B; TEN-DFB64AC34C6A; TEN-FC632053B35C</x:v>
      </x:c>
      <x:c r="S445" s="12" t="str">
        <x:v>Mixed commercial workplace</x:v>
      </x:c>
      <x:c r="T445" s="12" t="str">
        <x:v>Tenant business-type estimates and reviewed company-scale context.</x:v>
      </x:c>
    </x:row>
    <x:row r="446" ht="75" customHeight="1">
      <x:c r="A446" s="10" t="n">
        <x:v>1</x:v>
      </x:c>
      <x:c r="B446" s="2" t="str">
        <x:v>CORP-0453</x:v>
      </x:c>
      <x:c r="C446" s="2" t="str">
        <x:v>Bengaluru</x:v>
      </x:c>
      <x:c r="D446" s="2" t="str"/>
      <x:c r="E446" s="12" t="str">
        <x:v>Prestige Technostar</x:v>
      </x:c>
      <x:c r="F446" s="12" t="str">
        <x:v>Reception Lobby - B2</x:v>
      </x:c>
      <x:c r="G446" s="11" t="n">
        <x:v>1</x:v>
      </x:c>
      <x:c r="H446" s="2" t="str">
        <x:v>55 inch</x:v>
      </x:c>
      <x:c r="I446" s="12" t="str">
        <x:v>Annalect; AMD; Route Mobile Limited (RouteLab unit); Aeries Technology Private Limited; Relevance Lab Pvt. Ltd; TBWA\India; Stratus Technologies; Inspirage Software Consulting Pvt. Ltd; Brady Company India Pvt. Ltd; Symplr; Gartner India Research and Advisory Services Pvt. Ltd; o9 Solutions; Adept Chip Services Pvt. Ltd; sophisTex Pvt. Ltd; DealerSocket India Private Limited</x:v>
      </x:c>
      <x:c r="J446" s="2" t="n">
        <x:v>15</x:v>
      </x:c>
      <x:c r="K446" s="12" t="str">
        <x:v>Campus/portfolio roster; individual building occupancy unverified</x:v>
      </x:c>
      <x:c r="L446" s="12" t="str">
        <x:v>IT &amp; digital; Professional services; Engineering &amp; manufacturing; Healthcare &amp; life sciences; Unresolved</x:v>
      </x:c>
      <x:c r="M446" s="12" t="str">
        <x:v>Small-scale prospects; Medium-scale prospects; Large enterprise; Mixed business audience</x:v>
      </x:c>
      <x:c r="N446" s="12" t="str">
        <x:v>PARTNER-M034</x:v>
      </x:c>
      <x:c r="O446" s="13"/>
      <x:c r="P446" s="13"/>
      <x:c r="Q446" s="2" t="str"/>
      <x:c r="R446" s="2" t="str">
        <x:v>TEN-223D607AEE9C; TEN-240389F4B730; TEN-3A1978BEBDE0; TEN-6B0F63C5E611; TEN-8651A1F195D9; TEN-9C8100FC00FA; TEN-C003E01D846B; TEN-C042D03D597E; TEN-C534FF89F340; TEN-CA38967873EE; TEN-CCF2DC9DADF3; TEN-D273C9F9C1A3; TEN-DBAB58D7E29B; TEN-DFB64AC34C6A; TEN-FC632053B35C</x:v>
      </x:c>
      <x:c r="S446" s="12" t="str">
        <x:v>Mixed commercial workplace</x:v>
      </x:c>
      <x:c r="T446" s="12" t="str">
        <x:v>Tenant business-type estimates and reviewed company-scale context.</x:v>
      </x:c>
    </x:row>
    <x:row r="447" ht="75" customHeight="1">
      <x:c r="A447" s="10" t="n">
        <x:v>1</x:v>
      </x:c>
      <x:c r="B447" s="2" t="str">
        <x:v>CORP-0454</x:v>
      </x:c>
      <x:c r="C447" s="2" t="str">
        <x:v>Bengaluru</x:v>
      </x:c>
      <x:c r="D447" s="2" t="str"/>
      <x:c r="E447" s="12" t="str">
        <x:v>Prestige Technostar</x:v>
      </x:c>
      <x:c r="F447" s="12" t="str">
        <x:v>Reception Lobby - B3</x:v>
      </x:c>
      <x:c r="G447" s="11" t="n">
        <x:v>1</x:v>
      </x:c>
      <x:c r="H447" s="2" t="str">
        <x:v>55 inch</x:v>
      </x:c>
      <x:c r="I447" s="12" t="str">
        <x:v>Annalect; AMD; Route Mobile Limited (RouteLab unit); Aeries Technology Private Limited; Relevance Lab Pvt. Ltd; TBWA\India; Stratus Technologies; Inspirage Software Consulting Pvt. Ltd; Brady Company India Pvt. Ltd; Symplr; Gartner India Research and Advisory Services Pvt. Ltd; o9 Solutions; Adept Chip Services Pvt. Ltd; sophisTex Pvt. Ltd; DealerSocket India Private Limited</x:v>
      </x:c>
      <x:c r="J447" s="2" t="n">
        <x:v>15</x:v>
      </x:c>
      <x:c r="K447" s="12" t="str">
        <x:v>Campus/portfolio roster; individual building occupancy unverified</x:v>
      </x:c>
      <x:c r="L447" s="12" t="str">
        <x:v>IT &amp; digital; Professional services; Engineering &amp; manufacturing; Healthcare &amp; life sciences; Unresolved</x:v>
      </x:c>
      <x:c r="M447" s="12" t="str">
        <x:v>Small-scale prospects; Medium-scale prospects; Large enterprise; Mixed business audience</x:v>
      </x:c>
      <x:c r="N447" s="12" t="str">
        <x:v>PARTNER-M034</x:v>
      </x:c>
      <x:c r="O447" s="13"/>
      <x:c r="P447" s="13"/>
      <x:c r="Q447" s="2" t="str"/>
      <x:c r="R447" s="2" t="str">
        <x:v>TEN-223D607AEE9C; TEN-240389F4B730; TEN-3A1978BEBDE0; TEN-6B0F63C5E611; TEN-8651A1F195D9; TEN-9C8100FC00FA; TEN-C003E01D846B; TEN-C042D03D597E; TEN-C534FF89F340; TEN-CA38967873EE; TEN-CCF2DC9DADF3; TEN-D273C9F9C1A3; TEN-DBAB58D7E29B; TEN-DFB64AC34C6A; TEN-FC632053B35C</x:v>
      </x:c>
      <x:c r="S447" s="12" t="str">
        <x:v>Mixed commercial workplace</x:v>
      </x:c>
      <x:c r="T447" s="12" t="str">
        <x:v>Tenant business-type estimates and reviewed company-scale context.</x:v>
      </x:c>
    </x:row>
    <x:row r="448" ht="75" customHeight="1">
      <x:c r="A448" s="10" t="n">
        <x:v>1</x:v>
      </x:c>
      <x:c r="B448" s="2" t="str">
        <x:v>CORP-0455</x:v>
      </x:c>
      <x:c r="C448" s="2" t="str">
        <x:v>Bengaluru</x:v>
      </x:c>
      <x:c r="D448" s="2" t="str"/>
      <x:c r="E448" s="12" t="str">
        <x:v>Prestige Technostar</x:v>
      </x:c>
      <x:c r="F448" s="12" t="str">
        <x:v>Reception Lobby - B4</x:v>
      </x:c>
      <x:c r="G448" s="11" t="n">
        <x:v>1</x:v>
      </x:c>
      <x:c r="H448" s="2" t="str">
        <x:v>55 inch</x:v>
      </x:c>
      <x:c r="I448" s="12" t="str">
        <x:v>Annalect; AMD; Route Mobile Limited (RouteLab unit); Aeries Technology Private Limited; Relevance Lab Pvt. Ltd; TBWA\India; Stratus Technologies; Inspirage Software Consulting Pvt. Ltd; Brady Company India Pvt. Ltd; Symplr; Gartner India Research and Advisory Services Pvt. Ltd; o9 Solutions; Adept Chip Services Pvt. Ltd; sophisTex Pvt. Ltd; DealerSocket India Private Limited</x:v>
      </x:c>
      <x:c r="J448" s="2" t="n">
        <x:v>15</x:v>
      </x:c>
      <x:c r="K448" s="12" t="str">
        <x:v>Campus/portfolio roster; individual building occupancy unverified</x:v>
      </x:c>
      <x:c r="L448" s="12" t="str">
        <x:v>IT &amp; digital; Professional services; Engineering &amp; manufacturing; Healthcare &amp; life sciences; Unresolved</x:v>
      </x:c>
      <x:c r="M448" s="12" t="str">
        <x:v>Small-scale prospects; Medium-scale prospects; Large enterprise; Mixed business audience</x:v>
      </x:c>
      <x:c r="N448" s="12" t="str">
        <x:v>PARTNER-M034</x:v>
      </x:c>
      <x:c r="O448" s="13"/>
      <x:c r="P448" s="13"/>
      <x:c r="Q448" s="2" t="str"/>
      <x:c r="R448" s="2" t="str">
        <x:v>TEN-223D607AEE9C; TEN-240389F4B730; TEN-3A1978BEBDE0; TEN-6B0F63C5E611; TEN-8651A1F195D9; TEN-9C8100FC00FA; TEN-C003E01D846B; TEN-C042D03D597E; TEN-C534FF89F340; TEN-CA38967873EE; TEN-CCF2DC9DADF3; TEN-D273C9F9C1A3; TEN-DBAB58D7E29B; TEN-DFB64AC34C6A; TEN-FC632053B35C</x:v>
      </x:c>
      <x:c r="S448" s="12" t="str">
        <x:v>Mixed commercial workplace</x:v>
      </x:c>
      <x:c r="T448" s="12" t="str">
        <x:v>Tenant business-type estimates and reviewed company-scale context.</x:v>
      </x:c>
    </x:row>
    <x:row r="449" ht="75" customHeight="1">
      <x:c r="A449" s="10" t="n">
        <x:v>1</x:v>
      </x:c>
      <x:c r="B449" s="2" t="str">
        <x:v>CORP-0456</x:v>
      </x:c>
      <x:c r="C449" s="2" t="str">
        <x:v>Bengaluru</x:v>
      </x:c>
      <x:c r="D449" s="2" t="str"/>
      <x:c r="E449" s="12" t="str">
        <x:v>Prestige Technostar</x:v>
      </x:c>
      <x:c r="F449" s="12" t="str">
        <x:v>Food Court - 1</x:v>
      </x:c>
      <x:c r="G449" s="11" t="n">
        <x:v>1</x:v>
      </x:c>
      <x:c r="H449" s="2" t="str">
        <x:v>55 inch</x:v>
      </x:c>
      <x:c r="I449" s="12" t="str">
        <x:v>Annalect; AMD; Route Mobile Limited (RouteLab unit); Aeries Technology Private Limited; Relevance Lab Pvt. Ltd; TBWA\India; Stratus Technologies; Inspirage Software Consulting Pvt. Ltd; Brady Company India Pvt. Ltd; Symplr; Gartner India Research and Advisory Services Pvt. Ltd; o9 Solutions; Adept Chip Services Pvt. Ltd; sophisTex Pvt. Ltd; DealerSocket India Private Limited</x:v>
      </x:c>
      <x:c r="J449" s="2" t="n">
        <x:v>15</x:v>
      </x:c>
      <x:c r="K449" s="12" t="str">
        <x:v>Campus/portfolio roster; individual building occupancy unverified</x:v>
      </x:c>
      <x:c r="L449" s="12" t="str">
        <x:v>IT &amp; digital; Professional services; Engineering &amp; manufacturing; Healthcare &amp; life sciences; Unresolved</x:v>
      </x:c>
      <x:c r="M449" s="12" t="str">
        <x:v>Small-scale prospects; Medium-scale prospects; Large enterprise; Mixed business audience</x:v>
      </x:c>
      <x:c r="N449" s="12" t="str">
        <x:v>PARTNER-M034</x:v>
      </x:c>
      <x:c r="O449" s="13"/>
      <x:c r="P449" s="13"/>
      <x:c r="Q449" s="2" t="str"/>
      <x:c r="R449" s="2" t="str">
        <x:v>TEN-223D607AEE9C; TEN-240389F4B730; TEN-3A1978BEBDE0; TEN-6B0F63C5E611; TEN-8651A1F195D9; TEN-9C8100FC00FA; TEN-C003E01D846B; TEN-C042D03D597E; TEN-C534FF89F340; TEN-CA38967873EE; TEN-CCF2DC9DADF3; TEN-D273C9F9C1A3; TEN-DBAB58D7E29B; TEN-DFB64AC34C6A; TEN-FC632053B35C</x:v>
      </x:c>
      <x:c r="S449" s="12" t="str">
        <x:v>Mixed commercial workplace</x:v>
      </x:c>
      <x:c r="T449" s="12" t="str">
        <x:v>Tenant business-type estimates and reviewed company-scale context.</x:v>
      </x:c>
    </x:row>
    <x:row r="450" ht="64" customHeight="1">
      <x:c r="A450" s="10" t="n">
        <x:v>1</x:v>
      </x:c>
      <x:c r="B450" s="2" t="str">
        <x:v>CORP-0457</x:v>
      </x:c>
      <x:c r="C450" s="2" t="str">
        <x:v>Bengaluru</x:v>
      </x:c>
      <x:c r="D450" s="2" t="str"/>
      <x:c r="E450" s="12" t="str">
        <x:v>Prestige Tech Cloud</x:v>
      </x:c>
      <x:c r="F450" s="12" t="str">
        <x:v>Block A - Reception</x:v>
      </x:c>
      <x:c r="G450" s="11" t="n">
        <x:v>1</x:v>
      </x:c>
      <x:c r="H450" s="2" t="str">
        <x:v>55 inch</x:v>
      </x:c>
      <x:c r="I450" s="12" t="str">
        <x:v>Credit Suisse; AIG; Juniper Networks; Robert Bosch; Western Digital; Vmware; Tata Consultancy Services; J.P. Morgan; Oracle; Microsoft; Schneider Electric; Tata; Nielsen; Adobe; Capgemini</x:v>
      </x:c>
      <x:c r="J450" s="2" t="n">
        <x:v>15</x:v>
      </x:c>
      <x:c r="K450" s="12" t="str">
        <x:v>Campus/portfolio roster; individual building occupancy unverified</x:v>
      </x:c>
      <x:c r="L450" s="12" t="str">
        <x:v>IT &amp; digital; Professional services; Finance &amp; insurance; Engineering &amp; manufacturing; Unresolved</x:v>
      </x:c>
      <x:c r="M450" s="12" t="str">
        <x:v>Large enterprise; Mixed business audience</x:v>
      </x:c>
      <x:c r="N450" s="12" t="str">
        <x:v>PARTNER-M039</x:v>
      </x:c>
      <x:c r="O450" s="13"/>
      <x:c r="P450" s="13"/>
      <x:c r="Q450" s="2" t="str"/>
      <x:c r="R450" s="2" t="str">
        <x:v>TEN-02250879BF4E; TEN-229A4B0753F7; TEN-28CBC5A35638; TEN-28D7AE9C8DBC; TEN-30448EBA2EBE; TEN-592CC302663C; TEN-5FA790F3630F; TEN-8217BB19EBF1; TEN-9202AF6CE925; TEN-9FBF261B62C1; TEN-BC3067AC45DF; TEN-D1C7C99C6E2E; TEN-EAE8E3404182; TEN-EE9021C84F33; TEN-F55A85B2F2EB</x:v>
      </x:c>
      <x:c r="S450" s="12" t="str">
        <x:v>Mixed commercial workplace</x:v>
      </x:c>
      <x:c r="T450" s="12" t="str">
        <x:v>Tenant business-type estimates and reviewed company-scale context.</x:v>
      </x:c>
    </x:row>
    <x:row r="451" ht="64" customHeight="1">
      <x:c r="A451" s="10" t="n">
        <x:v>1</x:v>
      </x:c>
      <x:c r="B451" s="2" t="str">
        <x:v>CORP-0458</x:v>
      </x:c>
      <x:c r="C451" s="2" t="str">
        <x:v>Bengaluru</x:v>
      </x:c>
      <x:c r="D451" s="2" t="str"/>
      <x:c r="E451" s="12" t="str">
        <x:v>Prestige Tech Cloud</x:v>
      </x:c>
      <x:c r="F451" s="12" t="str">
        <x:v>Block B - Reception</x:v>
      </x:c>
      <x:c r="G451" s="11" t="n">
        <x:v>1</x:v>
      </x:c>
      <x:c r="H451" s="2" t="str">
        <x:v>55 inch</x:v>
      </x:c>
      <x:c r="I451" s="12" t="str">
        <x:v>Credit Suisse; AIG; Juniper Networks; Robert Bosch; Western Digital; Vmware; Tata Consultancy Services; J.P. Morgan; Oracle; Microsoft; Schneider Electric; Tata; Nielsen; Adobe; Capgemini</x:v>
      </x:c>
      <x:c r="J451" s="2" t="n">
        <x:v>15</x:v>
      </x:c>
      <x:c r="K451" s="12" t="str">
        <x:v>Campus/portfolio roster; individual building occupancy unverified</x:v>
      </x:c>
      <x:c r="L451" s="12" t="str">
        <x:v>IT &amp; digital; Professional services; Finance &amp; insurance; Engineering &amp; manufacturing; Unresolved</x:v>
      </x:c>
      <x:c r="M451" s="12" t="str">
        <x:v>Large enterprise; Mixed business audience</x:v>
      </x:c>
      <x:c r="N451" s="12" t="str">
        <x:v>PARTNER-M039</x:v>
      </x:c>
      <x:c r="O451" s="13"/>
      <x:c r="P451" s="13"/>
      <x:c r="Q451" s="2" t="str"/>
      <x:c r="R451" s="2" t="str">
        <x:v>TEN-02250879BF4E; TEN-229A4B0753F7; TEN-28CBC5A35638; TEN-28D7AE9C8DBC; TEN-30448EBA2EBE; TEN-592CC302663C; TEN-5FA790F3630F; TEN-8217BB19EBF1; TEN-9202AF6CE925; TEN-9FBF261B62C1; TEN-BC3067AC45DF; TEN-D1C7C99C6E2E; TEN-EAE8E3404182; TEN-EE9021C84F33; TEN-F55A85B2F2EB</x:v>
      </x:c>
      <x:c r="S451" s="12" t="str">
        <x:v>Mixed commercial workplace</x:v>
      </x:c>
      <x:c r="T451" s="12" t="str">
        <x:v>Tenant business-type estimates and reviewed company-scale context.</x:v>
      </x:c>
    </x:row>
    <x:row r="452" ht="64" customHeight="1">
      <x:c r="A452" s="10" t="n">
        <x:v>1</x:v>
      </x:c>
      <x:c r="B452" s="2" t="str">
        <x:v>CORP-0459</x:v>
      </x:c>
      <x:c r="C452" s="2" t="str">
        <x:v>Bengaluru</x:v>
      </x:c>
      <x:c r="D452" s="2" t="str"/>
      <x:c r="E452" s="12" t="str">
        <x:v>Prestige Tech Cloud</x:v>
      </x:c>
      <x:c r="F452" s="12" t="str">
        <x:v>Block C - Reception</x:v>
      </x:c>
      <x:c r="G452" s="11" t="n">
        <x:v>1</x:v>
      </x:c>
      <x:c r="H452" s="2" t="str">
        <x:v>55 inch</x:v>
      </x:c>
      <x:c r="I452" s="12" t="str">
        <x:v>Credit Suisse; AIG; Juniper Networks; Robert Bosch; Western Digital; Vmware; Tata Consultancy Services; J.P. Morgan; Oracle; Microsoft; Schneider Electric; Tata; Nielsen; Adobe; Capgemini</x:v>
      </x:c>
      <x:c r="J452" s="2" t="n">
        <x:v>15</x:v>
      </x:c>
      <x:c r="K452" s="12" t="str">
        <x:v>Campus/portfolio roster; individual building occupancy unverified</x:v>
      </x:c>
      <x:c r="L452" s="12" t="str">
        <x:v>IT &amp; digital; Professional services; Finance &amp; insurance; Engineering &amp; manufacturing; Unresolved</x:v>
      </x:c>
      <x:c r="M452" s="12" t="str">
        <x:v>Large enterprise; Mixed business audience</x:v>
      </x:c>
      <x:c r="N452" s="12" t="str">
        <x:v>PARTNER-M039</x:v>
      </x:c>
      <x:c r="O452" s="13"/>
      <x:c r="P452" s="13"/>
      <x:c r="Q452" s="2" t="str"/>
      <x:c r="R452" s="2" t="str">
        <x:v>TEN-02250879BF4E; TEN-229A4B0753F7; TEN-28CBC5A35638; TEN-28D7AE9C8DBC; TEN-30448EBA2EBE; TEN-592CC302663C; TEN-5FA790F3630F; TEN-8217BB19EBF1; TEN-9202AF6CE925; TEN-9FBF261B62C1; TEN-BC3067AC45DF; TEN-D1C7C99C6E2E; TEN-EAE8E3404182; TEN-EE9021C84F33; TEN-F55A85B2F2EB</x:v>
      </x:c>
      <x:c r="S452" s="12" t="str">
        <x:v>Mixed commercial workplace</x:v>
      </x:c>
      <x:c r="T452" s="12" t="str">
        <x:v>Tenant business-type estimates and reviewed company-scale context.</x:v>
      </x:c>
    </x:row>
    <x:row r="453" ht="64" customHeight="1">
      <x:c r="A453" s="10" t="n">
        <x:v>1</x:v>
      </x:c>
      <x:c r="B453" s="2" t="str">
        <x:v>CORP-0460</x:v>
      </x:c>
      <x:c r="C453" s="2" t="str">
        <x:v>Bengaluru</x:v>
      </x:c>
      <x:c r="D453" s="2" t="str"/>
      <x:c r="E453" s="12" t="str">
        <x:v>Prestige Tech Cloud</x:v>
      </x:c>
      <x:c r="F453" s="12" t="str">
        <x:v>Block A - Elevator Lobby</x:v>
      </x:c>
      <x:c r="G453" s="11" t="n">
        <x:v>1</x:v>
      </x:c>
      <x:c r="H453" s="2" t="str">
        <x:v>55 inch</x:v>
      </x:c>
      <x:c r="I453" s="12" t="str">
        <x:v>Credit Suisse; AIG; Juniper Networks; Robert Bosch; Western Digital; Vmware; Tata Consultancy Services; J.P. Morgan; Oracle; Microsoft; Schneider Electric; Tata; Nielsen; Adobe; Capgemini</x:v>
      </x:c>
      <x:c r="J453" s="2" t="n">
        <x:v>15</x:v>
      </x:c>
      <x:c r="K453" s="12" t="str">
        <x:v>Campus/portfolio roster; individual building occupancy unverified</x:v>
      </x:c>
      <x:c r="L453" s="12" t="str">
        <x:v>IT &amp; digital; Professional services; Finance &amp; insurance; Engineering &amp; manufacturing; Unresolved</x:v>
      </x:c>
      <x:c r="M453" s="12" t="str">
        <x:v>Large enterprise; Mixed business audience</x:v>
      </x:c>
      <x:c r="N453" s="12" t="str">
        <x:v>PARTNER-M039</x:v>
      </x:c>
      <x:c r="O453" s="13"/>
      <x:c r="P453" s="13"/>
      <x:c r="Q453" s="2" t="str"/>
      <x:c r="R453" s="2" t="str">
        <x:v>TEN-02250879BF4E; TEN-229A4B0753F7; TEN-28CBC5A35638; TEN-28D7AE9C8DBC; TEN-30448EBA2EBE; TEN-592CC302663C; TEN-5FA790F3630F; TEN-8217BB19EBF1; TEN-9202AF6CE925; TEN-9FBF261B62C1; TEN-BC3067AC45DF; TEN-D1C7C99C6E2E; TEN-EAE8E3404182; TEN-EE9021C84F33; TEN-F55A85B2F2EB</x:v>
      </x:c>
      <x:c r="S453" s="12" t="str">
        <x:v>Mixed commercial workplace</x:v>
      </x:c>
      <x:c r="T453" s="12" t="str">
        <x:v>Tenant business-type estimates and reviewed company-scale context.</x:v>
      </x:c>
    </x:row>
    <x:row r="454" ht="64" customHeight="1">
      <x:c r="A454" s="10" t="n">
        <x:v>1</x:v>
      </x:c>
      <x:c r="B454" s="2" t="str">
        <x:v>CORP-0461</x:v>
      </x:c>
      <x:c r="C454" s="2" t="str">
        <x:v>Bengaluru</x:v>
      </x:c>
      <x:c r="D454" s="2" t="str"/>
      <x:c r="E454" s="12" t="str">
        <x:v>Prestige Tech Cloud</x:v>
      </x:c>
      <x:c r="F454" s="12" t="str">
        <x:v>Block B - Elevator Lobby</x:v>
      </x:c>
      <x:c r="G454" s="11" t="n">
        <x:v>1</x:v>
      </x:c>
      <x:c r="H454" s="2" t="str">
        <x:v>55 inch</x:v>
      </x:c>
      <x:c r="I454" s="12" t="str">
        <x:v>Credit Suisse; AIG; Juniper Networks; Robert Bosch; Western Digital; Vmware; Tata Consultancy Services; J.P. Morgan; Oracle; Microsoft; Schneider Electric; Tata; Nielsen; Adobe; Capgemini</x:v>
      </x:c>
      <x:c r="J454" s="2" t="n">
        <x:v>15</x:v>
      </x:c>
      <x:c r="K454" s="12" t="str">
        <x:v>Campus/portfolio roster; individual building occupancy unverified</x:v>
      </x:c>
      <x:c r="L454" s="12" t="str">
        <x:v>IT &amp; digital; Professional services; Finance &amp; insurance; Engineering &amp; manufacturing; Unresolved</x:v>
      </x:c>
      <x:c r="M454" s="12" t="str">
        <x:v>Large enterprise; Mixed business audience</x:v>
      </x:c>
      <x:c r="N454" s="12" t="str">
        <x:v>PARTNER-M039</x:v>
      </x:c>
      <x:c r="O454" s="13"/>
      <x:c r="P454" s="13"/>
      <x:c r="Q454" s="2" t="str"/>
      <x:c r="R454" s="2" t="str">
        <x:v>TEN-02250879BF4E; TEN-229A4B0753F7; TEN-28CBC5A35638; TEN-28D7AE9C8DBC; TEN-30448EBA2EBE; TEN-592CC302663C; TEN-5FA790F3630F; TEN-8217BB19EBF1; TEN-9202AF6CE925; TEN-9FBF261B62C1; TEN-BC3067AC45DF; TEN-D1C7C99C6E2E; TEN-EAE8E3404182; TEN-EE9021C84F33; TEN-F55A85B2F2EB</x:v>
      </x:c>
      <x:c r="S454" s="12" t="str">
        <x:v>Mixed commercial workplace</x:v>
      </x:c>
      <x:c r="T454" s="12" t="str">
        <x:v>Tenant business-type estimates and reviewed company-scale context.</x:v>
      </x:c>
    </x:row>
    <x:row r="455" ht="64" customHeight="1">
      <x:c r="A455" s="10" t="n">
        <x:v>1</x:v>
      </x:c>
      <x:c r="B455" s="2" t="str">
        <x:v>CORP-0462</x:v>
      </x:c>
      <x:c r="C455" s="2" t="str">
        <x:v>Bengaluru</x:v>
      </x:c>
      <x:c r="D455" s="2" t="str"/>
      <x:c r="E455" s="12" t="str">
        <x:v>Prestige Tech Cloud</x:v>
      </x:c>
      <x:c r="F455" s="12" t="str">
        <x:v>Block C - Elevator Lobby</x:v>
      </x:c>
      <x:c r="G455" s="11" t="n">
        <x:v>1</x:v>
      </x:c>
      <x:c r="H455" s="2" t="str">
        <x:v>55 inch</x:v>
      </x:c>
      <x:c r="I455" s="12" t="str">
        <x:v>Credit Suisse; AIG; Juniper Networks; Robert Bosch; Western Digital; Vmware; Tata Consultancy Services; J.P. Morgan; Oracle; Microsoft; Schneider Electric; Tata; Nielsen; Adobe; Capgemini</x:v>
      </x:c>
      <x:c r="J455" s="2" t="n">
        <x:v>15</x:v>
      </x:c>
      <x:c r="K455" s="12" t="str">
        <x:v>Campus/portfolio roster; individual building occupancy unverified</x:v>
      </x:c>
      <x:c r="L455" s="12" t="str">
        <x:v>IT &amp; digital; Professional services; Finance &amp; insurance; Engineering &amp; manufacturing; Unresolved</x:v>
      </x:c>
      <x:c r="M455" s="12" t="str">
        <x:v>Large enterprise; Mixed business audience</x:v>
      </x:c>
      <x:c r="N455" s="12" t="str">
        <x:v>PARTNER-M039</x:v>
      </x:c>
      <x:c r="O455" s="13"/>
      <x:c r="P455" s="13"/>
      <x:c r="Q455" s="2" t="str"/>
      <x:c r="R455" s="2" t="str">
        <x:v>TEN-02250879BF4E; TEN-229A4B0753F7; TEN-28CBC5A35638; TEN-28D7AE9C8DBC; TEN-30448EBA2EBE; TEN-592CC302663C; TEN-5FA790F3630F; TEN-8217BB19EBF1; TEN-9202AF6CE925; TEN-9FBF261B62C1; TEN-BC3067AC45DF; TEN-D1C7C99C6E2E; TEN-EAE8E3404182; TEN-EE9021C84F33; TEN-F55A85B2F2EB</x:v>
      </x:c>
      <x:c r="S455" s="12" t="str">
        <x:v>Mixed commercial workplace</x:v>
      </x:c>
      <x:c r="T455" s="12" t="str">
        <x:v>Tenant business-type estimates and reviewed company-scale context.</x:v>
      </x:c>
    </x:row>
    <x:row r="456" ht="64" customHeight="1">
      <x:c r="A456" s="10" t="n">
        <x:v>1</x:v>
      </x:c>
      <x:c r="B456" s="2" t="str">
        <x:v>CORP-0463</x:v>
      </x:c>
      <x:c r="C456" s="2" t="str">
        <x:v>Bengaluru</x:v>
      </x:c>
      <x:c r="D456" s="2" t="str"/>
      <x:c r="E456" s="12" t="str">
        <x:v>Prestige Tech Pacific</x:v>
      </x:c>
      <x:c r="F456" s="12" t="str">
        <x:v>Block A - Reception</x:v>
      </x:c>
      <x:c r="G456" s="11" t="n">
        <x:v>1</x:v>
      </x:c>
      <x:c r="H456" s="2" t="str">
        <x:v>55 inch</x:v>
      </x:c>
      <x:c r="I456" s="12" t="str">
        <x:v>Juniper Networks; Siemens; JP Morgan Chase; Oracle India Pvt. Ltd; Akamai Technologies; Cognizant; Mindtree; Amadeus Software Labs; Mphasis; Virtusa; Capgemini</x:v>
      </x:c>
      <x:c r="J456" s="2" t="n">
        <x:v>11</x:v>
      </x:c>
      <x:c r="K456" s="12" t="str">
        <x:v>Campus/portfolio roster; individual building occupancy unverified</x:v>
      </x:c>
      <x:c r="L456" s="12" t="str">
        <x:v>IT &amp; digital; Finance &amp; insurance; Engineering &amp; manufacturing</x:v>
      </x:c>
      <x:c r="M456" s="12" t="str">
        <x:v>Large enterprise; Mixed business audience</x:v>
      </x:c>
      <x:c r="N456" s="12" t="str">
        <x:v>PARTNER-M045</x:v>
      </x:c>
      <x:c r="O456" s="13"/>
      <x:c r="P456" s="13"/>
      <x:c r="Q456" s="2" t="str"/>
      <x:c r="R456" s="2" t="str">
        <x:v>TEN-28CBC5A35638; TEN-30E363D3E8C5; TEN-50FCB8C0B6FA; TEN-68AE6688DA7F; TEN-8492381623BD; TEN-86F73DFE7BB6; TEN-9120856F15CD; TEN-B38914B2E8FA; TEN-C63AC00C4D11; TEN-EC016BB6297A; TEN-F55A85B2F2EB</x:v>
      </x:c>
      <x:c r="S456" s="12" t="str">
        <x:v>Mixed commercial workplace</x:v>
      </x:c>
      <x:c r="T456" s="12" t="str">
        <x:v>Tenant business-type estimates and reviewed company-scale context.</x:v>
      </x:c>
    </x:row>
    <x:row r="457" ht="64" customHeight="1">
      <x:c r="A457" s="10" t="n">
        <x:v>1</x:v>
      </x:c>
      <x:c r="B457" s="2" t="str">
        <x:v>CORP-0464</x:v>
      </x:c>
      <x:c r="C457" s="2" t="str">
        <x:v>Bengaluru</x:v>
      </x:c>
      <x:c r="D457" s="2" t="str"/>
      <x:c r="E457" s="12" t="str">
        <x:v>Prestige Tech Pacific</x:v>
      </x:c>
      <x:c r="F457" s="12" t="str">
        <x:v>Block B - Reception</x:v>
      </x:c>
      <x:c r="G457" s="11" t="n">
        <x:v>1</x:v>
      </x:c>
      <x:c r="H457" s="2" t="str">
        <x:v>55 inch</x:v>
      </x:c>
      <x:c r="I457" s="12" t="str">
        <x:v>Juniper Networks; Siemens; JP Morgan Chase; Oracle India Pvt. Ltd; Akamai Technologies; Cognizant; Mindtree; Amadeus Software Labs; Mphasis; Virtusa; Capgemini</x:v>
      </x:c>
      <x:c r="J457" s="2" t="n">
        <x:v>11</x:v>
      </x:c>
      <x:c r="K457" s="12" t="str">
        <x:v>Campus/portfolio roster; individual building occupancy unverified</x:v>
      </x:c>
      <x:c r="L457" s="12" t="str">
        <x:v>IT &amp; digital; Finance &amp; insurance; Engineering &amp; manufacturing</x:v>
      </x:c>
      <x:c r="M457" s="12" t="str">
        <x:v>Large enterprise; Mixed business audience</x:v>
      </x:c>
      <x:c r="N457" s="12" t="str">
        <x:v>PARTNER-M045</x:v>
      </x:c>
      <x:c r="O457" s="13"/>
      <x:c r="P457" s="13"/>
      <x:c r="Q457" s="2" t="str"/>
      <x:c r="R457" s="2" t="str">
        <x:v>TEN-28CBC5A35638; TEN-30E363D3E8C5; TEN-50FCB8C0B6FA; TEN-68AE6688DA7F; TEN-8492381623BD; TEN-86F73DFE7BB6; TEN-9120856F15CD; TEN-B38914B2E8FA; TEN-C63AC00C4D11; TEN-EC016BB6297A; TEN-F55A85B2F2EB</x:v>
      </x:c>
      <x:c r="S457" s="12" t="str">
        <x:v>Mixed commercial workplace</x:v>
      </x:c>
      <x:c r="T457" s="12" t="str">
        <x:v>Tenant business-type estimates and reviewed company-scale context.</x:v>
      </x:c>
    </x:row>
    <x:row r="458" ht="64" customHeight="1">
      <x:c r="A458" s="10" t="n">
        <x:v>1</x:v>
      </x:c>
      <x:c r="B458" s="2" t="str">
        <x:v>CORP-0465</x:v>
      </x:c>
      <x:c r="C458" s="2" t="str">
        <x:v>Bengaluru</x:v>
      </x:c>
      <x:c r="D458" s="2" t="str"/>
      <x:c r="E458" s="12" t="str">
        <x:v>Prestige Tech Pacific</x:v>
      </x:c>
      <x:c r="F458" s="12" t="str">
        <x:v>Block A - Elevator Lobby</x:v>
      </x:c>
      <x:c r="G458" s="11" t="n">
        <x:v>1</x:v>
      </x:c>
      <x:c r="H458" s="2" t="str">
        <x:v>55 inch</x:v>
      </x:c>
      <x:c r="I458" s="12" t="str">
        <x:v>Juniper Networks; Siemens; JP Morgan Chase; Oracle India Pvt. Ltd; Akamai Technologies; Cognizant; Mindtree; Amadeus Software Labs; Mphasis; Virtusa; Capgemini</x:v>
      </x:c>
      <x:c r="J458" s="2" t="n">
        <x:v>11</x:v>
      </x:c>
      <x:c r="K458" s="12" t="str">
        <x:v>Campus/portfolio roster; individual building occupancy unverified</x:v>
      </x:c>
      <x:c r="L458" s="12" t="str">
        <x:v>IT &amp; digital; Finance &amp; insurance; Engineering &amp; manufacturing</x:v>
      </x:c>
      <x:c r="M458" s="12" t="str">
        <x:v>Large enterprise; Mixed business audience</x:v>
      </x:c>
      <x:c r="N458" s="12" t="str">
        <x:v>PARTNER-M045</x:v>
      </x:c>
      <x:c r="O458" s="13"/>
      <x:c r="P458" s="13"/>
      <x:c r="Q458" s="2" t="str"/>
      <x:c r="R458" s="2" t="str">
        <x:v>TEN-28CBC5A35638; TEN-30E363D3E8C5; TEN-50FCB8C0B6FA; TEN-68AE6688DA7F; TEN-8492381623BD; TEN-86F73DFE7BB6; TEN-9120856F15CD; TEN-B38914B2E8FA; TEN-C63AC00C4D11; TEN-EC016BB6297A; TEN-F55A85B2F2EB</x:v>
      </x:c>
      <x:c r="S458" s="12" t="str">
        <x:v>Mixed commercial workplace</x:v>
      </x:c>
      <x:c r="T458" s="12" t="str">
        <x:v>Tenant business-type estimates and reviewed company-scale context.</x:v>
      </x:c>
    </x:row>
    <x:row r="459" ht="64" customHeight="1">
      <x:c r="A459" s="10" t="n">
        <x:v>1</x:v>
      </x:c>
      <x:c r="B459" s="2" t="str">
        <x:v>CORP-0466</x:v>
      </x:c>
      <x:c r="C459" s="2" t="str">
        <x:v>Bengaluru</x:v>
      </x:c>
      <x:c r="D459" s="2" t="str"/>
      <x:c r="E459" s="12" t="str">
        <x:v>Prestige Tech Pacific</x:v>
      </x:c>
      <x:c r="F459" s="12" t="str">
        <x:v>Block B - Elevator Lobby</x:v>
      </x:c>
      <x:c r="G459" s="11" t="n">
        <x:v>1</x:v>
      </x:c>
      <x:c r="H459" s="2" t="str">
        <x:v>55 inch</x:v>
      </x:c>
      <x:c r="I459" s="12" t="str">
        <x:v>Juniper Networks; Siemens; JP Morgan Chase; Oracle India Pvt. Ltd; Akamai Technologies; Cognizant; Mindtree; Amadeus Software Labs; Mphasis; Virtusa; Capgemini</x:v>
      </x:c>
      <x:c r="J459" s="2" t="n">
        <x:v>11</x:v>
      </x:c>
      <x:c r="K459" s="12" t="str">
        <x:v>Campus/portfolio roster; individual building occupancy unverified</x:v>
      </x:c>
      <x:c r="L459" s="12" t="str">
        <x:v>IT &amp; digital; Finance &amp; insurance; Engineering &amp; manufacturing</x:v>
      </x:c>
      <x:c r="M459" s="12" t="str">
        <x:v>Large enterprise; Mixed business audience</x:v>
      </x:c>
      <x:c r="N459" s="12" t="str">
        <x:v>PARTNER-M045</x:v>
      </x:c>
      <x:c r="O459" s="13"/>
      <x:c r="P459" s="13"/>
      <x:c r="Q459" s="2" t="str"/>
      <x:c r="R459" s="2" t="str">
        <x:v>TEN-28CBC5A35638; TEN-30E363D3E8C5; TEN-50FCB8C0B6FA; TEN-68AE6688DA7F; TEN-8492381623BD; TEN-86F73DFE7BB6; TEN-9120856F15CD; TEN-B38914B2E8FA; TEN-C63AC00C4D11; TEN-EC016BB6297A; TEN-F55A85B2F2EB</x:v>
      </x:c>
      <x:c r="S459" s="12" t="str">
        <x:v>Mixed commercial workplace</x:v>
      </x:c>
      <x:c r="T459" s="12" t="str">
        <x:v>Tenant business-type estimates and reviewed company-scale context.</x:v>
      </x:c>
    </x:row>
    <x:row r="460" ht="64" customHeight="1">
      <x:c r="A460" s="10" t="n">
        <x:v>1</x:v>
      </x:c>
      <x:c r="B460" s="2" t="str">
        <x:v>CORP-0467</x:v>
      </x:c>
      <x:c r="C460" s="2" t="str">
        <x:v>Bengaluru</x:v>
      </x:c>
      <x:c r="D460" s="2" t="str"/>
      <x:c r="E460" s="12" t="str">
        <x:v>Prestige Tech Pacific</x:v>
      </x:c>
      <x:c r="F460" s="12" t="str">
        <x:v>Ub Lobby Block A</x:v>
      </x:c>
      <x:c r="G460" s="11" t="n">
        <x:v>1</x:v>
      </x:c>
      <x:c r="H460" s="2" t="str">
        <x:v>55 inch</x:v>
      </x:c>
      <x:c r="I460" s="12" t="str">
        <x:v>Juniper Networks; Siemens; JP Morgan Chase; Oracle India Pvt. Ltd; Akamai Technologies; Cognizant; Mindtree; Amadeus Software Labs; Mphasis; Virtusa; Capgemini</x:v>
      </x:c>
      <x:c r="J460" s="2" t="n">
        <x:v>11</x:v>
      </x:c>
      <x:c r="K460" s="12" t="str">
        <x:v>Campus/portfolio roster; individual building occupancy unverified</x:v>
      </x:c>
      <x:c r="L460" s="12" t="str">
        <x:v>IT &amp; digital; Finance &amp; insurance; Engineering &amp; manufacturing</x:v>
      </x:c>
      <x:c r="M460" s="12" t="str">
        <x:v>Large enterprise; Mixed business audience</x:v>
      </x:c>
      <x:c r="N460" s="12" t="str">
        <x:v>PARTNER-M045</x:v>
      </x:c>
      <x:c r="O460" s="13"/>
      <x:c r="P460" s="13"/>
      <x:c r="Q460" s="2" t="str"/>
      <x:c r="R460" s="2" t="str">
        <x:v>TEN-28CBC5A35638; TEN-30E363D3E8C5; TEN-50FCB8C0B6FA; TEN-68AE6688DA7F; TEN-8492381623BD; TEN-86F73DFE7BB6; TEN-9120856F15CD; TEN-B38914B2E8FA; TEN-C63AC00C4D11; TEN-EC016BB6297A; TEN-F55A85B2F2EB</x:v>
      </x:c>
      <x:c r="S460" s="12" t="str">
        <x:v>Mixed commercial workplace</x:v>
      </x:c>
      <x:c r="T460" s="12" t="str">
        <x:v>Tenant business-type estimates and reviewed company-scale context.</x:v>
      </x:c>
    </x:row>
    <x:row r="461" ht="64" customHeight="1">
      <x:c r="A461" s="10" t="n">
        <x:v>1</x:v>
      </x:c>
      <x:c r="B461" s="2" t="str">
        <x:v>CORP-0468</x:v>
      </x:c>
      <x:c r="C461" s="2" t="str">
        <x:v>Bengaluru</x:v>
      </x:c>
      <x:c r="D461" s="2" t="str"/>
      <x:c r="E461" s="12" t="str">
        <x:v>Prestige Tech Pacific</x:v>
      </x:c>
      <x:c r="F461" s="12" t="str">
        <x:v>Ub Lobby Block B</x:v>
      </x:c>
      <x:c r="G461" s="11" t="n">
        <x:v>1</x:v>
      </x:c>
      <x:c r="H461" s="2" t="str">
        <x:v>55 inch</x:v>
      </x:c>
      <x:c r="I461" s="12" t="str">
        <x:v>Juniper Networks; Siemens; JP Morgan Chase; Oracle India Pvt. Ltd; Akamai Technologies; Cognizant; Mindtree; Amadeus Software Labs; Mphasis; Virtusa; Capgemini</x:v>
      </x:c>
      <x:c r="J461" s="2" t="n">
        <x:v>11</x:v>
      </x:c>
      <x:c r="K461" s="12" t="str">
        <x:v>Campus/portfolio roster; individual building occupancy unverified</x:v>
      </x:c>
      <x:c r="L461" s="12" t="str">
        <x:v>IT &amp; digital; Finance &amp; insurance; Engineering &amp; manufacturing</x:v>
      </x:c>
      <x:c r="M461" s="12" t="str">
        <x:v>Large enterprise; Mixed business audience</x:v>
      </x:c>
      <x:c r="N461" s="12" t="str">
        <x:v>PARTNER-M045</x:v>
      </x:c>
      <x:c r="O461" s="13"/>
      <x:c r="P461" s="13"/>
      <x:c r="Q461" s="2" t="str"/>
      <x:c r="R461" s="2" t="str">
        <x:v>TEN-28CBC5A35638; TEN-30E363D3E8C5; TEN-50FCB8C0B6FA; TEN-68AE6688DA7F; TEN-8492381623BD; TEN-86F73DFE7BB6; TEN-9120856F15CD; TEN-B38914B2E8FA; TEN-C63AC00C4D11; TEN-EC016BB6297A; TEN-F55A85B2F2EB</x:v>
      </x:c>
      <x:c r="S461" s="12" t="str">
        <x:v>Mixed commercial workplace</x:v>
      </x:c>
      <x:c r="T461" s="12" t="str">
        <x:v>Tenant business-type estimates and reviewed company-scale context.</x:v>
      </x:c>
    </x:row>
    <x:row r="462" ht="179" customHeight="1">
      <x:c r="A462" s="10" t="n">
        <x:v>1</x:v>
      </x:c>
      <x:c r="B462" s="2" t="str">
        <x:v>CORP-0469</x:v>
      </x:c>
      <x:c r="C462" s="2" t="str">
        <x:v>Bengaluru</x:v>
      </x:c>
      <x:c r="D462" s="2" t="str"/>
      <x:c r="E462" s="12" t="str">
        <x:v>Manyata Tech park - Mfar</x:v>
      </x:c>
      <x:c r="F462" s="12" t="str">
        <x:v>First Floor - Elevator Lobby</x:v>
      </x:c>
      <x:c r="G462" s="11" t="n">
        <x:v>1</x:v>
      </x:c>
      <x:c r="H462" s="2" t="str">
        <x:v>55 inch</x:v>
      </x:c>
      <x:c r="I462" s="12" t="str">
        <x:v>Justdial; Indegene Lifesystems; Target Corporation India; NetScout Systems; SLK Group; Voonik Technologies Pvt. Ltd; Dimension Data India (formerly Data Craft India); The Executive Centre; HCL Technologies; GlobalFoundries; AXA Business Services; ANZ; Tata Consultancy Services Ltd; Stylus Commercial Services; Larsen &amp; Toubro Technology Services; AXA Technologies Shared Services; Gaea Technologies; i4 Global Information Technologies Ltd; Nuance Communications; Cerner; Phani Information Technologies Ltd; Kinapse; Invecas Inc; Cognizant; Jurimatrix; Nvidia; Mast Global Business Services India Pvt. Ltd; Atlas Copco; NXP Semiconductors; Northern Trust; Microsoft; Colt Technologies; JCPenney; Rolls-Royce; Flightraja Travels (Via.com); Monsanto Holdings; Concentrix; Nokia Networks (Earlier known as NSN or Nokia Siemens Networks); Redknee; Andritz AG; IBM India Pvt. Ltd; Philips; Mitel (Earlier known as Mavenir Systems); Aditi Technologies; Lowe's Services India Pvt. Ltd; Alcatel-Lucent; Network International; Fidelity; Tambora Systems India Pvt. Ltd</x:v>
      </x:c>
      <x:c r="J462" s="2" t="n">
        <x:v>49</x:v>
      </x:c>
      <x:c r="K462" s="12" t="str">
        <x:v>Campus/portfolio roster; individual building occupancy unverified</x:v>
      </x:c>
      <x:c r="L462" s="12" t="str">
        <x:v>IT &amp; digital; Professional services; Finance &amp; insurance; Engineering &amp; manufacturing; Healthcare &amp; life sciences; Trade, consumer &amp; logistics; Workspace &amp; property operations; Unresolved</x:v>
      </x:c>
      <x:c r="M462" s="12" t="str">
        <x:v>Small-scale prospects; Medium-scale prospects; Large enterprise; Mixed business audience</x:v>
      </x:c>
      <x:c r="N462" s="12" t="str">
        <x:v>PARTNER-M051</x:v>
      </x:c>
      <x:c r="O462" s="13"/>
      <x:c r="P462" s="13"/>
      <x:c r="Q462" s="2" t="str"/>
      <x:c r="R462" s="2" t="str">
        <x:v>TEN-0006A53C9A96; TEN-0A68AD38CEB3; TEN-0C16B6E2E745; TEN-14C4528C15CA; TEN-27C9A7B5ECAD; TEN-27D00A6A3558; TEN-2F85BCE94831; TEN-3821E9F1FF90; TEN-42E8408652E5; TEN-47679F81BEB4; TEN-4C75F725A6D4; TEN-4E5B2E7D6119; TEN-4F8C19DB697F; TEN-534AE61AC6A4; TEN-53D60BF43086; TEN-6229AE0860C6; TEN-63E44AFB32E5; TEN-6726DCA55EB6; TEN-6BEB399B4462; TEN-7A03B2E48987; TEN-7E1EAB7E3FF2; TEN-7E287D3F75D5; TEN-804B19934A31; TEN-86F73DFE7BB6; TEN-8A0F00910447; TEN-8D4321D93632; TEN-92CD56DC627C; TEN-955D5077F546; TEN-957870226159; TEN-9891CBD98729; TEN-9FBF261B62C1; TEN-A1A5873B72DA; TEN-A9F65BF11B3A; TEN-B19CA7C8E2F1; TEN-B477D484C9C9; TEN-B7E189530240; TEN-BA6AE2780CD4; TEN-C80EF940CC50; TEN-C9DBDD187EBA; TEN-CAD973567458; TEN-D3D424C3C181; TEN-DD4CB9CF52F0; TEN-DF1BD710E8BF; TEN-E7F9F6E5FC3F; TEN-EA10CA8A1008; TEN-EA30894BD53C; TEN-EB15B1B985F7; TEN-F611BEAB4643; TEN-FB68F107F674</x:v>
      </x:c>
      <x:c r="S462" s="12" t="str">
        <x:v>IT and enterprise campus</x:v>
      </x:c>
      <x:c r="T462" s="12" t="str">
        <x:v>Tenant business-type estimates and reviewed company-scale context.</x:v>
      </x:c>
    </x:row>
    <x:row r="463" ht="179" customHeight="1">
      <x:c r="A463" s="10" t="n">
        <x:v>1</x:v>
      </x:c>
      <x:c r="B463" s="2" t="str">
        <x:v>CORP-0470</x:v>
      </x:c>
      <x:c r="C463" s="2" t="str">
        <x:v>Bengaluru</x:v>
      </x:c>
      <x:c r="D463" s="2" t="str"/>
      <x:c r="E463" s="12" t="str">
        <x:v>Manyata Tech park - Mfar</x:v>
      </x:c>
      <x:c r="F463" s="12" t="str">
        <x:v>Ground Floor - Elevator Lobby</x:v>
      </x:c>
      <x:c r="G463" s="11" t="n">
        <x:v>1</x:v>
      </x:c>
      <x:c r="H463" s="2" t="str">
        <x:v>55 inch</x:v>
      </x:c>
      <x:c r="I463" s="12" t="str">
        <x:v>Justdial; Indegene Lifesystems; Target Corporation India; NetScout Systems; SLK Group; Voonik Technologies Pvt. Ltd; Dimension Data India (formerly Data Craft India); The Executive Centre; HCL Technologies; GlobalFoundries; AXA Business Services; ANZ; Tata Consultancy Services Ltd; Stylus Commercial Services; Larsen &amp; Toubro Technology Services; AXA Technologies Shared Services; Gaea Technologies; i4 Global Information Technologies Ltd; Nuance Communications; Cerner; Phani Information Technologies Ltd; Kinapse; Invecas Inc; Cognizant; Jurimatrix; Nvidia; Mast Global Business Services India Pvt. Ltd; Atlas Copco; NXP Semiconductors; Northern Trust; Microsoft; Colt Technologies; JCPenney; Rolls-Royce; Flightraja Travels (Via.com); Monsanto Holdings; Concentrix; Nokia Networks (Earlier known as NSN or Nokia Siemens Networks); Redknee; Andritz AG; IBM India Pvt. Ltd; Philips; Mitel (Earlier known as Mavenir Systems); Aditi Technologies; Lowe's Services India Pvt. Ltd; Alcatel-Lucent; Network International; Fidelity; Tambora Systems India Pvt. Ltd</x:v>
      </x:c>
      <x:c r="J463" s="2" t="n">
        <x:v>49</x:v>
      </x:c>
      <x:c r="K463" s="12" t="str">
        <x:v>Campus/portfolio roster; individual building occupancy unverified</x:v>
      </x:c>
      <x:c r="L463" s="12" t="str">
        <x:v>IT &amp; digital; Professional services; Finance &amp; insurance; Engineering &amp; manufacturing; Healthcare &amp; life sciences; Trade, consumer &amp; logistics; Workspace &amp; property operations; Unresolved</x:v>
      </x:c>
      <x:c r="M463" s="12" t="str">
        <x:v>Small-scale prospects; Medium-scale prospects; Large enterprise; Mixed business audience</x:v>
      </x:c>
      <x:c r="N463" s="12" t="str">
        <x:v>PARTNER-M051</x:v>
      </x:c>
      <x:c r="O463" s="13"/>
      <x:c r="P463" s="13"/>
      <x:c r="Q463" s="2" t="str"/>
      <x:c r="R463" s="2" t="str">
        <x:v>TEN-0006A53C9A96; TEN-0A68AD38CEB3; TEN-0C16B6E2E745; TEN-14C4528C15CA; TEN-27C9A7B5ECAD; TEN-27D00A6A3558; TEN-2F85BCE94831; TEN-3821E9F1FF90; TEN-42E8408652E5; TEN-47679F81BEB4; TEN-4C75F725A6D4; TEN-4E5B2E7D6119; TEN-4F8C19DB697F; TEN-534AE61AC6A4; TEN-53D60BF43086; TEN-6229AE0860C6; TEN-63E44AFB32E5; TEN-6726DCA55EB6; TEN-6BEB399B4462; TEN-7A03B2E48987; TEN-7E1EAB7E3FF2; TEN-7E287D3F75D5; TEN-804B19934A31; TEN-86F73DFE7BB6; TEN-8A0F00910447; TEN-8D4321D93632; TEN-92CD56DC627C; TEN-955D5077F546; TEN-957870226159; TEN-9891CBD98729; TEN-9FBF261B62C1; TEN-A1A5873B72DA; TEN-A9F65BF11B3A; TEN-B19CA7C8E2F1; TEN-B477D484C9C9; TEN-B7E189530240; TEN-BA6AE2780CD4; TEN-C80EF940CC50; TEN-C9DBDD187EBA; TEN-CAD973567458; TEN-D3D424C3C181; TEN-DD4CB9CF52F0; TEN-DF1BD710E8BF; TEN-E7F9F6E5FC3F; TEN-EA10CA8A1008; TEN-EA30894BD53C; TEN-EB15B1B985F7; TEN-F611BEAB4643; TEN-FB68F107F674</x:v>
      </x:c>
      <x:c r="S463" s="12" t="str">
        <x:v>IT and enterprise campus</x:v>
      </x:c>
      <x:c r="T463" s="12" t="str">
        <x:v>Tenant business-type estimates and reviewed company-scale context.</x:v>
      </x:c>
    </x:row>
    <x:row r="464" ht="179" customHeight="1">
      <x:c r="A464" s="10" t="n">
        <x:v>1</x:v>
      </x:c>
      <x:c r="B464" s="2" t="str">
        <x:v>CORP-0471</x:v>
      </x:c>
      <x:c r="C464" s="2" t="str">
        <x:v>Bengaluru</x:v>
      </x:c>
      <x:c r="D464" s="2" t="str"/>
      <x:c r="E464" s="12" t="str">
        <x:v>Manyata Tech park - Mfar</x:v>
      </x:c>
      <x:c r="F464" s="12" t="str">
        <x:v>First Floor - Retail Area</x:v>
      </x:c>
      <x:c r="G464" s="11" t="n">
        <x:v>1</x:v>
      </x:c>
      <x:c r="H464" s="2" t="str">
        <x:v>55 inch</x:v>
      </x:c>
      <x:c r="I464" s="12" t="str">
        <x:v>Justdial; Indegene Lifesystems; Target Corporation India; NetScout Systems; SLK Group; Voonik Technologies Pvt. Ltd; Dimension Data India (formerly Data Craft India); The Executive Centre; HCL Technologies; GlobalFoundries; AXA Business Services; ANZ; Tata Consultancy Services Ltd; Stylus Commercial Services; Larsen &amp; Toubro Technology Services; AXA Technologies Shared Services; Gaea Technologies; i4 Global Information Technologies Ltd; Nuance Communications; Cerner; Phani Information Technologies Ltd; Kinapse; Invecas Inc; Cognizant; Jurimatrix; Nvidia; Mast Global Business Services India Pvt. Ltd; Atlas Copco; NXP Semiconductors; Northern Trust; Microsoft; Colt Technologies; JCPenney; Rolls-Royce; Flightraja Travels (Via.com); Monsanto Holdings; Concentrix; Nokia Networks (Earlier known as NSN or Nokia Siemens Networks); Redknee; Andritz AG; IBM India Pvt. Ltd; Philips; Mitel (Earlier known as Mavenir Systems); Aditi Technologies; Lowe's Services India Pvt. Ltd; Alcatel-Lucent; Network International; Fidelity; Tambora Systems India Pvt. Ltd</x:v>
      </x:c>
      <x:c r="J464" s="2" t="n">
        <x:v>49</x:v>
      </x:c>
      <x:c r="K464" s="12" t="str">
        <x:v>Campus/portfolio roster; individual building occupancy unverified</x:v>
      </x:c>
      <x:c r="L464" s="12" t="str">
        <x:v>IT &amp; digital; Professional services; Finance &amp; insurance; Engineering &amp; manufacturing; Healthcare &amp; life sciences; Trade, consumer &amp; logistics; Workspace &amp; property operations; Unresolved</x:v>
      </x:c>
      <x:c r="M464" s="12" t="str">
        <x:v>Small-scale prospects; Medium-scale prospects; Large enterprise; Mixed business audience</x:v>
      </x:c>
      <x:c r="N464" s="12" t="str">
        <x:v>PARTNER-M051</x:v>
      </x:c>
      <x:c r="O464" s="13"/>
      <x:c r="P464" s="13"/>
      <x:c r="Q464" s="2" t="str"/>
      <x:c r="R464" s="2" t="str">
        <x:v>TEN-0006A53C9A96; TEN-0A68AD38CEB3; TEN-0C16B6E2E745; TEN-14C4528C15CA; TEN-27C9A7B5ECAD; TEN-27D00A6A3558; TEN-2F85BCE94831; TEN-3821E9F1FF90; TEN-42E8408652E5; TEN-47679F81BEB4; TEN-4C75F725A6D4; TEN-4E5B2E7D6119; TEN-4F8C19DB697F; TEN-534AE61AC6A4; TEN-53D60BF43086; TEN-6229AE0860C6; TEN-63E44AFB32E5; TEN-6726DCA55EB6; TEN-6BEB399B4462; TEN-7A03B2E48987; TEN-7E1EAB7E3FF2; TEN-7E287D3F75D5; TEN-804B19934A31; TEN-86F73DFE7BB6; TEN-8A0F00910447; TEN-8D4321D93632; TEN-92CD56DC627C; TEN-955D5077F546; TEN-957870226159; TEN-9891CBD98729; TEN-9FBF261B62C1; TEN-A1A5873B72DA; TEN-A9F65BF11B3A; TEN-B19CA7C8E2F1; TEN-B477D484C9C9; TEN-B7E189530240; TEN-BA6AE2780CD4; TEN-C80EF940CC50; TEN-C9DBDD187EBA; TEN-CAD973567458; TEN-D3D424C3C181; TEN-DD4CB9CF52F0; TEN-DF1BD710E8BF; TEN-E7F9F6E5FC3F; TEN-EA10CA8A1008; TEN-EA30894BD53C; TEN-EB15B1B985F7; TEN-F611BEAB4643; TEN-FB68F107F674</x:v>
      </x:c>
      <x:c r="S464" s="12" t="str">
        <x:v>IT and enterprise campus</x:v>
      </x:c>
      <x:c r="T464" s="12" t="str">
        <x:v>Tenant business-type estimates and reviewed company-scale context.</x:v>
      </x:c>
    </x:row>
    <x:row r="465" ht="179" customHeight="1">
      <x:c r="A465" s="10" t="n">
        <x:v>1</x:v>
      </x:c>
      <x:c r="B465" s="2" t="str">
        <x:v>CORP-0472</x:v>
      </x:c>
      <x:c r="C465" s="2" t="str">
        <x:v>Bengaluru</x:v>
      </x:c>
      <x:c r="D465" s="2" t="str"/>
      <x:c r="E465" s="12" t="str">
        <x:v>Manyata Tech park - Mfar</x:v>
      </x:c>
      <x:c r="F465" s="12" t="str">
        <x:v>Ground Floor - Retail Area 1</x:v>
      </x:c>
      <x:c r="G465" s="11" t="n">
        <x:v>1</x:v>
      </x:c>
      <x:c r="H465" s="2" t="str">
        <x:v>55 inch</x:v>
      </x:c>
      <x:c r="I465" s="12" t="str">
        <x:v>Justdial; Indegene Lifesystems; Target Corporation India; NetScout Systems; SLK Group; Voonik Technologies Pvt. Ltd; Dimension Data India (formerly Data Craft India); The Executive Centre; HCL Technologies; GlobalFoundries; AXA Business Services; ANZ; Tata Consultancy Services Ltd; Stylus Commercial Services; Larsen &amp; Toubro Technology Services; AXA Technologies Shared Services; Gaea Technologies; i4 Global Information Technologies Ltd; Nuance Communications; Cerner; Phani Information Technologies Ltd; Kinapse; Invecas Inc; Cognizant; Jurimatrix; Nvidia; Mast Global Business Services India Pvt. Ltd; Atlas Copco; NXP Semiconductors; Northern Trust; Microsoft; Colt Technologies; JCPenney; Rolls-Royce; Flightraja Travels (Via.com); Monsanto Holdings; Concentrix; Nokia Networks (Earlier known as NSN or Nokia Siemens Networks); Redknee; Andritz AG; IBM India Pvt. Ltd; Philips; Mitel (Earlier known as Mavenir Systems); Aditi Technologies; Lowe's Services India Pvt. Ltd; Alcatel-Lucent; Network International; Fidelity; Tambora Systems India Pvt. Ltd</x:v>
      </x:c>
      <x:c r="J465" s="2" t="n">
        <x:v>49</x:v>
      </x:c>
      <x:c r="K465" s="12" t="str">
        <x:v>Campus/portfolio roster; individual building occupancy unverified</x:v>
      </x:c>
      <x:c r="L465" s="12" t="str">
        <x:v>IT &amp; digital; Professional services; Finance &amp; insurance; Engineering &amp; manufacturing; Healthcare &amp; life sciences; Trade, consumer &amp; logistics; Workspace &amp; property operations; Unresolved</x:v>
      </x:c>
      <x:c r="M465" s="12" t="str">
        <x:v>Small-scale prospects; Medium-scale prospects; Large enterprise; Mixed business audience</x:v>
      </x:c>
      <x:c r="N465" s="12" t="str">
        <x:v>PARTNER-M051</x:v>
      </x:c>
      <x:c r="O465" s="13"/>
      <x:c r="P465" s="13"/>
      <x:c r="Q465" s="2" t="str"/>
      <x:c r="R465" s="2" t="str">
        <x:v>TEN-0006A53C9A96; TEN-0A68AD38CEB3; TEN-0C16B6E2E745; TEN-14C4528C15CA; TEN-27C9A7B5ECAD; TEN-27D00A6A3558; TEN-2F85BCE94831; TEN-3821E9F1FF90; TEN-42E8408652E5; TEN-47679F81BEB4; TEN-4C75F725A6D4; TEN-4E5B2E7D6119; TEN-4F8C19DB697F; TEN-534AE61AC6A4; TEN-53D60BF43086; TEN-6229AE0860C6; TEN-63E44AFB32E5; TEN-6726DCA55EB6; TEN-6BEB399B4462; TEN-7A03B2E48987; TEN-7E1EAB7E3FF2; TEN-7E287D3F75D5; TEN-804B19934A31; TEN-86F73DFE7BB6; TEN-8A0F00910447; TEN-8D4321D93632; TEN-92CD56DC627C; TEN-955D5077F546; TEN-957870226159; TEN-9891CBD98729; TEN-9FBF261B62C1; TEN-A1A5873B72DA; TEN-A9F65BF11B3A; TEN-B19CA7C8E2F1; TEN-B477D484C9C9; TEN-B7E189530240; TEN-BA6AE2780CD4; TEN-C80EF940CC50; TEN-C9DBDD187EBA; TEN-CAD973567458; TEN-D3D424C3C181; TEN-DD4CB9CF52F0; TEN-DF1BD710E8BF; TEN-E7F9F6E5FC3F; TEN-EA10CA8A1008; TEN-EA30894BD53C; TEN-EB15B1B985F7; TEN-F611BEAB4643; TEN-FB68F107F674</x:v>
      </x:c>
      <x:c r="S465" s="12" t="str">
        <x:v>IT and enterprise campus</x:v>
      </x:c>
      <x:c r="T465" s="12" t="str">
        <x:v>Tenant business-type estimates and reviewed company-scale context.</x:v>
      </x:c>
    </x:row>
    <x:row r="466" ht="179" customHeight="1">
      <x:c r="A466" s="10" t="n">
        <x:v>1</x:v>
      </x:c>
      <x:c r="B466" s="2" t="str">
        <x:v>CORP-0473</x:v>
      </x:c>
      <x:c r="C466" s="2" t="str">
        <x:v>Bengaluru</x:v>
      </x:c>
      <x:c r="D466" s="2" t="str"/>
      <x:c r="E466" s="12" t="str">
        <x:v>Manyata Tech park - Mfar</x:v>
      </x:c>
      <x:c r="F466" s="12" t="str">
        <x:v>Ground Floor - Retail Area 2</x:v>
      </x:c>
      <x:c r="G466" s="11" t="n">
        <x:v>1</x:v>
      </x:c>
      <x:c r="H466" s="2" t="str">
        <x:v>55 inch</x:v>
      </x:c>
      <x:c r="I466" s="12" t="str">
        <x:v>Justdial; Indegene Lifesystems; Target Corporation India; NetScout Systems; SLK Group; Voonik Technologies Pvt. Ltd; Dimension Data India (formerly Data Craft India); The Executive Centre; HCL Technologies; GlobalFoundries; AXA Business Services; ANZ; Tata Consultancy Services Ltd; Stylus Commercial Services; Larsen &amp; Toubro Technology Services; AXA Technologies Shared Services; Gaea Technologies; i4 Global Information Technologies Ltd; Nuance Communications; Cerner; Phani Information Technologies Ltd; Kinapse; Invecas Inc; Cognizant; Jurimatrix; Nvidia; Mast Global Business Services India Pvt. Ltd; Atlas Copco; NXP Semiconductors; Northern Trust; Microsoft; Colt Technologies; JCPenney; Rolls-Royce; Flightraja Travels (Via.com); Monsanto Holdings; Concentrix; Nokia Networks (Earlier known as NSN or Nokia Siemens Networks); Redknee; Andritz AG; IBM India Pvt. Ltd; Philips; Mitel (Earlier known as Mavenir Systems); Aditi Technologies; Lowe's Services India Pvt. Ltd; Alcatel-Lucent; Network International; Fidelity; Tambora Systems India Pvt. Ltd</x:v>
      </x:c>
      <x:c r="J466" s="2" t="n">
        <x:v>49</x:v>
      </x:c>
      <x:c r="K466" s="12" t="str">
        <x:v>Campus/portfolio roster; individual building occupancy unverified</x:v>
      </x:c>
      <x:c r="L466" s="12" t="str">
        <x:v>IT &amp; digital; Professional services; Finance &amp; insurance; Engineering &amp; manufacturing; Healthcare &amp; life sciences; Trade, consumer &amp; logistics; Workspace &amp; property operations; Unresolved</x:v>
      </x:c>
      <x:c r="M466" s="12" t="str">
        <x:v>Small-scale prospects; Medium-scale prospects; Large enterprise; Mixed business audience</x:v>
      </x:c>
      <x:c r="N466" s="12" t="str">
        <x:v>PARTNER-M051</x:v>
      </x:c>
      <x:c r="O466" s="13"/>
      <x:c r="P466" s="13"/>
      <x:c r="Q466" s="2" t="str"/>
      <x:c r="R466" s="2" t="str">
        <x:v>TEN-0006A53C9A96; TEN-0A68AD38CEB3; TEN-0C16B6E2E745; TEN-14C4528C15CA; TEN-27C9A7B5ECAD; TEN-27D00A6A3558; TEN-2F85BCE94831; TEN-3821E9F1FF90; TEN-42E8408652E5; TEN-47679F81BEB4; TEN-4C75F725A6D4; TEN-4E5B2E7D6119; TEN-4F8C19DB697F; TEN-534AE61AC6A4; TEN-53D60BF43086; TEN-6229AE0860C6; TEN-63E44AFB32E5; TEN-6726DCA55EB6; TEN-6BEB399B4462; TEN-7A03B2E48987; TEN-7E1EAB7E3FF2; TEN-7E287D3F75D5; TEN-804B19934A31; TEN-86F73DFE7BB6; TEN-8A0F00910447; TEN-8D4321D93632; TEN-92CD56DC627C; TEN-955D5077F546; TEN-957870226159; TEN-9891CBD98729; TEN-9FBF261B62C1; TEN-A1A5873B72DA; TEN-A9F65BF11B3A; TEN-B19CA7C8E2F1; TEN-B477D484C9C9; TEN-B7E189530240; TEN-BA6AE2780CD4; TEN-C80EF940CC50; TEN-C9DBDD187EBA; TEN-CAD973567458; TEN-D3D424C3C181; TEN-DD4CB9CF52F0; TEN-DF1BD710E8BF; TEN-E7F9F6E5FC3F; TEN-EA10CA8A1008; TEN-EA30894BD53C; TEN-EB15B1B985F7; TEN-F611BEAB4643; TEN-FB68F107F674</x:v>
      </x:c>
      <x:c r="S466" s="12" t="str">
        <x:v>IT and enterprise campus</x:v>
      </x:c>
      <x:c r="T466" s="12" t="str">
        <x:v>Tenant business-type estimates and reviewed company-scale context.</x:v>
      </x:c>
    </x:row>
    <x:row r="467" ht="101" customHeight="1">
      <x:c r="A467" s="10" t="n">
        <x:v>1</x:v>
      </x:c>
      <x:c r="B467" s="2" t="str">
        <x:v>CORP-0474</x:v>
      </x:c>
      <x:c r="C467" s="2" t="str">
        <x:v>Bengaluru</x:v>
      </x:c>
      <x:c r="D467" s="2" t="str"/>
      <x:c r="E467" s="12" t="str">
        <x:v>Brigade IRV</x:v>
      </x:c>
      <x:c r="F467" s="12" t="str">
        <x:v>Elevator Lobby Ground Floor</x:v>
      </x:c>
      <x:c r="G467" s="11" t="n">
        <x:v>1</x:v>
      </x:c>
      <x:c r="H467" s="2" t="str">
        <x:v>55 inch</x:v>
      </x:c>
      <x:c r="I467" s="12" t="str">
        <x:v>Marriott Revenue Management Remote Solutions; Y axis; Factonity Systems Pvt Ltd; SROTRA TECHNOLOGIES PVT LTD; Aimtron Technologies; Electrono Solutions Private Limited; ATCS; Regus; Nisent Global Solutions Pvt. Ltd; Chainalytics; Vassco Furniture &amp; Home Decors Private Limited; Mobile Programming India Pvt. Ltd; Sunovaa Tech Pvt. Ltd; WorkX Coworking Spaces; Cronbay Technologies; UrbanPiper; Accelalpha; SmartGig Technologies Private Limited; Analyttica Datalab Pvt. Ltd; ARTOIES INTERNATIONAL PRIVATE LIMITED</x:v>
      </x:c>
      <x:c r="J467" s="2" t="n">
        <x:v>20</x:v>
      </x:c>
      <x:c r="K467" s="12" t="str">
        <x:v>Campus/portfolio roster; individual building occupancy unverified</x:v>
      </x:c>
      <x:c r="L467" s="12" t="str">
        <x:v>IT &amp; digital; Professional services; Engineering &amp; manufacturing; Trade, consumer &amp; logistics; Workspace &amp; property operations; Unresolved</x:v>
      </x:c>
      <x:c r="M467" s="12" t="str">
        <x:v>Small-scale prospects; Medium-scale prospects; Mixed business audience</x:v>
      </x:c>
      <x:c r="N467" s="12" t="str">
        <x:v>PARTNER-M056</x:v>
      </x:c>
      <x:c r="O467" s="13"/>
      <x:c r="P467" s="13"/>
      <x:c r="Q467" s="2" t="str"/>
      <x:c r="R467" s="2" t="str">
        <x:v>TEN-0B63EF31808A; TEN-3FB64171B8B2; TEN-4031B527A5B1; TEN-454101807C26; TEN-555A2C40B555; TEN-6EC3A7285B02; TEN-6F7359803DF1; TEN-6FC71948C40F; TEN-81D3880C31B1; TEN-8811AC206AD4; TEN-A761DC481A8A; TEN-B56496626EEE; TEN-BBD4EEA83943; TEN-BBD5210C1E57; TEN-C4FDA280D307; TEN-D4A1061B292B; TEN-D570183BA689; TEN-DF6860ED534A; TEN-F13E5E75303C; TEN-F3CC7F1E38DB</x:v>
      </x:c>
      <x:c r="S467" s="12" t="str">
        <x:v>Mixed commercial workplace</x:v>
      </x:c>
      <x:c r="T467" s="12" t="str">
        <x:v>Tenant business-type estimates and reviewed company-scale context.</x:v>
      </x:c>
    </x:row>
    <x:row r="468" ht="101" customHeight="1">
      <x:c r="A468" s="10" t="n">
        <x:v>1</x:v>
      </x:c>
      <x:c r="B468" s="2" t="str">
        <x:v>CORP-0475</x:v>
      </x:c>
      <x:c r="C468" s="2" t="str">
        <x:v>Bengaluru</x:v>
      </x:c>
      <x:c r="D468" s="2" t="str"/>
      <x:c r="E468" s="12" t="str">
        <x:v>Brigade IRV</x:v>
      </x:c>
      <x:c r="F468" s="12" t="str">
        <x:v>Reception Ground Floor</x:v>
      </x:c>
      <x:c r="G468" s="11" t="n">
        <x:v>1</x:v>
      </x:c>
      <x:c r="H468" s="2" t="str">
        <x:v>55 inch</x:v>
      </x:c>
      <x:c r="I468" s="12" t="str">
        <x:v>Marriott Revenue Management Remote Solutions; Y axis; Factonity Systems Pvt Ltd; SROTRA TECHNOLOGIES PVT LTD; Aimtron Technologies; Electrono Solutions Private Limited; ATCS; Regus; Nisent Global Solutions Pvt. Ltd; Chainalytics; Vassco Furniture &amp; Home Decors Private Limited; Mobile Programming India Pvt. Ltd; Sunovaa Tech Pvt. Ltd; WorkX Coworking Spaces; Cronbay Technologies; UrbanPiper; Accelalpha; SmartGig Technologies Private Limited; Analyttica Datalab Pvt. Ltd; ARTOIES INTERNATIONAL PRIVATE LIMITED</x:v>
      </x:c>
      <x:c r="J468" s="2" t="n">
        <x:v>20</x:v>
      </x:c>
      <x:c r="K468" s="12" t="str">
        <x:v>Campus/portfolio roster; individual building occupancy unverified</x:v>
      </x:c>
      <x:c r="L468" s="12" t="str">
        <x:v>IT &amp; digital; Professional services; Engineering &amp; manufacturing; Trade, consumer &amp; logistics; Workspace &amp; property operations; Unresolved</x:v>
      </x:c>
      <x:c r="M468" s="12" t="str">
        <x:v>Small-scale prospects; Medium-scale prospects; Mixed business audience</x:v>
      </x:c>
      <x:c r="N468" s="12" t="str">
        <x:v>PARTNER-M056</x:v>
      </x:c>
      <x:c r="O468" s="13"/>
      <x:c r="P468" s="13"/>
      <x:c r="Q468" s="2" t="str"/>
      <x:c r="R468" s="2" t="str">
        <x:v>TEN-0B63EF31808A; TEN-3FB64171B8B2; TEN-4031B527A5B1; TEN-454101807C26; TEN-555A2C40B555; TEN-6EC3A7285B02; TEN-6F7359803DF1; TEN-6FC71948C40F; TEN-81D3880C31B1; TEN-8811AC206AD4; TEN-A761DC481A8A; TEN-B56496626EEE; TEN-BBD4EEA83943; TEN-BBD5210C1E57; TEN-C4FDA280D307; TEN-D4A1061B292B; TEN-D570183BA689; TEN-DF6860ED534A; TEN-F13E5E75303C; TEN-F3CC7F1E38DB</x:v>
      </x:c>
      <x:c r="S468" s="12" t="str">
        <x:v>Mixed commercial workplace</x:v>
      </x:c>
      <x:c r="T468" s="12" t="str">
        <x:v>Tenant business-type estimates and reviewed company-scale context.</x:v>
      </x:c>
    </x:row>
    <x:row r="469" ht="101" customHeight="1">
      <x:c r="A469" s="10" t="n">
        <x:v>1</x:v>
      </x:c>
      <x:c r="B469" s="2" t="str">
        <x:v>CORP-0476</x:v>
      </x:c>
      <x:c r="C469" s="2" t="str">
        <x:v>Bengaluru</x:v>
      </x:c>
      <x:c r="D469" s="2" t="str"/>
      <x:c r="E469" s="12" t="str">
        <x:v>Brigade IRV</x:v>
      </x:c>
      <x:c r="F469" s="12" t="str">
        <x:v>Ground Floor Entry</x:v>
      </x:c>
      <x:c r="G469" s="11" t="n">
        <x:v>1</x:v>
      </x:c>
      <x:c r="H469" s="2" t="str">
        <x:v>55 inch</x:v>
      </x:c>
      <x:c r="I469" s="12" t="str">
        <x:v>Marriott Revenue Management Remote Solutions; Y axis; Factonity Systems Pvt Ltd; SROTRA TECHNOLOGIES PVT LTD; Aimtron Technologies; Electrono Solutions Private Limited; ATCS; Regus; Nisent Global Solutions Pvt. Ltd; Chainalytics; Vassco Furniture &amp; Home Decors Private Limited; Mobile Programming India Pvt. Ltd; Sunovaa Tech Pvt. Ltd; WorkX Coworking Spaces; Cronbay Technologies; UrbanPiper; Accelalpha; SmartGig Technologies Private Limited; Analyttica Datalab Pvt. Ltd; ARTOIES INTERNATIONAL PRIVATE LIMITED</x:v>
      </x:c>
      <x:c r="J469" s="2" t="n">
        <x:v>20</x:v>
      </x:c>
      <x:c r="K469" s="12" t="str">
        <x:v>Campus/portfolio roster; individual building occupancy unverified</x:v>
      </x:c>
      <x:c r="L469" s="12" t="str">
        <x:v>IT &amp; digital; Professional services; Engineering &amp; manufacturing; Trade, consumer &amp; logistics; Workspace &amp; property operations; Unresolved</x:v>
      </x:c>
      <x:c r="M469" s="12" t="str">
        <x:v>Small-scale prospects; Medium-scale prospects; Mixed business audience</x:v>
      </x:c>
      <x:c r="N469" s="12" t="str">
        <x:v>PARTNER-M056</x:v>
      </x:c>
      <x:c r="O469" s="13"/>
      <x:c r="P469" s="13"/>
      <x:c r="Q469" s="2" t="str"/>
      <x:c r="R469" s="2" t="str">
        <x:v>TEN-0B63EF31808A; TEN-3FB64171B8B2; TEN-4031B527A5B1; TEN-454101807C26; TEN-555A2C40B555; TEN-6EC3A7285B02; TEN-6F7359803DF1; TEN-6FC71948C40F; TEN-81D3880C31B1; TEN-8811AC206AD4; TEN-A761DC481A8A; TEN-B56496626EEE; TEN-BBD4EEA83943; TEN-BBD5210C1E57; TEN-C4FDA280D307; TEN-D4A1061B292B; TEN-D570183BA689; TEN-DF6860ED534A; TEN-F13E5E75303C; TEN-F3CC7F1E38DB</x:v>
      </x:c>
      <x:c r="S469" s="12" t="str">
        <x:v>Mixed commercial workplace</x:v>
      </x:c>
      <x:c r="T469" s="12" t="str">
        <x:v>Tenant business-type estimates and reviewed company-scale context.</x:v>
      </x:c>
    </x:row>
    <x:row r="470" ht="101" customHeight="1">
      <x:c r="A470" s="10" t="n">
        <x:v>1</x:v>
      </x:c>
      <x:c r="B470" s="2" t="str">
        <x:v>CORP-0477</x:v>
      </x:c>
      <x:c r="C470" s="2" t="str">
        <x:v>Bengaluru</x:v>
      </x:c>
      <x:c r="D470" s="2" t="str"/>
      <x:c r="E470" s="12" t="str">
        <x:v>Brigade IRV</x:v>
      </x:c>
      <x:c r="F470" s="12" t="str">
        <x:v>Ground Floor Exit</x:v>
      </x:c>
      <x:c r="G470" s="11" t="n">
        <x:v>1</x:v>
      </x:c>
      <x:c r="H470" s="2" t="str">
        <x:v>55 inch</x:v>
      </x:c>
      <x:c r="I470" s="12" t="str">
        <x:v>Marriott Revenue Management Remote Solutions; Y axis; Factonity Systems Pvt Ltd; SROTRA TECHNOLOGIES PVT LTD; Aimtron Technologies; Electrono Solutions Private Limited; ATCS; Regus; Nisent Global Solutions Pvt. Ltd; Chainalytics; Vassco Furniture &amp; Home Decors Private Limited; Mobile Programming India Pvt. Ltd; Sunovaa Tech Pvt. Ltd; WorkX Coworking Spaces; Cronbay Technologies; UrbanPiper; Accelalpha; SmartGig Technologies Private Limited; Analyttica Datalab Pvt. Ltd; ARTOIES INTERNATIONAL PRIVATE LIMITED</x:v>
      </x:c>
      <x:c r="J470" s="2" t="n">
        <x:v>20</x:v>
      </x:c>
      <x:c r="K470" s="12" t="str">
        <x:v>Campus/portfolio roster; individual building occupancy unverified</x:v>
      </x:c>
      <x:c r="L470" s="12" t="str">
        <x:v>IT &amp; digital; Professional services; Engineering &amp; manufacturing; Trade, consumer &amp; logistics; Workspace &amp; property operations; Unresolved</x:v>
      </x:c>
      <x:c r="M470" s="12" t="str">
        <x:v>Small-scale prospects; Medium-scale prospects; Mixed business audience</x:v>
      </x:c>
      <x:c r="N470" s="12" t="str">
        <x:v>PARTNER-M056</x:v>
      </x:c>
      <x:c r="O470" s="13"/>
      <x:c r="P470" s="13"/>
      <x:c r="Q470" s="2" t="str"/>
      <x:c r="R470" s="2" t="str">
        <x:v>TEN-0B63EF31808A; TEN-3FB64171B8B2; TEN-4031B527A5B1; TEN-454101807C26; TEN-555A2C40B555; TEN-6EC3A7285B02; TEN-6F7359803DF1; TEN-6FC71948C40F; TEN-81D3880C31B1; TEN-8811AC206AD4; TEN-A761DC481A8A; TEN-B56496626EEE; TEN-BBD4EEA83943; TEN-BBD5210C1E57; TEN-C4FDA280D307; TEN-D4A1061B292B; TEN-D570183BA689; TEN-DF6860ED534A; TEN-F13E5E75303C; TEN-F3CC7F1E38DB</x:v>
      </x:c>
      <x:c r="S470" s="12" t="str">
        <x:v>Mixed commercial workplace</x:v>
      </x:c>
      <x:c r="T470" s="12" t="str">
        <x:v>Tenant business-type estimates and reviewed company-scale context.</x:v>
      </x:c>
    </x:row>
    <x:row r="471" ht="88" customHeight="1">
      <x:c r="A471" s="10" t="n">
        <x:v>1</x:v>
      </x:c>
      <x:c r="B471" s="2" t="str">
        <x:v>CORP-0478</x:v>
      </x:c>
      <x:c r="C471" s="2" t="str">
        <x:v>Bengaluru</x:v>
      </x:c>
      <x:c r="D471" s="2" t="str"/>
      <x:c r="E471" s="12" t="str">
        <x:v>Global Tech Park</x:v>
      </x:c>
      <x:c r="F471" s="12" t="str">
        <x:v>Main Lobby Tower A - GF</x:v>
      </x:c>
      <x:c r="G471" s="11" t="n">
        <x:v>1</x:v>
      </x:c>
      <x:c r="H471" s="2" t="str">
        <x:v>55 inch</x:v>
      </x:c>
      <x:c r="I471" s="12" t="str">
        <x:v>Texila Educational &amp; Management Services Pvt Ltd; Kwalee India; Marvell Semiconductors; Fastenal; EPAM Bangalore; KPMG Global Services; Silverline India; Vivero International; Vmware; West Pharmaceutical Services; Tangoe India Softek Services Pvt Ltd; FP Tech Science Pvt. Ltd; LinkedIn; TalbotFORCE; Saviynt; Impact Analytics; Marvell India Pvt. Ltd; Yazaki India Technical Center; Versa Networks; Vodafone; Huron Eurasia India Private Limited; SkyPoint Cloud Inc; GSN Games</x:v>
      </x:c>
      <x:c r="J471" s="2" t="n">
        <x:v>23</x:v>
      </x:c>
      <x:c r="K471" s="12" t="str">
        <x:v>Campus/portfolio roster; individual building occupancy unverified</x:v>
      </x:c>
      <x:c r="L471" s="12" t="str">
        <x:v>IT &amp; digital; Professional services; Engineering &amp; manufacturing; Healthcare &amp; life sciences; Education; Trade, consumer &amp; logistics; Unresolved</x:v>
      </x:c>
      <x:c r="M471" s="12" t="str">
        <x:v>Small-scale prospects; Large enterprise; Mixed business audience</x:v>
      </x:c>
      <x:c r="N471" s="12" t="str">
        <x:v>PARTNER-M060</x:v>
      </x:c>
      <x:c r="O471" s="13"/>
      <x:c r="P471" s="13"/>
      <x:c r="Q471" s="2" t="str"/>
      <x:c r="R471" s="2" t="str">
        <x:v>TEN-0D3128AFC517; TEN-25DB5104E8F5; TEN-26B92272F90D; TEN-3F5468F56323; TEN-44C551CDCABF; TEN-4DB2CCE9A521; TEN-4E5768573B8D; TEN-508DF31D63FB; TEN-592CC302663C; TEN-59997A67C490; TEN-746A33411251; TEN-7E0E7F63D0E5; TEN-84308BEA4540; TEN-908C50BA6687; TEN-91C2E0669804; TEN-93C4CDB211E2; TEN-97101BD39450; TEN-B4E81D471B4A; TEN-B7B27EA467E4; TEN-C09DEE999673; TEN-CA79984DBED3; TEN-E5E8BA3801BC; TEN-F9B7C2EA54C9</x:v>
      </x:c>
      <x:c r="S471" s="12" t="str">
        <x:v>IT and enterprise campus</x:v>
      </x:c>
      <x:c r="T471" s="12" t="str">
        <x:v>Tenant business-type estimates and reviewed company-scale context.</x:v>
      </x:c>
    </x:row>
    <x:row r="472" ht="88" customHeight="1">
      <x:c r="A472" s="10" t="n">
        <x:v>1</x:v>
      </x:c>
      <x:c r="B472" s="2" t="str">
        <x:v>CORP-0479</x:v>
      </x:c>
      <x:c r="C472" s="2" t="str">
        <x:v>Bengaluru</x:v>
      </x:c>
      <x:c r="D472" s="2" t="str"/>
      <x:c r="E472" s="12" t="str">
        <x:v>Global Tech Park</x:v>
      </x:c>
      <x:c r="F472" s="12" t="str">
        <x:v>Main Lobby Tower B - GF</x:v>
      </x:c>
      <x:c r="G472" s="11" t="n">
        <x:v>1</x:v>
      </x:c>
      <x:c r="H472" s="2" t="str">
        <x:v>55 inch</x:v>
      </x:c>
      <x:c r="I472" s="12" t="str">
        <x:v>Texila Educational &amp; Management Services Pvt Ltd; Kwalee India; Marvell Semiconductors; Fastenal; EPAM Bangalore; KPMG Global Services; Silverline India; Vivero International; Vmware; West Pharmaceutical Services; Tangoe India Softek Services Pvt Ltd; FP Tech Science Pvt. Ltd; LinkedIn; TalbotFORCE; Saviynt; Impact Analytics; Marvell India Pvt. Ltd; Yazaki India Technical Center; Versa Networks; Vodafone; Huron Eurasia India Private Limited; SkyPoint Cloud Inc; GSN Games</x:v>
      </x:c>
      <x:c r="J472" s="2" t="n">
        <x:v>23</x:v>
      </x:c>
      <x:c r="K472" s="12" t="str">
        <x:v>Campus/portfolio roster; individual building occupancy unverified</x:v>
      </x:c>
      <x:c r="L472" s="12" t="str">
        <x:v>IT &amp; digital; Professional services; Engineering &amp; manufacturing; Healthcare &amp; life sciences; Education; Trade, consumer &amp; logistics; Unresolved</x:v>
      </x:c>
      <x:c r="M472" s="12" t="str">
        <x:v>Small-scale prospects; Large enterprise; Mixed business audience</x:v>
      </x:c>
      <x:c r="N472" s="12" t="str">
        <x:v>PARTNER-M060</x:v>
      </x:c>
      <x:c r="O472" s="13"/>
      <x:c r="P472" s="13"/>
      <x:c r="Q472" s="2" t="str"/>
      <x:c r="R472" s="2" t="str">
        <x:v>TEN-0D3128AFC517; TEN-25DB5104E8F5; TEN-26B92272F90D; TEN-3F5468F56323; TEN-44C551CDCABF; TEN-4DB2CCE9A521; TEN-4E5768573B8D; TEN-508DF31D63FB; TEN-592CC302663C; TEN-59997A67C490; TEN-746A33411251; TEN-7E0E7F63D0E5; TEN-84308BEA4540; TEN-908C50BA6687; TEN-91C2E0669804; TEN-93C4CDB211E2; TEN-97101BD39450; TEN-B4E81D471B4A; TEN-B7B27EA467E4; TEN-C09DEE999673; TEN-CA79984DBED3; TEN-E5E8BA3801BC; TEN-F9B7C2EA54C9</x:v>
      </x:c>
      <x:c r="S472" s="12" t="str">
        <x:v>IT and enterprise campus</x:v>
      </x:c>
      <x:c r="T472" s="12" t="str">
        <x:v>Tenant business-type estimates and reviewed company-scale context.</x:v>
      </x:c>
    </x:row>
    <x:row r="473" ht="88" customHeight="1">
      <x:c r="A473" s="10" t="n">
        <x:v>1</x:v>
      </x:c>
      <x:c r="B473" s="2" t="str">
        <x:v>CORP-0480</x:v>
      </x:c>
      <x:c r="C473" s="2" t="str">
        <x:v>Bengaluru</x:v>
      </x:c>
      <x:c r="D473" s="2" t="str"/>
      <x:c r="E473" s="12" t="str">
        <x:v>Global Tech Park</x:v>
      </x:c>
      <x:c r="F473" s="12" t="str">
        <x:v>Main Lobby Tower D - GF</x:v>
      </x:c>
      <x:c r="G473" s="11" t="n">
        <x:v>1</x:v>
      </x:c>
      <x:c r="H473" s="2" t="str">
        <x:v>55 inch</x:v>
      </x:c>
      <x:c r="I473" s="12" t="str">
        <x:v>Texila Educational &amp; Management Services Pvt Ltd; Kwalee India; Marvell Semiconductors; Fastenal; EPAM Bangalore; KPMG Global Services; Silverline India; Vivero International; Vmware; West Pharmaceutical Services; Tangoe India Softek Services Pvt Ltd; FP Tech Science Pvt. Ltd; LinkedIn; TalbotFORCE; Saviynt; Impact Analytics; Marvell India Pvt. Ltd; Yazaki India Technical Center; Versa Networks; Vodafone; Huron Eurasia India Private Limited; SkyPoint Cloud Inc; GSN Games</x:v>
      </x:c>
      <x:c r="J473" s="2" t="n">
        <x:v>23</x:v>
      </x:c>
      <x:c r="K473" s="12" t="str">
        <x:v>Campus/portfolio roster; individual building occupancy unverified</x:v>
      </x:c>
      <x:c r="L473" s="12" t="str">
        <x:v>IT &amp; digital; Professional services; Engineering &amp; manufacturing; Healthcare &amp; life sciences; Education; Trade, consumer &amp; logistics; Unresolved</x:v>
      </x:c>
      <x:c r="M473" s="12" t="str">
        <x:v>Small-scale prospects; Large enterprise; Mixed business audience</x:v>
      </x:c>
      <x:c r="N473" s="12" t="str">
        <x:v>PARTNER-M060</x:v>
      </x:c>
      <x:c r="O473" s="13"/>
      <x:c r="P473" s="13"/>
      <x:c r="Q473" s="2" t="str"/>
      <x:c r="R473" s="2" t="str">
        <x:v>TEN-0D3128AFC517; TEN-25DB5104E8F5; TEN-26B92272F90D; TEN-3F5468F56323; TEN-44C551CDCABF; TEN-4DB2CCE9A521; TEN-4E5768573B8D; TEN-508DF31D63FB; TEN-592CC302663C; TEN-59997A67C490; TEN-746A33411251; TEN-7E0E7F63D0E5; TEN-84308BEA4540; TEN-908C50BA6687; TEN-91C2E0669804; TEN-93C4CDB211E2; TEN-97101BD39450; TEN-B4E81D471B4A; TEN-B7B27EA467E4; TEN-C09DEE999673; TEN-CA79984DBED3; TEN-E5E8BA3801BC; TEN-F9B7C2EA54C9</x:v>
      </x:c>
      <x:c r="S473" s="12" t="str">
        <x:v>IT and enterprise campus</x:v>
      </x:c>
      <x:c r="T473" s="12" t="str">
        <x:v>Tenant business-type estimates and reviewed company-scale context.</x:v>
      </x:c>
    </x:row>
    <x:row r="474" ht="88" customHeight="1">
      <x:c r="A474" s="10" t="n">
        <x:v>1</x:v>
      </x:c>
      <x:c r="B474" s="2" t="str">
        <x:v>CORP-0481</x:v>
      </x:c>
      <x:c r="C474" s="2" t="str">
        <x:v>Bengaluru</x:v>
      </x:c>
      <x:c r="D474" s="2" t="str"/>
      <x:c r="E474" s="12" t="str">
        <x:v>Global Tech Park</x:v>
      </x:c>
      <x:c r="F474" s="12" t="str">
        <x:v>Main Lobby Tower E - GF</x:v>
      </x:c>
      <x:c r="G474" s="11" t="n">
        <x:v>1</x:v>
      </x:c>
      <x:c r="H474" s="2" t="str">
        <x:v>55 inch</x:v>
      </x:c>
      <x:c r="I474" s="12" t="str">
        <x:v>Texila Educational &amp; Management Services Pvt Ltd; Kwalee India; Marvell Semiconductors; Fastenal; EPAM Bangalore; KPMG Global Services; Silverline India; Vivero International; Vmware; West Pharmaceutical Services; Tangoe India Softek Services Pvt Ltd; FP Tech Science Pvt. Ltd; LinkedIn; TalbotFORCE; Saviynt; Impact Analytics; Marvell India Pvt. Ltd; Yazaki India Technical Center; Versa Networks; Vodafone; Huron Eurasia India Private Limited; SkyPoint Cloud Inc; GSN Games</x:v>
      </x:c>
      <x:c r="J474" s="2" t="n">
        <x:v>23</x:v>
      </x:c>
      <x:c r="K474" s="12" t="str">
        <x:v>Campus/portfolio roster; individual building occupancy unverified</x:v>
      </x:c>
      <x:c r="L474" s="12" t="str">
        <x:v>IT &amp; digital; Professional services; Engineering &amp; manufacturing; Healthcare &amp; life sciences; Education; Trade, consumer &amp; logistics; Unresolved</x:v>
      </x:c>
      <x:c r="M474" s="12" t="str">
        <x:v>Small-scale prospects; Large enterprise; Mixed business audience</x:v>
      </x:c>
      <x:c r="N474" s="12" t="str">
        <x:v>PARTNER-M060</x:v>
      </x:c>
      <x:c r="O474" s="13"/>
      <x:c r="P474" s="13"/>
      <x:c r="Q474" s="2" t="str"/>
      <x:c r="R474" s="2" t="str">
        <x:v>TEN-0D3128AFC517; TEN-25DB5104E8F5; TEN-26B92272F90D; TEN-3F5468F56323; TEN-44C551CDCABF; TEN-4DB2CCE9A521; TEN-4E5768573B8D; TEN-508DF31D63FB; TEN-592CC302663C; TEN-59997A67C490; TEN-746A33411251; TEN-7E0E7F63D0E5; TEN-84308BEA4540; TEN-908C50BA6687; TEN-91C2E0669804; TEN-93C4CDB211E2; TEN-97101BD39450; TEN-B4E81D471B4A; TEN-B7B27EA467E4; TEN-C09DEE999673; TEN-CA79984DBED3; TEN-E5E8BA3801BC; TEN-F9B7C2EA54C9</x:v>
      </x:c>
      <x:c r="S474" s="12" t="str">
        <x:v>IT and enterprise campus</x:v>
      </x:c>
      <x:c r="T474" s="12" t="str">
        <x:v>Tenant business-type estimates and reviewed company-scale context.</x:v>
      </x:c>
    </x:row>
    <x:row r="475" ht="88" customHeight="1">
      <x:c r="A475" s="10" t="n">
        <x:v>1</x:v>
      </x:c>
      <x:c r="B475" s="2" t="str">
        <x:v>CORP-0482</x:v>
      </x:c>
      <x:c r="C475" s="2" t="str">
        <x:v>Bengaluru</x:v>
      </x:c>
      <x:c r="D475" s="2" t="str"/>
      <x:c r="E475" s="12" t="str">
        <x:v>Global Tech Park</x:v>
      </x:c>
      <x:c r="F475" s="12" t="str">
        <x:v>Food Court Entry</x:v>
      </x:c>
      <x:c r="G475" s="11" t="n">
        <x:v>1</x:v>
      </x:c>
      <x:c r="H475" s="2" t="str">
        <x:v>55 inch</x:v>
      </x:c>
      <x:c r="I475" s="12" t="str">
        <x:v>Texila Educational &amp; Management Services Pvt Ltd; Kwalee India; Marvell Semiconductors; Fastenal; EPAM Bangalore; KPMG Global Services; Silverline India; Vivero International; Vmware; West Pharmaceutical Services; Tangoe India Softek Services Pvt Ltd; FP Tech Science Pvt. Ltd; LinkedIn; TalbotFORCE; Saviynt; Impact Analytics; Marvell India Pvt. Ltd; Yazaki India Technical Center; Versa Networks; Vodafone; Huron Eurasia India Private Limited; SkyPoint Cloud Inc; GSN Games</x:v>
      </x:c>
      <x:c r="J475" s="2" t="n">
        <x:v>23</x:v>
      </x:c>
      <x:c r="K475" s="12" t="str">
        <x:v>Campus/portfolio roster; individual building occupancy unverified</x:v>
      </x:c>
      <x:c r="L475" s="12" t="str">
        <x:v>IT &amp; digital; Professional services; Engineering &amp; manufacturing; Healthcare &amp; life sciences; Education; Trade, consumer &amp; logistics; Unresolved</x:v>
      </x:c>
      <x:c r="M475" s="12" t="str">
        <x:v>Small-scale prospects; Large enterprise; Mixed business audience</x:v>
      </x:c>
      <x:c r="N475" s="12" t="str">
        <x:v>PARTNER-M060</x:v>
      </x:c>
      <x:c r="O475" s="13"/>
      <x:c r="P475" s="13"/>
      <x:c r="Q475" s="2" t="str"/>
      <x:c r="R475" s="2" t="str">
        <x:v>TEN-0D3128AFC517; TEN-25DB5104E8F5; TEN-26B92272F90D; TEN-3F5468F56323; TEN-44C551CDCABF; TEN-4DB2CCE9A521; TEN-4E5768573B8D; TEN-508DF31D63FB; TEN-592CC302663C; TEN-59997A67C490; TEN-746A33411251; TEN-7E0E7F63D0E5; TEN-84308BEA4540; TEN-908C50BA6687; TEN-91C2E0669804; TEN-93C4CDB211E2; TEN-97101BD39450; TEN-B4E81D471B4A; TEN-B7B27EA467E4; TEN-C09DEE999673; TEN-CA79984DBED3; TEN-E5E8BA3801BC; TEN-F9B7C2EA54C9</x:v>
      </x:c>
      <x:c r="S475" s="12" t="str">
        <x:v>IT and enterprise campus</x:v>
      </x:c>
      <x:c r="T475" s="12" t="str">
        <x:v>Tenant business-type estimates and reviewed company-scale context.</x:v>
      </x:c>
    </x:row>
    <x:row r="476" ht="64" customHeight="1">
      <x:c r="A476" s="10" t="n">
        <x:v>1</x:v>
      </x:c>
      <x:c r="B476" s="2" t="str">
        <x:v>CORP-0483</x:v>
      </x:c>
      <x:c r="C476" s="2" t="str">
        <x:v>Bengaluru</x:v>
      </x:c>
      <x:c r="D476" s="2" t="str"/>
      <x:c r="E476" s="12" t="str">
        <x:v>First Technology Park</x:v>
      </x:c>
      <x:c r="F476" s="12" t="str">
        <x:v>Block A - Reception</x:v>
      </x:c>
      <x:c r="G476" s="11" t="n">
        <x:v>1</x:v>
      </x:c>
      <x:c r="H476" s="2" t="str">
        <x:v>55 inch</x:v>
      </x:c>
      <x:c r="I476" s="12" t="str">
        <x:v>Akamai Technologies Solutions India Pvt Ltd; Wipro Technologies Limited; Nirvigna.com; Infosys Technologies Limited; Cognexa Business Solutions; Jyeshtha Solutions Pvt Ltd; Atsiro Pvt Ltd; Cahfad Technologies; Ifortis Worldwide; Ejl Tech</x:v>
      </x:c>
      <x:c r="J476" s="2" t="n">
        <x:v>10</x:v>
      </x:c>
      <x:c r="K476" s="12" t="str">
        <x:v>Campus/portfolio roster; individual building occupancy unverified</x:v>
      </x:c>
      <x:c r="L476" s="12" t="str">
        <x:v>IT &amp; digital; Unresolved</x:v>
      </x:c>
      <x:c r="M476" s="12" t="str">
        <x:v>Large enterprise; Mixed business audience</x:v>
      </x:c>
      <x:c r="N476" s="12" t="str">
        <x:v>PARTNER-M065</x:v>
      </x:c>
      <x:c r="O476" s="13"/>
      <x:c r="P476" s="13"/>
      <x:c r="Q476" s="2" t="str"/>
      <x:c r="R476" s="2" t="str">
        <x:v>TEN-1A1CF91802DC; TEN-4DAB11405DF8; TEN-55FE7B7567AF; TEN-678FB4E04FCE; TEN-6D01BFE28329; TEN-816AAFE58551; TEN-91BEEC88DDAF; TEN-A845A7DB23BB; TEN-AF4588398C1D; TEN-EAE936FEE92F</x:v>
      </x:c>
      <x:c r="S476" s="12" t="str">
        <x:v>IT and enterprise campus</x:v>
      </x:c>
      <x:c r="T476" s="12" t="str">
        <x:v>Tenant business-type estimates and reviewed company-scale context.</x:v>
      </x:c>
    </x:row>
    <x:row r="477" ht="64" customHeight="1">
      <x:c r="A477" s="10" t="n">
        <x:v>1</x:v>
      </x:c>
      <x:c r="B477" s="2" t="str">
        <x:v>CORP-0484</x:v>
      </x:c>
      <x:c r="C477" s="2" t="str">
        <x:v>Bengaluru</x:v>
      </x:c>
      <x:c r="D477" s="2" t="str"/>
      <x:c r="E477" s="12" t="str">
        <x:v>First Technology Park</x:v>
      </x:c>
      <x:c r="F477" s="12" t="str">
        <x:v>Block C - Reception</x:v>
      </x:c>
      <x:c r="G477" s="11" t="n">
        <x:v>1</x:v>
      </x:c>
      <x:c r="H477" s="2" t="str">
        <x:v>55 inch</x:v>
      </x:c>
      <x:c r="I477" s="12" t="str">
        <x:v>Akamai Technologies Solutions India Pvt Ltd; Wipro Technologies Limited; Nirvigna.com; Infosys Technologies Limited; Cognexa Business Solutions; Jyeshtha Solutions Pvt Ltd; Atsiro Pvt Ltd; Cahfad Technologies; Ifortis Worldwide; Ejl Tech</x:v>
      </x:c>
      <x:c r="J477" s="2" t="n">
        <x:v>10</x:v>
      </x:c>
      <x:c r="K477" s="12" t="str">
        <x:v>Campus/portfolio roster; individual building occupancy unverified</x:v>
      </x:c>
      <x:c r="L477" s="12" t="str">
        <x:v>IT &amp; digital; Unresolved</x:v>
      </x:c>
      <x:c r="M477" s="12" t="str">
        <x:v>Large enterprise; Mixed business audience</x:v>
      </x:c>
      <x:c r="N477" s="12" t="str">
        <x:v>PARTNER-M065</x:v>
      </x:c>
      <x:c r="O477" s="13"/>
      <x:c r="P477" s="13"/>
      <x:c r="Q477" s="2" t="str"/>
      <x:c r="R477" s="2" t="str">
        <x:v>TEN-1A1CF91802DC; TEN-4DAB11405DF8; TEN-55FE7B7567AF; TEN-678FB4E04FCE; TEN-6D01BFE28329; TEN-816AAFE58551; TEN-91BEEC88DDAF; TEN-A845A7DB23BB; TEN-AF4588398C1D; TEN-EAE936FEE92F</x:v>
      </x:c>
      <x:c r="S477" s="12" t="str">
        <x:v>IT and enterprise campus</x:v>
      </x:c>
      <x:c r="T477" s="12" t="str">
        <x:v>Tenant business-type estimates and reviewed company-scale context.</x:v>
      </x:c>
    </x:row>
    <x:row r="478" ht="75" customHeight="1">
      <x:c r="A478" s="10" t="n">
        <x:v>1</x:v>
      </x:c>
      <x:c r="B478" s="2" t="str">
        <x:v>CORP-0485</x:v>
      </x:c>
      <x:c r="C478" s="2" t="str">
        <x:v>Bengaluru</x:v>
      </x:c>
      <x:c r="D478" s="2" t="str"/>
      <x:c r="E478" s="12" t="str">
        <x:v>Cessna - Embassy Tech Square</x:v>
      </x:c>
      <x:c r="F478" s="12" t="str">
        <x:v>Food Court Entry</x:v>
      </x:c>
      <x:c r="G478" s="11" t="n">
        <x:v>1</x:v>
      </x:c>
      <x:c r="H478" s="2" t="str">
        <x:v>55 inch</x:v>
      </x:c>
      <x:c r="I478" s="12" t="str">
        <x:v>Vulpith.com; Cambium Networks Private Limited; MarketXpander Services Pvt. Ltd; KLAY Centre; InMobi Technology Services Pvt. Ltd; Leadsquared; LG Soft India Pvt. Ltd; Ribbon Communication Pvt. Ltd; Applied Information Sciences India; Gartner India Research and Advisory Services Pvt. Ltd; Tracelay Networks GSOC; CrimsonLogic India Pvt. Ltd; IQVIA; Glance; Syniverse; Here Solutions India Pvt. Ltd</x:v>
      </x:c>
      <x:c r="J478" s="2" t="n">
        <x:v>16</x:v>
      </x:c>
      <x:c r="K478" s="12" t="str">
        <x:v>Campus/portfolio roster; individual building occupancy unverified</x:v>
      </x:c>
      <x:c r="L478" s="12" t="str">
        <x:v>IT &amp; digital; Professional services; Healthcare &amp; life sciences; Education; Trade, consumer &amp; logistics; Unresolved</x:v>
      </x:c>
      <x:c r="M478" s="12" t="str">
        <x:v>Small-scale prospects; Large enterprise; Mixed business audience</x:v>
      </x:c>
      <x:c r="N478" s="12" t="str">
        <x:v>PARTNER-M067</x:v>
      </x:c>
      <x:c r="O478" s="13"/>
      <x:c r="P478" s="13"/>
      <x:c r="Q478" s="2" t="str"/>
      <x:c r="R478" s="2" t="str">
        <x:v>TEN-14A778EC0824; TEN-17C400F7181E; TEN-5B49624C6F03; TEN-8E42AB47E105; TEN-917A9EA35D91; TEN-982AAAD03B93; TEN-B0D732F6FB1E; TEN-B8AB53F49765; TEN-C37E3D3636A0; TEN-CCF2DC9DADF3; TEN-D22C9DC7EBCB; TEN-DE86AC86417B; TEN-E4737DBE1BA9; TEN-E776A0709093; TEN-E9E8A907E060; TEN-EBC4D1888A03</x:v>
      </x:c>
      <x:c r="S478" s="12" t="str">
        <x:v>Mixed commercial workplace</x:v>
      </x:c>
      <x:c r="T478" s="12" t="str">
        <x:v>Tenant business-type estimates and reviewed company-scale context.</x:v>
      </x:c>
    </x:row>
    <x:row r="479" ht="75" customHeight="1">
      <x:c r="A479" s="10" t="n">
        <x:v>1</x:v>
      </x:c>
      <x:c r="B479" s="2" t="str">
        <x:v>CORP-0486</x:v>
      </x:c>
      <x:c r="C479" s="2" t="str">
        <x:v>Bengaluru</x:v>
      </x:c>
      <x:c r="D479" s="2" t="str"/>
      <x:c r="E479" s="12" t="str">
        <x:v>Cessna - Embassy Tech Square</x:v>
      </x:c>
      <x:c r="F479" s="12" t="str">
        <x:v>Food Court Entry</x:v>
      </x:c>
      <x:c r="G479" s="11" t="n">
        <x:v>1</x:v>
      </x:c>
      <x:c r="H479" s="2" t="str">
        <x:v>55 inch</x:v>
      </x:c>
      <x:c r="I479" s="12" t="str">
        <x:v>Vulpith.com; Cambium Networks Private Limited; MarketXpander Services Pvt. Ltd; KLAY Centre; InMobi Technology Services Pvt. Ltd; Leadsquared; LG Soft India Pvt. Ltd; Ribbon Communication Pvt. Ltd; Applied Information Sciences India; Gartner India Research and Advisory Services Pvt. Ltd; Tracelay Networks GSOC; CrimsonLogic India Pvt. Ltd; IQVIA; Glance; Syniverse; Here Solutions India Pvt. Ltd</x:v>
      </x:c>
      <x:c r="J479" s="2" t="n">
        <x:v>16</x:v>
      </x:c>
      <x:c r="K479" s="12" t="str">
        <x:v>Campus/portfolio roster; individual building occupancy unverified</x:v>
      </x:c>
      <x:c r="L479" s="12" t="str">
        <x:v>IT &amp; digital; Professional services; Healthcare &amp; life sciences; Education; Trade, consumer &amp; logistics; Unresolved</x:v>
      </x:c>
      <x:c r="M479" s="12" t="str">
        <x:v>Small-scale prospects; Large enterprise; Mixed business audience</x:v>
      </x:c>
      <x:c r="N479" s="12" t="str">
        <x:v>PARTNER-M067</x:v>
      </x:c>
      <x:c r="O479" s="13"/>
      <x:c r="P479" s="13"/>
      <x:c r="Q479" s="2" t="str"/>
      <x:c r="R479" s="2" t="str">
        <x:v>TEN-14A778EC0824; TEN-17C400F7181E; TEN-5B49624C6F03; TEN-8E42AB47E105; TEN-917A9EA35D91; TEN-982AAAD03B93; TEN-B0D732F6FB1E; TEN-B8AB53F49765; TEN-C37E3D3636A0; TEN-CCF2DC9DADF3; TEN-D22C9DC7EBCB; TEN-DE86AC86417B; TEN-E4737DBE1BA9; TEN-E776A0709093; TEN-E9E8A907E060; TEN-EBC4D1888A03</x:v>
      </x:c>
      <x:c r="S479" s="12" t="str">
        <x:v>Mixed commercial workplace</x:v>
      </x:c>
      <x:c r="T479" s="12" t="str">
        <x:v>Tenant business-type estimates and reviewed company-scale context.</x:v>
      </x:c>
    </x:row>
    <x:row r="480" ht="75" customHeight="1">
      <x:c r="A480" s="10" t="n">
        <x:v>1</x:v>
      </x:c>
      <x:c r="B480" s="2" t="str">
        <x:v>CORP-0487</x:v>
      </x:c>
      <x:c r="C480" s="2" t="str">
        <x:v>Bengaluru</x:v>
      </x:c>
      <x:c r="D480" s="2" t="str"/>
      <x:c r="E480" s="12" t="str">
        <x:v>Cessna - Embassy Tech Square</x:v>
      </x:c>
      <x:c r="F480" s="12" t="str">
        <x:v>Food Court Entry</x:v>
      </x:c>
      <x:c r="G480" s="11" t="n">
        <x:v>1</x:v>
      </x:c>
      <x:c r="H480" s="2" t="str">
        <x:v>55 inch</x:v>
      </x:c>
      <x:c r="I480" s="12" t="str">
        <x:v>Vulpith.com; Cambium Networks Private Limited; MarketXpander Services Pvt. Ltd; KLAY Centre; InMobi Technology Services Pvt. Ltd; Leadsquared; LG Soft India Pvt. Ltd; Ribbon Communication Pvt. Ltd; Applied Information Sciences India; Gartner India Research and Advisory Services Pvt. Ltd; Tracelay Networks GSOC; CrimsonLogic India Pvt. Ltd; IQVIA; Glance; Syniverse; Here Solutions India Pvt. Ltd</x:v>
      </x:c>
      <x:c r="J480" s="2" t="n">
        <x:v>16</x:v>
      </x:c>
      <x:c r="K480" s="12" t="str">
        <x:v>Campus/portfolio roster; individual building occupancy unverified</x:v>
      </x:c>
      <x:c r="L480" s="12" t="str">
        <x:v>IT &amp; digital; Professional services; Healthcare &amp; life sciences; Education; Trade, consumer &amp; logistics; Unresolved</x:v>
      </x:c>
      <x:c r="M480" s="12" t="str">
        <x:v>Small-scale prospects; Large enterprise; Mixed business audience</x:v>
      </x:c>
      <x:c r="N480" s="12" t="str">
        <x:v>PARTNER-M067</x:v>
      </x:c>
      <x:c r="O480" s="13"/>
      <x:c r="P480" s="13"/>
      <x:c r="Q480" s="2" t="str"/>
      <x:c r="R480" s="2" t="str">
        <x:v>TEN-14A778EC0824; TEN-17C400F7181E; TEN-5B49624C6F03; TEN-8E42AB47E105; TEN-917A9EA35D91; TEN-982AAAD03B93; TEN-B0D732F6FB1E; TEN-B8AB53F49765; TEN-C37E3D3636A0; TEN-CCF2DC9DADF3; TEN-D22C9DC7EBCB; TEN-DE86AC86417B; TEN-E4737DBE1BA9; TEN-E776A0709093; TEN-E9E8A907E060; TEN-EBC4D1888A03</x:v>
      </x:c>
      <x:c r="S480" s="12" t="str">
        <x:v>Mixed commercial workplace</x:v>
      </x:c>
      <x:c r="T480" s="12" t="str">
        <x:v>Tenant business-type estimates and reviewed company-scale context.</x:v>
      </x:c>
    </x:row>
    <x:row r="481" ht="64" customHeight="1">
      <x:c r="A481" s="10" t="n">
        <x:v>1</x:v>
      </x:c>
      <x:c r="B481" s="2" t="str">
        <x:v>CORP-0488</x:v>
      </x:c>
      <x:c r="C481" s="2" t="str">
        <x:v>Bengaluru</x:v>
      </x:c>
      <x:c r="D481" s="2" t="str"/>
      <x:c r="E481" s="12" t="str">
        <x:v>Roach Icon</x:v>
      </x:c>
      <x:c r="F481" s="12" t="str">
        <x:v>Rreception Lobby</x:v>
      </x:c>
      <x:c r="G481" s="11" t="n">
        <x:v>1</x:v>
      </x:c>
      <x:c r="H481" s="2" t="str">
        <x:v>55 inch</x:v>
      </x:c>
      <x:c r="I481" s="12" t="str">
        <x:v>Affirmed Networks; Continual Engine Pvt. Ltd; Qualitrix Technologies; Hcl Info system; Lenovo India Pvt Ltd; Aspire Systems</x:v>
      </x:c>
      <x:c r="J481" s="2" t="n">
        <x:v>6</x:v>
      </x:c>
      <x:c r="K481" s="12" t="str">
        <x:v>Campus/portfolio roster; individual building occupancy unverified</x:v>
      </x:c>
      <x:c r="L481" s="12" t="str">
        <x:v>IT &amp; digital; Engineering &amp; manufacturing</x:v>
      </x:c>
      <x:c r="M481" s="12" t="str">
        <x:v>Small-scale prospects; Mixed business audience</x:v>
      </x:c>
      <x:c r="N481" s="12" t="str">
        <x:v>PARTNER-M070</x:v>
      </x:c>
      <x:c r="O481" s="13"/>
      <x:c r="P481" s="13"/>
      <x:c r="Q481" s="2" t="str"/>
      <x:c r="R481" s="2" t="str">
        <x:v>TEN-33A6115B3EDA; TEN-71F75C7E06F5; TEN-8031945A9EFC; TEN-876678C243D4; TEN-B65975F044F3; TEN-EF60DF2E884D</x:v>
      </x:c>
      <x:c r="S481" s="12" t="str">
        <x:v>Mixed commercial workplace</x:v>
      </x:c>
      <x:c r="T481" s="12" t="str">
        <x:v>Tenant business-type estimates and reviewed company-scale context.</x:v>
      </x:c>
    </x:row>
    <x:row r="482" ht="64" customHeight="1">
      <x:c r="A482" s="10" t="n">
        <x:v>1</x:v>
      </x:c>
      <x:c r="B482" s="2" t="str">
        <x:v>CORP-0489</x:v>
      </x:c>
      <x:c r="C482" s="2" t="str">
        <x:v>Bengaluru</x:v>
      </x:c>
      <x:c r="D482" s="2" t="str"/>
      <x:c r="E482" s="12" t="str">
        <x:v>Roach Icon</x:v>
      </x:c>
      <x:c r="F482" s="12" t="str">
        <x:v>Food Court</x:v>
      </x:c>
      <x:c r="G482" s="11" t="n">
        <x:v>1</x:v>
      </x:c>
      <x:c r="H482" s="2" t="str">
        <x:v>55 inch</x:v>
      </x:c>
      <x:c r="I482" s="12" t="str">
        <x:v>Affirmed Networks; Continual Engine Pvt. Ltd; Qualitrix Technologies; Hcl Info system; Lenovo India Pvt Ltd; Aspire Systems</x:v>
      </x:c>
      <x:c r="J482" s="2" t="n">
        <x:v>6</x:v>
      </x:c>
      <x:c r="K482" s="12" t="str">
        <x:v>Campus/portfolio roster; individual building occupancy unverified</x:v>
      </x:c>
      <x:c r="L482" s="12" t="str">
        <x:v>IT &amp; digital; Engineering &amp; manufacturing</x:v>
      </x:c>
      <x:c r="M482" s="12" t="str">
        <x:v>Small-scale prospects; Mixed business audience</x:v>
      </x:c>
      <x:c r="N482" s="12" t="str">
        <x:v>PARTNER-M070</x:v>
      </x:c>
      <x:c r="O482" s="13"/>
      <x:c r="P482" s="13"/>
      <x:c r="Q482" s="2" t="str"/>
      <x:c r="R482" s="2" t="str">
        <x:v>TEN-33A6115B3EDA; TEN-71F75C7E06F5; TEN-8031945A9EFC; TEN-876678C243D4; TEN-B65975F044F3; TEN-EF60DF2E884D</x:v>
      </x:c>
      <x:c r="S482" s="12" t="str">
        <x:v>Mixed commercial workplace</x:v>
      </x:c>
      <x:c r="T482" s="12" t="str">
        <x:v>Tenant business-type estimates and reviewed company-scale context.</x:v>
      </x:c>
    </x:row>
    <x:row r="483" ht="88" customHeight="1">
      <x:c r="A483" s="10" t="n">
        <x:v>1</x:v>
      </x:c>
      <x:c r="B483" s="2" t="str">
        <x:v>CORP-0490</x:v>
      </x:c>
      <x:c r="C483" s="2" t="str">
        <x:v>Bengaluru</x:v>
      </x:c>
      <x:c r="D483" s="2" t="str"/>
      <x:c r="E483" s="12" t="str">
        <x:v>Umiya Business Bay</x:v>
      </x:c>
      <x:c r="F483" s="12" t="str">
        <x:v>Tower 1 Reception Lobby Entry</x:v>
      </x:c>
      <x:c r="G483" s="11" t="n">
        <x:v>1</x:v>
      </x:c>
      <x:c r="H483" s="2" t="str">
        <x:v>55 inch</x:v>
      </x:c>
      <x:c r="I483" s="12" t="str">
        <x:v>Noodle Analytics; Servion Global Solutions; Smartworks Business Centre; Yazaki India; Vlocity Cloud Applications; Yokogawa IA Technologies; Page Industries; Simeio Development Centre; T-Systems ICT; Spirent Communications; Sonus Networks; Fidelity National Financial; Accolite Software; iKeva Business Centre; Xactly Technologies; AT&amp;T Communication Services; T-Systems; FNF India; Bridgei2i Analytics Solutions; Tieto Software; Cambium Networks; Sophos Technologies</x:v>
      </x:c>
      <x:c r="J483" s="2" t="n">
        <x:v>22</x:v>
      </x:c>
      <x:c r="K483" s="12" t="str">
        <x:v>Campus/portfolio roster; individual building occupancy unverified</x:v>
      </x:c>
      <x:c r="L483" s="12" t="str">
        <x:v>IT &amp; digital; Finance &amp; insurance; Engineering &amp; manufacturing; Trade, consumer &amp; logistics; Workspace &amp; property operations</x:v>
      </x:c>
      <x:c r="M483" s="12" t="str">
        <x:v>Small-scale prospects; Large enterprise; Mixed business audience</x:v>
      </x:c>
      <x:c r="N483" s="12" t="str">
        <x:v>PARTNER-M072</x:v>
      </x:c>
      <x:c r="O483" s="13"/>
      <x:c r="P483" s="13"/>
      <x:c r="Q483" s="2" t="str"/>
      <x:c r="R483" s="2" t="str">
        <x:v>TEN-04D3AC99C721; TEN-1129162334DD; TEN-13EBE574DFA2; TEN-18E894A0A28F; TEN-1D3CF023C580; TEN-1E09F269372F; TEN-2074EEA1A383; TEN-2B3CCB1CD4C0; TEN-33E655A82EEA; TEN-345FC99B9620; TEN-3546C13C4818; TEN-394B4E545B9B; TEN-434AF73F01EE; TEN-534169F77A0F; TEN-71A678C907B2; TEN-7C1C2E1FDB67; TEN-845733A0CA33; TEN-97B1AE253744; TEN-9FB259296B34; TEN-DEFF9DF9AA15; TEN-F0E21574F5BD; TEN-FFF9B8935849</x:v>
      </x:c>
      <x:c r="S483" s="12" t="str">
        <x:v>Multi-tenant business offices</x:v>
      </x:c>
      <x:c r="T483" s="12" t="str">
        <x:v>Tenant business-type estimates and reviewed company-scale context.</x:v>
      </x:c>
    </x:row>
    <x:row r="484" ht="88" customHeight="1">
      <x:c r="A484" s="10" t="n">
        <x:v>1</x:v>
      </x:c>
      <x:c r="B484" s="2" t="str">
        <x:v>CORP-0491</x:v>
      </x:c>
      <x:c r="C484" s="2" t="str">
        <x:v>Bengaluru</x:v>
      </x:c>
      <x:c r="D484" s="2" t="str"/>
      <x:c r="E484" s="12" t="str">
        <x:v>Umiya Business Bay</x:v>
      </x:c>
      <x:c r="F484" s="12" t="str">
        <x:v>Tower 2 Reception Lobby Entry</x:v>
      </x:c>
      <x:c r="G484" s="11" t="n">
        <x:v>1</x:v>
      </x:c>
      <x:c r="H484" s="2" t="str">
        <x:v>55 inch</x:v>
      </x:c>
      <x:c r="I484" s="12" t="str">
        <x:v>Noodle Analytics; Servion Global Solutions; Smartworks Business Centre; Yazaki India; Vlocity Cloud Applications; Yokogawa IA Technologies; Page Industries; Simeio Development Centre; T-Systems ICT; Spirent Communications; Sonus Networks; Fidelity National Financial; Accolite Software; iKeva Business Centre; Xactly Technologies; AT&amp;T Communication Services; T-Systems; FNF India; Bridgei2i Analytics Solutions; Tieto Software; Cambium Networks; Sophos Technologies</x:v>
      </x:c>
      <x:c r="J484" s="2" t="n">
        <x:v>22</x:v>
      </x:c>
      <x:c r="K484" s="12" t="str">
        <x:v>Campus/portfolio roster; individual building occupancy unverified</x:v>
      </x:c>
      <x:c r="L484" s="12" t="str">
        <x:v>IT &amp; digital; Finance &amp; insurance; Engineering &amp; manufacturing; Trade, consumer &amp; logistics; Workspace &amp; property operations</x:v>
      </x:c>
      <x:c r="M484" s="12" t="str">
        <x:v>Small-scale prospects; Large enterprise; Mixed business audience</x:v>
      </x:c>
      <x:c r="N484" s="12" t="str">
        <x:v>PARTNER-M072</x:v>
      </x:c>
      <x:c r="O484" s="13"/>
      <x:c r="P484" s="13"/>
      <x:c r="Q484" s="2" t="str"/>
      <x:c r="R484" s="2" t="str">
        <x:v>TEN-04D3AC99C721; TEN-1129162334DD; TEN-13EBE574DFA2; TEN-18E894A0A28F; TEN-1D3CF023C580; TEN-1E09F269372F; TEN-2074EEA1A383; TEN-2B3CCB1CD4C0; TEN-33E655A82EEA; TEN-345FC99B9620; TEN-3546C13C4818; TEN-394B4E545B9B; TEN-434AF73F01EE; TEN-534169F77A0F; TEN-71A678C907B2; TEN-7C1C2E1FDB67; TEN-845733A0CA33; TEN-97B1AE253744; TEN-9FB259296B34; TEN-DEFF9DF9AA15; TEN-F0E21574F5BD; TEN-FFF9B8935849</x:v>
      </x:c>
      <x:c r="S484" s="12" t="str">
        <x:v>Multi-tenant business offices</x:v>
      </x:c>
      <x:c r="T484" s="12" t="str">
        <x:v>Tenant business-type estimates and reviewed company-scale context.</x:v>
      </x:c>
    </x:row>
    <x:row r="485" ht="88" customHeight="1">
      <x:c r="A485" s="10" t="n">
        <x:v>1</x:v>
      </x:c>
      <x:c r="B485" s="2" t="str">
        <x:v>CORP-0492</x:v>
      </x:c>
      <x:c r="C485" s="2" t="str">
        <x:v>Bengaluru</x:v>
      </x:c>
      <x:c r="D485" s="2" t="str"/>
      <x:c r="E485" s="12" t="str">
        <x:v>Umiya Business Bay</x:v>
      </x:c>
      <x:c r="F485" s="12" t="str">
        <x:v>Tower 1 Lobby Exit</x:v>
      </x:c>
      <x:c r="G485" s="11" t="n">
        <x:v>1</x:v>
      </x:c>
      <x:c r="H485" s="2" t="str">
        <x:v>55 inch</x:v>
      </x:c>
      <x:c r="I485" s="12" t="str">
        <x:v>Noodle Analytics; Servion Global Solutions; Smartworks Business Centre; Yazaki India; Vlocity Cloud Applications; Yokogawa IA Technologies; Page Industries; Simeio Development Centre; T-Systems ICT; Spirent Communications; Sonus Networks; Fidelity National Financial; Accolite Software; iKeva Business Centre; Xactly Technologies; AT&amp;T Communication Services; T-Systems; FNF India; Bridgei2i Analytics Solutions; Tieto Software; Cambium Networks; Sophos Technologies</x:v>
      </x:c>
      <x:c r="J485" s="2" t="n">
        <x:v>22</x:v>
      </x:c>
      <x:c r="K485" s="12" t="str">
        <x:v>Campus/portfolio roster; individual building occupancy unverified</x:v>
      </x:c>
      <x:c r="L485" s="12" t="str">
        <x:v>IT &amp; digital; Finance &amp; insurance; Engineering &amp; manufacturing; Trade, consumer &amp; logistics; Workspace &amp; property operations</x:v>
      </x:c>
      <x:c r="M485" s="12" t="str">
        <x:v>Small-scale prospects; Large enterprise; Mixed business audience</x:v>
      </x:c>
      <x:c r="N485" s="12" t="str">
        <x:v>PARTNER-M072</x:v>
      </x:c>
      <x:c r="O485" s="13"/>
      <x:c r="P485" s="13"/>
      <x:c r="Q485" s="2" t="str"/>
      <x:c r="R485" s="2" t="str">
        <x:v>TEN-04D3AC99C721; TEN-1129162334DD; TEN-13EBE574DFA2; TEN-18E894A0A28F; TEN-1D3CF023C580; TEN-1E09F269372F; TEN-2074EEA1A383; TEN-2B3CCB1CD4C0; TEN-33E655A82EEA; TEN-345FC99B9620; TEN-3546C13C4818; TEN-394B4E545B9B; TEN-434AF73F01EE; TEN-534169F77A0F; TEN-71A678C907B2; TEN-7C1C2E1FDB67; TEN-845733A0CA33; TEN-97B1AE253744; TEN-9FB259296B34; TEN-DEFF9DF9AA15; TEN-F0E21574F5BD; TEN-FFF9B8935849</x:v>
      </x:c>
      <x:c r="S485" s="12" t="str">
        <x:v>Multi-tenant business offices</x:v>
      </x:c>
      <x:c r="T485" s="12" t="str">
        <x:v>Tenant business-type estimates and reviewed company-scale context.</x:v>
      </x:c>
    </x:row>
    <x:row r="486" ht="88" customHeight="1">
      <x:c r="A486" s="10" t="n">
        <x:v>1</x:v>
      </x:c>
      <x:c r="B486" s="2" t="str">
        <x:v>CORP-0493</x:v>
      </x:c>
      <x:c r="C486" s="2" t="str">
        <x:v>Bengaluru</x:v>
      </x:c>
      <x:c r="D486" s="2" t="str"/>
      <x:c r="E486" s="12" t="str">
        <x:v>Umiya Business Bay</x:v>
      </x:c>
      <x:c r="F486" s="12" t="str">
        <x:v>Tower 2 Lobby Exit</x:v>
      </x:c>
      <x:c r="G486" s="11" t="n">
        <x:v>1</x:v>
      </x:c>
      <x:c r="H486" s="2" t="str">
        <x:v>55 inch</x:v>
      </x:c>
      <x:c r="I486" s="12" t="str">
        <x:v>Noodle Analytics; Servion Global Solutions; Smartworks Business Centre; Yazaki India; Vlocity Cloud Applications; Yokogawa IA Technologies; Page Industries; Simeio Development Centre; T-Systems ICT; Spirent Communications; Sonus Networks; Fidelity National Financial; Accolite Software; iKeva Business Centre; Xactly Technologies; AT&amp;T Communication Services; T-Systems; FNF India; Bridgei2i Analytics Solutions; Tieto Software; Cambium Networks; Sophos Technologies</x:v>
      </x:c>
      <x:c r="J486" s="2" t="n">
        <x:v>22</x:v>
      </x:c>
      <x:c r="K486" s="12" t="str">
        <x:v>Campus/portfolio roster; individual building occupancy unverified</x:v>
      </x:c>
      <x:c r="L486" s="12" t="str">
        <x:v>IT &amp; digital; Finance &amp; insurance; Engineering &amp; manufacturing; Trade, consumer &amp; logistics; Workspace &amp; property operations</x:v>
      </x:c>
      <x:c r="M486" s="12" t="str">
        <x:v>Small-scale prospects; Large enterprise; Mixed business audience</x:v>
      </x:c>
      <x:c r="N486" s="12" t="str">
        <x:v>PARTNER-M072</x:v>
      </x:c>
      <x:c r="O486" s="13"/>
      <x:c r="P486" s="13"/>
      <x:c r="Q486" s="2" t="str"/>
      <x:c r="R486" s="2" t="str">
        <x:v>TEN-04D3AC99C721; TEN-1129162334DD; TEN-13EBE574DFA2; TEN-18E894A0A28F; TEN-1D3CF023C580; TEN-1E09F269372F; TEN-2074EEA1A383; TEN-2B3CCB1CD4C0; TEN-33E655A82EEA; TEN-345FC99B9620; TEN-3546C13C4818; TEN-394B4E545B9B; TEN-434AF73F01EE; TEN-534169F77A0F; TEN-71A678C907B2; TEN-7C1C2E1FDB67; TEN-845733A0CA33; TEN-97B1AE253744; TEN-9FB259296B34; TEN-DEFF9DF9AA15; TEN-F0E21574F5BD; TEN-FFF9B8935849</x:v>
      </x:c>
      <x:c r="S486" s="12" t="str">
        <x:v>Multi-tenant business offices</x:v>
      </x:c>
      <x:c r="T486" s="12" t="str">
        <x:v>Tenant business-type estimates and reviewed company-scale context.</x:v>
      </x:c>
    </x:row>
    <x:row r="487" ht="88" customHeight="1">
      <x:c r="A487" s="10" t="n">
        <x:v>1</x:v>
      </x:c>
      <x:c r="B487" s="2" t="str">
        <x:v>CORP-0494</x:v>
      </x:c>
      <x:c r="C487" s="2" t="str">
        <x:v>Bengaluru</x:v>
      </x:c>
      <x:c r="D487" s="2" t="str"/>
      <x:c r="E487" s="12" t="str">
        <x:v>Umiya Business Bay</x:v>
      </x:c>
      <x:c r="F487" s="12" t="str">
        <x:v>Tower 1 Elevator Lobby</x:v>
      </x:c>
      <x:c r="G487" s="11" t="n">
        <x:v>1</x:v>
      </x:c>
      <x:c r="H487" s="2" t="str">
        <x:v>55 inch</x:v>
      </x:c>
      <x:c r="I487" s="12" t="str">
        <x:v>Noodle Analytics; Servion Global Solutions; Smartworks Business Centre; Yazaki India; Vlocity Cloud Applications; Yokogawa IA Technologies; Page Industries; Simeio Development Centre; T-Systems ICT; Spirent Communications; Sonus Networks; Fidelity National Financial; Accolite Software; iKeva Business Centre; Xactly Technologies; AT&amp;T Communication Services; T-Systems; FNF India; Bridgei2i Analytics Solutions; Tieto Software; Cambium Networks; Sophos Technologies</x:v>
      </x:c>
      <x:c r="J487" s="2" t="n">
        <x:v>22</x:v>
      </x:c>
      <x:c r="K487" s="12" t="str">
        <x:v>Campus/portfolio roster; individual building occupancy unverified</x:v>
      </x:c>
      <x:c r="L487" s="12" t="str">
        <x:v>IT &amp; digital; Finance &amp; insurance; Engineering &amp; manufacturing; Trade, consumer &amp; logistics; Workspace &amp; property operations</x:v>
      </x:c>
      <x:c r="M487" s="12" t="str">
        <x:v>Small-scale prospects; Large enterprise; Mixed business audience</x:v>
      </x:c>
      <x:c r="N487" s="12" t="str">
        <x:v>PARTNER-M072</x:v>
      </x:c>
      <x:c r="O487" s="13"/>
      <x:c r="P487" s="13"/>
      <x:c r="Q487" s="2" t="str"/>
      <x:c r="R487" s="2" t="str">
        <x:v>TEN-04D3AC99C721; TEN-1129162334DD; TEN-13EBE574DFA2; TEN-18E894A0A28F; TEN-1D3CF023C580; TEN-1E09F269372F; TEN-2074EEA1A383; TEN-2B3CCB1CD4C0; TEN-33E655A82EEA; TEN-345FC99B9620; TEN-3546C13C4818; TEN-394B4E545B9B; TEN-434AF73F01EE; TEN-534169F77A0F; TEN-71A678C907B2; TEN-7C1C2E1FDB67; TEN-845733A0CA33; TEN-97B1AE253744; TEN-9FB259296B34; TEN-DEFF9DF9AA15; TEN-F0E21574F5BD; TEN-FFF9B8935849</x:v>
      </x:c>
      <x:c r="S487" s="12" t="str">
        <x:v>Multi-tenant business offices</x:v>
      </x:c>
      <x:c r="T487" s="12" t="str">
        <x:v>Tenant business-type estimates and reviewed company-scale context.</x:v>
      </x:c>
    </x:row>
    <x:row r="488" ht="88" customHeight="1">
      <x:c r="A488" s="10" t="n">
        <x:v>1</x:v>
      </x:c>
      <x:c r="B488" s="2" t="str">
        <x:v>CORP-0495</x:v>
      </x:c>
      <x:c r="C488" s="2" t="str">
        <x:v>Bengaluru</x:v>
      </x:c>
      <x:c r="D488" s="2" t="str"/>
      <x:c r="E488" s="12" t="str">
        <x:v>Umiya Business Bay</x:v>
      </x:c>
      <x:c r="F488" s="12" t="str">
        <x:v>Tower 2 Elevator Lobby</x:v>
      </x:c>
      <x:c r="G488" s="11" t="n">
        <x:v>1</x:v>
      </x:c>
      <x:c r="H488" s="2" t="str">
        <x:v>55 inch</x:v>
      </x:c>
      <x:c r="I488" s="12" t="str">
        <x:v>Noodle Analytics; Servion Global Solutions; Smartworks Business Centre; Yazaki India; Vlocity Cloud Applications; Yokogawa IA Technologies; Page Industries; Simeio Development Centre; T-Systems ICT; Spirent Communications; Sonus Networks; Fidelity National Financial; Accolite Software; iKeva Business Centre; Xactly Technologies; AT&amp;T Communication Services; T-Systems; FNF India; Bridgei2i Analytics Solutions; Tieto Software; Cambium Networks; Sophos Technologies</x:v>
      </x:c>
      <x:c r="J488" s="2" t="n">
        <x:v>22</x:v>
      </x:c>
      <x:c r="K488" s="12" t="str">
        <x:v>Campus/portfolio roster; individual building occupancy unverified</x:v>
      </x:c>
      <x:c r="L488" s="12" t="str">
        <x:v>IT &amp; digital; Finance &amp; insurance; Engineering &amp; manufacturing; Trade, consumer &amp; logistics; Workspace &amp; property operations</x:v>
      </x:c>
      <x:c r="M488" s="12" t="str">
        <x:v>Small-scale prospects; Large enterprise; Mixed business audience</x:v>
      </x:c>
      <x:c r="N488" s="12" t="str">
        <x:v>PARTNER-M072</x:v>
      </x:c>
      <x:c r="O488" s="13"/>
      <x:c r="P488" s="13"/>
      <x:c r="Q488" s="2" t="str"/>
      <x:c r="R488" s="2" t="str">
        <x:v>TEN-04D3AC99C721; TEN-1129162334DD; TEN-13EBE574DFA2; TEN-18E894A0A28F; TEN-1D3CF023C580; TEN-1E09F269372F; TEN-2074EEA1A383; TEN-2B3CCB1CD4C0; TEN-33E655A82EEA; TEN-345FC99B9620; TEN-3546C13C4818; TEN-394B4E545B9B; TEN-434AF73F01EE; TEN-534169F77A0F; TEN-71A678C907B2; TEN-7C1C2E1FDB67; TEN-845733A0CA33; TEN-97B1AE253744; TEN-9FB259296B34; TEN-DEFF9DF9AA15; TEN-F0E21574F5BD; TEN-FFF9B8935849</x:v>
      </x:c>
      <x:c r="S488" s="12" t="str">
        <x:v>Multi-tenant business offices</x:v>
      </x:c>
      <x:c r="T488" s="12" t="str">
        <x:v>Tenant business-type estimates and reviewed company-scale context.</x:v>
      </x:c>
    </x:row>
    <x:row r="489" ht="64" customHeight="1">
      <x:c r="A489" s="10" t="n">
        <x:v>1</x:v>
      </x:c>
      <x:c r="B489" s="2" t="str">
        <x:v>CORP-0496</x:v>
      </x:c>
      <x:c r="C489" s="2" t="str">
        <x:v>Bengaluru</x:v>
      </x:c>
      <x:c r="D489" s="2" t="str"/>
      <x:c r="E489" s="12" t="str">
        <x:v>Umiya Velociti</x:v>
      </x:c>
      <x:c r="F489" s="12" t="str">
        <x:v>Reception Lobby</x:v>
      </x:c>
      <x:c r="G489" s="11" t="n">
        <x:v>1</x:v>
      </x:c>
      <x:c r="H489" s="2" t="str">
        <x:v>55 inch</x:v>
      </x:c>
      <x:c r="I489" s="12" t="str">
        <x:v>Sanchar india news; Lucky Chan</x:v>
      </x:c>
      <x:c r="J489" s="2" t="n">
        <x:v>2</x:v>
      </x:c>
      <x:c r="K489" s="12" t="str">
        <x:v>Campus/portfolio roster; individual building occupancy unverified</x:v>
      </x:c>
      <x:c r="L489" s="12" t="str">
        <x:v>Trade, consumer &amp; logistics</x:v>
      </x:c>
      <x:c r="M489" s="12" t="str">
        <x:v>Small-scale prospects</x:v>
      </x:c>
      <x:c r="N489" s="12" t="str">
        <x:v>PARTNER-M078</x:v>
      </x:c>
      <x:c r="O489" s="13"/>
      <x:c r="P489" s="13"/>
      <x:c r="Q489" s="2" t="str"/>
      <x:c r="R489" s="2" t="str">
        <x:v>TEN-0BA55CDDBBF9; TEN-8EA2D17361FE</x:v>
      </x:c>
      <x:c r="S489" s="12" t="str">
        <x:v>Mixed commercial workplace</x:v>
      </x:c>
      <x:c r="T489" s="12" t="str">
        <x:v>Tenant business-type estimates and reviewed company-scale context.</x:v>
      </x:c>
    </x:row>
    <x:row r="490" ht="64" customHeight="1">
      <x:c r="A490" s="10" t="n">
        <x:v>1</x:v>
      </x:c>
      <x:c r="B490" s="2" t="str">
        <x:v>CORP-0497</x:v>
      </x:c>
      <x:c r="C490" s="2" t="str">
        <x:v>Bengaluru</x:v>
      </x:c>
      <x:c r="D490" s="2" t="str"/>
      <x:c r="E490" s="12" t="str">
        <x:v>Umiya Velociti</x:v>
      </x:c>
      <x:c r="F490" s="12" t="str">
        <x:v>Reception Lobby Area</x:v>
      </x:c>
      <x:c r="G490" s="11" t="n">
        <x:v>1</x:v>
      </x:c>
      <x:c r="H490" s="2" t="str">
        <x:v>55 inch</x:v>
      </x:c>
      <x:c r="I490" s="12" t="str">
        <x:v>Sanchar india news; Lucky Chan</x:v>
      </x:c>
      <x:c r="J490" s="2" t="n">
        <x:v>2</x:v>
      </x:c>
      <x:c r="K490" s="12" t="str">
        <x:v>Campus/portfolio roster; individual building occupancy unverified</x:v>
      </x:c>
      <x:c r="L490" s="12" t="str">
        <x:v>Trade, consumer &amp; logistics</x:v>
      </x:c>
      <x:c r="M490" s="12" t="str">
        <x:v>Small-scale prospects</x:v>
      </x:c>
      <x:c r="N490" s="12" t="str">
        <x:v>PARTNER-M078</x:v>
      </x:c>
      <x:c r="O490" s="13"/>
      <x:c r="P490" s="13"/>
      <x:c r="Q490" s="2" t="str"/>
      <x:c r="R490" s="2" t="str">
        <x:v>TEN-0BA55CDDBBF9; TEN-8EA2D17361FE</x:v>
      </x:c>
      <x:c r="S490" s="12" t="str">
        <x:v>Mixed commercial workplace</x:v>
      </x:c>
      <x:c r="T490" s="12" t="str">
        <x:v>Tenant business-type estimates and reviewed company-scale context.</x:v>
      </x:c>
    </x:row>
    <x:row r="491" ht="64" customHeight="1">
      <x:c r="A491" s="10" t="n">
        <x:v>1</x:v>
      </x:c>
      <x:c r="B491" s="2" t="str">
        <x:v>CORP-0498</x:v>
      </x:c>
      <x:c r="C491" s="2" t="str">
        <x:v>Bengaluru</x:v>
      </x:c>
      <x:c r="D491" s="2" t="str"/>
      <x:c r="E491" s="12" t="str">
        <x:v>Umiya Velociti</x:v>
      </x:c>
      <x:c r="F491" s="12" t="str">
        <x:v>Elevator Lobby</x:v>
      </x:c>
      <x:c r="G491" s="11" t="n">
        <x:v>1</x:v>
      </x:c>
      <x:c r="H491" s="2" t="str">
        <x:v>55 inch</x:v>
      </x:c>
      <x:c r="I491" s="12" t="str">
        <x:v>Sanchar india news; Lucky Chan</x:v>
      </x:c>
      <x:c r="J491" s="2" t="n">
        <x:v>2</x:v>
      </x:c>
      <x:c r="K491" s="12" t="str">
        <x:v>Campus/portfolio roster; individual building occupancy unverified</x:v>
      </x:c>
      <x:c r="L491" s="12" t="str">
        <x:v>Trade, consumer &amp; logistics</x:v>
      </x:c>
      <x:c r="M491" s="12" t="str">
        <x:v>Small-scale prospects</x:v>
      </x:c>
      <x:c r="N491" s="12" t="str">
        <x:v>PARTNER-M078</x:v>
      </x:c>
      <x:c r="O491" s="13"/>
      <x:c r="P491" s="13"/>
      <x:c r="Q491" s="2" t="str"/>
      <x:c r="R491" s="2" t="str">
        <x:v>TEN-0BA55CDDBBF9; TEN-8EA2D17361FE</x:v>
      </x:c>
      <x:c r="S491" s="12" t="str">
        <x:v>Mixed commercial workplace</x:v>
      </x:c>
      <x:c r="T491" s="12" t="str">
        <x:v>Tenant business-type estimates and reviewed company-scale context.</x:v>
      </x:c>
    </x:row>
    <x:row r="492" ht="64" customHeight="1">
      <x:c r="A492" s="10" t="n">
        <x:v>1</x:v>
      </x:c>
      <x:c r="B492" s="2" t="str">
        <x:v>CORP-0499</x:v>
      </x:c>
      <x:c r="C492" s="2" t="str">
        <x:v>Bengaluru</x:v>
      </x:c>
      <x:c r="D492" s="2" t="str"/>
      <x:c r="E492" s="12" t="str">
        <x:v>Umiya Velociti</x:v>
      </x:c>
      <x:c r="F492" s="12" t="str">
        <x:v>Food court Elevator Lobby</x:v>
      </x:c>
      <x:c r="G492" s="11" t="n">
        <x:v>1</x:v>
      </x:c>
      <x:c r="H492" s="2" t="str">
        <x:v>55 inch</x:v>
      </x:c>
      <x:c r="I492" s="12" t="str">
        <x:v>Sanchar india news; Lucky Chan</x:v>
      </x:c>
      <x:c r="J492" s="2" t="n">
        <x:v>2</x:v>
      </x:c>
      <x:c r="K492" s="12" t="str">
        <x:v>Campus/portfolio roster; individual building occupancy unverified</x:v>
      </x:c>
      <x:c r="L492" s="12" t="str">
        <x:v>Trade, consumer &amp; logistics</x:v>
      </x:c>
      <x:c r="M492" s="12" t="str">
        <x:v>Small-scale prospects</x:v>
      </x:c>
      <x:c r="N492" s="12" t="str">
        <x:v>PARTNER-M078</x:v>
      </x:c>
      <x:c r="O492" s="13"/>
      <x:c r="P492" s="13"/>
      <x:c r="Q492" s="2" t="str"/>
      <x:c r="R492" s="2" t="str">
        <x:v>TEN-0BA55CDDBBF9; TEN-8EA2D17361FE</x:v>
      </x:c>
      <x:c r="S492" s="12" t="str">
        <x:v>Mixed commercial workplace</x:v>
      </x:c>
      <x:c r="T492" s="12" t="str">
        <x:v>Tenant business-type estimates and reviewed company-scale context.</x:v>
      </x:c>
    </x:row>
    <x:row r="493" ht="88" customHeight="1">
      <x:c r="A493" s="10" t="n">
        <x:v>1</x:v>
      </x:c>
      <x:c r="B493" s="2" t="str">
        <x:v>CORP-0500</x:v>
      </x:c>
      <x:c r="C493" s="2" t="str">
        <x:v>Bengaluru</x:v>
      </x:c>
      <x:c r="D493" s="2" t="str"/>
      <x:c r="E493" s="12" t="str">
        <x:v>Prestige Sterling Square</x:v>
      </x:c>
      <x:c r="F493" s="12" t="str">
        <x:v>Elevator Lobby Ground Floor</x:v>
      </x:c>
      <x:c r="G493" s="11" t="n">
        <x:v>1</x:v>
      </x:c>
      <x:c r="H493" s="2" t="str">
        <x:v>55 inch</x:v>
      </x:c>
      <x:c r="I493"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493" s="2" t="n">
        <x:v>18</x:v>
      </x:c>
      <x:c r="K493" s="12" t="str">
        <x:v>Campus/portfolio roster; individual building occupancy unverified</x:v>
      </x:c>
      <x:c r="L493" s="12" t="str">
        <x:v>IT &amp; digital; Professional services; Finance &amp; insurance; Healthcare &amp; life sciences; Trade, consumer &amp; logistics; Workspace &amp; property operations</x:v>
      </x:c>
      <x:c r="M493" s="12" t="str">
        <x:v>Small-scale prospects; Large enterprise; Mixed business audience</x:v>
      </x:c>
      <x:c r="N493" s="12" t="str">
        <x:v>PARTNER-M082</x:v>
      </x:c>
      <x:c r="O493" s="13"/>
      <x:c r="P493" s="13"/>
      <x:c r="Q493" s="2" t="str"/>
      <x:c r="R493"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493" s="12" t="str">
        <x:v>Mixed commercial workplace</x:v>
      </x:c>
      <x:c r="T493" s="12" t="str">
        <x:v>Tenant business-type estimates and reviewed company-scale context.</x:v>
      </x:c>
    </x:row>
    <x:row r="494" ht="88" customHeight="1">
      <x:c r="A494" s="10" t="n">
        <x:v>1</x:v>
      </x:c>
      <x:c r="B494" s="2" t="str">
        <x:v>CORP-0501</x:v>
      </x:c>
      <x:c r="C494" s="2" t="str">
        <x:v>Bengaluru</x:v>
      </x:c>
      <x:c r="D494" s="2" t="str"/>
      <x:c r="E494" s="12" t="str">
        <x:v>Prestige Sterling Square</x:v>
      </x:c>
      <x:c r="F494" s="12" t="str">
        <x:v>Elevator lobby basement 1</x:v>
      </x:c>
      <x:c r="G494" s="11" t="n">
        <x:v>1</x:v>
      </x:c>
      <x:c r="H494" s="2" t="str">
        <x:v>55 inch</x:v>
      </x:c>
      <x:c r="I494"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494" s="2" t="n">
        <x:v>18</x:v>
      </x:c>
      <x:c r="K494" s="12" t="str">
        <x:v>Campus/portfolio roster; individual building occupancy unverified</x:v>
      </x:c>
      <x:c r="L494" s="12" t="str">
        <x:v>IT &amp; digital; Professional services; Finance &amp; insurance; Healthcare &amp; life sciences; Trade, consumer &amp; logistics; Workspace &amp; property operations</x:v>
      </x:c>
      <x:c r="M494" s="12" t="str">
        <x:v>Small-scale prospects; Large enterprise; Mixed business audience</x:v>
      </x:c>
      <x:c r="N494" s="12" t="str">
        <x:v>PARTNER-M082</x:v>
      </x:c>
      <x:c r="O494" s="13"/>
      <x:c r="P494" s="13"/>
      <x:c r="Q494" s="2" t="str"/>
      <x:c r="R494"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494" s="12" t="str">
        <x:v>Mixed commercial workplace</x:v>
      </x:c>
      <x:c r="T494" s="12" t="str">
        <x:v>Tenant business-type estimates and reviewed company-scale context.</x:v>
      </x:c>
    </x:row>
    <x:row r="495" ht="88" customHeight="1">
      <x:c r="A495" s="10" t="n">
        <x:v>1</x:v>
      </x:c>
      <x:c r="B495" s="2" t="str">
        <x:v>CORP-0502</x:v>
      </x:c>
      <x:c r="C495" s="2" t="str">
        <x:v>Bengaluru</x:v>
      </x:c>
      <x:c r="D495" s="2" t="str"/>
      <x:c r="E495" s="12" t="str">
        <x:v>Prestige Sterling Square</x:v>
      </x:c>
      <x:c r="F495" s="12" t="str">
        <x:v>Elevator lobby basement 2</x:v>
      </x:c>
      <x:c r="G495" s="11" t="n">
        <x:v>1</x:v>
      </x:c>
      <x:c r="H495" s="2" t="str">
        <x:v>55 inch</x:v>
      </x:c>
      <x:c r="I495"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495" s="2" t="n">
        <x:v>18</x:v>
      </x:c>
      <x:c r="K495" s="12" t="str">
        <x:v>Campus/portfolio roster; individual building occupancy unverified</x:v>
      </x:c>
      <x:c r="L495" s="12" t="str">
        <x:v>IT &amp; digital; Professional services; Finance &amp; insurance; Healthcare &amp; life sciences; Trade, consumer &amp; logistics; Workspace &amp; property operations</x:v>
      </x:c>
      <x:c r="M495" s="12" t="str">
        <x:v>Small-scale prospects; Large enterprise; Mixed business audience</x:v>
      </x:c>
      <x:c r="N495" s="12" t="str">
        <x:v>PARTNER-M082</x:v>
      </x:c>
      <x:c r="O495" s="13"/>
      <x:c r="P495" s="13"/>
      <x:c r="Q495" s="2" t="str"/>
      <x:c r="R495"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495" s="12" t="str">
        <x:v>Mixed commercial workplace</x:v>
      </x:c>
      <x:c r="T495" s="12" t="str">
        <x:v>Tenant business-type estimates and reviewed company-scale context.</x:v>
      </x:c>
    </x:row>
    <x:row r="496" ht="88" customHeight="1">
      <x:c r="A496" s="10" t="n">
        <x:v>1</x:v>
      </x:c>
      <x:c r="B496" s="2" t="str">
        <x:v>CORP-0503</x:v>
      </x:c>
      <x:c r="C496" s="2" t="str">
        <x:v>Bengaluru</x:v>
      </x:c>
      <x:c r="D496" s="2" t="str"/>
      <x:c r="E496" s="12" t="str">
        <x:v>Prestige Solitaire</x:v>
      </x:c>
      <x:c r="F496" s="12" t="str">
        <x:v>Reception Lobby</x:v>
      </x:c>
      <x:c r="G496" s="11" t="n">
        <x:v>1</x:v>
      </x:c>
      <x:c r="H496" s="2" t="str">
        <x:v>55 inch</x:v>
      </x:c>
      <x:c r="I496"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496" s="2" t="n">
        <x:v>18</x:v>
      </x:c>
      <x:c r="K496" s="12" t="str">
        <x:v>Campus/portfolio roster; individual building occupancy unverified</x:v>
      </x:c>
      <x:c r="L496" s="12" t="str">
        <x:v>IT &amp; digital; Professional services; Finance &amp; insurance; Healthcare &amp; life sciences; Trade, consumer &amp; logistics; Workspace &amp; property operations</x:v>
      </x:c>
      <x:c r="M496" s="12" t="str">
        <x:v>Small-scale prospects; Large enterprise; Mixed business audience</x:v>
      </x:c>
      <x:c r="N496" s="12" t="str">
        <x:v>PARTNER-M082</x:v>
      </x:c>
      <x:c r="O496" s="13"/>
      <x:c r="P496" s="13"/>
      <x:c r="Q496" s="2" t="str"/>
      <x:c r="R496"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496" s="12" t="str">
        <x:v>Mixed commercial workplace</x:v>
      </x:c>
      <x:c r="T496" s="12" t="str">
        <x:v>Tenant business-type estimates and reviewed company-scale context.</x:v>
      </x:c>
    </x:row>
    <x:row r="497" ht="88" customHeight="1">
      <x:c r="A497" s="10" t="n">
        <x:v>1</x:v>
      </x:c>
      <x:c r="B497" s="2" t="str">
        <x:v>CORP-0504</x:v>
      </x:c>
      <x:c r="C497" s="2" t="str">
        <x:v>Bengaluru</x:v>
      </x:c>
      <x:c r="D497" s="2" t="str"/>
      <x:c r="E497" s="12" t="str">
        <x:v>Prestige Sigma</x:v>
      </x:c>
      <x:c r="F497" s="12" t="str">
        <x:v>Reception Lobby</x:v>
      </x:c>
      <x:c r="G497" s="11" t="n">
        <x:v>1</x:v>
      </x:c>
      <x:c r="H497" s="2" t="str">
        <x:v>55 inch</x:v>
      </x:c>
      <x:c r="I497"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497" s="2" t="n">
        <x:v>18</x:v>
      </x:c>
      <x:c r="K497" s="12" t="str">
        <x:v>Campus/portfolio roster; individual building occupancy unverified</x:v>
      </x:c>
      <x:c r="L497" s="12" t="str">
        <x:v>IT &amp; digital; Professional services; Finance &amp; insurance; Healthcare &amp; life sciences; Trade, consumer &amp; logistics; Workspace &amp; property operations</x:v>
      </x:c>
      <x:c r="M497" s="12" t="str">
        <x:v>Small-scale prospects; Large enterprise; Mixed business audience</x:v>
      </x:c>
      <x:c r="N497" s="12" t="str">
        <x:v>PARTNER-M082</x:v>
      </x:c>
      <x:c r="O497" s="13"/>
      <x:c r="P497" s="13"/>
      <x:c r="Q497" s="2" t="str"/>
      <x:c r="R497"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497" s="12" t="str">
        <x:v>Mixed commercial workplace</x:v>
      </x:c>
      <x:c r="T497" s="12" t="str">
        <x:v>Tenant business-type estimates and reviewed company-scale context.</x:v>
      </x:c>
    </x:row>
    <x:row r="498" ht="88" customHeight="1">
      <x:c r="A498" s="10" t="n">
        <x:v>1</x:v>
      </x:c>
      <x:c r="B498" s="2" t="str">
        <x:v>CORP-0505</x:v>
      </x:c>
      <x:c r="C498" s="2" t="str">
        <x:v>Bengaluru</x:v>
      </x:c>
      <x:c r="D498" s="2" t="str"/>
      <x:c r="E498" s="12" t="str">
        <x:v>Prestige Loka</x:v>
      </x:c>
      <x:c r="F498" s="12" t="str">
        <x:v>Reception Lobby</x:v>
      </x:c>
      <x:c r="G498" s="11" t="n">
        <x:v>1</x:v>
      </x:c>
      <x:c r="H498" s="2" t="str">
        <x:v>55 inch</x:v>
      </x:c>
      <x:c r="I498"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498" s="2" t="n">
        <x:v>18</x:v>
      </x:c>
      <x:c r="K498" s="12" t="str">
        <x:v>Campus/portfolio roster; individual building occupancy unverified</x:v>
      </x:c>
      <x:c r="L498" s="12" t="str">
        <x:v>IT &amp; digital; Professional services; Finance &amp; insurance; Healthcare &amp; life sciences; Trade, consumer &amp; logistics; Workspace &amp; property operations</x:v>
      </x:c>
      <x:c r="M498" s="12" t="str">
        <x:v>Small-scale prospects; Large enterprise; Mixed business audience</x:v>
      </x:c>
      <x:c r="N498" s="12" t="str">
        <x:v>PARTNER-M082</x:v>
      </x:c>
      <x:c r="O498" s="13"/>
      <x:c r="P498" s="13"/>
      <x:c r="Q498" s="2" t="str"/>
      <x:c r="R498"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498" s="12" t="str">
        <x:v>Mixed commercial workplace</x:v>
      </x:c>
      <x:c r="T498" s="12" t="str">
        <x:v>Tenant business-type estimates and reviewed company-scale context.</x:v>
      </x:c>
    </x:row>
    <x:row r="499" ht="88" customHeight="1">
      <x:c r="A499" s="10" t="n">
        <x:v>1</x:v>
      </x:c>
      <x:c r="B499" s="2" t="str">
        <x:v>CORP-0506</x:v>
      </x:c>
      <x:c r="C499" s="2" t="str">
        <x:v>Bengaluru</x:v>
      </x:c>
      <x:c r="D499" s="2" t="str"/>
      <x:c r="E499" s="12" t="str">
        <x:v>Prestige Emerald</x:v>
      </x:c>
      <x:c r="F499" s="12" t="str">
        <x:v>Elevator lobby 1</x:v>
      </x:c>
      <x:c r="G499" s="11" t="n">
        <x:v>1</x:v>
      </x:c>
      <x:c r="H499" s="2" t="str">
        <x:v>55 inch</x:v>
      </x:c>
      <x:c r="I499"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499" s="2" t="n">
        <x:v>18</x:v>
      </x:c>
      <x:c r="K499" s="12" t="str">
        <x:v>Campus/portfolio roster; individual building occupancy unverified</x:v>
      </x:c>
      <x:c r="L499" s="12" t="str">
        <x:v>IT &amp; digital; Professional services; Finance &amp; insurance; Healthcare &amp; life sciences; Trade, consumer &amp; logistics; Workspace &amp; property operations</x:v>
      </x:c>
      <x:c r="M499" s="12" t="str">
        <x:v>Small-scale prospects; Large enterprise; Mixed business audience</x:v>
      </x:c>
      <x:c r="N499" s="12" t="str">
        <x:v>PARTNER-M082</x:v>
      </x:c>
      <x:c r="O499" s="13"/>
      <x:c r="P499" s="13"/>
      <x:c r="Q499" s="2" t="str"/>
      <x:c r="R499"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499" s="12" t="str">
        <x:v>Mixed commercial workplace</x:v>
      </x:c>
      <x:c r="T499" s="12" t="str">
        <x:v>Tenant business-type estimates and reviewed company-scale context.</x:v>
      </x:c>
    </x:row>
    <x:row r="500" ht="88" customHeight="1">
      <x:c r="A500" s="10" t="n">
        <x:v>1</x:v>
      </x:c>
      <x:c r="B500" s="2" t="str">
        <x:v>CORP-0507</x:v>
      </x:c>
      <x:c r="C500" s="2" t="str">
        <x:v>Bengaluru</x:v>
      </x:c>
      <x:c r="D500" s="2" t="str"/>
      <x:c r="E500" s="12" t="str">
        <x:v>Prestige Emerald</x:v>
      </x:c>
      <x:c r="F500" s="12" t="str">
        <x:v>Elevator lobby 2</x:v>
      </x:c>
      <x:c r="G500" s="11" t="n">
        <x:v>1</x:v>
      </x:c>
      <x:c r="H500" s="2" t="str">
        <x:v>55 inch</x:v>
      </x:c>
      <x:c r="I500"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500" s="2" t="n">
        <x:v>18</x:v>
      </x:c>
      <x:c r="K500" s="12" t="str">
        <x:v>Campus/portfolio roster; individual building occupancy unverified</x:v>
      </x:c>
      <x:c r="L500" s="12" t="str">
        <x:v>IT &amp; digital; Professional services; Finance &amp; insurance; Healthcare &amp; life sciences; Trade, consumer &amp; logistics; Workspace &amp; property operations</x:v>
      </x:c>
      <x:c r="M500" s="12" t="str">
        <x:v>Small-scale prospects; Large enterprise; Mixed business audience</x:v>
      </x:c>
      <x:c r="N500" s="12" t="str">
        <x:v>PARTNER-M082</x:v>
      </x:c>
      <x:c r="O500" s="13"/>
      <x:c r="P500" s="13"/>
      <x:c r="Q500" s="2" t="str"/>
      <x:c r="R500"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500" s="12" t="str">
        <x:v>Mixed commercial workplace</x:v>
      </x:c>
      <x:c r="T500" s="12" t="str">
        <x:v>Tenant business-type estimates and reviewed company-scale context.</x:v>
      </x:c>
    </x:row>
    <x:row r="501" ht="88" customHeight="1">
      <x:c r="A501" s="10" t="n">
        <x:v>1</x:v>
      </x:c>
      <x:c r="B501" s="2" t="str">
        <x:v>CORP-0508</x:v>
      </x:c>
      <x:c r="C501" s="2" t="str">
        <x:v>Bengaluru</x:v>
      </x:c>
      <x:c r="D501" s="2" t="str"/>
      <x:c r="E501" s="12" t="str">
        <x:v>Prestige Emerald</x:v>
      </x:c>
      <x:c r="F501" s="12" t="str">
        <x:v>Elevator lobby basement 1</x:v>
      </x:c>
      <x:c r="G501" s="11" t="n">
        <x:v>1</x:v>
      </x:c>
      <x:c r="H501" s="2" t="str">
        <x:v>55 inch</x:v>
      </x:c>
      <x:c r="I501"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501" s="2" t="n">
        <x:v>18</x:v>
      </x:c>
      <x:c r="K501" s="12" t="str">
        <x:v>Campus/portfolio roster; individual building occupancy unverified</x:v>
      </x:c>
      <x:c r="L501" s="12" t="str">
        <x:v>IT &amp; digital; Professional services; Finance &amp; insurance; Healthcare &amp; life sciences; Trade, consumer &amp; logistics; Workspace &amp; property operations</x:v>
      </x:c>
      <x:c r="M501" s="12" t="str">
        <x:v>Small-scale prospects; Large enterprise; Mixed business audience</x:v>
      </x:c>
      <x:c r="N501" s="12" t="str">
        <x:v>PARTNER-M082</x:v>
      </x:c>
      <x:c r="O501" s="13"/>
      <x:c r="P501" s="13"/>
      <x:c r="Q501" s="2" t="str"/>
      <x:c r="R501"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501" s="12" t="str">
        <x:v>Mixed commercial workplace</x:v>
      </x:c>
      <x:c r="T501" s="12" t="str">
        <x:v>Tenant business-type estimates and reviewed company-scale context.</x:v>
      </x:c>
    </x:row>
    <x:row r="502" ht="88" customHeight="1">
      <x:c r="A502" s="10" t="n">
        <x:v>1</x:v>
      </x:c>
      <x:c r="B502" s="2" t="str">
        <x:v>CORP-0509</x:v>
      </x:c>
      <x:c r="C502" s="2" t="str">
        <x:v>Bengaluru</x:v>
      </x:c>
      <x:c r="D502" s="2" t="str"/>
      <x:c r="E502" s="12" t="str">
        <x:v>Prestige Emerald</x:v>
      </x:c>
      <x:c r="F502" s="12" t="str">
        <x:v>Elevator lobby basement 2</x:v>
      </x:c>
      <x:c r="G502" s="11" t="n">
        <x:v>1</x:v>
      </x:c>
      <x:c r="H502" s="2" t="str">
        <x:v>55 inch</x:v>
      </x:c>
      <x:c r="I502"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502" s="2" t="n">
        <x:v>18</x:v>
      </x:c>
      <x:c r="K502" s="12" t="str">
        <x:v>Campus/portfolio roster; individual building occupancy unverified</x:v>
      </x:c>
      <x:c r="L502" s="12" t="str">
        <x:v>IT &amp; digital; Professional services; Finance &amp; insurance; Healthcare &amp; life sciences; Trade, consumer &amp; logistics; Workspace &amp; property operations</x:v>
      </x:c>
      <x:c r="M502" s="12" t="str">
        <x:v>Small-scale prospects; Large enterprise; Mixed business audience</x:v>
      </x:c>
      <x:c r="N502" s="12" t="str">
        <x:v>PARTNER-M082</x:v>
      </x:c>
      <x:c r="O502" s="13"/>
      <x:c r="P502" s="13"/>
      <x:c r="Q502" s="2" t="str"/>
      <x:c r="R502"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502" s="12" t="str">
        <x:v>Mixed commercial workplace</x:v>
      </x:c>
      <x:c r="T502" s="12" t="str">
        <x:v>Tenant business-type estimates and reviewed company-scale context.</x:v>
      </x:c>
    </x:row>
    <x:row r="503" ht="88" customHeight="1">
      <x:c r="A503" s="10" t="n">
        <x:v>1</x:v>
      </x:c>
      <x:c r="B503" s="2" t="str">
        <x:v>CORP-0510</x:v>
      </x:c>
      <x:c r="C503" s="2" t="str">
        <x:v>Bengaluru</x:v>
      </x:c>
      <x:c r="D503" s="2" t="str"/>
      <x:c r="E503" s="12" t="str">
        <x:v>Prestige Towers</x:v>
      </x:c>
      <x:c r="F503" s="12" t="str">
        <x:v>Reception Lobby</x:v>
      </x:c>
      <x:c r="G503" s="11" t="n">
        <x:v>1</x:v>
      </x:c>
      <x:c r="H503" s="2" t="str">
        <x:v>55 inch</x:v>
      </x:c>
      <x:c r="I503" s="12" t="str">
        <x:v>Icon Clinical Research; IndiQube Innovent Spaces Pvt. Ltd; NTT DATA FA Insurance Systems; Godrej Properties; Allergan India; Frost and Sullivan India Pvt. Ltd; iPass India; Infinera India; Saama Capital India Advisors LLP; Mpowered Health Infotech; IPpro Services India LLP; an Awfis coworking space; TRUGlobal Software India; Nishith Desai Associates; Barracuda Networks; Marlabs Software; SVB India Advisors Ltd; Indeed.co.in</x:v>
      </x:c>
      <x:c r="J503" s="2" t="n">
        <x:v>18</x:v>
      </x:c>
      <x:c r="K503" s="12" t="str">
        <x:v>Campus/portfolio roster; individual building occupancy unverified</x:v>
      </x:c>
      <x:c r="L503" s="12" t="str">
        <x:v>IT &amp; digital; Professional services; Finance &amp; insurance; Healthcare &amp; life sciences; Trade, consumer &amp; logistics; Workspace &amp; property operations</x:v>
      </x:c>
      <x:c r="M503" s="12" t="str">
        <x:v>Small-scale prospects; Large enterprise; Mixed business audience</x:v>
      </x:c>
      <x:c r="N503" s="12" t="str">
        <x:v>PARTNER-M082</x:v>
      </x:c>
      <x:c r="O503" s="13"/>
      <x:c r="P503" s="13"/>
      <x:c r="Q503" s="2" t="str"/>
      <x:c r="R503" s="2" t="str">
        <x:v>TEN-08E64C0D11C6; TEN-15EFD5F168D9; TEN-2B4B9D0C8F84; TEN-4F6598371E30; TEN-58FBF46B6AEC; TEN-661026F81014; TEN-67064F8C6165; TEN-6F67A144F472; TEN-76F6B4C9D608; TEN-805ACF45AED6; TEN-A186C4689964; TEN-A1964DB0508A; TEN-A4AC77C95ACC; TEN-AD63796AF1FB; TEN-C4BDE5AF5978; TEN-CC5491F71AF2; TEN-D5193353E49E; TEN-DEE80628077C</x:v>
      </x:c>
      <x:c r="S503" s="12" t="str">
        <x:v>Mixed commercial workplace</x:v>
      </x:c>
      <x:c r="T503" s="12" t="str">
        <x:v>Tenant business-type estimates and reviewed company-scale context.</x:v>
      </x:c>
    </x:row>
    <x:row r="504" ht="64" customHeight="1">
      <x:c r="A504" s="10" t="n">
        <x:v>1</x:v>
      </x:c>
      <x:c r="B504" s="2" t="str">
        <x:v>CORP-0511</x:v>
      </x:c>
      <x:c r="C504" s="2" t="str">
        <x:v>Bengaluru</x:v>
      </x:c>
      <x:c r="D504" s="2" t="str"/>
      <x:c r="E504" s="12" t="str">
        <x:v>Prestige Summit</x:v>
      </x:c>
      <x:c r="F504" s="12" t="str">
        <x:v>Reception Lobby</x:v>
      </x:c>
      <x:c r="G504" s="11" t="n">
        <x:v>1</x:v>
      </x:c>
      <x:c r="H504" s="2" t="str">
        <x:v>55 inch</x:v>
      </x:c>
      <x:c r="I504" s="12" t="str">
        <x:v>Cambridge University Press &amp; Assessment; Shardul Amarchand Mangaldas &amp; Company; Clicktech Retail; Bliss Chocolates (Smoor); BMC Software; Elevar Venture Partners; Nexus Business Solutions</x:v>
      </x:c>
      <x:c r="J504" s="2" t="n">
        <x:v>7</x:v>
      </x:c>
      <x:c r="K504" s="12" t="str">
        <x:v>Campus/portfolio roster; individual building occupancy unverified</x:v>
      </x:c>
      <x:c r="L504" s="12" t="str">
        <x:v>IT &amp; digital; Professional services; Finance &amp; insurance; Education; Trade, consumer &amp; logistics; Unresolved</x:v>
      </x:c>
      <x:c r="M504" s="12" t="str">
        <x:v>Small-scale prospects; Medium-scale prospects; Institutional; Mixed business audience</x:v>
      </x:c>
      <x:c r="N504" s="12" t="str">
        <x:v>PARTNER-M093</x:v>
      </x:c>
      <x:c r="O504" s="13"/>
      <x:c r="P504" s="13"/>
      <x:c r="Q504" s="2" t="str"/>
      <x:c r="R504" s="2" t="str">
        <x:v>TEN-1FAA12305EE7; TEN-20A53682F801; TEN-655B077590B2; TEN-74F3676D4320; TEN-B9BB35EF1CC5; TEN-D8116CD7573C; TEN-FF3CC4256021</x:v>
      </x:c>
      <x:c r="S504" s="12" t="str">
        <x:v>Mixed commercial workplace</x:v>
      </x:c>
      <x:c r="T504" s="12" t="str">
        <x:v>Tenant business-type estimates and reviewed company-scale context.</x:v>
      </x:c>
    </x:row>
    <x:row r="505" ht="64" customHeight="1">
      <x:c r="A505" s="10" t="n">
        <x:v>1</x:v>
      </x:c>
      <x:c r="B505" s="2" t="str">
        <x:v>CORP-0512</x:v>
      </x:c>
      <x:c r="C505" s="2" t="str">
        <x:v>Bengaluru</x:v>
      </x:c>
      <x:c r="D505" s="2" t="str"/>
      <x:c r="E505" s="12" t="str">
        <x:v>Prestige Summit</x:v>
      </x:c>
      <x:c r="F505" s="12" t="str">
        <x:v>Elevator Lobby Ground Floor</x:v>
      </x:c>
      <x:c r="G505" s="11" t="n">
        <x:v>1</x:v>
      </x:c>
      <x:c r="H505" s="2" t="str">
        <x:v>55 inch</x:v>
      </x:c>
      <x:c r="I505" s="12" t="str">
        <x:v>Cambridge University Press &amp; Assessment; Shardul Amarchand Mangaldas &amp; Company; Clicktech Retail; Bliss Chocolates (Smoor); BMC Software; Elevar Venture Partners; Nexus Business Solutions</x:v>
      </x:c>
      <x:c r="J505" s="2" t="n">
        <x:v>7</x:v>
      </x:c>
      <x:c r="K505" s="12" t="str">
        <x:v>Campus/portfolio roster; individual building occupancy unverified</x:v>
      </x:c>
      <x:c r="L505" s="12" t="str">
        <x:v>IT &amp; digital; Professional services; Finance &amp; insurance; Education; Trade, consumer &amp; logistics; Unresolved</x:v>
      </x:c>
      <x:c r="M505" s="12" t="str">
        <x:v>Small-scale prospects; Medium-scale prospects; Institutional; Mixed business audience</x:v>
      </x:c>
      <x:c r="N505" s="12" t="str">
        <x:v>PARTNER-M093</x:v>
      </x:c>
      <x:c r="O505" s="13"/>
      <x:c r="P505" s="13"/>
      <x:c r="Q505" s="2" t="str"/>
      <x:c r="R505" s="2" t="str">
        <x:v>TEN-1FAA12305EE7; TEN-20A53682F801; TEN-655B077590B2; TEN-74F3676D4320; TEN-B9BB35EF1CC5; TEN-D8116CD7573C; TEN-FF3CC4256021</x:v>
      </x:c>
      <x:c r="S505" s="12" t="str">
        <x:v>Mixed commercial workplace</x:v>
      </x:c>
      <x:c r="T505" s="12" t="str">
        <x:v>Tenant business-type estimates and reviewed company-scale context.</x:v>
      </x:c>
    </x:row>
    <x:row r="506" ht="64" customHeight="1">
      <x:c r="A506" s="10" t="n">
        <x:v>1</x:v>
      </x:c>
      <x:c r="B506" s="2" t="str">
        <x:v>CORP-0513</x:v>
      </x:c>
      <x:c r="C506" s="2" t="str">
        <x:v>Bengaluru</x:v>
      </x:c>
      <x:c r="D506" s="2" t="str"/>
      <x:c r="E506" s="12" t="str">
        <x:v>Prestige Summit</x:v>
      </x:c>
      <x:c r="F506" s="12" t="str">
        <x:v>Elevator lobby basement 1</x:v>
      </x:c>
      <x:c r="G506" s="11" t="n">
        <x:v>1</x:v>
      </x:c>
      <x:c r="H506" s="2" t="str">
        <x:v>55 inch</x:v>
      </x:c>
      <x:c r="I506" s="12" t="str">
        <x:v>Cambridge University Press &amp; Assessment; Shardul Amarchand Mangaldas &amp; Company; Clicktech Retail; Bliss Chocolates (Smoor); BMC Software; Elevar Venture Partners; Nexus Business Solutions</x:v>
      </x:c>
      <x:c r="J506" s="2" t="n">
        <x:v>7</x:v>
      </x:c>
      <x:c r="K506" s="12" t="str">
        <x:v>Campus/portfolio roster; individual building occupancy unverified</x:v>
      </x:c>
      <x:c r="L506" s="12" t="str">
        <x:v>IT &amp; digital; Professional services; Finance &amp; insurance; Education; Trade, consumer &amp; logistics; Unresolved</x:v>
      </x:c>
      <x:c r="M506" s="12" t="str">
        <x:v>Small-scale prospects; Medium-scale prospects; Institutional; Mixed business audience</x:v>
      </x:c>
      <x:c r="N506" s="12" t="str">
        <x:v>PARTNER-M093</x:v>
      </x:c>
      <x:c r="O506" s="13"/>
      <x:c r="P506" s="13"/>
      <x:c r="Q506" s="2" t="str"/>
      <x:c r="R506" s="2" t="str">
        <x:v>TEN-1FAA12305EE7; TEN-20A53682F801; TEN-655B077590B2; TEN-74F3676D4320; TEN-B9BB35EF1CC5; TEN-D8116CD7573C; TEN-FF3CC4256021</x:v>
      </x:c>
      <x:c r="S506" s="12" t="str">
        <x:v>Mixed commercial workplace</x:v>
      </x:c>
      <x:c r="T506" s="12" t="str">
        <x:v>Tenant business-type estimates and reviewed company-scale context.</x:v>
      </x:c>
    </x:row>
    <x:row r="507" ht="64" customHeight="1">
      <x:c r="A507" s="10" t="n">
        <x:v>1</x:v>
      </x:c>
      <x:c r="B507" s="2" t="str">
        <x:v>CORP-0514</x:v>
      </x:c>
      <x:c r="C507" s="2" t="str">
        <x:v>Bengaluru</x:v>
      </x:c>
      <x:c r="D507" s="2" t="str"/>
      <x:c r="E507" s="12" t="str">
        <x:v>Prestige Summit</x:v>
      </x:c>
      <x:c r="F507" s="12" t="str">
        <x:v>Elevator lobby basement 2</x:v>
      </x:c>
      <x:c r="G507" s="11" t="n">
        <x:v>1</x:v>
      </x:c>
      <x:c r="H507" s="2" t="str">
        <x:v>55 inch</x:v>
      </x:c>
      <x:c r="I507" s="12" t="str">
        <x:v>Cambridge University Press &amp; Assessment; Shardul Amarchand Mangaldas &amp; Company; Clicktech Retail; Bliss Chocolates (Smoor); BMC Software; Elevar Venture Partners; Nexus Business Solutions</x:v>
      </x:c>
      <x:c r="J507" s="2" t="n">
        <x:v>7</x:v>
      </x:c>
      <x:c r="K507" s="12" t="str">
        <x:v>Campus/portfolio roster; individual building occupancy unverified</x:v>
      </x:c>
      <x:c r="L507" s="12" t="str">
        <x:v>IT &amp; digital; Professional services; Finance &amp; insurance; Education; Trade, consumer &amp; logistics; Unresolved</x:v>
      </x:c>
      <x:c r="M507" s="12" t="str">
        <x:v>Small-scale prospects; Medium-scale prospects; Institutional; Mixed business audience</x:v>
      </x:c>
      <x:c r="N507" s="12" t="str">
        <x:v>PARTNER-M093</x:v>
      </x:c>
      <x:c r="O507" s="13"/>
      <x:c r="P507" s="13"/>
      <x:c r="Q507" s="2" t="str"/>
      <x:c r="R507" s="2" t="str">
        <x:v>TEN-1FAA12305EE7; TEN-20A53682F801; TEN-655B077590B2; TEN-74F3676D4320; TEN-B9BB35EF1CC5; TEN-D8116CD7573C; TEN-FF3CC4256021</x:v>
      </x:c>
      <x:c r="S507" s="12" t="str">
        <x:v>Mixed commercial workplace</x:v>
      </x:c>
      <x:c r="T507" s="12" t="str">
        <x:v>Tenant business-type estimates and reviewed company-scale context.</x:v>
      </x:c>
    </x:row>
    <x:row r="508" ht="64" customHeight="1">
      <x:c r="A508" s="10" t="n">
        <x:v>1</x:v>
      </x:c>
      <x:c r="B508" s="2" t="str">
        <x:v>CORP-0515</x:v>
      </x:c>
      <x:c r="C508" s="2" t="str">
        <x:v>Bengaluru</x:v>
      </x:c>
      <x:c r="D508" s="2" t="str"/>
      <x:c r="E508" s="12" t="str">
        <x:v>Prestige Blue Chip </x:v>
      </x:c>
      <x:c r="F508" s="12" t="str">
        <x:v>Block A - Reception</x:v>
      </x:c>
      <x:c r="G508" s="11" t="n">
        <x:v>1</x:v>
      </x:c>
      <x:c r="H508" s="2" t="str">
        <x:v>55 inch</x:v>
      </x:c>
      <x:c r="I508" s="12" t="str">
        <x:v>QuadGen Engineering Services; NTT DATA FA Insurance Systems; Synopsys; Mpowered Health Infotech; Forcepoint; Marlabs Software; Collabera Technologies</x:v>
      </x:c>
      <x:c r="J508" s="2" t="n">
        <x:v>7</x:v>
      </x:c>
      <x:c r="K508" s="12" t="str">
        <x:v>Campus/portfolio roster; individual building occupancy unverified</x:v>
      </x:c>
      <x:c r="L508" s="12" t="str">
        <x:v>IT &amp; digital; Professional services; Finance &amp; insurance; Engineering &amp; manufacturing; Healthcare &amp; life sciences</x:v>
      </x:c>
      <x:c r="M508" s="12" t="str">
        <x:v>Small-scale prospects; Medium-scale prospects; Large enterprise; Mixed business audience</x:v>
      </x:c>
      <x:c r="N508" s="12" t="str">
        <x:v>PARTNER-M097</x:v>
      </x:c>
      <x:c r="O508" s="13" t="n">
        <x:v>12.93739</x:v>
      </x:c>
      <x:c r="P508" s="13" t="n">
        <x:v>77.60545</x:v>
      </x:c>
      <x:c r="Q508" s="2" t="str">
        <x:v>https://www.google.com/maps?q=12.93739,77.60545</x:v>
      </x:c>
      <x:c r="R508" s="2" t="str">
        <x:v>TEN-2120BB66819E; TEN-2B4B9D0C8F84; TEN-2E92046B6F07; TEN-805ACF45AED6; TEN-B6783969BC07; TEN-CC5491F71AF2; TEN-E2C9313C145A</x:v>
      </x:c>
      <x:c r="S508" s="12" t="str">
        <x:v>Mixed commercial workplace</x:v>
      </x:c>
      <x:c r="T508" s="12" t="str">
        <x:v>Tenant business-type estimates and reviewed company-scale context.</x:v>
      </x:c>
    </x:row>
    <x:row r="509" ht="64" customHeight="1">
      <x:c r="A509" s="10" t="n">
        <x:v>1</x:v>
      </x:c>
      <x:c r="B509" s="2" t="str">
        <x:v>CORP-0516</x:v>
      </x:c>
      <x:c r="C509" s="2" t="str">
        <x:v>Bengaluru</x:v>
      </x:c>
      <x:c r="D509" s="2" t="str"/>
      <x:c r="E509" s="12" t="str">
        <x:v>Prestige Blue Chip </x:v>
      </x:c>
      <x:c r="F509" s="12" t="str">
        <x:v>Block B - Reception</x:v>
      </x:c>
      <x:c r="G509" s="11" t="n">
        <x:v>1</x:v>
      </x:c>
      <x:c r="H509" s="2" t="str">
        <x:v>55 inch</x:v>
      </x:c>
      <x:c r="I509" s="12" t="str">
        <x:v>QuadGen Engineering Services; NTT DATA FA Insurance Systems; Synopsys; Mpowered Health Infotech; Forcepoint; Marlabs Software; Collabera Technologies</x:v>
      </x:c>
      <x:c r="J509" s="2" t="n">
        <x:v>7</x:v>
      </x:c>
      <x:c r="K509" s="12" t="str">
        <x:v>Campus/portfolio roster; individual building occupancy unverified</x:v>
      </x:c>
      <x:c r="L509" s="12" t="str">
        <x:v>IT &amp; digital; Professional services; Finance &amp; insurance; Engineering &amp; manufacturing; Healthcare &amp; life sciences</x:v>
      </x:c>
      <x:c r="M509" s="12" t="str">
        <x:v>Small-scale prospects; Medium-scale prospects; Large enterprise; Mixed business audience</x:v>
      </x:c>
      <x:c r="N509" s="12" t="str">
        <x:v>PARTNER-M097</x:v>
      </x:c>
      <x:c r="O509" s="13" t="n">
        <x:v>12.93739</x:v>
      </x:c>
      <x:c r="P509" s="13" t="n">
        <x:v>77.60545</x:v>
      </x:c>
      <x:c r="Q509" s="2" t="str">
        <x:v>https://www.google.com/maps?q=12.93739,77.60545</x:v>
      </x:c>
      <x:c r="R509" s="2" t="str">
        <x:v>TEN-2120BB66819E; TEN-2B4B9D0C8F84; TEN-2E92046B6F07; TEN-805ACF45AED6; TEN-B6783969BC07; TEN-CC5491F71AF2; TEN-E2C9313C145A</x:v>
      </x:c>
      <x:c r="S509" s="12" t="str">
        <x:v>Mixed commercial workplace</x:v>
      </x:c>
      <x:c r="T509" s="12" t="str">
        <x:v>Tenant business-type estimates and reviewed company-scale context.</x:v>
      </x:c>
    </x:row>
    <x:row r="510" ht="64" customHeight="1">
      <x:c r="A510" s="10" t="n">
        <x:v>1</x:v>
      </x:c>
      <x:c r="B510" s="2" t="str">
        <x:v>CORP-0517</x:v>
      </x:c>
      <x:c r="C510" s="2" t="str">
        <x:v>Bengaluru</x:v>
      </x:c>
      <x:c r="D510" s="2" t="str"/>
      <x:c r="E510" s="12" t="str">
        <x:v>Prestige Blue Chip </x:v>
      </x:c>
      <x:c r="F510" s="12" t="str">
        <x:v>Block C - Reception</x:v>
      </x:c>
      <x:c r="G510" s="11" t="n">
        <x:v>1</x:v>
      </x:c>
      <x:c r="H510" s="2" t="str">
        <x:v>55 inch</x:v>
      </x:c>
      <x:c r="I510" s="12" t="str">
        <x:v>QuadGen Engineering Services; NTT DATA FA Insurance Systems; Synopsys; Mpowered Health Infotech; Forcepoint; Marlabs Software; Collabera Technologies</x:v>
      </x:c>
      <x:c r="J510" s="2" t="n">
        <x:v>7</x:v>
      </x:c>
      <x:c r="K510" s="12" t="str">
        <x:v>Campus/portfolio roster; individual building occupancy unverified</x:v>
      </x:c>
      <x:c r="L510" s="12" t="str">
        <x:v>IT &amp; digital; Professional services; Finance &amp; insurance; Engineering &amp; manufacturing; Healthcare &amp; life sciences</x:v>
      </x:c>
      <x:c r="M510" s="12" t="str">
        <x:v>Small-scale prospects; Medium-scale prospects; Large enterprise; Mixed business audience</x:v>
      </x:c>
      <x:c r="N510" s="12" t="str">
        <x:v>PARTNER-M097</x:v>
      </x:c>
      <x:c r="O510" s="13" t="n">
        <x:v>12.93739</x:v>
      </x:c>
      <x:c r="P510" s="13" t="n">
        <x:v>77.60545</x:v>
      </x:c>
      <x:c r="Q510" s="2" t="str">
        <x:v>https://www.google.com/maps?q=12.93739,77.60545</x:v>
      </x:c>
      <x:c r="R510" s="2" t="str">
        <x:v>TEN-2120BB66819E; TEN-2B4B9D0C8F84; TEN-2E92046B6F07; TEN-805ACF45AED6; TEN-B6783969BC07; TEN-CC5491F71AF2; TEN-E2C9313C145A</x:v>
      </x:c>
      <x:c r="S510" s="12" t="str">
        <x:v>Mixed commercial workplace</x:v>
      </x:c>
      <x:c r="T510" s="12" t="str">
        <x:v>Tenant business-type estimates and reviewed company-scale context.</x:v>
      </x:c>
    </x:row>
    <x:row r="511" ht="75" customHeight="1">
      <x:c r="A511" s="10" t="n">
        <x:v>1</x:v>
      </x:c>
      <x:c r="B511" s="2" t="str">
        <x:v>CORP-0518</x:v>
      </x:c>
      <x:c r="C511" s="2" t="str">
        <x:v>Bengaluru</x:v>
      </x:c>
      <x:c r="D511" s="2" t="str"/>
      <x:c r="E511" s="12" t="str">
        <x:v>Prestige Obelisk</x:v>
      </x:c>
      <x:c r="F511" s="12" t="str">
        <x:v>Reception Lobby</x:v>
      </x:c>
      <x:c r="G511" s="11" t="n">
        <x:v>1</x:v>
      </x:c>
      <x:c r="H511" s="2" t="str">
        <x:v>55 inch</x:v>
      </x:c>
      <x:c r="I511" s="12" t="str">
        <x:v>IndusViva HealthSciences Pvt. Ltd; Urban Vault; Yes Bank; Borqs Software Solutions; Yamazaki Mazak India Pvt. Ltd; German Consulate General; Thermo Fisher Scientific India; The Cash Pharmacy; Dr. Shetty's Aesthetic; Coface India; Cigna TTK Health Insurance Company Ltd; Flicker projects Pvt. Ltd; JK Cement Ltd; Eaton Technologies Pvt. Ltd; Lake Chemicals Pvt. Ltd; JSA Advocates and Solicitors</x:v>
      </x:c>
      <x:c r="J511" s="2" t="n">
        <x:v>16</x:v>
      </x:c>
      <x:c r="K511" s="12" t="str">
        <x:v>Campus/portfolio roster; individual building occupancy unverified</x:v>
      </x:c>
      <x:c r="L511" s="12" t="str">
        <x:v>IT &amp; digital; Professional services; Finance &amp; insurance; Engineering &amp; manufacturing; Healthcare &amp; life sciences; Workspace &amp; property operations; Government &amp; nonprofit; Unresolved</x:v>
      </x:c>
      <x:c r="M511" s="12" t="str">
        <x:v>Small-scale prospects; Medium-scale prospects; Large enterprise; Institutional; Mixed business audience</x:v>
      </x:c>
      <x:c r="N511" s="12" t="str">
        <x:v>PARTNER-M100</x:v>
      </x:c>
      <x:c r="O511" s="13" t="n">
        <x:v>12.972103118896484</x:v>
      </x:c>
      <x:c r="P511" s="13" t="n">
        <x:v>77.59368133544922</x:v>
      </x:c>
      <x:c r="Q511" s="2" t="str">
        <x:v>https://www.google.com/maps?q=12.972103118896484,77.59368133544922</x:v>
      </x:c>
      <x:c r="R511" s="2" t="str">
        <x:v>TEN-05C3EA2B409C; TEN-13258F6CB706; TEN-1C593F87A18C; TEN-2E1A93A8B010; TEN-47445949BEEF; TEN-6CF5FB813A56; TEN-7D7278F45745; TEN-8A72227343A9; TEN-8EDB9C45B20E; TEN-907D11AE3179; TEN-A04E8DBF862F; TEN-A7F7AF8EB3A5; TEN-AABF376657C0; TEN-B3FD6E87E781; TEN-D6FCC16B02C8; TEN-E9968F77222F</x:v>
      </x:c>
      <x:c r="S511" s="12" t="str">
        <x:v>Mixed commercial workplace</x:v>
      </x:c>
      <x:c r="T511" s="12" t="str">
        <x:v>Tenant business-type estimates and reviewed company-scale context.</x:v>
      </x:c>
    </x:row>
    <x:row r="512" ht="75" customHeight="1">
      <x:c r="A512" s="10" t="n">
        <x:v>1</x:v>
      </x:c>
      <x:c r="B512" s="2" t="str">
        <x:v>CORP-0519</x:v>
      </x:c>
      <x:c r="C512" s="2" t="str">
        <x:v>Bengaluru</x:v>
      </x:c>
      <x:c r="D512" s="2" t="str"/>
      <x:c r="E512" s="12" t="str">
        <x:v>Prestige Obelisk</x:v>
      </x:c>
      <x:c r="F512" s="12" t="str">
        <x:v>Elevator lobby basement 1</x:v>
      </x:c>
      <x:c r="G512" s="11" t="n">
        <x:v>1</x:v>
      </x:c>
      <x:c r="H512" s="2" t="str">
        <x:v>55 inch</x:v>
      </x:c>
      <x:c r="I512" s="12" t="str">
        <x:v>IndusViva HealthSciences Pvt. Ltd; Urban Vault; Yes Bank; Borqs Software Solutions; Yamazaki Mazak India Pvt. Ltd; German Consulate General; Thermo Fisher Scientific India; The Cash Pharmacy; Dr. Shetty's Aesthetic; Coface India; Cigna TTK Health Insurance Company Ltd; Flicker projects Pvt. Ltd; JK Cement Ltd; Eaton Technologies Pvt. Ltd; Lake Chemicals Pvt. Ltd; JSA Advocates and Solicitors</x:v>
      </x:c>
      <x:c r="J512" s="2" t="n">
        <x:v>16</x:v>
      </x:c>
      <x:c r="K512" s="12" t="str">
        <x:v>Campus/portfolio roster; individual building occupancy unverified</x:v>
      </x:c>
      <x:c r="L512" s="12" t="str">
        <x:v>IT &amp; digital; Professional services; Finance &amp; insurance; Engineering &amp; manufacturing; Healthcare &amp; life sciences; Workspace &amp; property operations; Government &amp; nonprofit; Unresolved</x:v>
      </x:c>
      <x:c r="M512" s="12" t="str">
        <x:v>Small-scale prospects; Medium-scale prospects; Large enterprise; Institutional; Mixed business audience</x:v>
      </x:c>
      <x:c r="N512" s="12" t="str">
        <x:v>PARTNER-M100</x:v>
      </x:c>
      <x:c r="O512" s="13" t="n">
        <x:v>12.972103118896484</x:v>
      </x:c>
      <x:c r="P512" s="13" t="n">
        <x:v>77.59368133544922</x:v>
      </x:c>
      <x:c r="Q512" s="2" t="str">
        <x:v>https://www.google.com/maps?q=12.972103118896484,77.59368133544922</x:v>
      </x:c>
      <x:c r="R512" s="2" t="str">
        <x:v>TEN-05C3EA2B409C; TEN-13258F6CB706; TEN-1C593F87A18C; TEN-2E1A93A8B010; TEN-47445949BEEF; TEN-6CF5FB813A56; TEN-7D7278F45745; TEN-8A72227343A9; TEN-8EDB9C45B20E; TEN-907D11AE3179; TEN-A04E8DBF862F; TEN-A7F7AF8EB3A5; TEN-AABF376657C0; TEN-B3FD6E87E781; TEN-D6FCC16B02C8; TEN-E9968F77222F</x:v>
      </x:c>
      <x:c r="S512" s="12" t="str">
        <x:v>Mixed commercial workplace</x:v>
      </x:c>
      <x:c r="T512" s="12" t="str">
        <x:v>Tenant business-type estimates and reviewed company-scale context.</x:v>
      </x:c>
    </x:row>
    <x:row r="513" ht="75" customHeight="1">
      <x:c r="A513" s="10" t="n">
        <x:v>1</x:v>
      </x:c>
      <x:c r="B513" s="2" t="str">
        <x:v>CORP-0520</x:v>
      </x:c>
      <x:c r="C513" s="2" t="str">
        <x:v>Bengaluru</x:v>
      </x:c>
      <x:c r="D513" s="2" t="str"/>
      <x:c r="E513" s="12" t="str">
        <x:v>Prestige Obelisk</x:v>
      </x:c>
      <x:c r="F513" s="12" t="str">
        <x:v>Elevator lobby basement 2</x:v>
      </x:c>
      <x:c r="G513" s="11" t="n">
        <x:v>1</x:v>
      </x:c>
      <x:c r="H513" s="2" t="str">
        <x:v>55 inch</x:v>
      </x:c>
      <x:c r="I513" s="12" t="str">
        <x:v>IndusViva HealthSciences Pvt. Ltd; Urban Vault; Yes Bank; Borqs Software Solutions; Yamazaki Mazak India Pvt. Ltd; German Consulate General; Thermo Fisher Scientific India; The Cash Pharmacy; Dr. Shetty's Aesthetic; Coface India; Cigna TTK Health Insurance Company Ltd; Flicker projects Pvt. Ltd; JK Cement Ltd; Eaton Technologies Pvt. Ltd; Lake Chemicals Pvt. Ltd; JSA Advocates and Solicitors</x:v>
      </x:c>
      <x:c r="J513" s="2" t="n">
        <x:v>16</x:v>
      </x:c>
      <x:c r="K513" s="12" t="str">
        <x:v>Campus/portfolio roster; individual building occupancy unverified</x:v>
      </x:c>
      <x:c r="L513" s="12" t="str">
        <x:v>IT &amp; digital; Professional services; Finance &amp; insurance; Engineering &amp; manufacturing; Healthcare &amp; life sciences; Workspace &amp; property operations; Government &amp; nonprofit; Unresolved</x:v>
      </x:c>
      <x:c r="M513" s="12" t="str">
        <x:v>Small-scale prospects; Medium-scale prospects; Large enterprise; Institutional; Mixed business audience</x:v>
      </x:c>
      <x:c r="N513" s="12" t="str">
        <x:v>PARTNER-M100</x:v>
      </x:c>
      <x:c r="O513" s="13" t="n">
        <x:v>12.972103118896484</x:v>
      </x:c>
      <x:c r="P513" s="13" t="n">
        <x:v>77.59368133544922</x:v>
      </x:c>
      <x:c r="Q513" s="2" t="str">
        <x:v>https://www.google.com/maps?q=12.972103118896484,77.59368133544922</x:v>
      </x:c>
      <x:c r="R513" s="2" t="str">
        <x:v>TEN-05C3EA2B409C; TEN-13258F6CB706; TEN-1C593F87A18C; TEN-2E1A93A8B010; TEN-47445949BEEF; TEN-6CF5FB813A56; TEN-7D7278F45745; TEN-8A72227343A9; TEN-8EDB9C45B20E; TEN-907D11AE3179; TEN-A04E8DBF862F; TEN-A7F7AF8EB3A5; TEN-AABF376657C0; TEN-B3FD6E87E781; TEN-D6FCC16B02C8; TEN-E9968F77222F</x:v>
      </x:c>
      <x:c r="S513" s="12" t="str">
        <x:v>Mixed commercial workplace</x:v>
      </x:c>
      <x:c r="T513" s="12" t="str">
        <x:v>Tenant business-type estimates and reviewed company-scale context.</x:v>
      </x:c>
    </x:row>
    <x:row r="514" ht="75" customHeight="1">
      <x:c r="A514" s="10" t="n">
        <x:v>1</x:v>
      </x:c>
      <x:c r="B514" s="2" t="str">
        <x:v>CORP-0521</x:v>
      </x:c>
      <x:c r="C514" s="2" t="str">
        <x:v>Bengaluru</x:v>
      </x:c>
      <x:c r="D514" s="2" t="str"/>
      <x:c r="E514" s="12" t="str">
        <x:v>Prestige Atrium</x:v>
      </x:c>
      <x:c r="F514" s="12" t="str">
        <x:v>Reception Lobby</x:v>
      </x:c>
      <x:c r="G514" s="11" t="n">
        <x:v>1</x:v>
      </x:c>
      <x:c r="H514" s="2" t="str">
        <x:v>55 inch</x:v>
      </x:c>
      <x:c r="I514" s="12" t="str">
        <x:v>IndusViva HealthSciences Pvt. Ltd; Urban Vault; Yes Bank; Borqs Software Solutions; Yamazaki Mazak India Pvt. Ltd; German Consulate General; Thermo Fisher Scientific India; The Cash Pharmacy; Dr. Shetty's Aesthetic; Coface India; Cigna TTK Health Insurance Company Ltd; Flicker projects Pvt. Ltd; JK Cement Ltd; Eaton Technologies Pvt. Ltd; Lake Chemicals Pvt. Ltd; JSA Advocates and Solicitors</x:v>
      </x:c>
      <x:c r="J514" s="2" t="n">
        <x:v>16</x:v>
      </x:c>
      <x:c r="K514" s="12" t="str">
        <x:v>Campus/portfolio roster; individual building occupancy unverified</x:v>
      </x:c>
      <x:c r="L514" s="12" t="str">
        <x:v>IT &amp; digital; Professional services; Finance &amp; insurance; Engineering &amp; manufacturing; Healthcare &amp; life sciences; Workspace &amp; property operations; Government &amp; nonprofit; Unresolved</x:v>
      </x:c>
      <x:c r="M514" s="12" t="str">
        <x:v>Small-scale prospects; Medium-scale prospects; Large enterprise; Institutional; Mixed business audience</x:v>
      </x:c>
      <x:c r="N514" s="12" t="str">
        <x:v>PARTNER-M100</x:v>
      </x:c>
      <x:c r="O514" s="13"/>
      <x:c r="P514" s="13"/>
      <x:c r="Q514" s="2" t="str"/>
      <x:c r="R514" s="2" t="str">
        <x:v>TEN-05C3EA2B409C; TEN-13258F6CB706; TEN-1C593F87A18C; TEN-2E1A93A8B010; TEN-47445949BEEF; TEN-6CF5FB813A56; TEN-7D7278F45745; TEN-8A72227343A9; TEN-8EDB9C45B20E; TEN-907D11AE3179; TEN-A04E8DBF862F; TEN-A7F7AF8EB3A5; TEN-AABF376657C0; TEN-B3FD6E87E781; TEN-D6FCC16B02C8; TEN-E9968F77222F</x:v>
      </x:c>
      <x:c r="S514" s="12" t="str">
        <x:v>Mixed commercial workplace</x:v>
      </x:c>
      <x:c r="T514" s="12" t="str">
        <x:v>Tenant business-type estimates and reviewed company-scale context.</x:v>
      </x:c>
    </x:row>
    <x:row r="515" ht="75" customHeight="1">
      <x:c r="A515" s="10" t="n">
        <x:v>1</x:v>
      </x:c>
      <x:c r="B515" s="2" t="str">
        <x:v>CORP-0522</x:v>
      </x:c>
      <x:c r="C515" s="2" t="str">
        <x:v>Bengaluru</x:v>
      </x:c>
      <x:c r="D515" s="2" t="str"/>
      <x:c r="E515" s="12" t="str">
        <x:v>Prestige Atrium</x:v>
      </x:c>
      <x:c r="F515" s="12" t="str">
        <x:v>Elevator Lobby Ground Floor</x:v>
      </x:c>
      <x:c r="G515" s="11" t="n">
        <x:v>1</x:v>
      </x:c>
      <x:c r="H515" s="2" t="str">
        <x:v>55 inch</x:v>
      </x:c>
      <x:c r="I515" s="12" t="str">
        <x:v>IndusViva HealthSciences Pvt. Ltd; Urban Vault; Yes Bank; Borqs Software Solutions; Yamazaki Mazak India Pvt. Ltd; German Consulate General; Thermo Fisher Scientific India; The Cash Pharmacy; Dr. Shetty's Aesthetic; Coface India; Cigna TTK Health Insurance Company Ltd; Flicker projects Pvt. Ltd; JK Cement Ltd; Eaton Technologies Pvt. Ltd; Lake Chemicals Pvt. Ltd; JSA Advocates and Solicitors</x:v>
      </x:c>
      <x:c r="J515" s="2" t="n">
        <x:v>16</x:v>
      </x:c>
      <x:c r="K515" s="12" t="str">
        <x:v>Campus/portfolio roster; individual building occupancy unverified</x:v>
      </x:c>
      <x:c r="L515" s="12" t="str">
        <x:v>IT &amp; digital; Professional services; Finance &amp; insurance; Engineering &amp; manufacturing; Healthcare &amp; life sciences; Workspace &amp; property operations; Government &amp; nonprofit; Unresolved</x:v>
      </x:c>
      <x:c r="M515" s="12" t="str">
        <x:v>Small-scale prospects; Medium-scale prospects; Large enterprise; Institutional; Mixed business audience</x:v>
      </x:c>
      <x:c r="N515" s="12" t="str">
        <x:v>PARTNER-M100</x:v>
      </x:c>
      <x:c r="O515" s="13"/>
      <x:c r="P515" s="13"/>
      <x:c r="Q515" s="2" t="str"/>
      <x:c r="R515" s="2" t="str">
        <x:v>TEN-05C3EA2B409C; TEN-13258F6CB706; TEN-1C593F87A18C; TEN-2E1A93A8B010; TEN-47445949BEEF; TEN-6CF5FB813A56; TEN-7D7278F45745; TEN-8A72227343A9; TEN-8EDB9C45B20E; TEN-907D11AE3179; TEN-A04E8DBF862F; TEN-A7F7AF8EB3A5; TEN-AABF376657C0; TEN-B3FD6E87E781; TEN-D6FCC16B02C8; TEN-E9968F77222F</x:v>
      </x:c>
      <x:c r="S515" s="12" t="str">
        <x:v>Mixed commercial workplace</x:v>
      </x:c>
      <x:c r="T515" s="12" t="str">
        <x:v>Tenant business-type estimates and reviewed company-scale context.</x:v>
      </x:c>
    </x:row>
    <x:row r="516" ht="75" customHeight="1">
      <x:c r="A516" s="10" t="n">
        <x:v>1</x:v>
      </x:c>
      <x:c r="B516" s="2" t="str">
        <x:v>CORP-0523</x:v>
      </x:c>
      <x:c r="C516" s="2" t="str">
        <x:v>Bengaluru</x:v>
      </x:c>
      <x:c r="D516" s="2" t="str"/>
      <x:c r="E516" s="12" t="str">
        <x:v>Prestige Sapphire</x:v>
      </x:c>
      <x:c r="F516" s="12" t="str">
        <x:v>Reception Lobby</x:v>
      </x:c>
      <x:c r="G516" s="11" t="n">
        <x:v>1</x:v>
      </x:c>
      <x:c r="H516" s="2" t="str">
        <x:v>55 inch</x:v>
      </x:c>
      <x:c r="I516" s="12" t="str">
        <x:v>IndusViva HealthSciences Pvt. Ltd; Urban Vault; Yes Bank; Borqs Software Solutions; Yamazaki Mazak India Pvt. Ltd; German Consulate General; Thermo Fisher Scientific India; The Cash Pharmacy; Dr. Shetty's Aesthetic; Coface India; Cigna TTK Health Insurance Company Ltd; Flicker projects Pvt. Ltd; JK Cement Ltd; Eaton Technologies Pvt. Ltd; Lake Chemicals Pvt. Ltd; JSA Advocates and Solicitors</x:v>
      </x:c>
      <x:c r="J516" s="2" t="n">
        <x:v>16</x:v>
      </x:c>
      <x:c r="K516" s="12" t="str">
        <x:v>Campus/portfolio roster; individual building occupancy unverified</x:v>
      </x:c>
      <x:c r="L516" s="12" t="str">
        <x:v>IT &amp; digital; Professional services; Finance &amp; insurance; Engineering &amp; manufacturing; Healthcare &amp; life sciences; Workspace &amp; property operations; Government &amp; nonprofit; Unresolved</x:v>
      </x:c>
      <x:c r="M516" s="12" t="str">
        <x:v>Small-scale prospects; Medium-scale prospects; Large enterprise; Institutional; Mixed business audience</x:v>
      </x:c>
      <x:c r="N516" s="12" t="str">
        <x:v>PARTNER-M100</x:v>
      </x:c>
      <x:c r="O516" s="13"/>
      <x:c r="P516" s="13"/>
      <x:c r="Q516" s="2" t="str"/>
      <x:c r="R516" s="2" t="str">
        <x:v>TEN-05C3EA2B409C; TEN-13258F6CB706; TEN-1C593F87A18C; TEN-2E1A93A8B010; TEN-47445949BEEF; TEN-6CF5FB813A56; TEN-7D7278F45745; TEN-8A72227343A9; TEN-8EDB9C45B20E; TEN-907D11AE3179; TEN-A04E8DBF862F; TEN-A7F7AF8EB3A5; TEN-AABF376657C0; TEN-B3FD6E87E781; TEN-D6FCC16B02C8; TEN-E9968F77222F</x:v>
      </x:c>
      <x:c r="S516" s="12" t="str">
        <x:v>Mixed commercial workplace</x:v>
      </x:c>
      <x:c r="T516" s="12" t="str">
        <x:v>Tenant business-type estimates and reviewed company-scale context.</x:v>
      </x:c>
    </x:row>
    <x:row r="517" ht="75" customHeight="1">
      <x:c r="A517" s="10" t="n">
        <x:v>1</x:v>
      </x:c>
      <x:c r="B517" s="2" t="str">
        <x:v>CORP-0524</x:v>
      </x:c>
      <x:c r="C517" s="2" t="str">
        <x:v>Bengaluru</x:v>
      </x:c>
      <x:c r="D517" s="2" t="str"/>
      <x:c r="E517" s="12" t="str">
        <x:v>Prestige Al Kareem</x:v>
      </x:c>
      <x:c r="F517" s="12" t="str">
        <x:v>Reception Lobby</x:v>
      </x:c>
      <x:c r="G517" s="11" t="n">
        <x:v>1</x:v>
      </x:c>
      <x:c r="H517" s="2" t="str">
        <x:v>55 inch</x:v>
      </x:c>
      <x:c r="I517" s="12" t="str">
        <x:v>IndusViva HealthSciences Pvt. Ltd; Urban Vault; Yes Bank; Borqs Software Solutions; Yamazaki Mazak India Pvt. Ltd; German Consulate General; Thermo Fisher Scientific India; The Cash Pharmacy; Dr. Shetty's Aesthetic; Coface India; Cigna TTK Health Insurance Company Ltd; Flicker projects Pvt. Ltd; JK Cement Ltd; Eaton Technologies Pvt. Ltd; Lake Chemicals Pvt. Ltd; JSA Advocates and Solicitors</x:v>
      </x:c>
      <x:c r="J517" s="2" t="n">
        <x:v>16</x:v>
      </x:c>
      <x:c r="K517" s="12" t="str">
        <x:v>Campus/portfolio roster; individual building occupancy unverified</x:v>
      </x:c>
      <x:c r="L517" s="12" t="str">
        <x:v>IT &amp; digital; Professional services; Finance &amp; insurance; Engineering &amp; manufacturing; Healthcare &amp; life sciences; Workspace &amp; property operations; Government &amp; nonprofit; Unresolved</x:v>
      </x:c>
      <x:c r="M517" s="12" t="str">
        <x:v>Small-scale prospects; Medium-scale prospects; Large enterprise; Institutional; Mixed business audience</x:v>
      </x:c>
      <x:c r="N517" s="12" t="str">
        <x:v>PARTNER-M100</x:v>
      </x:c>
      <x:c r="O517" s="13"/>
      <x:c r="P517" s="13"/>
      <x:c r="Q517" s="2" t="str"/>
      <x:c r="R517" s="2" t="str">
        <x:v>TEN-05C3EA2B409C; TEN-13258F6CB706; TEN-1C593F87A18C; TEN-2E1A93A8B010; TEN-47445949BEEF; TEN-6CF5FB813A56; TEN-7D7278F45745; TEN-8A72227343A9; TEN-8EDB9C45B20E; TEN-907D11AE3179; TEN-A04E8DBF862F; TEN-A7F7AF8EB3A5; TEN-AABF376657C0; TEN-B3FD6E87E781; TEN-D6FCC16B02C8; TEN-E9968F77222F</x:v>
      </x:c>
      <x:c r="S517" s="12" t="str">
        <x:v>Mixed commercial workplace</x:v>
      </x:c>
      <x:c r="T517" s="12" t="str">
        <x:v>Tenant business-type estimates and reviewed company-scale context.</x:v>
      </x:c>
    </x:row>
    <x:row r="518" ht="75" customHeight="1">
      <x:c r="A518" s="10" t="n">
        <x:v>1</x:v>
      </x:c>
      <x:c r="B518" s="2" t="str">
        <x:v>CORP-0525</x:v>
      </x:c>
      <x:c r="C518" s="2" t="str">
        <x:v>Bengaluru</x:v>
      </x:c>
      <x:c r="D518" s="2" t="str"/>
      <x:c r="E518" s="12" t="str">
        <x:v>Prestige Delta</x:v>
      </x:c>
      <x:c r="F518" s="12" t="str">
        <x:v>Reception Lobby</x:v>
      </x:c>
      <x:c r="G518" s="11" t="n">
        <x:v>1</x:v>
      </x:c>
      <x:c r="H518" s="2" t="str">
        <x:v>55 inch</x:v>
      </x:c>
      <x:c r="I518" s="12" t="str">
        <x:v>IndusViva HealthSciences Pvt. Ltd; Urban Vault; Yes Bank; Borqs Software Solutions; Yamazaki Mazak India Pvt. Ltd; German Consulate General; Thermo Fisher Scientific India; The Cash Pharmacy; Dr. Shetty's Aesthetic; Coface India; Cigna TTK Health Insurance Company Ltd; Flicker projects Pvt. Ltd; JK Cement Ltd; Eaton Technologies Pvt. Ltd; Lake Chemicals Pvt. Ltd; JSA Advocates and Solicitors</x:v>
      </x:c>
      <x:c r="J518" s="2" t="n">
        <x:v>16</x:v>
      </x:c>
      <x:c r="K518" s="12" t="str">
        <x:v>Campus/portfolio roster; individual building occupancy unverified</x:v>
      </x:c>
      <x:c r="L518" s="12" t="str">
        <x:v>IT &amp; digital; Professional services; Finance &amp; insurance; Engineering &amp; manufacturing; Healthcare &amp; life sciences; Workspace &amp; property operations; Government &amp; nonprofit; Unresolved</x:v>
      </x:c>
      <x:c r="M518" s="12" t="str">
        <x:v>Small-scale prospects; Medium-scale prospects; Large enterprise; Institutional; Mixed business audience</x:v>
      </x:c>
      <x:c r="N518" s="12" t="str">
        <x:v>PARTNER-M100</x:v>
      </x:c>
      <x:c r="O518" s="13"/>
      <x:c r="P518" s="13"/>
      <x:c r="Q518" s="2" t="str"/>
      <x:c r="R518" s="2" t="str">
        <x:v>TEN-05C3EA2B409C; TEN-13258F6CB706; TEN-1C593F87A18C; TEN-2E1A93A8B010; TEN-47445949BEEF; TEN-6CF5FB813A56; TEN-7D7278F45745; TEN-8A72227343A9; TEN-8EDB9C45B20E; TEN-907D11AE3179; TEN-A04E8DBF862F; TEN-A7F7AF8EB3A5; TEN-AABF376657C0; TEN-B3FD6E87E781; TEN-D6FCC16B02C8; TEN-E9968F77222F</x:v>
      </x:c>
      <x:c r="S518" s="12" t="str">
        <x:v>Mixed commercial workplace</x:v>
      </x:c>
      <x:c r="T518" s="12" t="str">
        <x:v>Tenant business-type estimates and reviewed company-scale context.</x:v>
      </x:c>
    </x:row>
    <x:row r="519" ht="75" customHeight="1">
      <x:c r="A519" s="10" t="n">
        <x:v>1</x:v>
      </x:c>
      <x:c r="B519" s="2" t="str">
        <x:v>CORP-0526</x:v>
      </x:c>
      <x:c r="C519" s="2" t="str">
        <x:v>Bengaluru</x:v>
      </x:c>
      <x:c r="D519" s="2" t="str"/>
      <x:c r="E519" s="12" t="str">
        <x:v>Bagmane Tech Park</x:v>
      </x:c>
      <x:c r="F519" s="12" t="str">
        <x:v>Food Court 1</x:v>
      </x:c>
      <x:c r="G519" s="11" t="n">
        <x:v>1</x:v>
      </x:c>
      <x:c r="H519" s="2" t="str">
        <x:v>55 inch</x:v>
      </x:c>
      <x:c r="I519"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19" s="2" t="n">
        <x:v>34</x:v>
      </x:c>
      <x:c r="K519" s="12" t="str">
        <x:v>Campus/portfolio roster; individual building occupancy unverified</x:v>
      </x:c>
      <x:c r="L519" s="12" t="str">
        <x:v>IT &amp; digital; Professional services; Engineering &amp; manufacturing; Trade, consumer &amp; logistics; Unresolved</x:v>
      </x:c>
      <x:c r="M519" s="12" t="str">
        <x:v>Small-scale prospects; Medium-scale prospects; Large enterprise; Mixed business audience</x:v>
      </x:c>
      <x:c r="N519" s="12" t="str">
        <x:v>PARTNER-M108</x:v>
      </x:c>
      <x:c r="O519" s="13"/>
      <x:c r="P519" s="13"/>
      <x:c r="Q519" s="2" t="str"/>
      <x:c r="R519"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19" s="12" t="str">
        <x:v>IT and enterprise campus</x:v>
      </x:c>
      <x:c r="T519" s="12" t="str">
        <x:v>Tenant business-type estimates and reviewed company-scale context.</x:v>
      </x:c>
    </x:row>
    <x:row r="520" ht="75" customHeight="1">
      <x:c r="A520" s="10" t="n">
        <x:v>1</x:v>
      </x:c>
      <x:c r="B520" s="2" t="str">
        <x:v>CORP-0527</x:v>
      </x:c>
      <x:c r="C520" s="2" t="str">
        <x:v>Bengaluru</x:v>
      </x:c>
      <x:c r="D520" s="2" t="str"/>
      <x:c r="E520" s="12" t="str">
        <x:v>Bagmane Tech Park</x:v>
      </x:c>
      <x:c r="F520" s="12" t="str">
        <x:v>Food Court 2</x:v>
      </x:c>
      <x:c r="G520" s="11" t="n">
        <x:v>1</x:v>
      </x:c>
      <x:c r="H520" s="2" t="str">
        <x:v>55 inch</x:v>
      </x:c>
      <x:c r="I520"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0" s="2" t="n">
        <x:v>34</x:v>
      </x:c>
      <x:c r="K520" s="12" t="str">
        <x:v>Campus/portfolio roster; individual building occupancy unverified</x:v>
      </x:c>
      <x:c r="L520" s="12" t="str">
        <x:v>IT &amp; digital; Professional services; Engineering &amp; manufacturing; Trade, consumer &amp; logistics; Unresolved</x:v>
      </x:c>
      <x:c r="M520" s="12" t="str">
        <x:v>Small-scale prospects; Medium-scale prospects; Large enterprise; Mixed business audience</x:v>
      </x:c>
      <x:c r="N520" s="12" t="str">
        <x:v>PARTNER-M108</x:v>
      </x:c>
      <x:c r="O520" s="13"/>
      <x:c r="P520" s="13"/>
      <x:c r="Q520" s="2" t="str"/>
      <x:c r="R520"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0" s="12" t="str">
        <x:v>IT and enterprise campus</x:v>
      </x:c>
      <x:c r="T520" s="12" t="str">
        <x:v>Tenant business-type estimates and reviewed company-scale context.</x:v>
      </x:c>
    </x:row>
    <x:row r="521" ht="75" customHeight="1">
      <x:c r="A521" s="10" t="n">
        <x:v>1</x:v>
      </x:c>
      <x:c r="B521" s="2" t="str">
        <x:v>CORP-0528</x:v>
      </x:c>
      <x:c r="C521" s="2" t="str">
        <x:v>Bengaluru</x:v>
      </x:c>
      <x:c r="D521" s="2" t="str"/>
      <x:c r="E521" s="12" t="str">
        <x:v>Bagmane Tech Park</x:v>
      </x:c>
      <x:c r="F521" s="12" t="str">
        <x:v>Food Court 3</x:v>
      </x:c>
      <x:c r="G521" s="11" t="n">
        <x:v>1</x:v>
      </x:c>
      <x:c r="H521" s="2" t="str">
        <x:v>55 inch</x:v>
      </x:c>
      <x:c r="I521"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1" s="2" t="n">
        <x:v>34</x:v>
      </x:c>
      <x:c r="K521" s="12" t="str">
        <x:v>Campus/portfolio roster; individual building occupancy unverified</x:v>
      </x:c>
      <x:c r="L521" s="12" t="str">
        <x:v>IT &amp; digital; Professional services; Engineering &amp; manufacturing; Trade, consumer &amp; logistics; Unresolved</x:v>
      </x:c>
      <x:c r="M521" s="12" t="str">
        <x:v>Small-scale prospects; Medium-scale prospects; Large enterprise; Mixed business audience</x:v>
      </x:c>
      <x:c r="N521" s="12" t="str">
        <x:v>PARTNER-M108</x:v>
      </x:c>
      <x:c r="O521" s="13"/>
      <x:c r="P521" s="13"/>
      <x:c r="Q521" s="2" t="str"/>
      <x:c r="R521"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1" s="12" t="str">
        <x:v>IT and enterprise campus</x:v>
      </x:c>
      <x:c r="T521" s="12" t="str">
        <x:v>Tenant business-type estimates and reviewed company-scale context.</x:v>
      </x:c>
    </x:row>
    <x:row r="522" ht="75" customHeight="1">
      <x:c r="A522" s="10" t="n">
        <x:v>1</x:v>
      </x:c>
      <x:c r="B522" s="2" t="str">
        <x:v>CORP-0529</x:v>
      </x:c>
      <x:c r="C522" s="2" t="str">
        <x:v>Bengaluru</x:v>
      </x:c>
      <x:c r="D522" s="2" t="str"/>
      <x:c r="E522" s="12" t="str">
        <x:v>Bagmane Tech Park</x:v>
      </x:c>
      <x:c r="F522" s="12" t="str">
        <x:v>Food Court 4</x:v>
      </x:c>
      <x:c r="G522" s="11" t="n">
        <x:v>1</x:v>
      </x:c>
      <x:c r="H522" s="2" t="str">
        <x:v>55 inch</x:v>
      </x:c>
      <x:c r="I522"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2" s="2" t="n">
        <x:v>34</x:v>
      </x:c>
      <x:c r="K522" s="12" t="str">
        <x:v>Campus/portfolio roster; individual building occupancy unverified</x:v>
      </x:c>
      <x:c r="L522" s="12" t="str">
        <x:v>IT &amp; digital; Professional services; Engineering &amp; manufacturing; Trade, consumer &amp; logistics; Unresolved</x:v>
      </x:c>
      <x:c r="M522" s="12" t="str">
        <x:v>Small-scale prospects; Medium-scale prospects; Large enterprise; Mixed business audience</x:v>
      </x:c>
      <x:c r="N522" s="12" t="str">
        <x:v>PARTNER-M108</x:v>
      </x:c>
      <x:c r="O522" s="13"/>
      <x:c r="P522" s="13"/>
      <x:c r="Q522" s="2" t="str"/>
      <x:c r="R522"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2" s="12" t="str">
        <x:v>IT and enterprise campus</x:v>
      </x:c>
      <x:c r="T522" s="12" t="str">
        <x:v>Tenant business-type estimates and reviewed company-scale context.</x:v>
      </x:c>
    </x:row>
    <x:row r="523" ht="75" customHeight="1">
      <x:c r="A523" s="10" t="n">
        <x:v>1</x:v>
      </x:c>
      <x:c r="B523" s="2" t="str">
        <x:v>CORP-0530</x:v>
      </x:c>
      <x:c r="C523" s="2" t="str">
        <x:v>Bengaluru</x:v>
      </x:c>
      <x:c r="D523" s="2" t="str"/>
      <x:c r="E523" s="12" t="str">
        <x:v>Bagmane Tech Park</x:v>
      </x:c>
      <x:c r="F523" s="12" t="str">
        <x:v>Reception Block 1</x:v>
      </x:c>
      <x:c r="G523" s="11" t="n">
        <x:v>1</x:v>
      </x:c>
      <x:c r="H523" s="2" t="str">
        <x:v>55 inch</x:v>
      </x:c>
      <x:c r="I523"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3" s="2" t="n">
        <x:v>34</x:v>
      </x:c>
      <x:c r="K523" s="12" t="str">
        <x:v>Campus/portfolio roster; individual building occupancy unverified</x:v>
      </x:c>
      <x:c r="L523" s="12" t="str">
        <x:v>IT &amp; digital; Professional services; Engineering &amp; manufacturing; Trade, consumer &amp; logistics; Unresolved</x:v>
      </x:c>
      <x:c r="M523" s="12" t="str">
        <x:v>Small-scale prospects; Medium-scale prospects; Large enterprise; Mixed business audience</x:v>
      </x:c>
      <x:c r="N523" s="12" t="str">
        <x:v>PARTNER-M108</x:v>
      </x:c>
      <x:c r="O523" s="13"/>
      <x:c r="P523" s="13"/>
      <x:c r="Q523" s="2" t="str"/>
      <x:c r="R523"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3" s="12" t="str">
        <x:v>IT and enterprise campus</x:v>
      </x:c>
      <x:c r="T523" s="12" t="str">
        <x:v>Tenant business-type estimates and reviewed company-scale context.</x:v>
      </x:c>
    </x:row>
    <x:row r="524" ht="75" customHeight="1">
      <x:c r="A524" s="10" t="n">
        <x:v>1</x:v>
      </x:c>
      <x:c r="B524" s="2" t="str">
        <x:v>CORP-0531</x:v>
      </x:c>
      <x:c r="C524" s="2" t="str">
        <x:v>Bengaluru</x:v>
      </x:c>
      <x:c r="D524" s="2" t="str"/>
      <x:c r="E524" s="12" t="str">
        <x:v>Bagmane Tech Park</x:v>
      </x:c>
      <x:c r="F524" s="12" t="str">
        <x:v>Reception Block 2</x:v>
      </x:c>
      <x:c r="G524" s="11" t="n">
        <x:v>1</x:v>
      </x:c>
      <x:c r="H524" s="2" t="str">
        <x:v>55 inch</x:v>
      </x:c>
      <x:c r="I524"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4" s="2" t="n">
        <x:v>34</x:v>
      </x:c>
      <x:c r="K524" s="12" t="str">
        <x:v>Campus/portfolio roster; individual building occupancy unverified</x:v>
      </x:c>
      <x:c r="L524" s="12" t="str">
        <x:v>IT &amp; digital; Professional services; Engineering &amp; manufacturing; Trade, consumer &amp; logistics; Unresolved</x:v>
      </x:c>
      <x:c r="M524" s="12" t="str">
        <x:v>Small-scale prospects; Medium-scale prospects; Large enterprise; Mixed business audience</x:v>
      </x:c>
      <x:c r="N524" s="12" t="str">
        <x:v>PARTNER-M108</x:v>
      </x:c>
      <x:c r="O524" s="13"/>
      <x:c r="P524" s="13"/>
      <x:c r="Q524" s="2" t="str"/>
      <x:c r="R524"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4" s="12" t="str">
        <x:v>IT and enterprise campus</x:v>
      </x:c>
      <x:c r="T524" s="12" t="str">
        <x:v>Tenant business-type estimates and reviewed company-scale context.</x:v>
      </x:c>
    </x:row>
    <x:row r="525" ht="75" customHeight="1">
      <x:c r="A525" s="10" t="n">
        <x:v>1</x:v>
      </x:c>
      <x:c r="B525" s="2" t="str">
        <x:v>CORP-0532</x:v>
      </x:c>
      <x:c r="C525" s="2" t="str">
        <x:v>Bengaluru</x:v>
      </x:c>
      <x:c r="D525" s="2" t="str"/>
      <x:c r="E525" s="12" t="str">
        <x:v>Bagmane Tech Park</x:v>
      </x:c>
      <x:c r="F525" s="12" t="str">
        <x:v>Reception Block 3</x:v>
      </x:c>
      <x:c r="G525" s="11" t="n">
        <x:v>1</x:v>
      </x:c>
      <x:c r="H525" s="2" t="str">
        <x:v>55 inch</x:v>
      </x:c>
      <x:c r="I525"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5" s="2" t="n">
        <x:v>34</x:v>
      </x:c>
      <x:c r="K525" s="12" t="str">
        <x:v>Campus/portfolio roster; individual building occupancy unverified</x:v>
      </x:c>
      <x:c r="L525" s="12" t="str">
        <x:v>IT &amp; digital; Professional services; Engineering &amp; manufacturing; Trade, consumer &amp; logistics; Unresolved</x:v>
      </x:c>
      <x:c r="M525" s="12" t="str">
        <x:v>Small-scale prospects; Medium-scale prospects; Large enterprise; Mixed business audience</x:v>
      </x:c>
      <x:c r="N525" s="12" t="str">
        <x:v>PARTNER-M108</x:v>
      </x:c>
      <x:c r="O525" s="13"/>
      <x:c r="P525" s="13"/>
      <x:c r="Q525" s="2" t="str"/>
      <x:c r="R525"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5" s="12" t="str">
        <x:v>IT and enterprise campus</x:v>
      </x:c>
      <x:c r="T525" s="12" t="str">
        <x:v>Tenant business-type estimates and reviewed company-scale context.</x:v>
      </x:c>
    </x:row>
    <x:row r="526" ht="75" customHeight="1">
      <x:c r="A526" s="10" t="n">
        <x:v>1</x:v>
      </x:c>
      <x:c r="B526" s="2" t="str">
        <x:v>CORP-0533</x:v>
      </x:c>
      <x:c r="C526" s="2" t="str">
        <x:v>Bengaluru</x:v>
      </x:c>
      <x:c r="D526" s="2" t="str"/>
      <x:c r="E526" s="12" t="str">
        <x:v>Bagmane Tech Park</x:v>
      </x:c>
      <x:c r="F526" s="12" t="str">
        <x:v>Reception Block 4</x:v>
      </x:c>
      <x:c r="G526" s="11" t="n">
        <x:v>1</x:v>
      </x:c>
      <x:c r="H526" s="2" t="str">
        <x:v>55 inch</x:v>
      </x:c>
      <x:c r="I526"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6" s="2" t="n">
        <x:v>34</x:v>
      </x:c>
      <x:c r="K526" s="12" t="str">
        <x:v>Campus/portfolio roster; individual building occupancy unverified</x:v>
      </x:c>
      <x:c r="L526" s="12" t="str">
        <x:v>IT &amp; digital; Professional services; Engineering &amp; manufacturing; Trade, consumer &amp; logistics; Unresolved</x:v>
      </x:c>
      <x:c r="M526" s="12" t="str">
        <x:v>Small-scale prospects; Medium-scale prospects; Large enterprise; Mixed business audience</x:v>
      </x:c>
      <x:c r="N526" s="12" t="str">
        <x:v>PARTNER-M108</x:v>
      </x:c>
      <x:c r="O526" s="13"/>
      <x:c r="P526" s="13"/>
      <x:c r="Q526" s="2" t="str"/>
      <x:c r="R526"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6" s="12" t="str">
        <x:v>IT and enterprise campus</x:v>
      </x:c>
      <x:c r="T526" s="12" t="str">
        <x:v>Tenant business-type estimates and reviewed company-scale context.</x:v>
      </x:c>
    </x:row>
    <x:row r="527" ht="75" customHeight="1">
      <x:c r="A527" s="10" t="n">
        <x:v>1</x:v>
      </x:c>
      <x:c r="B527" s="2" t="str">
        <x:v>CORP-0534</x:v>
      </x:c>
      <x:c r="C527" s="2" t="str">
        <x:v>Bengaluru</x:v>
      </x:c>
      <x:c r="D527" s="2" t="str"/>
      <x:c r="E527" s="12" t="str">
        <x:v>Bagmane Tech Park</x:v>
      </x:c>
      <x:c r="F527" s="12" t="str">
        <x:v>Reception Block 5</x:v>
      </x:c>
      <x:c r="G527" s="11" t="n">
        <x:v>1</x:v>
      </x:c>
      <x:c r="H527" s="2" t="str">
        <x:v>55 inch</x:v>
      </x:c>
      <x:c r="I527"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7" s="2" t="n">
        <x:v>34</x:v>
      </x:c>
      <x:c r="K527" s="12" t="str">
        <x:v>Campus/portfolio roster; individual building occupancy unverified</x:v>
      </x:c>
      <x:c r="L527" s="12" t="str">
        <x:v>IT &amp; digital; Professional services; Engineering &amp; manufacturing; Trade, consumer &amp; logistics; Unresolved</x:v>
      </x:c>
      <x:c r="M527" s="12" t="str">
        <x:v>Small-scale prospects; Medium-scale prospects; Large enterprise; Mixed business audience</x:v>
      </x:c>
      <x:c r="N527" s="12" t="str">
        <x:v>PARTNER-M108</x:v>
      </x:c>
      <x:c r="O527" s="13"/>
      <x:c r="P527" s="13"/>
      <x:c r="Q527" s="2" t="str"/>
      <x:c r="R527"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7" s="12" t="str">
        <x:v>IT and enterprise campus</x:v>
      </x:c>
      <x:c r="T527" s="12" t="str">
        <x:v>Tenant business-type estimates and reviewed company-scale context.</x:v>
      </x:c>
    </x:row>
    <x:row r="528" ht="75" customHeight="1">
      <x:c r="A528" s="10" t="n">
        <x:v>1</x:v>
      </x:c>
      <x:c r="B528" s="2" t="str">
        <x:v>CORP-0535</x:v>
      </x:c>
      <x:c r="C528" s="2" t="str">
        <x:v>Bengaluru</x:v>
      </x:c>
      <x:c r="D528" s="2" t="str"/>
      <x:c r="E528" s="12" t="str">
        <x:v>Bagmane Tech Park</x:v>
      </x:c>
      <x:c r="F528" s="12" t="str">
        <x:v>Reception Block 6</x:v>
      </x:c>
      <x:c r="G528" s="11" t="n">
        <x:v>1</x:v>
      </x:c>
      <x:c r="H528" s="2" t="str">
        <x:v>55 inch</x:v>
      </x:c>
      <x:c r="I528"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8" s="2" t="n">
        <x:v>34</x:v>
      </x:c>
      <x:c r="K528" s="12" t="str">
        <x:v>Campus/portfolio roster; individual building occupancy unverified</x:v>
      </x:c>
      <x:c r="L528" s="12" t="str">
        <x:v>IT &amp; digital; Professional services; Engineering &amp; manufacturing; Trade, consumer &amp; logistics; Unresolved</x:v>
      </x:c>
      <x:c r="M528" s="12" t="str">
        <x:v>Small-scale prospects; Medium-scale prospects; Large enterprise; Mixed business audience</x:v>
      </x:c>
      <x:c r="N528" s="12" t="str">
        <x:v>PARTNER-M108</x:v>
      </x:c>
      <x:c r="O528" s="13"/>
      <x:c r="P528" s="13"/>
      <x:c r="Q528" s="2" t="str"/>
      <x:c r="R528"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8" s="12" t="str">
        <x:v>IT and enterprise campus</x:v>
      </x:c>
      <x:c r="T528" s="12" t="str">
        <x:v>Tenant business-type estimates and reviewed company-scale context.</x:v>
      </x:c>
    </x:row>
    <x:row r="529" ht="75" customHeight="1">
      <x:c r="A529" s="10" t="n">
        <x:v>1</x:v>
      </x:c>
      <x:c r="B529" s="2" t="str">
        <x:v>CORP-0536</x:v>
      </x:c>
      <x:c r="C529" s="2" t="str">
        <x:v>Bengaluru</x:v>
      </x:c>
      <x:c r="D529" s="2" t="str"/>
      <x:c r="E529" s="12" t="str">
        <x:v>Bagmane Tech Park</x:v>
      </x:c>
      <x:c r="F529" s="12" t="str">
        <x:v>Reception Block 7</x:v>
      </x:c>
      <x:c r="G529" s="11" t="n">
        <x:v>1</x:v>
      </x:c>
      <x:c r="H529" s="2" t="str">
        <x:v>55 inch</x:v>
      </x:c>
      <x:c r="I529"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29" s="2" t="n">
        <x:v>34</x:v>
      </x:c>
      <x:c r="K529" s="12" t="str">
        <x:v>Campus/portfolio roster; individual building occupancy unverified</x:v>
      </x:c>
      <x:c r="L529" s="12" t="str">
        <x:v>IT &amp; digital; Professional services; Engineering &amp; manufacturing; Trade, consumer &amp; logistics; Unresolved</x:v>
      </x:c>
      <x:c r="M529" s="12" t="str">
        <x:v>Small-scale prospects; Medium-scale prospects; Large enterprise; Mixed business audience</x:v>
      </x:c>
      <x:c r="N529" s="12" t="str">
        <x:v>PARTNER-M108</x:v>
      </x:c>
      <x:c r="O529" s="13"/>
      <x:c r="P529" s="13"/>
      <x:c r="Q529" s="2" t="str"/>
      <x:c r="R529"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29" s="12" t="str">
        <x:v>IT and enterprise campus</x:v>
      </x:c>
      <x:c r="T529" s="12" t="str">
        <x:v>Tenant business-type estimates and reviewed company-scale context.</x:v>
      </x:c>
    </x:row>
    <x:row r="530" ht="75" customHeight="1">
      <x:c r="A530" s="10" t="n">
        <x:v>1</x:v>
      </x:c>
      <x:c r="B530" s="2" t="str">
        <x:v>CORP-0537</x:v>
      </x:c>
      <x:c r="C530" s="2" t="str">
        <x:v>Bengaluru</x:v>
      </x:c>
      <x:c r="D530" s="2" t="str"/>
      <x:c r="E530" s="12" t="str">
        <x:v>Bagmane Tech Park</x:v>
      </x:c>
      <x:c r="F530" s="12" t="str">
        <x:v>Reception Block 8</x:v>
      </x:c>
      <x:c r="G530" s="11" t="n">
        <x:v>1</x:v>
      </x:c>
      <x:c r="H530" s="2" t="str">
        <x:v>55 inch</x:v>
      </x:c>
      <x:c r="I530" s="12" t="str">
        <x:v>Kronos; Commvault; Motorola; Boeing; Juniper; Altiostar; Sima.ai; Cardinal; Informatica; Alstom; Walker Chandok; Dover; Microfocus; cypress; Nike; Ivanti; Texas Instrument; LAM; UKG; SAP concur; Renesas; Talisma; Pal Alto; CEM; Volvo; ROHM; Mphasis; PricewaterhouseCoopers; Dell; ALUK; Grant Thornton; Cisco; L3 Communication; Infineon</x:v>
      </x:c>
      <x:c r="J530" s="2" t="n">
        <x:v>34</x:v>
      </x:c>
      <x:c r="K530" s="12" t="str">
        <x:v>Campus/portfolio roster; individual building occupancy unverified</x:v>
      </x:c>
      <x:c r="L530" s="12" t="str">
        <x:v>IT &amp; digital; Professional services; Engineering &amp; manufacturing; Trade, consumer &amp; logistics; Unresolved</x:v>
      </x:c>
      <x:c r="M530" s="12" t="str">
        <x:v>Small-scale prospects; Medium-scale prospects; Large enterprise; Mixed business audience</x:v>
      </x:c>
      <x:c r="N530" s="12" t="str">
        <x:v>PARTNER-M108</x:v>
      </x:c>
      <x:c r="O530" s="13"/>
      <x:c r="P530" s="13"/>
      <x:c r="Q530" s="2" t="str"/>
      <x:c r="R530" s="2" t="str">
        <x:v>TEN-05A498EFD197; TEN-0B570123A8C3; TEN-0C44BE9F7948; TEN-16F45B99ABFD; TEN-17840323EA59; TEN-19A1211FA855; TEN-1B24400C96AA; TEN-2A09783B1C47; TEN-31FF403A64D8; TEN-36E26473A4E8; TEN-4957DCDAEE1C; TEN-4BCFB67D5370; TEN-51BE3E92D716; TEN-55F83AF98CA9; TEN-5DD95C98AFF2; TEN-60A539DE7BB0; TEN-7AD6D135A07F; TEN-7F1B55B86059; TEN-8D1AE0ED034C; TEN-9387E476D00B; TEN-98E929C33151; TEN-A973ADF51E6A; TEN-AEF34FE789D8; TEN-B1331F460EB4; TEN-BCCAE4CE7BE6; TEN-C2ECB55DC1D4; TEN-C63AC00C4D11; TEN-C97CE19B9C35; TEN-D0E2ECE166BD; TEN-E305C1EB5FCE; TEN-E5E23A26CD36; TEN-E73B79A0B10F; TEN-F49D19F21FE1; TEN-FEED58DAA315</x:v>
      </x:c>
      <x:c r="S530" s="12" t="str">
        <x:v>IT and enterprise campus</x:v>
      </x:c>
      <x:c r="T530" s="12" t="str">
        <x:v>Tenant business-type estimates and reviewed company-scale context.</x:v>
      </x:c>
    </x:row>
    <x:row r="531" ht="64" customHeight="1">
      <x:c r="A531" s="10" t="n">
        <x:v>1</x:v>
      </x:c>
      <x:c r="B531" s="2" t="str">
        <x:v>CORP-0538</x:v>
      </x:c>
      <x:c r="C531" s="2" t="str">
        <x:v>Bengaluru</x:v>
      </x:c>
      <x:c r="D531" s="2" t="str"/>
      <x:c r="E531" s="12" t="str">
        <x:v>Bagmane World Technology Centre</x:v>
      </x:c>
      <x:c r="F531" s="12" t="str">
        <x:v>Onyx Food Court 1</x:v>
      </x:c>
      <x:c r="G531" s="11" t="n">
        <x:v>1</x:v>
      </x:c>
      <x:c r="H531" s="2" t="str">
        <x:v>55 inch</x:v>
      </x:c>
      <x:c r="I531" s="12" t="str">
        <x:v>Boeing; Abinbev; Qsc; sifive; Mediakind; Accenture; Iron Mountain; Ernst and Young; EMC- Dell; Zyeus; Nvidia; Samsung; Microland; Google; Mphasis; Amazon; Quotient; ARM; Xentrix; visa; Ericsson</x:v>
      </x:c>
      <x:c r="J531" s="2" t="n">
        <x:v>21</x:v>
      </x:c>
      <x:c r="K531" s="12" t="str">
        <x:v>Campus/portfolio roster; individual building occupancy unverified</x:v>
      </x:c>
      <x:c r="L531" s="12" t="str">
        <x:v>IT &amp; digital; Professional services; Finance &amp; insurance; Engineering &amp; manufacturing; Trade, consumer &amp; logistics; Unresolved</x:v>
      </x:c>
      <x:c r="M531" s="12" t="str">
        <x:v>Small-scale prospects; Large enterprise; Mixed business audience</x:v>
      </x:c>
      <x:c r="N531" s="12" t="str">
        <x:v>PARTNER-M120</x:v>
      </x:c>
      <x:c r="O531" s="13"/>
      <x:c r="P531" s="13"/>
      <x:c r="Q531" s="2" t="str"/>
      <x:c r="R531"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31" s="12" t="str">
        <x:v>Mixed commercial workplace</x:v>
      </x:c>
      <x:c r="T531" s="12" t="str">
        <x:v>Tenant business-type estimates and reviewed company-scale context.</x:v>
      </x:c>
    </x:row>
    <x:row r="532" ht="64" customHeight="1">
      <x:c r="A532" s="10" t="n">
        <x:v>1</x:v>
      </x:c>
      <x:c r="B532" s="2" t="str">
        <x:v>CORP-0539</x:v>
      </x:c>
      <x:c r="C532" s="2" t="str">
        <x:v>Bengaluru</x:v>
      </x:c>
      <x:c r="D532" s="2" t="str"/>
      <x:c r="E532" s="12" t="str">
        <x:v>Bagmane World Technology Centre</x:v>
      </x:c>
      <x:c r="F532" s="12" t="str">
        <x:v>Onyx Food Court 2</x:v>
      </x:c>
      <x:c r="G532" s="11" t="n">
        <x:v>1</x:v>
      </x:c>
      <x:c r="H532" s="2" t="str">
        <x:v>55 inch</x:v>
      </x:c>
      <x:c r="I532" s="12" t="str">
        <x:v>Boeing; Abinbev; Qsc; sifive; Mediakind; Accenture; Iron Mountain; Ernst and Young; EMC- Dell; Zyeus; Nvidia; Samsung; Microland; Google; Mphasis; Amazon; Quotient; ARM; Xentrix; visa; Ericsson</x:v>
      </x:c>
      <x:c r="J532" s="2" t="n">
        <x:v>21</x:v>
      </x:c>
      <x:c r="K532" s="12" t="str">
        <x:v>Campus/portfolio roster; individual building occupancy unverified</x:v>
      </x:c>
      <x:c r="L532" s="12" t="str">
        <x:v>IT &amp; digital; Professional services; Finance &amp; insurance; Engineering &amp; manufacturing; Trade, consumer &amp; logistics; Unresolved</x:v>
      </x:c>
      <x:c r="M532" s="12" t="str">
        <x:v>Small-scale prospects; Large enterprise; Mixed business audience</x:v>
      </x:c>
      <x:c r="N532" s="12" t="str">
        <x:v>PARTNER-M120</x:v>
      </x:c>
      <x:c r="O532" s="13"/>
      <x:c r="P532" s="13"/>
      <x:c r="Q532" s="2" t="str"/>
      <x:c r="R532"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32" s="12" t="str">
        <x:v>Mixed commercial workplace</x:v>
      </x:c>
      <x:c r="T532" s="12" t="str">
        <x:v>Tenant business-type estimates and reviewed company-scale context.</x:v>
      </x:c>
    </x:row>
    <x:row r="533" ht="64" customHeight="1">
      <x:c r="A533" s="10" t="n">
        <x:v>1</x:v>
      </x:c>
      <x:c r="B533" s="2" t="str">
        <x:v>CORP-0540</x:v>
      </x:c>
      <x:c r="C533" s="2" t="str">
        <x:v>Bengaluru</x:v>
      </x:c>
      <x:c r="D533" s="2" t="str"/>
      <x:c r="E533" s="12" t="str">
        <x:v>Bagmane World Technology Centre</x:v>
      </x:c>
      <x:c r="F533" s="12" t="str">
        <x:v>Onyx Food Court 3</x:v>
      </x:c>
      <x:c r="G533" s="11" t="n">
        <x:v>1</x:v>
      </x:c>
      <x:c r="H533" s="2" t="str">
        <x:v>55 inch</x:v>
      </x:c>
      <x:c r="I533" s="12" t="str">
        <x:v>Boeing; Abinbev; Qsc; sifive; Mediakind; Accenture; Iron Mountain; Ernst and Young; EMC- Dell; Zyeus; Nvidia; Samsung; Microland; Google; Mphasis; Amazon; Quotient; ARM; Xentrix; visa; Ericsson</x:v>
      </x:c>
      <x:c r="J533" s="2" t="n">
        <x:v>21</x:v>
      </x:c>
      <x:c r="K533" s="12" t="str">
        <x:v>Campus/portfolio roster; individual building occupancy unverified</x:v>
      </x:c>
      <x:c r="L533" s="12" t="str">
        <x:v>IT &amp; digital; Professional services; Finance &amp; insurance; Engineering &amp; manufacturing; Trade, consumer &amp; logistics; Unresolved</x:v>
      </x:c>
      <x:c r="M533" s="12" t="str">
        <x:v>Small-scale prospects; Large enterprise; Mixed business audience</x:v>
      </x:c>
      <x:c r="N533" s="12" t="str">
        <x:v>PARTNER-M120</x:v>
      </x:c>
      <x:c r="O533" s="13"/>
      <x:c r="P533" s="13"/>
      <x:c r="Q533" s="2" t="str"/>
      <x:c r="R533"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33" s="12" t="str">
        <x:v>Mixed commercial workplace</x:v>
      </x:c>
      <x:c r="T533" s="12" t="str">
        <x:v>Tenant business-type estimates and reviewed company-scale context.</x:v>
      </x:c>
    </x:row>
    <x:row r="534" ht="64" customHeight="1">
      <x:c r="A534" s="10" t="n">
        <x:v>1</x:v>
      </x:c>
      <x:c r="B534" s="2" t="str">
        <x:v>CORP-0541</x:v>
      </x:c>
      <x:c r="C534" s="2" t="str">
        <x:v>Bengaluru</x:v>
      </x:c>
      <x:c r="D534" s="2" t="str"/>
      <x:c r="E534" s="12" t="str">
        <x:v>Bagmane World Technology Centre</x:v>
      </x:c>
      <x:c r="F534" s="12" t="str">
        <x:v>Amber Block</x:v>
      </x:c>
      <x:c r="G534" s="11" t="n">
        <x:v>1</x:v>
      </x:c>
      <x:c r="H534" s="2" t="str">
        <x:v>55 inch</x:v>
      </x:c>
      <x:c r="I534" s="12" t="str">
        <x:v>Boeing; Abinbev; Qsc; sifive; Mediakind; Accenture; Iron Mountain; Ernst and Young; EMC- Dell; Zyeus; Nvidia; Samsung; Microland; Google; Mphasis; Amazon; Quotient; ARM; Xentrix; visa; Ericsson</x:v>
      </x:c>
      <x:c r="J534" s="2" t="n">
        <x:v>21</x:v>
      </x:c>
      <x:c r="K534" s="12" t="str">
        <x:v>Campus/portfolio roster; individual building occupancy unverified</x:v>
      </x:c>
      <x:c r="L534" s="12" t="str">
        <x:v>IT &amp; digital; Professional services; Finance &amp; insurance; Engineering &amp; manufacturing; Trade, consumer &amp; logistics; Unresolved</x:v>
      </x:c>
      <x:c r="M534" s="12" t="str">
        <x:v>Small-scale prospects; Large enterprise; Mixed business audience</x:v>
      </x:c>
      <x:c r="N534" s="12" t="str">
        <x:v>PARTNER-M120</x:v>
      </x:c>
      <x:c r="O534" s="13"/>
      <x:c r="P534" s="13"/>
      <x:c r="Q534" s="2" t="str"/>
      <x:c r="R534"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34" s="12" t="str">
        <x:v>Mixed commercial workplace</x:v>
      </x:c>
      <x:c r="T534" s="12" t="str">
        <x:v>Tenant business-type estimates and reviewed company-scale context.</x:v>
      </x:c>
    </x:row>
    <x:row r="535" ht="64" customHeight="1">
      <x:c r="A535" s="10" t="n">
        <x:v>1</x:v>
      </x:c>
      <x:c r="B535" s="2" t="str">
        <x:v>CORP-0542</x:v>
      </x:c>
      <x:c r="C535" s="2" t="str">
        <x:v>Bengaluru</x:v>
      </x:c>
      <x:c r="D535" s="2" t="str"/>
      <x:c r="E535" s="12" t="str">
        <x:v>Bagmane World Technology Centre</x:v>
      </x:c>
      <x:c r="F535" s="12" t="str">
        <x:v>Citrine Block</x:v>
      </x:c>
      <x:c r="G535" s="11" t="n">
        <x:v>1</x:v>
      </x:c>
      <x:c r="H535" s="2" t="str">
        <x:v>55 inch</x:v>
      </x:c>
      <x:c r="I535" s="12" t="str">
        <x:v>Boeing; Abinbev; Qsc; sifive; Mediakind; Accenture; Iron Mountain; Ernst and Young; EMC- Dell; Zyeus; Nvidia; Samsung; Microland; Google; Mphasis; Amazon; Quotient; ARM; Xentrix; visa; Ericsson</x:v>
      </x:c>
      <x:c r="J535" s="2" t="n">
        <x:v>21</x:v>
      </x:c>
      <x:c r="K535" s="12" t="str">
        <x:v>Campus/portfolio roster; individual building occupancy unverified</x:v>
      </x:c>
      <x:c r="L535" s="12" t="str">
        <x:v>IT &amp; digital; Professional services; Finance &amp; insurance; Engineering &amp; manufacturing; Trade, consumer &amp; logistics; Unresolved</x:v>
      </x:c>
      <x:c r="M535" s="12" t="str">
        <x:v>Small-scale prospects; Large enterprise; Mixed business audience</x:v>
      </x:c>
      <x:c r="N535" s="12" t="str">
        <x:v>PARTNER-M120</x:v>
      </x:c>
      <x:c r="O535" s="13"/>
      <x:c r="P535" s="13"/>
      <x:c r="Q535" s="2" t="str"/>
      <x:c r="R535"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35" s="12" t="str">
        <x:v>Mixed commercial workplace</x:v>
      </x:c>
      <x:c r="T535" s="12" t="str">
        <x:v>Tenant business-type estimates and reviewed company-scale context.</x:v>
      </x:c>
    </x:row>
    <x:row r="536" ht="64" customHeight="1">
      <x:c r="A536" s="10" t="n">
        <x:v>1</x:v>
      </x:c>
      <x:c r="B536" s="2" t="str">
        <x:v>CORP-0543</x:v>
      </x:c>
      <x:c r="C536" s="2" t="str">
        <x:v>Bengaluru</x:v>
      </x:c>
      <x:c r="D536" s="2" t="str"/>
      <x:c r="E536" s="12" t="str">
        <x:v>Bagmane World Technology Centre</x:v>
      </x:c>
      <x:c r="F536" s="12" t="str">
        <x:v>Garnet Block</x:v>
      </x:c>
      <x:c r="G536" s="11" t="n">
        <x:v>1</x:v>
      </x:c>
      <x:c r="H536" s="2" t="str">
        <x:v>55 inch</x:v>
      </x:c>
      <x:c r="I536" s="12" t="str">
        <x:v>Boeing; Abinbev; Qsc; sifive; Mediakind; Accenture; Iron Mountain; Ernst and Young; EMC- Dell; Zyeus; Nvidia; Samsung; Microland; Google; Mphasis; Amazon; Quotient; ARM; Xentrix; visa; Ericsson</x:v>
      </x:c>
      <x:c r="J536" s="2" t="n">
        <x:v>21</x:v>
      </x:c>
      <x:c r="K536" s="12" t="str">
        <x:v>Campus/portfolio roster; individual building occupancy unverified</x:v>
      </x:c>
      <x:c r="L536" s="12" t="str">
        <x:v>IT &amp; digital; Professional services; Finance &amp; insurance; Engineering &amp; manufacturing; Trade, consumer &amp; logistics; Unresolved</x:v>
      </x:c>
      <x:c r="M536" s="12" t="str">
        <x:v>Small-scale prospects; Large enterprise; Mixed business audience</x:v>
      </x:c>
      <x:c r="N536" s="12" t="str">
        <x:v>PARTNER-M120</x:v>
      </x:c>
      <x:c r="O536" s="13"/>
      <x:c r="P536" s="13"/>
      <x:c r="Q536" s="2" t="str"/>
      <x:c r="R536"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36" s="12" t="str">
        <x:v>Mixed commercial workplace</x:v>
      </x:c>
      <x:c r="T536" s="12" t="str">
        <x:v>Tenant business-type estimates and reviewed company-scale context.</x:v>
      </x:c>
    </x:row>
    <x:row r="537" ht="64" customHeight="1">
      <x:c r="A537" s="10" t="n">
        <x:v>1</x:v>
      </x:c>
      <x:c r="B537" s="2" t="str">
        <x:v>CORP-0544</x:v>
      </x:c>
      <x:c r="C537" s="2" t="str">
        <x:v>Bengaluru</x:v>
      </x:c>
      <x:c r="D537" s="2" t="str"/>
      <x:c r="E537" s="12" t="str">
        <x:v>Bagmane World Technology Centre</x:v>
      </x:c>
      <x:c r="F537" s="12" t="str">
        <x:v>Emrald Block</x:v>
      </x:c>
      <x:c r="G537" s="11" t="n">
        <x:v>1</x:v>
      </x:c>
      <x:c r="H537" s="2" t="str">
        <x:v>55 inch</x:v>
      </x:c>
      <x:c r="I537" s="12" t="str">
        <x:v>Boeing; Abinbev; Qsc; sifive; Mediakind; Accenture; Iron Mountain; Ernst and Young; EMC- Dell; Zyeus; Nvidia; Samsung; Microland; Google; Mphasis; Amazon; Quotient; ARM; Xentrix; visa; Ericsson</x:v>
      </x:c>
      <x:c r="J537" s="2" t="n">
        <x:v>21</x:v>
      </x:c>
      <x:c r="K537" s="12" t="str">
        <x:v>Campus/portfolio roster; individual building occupancy unverified</x:v>
      </x:c>
      <x:c r="L537" s="12" t="str">
        <x:v>IT &amp; digital; Professional services; Finance &amp; insurance; Engineering &amp; manufacturing; Trade, consumer &amp; logistics; Unresolved</x:v>
      </x:c>
      <x:c r="M537" s="12" t="str">
        <x:v>Small-scale prospects; Large enterprise; Mixed business audience</x:v>
      </x:c>
      <x:c r="N537" s="12" t="str">
        <x:v>PARTNER-M120</x:v>
      </x:c>
      <x:c r="O537" s="13"/>
      <x:c r="P537" s="13"/>
      <x:c r="Q537" s="2" t="str"/>
      <x:c r="R537"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37" s="12" t="str">
        <x:v>Mixed commercial workplace</x:v>
      </x:c>
      <x:c r="T537" s="12" t="str">
        <x:v>Tenant business-type estimates and reviewed company-scale context.</x:v>
      </x:c>
    </x:row>
    <x:row r="538" ht="64" customHeight="1">
      <x:c r="A538" s="10" t="n">
        <x:v>1</x:v>
      </x:c>
      <x:c r="B538" s="2" t="str">
        <x:v>CORP-0545</x:v>
      </x:c>
      <x:c r="C538" s="2" t="str">
        <x:v>Bengaluru</x:v>
      </x:c>
      <x:c r="D538" s="2" t="str"/>
      <x:c r="E538" s="12" t="str">
        <x:v>Bagmane World Technology Centre</x:v>
      </x:c>
      <x:c r="F538" s="12" t="str">
        <x:v>Paridot Block</x:v>
      </x:c>
      <x:c r="G538" s="11" t="n">
        <x:v>1</x:v>
      </x:c>
      <x:c r="H538" s="2" t="str">
        <x:v>55 inch</x:v>
      </x:c>
      <x:c r="I538" s="12" t="str">
        <x:v>Boeing; Abinbev; Qsc; sifive; Mediakind; Accenture; Iron Mountain; Ernst and Young; EMC- Dell; Zyeus; Nvidia; Samsung; Microland; Google; Mphasis; Amazon; Quotient; ARM; Xentrix; visa; Ericsson</x:v>
      </x:c>
      <x:c r="J538" s="2" t="n">
        <x:v>21</x:v>
      </x:c>
      <x:c r="K538" s="12" t="str">
        <x:v>Campus/portfolio roster; individual building occupancy unverified</x:v>
      </x:c>
      <x:c r="L538" s="12" t="str">
        <x:v>IT &amp; digital; Professional services; Finance &amp; insurance; Engineering &amp; manufacturing; Trade, consumer &amp; logistics; Unresolved</x:v>
      </x:c>
      <x:c r="M538" s="12" t="str">
        <x:v>Small-scale prospects; Large enterprise; Mixed business audience</x:v>
      </x:c>
      <x:c r="N538" s="12" t="str">
        <x:v>PARTNER-M120</x:v>
      </x:c>
      <x:c r="O538" s="13"/>
      <x:c r="P538" s="13"/>
      <x:c r="Q538" s="2" t="str"/>
      <x:c r="R538"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38" s="12" t="str">
        <x:v>Mixed commercial workplace</x:v>
      </x:c>
      <x:c r="T538" s="12" t="str">
        <x:v>Tenant business-type estimates and reviewed company-scale context.</x:v>
      </x:c>
    </x:row>
    <x:row r="539" ht="64" customHeight="1">
      <x:c r="A539" s="10" t="n">
        <x:v>1</x:v>
      </x:c>
      <x:c r="B539" s="2" t="str">
        <x:v>CORP-0546</x:v>
      </x:c>
      <x:c r="C539" s="2" t="str">
        <x:v>Bengaluru</x:v>
      </x:c>
      <x:c r="D539" s="2" t="str"/>
      <x:c r="E539" s="12" t="str">
        <x:v>Bagmane World Technology Centre</x:v>
      </x:c>
      <x:c r="F539" s="12" t="str">
        <x:v>Opel Block</x:v>
      </x:c>
      <x:c r="G539" s="11" t="n">
        <x:v>1</x:v>
      </x:c>
      <x:c r="H539" s="2" t="str">
        <x:v>55 inch</x:v>
      </x:c>
      <x:c r="I539" s="12" t="str">
        <x:v>Boeing; Abinbev; Qsc; sifive; Mediakind; Accenture; Iron Mountain; Ernst and Young; EMC- Dell; Zyeus; Nvidia; Samsung; Microland; Google; Mphasis; Amazon; Quotient; ARM; Xentrix; visa; Ericsson</x:v>
      </x:c>
      <x:c r="J539" s="2" t="n">
        <x:v>21</x:v>
      </x:c>
      <x:c r="K539" s="12" t="str">
        <x:v>Campus/portfolio roster; individual building occupancy unverified</x:v>
      </x:c>
      <x:c r="L539" s="12" t="str">
        <x:v>IT &amp; digital; Professional services; Finance &amp; insurance; Engineering &amp; manufacturing; Trade, consumer &amp; logistics; Unresolved</x:v>
      </x:c>
      <x:c r="M539" s="12" t="str">
        <x:v>Small-scale prospects; Large enterprise; Mixed business audience</x:v>
      </x:c>
      <x:c r="N539" s="12" t="str">
        <x:v>PARTNER-M120</x:v>
      </x:c>
      <x:c r="O539" s="13"/>
      <x:c r="P539" s="13"/>
      <x:c r="Q539" s="2" t="str"/>
      <x:c r="R539"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39" s="12" t="str">
        <x:v>Mixed commercial workplace</x:v>
      </x:c>
      <x:c r="T539" s="12" t="str">
        <x:v>Tenant business-type estimates and reviewed company-scale context.</x:v>
      </x:c>
    </x:row>
    <x:row r="540" ht="64" customHeight="1">
      <x:c r="A540" s="10" t="n">
        <x:v>1</x:v>
      </x:c>
      <x:c r="B540" s="2" t="str">
        <x:v>CORP-0547</x:v>
      </x:c>
      <x:c r="C540" s="2" t="str">
        <x:v>Bengaluru</x:v>
      </x:c>
      <x:c r="D540" s="2" t="str"/>
      <x:c r="E540" s="12" t="str">
        <x:v>Bagmane World Technology Centre</x:v>
      </x:c>
      <x:c r="F540" s="12" t="str">
        <x:v>Aquamarine Block</x:v>
      </x:c>
      <x:c r="G540" s="11" t="n">
        <x:v>1</x:v>
      </x:c>
      <x:c r="H540" s="2" t="str">
        <x:v>55 inch</x:v>
      </x:c>
      <x:c r="I540" s="12" t="str">
        <x:v>Boeing; Abinbev; Qsc; sifive; Mediakind; Accenture; Iron Mountain; Ernst and Young; EMC- Dell; Zyeus; Nvidia; Samsung; Microland; Google; Mphasis; Amazon; Quotient; ARM; Xentrix; visa; Ericsson</x:v>
      </x:c>
      <x:c r="J540" s="2" t="n">
        <x:v>21</x:v>
      </x:c>
      <x:c r="K540" s="12" t="str">
        <x:v>Campus/portfolio roster; individual building occupancy unverified</x:v>
      </x:c>
      <x:c r="L540" s="12" t="str">
        <x:v>IT &amp; digital; Professional services; Finance &amp; insurance; Engineering &amp; manufacturing; Trade, consumer &amp; logistics; Unresolved</x:v>
      </x:c>
      <x:c r="M540" s="12" t="str">
        <x:v>Small-scale prospects; Large enterprise; Mixed business audience</x:v>
      </x:c>
      <x:c r="N540" s="12" t="str">
        <x:v>PARTNER-M120</x:v>
      </x:c>
      <x:c r="O540" s="13"/>
      <x:c r="P540" s="13"/>
      <x:c r="Q540" s="2" t="str"/>
      <x:c r="R540" s="2" t="str">
        <x:v>TEN-16F45B99ABFD; TEN-20E8BE98ADE9; TEN-2D844470A22E; TEN-35E87826D332; TEN-4C5029DA39B5; TEN-4D748EBD71AF; TEN-65F96528B346; TEN-69A068939DEA; TEN-719F53D2AD92; TEN-7CA58AD857DB; TEN-8D4321D93632; TEN-968E2D5B0868; TEN-A88C31E9B91F; TEN-BBDEFA2950F4; TEN-C63AC00C4D11; TEN-CBC62794911F; TEN-D861EE362E38; TEN-DDF7FF5EBD9D; TEN-DFAE2CFCA884; TEN-E759968CA927; TEN-F2ED4886E20F</x:v>
      </x:c>
      <x:c r="S540" s="12" t="str">
        <x:v>Mixed commercial workplace</x:v>
      </x:c>
      <x:c r="T540" s="12" t="str">
        <x:v>Tenant business-type estimates and reviewed company-scale context.</x:v>
      </x:c>
    </x:row>
    <x:row r="541" ht="64" customHeight="1">
      <x:c r="A541" s="10" t="n">
        <x:v>1</x:v>
      </x:c>
      <x:c r="B541" s="2" t="str">
        <x:v>CORP-0548</x:v>
      </x:c>
      <x:c r="C541" s="2" t="str">
        <x:v>Bengaluru</x:v>
      </x:c>
      <x:c r="D541" s="2" t="str"/>
      <x:c r="E541" s="12" t="str">
        <x:v>Bagmane Constellation </x:v>
      </x:c>
      <x:c r="F541" s="12" t="str">
        <x:v>Food Court 1</x:v>
      </x:c>
      <x:c r="G541" s="11" t="n">
        <x:v>1</x:v>
      </x:c>
      <x:c r="H541" s="2" t="str">
        <x:v>55 inch</x:v>
      </x:c>
      <x:c r="I541" s="12" t="str">
        <x:v>Mysis; Boeing; Alstom; Sapient; Ernst and Young; Red Hat; Samsung; Google; Amazon; Qualcomm; Archwel</x:v>
      </x:c>
      <x:c r="J541" s="2" t="n">
        <x:v>11</x:v>
      </x:c>
      <x:c r="K541" s="12" t="str">
        <x:v>Campus/portfolio roster; individual building occupancy unverified</x:v>
      </x:c>
      <x:c r="L541" s="12" t="str">
        <x:v>IT &amp; digital; Professional services; Engineering &amp; manufacturing; Unresolved</x:v>
      </x:c>
      <x:c r="M541" s="12" t="str">
        <x:v>Large enterprise; Mixed business audience</x:v>
      </x:c>
      <x:c r="N541" s="12" t="str">
        <x:v>PARTNER-M130</x:v>
      </x:c>
      <x:c r="O541" s="13"/>
      <x:c r="P541" s="13"/>
      <x:c r="Q541" s="2" t="str"/>
      <x:c r="R541" s="2" t="str">
        <x:v>TEN-090321827705; TEN-16F45B99ABFD; TEN-36E26473A4E8; TEN-3E451D4C362B; TEN-69A068939DEA; TEN-8DFE5E6CF73B; TEN-968E2D5B0868; TEN-BBDEFA2950F4; TEN-CBC62794911F; TEN-F31639A23C74; TEN-F68A6275A50C</x:v>
      </x:c>
      <x:c r="S541" s="12" t="str">
        <x:v>Mixed commercial workplace</x:v>
      </x:c>
      <x:c r="T541" s="12" t="str">
        <x:v>Tenant business-type estimates and reviewed company-scale context.</x:v>
      </x:c>
    </x:row>
    <x:row r="542" ht="64" customHeight="1">
      <x:c r="A542" s="10" t="n">
        <x:v>1</x:v>
      </x:c>
      <x:c r="B542" s="2" t="str">
        <x:v>CORP-0549</x:v>
      </x:c>
      <x:c r="C542" s="2" t="str">
        <x:v>Bengaluru</x:v>
      </x:c>
      <x:c r="D542" s="2" t="str"/>
      <x:c r="E542" s="12" t="str">
        <x:v>Bagmane Constellation </x:v>
      </x:c>
      <x:c r="F542" s="12" t="str">
        <x:v>Food Court 2</x:v>
      </x:c>
      <x:c r="G542" s="11" t="n">
        <x:v>1</x:v>
      </x:c>
      <x:c r="H542" s="2" t="str">
        <x:v>55 inch</x:v>
      </x:c>
      <x:c r="I542" s="12" t="str">
        <x:v>Mysis; Boeing; Alstom; Sapient; Ernst and Young; Red Hat; Samsung; Google; Amazon; Qualcomm; Archwel</x:v>
      </x:c>
      <x:c r="J542" s="2" t="n">
        <x:v>11</x:v>
      </x:c>
      <x:c r="K542" s="12" t="str">
        <x:v>Campus/portfolio roster; individual building occupancy unverified</x:v>
      </x:c>
      <x:c r="L542" s="12" t="str">
        <x:v>IT &amp; digital; Professional services; Engineering &amp; manufacturing; Unresolved</x:v>
      </x:c>
      <x:c r="M542" s="12" t="str">
        <x:v>Large enterprise; Mixed business audience</x:v>
      </x:c>
      <x:c r="N542" s="12" t="str">
        <x:v>PARTNER-M130</x:v>
      </x:c>
      <x:c r="O542" s="13"/>
      <x:c r="P542" s="13"/>
      <x:c r="Q542" s="2" t="str"/>
      <x:c r="R542" s="2" t="str">
        <x:v>TEN-090321827705; TEN-16F45B99ABFD; TEN-36E26473A4E8; TEN-3E451D4C362B; TEN-69A068939DEA; TEN-8DFE5E6CF73B; TEN-968E2D5B0868; TEN-BBDEFA2950F4; TEN-CBC62794911F; TEN-F31639A23C74; TEN-F68A6275A50C</x:v>
      </x:c>
      <x:c r="S542" s="12" t="str">
        <x:v>Mixed commercial workplace</x:v>
      </x:c>
      <x:c r="T542" s="12" t="str">
        <x:v>Tenant business-type estimates and reviewed company-scale context.</x:v>
      </x:c>
    </x:row>
    <x:row r="543" ht="64" customHeight="1">
      <x:c r="A543" s="10" t="n">
        <x:v>1</x:v>
      </x:c>
      <x:c r="B543" s="2" t="str">
        <x:v>CORP-0550</x:v>
      </x:c>
      <x:c r="C543" s="2" t="str">
        <x:v>Bengaluru</x:v>
      </x:c>
      <x:c r="D543" s="2" t="str"/>
      <x:c r="E543" s="12" t="str">
        <x:v>Bagmane Constellation </x:v>
      </x:c>
      <x:c r="F543" s="12" t="str">
        <x:v>Food Court 3</x:v>
      </x:c>
      <x:c r="G543" s="11" t="n">
        <x:v>1</x:v>
      </x:c>
      <x:c r="H543" s="2" t="str">
        <x:v>55 inch</x:v>
      </x:c>
      <x:c r="I543" s="12" t="str">
        <x:v>Mysis; Boeing; Alstom; Sapient; Ernst and Young; Red Hat; Samsung; Google; Amazon; Qualcomm; Archwel</x:v>
      </x:c>
      <x:c r="J543" s="2" t="n">
        <x:v>11</x:v>
      </x:c>
      <x:c r="K543" s="12" t="str">
        <x:v>Campus/portfolio roster; individual building occupancy unverified</x:v>
      </x:c>
      <x:c r="L543" s="12" t="str">
        <x:v>IT &amp; digital; Professional services; Engineering &amp; manufacturing; Unresolved</x:v>
      </x:c>
      <x:c r="M543" s="12" t="str">
        <x:v>Large enterprise; Mixed business audience</x:v>
      </x:c>
      <x:c r="N543" s="12" t="str">
        <x:v>PARTNER-M130</x:v>
      </x:c>
      <x:c r="O543" s="13"/>
      <x:c r="P543" s="13"/>
      <x:c r="Q543" s="2" t="str"/>
      <x:c r="R543" s="2" t="str">
        <x:v>TEN-090321827705; TEN-16F45B99ABFD; TEN-36E26473A4E8; TEN-3E451D4C362B; TEN-69A068939DEA; TEN-8DFE5E6CF73B; TEN-968E2D5B0868; TEN-BBDEFA2950F4; TEN-CBC62794911F; TEN-F31639A23C74; TEN-F68A6275A50C</x:v>
      </x:c>
      <x:c r="S543" s="12" t="str">
        <x:v>Mixed commercial workplace</x:v>
      </x:c>
      <x:c r="T543" s="12" t="str">
        <x:v>Tenant business-type estimates and reviewed company-scale context.</x:v>
      </x:c>
    </x:row>
    <x:row r="544" ht="64" customHeight="1">
      <x:c r="A544" s="10" t="n">
        <x:v>1</x:v>
      </x:c>
      <x:c r="B544" s="2" t="str">
        <x:v>CORP-0551</x:v>
      </x:c>
      <x:c r="C544" s="2" t="str">
        <x:v>Bengaluru</x:v>
      </x:c>
      <x:c r="D544" s="2" t="str"/>
      <x:c r="E544" s="12" t="str">
        <x:v>Bagmane Constellation </x:v>
      </x:c>
      <x:c r="F544" s="12" t="str">
        <x:v>Food Court 4</x:v>
      </x:c>
      <x:c r="G544" s="11" t="n">
        <x:v>1</x:v>
      </x:c>
      <x:c r="H544" s="2" t="str">
        <x:v>55 inch</x:v>
      </x:c>
      <x:c r="I544" s="12" t="str">
        <x:v>Mysis; Boeing; Alstom; Sapient; Ernst and Young; Red Hat; Samsung; Google; Amazon; Qualcomm; Archwel</x:v>
      </x:c>
      <x:c r="J544" s="2" t="n">
        <x:v>11</x:v>
      </x:c>
      <x:c r="K544" s="12" t="str">
        <x:v>Campus/portfolio roster; individual building occupancy unverified</x:v>
      </x:c>
      <x:c r="L544" s="12" t="str">
        <x:v>IT &amp; digital; Professional services; Engineering &amp; manufacturing; Unresolved</x:v>
      </x:c>
      <x:c r="M544" s="12" t="str">
        <x:v>Large enterprise; Mixed business audience</x:v>
      </x:c>
      <x:c r="N544" s="12" t="str">
        <x:v>PARTNER-M130</x:v>
      </x:c>
      <x:c r="O544" s="13"/>
      <x:c r="P544" s="13"/>
      <x:c r="Q544" s="2" t="str"/>
      <x:c r="R544" s="2" t="str">
        <x:v>TEN-090321827705; TEN-16F45B99ABFD; TEN-36E26473A4E8; TEN-3E451D4C362B; TEN-69A068939DEA; TEN-8DFE5E6CF73B; TEN-968E2D5B0868; TEN-BBDEFA2950F4; TEN-CBC62794911F; TEN-F31639A23C74; TEN-F68A6275A50C</x:v>
      </x:c>
      <x:c r="S544" s="12" t="str">
        <x:v>Mixed commercial workplace</x:v>
      </x:c>
      <x:c r="T544" s="12" t="str">
        <x:v>Tenant business-type estimates and reviewed company-scale context.</x:v>
      </x:c>
    </x:row>
    <x:row r="545" ht="64" customHeight="1">
      <x:c r="A545" s="10" t="n">
        <x:v>1</x:v>
      </x:c>
      <x:c r="B545" s="2" t="str">
        <x:v>CORP-0552</x:v>
      </x:c>
      <x:c r="C545" s="2" t="str">
        <x:v>Bengaluru</x:v>
      </x:c>
      <x:c r="D545" s="2" t="str"/>
      <x:c r="E545" s="12" t="str">
        <x:v>Bagmane Constellation </x:v>
      </x:c>
      <x:c r="F545" s="12" t="str">
        <x:v>Orion Block</x:v>
      </x:c>
      <x:c r="G545" s="11" t="n">
        <x:v>1</x:v>
      </x:c>
      <x:c r="H545" s="2" t="str">
        <x:v>55 inch</x:v>
      </x:c>
      <x:c r="I545" s="12" t="str">
        <x:v>Mysis; Boeing; Alstom; Sapient; Ernst and Young; Red Hat; Samsung; Google; Amazon; Qualcomm; Archwel</x:v>
      </x:c>
      <x:c r="J545" s="2" t="n">
        <x:v>11</x:v>
      </x:c>
      <x:c r="K545" s="12" t="str">
        <x:v>Campus/portfolio roster; individual building occupancy unverified</x:v>
      </x:c>
      <x:c r="L545" s="12" t="str">
        <x:v>IT &amp; digital; Professional services; Engineering &amp; manufacturing; Unresolved</x:v>
      </x:c>
      <x:c r="M545" s="12" t="str">
        <x:v>Large enterprise; Mixed business audience</x:v>
      </x:c>
      <x:c r="N545" s="12" t="str">
        <x:v>PARTNER-M130</x:v>
      </x:c>
      <x:c r="O545" s="13"/>
      <x:c r="P545" s="13"/>
      <x:c r="Q545" s="2" t="str"/>
      <x:c r="R545" s="2" t="str">
        <x:v>TEN-090321827705; TEN-16F45B99ABFD; TEN-36E26473A4E8; TEN-3E451D4C362B; TEN-69A068939DEA; TEN-8DFE5E6CF73B; TEN-968E2D5B0868; TEN-BBDEFA2950F4; TEN-CBC62794911F; TEN-F31639A23C74; TEN-F68A6275A50C</x:v>
      </x:c>
      <x:c r="S545" s="12" t="str">
        <x:v>Mixed commercial workplace</x:v>
      </x:c>
      <x:c r="T545" s="12" t="str">
        <x:v>Tenant business-type estimates and reviewed company-scale context.</x:v>
      </x:c>
    </x:row>
    <x:row r="546" ht="64" customHeight="1">
      <x:c r="A546" s="10" t="n">
        <x:v>1</x:v>
      </x:c>
      <x:c r="B546" s="2" t="str">
        <x:v>CORP-0553</x:v>
      </x:c>
      <x:c r="C546" s="2" t="str">
        <x:v>Bengaluru</x:v>
      </x:c>
      <x:c r="D546" s="2" t="str"/>
      <x:c r="E546" s="12" t="str">
        <x:v>Bagmane Constellation </x:v>
      </x:c>
      <x:c r="F546" s="12" t="str">
        <x:v>Carina East</x:v>
      </x:c>
      <x:c r="G546" s="11" t="n">
        <x:v>1</x:v>
      </x:c>
      <x:c r="H546" s="2" t="str">
        <x:v>55 inch</x:v>
      </x:c>
      <x:c r="I546" s="12" t="str">
        <x:v>Mysis; Boeing; Alstom; Sapient; Ernst and Young; Red Hat; Samsung; Google; Amazon; Qualcomm; Archwel</x:v>
      </x:c>
      <x:c r="J546" s="2" t="n">
        <x:v>11</x:v>
      </x:c>
      <x:c r="K546" s="12" t="str">
        <x:v>Campus/portfolio roster; individual building occupancy unverified</x:v>
      </x:c>
      <x:c r="L546" s="12" t="str">
        <x:v>IT &amp; digital; Professional services; Engineering &amp; manufacturing; Unresolved</x:v>
      </x:c>
      <x:c r="M546" s="12" t="str">
        <x:v>Large enterprise; Mixed business audience</x:v>
      </x:c>
      <x:c r="N546" s="12" t="str">
        <x:v>PARTNER-M130</x:v>
      </x:c>
      <x:c r="O546" s="13"/>
      <x:c r="P546" s="13"/>
      <x:c r="Q546" s="2" t="str"/>
      <x:c r="R546" s="2" t="str">
        <x:v>TEN-090321827705; TEN-16F45B99ABFD; TEN-36E26473A4E8; TEN-3E451D4C362B; TEN-69A068939DEA; TEN-8DFE5E6CF73B; TEN-968E2D5B0868; TEN-BBDEFA2950F4; TEN-CBC62794911F; TEN-F31639A23C74; TEN-F68A6275A50C</x:v>
      </x:c>
      <x:c r="S546" s="12" t="str">
        <x:v>Mixed commercial workplace</x:v>
      </x:c>
      <x:c r="T546" s="12" t="str">
        <x:v>Tenant business-type estimates and reviewed company-scale context.</x:v>
      </x:c>
    </x:row>
    <x:row r="547" ht="64" customHeight="1">
      <x:c r="A547" s="10" t="n">
        <x:v>1</x:v>
      </x:c>
      <x:c r="B547" s="2" t="str">
        <x:v>CORP-0554</x:v>
      </x:c>
      <x:c r="C547" s="2" t="str">
        <x:v>Bengaluru</x:v>
      </x:c>
      <x:c r="D547" s="2" t="str"/>
      <x:c r="E547" s="12" t="str">
        <x:v>Bagmane Constellation </x:v>
      </x:c>
      <x:c r="F547" s="12" t="str">
        <x:v>Virgo Block</x:v>
      </x:c>
      <x:c r="G547" s="11" t="n">
        <x:v>1</x:v>
      </x:c>
      <x:c r="H547" s="2" t="str">
        <x:v>55 inch</x:v>
      </x:c>
      <x:c r="I547" s="12" t="str">
        <x:v>Mysis; Boeing; Alstom; Sapient; Ernst and Young; Red Hat; Samsung; Google; Amazon; Qualcomm; Archwel</x:v>
      </x:c>
      <x:c r="J547" s="2" t="n">
        <x:v>11</x:v>
      </x:c>
      <x:c r="K547" s="12" t="str">
        <x:v>Campus/portfolio roster; individual building occupancy unverified</x:v>
      </x:c>
      <x:c r="L547" s="12" t="str">
        <x:v>IT &amp; digital; Professional services; Engineering &amp; manufacturing; Unresolved</x:v>
      </x:c>
      <x:c r="M547" s="12" t="str">
        <x:v>Large enterprise; Mixed business audience</x:v>
      </x:c>
      <x:c r="N547" s="12" t="str">
        <x:v>PARTNER-M130</x:v>
      </x:c>
      <x:c r="O547" s="13"/>
      <x:c r="P547" s="13"/>
      <x:c r="Q547" s="2" t="str"/>
      <x:c r="R547" s="2" t="str">
        <x:v>TEN-090321827705; TEN-16F45B99ABFD; TEN-36E26473A4E8; TEN-3E451D4C362B; TEN-69A068939DEA; TEN-8DFE5E6CF73B; TEN-968E2D5B0868; TEN-BBDEFA2950F4; TEN-CBC62794911F; TEN-F31639A23C74; TEN-F68A6275A50C</x:v>
      </x:c>
      <x:c r="S547" s="12" t="str">
        <x:v>Mixed commercial workplace</x:v>
      </x:c>
      <x:c r="T547" s="12" t="str">
        <x:v>Tenant business-type estimates and reviewed company-scale context.</x:v>
      </x:c>
    </x:row>
    <x:row r="548" ht="64" customHeight="1">
      <x:c r="A548" s="10" t="n">
        <x:v>1</x:v>
      </x:c>
      <x:c r="B548" s="2" t="str">
        <x:v>CORP-0555</x:v>
      </x:c>
      <x:c r="C548" s="2" t="str">
        <x:v>Bengaluru</x:v>
      </x:c>
      <x:c r="D548" s="2" t="str"/>
      <x:c r="E548" s="12" t="str">
        <x:v>Bagmane Constellation </x:v>
      </x:c>
      <x:c r="F548" s="12" t="str">
        <x:v>Food Court 5</x:v>
      </x:c>
      <x:c r="G548" s="11" t="n">
        <x:v>1</x:v>
      </x:c>
      <x:c r="H548" s="2" t="str">
        <x:v>55 inch</x:v>
      </x:c>
      <x:c r="I548" s="12" t="str">
        <x:v>Mysis; Boeing; Alstom; Sapient; Ernst and Young; Red Hat; Samsung; Google; Amazon; Qualcomm; Archwel</x:v>
      </x:c>
      <x:c r="J548" s="2" t="n">
        <x:v>11</x:v>
      </x:c>
      <x:c r="K548" s="12" t="str">
        <x:v>Campus/portfolio roster; individual building occupancy unverified</x:v>
      </x:c>
      <x:c r="L548" s="12" t="str">
        <x:v>IT &amp; digital; Professional services; Engineering &amp; manufacturing; Unresolved</x:v>
      </x:c>
      <x:c r="M548" s="12" t="str">
        <x:v>Large enterprise; Mixed business audience</x:v>
      </x:c>
      <x:c r="N548" s="12" t="str">
        <x:v>PARTNER-M130</x:v>
      </x:c>
      <x:c r="O548" s="13"/>
      <x:c r="P548" s="13"/>
      <x:c r="Q548" s="2" t="str"/>
      <x:c r="R548" s="2" t="str">
        <x:v>TEN-090321827705; TEN-16F45B99ABFD; TEN-36E26473A4E8; TEN-3E451D4C362B; TEN-69A068939DEA; TEN-8DFE5E6CF73B; TEN-968E2D5B0868; TEN-BBDEFA2950F4; TEN-CBC62794911F; TEN-F31639A23C74; TEN-F68A6275A50C</x:v>
      </x:c>
      <x:c r="S548" s="12" t="str">
        <x:v>Mixed commercial workplace</x:v>
      </x:c>
      <x:c r="T548" s="12" t="str">
        <x:v>Tenant business-type estimates and reviewed company-scale context.</x:v>
      </x:c>
    </x:row>
    <x:row r="549" ht="64" customHeight="1">
      <x:c r="A549" s="10" t="n">
        <x:v>1</x:v>
      </x:c>
      <x:c r="B549" s="2" t="str">
        <x:v>CORP-0556</x:v>
      </x:c>
      <x:c r="C549" s="2" t="str">
        <x:v>Bengaluru</x:v>
      </x:c>
      <x:c r="D549" s="2" t="str"/>
      <x:c r="E549" s="12" t="str">
        <x:v>Bagmane Capital</x:v>
      </x:c>
      <x:c r="F549" s="12" t="str">
        <x:v>Angkor West Block – Elevator Lobby</x:v>
      </x:c>
      <x:c r="G549" s="11" t="n">
        <x:v>1</x:v>
      </x:c>
      <x:c r="H549" s="2" t="str">
        <x:v>55 inch</x:v>
      </x:c>
      <x:c r="I549" s="12" t="str">
        <x:v>American Express; GSK Global Capability Centre; Feathertouch Daycare; Bottomline; FAB Global Business Services; Amazon Development Centre; Microsoft; Databricks India Pvt Ltd; Qualcomm; Wayfair Global Technology Private Limited</x:v>
      </x:c>
      <x:c r="J549" s="2" t="n">
        <x:v>10</x:v>
      </x:c>
      <x:c r="K549" s="12" t="str">
        <x:v>Campus/portfolio roster; individual building occupancy unverified</x:v>
      </x:c>
      <x:c r="L549" s="12" t="str">
        <x:v>IT &amp; digital; Finance &amp; insurance; Engineering &amp; manufacturing; Healthcare &amp; life sciences; Education; Trade, consumer &amp; logistics</x:v>
      </x:c>
      <x:c r="M549" s="12" t="str">
        <x:v>Medium-scale prospects; Large enterprise; Mixed business audience</x:v>
      </x:c>
      <x:c r="N549" s="12" t="str">
        <x:v>PARTNER-M138</x:v>
      </x:c>
      <x:c r="O549" s="13"/>
      <x:c r="P549" s="13"/>
      <x:c r="Q549" s="2" t="str"/>
      <x:c r="R549" s="2" t="str">
        <x:v>TEN-066B5B5AD807; TEN-1E6EA169C908; TEN-484C6092587B; TEN-59685FB62EA9; TEN-72B523BE49B1; TEN-859F1EFC67BC; TEN-9FBF261B62C1; TEN-B178003E7D85; TEN-F31639A23C74; TEN-F6C7E6892C6F</x:v>
      </x:c>
      <x:c r="S549" s="12" t="str">
        <x:v>Mixed commercial workplace</x:v>
      </x:c>
      <x:c r="T549" s="12" t="str">
        <x:v>Tenant business-type estimates and reviewed company-scale context.</x:v>
      </x:c>
    </x:row>
    <x:row r="550" ht="64" customHeight="1">
      <x:c r="A550" s="10" t="n">
        <x:v>1</x:v>
      </x:c>
      <x:c r="B550" s="2" t="str">
        <x:v>CORP-0557</x:v>
      </x:c>
      <x:c r="C550" s="2" t="str">
        <x:v>Bengaluru</x:v>
      </x:c>
      <x:c r="D550" s="2" t="str"/>
      <x:c r="E550" s="12" t="str">
        <x:v>Bagmane Capital</x:v>
      </x:c>
      <x:c r="F550" s="12" t="str">
        <x:v>Rome North Block – Elevator Lobby</x:v>
      </x:c>
      <x:c r="G550" s="11" t="n">
        <x:v>1</x:v>
      </x:c>
      <x:c r="H550" s="2" t="str">
        <x:v>55 inch</x:v>
      </x:c>
      <x:c r="I550" s="12" t="str">
        <x:v>American Express; GSK Global Capability Centre; Feathertouch Daycare; Bottomline; FAB Global Business Services; Amazon Development Centre; Microsoft; Databricks India Pvt Ltd; Qualcomm; Wayfair Global Technology Private Limited</x:v>
      </x:c>
      <x:c r="J550" s="2" t="n">
        <x:v>10</x:v>
      </x:c>
      <x:c r="K550" s="12" t="str">
        <x:v>Campus/portfolio roster; individual building occupancy unverified</x:v>
      </x:c>
      <x:c r="L550" s="12" t="str">
        <x:v>IT &amp; digital; Finance &amp; insurance; Engineering &amp; manufacturing; Healthcare &amp; life sciences; Education; Trade, consumer &amp; logistics</x:v>
      </x:c>
      <x:c r="M550" s="12" t="str">
        <x:v>Medium-scale prospects; Large enterprise; Mixed business audience</x:v>
      </x:c>
      <x:c r="N550" s="12" t="str">
        <x:v>PARTNER-M138</x:v>
      </x:c>
      <x:c r="O550" s="13"/>
      <x:c r="P550" s="13"/>
      <x:c r="Q550" s="2" t="str"/>
      <x:c r="R550" s="2" t="str">
        <x:v>TEN-066B5B5AD807; TEN-1E6EA169C908; TEN-484C6092587B; TEN-59685FB62EA9; TEN-72B523BE49B1; TEN-859F1EFC67BC; TEN-9FBF261B62C1; TEN-B178003E7D85; TEN-F31639A23C74; TEN-F6C7E6892C6F</x:v>
      </x:c>
      <x:c r="S550" s="12" t="str">
        <x:v>Mixed commercial workplace</x:v>
      </x:c>
      <x:c r="T550" s="12" t="str">
        <x:v>Tenant business-type estimates and reviewed company-scale context.</x:v>
      </x:c>
    </x:row>
    <x:row r="551" ht="64" customHeight="1">
      <x:c r="A551" s="10" t="n">
        <x:v>1</x:v>
      </x:c>
      <x:c r="B551" s="2" t="str">
        <x:v>CORP-0558</x:v>
      </x:c>
      <x:c r="C551" s="2" t="str">
        <x:v>Bengaluru</x:v>
      </x:c>
      <x:c r="D551" s="2" t="str"/>
      <x:c r="E551" s="12" t="str">
        <x:v>Bagmane Capital</x:v>
      </x:c>
      <x:c r="F551" s="12" t="str">
        <x:v>Luxor North Block – Elevator Lobby</x:v>
      </x:c>
      <x:c r="G551" s="11" t="n">
        <x:v>1</x:v>
      </x:c>
      <x:c r="H551" s="2" t="str">
        <x:v>55 inch</x:v>
      </x:c>
      <x:c r="I551" s="12" t="str">
        <x:v>American Express; GSK Global Capability Centre; Feathertouch Daycare; Bottomline; FAB Global Business Services; Amazon Development Centre; Microsoft; Databricks India Pvt Ltd; Qualcomm; Wayfair Global Technology Private Limited</x:v>
      </x:c>
      <x:c r="J551" s="2" t="n">
        <x:v>10</x:v>
      </x:c>
      <x:c r="K551" s="12" t="str">
        <x:v>Campus/portfolio roster; individual building occupancy unverified</x:v>
      </x:c>
      <x:c r="L551" s="12" t="str">
        <x:v>IT &amp; digital; Finance &amp; insurance; Engineering &amp; manufacturing; Healthcare &amp; life sciences; Education; Trade, consumer &amp; logistics</x:v>
      </x:c>
      <x:c r="M551" s="12" t="str">
        <x:v>Medium-scale prospects; Large enterprise; Mixed business audience</x:v>
      </x:c>
      <x:c r="N551" s="12" t="str">
        <x:v>PARTNER-M138</x:v>
      </x:c>
      <x:c r="O551" s="13"/>
      <x:c r="P551" s="13"/>
      <x:c r="Q551" s="2" t="str"/>
      <x:c r="R551" s="2" t="str">
        <x:v>TEN-066B5B5AD807; TEN-1E6EA169C908; TEN-484C6092587B; TEN-59685FB62EA9; TEN-72B523BE49B1; TEN-859F1EFC67BC; TEN-9FBF261B62C1; TEN-B178003E7D85; TEN-F31639A23C74; TEN-F6C7E6892C6F</x:v>
      </x:c>
      <x:c r="S551" s="12" t="str">
        <x:v>Mixed commercial workplace</x:v>
      </x:c>
      <x:c r="T551" s="12" t="str">
        <x:v>Tenant business-type estimates and reviewed company-scale context.</x:v>
      </x:c>
    </x:row>
    <x:row r="552" ht="64" customHeight="1">
      <x:c r="A552" s="10" t="n">
        <x:v>1</x:v>
      </x:c>
      <x:c r="B552" s="2" t="str">
        <x:v>CORP-0559</x:v>
      </x:c>
      <x:c r="C552" s="2" t="str">
        <x:v>Bengaluru</x:v>
      </x:c>
      <x:c r="D552" s="2" t="str"/>
      <x:c r="E552" s="12" t="str">
        <x:v>Bagmane Capital</x:v>
      </x:c>
      <x:c r="F552" s="12" t="str">
        <x:v>Luxor North Block – Reception</x:v>
      </x:c>
      <x:c r="G552" s="11" t="n">
        <x:v>1</x:v>
      </x:c>
      <x:c r="H552" s="2" t="str">
        <x:v>55 inch</x:v>
      </x:c>
      <x:c r="I552" s="12" t="str">
        <x:v>American Express; GSK Global Capability Centre; Feathertouch Daycare; Bottomline; FAB Global Business Services; Amazon Development Centre; Microsoft; Databricks India Pvt Ltd; Qualcomm; Wayfair Global Technology Private Limited</x:v>
      </x:c>
      <x:c r="J552" s="2" t="n">
        <x:v>10</x:v>
      </x:c>
      <x:c r="K552" s="12" t="str">
        <x:v>Campus/portfolio roster; individual building occupancy unverified</x:v>
      </x:c>
      <x:c r="L552" s="12" t="str">
        <x:v>IT &amp; digital; Finance &amp; insurance; Engineering &amp; manufacturing; Healthcare &amp; life sciences; Education; Trade, consumer &amp; logistics</x:v>
      </x:c>
      <x:c r="M552" s="12" t="str">
        <x:v>Medium-scale prospects; Large enterprise; Mixed business audience</x:v>
      </x:c>
      <x:c r="N552" s="12" t="str">
        <x:v>PARTNER-M138</x:v>
      </x:c>
      <x:c r="O552" s="13"/>
      <x:c r="P552" s="13"/>
      <x:c r="Q552" s="2" t="str"/>
      <x:c r="R552" s="2" t="str">
        <x:v>TEN-066B5B5AD807; TEN-1E6EA169C908; TEN-484C6092587B; TEN-59685FB62EA9; TEN-72B523BE49B1; TEN-859F1EFC67BC; TEN-9FBF261B62C1; TEN-B178003E7D85; TEN-F31639A23C74; TEN-F6C7E6892C6F</x:v>
      </x:c>
      <x:c r="S552" s="12" t="str">
        <x:v>Mixed commercial workplace</x:v>
      </x:c>
      <x:c r="T552" s="12" t="str">
        <x:v>Tenant business-type estimates and reviewed company-scale context.</x:v>
      </x:c>
    </x:row>
    <x:row r="553" ht="64" customHeight="1">
      <x:c r="A553" s="10" t="n">
        <x:v>1</x:v>
      </x:c>
      <x:c r="B553" s="2" t="str">
        <x:v>CORP-0560</x:v>
      </x:c>
      <x:c r="C553" s="2" t="str">
        <x:v>Bengaluru</x:v>
      </x:c>
      <x:c r="D553" s="2" t="str"/>
      <x:c r="E553" s="12" t="str">
        <x:v>Bagmane Capital</x:v>
      </x:c>
      <x:c r="F553" s="12" t="str">
        <x:v>Luxor South Block - Elevator Lobby</x:v>
      </x:c>
      <x:c r="G553" s="11" t="n">
        <x:v>1</x:v>
      </x:c>
      <x:c r="H553" s="2" t="str">
        <x:v>55 inch</x:v>
      </x:c>
      <x:c r="I553" s="12" t="str">
        <x:v>American Express; GSK Global Capability Centre; Feathertouch Daycare; Bottomline; FAB Global Business Services; Amazon Development Centre; Microsoft; Databricks India Pvt Ltd; Qualcomm; Wayfair Global Technology Private Limited</x:v>
      </x:c>
      <x:c r="J553" s="2" t="n">
        <x:v>10</x:v>
      </x:c>
      <x:c r="K553" s="12" t="str">
        <x:v>Campus/portfolio roster; individual building occupancy unverified</x:v>
      </x:c>
      <x:c r="L553" s="12" t="str">
        <x:v>IT &amp; digital; Finance &amp; insurance; Engineering &amp; manufacturing; Healthcare &amp; life sciences; Education; Trade, consumer &amp; logistics</x:v>
      </x:c>
      <x:c r="M553" s="12" t="str">
        <x:v>Medium-scale prospects; Large enterprise; Mixed business audience</x:v>
      </x:c>
      <x:c r="N553" s="12" t="str">
        <x:v>PARTNER-M138</x:v>
      </x:c>
      <x:c r="O553" s="13"/>
      <x:c r="P553" s="13"/>
      <x:c r="Q553" s="2" t="str"/>
      <x:c r="R553" s="2" t="str">
        <x:v>TEN-066B5B5AD807; TEN-1E6EA169C908; TEN-484C6092587B; TEN-59685FB62EA9; TEN-72B523BE49B1; TEN-859F1EFC67BC; TEN-9FBF261B62C1; TEN-B178003E7D85; TEN-F31639A23C74; TEN-F6C7E6892C6F</x:v>
      </x:c>
      <x:c r="S553" s="12" t="str">
        <x:v>Mixed commercial workplace</x:v>
      </x:c>
      <x:c r="T553" s="12" t="str">
        <x:v>Tenant business-type estimates and reviewed company-scale context.</x:v>
      </x:c>
    </x:row>
    <x:row r="554" ht="64" customHeight="1">
      <x:c r="A554" s="10" t="n">
        <x:v>1</x:v>
      </x:c>
      <x:c r="B554" s="2" t="str">
        <x:v>CORP-0561</x:v>
      </x:c>
      <x:c r="C554" s="2" t="str">
        <x:v>Bengaluru</x:v>
      </x:c>
      <x:c r="D554" s="2" t="str"/>
      <x:c r="E554" s="12" t="str">
        <x:v>Bagmane Capital</x:v>
      </x:c>
      <x:c r="F554" s="12" t="str">
        <x:v>Food Court 1</x:v>
      </x:c>
      <x:c r="G554" s="11" t="n">
        <x:v>1</x:v>
      </x:c>
      <x:c r="H554" s="2" t="str">
        <x:v>55 inch</x:v>
      </x:c>
      <x:c r="I554" s="12" t="str">
        <x:v>American Express; GSK Global Capability Centre; Feathertouch Daycare; Bottomline; FAB Global Business Services; Amazon Development Centre; Microsoft; Databricks India Pvt Ltd; Qualcomm; Wayfair Global Technology Private Limited</x:v>
      </x:c>
      <x:c r="J554" s="2" t="n">
        <x:v>10</x:v>
      </x:c>
      <x:c r="K554" s="12" t="str">
        <x:v>Campus/portfolio roster; individual building occupancy unverified</x:v>
      </x:c>
      <x:c r="L554" s="12" t="str">
        <x:v>IT &amp; digital; Finance &amp; insurance; Engineering &amp; manufacturing; Healthcare &amp; life sciences; Education; Trade, consumer &amp; logistics</x:v>
      </x:c>
      <x:c r="M554" s="12" t="str">
        <x:v>Medium-scale prospects; Large enterprise; Mixed business audience</x:v>
      </x:c>
      <x:c r="N554" s="12" t="str">
        <x:v>PARTNER-M138</x:v>
      </x:c>
      <x:c r="O554" s="13"/>
      <x:c r="P554" s="13"/>
      <x:c r="Q554" s="2" t="str"/>
      <x:c r="R554" s="2" t="str">
        <x:v>TEN-066B5B5AD807; TEN-1E6EA169C908; TEN-484C6092587B; TEN-59685FB62EA9; TEN-72B523BE49B1; TEN-859F1EFC67BC; TEN-9FBF261B62C1; TEN-B178003E7D85; TEN-F31639A23C74; TEN-F6C7E6892C6F</x:v>
      </x:c>
      <x:c r="S554" s="12" t="str">
        <x:v>Mixed commercial workplace</x:v>
      </x:c>
      <x:c r="T554" s="12" t="str">
        <x:v>Tenant business-type estimates and reviewed company-scale context.</x:v>
      </x:c>
    </x:row>
    <x:row r="555" ht="64" customHeight="1">
      <x:c r="A555" s="10" t="n">
        <x:v>1</x:v>
      </x:c>
      <x:c r="B555" s="2" t="str">
        <x:v>CORP-0562</x:v>
      </x:c>
      <x:c r="C555" s="2" t="str">
        <x:v>Bengaluru</x:v>
      </x:c>
      <x:c r="D555" s="2" t="str"/>
      <x:c r="E555" s="12" t="str">
        <x:v>Bagmane Capital</x:v>
      </x:c>
      <x:c r="F555" s="12" t="str">
        <x:v>Food Court 2</x:v>
      </x:c>
      <x:c r="G555" s="11" t="n">
        <x:v>1</x:v>
      </x:c>
      <x:c r="H555" s="2" t="str">
        <x:v>55 inch</x:v>
      </x:c>
      <x:c r="I555" s="12" t="str">
        <x:v>American Express; GSK Global Capability Centre; Feathertouch Daycare; Bottomline; FAB Global Business Services; Amazon Development Centre; Microsoft; Databricks India Pvt Ltd; Qualcomm; Wayfair Global Technology Private Limited</x:v>
      </x:c>
      <x:c r="J555" s="2" t="n">
        <x:v>10</x:v>
      </x:c>
      <x:c r="K555" s="12" t="str">
        <x:v>Campus/portfolio roster; individual building occupancy unverified</x:v>
      </x:c>
      <x:c r="L555" s="12" t="str">
        <x:v>IT &amp; digital; Finance &amp; insurance; Engineering &amp; manufacturing; Healthcare &amp; life sciences; Education; Trade, consumer &amp; logistics</x:v>
      </x:c>
      <x:c r="M555" s="12" t="str">
        <x:v>Medium-scale prospects; Large enterprise; Mixed business audience</x:v>
      </x:c>
      <x:c r="N555" s="12" t="str">
        <x:v>PARTNER-M138</x:v>
      </x:c>
      <x:c r="O555" s="13"/>
      <x:c r="P555" s="13"/>
      <x:c r="Q555" s="2" t="str"/>
      <x:c r="R555" s="2" t="str">
        <x:v>TEN-066B5B5AD807; TEN-1E6EA169C908; TEN-484C6092587B; TEN-59685FB62EA9; TEN-72B523BE49B1; TEN-859F1EFC67BC; TEN-9FBF261B62C1; TEN-B178003E7D85; TEN-F31639A23C74; TEN-F6C7E6892C6F</x:v>
      </x:c>
      <x:c r="S555" s="12" t="str">
        <x:v>Mixed commercial workplace</x:v>
      </x:c>
      <x:c r="T555" s="12" t="str">
        <x:v>Tenant business-type estimates and reviewed company-scale context.</x:v>
      </x:c>
    </x:row>
    <x:row r="556" ht="64" customHeight="1">
      <x:c r="A556" s="10" t="n">
        <x:v>1</x:v>
      </x:c>
      <x:c r="B556" s="2" t="str">
        <x:v>CORP-0563</x:v>
      </x:c>
      <x:c r="C556" s="2" t="str">
        <x:v>Bengaluru</x:v>
      </x:c>
      <x:c r="D556" s="2" t="str"/>
      <x:c r="E556" s="12" t="str">
        <x:v>Bagmane Capital</x:v>
      </x:c>
      <x:c r="F556" s="12" t="str">
        <x:v>Food Court 3</x:v>
      </x:c>
      <x:c r="G556" s="11" t="n">
        <x:v>1</x:v>
      </x:c>
      <x:c r="H556" s="2" t="str">
        <x:v>55 inch</x:v>
      </x:c>
      <x:c r="I556" s="12" t="str">
        <x:v>American Express; GSK Global Capability Centre; Feathertouch Daycare; Bottomline; FAB Global Business Services; Amazon Development Centre; Microsoft; Databricks India Pvt Ltd; Qualcomm; Wayfair Global Technology Private Limited</x:v>
      </x:c>
      <x:c r="J556" s="2" t="n">
        <x:v>10</x:v>
      </x:c>
      <x:c r="K556" s="12" t="str">
        <x:v>Campus/portfolio roster; individual building occupancy unverified</x:v>
      </x:c>
      <x:c r="L556" s="12" t="str">
        <x:v>IT &amp; digital; Finance &amp; insurance; Engineering &amp; manufacturing; Healthcare &amp; life sciences; Education; Trade, consumer &amp; logistics</x:v>
      </x:c>
      <x:c r="M556" s="12" t="str">
        <x:v>Medium-scale prospects; Large enterprise; Mixed business audience</x:v>
      </x:c>
      <x:c r="N556" s="12" t="str">
        <x:v>PARTNER-M138</x:v>
      </x:c>
      <x:c r="O556" s="13"/>
      <x:c r="P556" s="13"/>
      <x:c r="Q556" s="2" t="str"/>
      <x:c r="R556" s="2" t="str">
        <x:v>TEN-066B5B5AD807; TEN-1E6EA169C908; TEN-484C6092587B; TEN-59685FB62EA9; TEN-72B523BE49B1; TEN-859F1EFC67BC; TEN-9FBF261B62C1; TEN-B178003E7D85; TEN-F31639A23C74; TEN-F6C7E6892C6F</x:v>
      </x:c>
      <x:c r="S556" s="12" t="str">
        <x:v>Mixed commercial workplace</x:v>
      </x:c>
      <x:c r="T556" s="12" t="str">
        <x:v>Tenant business-type estimates and reviewed company-scale context.</x:v>
      </x:c>
    </x:row>
    <x:row r="557" ht="64" customHeight="1">
      <x:c r="A557" s="10" t="n">
        <x:v>1</x:v>
      </x:c>
      <x:c r="B557" s="2" t="str">
        <x:v>CORP-0564</x:v>
      </x:c>
      <x:c r="C557" s="2" t="str">
        <x:v>Bengaluru</x:v>
      </x:c>
      <x:c r="D557" s="2" t="str"/>
      <x:c r="E557" s="12" t="str">
        <x:v>Bagmane Solarium</x:v>
      </x:c>
      <x:c r="F557" s="12" t="str">
        <x:v>Neon lobby</x:v>
      </x:c>
      <x:c r="G557" s="11" t="n">
        <x:v>1</x:v>
      </x:c>
      <x:c r="H557" s="2" t="str">
        <x:v>55 inch</x:v>
      </x:c>
      <x:c r="I557" s="12" t="str">
        <x:v>Resourcespro; Shell India; Carelon Global Solutions; Burns &amp; McDonnell; Northern Trust; Tekion; Wesco Digital; Zebra Technologies; Schneider Electric</x:v>
      </x:c>
      <x:c r="J557" s="2" t="n">
        <x:v>9</x:v>
      </x:c>
      <x:c r="K557" s="12" t="str">
        <x:v>Campus/portfolio roster; individual building occupancy unverified</x:v>
      </x:c>
      <x:c r="L557" s="12" t="str">
        <x:v>IT &amp; digital; Professional services; Finance &amp; insurance; Engineering &amp; manufacturing; Healthcare &amp; life sciences</x:v>
      </x:c>
      <x:c r="M557" s="12" t="str">
        <x:v>Small-scale prospects; Large enterprise; Mixed business audience</x:v>
      </x:c>
      <x:c r="N557" s="12" t="str">
        <x:v>PARTNER-M146</x:v>
      </x:c>
      <x:c r="O557" s="13"/>
      <x:c r="P557" s="13"/>
      <x:c r="Q557" s="2" t="str"/>
      <x:c r="R557" s="2" t="str">
        <x:v>TEN-11C27A52B3EC; TEN-32A46F0F2FE1; TEN-54D308D4C42F; TEN-6C0D20116366; TEN-9891CBD98729; TEN-B2390264A2E8; TEN-B2D5ADC2EC6B; TEN-B620B7716796; TEN-BC3067AC45DF</x:v>
      </x:c>
      <x:c r="S557" s="12" t="str">
        <x:v>Mixed commercial workplace</x:v>
      </x:c>
      <x:c r="T557" s="12" t="str">
        <x:v>Tenant business-type estimates and reviewed company-scale context.</x:v>
      </x:c>
    </x:row>
    <x:row r="558" ht="64" customHeight="1">
      <x:c r="A558" s="10" t="n">
        <x:v>1</x:v>
      </x:c>
      <x:c r="B558" s="2" t="str">
        <x:v>CORP-0565</x:v>
      </x:c>
      <x:c r="C558" s="2" t="str">
        <x:v>Bengaluru</x:v>
      </x:c>
      <x:c r="D558" s="2" t="str"/>
      <x:c r="E558" s="12" t="str">
        <x:v>Bagmane Solarium</x:v>
      </x:c>
      <x:c r="F558" s="12" t="str">
        <x:v>Helium lobby</x:v>
      </x:c>
      <x:c r="G558" s="11" t="n">
        <x:v>1</x:v>
      </x:c>
      <x:c r="H558" s="2" t="str">
        <x:v>55 inch</x:v>
      </x:c>
      <x:c r="I558" s="12" t="str">
        <x:v>Resourcespro; Shell India; Carelon Global Solutions; Burns &amp; McDonnell; Northern Trust; Tekion; Wesco Digital; Zebra Technologies; Schneider Electric</x:v>
      </x:c>
      <x:c r="J558" s="2" t="n">
        <x:v>9</x:v>
      </x:c>
      <x:c r="K558" s="12" t="str">
        <x:v>Campus/portfolio roster; individual building occupancy unverified</x:v>
      </x:c>
      <x:c r="L558" s="12" t="str">
        <x:v>IT &amp; digital; Professional services; Finance &amp; insurance; Engineering &amp; manufacturing; Healthcare &amp; life sciences</x:v>
      </x:c>
      <x:c r="M558" s="12" t="str">
        <x:v>Small-scale prospects; Large enterprise; Mixed business audience</x:v>
      </x:c>
      <x:c r="N558" s="12" t="str">
        <x:v>PARTNER-M146</x:v>
      </x:c>
      <x:c r="O558" s="13"/>
      <x:c r="P558" s="13"/>
      <x:c r="Q558" s="2" t="str"/>
      <x:c r="R558" s="2" t="str">
        <x:v>TEN-11C27A52B3EC; TEN-32A46F0F2FE1; TEN-54D308D4C42F; TEN-6C0D20116366; TEN-9891CBD98729; TEN-B2390264A2E8; TEN-B2D5ADC2EC6B; TEN-B620B7716796; TEN-BC3067AC45DF</x:v>
      </x:c>
      <x:c r="S558" s="12" t="str">
        <x:v>Mixed commercial workplace</x:v>
      </x:c>
      <x:c r="T558" s="12" t="str">
        <x:v>Tenant business-type estimates and reviewed company-scale context.</x:v>
      </x:c>
    </x:row>
    <x:row r="559" ht="64" customHeight="1">
      <x:c r="A559" s="10" t="n">
        <x:v>1</x:v>
      </x:c>
      <x:c r="B559" s="2" t="str">
        <x:v>CORP-0566</x:v>
      </x:c>
      <x:c r="C559" s="2" t="str">
        <x:v>Bengaluru</x:v>
      </x:c>
      <x:c r="D559" s="2" t="str"/>
      <x:c r="E559" s="12" t="str">
        <x:v>Bagmane Solarium</x:v>
      </x:c>
      <x:c r="F559" s="12" t="str">
        <x:v>Xenon north</x:v>
      </x:c>
      <x:c r="G559" s="11" t="n">
        <x:v>1</x:v>
      </x:c>
      <x:c r="H559" s="2" t="str">
        <x:v>55 inch</x:v>
      </x:c>
      <x:c r="I559" s="12" t="str">
        <x:v>Resourcespro; Shell India; Carelon Global Solutions; Burns &amp; McDonnell; Northern Trust; Tekion; Wesco Digital; Zebra Technologies; Schneider Electric</x:v>
      </x:c>
      <x:c r="J559" s="2" t="n">
        <x:v>9</x:v>
      </x:c>
      <x:c r="K559" s="12" t="str">
        <x:v>Campus/portfolio roster; individual building occupancy unverified</x:v>
      </x:c>
      <x:c r="L559" s="12" t="str">
        <x:v>IT &amp; digital; Professional services; Finance &amp; insurance; Engineering &amp; manufacturing; Healthcare &amp; life sciences</x:v>
      </x:c>
      <x:c r="M559" s="12" t="str">
        <x:v>Small-scale prospects; Large enterprise; Mixed business audience</x:v>
      </x:c>
      <x:c r="N559" s="12" t="str">
        <x:v>PARTNER-M146</x:v>
      </x:c>
      <x:c r="O559" s="13"/>
      <x:c r="P559" s="13"/>
      <x:c r="Q559" s="2" t="str"/>
      <x:c r="R559" s="2" t="str">
        <x:v>TEN-11C27A52B3EC; TEN-32A46F0F2FE1; TEN-54D308D4C42F; TEN-6C0D20116366; TEN-9891CBD98729; TEN-B2390264A2E8; TEN-B2D5ADC2EC6B; TEN-B620B7716796; TEN-BC3067AC45DF</x:v>
      </x:c>
      <x:c r="S559" s="12" t="str">
        <x:v>Mixed commercial workplace</x:v>
      </x:c>
      <x:c r="T559" s="12" t="str">
        <x:v>Tenant business-type estimates and reviewed company-scale context.</x:v>
      </x:c>
    </x:row>
    <x:row r="560" ht="64" customHeight="1">
      <x:c r="A560" s="10" t="n">
        <x:v>1</x:v>
      </x:c>
      <x:c r="B560" s="2" t="str">
        <x:v>CORP-0567</x:v>
      </x:c>
      <x:c r="C560" s="2" t="str">
        <x:v>Bengaluru</x:v>
      </x:c>
      <x:c r="D560" s="2" t="str"/>
      <x:c r="E560" s="12" t="str">
        <x:v>Bagmane Solarium</x:v>
      </x:c>
      <x:c r="F560" s="12" t="str">
        <x:v>Food court 2</x:v>
      </x:c>
      <x:c r="G560" s="11" t="n">
        <x:v>1</x:v>
      </x:c>
      <x:c r="H560" s="2" t="str">
        <x:v>55 inch</x:v>
      </x:c>
      <x:c r="I560" s="12" t="str">
        <x:v>Resourcespro; Shell India; Carelon Global Solutions; Burns &amp; McDonnell; Northern Trust; Tekion; Wesco Digital; Zebra Technologies; Schneider Electric</x:v>
      </x:c>
      <x:c r="J560" s="2" t="n">
        <x:v>9</x:v>
      </x:c>
      <x:c r="K560" s="12" t="str">
        <x:v>Campus/portfolio roster; individual building occupancy unverified</x:v>
      </x:c>
      <x:c r="L560" s="12" t="str">
        <x:v>IT &amp; digital; Professional services; Finance &amp; insurance; Engineering &amp; manufacturing; Healthcare &amp; life sciences</x:v>
      </x:c>
      <x:c r="M560" s="12" t="str">
        <x:v>Small-scale prospects; Large enterprise; Mixed business audience</x:v>
      </x:c>
      <x:c r="N560" s="12" t="str">
        <x:v>PARTNER-M146</x:v>
      </x:c>
      <x:c r="O560" s="13"/>
      <x:c r="P560" s="13"/>
      <x:c r="Q560" s="2" t="str"/>
      <x:c r="R560" s="2" t="str">
        <x:v>TEN-11C27A52B3EC; TEN-32A46F0F2FE1; TEN-54D308D4C42F; TEN-6C0D20116366; TEN-9891CBD98729; TEN-B2390264A2E8; TEN-B2D5ADC2EC6B; TEN-B620B7716796; TEN-BC3067AC45DF</x:v>
      </x:c>
      <x:c r="S560" s="12" t="str">
        <x:v>Mixed commercial workplace</x:v>
      </x:c>
      <x:c r="T560" s="12" t="str">
        <x:v>Tenant business-type estimates and reviewed company-scale context.</x:v>
      </x:c>
    </x:row>
    <x:row r="561" ht="64" customHeight="1">
      <x:c r="A561" s="10" t="n">
        <x:v>1</x:v>
      </x:c>
      <x:c r="B561" s="2" t="str">
        <x:v>CORP-0568</x:v>
      </x:c>
      <x:c r="C561" s="2" t="str">
        <x:v>Bengaluru</x:v>
      </x:c>
      <x:c r="D561" s="2" t="str"/>
      <x:c r="E561" s="12" t="str">
        <x:v>Bagmane Solarium</x:v>
      </x:c>
      <x:c r="F561" s="12" t="str">
        <x:v>Food court 1</x:v>
      </x:c>
      <x:c r="G561" s="11" t="n">
        <x:v>1</x:v>
      </x:c>
      <x:c r="H561" s="2" t="str">
        <x:v>55 inch</x:v>
      </x:c>
      <x:c r="I561" s="12" t="str">
        <x:v>Resourcespro; Shell India; Carelon Global Solutions; Burns &amp; McDonnell; Northern Trust; Tekion; Wesco Digital; Zebra Technologies; Schneider Electric</x:v>
      </x:c>
      <x:c r="J561" s="2" t="n">
        <x:v>9</x:v>
      </x:c>
      <x:c r="K561" s="12" t="str">
        <x:v>Campus/portfolio roster; individual building occupancy unverified</x:v>
      </x:c>
      <x:c r="L561" s="12" t="str">
        <x:v>IT &amp; digital; Professional services; Finance &amp; insurance; Engineering &amp; manufacturing; Healthcare &amp; life sciences</x:v>
      </x:c>
      <x:c r="M561" s="12" t="str">
        <x:v>Small-scale prospects; Large enterprise; Mixed business audience</x:v>
      </x:c>
      <x:c r="N561" s="12" t="str">
        <x:v>PARTNER-M146</x:v>
      </x:c>
      <x:c r="O561" s="13"/>
      <x:c r="P561" s="13"/>
      <x:c r="Q561" s="2" t="str"/>
      <x:c r="R561" s="2" t="str">
        <x:v>TEN-11C27A52B3EC; TEN-32A46F0F2FE1; TEN-54D308D4C42F; TEN-6C0D20116366; TEN-9891CBD98729; TEN-B2390264A2E8; TEN-B2D5ADC2EC6B; TEN-B620B7716796; TEN-BC3067AC45DF</x:v>
      </x:c>
      <x:c r="S561" s="12" t="str">
        <x:v>Mixed commercial workplace</x:v>
      </x:c>
      <x:c r="T561" s="12" t="str">
        <x:v>Tenant business-type estimates and reviewed company-scale context.</x:v>
      </x:c>
    </x:row>
    <x:row r="562" ht="64" customHeight="1">
      <x:c r="A562" s="10" t="n">
        <x:v>1</x:v>
      </x:c>
      <x:c r="B562" s="2" t="str">
        <x:v>CORP-0569</x:v>
      </x:c>
      <x:c r="C562" s="2" t="str">
        <x:v>Bengaluru</x:v>
      </x:c>
      <x:c r="D562" s="2" t="str"/>
      <x:c r="E562" s="12" t="str">
        <x:v>Bagmane Solarium</x:v>
      </x:c>
      <x:c r="F562" s="12" t="str">
        <x:v>Northern Lobby</x:v>
      </x:c>
      <x:c r="G562" s="11" t="n">
        <x:v>1</x:v>
      </x:c>
      <x:c r="H562" s="2" t="str">
        <x:v>55 inch</x:v>
      </x:c>
      <x:c r="I562" s="12" t="str">
        <x:v>Resourcespro; Shell India; Carelon Global Solutions; Burns &amp; McDonnell; Northern Trust; Tekion; Wesco Digital; Zebra Technologies; Schneider Electric</x:v>
      </x:c>
      <x:c r="J562" s="2" t="n">
        <x:v>9</x:v>
      </x:c>
      <x:c r="K562" s="12" t="str">
        <x:v>Campus/portfolio roster; individual building occupancy unverified</x:v>
      </x:c>
      <x:c r="L562" s="12" t="str">
        <x:v>IT &amp; digital; Professional services; Finance &amp; insurance; Engineering &amp; manufacturing; Healthcare &amp; life sciences</x:v>
      </x:c>
      <x:c r="M562" s="12" t="str">
        <x:v>Small-scale prospects; Large enterprise; Mixed business audience</x:v>
      </x:c>
      <x:c r="N562" s="12" t="str">
        <x:v>PARTNER-M146</x:v>
      </x:c>
      <x:c r="O562" s="13"/>
      <x:c r="P562" s="13"/>
      <x:c r="Q562" s="2" t="str"/>
      <x:c r="R562" s="2" t="str">
        <x:v>TEN-11C27A52B3EC; TEN-32A46F0F2FE1; TEN-54D308D4C42F; TEN-6C0D20116366; TEN-9891CBD98729; TEN-B2390264A2E8; TEN-B2D5ADC2EC6B; TEN-B620B7716796; TEN-BC3067AC45DF</x:v>
      </x:c>
      <x:c r="S562" s="12" t="str">
        <x:v>Mixed commercial workplace</x:v>
      </x:c>
      <x:c r="T562" s="12" t="str">
        <x:v>Tenant business-type estimates and reviewed company-scale context.</x:v>
      </x:c>
    </x:row>
    <x:row r="563" ht="64" customHeight="1">
      <x:c r="A563" s="10" t="n">
        <x:v>1</x:v>
      </x:c>
      <x:c r="B563" s="2" t="str">
        <x:v>CORP-0570</x:v>
      </x:c>
      <x:c r="C563" s="2" t="str">
        <x:v>Bengaluru</x:v>
      </x:c>
      <x:c r="D563" s="2" t="str"/>
      <x:c r="E563" s="12" t="str">
        <x:v>Bagmane Solarium</x:v>
      </x:c>
      <x:c r="F563" s="12" t="str">
        <x:v>Schneider lobby</x:v>
      </x:c>
      <x:c r="G563" s="11" t="n">
        <x:v>1</x:v>
      </x:c>
      <x:c r="H563" s="2" t="str">
        <x:v>55 inch</x:v>
      </x:c>
      <x:c r="I563" s="12" t="str">
        <x:v>Resourcespro; Shell India; Carelon Global Solutions; Burns &amp; McDonnell; Northern Trust; Tekion; Wesco Digital; Zebra Technologies; Schneider Electric</x:v>
      </x:c>
      <x:c r="J563" s="2" t="n">
        <x:v>9</x:v>
      </x:c>
      <x:c r="K563" s="12" t="str">
        <x:v>Campus/portfolio roster; individual building occupancy unverified</x:v>
      </x:c>
      <x:c r="L563" s="12" t="str">
        <x:v>IT &amp; digital; Professional services; Finance &amp; insurance; Engineering &amp; manufacturing; Healthcare &amp; life sciences</x:v>
      </x:c>
      <x:c r="M563" s="12" t="str">
        <x:v>Small-scale prospects; Large enterprise; Mixed business audience</x:v>
      </x:c>
      <x:c r="N563" s="12" t="str">
        <x:v>PARTNER-M146</x:v>
      </x:c>
      <x:c r="O563" s="13"/>
      <x:c r="P563" s="13"/>
      <x:c r="Q563" s="2" t="str"/>
      <x:c r="R563" s="2" t="str">
        <x:v>TEN-11C27A52B3EC; TEN-32A46F0F2FE1; TEN-54D308D4C42F; TEN-6C0D20116366; TEN-9891CBD98729; TEN-B2390264A2E8; TEN-B2D5ADC2EC6B; TEN-B620B7716796; TEN-BC3067AC45DF</x:v>
      </x:c>
      <x:c r="S563" s="12" t="str">
        <x:v>Mixed commercial workplace</x:v>
      </x:c>
      <x:c r="T563" s="12" t="str">
        <x:v>Tenant business-type estimates and reviewed company-scale context.</x:v>
      </x:c>
    </x:row>
    <x:row r="564" ht="64" customHeight="1">
      <x:c r="A564" s="10" t="n">
        <x:v>1</x:v>
      </x:c>
      <x:c r="B564" s="2" t="str">
        <x:v>CORP-0571</x:v>
      </x:c>
      <x:c r="C564" s="2" t="str">
        <x:v>Bengaluru</x:v>
      </x:c>
      <x:c r="D564" s="2" t="str"/>
      <x:c r="E564" s="12" t="str">
        <x:v>Bagmane Solarium</x:v>
      </x:c>
      <x:c r="F564" s="12" t="str">
        <x:v>Zebra lobby</x:v>
      </x:c>
      <x:c r="G564" s="11" t="n">
        <x:v>1</x:v>
      </x:c>
      <x:c r="H564" s="2" t="str">
        <x:v>55 inch</x:v>
      </x:c>
      <x:c r="I564" s="12" t="str">
        <x:v>Resourcespro; Shell India; Carelon Global Solutions; Burns &amp; McDonnell; Northern Trust; Tekion; Wesco Digital; Zebra Technologies; Schneider Electric</x:v>
      </x:c>
      <x:c r="J564" s="2" t="n">
        <x:v>9</x:v>
      </x:c>
      <x:c r="K564" s="12" t="str">
        <x:v>Campus/portfolio roster; individual building occupancy unverified</x:v>
      </x:c>
      <x:c r="L564" s="12" t="str">
        <x:v>IT &amp; digital; Professional services; Finance &amp; insurance; Engineering &amp; manufacturing; Healthcare &amp; life sciences</x:v>
      </x:c>
      <x:c r="M564" s="12" t="str">
        <x:v>Small-scale prospects; Large enterprise; Mixed business audience</x:v>
      </x:c>
      <x:c r="N564" s="12" t="str">
        <x:v>PARTNER-M146</x:v>
      </x:c>
      <x:c r="O564" s="13"/>
      <x:c r="P564" s="13"/>
      <x:c r="Q564" s="2" t="str"/>
      <x:c r="R564" s="2" t="str">
        <x:v>TEN-11C27A52B3EC; TEN-32A46F0F2FE1; TEN-54D308D4C42F; TEN-6C0D20116366; TEN-9891CBD98729; TEN-B2390264A2E8; TEN-B2D5ADC2EC6B; TEN-B620B7716796; TEN-BC3067AC45DF</x:v>
      </x:c>
      <x:c r="S564" s="12" t="str">
        <x:v>Mixed commercial workplace</x:v>
      </x:c>
      <x:c r="T564" s="12" t="str">
        <x:v>Tenant business-type estimates and reviewed company-scale context.</x:v>
      </x:c>
    </x:row>
    <x:row r="565" ht="64" customHeight="1">
      <x:c r="A565" s="10" t="n">
        <x:v>1</x:v>
      </x:c>
      <x:c r="B565" s="2" t="str">
        <x:v>CORP-0572</x:v>
      </x:c>
      <x:c r="C565" s="2" t="str">
        <x:v>Bengaluru</x:v>
      </x:c>
      <x:c r="D565" s="2" t="str"/>
      <x:c r="E565" s="12" t="str">
        <x:v>Maruthi Infotech Center</x:v>
      </x:c>
      <x:c r="F565" s="12" t="str">
        <x:v>Reception 1</x:v>
      </x:c>
      <x:c r="G565" s="11" t="n">
        <x:v>1</x:v>
      </x:c>
      <x:c r="H565" s="2" t="str">
        <x:v>55 inch</x:v>
      </x:c>
      <x:c r="I565" s="12" t="str">
        <x:v>Nettpositive Business Analytics; American Express GBT; Relevel by Unacademy; Hitachi Rail STS Bangalore; Exotel; Scoler; Dezerv</x:v>
      </x:c>
      <x:c r="J565" s="2" t="n">
        <x:v>7</x:v>
      </x:c>
      <x:c r="K565" s="12" t="str">
        <x:v>Campus/portfolio roster; individual building occupancy unverified</x:v>
      </x:c>
      <x:c r="L565" s="12" t="str">
        <x:v>IT &amp; digital; Finance &amp; insurance; Engineering &amp; manufacturing; Trade, consumer &amp; logistics; Unresolved</x:v>
      </x:c>
      <x:c r="M565" s="12" t="str">
        <x:v>Small-scale prospects; Medium-scale prospects; Large enterprise; Mixed business audience</x:v>
      </x:c>
      <x:c r="N565" s="12" t="str">
        <x:v>PARTNER-M154</x:v>
      </x:c>
      <x:c r="O565" s="13"/>
      <x:c r="P565" s="13"/>
      <x:c r="Q565" s="2" t="str"/>
      <x:c r="R565" s="2" t="str">
        <x:v>TEN-0301B82899C9; TEN-1C2EC4E96776; TEN-423D620322C3; TEN-7DB74F996F50; TEN-8AD914E76A1E; TEN-C8FA2C07840D; TEN-FDB92F1E0EDB</x:v>
      </x:c>
      <x:c r="S565" s="12" t="str">
        <x:v>IT and enterprise campus</x:v>
      </x:c>
      <x:c r="T565" s="12" t="str">
        <x:v>Tenant business-type estimates and reviewed company-scale context.</x:v>
      </x:c>
    </x:row>
    <x:row r="566" ht="64" customHeight="1">
      <x:c r="A566" s="10" t="n">
        <x:v>1</x:v>
      </x:c>
      <x:c r="B566" s="2" t="str">
        <x:v>CORP-0573</x:v>
      </x:c>
      <x:c r="C566" s="2" t="str">
        <x:v>Bengaluru</x:v>
      </x:c>
      <x:c r="D566" s="2" t="str"/>
      <x:c r="E566" s="12" t="str">
        <x:v>Maruthi Infotech Center</x:v>
      </x:c>
      <x:c r="F566" s="12" t="str">
        <x:v>Reception 2</x:v>
      </x:c>
      <x:c r="G566" s="11" t="n">
        <x:v>1</x:v>
      </x:c>
      <x:c r="H566" s="2" t="str">
        <x:v>55 inch</x:v>
      </x:c>
      <x:c r="I566" s="12" t="str">
        <x:v>Nettpositive Business Analytics; American Express GBT; Relevel by Unacademy; Hitachi Rail STS Bangalore; Exotel; Scoler; Dezerv</x:v>
      </x:c>
      <x:c r="J566" s="2" t="n">
        <x:v>7</x:v>
      </x:c>
      <x:c r="K566" s="12" t="str">
        <x:v>Campus/portfolio roster; individual building occupancy unverified</x:v>
      </x:c>
      <x:c r="L566" s="12" t="str">
        <x:v>IT &amp; digital; Finance &amp; insurance; Engineering &amp; manufacturing; Trade, consumer &amp; logistics; Unresolved</x:v>
      </x:c>
      <x:c r="M566" s="12" t="str">
        <x:v>Small-scale prospects; Medium-scale prospects; Large enterprise; Mixed business audience</x:v>
      </x:c>
      <x:c r="N566" s="12" t="str">
        <x:v>PARTNER-M154</x:v>
      </x:c>
      <x:c r="O566" s="13"/>
      <x:c r="P566" s="13"/>
      <x:c r="Q566" s="2" t="str"/>
      <x:c r="R566" s="2" t="str">
        <x:v>TEN-0301B82899C9; TEN-1C2EC4E96776; TEN-423D620322C3; TEN-7DB74F996F50; TEN-8AD914E76A1E; TEN-C8FA2C07840D; TEN-FDB92F1E0EDB</x:v>
      </x:c>
      <x:c r="S566" s="12" t="str">
        <x:v>IT and enterprise campus</x:v>
      </x:c>
      <x:c r="T566" s="12" t="str">
        <x:v>Tenant business-type estimates and reviewed company-scale context.</x:v>
      </x:c>
    </x:row>
    <x:row r="567" ht="64" customHeight="1">
      <x:c r="A567" s="10" t="n">
        <x:v>1</x:v>
      </x:c>
      <x:c r="B567" s="2" t="str">
        <x:v>CORP-0574</x:v>
      </x:c>
      <x:c r="C567" s="2" t="str">
        <x:v>Bengaluru</x:v>
      </x:c>
      <x:c r="D567" s="2" t="str"/>
      <x:c r="E567" s="12" t="str">
        <x:v>Maruthi Infotech Center</x:v>
      </x:c>
      <x:c r="F567" s="12" t="str">
        <x:v>Reception 3</x:v>
      </x:c>
      <x:c r="G567" s="11" t="n">
        <x:v>1</x:v>
      </x:c>
      <x:c r="H567" s="2" t="str">
        <x:v>55 inch</x:v>
      </x:c>
      <x:c r="I567" s="12" t="str">
        <x:v>Nettpositive Business Analytics; American Express GBT; Relevel by Unacademy; Hitachi Rail STS Bangalore; Exotel; Scoler; Dezerv</x:v>
      </x:c>
      <x:c r="J567" s="2" t="n">
        <x:v>7</x:v>
      </x:c>
      <x:c r="K567" s="12" t="str">
        <x:v>Campus/portfolio roster; individual building occupancy unverified</x:v>
      </x:c>
      <x:c r="L567" s="12" t="str">
        <x:v>IT &amp; digital; Finance &amp; insurance; Engineering &amp; manufacturing; Trade, consumer &amp; logistics; Unresolved</x:v>
      </x:c>
      <x:c r="M567" s="12" t="str">
        <x:v>Small-scale prospects; Medium-scale prospects; Large enterprise; Mixed business audience</x:v>
      </x:c>
      <x:c r="N567" s="12" t="str">
        <x:v>PARTNER-M154</x:v>
      </x:c>
      <x:c r="O567" s="13"/>
      <x:c r="P567" s="13"/>
      <x:c r="Q567" s="2" t="str"/>
      <x:c r="R567" s="2" t="str">
        <x:v>TEN-0301B82899C9; TEN-1C2EC4E96776; TEN-423D620322C3; TEN-7DB74F996F50; TEN-8AD914E76A1E; TEN-C8FA2C07840D; TEN-FDB92F1E0EDB</x:v>
      </x:c>
      <x:c r="S567" s="12" t="str">
        <x:v>IT and enterprise campus</x:v>
      </x:c>
      <x:c r="T567" s="12" t="str">
        <x:v>Tenant business-type estimates and reviewed company-scale context.</x:v>
      </x:c>
    </x:row>
    <x:row r="568" ht="64" customHeight="1">
      <x:c r="A568" s="10" t="n">
        <x:v>1</x:v>
      </x:c>
      <x:c r="B568" s="2" t="str">
        <x:v>CORP-0575</x:v>
      </x:c>
      <x:c r="C568" s="2" t="str">
        <x:v>Bengaluru</x:v>
      </x:c>
      <x:c r="D568" s="2" t="str"/>
      <x:c r="E568" s="12" t="str">
        <x:v>Maruthi Infotech Center</x:v>
      </x:c>
      <x:c r="F568" s="12" t="str">
        <x:v>Food Court 1</x:v>
      </x:c>
      <x:c r="G568" s="11" t="n">
        <x:v>1</x:v>
      </x:c>
      <x:c r="H568" s="2" t="str">
        <x:v>55 inch</x:v>
      </x:c>
      <x:c r="I568" s="12" t="str">
        <x:v>Nettpositive Business Analytics; American Express GBT; Relevel by Unacademy; Hitachi Rail STS Bangalore; Exotel; Scoler; Dezerv</x:v>
      </x:c>
      <x:c r="J568" s="2" t="n">
        <x:v>7</x:v>
      </x:c>
      <x:c r="K568" s="12" t="str">
        <x:v>Campus/portfolio roster; individual building occupancy unverified</x:v>
      </x:c>
      <x:c r="L568" s="12" t="str">
        <x:v>IT &amp; digital; Finance &amp; insurance; Engineering &amp; manufacturing; Trade, consumer &amp; logistics; Unresolved</x:v>
      </x:c>
      <x:c r="M568" s="12" t="str">
        <x:v>Small-scale prospects; Medium-scale prospects; Large enterprise; Mixed business audience</x:v>
      </x:c>
      <x:c r="N568" s="12" t="str">
        <x:v>PARTNER-M154</x:v>
      </x:c>
      <x:c r="O568" s="13"/>
      <x:c r="P568" s="13"/>
      <x:c r="Q568" s="2" t="str"/>
      <x:c r="R568" s="2" t="str">
        <x:v>TEN-0301B82899C9; TEN-1C2EC4E96776; TEN-423D620322C3; TEN-7DB74F996F50; TEN-8AD914E76A1E; TEN-C8FA2C07840D; TEN-FDB92F1E0EDB</x:v>
      </x:c>
      <x:c r="S568" s="12" t="str">
        <x:v>IT and enterprise campus</x:v>
      </x:c>
      <x:c r="T568" s="12" t="str">
        <x:v>Tenant business-type estimates and reviewed company-scale context.</x:v>
      </x:c>
    </x:row>
    <x:row r="569" ht="64" customHeight="1">
      <x:c r="A569" s="10" t="n">
        <x:v>1</x:v>
      </x:c>
      <x:c r="B569" s="2" t="str">
        <x:v>CORP-0576</x:v>
      </x:c>
      <x:c r="C569" s="2" t="str">
        <x:v>Bengaluru</x:v>
      </x:c>
      <x:c r="D569" s="2" t="str"/>
      <x:c r="E569" s="12" t="str">
        <x:v>Maruthi Infotech Center</x:v>
      </x:c>
      <x:c r="F569" s="12" t="str">
        <x:v>Food Court 2</x:v>
      </x:c>
      <x:c r="G569" s="11" t="n">
        <x:v>1</x:v>
      </x:c>
      <x:c r="H569" s="2" t="str">
        <x:v>55 inch</x:v>
      </x:c>
      <x:c r="I569" s="12" t="str">
        <x:v>Nettpositive Business Analytics; American Express GBT; Relevel by Unacademy; Hitachi Rail STS Bangalore; Exotel; Scoler; Dezerv</x:v>
      </x:c>
      <x:c r="J569" s="2" t="n">
        <x:v>7</x:v>
      </x:c>
      <x:c r="K569" s="12" t="str">
        <x:v>Campus/portfolio roster; individual building occupancy unverified</x:v>
      </x:c>
      <x:c r="L569" s="12" t="str">
        <x:v>IT &amp; digital; Finance &amp; insurance; Engineering &amp; manufacturing; Trade, consumer &amp; logistics; Unresolved</x:v>
      </x:c>
      <x:c r="M569" s="12" t="str">
        <x:v>Small-scale prospects; Medium-scale prospects; Large enterprise; Mixed business audience</x:v>
      </x:c>
      <x:c r="N569" s="12" t="str">
        <x:v>PARTNER-M154</x:v>
      </x:c>
      <x:c r="O569" s="13"/>
      <x:c r="P569" s="13"/>
      <x:c r="Q569" s="2" t="str"/>
      <x:c r="R569" s="2" t="str">
        <x:v>TEN-0301B82899C9; TEN-1C2EC4E96776; TEN-423D620322C3; TEN-7DB74F996F50; TEN-8AD914E76A1E; TEN-C8FA2C07840D; TEN-FDB92F1E0EDB</x:v>
      </x:c>
      <x:c r="S569" s="12" t="str">
        <x:v>IT and enterprise campus</x:v>
      </x:c>
      <x:c r="T569" s="12" t="str">
        <x:v>Tenant business-type estimates and reviewed company-scale context.</x:v>
      </x:c>
    </x:row>
    <x:row r="570" ht="64" customHeight="1">
      <x:c r="A570" s="10" t="n">
        <x:v>1</x:v>
      </x:c>
      <x:c r="B570" s="2" t="str">
        <x:v>CORP-0577</x:v>
      </x:c>
      <x:c r="C570" s="2" t="str">
        <x:v>Bengaluru</x:v>
      </x:c>
      <x:c r="D570" s="2" t="str"/>
      <x:c r="E570" s="12" t="str">
        <x:v>Maruthi Infotech Center</x:v>
      </x:c>
      <x:c r="F570" s="12" t="str">
        <x:v>Food Court 3</x:v>
      </x:c>
      <x:c r="G570" s="11" t="n">
        <x:v>1</x:v>
      </x:c>
      <x:c r="H570" s="2" t="str">
        <x:v>55 inch</x:v>
      </x:c>
      <x:c r="I570" s="12" t="str">
        <x:v>Nettpositive Business Analytics; American Express GBT; Relevel by Unacademy; Hitachi Rail STS Bangalore; Exotel; Scoler; Dezerv</x:v>
      </x:c>
      <x:c r="J570" s="2" t="n">
        <x:v>7</x:v>
      </x:c>
      <x:c r="K570" s="12" t="str">
        <x:v>Campus/portfolio roster; individual building occupancy unverified</x:v>
      </x:c>
      <x:c r="L570" s="12" t="str">
        <x:v>IT &amp; digital; Finance &amp; insurance; Engineering &amp; manufacturing; Trade, consumer &amp; logistics; Unresolved</x:v>
      </x:c>
      <x:c r="M570" s="12" t="str">
        <x:v>Small-scale prospects; Medium-scale prospects; Large enterprise; Mixed business audience</x:v>
      </x:c>
      <x:c r="N570" s="12" t="str">
        <x:v>PARTNER-M154</x:v>
      </x:c>
      <x:c r="O570" s="13"/>
      <x:c r="P570" s="13"/>
      <x:c r="Q570" s="2" t="str"/>
      <x:c r="R570" s="2" t="str">
        <x:v>TEN-0301B82899C9; TEN-1C2EC4E96776; TEN-423D620322C3; TEN-7DB74F996F50; TEN-8AD914E76A1E; TEN-C8FA2C07840D; TEN-FDB92F1E0EDB</x:v>
      </x:c>
      <x:c r="S570" s="12" t="str">
        <x:v>IT and enterprise campus</x:v>
      </x:c>
      <x:c r="T570" s="12" t="str">
        <x:v>Tenant business-type estimates and reviewed company-scale context.</x:v>
      </x:c>
    </x:row>
    <x:row r="571" ht="64" customHeight="1">
      <x:c r="A571" s="10" t="n">
        <x:v>1</x:v>
      </x:c>
      <x:c r="B571" s="2" t="str">
        <x:v>CORP-0578</x:v>
      </x:c>
      <x:c r="C571" s="2" t="str">
        <x:v>Bengaluru</x:v>
      </x:c>
      <x:c r="D571" s="2" t="str"/>
      <x:c r="E571" s="12" t="str">
        <x:v>Maruthi Infotech Center</x:v>
      </x:c>
      <x:c r="F571" s="12" t="str">
        <x:v>Elevator Lobby 1</x:v>
      </x:c>
      <x:c r="G571" s="11" t="n">
        <x:v>1</x:v>
      </x:c>
      <x:c r="H571" s="2" t="str">
        <x:v>55 inch</x:v>
      </x:c>
      <x:c r="I571" s="12" t="str">
        <x:v>Nettpositive Business Analytics; American Express GBT; Relevel by Unacademy; Hitachi Rail STS Bangalore; Exotel; Scoler; Dezerv</x:v>
      </x:c>
      <x:c r="J571" s="2" t="n">
        <x:v>7</x:v>
      </x:c>
      <x:c r="K571" s="12" t="str">
        <x:v>Campus/portfolio roster; individual building occupancy unverified</x:v>
      </x:c>
      <x:c r="L571" s="12" t="str">
        <x:v>IT &amp; digital; Finance &amp; insurance; Engineering &amp; manufacturing; Trade, consumer &amp; logistics; Unresolved</x:v>
      </x:c>
      <x:c r="M571" s="12" t="str">
        <x:v>Small-scale prospects; Medium-scale prospects; Large enterprise; Mixed business audience</x:v>
      </x:c>
      <x:c r="N571" s="12" t="str">
        <x:v>PARTNER-M154</x:v>
      </x:c>
      <x:c r="O571" s="13"/>
      <x:c r="P571" s="13"/>
      <x:c r="Q571" s="2" t="str"/>
      <x:c r="R571" s="2" t="str">
        <x:v>TEN-0301B82899C9; TEN-1C2EC4E96776; TEN-423D620322C3; TEN-7DB74F996F50; TEN-8AD914E76A1E; TEN-C8FA2C07840D; TEN-FDB92F1E0EDB</x:v>
      </x:c>
      <x:c r="S571" s="12" t="str">
        <x:v>IT and enterprise campus</x:v>
      </x:c>
      <x:c r="T571" s="12" t="str">
        <x:v>Tenant business-type estimates and reviewed company-scale context.</x:v>
      </x:c>
    </x:row>
    <x:row r="572" ht="64" customHeight="1">
      <x:c r="A572" s="10" t="n">
        <x:v>1</x:v>
      </x:c>
      <x:c r="B572" s="2" t="str">
        <x:v>CORP-0579</x:v>
      </x:c>
      <x:c r="C572" s="2" t="str">
        <x:v>Bengaluru</x:v>
      </x:c>
      <x:c r="D572" s="2" t="str"/>
      <x:c r="E572" s="12" t="str">
        <x:v>Maruthi Infotech Center</x:v>
      </x:c>
      <x:c r="F572" s="12" t="str">
        <x:v>Elevator Lobby 2</x:v>
      </x:c>
      <x:c r="G572" s="11" t="n">
        <x:v>1</x:v>
      </x:c>
      <x:c r="H572" s="2" t="str">
        <x:v>55 inch</x:v>
      </x:c>
      <x:c r="I572" s="12" t="str">
        <x:v>Nettpositive Business Analytics; American Express GBT; Relevel by Unacademy; Hitachi Rail STS Bangalore; Exotel; Scoler; Dezerv</x:v>
      </x:c>
      <x:c r="J572" s="2" t="n">
        <x:v>7</x:v>
      </x:c>
      <x:c r="K572" s="12" t="str">
        <x:v>Campus/portfolio roster; individual building occupancy unverified</x:v>
      </x:c>
      <x:c r="L572" s="12" t="str">
        <x:v>IT &amp; digital; Finance &amp; insurance; Engineering &amp; manufacturing; Trade, consumer &amp; logistics; Unresolved</x:v>
      </x:c>
      <x:c r="M572" s="12" t="str">
        <x:v>Small-scale prospects; Medium-scale prospects; Large enterprise; Mixed business audience</x:v>
      </x:c>
      <x:c r="N572" s="12" t="str">
        <x:v>PARTNER-M154</x:v>
      </x:c>
      <x:c r="O572" s="13"/>
      <x:c r="P572" s="13"/>
      <x:c r="Q572" s="2" t="str"/>
      <x:c r="R572" s="2" t="str">
        <x:v>TEN-0301B82899C9; TEN-1C2EC4E96776; TEN-423D620322C3; TEN-7DB74F996F50; TEN-8AD914E76A1E; TEN-C8FA2C07840D; TEN-FDB92F1E0EDB</x:v>
      </x:c>
      <x:c r="S572" s="12" t="str">
        <x:v>IT and enterprise campus</x:v>
      </x:c>
      <x:c r="T572" s="12" t="str">
        <x:v>Tenant business-type estimates and reviewed company-scale context.</x:v>
      </x:c>
    </x:row>
    <x:row r="573" ht="64" customHeight="1">
      <x:c r="A573" s="10" t="n">
        <x:v>1</x:v>
      </x:c>
      <x:c r="B573" s="2" t="str">
        <x:v>CORP-0580</x:v>
      </x:c>
      <x:c r="C573" s="2" t="str">
        <x:v>Bengaluru</x:v>
      </x:c>
      <x:c r="D573" s="2" t="str"/>
      <x:c r="E573" s="12" t="str">
        <x:v>Fincity Corproate Park </x:v>
      </x:c>
      <x:c r="F573" s="12" t="str">
        <x:v>Reception Lobby Tower A</x:v>
      </x:c>
      <x:c r="G573" s="11" t="n">
        <x:v>1</x:v>
      </x:c>
      <x:c r="H573" s="2" t="str">
        <x:v>55 inch</x:v>
      </x:c>
      <x:c r="I573" s="12" t="str">
        <x:v>Nettpositive Business Analytics; American Express GBT; Relevel by Unacademy; Hitachi Rail STS Bangalore; Exotel; Scoler; Dezerv</x:v>
      </x:c>
      <x:c r="J573" s="2" t="n">
        <x:v>7</x:v>
      </x:c>
      <x:c r="K573" s="12" t="str">
        <x:v>Campus/portfolio roster; individual building occupancy unverified</x:v>
      </x:c>
      <x:c r="L573" s="12" t="str">
        <x:v>IT &amp; digital; Finance &amp; insurance; Engineering &amp; manufacturing; Trade, consumer &amp; logistics; Unresolved</x:v>
      </x:c>
      <x:c r="M573" s="12" t="str">
        <x:v>Small-scale prospects; Medium-scale prospects; Large enterprise; Mixed business audience</x:v>
      </x:c>
      <x:c r="N573" s="12" t="str">
        <x:v>PARTNER-M162</x:v>
      </x:c>
      <x:c r="O573" s="13"/>
      <x:c r="P573" s="13"/>
      <x:c r="Q573" s="2" t="str"/>
      <x:c r="R573" s="2" t="str">
        <x:v>TEN-0301B82899C9; TEN-1C2EC4E96776; TEN-423D620322C3; TEN-7DB74F996F50; TEN-8AD914E76A1E; TEN-C8FA2C07840D; TEN-FDB92F1E0EDB</x:v>
      </x:c>
      <x:c r="S573" s="12" t="str">
        <x:v>Mixed commercial workplace</x:v>
      </x:c>
      <x:c r="T573" s="12" t="str">
        <x:v>Tenant business-type estimates and reviewed company-scale context.</x:v>
      </x:c>
    </x:row>
    <x:row r="574" ht="64" customHeight="1">
      <x:c r="A574" s="10" t="n">
        <x:v>1</x:v>
      </x:c>
      <x:c r="B574" s="2" t="str">
        <x:v>CORP-0581</x:v>
      </x:c>
      <x:c r="C574" s="2" t="str">
        <x:v>Bengaluru</x:v>
      </x:c>
      <x:c r="D574" s="2" t="str"/>
      <x:c r="E574" s="12" t="str">
        <x:v>Fincity Corproate Park </x:v>
      </x:c>
      <x:c r="F574" s="12" t="str">
        <x:v>Reception Lobby Tower B</x:v>
      </x:c>
      <x:c r="G574" s="11" t="n">
        <x:v>1</x:v>
      </x:c>
      <x:c r="H574" s="2" t="str">
        <x:v>55 inch</x:v>
      </x:c>
      <x:c r="I574" s="12" t="str">
        <x:v>Nettpositive Business Analytics; American Express GBT; Relevel by Unacademy; Hitachi Rail STS Bangalore; Exotel; Scoler; Dezerv</x:v>
      </x:c>
      <x:c r="J574" s="2" t="n">
        <x:v>7</x:v>
      </x:c>
      <x:c r="K574" s="12" t="str">
        <x:v>Campus/portfolio roster; individual building occupancy unverified</x:v>
      </x:c>
      <x:c r="L574" s="12" t="str">
        <x:v>IT &amp; digital; Finance &amp; insurance; Engineering &amp; manufacturing; Trade, consumer &amp; logistics; Unresolved</x:v>
      </x:c>
      <x:c r="M574" s="12" t="str">
        <x:v>Small-scale prospects; Medium-scale prospects; Large enterprise; Mixed business audience</x:v>
      </x:c>
      <x:c r="N574" s="12" t="str">
        <x:v>PARTNER-M162</x:v>
      </x:c>
      <x:c r="O574" s="13"/>
      <x:c r="P574" s="13"/>
      <x:c r="Q574" s="2" t="str"/>
      <x:c r="R574" s="2" t="str">
        <x:v>TEN-0301B82899C9; TEN-1C2EC4E96776; TEN-423D620322C3; TEN-7DB74F996F50; TEN-8AD914E76A1E; TEN-C8FA2C07840D; TEN-FDB92F1E0EDB</x:v>
      </x:c>
      <x:c r="S574" s="12" t="str">
        <x:v>Mixed commercial workplace</x:v>
      </x:c>
      <x:c r="T574" s="12" t="str">
        <x:v>Tenant business-type estimates and reviewed company-scale context.</x:v>
      </x:c>
    </x:row>
    <x:row r="575" ht="64" customHeight="1">
      <x:c r="A575" s="10" t="n">
        <x:v>1</x:v>
      </x:c>
      <x:c r="B575" s="2" t="str">
        <x:v>CORP-0582</x:v>
      </x:c>
      <x:c r="C575" s="2" t="str">
        <x:v>Bengaluru</x:v>
      </x:c>
      <x:c r="D575" s="2" t="str"/>
      <x:c r="E575" s="12" t="str">
        <x:v>Fincity Corproate Park </x:v>
      </x:c>
      <x:c r="F575" s="12" t="str">
        <x:v>Elevator Lobby Tower A</x:v>
      </x:c>
      <x:c r="G575" s="11" t="n">
        <x:v>1</x:v>
      </x:c>
      <x:c r="H575" s="2" t="str">
        <x:v>55 inch</x:v>
      </x:c>
      <x:c r="I575" s="12" t="str">
        <x:v>Nettpositive Business Analytics; American Express GBT; Relevel by Unacademy; Hitachi Rail STS Bangalore; Exotel; Scoler; Dezerv</x:v>
      </x:c>
      <x:c r="J575" s="2" t="n">
        <x:v>7</x:v>
      </x:c>
      <x:c r="K575" s="12" t="str">
        <x:v>Campus/portfolio roster; individual building occupancy unverified</x:v>
      </x:c>
      <x:c r="L575" s="12" t="str">
        <x:v>IT &amp; digital; Finance &amp; insurance; Engineering &amp; manufacturing; Trade, consumer &amp; logistics; Unresolved</x:v>
      </x:c>
      <x:c r="M575" s="12" t="str">
        <x:v>Small-scale prospects; Medium-scale prospects; Large enterprise; Mixed business audience</x:v>
      </x:c>
      <x:c r="N575" s="12" t="str">
        <x:v>PARTNER-M162</x:v>
      </x:c>
      <x:c r="O575" s="13"/>
      <x:c r="P575" s="13"/>
      <x:c r="Q575" s="2" t="str"/>
      <x:c r="R575" s="2" t="str">
        <x:v>TEN-0301B82899C9; TEN-1C2EC4E96776; TEN-423D620322C3; TEN-7DB74F996F50; TEN-8AD914E76A1E; TEN-C8FA2C07840D; TEN-FDB92F1E0EDB</x:v>
      </x:c>
      <x:c r="S575" s="12" t="str">
        <x:v>Mixed commercial workplace</x:v>
      </x:c>
      <x:c r="T575" s="12" t="str">
        <x:v>Tenant business-type estimates and reviewed company-scale context.</x:v>
      </x:c>
    </x:row>
    <x:row r="576" ht="64" customHeight="1">
      <x:c r="A576" s="10" t="n">
        <x:v>1</x:v>
      </x:c>
      <x:c r="B576" s="2" t="str">
        <x:v>CORP-0583</x:v>
      </x:c>
      <x:c r="C576" s="2" t="str">
        <x:v>Bengaluru</x:v>
      </x:c>
      <x:c r="D576" s="2" t="str"/>
      <x:c r="E576" s="12" t="str">
        <x:v>Fincity Corproate Park </x:v>
      </x:c>
      <x:c r="F576" s="12" t="str">
        <x:v>Elevator Lobby Tower B</x:v>
      </x:c>
      <x:c r="G576" s="11" t="n">
        <x:v>1</x:v>
      </x:c>
      <x:c r="H576" s="2" t="str">
        <x:v>55 inch</x:v>
      </x:c>
      <x:c r="I576" s="12" t="str">
        <x:v>Nettpositive Business Analytics; American Express GBT; Relevel by Unacademy; Hitachi Rail STS Bangalore; Exotel; Scoler; Dezerv</x:v>
      </x:c>
      <x:c r="J576" s="2" t="n">
        <x:v>7</x:v>
      </x:c>
      <x:c r="K576" s="12" t="str">
        <x:v>Campus/portfolio roster; individual building occupancy unverified</x:v>
      </x:c>
      <x:c r="L576" s="12" t="str">
        <x:v>IT &amp; digital; Finance &amp; insurance; Engineering &amp; manufacturing; Trade, consumer &amp; logistics; Unresolved</x:v>
      </x:c>
      <x:c r="M576" s="12" t="str">
        <x:v>Small-scale prospects; Medium-scale prospects; Large enterprise; Mixed business audience</x:v>
      </x:c>
      <x:c r="N576" s="12" t="str">
        <x:v>PARTNER-M162</x:v>
      </x:c>
      <x:c r="O576" s="13"/>
      <x:c r="P576" s="13"/>
      <x:c r="Q576" s="2" t="str"/>
      <x:c r="R576" s="2" t="str">
        <x:v>TEN-0301B82899C9; TEN-1C2EC4E96776; TEN-423D620322C3; TEN-7DB74F996F50; TEN-8AD914E76A1E; TEN-C8FA2C07840D; TEN-FDB92F1E0EDB</x:v>
      </x:c>
      <x:c r="S576" s="12" t="str">
        <x:v>Mixed commercial workplace</x:v>
      </x:c>
      <x:c r="T576" s="12" t="str">
        <x:v>Tenant business-type estimates and reviewed company-scale context.</x:v>
      </x:c>
    </x:row>
    <x:row r="577" ht="64" customHeight="1">
      <x:c r="A577" s="10" t="n">
        <x:v>1</x:v>
      </x:c>
      <x:c r="B577" s="2" t="str">
        <x:v>CORP-0584</x:v>
      </x:c>
      <x:c r="C577" s="2" t="str">
        <x:v>Bengaluru</x:v>
      </x:c>
      <x:c r="D577" s="2" t="str"/>
      <x:c r="E577" s="12" t="str">
        <x:v>Cessna Business Park</x:v>
      </x:c>
      <x:c r="F577" s="12" t="str">
        <x:v>Food Court 1</x:v>
      </x:c>
      <x:c r="G577" s="11" t="n">
        <x:v>1</x:v>
      </x:c>
      <x:c r="H577" s="2" t="str">
        <x:v>55 inch</x:v>
      </x:c>
      <x:c r="I577" s="12" t="str">
        <x:v>Cambium Networks Private Limited; Birla Pivot; OPEX Technologies Pvt Ltd; Kanini Software Solutions; ZeroStack Inc; KogniVera IT Solutions Pvt Ltd; Page Industries Limited; Dexian India Technologies Private Limited; First Pass Semiconductors; Sophos Technologies</x:v>
      </x:c>
      <x:c r="J577" s="2" t="n">
        <x:v>10</x:v>
      </x:c>
      <x:c r="K577" s="12" t="str">
        <x:v>Campus/portfolio roster; individual building occupancy unverified</x:v>
      </x:c>
      <x:c r="L577" s="12" t="str">
        <x:v>IT &amp; digital; Engineering &amp; manufacturing; Trade, consumer &amp; logistics; Unresolved</x:v>
      </x:c>
      <x:c r="M577" s="12" t="str">
        <x:v>Small-scale prospects; Medium-scale prospects; Large enterprise; Mixed business audience</x:v>
      </x:c>
      <x:c r="N577" s="12" t="str">
        <x:v>PARTNER-M166</x:v>
      </x:c>
      <x:c r="O577" s="13" t="n">
        <x:v>12.932727813720703</x:v>
      </x:c>
      <x:c r="P577" s="13" t="n">
        <x:v>77.693115234375</x:v>
      </x:c>
      <x:c r="Q577" s="2" t="str">
        <x:v>https://www.google.com/maps?q=12.932727813720703,77.693115234375</x:v>
      </x:c>
      <x:c r="R577" s="2" t="str">
        <x:v>TEN-17C400F7181E; TEN-284A226B58B5; TEN-7E2E1BC4E8F9; TEN-93C8F532FDF9; TEN-958F32C11ABB; TEN-B00DCCE00CF7; TEN-CF43145687C6; TEN-D5AABFA3A414; TEN-D6C19C7AF47E; TEN-FFF9B8935849</x:v>
      </x:c>
      <x:c r="S577" s="12" t="str">
        <x:v>Multi-tenant business offices</x:v>
      </x:c>
      <x:c r="T577" s="12" t="str">
        <x:v>Tenant business-type estimates and reviewed company-scale context.</x:v>
      </x:c>
    </x:row>
    <x:row r="578" ht="64" customHeight="1">
      <x:c r="A578" s="10" t="n">
        <x:v>1</x:v>
      </x:c>
      <x:c r="B578" s="2" t="str">
        <x:v>CORP-0585</x:v>
      </x:c>
      <x:c r="C578" s="2" t="str">
        <x:v>Bengaluru</x:v>
      </x:c>
      <x:c r="D578" s="2" t="str"/>
      <x:c r="E578" s="12" t="str">
        <x:v>Cessna Business Park</x:v>
      </x:c>
      <x:c r="F578" s="12" t="str">
        <x:v>Food Court 2</x:v>
      </x:c>
      <x:c r="G578" s="11" t="n">
        <x:v>1</x:v>
      </x:c>
      <x:c r="H578" s="2" t="str">
        <x:v>55 inch</x:v>
      </x:c>
      <x:c r="I578" s="12" t="str">
        <x:v>Cambium Networks Private Limited; Birla Pivot; OPEX Technologies Pvt Ltd; Kanini Software Solutions; ZeroStack Inc; KogniVera IT Solutions Pvt Ltd; Page Industries Limited; Dexian India Technologies Private Limited; First Pass Semiconductors; Sophos Technologies</x:v>
      </x:c>
      <x:c r="J578" s="2" t="n">
        <x:v>10</x:v>
      </x:c>
      <x:c r="K578" s="12" t="str">
        <x:v>Campus/portfolio roster; individual building occupancy unverified</x:v>
      </x:c>
      <x:c r="L578" s="12" t="str">
        <x:v>IT &amp; digital; Engineering &amp; manufacturing; Trade, consumer &amp; logistics; Unresolved</x:v>
      </x:c>
      <x:c r="M578" s="12" t="str">
        <x:v>Small-scale prospects; Medium-scale prospects; Large enterprise; Mixed business audience</x:v>
      </x:c>
      <x:c r="N578" s="12" t="str">
        <x:v>PARTNER-M166</x:v>
      </x:c>
      <x:c r="O578" s="13" t="n">
        <x:v>12.932727813720703</x:v>
      </x:c>
      <x:c r="P578" s="13" t="n">
        <x:v>77.693115234375</x:v>
      </x:c>
      <x:c r="Q578" s="2" t="str">
        <x:v>https://www.google.com/maps?q=12.932727813720703,77.693115234375</x:v>
      </x:c>
      <x:c r="R578" s="2" t="str">
        <x:v>TEN-17C400F7181E; TEN-284A226B58B5; TEN-7E2E1BC4E8F9; TEN-93C8F532FDF9; TEN-958F32C11ABB; TEN-B00DCCE00CF7; TEN-CF43145687C6; TEN-D5AABFA3A414; TEN-D6C19C7AF47E; TEN-FFF9B8935849</x:v>
      </x:c>
      <x:c r="S578" s="12" t="str">
        <x:v>Multi-tenant business offices</x:v>
      </x:c>
      <x:c r="T578" s="12" t="str">
        <x:v>Tenant business-type estimates and reviewed company-scale context.</x:v>
      </x:c>
    </x:row>
    <x:row r="579" ht="64" customHeight="1">
      <x:c r="A579" s="10" t="n">
        <x:v>1</x:v>
      </x:c>
      <x:c r="B579" s="2" t="str">
        <x:v>CORP-0586</x:v>
      </x:c>
      <x:c r="C579" s="2" t="str">
        <x:v>Bengaluru</x:v>
      </x:c>
      <x:c r="D579" s="2" t="str"/>
      <x:c r="E579" s="12" t="str">
        <x:v>Cessna Business Park</x:v>
      </x:c>
      <x:c r="F579" s="12" t="str">
        <x:v>Food Court 3</x:v>
      </x:c>
      <x:c r="G579" s="11" t="n">
        <x:v>1</x:v>
      </x:c>
      <x:c r="H579" s="2" t="str">
        <x:v>55 inch</x:v>
      </x:c>
      <x:c r="I579" s="12" t="str">
        <x:v>Cambium Networks Private Limited; Birla Pivot; OPEX Technologies Pvt Ltd; Kanini Software Solutions; ZeroStack Inc; KogniVera IT Solutions Pvt Ltd; Page Industries Limited; Dexian India Technologies Private Limited; First Pass Semiconductors; Sophos Technologies</x:v>
      </x:c>
      <x:c r="J579" s="2" t="n">
        <x:v>10</x:v>
      </x:c>
      <x:c r="K579" s="12" t="str">
        <x:v>Campus/portfolio roster; individual building occupancy unverified</x:v>
      </x:c>
      <x:c r="L579" s="12" t="str">
        <x:v>IT &amp; digital; Engineering &amp; manufacturing; Trade, consumer &amp; logistics; Unresolved</x:v>
      </x:c>
      <x:c r="M579" s="12" t="str">
        <x:v>Small-scale prospects; Medium-scale prospects; Large enterprise; Mixed business audience</x:v>
      </x:c>
      <x:c r="N579" s="12" t="str">
        <x:v>PARTNER-M166</x:v>
      </x:c>
      <x:c r="O579" s="13" t="n">
        <x:v>12.932727813720703</x:v>
      </x:c>
      <x:c r="P579" s="13" t="n">
        <x:v>77.693115234375</x:v>
      </x:c>
      <x:c r="Q579" s="2" t="str">
        <x:v>https://www.google.com/maps?q=12.932727813720703,77.693115234375</x:v>
      </x:c>
      <x:c r="R579" s="2" t="str">
        <x:v>TEN-17C400F7181E; TEN-284A226B58B5; TEN-7E2E1BC4E8F9; TEN-93C8F532FDF9; TEN-958F32C11ABB; TEN-B00DCCE00CF7; TEN-CF43145687C6; TEN-D5AABFA3A414; TEN-D6C19C7AF47E; TEN-FFF9B8935849</x:v>
      </x:c>
      <x:c r="S579" s="12" t="str">
        <x:v>Multi-tenant business offices</x:v>
      </x:c>
      <x:c r="T579" s="12" t="str">
        <x:v>Tenant business-type estimates and reviewed company-scale context.</x:v>
      </x:c>
    </x:row>
    <x:row r="580" ht="64" customHeight="1">
      <x:c r="A580" s="10" t="n">
        <x:v>1</x:v>
      </x:c>
      <x:c r="B580" s="2" t="str">
        <x:v>CORP-0588</x:v>
      </x:c>
      <x:c r="C580" s="2" t="str">
        <x:v>Mumbai</x:v>
      </x:c>
      <x:c r="D580" s="2" t="str"/>
      <x:c r="E580" s="12" t="str">
        <x:v>Parinee Crescenzo Business Park</x:v>
      </x:c>
      <x:c r="F580" s="12" t="str">
        <x:v>Driveway Entry Lobby - A</x:v>
      </x:c>
      <x:c r="G580" s="11" t="n">
        <x:v>1</x:v>
      </x:c>
      <x:c r="H580" s="2" t="str">
        <x:v>55 inch</x:v>
      </x:c>
      <x:c r="I580" s="12" t="str">
        <x:v>Servier India Private Limited; AlphaGrep; Standard Chartered; FTI Consulting; SBI Funds Management Limited; Kredx; Orreya Partners India LLP; BOB Capital Markets Ltd</x:v>
      </x:c>
      <x:c r="J580" s="2" t="n">
        <x:v>8</x:v>
      </x:c>
      <x:c r="K580" s="12" t="str">
        <x:v>Campus/portfolio roster; individual building occupancy unverified</x:v>
      </x:c>
      <x:c r="L580" s="12" t="str">
        <x:v>Professional services; Finance &amp; insurance; Healthcare &amp; life sciences</x:v>
      </x:c>
      <x:c r="M580" s="12" t="str">
        <x:v>Medium-scale prospects; Large enterprise; Mixed business audience</x:v>
      </x:c>
      <x:c r="N580" s="12" t="str">
        <x:v>PARTNER-M171</x:v>
      </x:c>
      <x:c r="O580" s="13"/>
      <x:c r="P580" s="13"/>
      <x:c r="Q580" s="2" t="str"/>
      <x:c r="R580" s="2" t="str">
        <x:v>TEN-1E2BE5B93DE6; TEN-2598A96C6EA1; TEN-331FDE4AA88E; TEN-560846A98A9B; TEN-5DBFA12F5818; TEN-78D2184A1F2B; TEN-94475FFBE5A1; TEN-9717823FF639</x:v>
      </x:c>
      <x:c r="S580" s="12" t="str">
        <x:v>Multi-tenant business offices</x:v>
      </x:c>
      <x:c r="T580" s="12" t="str">
        <x:v>Tenant business-type estimates and reviewed company-scale context.</x:v>
      </x:c>
    </x:row>
    <x:row r="581" ht="64" customHeight="1">
      <x:c r="A581" s="10" t="n">
        <x:v>1</x:v>
      </x:c>
      <x:c r="B581" s="2" t="str">
        <x:v>CORP-0589</x:v>
      </x:c>
      <x:c r="C581" s="2" t="str">
        <x:v>Mumbai</x:v>
      </x:c>
      <x:c r="D581" s="2" t="str"/>
      <x:c r="E581" s="12" t="str">
        <x:v>Parinee Crescenzo Business Park</x:v>
      </x:c>
      <x:c r="F581" s="12" t="str">
        <x:v>Driveway Entry Lobby - A</x:v>
      </x:c>
      <x:c r="G581" s="11" t="n">
        <x:v>1</x:v>
      </x:c>
      <x:c r="H581" s="2" t="str">
        <x:v>55 inch</x:v>
      </x:c>
      <x:c r="I581" s="12" t="str">
        <x:v>Servier India Private Limited; AlphaGrep; Standard Chartered; FTI Consulting; SBI Funds Management Limited; Kredx; Orreya Partners India LLP; BOB Capital Markets Ltd</x:v>
      </x:c>
      <x:c r="J581" s="2" t="n">
        <x:v>8</x:v>
      </x:c>
      <x:c r="K581" s="12" t="str">
        <x:v>Campus/portfolio roster; individual building occupancy unverified</x:v>
      </x:c>
      <x:c r="L581" s="12" t="str">
        <x:v>Professional services; Finance &amp; insurance; Healthcare &amp; life sciences</x:v>
      </x:c>
      <x:c r="M581" s="12" t="str">
        <x:v>Medium-scale prospects; Large enterprise; Mixed business audience</x:v>
      </x:c>
      <x:c r="N581" s="12" t="str">
        <x:v>PARTNER-M171</x:v>
      </x:c>
      <x:c r="O581" s="13"/>
      <x:c r="P581" s="13"/>
      <x:c r="Q581" s="2" t="str"/>
      <x:c r="R581" s="2" t="str">
        <x:v>TEN-1E2BE5B93DE6; TEN-2598A96C6EA1; TEN-331FDE4AA88E; TEN-560846A98A9B; TEN-5DBFA12F5818; TEN-78D2184A1F2B; TEN-94475FFBE5A1; TEN-9717823FF639</x:v>
      </x:c>
      <x:c r="S581" s="12" t="str">
        <x:v>Multi-tenant business offices</x:v>
      </x:c>
      <x:c r="T581" s="12" t="str">
        <x:v>Tenant business-type estimates and reviewed company-scale context.</x:v>
      </x:c>
    </x:row>
    <x:row r="582" ht="64" customHeight="1">
      <x:c r="A582" s="10" t="n">
        <x:v>1</x:v>
      </x:c>
      <x:c r="B582" s="2" t="str">
        <x:v>CORP-0590</x:v>
      </x:c>
      <x:c r="C582" s="2" t="str">
        <x:v>Mumbai</x:v>
      </x:c>
      <x:c r="D582" s="2" t="str"/>
      <x:c r="E582" s="12" t="str">
        <x:v>Parinee Crescenzo Business Park</x:v>
      </x:c>
      <x:c r="F582" s="12" t="str">
        <x:v>Driveway Entry Lobby - B</x:v>
      </x:c>
      <x:c r="G582" s="11" t="n">
        <x:v>1</x:v>
      </x:c>
      <x:c r="H582" s="2" t="str">
        <x:v>55 inch</x:v>
      </x:c>
      <x:c r="I582" s="12" t="str">
        <x:v>Servier India Private Limited; AlphaGrep; Standard Chartered; FTI Consulting; SBI Funds Management Limited; Kredx; Orreya Partners India LLP; BOB Capital Markets Ltd</x:v>
      </x:c>
      <x:c r="J582" s="2" t="n">
        <x:v>8</x:v>
      </x:c>
      <x:c r="K582" s="12" t="str">
        <x:v>Campus/portfolio roster; individual building occupancy unverified</x:v>
      </x:c>
      <x:c r="L582" s="12" t="str">
        <x:v>Professional services; Finance &amp; insurance; Healthcare &amp; life sciences</x:v>
      </x:c>
      <x:c r="M582" s="12" t="str">
        <x:v>Medium-scale prospects; Large enterprise; Mixed business audience</x:v>
      </x:c>
      <x:c r="N582" s="12" t="str">
        <x:v>PARTNER-M171</x:v>
      </x:c>
      <x:c r="O582" s="13"/>
      <x:c r="P582" s="13"/>
      <x:c r="Q582" s="2" t="str"/>
      <x:c r="R582" s="2" t="str">
        <x:v>TEN-1E2BE5B93DE6; TEN-2598A96C6EA1; TEN-331FDE4AA88E; TEN-560846A98A9B; TEN-5DBFA12F5818; TEN-78D2184A1F2B; TEN-94475FFBE5A1; TEN-9717823FF639</x:v>
      </x:c>
      <x:c r="S582" s="12" t="str">
        <x:v>Multi-tenant business offices</x:v>
      </x:c>
      <x:c r="T582" s="12" t="str">
        <x:v>Tenant business-type estimates and reviewed company-scale context.</x:v>
      </x:c>
    </x:row>
    <x:row r="583" ht="64" customHeight="1">
      <x:c r="A583" s="10" t="n">
        <x:v>1</x:v>
      </x:c>
      <x:c r="B583" s="2" t="str">
        <x:v>CORP-0591</x:v>
      </x:c>
      <x:c r="C583" s="2" t="str">
        <x:v>Mumbai</x:v>
      </x:c>
      <x:c r="D583" s="2" t="str"/>
      <x:c r="E583" s="12" t="str">
        <x:v>Parinee Crescenzo Business Park</x:v>
      </x:c>
      <x:c r="F583" s="12" t="str">
        <x:v>Driveway Entry Lobby - B</x:v>
      </x:c>
      <x:c r="G583" s="11" t="n">
        <x:v>1</x:v>
      </x:c>
      <x:c r="H583" s="2" t="str">
        <x:v>55 inch</x:v>
      </x:c>
      <x:c r="I583" s="12" t="str">
        <x:v>Servier India Private Limited; AlphaGrep; Standard Chartered; FTI Consulting; SBI Funds Management Limited; Kredx; Orreya Partners India LLP; BOB Capital Markets Ltd</x:v>
      </x:c>
      <x:c r="J583" s="2" t="n">
        <x:v>8</x:v>
      </x:c>
      <x:c r="K583" s="12" t="str">
        <x:v>Campus/portfolio roster; individual building occupancy unverified</x:v>
      </x:c>
      <x:c r="L583" s="12" t="str">
        <x:v>Professional services; Finance &amp; insurance; Healthcare &amp; life sciences</x:v>
      </x:c>
      <x:c r="M583" s="12" t="str">
        <x:v>Medium-scale prospects; Large enterprise; Mixed business audience</x:v>
      </x:c>
      <x:c r="N583" s="12" t="str">
        <x:v>PARTNER-M171</x:v>
      </x:c>
      <x:c r="O583" s="13"/>
      <x:c r="P583" s="13"/>
      <x:c r="Q583" s="2" t="str"/>
      <x:c r="R583" s="2" t="str">
        <x:v>TEN-1E2BE5B93DE6; TEN-2598A96C6EA1; TEN-331FDE4AA88E; TEN-560846A98A9B; TEN-5DBFA12F5818; TEN-78D2184A1F2B; TEN-94475FFBE5A1; TEN-9717823FF639</x:v>
      </x:c>
      <x:c r="S583" s="12" t="str">
        <x:v>Multi-tenant business offices</x:v>
      </x:c>
      <x:c r="T583" s="12" t="str">
        <x:v>Tenant business-type estimates and reviewed company-scale context.</x:v>
      </x:c>
    </x:row>
    <x:row r="584" ht="88" customHeight="1">
      <x:c r="A584" s="10" t="n">
        <x:v>1</x:v>
      </x:c>
      <x:c r="B584" s="2" t="str">
        <x:v>CORP-0592</x:v>
      </x:c>
      <x:c r="C584" s="2" t="str">
        <x:v>Mumbai</x:v>
      </x:c>
      <x:c r="D584" s="2" t="str"/>
      <x:c r="E584" s="12" t="str">
        <x:v>The Capital</x:v>
      </x:c>
      <x:c r="F584" s="12" t="str">
        <x:v>Sky Lobby</x:v>
      </x:c>
      <x:c r="G584" s="11" t="n">
        <x:v>1</x:v>
      </x:c>
      <x:c r="H584" s="2" t="str">
        <x:v>55 inch</x:v>
      </x:c>
      <x:c r="I584" s="12" t="str">
        <x:v>Terkar Capital Mumbai; Danube Properties; Unaprime Investment Advisors Private Ltd; Bain &amp; Company; Wipro GE Healthcare Pvt Ltd; DiamondXE; Bombay Law Chambers; HGS; International Gemological Institute; Finsec Law Advisors; IFC Ventures; Diamond Producers Association Limited; Incred Capital; Inverness India; SUBWAY; Visa Inc; AMN Life Science Pvt. Ltd; Hiraco; Bank Of Baroda; HK Capital; Opec; Metta Capital Advisors LLP; hoonartek</x:v>
      </x:c>
      <x:c r="J584" s="2" t="n">
        <x:v>23</x:v>
      </x:c>
      <x:c r="K584" s="12" t="str">
        <x:v>Campus/portfolio roster; individual building occupancy unverified</x:v>
      </x:c>
      <x:c r="L584" s="12" t="str">
        <x:v>IT &amp; digital; Professional services; Finance &amp; insurance; Engineering &amp; manufacturing; Healthcare &amp; life sciences; Trade, consumer &amp; logistics; Government &amp; nonprofit; Unresolved</x:v>
      </x:c>
      <x:c r="M584" s="12" t="str">
        <x:v>Small-scale prospects; Medium-scale prospects; Large enterprise; Institutional; Mixed business audience</x:v>
      </x:c>
      <x:c r="N584" s="12" t="str">
        <x:v>PARTNER-M175</x:v>
      </x:c>
      <x:c r="O584" s="13"/>
      <x:c r="P584" s="13"/>
      <x:c r="Q584" s="2" t="str"/>
      <x:c r="R584" s="2" t="str">
        <x:v>TEN-0C9871ACDD81; TEN-126B90B3AAF0; TEN-22C64C35E554; TEN-230FC25B995B; TEN-2E592B5232A8; TEN-3CA8EB0EEB79; TEN-40919C846642; TEN-4818ADBE7A3E; TEN-682BFBE623F3; TEN-713806984796; TEN-7374F6DDD227; TEN-737B94C445E5; TEN-7833F51548E5; TEN-795C2469C0AB; TEN-847162D496C7; TEN-9F3A4329D832; TEN-A09B30E3D0A6; TEN-AD5DF8A9641C; TEN-AE69DE673F61; TEN-C8827568878B; TEN-CBFFDC2663B6; TEN-DF2E8D7953EB; TEN-EEC59CDFE811; TEN-FC8A936BC45B</x:v>
      </x:c>
      <x:c r="S584" s="12" t="str">
        <x:v>Mixed commercial workplace</x:v>
      </x:c>
      <x:c r="T584" s="12" t="str">
        <x:v>Tenant business-type estimates and reviewed company-scale context.</x:v>
      </x:c>
    </x:row>
    <x:row r="585" ht="88" customHeight="1">
      <x:c r="A585" s="10" t="n">
        <x:v>1</x:v>
      </x:c>
      <x:c r="B585" s="2" t="str">
        <x:v>CORP-0593</x:v>
      </x:c>
      <x:c r="C585" s="2" t="str">
        <x:v>Mumbai</x:v>
      </x:c>
      <x:c r="D585" s="2" t="str"/>
      <x:c r="E585" s="12" t="str">
        <x:v>The Capital</x:v>
      </x:c>
      <x:c r="F585" s="12" t="str">
        <x:v>Sky Lobby</x:v>
      </x:c>
      <x:c r="G585" s="11" t="n">
        <x:v>1</x:v>
      </x:c>
      <x:c r="H585" s="2" t="str">
        <x:v>55 inch</x:v>
      </x:c>
      <x:c r="I585" s="12" t="str">
        <x:v>Terkar Capital Mumbai; Danube Properties; Unaprime Investment Advisors Private Ltd; Bain &amp; Company; Wipro GE Healthcare Pvt Ltd; DiamondXE; Bombay Law Chambers; HGS; International Gemological Institute; Finsec Law Advisors; IFC Ventures; Diamond Producers Association Limited; Incred Capital; Inverness India; SUBWAY; Visa Inc; AMN Life Science Pvt. Ltd; Hiraco; Bank Of Baroda; HK Capital; Opec; Metta Capital Advisors LLP; hoonartek</x:v>
      </x:c>
      <x:c r="J585" s="2" t="n">
        <x:v>23</x:v>
      </x:c>
      <x:c r="K585" s="12" t="str">
        <x:v>Campus/portfolio roster; individual building occupancy unverified</x:v>
      </x:c>
      <x:c r="L585" s="12" t="str">
        <x:v>IT &amp; digital; Professional services; Finance &amp; insurance; Engineering &amp; manufacturing; Healthcare &amp; life sciences; Trade, consumer &amp; logistics; Government &amp; nonprofit; Unresolved</x:v>
      </x:c>
      <x:c r="M585" s="12" t="str">
        <x:v>Small-scale prospects; Medium-scale prospects; Large enterprise; Institutional; Mixed business audience</x:v>
      </x:c>
      <x:c r="N585" s="12" t="str">
        <x:v>PARTNER-M175</x:v>
      </x:c>
      <x:c r="O585" s="13"/>
      <x:c r="P585" s="13"/>
      <x:c r="Q585" s="2" t="str"/>
      <x:c r="R585" s="2" t="str">
        <x:v>TEN-0C9871ACDD81; TEN-126B90B3AAF0; TEN-22C64C35E554; TEN-230FC25B995B; TEN-2E592B5232A8; TEN-3CA8EB0EEB79; TEN-40919C846642; TEN-4818ADBE7A3E; TEN-682BFBE623F3; TEN-713806984796; TEN-7374F6DDD227; TEN-737B94C445E5; TEN-7833F51548E5; TEN-795C2469C0AB; TEN-847162D496C7; TEN-9F3A4329D832; TEN-A09B30E3D0A6; TEN-AD5DF8A9641C; TEN-AE69DE673F61; TEN-C8827568878B; TEN-CBFFDC2663B6; TEN-DF2E8D7953EB; TEN-EEC59CDFE811; TEN-FC8A936BC45B</x:v>
      </x:c>
      <x:c r="S585" s="12" t="str">
        <x:v>Mixed commercial workplace</x:v>
      </x:c>
      <x:c r="T585" s="12" t="str">
        <x:v>Tenant business-type estimates and reviewed company-scale context.</x:v>
      </x:c>
    </x:row>
    <x:row r="586" ht="88" customHeight="1">
      <x:c r="A586" s="10" t="n">
        <x:v>1</x:v>
      </x:c>
      <x:c r="B586" s="2" t="str">
        <x:v>CORP-0594</x:v>
      </x:c>
      <x:c r="C586" s="2" t="str">
        <x:v>Mumbai</x:v>
      </x:c>
      <x:c r="D586" s="2" t="str"/>
      <x:c r="E586" s="12" t="str">
        <x:v>The Capital</x:v>
      </x:c>
      <x:c r="F586" s="12" t="str">
        <x:v>Food Court</x:v>
      </x:c>
      <x:c r="G586" s="11" t="n">
        <x:v>1</x:v>
      </x:c>
      <x:c r="H586" s="2" t="str">
        <x:v>55 inch</x:v>
      </x:c>
      <x:c r="I586" s="12" t="str">
        <x:v>Terkar Capital Mumbai; Danube Properties; Unaprime Investment Advisors Private Ltd; Bain &amp; Company; Wipro GE Healthcare Pvt Ltd; DiamondXE; Bombay Law Chambers; HGS; International Gemological Institute; Finsec Law Advisors; IFC Ventures; Diamond Producers Association Limited; Incred Capital; Inverness India; SUBWAY; Visa Inc; AMN Life Science Pvt. Ltd; Hiraco; Bank Of Baroda; HK Capital; Opec; Metta Capital Advisors LLP; hoonartek</x:v>
      </x:c>
      <x:c r="J586" s="2" t="n">
        <x:v>23</x:v>
      </x:c>
      <x:c r="K586" s="12" t="str">
        <x:v>Campus/portfolio roster; individual building occupancy unverified</x:v>
      </x:c>
      <x:c r="L586" s="12" t="str">
        <x:v>IT &amp; digital; Professional services; Finance &amp; insurance; Engineering &amp; manufacturing; Healthcare &amp; life sciences; Trade, consumer &amp; logistics; Government &amp; nonprofit; Unresolved</x:v>
      </x:c>
      <x:c r="M586" s="12" t="str">
        <x:v>Small-scale prospects; Medium-scale prospects; Large enterprise; Institutional; Mixed business audience</x:v>
      </x:c>
      <x:c r="N586" s="12" t="str">
        <x:v>PARTNER-M175</x:v>
      </x:c>
      <x:c r="O586" s="13"/>
      <x:c r="P586" s="13"/>
      <x:c r="Q586" s="2" t="str"/>
      <x:c r="R586" s="2" t="str">
        <x:v>TEN-0C9871ACDD81; TEN-126B90B3AAF0; TEN-22C64C35E554; TEN-230FC25B995B; TEN-2E592B5232A8; TEN-3CA8EB0EEB79; TEN-40919C846642; TEN-4818ADBE7A3E; TEN-682BFBE623F3; TEN-713806984796; TEN-7374F6DDD227; TEN-737B94C445E5; TEN-7833F51548E5; TEN-795C2469C0AB; TEN-847162D496C7; TEN-9F3A4329D832; TEN-A09B30E3D0A6; TEN-AD5DF8A9641C; TEN-AE69DE673F61; TEN-C8827568878B; TEN-CBFFDC2663B6; TEN-DF2E8D7953EB; TEN-EEC59CDFE811; TEN-FC8A936BC45B</x:v>
      </x:c>
      <x:c r="S586" s="12" t="str">
        <x:v>Mixed commercial workplace</x:v>
      </x:c>
      <x:c r="T586" s="12" t="str">
        <x:v>Tenant business-type estimates and reviewed company-scale context.</x:v>
      </x:c>
    </x:row>
    <x:row r="587" ht="75" customHeight="1">
      <x:c r="A587" s="10" t="n">
        <x:v>1</x:v>
      </x:c>
      <x:c r="B587" s="2" t="str">
        <x:v>CORP-0596</x:v>
      </x:c>
      <x:c r="C587" s="2" t="str">
        <x:v>Mumbai</x:v>
      </x:c>
      <x:c r="D587" s="2" t="str"/>
      <x:c r="E587" s="12" t="str">
        <x:v>Kanakia Boomerang</x:v>
      </x:c>
      <x:c r="F587" s="12" t="str">
        <x:v>Reception Lobby Area</x:v>
      </x:c>
      <x:c r="G587" s="11" t="n">
        <x:v>1</x:v>
      </x:c>
      <x:c r="H587" s="2" t="str">
        <x:v>55 inch</x:v>
      </x:c>
      <x:c r="I587" s="12" t="str">
        <x:v>Pioneer Foundation Engineers Pvt. Ltd; Nord-Lock India Private Limited; IGP.com; Clear Point Instrumentation Pvt. Ltd; Hi5 Youth Foundation; Mep; Roxul Rockwool; Transven Lifestyle Pvt. Ltd; Sitel India; Heurtey Petrochem India Private Limited; Synergy Group; VRIPL Retail Private Limited; CIMS; Unitherm Engineers Limited; Vellvette; eClinicalWorks India Private Limited</x:v>
      </x:c>
      <x:c r="J587" s="2" t="n">
        <x:v>16</x:v>
      </x:c>
      <x:c r="K587" s="12" t="str">
        <x:v>Campus/portfolio roster; individual building occupancy unverified</x:v>
      </x:c>
      <x:c r="L587" s="12" t="str">
        <x:v>IT &amp; digital; Engineering &amp; manufacturing; Trade, consumer &amp; logistics; Government &amp; nonprofit; Unresolved</x:v>
      </x:c>
      <x:c r="M587" s="12" t="str">
        <x:v>Small-scale prospects; Medium-scale prospects; Institutional; Mixed business audience</x:v>
      </x:c>
      <x:c r="N587" s="12" t="str">
        <x:v>PARTNER-M179</x:v>
      </x:c>
      <x:c r="O587" s="13"/>
      <x:c r="P587" s="13"/>
      <x:c r="Q587" s="2" t="str"/>
      <x:c r="R587" s="2" t="str">
        <x:v>TEN-10C5B5430B91; TEN-12562C5D297E; TEN-1F792F557E35; TEN-204F804BC276; TEN-272D2169C38E; TEN-2BE4993D4FEC; TEN-5045ABCEFDBB; TEN-5CF27221D70B; TEN-61512E0643A9; TEN-621D5603203C; TEN-6F8D802453D7; TEN-7DBA31647FAA; TEN-DB041B39B6B0; TEN-EA2E8D5F5E0F; TEN-EC31F8A49FA4; TEN-F8D593D0B92D</x:v>
      </x:c>
      <x:c r="S587" s="12" t="str">
        <x:v>Mixed commercial workplace</x:v>
      </x:c>
      <x:c r="T587" s="12" t="str">
        <x:v>Tenant business-type estimates and reviewed company-scale context.</x:v>
      </x:c>
    </x:row>
    <x:row r="588" ht="75" customHeight="1">
      <x:c r="A588" s="10" t="n">
        <x:v>1</x:v>
      </x:c>
      <x:c r="B588" s="2" t="str">
        <x:v>CORP-0597</x:v>
      </x:c>
      <x:c r="C588" s="2" t="str">
        <x:v>Mumbai</x:v>
      </x:c>
      <x:c r="D588" s="2" t="str"/>
      <x:c r="E588" s="12" t="str">
        <x:v>Kanakia Boomerang</x:v>
      </x:c>
      <x:c r="F588" s="12" t="str">
        <x:v>Tower A</x:v>
      </x:c>
      <x:c r="G588" s="11" t="n">
        <x:v>1</x:v>
      </x:c>
      <x:c r="H588" s="2" t="str">
        <x:v>55 inch</x:v>
      </x:c>
      <x:c r="I588" s="12" t="str">
        <x:v>Pioneer Foundation Engineers Pvt. Ltd; Nord-Lock India Private Limited; IGP.com; Clear Point Instrumentation Pvt. Ltd; Hi5 Youth Foundation; Mep; Roxul Rockwool; Transven Lifestyle Pvt. Ltd; Sitel India; Heurtey Petrochem India Private Limited; Synergy Group; VRIPL Retail Private Limited; CIMS; Unitherm Engineers Limited; Vellvette; eClinicalWorks India Private Limited</x:v>
      </x:c>
      <x:c r="J588" s="2" t="n">
        <x:v>16</x:v>
      </x:c>
      <x:c r="K588" s="12" t="str">
        <x:v>Campus/portfolio roster; individual building occupancy unverified</x:v>
      </x:c>
      <x:c r="L588" s="12" t="str">
        <x:v>IT &amp; digital; Engineering &amp; manufacturing; Trade, consumer &amp; logistics; Government &amp; nonprofit; Unresolved</x:v>
      </x:c>
      <x:c r="M588" s="12" t="str">
        <x:v>Small-scale prospects; Medium-scale prospects; Institutional; Mixed business audience</x:v>
      </x:c>
      <x:c r="N588" s="12" t="str">
        <x:v>PARTNER-M179</x:v>
      </x:c>
      <x:c r="O588" s="13"/>
      <x:c r="P588" s="13"/>
      <x:c r="Q588" s="2" t="str"/>
      <x:c r="R588" s="2" t="str">
        <x:v>TEN-10C5B5430B91; TEN-12562C5D297E; TEN-1F792F557E35; TEN-204F804BC276; TEN-272D2169C38E; TEN-2BE4993D4FEC; TEN-5045ABCEFDBB; TEN-5CF27221D70B; TEN-61512E0643A9; TEN-621D5603203C; TEN-6F8D802453D7; TEN-7DBA31647FAA; TEN-DB041B39B6B0; TEN-EA2E8D5F5E0F; TEN-EC31F8A49FA4; TEN-F8D593D0B92D</x:v>
      </x:c>
      <x:c r="S588" s="12" t="str">
        <x:v>Mixed commercial workplace</x:v>
      </x:c>
      <x:c r="T588" s="12" t="str">
        <x:v>Tenant business-type estimates and reviewed company-scale context.</x:v>
      </x:c>
    </x:row>
    <x:row r="589" ht="75" customHeight="1">
      <x:c r="A589" s="10" t="n">
        <x:v>1</x:v>
      </x:c>
      <x:c r="B589" s="2" t="str">
        <x:v>CORP-0598</x:v>
      </x:c>
      <x:c r="C589" s="2" t="str">
        <x:v>Mumbai</x:v>
      </x:c>
      <x:c r="D589" s="2" t="str"/>
      <x:c r="E589" s="12" t="str">
        <x:v>Kanakia Boomerang</x:v>
      </x:c>
      <x:c r="F589" s="12" t="str">
        <x:v>Tower B</x:v>
      </x:c>
      <x:c r="G589" s="11" t="n">
        <x:v>1</x:v>
      </x:c>
      <x:c r="H589" s="2" t="str">
        <x:v>55 inch</x:v>
      </x:c>
      <x:c r="I589" s="12" t="str">
        <x:v>Pioneer Foundation Engineers Pvt. Ltd; Nord-Lock India Private Limited; IGP.com; Clear Point Instrumentation Pvt. Ltd; Hi5 Youth Foundation; Mep; Roxul Rockwool; Transven Lifestyle Pvt. Ltd; Sitel India; Heurtey Petrochem India Private Limited; Synergy Group; VRIPL Retail Private Limited; CIMS; Unitherm Engineers Limited; Vellvette; eClinicalWorks India Private Limited</x:v>
      </x:c>
      <x:c r="J589" s="2" t="n">
        <x:v>16</x:v>
      </x:c>
      <x:c r="K589" s="12" t="str">
        <x:v>Campus/portfolio roster; individual building occupancy unverified</x:v>
      </x:c>
      <x:c r="L589" s="12" t="str">
        <x:v>IT &amp; digital; Engineering &amp; manufacturing; Trade, consumer &amp; logistics; Government &amp; nonprofit; Unresolved</x:v>
      </x:c>
      <x:c r="M589" s="12" t="str">
        <x:v>Small-scale prospects; Medium-scale prospects; Institutional; Mixed business audience</x:v>
      </x:c>
      <x:c r="N589" s="12" t="str">
        <x:v>PARTNER-M179</x:v>
      </x:c>
      <x:c r="O589" s="13"/>
      <x:c r="P589" s="13"/>
      <x:c r="Q589" s="2" t="str"/>
      <x:c r="R589" s="2" t="str">
        <x:v>TEN-10C5B5430B91; TEN-12562C5D297E; TEN-1F792F557E35; TEN-204F804BC276; TEN-272D2169C38E; TEN-2BE4993D4FEC; TEN-5045ABCEFDBB; TEN-5CF27221D70B; TEN-61512E0643A9; TEN-621D5603203C; TEN-6F8D802453D7; TEN-7DBA31647FAA; TEN-DB041B39B6B0; TEN-EA2E8D5F5E0F; TEN-EC31F8A49FA4; TEN-F8D593D0B92D</x:v>
      </x:c>
      <x:c r="S589" s="12" t="str">
        <x:v>Mixed commercial workplace</x:v>
      </x:c>
      <x:c r="T589" s="12" t="str">
        <x:v>Tenant business-type estimates and reviewed company-scale context.</x:v>
      </x:c>
    </x:row>
    <x:row r="590" ht="75" customHeight="1">
      <x:c r="A590" s="10" t="n">
        <x:v>1</x:v>
      </x:c>
      <x:c r="B590" s="2" t="str">
        <x:v>CORP-0599</x:v>
      </x:c>
      <x:c r="C590" s="2" t="str">
        <x:v>Mumbai</x:v>
      </x:c>
      <x:c r="D590" s="2" t="str"/>
      <x:c r="E590" s="12" t="str">
        <x:v>Kanakia Boomerang</x:v>
      </x:c>
      <x:c r="F590" s="12" t="str">
        <x:v>Reception Lobby Area 2</x:v>
      </x:c>
      <x:c r="G590" s="11" t="n">
        <x:v>1</x:v>
      </x:c>
      <x:c r="H590" s="2" t="str">
        <x:v>55 inch</x:v>
      </x:c>
      <x:c r="I590" s="12" t="str">
        <x:v>Pioneer Foundation Engineers Pvt. Ltd; Nord-Lock India Private Limited; IGP.com; Clear Point Instrumentation Pvt. Ltd; Hi5 Youth Foundation; Mep; Roxul Rockwool; Transven Lifestyle Pvt. Ltd; Sitel India; Heurtey Petrochem India Private Limited; Synergy Group; VRIPL Retail Private Limited; CIMS; Unitherm Engineers Limited; Vellvette; eClinicalWorks India Private Limited</x:v>
      </x:c>
      <x:c r="J590" s="2" t="n">
        <x:v>16</x:v>
      </x:c>
      <x:c r="K590" s="12" t="str">
        <x:v>Campus/portfolio roster; individual building occupancy unverified</x:v>
      </x:c>
      <x:c r="L590" s="12" t="str">
        <x:v>IT &amp; digital; Engineering &amp; manufacturing; Trade, consumer &amp; logistics; Government &amp; nonprofit; Unresolved</x:v>
      </x:c>
      <x:c r="M590" s="12" t="str">
        <x:v>Small-scale prospects; Medium-scale prospects; Institutional; Mixed business audience</x:v>
      </x:c>
      <x:c r="N590" s="12" t="str">
        <x:v>PARTNER-M179</x:v>
      </x:c>
      <x:c r="O590" s="13"/>
      <x:c r="P590" s="13"/>
      <x:c r="Q590" s="2" t="str"/>
      <x:c r="R590" s="2" t="str">
        <x:v>TEN-10C5B5430B91; TEN-12562C5D297E; TEN-1F792F557E35; TEN-204F804BC276; TEN-272D2169C38E; TEN-2BE4993D4FEC; TEN-5045ABCEFDBB; TEN-5CF27221D70B; TEN-61512E0643A9; TEN-621D5603203C; TEN-6F8D802453D7; TEN-7DBA31647FAA; TEN-DB041B39B6B0; TEN-EA2E8D5F5E0F; TEN-EC31F8A49FA4; TEN-F8D593D0B92D</x:v>
      </x:c>
      <x:c r="S590" s="12" t="str">
        <x:v>Mixed commercial workplace</x:v>
      </x:c>
      <x:c r="T590" s="12" t="str">
        <x:v>Tenant business-type estimates and reviewed company-scale context.</x:v>
      </x:c>
    </x:row>
    <x:row r="591" ht="75" customHeight="1">
      <x:c r="A591" s="10" t="n">
        <x:v>1</x:v>
      </x:c>
      <x:c r="B591" s="2" t="str">
        <x:v>CORP-0600</x:v>
      </x:c>
      <x:c r="C591" s="2" t="str">
        <x:v>Mumbai</x:v>
      </x:c>
      <x:c r="D591" s="2" t="str"/>
      <x:c r="E591" s="12" t="str">
        <x:v>Kanakia Boomerang</x:v>
      </x:c>
      <x:c r="F591" s="12" t="str">
        <x:v>Elevator Lobby</x:v>
      </x:c>
      <x:c r="G591" s="11" t="n">
        <x:v>1</x:v>
      </x:c>
      <x:c r="H591" s="2" t="str">
        <x:v>55 inch</x:v>
      </x:c>
      <x:c r="I591" s="12" t="str">
        <x:v>Pioneer Foundation Engineers Pvt. Ltd; Nord-Lock India Private Limited; IGP.com; Clear Point Instrumentation Pvt. Ltd; Hi5 Youth Foundation; Mep; Roxul Rockwool; Transven Lifestyle Pvt. Ltd; Sitel India; Heurtey Petrochem India Private Limited; Synergy Group; VRIPL Retail Private Limited; CIMS; Unitherm Engineers Limited; Vellvette; eClinicalWorks India Private Limited</x:v>
      </x:c>
      <x:c r="J591" s="2" t="n">
        <x:v>16</x:v>
      </x:c>
      <x:c r="K591" s="12" t="str">
        <x:v>Campus/portfolio roster; individual building occupancy unverified</x:v>
      </x:c>
      <x:c r="L591" s="12" t="str">
        <x:v>IT &amp; digital; Engineering &amp; manufacturing; Trade, consumer &amp; logistics; Government &amp; nonprofit; Unresolved</x:v>
      </x:c>
      <x:c r="M591" s="12" t="str">
        <x:v>Small-scale prospects; Medium-scale prospects; Institutional; Mixed business audience</x:v>
      </x:c>
      <x:c r="N591" s="12" t="str">
        <x:v>PARTNER-M179</x:v>
      </x:c>
      <x:c r="O591" s="13"/>
      <x:c r="P591" s="13"/>
      <x:c r="Q591" s="2" t="str"/>
      <x:c r="R591" s="2" t="str">
        <x:v>TEN-10C5B5430B91; TEN-12562C5D297E; TEN-1F792F557E35; TEN-204F804BC276; TEN-272D2169C38E; TEN-2BE4993D4FEC; TEN-5045ABCEFDBB; TEN-5CF27221D70B; TEN-61512E0643A9; TEN-621D5603203C; TEN-6F8D802453D7; TEN-7DBA31647FAA; TEN-DB041B39B6B0; TEN-EA2E8D5F5E0F; TEN-EC31F8A49FA4; TEN-F8D593D0B92D</x:v>
      </x:c>
      <x:c r="S591" s="12" t="str">
        <x:v>Mixed commercial workplace</x:v>
      </x:c>
      <x:c r="T591" s="12" t="str">
        <x:v>Tenant business-type estimates and reviewed company-scale context.</x:v>
      </x:c>
    </x:row>
    <x:row r="592" ht="75" customHeight="1">
      <x:c r="A592" s="10" t="n">
        <x:v>1</x:v>
      </x:c>
      <x:c r="B592" s="2" t="str">
        <x:v>CORP-0601</x:v>
      </x:c>
      <x:c r="C592" s="2" t="str">
        <x:v>Mumbai</x:v>
      </x:c>
      <x:c r="D592" s="2" t="str"/>
      <x:c r="E592" s="12" t="str">
        <x:v>Kanakia Boomerang</x:v>
      </x:c>
      <x:c r="F592" s="12" t="str">
        <x:v>Elevator Lobby</x:v>
      </x:c>
      <x:c r="G592" s="11" t="n">
        <x:v>1</x:v>
      </x:c>
      <x:c r="H592" s="2" t="str">
        <x:v>55 inch</x:v>
      </x:c>
      <x:c r="I592" s="12" t="str">
        <x:v>Pioneer Foundation Engineers Pvt. Ltd; Nord-Lock India Private Limited; IGP.com; Clear Point Instrumentation Pvt. Ltd; Hi5 Youth Foundation; Mep; Roxul Rockwool; Transven Lifestyle Pvt. Ltd; Sitel India; Heurtey Petrochem India Private Limited; Synergy Group; VRIPL Retail Private Limited; CIMS; Unitherm Engineers Limited; Vellvette; eClinicalWorks India Private Limited</x:v>
      </x:c>
      <x:c r="J592" s="2" t="n">
        <x:v>16</x:v>
      </x:c>
      <x:c r="K592" s="12" t="str">
        <x:v>Campus/portfolio roster; individual building occupancy unverified</x:v>
      </x:c>
      <x:c r="L592" s="12" t="str">
        <x:v>IT &amp; digital; Engineering &amp; manufacturing; Trade, consumer &amp; logistics; Government &amp; nonprofit; Unresolved</x:v>
      </x:c>
      <x:c r="M592" s="12" t="str">
        <x:v>Small-scale prospects; Medium-scale prospects; Institutional; Mixed business audience</x:v>
      </x:c>
      <x:c r="N592" s="12" t="str">
        <x:v>PARTNER-M179</x:v>
      </x:c>
      <x:c r="O592" s="13"/>
      <x:c r="P592" s="13"/>
      <x:c r="Q592" s="2" t="str"/>
      <x:c r="R592" s="2" t="str">
        <x:v>TEN-10C5B5430B91; TEN-12562C5D297E; TEN-1F792F557E35; TEN-204F804BC276; TEN-272D2169C38E; TEN-2BE4993D4FEC; TEN-5045ABCEFDBB; TEN-5CF27221D70B; TEN-61512E0643A9; TEN-621D5603203C; TEN-6F8D802453D7; TEN-7DBA31647FAA; TEN-DB041B39B6B0; TEN-EA2E8D5F5E0F; TEN-EC31F8A49FA4; TEN-F8D593D0B92D</x:v>
      </x:c>
      <x:c r="S592" s="12" t="str">
        <x:v>Mixed commercial workplace</x:v>
      </x:c>
      <x:c r="T592" s="12" t="str">
        <x:v>Tenant business-type estimates and reviewed company-scale context.</x:v>
      </x:c>
    </x:row>
    <x:row r="593" ht="64" customHeight="1">
      <x:c r="A593" s="10" t="n">
        <x:v>1</x:v>
      </x:c>
      <x:c r="B593" s="2" t="str">
        <x:v>CORP-0602</x:v>
      </x:c>
      <x:c r="C593" s="2" t="str">
        <x:v>Mumbai</x:v>
      </x:c>
      <x:c r="D593" s="2" t="str"/>
      <x:c r="E593" s="12" t="str">
        <x:v>G Corp Tech Park</x:v>
      </x:c>
      <x:c r="F593" s="12" t="str">
        <x:v>Reception lobby and elevator lobby</x:v>
      </x:c>
      <x:c r="G593" s="11" t="n">
        <x:v>1</x:v>
      </x:c>
      <x:c r="H593" s="2" t="str">
        <x:v>55 inch</x:v>
      </x:c>
      <x:c r="I593" s="12" t="str">
        <x:v>Convergys; DXC Technology; Virtusa Consulting Services Private Limited; ACE E-Service Pvt Ltd; Sterling Talent Solutions; Birla Sunlife Insurance Co Ltd; Concentrix; IQVIA; PerkinElmer India</x:v>
      </x:c>
      <x:c r="J593" s="2" t="n">
        <x:v>9</x:v>
      </x:c>
      <x:c r="K593" s="12" t="str">
        <x:v>Campus/portfolio roster; individual building occupancy unverified</x:v>
      </x:c>
      <x:c r="L593" s="12" t="str">
        <x:v>IT &amp; digital; Professional services; Finance &amp; insurance; Healthcare &amp; life sciences</x:v>
      </x:c>
      <x:c r="M593" s="12" t="str">
        <x:v>Small-scale prospects; Large enterprise; Mixed business audience</x:v>
      </x:c>
      <x:c r="N593" s="12" t="str">
        <x:v>PARTNER-M185</x:v>
      </x:c>
      <x:c r="O593" s="13"/>
      <x:c r="P593" s="13"/>
      <x:c r="Q593" s="2" t="str"/>
      <x:c r="R593" s="2" t="str">
        <x:v>TEN-778D09F77BD0; TEN-799B0C7CF86C; TEN-812F14050534; TEN-8FCBA0633921; TEN-A107DE23AABA; TEN-A4FA06EB9338; TEN-BA6AE2780CD4; TEN-E4737DBE1BA9; TEN-EED420C0D2C1</x:v>
      </x:c>
      <x:c r="S593" s="12" t="str">
        <x:v>IT and enterprise campus</x:v>
      </x:c>
      <x:c r="T593" s="12" t="str">
        <x:v>Tenant business-type estimates and reviewed company-scale context.</x:v>
      </x:c>
    </x:row>
    <x:row r="594" ht="64" customHeight="1">
      <x:c r="A594" s="10" t="n">
        <x:v>1</x:v>
      </x:c>
      <x:c r="B594" s="2" t="str">
        <x:v>CORP-0603</x:v>
      </x:c>
      <x:c r="C594" s="2" t="str">
        <x:v>Mumbai</x:v>
      </x:c>
      <x:c r="D594" s="2" t="str"/>
      <x:c r="E594" s="12" t="str">
        <x:v>G Corp Tech Park</x:v>
      </x:c>
      <x:c r="F594" s="12" t="str">
        <x:v>Reception lobby and elevator lobby</x:v>
      </x:c>
      <x:c r="G594" s="11" t="n">
        <x:v>1</x:v>
      </x:c>
      <x:c r="H594" s="2" t="str">
        <x:v>55 inch</x:v>
      </x:c>
      <x:c r="I594" s="12" t="str">
        <x:v>Convergys; DXC Technology; Virtusa Consulting Services Private Limited; ACE E-Service Pvt Ltd; Sterling Talent Solutions; Birla Sunlife Insurance Co Ltd; Concentrix; IQVIA; PerkinElmer India</x:v>
      </x:c>
      <x:c r="J594" s="2" t="n">
        <x:v>9</x:v>
      </x:c>
      <x:c r="K594" s="12" t="str">
        <x:v>Campus/portfolio roster; individual building occupancy unverified</x:v>
      </x:c>
      <x:c r="L594" s="12" t="str">
        <x:v>IT &amp; digital; Professional services; Finance &amp; insurance; Healthcare &amp; life sciences</x:v>
      </x:c>
      <x:c r="M594" s="12" t="str">
        <x:v>Small-scale prospects; Large enterprise; Mixed business audience</x:v>
      </x:c>
      <x:c r="N594" s="12" t="str">
        <x:v>PARTNER-M185</x:v>
      </x:c>
      <x:c r="O594" s="13"/>
      <x:c r="P594" s="13"/>
      <x:c r="Q594" s="2" t="str"/>
      <x:c r="R594" s="2" t="str">
        <x:v>TEN-778D09F77BD0; TEN-799B0C7CF86C; TEN-812F14050534; TEN-8FCBA0633921; TEN-A107DE23AABA; TEN-A4FA06EB9338; TEN-BA6AE2780CD4; TEN-E4737DBE1BA9; TEN-EED420C0D2C1</x:v>
      </x:c>
      <x:c r="S594" s="12" t="str">
        <x:v>IT and enterprise campus</x:v>
      </x:c>
      <x:c r="T594" s="12" t="str">
        <x:v>Tenant business-type estimates and reviewed company-scale context.</x:v>
      </x:c>
    </x:row>
    <x:row r="595" ht="64" customHeight="1">
      <x:c r="A595" s="10" t="n">
        <x:v>1</x:v>
      </x:c>
      <x:c r="B595" s="2" t="str">
        <x:v>CORP-0604</x:v>
      </x:c>
      <x:c r="C595" s="2" t="str">
        <x:v>Mumbai</x:v>
      </x:c>
      <x:c r="D595" s="2" t="str"/>
      <x:c r="E595" s="12" t="str">
        <x:v>G Corp Tech Park</x:v>
      </x:c>
      <x:c r="F595" s="12" t="str">
        <x:v>Driveway Lobby Entry</x:v>
      </x:c>
      <x:c r="G595" s="11" t="n">
        <x:v>1</x:v>
      </x:c>
      <x:c r="H595" s="2" t="str">
        <x:v>55 inch</x:v>
      </x:c>
      <x:c r="I595" s="12" t="str">
        <x:v>Convergys; DXC Technology; Virtusa Consulting Services Private Limited; ACE E-Service Pvt Ltd; Sterling Talent Solutions; Birla Sunlife Insurance Co Ltd; Concentrix; IQVIA; PerkinElmer India</x:v>
      </x:c>
      <x:c r="J595" s="2" t="n">
        <x:v>9</x:v>
      </x:c>
      <x:c r="K595" s="12" t="str">
        <x:v>Campus/portfolio roster; individual building occupancy unverified</x:v>
      </x:c>
      <x:c r="L595" s="12" t="str">
        <x:v>IT &amp; digital; Professional services; Finance &amp; insurance; Healthcare &amp; life sciences</x:v>
      </x:c>
      <x:c r="M595" s="12" t="str">
        <x:v>Small-scale prospects; Large enterprise; Mixed business audience</x:v>
      </x:c>
      <x:c r="N595" s="12" t="str">
        <x:v>PARTNER-M185</x:v>
      </x:c>
      <x:c r="O595" s="13"/>
      <x:c r="P595" s="13"/>
      <x:c r="Q595" s="2" t="str"/>
      <x:c r="R595" s="2" t="str">
        <x:v>TEN-778D09F77BD0; TEN-799B0C7CF86C; TEN-812F14050534; TEN-8FCBA0633921; TEN-A107DE23AABA; TEN-A4FA06EB9338; TEN-BA6AE2780CD4; TEN-E4737DBE1BA9; TEN-EED420C0D2C1</x:v>
      </x:c>
      <x:c r="S595" s="12" t="str">
        <x:v>IT and enterprise campus</x:v>
      </x:c>
      <x:c r="T595" s="12" t="str">
        <x:v>Tenant business-type estimates and reviewed company-scale context.</x:v>
      </x:c>
    </x:row>
    <x:row r="596" ht="75" customHeight="1">
      <x:c r="A596" s="10" t="n">
        <x:v>1</x:v>
      </x:c>
      <x:c r="B596" s="2" t="str">
        <x:v>CORP-0605</x:v>
      </x:c>
      <x:c r="C596" s="2" t="str">
        <x:v>Mumbai</x:v>
      </x:c>
      <x:c r="D596" s="2" t="str"/>
      <x:c r="E596" s="12" t="str">
        <x:v>Urmi Estate</x:v>
      </x:c>
      <x:c r="F596" s="12" t="str">
        <x:v>Tower A - Elevator Lobby</x:v>
      </x:c>
      <x:c r="G596" s="11" t="n">
        <x:v>1</x:v>
      </x:c>
      <x:c r="H596" s="2" t="str">
        <x:v>55 inch</x:v>
      </x:c>
      <x:c r="I596" s="12" t="str">
        <x:v>DSB International School; VAssist Services Pvt. Ltd; PUBLICIS MEDIA; Maersk Line Office; Star India Private Limited; Law &amp; Kenneth Saatchi &amp; Saatchi India Private Limited; Digitas; Consulate General of Republic of South Africa; PhillipCapital (India) Pvt. Ltd; Akasa Air; Performics.Convonix; Lycée Français International de Mumbai; The Learning Galaxy; Hotstar</x:v>
      </x:c>
      <x:c r="J596" s="2" t="n">
        <x:v>14</x:v>
      </x:c>
      <x:c r="K596" s="12" t="str">
        <x:v>Campus/portfolio roster; individual building occupancy unverified</x:v>
      </x:c>
      <x:c r="L596" s="12" t="str">
        <x:v>Professional services; Finance &amp; insurance; Education; Trade, consumer &amp; logistics; Government &amp; nonprofit; Unresolved</x:v>
      </x:c>
      <x:c r="M596" s="12" t="str">
        <x:v>Small-scale prospects; Large enterprise; Institutional; Mixed business audience</x:v>
      </x:c>
      <x:c r="N596" s="12" t="str">
        <x:v>PARTNER-M188</x:v>
      </x:c>
      <x:c r="O596" s="13"/>
      <x:c r="P596" s="13"/>
      <x:c r="Q596" s="2" t="str"/>
      <x:c r="R596" s="2" t="str">
        <x:v>TEN-2B28F04A8B61; TEN-375E37AB8AEE; TEN-4226BEF8F9C9; TEN-43AE726EC13A; TEN-5A80E9846757; TEN-6511014F09E3; TEN-65F0C1A7EAFF; TEN-88C77A8CE97E; TEN-9D3E03571A85; TEN-9E0F4D8A0AA5; TEN-B9E919CF563D; TEN-D2DC6A741591; TEN-E07EEA591709; TEN-EDA2DFE8C935</x:v>
      </x:c>
      <x:c r="S596" s="12" t="str">
        <x:v>Mixed commercial workplace</x:v>
      </x:c>
      <x:c r="T596" s="12" t="str">
        <x:v>Tenant business-type estimates and reviewed company-scale context.</x:v>
      </x:c>
    </x:row>
    <x:row r="597" ht="75" customHeight="1">
      <x:c r="A597" s="10" t="n">
        <x:v>1</x:v>
      </x:c>
      <x:c r="B597" s="2" t="str">
        <x:v>CORP-0606</x:v>
      </x:c>
      <x:c r="C597" s="2" t="str">
        <x:v>Mumbai</x:v>
      </x:c>
      <x:c r="D597" s="2" t="str"/>
      <x:c r="E597" s="12" t="str">
        <x:v>Urmi Estate</x:v>
      </x:c>
      <x:c r="F597" s="12" t="str">
        <x:v>Iconic Tower - Reception</x:v>
      </x:c>
      <x:c r="G597" s="11" t="n">
        <x:v>1</x:v>
      </x:c>
      <x:c r="H597" s="2" t="str">
        <x:v>55 inch</x:v>
      </x:c>
      <x:c r="I597" s="12" t="str">
        <x:v>DSB International School; VAssist Services Pvt. Ltd; PUBLICIS MEDIA; Maersk Line Office; Star India Private Limited; Law &amp; Kenneth Saatchi &amp; Saatchi India Private Limited; Digitas; Consulate General of Republic of South Africa; PhillipCapital (India) Pvt. Ltd; Akasa Air; Performics.Convonix; Lycée Français International de Mumbai; The Learning Galaxy; Hotstar</x:v>
      </x:c>
      <x:c r="J597" s="2" t="n">
        <x:v>14</x:v>
      </x:c>
      <x:c r="K597" s="12" t="str">
        <x:v>Campus/portfolio roster; individual building occupancy unverified</x:v>
      </x:c>
      <x:c r="L597" s="12" t="str">
        <x:v>Professional services; Finance &amp; insurance; Education; Trade, consumer &amp; logistics; Government &amp; nonprofit; Unresolved</x:v>
      </x:c>
      <x:c r="M597" s="12" t="str">
        <x:v>Small-scale prospects; Large enterprise; Institutional; Mixed business audience</x:v>
      </x:c>
      <x:c r="N597" s="12" t="str">
        <x:v>PARTNER-M188</x:v>
      </x:c>
      <x:c r="O597" s="13"/>
      <x:c r="P597" s="13"/>
      <x:c r="Q597" s="2" t="str"/>
      <x:c r="R597" s="2" t="str">
        <x:v>TEN-2B28F04A8B61; TEN-375E37AB8AEE; TEN-4226BEF8F9C9; TEN-43AE726EC13A; TEN-5A80E9846757; TEN-6511014F09E3; TEN-65F0C1A7EAFF; TEN-88C77A8CE97E; TEN-9D3E03571A85; TEN-9E0F4D8A0AA5; TEN-B9E919CF563D; TEN-D2DC6A741591; TEN-E07EEA591709; TEN-EDA2DFE8C935</x:v>
      </x:c>
      <x:c r="S597" s="12" t="str">
        <x:v>Mixed commercial workplace</x:v>
      </x:c>
      <x:c r="T597" s="12" t="str">
        <x:v>Tenant business-type estimates and reviewed company-scale context.</x:v>
      </x:c>
    </x:row>
    <x:row r="598" ht="75" customHeight="1">
      <x:c r="A598" s="10" t="n">
        <x:v>1</x:v>
      </x:c>
      <x:c r="B598" s="2" t="str">
        <x:v>CORP-0607</x:v>
      </x:c>
      <x:c r="C598" s="2" t="str">
        <x:v>Mumbai</x:v>
      </x:c>
      <x:c r="D598" s="2" t="str"/>
      <x:c r="E598" s="12" t="str">
        <x:v>Urmi Estate</x:v>
      </x:c>
      <x:c r="F598" s="12" t="str">
        <x:v>Iconic Tower - Elevator Lobby</x:v>
      </x:c>
      <x:c r="G598" s="11" t="n">
        <x:v>1</x:v>
      </x:c>
      <x:c r="H598" s="2" t="str">
        <x:v>55 inch</x:v>
      </x:c>
      <x:c r="I598" s="12" t="str">
        <x:v>DSB International School; VAssist Services Pvt. Ltd; PUBLICIS MEDIA; Maersk Line Office; Star India Private Limited; Law &amp; Kenneth Saatchi &amp; Saatchi India Private Limited; Digitas; Consulate General of Republic of South Africa; PhillipCapital (India) Pvt. Ltd; Akasa Air; Performics.Convonix; Lycée Français International de Mumbai; The Learning Galaxy; Hotstar</x:v>
      </x:c>
      <x:c r="J598" s="2" t="n">
        <x:v>14</x:v>
      </x:c>
      <x:c r="K598" s="12" t="str">
        <x:v>Campus/portfolio roster; individual building occupancy unverified</x:v>
      </x:c>
      <x:c r="L598" s="12" t="str">
        <x:v>Professional services; Finance &amp; insurance; Education; Trade, consumer &amp; logistics; Government &amp; nonprofit; Unresolved</x:v>
      </x:c>
      <x:c r="M598" s="12" t="str">
        <x:v>Small-scale prospects; Large enterprise; Institutional; Mixed business audience</x:v>
      </x:c>
      <x:c r="N598" s="12" t="str">
        <x:v>PARTNER-M188</x:v>
      </x:c>
      <x:c r="O598" s="13"/>
      <x:c r="P598" s="13"/>
      <x:c r="Q598" s="2" t="str"/>
      <x:c r="R598" s="2" t="str">
        <x:v>TEN-2B28F04A8B61; TEN-375E37AB8AEE; TEN-4226BEF8F9C9; TEN-43AE726EC13A; TEN-5A80E9846757; TEN-6511014F09E3; TEN-65F0C1A7EAFF; TEN-88C77A8CE97E; TEN-9D3E03571A85; TEN-9E0F4D8A0AA5; TEN-B9E919CF563D; TEN-D2DC6A741591; TEN-E07EEA591709; TEN-EDA2DFE8C935</x:v>
      </x:c>
      <x:c r="S598" s="12" t="str">
        <x:v>Mixed commercial workplace</x:v>
      </x:c>
      <x:c r="T598" s="12" t="str">
        <x:v>Tenant business-type estimates and reviewed company-scale context.</x:v>
      </x:c>
    </x:row>
    <x:row r="599" ht="75" customHeight="1">
      <x:c r="A599" s="10" t="n">
        <x:v>1</x:v>
      </x:c>
      <x:c r="B599" s="2" t="str">
        <x:v>CORP-0608</x:v>
      </x:c>
      <x:c r="C599" s="2" t="str">
        <x:v>Mumbai</x:v>
      </x:c>
      <x:c r="D599" s="2" t="str"/>
      <x:c r="E599" s="12" t="str">
        <x:v>Urmi Estate</x:v>
      </x:c>
      <x:c r="F599" s="12" t="str">
        <x:v>Iconic Tower - Elevator Lobby</x:v>
      </x:c>
      <x:c r="G599" s="11" t="n">
        <x:v>1</x:v>
      </x:c>
      <x:c r="H599" s="2" t="str">
        <x:v>55 inch</x:v>
      </x:c>
      <x:c r="I599" s="12" t="str">
        <x:v>DSB International School; VAssist Services Pvt. Ltd; PUBLICIS MEDIA; Maersk Line Office; Star India Private Limited; Law &amp; Kenneth Saatchi &amp; Saatchi India Private Limited; Digitas; Consulate General of Republic of South Africa; PhillipCapital (India) Pvt. Ltd; Akasa Air; Performics.Convonix; Lycée Français International de Mumbai; The Learning Galaxy; Hotstar</x:v>
      </x:c>
      <x:c r="J599" s="2" t="n">
        <x:v>14</x:v>
      </x:c>
      <x:c r="K599" s="12" t="str">
        <x:v>Campus/portfolio roster; individual building occupancy unverified</x:v>
      </x:c>
      <x:c r="L599" s="12" t="str">
        <x:v>Professional services; Finance &amp; insurance; Education; Trade, consumer &amp; logistics; Government &amp; nonprofit; Unresolved</x:v>
      </x:c>
      <x:c r="M599" s="12" t="str">
        <x:v>Small-scale prospects; Large enterprise; Institutional; Mixed business audience</x:v>
      </x:c>
      <x:c r="N599" s="12" t="str">
        <x:v>PARTNER-M188</x:v>
      </x:c>
      <x:c r="O599" s="13"/>
      <x:c r="P599" s="13"/>
      <x:c r="Q599" s="2" t="str"/>
      <x:c r="R599" s="2" t="str">
        <x:v>TEN-2B28F04A8B61; TEN-375E37AB8AEE; TEN-4226BEF8F9C9; TEN-43AE726EC13A; TEN-5A80E9846757; TEN-6511014F09E3; TEN-65F0C1A7EAFF; TEN-88C77A8CE97E; TEN-9D3E03571A85; TEN-9E0F4D8A0AA5; TEN-B9E919CF563D; TEN-D2DC6A741591; TEN-E07EEA591709; TEN-EDA2DFE8C935</x:v>
      </x:c>
      <x:c r="S599" s="12" t="str">
        <x:v>Mixed commercial workplace</x:v>
      </x:c>
      <x:c r="T599" s="12" t="str">
        <x:v>Tenant business-type estimates and reviewed company-scale context.</x:v>
      </x:c>
    </x:row>
    <x:row r="600" ht="75" customHeight="1">
      <x:c r="A600" s="10" t="n">
        <x:v>1</x:v>
      </x:c>
      <x:c r="B600" s="2" t="str">
        <x:v>CORP-0610</x:v>
      </x:c>
      <x:c r="C600" s="2" t="str">
        <x:v>Mumbai</x:v>
      </x:c>
      <x:c r="D600" s="2" t="str"/>
      <x:c r="E600" s="12" t="str">
        <x:v>Empire Tower</x:v>
      </x:c>
      <x:c r="F600" s="12" t="str">
        <x:v>A Wing - Elevator Lobby</x:v>
      </x:c>
      <x:c r="G600" s="11" t="n">
        <x:v>1</x:v>
      </x:c>
      <x:c r="H600" s="2" t="str">
        <x:v>55 inch</x:v>
      </x:c>
      <x:c r="I600" s="12" t="str">
        <x:v>EBARA MACHINERY INDIA PVT. LTD; Enser Communications Pvt. Ltd; First Brands Group India-Horizon Global; Seamex; EFC Business Center Pvt. Ltd; Tata Consulting Engineers Limited; Maersk Line; LH Global Hub Services Pvt. Ltd; Presidency Digital India Private; Lupin Limited; Tech Mahindra; Jacobs Solutions India Pvt. Ltd; Certified Professional Translation</x:v>
      </x:c>
      <x:c r="J600" s="2" t="n">
        <x:v>13</x:v>
      </x:c>
      <x:c r="K600" s="12" t="str">
        <x:v>Campus/portfolio roster; individual building occupancy unverified</x:v>
      </x:c>
      <x:c r="L600" s="12" t="str">
        <x:v>IT &amp; digital; Professional services; Engineering &amp; manufacturing; Healthcare &amp; life sciences; Trade, consumer &amp; logistics; Workspace &amp; property operations; Unresolved</x:v>
      </x:c>
      <x:c r="M600" s="12" t="str">
        <x:v>Small-scale prospects; Medium-scale prospects; Large enterprise; Mixed business audience</x:v>
      </x:c>
      <x:c r="N600" s="12" t="str">
        <x:v>PARTNER-M193</x:v>
      </x:c>
      <x:c r="O600" s="13" t="n">
        <x:v>19.170026</x:v>
      </x:c>
      <x:c r="P600" s="13" t="n">
        <x:v>72.999936</x:v>
      </x:c>
      <x:c r="Q600" s="2" t="str">
        <x:v>https://www.google.com/maps?q=19.170026,72.999936</x:v>
      </x:c>
      <x:c r="R600" s="2" t="str">
        <x:v>TEN-00B26C576287; TEN-18D91AC992E3; TEN-287C67E28C61; TEN-43C65EC0AB55; TEN-529DBF20A42C; TEN-954EFE4DFA16; TEN-A3B1D465525D; TEN-C505819DE3AF; TEN-CA3E3381A8E6; TEN-D6046E32A027; TEN-D72EAD2E3D44; TEN-EF8161E9BFF2; TEN-FC53D3F16D7A</x:v>
      </x:c>
      <x:c r="S600" s="12" t="str">
        <x:v>Mixed commercial workplace</x:v>
      </x:c>
      <x:c r="T600" s="12" t="str">
        <x:v>Tenant business-type estimates and reviewed company-scale context.</x:v>
      </x:c>
    </x:row>
    <x:row r="601" ht="75" customHeight="1">
      <x:c r="A601" s="10" t="n">
        <x:v>1</x:v>
      </x:c>
      <x:c r="B601" s="2" t="str">
        <x:v>CORP-0611</x:v>
      </x:c>
      <x:c r="C601" s="2" t="str">
        <x:v>Mumbai</x:v>
      </x:c>
      <x:c r="D601" s="2" t="str"/>
      <x:c r="E601" s="12" t="str">
        <x:v>Empire Tower</x:v>
      </x:c>
      <x:c r="F601" s="12" t="str">
        <x:v>B Wing - Elevator Lobby</x:v>
      </x:c>
      <x:c r="G601" s="11" t="n">
        <x:v>1</x:v>
      </x:c>
      <x:c r="H601" s="2" t="str">
        <x:v>55 inch</x:v>
      </x:c>
      <x:c r="I601" s="12" t="str">
        <x:v>EBARA MACHINERY INDIA PVT. LTD; Enser Communications Pvt. Ltd; First Brands Group India-Horizon Global; Seamex; EFC Business Center Pvt. Ltd; Tata Consulting Engineers Limited; Maersk Line; LH Global Hub Services Pvt. Ltd; Presidency Digital India Private; Lupin Limited; Tech Mahindra; Jacobs Solutions India Pvt. Ltd; Certified Professional Translation</x:v>
      </x:c>
      <x:c r="J601" s="2" t="n">
        <x:v>13</x:v>
      </x:c>
      <x:c r="K601" s="12" t="str">
        <x:v>Campus/portfolio roster; individual building occupancy unverified</x:v>
      </x:c>
      <x:c r="L601" s="12" t="str">
        <x:v>IT &amp; digital; Professional services; Engineering &amp; manufacturing; Healthcare &amp; life sciences; Trade, consumer &amp; logistics; Workspace &amp; property operations; Unresolved</x:v>
      </x:c>
      <x:c r="M601" s="12" t="str">
        <x:v>Small-scale prospects; Medium-scale prospects; Large enterprise; Mixed business audience</x:v>
      </x:c>
      <x:c r="N601" s="12" t="str">
        <x:v>PARTNER-M193</x:v>
      </x:c>
      <x:c r="O601" s="13" t="n">
        <x:v>19.170026</x:v>
      </x:c>
      <x:c r="P601" s="13" t="n">
        <x:v>72.999936</x:v>
      </x:c>
      <x:c r="Q601" s="2" t="str">
        <x:v>https://www.google.com/maps?q=19.170026,72.999936</x:v>
      </x:c>
      <x:c r="R601" s="2" t="str">
        <x:v>TEN-00B26C576287; TEN-18D91AC992E3; TEN-287C67E28C61; TEN-43C65EC0AB55; TEN-529DBF20A42C; TEN-954EFE4DFA16; TEN-A3B1D465525D; TEN-C505819DE3AF; TEN-CA3E3381A8E6; TEN-D6046E32A027; TEN-D72EAD2E3D44; TEN-EF8161E9BFF2; TEN-FC53D3F16D7A</x:v>
      </x:c>
      <x:c r="S601" s="12" t="str">
        <x:v>Mixed commercial workplace</x:v>
      </x:c>
      <x:c r="T601" s="12" t="str">
        <x:v>Tenant business-type estimates and reviewed company-scale context.</x:v>
      </x:c>
    </x:row>
    <x:row r="602" ht="75" customHeight="1">
      <x:c r="A602" s="10" t="n">
        <x:v>1</x:v>
      </x:c>
      <x:c r="B602" s="2" t="str">
        <x:v>CORP-0612</x:v>
      </x:c>
      <x:c r="C602" s="2" t="str">
        <x:v>Mumbai</x:v>
      </x:c>
      <x:c r="D602" s="2" t="str"/>
      <x:c r="E602" s="12" t="str">
        <x:v>Empire Tower</x:v>
      </x:c>
      <x:c r="F602" s="12" t="str">
        <x:v>C Wing - Elevator Lobby</x:v>
      </x:c>
      <x:c r="G602" s="11" t="n">
        <x:v>1</x:v>
      </x:c>
      <x:c r="H602" s="2" t="str">
        <x:v>55 inch</x:v>
      </x:c>
      <x:c r="I602" s="12" t="str">
        <x:v>EBARA MACHINERY INDIA PVT. LTD; Enser Communications Pvt. Ltd; First Brands Group India-Horizon Global; Seamex; EFC Business Center Pvt. Ltd; Tata Consulting Engineers Limited; Maersk Line; LH Global Hub Services Pvt. Ltd; Presidency Digital India Private; Lupin Limited; Tech Mahindra; Jacobs Solutions India Pvt. Ltd; Certified Professional Translation</x:v>
      </x:c>
      <x:c r="J602" s="2" t="n">
        <x:v>13</x:v>
      </x:c>
      <x:c r="K602" s="12" t="str">
        <x:v>Campus/portfolio roster; individual building occupancy unverified</x:v>
      </x:c>
      <x:c r="L602" s="12" t="str">
        <x:v>IT &amp; digital; Professional services; Engineering &amp; manufacturing; Healthcare &amp; life sciences; Trade, consumer &amp; logistics; Workspace &amp; property operations; Unresolved</x:v>
      </x:c>
      <x:c r="M602" s="12" t="str">
        <x:v>Small-scale prospects; Medium-scale prospects; Large enterprise; Mixed business audience</x:v>
      </x:c>
      <x:c r="N602" s="12" t="str">
        <x:v>PARTNER-M193</x:v>
      </x:c>
      <x:c r="O602" s="13" t="n">
        <x:v>19.170026</x:v>
      </x:c>
      <x:c r="P602" s="13" t="n">
        <x:v>72.999936</x:v>
      </x:c>
      <x:c r="Q602" s="2" t="str">
        <x:v>https://www.google.com/maps?q=19.170026,72.999936</x:v>
      </x:c>
      <x:c r="R602" s="2" t="str">
        <x:v>TEN-00B26C576287; TEN-18D91AC992E3; TEN-287C67E28C61; TEN-43C65EC0AB55; TEN-529DBF20A42C; TEN-954EFE4DFA16; TEN-A3B1D465525D; TEN-C505819DE3AF; TEN-CA3E3381A8E6; TEN-D6046E32A027; TEN-D72EAD2E3D44; TEN-EF8161E9BFF2; TEN-FC53D3F16D7A</x:v>
      </x:c>
      <x:c r="S602" s="12" t="str">
        <x:v>Mixed commercial workplace</x:v>
      </x:c>
      <x:c r="T602" s="12" t="str">
        <x:v>Tenant business-type estimates and reviewed company-scale context.</x:v>
      </x:c>
    </x:row>
    <x:row r="603" ht="75" customHeight="1">
      <x:c r="A603" s="10" t="n">
        <x:v>1</x:v>
      </x:c>
      <x:c r="B603" s="2" t="str">
        <x:v>CORP-0613</x:v>
      </x:c>
      <x:c r="C603" s="2" t="str">
        <x:v>Mumbai</x:v>
      </x:c>
      <x:c r="D603" s="2" t="str"/>
      <x:c r="E603" s="12" t="str">
        <x:v>Empire Tower</x:v>
      </x:c>
      <x:c r="F603" s="12" t="str">
        <x:v>D Wing - Elevator Lobby</x:v>
      </x:c>
      <x:c r="G603" s="11" t="n">
        <x:v>1</x:v>
      </x:c>
      <x:c r="H603" s="2" t="str">
        <x:v>55 inch</x:v>
      </x:c>
      <x:c r="I603" s="12" t="str">
        <x:v>EBARA MACHINERY INDIA PVT. LTD; Enser Communications Pvt. Ltd; First Brands Group India-Horizon Global; Seamex; EFC Business Center Pvt. Ltd; Tata Consulting Engineers Limited; Maersk Line; LH Global Hub Services Pvt. Ltd; Presidency Digital India Private; Lupin Limited; Tech Mahindra; Jacobs Solutions India Pvt. Ltd; Certified Professional Translation</x:v>
      </x:c>
      <x:c r="J603" s="2" t="n">
        <x:v>13</x:v>
      </x:c>
      <x:c r="K603" s="12" t="str">
        <x:v>Campus/portfolio roster; individual building occupancy unverified</x:v>
      </x:c>
      <x:c r="L603" s="12" t="str">
        <x:v>IT &amp; digital; Professional services; Engineering &amp; manufacturing; Healthcare &amp; life sciences; Trade, consumer &amp; logistics; Workspace &amp; property operations; Unresolved</x:v>
      </x:c>
      <x:c r="M603" s="12" t="str">
        <x:v>Small-scale prospects; Medium-scale prospects; Large enterprise; Mixed business audience</x:v>
      </x:c>
      <x:c r="N603" s="12" t="str">
        <x:v>PARTNER-M193</x:v>
      </x:c>
      <x:c r="O603" s="13" t="n">
        <x:v>19.170026</x:v>
      </x:c>
      <x:c r="P603" s="13" t="n">
        <x:v>72.999936</x:v>
      </x:c>
      <x:c r="Q603" s="2" t="str">
        <x:v>https://www.google.com/maps?q=19.170026,72.999936</x:v>
      </x:c>
      <x:c r="R603" s="2" t="str">
        <x:v>TEN-00B26C576287; TEN-18D91AC992E3; TEN-287C67E28C61; TEN-43C65EC0AB55; TEN-529DBF20A42C; TEN-954EFE4DFA16; TEN-A3B1D465525D; TEN-C505819DE3AF; TEN-CA3E3381A8E6; TEN-D6046E32A027; TEN-D72EAD2E3D44; TEN-EF8161E9BFF2; TEN-FC53D3F16D7A</x:v>
      </x:c>
      <x:c r="S603" s="12" t="str">
        <x:v>Mixed commercial workplace</x:v>
      </x:c>
      <x:c r="T603" s="12" t="str">
        <x:v>Tenant business-type estimates and reviewed company-scale context.</x:v>
      </x:c>
    </x:row>
    <x:row r="604" ht="75" customHeight="1">
      <x:c r="A604" s="10" t="n">
        <x:v>1</x:v>
      </x:c>
      <x:c r="B604" s="2" t="str">
        <x:v>CORP-0614</x:v>
      </x:c>
      <x:c r="C604" s="2" t="str">
        <x:v>Mumbai</x:v>
      </x:c>
      <x:c r="D604" s="2" t="str"/>
      <x:c r="E604" s="12" t="str">
        <x:v>Reliable Tech Park</x:v>
      </x:c>
      <x:c r="F604" s="12" t="str">
        <x:v>Lobby A Wing</x:v>
      </x:c>
      <x:c r="G604" s="11" t="n">
        <x:v>1</x:v>
      </x:c>
      <x:c r="H604" s="2" t="str">
        <x:v>55 inch</x:v>
      </x:c>
      <x:c r="I604" s="12" t="str">
        <x:v>SKY Engineering &amp; Cleaning Systems; Godrej Koerber Supply Chain Limited; Universal Sompo General Insurance Company Ltd; Awfis; Lionbridge India; ISS Global Forwarding India; GREEN ECO TECH NXT; CITI-INDIA Creative IT; Tech Mahindra Pvt ltd; ECI Telecom India Pvt Limited; Indian Commodity Exchange Ltd; Honeywell Automation; Clariant India Private Limited; Fresh for Health; Yotta Data Services</x:v>
      </x:c>
      <x:c r="J604" s="2" t="n">
        <x:v>15</x:v>
      </x:c>
      <x:c r="K604" s="12" t="str">
        <x:v>Campus/portfolio roster; individual building occupancy unverified</x:v>
      </x:c>
      <x:c r="L604" s="12" t="str">
        <x:v>IT &amp; digital; Professional services; Finance &amp; insurance; Engineering &amp; manufacturing; Healthcare &amp; life sciences; Trade, consumer &amp; logistics; Workspace &amp; property operations; Unresolved</x:v>
      </x:c>
      <x:c r="M604" s="12" t="str">
        <x:v>Small-scale prospects; Medium-scale prospects; Large enterprise; Mixed business audience</x:v>
      </x:c>
      <x:c r="N604" s="12" t="str">
        <x:v>PARTNER-M197</x:v>
      </x:c>
      <x:c r="O604" s="13"/>
      <x:c r="P604" s="13"/>
      <x:c r="Q604" s="2" t="str"/>
      <x:c r="R604" s="2" t="str">
        <x:v>TEN-0CDD2A017BE5; TEN-1ABCE44EA9E8; TEN-1DEB513143F7; TEN-298147A4B3E2; TEN-31E219ED8F4E; TEN-4856E7F0424C; TEN-5763FDBE162D; TEN-5DCF807F8D0D; TEN-65A886E0457A; TEN-787004BAB6D4; TEN-7D43CDC02A4B; TEN-83D267F2D2BA; TEN-8A4FFCF51C45; TEN-B67D6F69AB3E; TEN-F04C5BE93A0B</x:v>
      </x:c>
      <x:c r="S604" s="12" t="str">
        <x:v>IT and enterprise campus</x:v>
      </x:c>
      <x:c r="T604" s="12" t="str">
        <x:v>Tenant business-type estimates and reviewed company-scale context.</x:v>
      </x:c>
    </x:row>
    <x:row r="605" ht="75" customHeight="1">
      <x:c r="A605" s="10" t="n">
        <x:v>1</x:v>
      </x:c>
      <x:c r="B605" s="2" t="str">
        <x:v>CORP-0615</x:v>
      </x:c>
      <x:c r="C605" s="2" t="str">
        <x:v>Mumbai</x:v>
      </x:c>
      <x:c r="D605" s="2" t="str"/>
      <x:c r="E605" s="12" t="str">
        <x:v>Reliable Tech Park</x:v>
      </x:c>
      <x:c r="F605" s="12" t="str">
        <x:v>Lobby B Wing</x:v>
      </x:c>
      <x:c r="G605" s="11" t="n">
        <x:v>1</x:v>
      </x:c>
      <x:c r="H605" s="2" t="str">
        <x:v>55 inch</x:v>
      </x:c>
      <x:c r="I605" s="12" t="str">
        <x:v>SKY Engineering &amp; Cleaning Systems; Godrej Koerber Supply Chain Limited; Universal Sompo General Insurance Company Ltd; Awfis; Lionbridge India; ISS Global Forwarding India; GREEN ECO TECH NXT; CITI-INDIA Creative IT; Tech Mahindra Pvt ltd; ECI Telecom India Pvt Limited; Indian Commodity Exchange Ltd; Honeywell Automation; Clariant India Private Limited; Fresh for Health; Yotta Data Services</x:v>
      </x:c>
      <x:c r="J605" s="2" t="n">
        <x:v>15</x:v>
      </x:c>
      <x:c r="K605" s="12" t="str">
        <x:v>Campus/portfolio roster; individual building occupancy unverified</x:v>
      </x:c>
      <x:c r="L605" s="12" t="str">
        <x:v>IT &amp; digital; Professional services; Finance &amp; insurance; Engineering &amp; manufacturing; Healthcare &amp; life sciences; Trade, consumer &amp; logistics; Workspace &amp; property operations; Unresolved</x:v>
      </x:c>
      <x:c r="M605" s="12" t="str">
        <x:v>Small-scale prospects; Medium-scale prospects; Large enterprise; Mixed business audience</x:v>
      </x:c>
      <x:c r="N605" s="12" t="str">
        <x:v>PARTNER-M197</x:v>
      </x:c>
      <x:c r="O605" s="13"/>
      <x:c r="P605" s="13"/>
      <x:c r="Q605" s="2" t="str"/>
      <x:c r="R605" s="2" t="str">
        <x:v>TEN-0CDD2A017BE5; TEN-1ABCE44EA9E8; TEN-1DEB513143F7; TEN-298147A4B3E2; TEN-31E219ED8F4E; TEN-4856E7F0424C; TEN-5763FDBE162D; TEN-5DCF807F8D0D; TEN-65A886E0457A; TEN-787004BAB6D4; TEN-7D43CDC02A4B; TEN-83D267F2D2BA; TEN-8A4FFCF51C45; TEN-B67D6F69AB3E; TEN-F04C5BE93A0B</x:v>
      </x:c>
      <x:c r="S605" s="12" t="str">
        <x:v>IT and enterprise campus</x:v>
      </x:c>
      <x:c r="T605" s="12" t="str">
        <x:v>Tenant business-type estimates and reviewed company-scale context.</x:v>
      </x:c>
    </x:row>
    <x:row r="606" ht="75" customHeight="1">
      <x:c r="A606" s="10" t="n">
        <x:v>1</x:v>
      </x:c>
      <x:c r="B606" s="2" t="str">
        <x:v>CORP-0616</x:v>
      </x:c>
      <x:c r="C606" s="2" t="str">
        <x:v>Mumbai</x:v>
      </x:c>
      <x:c r="D606" s="2" t="str"/>
      <x:c r="E606" s="12" t="str">
        <x:v>Reliable Tech Park</x:v>
      </x:c>
      <x:c r="F606" s="12" t="str">
        <x:v>Elevator Lobby A Wing</x:v>
      </x:c>
      <x:c r="G606" s="11" t="n">
        <x:v>1</x:v>
      </x:c>
      <x:c r="H606" s="2" t="str">
        <x:v>55 inch</x:v>
      </x:c>
      <x:c r="I606" s="12" t="str">
        <x:v>SKY Engineering &amp; Cleaning Systems; Godrej Koerber Supply Chain Limited; Universal Sompo General Insurance Company Ltd; Awfis; Lionbridge India; ISS Global Forwarding India; GREEN ECO TECH NXT; CITI-INDIA Creative IT; Tech Mahindra Pvt ltd; ECI Telecom India Pvt Limited; Indian Commodity Exchange Ltd; Honeywell Automation; Clariant India Private Limited; Fresh for Health; Yotta Data Services</x:v>
      </x:c>
      <x:c r="J606" s="2" t="n">
        <x:v>15</x:v>
      </x:c>
      <x:c r="K606" s="12" t="str">
        <x:v>Campus/portfolio roster; individual building occupancy unverified</x:v>
      </x:c>
      <x:c r="L606" s="12" t="str">
        <x:v>IT &amp; digital; Professional services; Finance &amp; insurance; Engineering &amp; manufacturing; Healthcare &amp; life sciences; Trade, consumer &amp; logistics; Workspace &amp; property operations; Unresolved</x:v>
      </x:c>
      <x:c r="M606" s="12" t="str">
        <x:v>Small-scale prospects; Medium-scale prospects; Large enterprise; Mixed business audience</x:v>
      </x:c>
      <x:c r="N606" s="12" t="str">
        <x:v>PARTNER-M197</x:v>
      </x:c>
      <x:c r="O606" s="13"/>
      <x:c r="P606" s="13"/>
      <x:c r="Q606" s="2" t="str"/>
      <x:c r="R606" s="2" t="str">
        <x:v>TEN-0CDD2A017BE5; TEN-1ABCE44EA9E8; TEN-1DEB513143F7; TEN-298147A4B3E2; TEN-31E219ED8F4E; TEN-4856E7F0424C; TEN-5763FDBE162D; TEN-5DCF807F8D0D; TEN-65A886E0457A; TEN-787004BAB6D4; TEN-7D43CDC02A4B; TEN-83D267F2D2BA; TEN-8A4FFCF51C45; TEN-B67D6F69AB3E; TEN-F04C5BE93A0B</x:v>
      </x:c>
      <x:c r="S606" s="12" t="str">
        <x:v>IT and enterprise campus</x:v>
      </x:c>
      <x:c r="T606" s="12" t="str">
        <x:v>Tenant business-type estimates and reviewed company-scale context.</x:v>
      </x:c>
    </x:row>
    <x:row r="607" ht="75" customHeight="1">
      <x:c r="A607" s="10" t="n">
        <x:v>1</x:v>
      </x:c>
      <x:c r="B607" s="2" t="str">
        <x:v>CORP-0617</x:v>
      </x:c>
      <x:c r="C607" s="2" t="str">
        <x:v>Mumbai</x:v>
      </x:c>
      <x:c r="D607" s="2" t="str"/>
      <x:c r="E607" s="12" t="str">
        <x:v>Reliable Tech Park</x:v>
      </x:c>
      <x:c r="F607" s="12" t="str">
        <x:v>Elevator Lobby B Wing</x:v>
      </x:c>
      <x:c r="G607" s="11" t="n">
        <x:v>1</x:v>
      </x:c>
      <x:c r="H607" s="2" t="str">
        <x:v>55 inch</x:v>
      </x:c>
      <x:c r="I607" s="12" t="str">
        <x:v>SKY Engineering &amp; Cleaning Systems; Godrej Koerber Supply Chain Limited; Universal Sompo General Insurance Company Ltd; Awfis; Lionbridge India; ISS Global Forwarding India; GREEN ECO TECH NXT; CITI-INDIA Creative IT; Tech Mahindra Pvt ltd; ECI Telecom India Pvt Limited; Indian Commodity Exchange Ltd; Honeywell Automation; Clariant India Private Limited; Fresh for Health; Yotta Data Services</x:v>
      </x:c>
      <x:c r="J607" s="2" t="n">
        <x:v>15</x:v>
      </x:c>
      <x:c r="K607" s="12" t="str">
        <x:v>Campus/portfolio roster; individual building occupancy unverified</x:v>
      </x:c>
      <x:c r="L607" s="12" t="str">
        <x:v>IT &amp; digital; Professional services; Finance &amp; insurance; Engineering &amp; manufacturing; Healthcare &amp; life sciences; Trade, consumer &amp; logistics; Workspace &amp; property operations; Unresolved</x:v>
      </x:c>
      <x:c r="M607" s="12" t="str">
        <x:v>Small-scale prospects; Medium-scale prospects; Large enterprise; Mixed business audience</x:v>
      </x:c>
      <x:c r="N607" s="12" t="str">
        <x:v>PARTNER-M197</x:v>
      </x:c>
      <x:c r="O607" s="13"/>
      <x:c r="P607" s="13"/>
      <x:c r="Q607" s="2" t="str"/>
      <x:c r="R607" s="2" t="str">
        <x:v>TEN-0CDD2A017BE5; TEN-1ABCE44EA9E8; TEN-1DEB513143F7; TEN-298147A4B3E2; TEN-31E219ED8F4E; TEN-4856E7F0424C; TEN-5763FDBE162D; TEN-5DCF807F8D0D; TEN-65A886E0457A; TEN-787004BAB6D4; TEN-7D43CDC02A4B; TEN-83D267F2D2BA; TEN-8A4FFCF51C45; TEN-B67D6F69AB3E; TEN-F04C5BE93A0B</x:v>
      </x:c>
      <x:c r="S607" s="12" t="str">
        <x:v>IT and enterprise campus</x:v>
      </x:c>
      <x:c r="T607" s="12" t="str">
        <x:v>Tenant business-type estimates and reviewed company-scale context.</x:v>
      </x:c>
    </x:row>
    <x:row r="608" ht="75" customHeight="1">
      <x:c r="A608" s="10" t="n">
        <x:v>1</x:v>
      </x:c>
      <x:c r="B608" s="2" t="str">
        <x:v>CORP-0618</x:v>
      </x:c>
      <x:c r="C608" s="2" t="str">
        <x:v>Mumbai</x:v>
      </x:c>
      <x:c r="D608" s="2" t="str"/>
      <x:c r="E608" s="12" t="str">
        <x:v>Liberty tower</x:v>
      </x:c>
      <x:c r="F608" s="12" t="str">
        <x:v>Elevator Lobby A</x:v>
      </x:c>
      <x:c r="G608" s="11" t="n">
        <x:v>1</x:v>
      </x:c>
      <x:c r="H608" s="2" t="str">
        <x:v>55 inch</x:v>
      </x:c>
      <x:c r="I608" s="12" t="str">
        <x:v>WebMD; Ecofirst Services Limited; Reliance General Insurance; SamX Motion Pictures; Reliable Cloud City pvt; Magic Bus India Foundation; Bharat Serums and Vaccines Limited; Inchcape Shipping Services; Sutherland Global Services; Sulzer Tech India Pvt. Ltd; Cytel; SIFY Technology; InterProducTec Virtual Labs Pvt. Ltd</x:v>
      </x:c>
      <x:c r="J608" s="2" t="n">
        <x:v>13</x:v>
      </x:c>
      <x:c r="K608" s="12" t="str">
        <x:v>Campus/portfolio roster; individual building occupancy unverified</x:v>
      </x:c>
      <x:c r="L608" s="12" t="str">
        <x:v>IT &amp; digital; Finance &amp; insurance; Engineering &amp; manufacturing; Healthcare &amp; life sciences; Trade, consumer &amp; logistics; Government &amp; nonprofit; Unresolved</x:v>
      </x:c>
      <x:c r="M608" s="12" t="str">
        <x:v>Small-scale prospects; Institutional; Mixed business audience</x:v>
      </x:c>
      <x:c r="N608" s="12" t="str">
        <x:v>PARTNER-M201</x:v>
      </x:c>
      <x:c r="O608" s="13"/>
      <x:c r="P608" s="13"/>
      <x:c r="Q608" s="2" t="str"/>
      <x:c r="R608" s="2" t="str">
        <x:v>TEN-03310C19B984; TEN-26B2AD07B562; TEN-29F25A570409; TEN-42D9546A54E2; TEN-4BC4BBB1EBF1; TEN-5152258A3CCA; TEN-7A3BF6233C80; TEN-7D924CB86824; TEN-80E224094D7E; TEN-A321F0CAA709; TEN-BA21AB5B12DA; TEN-CC3B496B4CCE; TEN-ED4F2BE1879B</x:v>
      </x:c>
      <x:c r="S608" s="12" t="str">
        <x:v>Mixed commercial workplace</x:v>
      </x:c>
      <x:c r="T608" s="12" t="str">
        <x:v>Tenant business-type estimates and reviewed company-scale context.</x:v>
      </x:c>
    </x:row>
    <x:row r="609" ht="75" customHeight="1">
      <x:c r="A609" s="10" t="n">
        <x:v>1</x:v>
      </x:c>
      <x:c r="B609" s="2" t="str">
        <x:v>CORP-0619</x:v>
      </x:c>
      <x:c r="C609" s="2" t="str">
        <x:v>Mumbai</x:v>
      </x:c>
      <x:c r="D609" s="2" t="str"/>
      <x:c r="E609" s="12" t="str">
        <x:v>Liberty tower</x:v>
      </x:c>
      <x:c r="F609" s="12" t="str">
        <x:v>Elevator Lobby B</x:v>
      </x:c>
      <x:c r="G609" s="11" t="n">
        <x:v>1</x:v>
      </x:c>
      <x:c r="H609" s="2" t="str">
        <x:v>55 inch</x:v>
      </x:c>
      <x:c r="I609" s="12" t="str">
        <x:v>WebMD; Ecofirst Services Limited; Reliance General Insurance; SamX Motion Pictures; Reliable Cloud City pvt; Magic Bus India Foundation; Bharat Serums and Vaccines Limited; Inchcape Shipping Services; Sutherland Global Services; Sulzer Tech India Pvt. Ltd; Cytel; SIFY Technology; InterProducTec Virtual Labs Pvt. Ltd</x:v>
      </x:c>
      <x:c r="J609" s="2" t="n">
        <x:v>13</x:v>
      </x:c>
      <x:c r="K609" s="12" t="str">
        <x:v>Campus/portfolio roster; individual building occupancy unverified</x:v>
      </x:c>
      <x:c r="L609" s="12" t="str">
        <x:v>IT &amp; digital; Finance &amp; insurance; Engineering &amp; manufacturing; Healthcare &amp; life sciences; Trade, consumer &amp; logistics; Government &amp; nonprofit; Unresolved</x:v>
      </x:c>
      <x:c r="M609" s="12" t="str">
        <x:v>Small-scale prospects; Institutional; Mixed business audience</x:v>
      </x:c>
      <x:c r="N609" s="12" t="str">
        <x:v>PARTNER-M201</x:v>
      </x:c>
      <x:c r="O609" s="13"/>
      <x:c r="P609" s="13"/>
      <x:c r="Q609" s="2" t="str"/>
      <x:c r="R609" s="2" t="str">
        <x:v>TEN-03310C19B984; TEN-26B2AD07B562; TEN-29F25A570409; TEN-42D9546A54E2; TEN-4BC4BBB1EBF1; TEN-5152258A3CCA; TEN-7A3BF6233C80; TEN-7D924CB86824; TEN-80E224094D7E; TEN-A321F0CAA709; TEN-BA21AB5B12DA; TEN-CC3B496B4CCE; TEN-ED4F2BE1879B</x:v>
      </x:c>
      <x:c r="S609" s="12" t="str">
        <x:v>Mixed commercial workplace</x:v>
      </x:c>
      <x:c r="T609" s="12" t="str">
        <x:v>Tenant business-type estimates and reviewed company-scale context.</x:v>
      </x:c>
    </x:row>
    <x:row r="610" ht="64" customHeight="1">
      <x:c r="A610" s="10" t="n">
        <x:v>1</x:v>
      </x:c>
      <x:c r="B610" s="2" t="str">
        <x:v>CORP-0620</x:v>
      </x:c>
      <x:c r="C610" s="2" t="str">
        <x:v>Mumbai</x:v>
      </x:c>
      <x:c r="D610" s="2" t="str"/>
      <x:c r="E610" s="12" t="str">
        <x:v>Reliable Plaza</x:v>
      </x:c>
      <x:c r="F610" s="12" t="str">
        <x:v>Elevator Lobby A</x:v>
      </x:c>
      <x:c r="G610" s="11" t="n">
        <x:v>1</x:v>
      </x:c>
      <x:c r="H610" s="2" t="str">
        <x:v>55 inch</x:v>
      </x:c>
      <x:c r="I610" s="12" t="str">
        <x:v>WebMD; Reliable Cloud City pvt; Bharat Serums and Vaccines Limited; InterProducTec Virtual Labs Pvt. Ltd</x:v>
      </x:c>
      <x:c r="J610" s="2" t="n">
        <x:v>4</x:v>
      </x:c>
      <x:c r="K610" s="12" t="str">
        <x:v>Campus/portfolio roster; individual building occupancy unverified</x:v>
      </x:c>
      <x:c r="L610" s="12" t="str">
        <x:v>IT &amp; digital; Healthcare &amp; life sciences; Unresolved</x:v>
      </x:c>
      <x:c r="M610" s="12" t="str">
        <x:v>Small-scale prospects; Mixed business audience</x:v>
      </x:c>
      <x:c r="N610" s="12" t="str">
        <x:v>PARTNER-M203</x:v>
      </x:c>
      <x:c r="O610" s="13"/>
      <x:c r="P610" s="13"/>
      <x:c r="Q610" s="2" t="str"/>
      <x:c r="R610" s="2" t="str">
        <x:v>TEN-03310C19B984; TEN-4BC4BBB1EBF1; TEN-7A3BF6233C80; TEN-ED4F2BE1879B</x:v>
      </x:c>
      <x:c r="S610" s="12" t="str">
        <x:v>Mixed commercial workplace</x:v>
      </x:c>
      <x:c r="T610" s="12" t="str">
        <x:v>Tenant business-type estimates and reviewed company-scale context.</x:v>
      </x:c>
    </x:row>
    <x:row r="611" ht="64" customHeight="1">
      <x:c r="A611" s="10" t="n">
        <x:v>1</x:v>
      </x:c>
      <x:c r="B611" s="2" t="str">
        <x:v>CORP-0621</x:v>
      </x:c>
      <x:c r="C611" s="2" t="str">
        <x:v>Mumbai</x:v>
      </x:c>
      <x:c r="D611" s="2" t="str"/>
      <x:c r="E611" s="12" t="str">
        <x:v>Reliable Plaza</x:v>
      </x:c>
      <x:c r="F611" s="12" t="str">
        <x:v>Elevator Lobby B</x:v>
      </x:c>
      <x:c r="G611" s="11" t="n">
        <x:v>1</x:v>
      </x:c>
      <x:c r="H611" s="2" t="str">
        <x:v>55 inch</x:v>
      </x:c>
      <x:c r="I611" s="12" t="str">
        <x:v>WebMD; Reliable Cloud City pvt; Bharat Serums and Vaccines Limited; InterProducTec Virtual Labs Pvt. Ltd</x:v>
      </x:c>
      <x:c r="J611" s="2" t="n">
        <x:v>4</x:v>
      </x:c>
      <x:c r="K611" s="12" t="str">
        <x:v>Campus/portfolio roster; individual building occupancy unverified</x:v>
      </x:c>
      <x:c r="L611" s="12" t="str">
        <x:v>IT &amp; digital; Healthcare &amp; life sciences; Unresolved</x:v>
      </x:c>
      <x:c r="M611" s="12" t="str">
        <x:v>Small-scale prospects; Mixed business audience</x:v>
      </x:c>
      <x:c r="N611" s="12" t="str">
        <x:v>PARTNER-M203</x:v>
      </x:c>
      <x:c r="O611" s="13"/>
      <x:c r="P611" s="13"/>
      <x:c r="Q611" s="2" t="str"/>
      <x:c r="R611" s="2" t="str">
        <x:v>TEN-03310C19B984; TEN-4BC4BBB1EBF1; TEN-7A3BF6233C80; TEN-ED4F2BE1879B</x:v>
      </x:c>
      <x:c r="S611" s="12" t="str">
        <x:v>Mixed commercial workplace</x:v>
      </x:c>
      <x:c r="T611" s="12" t="str">
        <x:v>Tenant business-type estimates and reviewed company-scale context.</x:v>
      </x:c>
    </x:row>
    <x:row r="612" ht="75" customHeight="1">
      <x:c r="A612" s="10" t="n">
        <x:v>1</x:v>
      </x:c>
      <x:c r="B612" s="2" t="str">
        <x:v>CORP-0622</x:v>
      </x:c>
      <x:c r="C612" s="2" t="str">
        <x:v>Mumbai</x:v>
      </x:c>
      <x:c r="D612" s="2" t="str"/>
      <x:c r="E612" s="12" t="str">
        <x:v>Rupa Solitaire</x:v>
      </x:c>
      <x:c r="F612" s="12" t="str">
        <x:v>Ground Lobby Area</x:v>
      </x:c>
      <x:c r="G612" s="11" t="n">
        <x:v>1</x:v>
      </x:c>
      <x:c r="H612" s="2" t="str">
        <x:v>55 inch</x:v>
      </x:c>
      <x:c r="I612"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12" s="2" t="n">
        <x:v>17</x:v>
      </x:c>
      <x:c r="K612" s="12" t="str">
        <x:v>Campus/portfolio roster; individual building occupancy unverified</x:v>
      </x:c>
      <x:c r="L612" s="12" t="str">
        <x:v>IT &amp; digital; Finance &amp; insurance; Engineering &amp; manufacturing; Healthcare &amp; life sciences; Unresolved</x:v>
      </x:c>
      <x:c r="M612" s="12" t="str">
        <x:v>Small-scale prospects; Medium-scale prospects; Mixed business audience</x:v>
      </x:c>
      <x:c r="N612" s="12" t="str">
        <x:v>PARTNER-M205</x:v>
      </x:c>
      <x:c r="O612" s="13"/>
      <x:c r="P612" s="13"/>
      <x:c r="Q612" s="2" t="str"/>
      <x:c r="R612"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12" s="12" t="str">
        <x:v>Mixed commercial workplace</x:v>
      </x:c>
      <x:c r="T612" s="12" t="str">
        <x:v>Tenant business-type estimates and reviewed company-scale context.</x:v>
      </x:c>
    </x:row>
    <x:row r="613" ht="75" customHeight="1">
      <x:c r="A613" s="10" t="n">
        <x:v>1</x:v>
      </x:c>
      <x:c r="B613" s="2" t="str">
        <x:v>CORP-0623</x:v>
      </x:c>
      <x:c r="C613" s="2" t="str">
        <x:v>Mumbai</x:v>
      </x:c>
      <x:c r="D613" s="2" t="str"/>
      <x:c r="E613" s="12" t="str">
        <x:v>Rupa Solitaire</x:v>
      </x:c>
      <x:c r="F613" s="12" t="str">
        <x:v>Ground Lobby Area</x:v>
      </x:c>
      <x:c r="G613" s="11" t="n">
        <x:v>1</x:v>
      </x:c>
      <x:c r="H613" s="2" t="str">
        <x:v>55 inch</x:v>
      </x:c>
      <x:c r="I613"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13" s="2" t="n">
        <x:v>17</x:v>
      </x:c>
      <x:c r="K613" s="12" t="str">
        <x:v>Campus/portfolio roster; individual building occupancy unverified</x:v>
      </x:c>
      <x:c r="L613" s="12" t="str">
        <x:v>IT &amp; digital; Finance &amp; insurance; Engineering &amp; manufacturing; Healthcare &amp; life sciences; Unresolved</x:v>
      </x:c>
      <x:c r="M613" s="12" t="str">
        <x:v>Small-scale prospects; Medium-scale prospects; Mixed business audience</x:v>
      </x:c>
      <x:c r="N613" s="12" t="str">
        <x:v>PARTNER-M205</x:v>
      </x:c>
      <x:c r="O613" s="13"/>
      <x:c r="P613" s="13"/>
      <x:c r="Q613" s="2" t="str"/>
      <x:c r="R613"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13" s="12" t="str">
        <x:v>Mixed commercial workplace</x:v>
      </x:c>
      <x:c r="T613" s="12" t="str">
        <x:v>Tenant business-type estimates and reviewed company-scale context.</x:v>
      </x:c>
    </x:row>
    <x:row r="614" ht="75" customHeight="1">
      <x:c r="A614" s="10" t="n">
        <x:v>1</x:v>
      </x:c>
      <x:c r="B614" s="2" t="str">
        <x:v>CORP-0624</x:v>
      </x:c>
      <x:c r="C614" s="2" t="str">
        <x:v>Mumbai</x:v>
      </x:c>
      <x:c r="D614" s="2" t="str"/>
      <x:c r="E614" s="12" t="str">
        <x:v>Rupa Solitaire</x:v>
      </x:c>
      <x:c r="F614" s="12" t="str">
        <x:v>Ground Lobby Area</x:v>
      </x:c>
      <x:c r="G614" s="11" t="n">
        <x:v>1</x:v>
      </x:c>
      <x:c r="H614" s="2" t="str">
        <x:v>55 inch</x:v>
      </x:c>
      <x:c r="I614"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14" s="2" t="n">
        <x:v>17</x:v>
      </x:c>
      <x:c r="K614" s="12" t="str">
        <x:v>Campus/portfolio roster; individual building occupancy unverified</x:v>
      </x:c>
      <x:c r="L614" s="12" t="str">
        <x:v>IT &amp; digital; Finance &amp; insurance; Engineering &amp; manufacturing; Healthcare &amp; life sciences; Unresolved</x:v>
      </x:c>
      <x:c r="M614" s="12" t="str">
        <x:v>Small-scale prospects; Medium-scale prospects; Mixed business audience</x:v>
      </x:c>
      <x:c r="N614" s="12" t="str">
        <x:v>PARTNER-M205</x:v>
      </x:c>
      <x:c r="O614" s="13"/>
      <x:c r="P614" s="13"/>
      <x:c r="Q614" s="2" t="str"/>
      <x:c r="R614"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14" s="12" t="str">
        <x:v>Mixed commercial workplace</x:v>
      </x:c>
      <x:c r="T614" s="12" t="str">
        <x:v>Tenant business-type estimates and reviewed company-scale context.</x:v>
      </x:c>
    </x:row>
    <x:row r="615" ht="75" customHeight="1">
      <x:c r="A615" s="10" t="n">
        <x:v>1</x:v>
      </x:c>
      <x:c r="B615" s="2" t="str">
        <x:v>CORP-0625</x:v>
      </x:c>
      <x:c r="C615" s="2" t="str">
        <x:v>Mumbai</x:v>
      </x:c>
      <x:c r="D615" s="2" t="str"/>
      <x:c r="E615" s="12" t="str">
        <x:v>Rupa Solitaire</x:v>
      </x:c>
      <x:c r="F615" s="12" t="str">
        <x:v>A Wing - Elevator Lobby 1</x:v>
      </x:c>
      <x:c r="G615" s="11" t="n">
        <x:v>1</x:v>
      </x:c>
      <x:c r="H615" s="2" t="str">
        <x:v>55 inch</x:v>
      </x:c>
      <x:c r="I615"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15" s="2" t="n">
        <x:v>17</x:v>
      </x:c>
      <x:c r="K615" s="12" t="str">
        <x:v>Campus/portfolio roster; individual building occupancy unverified</x:v>
      </x:c>
      <x:c r="L615" s="12" t="str">
        <x:v>IT &amp; digital; Finance &amp; insurance; Engineering &amp; manufacturing; Healthcare &amp; life sciences; Unresolved</x:v>
      </x:c>
      <x:c r="M615" s="12" t="str">
        <x:v>Small-scale prospects; Medium-scale prospects; Mixed business audience</x:v>
      </x:c>
      <x:c r="N615" s="12" t="str">
        <x:v>PARTNER-M205</x:v>
      </x:c>
      <x:c r="O615" s="13"/>
      <x:c r="P615" s="13"/>
      <x:c r="Q615" s="2" t="str"/>
      <x:c r="R615"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15" s="12" t="str">
        <x:v>Mixed commercial workplace</x:v>
      </x:c>
      <x:c r="T615" s="12" t="str">
        <x:v>Tenant business-type estimates and reviewed company-scale context.</x:v>
      </x:c>
    </x:row>
    <x:row r="616" ht="75" customHeight="1">
      <x:c r="A616" s="10" t="n">
        <x:v>1</x:v>
      </x:c>
      <x:c r="B616" s="2" t="str">
        <x:v>CORP-0626</x:v>
      </x:c>
      <x:c r="C616" s="2" t="str">
        <x:v>Mumbai</x:v>
      </x:c>
      <x:c r="D616" s="2" t="str"/>
      <x:c r="E616" s="12" t="str">
        <x:v>Rupa Solitaire</x:v>
      </x:c>
      <x:c r="F616" s="12" t="str">
        <x:v>A Wing - Elevator Lobby 2</x:v>
      </x:c>
      <x:c r="G616" s="11" t="n">
        <x:v>1</x:v>
      </x:c>
      <x:c r="H616" s="2" t="str">
        <x:v>55 inch</x:v>
      </x:c>
      <x:c r="I616"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16" s="2" t="n">
        <x:v>17</x:v>
      </x:c>
      <x:c r="K616" s="12" t="str">
        <x:v>Campus/portfolio roster; individual building occupancy unverified</x:v>
      </x:c>
      <x:c r="L616" s="12" t="str">
        <x:v>IT &amp; digital; Finance &amp; insurance; Engineering &amp; manufacturing; Healthcare &amp; life sciences; Unresolved</x:v>
      </x:c>
      <x:c r="M616" s="12" t="str">
        <x:v>Small-scale prospects; Medium-scale prospects; Mixed business audience</x:v>
      </x:c>
      <x:c r="N616" s="12" t="str">
        <x:v>PARTNER-M205</x:v>
      </x:c>
      <x:c r="O616" s="13"/>
      <x:c r="P616" s="13"/>
      <x:c r="Q616" s="2" t="str"/>
      <x:c r="R616"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16" s="12" t="str">
        <x:v>Mixed commercial workplace</x:v>
      </x:c>
      <x:c r="T616" s="12" t="str">
        <x:v>Tenant business-type estimates and reviewed company-scale context.</x:v>
      </x:c>
    </x:row>
    <x:row r="617" ht="75" customHeight="1">
      <x:c r="A617" s="10" t="n">
        <x:v>1</x:v>
      </x:c>
      <x:c r="B617" s="2" t="str">
        <x:v>CORP-0627</x:v>
      </x:c>
      <x:c r="C617" s="2" t="str">
        <x:v>Mumbai</x:v>
      </x:c>
      <x:c r="D617" s="2" t="str"/>
      <x:c r="E617" s="12" t="str">
        <x:v>Rupa Solitaire</x:v>
      </x:c>
      <x:c r="F617" s="12" t="str">
        <x:v>B Wing - Elevator Lobby</x:v>
      </x:c>
      <x:c r="G617" s="11" t="n">
        <x:v>1</x:v>
      </x:c>
      <x:c r="H617" s="2" t="str">
        <x:v>55 inch</x:v>
      </x:c>
      <x:c r="I617"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17" s="2" t="n">
        <x:v>17</x:v>
      </x:c>
      <x:c r="K617" s="12" t="str">
        <x:v>Campus/portfolio roster; individual building occupancy unverified</x:v>
      </x:c>
      <x:c r="L617" s="12" t="str">
        <x:v>IT &amp; digital; Finance &amp; insurance; Engineering &amp; manufacturing; Healthcare &amp; life sciences; Unresolved</x:v>
      </x:c>
      <x:c r="M617" s="12" t="str">
        <x:v>Small-scale prospects; Medium-scale prospects; Mixed business audience</x:v>
      </x:c>
      <x:c r="N617" s="12" t="str">
        <x:v>PARTNER-M205</x:v>
      </x:c>
      <x:c r="O617" s="13"/>
      <x:c r="P617" s="13"/>
      <x:c r="Q617" s="2" t="str"/>
      <x:c r="R617"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17" s="12" t="str">
        <x:v>Mixed commercial workplace</x:v>
      </x:c>
      <x:c r="T617" s="12" t="str">
        <x:v>Tenant business-type estimates and reviewed company-scale context.</x:v>
      </x:c>
    </x:row>
    <x:row r="618" ht="75" customHeight="1">
      <x:c r="A618" s="10" t="n">
        <x:v>1</x:v>
      </x:c>
      <x:c r="B618" s="2" t="str">
        <x:v>CORP-0628</x:v>
      </x:c>
      <x:c r="C618" s="2" t="str">
        <x:v>Mumbai</x:v>
      </x:c>
      <x:c r="D618" s="2" t="str"/>
      <x:c r="E618" s="12" t="str">
        <x:v>Rupa Solitaire</x:v>
      </x:c>
      <x:c r="F618" s="12" t="str">
        <x:v>D Wing - Elevator Lobby 1</x:v>
      </x:c>
      <x:c r="G618" s="11" t="n">
        <x:v>1</x:v>
      </x:c>
      <x:c r="H618" s="2" t="str">
        <x:v>55 inch</x:v>
      </x:c>
      <x:c r="I618"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18" s="2" t="n">
        <x:v>17</x:v>
      </x:c>
      <x:c r="K618" s="12" t="str">
        <x:v>Campus/portfolio roster; individual building occupancy unverified</x:v>
      </x:c>
      <x:c r="L618" s="12" t="str">
        <x:v>IT &amp; digital; Finance &amp; insurance; Engineering &amp; manufacturing; Healthcare &amp; life sciences; Unresolved</x:v>
      </x:c>
      <x:c r="M618" s="12" t="str">
        <x:v>Small-scale prospects; Medium-scale prospects; Mixed business audience</x:v>
      </x:c>
      <x:c r="N618" s="12" t="str">
        <x:v>PARTNER-M205</x:v>
      </x:c>
      <x:c r="O618" s="13"/>
      <x:c r="P618" s="13"/>
      <x:c r="Q618" s="2" t="str"/>
      <x:c r="R618"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18" s="12" t="str">
        <x:v>Mixed commercial workplace</x:v>
      </x:c>
      <x:c r="T618" s="12" t="str">
        <x:v>Tenant business-type estimates and reviewed company-scale context.</x:v>
      </x:c>
    </x:row>
    <x:row r="619" ht="75" customHeight="1">
      <x:c r="A619" s="10" t="n">
        <x:v>1</x:v>
      </x:c>
      <x:c r="B619" s="2" t="str">
        <x:v>CORP-0629</x:v>
      </x:c>
      <x:c r="C619" s="2" t="str">
        <x:v>Mumbai</x:v>
      </x:c>
      <x:c r="D619" s="2" t="str"/>
      <x:c r="E619" s="12" t="str">
        <x:v>Rupa Solitaire</x:v>
      </x:c>
      <x:c r="F619" s="12" t="str">
        <x:v>D Wing - Elevator Lobby 2</x:v>
      </x:c>
      <x:c r="G619" s="11" t="n">
        <x:v>1</x:v>
      </x:c>
      <x:c r="H619" s="2" t="str">
        <x:v>55 inch</x:v>
      </x:c>
      <x:c r="I619"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19" s="2" t="n">
        <x:v>17</x:v>
      </x:c>
      <x:c r="K619" s="12" t="str">
        <x:v>Campus/portfolio roster; individual building occupancy unverified</x:v>
      </x:c>
      <x:c r="L619" s="12" t="str">
        <x:v>IT &amp; digital; Finance &amp; insurance; Engineering &amp; manufacturing; Healthcare &amp; life sciences; Unresolved</x:v>
      </x:c>
      <x:c r="M619" s="12" t="str">
        <x:v>Small-scale prospects; Medium-scale prospects; Mixed business audience</x:v>
      </x:c>
      <x:c r="N619" s="12" t="str">
        <x:v>PARTNER-M205</x:v>
      </x:c>
      <x:c r="O619" s="13"/>
      <x:c r="P619" s="13"/>
      <x:c r="Q619" s="2" t="str"/>
      <x:c r="R619"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19" s="12" t="str">
        <x:v>Mixed commercial workplace</x:v>
      </x:c>
      <x:c r="T619" s="12" t="str">
        <x:v>Tenant business-type estimates and reviewed company-scale context.</x:v>
      </x:c>
    </x:row>
    <x:row r="620" ht="75" customHeight="1">
      <x:c r="A620" s="10" t="n">
        <x:v>1</x:v>
      </x:c>
      <x:c r="B620" s="2" t="str">
        <x:v>CORP-0630</x:v>
      </x:c>
      <x:c r="C620" s="2" t="str">
        <x:v>Mumbai</x:v>
      </x:c>
      <x:c r="D620" s="2" t="str"/>
      <x:c r="E620" s="12" t="str">
        <x:v>Rupa Solitaire</x:v>
      </x:c>
      <x:c r="F620" s="12" t="str">
        <x:v>7th Floor food court</x:v>
      </x:c>
      <x:c r="G620" s="11" t="n">
        <x:v>1</x:v>
      </x:c>
      <x:c r="H620" s="2" t="str">
        <x:v>55 inch</x:v>
      </x:c>
      <x:c r="I620"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20" s="2" t="n">
        <x:v>17</x:v>
      </x:c>
      <x:c r="K620" s="12" t="str">
        <x:v>Campus/portfolio roster; individual building occupancy unverified</x:v>
      </x:c>
      <x:c r="L620" s="12" t="str">
        <x:v>IT &amp; digital; Finance &amp; insurance; Engineering &amp; manufacturing; Healthcare &amp; life sciences; Unresolved</x:v>
      </x:c>
      <x:c r="M620" s="12" t="str">
        <x:v>Small-scale prospects; Medium-scale prospects; Mixed business audience</x:v>
      </x:c>
      <x:c r="N620" s="12" t="str">
        <x:v>PARTNER-M205</x:v>
      </x:c>
      <x:c r="O620" s="13"/>
      <x:c r="P620" s="13"/>
      <x:c r="Q620" s="2" t="str"/>
      <x:c r="R620"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20" s="12" t="str">
        <x:v>Mixed commercial workplace</x:v>
      </x:c>
      <x:c r="T620" s="12" t="str">
        <x:v>Tenant business-type estimates and reviewed company-scale context.</x:v>
      </x:c>
    </x:row>
    <x:row r="621" ht="75" customHeight="1">
      <x:c r="A621" s="10" t="n">
        <x:v>1</x:v>
      </x:c>
      <x:c r="B621" s="2" t="str">
        <x:v>CORP-0631</x:v>
      </x:c>
      <x:c r="C621" s="2" t="str">
        <x:v>Mumbai</x:v>
      </x:c>
      <x:c r="D621" s="2" t="str"/>
      <x:c r="E621" s="12" t="str">
        <x:v>Rupa Solitaire</x:v>
      </x:c>
      <x:c r="F621" s="12" t="str">
        <x:v>11th floor Area</x:v>
      </x:c>
      <x:c r="G621" s="11" t="n">
        <x:v>1</x:v>
      </x:c>
      <x:c r="H621" s="2" t="str">
        <x:v>55 inch</x:v>
      </x:c>
      <x:c r="I621" s="12" t="str">
        <x:v>ZTE INDIA; Ascra Technologies; Linde India Limited; Marquis Technologies; Object Edge; Alumayer; Sarla Advantech Pvt. Ltd; Mavenir Systems; G4K Solutions Pvt. Ltd; WEBTELINDIA; Flagship Biotech International Private Limited; Rein Labs; Value Loans; XL Dynamics India Private Limited; MindCraft Software Pvt. Ltd; Orient Technologies; IcruxSystem Pvt. Ltd</x:v>
      </x:c>
      <x:c r="J621" s="2" t="n">
        <x:v>17</x:v>
      </x:c>
      <x:c r="K621" s="12" t="str">
        <x:v>Campus/portfolio roster; individual building occupancy unverified</x:v>
      </x:c>
      <x:c r="L621" s="12" t="str">
        <x:v>IT &amp; digital; Finance &amp; insurance; Engineering &amp; manufacturing; Healthcare &amp; life sciences; Unresolved</x:v>
      </x:c>
      <x:c r="M621" s="12" t="str">
        <x:v>Small-scale prospects; Medium-scale prospects; Mixed business audience</x:v>
      </x:c>
      <x:c r="N621" s="12" t="str">
        <x:v>PARTNER-M205</x:v>
      </x:c>
      <x:c r="O621" s="13"/>
      <x:c r="P621" s="13"/>
      <x:c r="Q621" s="2" t="str"/>
      <x:c r="R621" s="2" t="str">
        <x:v>TEN-127B47622F3A; TEN-15C760D67D1D; TEN-1E42D3AD0FD0; TEN-2D454207B572; TEN-4337D4E769C7; TEN-553E661E9572; TEN-5F95F2022E30; TEN-784276C71673; TEN-7D3893B5DA94; TEN-85645F258252; TEN-8EFC3B922572; TEN-9EAAB7C5C964; TEN-B5671F0D45A2; TEN-B76D588EDAE8; TEN-D8F6D49FF41D; TEN-E8D6DDD422B5; TEN-F1CCD67C8E7F</x:v>
      </x:c>
      <x:c r="S621" s="12" t="str">
        <x:v>Mixed commercial workplace</x:v>
      </x:c>
      <x:c r="T621" s="12" t="str">
        <x:v>Tenant business-type estimates and reviewed company-scale context.</x:v>
      </x:c>
    </x:row>
    <x:row r="622" ht="64" customHeight="1">
      <x:c r="A622" s="10" t="n">
        <x:v>1</x:v>
      </x:c>
      <x:c r="B622" s="2" t="str">
        <x:v>CORP-0640</x:v>
      </x:c>
      <x:c r="C622" s="2" t="str">
        <x:v>Mumbai</x:v>
      </x:c>
      <x:c r="D622" s="2" t="str"/>
      <x:c r="E622" s="12" t="str">
        <x:v>Technology Center IV</x:v>
      </x:c>
      <x:c r="F622" s="12" t="str">
        <x:v>Ground Floor Elevator Lobby</x:v>
      </x:c>
      <x:c r="G622" s="11" t="n">
        <x:v>1</x:v>
      </x:c>
      <x:c r="H622" s="2" t="str">
        <x:v>55 inch</x:v>
      </x:c>
      <x:c r="I622" s="12" t="str">
        <x:v>Amber Day Care &amp; Candyfloss Pre-school; CitiusTech Healthcare Technology Private Limited</x:v>
      </x:c>
      <x:c r="J622" s="2" t="n">
        <x:v>2</x:v>
      </x:c>
      <x:c r="K622" s="12" t="str">
        <x:v>Campus/portfolio roster; individual building occupancy unverified</x:v>
      </x:c>
      <x:c r="L622" s="12" t="str">
        <x:v>Healthcare &amp; life sciences; Education</x:v>
      </x:c>
      <x:c r="M622" s="12" t="str">
        <x:v>Micro-scale prospects; Mixed business audience</x:v>
      </x:c>
      <x:c r="N622" s="12" t="str">
        <x:v>PARTNER-M223</x:v>
      </x:c>
      <x:c r="O622" s="13"/>
      <x:c r="P622" s="13"/>
      <x:c r="Q622" s="2" t="str"/>
      <x:c r="R622" s="2" t="str">
        <x:v>TEN-0CB5E89248A4; TEN-262F528291FE</x:v>
      </x:c>
      <x:c r="S622" s="12" t="str">
        <x:v>Mixed commercial workplace</x:v>
      </x:c>
      <x:c r="T622" s="12" t="str">
        <x:v>Tenant business-type estimates and reviewed company-scale context.</x:v>
      </x:c>
    </x:row>
    <x:row r="623" ht="64" customHeight="1">
      <x:c r="A623" s="10" t="n">
        <x:v>1</x:v>
      </x:c>
      <x:c r="B623" s="2" t="str">
        <x:v>CORP-0641</x:v>
      </x:c>
      <x:c r="C623" s="2" t="str">
        <x:v>Mumbai</x:v>
      </x:c>
      <x:c r="D623" s="2" t="str"/>
      <x:c r="E623" s="12" t="str">
        <x:v>Technology Center IV</x:v>
      </x:c>
      <x:c r="F623" s="12" t="str">
        <x:v>Ground Floor Entry Lobby</x:v>
      </x:c>
      <x:c r="G623" s="11" t="n">
        <x:v>1</x:v>
      </x:c>
      <x:c r="H623" s="2" t="str">
        <x:v>55 inch</x:v>
      </x:c>
      <x:c r="I623" s="12" t="str">
        <x:v>Amber Day Care &amp; Candyfloss Pre-school; CitiusTech Healthcare Technology Private Limited</x:v>
      </x:c>
      <x:c r="J623" s="2" t="n">
        <x:v>2</x:v>
      </x:c>
      <x:c r="K623" s="12" t="str">
        <x:v>Campus/portfolio roster; individual building occupancy unverified</x:v>
      </x:c>
      <x:c r="L623" s="12" t="str">
        <x:v>Healthcare &amp; life sciences; Education</x:v>
      </x:c>
      <x:c r="M623" s="12" t="str">
        <x:v>Micro-scale prospects; Mixed business audience</x:v>
      </x:c>
      <x:c r="N623" s="12" t="str">
        <x:v>PARTNER-M223</x:v>
      </x:c>
      <x:c r="O623" s="13"/>
      <x:c r="P623" s="13"/>
      <x:c r="Q623" s="2" t="str"/>
      <x:c r="R623" s="2" t="str">
        <x:v>TEN-0CB5E89248A4; TEN-262F528291FE</x:v>
      </x:c>
      <x:c r="S623" s="12" t="str">
        <x:v>Mixed commercial workplace</x:v>
      </x:c>
      <x:c r="T623" s="12" t="str">
        <x:v>Tenant business-type estimates and reviewed company-scale context.</x:v>
      </x:c>
    </x:row>
    <x:row r="624" ht="64" customHeight="1">
      <x:c r="A624" s="10" t="n">
        <x:v>1</x:v>
      </x:c>
      <x:c r="B624" s="2" t="str">
        <x:v>CORP-0642</x:v>
      </x:c>
      <x:c r="C624" s="2" t="str">
        <x:v>Mumbai</x:v>
      </x:c>
      <x:c r="D624" s="2" t="str"/>
      <x:c r="E624" s="12" t="str">
        <x:v>Technology Center IV</x:v>
      </x:c>
      <x:c r="F624" s="12" t="str">
        <x:v>Food Court - Entry</x:v>
      </x:c>
      <x:c r="G624" s="11" t="n">
        <x:v>1</x:v>
      </x:c>
      <x:c r="H624" s="2" t="str">
        <x:v>55 inch</x:v>
      </x:c>
      <x:c r="I624" s="12" t="str">
        <x:v>Amber Day Care &amp; Candyfloss Pre-school; CitiusTech Healthcare Technology Private Limited</x:v>
      </x:c>
      <x:c r="J624" s="2" t="n">
        <x:v>2</x:v>
      </x:c>
      <x:c r="K624" s="12" t="str">
        <x:v>Campus/portfolio roster; individual building occupancy unverified</x:v>
      </x:c>
      <x:c r="L624" s="12" t="str">
        <x:v>Healthcare &amp; life sciences; Education</x:v>
      </x:c>
      <x:c r="M624" s="12" t="str">
        <x:v>Micro-scale prospects; Mixed business audience</x:v>
      </x:c>
      <x:c r="N624" s="12" t="str">
        <x:v>PARTNER-M223</x:v>
      </x:c>
      <x:c r="O624" s="13"/>
      <x:c r="P624" s="13"/>
      <x:c r="Q624" s="2" t="str"/>
      <x:c r="R624" s="2" t="str">
        <x:v>TEN-0CB5E89248A4; TEN-262F528291FE</x:v>
      </x:c>
      <x:c r="S624" s="12" t="str">
        <x:v>Mixed commercial workplace</x:v>
      </x:c>
      <x:c r="T624" s="12" t="str">
        <x:v>Tenant business-type estimates and reviewed company-scale context.</x:v>
      </x:c>
    </x:row>
    <x:row r="625" ht="64" customHeight="1">
      <x:c r="A625" s="10" t="n">
        <x:v>1</x:v>
      </x:c>
      <x:c r="B625" s="2" t="str">
        <x:v>CORP-0643</x:v>
      </x:c>
      <x:c r="C625" s="2" t="str">
        <x:v>Mumbai</x:v>
      </x:c>
      <x:c r="D625" s="2" t="str"/>
      <x:c r="E625" s="12" t="str">
        <x:v>Technology Center IV</x:v>
      </x:c>
      <x:c r="F625" s="12" t="str">
        <x:v>Food Court - Billing</x:v>
      </x:c>
      <x:c r="G625" s="11" t="n">
        <x:v>1</x:v>
      </x:c>
      <x:c r="H625" s="2" t="str">
        <x:v>55 inch</x:v>
      </x:c>
      <x:c r="I625" s="12" t="str">
        <x:v>Amber Day Care &amp; Candyfloss Pre-school; CitiusTech Healthcare Technology Private Limited</x:v>
      </x:c>
      <x:c r="J625" s="2" t="n">
        <x:v>2</x:v>
      </x:c>
      <x:c r="K625" s="12" t="str">
        <x:v>Campus/portfolio roster; individual building occupancy unverified</x:v>
      </x:c>
      <x:c r="L625" s="12" t="str">
        <x:v>Healthcare &amp; life sciences; Education</x:v>
      </x:c>
      <x:c r="M625" s="12" t="str">
        <x:v>Micro-scale prospects; Mixed business audience</x:v>
      </x:c>
      <x:c r="N625" s="12" t="str">
        <x:v>PARTNER-M223</x:v>
      </x:c>
      <x:c r="O625" s="13"/>
      <x:c r="P625" s="13"/>
      <x:c r="Q625" s="2" t="str"/>
      <x:c r="R625" s="2" t="str">
        <x:v>TEN-0CB5E89248A4; TEN-262F528291FE</x:v>
      </x:c>
      <x:c r="S625" s="12" t="str">
        <x:v>Mixed commercial workplace</x:v>
      </x:c>
      <x:c r="T625" s="12" t="str">
        <x:v>Tenant business-type estimates and reviewed company-scale context.</x:v>
      </x:c>
    </x:row>
    <x:row r="626" ht="75" customHeight="1">
      <x:c r="A626" s="10" t="n">
        <x:v>1</x:v>
      </x:c>
      <x:c r="B626" s="2" t="str">
        <x:v>CORP-0644</x:v>
      </x:c>
      <x:c r="C626" s="2" t="str">
        <x:v>Mumbai</x:v>
      </x:c>
      <x:c r="D626" s="2" t="str"/>
      <x:c r="E626" s="12" t="str">
        <x:v>Windsor House</x:v>
      </x:c>
      <x:c r="F626" s="12" t="str">
        <x:v>Tower WH - Elevator Lobby</x:v>
      </x:c>
      <x:c r="G626" s="11" t="n">
        <x:v>1</x:v>
      </x:c>
      <x:c r="H626" s="2" t="str">
        <x:v>55 inch</x:v>
      </x:c>
      <x:c r="I626" s="12" t="str">
        <x:v>DSM Nutritional Products India PVT; The Crescent Group; AK Group; BTV; Hathway head office; Microsoft Corporation India Private Limited; Windsor Realty Private Ltd; Credilia Financial Services Limited; Mirae Asset Global investments (India) pvt; Sekura Energy Private Limited; Outlook India Publishig PVT; India Bonds; H&amp;R Johnson; BBC studios India pvt</x:v>
      </x:c>
      <x:c r="J626" s="2" t="n">
        <x:v>14</x:v>
      </x:c>
      <x:c r="K626" s="12" t="str">
        <x:v>Campus/portfolio roster; individual building occupancy unverified</x:v>
      </x:c>
      <x:c r="L626" s="12" t="str">
        <x:v>IT &amp; digital; Finance &amp; insurance; Engineering &amp; manufacturing; Trade, consumer &amp; logistics; Unresolved</x:v>
      </x:c>
      <x:c r="M626" s="12" t="str">
        <x:v>Small-scale prospects; Medium-scale prospects; Large enterprise; Mixed business audience</x:v>
      </x:c>
      <x:c r="N626" s="12" t="str">
        <x:v>PARTNER-M227</x:v>
      </x:c>
      <x:c r="O626" s="13"/>
      <x:c r="P626" s="13"/>
      <x:c r="Q626" s="2" t="str"/>
      <x:c r="R626" s="2" t="str">
        <x:v>TEN-04A7BF588AF8; TEN-09DD085FC8CC; TEN-12FFE3FCB38E; TEN-3DAF16CAD05F; TEN-5BA92BB8BE69; TEN-6AABB2EDC69D; TEN-9E587843CD26; TEN-A518E4150708; TEN-AA16486DD980; TEN-B500F96CF69E; TEN-CA95A5D8C4D9; TEN-E1C13B3EF2E0; TEN-E6CED8408C37; TEN-F9306C38D687</x:v>
      </x:c>
      <x:c r="S626" s="12" t="str">
        <x:v>Mixed commercial workplace</x:v>
      </x:c>
      <x:c r="T626" s="12" t="str">
        <x:v>Tenant business-type estimates and reviewed company-scale context.</x:v>
      </x:c>
    </x:row>
    <x:row r="627" ht="75" customHeight="1">
      <x:c r="A627" s="10" t="n">
        <x:v>1</x:v>
      </x:c>
      <x:c r="B627" s="2" t="str">
        <x:v>CORP-0645</x:v>
      </x:c>
      <x:c r="C627" s="2" t="str">
        <x:v>Mumbai</x:v>
      </x:c>
      <x:c r="D627" s="2" t="str"/>
      <x:c r="E627" s="12" t="str">
        <x:v>Windsor House</x:v>
      </x:c>
      <x:c r="F627" s="12" t="str">
        <x:v>Tower WH - Reception Lobby</x:v>
      </x:c>
      <x:c r="G627" s="11" t="n">
        <x:v>1</x:v>
      </x:c>
      <x:c r="H627" s="2" t="str">
        <x:v>55 inch</x:v>
      </x:c>
      <x:c r="I627" s="12" t="str">
        <x:v>DSM Nutritional Products India PVT; The Crescent Group; AK Group; BTV; Hathway head office; Microsoft Corporation India Private Limited; Windsor Realty Private Ltd; Credilia Financial Services Limited; Mirae Asset Global investments (India) pvt; Sekura Energy Private Limited; Outlook India Publishig PVT; India Bonds; H&amp;R Johnson; BBC studios India pvt</x:v>
      </x:c>
      <x:c r="J627" s="2" t="n">
        <x:v>14</x:v>
      </x:c>
      <x:c r="K627" s="12" t="str">
        <x:v>Campus/portfolio roster; individual building occupancy unverified</x:v>
      </x:c>
      <x:c r="L627" s="12" t="str">
        <x:v>IT &amp; digital; Finance &amp; insurance; Engineering &amp; manufacturing; Trade, consumer &amp; logistics; Unresolved</x:v>
      </x:c>
      <x:c r="M627" s="12" t="str">
        <x:v>Small-scale prospects; Medium-scale prospects; Large enterprise; Mixed business audience</x:v>
      </x:c>
      <x:c r="N627" s="12" t="str">
        <x:v>PARTNER-M227</x:v>
      </x:c>
      <x:c r="O627" s="13"/>
      <x:c r="P627" s="13"/>
      <x:c r="Q627" s="2" t="str"/>
      <x:c r="R627" s="2" t="str">
        <x:v>TEN-04A7BF588AF8; TEN-09DD085FC8CC; TEN-12FFE3FCB38E; TEN-3DAF16CAD05F; TEN-5BA92BB8BE69; TEN-6AABB2EDC69D; TEN-9E587843CD26; TEN-A518E4150708; TEN-AA16486DD980; TEN-B500F96CF69E; TEN-CA95A5D8C4D9; TEN-E1C13B3EF2E0; TEN-E6CED8408C37; TEN-F9306C38D687</x:v>
      </x:c>
      <x:c r="S627" s="12" t="str">
        <x:v>Mixed commercial workplace</x:v>
      </x:c>
      <x:c r="T627" s="12" t="str">
        <x:v>Tenant business-type estimates and reviewed company-scale context.</x:v>
      </x:c>
    </x:row>
    <x:row r="628" ht="75" customHeight="1">
      <x:c r="A628" s="10" t="n">
        <x:v>1</x:v>
      </x:c>
      <x:c r="B628" s="2" t="str">
        <x:v>CORP-0646</x:v>
      </x:c>
      <x:c r="C628" s="2" t="str">
        <x:v>Mumbai</x:v>
      </x:c>
      <x:c r="D628" s="2" t="str"/>
      <x:c r="E628" s="12" t="str">
        <x:v>Windsor House</x:v>
      </x:c>
      <x:c r="F628" s="12" t="str">
        <x:v>Tower W - Elevator Lobby</x:v>
      </x:c>
      <x:c r="G628" s="11" t="n">
        <x:v>1</x:v>
      </x:c>
      <x:c r="H628" s="2" t="str">
        <x:v>55 inch</x:v>
      </x:c>
      <x:c r="I628" s="12" t="str">
        <x:v>DSM Nutritional Products India PVT; The Crescent Group; AK Group; BTV; Hathway head office; Microsoft Corporation India Private Limited; Windsor Realty Private Ltd; Credilia Financial Services Limited; Mirae Asset Global investments (India) pvt; Sekura Energy Private Limited; Outlook India Publishig PVT; India Bonds; H&amp;R Johnson; BBC studios India pvt</x:v>
      </x:c>
      <x:c r="J628" s="2" t="n">
        <x:v>14</x:v>
      </x:c>
      <x:c r="K628" s="12" t="str">
        <x:v>Campus/portfolio roster; individual building occupancy unverified</x:v>
      </x:c>
      <x:c r="L628" s="12" t="str">
        <x:v>IT &amp; digital; Finance &amp; insurance; Engineering &amp; manufacturing; Trade, consumer &amp; logistics; Unresolved</x:v>
      </x:c>
      <x:c r="M628" s="12" t="str">
        <x:v>Small-scale prospects; Medium-scale prospects; Large enterprise; Mixed business audience</x:v>
      </x:c>
      <x:c r="N628" s="12" t="str">
        <x:v>PARTNER-M227</x:v>
      </x:c>
      <x:c r="O628" s="13"/>
      <x:c r="P628" s="13"/>
      <x:c r="Q628" s="2" t="str"/>
      <x:c r="R628" s="2" t="str">
        <x:v>TEN-04A7BF588AF8; TEN-09DD085FC8CC; TEN-12FFE3FCB38E; TEN-3DAF16CAD05F; TEN-5BA92BB8BE69; TEN-6AABB2EDC69D; TEN-9E587843CD26; TEN-A518E4150708; TEN-AA16486DD980; TEN-B500F96CF69E; TEN-CA95A5D8C4D9; TEN-E1C13B3EF2E0; TEN-E6CED8408C37; TEN-F9306C38D687</x:v>
      </x:c>
      <x:c r="S628" s="12" t="str">
        <x:v>Mixed commercial workplace</x:v>
      </x:c>
      <x:c r="T628" s="12" t="str">
        <x:v>Tenant business-type estimates and reviewed company-scale context.</x:v>
      </x:c>
    </x:row>
    <x:row r="629" ht="75" customHeight="1">
      <x:c r="A629" s="10" t="n">
        <x:v>1</x:v>
      </x:c>
      <x:c r="B629" s="2" t="str">
        <x:v>CORP-0647</x:v>
      </x:c>
      <x:c r="C629" s="2" t="str">
        <x:v>Mumbai</x:v>
      </x:c>
      <x:c r="D629" s="2" t="str"/>
      <x:c r="E629" s="12" t="str">
        <x:v>Windsor House</x:v>
      </x:c>
      <x:c r="F629" s="12" t="str">
        <x:v>Tower W - Reception Lobby</x:v>
      </x:c>
      <x:c r="G629" s="11" t="n">
        <x:v>1</x:v>
      </x:c>
      <x:c r="H629" s="2" t="str">
        <x:v>55 inch</x:v>
      </x:c>
      <x:c r="I629" s="12" t="str">
        <x:v>DSM Nutritional Products India PVT; The Crescent Group; AK Group; BTV; Hathway head office; Microsoft Corporation India Private Limited; Windsor Realty Private Ltd; Credilia Financial Services Limited; Mirae Asset Global investments (India) pvt; Sekura Energy Private Limited; Outlook India Publishig PVT; India Bonds; H&amp;R Johnson; BBC studios India pvt</x:v>
      </x:c>
      <x:c r="J629" s="2" t="n">
        <x:v>14</x:v>
      </x:c>
      <x:c r="K629" s="12" t="str">
        <x:v>Campus/portfolio roster; individual building occupancy unverified</x:v>
      </x:c>
      <x:c r="L629" s="12" t="str">
        <x:v>IT &amp; digital; Finance &amp; insurance; Engineering &amp; manufacturing; Trade, consumer &amp; logistics; Unresolved</x:v>
      </x:c>
      <x:c r="M629" s="12" t="str">
        <x:v>Small-scale prospects; Medium-scale prospects; Large enterprise; Mixed business audience</x:v>
      </x:c>
      <x:c r="N629" s="12" t="str">
        <x:v>PARTNER-M227</x:v>
      </x:c>
      <x:c r="O629" s="13"/>
      <x:c r="P629" s="13"/>
      <x:c r="Q629" s="2" t="str"/>
      <x:c r="R629" s="2" t="str">
        <x:v>TEN-04A7BF588AF8; TEN-09DD085FC8CC; TEN-12FFE3FCB38E; TEN-3DAF16CAD05F; TEN-5BA92BB8BE69; TEN-6AABB2EDC69D; TEN-9E587843CD26; TEN-A518E4150708; TEN-AA16486DD980; TEN-B500F96CF69E; TEN-CA95A5D8C4D9; TEN-E1C13B3EF2E0; TEN-E6CED8408C37; TEN-F9306C38D687</x:v>
      </x:c>
      <x:c r="S629" s="12" t="str">
        <x:v>Mixed commercial workplace</x:v>
      </x:c>
      <x:c r="T629" s="12" t="str">
        <x:v>Tenant business-type estimates and reviewed company-scale context.</x:v>
      </x:c>
    </x:row>
    <x:row r="630" ht="75" customHeight="1">
      <x:c r="A630" s="10" t="n">
        <x:v>1</x:v>
      </x:c>
      <x:c r="B630" s="2" t="str">
        <x:v>CORP-0648</x:v>
      </x:c>
      <x:c r="C630" s="2" t="str">
        <x:v>Mumbai</x:v>
      </x:c>
      <x:c r="D630" s="2" t="str"/>
      <x:c r="E630" s="12" t="str">
        <x:v>Windsor House</x:v>
      </x:c>
      <x:c r="F630" s="12" t="str">
        <x:v>Food Court Sitting Area</x:v>
      </x:c>
      <x:c r="G630" s="11" t="n">
        <x:v>1</x:v>
      </x:c>
      <x:c r="H630" s="2" t="str">
        <x:v>55 inch</x:v>
      </x:c>
      <x:c r="I630" s="12" t="str">
        <x:v>DSM Nutritional Products India PVT; The Crescent Group; AK Group; BTV; Hathway head office; Microsoft Corporation India Private Limited; Windsor Realty Private Ltd; Credilia Financial Services Limited; Mirae Asset Global investments (India) pvt; Sekura Energy Private Limited; Outlook India Publishig PVT; India Bonds; H&amp;R Johnson; BBC studios India pvt</x:v>
      </x:c>
      <x:c r="J630" s="2" t="n">
        <x:v>14</x:v>
      </x:c>
      <x:c r="K630" s="12" t="str">
        <x:v>Campus/portfolio roster; individual building occupancy unverified</x:v>
      </x:c>
      <x:c r="L630" s="12" t="str">
        <x:v>IT &amp; digital; Finance &amp; insurance; Engineering &amp; manufacturing; Trade, consumer &amp; logistics; Unresolved</x:v>
      </x:c>
      <x:c r="M630" s="12" t="str">
        <x:v>Small-scale prospects; Medium-scale prospects; Large enterprise; Mixed business audience</x:v>
      </x:c>
      <x:c r="N630" s="12" t="str">
        <x:v>PARTNER-M227</x:v>
      </x:c>
      <x:c r="O630" s="13"/>
      <x:c r="P630" s="13"/>
      <x:c r="Q630" s="2" t="str"/>
      <x:c r="R630" s="2" t="str">
        <x:v>TEN-04A7BF588AF8; TEN-09DD085FC8CC; TEN-12FFE3FCB38E; TEN-3DAF16CAD05F; TEN-5BA92BB8BE69; TEN-6AABB2EDC69D; TEN-9E587843CD26; TEN-A518E4150708; TEN-AA16486DD980; TEN-B500F96CF69E; TEN-CA95A5D8C4D9; TEN-E1C13B3EF2E0; TEN-E6CED8408C37; TEN-F9306C38D687</x:v>
      </x:c>
      <x:c r="S630" s="12" t="str">
        <x:v>Mixed commercial workplace</x:v>
      </x:c>
      <x:c r="T630" s="12" t="str">
        <x:v>Tenant business-type estimates and reviewed company-scale context.</x:v>
      </x:c>
    </x:row>
    <x:row r="631" ht="75" customHeight="1">
      <x:c r="A631" s="10" t="n">
        <x:v>1</x:v>
      </x:c>
      <x:c r="B631" s="2" t="str">
        <x:v>CORP-0649</x:v>
      </x:c>
      <x:c r="C631" s="2" t="str">
        <x:v>Mumbai</x:v>
      </x:c>
      <x:c r="D631" s="2" t="str"/>
      <x:c r="E631" s="12" t="str">
        <x:v>Windsor House</x:v>
      </x:c>
      <x:c r="F631" s="12" t="str">
        <x:v>Food court Retail area</x:v>
      </x:c>
      <x:c r="G631" s="11" t="n">
        <x:v>1</x:v>
      </x:c>
      <x:c r="H631" s="2" t="str">
        <x:v>55 inch</x:v>
      </x:c>
      <x:c r="I631" s="12" t="str">
        <x:v>DSM Nutritional Products India PVT; The Crescent Group; AK Group; BTV; Hathway head office; Microsoft Corporation India Private Limited; Windsor Realty Private Ltd; Credilia Financial Services Limited; Mirae Asset Global investments (India) pvt; Sekura Energy Private Limited; Outlook India Publishig PVT; India Bonds; H&amp;R Johnson; BBC studios India pvt</x:v>
      </x:c>
      <x:c r="J631" s="2" t="n">
        <x:v>14</x:v>
      </x:c>
      <x:c r="K631" s="12" t="str">
        <x:v>Campus/portfolio roster; individual building occupancy unverified</x:v>
      </x:c>
      <x:c r="L631" s="12" t="str">
        <x:v>IT &amp; digital; Finance &amp; insurance; Engineering &amp; manufacturing; Trade, consumer &amp; logistics; Unresolved</x:v>
      </x:c>
      <x:c r="M631" s="12" t="str">
        <x:v>Small-scale prospects; Medium-scale prospects; Large enterprise; Mixed business audience</x:v>
      </x:c>
      <x:c r="N631" s="12" t="str">
        <x:v>PARTNER-M227</x:v>
      </x:c>
      <x:c r="O631" s="13"/>
      <x:c r="P631" s="13"/>
      <x:c r="Q631" s="2" t="str"/>
      <x:c r="R631" s="2" t="str">
        <x:v>TEN-04A7BF588AF8; TEN-09DD085FC8CC; TEN-12FFE3FCB38E; TEN-3DAF16CAD05F; TEN-5BA92BB8BE69; TEN-6AABB2EDC69D; TEN-9E587843CD26; TEN-A518E4150708; TEN-AA16486DD980; TEN-B500F96CF69E; TEN-CA95A5D8C4D9; TEN-E1C13B3EF2E0; TEN-E6CED8408C37; TEN-F9306C38D687</x:v>
      </x:c>
      <x:c r="S631" s="12" t="str">
        <x:v>Mixed commercial workplace</x:v>
      </x:c>
      <x:c r="T631" s="12" t="str">
        <x:v>Tenant business-type estimates and reviewed company-scale context.</x:v>
      </x:c>
    </x:row>
    <x:row r="632" ht="64" customHeight="1">
      <x:c r="A632" s="10" t="n">
        <x:v>1</x:v>
      </x:c>
      <x:c r="B632" s="2" t="str">
        <x:v>CORP-0650</x:v>
      </x:c>
      <x:c r="C632" s="2" t="str">
        <x:v>Mumbai</x:v>
      </x:c>
      <x:c r="D632" s="2" t="str"/>
      <x:c r="E632" s="12" t="str">
        <x:v>Lodha Supremus</x:v>
      </x:c>
      <x:c r="F632" s="12" t="str">
        <x:v>Elevator Lobby</x:v>
      </x:c>
      <x:c r="G632" s="11" t="n">
        <x:v>1</x:v>
      </x:c>
      <x:c r="H632" s="2" t="str">
        <x:v>55 inch</x:v>
      </x:c>
      <x:c r="I632" s="12" t="str">
        <x:v>Raymond; Glaxo Smith Kline Limited</x:v>
      </x:c>
      <x:c r="J632" s="2" t="n">
        <x:v>2</x:v>
      </x:c>
      <x:c r="K632" s="12" t="str">
        <x:v>Campus/portfolio roster; individual building occupancy unverified</x:v>
      </x:c>
      <x:c r="L632" s="12" t="str">
        <x:v>Healthcare &amp; life sciences; Trade, consumer &amp; logistics</x:v>
      </x:c>
      <x:c r="M632" s="12" t="str">
        <x:v>Mixed business audience</x:v>
      </x:c>
      <x:c r="N632" s="12" t="str">
        <x:v>PARTNER-M233</x:v>
      </x:c>
      <x:c r="O632" s="13"/>
      <x:c r="P632" s="13"/>
      <x:c r="Q632" s="2" t="str"/>
      <x:c r="R632" s="2" t="str">
        <x:v>TEN-0C7FB88C4308; TEN-C8796D894F18</x:v>
      </x:c>
      <x:c r="S632" s="12" t="str">
        <x:v>Multi-tenant business offices</x:v>
      </x:c>
      <x:c r="T632" s="12" t="str">
        <x:v>Tenant business-type estimates and reviewed company-scale context.</x:v>
      </x:c>
    </x:row>
    <x:row r="633" ht="64" customHeight="1">
      <x:c r="A633" s="10" t="n">
        <x:v>1</x:v>
      </x:c>
      <x:c r="B633" s="2" t="str">
        <x:v>CORP-0651</x:v>
      </x:c>
      <x:c r="C633" s="2" t="str">
        <x:v>Mumbai</x:v>
      </x:c>
      <x:c r="D633" s="2" t="str"/>
      <x:c r="E633" s="12" t="str">
        <x:v>Lodha Supremus</x:v>
      </x:c>
      <x:c r="F633" s="12" t="str">
        <x:v>Reception Lobby</x:v>
      </x:c>
      <x:c r="G633" s="11" t="n">
        <x:v>1</x:v>
      </x:c>
      <x:c r="H633" s="2" t="str">
        <x:v>55 inch</x:v>
      </x:c>
      <x:c r="I633" s="12" t="str">
        <x:v>Raymond; Glaxo Smith Kline Limited</x:v>
      </x:c>
      <x:c r="J633" s="2" t="n">
        <x:v>2</x:v>
      </x:c>
      <x:c r="K633" s="12" t="str">
        <x:v>Campus/portfolio roster; individual building occupancy unverified</x:v>
      </x:c>
      <x:c r="L633" s="12" t="str">
        <x:v>Healthcare &amp; life sciences; Trade, consumer &amp; logistics</x:v>
      </x:c>
      <x:c r="M633" s="12" t="str">
        <x:v>Mixed business audience</x:v>
      </x:c>
      <x:c r="N633" s="12" t="str">
        <x:v>PARTNER-M233</x:v>
      </x:c>
      <x:c r="O633" s="13"/>
      <x:c r="P633" s="13"/>
      <x:c r="Q633" s="2" t="str"/>
      <x:c r="R633" s="2" t="str">
        <x:v>TEN-0C7FB88C4308; TEN-C8796D894F18</x:v>
      </x:c>
      <x:c r="S633" s="12" t="str">
        <x:v>Multi-tenant business offices</x:v>
      </x:c>
      <x:c r="T633" s="12" t="str">
        <x:v>Tenant business-type estimates and reviewed company-scale context.</x:v>
      </x:c>
    </x:row>
    <x:row r="634" ht="75" customHeight="1">
      <x:c r="A634" s="10" t="n">
        <x:v>1</x:v>
      </x:c>
      <x:c r="B634" s="2" t="str">
        <x:v>CORP-0652</x:v>
      </x:c>
      <x:c r="C634" s="2" t="str">
        <x:v>Mumbai</x:v>
      </x:c>
      <x:c r="D634" s="2" t="str"/>
      <x:c r="E634" s="12" t="str">
        <x:v>Kanakia 215 Atrium</x:v>
      </x:c>
      <x:c r="F634" s="12" t="str">
        <x:v>Reception Lobby</x:v>
      </x:c>
      <x:c r="G634" s="11" t="n">
        <x:v>1</x:v>
      </x:c>
      <x:c r="H634" s="2" t="str">
        <x:v>55 inch</x:v>
      </x:c>
      <x:c r="I634" s="12" t="str">
        <x:v>Toyota Tsusho India Pvt. Ltd; International Asset Reconstruction Company; Sahajanand Medical Technologies Pvt Ltd; Hind Terminals Private Limited; Julius Baer; Societyfor Mumbai Incubation Lab; Fossil India Pvt Ltd; Inframax Engineers; CSGT Trading India Pvt Ltd; Hal Offshore Ltd; Indian Energy Exchange; Infokrafts Data Consultancy Services; GlobeSecure Technologies Ltd</x:v>
      </x:c>
      <x:c r="J634" s="2" t="n">
        <x:v>13</x:v>
      </x:c>
      <x:c r="K634" s="12" t="str">
        <x:v>Campus/portfolio roster; individual building occupancy unverified</x:v>
      </x:c>
      <x:c r="L634" s="12" t="str">
        <x:v>Professional services; Finance &amp; insurance; Engineering &amp; manufacturing; Healthcare &amp; life sciences; Trade, consumer &amp; logistics; Government &amp; nonprofit; Unresolved</x:v>
      </x:c>
      <x:c r="M634" s="12" t="str">
        <x:v>Small-scale prospects; Medium-scale prospects; Institutional; Mixed business audience</x:v>
      </x:c>
      <x:c r="N634" s="12" t="str">
        <x:v>PARTNER-M235</x:v>
      </x:c>
      <x:c r="O634" s="13"/>
      <x:c r="P634" s="13"/>
      <x:c r="Q634" s="2" t="str"/>
      <x:c r="R634" s="2" t="str">
        <x:v>TEN-2DF4390BE20B; TEN-57FA1C55CCF8; TEN-584343DF6352; TEN-5CAEBC2A73C0; TEN-629323F9C9BA; TEN-73D4224ED59C; TEN-9F6FEAE43949; TEN-A9A905D2D15D; TEN-ABA4CECB91B9; TEN-C15D33DD1E40; TEN-DB7C8ADDD504; TEN-DFC9AF331452; TEN-E357B05EB429</x:v>
      </x:c>
      <x:c r="S634" s="12" t="str">
        <x:v>Mixed commercial workplace</x:v>
      </x:c>
      <x:c r="T634" s="12" t="str">
        <x:v>Tenant business-type estimates and reviewed company-scale context.</x:v>
      </x:c>
    </x:row>
    <x:row r="635" ht="75" customHeight="1">
      <x:c r="A635" s="10" t="n">
        <x:v>1</x:v>
      </x:c>
      <x:c r="B635" s="2" t="str">
        <x:v>CORP-0653</x:v>
      </x:c>
      <x:c r="C635" s="2" t="str">
        <x:v>Mumbai</x:v>
      </x:c>
      <x:c r="D635" s="2" t="str"/>
      <x:c r="E635" s="12" t="str">
        <x:v>Kanakia 215 Atrium</x:v>
      </x:c>
      <x:c r="F635" s="12" t="str">
        <x:v>A Wing - Elevator Lobby</x:v>
      </x:c>
      <x:c r="G635" s="11" t="n">
        <x:v>1</x:v>
      </x:c>
      <x:c r="H635" s="2" t="str">
        <x:v>55 inch</x:v>
      </x:c>
      <x:c r="I635" s="12" t="str">
        <x:v>Toyota Tsusho India Pvt. Ltd; International Asset Reconstruction Company; Sahajanand Medical Technologies Pvt Ltd; Hind Terminals Private Limited; Julius Baer; Societyfor Mumbai Incubation Lab; Fossil India Pvt Ltd; Inframax Engineers; CSGT Trading India Pvt Ltd; Hal Offshore Ltd; Indian Energy Exchange; Infokrafts Data Consultancy Services; GlobeSecure Technologies Ltd</x:v>
      </x:c>
      <x:c r="J635" s="2" t="n">
        <x:v>13</x:v>
      </x:c>
      <x:c r="K635" s="12" t="str">
        <x:v>Campus/portfolio roster; individual building occupancy unverified</x:v>
      </x:c>
      <x:c r="L635" s="12" t="str">
        <x:v>Professional services; Finance &amp; insurance; Engineering &amp; manufacturing; Healthcare &amp; life sciences; Trade, consumer &amp; logistics; Government &amp; nonprofit; Unresolved</x:v>
      </x:c>
      <x:c r="M635" s="12" t="str">
        <x:v>Small-scale prospects; Medium-scale prospects; Institutional; Mixed business audience</x:v>
      </x:c>
      <x:c r="N635" s="12" t="str">
        <x:v>PARTNER-M235</x:v>
      </x:c>
      <x:c r="O635" s="13"/>
      <x:c r="P635" s="13"/>
      <x:c r="Q635" s="2" t="str"/>
      <x:c r="R635" s="2" t="str">
        <x:v>TEN-2DF4390BE20B; TEN-57FA1C55CCF8; TEN-584343DF6352; TEN-5CAEBC2A73C0; TEN-629323F9C9BA; TEN-73D4224ED59C; TEN-9F6FEAE43949; TEN-A9A905D2D15D; TEN-ABA4CECB91B9; TEN-C15D33DD1E40; TEN-DB7C8ADDD504; TEN-DFC9AF331452; TEN-E357B05EB429</x:v>
      </x:c>
      <x:c r="S635" s="12" t="str">
        <x:v>Mixed commercial workplace</x:v>
      </x:c>
      <x:c r="T635" s="12" t="str">
        <x:v>Tenant business-type estimates and reviewed company-scale context.</x:v>
      </x:c>
    </x:row>
    <x:row r="636" ht="75" customHeight="1">
      <x:c r="A636" s="10" t="n">
        <x:v>1</x:v>
      </x:c>
      <x:c r="B636" s="2" t="str">
        <x:v>CORP-0654</x:v>
      </x:c>
      <x:c r="C636" s="2" t="str">
        <x:v>Mumbai</x:v>
      </x:c>
      <x:c r="D636" s="2" t="str"/>
      <x:c r="E636" s="12" t="str">
        <x:v>Kanakia 215 Atrium</x:v>
      </x:c>
      <x:c r="F636" s="12" t="str">
        <x:v>B Wing - Elevator Lobby</x:v>
      </x:c>
      <x:c r="G636" s="11" t="n">
        <x:v>1</x:v>
      </x:c>
      <x:c r="H636" s="2" t="str">
        <x:v>55 inch</x:v>
      </x:c>
      <x:c r="I636" s="12" t="str">
        <x:v>Toyota Tsusho India Pvt. Ltd; International Asset Reconstruction Company; Sahajanand Medical Technologies Pvt Ltd; Hind Terminals Private Limited; Julius Baer; Societyfor Mumbai Incubation Lab; Fossil India Pvt Ltd; Inframax Engineers; CSGT Trading India Pvt Ltd; Hal Offshore Ltd; Indian Energy Exchange; Infokrafts Data Consultancy Services; GlobeSecure Technologies Ltd</x:v>
      </x:c>
      <x:c r="J636" s="2" t="n">
        <x:v>13</x:v>
      </x:c>
      <x:c r="K636" s="12" t="str">
        <x:v>Campus/portfolio roster; individual building occupancy unverified</x:v>
      </x:c>
      <x:c r="L636" s="12" t="str">
        <x:v>Professional services; Finance &amp; insurance; Engineering &amp; manufacturing; Healthcare &amp; life sciences; Trade, consumer &amp; logistics; Government &amp; nonprofit; Unresolved</x:v>
      </x:c>
      <x:c r="M636" s="12" t="str">
        <x:v>Small-scale prospects; Medium-scale prospects; Institutional; Mixed business audience</x:v>
      </x:c>
      <x:c r="N636" s="12" t="str">
        <x:v>PARTNER-M235</x:v>
      </x:c>
      <x:c r="O636" s="13"/>
      <x:c r="P636" s="13"/>
      <x:c r="Q636" s="2" t="str"/>
      <x:c r="R636" s="2" t="str">
        <x:v>TEN-2DF4390BE20B; TEN-57FA1C55CCF8; TEN-584343DF6352; TEN-5CAEBC2A73C0; TEN-629323F9C9BA; TEN-73D4224ED59C; TEN-9F6FEAE43949; TEN-A9A905D2D15D; TEN-ABA4CECB91B9; TEN-C15D33DD1E40; TEN-DB7C8ADDD504; TEN-DFC9AF331452; TEN-E357B05EB429</x:v>
      </x:c>
      <x:c r="S636" s="12" t="str">
        <x:v>Mixed commercial workplace</x:v>
      </x:c>
      <x:c r="T636" s="12" t="str">
        <x:v>Tenant business-type estimates and reviewed company-scale context.</x:v>
      </x:c>
    </x:row>
    <x:row r="637" ht="75" customHeight="1">
      <x:c r="A637" s="10" t="n">
        <x:v>1</x:v>
      </x:c>
      <x:c r="B637" s="2" t="str">
        <x:v>CORP-0655</x:v>
      </x:c>
      <x:c r="C637" s="2" t="str">
        <x:v>Mumbai</x:v>
      </x:c>
      <x:c r="D637" s="2" t="str"/>
      <x:c r="E637" s="12" t="str">
        <x:v>Kanakia 215 Atrium</x:v>
      </x:c>
      <x:c r="F637" s="12" t="str">
        <x:v>C Wing - Elevator Lobby</x:v>
      </x:c>
      <x:c r="G637" s="11" t="n">
        <x:v>1</x:v>
      </x:c>
      <x:c r="H637" s="2" t="str">
        <x:v>55 inch</x:v>
      </x:c>
      <x:c r="I637" s="12" t="str">
        <x:v>Toyota Tsusho India Pvt. Ltd; International Asset Reconstruction Company; Sahajanand Medical Technologies Pvt Ltd; Hind Terminals Private Limited; Julius Baer; Societyfor Mumbai Incubation Lab; Fossil India Pvt Ltd; Inframax Engineers; CSGT Trading India Pvt Ltd; Hal Offshore Ltd; Indian Energy Exchange; Infokrafts Data Consultancy Services; GlobeSecure Technologies Ltd</x:v>
      </x:c>
      <x:c r="J637" s="2" t="n">
        <x:v>13</x:v>
      </x:c>
      <x:c r="K637" s="12" t="str">
        <x:v>Campus/portfolio roster; individual building occupancy unverified</x:v>
      </x:c>
      <x:c r="L637" s="12" t="str">
        <x:v>Professional services; Finance &amp; insurance; Engineering &amp; manufacturing; Healthcare &amp; life sciences; Trade, consumer &amp; logistics; Government &amp; nonprofit; Unresolved</x:v>
      </x:c>
      <x:c r="M637" s="12" t="str">
        <x:v>Small-scale prospects; Medium-scale prospects; Institutional; Mixed business audience</x:v>
      </x:c>
      <x:c r="N637" s="12" t="str">
        <x:v>PARTNER-M235</x:v>
      </x:c>
      <x:c r="O637" s="13"/>
      <x:c r="P637" s="13"/>
      <x:c r="Q637" s="2" t="str"/>
      <x:c r="R637" s="2" t="str">
        <x:v>TEN-2DF4390BE20B; TEN-57FA1C55CCF8; TEN-584343DF6352; TEN-5CAEBC2A73C0; TEN-629323F9C9BA; TEN-73D4224ED59C; TEN-9F6FEAE43949; TEN-A9A905D2D15D; TEN-ABA4CECB91B9; TEN-C15D33DD1E40; TEN-DB7C8ADDD504; TEN-DFC9AF331452; TEN-E357B05EB429</x:v>
      </x:c>
      <x:c r="S637" s="12" t="str">
        <x:v>Mixed commercial workplace</x:v>
      </x:c>
      <x:c r="T637" s="12" t="str">
        <x:v>Tenant business-type estimates and reviewed company-scale context.</x:v>
      </x:c>
    </x:row>
    <x:row r="638" ht="64" customHeight="1">
      <x:c r="A638" s="10" t="n">
        <x:v>1</x:v>
      </x:c>
      <x:c r="B638" s="2" t="str">
        <x:v>CORP-0656</x:v>
      </x:c>
      <x:c r="C638" s="2" t="str">
        <x:v>Mumbai</x:v>
      </x:c>
      <x:c r="D638" s="2" t="str"/>
      <x:c r="E638" s="12" t="str">
        <x:v>Kanakia Atrium 2</x:v>
      </x:c>
      <x:c r="F638" s="12" t="str">
        <x:v>Reception Lobby</x:v>
      </x:c>
      <x:c r="G638" s="11" t="n">
        <x:v>1</x:v>
      </x:c>
      <x:c r="H638" s="2" t="str">
        <x:v>55 inch</x:v>
      </x:c>
      <x:c r="I638" s="12" t="str">
        <x:v>Fincrux Technologies; Spiro Lifecare Pvt. Ltd; Dextra India Private Limited; Micro Mechanical Works; Renascence Insolvency Resolution Professionals Pvt. Ltd; Barry Callebaut India Private Limited; Sojitz India</x:v>
      </x:c>
      <x:c r="J638" s="2" t="n">
        <x:v>7</x:v>
      </x:c>
      <x:c r="K638" s="12" t="str">
        <x:v>Campus/portfolio roster; individual building occupancy unverified</x:v>
      </x:c>
      <x:c r="L638" s="12" t="str">
        <x:v>Professional services; Engineering &amp; manufacturing; Healthcare &amp; life sciences; Trade, consumer &amp; logistics; Unresolved</x:v>
      </x:c>
      <x:c r="M638" s="12" t="str">
        <x:v>Small-scale prospects; Medium-scale prospects; Mixed business audience</x:v>
      </x:c>
      <x:c r="N638" s="12" t="str">
        <x:v>PARTNER-M239</x:v>
      </x:c>
      <x:c r="O638" s="13"/>
      <x:c r="P638" s="13"/>
      <x:c r="Q638" s="2" t="str"/>
      <x:c r="R638" s="2" t="str">
        <x:v>TEN-371295751A36; TEN-39E8C5B4595F; TEN-5F3C456982BE; TEN-7FB744292917; TEN-9A7C16D3F193; TEN-D3004A4276FF; TEN-E644ABB7D829</x:v>
      </x:c>
      <x:c r="S638" s="12" t="str">
        <x:v>Mixed commercial workplace</x:v>
      </x:c>
      <x:c r="T638" s="12" t="str">
        <x:v>Tenant business-type estimates and reviewed company-scale context.</x:v>
      </x:c>
    </x:row>
    <x:row r="639" ht="64" customHeight="1">
      <x:c r="A639" s="10" t="n">
        <x:v>1</x:v>
      </x:c>
      <x:c r="B639" s="2" t="str">
        <x:v>CORP-0657</x:v>
      </x:c>
      <x:c r="C639" s="2" t="str">
        <x:v>Mumbai</x:v>
      </x:c>
      <x:c r="D639" s="2" t="str"/>
      <x:c r="E639" s="12" t="str">
        <x:v>Kanakia Atrium 2</x:v>
      </x:c>
      <x:c r="F639" s="12" t="str">
        <x:v>Elevator Lobby</x:v>
      </x:c>
      <x:c r="G639" s="11" t="n">
        <x:v>1</x:v>
      </x:c>
      <x:c r="H639" s="2" t="str">
        <x:v>55 inch</x:v>
      </x:c>
      <x:c r="I639" s="12" t="str">
        <x:v>Fincrux Technologies; Spiro Lifecare Pvt. Ltd; Dextra India Private Limited; Micro Mechanical Works; Renascence Insolvency Resolution Professionals Pvt. Ltd; Barry Callebaut India Private Limited; Sojitz India</x:v>
      </x:c>
      <x:c r="J639" s="2" t="n">
        <x:v>7</x:v>
      </x:c>
      <x:c r="K639" s="12" t="str">
        <x:v>Campus/portfolio roster; individual building occupancy unverified</x:v>
      </x:c>
      <x:c r="L639" s="12" t="str">
        <x:v>Professional services; Engineering &amp; manufacturing; Healthcare &amp; life sciences; Trade, consumer &amp; logistics; Unresolved</x:v>
      </x:c>
      <x:c r="M639" s="12" t="str">
        <x:v>Small-scale prospects; Medium-scale prospects; Mixed business audience</x:v>
      </x:c>
      <x:c r="N639" s="12" t="str">
        <x:v>PARTNER-M239</x:v>
      </x:c>
      <x:c r="O639" s="13"/>
      <x:c r="P639" s="13"/>
      <x:c r="Q639" s="2" t="str"/>
      <x:c r="R639" s="2" t="str">
        <x:v>TEN-371295751A36; TEN-39E8C5B4595F; TEN-5F3C456982BE; TEN-7FB744292917; TEN-9A7C16D3F193; TEN-D3004A4276FF; TEN-E644ABB7D829</x:v>
      </x:c>
      <x:c r="S639" s="12" t="str">
        <x:v>Mixed commercial workplace</x:v>
      </x:c>
      <x:c r="T639" s="12" t="str">
        <x:v>Tenant business-type estimates and reviewed company-scale context.</x:v>
      </x:c>
    </x:row>
    <x:row r="640" ht="114" customHeight="1">
      <x:c r="A640" s="10" t="n">
        <x:v>1</x:v>
      </x:c>
      <x:c r="B640" s="2" t="str">
        <x:v>CORP-0658</x:v>
      </x:c>
      <x:c r="C640" s="2" t="str">
        <x:v>Mumbai</x:v>
      </x:c>
      <x:c r="D640" s="2" t="str"/>
      <x:c r="E640" s="12" t="str">
        <x:v>Dynasty Business Park</x:v>
      </x:c>
      <x:c r="F640" s="12" t="str">
        <x:v>Reception Lobby A</x:v>
      </x:c>
      <x:c r="G640" s="11" t="n">
        <x:v>1</x:v>
      </x:c>
      <x:c r="H640" s="2" t="str">
        <x:v>55 inch</x:v>
      </x:c>
      <x:c r="I640" s="12" t="str">
        <x:v>Yokogawa Technology Solutions; Pramukh Paper Products; Dynamix dairy; TPV Technology; Searock International; Anheuser Busch Inbev; Hindustan Times Radio Station (Radio One); Greenply Industries; Bharat Finlease; Sovika Aviation Services; HTC Global Services India (Cibersites); SabMiller India; Nimbus Maritime Services; Responsys News And Media; XT Ships Management; regus business centre; EasyRewardz Software Services; Margo Networks; MindCraft Software; Fujitec India; Bo-Chem; Qx Global Services; China Shipping; Sharp Business Systems; Continental Carriers; Manan Cotsyn; Satyam Infoway; Droege Group; Dev Accelerator</x:v>
      </x:c>
      <x:c r="J640" s="2" t="n">
        <x:v>29</x:v>
      </x:c>
      <x:c r="K640" s="12" t="str">
        <x:v>Campus/portfolio roster; individual building occupancy unverified</x:v>
      </x:c>
      <x:c r="L640" s="12" t="str">
        <x:v>IT &amp; digital; Finance &amp; insurance; Engineering &amp; manufacturing; Trade, consumer &amp; logistics; Workspace &amp; property operations; Unresolved</x:v>
      </x:c>
      <x:c r="M640" s="12" t="str">
        <x:v>Small-scale prospects; Medium-scale prospects; Mixed business audience</x:v>
      </x:c>
      <x:c r="N640" s="12" t="str">
        <x:v>PARTNER-M241</x:v>
      </x:c>
      <x:c r="O640" s="13"/>
      <x:c r="P640" s="13"/>
      <x:c r="Q640" s="2" t="str"/>
      <x:c r="R640" s="2" t="str">
        <x:v>TEN-02A1EF31999B; TEN-03071EB4D70B; TEN-119294CA37A5; TEN-11A73E8A1661; TEN-182A654853D9; TEN-1843C84A4318; TEN-27D7FC7285CF; TEN-354BBA9D3C26; TEN-4352939E2375; TEN-48C0B7EF7437; TEN-59AD12AAE07D; TEN-5C8734A6943D; TEN-5EB562386662; TEN-6B6EC1888B41; TEN-80C6959D554D; TEN-845E172C9D1B; TEN-84AFE067D260; TEN-912168D0ACEE; TEN-98A5564F2BD1; TEN-9B946333183D; TEN-ABF9235DCBEF; TEN-BE81391BCE95; TEN-D0B6359CA261; TEN-D3A6CAE33147; TEN-D5F7A8ABBC60; TEN-E2020BBC5880; TEN-E7BD224184BE; TEN-F29BF3D48178; TEN-FA8F7E61C064</x:v>
      </x:c>
      <x:c r="S640" s="12" t="str">
        <x:v>Multi-tenant business offices</x:v>
      </x:c>
      <x:c r="T640" s="12" t="str">
        <x:v>Tenant business-type estimates and reviewed company-scale context.</x:v>
      </x:c>
    </x:row>
    <x:row r="641" ht="114" customHeight="1">
      <x:c r="A641" s="10" t="n">
        <x:v>1</x:v>
      </x:c>
      <x:c r="B641" s="2" t="str">
        <x:v>CORP-0659</x:v>
      </x:c>
      <x:c r="C641" s="2" t="str">
        <x:v>Mumbai</x:v>
      </x:c>
      <x:c r="D641" s="2" t="str"/>
      <x:c r="E641" s="12" t="str">
        <x:v>Dynasty Business Park</x:v>
      </x:c>
      <x:c r="F641" s="12" t="str">
        <x:v>Reception Lobby B</x:v>
      </x:c>
      <x:c r="G641" s="11" t="n">
        <x:v>1</x:v>
      </x:c>
      <x:c r="H641" s="2" t="str">
        <x:v>55 inch</x:v>
      </x:c>
      <x:c r="I641" s="12" t="str">
        <x:v>Yokogawa Technology Solutions; Pramukh Paper Products; Dynamix dairy; TPV Technology; Searock International; Anheuser Busch Inbev; Hindustan Times Radio Station (Radio One); Greenply Industries; Bharat Finlease; Sovika Aviation Services; HTC Global Services India (Cibersites); SabMiller India; Nimbus Maritime Services; Responsys News And Media; XT Ships Management; regus business centre; EasyRewardz Software Services; Margo Networks; MindCraft Software; Fujitec India; Bo-Chem; Qx Global Services; China Shipping; Sharp Business Systems; Continental Carriers; Manan Cotsyn; Satyam Infoway; Droege Group; Dev Accelerator</x:v>
      </x:c>
      <x:c r="J641" s="2" t="n">
        <x:v>29</x:v>
      </x:c>
      <x:c r="K641" s="12" t="str">
        <x:v>Campus/portfolio roster; individual building occupancy unverified</x:v>
      </x:c>
      <x:c r="L641" s="12" t="str">
        <x:v>IT &amp; digital; Finance &amp; insurance; Engineering &amp; manufacturing; Trade, consumer &amp; logistics; Workspace &amp; property operations; Unresolved</x:v>
      </x:c>
      <x:c r="M641" s="12" t="str">
        <x:v>Small-scale prospects; Medium-scale prospects; Mixed business audience</x:v>
      </x:c>
      <x:c r="N641" s="12" t="str">
        <x:v>PARTNER-M241</x:v>
      </x:c>
      <x:c r="O641" s="13"/>
      <x:c r="P641" s="13"/>
      <x:c r="Q641" s="2" t="str"/>
      <x:c r="R641" s="2" t="str">
        <x:v>TEN-02A1EF31999B; TEN-03071EB4D70B; TEN-119294CA37A5; TEN-11A73E8A1661; TEN-182A654853D9; TEN-1843C84A4318; TEN-27D7FC7285CF; TEN-354BBA9D3C26; TEN-4352939E2375; TEN-48C0B7EF7437; TEN-59AD12AAE07D; TEN-5C8734A6943D; TEN-5EB562386662; TEN-6B6EC1888B41; TEN-80C6959D554D; TEN-845E172C9D1B; TEN-84AFE067D260; TEN-912168D0ACEE; TEN-98A5564F2BD1; TEN-9B946333183D; TEN-ABF9235DCBEF; TEN-BE81391BCE95; TEN-D0B6359CA261; TEN-D3A6CAE33147; TEN-D5F7A8ABBC60; TEN-E2020BBC5880; TEN-E7BD224184BE; TEN-F29BF3D48178; TEN-FA8F7E61C064</x:v>
      </x:c>
      <x:c r="S641" s="12" t="str">
        <x:v>Multi-tenant business offices</x:v>
      </x:c>
      <x:c r="T641" s="12" t="str">
        <x:v>Tenant business-type estimates and reviewed company-scale context.</x:v>
      </x:c>
    </x:row>
    <x:row r="642" ht="64" customHeight="1">
      <x:c r="A642" s="10" t="n">
        <x:v>1</x:v>
      </x:c>
      <x:c r="B642" s="2" t="str">
        <x:v>CORP-0660</x:v>
      </x:c>
      <x:c r="C642" s="2" t="str">
        <x:v>Mumbai</x:v>
      </x:c>
      <x:c r="D642" s="2" t="str"/>
      <x:c r="E642" s="12" t="str">
        <x:v>Kohinoor City</x:v>
      </x:c>
      <x:c r="F642" s="12" t="str">
        <x:v>Tower A - Ground Floor Lobby</x:v>
      </x:c>
      <x:c r="G642" s="11" t="n">
        <x:v>1</x:v>
      </x:c>
      <x:c r="H642" s="2" t="str">
        <x:v>55 inch</x:v>
      </x:c>
      <x:c r="I642" s="12" t="str">
        <x:v>Softcell Technologies Global Pvt Ltd; Viavi Solutions; Hansa Cequity; NSE-WRO; American School of Bombay; Ehtesham &amp; Co. Chartered Accountants; Lis Silver Streak Salon; MOAZZAM OVERSEAS CONSULTANT; Carnival Support Services India Pvt. Ltd; Omega Shipping Agencies Pvt. Ltd</x:v>
      </x:c>
      <x:c r="J642" s="2" t="n">
        <x:v>10</x:v>
      </x:c>
      <x:c r="K642" s="12" t="str">
        <x:v>Campus/portfolio roster; individual building occupancy unverified</x:v>
      </x:c>
      <x:c r="L642" s="12" t="str">
        <x:v>IT &amp; digital; Professional services; Education; Trade, consumer &amp; logistics; Government &amp; nonprofit</x:v>
      </x:c>
      <x:c r="M642" s="12" t="str">
        <x:v>Micro-scale prospects; Small-scale prospects; Medium-scale prospects; Institutional; Mixed business audience</x:v>
      </x:c>
      <x:c r="N642" s="12" t="str">
        <x:v>PARTNER-M243</x:v>
      </x:c>
      <x:c r="O642" s="13"/>
      <x:c r="P642" s="13"/>
      <x:c r="Q642" s="2" t="str"/>
      <x:c r="R642" s="2" t="str">
        <x:v>TEN-2ACB1A36E6C1; TEN-43712282FE68; TEN-46B4959BDEE0; TEN-47FF8E27F353; TEN-8473394D087E; TEN-AE772C20AADD; TEN-B0BB02FFCE1D; TEN-D3EFC991FD82; TEN-D6ED1EEBDEED; TEN-F12B2AE1B965</x:v>
      </x:c>
      <x:c r="S642" s="12" t="str">
        <x:v>Mixed commercial workplace</x:v>
      </x:c>
      <x:c r="T642" s="12" t="str">
        <x:v>Tenant business-type estimates and reviewed company-scale context.</x:v>
      </x:c>
    </x:row>
    <x:row r="643" ht="64" customHeight="1">
      <x:c r="A643" s="10" t="n">
        <x:v>1</x:v>
      </x:c>
      <x:c r="B643" s="2" t="str">
        <x:v>CORP-0661</x:v>
      </x:c>
      <x:c r="C643" s="2" t="str">
        <x:v>Mumbai</x:v>
      </x:c>
      <x:c r="D643" s="2" t="str"/>
      <x:c r="E643" s="12" t="str">
        <x:v>Kohinoor City</x:v>
      </x:c>
      <x:c r="F643" s="12" t="str">
        <x:v>Tower B - Ground Floor Lobby</x:v>
      </x:c>
      <x:c r="G643" s="11" t="n">
        <x:v>1</x:v>
      </x:c>
      <x:c r="H643" s="2" t="str">
        <x:v>55 inch</x:v>
      </x:c>
      <x:c r="I643" s="12" t="str">
        <x:v>Softcell Technologies Global Pvt Ltd; Viavi Solutions; Hansa Cequity; NSE-WRO; American School of Bombay; Ehtesham &amp; Co. Chartered Accountants; Lis Silver Streak Salon; MOAZZAM OVERSEAS CONSULTANT; Carnival Support Services India Pvt. Ltd; Omega Shipping Agencies Pvt. Ltd</x:v>
      </x:c>
      <x:c r="J643" s="2" t="n">
        <x:v>10</x:v>
      </x:c>
      <x:c r="K643" s="12" t="str">
        <x:v>Campus/portfolio roster; individual building occupancy unverified</x:v>
      </x:c>
      <x:c r="L643" s="12" t="str">
        <x:v>IT &amp; digital; Professional services; Education; Trade, consumer &amp; logistics; Government &amp; nonprofit</x:v>
      </x:c>
      <x:c r="M643" s="12" t="str">
        <x:v>Micro-scale prospects; Small-scale prospects; Medium-scale prospects; Institutional; Mixed business audience</x:v>
      </x:c>
      <x:c r="N643" s="12" t="str">
        <x:v>PARTNER-M243</x:v>
      </x:c>
      <x:c r="O643" s="13"/>
      <x:c r="P643" s="13"/>
      <x:c r="Q643" s="2" t="str"/>
      <x:c r="R643" s="2" t="str">
        <x:v>TEN-2ACB1A36E6C1; TEN-43712282FE68; TEN-46B4959BDEE0; TEN-47FF8E27F353; TEN-8473394D087E; TEN-AE772C20AADD; TEN-B0BB02FFCE1D; TEN-D3EFC991FD82; TEN-D6ED1EEBDEED; TEN-F12B2AE1B965</x:v>
      </x:c>
      <x:c r="S643" s="12" t="str">
        <x:v>Mixed commercial workplace</x:v>
      </x:c>
      <x:c r="T643" s="12" t="str">
        <x:v>Tenant business-type estimates and reviewed company-scale context.</x:v>
      </x:c>
    </x:row>
    <x:row r="644" ht="64" customHeight="1">
      <x:c r="A644" s="10" t="n">
        <x:v>1</x:v>
      </x:c>
      <x:c r="B644" s="2" t="str">
        <x:v>CORP-0662</x:v>
      </x:c>
      <x:c r="C644" s="2" t="str">
        <x:v>Mumbai</x:v>
      </x:c>
      <x:c r="D644" s="2" t="str"/>
      <x:c r="E644" s="12" t="str">
        <x:v>Lodha iThink</x:v>
      </x:c>
      <x:c r="F644" s="12" t="str">
        <x:v>Ground Floor - Office Lobby</x:v>
      </x:c>
      <x:c r="G644" s="11" t="n">
        <x:v>1</x:v>
      </x:c>
      <x:c r="H644" s="2" t="str">
        <x:v>55 inch</x:v>
      </x:c>
      <x:c r="I644" s="12" t="str">
        <x:v>Grey And White HR Consultants Private Limited; Technosprout Systems Pvt. Ltd; EVERSTAR OPTOELECTRONICS PVT. LTD; AAJ Media Productions; Lumens Technologies Pvt. Ltd; S SHARMA &amp; ASSOCIATES</x:v>
      </x:c>
      <x:c r="J644" s="2" t="n">
        <x:v>6</x:v>
      </x:c>
      <x:c r="K644" s="12" t="str">
        <x:v>Campus/portfolio roster; individual building occupancy unverified</x:v>
      </x:c>
      <x:c r="L644" s="12" t="str">
        <x:v>Professional services; Engineering &amp; manufacturing; Trade, consumer &amp; logistics; Unresolved</x:v>
      </x:c>
      <x:c r="M644" s="12" t="str">
        <x:v>Small-scale prospects; Medium-scale prospects; Mixed business audience</x:v>
      </x:c>
      <x:c r="N644" s="12" t="str">
        <x:v>PARTNER-M245</x:v>
      </x:c>
      <x:c r="O644" s="13"/>
      <x:c r="P644" s="13"/>
      <x:c r="Q644" s="2" t="str"/>
      <x:c r="R644" s="2" t="str">
        <x:v>TEN-4AF50FD6663E; TEN-558F06B9FFAD; TEN-780337EBA367; TEN-C4EB443BC291; TEN-E7A6F56E3B21; TEN-FE5A685BB3BA</x:v>
      </x:c>
      <x:c r="S644" s="12" t="str">
        <x:v>Mixed commercial workplace</x:v>
      </x:c>
      <x:c r="T644" s="12" t="str">
        <x:v>Tenant business-type estimates and reviewed company-scale context.</x:v>
      </x:c>
    </x:row>
    <x:row r="645" ht="64" customHeight="1">
      <x:c r="A645" s="10" t="n">
        <x:v>1</x:v>
      </x:c>
      <x:c r="B645" s="2" t="str">
        <x:v>CORP-0663</x:v>
      </x:c>
      <x:c r="C645" s="2" t="str">
        <x:v>Mumbai</x:v>
      </x:c>
      <x:c r="D645" s="2" t="str"/>
      <x:c r="E645" s="12" t="str">
        <x:v>Lodha iThink</x:v>
      </x:c>
      <x:c r="F645" s="12" t="str">
        <x:v>Ground Floor - Office Lobby</x:v>
      </x:c>
      <x:c r="G645" s="11" t="n">
        <x:v>1</x:v>
      </x:c>
      <x:c r="H645" s="2" t="str">
        <x:v>55 inch</x:v>
      </x:c>
      <x:c r="I645" s="12" t="str">
        <x:v>Grey And White HR Consultants Private Limited; Technosprout Systems Pvt. Ltd; EVERSTAR OPTOELECTRONICS PVT. LTD; AAJ Media Productions; Lumens Technologies Pvt. Ltd; S SHARMA &amp; ASSOCIATES</x:v>
      </x:c>
      <x:c r="J645" s="2" t="n">
        <x:v>6</x:v>
      </x:c>
      <x:c r="K645" s="12" t="str">
        <x:v>Campus/portfolio roster; individual building occupancy unverified</x:v>
      </x:c>
      <x:c r="L645" s="12" t="str">
        <x:v>Professional services; Engineering &amp; manufacturing; Trade, consumer &amp; logistics; Unresolved</x:v>
      </x:c>
      <x:c r="M645" s="12" t="str">
        <x:v>Small-scale prospects; Medium-scale prospects; Mixed business audience</x:v>
      </x:c>
      <x:c r="N645" s="12" t="str">
        <x:v>PARTNER-M245</x:v>
      </x:c>
      <x:c r="O645" s="13"/>
      <x:c r="P645" s="13"/>
      <x:c r="Q645" s="2" t="str"/>
      <x:c r="R645" s="2" t="str">
        <x:v>TEN-4AF50FD6663E; TEN-558F06B9FFAD; TEN-780337EBA367; TEN-C4EB443BC291; TEN-E7A6F56E3B21; TEN-FE5A685BB3BA</x:v>
      </x:c>
      <x:c r="S645" s="12" t="str">
        <x:v>Mixed commercial workplace</x:v>
      </x:c>
      <x:c r="T645" s="12" t="str">
        <x:v>Tenant business-type estimates and reviewed company-scale context.</x:v>
      </x:c>
    </x:row>
    <x:row r="646" ht="75" customHeight="1">
      <x:c r="A646" s="10" t="n">
        <x:v>1</x:v>
      </x:c>
      <x:c r="B646" s="2" t="str">
        <x:v>CORP-0664</x:v>
      </x:c>
      <x:c r="C646" s="2" t="str">
        <x:v>Mumbai</x:v>
      </x:c>
      <x:c r="D646" s="2" t="str"/>
      <x:c r="E646" s="12" t="str">
        <x:v>Lodha Supremus</x:v>
      </x:c>
      <x:c r="F646" s="12" t="str">
        <x:v>Reception Lobby 1</x:v>
      </x:c>
      <x:c r="G646" s="11" t="n">
        <x:v>1</x:v>
      </x:c>
      <x:c r="H646" s="2" t="str">
        <x:v>55 inch</x:v>
      </x:c>
      <x:c r="I646" s="12" t="str">
        <x:v>Anish Financial Services; Peora Fashions; OneAssist Consumer Solutions; Ascent Consulting Services; Whizzmark Business Solutions; Bisleri International; Indana Hotels &amp; Resorts; Mirc Electronics Ltd (Onida); Tessuti Industries; D B Consultants; Trinity Insurance Services; ICICI Bank; VITS Hotels(Corporate Office); Samarth Finance Consultant; Digirealty Technologies</x:v>
      </x:c>
      <x:c r="J646" s="2" t="n">
        <x:v>15</x:v>
      </x:c>
      <x:c r="K646" s="12" t="str">
        <x:v>Campus/portfolio roster; individual building occupancy unverified</x:v>
      </x:c>
      <x:c r="L646" s="12" t="str">
        <x:v>Professional services; Finance &amp; insurance; Engineering &amp; manufacturing; Trade, consumer &amp; logistics; Unresolved</x:v>
      </x:c>
      <x:c r="M646" s="12" t="str">
        <x:v>Small-scale prospects; Medium-scale prospects; Large enterprise; Mixed business audience</x:v>
      </x:c>
      <x:c r="N646" s="12" t="str">
        <x:v>PARTNER-M247</x:v>
      </x:c>
      <x:c r="O646" s="13"/>
      <x:c r="P646" s="13"/>
      <x:c r="Q646" s="2" t="str"/>
      <x:c r="R646" s="2" t="str">
        <x:v>TEN-047B5C39429C; TEN-195AFC7F05A0; TEN-2DCEAF99E136; TEN-2E7AAE5DD17C; TEN-34FA47A413A3; TEN-5B49D3958B92; TEN-6BCAF693F975; TEN-80ABA2BC6E03; TEN-A04AEB75F5F5; TEN-A6A145176095; TEN-BEBC85511125; TEN-BEE4F75D30E5; TEN-C93E32AC59F9; TEN-D580AF912CAD; TEN-E36A8E484C91</x:v>
      </x:c>
      <x:c r="S646" s="12" t="str">
        <x:v>Multi-tenant business offices</x:v>
      </x:c>
      <x:c r="T646" s="12" t="str">
        <x:v>Tenant business-type estimates and reviewed company-scale context.</x:v>
      </x:c>
    </x:row>
    <x:row r="647" ht="75" customHeight="1">
      <x:c r="A647" s="10" t="n">
        <x:v>1</x:v>
      </x:c>
      <x:c r="B647" s="2" t="str">
        <x:v>CORP-0665</x:v>
      </x:c>
      <x:c r="C647" s="2" t="str">
        <x:v>Mumbai</x:v>
      </x:c>
      <x:c r="D647" s="2" t="str"/>
      <x:c r="E647" s="12" t="str">
        <x:v>Lodha Supremus</x:v>
      </x:c>
      <x:c r="F647" s="12" t="str">
        <x:v>Reception Lobby 2</x:v>
      </x:c>
      <x:c r="G647" s="11" t="n">
        <x:v>1</x:v>
      </x:c>
      <x:c r="H647" s="2" t="str">
        <x:v>55 inch</x:v>
      </x:c>
      <x:c r="I647" s="12" t="str">
        <x:v>Anish Financial Services; Peora Fashions; OneAssist Consumer Solutions; Ascent Consulting Services; Whizzmark Business Solutions; Bisleri International; Indana Hotels &amp; Resorts; Mirc Electronics Ltd (Onida); Tessuti Industries; D B Consultants; Trinity Insurance Services; ICICI Bank; VITS Hotels(Corporate Office); Samarth Finance Consultant; Digirealty Technologies</x:v>
      </x:c>
      <x:c r="J647" s="2" t="n">
        <x:v>15</x:v>
      </x:c>
      <x:c r="K647" s="12" t="str">
        <x:v>Campus/portfolio roster; individual building occupancy unverified</x:v>
      </x:c>
      <x:c r="L647" s="12" t="str">
        <x:v>Professional services; Finance &amp; insurance; Engineering &amp; manufacturing; Trade, consumer &amp; logistics; Unresolved</x:v>
      </x:c>
      <x:c r="M647" s="12" t="str">
        <x:v>Small-scale prospects; Medium-scale prospects; Large enterprise; Mixed business audience</x:v>
      </x:c>
      <x:c r="N647" s="12" t="str">
        <x:v>PARTNER-M247</x:v>
      </x:c>
      <x:c r="O647" s="13"/>
      <x:c r="P647" s="13"/>
      <x:c r="Q647" s="2" t="str"/>
      <x:c r="R647" s="2" t="str">
        <x:v>TEN-047B5C39429C; TEN-195AFC7F05A0; TEN-2DCEAF99E136; TEN-2E7AAE5DD17C; TEN-34FA47A413A3; TEN-5B49D3958B92; TEN-6BCAF693F975; TEN-80ABA2BC6E03; TEN-A04AEB75F5F5; TEN-A6A145176095; TEN-BEBC85511125; TEN-BEE4F75D30E5; TEN-C93E32AC59F9; TEN-D580AF912CAD; TEN-E36A8E484C91</x:v>
      </x:c>
      <x:c r="S647" s="12" t="str">
        <x:v>Multi-tenant business offices</x:v>
      </x:c>
      <x:c r="T647" s="12" t="str">
        <x:v>Tenant business-type estimates and reviewed company-scale context.</x:v>
      </x:c>
    </x:row>
    <x:row r="648" ht="75" customHeight="1">
      <x:c r="A648" s="10" t="n">
        <x:v>1</x:v>
      </x:c>
      <x:c r="B648" s="2" t="str">
        <x:v>CORP-0666</x:v>
      </x:c>
      <x:c r="C648" s="2" t="str">
        <x:v>Mumbai</x:v>
      </x:c>
      <x:c r="D648" s="2" t="str"/>
      <x:c r="E648" s="12" t="str">
        <x:v>Lodha Supremus</x:v>
      </x:c>
      <x:c r="F648" s="12" t="str">
        <x:v>Elevator Lobby Ground Floor 1</x:v>
      </x:c>
      <x:c r="G648" s="11" t="n">
        <x:v>1</x:v>
      </x:c>
      <x:c r="H648" s="2" t="str">
        <x:v>55 inch</x:v>
      </x:c>
      <x:c r="I648" s="12" t="str">
        <x:v>Anish Financial Services; Peora Fashions; OneAssist Consumer Solutions; Ascent Consulting Services; Whizzmark Business Solutions; Bisleri International; Indana Hotels &amp; Resorts; Mirc Electronics Ltd (Onida); Tessuti Industries; D B Consultants; Trinity Insurance Services; ICICI Bank; VITS Hotels(Corporate Office); Samarth Finance Consultant; Digirealty Technologies</x:v>
      </x:c>
      <x:c r="J648" s="2" t="n">
        <x:v>15</x:v>
      </x:c>
      <x:c r="K648" s="12" t="str">
        <x:v>Campus/portfolio roster; individual building occupancy unverified</x:v>
      </x:c>
      <x:c r="L648" s="12" t="str">
        <x:v>Professional services; Finance &amp; insurance; Engineering &amp; manufacturing; Trade, consumer &amp; logistics; Unresolved</x:v>
      </x:c>
      <x:c r="M648" s="12" t="str">
        <x:v>Small-scale prospects; Medium-scale prospects; Large enterprise; Mixed business audience</x:v>
      </x:c>
      <x:c r="N648" s="12" t="str">
        <x:v>PARTNER-M247</x:v>
      </x:c>
      <x:c r="O648" s="13"/>
      <x:c r="P648" s="13"/>
      <x:c r="Q648" s="2" t="str"/>
      <x:c r="R648" s="2" t="str">
        <x:v>TEN-047B5C39429C; TEN-195AFC7F05A0; TEN-2DCEAF99E136; TEN-2E7AAE5DD17C; TEN-34FA47A413A3; TEN-5B49D3958B92; TEN-6BCAF693F975; TEN-80ABA2BC6E03; TEN-A04AEB75F5F5; TEN-A6A145176095; TEN-BEBC85511125; TEN-BEE4F75D30E5; TEN-C93E32AC59F9; TEN-D580AF912CAD; TEN-E36A8E484C91</x:v>
      </x:c>
      <x:c r="S648" s="12" t="str">
        <x:v>Multi-tenant business offices</x:v>
      </x:c>
      <x:c r="T648" s="12" t="str">
        <x:v>Tenant business-type estimates and reviewed company-scale context.</x:v>
      </x:c>
    </x:row>
    <x:row r="649" ht="75" customHeight="1">
      <x:c r="A649" s="10" t="n">
        <x:v>1</x:v>
      </x:c>
      <x:c r="B649" s="2" t="str">
        <x:v>CORP-0667</x:v>
      </x:c>
      <x:c r="C649" s="2" t="str">
        <x:v>Mumbai</x:v>
      </x:c>
      <x:c r="D649" s="2" t="str"/>
      <x:c r="E649" s="12" t="str">
        <x:v>Lodha Supremus</x:v>
      </x:c>
      <x:c r="F649" s="12" t="str">
        <x:v>Elevator Lobby Ground Floor 2</x:v>
      </x:c>
      <x:c r="G649" s="11" t="n">
        <x:v>1</x:v>
      </x:c>
      <x:c r="H649" s="2" t="str">
        <x:v>55 inch</x:v>
      </x:c>
      <x:c r="I649" s="12" t="str">
        <x:v>Anish Financial Services; Peora Fashions; OneAssist Consumer Solutions; Ascent Consulting Services; Whizzmark Business Solutions; Bisleri International; Indana Hotels &amp; Resorts; Mirc Electronics Ltd (Onida); Tessuti Industries; D B Consultants; Trinity Insurance Services; ICICI Bank; VITS Hotels(Corporate Office); Samarth Finance Consultant; Digirealty Technologies</x:v>
      </x:c>
      <x:c r="J649" s="2" t="n">
        <x:v>15</x:v>
      </x:c>
      <x:c r="K649" s="12" t="str">
        <x:v>Campus/portfolio roster; individual building occupancy unverified</x:v>
      </x:c>
      <x:c r="L649" s="12" t="str">
        <x:v>Professional services; Finance &amp; insurance; Engineering &amp; manufacturing; Trade, consumer &amp; logistics; Unresolved</x:v>
      </x:c>
      <x:c r="M649" s="12" t="str">
        <x:v>Small-scale prospects; Medium-scale prospects; Large enterprise; Mixed business audience</x:v>
      </x:c>
      <x:c r="N649" s="12" t="str">
        <x:v>PARTNER-M247</x:v>
      </x:c>
      <x:c r="O649" s="13"/>
      <x:c r="P649" s="13"/>
      <x:c r="Q649" s="2" t="str"/>
      <x:c r="R649" s="2" t="str">
        <x:v>TEN-047B5C39429C; TEN-195AFC7F05A0; TEN-2DCEAF99E136; TEN-2E7AAE5DD17C; TEN-34FA47A413A3; TEN-5B49D3958B92; TEN-6BCAF693F975; TEN-80ABA2BC6E03; TEN-A04AEB75F5F5; TEN-A6A145176095; TEN-BEBC85511125; TEN-BEE4F75D30E5; TEN-C93E32AC59F9; TEN-D580AF912CAD; TEN-E36A8E484C91</x:v>
      </x:c>
      <x:c r="S649" s="12" t="str">
        <x:v>Multi-tenant business offices</x:v>
      </x:c>
      <x:c r="T649" s="12" t="str">
        <x:v>Tenant business-type estimates and reviewed company-scale context.</x:v>
      </x:c>
    </x:row>
    <x:row r="650" ht="75" customHeight="1">
      <x:c r="A650" s="10" t="n">
        <x:v>1</x:v>
      </x:c>
      <x:c r="B650" s="2" t="str">
        <x:v>CORP-0668</x:v>
      </x:c>
      <x:c r="C650" s="2" t="str">
        <x:v>Pune</x:v>
      </x:c>
      <x:c r="D650" s="2" t="str"/>
      <x:c r="E650" s="12" t="str">
        <x:v>Magarpatta Cyberpark</x:v>
      </x:c>
      <x:c r="F650" s="12" t="str">
        <x:v>Entry/Exit - Main Lobby Tower 1</x:v>
      </x:c>
      <x:c r="G650" s="11" t="n">
        <x:v>1</x:v>
      </x:c>
      <x:c r="H650" s="2" t="str">
        <x:v>55 inch</x:v>
      </x:c>
      <x:c r="I650" s="12" t="str">
        <x:v>Hitachi Consulting; Konecranes; Ocwen; AppDirect; TATA elxsi; WNS; Systems Plus; Avaya; CompuCom; Red Hat; Sutherland; Springer Nature; Teradata; Capita; UPS Logistics; HCL; Principal Global Services; Amdocs; EXL; Reflexis; Fico; Mphasis; Varian; Deutsche Bank Group; John Deere; Sybase; BNY Mellon; Dresser Rand; einfochips; Xento; Capgemini</x:v>
      </x:c>
      <x:c r="J650" s="2" t="n">
        <x:v>31</x:v>
      </x:c>
      <x:c r="K650" s="12" t="str">
        <x:v>Campus/portfolio roster; individual building occupancy unverified</x:v>
      </x:c>
      <x:c r="L650" s="12" t="str">
        <x:v>IT &amp; digital; Finance &amp; insurance; Engineering &amp; manufacturing; Healthcare &amp; life sciences; Education; Trade, consumer &amp; logistics</x:v>
      </x:c>
      <x:c r="M650" s="12" t="str">
        <x:v>Small-scale prospects; Large enterprise; Mixed business audience</x:v>
      </x:c>
      <x:c r="N650" s="12" t="str">
        <x:v>PARTNER-M252</x:v>
      </x:c>
      <x:c r="O650" s="13"/>
      <x:c r="P650" s="13"/>
      <x:c r="Q650" s="2" t="str"/>
      <x:c r="R650"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S650" s="12" t="str">
        <x:v>IT and enterprise campus</x:v>
      </x:c>
      <x:c r="T650" s="12" t="str">
        <x:v>Tenant business-type estimates and reviewed company-scale context.</x:v>
      </x:c>
    </x:row>
    <x:row r="651" ht="75" customHeight="1">
      <x:c r="A651" s="10" t="n">
        <x:v>1</x:v>
      </x:c>
      <x:c r="B651" s="2" t="str">
        <x:v>CORP-0669</x:v>
      </x:c>
      <x:c r="C651" s="2" t="str">
        <x:v>Pune</x:v>
      </x:c>
      <x:c r="D651" s="2" t="str"/>
      <x:c r="E651" s="12" t="str">
        <x:v>Magarpatta Cyberpark</x:v>
      </x:c>
      <x:c r="F651" s="12" t="str">
        <x:v>Entry/Exit - Main Lobby Tower 2</x:v>
      </x:c>
      <x:c r="G651" s="11" t="n">
        <x:v>1</x:v>
      </x:c>
      <x:c r="H651" s="2" t="str">
        <x:v>55 inch</x:v>
      </x:c>
      <x:c r="I651" s="12" t="str">
        <x:v>Hitachi Consulting; Konecranes; Ocwen; AppDirect; TATA elxsi; WNS; Systems Plus; Avaya; CompuCom; Red Hat; Sutherland; Springer Nature; Teradata; Capita; UPS Logistics; HCL; Principal Global Services; Amdocs; EXL; Reflexis; Fico; Mphasis; Varian; Deutsche Bank Group; John Deere; Sybase; BNY Mellon; Dresser Rand; einfochips; Xento; Capgemini</x:v>
      </x:c>
      <x:c r="J651" s="2" t="n">
        <x:v>31</x:v>
      </x:c>
      <x:c r="K651" s="12" t="str">
        <x:v>Campus/portfolio roster; individual building occupancy unverified</x:v>
      </x:c>
      <x:c r="L651" s="12" t="str">
        <x:v>IT &amp; digital; Finance &amp; insurance; Engineering &amp; manufacturing; Healthcare &amp; life sciences; Education; Trade, consumer &amp; logistics</x:v>
      </x:c>
      <x:c r="M651" s="12" t="str">
        <x:v>Small-scale prospects; Large enterprise; Mixed business audience</x:v>
      </x:c>
      <x:c r="N651" s="12" t="str">
        <x:v>PARTNER-M252</x:v>
      </x:c>
      <x:c r="O651" s="13"/>
      <x:c r="P651" s="13"/>
      <x:c r="Q651" s="2" t="str"/>
      <x:c r="R651"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S651" s="12" t="str">
        <x:v>IT and enterprise campus</x:v>
      </x:c>
      <x:c r="T651" s="12" t="str">
        <x:v>Tenant business-type estimates and reviewed company-scale context.</x:v>
      </x:c>
    </x:row>
    <x:row r="652" ht="75" customHeight="1">
      <x:c r="A652" s="10" t="n">
        <x:v>1</x:v>
      </x:c>
      <x:c r="B652" s="2" t="str">
        <x:v>CORP-0670</x:v>
      </x:c>
      <x:c r="C652" s="2" t="str">
        <x:v>Pune</x:v>
      </x:c>
      <x:c r="D652" s="2" t="str"/>
      <x:c r="E652" s="12" t="str">
        <x:v>Magarpatta Cyberpark</x:v>
      </x:c>
      <x:c r="F652" s="12" t="str">
        <x:v>Entry/Exit - Main Lobby Tower 3</x:v>
      </x:c>
      <x:c r="G652" s="11" t="n">
        <x:v>1</x:v>
      </x:c>
      <x:c r="H652" s="2" t="str">
        <x:v>55 inch</x:v>
      </x:c>
      <x:c r="I652" s="12" t="str">
        <x:v>Hitachi Consulting; Konecranes; Ocwen; AppDirect; TATA elxsi; WNS; Systems Plus; Avaya; CompuCom; Red Hat; Sutherland; Springer Nature; Teradata; Capita; UPS Logistics; HCL; Principal Global Services; Amdocs; EXL; Reflexis; Fico; Mphasis; Varian; Deutsche Bank Group; John Deere; Sybase; BNY Mellon; Dresser Rand; einfochips; Xento; Capgemini</x:v>
      </x:c>
      <x:c r="J652" s="2" t="n">
        <x:v>31</x:v>
      </x:c>
      <x:c r="K652" s="12" t="str">
        <x:v>Campus/portfolio roster; individual building occupancy unverified</x:v>
      </x:c>
      <x:c r="L652" s="12" t="str">
        <x:v>IT &amp; digital; Finance &amp; insurance; Engineering &amp; manufacturing; Healthcare &amp; life sciences; Education; Trade, consumer &amp; logistics</x:v>
      </x:c>
      <x:c r="M652" s="12" t="str">
        <x:v>Small-scale prospects; Large enterprise; Mixed business audience</x:v>
      </x:c>
      <x:c r="N652" s="12" t="str">
        <x:v>PARTNER-M252</x:v>
      </x:c>
      <x:c r="O652" s="13"/>
      <x:c r="P652" s="13"/>
      <x:c r="Q652" s="2" t="str"/>
      <x:c r="R652"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S652" s="12" t="str">
        <x:v>IT and enterprise campus</x:v>
      </x:c>
      <x:c r="T652" s="12" t="str">
        <x:v>Tenant business-type estimates and reviewed company-scale context.</x:v>
      </x:c>
    </x:row>
    <x:row r="653" ht="75" customHeight="1">
      <x:c r="A653" s="10" t="n">
        <x:v>1</x:v>
      </x:c>
      <x:c r="B653" s="2" t="str">
        <x:v>CORP-0671</x:v>
      </x:c>
      <x:c r="C653" s="2" t="str">
        <x:v>Pune</x:v>
      </x:c>
      <x:c r="D653" s="2" t="str"/>
      <x:c r="E653" s="12" t="str">
        <x:v>Magarpatta Cyberpark</x:v>
      </x:c>
      <x:c r="F653" s="12" t="str">
        <x:v>Entry/Exit - Main Lobby Tower 4</x:v>
      </x:c>
      <x:c r="G653" s="11" t="n">
        <x:v>1</x:v>
      </x:c>
      <x:c r="H653" s="2" t="str">
        <x:v>55 inch</x:v>
      </x:c>
      <x:c r="I653" s="12" t="str">
        <x:v>Hitachi Consulting; Konecranes; Ocwen; AppDirect; TATA elxsi; WNS; Systems Plus; Avaya; CompuCom; Red Hat; Sutherland; Springer Nature; Teradata; Capita; UPS Logistics; HCL; Principal Global Services; Amdocs; EXL; Reflexis; Fico; Mphasis; Varian; Deutsche Bank Group; John Deere; Sybase; BNY Mellon; Dresser Rand; einfochips; Xento; Capgemini</x:v>
      </x:c>
      <x:c r="J653" s="2" t="n">
        <x:v>31</x:v>
      </x:c>
      <x:c r="K653" s="12" t="str">
        <x:v>Campus/portfolio roster; individual building occupancy unverified</x:v>
      </x:c>
      <x:c r="L653" s="12" t="str">
        <x:v>IT &amp; digital; Finance &amp; insurance; Engineering &amp; manufacturing; Healthcare &amp; life sciences; Education; Trade, consumer &amp; logistics</x:v>
      </x:c>
      <x:c r="M653" s="12" t="str">
        <x:v>Small-scale prospects; Large enterprise; Mixed business audience</x:v>
      </x:c>
      <x:c r="N653" s="12" t="str">
        <x:v>PARTNER-M252</x:v>
      </x:c>
      <x:c r="O653" s="13"/>
      <x:c r="P653" s="13"/>
      <x:c r="Q653" s="2" t="str"/>
      <x:c r="R653"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S653" s="12" t="str">
        <x:v>IT and enterprise campus</x:v>
      </x:c>
      <x:c r="T653" s="12" t="str">
        <x:v>Tenant business-type estimates and reviewed company-scale context.</x:v>
      </x:c>
    </x:row>
    <x:row r="654" ht="75" customHeight="1">
      <x:c r="A654" s="10" t="n">
        <x:v>1</x:v>
      </x:c>
      <x:c r="B654" s="2" t="str">
        <x:v>CORP-0672</x:v>
      </x:c>
      <x:c r="C654" s="2" t="str">
        <x:v>Pune</x:v>
      </x:c>
      <x:c r="D654" s="2" t="str"/>
      <x:c r="E654" s="12" t="str">
        <x:v>Magarpatta Cyberpark</x:v>
      </x:c>
      <x:c r="F654" s="12" t="str">
        <x:v>Entry/Exit - Main Lobby Tower 5</x:v>
      </x:c>
      <x:c r="G654" s="11" t="n">
        <x:v>1</x:v>
      </x:c>
      <x:c r="H654" s="2" t="str">
        <x:v>55 inch</x:v>
      </x:c>
      <x:c r="I654" s="12" t="str">
        <x:v>Hitachi Consulting; Konecranes; Ocwen; AppDirect; TATA elxsi; WNS; Systems Plus; Avaya; CompuCom; Red Hat; Sutherland; Springer Nature; Teradata; Capita; UPS Logistics; HCL; Principal Global Services; Amdocs; EXL; Reflexis; Fico; Mphasis; Varian; Deutsche Bank Group; John Deere; Sybase; BNY Mellon; Dresser Rand; einfochips; Xento; Capgemini</x:v>
      </x:c>
      <x:c r="J654" s="2" t="n">
        <x:v>31</x:v>
      </x:c>
      <x:c r="K654" s="12" t="str">
        <x:v>Campus/portfolio roster; individual building occupancy unverified</x:v>
      </x:c>
      <x:c r="L654" s="12" t="str">
        <x:v>IT &amp; digital; Finance &amp; insurance; Engineering &amp; manufacturing; Healthcare &amp; life sciences; Education; Trade, consumer &amp; logistics</x:v>
      </x:c>
      <x:c r="M654" s="12" t="str">
        <x:v>Small-scale prospects; Large enterprise; Mixed business audience</x:v>
      </x:c>
      <x:c r="N654" s="12" t="str">
        <x:v>PARTNER-M252</x:v>
      </x:c>
      <x:c r="O654" s="13"/>
      <x:c r="P654" s="13"/>
      <x:c r="Q654" s="2" t="str"/>
      <x:c r="R654"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S654" s="12" t="str">
        <x:v>IT and enterprise campus</x:v>
      </x:c>
      <x:c r="T654" s="12" t="str">
        <x:v>Tenant business-type estimates and reviewed company-scale context.</x:v>
      </x:c>
    </x:row>
    <x:row r="655" ht="75" customHeight="1">
      <x:c r="A655" s="10" t="n">
        <x:v>1</x:v>
      </x:c>
      <x:c r="B655" s="2" t="str">
        <x:v>CORP-0673</x:v>
      </x:c>
      <x:c r="C655" s="2" t="str">
        <x:v>Pune</x:v>
      </x:c>
      <x:c r="D655" s="2" t="str"/>
      <x:c r="E655" s="12" t="str">
        <x:v>Magarpatta Cyberpark</x:v>
      </x:c>
      <x:c r="F655" s="12" t="str">
        <x:v>Entry/Exit - Main Lobby Tower 6</x:v>
      </x:c>
      <x:c r="G655" s="11" t="n">
        <x:v>1</x:v>
      </x:c>
      <x:c r="H655" s="2" t="str">
        <x:v>55 inch</x:v>
      </x:c>
      <x:c r="I655" s="12" t="str">
        <x:v>Hitachi Consulting; Konecranes; Ocwen; AppDirect; TATA elxsi; WNS; Systems Plus; Avaya; CompuCom; Red Hat; Sutherland; Springer Nature; Teradata; Capita; UPS Logistics; HCL; Principal Global Services; Amdocs; EXL; Reflexis; Fico; Mphasis; Varian; Deutsche Bank Group; John Deere; Sybase; BNY Mellon; Dresser Rand; einfochips; Xento; Capgemini</x:v>
      </x:c>
      <x:c r="J655" s="2" t="n">
        <x:v>31</x:v>
      </x:c>
      <x:c r="K655" s="12" t="str">
        <x:v>Campus/portfolio roster; individual building occupancy unverified</x:v>
      </x:c>
      <x:c r="L655" s="12" t="str">
        <x:v>IT &amp; digital; Finance &amp; insurance; Engineering &amp; manufacturing; Healthcare &amp; life sciences; Education; Trade, consumer &amp; logistics</x:v>
      </x:c>
      <x:c r="M655" s="12" t="str">
        <x:v>Small-scale prospects; Large enterprise; Mixed business audience</x:v>
      </x:c>
      <x:c r="N655" s="12" t="str">
        <x:v>PARTNER-M252</x:v>
      </x:c>
      <x:c r="O655" s="13"/>
      <x:c r="P655" s="13"/>
      <x:c r="Q655" s="2" t="str"/>
      <x:c r="R655"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S655" s="12" t="str">
        <x:v>IT and enterprise campus</x:v>
      </x:c>
      <x:c r="T655" s="12" t="str">
        <x:v>Tenant business-type estimates and reviewed company-scale context.</x:v>
      </x:c>
    </x:row>
    <x:row r="656" ht="75" customHeight="1">
      <x:c r="A656" s="10" t="n">
        <x:v>1</x:v>
      </x:c>
      <x:c r="B656" s="2" t="str">
        <x:v>CORP-0674</x:v>
      </x:c>
      <x:c r="C656" s="2" t="str">
        <x:v>Pune</x:v>
      </x:c>
      <x:c r="D656" s="2" t="str"/>
      <x:c r="E656" s="12" t="str">
        <x:v>Magarpatta Cyberpark</x:v>
      </x:c>
      <x:c r="F656" s="12" t="str">
        <x:v>Entry/Exit - Main Lobby Tower 10</x:v>
      </x:c>
      <x:c r="G656" s="11" t="n">
        <x:v>1</x:v>
      </x:c>
      <x:c r="H656" s="2" t="str">
        <x:v>55 inch</x:v>
      </x:c>
      <x:c r="I656" s="12" t="str">
        <x:v>Hitachi Consulting; Konecranes; Ocwen; AppDirect; TATA elxsi; WNS; Systems Plus; Avaya; CompuCom; Red Hat; Sutherland; Springer Nature; Teradata; Capita; UPS Logistics; HCL; Principal Global Services; Amdocs; EXL; Reflexis; Fico; Mphasis; Varian; Deutsche Bank Group; John Deere; Sybase; BNY Mellon; Dresser Rand; einfochips; Xento; Capgemini</x:v>
      </x:c>
      <x:c r="J656" s="2" t="n">
        <x:v>31</x:v>
      </x:c>
      <x:c r="K656" s="12" t="str">
        <x:v>Campus/portfolio roster; individual building occupancy unverified</x:v>
      </x:c>
      <x:c r="L656" s="12" t="str">
        <x:v>IT &amp; digital; Finance &amp; insurance; Engineering &amp; manufacturing; Healthcare &amp; life sciences; Education; Trade, consumer &amp; logistics</x:v>
      </x:c>
      <x:c r="M656" s="12" t="str">
        <x:v>Small-scale prospects; Large enterprise; Mixed business audience</x:v>
      </x:c>
      <x:c r="N656" s="12" t="str">
        <x:v>PARTNER-M252</x:v>
      </x:c>
      <x:c r="O656" s="13"/>
      <x:c r="P656" s="13"/>
      <x:c r="Q656" s="2" t="str"/>
      <x:c r="R656"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S656" s="12" t="str">
        <x:v>IT and enterprise campus</x:v>
      </x:c>
      <x:c r="T656" s="12" t="str">
        <x:v>Tenant business-type estimates and reviewed company-scale context.</x:v>
      </x:c>
    </x:row>
    <x:row r="657" ht="75" customHeight="1">
      <x:c r="A657" s="10" t="n">
        <x:v>1</x:v>
      </x:c>
      <x:c r="B657" s="2" t="str">
        <x:v>CORP-0675</x:v>
      </x:c>
      <x:c r="C657" s="2" t="str">
        <x:v>Pune</x:v>
      </x:c>
      <x:c r="D657" s="2" t="str"/>
      <x:c r="E657" s="12" t="str">
        <x:v>Magarpatta Cyberpark</x:v>
      </x:c>
      <x:c r="F657" s="12" t="str">
        <x:v>Entry/Exit - Main Lobby Tower 11</x:v>
      </x:c>
      <x:c r="G657" s="11" t="n">
        <x:v>1</x:v>
      </x:c>
      <x:c r="H657" s="2" t="str">
        <x:v>55 inch</x:v>
      </x:c>
      <x:c r="I657" s="12" t="str">
        <x:v>Hitachi Consulting; Konecranes; Ocwen; AppDirect; TATA elxsi; WNS; Systems Plus; Avaya; CompuCom; Red Hat; Sutherland; Springer Nature; Teradata; Capita; UPS Logistics; HCL; Principal Global Services; Amdocs; EXL; Reflexis; Fico; Mphasis; Varian; Deutsche Bank Group; John Deere; Sybase; BNY Mellon; Dresser Rand; einfochips; Xento; Capgemini</x:v>
      </x:c>
      <x:c r="J657" s="2" t="n">
        <x:v>31</x:v>
      </x:c>
      <x:c r="K657" s="12" t="str">
        <x:v>Campus/portfolio roster; individual building occupancy unverified</x:v>
      </x:c>
      <x:c r="L657" s="12" t="str">
        <x:v>IT &amp; digital; Finance &amp; insurance; Engineering &amp; manufacturing; Healthcare &amp; life sciences; Education; Trade, consumer &amp; logistics</x:v>
      </x:c>
      <x:c r="M657" s="12" t="str">
        <x:v>Small-scale prospects; Large enterprise; Mixed business audience</x:v>
      </x:c>
      <x:c r="N657" s="12" t="str">
        <x:v>PARTNER-M252</x:v>
      </x:c>
      <x:c r="O657" s="13"/>
      <x:c r="P657" s="13"/>
      <x:c r="Q657" s="2" t="str"/>
      <x:c r="R657"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S657" s="12" t="str">
        <x:v>IT and enterprise campus</x:v>
      </x:c>
      <x:c r="T657" s="12" t="str">
        <x:v>Tenant business-type estimates and reviewed company-scale context.</x:v>
      </x:c>
    </x:row>
    <x:row r="658" ht="75" customHeight="1">
      <x:c r="A658" s="10" t="n">
        <x:v>1</x:v>
      </x:c>
      <x:c r="B658" s="2" t="str">
        <x:v>CORP-0676</x:v>
      </x:c>
      <x:c r="C658" s="2" t="str">
        <x:v>Pune</x:v>
      </x:c>
      <x:c r="D658" s="2" t="str"/>
      <x:c r="E658" s="12" t="str">
        <x:v>Magarpatta Cyberpark</x:v>
      </x:c>
      <x:c r="F658" s="12" t="str">
        <x:v>Entry/Exit - Main Lobby Tower 12</x:v>
      </x:c>
      <x:c r="G658" s="11" t="n">
        <x:v>1</x:v>
      </x:c>
      <x:c r="H658" s="2" t="str">
        <x:v>55 inch</x:v>
      </x:c>
      <x:c r="I658" s="12" t="str">
        <x:v>Hitachi Consulting; Konecranes; Ocwen; AppDirect; TATA elxsi; WNS; Systems Plus; Avaya; CompuCom; Red Hat; Sutherland; Springer Nature; Teradata; Capita; UPS Logistics; HCL; Principal Global Services; Amdocs; EXL; Reflexis; Fico; Mphasis; Varian; Deutsche Bank Group; John Deere; Sybase; BNY Mellon; Dresser Rand; einfochips; Xento; Capgemini</x:v>
      </x:c>
      <x:c r="J658" s="2" t="n">
        <x:v>31</x:v>
      </x:c>
      <x:c r="K658" s="12" t="str">
        <x:v>Campus/portfolio roster; individual building occupancy unverified</x:v>
      </x:c>
      <x:c r="L658" s="12" t="str">
        <x:v>IT &amp; digital; Finance &amp; insurance; Engineering &amp; manufacturing; Healthcare &amp; life sciences; Education; Trade, consumer &amp; logistics</x:v>
      </x:c>
      <x:c r="M658" s="12" t="str">
        <x:v>Small-scale prospects; Large enterprise; Mixed business audience</x:v>
      </x:c>
      <x:c r="N658" s="12" t="str">
        <x:v>PARTNER-M252</x:v>
      </x:c>
      <x:c r="O658" s="13"/>
      <x:c r="P658" s="13"/>
      <x:c r="Q658" s="2" t="str"/>
      <x:c r="R658" s="2" t="str">
        <x:v>TEN-028810317654; TEN-0392C3B9EE62; TEN-0C4F9F7327E1; TEN-37A9A152C42F; TEN-45D9225952C7; TEN-6CA190D5260C; TEN-6CE8BB6DCAD7; TEN-7DE355F41161; TEN-866F70D2D0FF; TEN-8DFE5E6CF73B; TEN-97ED95A681B4; TEN-9CF1F6CEECDE; TEN-9CF8C9635F36; TEN-AAF6BBA77E60; TEN-AB768939C131; TEN-ACFE8450840B; TEN-B2036C6D16F6; TEN-B5F5468E9428; TEN-B7BEA343B08C; TEN-BD31900BEB43; TEN-BE37BBF098BB; TEN-C63AC00C4D11; TEN-C7CD4D8C8E32; TEN-E57E81EFDBB1; TEN-E58C9634BF3A; TEN-E73C14AD497C; TEN-E9992F5DAD60; TEN-EA6BCE5F47CF; TEN-EAF4D7735EC1; TEN-ED7BECFECA72; TEN-F55A85B2F2EB</x:v>
      </x:c>
      <x:c r="S658" s="12" t="str">
        <x:v>IT and enterprise campus</x:v>
      </x:c>
      <x:c r="T658" s="12" t="str">
        <x:v>Tenant business-type estimates and reviewed company-scale context.</x:v>
      </x:c>
    </x:row>
    <x:row r="659" ht="101" customHeight="1">
      <x:c r="A659" s="10" t="n">
        <x:v>1</x:v>
      </x:c>
      <x:c r="B659" s="2" t="str">
        <x:v>CORP-0677</x:v>
      </x:c>
      <x:c r="C659" s="2" t="str">
        <x:v>Pune</x:v>
      </x:c>
      <x:c r="D659" s="2" t="str"/>
      <x:c r="E659" s="12" t="str">
        <x:v>Pentagon Towers</x:v>
      </x:c>
      <x:c r="F659" s="12" t="str">
        <x:v>Pentagon Tower 1</x:v>
      </x:c>
      <x:c r="G659" s="11" t="n">
        <x:v>1</x:v>
      </x:c>
      <x:c r="H659" s="2" t="str">
        <x:v>55 inch</x:v>
      </x:c>
      <x:c r="I659" s="12" t="str">
        <x:v>PCS IT Solutions Private Limited; Sanganaky Technology; Spectraforce Technologies (India) Pvt. Ltd; Datafortune Software Solutions Pvt. Ltd; Neova Solutions; Schreiber Dynamix Dairies Pvt Ltd; Mobikode Software Private Limited; Datart Infotech LLP; Honeywell Automation India Ltd; ITC Ltd; Collabera Technologies Pvt. Ltd; Simplify Healthcare; Katalyst Technologies Inc; Testrig Technologies; Gagstek Solutions Private Limited; Knight Frank India Pvt Ltd; ALKYL AMINES CHEMICALS LTD MAGARPATTA</x:v>
      </x:c>
      <x:c r="J659" s="2" t="n">
        <x:v>17</x:v>
      </x:c>
      <x:c r="K659" s="12" t="str">
        <x:v>Campus/portfolio roster; individual building occupancy unverified</x:v>
      </x:c>
      <x:c r="L659" s="12" t="str">
        <x:v>IT &amp; digital; Professional services; Engineering &amp; manufacturing; Healthcare &amp; life sciences; Trade, consumer &amp; logistics; Unresolved</x:v>
      </x:c>
      <x:c r="M659" s="12" t="str">
        <x:v>Small-scale prospects; Large enterprise; Mixed business audience</x:v>
      </x:c>
      <x:c r="N659" s="12" t="str">
        <x:v>PARTNER-M261</x:v>
      </x:c>
      <x:c r="O659" s="13"/>
      <x:c r="P659" s="13"/>
      <x:c r="Q659" s="2" t="str"/>
      <x:c r="R659" s="2" t="str">
        <x:v>TEN-00C591B91416; TEN-039E9F1061C0; TEN-054BC589EE9E; TEN-06B74412C407; TEN-2CD498D73600; TEN-383935C4C9A2; TEN-52E2D5DE0876; TEN-58530B1CAB5C; TEN-7AA45DEA8180; TEN-8C7EAEEF1D2A; TEN-943DC3AC657A; TEN-B261335C03A3; TEN-BC0E58C3E04D; TEN-D9B515FBCE89; TEN-EA1A932C99A1; TEN-EB22DF2431C9; TEN-FB0329803647</x:v>
      </x:c>
      <x:c r="S659" s="12" t="str">
        <x:v>Mixed commercial workplace</x:v>
      </x:c>
      <x:c r="T659" s="12" t="str">
        <x:v>Tenant business-type estimates and reviewed company-scale context.</x:v>
      </x:c>
    </x:row>
    <x:row r="660" ht="101" customHeight="1">
      <x:c r="A660" s="10" t="n">
        <x:v>1</x:v>
      </x:c>
      <x:c r="B660" s="2" t="str">
        <x:v>CORP-0678</x:v>
      </x:c>
      <x:c r="C660" s="2" t="str">
        <x:v>Pune</x:v>
      </x:c>
      <x:c r="D660" s="2" t="str"/>
      <x:c r="E660" s="12" t="str">
        <x:v>Pentagon Towers</x:v>
      </x:c>
      <x:c r="F660" s="12" t="str">
        <x:v>Pentagon Tower 2</x:v>
      </x:c>
      <x:c r="G660" s="11" t="n">
        <x:v>1</x:v>
      </x:c>
      <x:c r="H660" s="2" t="str">
        <x:v>55 inch</x:v>
      </x:c>
      <x:c r="I660" s="12" t="str">
        <x:v>PCS IT Solutions Private Limited; Sanganaky Technology; Spectraforce Technologies (India) Pvt. Ltd; Datafortune Software Solutions Pvt. Ltd; Neova Solutions; Schreiber Dynamix Dairies Pvt Ltd; Mobikode Software Private Limited; Datart Infotech LLP; Honeywell Automation India Ltd; ITC Ltd; Collabera Technologies Pvt. Ltd; Simplify Healthcare; Katalyst Technologies Inc; Testrig Technologies; Gagstek Solutions Private Limited; Knight Frank India Pvt Ltd; ALKYL AMINES CHEMICALS LTD MAGARPATTA</x:v>
      </x:c>
      <x:c r="J660" s="2" t="n">
        <x:v>17</x:v>
      </x:c>
      <x:c r="K660" s="12" t="str">
        <x:v>Campus/portfolio roster; individual building occupancy unverified</x:v>
      </x:c>
      <x:c r="L660" s="12" t="str">
        <x:v>IT &amp; digital; Professional services; Engineering &amp; manufacturing; Healthcare &amp; life sciences; Trade, consumer &amp; logistics; Unresolved</x:v>
      </x:c>
      <x:c r="M660" s="12" t="str">
        <x:v>Small-scale prospects; Large enterprise; Mixed business audience</x:v>
      </x:c>
      <x:c r="N660" s="12" t="str">
        <x:v>PARTNER-M261</x:v>
      </x:c>
      <x:c r="O660" s="13"/>
      <x:c r="P660" s="13"/>
      <x:c r="Q660" s="2" t="str"/>
      <x:c r="R660" s="2" t="str">
        <x:v>TEN-00C591B91416; TEN-039E9F1061C0; TEN-054BC589EE9E; TEN-06B74412C407; TEN-2CD498D73600; TEN-383935C4C9A2; TEN-52E2D5DE0876; TEN-58530B1CAB5C; TEN-7AA45DEA8180; TEN-8C7EAEEF1D2A; TEN-943DC3AC657A; TEN-B261335C03A3; TEN-BC0E58C3E04D; TEN-D9B515FBCE89; TEN-EA1A932C99A1; TEN-EB22DF2431C9; TEN-FB0329803647</x:v>
      </x:c>
      <x:c r="S660" s="12" t="str">
        <x:v>Mixed commercial workplace</x:v>
      </x:c>
      <x:c r="T660" s="12" t="str">
        <x:v>Tenant business-type estimates and reviewed company-scale context.</x:v>
      </x:c>
    </x:row>
    <x:row r="661" ht="101" customHeight="1">
      <x:c r="A661" s="10" t="n">
        <x:v>1</x:v>
      </x:c>
      <x:c r="B661" s="2" t="str">
        <x:v>CORP-0679</x:v>
      </x:c>
      <x:c r="C661" s="2" t="str">
        <x:v>Pune</x:v>
      </x:c>
      <x:c r="D661" s="2" t="str"/>
      <x:c r="E661" s="12" t="str">
        <x:v>Pentagon Towers</x:v>
      </x:c>
      <x:c r="F661" s="12" t="str">
        <x:v>Pentagon Tower 3</x:v>
      </x:c>
      <x:c r="G661" s="11" t="n">
        <x:v>1</x:v>
      </x:c>
      <x:c r="H661" s="2" t="str">
        <x:v>55 inch</x:v>
      </x:c>
      <x:c r="I661" s="12" t="str">
        <x:v>PCS IT Solutions Private Limited; Sanganaky Technology; Spectraforce Technologies (India) Pvt. Ltd; Datafortune Software Solutions Pvt. Ltd; Neova Solutions; Schreiber Dynamix Dairies Pvt Ltd; Mobikode Software Private Limited; Datart Infotech LLP; Honeywell Automation India Ltd; ITC Ltd; Collabera Technologies Pvt. Ltd; Simplify Healthcare; Katalyst Technologies Inc; Testrig Technologies; Gagstek Solutions Private Limited; Knight Frank India Pvt Ltd; ALKYL AMINES CHEMICALS LTD MAGARPATTA</x:v>
      </x:c>
      <x:c r="J661" s="2" t="n">
        <x:v>17</x:v>
      </x:c>
      <x:c r="K661" s="12" t="str">
        <x:v>Campus/portfolio roster; individual building occupancy unverified</x:v>
      </x:c>
      <x:c r="L661" s="12" t="str">
        <x:v>IT &amp; digital; Professional services; Engineering &amp; manufacturing; Healthcare &amp; life sciences; Trade, consumer &amp; logistics; Unresolved</x:v>
      </x:c>
      <x:c r="M661" s="12" t="str">
        <x:v>Small-scale prospects; Large enterprise; Mixed business audience</x:v>
      </x:c>
      <x:c r="N661" s="12" t="str">
        <x:v>PARTNER-M261</x:v>
      </x:c>
      <x:c r="O661" s="13"/>
      <x:c r="P661" s="13"/>
      <x:c r="Q661" s="2" t="str"/>
      <x:c r="R661" s="2" t="str">
        <x:v>TEN-00C591B91416; TEN-039E9F1061C0; TEN-054BC589EE9E; TEN-06B74412C407; TEN-2CD498D73600; TEN-383935C4C9A2; TEN-52E2D5DE0876; TEN-58530B1CAB5C; TEN-7AA45DEA8180; TEN-8C7EAEEF1D2A; TEN-943DC3AC657A; TEN-B261335C03A3; TEN-BC0E58C3E04D; TEN-D9B515FBCE89; TEN-EA1A932C99A1; TEN-EB22DF2431C9; TEN-FB0329803647</x:v>
      </x:c>
      <x:c r="S661" s="12" t="str">
        <x:v>Mixed commercial workplace</x:v>
      </x:c>
      <x:c r="T661" s="12" t="str">
        <x:v>Tenant business-type estimates and reviewed company-scale context.</x:v>
      </x:c>
    </x:row>
    <x:row r="662" ht="101" customHeight="1">
      <x:c r="A662" s="10" t="n">
        <x:v>1</x:v>
      </x:c>
      <x:c r="B662" s="2" t="str">
        <x:v>CORP-0680</x:v>
      </x:c>
      <x:c r="C662" s="2" t="str">
        <x:v>Pune</x:v>
      </x:c>
      <x:c r="D662" s="2" t="str"/>
      <x:c r="E662" s="12" t="str">
        <x:v>Pentagon Towers</x:v>
      </x:c>
      <x:c r="F662" s="12" t="str">
        <x:v>Pentagon Tower 4</x:v>
      </x:c>
      <x:c r="G662" s="11" t="n">
        <x:v>1</x:v>
      </x:c>
      <x:c r="H662" s="2" t="str">
        <x:v>55 inch</x:v>
      </x:c>
      <x:c r="I662" s="12" t="str">
        <x:v>PCS IT Solutions Private Limited; Sanganaky Technology; Spectraforce Technologies (India) Pvt. Ltd; Datafortune Software Solutions Pvt. Ltd; Neova Solutions; Schreiber Dynamix Dairies Pvt Ltd; Mobikode Software Private Limited; Datart Infotech LLP; Honeywell Automation India Ltd; ITC Ltd; Collabera Technologies Pvt. Ltd; Simplify Healthcare; Katalyst Technologies Inc; Testrig Technologies; Gagstek Solutions Private Limited; Knight Frank India Pvt Ltd; ALKYL AMINES CHEMICALS LTD MAGARPATTA</x:v>
      </x:c>
      <x:c r="J662" s="2" t="n">
        <x:v>17</x:v>
      </x:c>
      <x:c r="K662" s="12" t="str">
        <x:v>Campus/portfolio roster; individual building occupancy unverified</x:v>
      </x:c>
      <x:c r="L662" s="12" t="str">
        <x:v>IT &amp; digital; Professional services; Engineering &amp; manufacturing; Healthcare &amp; life sciences; Trade, consumer &amp; logistics; Unresolved</x:v>
      </x:c>
      <x:c r="M662" s="12" t="str">
        <x:v>Small-scale prospects; Large enterprise; Mixed business audience</x:v>
      </x:c>
      <x:c r="N662" s="12" t="str">
        <x:v>PARTNER-M261</x:v>
      </x:c>
      <x:c r="O662" s="13"/>
      <x:c r="P662" s="13"/>
      <x:c r="Q662" s="2" t="str"/>
      <x:c r="R662" s="2" t="str">
        <x:v>TEN-00C591B91416; TEN-039E9F1061C0; TEN-054BC589EE9E; TEN-06B74412C407; TEN-2CD498D73600; TEN-383935C4C9A2; TEN-52E2D5DE0876; TEN-58530B1CAB5C; TEN-7AA45DEA8180; TEN-8C7EAEEF1D2A; TEN-943DC3AC657A; TEN-B261335C03A3; TEN-BC0E58C3E04D; TEN-D9B515FBCE89; TEN-EA1A932C99A1; TEN-EB22DF2431C9; TEN-FB0329803647</x:v>
      </x:c>
      <x:c r="S662" s="12" t="str">
        <x:v>Mixed commercial workplace</x:v>
      </x:c>
      <x:c r="T662" s="12" t="str">
        <x:v>Tenant business-type estimates and reviewed company-scale context.</x:v>
      </x:c>
    </x:row>
    <x:row r="663" ht="64" customHeight="1">
      <x:c r="A663" s="10" t="n">
        <x:v>1</x:v>
      </x:c>
      <x:c r="B663" s="2" t="str">
        <x:v>CORP-0681</x:v>
      </x:c>
      <x:c r="C663" s="2" t="str">
        <x:v>Pune</x:v>
      </x:c>
      <x:c r="D663" s="2" t="str"/>
      <x:c r="E663" s="12" t="str">
        <x:v>Symphony IT Park</x:v>
      </x:c>
      <x:c r="F663" s="12" t="str">
        <x:v>Entry/ Exit - Food Court</x:v>
      </x:c>
      <x:c r="G663" s="11" t="n">
        <x:v>1</x:v>
      </x:c>
      <x:c r="H663" s="2" t="str">
        <x:v>55 inch</x:v>
      </x:c>
      <x:c r="I663" s="12" t="str">
        <x:v>Impexsoft Solutions; TopMentor; PTD Cleantech Solutions Pvt. Ltd; Edel Tech Pvt. Ltd (SAP descriptor); Investstocks; Toll Technology Centre; FIGmd (India) Pvt. Ltd; Infinite Science Technologies; PrimaVerse IDC LLP</x:v>
      </x:c>
      <x:c r="J663" s="2" t="n">
        <x:v>9</x:v>
      </x:c>
      <x:c r="K663" s="12" t="str">
        <x:v>Campus/portfolio roster; individual building occupancy unverified</x:v>
      </x:c>
      <x:c r="L663" s="12" t="str">
        <x:v>IT &amp; digital; Finance &amp; insurance; Engineering &amp; manufacturing; Education; Unresolved</x:v>
      </x:c>
      <x:c r="M663" s="12" t="str">
        <x:v>Small-scale prospects; Medium-scale prospects; Mixed business audience</x:v>
      </x:c>
      <x:c r="N663" s="12" t="str">
        <x:v>PARTNER-M265</x:v>
      </x:c>
      <x:c r="O663" s="13"/>
      <x:c r="P663" s="13"/>
      <x:c r="Q663" s="2" t="str"/>
      <x:c r="R663" s="2" t="str">
        <x:v>TEN-098B8FDAE5BB; TEN-126A3A0D11EC; TEN-519CA13DFB10; TEN-6BE3112897E4; TEN-77F50C34503B; TEN-888DA7433392; TEN-BE5131973D4C; TEN-DE58C1C49DEE; TEN-F2DEC5F8736B</x:v>
      </x:c>
      <x:c r="S663" s="12" t="str">
        <x:v>IT and enterprise campus</x:v>
      </x:c>
      <x:c r="T663" s="12" t="str">
        <x:v>Tenant business-type estimates and reviewed company-scale context.</x:v>
      </x:c>
    </x:row>
    <x:row r="664" ht="64" customHeight="1">
      <x:c r="A664" s="10" t="n">
        <x:v>1</x:v>
      </x:c>
      <x:c r="B664" s="2" t="str">
        <x:v>CORP-0682</x:v>
      </x:c>
      <x:c r="C664" s="2" t="str">
        <x:v>Pune</x:v>
      </x:c>
      <x:c r="D664" s="2" t="str"/>
      <x:c r="E664" s="12" t="str">
        <x:v>Symphony IT Park</x:v>
      </x:c>
      <x:c r="F664" s="12" t="str">
        <x:v>First floor Elevator Lobby</x:v>
      </x:c>
      <x:c r="G664" s="11" t="n">
        <x:v>1</x:v>
      </x:c>
      <x:c r="H664" s="2" t="str">
        <x:v>55 inch</x:v>
      </x:c>
      <x:c r="I664" s="12" t="str">
        <x:v>Impexsoft Solutions; TopMentor; PTD Cleantech Solutions Pvt. Ltd; Edel Tech Pvt. Ltd (SAP descriptor); Investstocks; Toll Technology Centre; FIGmd (India) Pvt. Ltd; Infinite Science Technologies; PrimaVerse IDC LLP</x:v>
      </x:c>
      <x:c r="J664" s="2" t="n">
        <x:v>9</x:v>
      </x:c>
      <x:c r="K664" s="12" t="str">
        <x:v>Campus/portfolio roster; individual building occupancy unverified</x:v>
      </x:c>
      <x:c r="L664" s="12" t="str">
        <x:v>IT &amp; digital; Finance &amp; insurance; Engineering &amp; manufacturing; Education; Unresolved</x:v>
      </x:c>
      <x:c r="M664" s="12" t="str">
        <x:v>Small-scale prospects; Medium-scale prospects; Mixed business audience</x:v>
      </x:c>
      <x:c r="N664" s="12" t="str">
        <x:v>PARTNER-M265</x:v>
      </x:c>
      <x:c r="O664" s="13"/>
      <x:c r="P664" s="13"/>
      <x:c r="Q664" s="2" t="str"/>
      <x:c r="R664" s="2" t="str">
        <x:v>TEN-098B8FDAE5BB; TEN-126A3A0D11EC; TEN-519CA13DFB10; TEN-6BE3112897E4; TEN-77F50C34503B; TEN-888DA7433392; TEN-BE5131973D4C; TEN-DE58C1C49DEE; TEN-F2DEC5F8736B</x:v>
      </x:c>
      <x:c r="S664" s="12" t="str">
        <x:v>IT and enterprise campus</x:v>
      </x:c>
      <x:c r="T664" s="12" t="str">
        <x:v>Tenant business-type estimates and reviewed company-scale context.</x:v>
      </x:c>
    </x:row>
    <x:row r="665" ht="64" customHeight="1">
      <x:c r="A665" s="10" t="n">
        <x:v>1</x:v>
      </x:c>
      <x:c r="B665" s="2" t="str">
        <x:v>CORP-0683</x:v>
      </x:c>
      <x:c r="C665" s="2" t="str">
        <x:v>Pune</x:v>
      </x:c>
      <x:c r="D665" s="2" t="str"/>
      <x:c r="E665" s="12" t="str">
        <x:v>Symphony IT Park</x:v>
      </x:c>
      <x:c r="F665" s="12" t="str">
        <x:v>Food Court</x:v>
      </x:c>
      <x:c r="G665" s="11" t="n">
        <x:v>1</x:v>
      </x:c>
      <x:c r="H665" s="2" t="str">
        <x:v>55 inch</x:v>
      </x:c>
      <x:c r="I665" s="12" t="str">
        <x:v>Impexsoft Solutions; TopMentor; PTD Cleantech Solutions Pvt. Ltd; Edel Tech Pvt. Ltd (SAP descriptor); Investstocks; Toll Technology Centre; FIGmd (India) Pvt. Ltd; Infinite Science Technologies; PrimaVerse IDC LLP</x:v>
      </x:c>
      <x:c r="J665" s="2" t="n">
        <x:v>9</x:v>
      </x:c>
      <x:c r="K665" s="12" t="str">
        <x:v>Campus/portfolio roster; individual building occupancy unverified</x:v>
      </x:c>
      <x:c r="L665" s="12" t="str">
        <x:v>IT &amp; digital; Finance &amp; insurance; Engineering &amp; manufacturing; Education; Unresolved</x:v>
      </x:c>
      <x:c r="M665" s="12" t="str">
        <x:v>Small-scale prospects; Medium-scale prospects; Mixed business audience</x:v>
      </x:c>
      <x:c r="N665" s="12" t="str">
        <x:v>PARTNER-M265</x:v>
      </x:c>
      <x:c r="O665" s="13"/>
      <x:c r="P665" s="13"/>
      <x:c r="Q665" s="2" t="str"/>
      <x:c r="R665" s="2" t="str">
        <x:v>TEN-098B8FDAE5BB; TEN-126A3A0D11EC; TEN-519CA13DFB10; TEN-6BE3112897E4; TEN-77F50C34503B; TEN-888DA7433392; TEN-BE5131973D4C; TEN-DE58C1C49DEE; TEN-F2DEC5F8736B</x:v>
      </x:c>
      <x:c r="S665" s="12" t="str">
        <x:v>IT and enterprise campus</x:v>
      </x:c>
      <x:c r="T665" s="12" t="str">
        <x:v>Tenant business-type estimates and reviewed company-scale context.</x:v>
      </x:c>
    </x:row>
    <x:row r="666" ht="64" customHeight="1">
      <x:c r="A666" s="10" t="n">
        <x:v>1</x:v>
      </x:c>
      <x:c r="B666" s="2" t="str">
        <x:v>CORP-0684</x:v>
      </x:c>
      <x:c r="C666" s="2" t="str">
        <x:v>Pune</x:v>
      </x:c>
      <x:c r="D666" s="2" t="str"/>
      <x:c r="E666" s="12" t="str">
        <x:v>ICC Tech Park</x:v>
      </x:c>
      <x:c r="F666" s="12" t="str">
        <x:v>Main Lobby Entry</x:v>
      </x:c>
      <x:c r="G666" s="11" t="n">
        <x:v>1</x:v>
      </x:c>
      <x:c r="H666" s="2" t="str">
        <x:v>55 inch</x:v>
      </x:c>
      <x:c r="I666" s="12" t="str">
        <x:v>Digitide Solutions Limited; Visteon Technical And Services Center; Adient Automotive Ltd; INITIA; Mitsubishi Electric India Private Limited; Philips India Limited; Yanfeng India Automotive Interiors Systems Pvt. Ltd; Hinduja Tech Limited; Rolls Royce Power Systems; CREAT - UNO MINDA Enterprise; Harman</x:v>
      </x:c>
      <x:c r="J666" s="2" t="n">
        <x:v>11</x:v>
      </x:c>
      <x:c r="K666" s="12" t="str">
        <x:v>Campus/portfolio roster; individual building occupancy unverified</x:v>
      </x:c>
      <x:c r="L666" s="12" t="str">
        <x:v>IT &amp; digital; Professional services; Engineering &amp; manufacturing; Unresolved</x:v>
      </x:c>
      <x:c r="M666" s="12" t="str">
        <x:v>Large enterprise; Mixed business audience</x:v>
      </x:c>
      <x:c r="N666" s="12" t="str">
        <x:v>PARTNER-M268</x:v>
      </x:c>
      <x:c r="O666" s="13"/>
      <x:c r="P666" s="13"/>
      <x:c r="Q666" s="2" t="str"/>
      <x:c r="R666" s="2" t="str">
        <x:v>TEN-0F34FE7346AD; TEN-25F7C5FC4BE0; TEN-282C78C55341; TEN-5DB1442E6DC0; TEN-6DEBCA323DCB; TEN-8461E0C288B0; TEN-8E46D37012AB; TEN-961C7963E78A; TEN-DB33228CD9A7; TEN-DD5A43C002F0; TEN-EA7C003B3B0A</x:v>
      </x:c>
      <x:c r="S666" s="12" t="str">
        <x:v>IT and enterprise campus</x:v>
      </x:c>
      <x:c r="T666" s="12" t="str">
        <x:v>Tenant business-type estimates and reviewed company-scale context.</x:v>
      </x:c>
    </x:row>
    <x:row r="667" ht="64" customHeight="1">
      <x:c r="A667" s="10" t="n">
        <x:v>1</x:v>
      </x:c>
      <x:c r="B667" s="2" t="str">
        <x:v>CORP-0685</x:v>
      </x:c>
      <x:c r="C667" s="2" t="str">
        <x:v>Pune</x:v>
      </x:c>
      <x:c r="D667" s="2" t="str"/>
      <x:c r="E667" s="12" t="str">
        <x:v>ICC Tech Park</x:v>
      </x:c>
      <x:c r="F667" s="12" t="str">
        <x:v>Atrium 1</x:v>
      </x:c>
      <x:c r="G667" s="11" t="n">
        <x:v>1</x:v>
      </x:c>
      <x:c r="H667" s="2" t="str">
        <x:v>55 inch</x:v>
      </x:c>
      <x:c r="I667" s="12" t="str">
        <x:v>Digitide Solutions Limited; Visteon Technical And Services Center; Adient Automotive Ltd; INITIA; Mitsubishi Electric India Private Limited; Philips India Limited; Yanfeng India Automotive Interiors Systems Pvt. Ltd; Hinduja Tech Limited; Rolls Royce Power Systems; CREAT - UNO MINDA Enterprise; Harman</x:v>
      </x:c>
      <x:c r="J667" s="2" t="n">
        <x:v>11</x:v>
      </x:c>
      <x:c r="K667" s="12" t="str">
        <x:v>Campus/portfolio roster; individual building occupancy unverified</x:v>
      </x:c>
      <x:c r="L667" s="12" t="str">
        <x:v>IT &amp; digital; Professional services; Engineering &amp; manufacturing; Unresolved</x:v>
      </x:c>
      <x:c r="M667" s="12" t="str">
        <x:v>Large enterprise; Mixed business audience</x:v>
      </x:c>
      <x:c r="N667" s="12" t="str">
        <x:v>PARTNER-M268</x:v>
      </x:c>
      <x:c r="O667" s="13"/>
      <x:c r="P667" s="13"/>
      <x:c r="Q667" s="2" t="str"/>
      <x:c r="R667" s="2" t="str">
        <x:v>TEN-0F34FE7346AD; TEN-25F7C5FC4BE0; TEN-282C78C55341; TEN-5DB1442E6DC0; TEN-6DEBCA323DCB; TEN-8461E0C288B0; TEN-8E46D37012AB; TEN-961C7963E78A; TEN-DB33228CD9A7; TEN-DD5A43C002F0; TEN-EA7C003B3B0A</x:v>
      </x:c>
      <x:c r="S667" s="12" t="str">
        <x:v>IT and enterprise campus</x:v>
      </x:c>
      <x:c r="T667" s="12" t="str">
        <x:v>Tenant business-type estimates and reviewed company-scale context.</x:v>
      </x:c>
    </x:row>
    <x:row r="668" ht="64" customHeight="1">
      <x:c r="A668" s="10" t="n">
        <x:v>1</x:v>
      </x:c>
      <x:c r="B668" s="2" t="str">
        <x:v>CORP-0686</x:v>
      </x:c>
      <x:c r="C668" s="2" t="str">
        <x:v>Pune</x:v>
      </x:c>
      <x:c r="D668" s="2" t="str"/>
      <x:c r="E668" s="12" t="str">
        <x:v>ICC Tech Park</x:v>
      </x:c>
      <x:c r="F668" s="12" t="str">
        <x:v>Atrium 2</x:v>
      </x:c>
      <x:c r="G668" s="11" t="n">
        <x:v>1</x:v>
      </x:c>
      <x:c r="H668" s="2" t="str">
        <x:v>55 inch</x:v>
      </x:c>
      <x:c r="I668" s="12" t="str">
        <x:v>Digitide Solutions Limited; Visteon Technical And Services Center; Adient Automotive Ltd; INITIA; Mitsubishi Electric India Private Limited; Philips India Limited; Yanfeng India Automotive Interiors Systems Pvt. Ltd; Hinduja Tech Limited; Rolls Royce Power Systems; CREAT - UNO MINDA Enterprise; Harman</x:v>
      </x:c>
      <x:c r="J668" s="2" t="n">
        <x:v>11</x:v>
      </x:c>
      <x:c r="K668" s="12" t="str">
        <x:v>Campus/portfolio roster; individual building occupancy unverified</x:v>
      </x:c>
      <x:c r="L668" s="12" t="str">
        <x:v>IT &amp; digital; Professional services; Engineering &amp; manufacturing; Unresolved</x:v>
      </x:c>
      <x:c r="M668" s="12" t="str">
        <x:v>Large enterprise; Mixed business audience</x:v>
      </x:c>
      <x:c r="N668" s="12" t="str">
        <x:v>PARTNER-M268</x:v>
      </x:c>
      <x:c r="O668" s="13"/>
      <x:c r="P668" s="13"/>
      <x:c r="Q668" s="2" t="str"/>
      <x:c r="R668" s="2" t="str">
        <x:v>TEN-0F34FE7346AD; TEN-25F7C5FC4BE0; TEN-282C78C55341; TEN-5DB1442E6DC0; TEN-6DEBCA323DCB; TEN-8461E0C288B0; TEN-8E46D37012AB; TEN-961C7963E78A; TEN-DB33228CD9A7; TEN-DD5A43C002F0; TEN-EA7C003B3B0A</x:v>
      </x:c>
      <x:c r="S668" s="12" t="str">
        <x:v>IT and enterprise campus</x:v>
      </x:c>
      <x:c r="T668" s="12" t="str">
        <x:v>Tenant business-type estimates and reviewed company-scale context.</x:v>
      </x:c>
    </x:row>
    <x:row r="669" ht="64" customHeight="1">
      <x:c r="A669" s="10" t="n">
        <x:v>1</x:v>
      </x:c>
      <x:c r="B669" s="2" t="str">
        <x:v>CORP-0687</x:v>
      </x:c>
      <x:c r="C669" s="2" t="str">
        <x:v>Pune</x:v>
      </x:c>
      <x:c r="D669" s="2" t="str"/>
      <x:c r="E669" s="12" t="str">
        <x:v>ICC Tech Park</x:v>
      </x:c>
      <x:c r="F669" s="12" t="str">
        <x:v>Elevator Lobby</x:v>
      </x:c>
      <x:c r="G669" s="11" t="n">
        <x:v>1</x:v>
      </x:c>
      <x:c r="H669" s="2" t="str">
        <x:v>55 inch</x:v>
      </x:c>
      <x:c r="I669" s="12" t="str">
        <x:v>Digitide Solutions Limited; Visteon Technical And Services Center; Adient Automotive Ltd; INITIA; Mitsubishi Electric India Private Limited; Philips India Limited; Yanfeng India Automotive Interiors Systems Pvt. Ltd; Hinduja Tech Limited; Rolls Royce Power Systems; CREAT - UNO MINDA Enterprise; Harman</x:v>
      </x:c>
      <x:c r="J669" s="2" t="n">
        <x:v>11</x:v>
      </x:c>
      <x:c r="K669" s="12" t="str">
        <x:v>Campus/portfolio roster; individual building occupancy unverified</x:v>
      </x:c>
      <x:c r="L669" s="12" t="str">
        <x:v>IT &amp; digital; Professional services; Engineering &amp; manufacturing; Unresolved</x:v>
      </x:c>
      <x:c r="M669" s="12" t="str">
        <x:v>Large enterprise; Mixed business audience</x:v>
      </x:c>
      <x:c r="N669" s="12" t="str">
        <x:v>PARTNER-M268</x:v>
      </x:c>
      <x:c r="O669" s="13"/>
      <x:c r="P669" s="13"/>
      <x:c r="Q669" s="2" t="str"/>
      <x:c r="R669" s="2" t="str">
        <x:v>TEN-0F34FE7346AD; TEN-25F7C5FC4BE0; TEN-282C78C55341; TEN-5DB1442E6DC0; TEN-6DEBCA323DCB; TEN-8461E0C288B0; TEN-8E46D37012AB; TEN-961C7963E78A; TEN-DB33228CD9A7; TEN-DD5A43C002F0; TEN-EA7C003B3B0A</x:v>
      </x:c>
      <x:c r="S669" s="12" t="str">
        <x:v>IT and enterprise campus</x:v>
      </x:c>
      <x:c r="T669" s="12" t="str">
        <x:v>Tenant business-type estimates and reviewed company-scale context.</x:v>
      </x:c>
    </x:row>
    <x:row r="670" ht="64" customHeight="1">
      <x:c r="A670" s="10" t="n">
        <x:v>1</x:v>
      </x:c>
      <x:c r="B670" s="2" t="str">
        <x:v>CORP-0688</x:v>
      </x:c>
      <x:c r="C670" s="2" t="str">
        <x:v>Pune</x:v>
      </x:c>
      <x:c r="D670" s="2" t="str"/>
      <x:c r="E670" s="12" t="str">
        <x:v>ICC Tech Park</x:v>
      </x:c>
      <x:c r="F670" s="12" t="str">
        <x:v>Food Court Exit</x:v>
      </x:c>
      <x:c r="G670" s="11" t="n">
        <x:v>1</x:v>
      </x:c>
      <x:c r="H670" s="2" t="str">
        <x:v>55 inch</x:v>
      </x:c>
      <x:c r="I670" s="12" t="str">
        <x:v>Digitide Solutions Limited; Visteon Technical And Services Center; Adient Automotive Ltd; INITIA; Mitsubishi Electric India Private Limited; Philips India Limited; Yanfeng India Automotive Interiors Systems Pvt. Ltd; Hinduja Tech Limited; Rolls Royce Power Systems; CREAT - UNO MINDA Enterprise; Harman</x:v>
      </x:c>
      <x:c r="J670" s="2" t="n">
        <x:v>11</x:v>
      </x:c>
      <x:c r="K670" s="12" t="str">
        <x:v>Campus/portfolio roster; individual building occupancy unverified</x:v>
      </x:c>
      <x:c r="L670" s="12" t="str">
        <x:v>IT &amp; digital; Professional services; Engineering &amp; manufacturing; Unresolved</x:v>
      </x:c>
      <x:c r="M670" s="12" t="str">
        <x:v>Large enterprise; Mixed business audience</x:v>
      </x:c>
      <x:c r="N670" s="12" t="str">
        <x:v>PARTNER-M268</x:v>
      </x:c>
      <x:c r="O670" s="13"/>
      <x:c r="P670" s="13"/>
      <x:c r="Q670" s="2" t="str"/>
      <x:c r="R670" s="2" t="str">
        <x:v>TEN-0F34FE7346AD; TEN-25F7C5FC4BE0; TEN-282C78C55341; TEN-5DB1442E6DC0; TEN-6DEBCA323DCB; TEN-8461E0C288B0; TEN-8E46D37012AB; TEN-961C7963E78A; TEN-DB33228CD9A7; TEN-DD5A43C002F0; TEN-EA7C003B3B0A</x:v>
      </x:c>
      <x:c r="S670" s="12" t="str">
        <x:v>IT and enterprise campus</x:v>
      </x:c>
      <x:c r="T670" s="12" t="str">
        <x:v>Tenant business-type estimates and reviewed company-scale context.</x:v>
      </x:c>
    </x:row>
    <x:row r="671" ht="64" customHeight="1">
      <x:c r="A671" s="10" t="n">
        <x:v>1</x:v>
      </x:c>
      <x:c r="B671" s="2" t="str">
        <x:v>CORP-0689</x:v>
      </x:c>
      <x:c r="C671" s="2" t="str">
        <x:v>Pune</x:v>
      </x:c>
      <x:c r="D671" s="2" t="str"/>
      <x:c r="E671" s="12" t="str">
        <x:v>Nyati Tech Park</x:v>
      </x:c>
      <x:c r="F671" s="12" t="str">
        <x:v>Reception Tower A</x:v>
      </x:c>
      <x:c r="G671" s="11" t="n">
        <x:v>1</x:v>
      </x:c>
      <x:c r="H671" s="2" t="str">
        <x:v>55 inch</x:v>
      </x:c>
      <x:c r="I671" s="12" t="str">
        <x:v>Elmirate; Jade Global Software Pvt; Gsource Technologies; ZenTrades India; Coditas</x:v>
      </x:c>
      <x:c r="J671" s="2" t="n">
        <x:v>5</x:v>
      </x:c>
      <x:c r="K671" s="12" t="str">
        <x:v>Campus/portfolio roster; individual building occupancy unverified</x:v>
      </x:c>
      <x:c r="L671" s="12" t="str">
        <x:v>IT &amp; digital; Unresolved</x:v>
      </x:c>
      <x:c r="M671" s="12" t="str">
        <x:v>Small-scale prospects; Mixed business audience</x:v>
      </x:c>
      <x:c r="N671" s="12" t="str">
        <x:v>PARTNER-M273</x:v>
      </x:c>
      <x:c r="O671" s="13"/>
      <x:c r="P671" s="13"/>
      <x:c r="Q671" s="2" t="str"/>
      <x:c r="R671" s="2" t="str">
        <x:v>TEN-0E1703C24DF3; TEN-B94381F67943; TEN-BB34EFA42885; TEN-CEEB417D463A; TEN-E3B0B0D2C88E</x:v>
      </x:c>
      <x:c r="S671" s="12" t="str">
        <x:v>IT and enterprise campus</x:v>
      </x:c>
      <x:c r="T671" s="12" t="str">
        <x:v>Tenant business-type estimates and reviewed company-scale context.</x:v>
      </x:c>
    </x:row>
    <x:row r="672" ht="64" customHeight="1">
      <x:c r="A672" s="10" t="n">
        <x:v>1</x:v>
      </x:c>
      <x:c r="B672" s="2" t="str">
        <x:v>CORP-0690</x:v>
      </x:c>
      <x:c r="C672" s="2" t="str">
        <x:v>Pune</x:v>
      </x:c>
      <x:c r="D672" s="2" t="str"/>
      <x:c r="E672" s="12" t="str">
        <x:v>Nyati Tech Park</x:v>
      </x:c>
      <x:c r="F672" s="12" t="str">
        <x:v>Reception Tower B</x:v>
      </x:c>
      <x:c r="G672" s="11" t="n">
        <x:v>1</x:v>
      </x:c>
      <x:c r="H672" s="2" t="str">
        <x:v>55 inch</x:v>
      </x:c>
      <x:c r="I672" s="12" t="str">
        <x:v>Elmirate; Jade Global Software Pvt; Gsource Technologies; ZenTrades India; Coditas</x:v>
      </x:c>
      <x:c r="J672" s="2" t="n">
        <x:v>5</x:v>
      </x:c>
      <x:c r="K672" s="12" t="str">
        <x:v>Campus/portfolio roster; individual building occupancy unverified</x:v>
      </x:c>
      <x:c r="L672" s="12" t="str">
        <x:v>IT &amp; digital; Unresolved</x:v>
      </x:c>
      <x:c r="M672" s="12" t="str">
        <x:v>Small-scale prospects; Mixed business audience</x:v>
      </x:c>
      <x:c r="N672" s="12" t="str">
        <x:v>PARTNER-M273</x:v>
      </x:c>
      <x:c r="O672" s="13"/>
      <x:c r="P672" s="13"/>
      <x:c r="Q672" s="2" t="str"/>
      <x:c r="R672" s="2" t="str">
        <x:v>TEN-0E1703C24DF3; TEN-B94381F67943; TEN-BB34EFA42885; TEN-CEEB417D463A; TEN-E3B0B0D2C88E</x:v>
      </x:c>
      <x:c r="S672" s="12" t="str">
        <x:v>IT and enterprise campus</x:v>
      </x:c>
      <x:c r="T672" s="12" t="str">
        <x:v>Tenant business-type estimates and reviewed company-scale context.</x:v>
      </x:c>
    </x:row>
    <x:row r="673" ht="64" customHeight="1">
      <x:c r="A673" s="10" t="n">
        <x:v>1</x:v>
      </x:c>
      <x:c r="B673" s="2" t="str">
        <x:v>CORP-0691</x:v>
      </x:c>
      <x:c r="C673" s="2" t="str">
        <x:v>Pune</x:v>
      </x:c>
      <x:c r="D673" s="2" t="str"/>
      <x:c r="E673" s="12" t="str">
        <x:v>Nyati Tech Park</x:v>
      </x:c>
      <x:c r="F673" s="12" t="str">
        <x:v>Food Court</x:v>
      </x:c>
      <x:c r="G673" s="11" t="n">
        <x:v>1</x:v>
      </x:c>
      <x:c r="H673" s="2" t="str">
        <x:v>55 inch</x:v>
      </x:c>
      <x:c r="I673" s="12" t="str">
        <x:v>Elmirate; Jade Global Software Pvt; Gsource Technologies; ZenTrades India; Coditas</x:v>
      </x:c>
      <x:c r="J673" s="2" t="n">
        <x:v>5</x:v>
      </x:c>
      <x:c r="K673" s="12" t="str">
        <x:v>Campus/portfolio roster; individual building occupancy unverified</x:v>
      </x:c>
      <x:c r="L673" s="12" t="str">
        <x:v>IT &amp; digital; Unresolved</x:v>
      </x:c>
      <x:c r="M673" s="12" t="str">
        <x:v>Small-scale prospects; Mixed business audience</x:v>
      </x:c>
      <x:c r="N673" s="12" t="str">
        <x:v>PARTNER-M273</x:v>
      </x:c>
      <x:c r="O673" s="13"/>
      <x:c r="P673" s="13"/>
      <x:c r="Q673" s="2" t="str"/>
      <x:c r="R673" s="2" t="str">
        <x:v>TEN-0E1703C24DF3; TEN-B94381F67943; TEN-BB34EFA42885; TEN-CEEB417D463A; TEN-E3B0B0D2C88E</x:v>
      </x:c>
      <x:c r="S673" s="12" t="str">
        <x:v>IT and enterprise campus</x:v>
      </x:c>
      <x:c r="T673" s="12" t="str">
        <x:v>Tenant business-type estimates and reviewed company-scale context.</x:v>
      </x:c>
    </x:row>
    <x:row r="674" ht="64" customHeight="1">
      <x:c r="A674" s="10" t="n">
        <x:v>1</x:v>
      </x:c>
      <x:c r="B674" s="2" t="str">
        <x:v>CORP-0692</x:v>
      </x:c>
      <x:c r="C674" s="2" t="str">
        <x:v>Pune</x:v>
      </x:c>
      <x:c r="D674" s="2" t="str"/>
      <x:c r="E674" s="12" t="str">
        <x:v>Nyati Tech Park</x:v>
      </x:c>
      <x:c r="F674" s="12" t="str">
        <x:v>Food Court</x:v>
      </x:c>
      <x:c r="G674" s="11" t="n">
        <x:v>1</x:v>
      </x:c>
      <x:c r="H674" s="2" t="str">
        <x:v>55 inch</x:v>
      </x:c>
      <x:c r="I674" s="12" t="str">
        <x:v>Elmirate; Jade Global Software Pvt; Gsource Technologies; ZenTrades India; Coditas</x:v>
      </x:c>
      <x:c r="J674" s="2" t="n">
        <x:v>5</x:v>
      </x:c>
      <x:c r="K674" s="12" t="str">
        <x:v>Campus/portfolio roster; individual building occupancy unverified</x:v>
      </x:c>
      <x:c r="L674" s="12" t="str">
        <x:v>IT &amp; digital; Unresolved</x:v>
      </x:c>
      <x:c r="M674" s="12" t="str">
        <x:v>Small-scale prospects; Mixed business audience</x:v>
      </x:c>
      <x:c r="N674" s="12" t="str">
        <x:v>PARTNER-M273</x:v>
      </x:c>
      <x:c r="O674" s="13"/>
      <x:c r="P674" s="13"/>
      <x:c r="Q674" s="2" t="str"/>
      <x:c r="R674" s="2" t="str">
        <x:v>TEN-0E1703C24DF3; TEN-B94381F67943; TEN-BB34EFA42885; TEN-CEEB417D463A; TEN-E3B0B0D2C88E</x:v>
      </x:c>
      <x:c r="S674" s="12" t="str">
        <x:v>IT and enterprise campus</x:v>
      </x:c>
      <x:c r="T674" s="12" t="str">
        <x:v>Tenant business-type estimates and reviewed company-scale context.</x:v>
      </x:c>
    </x:row>
    <x:row r="675" ht="64" customHeight="1">
      <x:c r="A675" s="10" t="n">
        <x:v>1</x:v>
      </x:c>
      <x:c r="B675" s="2" t="str">
        <x:v>CORP-0693</x:v>
      </x:c>
      <x:c r="C675" s="2" t="str">
        <x:v>Pune</x:v>
      </x:c>
      <x:c r="D675" s="2" t="str"/>
      <x:c r="E675" s="12" t="str">
        <x:v>Nyati Enthral</x:v>
      </x:c>
      <x:c r="F675" s="12" t="str">
        <x:v>Reception lobby 1</x:v>
      </x:c>
      <x:c r="G675" s="11" t="n">
        <x:v>1</x:v>
      </x:c>
      <x:c r="H675" s="2" t="str">
        <x:v>55 inch</x:v>
      </x:c>
      <x:c r="I675" s="12" t="str">
        <x:v>Pristine Market Insights; Realtyroof; Valar Digital; Transcom; Aceis Services; Autuskey Private Limited; Aadrika Automation</x:v>
      </x:c>
      <x:c r="J675" s="2" t="n">
        <x:v>7</x:v>
      </x:c>
      <x:c r="K675" s="12" t="str">
        <x:v>Campus/portfolio roster; individual building occupancy unverified</x:v>
      </x:c>
      <x:c r="L675" s="12" t="str">
        <x:v>IT &amp; digital; Professional services; Engineering &amp; manufacturing; Trade, consumer &amp; logistics; Unresolved</x:v>
      </x:c>
      <x:c r="M675" s="12" t="str">
        <x:v>Small-scale prospects; Medium-scale prospects; Mixed business audience</x:v>
      </x:c>
      <x:c r="N675" s="12" t="str">
        <x:v>PARTNER-M277</x:v>
      </x:c>
      <x:c r="O675" s="13"/>
      <x:c r="P675" s="13"/>
      <x:c r="Q675" s="2" t="str"/>
      <x:c r="R675" s="2" t="str">
        <x:v>TEN-3209262EB544; TEN-3BBC9DDC0771; TEN-57D421286AA8; TEN-66205FE9281A; TEN-88E49CC6261B; TEN-BB47F2F86C7E; TEN-F6EB468BF351</x:v>
      </x:c>
      <x:c r="S675" s="12" t="str">
        <x:v>Mixed commercial workplace</x:v>
      </x:c>
      <x:c r="T675" s="12" t="str">
        <x:v>Tenant business-type estimates and reviewed company-scale context.</x:v>
      </x:c>
    </x:row>
    <x:row r="676" ht="64" customHeight="1">
      <x:c r="A676" s="10" t="n">
        <x:v>1</x:v>
      </x:c>
      <x:c r="B676" s="2" t="str">
        <x:v>CORP-0694</x:v>
      </x:c>
      <x:c r="C676" s="2" t="str">
        <x:v>Pune</x:v>
      </x:c>
      <x:c r="D676" s="2" t="str"/>
      <x:c r="E676" s="12" t="str">
        <x:v>Nyati Enthral</x:v>
      </x:c>
      <x:c r="F676" s="12" t="str">
        <x:v>Reception lobby 2</x:v>
      </x:c>
      <x:c r="G676" s="11" t="n">
        <x:v>1</x:v>
      </x:c>
      <x:c r="H676" s="2" t="str">
        <x:v>55 inch</x:v>
      </x:c>
      <x:c r="I676" s="12" t="str">
        <x:v>Pristine Market Insights; Realtyroof; Valar Digital; Transcom; Aceis Services; Autuskey Private Limited; Aadrika Automation</x:v>
      </x:c>
      <x:c r="J676" s="2" t="n">
        <x:v>7</x:v>
      </x:c>
      <x:c r="K676" s="12" t="str">
        <x:v>Campus/portfolio roster; individual building occupancy unverified</x:v>
      </x:c>
      <x:c r="L676" s="12" t="str">
        <x:v>IT &amp; digital; Professional services; Engineering &amp; manufacturing; Trade, consumer &amp; logistics; Unresolved</x:v>
      </x:c>
      <x:c r="M676" s="12" t="str">
        <x:v>Small-scale prospects; Medium-scale prospects; Mixed business audience</x:v>
      </x:c>
      <x:c r="N676" s="12" t="str">
        <x:v>PARTNER-M277</x:v>
      </x:c>
      <x:c r="O676" s="13"/>
      <x:c r="P676" s="13"/>
      <x:c r="Q676" s="2" t="str"/>
      <x:c r="R676" s="2" t="str">
        <x:v>TEN-3209262EB544; TEN-3BBC9DDC0771; TEN-57D421286AA8; TEN-66205FE9281A; TEN-88E49CC6261B; TEN-BB47F2F86C7E; TEN-F6EB468BF351</x:v>
      </x:c>
      <x:c r="S676" s="12" t="str">
        <x:v>Mixed commercial workplace</x:v>
      </x:c>
      <x:c r="T676" s="12" t="str">
        <x:v>Tenant business-type estimates and reviewed company-scale context.</x:v>
      </x:c>
    </x:row>
    <x:row r="677" ht="64" customHeight="1">
      <x:c r="A677" s="10" t="n">
        <x:v>1</x:v>
      </x:c>
      <x:c r="B677" s="2" t="str">
        <x:v>CORP-0695</x:v>
      </x:c>
      <x:c r="C677" s="2" t="str">
        <x:v>Pune</x:v>
      </x:c>
      <x:c r="D677" s="2" t="str"/>
      <x:c r="E677" s="12" t="str">
        <x:v>Nyati Enthral</x:v>
      </x:c>
      <x:c r="F677" s="12" t="str">
        <x:v>Elevator lobby 1</x:v>
      </x:c>
      <x:c r="G677" s="11" t="n">
        <x:v>1</x:v>
      </x:c>
      <x:c r="H677" s="2" t="str">
        <x:v>55 inch</x:v>
      </x:c>
      <x:c r="I677" s="12" t="str">
        <x:v>Pristine Market Insights; Realtyroof; Valar Digital; Transcom; Aceis Services; Autuskey Private Limited; Aadrika Automation</x:v>
      </x:c>
      <x:c r="J677" s="2" t="n">
        <x:v>7</x:v>
      </x:c>
      <x:c r="K677" s="12" t="str">
        <x:v>Campus/portfolio roster; individual building occupancy unverified</x:v>
      </x:c>
      <x:c r="L677" s="12" t="str">
        <x:v>IT &amp; digital; Professional services; Engineering &amp; manufacturing; Trade, consumer &amp; logistics; Unresolved</x:v>
      </x:c>
      <x:c r="M677" s="12" t="str">
        <x:v>Small-scale prospects; Medium-scale prospects; Mixed business audience</x:v>
      </x:c>
      <x:c r="N677" s="12" t="str">
        <x:v>PARTNER-M277</x:v>
      </x:c>
      <x:c r="O677" s="13"/>
      <x:c r="P677" s="13"/>
      <x:c r="Q677" s="2" t="str"/>
      <x:c r="R677" s="2" t="str">
        <x:v>TEN-3209262EB544; TEN-3BBC9DDC0771; TEN-57D421286AA8; TEN-66205FE9281A; TEN-88E49CC6261B; TEN-BB47F2F86C7E; TEN-F6EB468BF351</x:v>
      </x:c>
      <x:c r="S677" s="12" t="str">
        <x:v>Mixed commercial workplace</x:v>
      </x:c>
      <x:c r="T677" s="12" t="str">
        <x:v>Tenant business-type estimates and reviewed company-scale context.</x:v>
      </x:c>
    </x:row>
    <x:row r="678" ht="64" customHeight="1">
      <x:c r="A678" s="10" t="n">
        <x:v>1</x:v>
      </x:c>
      <x:c r="B678" s="2" t="str">
        <x:v>CORP-0696</x:v>
      </x:c>
      <x:c r="C678" s="2" t="str">
        <x:v>Pune</x:v>
      </x:c>
      <x:c r="D678" s="2" t="str"/>
      <x:c r="E678" s="12" t="str">
        <x:v>Nyati Enthral</x:v>
      </x:c>
      <x:c r="F678" s="12" t="str">
        <x:v>Elevator lobby 2</x:v>
      </x:c>
      <x:c r="G678" s="11" t="n">
        <x:v>1</x:v>
      </x:c>
      <x:c r="H678" s="2" t="str">
        <x:v>55 inch</x:v>
      </x:c>
      <x:c r="I678" s="12" t="str">
        <x:v>Pristine Market Insights; Realtyroof; Valar Digital; Transcom; Aceis Services; Autuskey Private Limited; Aadrika Automation</x:v>
      </x:c>
      <x:c r="J678" s="2" t="n">
        <x:v>7</x:v>
      </x:c>
      <x:c r="K678" s="12" t="str">
        <x:v>Campus/portfolio roster; individual building occupancy unverified</x:v>
      </x:c>
      <x:c r="L678" s="12" t="str">
        <x:v>IT &amp; digital; Professional services; Engineering &amp; manufacturing; Trade, consumer &amp; logistics; Unresolved</x:v>
      </x:c>
      <x:c r="M678" s="12" t="str">
        <x:v>Small-scale prospects; Medium-scale prospects; Mixed business audience</x:v>
      </x:c>
      <x:c r="N678" s="12" t="str">
        <x:v>PARTNER-M277</x:v>
      </x:c>
      <x:c r="O678" s="13"/>
      <x:c r="P678" s="13"/>
      <x:c r="Q678" s="2" t="str"/>
      <x:c r="R678" s="2" t="str">
        <x:v>TEN-3209262EB544; TEN-3BBC9DDC0771; TEN-57D421286AA8; TEN-66205FE9281A; TEN-88E49CC6261B; TEN-BB47F2F86C7E; TEN-F6EB468BF351</x:v>
      </x:c>
      <x:c r="S678" s="12" t="str">
        <x:v>Mixed commercial workplace</x:v>
      </x:c>
      <x:c r="T678" s="12" t="str">
        <x:v>Tenant business-type estimates and reviewed company-scale context.</x:v>
      </x:c>
    </x:row>
    <x:row r="679" ht="64" customHeight="1">
      <x:c r="A679" s="10" t="n">
        <x:v>1</x:v>
      </x:c>
      <x:c r="B679" s="2" t="str">
        <x:v>CORP-0697</x:v>
      </x:c>
      <x:c r="C679" s="2" t="str">
        <x:v>Pune</x:v>
      </x:c>
      <x:c r="D679" s="2" t="str"/>
      <x:c r="E679" s="12" t="str">
        <x:v>Nyati Enthral</x:v>
      </x:c>
      <x:c r="F679" s="12" t="str">
        <x:v>Elevator lobby 3</x:v>
      </x:c>
      <x:c r="G679" s="11" t="n">
        <x:v>1</x:v>
      </x:c>
      <x:c r="H679" s="2" t="str">
        <x:v>55 inch</x:v>
      </x:c>
      <x:c r="I679" s="12" t="str">
        <x:v>Pristine Market Insights; Realtyroof; Valar Digital; Transcom; Aceis Services; Autuskey Private Limited; Aadrika Automation</x:v>
      </x:c>
      <x:c r="J679" s="2" t="n">
        <x:v>7</x:v>
      </x:c>
      <x:c r="K679" s="12" t="str">
        <x:v>Campus/portfolio roster; individual building occupancy unverified</x:v>
      </x:c>
      <x:c r="L679" s="12" t="str">
        <x:v>IT &amp; digital; Professional services; Engineering &amp; manufacturing; Trade, consumer &amp; logistics; Unresolved</x:v>
      </x:c>
      <x:c r="M679" s="12" t="str">
        <x:v>Small-scale prospects; Medium-scale prospects; Mixed business audience</x:v>
      </x:c>
      <x:c r="N679" s="12" t="str">
        <x:v>PARTNER-M277</x:v>
      </x:c>
      <x:c r="O679" s="13"/>
      <x:c r="P679" s="13"/>
      <x:c r="Q679" s="2" t="str"/>
      <x:c r="R679" s="2" t="str">
        <x:v>TEN-3209262EB544; TEN-3BBC9DDC0771; TEN-57D421286AA8; TEN-66205FE9281A; TEN-88E49CC6261B; TEN-BB47F2F86C7E; TEN-F6EB468BF351</x:v>
      </x:c>
      <x:c r="S679" s="12" t="str">
        <x:v>Mixed commercial workplace</x:v>
      </x:c>
      <x:c r="T679" s="12" t="str">
        <x:v>Tenant business-type estimates and reviewed company-scale context.</x:v>
      </x:c>
    </x:row>
    <x:row r="680" ht="64" customHeight="1">
      <x:c r="A680" s="10" t="n">
        <x:v>1</x:v>
      </x:c>
      <x:c r="B680" s="2" t="str">
        <x:v>CORP-0698</x:v>
      </x:c>
      <x:c r="C680" s="2" t="str">
        <x:v>Hyderabad</x:v>
      </x:c>
      <x:c r="D680" s="2" t="str"/>
      <x:c r="E680" s="12" t="str">
        <x:v>iLabs Tech Park</x:v>
      </x:c>
      <x:c r="F680" s="12" t="str">
        <x:v>Tower C &amp; D food court</x:v>
      </x:c>
      <x:c r="G680" s="11" t="n">
        <x:v>1</x:v>
      </x:c>
      <x:c r="H680" s="2" t="str">
        <x:v>55 inch</x:v>
      </x:c>
      <x:c r="I680" s="12" t="str">
        <x:v>Synchrony; Syniverse Mobile Solution; NTT DATA; Regus; Hp; PASS GCA Solutions; Syniverse Technology; Wisemen; AMS Semiconductors; CVM Solutions; Cubic; Host Analytics; Invensys</x:v>
      </x:c>
      <x:c r="J680" s="2" t="n">
        <x:v>13</x:v>
      </x:c>
      <x:c r="K680" s="12" t="str">
        <x:v>Campus/portfolio roster; individual building occupancy unverified</x:v>
      </x:c>
      <x:c r="L680" s="12" t="str">
        <x:v>IT &amp; digital; Finance &amp; insurance; Engineering &amp; manufacturing; Workspace &amp; property operations; Unresolved</x:v>
      </x:c>
      <x:c r="M680" s="12" t="str">
        <x:v>Large enterprise; Mixed business audience</x:v>
      </x:c>
      <x:c r="N680" s="12" t="str">
        <x:v>PARTNER-M283</x:v>
      </x:c>
      <x:c r="O680" s="13"/>
      <x:c r="P680" s="13"/>
      <x:c r="Q680" s="2" t="str"/>
      <x:c r="R680" s="2" t="str">
        <x:v>TEN-059368F98DEB; TEN-43BE6AC0AAE2; TEN-68BAD0BF4A37; TEN-6FC71948C40F; TEN-93969D193161; TEN-9469C6F797DD; TEN-98F51CB88BC4; TEN-A09CDA62FBCB; TEN-B6F0DAA20D8D; TEN-BC9765585BF0; TEN-CE371D3C6BED; TEN-D67021B8B470; TEN-E8EEF6D2EC99</x:v>
      </x:c>
      <x:c r="S680" s="12" t="str">
        <x:v>IT and enterprise campus</x:v>
      </x:c>
      <x:c r="T680" s="12" t="str">
        <x:v>Tenant business-type estimates and reviewed company-scale context.</x:v>
      </x:c>
    </x:row>
    <x:row r="681" ht="64" customHeight="1">
      <x:c r="A681" s="10" t="n">
        <x:v>1</x:v>
      </x:c>
      <x:c r="B681" s="2" t="str">
        <x:v>CORP-0699</x:v>
      </x:c>
      <x:c r="C681" s="2" t="str">
        <x:v>Hyderabad</x:v>
      </x:c>
      <x:c r="D681" s="2" t="str"/>
      <x:c r="E681" s="12" t="str">
        <x:v>iLabs Tech Park</x:v>
      </x:c>
      <x:c r="F681" s="12" t="str">
        <x:v>B Block food court</x:v>
      </x:c>
      <x:c r="G681" s="11" t="n">
        <x:v>1</x:v>
      </x:c>
      <x:c r="H681" s="2" t="str">
        <x:v>55 inch</x:v>
      </x:c>
      <x:c r="I681" s="12" t="str">
        <x:v>Synchrony; Syniverse Mobile Solution; NTT DATA; Regus; Hp; PASS GCA Solutions; Syniverse Technology; Wisemen; AMS Semiconductors; CVM Solutions; Cubic; Host Analytics; Invensys</x:v>
      </x:c>
      <x:c r="J681" s="2" t="n">
        <x:v>13</x:v>
      </x:c>
      <x:c r="K681" s="12" t="str">
        <x:v>Campus/portfolio roster; individual building occupancy unverified</x:v>
      </x:c>
      <x:c r="L681" s="12" t="str">
        <x:v>IT &amp; digital; Finance &amp; insurance; Engineering &amp; manufacturing; Workspace &amp; property operations; Unresolved</x:v>
      </x:c>
      <x:c r="M681" s="12" t="str">
        <x:v>Large enterprise; Mixed business audience</x:v>
      </x:c>
      <x:c r="N681" s="12" t="str">
        <x:v>PARTNER-M283</x:v>
      </x:c>
      <x:c r="O681" s="13"/>
      <x:c r="P681" s="13"/>
      <x:c r="Q681" s="2" t="str"/>
      <x:c r="R681" s="2" t="str">
        <x:v>TEN-059368F98DEB; TEN-43BE6AC0AAE2; TEN-68BAD0BF4A37; TEN-6FC71948C40F; TEN-93969D193161; TEN-9469C6F797DD; TEN-98F51CB88BC4; TEN-A09CDA62FBCB; TEN-B6F0DAA20D8D; TEN-BC9765585BF0; TEN-CE371D3C6BED; TEN-D67021B8B470; TEN-E8EEF6D2EC99</x:v>
      </x:c>
      <x:c r="S681" s="12" t="str">
        <x:v>IT and enterprise campus</x:v>
      </x:c>
      <x:c r="T681" s="12" t="str">
        <x:v>Tenant business-type estimates and reviewed company-scale context.</x:v>
      </x:c>
    </x:row>
    <x:row r="682" ht="64" customHeight="1">
      <x:c r="A682" s="10" t="n">
        <x:v>1</x:v>
      </x:c>
      <x:c r="B682" s="2" t="str">
        <x:v>CORP-0700</x:v>
      </x:c>
      <x:c r="C682" s="2" t="str">
        <x:v>Hyderabad</x:v>
      </x:c>
      <x:c r="D682" s="2" t="str"/>
      <x:c r="E682" s="12" t="str">
        <x:v>iLabs Tech Park</x:v>
      </x:c>
      <x:c r="F682" s="12" t="str">
        <x:v>A &amp; B Block Recpetion</x:v>
      </x:c>
      <x:c r="G682" s="11" t="n">
        <x:v>1</x:v>
      </x:c>
      <x:c r="H682" s="2" t="str">
        <x:v>55 inch</x:v>
      </x:c>
      <x:c r="I682" s="12" t="str">
        <x:v>Synchrony; Syniverse Mobile Solution; NTT DATA; Regus; Hp; PASS GCA Solutions; Syniverse Technology; Wisemen; AMS Semiconductors; CVM Solutions; Cubic; Host Analytics; Invensys</x:v>
      </x:c>
      <x:c r="J682" s="2" t="n">
        <x:v>13</x:v>
      </x:c>
      <x:c r="K682" s="12" t="str">
        <x:v>Campus/portfolio roster; individual building occupancy unverified</x:v>
      </x:c>
      <x:c r="L682" s="12" t="str">
        <x:v>IT &amp; digital; Finance &amp; insurance; Engineering &amp; manufacturing; Workspace &amp; property operations; Unresolved</x:v>
      </x:c>
      <x:c r="M682" s="12" t="str">
        <x:v>Large enterprise; Mixed business audience</x:v>
      </x:c>
      <x:c r="N682" s="12" t="str">
        <x:v>PARTNER-M283</x:v>
      </x:c>
      <x:c r="O682" s="13"/>
      <x:c r="P682" s="13"/>
      <x:c r="Q682" s="2" t="str"/>
      <x:c r="R682" s="2" t="str">
        <x:v>TEN-059368F98DEB; TEN-43BE6AC0AAE2; TEN-68BAD0BF4A37; TEN-6FC71948C40F; TEN-93969D193161; TEN-9469C6F797DD; TEN-98F51CB88BC4; TEN-A09CDA62FBCB; TEN-B6F0DAA20D8D; TEN-BC9765585BF0; TEN-CE371D3C6BED; TEN-D67021B8B470; TEN-E8EEF6D2EC99</x:v>
      </x:c>
      <x:c r="S682" s="12" t="str">
        <x:v>IT and enterprise campus</x:v>
      </x:c>
      <x:c r="T682" s="12" t="str">
        <x:v>Tenant business-type estimates and reviewed company-scale context.</x:v>
      </x:c>
    </x:row>
    <x:row r="683" ht="64" customHeight="1">
      <x:c r="A683" s="10" t="n">
        <x:v>1</x:v>
      </x:c>
      <x:c r="B683" s="2" t="str">
        <x:v>CORP-0701</x:v>
      </x:c>
      <x:c r="C683" s="2" t="str">
        <x:v>Hyderabad</x:v>
      </x:c>
      <x:c r="D683" s="2" t="str"/>
      <x:c r="E683" s="12" t="str">
        <x:v>iLabs Tech Park</x:v>
      </x:c>
      <x:c r="F683" s="12" t="str">
        <x:v>C &amp; D Food Court</x:v>
      </x:c>
      <x:c r="G683" s="11" t="n">
        <x:v>1</x:v>
      </x:c>
      <x:c r="H683" s="2" t="str">
        <x:v>55 inch</x:v>
      </x:c>
      <x:c r="I683" s="12" t="str">
        <x:v>Synchrony; Syniverse Mobile Solution; NTT DATA; Regus; Hp; PASS GCA Solutions; Syniverse Technology; Wisemen; AMS Semiconductors; CVM Solutions; Cubic; Host Analytics; Invensys</x:v>
      </x:c>
      <x:c r="J683" s="2" t="n">
        <x:v>13</x:v>
      </x:c>
      <x:c r="K683" s="12" t="str">
        <x:v>Campus/portfolio roster; individual building occupancy unverified</x:v>
      </x:c>
      <x:c r="L683" s="12" t="str">
        <x:v>IT &amp; digital; Finance &amp; insurance; Engineering &amp; manufacturing; Workspace &amp; property operations; Unresolved</x:v>
      </x:c>
      <x:c r="M683" s="12" t="str">
        <x:v>Large enterprise; Mixed business audience</x:v>
      </x:c>
      <x:c r="N683" s="12" t="str">
        <x:v>PARTNER-M283</x:v>
      </x:c>
      <x:c r="O683" s="13"/>
      <x:c r="P683" s="13"/>
      <x:c r="Q683" s="2" t="str"/>
      <x:c r="R683" s="2" t="str">
        <x:v>TEN-059368F98DEB; TEN-43BE6AC0AAE2; TEN-68BAD0BF4A37; TEN-6FC71948C40F; TEN-93969D193161; TEN-9469C6F797DD; TEN-98F51CB88BC4; TEN-A09CDA62FBCB; TEN-B6F0DAA20D8D; TEN-BC9765585BF0; TEN-CE371D3C6BED; TEN-D67021B8B470; TEN-E8EEF6D2EC99</x:v>
      </x:c>
      <x:c r="S683" s="12" t="str">
        <x:v>IT and enterprise campus</x:v>
      </x:c>
      <x:c r="T683" s="12" t="str">
        <x:v>Tenant business-type estimates and reviewed company-scale context.</x:v>
      </x:c>
    </x:row>
    <x:row r="684" ht="64" customHeight="1">
      <x:c r="A684" s="10" t="n">
        <x:v>1</x:v>
      </x:c>
      <x:c r="B684" s="2" t="str">
        <x:v>CORP-0702</x:v>
      </x:c>
      <x:c r="C684" s="2" t="str">
        <x:v>Hyderabad</x:v>
      </x:c>
      <x:c r="D684" s="2" t="str"/>
      <x:c r="E684" s="12" t="str">
        <x:v>iLabs Tech Park</x:v>
      </x:c>
      <x:c r="F684" s="12" t="str">
        <x:v>MLCP Food Court</x:v>
      </x:c>
      <x:c r="G684" s="11" t="n">
        <x:v>1</x:v>
      </x:c>
      <x:c r="H684" s="2" t="str">
        <x:v>55 inch</x:v>
      </x:c>
      <x:c r="I684" s="12" t="str">
        <x:v>Synchrony; Syniverse Mobile Solution; NTT DATA; Regus; Hp; PASS GCA Solutions; Syniverse Technology; Wisemen; AMS Semiconductors; CVM Solutions; Cubic; Host Analytics; Invensys</x:v>
      </x:c>
      <x:c r="J684" s="2" t="n">
        <x:v>13</x:v>
      </x:c>
      <x:c r="K684" s="12" t="str">
        <x:v>Campus/portfolio roster; individual building occupancy unverified</x:v>
      </x:c>
      <x:c r="L684" s="12" t="str">
        <x:v>IT &amp; digital; Finance &amp; insurance; Engineering &amp; manufacturing; Workspace &amp; property operations; Unresolved</x:v>
      </x:c>
      <x:c r="M684" s="12" t="str">
        <x:v>Large enterprise; Mixed business audience</x:v>
      </x:c>
      <x:c r="N684" s="12" t="str">
        <x:v>PARTNER-M283</x:v>
      </x:c>
      <x:c r="O684" s="13"/>
      <x:c r="P684" s="13"/>
      <x:c r="Q684" s="2" t="str"/>
      <x:c r="R684" s="2" t="str">
        <x:v>TEN-059368F98DEB; TEN-43BE6AC0AAE2; TEN-68BAD0BF4A37; TEN-6FC71948C40F; TEN-93969D193161; TEN-9469C6F797DD; TEN-98F51CB88BC4; TEN-A09CDA62FBCB; TEN-B6F0DAA20D8D; TEN-BC9765585BF0; TEN-CE371D3C6BED; TEN-D67021B8B470; TEN-E8EEF6D2EC99</x:v>
      </x:c>
      <x:c r="S684" s="12" t="str">
        <x:v>IT and enterprise campus</x:v>
      </x:c>
      <x:c r="T684" s="12" t="str">
        <x:v>Tenant business-type estimates and reviewed company-scale context.</x:v>
      </x:c>
    </x:row>
    <x:row r="685" ht="64" customHeight="1">
      <x:c r="A685" s="10" t="n">
        <x:v>1</x:v>
      </x:c>
      <x:c r="B685" s="2" t="str">
        <x:v>CORP-0703</x:v>
      </x:c>
      <x:c r="C685" s="2" t="str">
        <x:v>Hyderabad</x:v>
      </x:c>
      <x:c r="D685" s="2" t="str"/>
      <x:c r="E685" s="12" t="str">
        <x:v>iLabs Tech Park</x:v>
      </x:c>
      <x:c r="F685" s="12" t="str">
        <x:v>MLCP 2nd Floor</x:v>
      </x:c>
      <x:c r="G685" s="11" t="n">
        <x:v>1</x:v>
      </x:c>
      <x:c r="H685" s="2" t="str">
        <x:v>55 inch</x:v>
      </x:c>
      <x:c r="I685" s="12" t="str">
        <x:v>Synchrony; Syniverse Mobile Solution; NTT DATA; Regus; Hp; PASS GCA Solutions; Syniverse Technology; Wisemen; AMS Semiconductors; CVM Solutions; Cubic; Host Analytics; Invensys</x:v>
      </x:c>
      <x:c r="J685" s="2" t="n">
        <x:v>13</x:v>
      </x:c>
      <x:c r="K685" s="12" t="str">
        <x:v>Campus/portfolio roster; individual building occupancy unverified</x:v>
      </x:c>
      <x:c r="L685" s="12" t="str">
        <x:v>IT &amp; digital; Finance &amp; insurance; Engineering &amp; manufacturing; Workspace &amp; property operations; Unresolved</x:v>
      </x:c>
      <x:c r="M685" s="12" t="str">
        <x:v>Large enterprise; Mixed business audience</x:v>
      </x:c>
      <x:c r="N685" s="12" t="str">
        <x:v>PARTNER-M283</x:v>
      </x:c>
      <x:c r="O685" s="13"/>
      <x:c r="P685" s="13"/>
      <x:c r="Q685" s="2" t="str"/>
      <x:c r="R685" s="2" t="str">
        <x:v>TEN-059368F98DEB; TEN-43BE6AC0AAE2; TEN-68BAD0BF4A37; TEN-6FC71948C40F; TEN-93969D193161; TEN-9469C6F797DD; TEN-98F51CB88BC4; TEN-A09CDA62FBCB; TEN-B6F0DAA20D8D; TEN-BC9765585BF0; TEN-CE371D3C6BED; TEN-D67021B8B470; TEN-E8EEF6D2EC99</x:v>
      </x:c>
      <x:c r="S685" s="12" t="str">
        <x:v>IT and enterprise campus</x:v>
      </x:c>
      <x:c r="T685" s="12" t="str">
        <x:v>Tenant business-type estimates and reviewed company-scale context.</x:v>
      </x:c>
    </x:row>
    <x:row r="686" ht="101" customHeight="1">
      <x:c r="A686" s="10" t="n">
        <x:v>1</x:v>
      </x:c>
      <x:c r="B686" s="2" t="str">
        <x:v>CORP-0704</x:v>
      </x:c>
      <x:c r="C686" s="2" t="str">
        <x:v>Hyderabad</x:v>
      </x:c>
      <x:c r="D686" s="2" t="str"/>
      <x:c r="E686" s="12" t="str">
        <x:v>Cyber Gateway</x:v>
      </x:c>
      <x:c r="F686" s="12" t="str">
        <x:v>Block A Elevator lobby</x:v>
      </x:c>
      <x:c r="G686" s="11" t="n">
        <x:v>1</x:v>
      </x:c>
      <x:c r="H686" s="2" t="str">
        <x:v>55 inch</x:v>
      </x:c>
      <x:c r="I686" s="12" t="str">
        <x:v>Plural Technology Pvt Ltd; First Tek Services Pvt Ltd; Rutakshi Technologies Private Limited; Blaze Automation; ExcelR; Sonix Human Capital Solutions Pvt. Ltd; Fint Solutions; Signant Health Private Limited; Andhra Bank; Tvarana Software Solution Pvt Ltd; Nexiilabs; Praveen Properties; Infosys Technologies; Thomas Cook; eBizNET Solutions; Vaco Binary Semantics; EverestDX India Pvt Ltd; Advansoft; Dhruvsoft Services Private Limited; MaaS ERP Solutions Pvt. Ltd; Bhrigus Software India Pvt Ltd; InstaVC</x:v>
      </x:c>
      <x:c r="J686" s="2" t="n">
        <x:v>22</x:v>
      </x:c>
      <x:c r="K686" s="12" t="str">
        <x:v>Campus/portfolio roster; individual building occupancy unverified</x:v>
      </x:c>
      <x:c r="L686" s="12" t="str">
        <x:v>IT &amp; digital; Professional services; Finance &amp; insurance; Engineering &amp; manufacturing; Healthcare &amp; life sciences; Education; Trade, consumer &amp; logistics; Unresolved</x:v>
      </x:c>
      <x:c r="M686" s="12" t="str">
        <x:v>Small-scale prospects; Medium-scale prospects; Large enterprise; Mixed business audience</x:v>
      </x:c>
      <x:c r="N686" s="12" t="str">
        <x:v>PARTNER-M289</x:v>
      </x:c>
      <x:c r="O686" s="13"/>
      <x:c r="P686" s="13"/>
      <x:c r="Q686" s="2" t="str"/>
      <x:c r="R686" s="2" t="str">
        <x:v>TEN-01088BCB5FE4; TEN-147B40FF1F46; TEN-1C04181154C3; TEN-223E0BE4600B; TEN-2B02951507EE; TEN-49A09B6192AC; TEN-4AE3A2A36DB1; TEN-62FC778E4D9D; TEN-64ACC2041078; TEN-6D88C170876C; TEN-7539F6E6B0E4; TEN-8D66D837E37C; TEN-AAA30F61EE87; TEN-AF9253804CA3; TEN-B2C5EC45BFF3; TEN-B51153A92AF3; TEN-C1185EEF281B; TEN-C40D987A6D54; TEN-CDB24A62FB69; TEN-E6B1BC8AE59D; TEN-EFE115AB0E96; TEN-F95B60BD0C88</x:v>
      </x:c>
      <x:c r="S686" s="12" t="str">
        <x:v>IT and enterprise campus</x:v>
      </x:c>
      <x:c r="T686" s="12" t="str">
        <x:v>Tenant business-type estimates and reviewed company-scale context.</x:v>
      </x:c>
    </x:row>
    <x:row r="687" ht="101" customHeight="1">
      <x:c r="A687" s="10" t="n">
        <x:v>1</x:v>
      </x:c>
      <x:c r="B687" s="2" t="str">
        <x:v>CORP-0705</x:v>
      </x:c>
      <x:c r="C687" s="2" t="str">
        <x:v>Hyderabad</x:v>
      </x:c>
      <x:c r="D687" s="2" t="str"/>
      <x:c r="E687" s="12" t="str">
        <x:v>Cyber Gateway</x:v>
      </x:c>
      <x:c r="F687" s="12" t="str">
        <x:v>Block B Elevator lobby</x:v>
      </x:c>
      <x:c r="G687" s="11" t="n">
        <x:v>1</x:v>
      </x:c>
      <x:c r="H687" s="2" t="str">
        <x:v>55 inch</x:v>
      </x:c>
      <x:c r="I687" s="12" t="str">
        <x:v>Plural Technology Pvt Ltd; First Tek Services Pvt Ltd; Rutakshi Technologies Private Limited; Blaze Automation; ExcelR; Sonix Human Capital Solutions Pvt. Ltd; Fint Solutions; Signant Health Private Limited; Andhra Bank; Tvarana Software Solution Pvt Ltd; Nexiilabs; Praveen Properties; Infosys Technologies; Thomas Cook; eBizNET Solutions; Vaco Binary Semantics; EverestDX India Pvt Ltd; Advansoft; Dhruvsoft Services Private Limited; MaaS ERP Solutions Pvt. Ltd; Bhrigus Software India Pvt Ltd; InstaVC</x:v>
      </x:c>
      <x:c r="J687" s="2" t="n">
        <x:v>22</x:v>
      </x:c>
      <x:c r="K687" s="12" t="str">
        <x:v>Campus/portfolio roster; individual building occupancy unverified</x:v>
      </x:c>
      <x:c r="L687" s="12" t="str">
        <x:v>IT &amp; digital; Professional services; Finance &amp; insurance; Engineering &amp; manufacturing; Healthcare &amp; life sciences; Education; Trade, consumer &amp; logistics; Unresolved</x:v>
      </x:c>
      <x:c r="M687" s="12" t="str">
        <x:v>Small-scale prospects; Medium-scale prospects; Large enterprise; Mixed business audience</x:v>
      </x:c>
      <x:c r="N687" s="12" t="str">
        <x:v>PARTNER-M289</x:v>
      </x:c>
      <x:c r="O687" s="13"/>
      <x:c r="P687" s="13"/>
      <x:c r="Q687" s="2" t="str"/>
      <x:c r="R687" s="2" t="str">
        <x:v>TEN-01088BCB5FE4; TEN-147B40FF1F46; TEN-1C04181154C3; TEN-223E0BE4600B; TEN-2B02951507EE; TEN-49A09B6192AC; TEN-4AE3A2A36DB1; TEN-62FC778E4D9D; TEN-64ACC2041078; TEN-6D88C170876C; TEN-7539F6E6B0E4; TEN-8D66D837E37C; TEN-AAA30F61EE87; TEN-AF9253804CA3; TEN-B2C5EC45BFF3; TEN-B51153A92AF3; TEN-C1185EEF281B; TEN-C40D987A6D54; TEN-CDB24A62FB69; TEN-E6B1BC8AE59D; TEN-EFE115AB0E96; TEN-F95B60BD0C88</x:v>
      </x:c>
      <x:c r="S687" s="12" t="str">
        <x:v>IT and enterprise campus</x:v>
      </x:c>
      <x:c r="T687" s="12" t="str">
        <x:v>Tenant business-type estimates and reviewed company-scale context.</x:v>
      </x:c>
    </x:row>
    <x:row r="688" ht="101" customHeight="1">
      <x:c r="A688" s="10" t="n">
        <x:v>1</x:v>
      </x:c>
      <x:c r="B688" s="2" t="str">
        <x:v>CORP-0706</x:v>
      </x:c>
      <x:c r="C688" s="2" t="str">
        <x:v>Hyderabad</x:v>
      </x:c>
      <x:c r="D688" s="2" t="str"/>
      <x:c r="E688" s="12" t="str">
        <x:v>Cyber Gateway</x:v>
      </x:c>
      <x:c r="F688" s="12" t="str">
        <x:v>Block C Elevator lobby</x:v>
      </x:c>
      <x:c r="G688" s="11" t="n">
        <x:v>1</x:v>
      </x:c>
      <x:c r="H688" s="2" t="str">
        <x:v>55 inch</x:v>
      </x:c>
      <x:c r="I688" s="12" t="str">
        <x:v>Plural Technology Pvt Ltd; First Tek Services Pvt Ltd; Rutakshi Technologies Private Limited; Blaze Automation; ExcelR; Sonix Human Capital Solutions Pvt. Ltd; Fint Solutions; Signant Health Private Limited; Andhra Bank; Tvarana Software Solution Pvt Ltd; Nexiilabs; Praveen Properties; Infosys Technologies; Thomas Cook; eBizNET Solutions; Vaco Binary Semantics; EverestDX India Pvt Ltd; Advansoft; Dhruvsoft Services Private Limited; MaaS ERP Solutions Pvt. Ltd; Bhrigus Software India Pvt Ltd; InstaVC</x:v>
      </x:c>
      <x:c r="J688" s="2" t="n">
        <x:v>22</x:v>
      </x:c>
      <x:c r="K688" s="12" t="str">
        <x:v>Campus/portfolio roster; individual building occupancy unverified</x:v>
      </x:c>
      <x:c r="L688" s="12" t="str">
        <x:v>IT &amp; digital; Professional services; Finance &amp; insurance; Engineering &amp; manufacturing; Healthcare &amp; life sciences; Education; Trade, consumer &amp; logistics; Unresolved</x:v>
      </x:c>
      <x:c r="M688" s="12" t="str">
        <x:v>Small-scale prospects; Medium-scale prospects; Large enterprise; Mixed business audience</x:v>
      </x:c>
      <x:c r="N688" s="12" t="str">
        <x:v>PARTNER-M289</x:v>
      </x:c>
      <x:c r="O688" s="13"/>
      <x:c r="P688" s="13"/>
      <x:c r="Q688" s="2" t="str"/>
      <x:c r="R688" s="2" t="str">
        <x:v>TEN-01088BCB5FE4; TEN-147B40FF1F46; TEN-1C04181154C3; TEN-223E0BE4600B; TEN-2B02951507EE; TEN-49A09B6192AC; TEN-4AE3A2A36DB1; TEN-62FC778E4D9D; TEN-64ACC2041078; TEN-6D88C170876C; TEN-7539F6E6B0E4; TEN-8D66D837E37C; TEN-AAA30F61EE87; TEN-AF9253804CA3; TEN-B2C5EC45BFF3; TEN-B51153A92AF3; TEN-C1185EEF281B; TEN-C40D987A6D54; TEN-CDB24A62FB69; TEN-E6B1BC8AE59D; TEN-EFE115AB0E96; TEN-F95B60BD0C88</x:v>
      </x:c>
      <x:c r="S688" s="12" t="str">
        <x:v>IT and enterprise campus</x:v>
      </x:c>
      <x:c r="T688" s="12" t="str">
        <x:v>Tenant business-type estimates and reviewed company-scale context.</x:v>
      </x:c>
    </x:row>
    <x:row r="689" ht="101" customHeight="1">
      <x:c r="A689" s="10" t="n">
        <x:v>1</x:v>
      </x:c>
      <x:c r="B689" s="2" t="str">
        <x:v>CORP-0707</x:v>
      </x:c>
      <x:c r="C689" s="2" t="str">
        <x:v>Hyderabad</x:v>
      </x:c>
      <x:c r="D689" s="2" t="str"/>
      <x:c r="E689" s="12" t="str">
        <x:v>Cyber Gateway</x:v>
      </x:c>
      <x:c r="F689" s="12" t="str">
        <x:v>Block D Elevator lobby</x:v>
      </x:c>
      <x:c r="G689" s="11" t="n">
        <x:v>1</x:v>
      </x:c>
      <x:c r="H689" s="2" t="str">
        <x:v>55 inch</x:v>
      </x:c>
      <x:c r="I689" s="12" t="str">
        <x:v>Plural Technology Pvt Ltd; First Tek Services Pvt Ltd; Rutakshi Technologies Private Limited; Blaze Automation; ExcelR; Sonix Human Capital Solutions Pvt. Ltd; Fint Solutions; Signant Health Private Limited; Andhra Bank; Tvarana Software Solution Pvt Ltd; Nexiilabs; Praveen Properties; Infosys Technologies; Thomas Cook; eBizNET Solutions; Vaco Binary Semantics; EverestDX India Pvt Ltd; Advansoft; Dhruvsoft Services Private Limited; MaaS ERP Solutions Pvt. Ltd; Bhrigus Software India Pvt Ltd; InstaVC</x:v>
      </x:c>
      <x:c r="J689" s="2" t="n">
        <x:v>22</x:v>
      </x:c>
      <x:c r="K689" s="12" t="str">
        <x:v>Campus/portfolio roster; individual building occupancy unverified</x:v>
      </x:c>
      <x:c r="L689" s="12" t="str">
        <x:v>IT &amp; digital; Professional services; Finance &amp; insurance; Engineering &amp; manufacturing; Healthcare &amp; life sciences; Education; Trade, consumer &amp; logistics; Unresolved</x:v>
      </x:c>
      <x:c r="M689" s="12" t="str">
        <x:v>Small-scale prospects; Medium-scale prospects; Large enterprise; Mixed business audience</x:v>
      </x:c>
      <x:c r="N689" s="12" t="str">
        <x:v>PARTNER-M289</x:v>
      </x:c>
      <x:c r="O689" s="13"/>
      <x:c r="P689" s="13"/>
      <x:c r="Q689" s="2" t="str"/>
      <x:c r="R689" s="2" t="str">
        <x:v>TEN-01088BCB5FE4; TEN-147B40FF1F46; TEN-1C04181154C3; TEN-223E0BE4600B; TEN-2B02951507EE; TEN-49A09B6192AC; TEN-4AE3A2A36DB1; TEN-62FC778E4D9D; TEN-64ACC2041078; TEN-6D88C170876C; TEN-7539F6E6B0E4; TEN-8D66D837E37C; TEN-AAA30F61EE87; TEN-AF9253804CA3; TEN-B2C5EC45BFF3; TEN-B51153A92AF3; TEN-C1185EEF281B; TEN-C40D987A6D54; TEN-CDB24A62FB69; TEN-E6B1BC8AE59D; TEN-EFE115AB0E96; TEN-F95B60BD0C88</x:v>
      </x:c>
      <x:c r="S689" s="12" t="str">
        <x:v>IT and enterprise campus</x:v>
      </x:c>
      <x:c r="T689" s="12" t="str">
        <x:v>Tenant business-type estimates and reviewed company-scale context.</x:v>
      </x:c>
    </x:row>
    <x:row r="690" ht="101" customHeight="1">
      <x:c r="A690" s="10" t="n">
        <x:v>1</x:v>
      </x:c>
      <x:c r="B690" s="2" t="str">
        <x:v>CORP-0708</x:v>
      </x:c>
      <x:c r="C690" s="2" t="str">
        <x:v>Hyderabad</x:v>
      </x:c>
      <x:c r="D690" s="2" t="str"/>
      <x:c r="E690" s="12" t="str">
        <x:v>Cyber Gateway</x:v>
      </x:c>
      <x:c r="F690" s="12" t="str">
        <x:v>Food court entry</x:v>
      </x:c>
      <x:c r="G690" s="11" t="n">
        <x:v>1</x:v>
      </x:c>
      <x:c r="H690" s="2" t="str">
        <x:v>55 inch</x:v>
      </x:c>
      <x:c r="I690" s="12" t="str">
        <x:v>Plural Technology Pvt Ltd; First Tek Services Pvt Ltd; Rutakshi Technologies Private Limited; Blaze Automation; ExcelR; Sonix Human Capital Solutions Pvt. Ltd; Fint Solutions; Signant Health Private Limited; Andhra Bank; Tvarana Software Solution Pvt Ltd; Nexiilabs; Praveen Properties; Infosys Technologies; Thomas Cook; eBizNET Solutions; Vaco Binary Semantics; EverestDX India Pvt Ltd; Advansoft; Dhruvsoft Services Private Limited; MaaS ERP Solutions Pvt. Ltd; Bhrigus Software India Pvt Ltd; InstaVC</x:v>
      </x:c>
      <x:c r="J690" s="2" t="n">
        <x:v>22</x:v>
      </x:c>
      <x:c r="K690" s="12" t="str">
        <x:v>Campus/portfolio roster; individual building occupancy unverified</x:v>
      </x:c>
      <x:c r="L690" s="12" t="str">
        <x:v>IT &amp; digital; Professional services; Finance &amp; insurance; Engineering &amp; manufacturing; Healthcare &amp; life sciences; Education; Trade, consumer &amp; logistics; Unresolved</x:v>
      </x:c>
      <x:c r="M690" s="12" t="str">
        <x:v>Small-scale prospects; Medium-scale prospects; Large enterprise; Mixed business audience</x:v>
      </x:c>
      <x:c r="N690" s="12" t="str">
        <x:v>PARTNER-M289</x:v>
      </x:c>
      <x:c r="O690" s="13"/>
      <x:c r="P690" s="13"/>
      <x:c r="Q690" s="2" t="str"/>
      <x:c r="R690" s="2" t="str">
        <x:v>TEN-01088BCB5FE4; TEN-147B40FF1F46; TEN-1C04181154C3; TEN-223E0BE4600B; TEN-2B02951507EE; TEN-49A09B6192AC; TEN-4AE3A2A36DB1; TEN-62FC778E4D9D; TEN-64ACC2041078; TEN-6D88C170876C; TEN-7539F6E6B0E4; TEN-8D66D837E37C; TEN-AAA30F61EE87; TEN-AF9253804CA3; TEN-B2C5EC45BFF3; TEN-B51153A92AF3; TEN-C1185EEF281B; TEN-C40D987A6D54; TEN-CDB24A62FB69; TEN-E6B1BC8AE59D; TEN-EFE115AB0E96; TEN-F95B60BD0C88</x:v>
      </x:c>
      <x:c r="S690" s="12" t="str">
        <x:v>IT and enterprise campus</x:v>
      </x:c>
      <x:c r="T690" s="12" t="str">
        <x:v>Tenant business-type estimates and reviewed company-scale context.</x:v>
      </x:c>
    </x:row>
    <x:row r="691" ht="101" customHeight="1">
      <x:c r="A691" s="10" t="n">
        <x:v>1</x:v>
      </x:c>
      <x:c r="B691" s="2" t="str">
        <x:v>CORP-0709</x:v>
      </x:c>
      <x:c r="C691" s="2" t="str">
        <x:v>Hyderabad</x:v>
      </x:c>
      <x:c r="D691" s="2" t="str"/>
      <x:c r="E691" s="12" t="str">
        <x:v>Cyber Gateway</x:v>
      </x:c>
      <x:c r="F691" s="12" t="str">
        <x:v>Food court Retail</x:v>
      </x:c>
      <x:c r="G691" s="11" t="n">
        <x:v>1</x:v>
      </x:c>
      <x:c r="H691" s="2" t="str">
        <x:v>55 inch</x:v>
      </x:c>
      <x:c r="I691" s="12" t="str">
        <x:v>Plural Technology Pvt Ltd; First Tek Services Pvt Ltd; Rutakshi Technologies Private Limited; Blaze Automation; ExcelR; Sonix Human Capital Solutions Pvt. Ltd; Fint Solutions; Signant Health Private Limited; Andhra Bank; Tvarana Software Solution Pvt Ltd; Nexiilabs; Praveen Properties; Infosys Technologies; Thomas Cook; eBizNET Solutions; Vaco Binary Semantics; EverestDX India Pvt Ltd; Advansoft; Dhruvsoft Services Private Limited; MaaS ERP Solutions Pvt. Ltd; Bhrigus Software India Pvt Ltd; InstaVC</x:v>
      </x:c>
      <x:c r="J691" s="2" t="n">
        <x:v>22</x:v>
      </x:c>
      <x:c r="K691" s="12" t="str">
        <x:v>Campus/portfolio roster; individual building occupancy unverified</x:v>
      </x:c>
      <x:c r="L691" s="12" t="str">
        <x:v>IT &amp; digital; Professional services; Finance &amp; insurance; Engineering &amp; manufacturing; Healthcare &amp; life sciences; Education; Trade, consumer &amp; logistics; Unresolved</x:v>
      </x:c>
      <x:c r="M691" s="12" t="str">
        <x:v>Small-scale prospects; Medium-scale prospects; Large enterprise; Mixed business audience</x:v>
      </x:c>
      <x:c r="N691" s="12" t="str">
        <x:v>PARTNER-M289</x:v>
      </x:c>
      <x:c r="O691" s="13"/>
      <x:c r="P691" s="13"/>
      <x:c r="Q691" s="2" t="str"/>
      <x:c r="R691" s="2" t="str">
        <x:v>TEN-01088BCB5FE4; TEN-147B40FF1F46; TEN-1C04181154C3; TEN-223E0BE4600B; TEN-2B02951507EE; TEN-49A09B6192AC; TEN-4AE3A2A36DB1; TEN-62FC778E4D9D; TEN-64ACC2041078; TEN-6D88C170876C; TEN-7539F6E6B0E4; TEN-8D66D837E37C; TEN-AAA30F61EE87; TEN-AF9253804CA3; TEN-B2C5EC45BFF3; TEN-B51153A92AF3; TEN-C1185EEF281B; TEN-C40D987A6D54; TEN-CDB24A62FB69; TEN-E6B1BC8AE59D; TEN-EFE115AB0E96; TEN-F95B60BD0C88</x:v>
      </x:c>
      <x:c r="S691" s="12" t="str">
        <x:v>IT and enterprise campus</x:v>
      </x:c>
      <x:c r="T691" s="12" t="str">
        <x:v>Tenant business-type estimates and reviewed company-scale context.</x:v>
      </x:c>
    </x:row>
    <x:row r="692" ht="127" customHeight="1">
      <x:c r="A692" s="10" t="n">
        <x:v>1</x:v>
      </x:c>
      <x:c r="B692" s="2" t="str">
        <x:v>CORP-0710</x:v>
      </x:c>
      <x:c r="C692" s="2" t="str">
        <x:v>Hyderabad</x:v>
      </x:c>
      <x:c r="D692" s="2" t="str"/>
      <x:c r="E692" s="12" t="str">
        <x:v>Cyber Tower</x:v>
      </x:c>
      <x:c r="F692" s="12" t="str">
        <x:v>Quadrant 1 Elevator lobby</x:v>
      </x:c>
      <x:c r="G692" s="11" t="n">
        <x:v>1</x:v>
      </x:c>
      <x:c r="H692" s="2" t="str">
        <x:v>55 inch</x:v>
      </x:c>
      <x:c r="I692" s="12" t="str">
        <x:v>Righyitfy Solutions; Sierra-Cedar India Pvt. Limited; Amps And Watts; Visual IT Solutions Pvt Ltd; Technosoft Global Solutions; Teksystems Global Services; Softility; iSpace Software Solutions India Pvt Ltd; iSource Global Solutions; Jotter.ai; Nsight India; Pochampalli IT Labs; Carbynetech India Private; Huddl Enterprise Communication Pvt Ltd; Xoriant Solutions Pvt Ltd; Galaxe Solutions; Numeric Technologies; Pennant Technologies Private Limited; Abacus Staffing and Services Pvt Ltd; Lantronix India Pvt. Ltd; Google CGW; Ultimate Bonding Stainless; ComTec IT Services; KloudGin; Infovity India Pvt. Ltd; Netxcell Limited; Techmojo Solutions Pvt Ltd; Pegasys Group; Avineon India</x:v>
      </x:c>
      <x:c r="J692" s="2" t="n">
        <x:v>29</x:v>
      </x:c>
      <x:c r="K692" s="12" t="str">
        <x:v>Campus/portfolio roster; individual building occupancy unverified</x:v>
      </x:c>
      <x:c r="L692" s="12" t="str">
        <x:v>IT &amp; digital; Professional services; Engineering &amp; manufacturing; Unresolved</x:v>
      </x:c>
      <x:c r="M692" s="12" t="str">
        <x:v>Small-scale prospects; Medium-scale prospects; Large enterprise; Mixed business audience</x:v>
      </x:c>
      <x:c r="N692" s="12" t="str">
        <x:v>PARTNER-M295</x:v>
      </x:c>
      <x:c r="O692" s="13"/>
      <x:c r="P692" s="13"/>
      <x:c r="Q692" s="2" t="str"/>
      <x:c r="R692" s="2" t="str">
        <x:v>TEN-0E6A5F7C73CC; TEN-0EDD698BAD2E; TEN-172416680C0F; TEN-2043A419E121; TEN-30099B000C5C; TEN-30F6A61A31C7; TEN-6CAB9DFC425C; TEN-6CBA95EE1BC0; TEN-6FBA7BE7F62E; TEN-738CF5E0F324; TEN-89C7DF9519C3; TEN-8A5EDFCA45E4; TEN-8F9C783063DF; TEN-954E3B0AC1F9; TEN-A509A9AAC287; TEN-B5C691D27CD7; TEN-BC3CB45E4A8C; TEN-C22CCD5B65F2; TEN-C23D7DDF638C; TEN-CF9779F42FF3; TEN-D26EFCBBB5D9; TEN-D6CB554DC303; TEN-D8AA87D79F26; TEN-DAFF8DD90485; TEN-E8C5F0A15362; TEN-F123D2B55E66; TEN-F49BB10C12ED; TEN-F8AF322D0456; TEN-F9676989ACD4</x:v>
      </x:c>
      <x:c r="S692" s="12" t="str">
        <x:v>IT and enterprise campus</x:v>
      </x:c>
      <x:c r="T692" s="12" t="str">
        <x:v>Tenant business-type estimates and reviewed company-scale context.</x:v>
      </x:c>
    </x:row>
    <x:row r="693" ht="127" customHeight="1">
      <x:c r="A693" s="10" t="n">
        <x:v>1</x:v>
      </x:c>
      <x:c r="B693" s="2" t="str">
        <x:v>CORP-0711</x:v>
      </x:c>
      <x:c r="C693" s="2" t="str">
        <x:v>Hyderabad</x:v>
      </x:c>
      <x:c r="D693" s="2" t="str"/>
      <x:c r="E693" s="12" t="str">
        <x:v>Cyber Tower</x:v>
      </x:c>
      <x:c r="F693" s="12" t="str">
        <x:v>Quadrant 2 Elevator lobby</x:v>
      </x:c>
      <x:c r="G693" s="11" t="n">
        <x:v>1</x:v>
      </x:c>
      <x:c r="H693" s="2" t="str">
        <x:v>55 inch</x:v>
      </x:c>
      <x:c r="I693" s="12" t="str">
        <x:v>Righyitfy Solutions; Sierra-Cedar India Pvt. Limited; Amps And Watts; Visual IT Solutions Pvt Ltd; Technosoft Global Solutions; Teksystems Global Services; Softility; iSpace Software Solutions India Pvt Ltd; iSource Global Solutions; Jotter.ai; Nsight India; Pochampalli IT Labs; Carbynetech India Private; Huddl Enterprise Communication Pvt Ltd; Xoriant Solutions Pvt Ltd; Galaxe Solutions; Numeric Technologies; Pennant Technologies Private Limited; Abacus Staffing and Services Pvt Ltd; Lantronix India Pvt. Ltd; Google CGW; Ultimate Bonding Stainless; ComTec IT Services; KloudGin; Infovity India Pvt. Ltd; Netxcell Limited; Techmojo Solutions Pvt Ltd; Pegasys Group; Avineon India</x:v>
      </x:c>
      <x:c r="J693" s="2" t="n">
        <x:v>29</x:v>
      </x:c>
      <x:c r="K693" s="12" t="str">
        <x:v>Campus/portfolio roster; individual building occupancy unverified</x:v>
      </x:c>
      <x:c r="L693" s="12" t="str">
        <x:v>IT &amp; digital; Professional services; Engineering &amp; manufacturing; Unresolved</x:v>
      </x:c>
      <x:c r="M693" s="12" t="str">
        <x:v>Small-scale prospects; Medium-scale prospects; Large enterprise; Mixed business audience</x:v>
      </x:c>
      <x:c r="N693" s="12" t="str">
        <x:v>PARTNER-M295</x:v>
      </x:c>
      <x:c r="O693" s="13"/>
      <x:c r="P693" s="13"/>
      <x:c r="Q693" s="2" t="str"/>
      <x:c r="R693" s="2" t="str">
        <x:v>TEN-0E6A5F7C73CC; TEN-0EDD698BAD2E; TEN-172416680C0F; TEN-2043A419E121; TEN-30099B000C5C; TEN-30F6A61A31C7; TEN-6CAB9DFC425C; TEN-6CBA95EE1BC0; TEN-6FBA7BE7F62E; TEN-738CF5E0F324; TEN-89C7DF9519C3; TEN-8A5EDFCA45E4; TEN-8F9C783063DF; TEN-954E3B0AC1F9; TEN-A509A9AAC287; TEN-B5C691D27CD7; TEN-BC3CB45E4A8C; TEN-C22CCD5B65F2; TEN-C23D7DDF638C; TEN-CF9779F42FF3; TEN-D26EFCBBB5D9; TEN-D6CB554DC303; TEN-D8AA87D79F26; TEN-DAFF8DD90485; TEN-E8C5F0A15362; TEN-F123D2B55E66; TEN-F49BB10C12ED; TEN-F8AF322D0456; TEN-F9676989ACD4</x:v>
      </x:c>
      <x:c r="S693" s="12" t="str">
        <x:v>IT and enterprise campus</x:v>
      </x:c>
      <x:c r="T693" s="12" t="str">
        <x:v>Tenant business-type estimates and reviewed company-scale context.</x:v>
      </x:c>
    </x:row>
    <x:row r="694" ht="127" customHeight="1">
      <x:c r="A694" s="10" t="n">
        <x:v>1</x:v>
      </x:c>
      <x:c r="B694" s="2" t="str">
        <x:v>CORP-0712</x:v>
      </x:c>
      <x:c r="C694" s="2" t="str">
        <x:v>Hyderabad</x:v>
      </x:c>
      <x:c r="D694" s="2" t="str"/>
      <x:c r="E694" s="12" t="str">
        <x:v>Cyber Tower</x:v>
      </x:c>
      <x:c r="F694" s="12" t="str">
        <x:v>Quadrant 3 Elevator lobby</x:v>
      </x:c>
      <x:c r="G694" s="11" t="n">
        <x:v>1</x:v>
      </x:c>
      <x:c r="H694" s="2" t="str">
        <x:v>55 inch</x:v>
      </x:c>
      <x:c r="I694" s="12" t="str">
        <x:v>Righyitfy Solutions; Sierra-Cedar India Pvt. Limited; Amps And Watts; Visual IT Solutions Pvt Ltd; Technosoft Global Solutions; Teksystems Global Services; Softility; iSpace Software Solutions India Pvt Ltd; iSource Global Solutions; Jotter.ai; Nsight India; Pochampalli IT Labs; Carbynetech India Private; Huddl Enterprise Communication Pvt Ltd; Xoriant Solutions Pvt Ltd; Galaxe Solutions; Numeric Technologies; Pennant Technologies Private Limited; Abacus Staffing and Services Pvt Ltd; Lantronix India Pvt. Ltd; Google CGW; Ultimate Bonding Stainless; ComTec IT Services; KloudGin; Infovity India Pvt. Ltd; Netxcell Limited; Techmojo Solutions Pvt Ltd; Pegasys Group; Avineon India</x:v>
      </x:c>
      <x:c r="J694" s="2" t="n">
        <x:v>29</x:v>
      </x:c>
      <x:c r="K694" s="12" t="str">
        <x:v>Campus/portfolio roster; individual building occupancy unverified</x:v>
      </x:c>
      <x:c r="L694" s="12" t="str">
        <x:v>IT &amp; digital; Professional services; Engineering &amp; manufacturing; Unresolved</x:v>
      </x:c>
      <x:c r="M694" s="12" t="str">
        <x:v>Small-scale prospects; Medium-scale prospects; Large enterprise; Mixed business audience</x:v>
      </x:c>
      <x:c r="N694" s="12" t="str">
        <x:v>PARTNER-M295</x:v>
      </x:c>
      <x:c r="O694" s="13"/>
      <x:c r="P694" s="13"/>
      <x:c r="Q694" s="2" t="str"/>
      <x:c r="R694" s="2" t="str">
        <x:v>TEN-0E6A5F7C73CC; TEN-0EDD698BAD2E; TEN-172416680C0F; TEN-2043A419E121; TEN-30099B000C5C; TEN-30F6A61A31C7; TEN-6CAB9DFC425C; TEN-6CBA95EE1BC0; TEN-6FBA7BE7F62E; TEN-738CF5E0F324; TEN-89C7DF9519C3; TEN-8A5EDFCA45E4; TEN-8F9C783063DF; TEN-954E3B0AC1F9; TEN-A509A9AAC287; TEN-B5C691D27CD7; TEN-BC3CB45E4A8C; TEN-C22CCD5B65F2; TEN-C23D7DDF638C; TEN-CF9779F42FF3; TEN-D26EFCBBB5D9; TEN-D6CB554DC303; TEN-D8AA87D79F26; TEN-DAFF8DD90485; TEN-E8C5F0A15362; TEN-F123D2B55E66; TEN-F49BB10C12ED; TEN-F8AF322D0456; TEN-F9676989ACD4</x:v>
      </x:c>
      <x:c r="S694" s="12" t="str">
        <x:v>IT and enterprise campus</x:v>
      </x:c>
      <x:c r="T694" s="12" t="str">
        <x:v>Tenant business-type estimates and reviewed company-scale context.</x:v>
      </x:c>
    </x:row>
    <x:row r="695" ht="127" customHeight="1">
      <x:c r="A695" s="10" t="n">
        <x:v>1</x:v>
      </x:c>
      <x:c r="B695" s="2" t="str">
        <x:v>CORP-0713</x:v>
      </x:c>
      <x:c r="C695" s="2" t="str">
        <x:v>Hyderabad</x:v>
      </x:c>
      <x:c r="D695" s="2" t="str"/>
      <x:c r="E695" s="12" t="str">
        <x:v>Cyber Tower</x:v>
      </x:c>
      <x:c r="F695" s="12" t="str">
        <x:v>Quadrant 4 Elevator lobby</x:v>
      </x:c>
      <x:c r="G695" s="11" t="n">
        <x:v>1</x:v>
      </x:c>
      <x:c r="H695" s="2" t="str">
        <x:v>55 inch</x:v>
      </x:c>
      <x:c r="I695" s="12" t="str">
        <x:v>Righyitfy Solutions; Sierra-Cedar India Pvt. Limited; Amps And Watts; Visual IT Solutions Pvt Ltd; Technosoft Global Solutions; Teksystems Global Services; Softility; iSpace Software Solutions India Pvt Ltd; iSource Global Solutions; Jotter.ai; Nsight India; Pochampalli IT Labs; Carbynetech India Private; Huddl Enterprise Communication Pvt Ltd; Xoriant Solutions Pvt Ltd; Galaxe Solutions; Numeric Technologies; Pennant Technologies Private Limited; Abacus Staffing and Services Pvt Ltd; Lantronix India Pvt. Ltd; Google CGW; Ultimate Bonding Stainless; ComTec IT Services; KloudGin; Infovity India Pvt. Ltd; Netxcell Limited; Techmojo Solutions Pvt Ltd; Pegasys Group; Avineon India</x:v>
      </x:c>
      <x:c r="J695" s="2" t="n">
        <x:v>29</x:v>
      </x:c>
      <x:c r="K695" s="12" t="str">
        <x:v>Campus/portfolio roster; individual building occupancy unverified</x:v>
      </x:c>
      <x:c r="L695" s="12" t="str">
        <x:v>IT &amp; digital; Professional services; Engineering &amp; manufacturing; Unresolved</x:v>
      </x:c>
      <x:c r="M695" s="12" t="str">
        <x:v>Small-scale prospects; Medium-scale prospects; Large enterprise; Mixed business audience</x:v>
      </x:c>
      <x:c r="N695" s="12" t="str">
        <x:v>PARTNER-M295</x:v>
      </x:c>
      <x:c r="O695" s="13"/>
      <x:c r="P695" s="13"/>
      <x:c r="Q695" s="2" t="str"/>
      <x:c r="R695" s="2" t="str">
        <x:v>TEN-0E6A5F7C73CC; TEN-0EDD698BAD2E; TEN-172416680C0F; TEN-2043A419E121; TEN-30099B000C5C; TEN-30F6A61A31C7; TEN-6CAB9DFC425C; TEN-6CBA95EE1BC0; TEN-6FBA7BE7F62E; TEN-738CF5E0F324; TEN-89C7DF9519C3; TEN-8A5EDFCA45E4; TEN-8F9C783063DF; TEN-954E3B0AC1F9; TEN-A509A9AAC287; TEN-B5C691D27CD7; TEN-BC3CB45E4A8C; TEN-C22CCD5B65F2; TEN-C23D7DDF638C; TEN-CF9779F42FF3; TEN-D26EFCBBB5D9; TEN-D6CB554DC303; TEN-D8AA87D79F26; TEN-DAFF8DD90485; TEN-E8C5F0A15362; TEN-F123D2B55E66; TEN-F49BB10C12ED; TEN-F8AF322D0456; TEN-F9676989ACD4</x:v>
      </x:c>
      <x:c r="S695" s="12" t="str">
        <x:v>IT and enterprise campus</x:v>
      </x:c>
      <x:c r="T695" s="12" t="str">
        <x:v>Tenant business-type estimates and reviewed company-scale context.</x:v>
      </x:c>
    </x:row>
    <x:row r="696" ht="127" customHeight="1">
      <x:c r="A696" s="10" t="n">
        <x:v>1</x:v>
      </x:c>
      <x:c r="B696" s="2" t="str">
        <x:v>CORP-0714</x:v>
      </x:c>
      <x:c r="C696" s="2" t="str">
        <x:v>Hyderabad</x:v>
      </x:c>
      <x:c r="D696" s="2" t="str"/>
      <x:c r="E696" s="12" t="str">
        <x:v>Cyber Tower</x:v>
      </x:c>
      <x:c r="F696" s="12" t="str">
        <x:v>Entry way</x:v>
      </x:c>
      <x:c r="G696" s="11" t="n">
        <x:v>1</x:v>
      </x:c>
      <x:c r="H696" s="2" t="str">
        <x:v>55 inch</x:v>
      </x:c>
      <x:c r="I696" s="12" t="str">
        <x:v>Righyitfy Solutions; Sierra-Cedar India Pvt. Limited; Amps And Watts; Visual IT Solutions Pvt Ltd; Technosoft Global Solutions; Teksystems Global Services; Softility; iSpace Software Solutions India Pvt Ltd; iSource Global Solutions; Jotter.ai; Nsight India; Pochampalli IT Labs; Carbynetech India Private; Huddl Enterprise Communication Pvt Ltd; Xoriant Solutions Pvt Ltd; Galaxe Solutions; Numeric Technologies; Pennant Technologies Private Limited; Abacus Staffing and Services Pvt Ltd; Lantronix India Pvt. Ltd; Google CGW; Ultimate Bonding Stainless; ComTec IT Services; KloudGin; Infovity India Pvt. Ltd; Netxcell Limited; Techmojo Solutions Pvt Ltd; Pegasys Group; Avineon India</x:v>
      </x:c>
      <x:c r="J696" s="2" t="n">
        <x:v>29</x:v>
      </x:c>
      <x:c r="K696" s="12" t="str">
        <x:v>Campus/portfolio roster; individual building occupancy unverified</x:v>
      </x:c>
      <x:c r="L696" s="12" t="str">
        <x:v>IT &amp; digital; Professional services; Engineering &amp; manufacturing; Unresolved</x:v>
      </x:c>
      <x:c r="M696" s="12" t="str">
        <x:v>Small-scale prospects; Medium-scale prospects; Large enterprise; Mixed business audience</x:v>
      </x:c>
      <x:c r="N696" s="12" t="str">
        <x:v>PARTNER-M295</x:v>
      </x:c>
      <x:c r="O696" s="13"/>
      <x:c r="P696" s="13"/>
      <x:c r="Q696" s="2" t="str"/>
      <x:c r="R696" s="2" t="str">
        <x:v>TEN-0E6A5F7C73CC; TEN-0EDD698BAD2E; TEN-172416680C0F; TEN-2043A419E121; TEN-30099B000C5C; TEN-30F6A61A31C7; TEN-6CAB9DFC425C; TEN-6CBA95EE1BC0; TEN-6FBA7BE7F62E; TEN-738CF5E0F324; TEN-89C7DF9519C3; TEN-8A5EDFCA45E4; TEN-8F9C783063DF; TEN-954E3B0AC1F9; TEN-A509A9AAC287; TEN-B5C691D27CD7; TEN-BC3CB45E4A8C; TEN-C22CCD5B65F2; TEN-C23D7DDF638C; TEN-CF9779F42FF3; TEN-D26EFCBBB5D9; TEN-D6CB554DC303; TEN-D8AA87D79F26; TEN-DAFF8DD90485; TEN-E8C5F0A15362; TEN-F123D2B55E66; TEN-F49BB10C12ED; TEN-F8AF322D0456; TEN-F9676989ACD4</x:v>
      </x:c>
      <x:c r="S696" s="12" t="str">
        <x:v>IT and enterprise campus</x:v>
      </x:c>
      <x:c r="T696" s="12" t="str">
        <x:v>Tenant business-type estimates and reviewed company-scale context.</x:v>
      </x:c>
    </x:row>
    <x:row r="697" ht="88" customHeight="1">
      <x:c r="A697" s="10" t="n">
        <x:v>1</x:v>
      </x:c>
      <x:c r="B697" s="2" t="str">
        <x:v>CORP-0715</x:v>
      </x:c>
      <x:c r="C697" s="2" t="str">
        <x:v>Hyderabad</x:v>
      </x:c>
      <x:c r="D697" s="2" t="str"/>
      <x:c r="E697" s="12" t="str">
        <x:v>Waverock IT Park</x:v>
      </x:c>
      <x:c r="F697" s="12" t="str">
        <x:v>Food Court - 2.0</x:v>
      </x:c>
      <x:c r="G697" s="11" t="n">
        <x:v>1</x:v>
      </x:c>
      <x:c r="H697" s="2" t="str">
        <x:v>55 inch</x:v>
      </x:c>
      <x:c r="I697" s="12" t="str">
        <x:v>DBS Technology Service India; ETG Digital; Attra Infotech; ShootOrder; Qumu Corp; Accenture; Classic Design; Eze Software; Tata Consultancy Services; Apple Development Center; GlobalLogic Technologies; Persistent Systems; Aveva; M3BI India Pvt Ltd; CompuGain Solutions; DuPont; Helius Technologies; Idea Entity Tech Solutions; Research Wallet; Accelerite; Vehicle Fitness Company; RMSI Pvt Limited; Innominds Software</x:v>
      </x:c>
      <x:c r="J697" s="2" t="n">
        <x:v>23</x:v>
      </x:c>
      <x:c r="K697" s="12" t="str">
        <x:v>Campus/portfolio roster; individual building occupancy unverified</x:v>
      </x:c>
      <x:c r="L697" s="12" t="str">
        <x:v>IT &amp; digital; Professional services; Engineering &amp; manufacturing; Unresolved</x:v>
      </x:c>
      <x:c r="M697" s="12" t="str">
        <x:v>Small-scale prospects; Medium-scale prospects; Large enterprise; Mixed business audience</x:v>
      </x:c>
      <x:c r="N697" s="12" t="str">
        <x:v>PARTNER-M300</x:v>
      </x:c>
      <x:c r="O697" s="13"/>
      <x:c r="P697" s="13"/>
      <x:c r="Q697" s="2" t="str"/>
      <x:c r="R697" s="2" t="str">
        <x:v>TEN-0A41DF50FB75; TEN-102EF275BFD6; TEN-13D5183E2424; TEN-1781916B2378; TEN-3EDE65EA0CF4; TEN-45562E981863; TEN-4D748EBD71AF; TEN-5C5CC4165124; TEN-5C7E939E5259; TEN-5FA790F3630F; TEN-605FBFDF4C2C; TEN-866EA055BD61; TEN-956E5A41DB14; TEN-9FE6746863D6; TEN-A5721E1BABB7; TEN-A7905EBB5DD3; TEN-A932AA2FF310; TEN-B043864B7FFB; TEN-C42E337B9F49; TEN-CCF988B40B7F; TEN-CFB36C1F4640; TEN-EAE5AC232E0F; TEN-EDE803F3F786; TEN-EFC60595AA04; TEN-FCE68113EA76</x:v>
      </x:c>
      <x:c r="S697" s="12" t="str">
        <x:v>IT and enterprise campus</x:v>
      </x:c>
      <x:c r="T697" s="12" t="str">
        <x:v>Tenant business-type estimates and reviewed company-scale context.</x:v>
      </x:c>
    </x:row>
    <x:row r="698" ht="88" customHeight="1">
      <x:c r="A698" s="10" t="n">
        <x:v>1</x:v>
      </x:c>
      <x:c r="B698" s="2" t="str">
        <x:v>CORP-0716</x:v>
      </x:c>
      <x:c r="C698" s="2" t="str">
        <x:v>Hyderabad</x:v>
      </x:c>
      <x:c r="D698" s="2" t="str"/>
      <x:c r="E698" s="12" t="str">
        <x:v>Waverock IT Park</x:v>
      </x:c>
      <x:c r="F698" s="12" t="str">
        <x:v>Food Court - 2.1</x:v>
      </x:c>
      <x:c r="G698" s="11" t="n">
        <x:v>1</x:v>
      </x:c>
      <x:c r="H698" s="2" t="str">
        <x:v>55 inch</x:v>
      </x:c>
      <x:c r="I698" s="12" t="str">
        <x:v>DBS Technology Service India; ETG Digital; Attra Infotech; ShootOrder; Qumu Corp; Accenture; Classic Design; Eze Software; Tata Consultancy Services; Apple Development Center; GlobalLogic Technologies; Persistent Systems; Aveva; M3BI India Pvt Ltd; CompuGain Solutions; DuPont; Helius Technologies; Idea Entity Tech Solutions; Research Wallet; Accelerite; Vehicle Fitness Company; RMSI Pvt Limited; Innominds Software</x:v>
      </x:c>
      <x:c r="J698" s="2" t="n">
        <x:v>23</x:v>
      </x:c>
      <x:c r="K698" s="12" t="str">
        <x:v>Campus/portfolio roster; individual building occupancy unverified</x:v>
      </x:c>
      <x:c r="L698" s="12" t="str">
        <x:v>IT &amp; digital; Professional services; Engineering &amp; manufacturing; Unresolved</x:v>
      </x:c>
      <x:c r="M698" s="12" t="str">
        <x:v>Small-scale prospects; Medium-scale prospects; Large enterprise; Mixed business audience</x:v>
      </x:c>
      <x:c r="N698" s="12" t="str">
        <x:v>PARTNER-M300</x:v>
      </x:c>
      <x:c r="O698" s="13"/>
      <x:c r="P698" s="13"/>
      <x:c r="Q698" s="2" t="str"/>
      <x:c r="R698" s="2" t="str">
        <x:v>TEN-0A41DF50FB75; TEN-102EF275BFD6; TEN-13D5183E2424; TEN-1781916B2378; TEN-3EDE65EA0CF4; TEN-45562E981863; TEN-4D748EBD71AF; TEN-5C5CC4165124; TEN-5C7E939E5259; TEN-5FA790F3630F; TEN-605FBFDF4C2C; TEN-866EA055BD61; TEN-956E5A41DB14; TEN-9FE6746863D6; TEN-A5721E1BABB7; TEN-A7905EBB5DD3; TEN-A932AA2FF310; TEN-B043864B7FFB; TEN-C42E337B9F49; TEN-CCF988B40B7F; TEN-CFB36C1F4640; TEN-EAE5AC232E0F; TEN-EDE803F3F786; TEN-EFC60595AA04; TEN-FCE68113EA76</x:v>
      </x:c>
      <x:c r="S698" s="12" t="str">
        <x:v>IT and enterprise campus</x:v>
      </x:c>
      <x:c r="T698" s="12" t="str">
        <x:v>Tenant business-type estimates and reviewed company-scale context.</x:v>
      </x:c>
    </x:row>
    <x:row r="699" ht="88" customHeight="1">
      <x:c r="A699" s="10" t="n">
        <x:v>1</x:v>
      </x:c>
      <x:c r="B699" s="2" t="str">
        <x:v>CORP-0717</x:v>
      </x:c>
      <x:c r="C699" s="2" t="str">
        <x:v>Hyderabad</x:v>
      </x:c>
      <x:c r="D699" s="2" t="str"/>
      <x:c r="E699" s="12" t="str">
        <x:v>Waverock IT Park</x:v>
      </x:c>
      <x:c r="F699" s="12" t="str">
        <x:v>Waverock IT Park</x:v>
      </x:c>
      <x:c r="G699" s="11" t="n">
        <x:v>1</x:v>
      </x:c>
      <x:c r="H699" s="2" t="str">
        <x:v>55 inch</x:v>
      </x:c>
      <x:c r="I699" s="12" t="str">
        <x:v>DBS Technology Service India; ETG Digital; Attra Infotech; ShootOrder; Qumu Corp; Accenture; Classic Design; Eze Software; Tata Consultancy Services; Apple Development Center; GlobalLogic Technologies; Persistent Systems; Aveva; M3BI India Pvt Ltd; CompuGain Solutions; DuPont; Helius Technologies; Idea Entity Tech Solutions; Research Wallet; Accelerite; Vehicle Fitness Company; RMSI Pvt Limited; Innominds Software</x:v>
      </x:c>
      <x:c r="J699" s="2" t="n">
        <x:v>23</x:v>
      </x:c>
      <x:c r="K699" s="12" t="str">
        <x:v>Campus/portfolio roster; individual building occupancy unverified</x:v>
      </x:c>
      <x:c r="L699" s="12" t="str">
        <x:v>IT &amp; digital; Professional services; Engineering &amp; manufacturing; Unresolved</x:v>
      </x:c>
      <x:c r="M699" s="12" t="str">
        <x:v>Small-scale prospects; Medium-scale prospects; Large enterprise; Mixed business audience</x:v>
      </x:c>
      <x:c r="N699" s="12" t="str">
        <x:v>PARTNER-M300</x:v>
      </x:c>
      <x:c r="O699" s="13"/>
      <x:c r="P699" s="13"/>
      <x:c r="Q699" s="2" t="str"/>
      <x:c r="R699" s="2" t="str">
        <x:v>TEN-0A41DF50FB75; TEN-102EF275BFD6; TEN-13D5183E2424; TEN-1781916B2378; TEN-3EDE65EA0CF4; TEN-45562E981863; TEN-4D748EBD71AF; TEN-5C5CC4165124; TEN-5C7E939E5259; TEN-5FA790F3630F; TEN-605FBFDF4C2C; TEN-866EA055BD61; TEN-956E5A41DB14; TEN-9FE6746863D6; TEN-A5721E1BABB7; TEN-A7905EBB5DD3; TEN-A932AA2FF310; TEN-B043864B7FFB; TEN-C42E337B9F49; TEN-CCF988B40B7F; TEN-CFB36C1F4640; TEN-EAE5AC232E0F; TEN-EDE803F3F786; TEN-EFC60595AA04; TEN-FCE68113EA76</x:v>
      </x:c>
      <x:c r="S699" s="12" t="str">
        <x:v>IT and enterprise campus</x:v>
      </x:c>
      <x:c r="T699" s="12" t="str">
        <x:v>Tenant business-type estimates and reviewed company-scale context.</x:v>
      </x:c>
    </x:row>
    <x:row r="700" ht="88" customHeight="1">
      <x:c r="A700" s="10" t="n">
        <x:v>1</x:v>
      </x:c>
      <x:c r="B700" s="2" t="str">
        <x:v>CORP-0718</x:v>
      </x:c>
      <x:c r="C700" s="2" t="str">
        <x:v>Hyderabad</x:v>
      </x:c>
      <x:c r="D700" s="2" t="str"/>
      <x:c r="E700" s="12" t="str">
        <x:v>Waverock IT Park</x:v>
      </x:c>
      <x:c r="F700" s="12" t="str">
        <x:v>Waverock IT Park</x:v>
      </x:c>
      <x:c r="G700" s="11" t="n">
        <x:v>1</x:v>
      </x:c>
      <x:c r="H700" s="2" t="str">
        <x:v>55 inch</x:v>
      </x:c>
      <x:c r="I700" s="12" t="str">
        <x:v>DBS Technology Service India; ETG Digital; Attra Infotech; ShootOrder; Qumu Corp; Accenture; Classic Design; Eze Software; Tata Consultancy Services; Apple Development Center; GlobalLogic Technologies; Persistent Systems; Aveva; M3BI India Pvt Ltd; CompuGain Solutions; DuPont; Helius Technologies; Idea Entity Tech Solutions; Research Wallet; Accelerite; Vehicle Fitness Company; RMSI Pvt Limited; Innominds Software</x:v>
      </x:c>
      <x:c r="J700" s="2" t="n">
        <x:v>23</x:v>
      </x:c>
      <x:c r="K700" s="12" t="str">
        <x:v>Campus/portfolio roster; individual building occupancy unverified</x:v>
      </x:c>
      <x:c r="L700" s="12" t="str">
        <x:v>IT &amp; digital; Professional services; Engineering &amp; manufacturing; Unresolved</x:v>
      </x:c>
      <x:c r="M700" s="12" t="str">
        <x:v>Small-scale prospects; Medium-scale prospects; Large enterprise; Mixed business audience</x:v>
      </x:c>
      <x:c r="N700" s="12" t="str">
        <x:v>PARTNER-M300</x:v>
      </x:c>
      <x:c r="O700" s="13"/>
      <x:c r="P700" s="13"/>
      <x:c r="Q700" s="2" t="str"/>
      <x:c r="R700" s="2" t="str">
        <x:v>TEN-0A41DF50FB75; TEN-102EF275BFD6; TEN-13D5183E2424; TEN-1781916B2378; TEN-3EDE65EA0CF4; TEN-45562E981863; TEN-4D748EBD71AF; TEN-5C5CC4165124; TEN-5C7E939E5259; TEN-5FA790F3630F; TEN-605FBFDF4C2C; TEN-866EA055BD61; TEN-956E5A41DB14; TEN-9FE6746863D6; TEN-A5721E1BABB7; TEN-A7905EBB5DD3; TEN-A932AA2FF310; TEN-B043864B7FFB; TEN-C42E337B9F49; TEN-CCF988B40B7F; TEN-CFB36C1F4640; TEN-EAE5AC232E0F; TEN-EDE803F3F786; TEN-EFC60595AA04; TEN-FCE68113EA76</x:v>
      </x:c>
      <x:c r="S700" s="12" t="str">
        <x:v>IT and enterprise campus</x:v>
      </x:c>
      <x:c r="T700" s="12" t="str">
        <x:v>Tenant business-type estimates and reviewed company-scale context.</x:v>
      </x:c>
    </x:row>
    <x:row r="701" ht="88" customHeight="1">
      <x:c r="A701" s="10" t="n">
        <x:v>1</x:v>
      </x:c>
      <x:c r="B701" s="2" t="str">
        <x:v>CORP-0719</x:v>
      </x:c>
      <x:c r="C701" s="2" t="str">
        <x:v>Hyderabad</x:v>
      </x:c>
      <x:c r="D701" s="2" t="str"/>
      <x:c r="E701" s="12" t="str">
        <x:v>Waverock IT Park</x:v>
      </x:c>
      <x:c r="F701" s="12" t="str">
        <x:v>Waverock IT Park</x:v>
      </x:c>
      <x:c r="G701" s="11" t="n">
        <x:v>1</x:v>
      </x:c>
      <x:c r="H701" s="2" t="str">
        <x:v>55 inch</x:v>
      </x:c>
      <x:c r="I701" s="12" t="str">
        <x:v>DBS Technology Service India; ETG Digital; Attra Infotech; ShootOrder; Qumu Corp; Accenture; Classic Design; Eze Software; Tata Consultancy Services; Apple Development Center; GlobalLogic Technologies; Persistent Systems; Aveva; M3BI India Pvt Ltd; CompuGain Solutions; DuPont; Helius Technologies; Idea Entity Tech Solutions; Research Wallet; Accelerite; Vehicle Fitness Company; RMSI Pvt Limited; Innominds Software</x:v>
      </x:c>
      <x:c r="J701" s="2" t="n">
        <x:v>23</x:v>
      </x:c>
      <x:c r="K701" s="12" t="str">
        <x:v>Campus/portfolio roster; individual building occupancy unverified</x:v>
      </x:c>
      <x:c r="L701" s="12" t="str">
        <x:v>IT &amp; digital; Professional services; Engineering &amp; manufacturing; Unresolved</x:v>
      </x:c>
      <x:c r="M701" s="12" t="str">
        <x:v>Small-scale prospects; Medium-scale prospects; Large enterprise; Mixed business audience</x:v>
      </x:c>
      <x:c r="N701" s="12" t="str">
        <x:v>PARTNER-M300</x:v>
      </x:c>
      <x:c r="O701" s="13"/>
      <x:c r="P701" s="13"/>
      <x:c r="Q701" s="2" t="str"/>
      <x:c r="R701" s="2" t="str">
        <x:v>TEN-0A41DF50FB75; TEN-102EF275BFD6; TEN-13D5183E2424; TEN-1781916B2378; TEN-3EDE65EA0CF4; TEN-45562E981863; TEN-4D748EBD71AF; TEN-5C5CC4165124; TEN-5C7E939E5259; TEN-5FA790F3630F; TEN-605FBFDF4C2C; TEN-866EA055BD61; TEN-956E5A41DB14; TEN-9FE6746863D6; TEN-A5721E1BABB7; TEN-A7905EBB5DD3; TEN-A932AA2FF310; TEN-B043864B7FFB; TEN-C42E337B9F49; TEN-CCF988B40B7F; TEN-CFB36C1F4640; TEN-EAE5AC232E0F; TEN-EDE803F3F786; TEN-EFC60595AA04; TEN-FCE68113EA76</x:v>
      </x:c>
      <x:c r="S701" s="12" t="str">
        <x:v>IT and enterprise campus</x:v>
      </x:c>
      <x:c r="T701" s="12" t="str">
        <x:v>Tenant business-type estimates and reviewed company-scale context.</x:v>
      </x:c>
    </x:row>
    <x:row r="702" ht="88" customHeight="1">
      <x:c r="A702" s="10" t="n">
        <x:v>1</x:v>
      </x:c>
      <x:c r="B702" s="2" t="str">
        <x:v>CORP-0720</x:v>
      </x:c>
      <x:c r="C702" s="2" t="str">
        <x:v>Hyderabad</x:v>
      </x:c>
      <x:c r="D702" s="2" t="str"/>
      <x:c r="E702" s="12" t="str">
        <x:v>Waverock IT Park</x:v>
      </x:c>
      <x:c r="F702" s="12" t="str">
        <x:v>Waverock IT Park</x:v>
      </x:c>
      <x:c r="G702" s="11" t="n">
        <x:v>1</x:v>
      </x:c>
      <x:c r="H702" s="2" t="str">
        <x:v>55 inch</x:v>
      </x:c>
      <x:c r="I702" s="12" t="str">
        <x:v>DBS Technology Service India; ETG Digital; Attra Infotech; ShootOrder; Qumu Corp; Accenture; Classic Design; Eze Software; Tata Consultancy Services; Apple Development Center; GlobalLogic Technologies; Persistent Systems; Aveva; M3BI India Pvt Ltd; CompuGain Solutions; DuPont; Helius Technologies; Idea Entity Tech Solutions; Research Wallet; Accelerite; Vehicle Fitness Company; RMSI Pvt Limited; Innominds Software</x:v>
      </x:c>
      <x:c r="J702" s="2" t="n">
        <x:v>23</x:v>
      </x:c>
      <x:c r="K702" s="12" t="str">
        <x:v>Campus/portfolio roster; individual building occupancy unverified</x:v>
      </x:c>
      <x:c r="L702" s="12" t="str">
        <x:v>IT &amp; digital; Professional services; Engineering &amp; manufacturing; Unresolved</x:v>
      </x:c>
      <x:c r="M702" s="12" t="str">
        <x:v>Small-scale prospects; Medium-scale prospects; Large enterprise; Mixed business audience</x:v>
      </x:c>
      <x:c r="N702" s="12" t="str">
        <x:v>PARTNER-M300</x:v>
      </x:c>
      <x:c r="O702" s="13"/>
      <x:c r="P702" s="13"/>
      <x:c r="Q702" s="2" t="str"/>
      <x:c r="R702" s="2" t="str">
        <x:v>TEN-0A41DF50FB75; TEN-102EF275BFD6; TEN-13D5183E2424; TEN-1781916B2378; TEN-3EDE65EA0CF4; TEN-45562E981863; TEN-4D748EBD71AF; TEN-5C5CC4165124; TEN-5C7E939E5259; TEN-5FA790F3630F; TEN-605FBFDF4C2C; TEN-866EA055BD61; TEN-956E5A41DB14; TEN-9FE6746863D6; TEN-A5721E1BABB7; TEN-A7905EBB5DD3; TEN-A932AA2FF310; TEN-B043864B7FFB; TEN-C42E337B9F49; TEN-CCF988B40B7F; TEN-CFB36C1F4640; TEN-EAE5AC232E0F; TEN-EDE803F3F786; TEN-EFC60595AA04; TEN-FCE68113EA76</x:v>
      </x:c>
      <x:c r="S702" s="12" t="str">
        <x:v>IT and enterprise campus</x:v>
      </x:c>
      <x:c r="T702" s="12" t="str">
        <x:v>Tenant business-type estimates and reviewed company-scale context.</x:v>
      </x:c>
    </x:row>
    <x:row r="703" ht="88" customHeight="1">
      <x:c r="A703" s="10" t="n">
        <x:v>1</x:v>
      </x:c>
      <x:c r="B703" s="2" t="str">
        <x:v>CORP-0721</x:v>
      </x:c>
      <x:c r="C703" s="2" t="str">
        <x:v>Hyderabad</x:v>
      </x:c>
      <x:c r="D703" s="2" t="str"/>
      <x:c r="E703" s="12" t="str">
        <x:v>Waverock IT Park</x:v>
      </x:c>
      <x:c r="F703" s="12" t="str">
        <x:v>Food Court - 2.1 WM</x:v>
      </x:c>
      <x:c r="G703" s="11" t="n">
        <x:v>1</x:v>
      </x:c>
      <x:c r="H703" s="2" t="str">
        <x:v>55 inch</x:v>
      </x:c>
      <x:c r="I703" s="12" t="str">
        <x:v>DBS Technology Service India; ETG Digital; Attra Infotech; ShootOrder; Qumu Corp; Accenture; Classic Design; Eze Software; Tata Consultancy Services; Apple Development Center; GlobalLogic Technologies; Persistent Systems; Aveva; M3BI India Pvt Ltd; CompuGain Solutions; DuPont; Helius Technologies; Idea Entity Tech Solutions; Research Wallet; Accelerite; Vehicle Fitness Company; RMSI Pvt Limited; Innominds Software</x:v>
      </x:c>
      <x:c r="J703" s="2" t="n">
        <x:v>23</x:v>
      </x:c>
      <x:c r="K703" s="12" t="str">
        <x:v>Campus/portfolio roster; individual building occupancy unverified</x:v>
      </x:c>
      <x:c r="L703" s="12" t="str">
        <x:v>IT &amp; digital; Professional services; Engineering &amp; manufacturing; Unresolved</x:v>
      </x:c>
      <x:c r="M703" s="12" t="str">
        <x:v>Small-scale prospects; Medium-scale prospects; Large enterprise; Mixed business audience</x:v>
      </x:c>
      <x:c r="N703" s="12" t="str">
        <x:v>PARTNER-M300</x:v>
      </x:c>
      <x:c r="O703" s="13"/>
      <x:c r="P703" s="13"/>
      <x:c r="Q703" s="2" t="str"/>
      <x:c r="R703" s="2" t="str">
        <x:v>TEN-0A41DF50FB75; TEN-102EF275BFD6; TEN-13D5183E2424; TEN-1781916B2378; TEN-3EDE65EA0CF4; TEN-45562E981863; TEN-4D748EBD71AF; TEN-5C5CC4165124; TEN-5C7E939E5259; TEN-5FA790F3630F; TEN-605FBFDF4C2C; TEN-866EA055BD61; TEN-956E5A41DB14; TEN-9FE6746863D6; TEN-A5721E1BABB7; TEN-A7905EBB5DD3; TEN-A932AA2FF310; TEN-B043864B7FFB; TEN-C42E337B9F49; TEN-CCF988B40B7F; TEN-CFB36C1F4640; TEN-EAE5AC232E0F; TEN-EDE803F3F786; TEN-EFC60595AA04; TEN-FCE68113EA76</x:v>
      </x:c>
      <x:c r="S703" s="12" t="str">
        <x:v>IT and enterprise campus</x:v>
      </x:c>
      <x:c r="T703" s="12" t="str">
        <x:v>Tenant business-type estimates and reviewed company-scale context.</x:v>
      </x:c>
    </x:row>
    <x:row r="704" ht="88" customHeight="1">
      <x:c r="A704" s="10" t="n">
        <x:v>1</x:v>
      </x:c>
      <x:c r="B704" s="2" t="str">
        <x:v>CORP-0722</x:v>
      </x:c>
      <x:c r="C704" s="2" t="str">
        <x:v>Hyderabad</x:v>
      </x:c>
      <x:c r="D704" s="2" t="str"/>
      <x:c r="E704" s="12" t="str">
        <x:v>Waverock IT Park</x:v>
      </x:c>
      <x:c r="F704" s="12" t="str">
        <x:v>Food Court - 2.3</x:v>
      </x:c>
      <x:c r="G704" s="11" t="n">
        <x:v>1</x:v>
      </x:c>
      <x:c r="H704" s="2" t="str">
        <x:v>55 inch</x:v>
      </x:c>
      <x:c r="I704" s="12" t="str">
        <x:v>DBS Technology Service India; ETG Digital; Attra Infotech; ShootOrder; Qumu Corp; Accenture; Classic Design; Eze Software; Tata Consultancy Services; Apple Development Center; GlobalLogic Technologies; Persistent Systems; Aveva; M3BI India Pvt Ltd; CompuGain Solutions; DuPont; Helius Technologies; Idea Entity Tech Solutions; Research Wallet; Accelerite; Vehicle Fitness Company; RMSI Pvt Limited; Innominds Software</x:v>
      </x:c>
      <x:c r="J704" s="2" t="n">
        <x:v>23</x:v>
      </x:c>
      <x:c r="K704" s="12" t="str">
        <x:v>Campus/portfolio roster; individual building occupancy unverified</x:v>
      </x:c>
      <x:c r="L704" s="12" t="str">
        <x:v>IT &amp; digital; Professional services; Engineering &amp; manufacturing; Unresolved</x:v>
      </x:c>
      <x:c r="M704" s="12" t="str">
        <x:v>Small-scale prospects; Medium-scale prospects; Large enterprise; Mixed business audience</x:v>
      </x:c>
      <x:c r="N704" s="12" t="str">
        <x:v>PARTNER-M300</x:v>
      </x:c>
      <x:c r="O704" s="13"/>
      <x:c r="P704" s="13"/>
      <x:c r="Q704" s="2" t="str"/>
      <x:c r="R704" s="2" t="str">
        <x:v>TEN-0A41DF50FB75; TEN-102EF275BFD6; TEN-13D5183E2424; TEN-1781916B2378; TEN-3EDE65EA0CF4; TEN-45562E981863; TEN-4D748EBD71AF; TEN-5C5CC4165124; TEN-5C7E939E5259; TEN-5FA790F3630F; TEN-605FBFDF4C2C; TEN-866EA055BD61; TEN-956E5A41DB14; TEN-9FE6746863D6; TEN-A5721E1BABB7; TEN-A7905EBB5DD3; TEN-A932AA2FF310; TEN-B043864B7FFB; TEN-C42E337B9F49; TEN-CCF988B40B7F; TEN-CFB36C1F4640; TEN-EAE5AC232E0F; TEN-EDE803F3F786; TEN-EFC60595AA04; TEN-FCE68113EA76</x:v>
      </x:c>
      <x:c r="S704" s="12" t="str">
        <x:v>IT and enterprise campus</x:v>
      </x:c>
      <x:c r="T704" s="12" t="str">
        <x:v>Tenant business-type estimates and reviewed company-scale context.</x:v>
      </x:c>
    </x:row>
    <x:row r="705" ht="75" customHeight="1">
      <x:c r="A705" s="10" t="n">
        <x:v>1</x:v>
      </x:c>
      <x:c r="B705" s="2" t="str">
        <x:v>CORP-0723</x:v>
      </x:c>
      <x:c r="C705" s="2" t="str">
        <x:v>Hyderabad</x:v>
      </x:c>
      <x:c r="D705" s="2" t="str"/>
      <x:c r="E705" s="12" t="str">
        <x:v>Aurobindo Galaxy</x:v>
      </x:c>
      <x:c r="F705" s="12" t="str">
        <x:v>Food court Entry exit</x:v>
      </x:c>
      <x:c r="G705" s="11" t="n">
        <x:v>1</x:v>
      </x:c>
      <x:c r="H705" s="2" t="str">
        <x:v>55 inch</x:v>
      </x:c>
      <x:c r="I705" s="12" t="str">
        <x:v>SenecaGlobal IT Services Private Limited; SMSCountry; Cohance Lifesciences; Renault Nissan Technology &amp; Business Center India; Solenis GSS India Private Limited; Columbus Global India; DAZN SOFTWARE PRIVATE LIMITED; coMakeIT Software Pvt Ltd; Cotiviti India; RightData Labs Pvt Ltd; Quantela; Smartworks; Sourcefuse; Re Sustainability Limited</x:v>
      </x:c>
      <x:c r="J705" s="2" t="n">
        <x:v>14</x:v>
      </x:c>
      <x:c r="K705" s="12" t="str">
        <x:v>Campus/portfolio roster; individual building occupancy unverified</x:v>
      </x:c>
      <x:c r="L705" s="12" t="str">
        <x:v>IT &amp; digital; Engineering &amp; manufacturing; Healthcare &amp; life sciences; Workspace &amp; property operations</x:v>
      </x:c>
      <x:c r="M705" s="12" t="str">
        <x:v>Small-scale prospects; Mixed business audience</x:v>
      </x:c>
      <x:c r="N705" s="12" t="str">
        <x:v>PARTNER-M308</x:v>
      </x:c>
      <x:c r="O705" s="13"/>
      <x:c r="P705" s="13"/>
      <x:c r="Q705" s="2" t="str"/>
      <x:c r="R705" s="2" t="str">
        <x:v>TEN-285CEC965FE7; TEN-2F2EE24ED078; TEN-52A348458B44; TEN-564B6BFAB738; TEN-5F079A2B9BA5; TEN-6D3FD8E92D3B; TEN-71B3D21F0CCC; TEN-71E01020DF68; TEN-92B63CC8EFA5; TEN-9F938B95F156; TEN-B4D82B3F4A64; TEN-B68EE3D6C8CA; TEN-D2D88D6E7476; TEN-D37CD0DDC792</x:v>
      </x:c>
      <x:c r="S705" s="12" t="str">
        <x:v>Mixed commercial workplace</x:v>
      </x:c>
      <x:c r="T705" s="12" t="str">
        <x:v>Tenant business-type estimates and reviewed company-scale context.</x:v>
      </x:c>
    </x:row>
    <x:row r="706" ht="75" customHeight="1">
      <x:c r="A706" s="10" t="n">
        <x:v>1</x:v>
      </x:c>
      <x:c r="B706" s="2" t="str">
        <x:v>CORP-0724</x:v>
      </x:c>
      <x:c r="C706" s="2" t="str">
        <x:v>Hyderabad</x:v>
      </x:c>
      <x:c r="D706" s="2" t="str"/>
      <x:c r="E706" s="12" t="str">
        <x:v>Aurobindo Galaxy</x:v>
      </x:c>
      <x:c r="F706" s="12" t="str">
        <x:v>Food court retail area GF</x:v>
      </x:c>
      <x:c r="G706" s="11" t="n">
        <x:v>1</x:v>
      </x:c>
      <x:c r="H706" s="2" t="str">
        <x:v>55 inch</x:v>
      </x:c>
      <x:c r="I706" s="12" t="str">
        <x:v>SenecaGlobal IT Services Private Limited; SMSCountry; Cohance Lifesciences; Renault Nissan Technology &amp; Business Center India; Solenis GSS India Private Limited; Columbus Global India; DAZN SOFTWARE PRIVATE LIMITED; coMakeIT Software Pvt Ltd; Cotiviti India; RightData Labs Pvt Ltd; Quantela; Smartworks; Sourcefuse; Re Sustainability Limited</x:v>
      </x:c>
      <x:c r="J706" s="2" t="n">
        <x:v>14</x:v>
      </x:c>
      <x:c r="K706" s="12" t="str">
        <x:v>Campus/portfolio roster; individual building occupancy unverified</x:v>
      </x:c>
      <x:c r="L706" s="12" t="str">
        <x:v>IT &amp; digital; Engineering &amp; manufacturing; Healthcare &amp; life sciences; Workspace &amp; property operations</x:v>
      </x:c>
      <x:c r="M706" s="12" t="str">
        <x:v>Small-scale prospects; Mixed business audience</x:v>
      </x:c>
      <x:c r="N706" s="12" t="str">
        <x:v>PARTNER-M308</x:v>
      </x:c>
      <x:c r="O706" s="13"/>
      <x:c r="P706" s="13"/>
      <x:c r="Q706" s="2" t="str"/>
      <x:c r="R706" s="2" t="str">
        <x:v>TEN-285CEC965FE7; TEN-2F2EE24ED078; TEN-52A348458B44; TEN-564B6BFAB738; TEN-5F079A2B9BA5; TEN-6D3FD8E92D3B; TEN-71B3D21F0CCC; TEN-71E01020DF68; TEN-92B63CC8EFA5; TEN-9F938B95F156; TEN-B4D82B3F4A64; TEN-B68EE3D6C8CA; TEN-D2D88D6E7476; TEN-D37CD0DDC792</x:v>
      </x:c>
      <x:c r="S706" s="12" t="str">
        <x:v>Mixed commercial workplace</x:v>
      </x:c>
      <x:c r="T706" s="12" t="str">
        <x:v>Tenant business-type estimates and reviewed company-scale context.</x:v>
      </x:c>
    </x:row>
    <x:row r="707" ht="75" customHeight="1">
      <x:c r="A707" s="10" t="n">
        <x:v>1</x:v>
      </x:c>
      <x:c r="B707" s="2" t="str">
        <x:v>CORP-0725</x:v>
      </x:c>
      <x:c r="C707" s="2" t="str">
        <x:v>Hyderabad</x:v>
      </x:c>
      <x:c r="D707" s="2" t="str"/>
      <x:c r="E707" s="12" t="str">
        <x:v>Aurobindo Galaxy</x:v>
      </x:c>
      <x:c r="F707" s="12" t="str">
        <x:v>Food court retail area FF</x:v>
      </x:c>
      <x:c r="G707" s="11" t="n">
        <x:v>1</x:v>
      </x:c>
      <x:c r="H707" s="2" t="str">
        <x:v>55 inch</x:v>
      </x:c>
      <x:c r="I707" s="12" t="str">
        <x:v>SenecaGlobal IT Services Private Limited; SMSCountry; Cohance Lifesciences; Renault Nissan Technology &amp; Business Center India; Solenis GSS India Private Limited; Columbus Global India; DAZN SOFTWARE PRIVATE LIMITED; coMakeIT Software Pvt Ltd; Cotiviti India; RightData Labs Pvt Ltd; Quantela; Smartworks; Sourcefuse; Re Sustainability Limited</x:v>
      </x:c>
      <x:c r="J707" s="2" t="n">
        <x:v>14</x:v>
      </x:c>
      <x:c r="K707" s="12" t="str">
        <x:v>Campus/portfolio roster; individual building occupancy unverified</x:v>
      </x:c>
      <x:c r="L707" s="12" t="str">
        <x:v>IT &amp; digital; Engineering &amp; manufacturing; Healthcare &amp; life sciences; Workspace &amp; property operations</x:v>
      </x:c>
      <x:c r="M707" s="12" t="str">
        <x:v>Small-scale prospects; Mixed business audience</x:v>
      </x:c>
      <x:c r="N707" s="12" t="str">
        <x:v>PARTNER-M308</x:v>
      </x:c>
      <x:c r="O707" s="13"/>
      <x:c r="P707" s="13"/>
      <x:c r="Q707" s="2" t="str"/>
      <x:c r="R707" s="2" t="str">
        <x:v>TEN-285CEC965FE7; TEN-2F2EE24ED078; TEN-52A348458B44; TEN-564B6BFAB738; TEN-5F079A2B9BA5; TEN-6D3FD8E92D3B; TEN-71B3D21F0CCC; TEN-71E01020DF68; TEN-92B63CC8EFA5; TEN-9F938B95F156; TEN-B4D82B3F4A64; TEN-B68EE3D6C8CA; TEN-D2D88D6E7476; TEN-D37CD0DDC792</x:v>
      </x:c>
      <x:c r="S707" s="12" t="str">
        <x:v>Mixed commercial workplace</x:v>
      </x:c>
      <x:c r="T707" s="12" t="str">
        <x:v>Tenant business-type estimates and reviewed company-scale context.</x:v>
      </x:c>
    </x:row>
    <x:row r="708" ht="75" customHeight="1">
      <x:c r="A708" s="10" t="n">
        <x:v>1</x:v>
      </x:c>
      <x:c r="B708" s="2" t="str">
        <x:v>CORP-0726</x:v>
      </x:c>
      <x:c r="C708" s="2" t="str">
        <x:v>Hyderabad</x:v>
      </x:c>
      <x:c r="D708" s="2" t="str"/>
      <x:c r="E708" s="12" t="str">
        <x:v>Aurobindo Galaxy</x:v>
      </x:c>
      <x:c r="F708" s="12" t="str">
        <x:v>Food court sitting area FF</x:v>
      </x:c>
      <x:c r="G708" s="11" t="n">
        <x:v>1</x:v>
      </x:c>
      <x:c r="H708" s="2" t="str">
        <x:v>55 inch</x:v>
      </x:c>
      <x:c r="I708" s="12" t="str">
        <x:v>SenecaGlobal IT Services Private Limited; SMSCountry; Cohance Lifesciences; Renault Nissan Technology &amp; Business Center India; Solenis GSS India Private Limited; Columbus Global India; DAZN SOFTWARE PRIVATE LIMITED; coMakeIT Software Pvt Ltd; Cotiviti India; RightData Labs Pvt Ltd; Quantela; Smartworks; Sourcefuse; Re Sustainability Limited</x:v>
      </x:c>
      <x:c r="J708" s="2" t="n">
        <x:v>14</x:v>
      </x:c>
      <x:c r="K708" s="12" t="str">
        <x:v>Campus/portfolio roster; individual building occupancy unverified</x:v>
      </x:c>
      <x:c r="L708" s="12" t="str">
        <x:v>IT &amp; digital; Engineering &amp; manufacturing; Healthcare &amp; life sciences; Workspace &amp; property operations</x:v>
      </x:c>
      <x:c r="M708" s="12" t="str">
        <x:v>Small-scale prospects; Mixed business audience</x:v>
      </x:c>
      <x:c r="N708" s="12" t="str">
        <x:v>PARTNER-M308</x:v>
      </x:c>
      <x:c r="O708" s="13"/>
      <x:c r="P708" s="13"/>
      <x:c r="Q708" s="2" t="str"/>
      <x:c r="R708" s="2" t="str">
        <x:v>TEN-285CEC965FE7; TEN-2F2EE24ED078; TEN-52A348458B44; TEN-564B6BFAB738; TEN-5F079A2B9BA5; TEN-6D3FD8E92D3B; TEN-71B3D21F0CCC; TEN-71E01020DF68; TEN-92B63CC8EFA5; TEN-9F938B95F156; TEN-B4D82B3F4A64; TEN-B68EE3D6C8CA; TEN-D2D88D6E7476; TEN-D37CD0DDC792</x:v>
      </x:c>
      <x:c r="S708" s="12" t="str">
        <x:v>Mixed commercial workplace</x:v>
      </x:c>
      <x:c r="T708" s="12" t="str">
        <x:v>Tenant business-type estimates and reviewed company-scale context.</x:v>
      </x:c>
    </x:row>
    <x:row r="709" ht="64" customHeight="1">
      <x:c r="A709" s="10" t="n">
        <x:v>1</x:v>
      </x:c>
      <x:c r="B709" s="2" t="str">
        <x:v>CORP-0727</x:v>
      </x:c>
      <x:c r="C709" s="2" t="str">
        <x:v>Hyderabad</x:v>
      </x:c>
      <x:c r="D709" s="2" t="str"/>
      <x:c r="E709" s="12" t="str">
        <x:v>Prestige Skytech </x:v>
      </x:c>
      <x:c r="F709" s="12" t="str">
        <x:v>Reception Lobby 1</x:v>
      </x:c>
      <x:c r="G709" s="11" t="n">
        <x:v>1</x:v>
      </x:c>
      <x:c r="H709" s="2" t="str">
        <x:v>55 inch</x:v>
      </x:c>
      <x:c r="I709" s="12" t="str">
        <x:v>Bell Techlogix India Private Limited; Win Information Technology Pvt Ltd; Entain India; Jade Global Software Pvt. Ltd; WNS Global Services; BodyScience Pilates</x:v>
      </x:c>
      <x:c r="J709" s="2" t="n">
        <x:v>6</x:v>
      </x:c>
      <x:c r="K709" s="12" t="str">
        <x:v>Campus/portfolio roster; individual building occupancy unverified</x:v>
      </x:c>
      <x:c r="L709" s="12" t="str">
        <x:v>IT &amp; digital; Healthcare &amp; life sciences; Trade, consumer &amp; logistics</x:v>
      </x:c>
      <x:c r="M709" s="12" t="str">
        <x:v>Small-scale prospects; Mixed business audience</x:v>
      </x:c>
      <x:c r="N709" s="12" t="str">
        <x:v>PARTNER-M312</x:v>
      </x:c>
      <x:c r="O709" s="13"/>
      <x:c r="P709" s="13"/>
      <x:c r="Q709" s="2" t="str"/>
      <x:c r="R709" s="2" t="str">
        <x:v>TEN-03BAC00D147B; TEN-071CA7784A7E; TEN-2DE7A99797BE; TEN-32D5FF7368CA; TEN-413BB748AA81; TEN-DCFBA15B3400</x:v>
      </x:c>
      <x:c r="S709" s="12" t="str">
        <x:v>Mixed commercial workplace</x:v>
      </x:c>
      <x:c r="T709" s="12" t="str">
        <x:v>Tenant business-type estimates and reviewed company-scale context.</x:v>
      </x:c>
    </x:row>
    <x:row r="710" ht="64" customHeight="1">
      <x:c r="A710" s="10" t="n">
        <x:v>1</x:v>
      </x:c>
      <x:c r="B710" s="2" t="str">
        <x:v>CORP-0728</x:v>
      </x:c>
      <x:c r="C710" s="2" t="str">
        <x:v>Hyderabad</x:v>
      </x:c>
      <x:c r="D710" s="2" t="str"/>
      <x:c r="E710" s="12" t="str">
        <x:v>Prestige Skytech </x:v>
      </x:c>
      <x:c r="F710" s="12" t="str">
        <x:v>Reception Lobby 2</x:v>
      </x:c>
      <x:c r="G710" s="11" t="n">
        <x:v>1</x:v>
      </x:c>
      <x:c r="H710" s="2" t="str">
        <x:v>55 inch</x:v>
      </x:c>
      <x:c r="I710" s="12" t="str">
        <x:v>Bell Techlogix India Private Limited; Win Information Technology Pvt Ltd; Entain India; Jade Global Software Pvt. Ltd; WNS Global Services; BodyScience Pilates</x:v>
      </x:c>
      <x:c r="J710" s="2" t="n">
        <x:v>6</x:v>
      </x:c>
      <x:c r="K710" s="12" t="str">
        <x:v>Campus/portfolio roster; individual building occupancy unverified</x:v>
      </x:c>
      <x:c r="L710" s="12" t="str">
        <x:v>IT &amp; digital; Healthcare &amp; life sciences; Trade, consumer &amp; logistics</x:v>
      </x:c>
      <x:c r="M710" s="12" t="str">
        <x:v>Small-scale prospects; Mixed business audience</x:v>
      </x:c>
      <x:c r="N710" s="12" t="str">
        <x:v>PARTNER-M312</x:v>
      </x:c>
      <x:c r="O710" s="13"/>
      <x:c r="P710" s="13"/>
      <x:c r="Q710" s="2" t="str"/>
      <x:c r="R710" s="2" t="str">
        <x:v>TEN-03BAC00D147B; TEN-071CA7784A7E; TEN-2DE7A99797BE; TEN-32D5FF7368CA; TEN-413BB748AA81; TEN-DCFBA15B3400</x:v>
      </x:c>
      <x:c r="S710" s="12" t="str">
        <x:v>Mixed commercial workplace</x:v>
      </x:c>
      <x:c r="T710" s="12" t="str">
        <x:v>Tenant business-type estimates and reviewed company-scale context.</x:v>
      </x:c>
    </x:row>
    <x:row r="711" ht="64" customHeight="1">
      <x:c r="A711" s="10" t="n">
        <x:v>1</x:v>
      </x:c>
      <x:c r="B711" s="2" t="str">
        <x:v>CORP-0729</x:v>
      </x:c>
      <x:c r="C711" s="2" t="str">
        <x:v>Hyderabad</x:v>
      </x:c>
      <x:c r="D711" s="2" t="str"/>
      <x:c r="E711" s="12" t="str">
        <x:v>Prestige Skytech </x:v>
      </x:c>
      <x:c r="F711" s="12" t="str">
        <x:v>Elevator Lobby 1</x:v>
      </x:c>
      <x:c r="G711" s="11" t="n">
        <x:v>1</x:v>
      </x:c>
      <x:c r="H711" s="2" t="str">
        <x:v>55 inch</x:v>
      </x:c>
      <x:c r="I711" s="12" t="str">
        <x:v>Bell Techlogix India Private Limited; Win Information Technology Pvt Ltd; Entain India; Jade Global Software Pvt. Ltd; WNS Global Services; BodyScience Pilates</x:v>
      </x:c>
      <x:c r="J711" s="2" t="n">
        <x:v>6</x:v>
      </x:c>
      <x:c r="K711" s="12" t="str">
        <x:v>Campus/portfolio roster; individual building occupancy unverified</x:v>
      </x:c>
      <x:c r="L711" s="12" t="str">
        <x:v>IT &amp; digital; Healthcare &amp; life sciences; Trade, consumer &amp; logistics</x:v>
      </x:c>
      <x:c r="M711" s="12" t="str">
        <x:v>Small-scale prospects; Mixed business audience</x:v>
      </x:c>
      <x:c r="N711" s="12" t="str">
        <x:v>PARTNER-M312</x:v>
      </x:c>
      <x:c r="O711" s="13"/>
      <x:c r="P711" s="13"/>
      <x:c r="Q711" s="2" t="str"/>
      <x:c r="R711" s="2" t="str">
        <x:v>TEN-03BAC00D147B; TEN-071CA7784A7E; TEN-2DE7A99797BE; TEN-32D5FF7368CA; TEN-413BB748AA81; TEN-DCFBA15B3400</x:v>
      </x:c>
      <x:c r="S711" s="12" t="str">
        <x:v>Mixed commercial workplace</x:v>
      </x:c>
      <x:c r="T711" s="12" t="str">
        <x:v>Tenant business-type estimates and reviewed company-scale context.</x:v>
      </x:c>
    </x:row>
    <x:row r="712" ht="64" customHeight="1">
      <x:c r="A712" s="10" t="n">
        <x:v>1</x:v>
      </x:c>
      <x:c r="B712" s="2" t="str">
        <x:v>CORP-0730</x:v>
      </x:c>
      <x:c r="C712" s="2" t="str">
        <x:v>Hyderabad</x:v>
      </x:c>
      <x:c r="D712" s="2" t="str"/>
      <x:c r="E712" s="12" t="str">
        <x:v>Prestige Skytech </x:v>
      </x:c>
      <x:c r="F712" s="12" t="str">
        <x:v>Elevator Lobby 2</x:v>
      </x:c>
      <x:c r="G712" s="11" t="n">
        <x:v>1</x:v>
      </x:c>
      <x:c r="H712" s="2" t="str">
        <x:v>55 inch</x:v>
      </x:c>
      <x:c r="I712" s="12" t="str">
        <x:v>Bell Techlogix India Private Limited; Win Information Technology Pvt Ltd; Entain India; Jade Global Software Pvt. Ltd; WNS Global Services; BodyScience Pilates</x:v>
      </x:c>
      <x:c r="J712" s="2" t="n">
        <x:v>6</x:v>
      </x:c>
      <x:c r="K712" s="12" t="str">
        <x:v>Campus/portfolio roster; individual building occupancy unverified</x:v>
      </x:c>
      <x:c r="L712" s="12" t="str">
        <x:v>IT &amp; digital; Healthcare &amp; life sciences; Trade, consumer &amp; logistics</x:v>
      </x:c>
      <x:c r="M712" s="12" t="str">
        <x:v>Small-scale prospects; Mixed business audience</x:v>
      </x:c>
      <x:c r="N712" s="12" t="str">
        <x:v>PARTNER-M312</x:v>
      </x:c>
      <x:c r="O712" s="13"/>
      <x:c r="P712" s="13"/>
      <x:c r="Q712" s="2" t="str"/>
      <x:c r="R712" s="2" t="str">
        <x:v>TEN-03BAC00D147B; TEN-071CA7784A7E; TEN-2DE7A99797BE; TEN-32D5FF7368CA; TEN-413BB748AA81; TEN-DCFBA15B3400</x:v>
      </x:c>
      <x:c r="S712" s="12" t="str">
        <x:v>Mixed commercial workplace</x:v>
      </x:c>
      <x:c r="T712" s="12" t="str">
        <x:v>Tenant business-type estimates and reviewed company-scale context.</x:v>
      </x:c>
    </x:row>
    <x:row r="713" ht="64" customHeight="1">
      <x:c r="A713" s="10" t="n">
        <x:v>1</x:v>
      </x:c>
      <x:c r="B713" s="2" t="str">
        <x:v>CORP-0731</x:v>
      </x:c>
      <x:c r="C713" s="2" t="str">
        <x:v>Hyderabad</x:v>
      </x:c>
      <x:c r="D713" s="2" t="str"/>
      <x:c r="E713" s="12" t="str">
        <x:v>Prestige Skytech </x:v>
      </x:c>
      <x:c r="F713" s="12" t="str">
        <x:v>Elevator Lobby 3</x:v>
      </x:c>
      <x:c r="G713" s="11" t="n">
        <x:v>1</x:v>
      </x:c>
      <x:c r="H713" s="2" t="str">
        <x:v>55 inch</x:v>
      </x:c>
      <x:c r="I713" s="12" t="str">
        <x:v>Bell Techlogix India Private Limited; Win Information Technology Pvt Ltd; Entain India; Jade Global Software Pvt. Ltd; WNS Global Services; BodyScience Pilates</x:v>
      </x:c>
      <x:c r="J713" s="2" t="n">
        <x:v>6</x:v>
      </x:c>
      <x:c r="K713" s="12" t="str">
        <x:v>Campus/portfolio roster; individual building occupancy unverified</x:v>
      </x:c>
      <x:c r="L713" s="12" t="str">
        <x:v>IT &amp; digital; Healthcare &amp; life sciences; Trade, consumer &amp; logistics</x:v>
      </x:c>
      <x:c r="M713" s="12" t="str">
        <x:v>Small-scale prospects; Mixed business audience</x:v>
      </x:c>
      <x:c r="N713" s="12" t="str">
        <x:v>PARTNER-M312</x:v>
      </x:c>
      <x:c r="O713" s="13"/>
      <x:c r="P713" s="13"/>
      <x:c r="Q713" s="2" t="str"/>
      <x:c r="R713" s="2" t="str">
        <x:v>TEN-03BAC00D147B; TEN-071CA7784A7E; TEN-2DE7A99797BE; TEN-32D5FF7368CA; TEN-413BB748AA81; TEN-DCFBA15B3400</x:v>
      </x:c>
      <x:c r="S713" s="12" t="str">
        <x:v>Mixed commercial workplace</x:v>
      </x:c>
      <x:c r="T713" s="12" t="str">
        <x:v>Tenant business-type estimates and reviewed company-scale context.</x:v>
      </x:c>
    </x:row>
    <x:row r="714" ht="101" customHeight="1">
      <x:c r="A714" s="10" t="n">
        <x:v>1</x:v>
      </x:c>
      <x:c r="B714" s="2" t="str">
        <x:v>CORP-0732</x:v>
      </x:c>
      <x:c r="C714" s="2" t="str">
        <x:v>Hyderabad</x:v>
      </x:c>
      <x:c r="D714" s="2" t="str"/>
      <x:c r="E714" s="12" t="str">
        <x:v>Kapil Towers</x:v>
      </x:c>
      <x:c r="F714" s="12" t="str">
        <x:v>Reception lobby / Elevator lobby</x:v>
      </x:c>
      <x:c r="G714" s="11" t="n">
        <x:v>1</x:v>
      </x:c>
      <x:c r="H714" s="2" t="str">
        <x:v>55 inch</x:v>
      </x:c>
      <x:c r="I714" s="12" t="str">
        <x:v>Rythmos India; Book MyT Software Technologies; Covalense Technologies; Xetadata Software; Toyaja Software India; Qumu Corp; Pramati Technologies; Zebi Data India; Codexbox; Kagool Data; AureusTech Systems; Houzekey Consulting; FutureTech Business Solutions; Microsemi Communications India; Kin Lifecare Services; InnoCore Digital; AheadRace Software Development Services; Glide Insurance Broking Services; CoreCompete; Skyonn Technologies; Staples Office Supplies LLP; Kapil IT Solutions; TailorTech; Appstek Solutions; Knowledge Matrix India; Prometric Testing</x:v>
      </x:c>
      <x:c r="J714" s="2" t="n">
        <x:v>26</x:v>
      </x:c>
      <x:c r="K714" s="12" t="str">
        <x:v>Campus/portfolio roster; individual building occupancy unverified</x:v>
      </x:c>
      <x:c r="L714" s="12" t="str">
        <x:v>IT &amp; digital; Professional services; Finance &amp; insurance; Healthcare &amp; life sciences; Education; Trade, consumer &amp; logistics; Unresolved</x:v>
      </x:c>
      <x:c r="M714" s="12" t="str">
        <x:v>Small-scale prospects; Medium-scale prospects; Mixed business audience</x:v>
      </x:c>
      <x:c r="N714" s="12" t="str">
        <x:v>PARTNER-M317</x:v>
      </x:c>
      <x:c r="O714" s="13"/>
      <x:c r="P714" s="13"/>
      <x:c r="Q714" s="2" t="str"/>
      <x:c r="R714" s="2" t="str">
        <x:v>TEN-0A5ECD30C1C6; TEN-1A35D512D448; TEN-20AE44E7A981; TEN-35116738549F; TEN-4217F70FC2FE; TEN-45562E981863; TEN-4881BA2217F0; TEN-4E9F09D4C240; TEN-5E423FF3D952; TEN-610A92A03F91; TEN-696EBEF1BEC8; TEN-6B83683277A9; TEN-99DC3C2D940B; TEN-9DE4EB87E986; TEN-A0B931E47192; TEN-A5F3E9F1C9E5; TEN-A71520DA2A6E; TEN-AAD0329B77D6; TEN-ABA79A2B2DEC; TEN-B63ABE14A06F; TEN-C425191D5D06; TEN-D17B85E52ABA; TEN-EA94B39D1C72; TEN-ED8AA4B2E058; TEN-F17CDF039CA5; TEN-F67EC79876E7</x:v>
      </x:c>
      <x:c r="S714" s="12" t="str">
        <x:v>Mixed commercial workplace</x:v>
      </x:c>
      <x:c r="T714" s="12" t="str">
        <x:v>Tenant business-type estimates and reviewed company-scale context.</x:v>
      </x:c>
    </x:row>
    <x:row r="715" ht="101" customHeight="1">
      <x:c r="A715" s="10" t="n">
        <x:v>1</x:v>
      </x:c>
      <x:c r="B715" s="2" t="str">
        <x:v>CORP-0733</x:v>
      </x:c>
      <x:c r="C715" s="2" t="str">
        <x:v>Hyderabad</x:v>
      </x:c>
      <x:c r="D715" s="2" t="str"/>
      <x:c r="E715" s="12" t="str">
        <x:v>Kapil Towers</x:v>
      </x:c>
      <x:c r="F715" s="12" t="str">
        <x:v>Reception lobby / Elevator lobby</x:v>
      </x:c>
      <x:c r="G715" s="11" t="n">
        <x:v>1</x:v>
      </x:c>
      <x:c r="H715" s="2" t="str">
        <x:v>55 inch</x:v>
      </x:c>
      <x:c r="I715" s="12" t="str">
        <x:v>Rythmos India; Book MyT Software Technologies; Covalense Technologies; Xetadata Software; Toyaja Software India; Qumu Corp; Pramati Technologies; Zebi Data India; Codexbox; Kagool Data; AureusTech Systems; Houzekey Consulting; FutureTech Business Solutions; Microsemi Communications India; Kin Lifecare Services; InnoCore Digital; AheadRace Software Development Services; Glide Insurance Broking Services; CoreCompete; Skyonn Technologies; Staples Office Supplies LLP; Kapil IT Solutions; TailorTech; Appstek Solutions; Knowledge Matrix India; Prometric Testing</x:v>
      </x:c>
      <x:c r="J715" s="2" t="n">
        <x:v>26</x:v>
      </x:c>
      <x:c r="K715" s="12" t="str">
        <x:v>Campus/portfolio roster; individual building occupancy unverified</x:v>
      </x:c>
      <x:c r="L715" s="12" t="str">
        <x:v>IT &amp; digital; Professional services; Finance &amp; insurance; Healthcare &amp; life sciences; Education; Trade, consumer &amp; logistics; Unresolved</x:v>
      </x:c>
      <x:c r="M715" s="12" t="str">
        <x:v>Small-scale prospects; Medium-scale prospects; Mixed business audience</x:v>
      </x:c>
      <x:c r="N715" s="12" t="str">
        <x:v>PARTNER-M317</x:v>
      </x:c>
      <x:c r="O715" s="13"/>
      <x:c r="P715" s="13"/>
      <x:c r="Q715" s="2" t="str"/>
      <x:c r="R715" s="2" t="str">
        <x:v>TEN-0A5ECD30C1C6; TEN-1A35D512D448; TEN-20AE44E7A981; TEN-35116738549F; TEN-4217F70FC2FE; TEN-45562E981863; TEN-4881BA2217F0; TEN-4E9F09D4C240; TEN-5E423FF3D952; TEN-610A92A03F91; TEN-696EBEF1BEC8; TEN-6B83683277A9; TEN-99DC3C2D940B; TEN-9DE4EB87E986; TEN-A0B931E47192; TEN-A5F3E9F1C9E5; TEN-A71520DA2A6E; TEN-AAD0329B77D6; TEN-ABA79A2B2DEC; TEN-B63ABE14A06F; TEN-C425191D5D06; TEN-D17B85E52ABA; TEN-EA94B39D1C72; TEN-ED8AA4B2E058; TEN-F17CDF039CA5; TEN-F67EC79876E7</x:v>
      </x:c>
      <x:c r="S715" s="12" t="str">
        <x:v>Mixed commercial workplace</x:v>
      </x:c>
      <x:c r="T715" s="12" t="str">
        <x:v>Tenant business-type estimates and reviewed company-scale context.</x:v>
      </x:c>
    </x:row>
    <x:row r="716" ht="101" customHeight="1">
      <x:c r="A716" s="10" t="n">
        <x:v>1</x:v>
      </x:c>
      <x:c r="B716" s="2" t="str">
        <x:v>CORP-0734</x:v>
      </x:c>
      <x:c r="C716" s="2" t="str">
        <x:v>Hyderabad</x:v>
      </x:c>
      <x:c r="D716" s="2" t="str"/>
      <x:c r="E716" s="12" t="str">
        <x:v>Kapil Towers</x:v>
      </x:c>
      <x:c r="F716" s="12" t="str">
        <x:v>Reception lobby / Elevator lobby</x:v>
      </x:c>
      <x:c r="G716" s="11" t="n">
        <x:v>1</x:v>
      </x:c>
      <x:c r="H716" s="2" t="str">
        <x:v>55 inch</x:v>
      </x:c>
      <x:c r="I716" s="12" t="str">
        <x:v>Rythmos India; Book MyT Software Technologies; Covalense Technologies; Xetadata Software; Toyaja Software India; Qumu Corp; Pramati Technologies; Zebi Data India; Codexbox; Kagool Data; AureusTech Systems; Houzekey Consulting; FutureTech Business Solutions; Microsemi Communications India; Kin Lifecare Services; InnoCore Digital; AheadRace Software Development Services; Glide Insurance Broking Services; CoreCompete; Skyonn Technologies; Staples Office Supplies LLP; Kapil IT Solutions; TailorTech; Appstek Solutions; Knowledge Matrix India; Prometric Testing</x:v>
      </x:c>
      <x:c r="J716" s="2" t="n">
        <x:v>26</x:v>
      </x:c>
      <x:c r="K716" s="12" t="str">
        <x:v>Campus/portfolio roster; individual building occupancy unverified</x:v>
      </x:c>
      <x:c r="L716" s="12" t="str">
        <x:v>IT &amp; digital; Professional services; Finance &amp; insurance; Healthcare &amp; life sciences; Education; Trade, consumer &amp; logistics; Unresolved</x:v>
      </x:c>
      <x:c r="M716" s="12" t="str">
        <x:v>Small-scale prospects; Medium-scale prospects; Mixed business audience</x:v>
      </x:c>
      <x:c r="N716" s="12" t="str">
        <x:v>PARTNER-M317</x:v>
      </x:c>
      <x:c r="O716" s="13"/>
      <x:c r="P716" s="13"/>
      <x:c r="Q716" s="2" t="str"/>
      <x:c r="R716" s="2" t="str">
        <x:v>TEN-0A5ECD30C1C6; TEN-1A35D512D448; TEN-20AE44E7A981; TEN-35116738549F; TEN-4217F70FC2FE; TEN-45562E981863; TEN-4881BA2217F0; TEN-4E9F09D4C240; TEN-5E423FF3D952; TEN-610A92A03F91; TEN-696EBEF1BEC8; TEN-6B83683277A9; TEN-99DC3C2D940B; TEN-9DE4EB87E986; TEN-A0B931E47192; TEN-A5F3E9F1C9E5; TEN-A71520DA2A6E; TEN-AAD0329B77D6; TEN-ABA79A2B2DEC; TEN-B63ABE14A06F; TEN-C425191D5D06; TEN-D17B85E52ABA; TEN-EA94B39D1C72; TEN-ED8AA4B2E058; TEN-F17CDF039CA5; TEN-F67EC79876E7</x:v>
      </x:c>
      <x:c r="S716" s="12" t="str">
        <x:v>Mixed commercial workplace</x:v>
      </x:c>
      <x:c r="T716" s="12" t="str">
        <x:v>Tenant business-type estimates and reviewed company-scale context.</x:v>
      </x:c>
    </x:row>
    <x:row r="717" ht="101" customHeight="1">
      <x:c r="A717" s="10" t="n">
        <x:v>1</x:v>
      </x:c>
      <x:c r="B717" s="2" t="str">
        <x:v>CORP-0735</x:v>
      </x:c>
      <x:c r="C717" s="2" t="str">
        <x:v>Hyderabad</x:v>
      </x:c>
      <x:c r="D717" s="2" t="str"/>
      <x:c r="E717" s="12" t="str">
        <x:v>Kapil Towers</x:v>
      </x:c>
      <x:c r="F717" s="12" t="str">
        <x:v>Reception lobby / Elevator lobby</x:v>
      </x:c>
      <x:c r="G717" s="11" t="n">
        <x:v>1</x:v>
      </x:c>
      <x:c r="H717" s="2" t="str">
        <x:v>55 inch</x:v>
      </x:c>
      <x:c r="I717" s="12" t="str">
        <x:v>Rythmos India; Book MyT Software Technologies; Covalense Technologies; Xetadata Software; Toyaja Software India; Qumu Corp; Pramati Technologies; Zebi Data India; Codexbox; Kagool Data; AureusTech Systems; Houzekey Consulting; FutureTech Business Solutions; Microsemi Communications India; Kin Lifecare Services; InnoCore Digital; AheadRace Software Development Services; Glide Insurance Broking Services; CoreCompete; Skyonn Technologies; Staples Office Supplies LLP; Kapil IT Solutions; TailorTech; Appstek Solutions; Knowledge Matrix India; Prometric Testing</x:v>
      </x:c>
      <x:c r="J717" s="2" t="n">
        <x:v>26</x:v>
      </x:c>
      <x:c r="K717" s="12" t="str">
        <x:v>Campus/portfolio roster; individual building occupancy unverified</x:v>
      </x:c>
      <x:c r="L717" s="12" t="str">
        <x:v>IT &amp; digital; Professional services; Finance &amp; insurance; Healthcare &amp; life sciences; Education; Trade, consumer &amp; logistics; Unresolved</x:v>
      </x:c>
      <x:c r="M717" s="12" t="str">
        <x:v>Small-scale prospects; Medium-scale prospects; Mixed business audience</x:v>
      </x:c>
      <x:c r="N717" s="12" t="str">
        <x:v>PARTNER-M317</x:v>
      </x:c>
      <x:c r="O717" s="13"/>
      <x:c r="P717" s="13"/>
      <x:c r="Q717" s="2" t="str"/>
      <x:c r="R717" s="2" t="str">
        <x:v>TEN-0A5ECD30C1C6; TEN-1A35D512D448; TEN-20AE44E7A981; TEN-35116738549F; TEN-4217F70FC2FE; TEN-45562E981863; TEN-4881BA2217F0; TEN-4E9F09D4C240; TEN-5E423FF3D952; TEN-610A92A03F91; TEN-696EBEF1BEC8; TEN-6B83683277A9; TEN-99DC3C2D940B; TEN-9DE4EB87E986; TEN-A0B931E47192; TEN-A5F3E9F1C9E5; TEN-A71520DA2A6E; TEN-AAD0329B77D6; TEN-ABA79A2B2DEC; TEN-B63ABE14A06F; TEN-C425191D5D06; TEN-D17B85E52ABA; TEN-EA94B39D1C72; TEN-ED8AA4B2E058; TEN-F17CDF039CA5; TEN-F67EC79876E7</x:v>
      </x:c>
      <x:c r="S717" s="12" t="str">
        <x:v>Mixed commercial workplace</x:v>
      </x:c>
      <x:c r="T717" s="12" t="str">
        <x:v>Tenant business-type estimates and reviewed company-scale context.</x:v>
      </x:c>
    </x:row>
    <x:row r="718" ht="101" customHeight="1">
      <x:c r="A718" s="10" t="n">
        <x:v>1</x:v>
      </x:c>
      <x:c r="B718" s="2" t="str">
        <x:v>CORP-0736</x:v>
      </x:c>
      <x:c r="C718" s="2" t="str">
        <x:v>Hyderabad</x:v>
      </x:c>
      <x:c r="D718" s="2" t="str"/>
      <x:c r="E718" s="12" t="str">
        <x:v>Kapil Towers</x:v>
      </x:c>
      <x:c r="F718" s="12" t="str">
        <x:v>Reception lobby / Elevator lobby</x:v>
      </x:c>
      <x:c r="G718" s="11" t="n">
        <x:v>1</x:v>
      </x:c>
      <x:c r="H718" s="2" t="str">
        <x:v>55 inch</x:v>
      </x:c>
      <x:c r="I718" s="12" t="str">
        <x:v>Rythmos India; Book MyT Software Technologies; Covalense Technologies; Xetadata Software; Toyaja Software India; Qumu Corp; Pramati Technologies; Zebi Data India; Codexbox; Kagool Data; AureusTech Systems; Houzekey Consulting; FutureTech Business Solutions; Microsemi Communications India; Kin Lifecare Services; InnoCore Digital; AheadRace Software Development Services; Glide Insurance Broking Services; CoreCompete; Skyonn Technologies; Staples Office Supplies LLP; Kapil IT Solutions; TailorTech; Appstek Solutions; Knowledge Matrix India; Prometric Testing</x:v>
      </x:c>
      <x:c r="J718" s="2" t="n">
        <x:v>26</x:v>
      </x:c>
      <x:c r="K718" s="12" t="str">
        <x:v>Campus/portfolio roster; individual building occupancy unverified</x:v>
      </x:c>
      <x:c r="L718" s="12" t="str">
        <x:v>IT &amp; digital; Professional services; Finance &amp; insurance; Healthcare &amp; life sciences; Education; Trade, consumer &amp; logistics; Unresolved</x:v>
      </x:c>
      <x:c r="M718" s="12" t="str">
        <x:v>Small-scale prospects; Medium-scale prospects; Mixed business audience</x:v>
      </x:c>
      <x:c r="N718" s="12" t="str">
        <x:v>PARTNER-M317</x:v>
      </x:c>
      <x:c r="O718" s="13"/>
      <x:c r="P718" s="13"/>
      <x:c r="Q718" s="2" t="str"/>
      <x:c r="R718" s="2" t="str">
        <x:v>TEN-0A5ECD30C1C6; TEN-1A35D512D448; TEN-20AE44E7A981; TEN-35116738549F; TEN-4217F70FC2FE; TEN-45562E981863; TEN-4881BA2217F0; TEN-4E9F09D4C240; TEN-5E423FF3D952; TEN-610A92A03F91; TEN-696EBEF1BEC8; TEN-6B83683277A9; TEN-99DC3C2D940B; TEN-9DE4EB87E986; TEN-A0B931E47192; TEN-A5F3E9F1C9E5; TEN-A71520DA2A6E; TEN-AAD0329B77D6; TEN-ABA79A2B2DEC; TEN-B63ABE14A06F; TEN-C425191D5D06; TEN-D17B85E52ABA; TEN-EA94B39D1C72; TEN-ED8AA4B2E058; TEN-F17CDF039CA5; TEN-F67EC79876E7</x:v>
      </x:c>
      <x:c r="S718" s="12" t="str">
        <x:v>Mixed commercial workplace</x:v>
      </x:c>
      <x:c r="T718" s="12" t="str">
        <x:v>Tenant business-type estimates and reviewed company-scale context.</x:v>
      </x:c>
    </x:row>
    <x:row r="719" ht="101" customHeight="1">
      <x:c r="A719" s="10" t="n">
        <x:v>1</x:v>
      </x:c>
      <x:c r="B719" s="2" t="str">
        <x:v>CORP-0737</x:v>
      </x:c>
      <x:c r="C719" s="2" t="str">
        <x:v>Hyderabad</x:v>
      </x:c>
      <x:c r="D719" s="2" t="str"/>
      <x:c r="E719" s="12" t="str">
        <x:v>Kapil Towers</x:v>
      </x:c>
      <x:c r="F719" s="12" t="str">
        <x:v>Reception lobby / Elevator lobby</x:v>
      </x:c>
      <x:c r="G719" s="11" t="n">
        <x:v>1</x:v>
      </x:c>
      <x:c r="H719" s="2" t="str">
        <x:v>55 inch</x:v>
      </x:c>
      <x:c r="I719" s="12" t="str">
        <x:v>Rythmos India; Book MyT Software Technologies; Covalense Technologies; Xetadata Software; Toyaja Software India; Qumu Corp; Pramati Technologies; Zebi Data India; Codexbox; Kagool Data; AureusTech Systems; Houzekey Consulting; FutureTech Business Solutions; Microsemi Communications India; Kin Lifecare Services; InnoCore Digital; AheadRace Software Development Services; Glide Insurance Broking Services; CoreCompete; Skyonn Technologies; Staples Office Supplies LLP; Kapil IT Solutions; TailorTech; Appstek Solutions; Knowledge Matrix India; Prometric Testing</x:v>
      </x:c>
      <x:c r="J719" s="2" t="n">
        <x:v>26</x:v>
      </x:c>
      <x:c r="K719" s="12" t="str">
        <x:v>Campus/portfolio roster; individual building occupancy unverified</x:v>
      </x:c>
      <x:c r="L719" s="12" t="str">
        <x:v>IT &amp; digital; Professional services; Finance &amp; insurance; Healthcare &amp; life sciences; Education; Trade, consumer &amp; logistics; Unresolved</x:v>
      </x:c>
      <x:c r="M719" s="12" t="str">
        <x:v>Small-scale prospects; Medium-scale prospects; Mixed business audience</x:v>
      </x:c>
      <x:c r="N719" s="12" t="str">
        <x:v>PARTNER-M317</x:v>
      </x:c>
      <x:c r="O719" s="13"/>
      <x:c r="P719" s="13"/>
      <x:c r="Q719" s="2" t="str"/>
      <x:c r="R719" s="2" t="str">
        <x:v>TEN-0A5ECD30C1C6; TEN-1A35D512D448; TEN-20AE44E7A981; TEN-35116738549F; TEN-4217F70FC2FE; TEN-45562E981863; TEN-4881BA2217F0; TEN-4E9F09D4C240; TEN-5E423FF3D952; TEN-610A92A03F91; TEN-696EBEF1BEC8; TEN-6B83683277A9; TEN-99DC3C2D940B; TEN-9DE4EB87E986; TEN-A0B931E47192; TEN-A5F3E9F1C9E5; TEN-A71520DA2A6E; TEN-AAD0329B77D6; TEN-ABA79A2B2DEC; TEN-B63ABE14A06F; TEN-C425191D5D06; TEN-D17B85E52ABA; TEN-EA94B39D1C72; TEN-ED8AA4B2E058; TEN-F17CDF039CA5; TEN-F67EC79876E7</x:v>
      </x:c>
      <x:c r="S719" s="12" t="str">
        <x:v>Mixed commercial workplace</x:v>
      </x:c>
      <x:c r="T719" s="12" t="str">
        <x:v>Tenant business-type estimates and reviewed company-scale context.</x:v>
      </x:c>
    </x:row>
    <x:row r="720" ht="101" customHeight="1">
      <x:c r="A720" s="10" t="n">
        <x:v>1</x:v>
      </x:c>
      <x:c r="B720" s="2" t="str">
        <x:v>CORP-0738</x:v>
      </x:c>
      <x:c r="C720" s="2" t="str">
        <x:v>Hyderabad</x:v>
      </x:c>
      <x:c r="D720" s="2" t="str"/>
      <x:c r="E720" s="12" t="str">
        <x:v>Kapil Towers</x:v>
      </x:c>
      <x:c r="F720" s="12" t="str">
        <x:v>Reception lobby / Elevator lobby</x:v>
      </x:c>
      <x:c r="G720" s="11" t="n">
        <x:v>1</x:v>
      </x:c>
      <x:c r="H720" s="2" t="str">
        <x:v>55 inch</x:v>
      </x:c>
      <x:c r="I720" s="12" t="str">
        <x:v>Rythmos India; Book MyT Software Technologies; Covalense Technologies; Xetadata Software; Toyaja Software India; Qumu Corp; Pramati Technologies; Zebi Data India; Codexbox; Kagool Data; AureusTech Systems; Houzekey Consulting; FutureTech Business Solutions; Microsemi Communications India; Kin Lifecare Services; InnoCore Digital; AheadRace Software Development Services; Glide Insurance Broking Services; CoreCompete; Skyonn Technologies; Staples Office Supplies LLP; Kapil IT Solutions; TailorTech; Appstek Solutions; Knowledge Matrix India; Prometric Testing</x:v>
      </x:c>
      <x:c r="J720" s="2" t="n">
        <x:v>26</x:v>
      </x:c>
      <x:c r="K720" s="12" t="str">
        <x:v>Campus/portfolio roster; individual building occupancy unverified</x:v>
      </x:c>
      <x:c r="L720" s="12" t="str">
        <x:v>IT &amp; digital; Professional services; Finance &amp; insurance; Healthcare &amp; life sciences; Education; Trade, consumer &amp; logistics; Unresolved</x:v>
      </x:c>
      <x:c r="M720" s="12" t="str">
        <x:v>Small-scale prospects; Medium-scale prospects; Mixed business audience</x:v>
      </x:c>
      <x:c r="N720" s="12" t="str">
        <x:v>PARTNER-M317</x:v>
      </x:c>
      <x:c r="O720" s="13"/>
      <x:c r="P720" s="13"/>
      <x:c r="Q720" s="2" t="str"/>
      <x:c r="R720" s="2" t="str">
        <x:v>TEN-0A5ECD30C1C6; TEN-1A35D512D448; TEN-20AE44E7A981; TEN-35116738549F; TEN-4217F70FC2FE; TEN-45562E981863; TEN-4881BA2217F0; TEN-4E9F09D4C240; TEN-5E423FF3D952; TEN-610A92A03F91; TEN-696EBEF1BEC8; TEN-6B83683277A9; TEN-99DC3C2D940B; TEN-9DE4EB87E986; TEN-A0B931E47192; TEN-A5F3E9F1C9E5; TEN-A71520DA2A6E; TEN-AAD0329B77D6; TEN-ABA79A2B2DEC; TEN-B63ABE14A06F; TEN-C425191D5D06; TEN-D17B85E52ABA; TEN-EA94B39D1C72; TEN-ED8AA4B2E058; TEN-F17CDF039CA5; TEN-F67EC79876E7</x:v>
      </x:c>
      <x:c r="S720" s="12" t="str">
        <x:v>Mixed commercial workplace</x:v>
      </x:c>
      <x:c r="T720" s="12" t="str">
        <x:v>Tenant business-type estimates and reviewed company-scale context.</x:v>
      </x:c>
    </x:row>
    <x:row r="721" ht="64" customHeight="1">
      <x:c r="A721" s="10" t="n">
        <x:v>1</x:v>
      </x:c>
      <x:c r="B721" s="2" t="str">
        <x:v>CORP-0739</x:v>
      </x:c>
      <x:c r="C721" s="2" t="str">
        <x:v>Chennai</x:v>
      </x:c>
      <x:c r="D721" s="2" t="str"/>
      <x:c r="E721" s="12" t="str">
        <x:v>WTC Chennai</x:v>
      </x:c>
      <x:c r="F721" s="12" t="str">
        <x:v>Reception lobby A</x:v>
      </x:c>
      <x:c r="G721" s="11" t="n">
        <x:v>1</x:v>
      </x:c>
      <x:c r="H721" s="2" t="str">
        <x:v>55 inch</x:v>
      </x:c>
      <x:c r="I721" s="12" t="str">
        <x:v>The Morpheus Store; Agilisium Consulting; Glencore Information Services Pvt Ltd; Babcock Power APAC Pvt. Ltd; Zuora India Private Limited; McKinsey Global Capability Centre; Caterpillar; Amazon; Kissflow (OrangeScape Technologies)</x:v>
      </x:c>
      <x:c r="J721" s="2" t="n">
        <x:v>9</x:v>
      </x:c>
      <x:c r="K721" s="12" t="str">
        <x:v>Campus/portfolio roster; individual building occupancy unverified</x:v>
      </x:c>
      <x:c r="L721" s="12" t="str">
        <x:v>IT &amp; digital; Professional services; Engineering &amp; manufacturing; Trade, consumer &amp; logistics; Unresolved</x:v>
      </x:c>
      <x:c r="M721" s="12" t="str">
        <x:v>Small-scale prospects; Large enterprise; Mixed business audience</x:v>
      </x:c>
      <x:c r="N721" s="12" t="str">
        <x:v>PARTNER-M325</x:v>
      </x:c>
      <x:c r="O721" s="13"/>
      <x:c r="P721" s="13"/>
      <x:c r="Q721" s="2" t="str"/>
      <x:c r="R721" s="2" t="str">
        <x:v>TEN-0AD26213D203; TEN-2FFACCC9B784; TEN-6A6E8AC4729D; TEN-9C630AB31C7F; TEN-B48CAF277BCF; TEN-B5C4E7DB283D; TEN-BAFFDF37AA5D; TEN-CBC62794911F; TEN-D77734EC8672</x:v>
      </x:c>
      <x:c r="S721" s="12" t="str">
        <x:v>Mixed commercial workplace</x:v>
      </x:c>
      <x:c r="T721" s="12" t="str">
        <x:v>Tenant business-type estimates and reviewed company-scale context.</x:v>
      </x:c>
    </x:row>
    <x:row r="722" ht="64" customHeight="1">
      <x:c r="A722" s="10" t="n">
        <x:v>1</x:v>
      </x:c>
      <x:c r="B722" s="2" t="str">
        <x:v>CORP-0740</x:v>
      </x:c>
      <x:c r="C722" s="2" t="str">
        <x:v>Chennai</x:v>
      </x:c>
      <x:c r="D722" s="2" t="str"/>
      <x:c r="E722" s="12" t="str">
        <x:v>WTC Chennai</x:v>
      </x:c>
      <x:c r="F722" s="12" t="str">
        <x:v>Reception lobby B</x:v>
      </x:c>
      <x:c r="G722" s="11" t="n">
        <x:v>1</x:v>
      </x:c>
      <x:c r="H722" s="2" t="str">
        <x:v>55 inch</x:v>
      </x:c>
      <x:c r="I722" s="12" t="str">
        <x:v>The Morpheus Store; Agilisium Consulting; Glencore Information Services Pvt Ltd; Babcock Power APAC Pvt. Ltd; Zuora India Private Limited; McKinsey Global Capability Centre; Caterpillar; Amazon; Kissflow (OrangeScape Technologies)</x:v>
      </x:c>
      <x:c r="J722" s="2" t="n">
        <x:v>9</x:v>
      </x:c>
      <x:c r="K722" s="12" t="str">
        <x:v>Campus/portfolio roster; individual building occupancy unverified</x:v>
      </x:c>
      <x:c r="L722" s="12" t="str">
        <x:v>IT &amp; digital; Professional services; Engineering &amp; manufacturing; Trade, consumer &amp; logistics; Unresolved</x:v>
      </x:c>
      <x:c r="M722" s="12" t="str">
        <x:v>Small-scale prospects; Large enterprise; Mixed business audience</x:v>
      </x:c>
      <x:c r="N722" s="12" t="str">
        <x:v>PARTNER-M325</x:v>
      </x:c>
      <x:c r="O722" s="13"/>
      <x:c r="P722" s="13"/>
      <x:c r="Q722" s="2" t="str"/>
      <x:c r="R722" s="2" t="str">
        <x:v>TEN-0AD26213D203; TEN-2FFACCC9B784; TEN-6A6E8AC4729D; TEN-9C630AB31C7F; TEN-B48CAF277BCF; TEN-B5C4E7DB283D; TEN-BAFFDF37AA5D; TEN-CBC62794911F; TEN-D77734EC8672</x:v>
      </x:c>
      <x:c r="S722" s="12" t="str">
        <x:v>Mixed commercial workplace</x:v>
      </x:c>
      <x:c r="T722" s="12" t="str">
        <x:v>Tenant business-type estimates and reviewed company-scale context.</x:v>
      </x:c>
    </x:row>
    <x:row r="723" ht="64" customHeight="1">
      <x:c r="A723" s="10" t="n">
        <x:v>1</x:v>
      </x:c>
      <x:c r="B723" s="2" t="str">
        <x:v>CORP-0741</x:v>
      </x:c>
      <x:c r="C723" s="2" t="str">
        <x:v>Chennai</x:v>
      </x:c>
      <x:c r="D723" s="2" t="str"/>
      <x:c r="E723" s="12" t="str">
        <x:v>WTC Chennai</x:v>
      </x:c>
      <x:c r="F723" s="12" t="str">
        <x:v>Elevator Lobby 1 1F</x:v>
      </x:c>
      <x:c r="G723" s="11" t="n">
        <x:v>1</x:v>
      </x:c>
      <x:c r="H723" s="2" t="str">
        <x:v>55 inch</x:v>
      </x:c>
      <x:c r="I723" s="12" t="str">
        <x:v>The Morpheus Store; Agilisium Consulting; Glencore Information Services Pvt Ltd; Babcock Power APAC Pvt. Ltd; Zuora India Private Limited; McKinsey Global Capability Centre; Caterpillar; Amazon; Kissflow (OrangeScape Technologies)</x:v>
      </x:c>
      <x:c r="J723" s="2" t="n">
        <x:v>9</x:v>
      </x:c>
      <x:c r="K723" s="12" t="str">
        <x:v>Campus/portfolio roster; individual building occupancy unverified</x:v>
      </x:c>
      <x:c r="L723" s="12" t="str">
        <x:v>IT &amp; digital; Professional services; Engineering &amp; manufacturing; Trade, consumer &amp; logistics; Unresolved</x:v>
      </x:c>
      <x:c r="M723" s="12" t="str">
        <x:v>Small-scale prospects; Large enterprise; Mixed business audience</x:v>
      </x:c>
      <x:c r="N723" s="12" t="str">
        <x:v>PARTNER-M325</x:v>
      </x:c>
      <x:c r="O723" s="13"/>
      <x:c r="P723" s="13"/>
      <x:c r="Q723" s="2" t="str"/>
      <x:c r="R723" s="2" t="str">
        <x:v>TEN-0AD26213D203; TEN-2FFACCC9B784; TEN-6A6E8AC4729D; TEN-9C630AB31C7F; TEN-B48CAF277BCF; TEN-B5C4E7DB283D; TEN-BAFFDF37AA5D; TEN-CBC62794911F; TEN-D77734EC8672</x:v>
      </x:c>
      <x:c r="S723" s="12" t="str">
        <x:v>Mixed commercial workplace</x:v>
      </x:c>
      <x:c r="T723" s="12" t="str">
        <x:v>Tenant business-type estimates and reviewed company-scale context.</x:v>
      </x:c>
    </x:row>
    <x:row r="724" ht="64" customHeight="1">
      <x:c r="A724" s="10" t="n">
        <x:v>1</x:v>
      </x:c>
      <x:c r="B724" s="2" t="str">
        <x:v>CORP-0742</x:v>
      </x:c>
      <x:c r="C724" s="2" t="str">
        <x:v>Chennai</x:v>
      </x:c>
      <x:c r="D724" s="2" t="str"/>
      <x:c r="E724" s="12" t="str">
        <x:v>WTC Chennai</x:v>
      </x:c>
      <x:c r="F724" s="12" t="str">
        <x:v>Elevator Lobby 2</x:v>
      </x:c>
      <x:c r="G724" s="11" t="n">
        <x:v>1</x:v>
      </x:c>
      <x:c r="H724" s="2" t="str">
        <x:v>55 inch</x:v>
      </x:c>
      <x:c r="I724" s="12" t="str">
        <x:v>The Morpheus Store; Agilisium Consulting; Glencore Information Services Pvt Ltd; Babcock Power APAC Pvt. Ltd; Zuora India Private Limited; McKinsey Global Capability Centre; Caterpillar; Amazon; Kissflow (OrangeScape Technologies)</x:v>
      </x:c>
      <x:c r="J724" s="2" t="n">
        <x:v>9</x:v>
      </x:c>
      <x:c r="K724" s="12" t="str">
        <x:v>Campus/portfolio roster; individual building occupancy unverified</x:v>
      </x:c>
      <x:c r="L724" s="12" t="str">
        <x:v>IT &amp; digital; Professional services; Engineering &amp; manufacturing; Trade, consumer &amp; logistics; Unresolved</x:v>
      </x:c>
      <x:c r="M724" s="12" t="str">
        <x:v>Small-scale prospects; Large enterprise; Mixed business audience</x:v>
      </x:c>
      <x:c r="N724" s="12" t="str">
        <x:v>PARTNER-M325</x:v>
      </x:c>
      <x:c r="O724" s="13"/>
      <x:c r="P724" s="13"/>
      <x:c r="Q724" s="2" t="str"/>
      <x:c r="R724" s="2" t="str">
        <x:v>TEN-0AD26213D203; TEN-2FFACCC9B784; TEN-6A6E8AC4729D; TEN-9C630AB31C7F; TEN-B48CAF277BCF; TEN-B5C4E7DB283D; TEN-BAFFDF37AA5D; TEN-CBC62794911F; TEN-D77734EC8672</x:v>
      </x:c>
      <x:c r="S724" s="12" t="str">
        <x:v>Mixed commercial workplace</x:v>
      </x:c>
      <x:c r="T724" s="12" t="str">
        <x:v>Tenant business-type estimates and reviewed company-scale context.</x:v>
      </x:c>
    </x:row>
    <x:row r="725" ht="64" customHeight="1">
      <x:c r="A725" s="10" t="n">
        <x:v>1</x:v>
      </x:c>
      <x:c r="B725" s="2" t="str">
        <x:v>CORP-0743</x:v>
      </x:c>
      <x:c r="C725" s="2" t="str">
        <x:v>Chennai</x:v>
      </x:c>
      <x:c r="D725" s="2" t="str"/>
      <x:c r="E725" s="12" t="str">
        <x:v>WTC Chennai</x:v>
      </x:c>
      <x:c r="F725" s="12" t="str">
        <x:v>Food Court Exit 1F</x:v>
      </x:c>
      <x:c r="G725" s="11" t="n">
        <x:v>1</x:v>
      </x:c>
      <x:c r="H725" s="2" t="str">
        <x:v>55 inch</x:v>
      </x:c>
      <x:c r="I725" s="12" t="str">
        <x:v>The Morpheus Store; Agilisium Consulting; Glencore Information Services Pvt Ltd; Babcock Power APAC Pvt. Ltd; Zuora India Private Limited; McKinsey Global Capability Centre; Caterpillar; Amazon; Kissflow (OrangeScape Technologies)</x:v>
      </x:c>
      <x:c r="J725" s="2" t="n">
        <x:v>9</x:v>
      </x:c>
      <x:c r="K725" s="12" t="str">
        <x:v>Campus/portfolio roster; individual building occupancy unverified</x:v>
      </x:c>
      <x:c r="L725" s="12" t="str">
        <x:v>IT &amp; digital; Professional services; Engineering &amp; manufacturing; Trade, consumer &amp; logistics; Unresolved</x:v>
      </x:c>
      <x:c r="M725" s="12" t="str">
        <x:v>Small-scale prospects; Large enterprise; Mixed business audience</x:v>
      </x:c>
      <x:c r="N725" s="12" t="str">
        <x:v>PARTNER-M325</x:v>
      </x:c>
      <x:c r="O725" s="13"/>
      <x:c r="P725" s="13"/>
      <x:c r="Q725" s="2" t="str"/>
      <x:c r="R725" s="2" t="str">
        <x:v>TEN-0AD26213D203; TEN-2FFACCC9B784; TEN-6A6E8AC4729D; TEN-9C630AB31C7F; TEN-B48CAF277BCF; TEN-B5C4E7DB283D; TEN-BAFFDF37AA5D; TEN-CBC62794911F; TEN-D77734EC8672</x:v>
      </x:c>
      <x:c r="S725" s="12" t="str">
        <x:v>Mixed commercial workplace</x:v>
      </x:c>
      <x:c r="T725" s="12" t="str">
        <x:v>Tenant business-type estimates and reviewed company-scale context.</x:v>
      </x:c>
    </x:row>
    <x:row r="726" ht="64" customHeight="1">
      <x:c r="A726" s="10" t="n">
        <x:v>1</x:v>
      </x:c>
      <x:c r="B726" s="2" t="str">
        <x:v>CORP-0744</x:v>
      </x:c>
      <x:c r="C726" s="2" t="str">
        <x:v>Chennai</x:v>
      </x:c>
      <x:c r="D726" s="2" t="str"/>
      <x:c r="E726" s="12" t="str">
        <x:v>WTC Chennai</x:v>
      </x:c>
      <x:c r="F726" s="12" t="str">
        <x:v>Food Court Exit 1F</x:v>
      </x:c>
      <x:c r="G726" s="11" t="n">
        <x:v>1</x:v>
      </x:c>
      <x:c r="H726" s="2" t="str">
        <x:v>55 inch</x:v>
      </x:c>
      <x:c r="I726" s="12" t="str">
        <x:v>The Morpheus Store; Agilisium Consulting; Glencore Information Services Pvt Ltd; Babcock Power APAC Pvt. Ltd; Zuora India Private Limited; McKinsey Global Capability Centre; Caterpillar; Amazon; Kissflow (OrangeScape Technologies)</x:v>
      </x:c>
      <x:c r="J726" s="2" t="n">
        <x:v>9</x:v>
      </x:c>
      <x:c r="K726" s="12" t="str">
        <x:v>Campus/portfolio roster; individual building occupancy unverified</x:v>
      </x:c>
      <x:c r="L726" s="12" t="str">
        <x:v>IT &amp; digital; Professional services; Engineering &amp; manufacturing; Trade, consumer &amp; logistics; Unresolved</x:v>
      </x:c>
      <x:c r="M726" s="12" t="str">
        <x:v>Small-scale prospects; Large enterprise; Mixed business audience</x:v>
      </x:c>
      <x:c r="N726" s="12" t="str">
        <x:v>PARTNER-M325</x:v>
      </x:c>
      <x:c r="O726" s="13"/>
      <x:c r="P726" s="13"/>
      <x:c r="Q726" s="2" t="str"/>
      <x:c r="R726" s="2" t="str">
        <x:v>TEN-0AD26213D203; TEN-2FFACCC9B784; TEN-6A6E8AC4729D; TEN-9C630AB31C7F; TEN-B48CAF277BCF; TEN-B5C4E7DB283D; TEN-BAFFDF37AA5D; TEN-CBC62794911F; TEN-D77734EC8672</x:v>
      </x:c>
      <x:c r="S726" s="12" t="str">
        <x:v>Mixed commercial workplace</x:v>
      </x:c>
      <x:c r="T726" s="12" t="str">
        <x:v>Tenant business-type estimates and reviewed company-scale context.</x:v>
      </x:c>
    </x:row>
    <x:row r="727" ht="64" customHeight="1">
      <x:c r="A727" s="10" t="n">
        <x:v>1</x:v>
      </x:c>
      <x:c r="B727" s="2" t="str">
        <x:v>CORP-0745</x:v>
      </x:c>
      <x:c r="C727" s="2" t="str">
        <x:v>Chennai</x:v>
      </x:c>
      <x:c r="D727" s="2" t="str"/>
      <x:c r="E727" s="12" t="str">
        <x:v>Prince Towers</x:v>
      </x:c>
      <x:c r="F727" s="12" t="str">
        <x:v>Elevator Lobby</x:v>
      </x:c>
      <x:c r="G727" s="11" t="n">
        <x:v>1</x:v>
      </x:c>
      <x:c r="H727" s="2" t="str">
        <x:v>55 inch</x:v>
      </x:c>
      <x:c r="I727" s="12" t="str">
        <x:v>BNP Paribas; Faber Sindoori Management Services; MMM Training Solutions; Acara Solutions India (Formerly Superior Talent India); Arkay Ispat Pvt Ltd</x:v>
      </x:c>
      <x:c r="J727" s="2" t="n">
        <x:v>5</x:v>
      </x:c>
      <x:c r="K727" s="12" t="str">
        <x:v>Inventory-listed building/workspace context; current occupancy and screen access unverified</x:v>
      </x:c>
      <x:c r="L727" s="12" t="str">
        <x:v>Professional services; Finance &amp; insurance; Engineering &amp; manufacturing; Education</x:v>
      </x:c>
      <x:c r="M727" s="12" t="str">
        <x:v>Small-scale prospects; Medium-scale prospects; Large enterprise; Mixed business audience</x:v>
      </x:c>
      <x:c r="N727" s="12" t="str">
        <x:v>PARTNER-M331</x:v>
      </x:c>
      <x:c r="O727" s="13"/>
      <x:c r="P727" s="13"/>
      <x:c r="Q727" s="2" t="str"/>
      <x:c r="R727" s="2" t="str">
        <x:v>TEN-56046651CB41; TEN-A11F5674D336; TEN-BFEF756FD7D1; TEN-C944C0646D46; TEN-CCB62E7F914B</x:v>
      </x:c>
      <x:c r="S727" s="12" t="str">
        <x:v>Mixed commercial workplace</x:v>
      </x:c>
      <x:c r="T727" s="12" t="str">
        <x:v>Tenant business-type estimates and reviewed company-scale context.</x:v>
      </x:c>
    </x:row>
    <x:row r="728" ht="75" customHeight="1">
      <x:c r="A728" s="10" t="n">
        <x:v>1</x:v>
      </x:c>
      <x:c r="B728" s="2" t="str">
        <x:v>CORP-0746</x:v>
      </x:c>
      <x:c r="C728" s="2" t="str">
        <x:v>Chennai</x:v>
      </x:c>
      <x:c r="D728" s="2" t="str"/>
      <x:c r="E728" s="12" t="str">
        <x:v>Prestige Polygon</x:v>
      </x:c>
      <x:c r="F728" s="12" t="str">
        <x:v>Reception lobby Entry</x:v>
      </x:c>
      <x:c r="G728" s="11" t="n">
        <x:v>1</x:v>
      </x:c>
      <x:c r="H728" s="2" t="str">
        <x:v>55 inch</x:v>
      </x:c>
      <x:c r="I728" s="12" t="str">
        <x:v>Cushman; AppStars; Vatika; Ananth Rathi; Tamil Nadu Guidance; Durr; CredAvenue Securities; KBR; Kotak; Microsoft; Gigamon; Smartworks; CredAvenue; RRD</x:v>
      </x:c>
      <x:c r="J728" s="2" t="n">
        <x:v>14</x:v>
      </x:c>
      <x:c r="K728" s="12" t="str">
        <x:v>Campus/portfolio roster; individual building occupancy unverified</x:v>
      </x:c>
      <x:c r="L728" s="12" t="str">
        <x:v>IT &amp; digital; Finance &amp; insurance; Engineering &amp; manufacturing; Trade, consumer &amp; logistics; Workspace &amp; property operations; Government &amp; nonprofit; Unresolved</x:v>
      </x:c>
      <x:c r="M728" s="12" t="str">
        <x:v>Large enterprise; Institutional; Mixed business audience</x:v>
      </x:c>
      <x:c r="N728" s="12" t="str">
        <x:v>PARTNER-M332</x:v>
      </x:c>
      <x:c r="O728" s="13"/>
      <x:c r="P728" s="13"/>
      <x:c r="Q728" s="2" t="str"/>
      <x:c r="R728" s="2" t="str">
        <x:v>TEN-17CA9B2CE93C; TEN-288E47F6ADE1; TEN-2E0E4384184D; TEN-4C4553C8F64F; TEN-4EB14676114F; TEN-50A9D77E82BD; TEN-5FED6F03A8D3; TEN-642BFD277E31; TEN-8DCD18640A0A; TEN-9FBF261B62C1; TEN-A82F7A1C6BEE; TEN-B68EE3D6C8CA; TEN-B7D6BC892877; TEN-C3CA7D8DCA22</x:v>
      </x:c>
      <x:c r="S728" s="12" t="str">
        <x:v>Mixed commercial workplace</x:v>
      </x:c>
      <x:c r="T728" s="12" t="str">
        <x:v>Tenant business-type estimates and reviewed company-scale context.</x:v>
      </x:c>
    </x:row>
    <x:row r="729" ht="75" customHeight="1">
      <x:c r="A729" s="10" t="n">
        <x:v>1</x:v>
      </x:c>
      <x:c r="B729" s="2" t="str">
        <x:v>CORP-0747</x:v>
      </x:c>
      <x:c r="C729" s="2" t="str">
        <x:v>Chennai</x:v>
      </x:c>
      <x:c r="D729" s="2" t="str"/>
      <x:c r="E729" s="12" t="str">
        <x:v>Prestige Polygon</x:v>
      </x:c>
      <x:c r="F729" s="12" t="str">
        <x:v>Reception lobby Exit</x:v>
      </x:c>
      <x:c r="G729" s="11" t="n">
        <x:v>1</x:v>
      </x:c>
      <x:c r="H729" s="2" t="str">
        <x:v>55 inch</x:v>
      </x:c>
      <x:c r="I729" s="12" t="str">
        <x:v>Cushman; AppStars; Vatika; Ananth Rathi; Tamil Nadu Guidance; Durr; CredAvenue Securities; KBR; Kotak; Microsoft; Gigamon; Smartworks; CredAvenue; RRD</x:v>
      </x:c>
      <x:c r="J729" s="2" t="n">
        <x:v>14</x:v>
      </x:c>
      <x:c r="K729" s="12" t="str">
        <x:v>Campus/portfolio roster; individual building occupancy unverified</x:v>
      </x:c>
      <x:c r="L729" s="12" t="str">
        <x:v>IT &amp; digital; Finance &amp; insurance; Engineering &amp; manufacturing; Trade, consumer &amp; logistics; Workspace &amp; property operations; Government &amp; nonprofit; Unresolved</x:v>
      </x:c>
      <x:c r="M729" s="12" t="str">
        <x:v>Large enterprise; Institutional; Mixed business audience</x:v>
      </x:c>
      <x:c r="N729" s="12" t="str">
        <x:v>PARTNER-M332</x:v>
      </x:c>
      <x:c r="O729" s="13"/>
      <x:c r="P729" s="13"/>
      <x:c r="Q729" s="2" t="str"/>
      <x:c r="R729" s="2" t="str">
        <x:v>TEN-17CA9B2CE93C; TEN-288E47F6ADE1; TEN-2E0E4384184D; TEN-4C4553C8F64F; TEN-4EB14676114F; TEN-50A9D77E82BD; TEN-5FED6F03A8D3; TEN-642BFD277E31; TEN-8DCD18640A0A; TEN-9FBF261B62C1; TEN-A82F7A1C6BEE; TEN-B68EE3D6C8CA; TEN-B7D6BC892877; TEN-C3CA7D8DCA22</x:v>
      </x:c>
      <x:c r="S729" s="12" t="str">
        <x:v>Mixed commercial workplace</x:v>
      </x:c>
      <x:c r="T729" s="12" t="str">
        <x:v>Tenant business-type estimates and reviewed company-scale context.</x:v>
      </x:c>
    </x:row>
    <x:row r="730" ht="64" customHeight="1">
      <x:c r="A730" s="10" t="n">
        <x:v>1</x:v>
      </x:c>
      <x:c r="B730" s="2" t="str">
        <x:v>CORP-0748</x:v>
      </x:c>
      <x:c r="C730" s="2" t="str">
        <x:v>Chennai</x:v>
      </x:c>
      <x:c r="D730" s="2" t="str"/>
      <x:c r="E730" s="12" t="str">
        <x:v>Prestige Zakria Metropolitan</x:v>
      </x:c>
      <x:c r="F730" s="12" t="str">
        <x:v>Reception lobby Entry</x:v>
      </x:c>
      <x:c r="G730" s="11" t="n">
        <x:v>1</x:v>
      </x:c>
      <x:c r="H730" s="2" t="str">
        <x:v>55 inch</x:v>
      </x:c>
      <x:c r="I730" s="12" t="str">
        <x:v>EMIRATES NBD Bank P.J.S.C; GM Modular Pvt Ltd; Clarivate; AWFIS Space Solutions Pvt Ltd; Vivriti Capital Pvt Ltd; Hp; I Software Operation Pvt Ltd; Symbyont Asset Management Pvt Ltd; Hewlett Packard Enterprise (Global eBusiness Operation Pvt Ltd); Maersk Line India Pvt Ltd; Vivriti Asset Management Pvt Ltd; Damco India Pvt Ltd</x:v>
      </x:c>
      <x:c r="J730" s="2" t="n">
        <x:v>12</x:v>
      </x:c>
      <x:c r="K730" s="12" t="str">
        <x:v>Campus/portfolio roster; individual building occupancy unverified</x:v>
      </x:c>
      <x:c r="L730" s="12" t="str">
        <x:v>IT &amp; digital; Finance &amp; insurance; Engineering &amp; manufacturing; Trade, consumer &amp; logistics; Workspace &amp; property operations</x:v>
      </x:c>
      <x:c r="M730" s="12" t="str">
        <x:v>Small-scale prospects; Medium-scale prospects; Large enterprise; Mixed business audience</x:v>
      </x:c>
      <x:c r="N730" s="12" t="str">
        <x:v>PARTNER-M334</x:v>
      </x:c>
      <x:c r="O730" s="13"/>
      <x:c r="P730" s="13"/>
      <x:c r="Q730" s="2" t="str"/>
      <x:c r="R730" s="2" t="str">
        <x:v>TEN-11695A472FC1; TEN-34415AA2B02E; TEN-52FBDEAF6627; TEN-80BAA3706B07; TEN-8AF7B3748A5F; TEN-93969D193161; TEN-977F6DCD151C; TEN-ADAEE2D21EB8; TEN-AF1817801D9F; TEN-E14BB6DB933C; TEN-E99C8208C589; TEN-F244698491CB</x:v>
      </x:c>
      <x:c r="S730" s="12" t="str">
        <x:v>Mixed commercial workplace</x:v>
      </x:c>
      <x:c r="T730" s="12" t="str">
        <x:v>Tenant business-type estimates and reviewed company-scale context.</x:v>
      </x:c>
    </x:row>
    <x:row r="731" ht="64" customHeight="1">
      <x:c r="A731" s="10" t="n">
        <x:v>1</x:v>
      </x:c>
      <x:c r="B731" s="2" t="str">
        <x:v>CORP-0749</x:v>
      </x:c>
      <x:c r="C731" s="2" t="str">
        <x:v>Chennai</x:v>
      </x:c>
      <x:c r="D731" s="2" t="str"/>
      <x:c r="E731" s="12" t="str">
        <x:v>Prestige Zakria Metropolitan</x:v>
      </x:c>
      <x:c r="F731" s="12" t="str">
        <x:v>Reception sitting area</x:v>
      </x:c>
      <x:c r="G731" s="11" t="n">
        <x:v>1</x:v>
      </x:c>
      <x:c r="H731" s="2" t="str">
        <x:v>55 inch</x:v>
      </x:c>
      <x:c r="I731" s="12" t="str">
        <x:v>EMIRATES NBD Bank P.J.S.C; GM Modular Pvt Ltd; Clarivate; AWFIS Space Solutions Pvt Ltd; Vivriti Capital Pvt Ltd; Hp; I Software Operation Pvt Ltd; Symbyont Asset Management Pvt Ltd; Hewlett Packard Enterprise (Global eBusiness Operation Pvt Ltd); Maersk Line India Pvt Ltd; Vivriti Asset Management Pvt Ltd; Damco India Pvt Ltd</x:v>
      </x:c>
      <x:c r="J731" s="2" t="n">
        <x:v>12</x:v>
      </x:c>
      <x:c r="K731" s="12" t="str">
        <x:v>Campus/portfolio roster; individual building occupancy unverified</x:v>
      </x:c>
      <x:c r="L731" s="12" t="str">
        <x:v>IT &amp; digital; Finance &amp; insurance; Engineering &amp; manufacturing; Trade, consumer &amp; logistics; Workspace &amp; property operations</x:v>
      </x:c>
      <x:c r="M731" s="12" t="str">
        <x:v>Small-scale prospects; Medium-scale prospects; Large enterprise; Mixed business audience</x:v>
      </x:c>
      <x:c r="N731" s="12" t="str">
        <x:v>PARTNER-M334</x:v>
      </x:c>
      <x:c r="O731" s="13"/>
      <x:c r="P731" s="13"/>
      <x:c r="Q731" s="2" t="str"/>
      <x:c r="R731" s="2" t="str">
        <x:v>TEN-11695A472FC1; TEN-34415AA2B02E; TEN-52FBDEAF6627; TEN-80BAA3706B07; TEN-8AF7B3748A5F; TEN-93969D193161; TEN-977F6DCD151C; TEN-ADAEE2D21EB8; TEN-AF1817801D9F; TEN-E14BB6DB933C; TEN-E99C8208C589; TEN-F244698491CB</x:v>
      </x:c>
      <x:c r="S731" s="12" t="str">
        <x:v>Mixed commercial workplace</x:v>
      </x:c>
      <x:c r="T731" s="12" t="str">
        <x:v>Tenant business-type estimates and reviewed company-scale context.</x:v>
      </x:c>
    </x:row>
    <x:row r="732" ht="64" customHeight="1">
      <x:c r="A732" s="10" t="n">
        <x:v>1</x:v>
      </x:c>
      <x:c r="B732" s="2" t="str">
        <x:v>CORP-0750</x:v>
      </x:c>
      <x:c r="C732" s="2" t="str">
        <x:v>Chennai</x:v>
      </x:c>
      <x:c r="D732" s="2" t="str"/>
      <x:c r="E732" s="12" t="str">
        <x:v>Prestige Cyber Tower</x:v>
      </x:c>
      <x:c r="F732" s="12" t="str">
        <x:v>Reception lobby</x:v>
      </x:c>
      <x:c r="G732" s="11" t="n">
        <x:v>1</x:v>
      </x:c>
      <x:c r="H732" s="2" t="str">
        <x:v>55 inch</x:v>
      </x:c>
      <x:c r="I732" s="12" t="str">
        <x:v>CapGemini Technologies Services Pvt Ltd; WNS Global Services Pvt Ltd; AGP GGD India Pvt Ltd</x:v>
      </x:c>
      <x:c r="J732" s="2" t="n">
        <x:v>3</x:v>
      </x:c>
      <x:c r="K732" s="12" t="str">
        <x:v>Campus/portfolio roster; individual building occupancy unverified</x:v>
      </x:c>
      <x:c r="L732" s="12" t="str">
        <x:v>IT &amp; digital; Unresolved</x:v>
      </x:c>
      <x:c r="M732" s="12" t="str">
        <x:v>Large enterprise; Mixed business audience</x:v>
      </x:c>
      <x:c r="N732" s="12" t="str">
        <x:v>PARTNER-M336</x:v>
      </x:c>
      <x:c r="O732" s="13"/>
      <x:c r="P732" s="13"/>
      <x:c r="Q732" s="2" t="str"/>
      <x:c r="R732" s="2" t="str">
        <x:v>TEN-3DA7A100CB6A; TEN-3EAEC1212261; TEN-90EE7A25A1C2</x:v>
      </x:c>
      <x:c r="S732" s="12" t="str">
        <x:v>IT and enterprise campus</x:v>
      </x:c>
      <x:c r="T732" s="12" t="str">
        <x:v>Tenant business-type estimates and reviewed company-scale context.</x:v>
      </x:c>
    </x:row>
    <x:row r="733" ht="64" customHeight="1">
      <x:c r="A733" s="10" t="n">
        <x:v>1</x:v>
      </x:c>
      <x:c r="B733" s="2" t="str">
        <x:v>CORP-0751</x:v>
      </x:c>
      <x:c r="C733" s="2" t="str">
        <x:v>Chennai</x:v>
      </x:c>
      <x:c r="D733" s="2" t="str"/>
      <x:c r="E733" s="12" t="str">
        <x:v>Prestige Cyber Tower</x:v>
      </x:c>
      <x:c r="F733" s="12" t="str">
        <x:v>Elevator Lobby</x:v>
      </x:c>
      <x:c r="G733" s="11" t="n">
        <x:v>1</x:v>
      </x:c>
      <x:c r="H733" s="2" t="str">
        <x:v>55 inch</x:v>
      </x:c>
      <x:c r="I733" s="12" t="str">
        <x:v>CapGemini Technologies Services Pvt Ltd; WNS Global Services Pvt Ltd; AGP GGD India Pvt Ltd</x:v>
      </x:c>
      <x:c r="J733" s="2" t="n">
        <x:v>3</x:v>
      </x:c>
      <x:c r="K733" s="12" t="str">
        <x:v>Campus/portfolio roster; individual building occupancy unverified</x:v>
      </x:c>
      <x:c r="L733" s="12" t="str">
        <x:v>IT &amp; digital; Unresolved</x:v>
      </x:c>
      <x:c r="M733" s="12" t="str">
        <x:v>Large enterprise; Mixed business audience</x:v>
      </x:c>
      <x:c r="N733" s="12" t="str">
        <x:v>PARTNER-M336</x:v>
      </x:c>
      <x:c r="O733" s="13"/>
      <x:c r="P733" s="13"/>
      <x:c r="Q733" s="2" t="str"/>
      <x:c r="R733" s="2" t="str">
        <x:v>TEN-3DA7A100CB6A; TEN-3EAEC1212261; TEN-90EE7A25A1C2</x:v>
      </x:c>
      <x:c r="S733" s="12" t="str">
        <x:v>IT and enterprise campus</x:v>
      </x:c>
      <x:c r="T733" s="12" t="str">
        <x:v>Tenant business-type estimates and reviewed company-scale context.</x:v>
      </x:c>
    </x:row>
    <x:row r="734" ht="64" customHeight="1">
      <x:c r="A734" s="10" t="n">
        <x:v>1</x:v>
      </x:c>
      <x:c r="B734" s="2" t="str">
        <x:v>CORP-0752</x:v>
      </x:c>
      <x:c r="C734" s="2" t="str">
        <x:v>Chennai</x:v>
      </x:c>
      <x:c r="D734" s="2" t="str"/>
      <x:c r="E734" s="12" t="str">
        <x:v>Prestige Palladium Bayan</x:v>
      </x:c>
      <x:c r="F734" s="12" t="str">
        <x:v>Reception lobby</x:v>
      </x:c>
      <x:c r="G734" s="11" t="n">
        <x:v>1</x:v>
      </x:c>
      <x:c r="H734" s="2" t="str">
        <x:v>55 inch</x:v>
      </x:c>
      <x:c r="I734" s="12" t="str">
        <x:v>Fuji Film; Executive Centre; Hyosung; Mitsubishi; Pfizer Healthcare; Enoia Babcock Borsing Pvt Ltd; Metal One; Maersk Line; Nippon Paint; Reliance Jio; Emirates; CNSI; Murata Electronics (I) Pvt Ltd; Mizuho Bank; Future Pipe</x:v>
      </x:c>
      <x:c r="J734" s="2" t="n">
        <x:v>15</x:v>
      </x:c>
      <x:c r="K734" s="12" t="str">
        <x:v>Campus/portfolio roster; individual building occupancy unverified</x:v>
      </x:c>
      <x:c r="L734" s="12" t="str">
        <x:v>IT &amp; digital; Finance &amp; insurance; Engineering &amp; manufacturing; Healthcare &amp; life sciences; Trade, consumer &amp; logistics; Workspace &amp; property operations</x:v>
      </x:c>
      <x:c r="M734" s="12" t="str">
        <x:v>Medium-scale prospects; Large enterprise; Mixed business audience</x:v>
      </x:c>
      <x:c r="N734" s="12" t="str">
        <x:v>PARTNER-M338</x:v>
      </x:c>
      <x:c r="O734" s="13"/>
      <x:c r="P734" s="13"/>
      <x:c r="Q734" s="2" t="str"/>
      <x:c r="R734" s="2" t="str">
        <x:v>TEN-247E64B2726D; TEN-3416D44D9CA3; TEN-3D1C706BE54D; TEN-4D13E1DBE7AB; TEN-5F871EBEAF97; TEN-9E0C506903AA; TEN-A19002876785; TEN-A3B1D465525D; TEN-AC2044857CE7; TEN-B8FB26B4E8C2; TEN-BA2436BD25A0; TEN-C3CF650A0210; TEN-E2744011C895; TEN-EC0137A97749; TEN-EFED65BEBA09</x:v>
      </x:c>
      <x:c r="S734" s="12" t="str">
        <x:v>Mixed commercial workplace</x:v>
      </x:c>
      <x:c r="T734" s="12" t="str">
        <x:v>Tenant business-type estimates and reviewed company-scale context.</x:v>
      </x:c>
    </x:row>
    <x:row r="735" ht="64" customHeight="1">
      <x:c r="A735" s="10" t="n">
        <x:v>1</x:v>
      </x:c>
      <x:c r="B735" s="2" t="str">
        <x:v>CORP-0753</x:v>
      </x:c>
      <x:c r="C735" s="2" t="str">
        <x:v>Chennai</x:v>
      </x:c>
      <x:c r="D735" s="2" t="str"/>
      <x:c r="E735" s="12" t="str">
        <x:v>Prestige Palladium Bayan</x:v>
      </x:c>
      <x:c r="F735" s="12" t="str">
        <x:v>Elevator Lobby</x:v>
      </x:c>
      <x:c r="G735" s="11" t="n">
        <x:v>1</x:v>
      </x:c>
      <x:c r="H735" s="2" t="str">
        <x:v>55 inch</x:v>
      </x:c>
      <x:c r="I735" s="12" t="str">
        <x:v>Fuji Film; Executive Centre; Hyosung; Mitsubishi; Pfizer Healthcare; Enoia Babcock Borsing Pvt Ltd; Metal One; Maersk Line; Nippon Paint; Reliance Jio; Emirates; CNSI; Murata Electronics (I) Pvt Ltd; Mizuho Bank; Future Pipe</x:v>
      </x:c>
      <x:c r="J735" s="2" t="n">
        <x:v>15</x:v>
      </x:c>
      <x:c r="K735" s="12" t="str">
        <x:v>Campus/portfolio roster; individual building occupancy unverified</x:v>
      </x:c>
      <x:c r="L735" s="12" t="str">
        <x:v>IT &amp; digital; Finance &amp; insurance; Engineering &amp; manufacturing; Healthcare &amp; life sciences; Trade, consumer &amp; logistics; Workspace &amp; property operations</x:v>
      </x:c>
      <x:c r="M735" s="12" t="str">
        <x:v>Medium-scale prospects; Large enterprise; Mixed business audience</x:v>
      </x:c>
      <x:c r="N735" s="12" t="str">
        <x:v>PARTNER-M338</x:v>
      </x:c>
      <x:c r="O735" s="13"/>
      <x:c r="P735" s="13"/>
      <x:c r="Q735" s="2" t="str"/>
      <x:c r="R735" s="2" t="str">
        <x:v>TEN-247E64B2726D; TEN-3416D44D9CA3; TEN-3D1C706BE54D; TEN-4D13E1DBE7AB; TEN-5F871EBEAF97; TEN-9E0C506903AA; TEN-A19002876785; TEN-A3B1D465525D; TEN-AC2044857CE7; TEN-B8FB26B4E8C2; TEN-BA2436BD25A0; TEN-C3CF650A0210; TEN-E2744011C895; TEN-EC0137A97749; TEN-EFED65BEBA09</x:v>
      </x:c>
      <x:c r="S735" s="12" t="str">
        <x:v>Mixed commercial workplace</x:v>
      </x:c>
      <x:c r="T735" s="12" t="str">
        <x:v>Tenant business-type estimates and reviewed company-scale context.</x:v>
      </x:c>
    </x:row>
    <x:row r="736" ht="64" customHeight="1">
      <x:c r="A736" s="10" t="n">
        <x:v>1</x:v>
      </x:c>
      <x:c r="B736" s="2" t="str">
        <x:v>CORP-0754</x:v>
      </x:c>
      <x:c r="C736" s="2" t="str">
        <x:v>Chennai</x:v>
      </x:c>
      <x:c r="D736" s="2" t="str"/>
      <x:c r="E736" s="12" t="str">
        <x:v>Prestige Cosmopolitan</x:v>
      </x:c>
      <x:c r="F736" s="12" t="str">
        <x:v>Reception lobby</x:v>
      </x:c>
      <x:c r="G736" s="11" t="n">
        <x:v>1</x:v>
      </x:c>
      <x:c r="H736" s="2" t="str">
        <x:v>55 inch</x:v>
      </x:c>
      <x:c r="I736" s="12" t="str">
        <x:v>Switch Mobility Automotive Ltd; DVS Research and Capital Services Pvt Ltd; Mitsubishi; AWFIS Space Solutions Pvt Ltd; Metal One; Metal One Corporation India PVT.LTD</x:v>
      </x:c>
      <x:c r="J736" s="2" t="n">
        <x:v>6</x:v>
      </x:c>
      <x:c r="K736" s="12" t="str">
        <x:v>Campus/portfolio roster; individual building occupancy unverified</x:v>
      </x:c>
      <x:c r="L736" s="12" t="str">
        <x:v>Finance &amp; insurance; Engineering &amp; manufacturing; Workspace &amp; property operations</x:v>
      </x:c>
      <x:c r="M736" s="12" t="str">
        <x:v>Medium-scale prospects; Mixed business audience</x:v>
      </x:c>
      <x:c r="N736" s="12" t="str">
        <x:v>PARTNER-M340</x:v>
      </x:c>
      <x:c r="O736" s="13" t="n">
        <x:v>13.0120507978262</x:v>
      </x:c>
      <x:c r="P736" s="13" t="n">
        <x:v>80.222822754999</x:v>
      </x:c>
      <x:c r="Q736" s="2" t="str">
        <x:v>https://www.google.com/maps?q=13.0120507978262,80.222822754999</x:v>
      </x:c>
      <x:c r="R736" s="2" t="str">
        <x:v>TEN-2546BF743AD2; TEN-2F707C5315A5; TEN-4D13E1DBE7AB; TEN-80BAA3706B07; TEN-A19002876785; TEN-AC70DCB61780</x:v>
      </x:c>
      <x:c r="S736" s="12" t="str">
        <x:v>Mixed commercial workplace</x:v>
      </x:c>
      <x:c r="T736" s="12" t="str">
        <x:v>Tenant business-type estimates and reviewed company-scale context.</x:v>
      </x:c>
    </x:row>
    <x:row r="737" ht="64" customHeight="1">
      <x:c r="A737" s="10" t="n">
        <x:v>1</x:v>
      </x:c>
      <x:c r="B737" s="2" t="str">
        <x:v>CORP-0755</x:v>
      </x:c>
      <x:c r="C737" s="2" t="str">
        <x:v>Chennai</x:v>
      </x:c>
      <x:c r="D737" s="2" t="str"/>
      <x:c r="E737" s="12" t="str">
        <x:v>Prestige Cosmopolitan</x:v>
      </x:c>
      <x:c r="F737" s="12" t="str">
        <x:v>Reception sitting area</x:v>
      </x:c>
      <x:c r="G737" s="11" t="n">
        <x:v>1</x:v>
      </x:c>
      <x:c r="H737" s="2" t="str">
        <x:v>55 inch</x:v>
      </x:c>
      <x:c r="I737" s="12" t="str">
        <x:v>Switch Mobility Automotive Ltd; DVS Research and Capital Services Pvt Ltd; Mitsubishi; AWFIS Space Solutions Pvt Ltd; Metal One; Metal One Corporation India PVT.LTD</x:v>
      </x:c>
      <x:c r="J737" s="2" t="n">
        <x:v>6</x:v>
      </x:c>
      <x:c r="K737" s="12" t="str">
        <x:v>Campus/portfolio roster; individual building occupancy unverified</x:v>
      </x:c>
      <x:c r="L737" s="12" t="str">
        <x:v>Finance &amp; insurance; Engineering &amp; manufacturing; Workspace &amp; property operations</x:v>
      </x:c>
      <x:c r="M737" s="12" t="str">
        <x:v>Medium-scale prospects; Mixed business audience</x:v>
      </x:c>
      <x:c r="N737" s="12" t="str">
        <x:v>PARTNER-M340</x:v>
      </x:c>
      <x:c r="O737" s="13" t="n">
        <x:v>13.0120507978262</x:v>
      </x:c>
      <x:c r="P737" s="13" t="n">
        <x:v>80.222822754999</x:v>
      </x:c>
      <x:c r="Q737" s="2" t="str">
        <x:v>https://www.google.com/maps?q=13.0120507978262,80.222822754999</x:v>
      </x:c>
      <x:c r="R737" s="2" t="str">
        <x:v>TEN-2546BF743AD2; TEN-2F707C5315A5; TEN-4D13E1DBE7AB; TEN-80BAA3706B07; TEN-A19002876785; TEN-AC70DCB61780</x:v>
      </x:c>
      <x:c r="S737" s="12" t="str">
        <x:v>Mixed commercial workplace</x:v>
      </x:c>
      <x:c r="T737" s="12" t="str">
        <x:v>Tenant business-type estimates and reviewed company-scale context.</x:v>
      </x:c>
    </x:row>
    <x:row r="738" ht="64" customHeight="1">
      <x:c r="A738" s="10" t="n">
        <x:v>1</x:v>
      </x:c>
      <x:c r="B738" s="2" t="str">
        <x:v>CORP-0756</x:v>
      </x:c>
      <x:c r="C738" s="2" t="str">
        <x:v>Chennai</x:v>
      </x:c>
      <x:c r="D738" s="2" t="str"/>
      <x:c r="E738" s="12" t="str">
        <x:v>Prince Infocity 2</x:v>
      </x:c>
      <x:c r="F738" s="12" t="str">
        <x:v>Food Court Exit 1F</x:v>
      </x:c>
      <x:c r="G738" s="11" t="n">
        <x:v>1</x:v>
      </x:c>
      <x:c r="H738" s="2" t="str">
        <x:v>55 inch</x:v>
      </x:c>
      <x:c r="I738" s="12" t="str">
        <x:v>QuScient Technologies Pvt Ltd; AGS Health; 3i Infotech Limited; Worklogix; IBM; Insmagro Global Solutions Pvt Ltd; Tata Teleservices Limited (TTSL Chennai); Great Lakes Institute of Management; Sardius Technologies</x:v>
      </x:c>
      <x:c r="J738" s="2" t="n">
        <x:v>9</x:v>
      </x:c>
      <x:c r="K738" s="12" t="str">
        <x:v>Campus/portfolio roster; individual building occupancy unverified</x:v>
      </x:c>
      <x:c r="L738" s="12" t="str">
        <x:v>IT &amp; digital; Healthcare &amp; life sciences; Education; Unresolved</x:v>
      </x:c>
      <x:c r="M738" s="12" t="str">
        <x:v>Small-scale prospects; Large enterprise; Institutional; Mixed business audience</x:v>
      </x:c>
      <x:c r="N738" s="12" t="str">
        <x:v>PARTNER-M342</x:v>
      </x:c>
      <x:c r="O738" s="13"/>
      <x:c r="P738" s="13"/>
      <x:c r="Q738" s="2" t="str"/>
      <x:c r="R738" s="2" t="str">
        <x:v>TEN-2082E5C8582B; TEN-3FE557A29BB1; TEN-6CCD1ACFB146; TEN-8061FA4B3B34; TEN-916A98F0FA2A; TEN-953F723DD17A; TEN-C60ACB58F3DA; TEN-D30D32A3CC13; TEN-E4218F5619DB</x:v>
      </x:c>
      <x:c r="S738" s="12" t="str">
        <x:v>Mixed commercial workplace</x:v>
      </x:c>
      <x:c r="T738" s="12" t="str">
        <x:v>Tenant business-type estimates and reviewed company-scale context.</x:v>
      </x:c>
    </x:row>
    <x:row r="739" ht="64" customHeight="1">
      <x:c r="A739" s="10" t="n">
        <x:v>1</x:v>
      </x:c>
      <x:c r="B739" s="2" t="str">
        <x:v>CORP-0757</x:v>
      </x:c>
      <x:c r="C739" s="2" t="str">
        <x:v>Chennai</x:v>
      </x:c>
      <x:c r="D739" s="2" t="str"/>
      <x:c r="E739" s="12" t="str">
        <x:v>Prince Infocity 2</x:v>
      </x:c>
      <x:c r="F739" s="12" t="str">
        <x:v>Elevator Lobby 1 1F</x:v>
      </x:c>
      <x:c r="G739" s="11" t="n">
        <x:v>1</x:v>
      </x:c>
      <x:c r="H739" s="2" t="str">
        <x:v>55 inch</x:v>
      </x:c>
      <x:c r="I739" s="12" t="str">
        <x:v>QuScient Technologies Pvt Ltd; AGS Health; 3i Infotech Limited; Worklogix; IBM; Insmagro Global Solutions Pvt Ltd; Tata Teleservices Limited (TTSL Chennai); Great Lakes Institute of Management; Sardius Technologies</x:v>
      </x:c>
      <x:c r="J739" s="2" t="n">
        <x:v>9</x:v>
      </x:c>
      <x:c r="K739" s="12" t="str">
        <x:v>Campus/portfolio roster; individual building occupancy unverified</x:v>
      </x:c>
      <x:c r="L739" s="12" t="str">
        <x:v>IT &amp; digital; Healthcare &amp; life sciences; Education; Unresolved</x:v>
      </x:c>
      <x:c r="M739" s="12" t="str">
        <x:v>Small-scale prospects; Large enterprise; Institutional; Mixed business audience</x:v>
      </x:c>
      <x:c r="N739" s="12" t="str">
        <x:v>PARTNER-M342</x:v>
      </x:c>
      <x:c r="O739" s="13"/>
      <x:c r="P739" s="13"/>
      <x:c r="Q739" s="2" t="str"/>
      <x:c r="R739" s="2" t="str">
        <x:v>TEN-2082E5C8582B; TEN-3FE557A29BB1; TEN-6CCD1ACFB146; TEN-8061FA4B3B34; TEN-916A98F0FA2A; TEN-953F723DD17A; TEN-C60ACB58F3DA; TEN-D30D32A3CC13; TEN-E4218F5619DB</x:v>
      </x:c>
      <x:c r="S739" s="12" t="str">
        <x:v>Mixed commercial workplace</x:v>
      </x:c>
      <x:c r="T739" s="12" t="str">
        <x:v>Tenant business-type estimates and reviewed company-scale context.</x:v>
      </x:c>
    </x:row>
    <x:row r="740" ht="64" customHeight="1">
      <x:c r="A740" s="10" t="n">
        <x:v>1</x:v>
      </x:c>
      <x:c r="B740" s="2" t="str">
        <x:v>CORP-0758</x:v>
      </x:c>
      <x:c r="C740" s="2" t="str">
        <x:v>Chennai</x:v>
      </x:c>
      <x:c r="D740" s="2" t="str"/>
      <x:c r="E740" s="12" t="str">
        <x:v>Prince Infocity 2</x:v>
      </x:c>
      <x:c r="F740" s="12" t="str">
        <x:v>Elevator Lobby 1 1F</x:v>
      </x:c>
      <x:c r="G740" s="11" t="n">
        <x:v>1</x:v>
      </x:c>
      <x:c r="H740" s="2" t="str">
        <x:v>55 inch</x:v>
      </x:c>
      <x:c r="I740" s="12" t="str">
        <x:v>QuScient Technologies Pvt Ltd; AGS Health; 3i Infotech Limited; Worklogix; IBM; Insmagro Global Solutions Pvt Ltd; Tata Teleservices Limited (TTSL Chennai); Great Lakes Institute of Management; Sardius Technologies</x:v>
      </x:c>
      <x:c r="J740" s="2" t="n">
        <x:v>9</x:v>
      </x:c>
      <x:c r="K740" s="12" t="str">
        <x:v>Campus/portfolio roster; individual building occupancy unverified</x:v>
      </x:c>
      <x:c r="L740" s="12" t="str">
        <x:v>IT &amp; digital; Healthcare &amp; life sciences; Education; Unresolved</x:v>
      </x:c>
      <x:c r="M740" s="12" t="str">
        <x:v>Small-scale prospects; Large enterprise; Institutional; Mixed business audience</x:v>
      </x:c>
      <x:c r="N740" s="12" t="str">
        <x:v>PARTNER-M342</x:v>
      </x:c>
      <x:c r="O740" s="13"/>
      <x:c r="P740" s="13"/>
      <x:c r="Q740" s="2" t="str"/>
      <x:c r="R740" s="2" t="str">
        <x:v>TEN-2082E5C8582B; TEN-3FE557A29BB1; TEN-6CCD1ACFB146; TEN-8061FA4B3B34; TEN-916A98F0FA2A; TEN-953F723DD17A; TEN-C60ACB58F3DA; TEN-D30D32A3CC13; TEN-E4218F5619DB</x:v>
      </x:c>
      <x:c r="S740" s="12" t="str">
        <x:v>Mixed commercial workplace</x:v>
      </x:c>
      <x:c r="T740" s="12" t="str">
        <x:v>Tenant business-type estimates and reviewed company-scale context.</x:v>
      </x:c>
    </x:row>
    <x:row r="741" ht="64" customHeight="1">
      <x:c r="A741" s="10" t="n">
        <x:v>1</x:v>
      </x:c>
      <x:c r="B741" s="2" t="str">
        <x:v>CORP-0759</x:v>
      </x:c>
      <x:c r="C741" s="2" t="str">
        <x:v>Chennai</x:v>
      </x:c>
      <x:c r="D741" s="2" t="str"/>
      <x:c r="E741" s="12" t="str">
        <x:v>Prince Infocity 2</x:v>
      </x:c>
      <x:c r="F741" s="12" t="str">
        <x:v>Elevator Lobby 1 1F</x:v>
      </x:c>
      <x:c r="G741" s="11" t="n">
        <x:v>1</x:v>
      </x:c>
      <x:c r="H741" s="2" t="str">
        <x:v>55 inch</x:v>
      </x:c>
      <x:c r="I741" s="12" t="str">
        <x:v>QuScient Technologies Pvt Ltd; AGS Health; 3i Infotech Limited; Worklogix; IBM; Insmagro Global Solutions Pvt Ltd; Tata Teleservices Limited (TTSL Chennai); Great Lakes Institute of Management; Sardius Technologies</x:v>
      </x:c>
      <x:c r="J741" s="2" t="n">
        <x:v>9</x:v>
      </x:c>
      <x:c r="K741" s="12" t="str">
        <x:v>Campus/portfolio roster; individual building occupancy unverified</x:v>
      </x:c>
      <x:c r="L741" s="12" t="str">
        <x:v>IT &amp; digital; Healthcare &amp; life sciences; Education; Unresolved</x:v>
      </x:c>
      <x:c r="M741" s="12" t="str">
        <x:v>Small-scale prospects; Large enterprise; Institutional; Mixed business audience</x:v>
      </x:c>
      <x:c r="N741" s="12" t="str">
        <x:v>PARTNER-M342</x:v>
      </x:c>
      <x:c r="O741" s="13"/>
      <x:c r="P741" s="13"/>
      <x:c r="Q741" s="2" t="str"/>
      <x:c r="R741" s="2" t="str">
        <x:v>TEN-2082E5C8582B; TEN-3FE557A29BB1; TEN-6CCD1ACFB146; TEN-8061FA4B3B34; TEN-916A98F0FA2A; TEN-953F723DD17A; TEN-C60ACB58F3DA; TEN-D30D32A3CC13; TEN-E4218F5619DB</x:v>
      </x:c>
      <x:c r="S741" s="12" t="str">
        <x:v>Mixed commercial workplace</x:v>
      </x:c>
      <x:c r="T741" s="12" t="str">
        <x:v>Tenant business-type estimates and reviewed company-scale context.</x:v>
      </x:c>
    </x:row>
    <x:row r="742" ht="64" customHeight="1">
      <x:c r="A742" s="10" t="n">
        <x:v>1</x:v>
      </x:c>
      <x:c r="B742" s="2" t="str">
        <x:v>CORP-0760</x:v>
      </x:c>
      <x:c r="C742" s="2" t="str">
        <x:v>Chennai</x:v>
      </x:c>
      <x:c r="D742" s="2" t="str"/>
      <x:c r="E742" s="12" t="str">
        <x:v>Prince Infocity 2</x:v>
      </x:c>
      <x:c r="F742" s="12" t="str">
        <x:v>Food Court Area</x:v>
      </x:c>
      <x:c r="G742" s="11" t="n">
        <x:v>1</x:v>
      </x:c>
      <x:c r="H742" s="2" t="str">
        <x:v>55 inch</x:v>
      </x:c>
      <x:c r="I742" s="12" t="str">
        <x:v>QuScient Technologies Pvt Ltd; AGS Health; 3i Infotech Limited; Worklogix; IBM; Insmagro Global Solutions Pvt Ltd; Tata Teleservices Limited (TTSL Chennai); Great Lakes Institute of Management; Sardius Technologies</x:v>
      </x:c>
      <x:c r="J742" s="2" t="n">
        <x:v>9</x:v>
      </x:c>
      <x:c r="K742" s="12" t="str">
        <x:v>Campus/portfolio roster; individual building occupancy unverified</x:v>
      </x:c>
      <x:c r="L742" s="12" t="str">
        <x:v>IT &amp; digital; Healthcare &amp; life sciences; Education; Unresolved</x:v>
      </x:c>
      <x:c r="M742" s="12" t="str">
        <x:v>Small-scale prospects; Large enterprise; Institutional; Mixed business audience</x:v>
      </x:c>
      <x:c r="N742" s="12" t="str">
        <x:v>PARTNER-M342</x:v>
      </x:c>
      <x:c r="O742" s="13"/>
      <x:c r="P742" s="13"/>
      <x:c r="Q742" s="2" t="str"/>
      <x:c r="R742" s="2" t="str">
        <x:v>TEN-2082E5C8582B; TEN-3FE557A29BB1; TEN-6CCD1ACFB146; TEN-8061FA4B3B34; TEN-916A98F0FA2A; TEN-953F723DD17A; TEN-C60ACB58F3DA; TEN-D30D32A3CC13; TEN-E4218F5619DB</x:v>
      </x:c>
      <x:c r="S742" s="12" t="str">
        <x:v>Mixed commercial workplace</x:v>
      </x:c>
      <x:c r="T742" s="12" t="str">
        <x:v>Tenant business-type estimates and reviewed company-scale context.</x:v>
      </x:c>
    </x:row>
    <x:row r="743" ht="64" customHeight="1">
      <x:c r="A743" s="10" t="n">
        <x:v>1</x:v>
      </x:c>
      <x:c r="B743" s="2" t="str">
        <x:v>CORP-0761</x:v>
      </x:c>
      <x:c r="C743" s="2" t="str">
        <x:v>Chennai</x:v>
      </x:c>
      <x:c r="D743" s="2" t="str"/>
      <x:c r="E743" s="12" t="str">
        <x:v>Prince Infocity 1</x:v>
      </x:c>
      <x:c r="F743" s="12" t="str">
        <x:v>Reception lobby</x:v>
      </x:c>
      <x:c r="G743" s="11" t="n">
        <x:v>1</x:v>
      </x:c>
      <x:c r="H743" s="2" t="str">
        <x:v>55 inch</x:v>
      </x:c>
      <x:c r="I743" s="12" t="str">
        <x:v>Belgium Business Center Chennai; KLA Software; Dun &amp; Bradstreet Technologies &amp; Data Services Pvt. Ltd; Upstream Talent Management Services Private Limited; IVY Mobility Solutions Ltd</x:v>
      </x:c>
      <x:c r="J743" s="2" t="n">
        <x:v>5</x:v>
      </x:c>
      <x:c r="K743" s="12" t="str">
        <x:v>Campus/portfolio roster; individual building occupancy unverified</x:v>
      </x:c>
      <x:c r="L743" s="12" t="str">
        <x:v>IT &amp; digital; Professional services; Finance &amp; insurance; Workspace &amp; property operations</x:v>
      </x:c>
      <x:c r="M743" s="12" t="str">
        <x:v>Small-scale prospects; Mixed business audience</x:v>
      </x:c>
      <x:c r="N743" s="12" t="str">
        <x:v>PARTNER-M347</x:v>
      </x:c>
      <x:c r="O743" s="13"/>
      <x:c r="P743" s="13"/>
      <x:c r="Q743" s="2" t="str"/>
      <x:c r="R743" s="2" t="str">
        <x:v>TEN-4CD291270F9E; TEN-815E15EB19F8; TEN-ADB237A5DECE; TEN-E44CEBE6EA8C; TEN-FC6EA90A7528</x:v>
      </x:c>
      <x:c r="S743" s="12" t="str">
        <x:v>Mixed commercial workplace</x:v>
      </x:c>
      <x:c r="T743" s="12" t="str">
        <x:v>Tenant business-type estimates and reviewed company-scale context.</x:v>
      </x:c>
    </x:row>
    <x:row r="744" ht="64" customHeight="1">
      <x:c r="A744" s="10" t="n">
        <x:v>1</x:v>
      </x:c>
      <x:c r="B744" s="2" t="str">
        <x:v>CORP-0762</x:v>
      </x:c>
      <x:c r="C744" s="2" t="str">
        <x:v>Chennai</x:v>
      </x:c>
      <x:c r="D744" s="2" t="str"/>
      <x:c r="E744" s="12" t="str">
        <x:v>Prince Infocity 1</x:v>
      </x:c>
      <x:c r="F744" s="12" t="str">
        <x:v>Reception lobby</x:v>
      </x:c>
      <x:c r="G744" s="11" t="n">
        <x:v>1</x:v>
      </x:c>
      <x:c r="H744" s="2" t="str">
        <x:v>55 inch</x:v>
      </x:c>
      <x:c r="I744" s="12" t="str">
        <x:v>Belgium Business Center Chennai; KLA Software; Dun &amp; Bradstreet Technologies &amp; Data Services Pvt. Ltd; Upstream Talent Management Services Private Limited; IVY Mobility Solutions Ltd</x:v>
      </x:c>
      <x:c r="J744" s="2" t="n">
        <x:v>5</x:v>
      </x:c>
      <x:c r="K744" s="12" t="str">
        <x:v>Campus/portfolio roster; individual building occupancy unverified</x:v>
      </x:c>
      <x:c r="L744" s="12" t="str">
        <x:v>IT &amp; digital; Professional services; Finance &amp; insurance; Workspace &amp; property operations</x:v>
      </x:c>
      <x:c r="M744" s="12" t="str">
        <x:v>Small-scale prospects; Mixed business audience</x:v>
      </x:c>
      <x:c r="N744" s="12" t="str">
        <x:v>PARTNER-M347</x:v>
      </x:c>
      <x:c r="O744" s="13"/>
      <x:c r="P744" s="13"/>
      <x:c r="Q744" s="2" t="str"/>
      <x:c r="R744" s="2" t="str">
        <x:v>TEN-4CD291270F9E; TEN-815E15EB19F8; TEN-ADB237A5DECE; TEN-E44CEBE6EA8C; TEN-FC6EA90A7528</x:v>
      </x:c>
      <x:c r="S744" s="12" t="str">
        <x:v>Mixed commercial workplace</x:v>
      </x:c>
      <x:c r="T744" s="12" t="str">
        <x:v>Tenant business-type estimates and reviewed company-scale context.</x:v>
      </x:c>
    </x:row>
    <x:row r="745" ht="64" customHeight="1">
      <x:c r="A745" s="10" t="n">
        <x:v>1</x:v>
      </x:c>
      <x:c r="B745" s="2" t="str">
        <x:v>CORP-0763</x:v>
      </x:c>
      <x:c r="C745" s="2" t="str">
        <x:v>Chennai</x:v>
      </x:c>
      <x:c r="D745" s="2" t="str"/>
      <x:c r="E745" s="12" t="str">
        <x:v>Kushal Towers</x:v>
      </x:c>
      <x:c r="F745" s="12" t="str">
        <x:v>Elevator Lobby</x:v>
      </x:c>
      <x:c r="G745" s="11" t="n">
        <x:v>1</x:v>
      </x:c>
      <x:c r="H745" s="2" t="str">
        <x:v>55 inch</x:v>
      </x:c>
      <x:c r="I745" s="12" t="str">
        <x:v>QAssure Technologies India Pvt Ltd; BICS Global; RP Telebuy Skyshop Private Limited; XCEL Corp; Blackstone Group Tech Private Limited; Access Healthcare; GAMMA Process Hub India Ltd; Vakilsearch; Zamil Steel Buildings India Pvt Ltd; Serco; Logic Information Systems; Datamark Inc</x:v>
      </x:c>
      <x:c r="J745" s="2" t="n">
        <x:v>12</x:v>
      </x:c>
      <x:c r="K745" s="12" t="str">
        <x:v>Campus/portfolio roster; individual building occupancy unverified</x:v>
      </x:c>
      <x:c r="L745" s="12" t="str">
        <x:v>IT &amp; digital; Engineering &amp; manufacturing; Healthcare &amp; life sciences; Trade, consumer &amp; logistics; Unresolved</x:v>
      </x:c>
      <x:c r="M745" s="12" t="str">
        <x:v>Small-scale prospects; Mixed business audience</x:v>
      </x:c>
      <x:c r="N745" s="12" t="str">
        <x:v>PARTNER-M349</x:v>
      </x:c>
      <x:c r="O745" s="13"/>
      <x:c r="P745" s="13"/>
      <x:c r="Q745" s="2" t="str"/>
      <x:c r="R745" s="2" t="str">
        <x:v>TEN-01DFE5E03500; TEN-08D2EE4FF19C; TEN-254BC0A18FC5; TEN-3D167F220E41; TEN-5A5035480186; TEN-68D85C0A07A9; TEN-7DCE55C572CC; TEN-8C1ED08A337E; TEN-B810D11F7B55; TEN-BB8FEC9419FA; TEN-D86E0B0A416E; TEN-DF9748595865</x:v>
      </x:c>
      <x:c r="S745" s="12" t="str">
        <x:v>Mixed commercial workplace</x:v>
      </x:c>
      <x:c r="T745" s="12" t="str">
        <x:v>Tenant business-type estimates and reviewed company-scale context.</x:v>
      </x:c>
    </x:row>
    <x:row r="746" ht="64" customHeight="1">
      <x:c r="A746" s="10" t="n">
        <x:v>1</x:v>
      </x:c>
      <x:c r="B746" s="2" t="str">
        <x:v>CORP-0764</x:v>
      </x:c>
      <x:c r="C746" s="2" t="str">
        <x:v>Chennai</x:v>
      </x:c>
      <x:c r="D746" s="2" t="str"/>
      <x:c r="E746" s="12" t="str">
        <x:v>Prince Infopark</x:v>
      </x:c>
      <x:c r="F746" s="12" t="str">
        <x:v>Ground Floor - Office Lobby</x:v>
      </x:c>
      <x:c r="G746" s="11" t="n">
        <x:v>1</x:v>
      </x:c>
      <x:c r="H746" s="2" t="str">
        <x:v>55 inch</x:v>
      </x:c>
      <x:c r="I746" s="12" t="str">
        <x:v>QAssure Technologies India Pvt Ltd; BICS Global; RP Telebuy Skyshop Private Limited; XCEL Corp; Blackstone Group Tech Private Limited; Access Healthcare; GAMMA Process Hub India Ltd; Vakilsearch; Zamil Steel Buildings India Pvt Ltd; Serco; Logic Information Systems; Datamark Inc</x:v>
      </x:c>
      <x:c r="J746" s="2" t="n">
        <x:v>12</x:v>
      </x:c>
      <x:c r="K746" s="12" t="str">
        <x:v>Campus/portfolio roster; individual building occupancy unverified</x:v>
      </x:c>
      <x:c r="L746" s="12" t="str">
        <x:v>IT &amp; digital; Engineering &amp; manufacturing; Healthcare &amp; life sciences; Trade, consumer &amp; logistics; Unresolved</x:v>
      </x:c>
      <x:c r="M746" s="12" t="str">
        <x:v>Small-scale prospects; Mixed business audience</x:v>
      </x:c>
      <x:c r="N746" s="12" t="str">
        <x:v>PARTNER-M350</x:v>
      </x:c>
      <x:c r="O746" s="13"/>
      <x:c r="P746" s="13"/>
      <x:c r="Q746" s="2" t="str"/>
      <x:c r="R746" s="2" t="str">
        <x:v>TEN-01DFE5E03500; TEN-08D2EE4FF19C; TEN-254BC0A18FC5; TEN-3D167F220E41; TEN-5A5035480186; TEN-68D85C0A07A9; TEN-7DCE55C572CC; TEN-8C1ED08A337E; TEN-B810D11F7B55; TEN-BB8FEC9419FA; TEN-D86E0B0A416E; TEN-DF9748595865</x:v>
      </x:c>
      <x:c r="S746" s="12" t="str">
        <x:v>Mixed commercial workplace</x:v>
      </x:c>
      <x:c r="T746" s="12" t="str">
        <x:v>Tenant business-type estimates and reviewed company-scale context.</x:v>
      </x:c>
    </x:row>
    <x:row r="747" ht="64" customHeight="1">
      <x:c r="A747" s="10" t="n">
        <x:v>1</x:v>
      </x:c>
      <x:c r="B747" s="2" t="str">
        <x:v>CORP-0765</x:v>
      </x:c>
      <x:c r="C747" s="2" t="str">
        <x:v>Chennai</x:v>
      </x:c>
      <x:c r="D747" s="2" t="str"/>
      <x:c r="E747" s="12" t="str">
        <x:v>Prince Infopark</x:v>
      </x:c>
      <x:c r="F747" s="12" t="str">
        <x:v>Ground Floor - Office Lobby</x:v>
      </x:c>
      <x:c r="G747" s="11" t="n">
        <x:v>1</x:v>
      </x:c>
      <x:c r="H747" s="2" t="str">
        <x:v>55 inch</x:v>
      </x:c>
      <x:c r="I747" s="12" t="str">
        <x:v>QAssure Technologies India Pvt Ltd; BICS Global; RP Telebuy Skyshop Private Limited; XCEL Corp; Blackstone Group Tech Private Limited; Access Healthcare; GAMMA Process Hub India Ltd; Vakilsearch; Zamil Steel Buildings India Pvt Ltd; Serco; Logic Information Systems; Datamark Inc</x:v>
      </x:c>
      <x:c r="J747" s="2" t="n">
        <x:v>12</x:v>
      </x:c>
      <x:c r="K747" s="12" t="str">
        <x:v>Campus/portfolio roster; individual building occupancy unverified</x:v>
      </x:c>
      <x:c r="L747" s="12" t="str">
        <x:v>IT &amp; digital; Engineering &amp; manufacturing; Healthcare &amp; life sciences; Trade, consumer &amp; logistics; Unresolved</x:v>
      </x:c>
      <x:c r="M747" s="12" t="str">
        <x:v>Small-scale prospects; Mixed business audience</x:v>
      </x:c>
      <x:c r="N747" s="12" t="str">
        <x:v>PARTNER-M350</x:v>
      </x:c>
      <x:c r="O747" s="13"/>
      <x:c r="P747" s="13"/>
      <x:c r="Q747" s="2" t="str"/>
      <x:c r="R747" s="2" t="str">
        <x:v>TEN-01DFE5E03500; TEN-08D2EE4FF19C; TEN-254BC0A18FC5; TEN-3D167F220E41; TEN-5A5035480186; TEN-68D85C0A07A9; TEN-7DCE55C572CC; TEN-8C1ED08A337E; TEN-B810D11F7B55; TEN-BB8FEC9419FA; TEN-D86E0B0A416E; TEN-DF9748595865</x:v>
      </x:c>
      <x:c r="S747" s="12" t="str">
        <x:v>Mixed commercial workplace</x:v>
      </x:c>
      <x:c r="T747" s="12" t="str">
        <x:v>Tenant business-type estimates and reviewed company-scale context.</x:v>
      </x:c>
    </x:row>
    <x:row r="748" ht="64" customHeight="1">
      <x:c r="A748" s="10" t="n">
        <x:v>1</x:v>
      </x:c>
      <x:c r="B748" s="2" t="str">
        <x:v>CORP-0766</x:v>
      </x:c>
      <x:c r="C748" s="2" t="str">
        <x:v>Delhi NCR</x:v>
      </x:c>
      <x:c r="D748" s="2" t="str"/>
      <x:c r="E748" s="12" t="str">
        <x:v>iLabs Info Technology Center</x:v>
      </x:c>
      <x:c r="F748" s="12" t="str">
        <x:v>Main Lobby Entry</x:v>
      </x:c>
      <x:c r="G748" s="11" t="n">
        <x:v>1</x:v>
      </x:c>
      <x:c r="H748" s="2" t="str">
        <x:v>55 inch</x:v>
      </x:c>
      <x:c r="I748" s="12" t="str">
        <x:v>Nirvasa Healthcare; SS Innovations Private Limited; Kellton; TaskUs Mystiqa; Robosurg MedTech Pvt Ltd</x:v>
      </x:c>
      <x:c r="J748" s="2" t="n">
        <x:v>5</x:v>
      </x:c>
      <x:c r="K748" s="12" t="str">
        <x:v>Campus/portfolio roster; individual building occupancy unverified</x:v>
      </x:c>
      <x:c r="L748" s="12" t="str">
        <x:v>IT &amp; digital; Healthcare &amp; life sciences</x:v>
      </x:c>
      <x:c r="M748" s="12" t="str">
        <x:v>Small-scale prospects; Medium-scale prospects; Mixed business audience</x:v>
      </x:c>
      <x:c r="N748" s="12" t="str">
        <x:v>PARTNER-M353</x:v>
      </x:c>
      <x:c r="O748" s="13"/>
      <x:c r="P748" s="13"/>
      <x:c r="Q748" s="2" t="str"/>
      <x:c r="R748" s="2" t="str">
        <x:v>TEN-427F056730B2; TEN-48ED1FD35C3C; TEN-52E9D79221AA; TEN-982D8CD25EC5; TEN-D5D133305413</x:v>
      </x:c>
      <x:c r="S748" s="12" t="str">
        <x:v>Mixed commercial workplace</x:v>
      </x:c>
      <x:c r="T748" s="12" t="str">
        <x:v>Tenant business-type estimates and reviewed company-scale context.</x:v>
      </x:c>
    </x:row>
    <x:row r="749" ht="64" customHeight="1">
      <x:c r="A749" s="10" t="n">
        <x:v>1</x:v>
      </x:c>
      <x:c r="B749" s="2" t="str">
        <x:v>CORP-0767</x:v>
      </x:c>
      <x:c r="C749" s="2" t="str">
        <x:v>Delhi NCR</x:v>
      </x:c>
      <x:c r="D749" s="2" t="str"/>
      <x:c r="E749" s="12" t="str">
        <x:v>iLabs Info Technology Center</x:v>
      </x:c>
      <x:c r="F749" s="12" t="str">
        <x:v>Reception Lobby</x:v>
      </x:c>
      <x:c r="G749" s="11" t="n">
        <x:v>1</x:v>
      </x:c>
      <x:c r="H749" s="2" t="str">
        <x:v>55 inch</x:v>
      </x:c>
      <x:c r="I749" s="12" t="str">
        <x:v>Nirvasa Healthcare; SS Innovations Private Limited; Kellton; TaskUs Mystiqa; Robosurg MedTech Pvt Ltd</x:v>
      </x:c>
      <x:c r="J749" s="2" t="n">
        <x:v>5</x:v>
      </x:c>
      <x:c r="K749" s="12" t="str">
        <x:v>Campus/portfolio roster; individual building occupancy unverified</x:v>
      </x:c>
      <x:c r="L749" s="12" t="str">
        <x:v>IT &amp; digital; Healthcare &amp; life sciences</x:v>
      </x:c>
      <x:c r="M749" s="12" t="str">
        <x:v>Small-scale prospects; Medium-scale prospects; Mixed business audience</x:v>
      </x:c>
      <x:c r="N749" s="12" t="str">
        <x:v>PARTNER-M353</x:v>
      </x:c>
      <x:c r="O749" s="13"/>
      <x:c r="P749" s="13"/>
      <x:c r="Q749" s="2" t="str"/>
      <x:c r="R749" s="2" t="str">
        <x:v>TEN-427F056730B2; TEN-48ED1FD35C3C; TEN-52E9D79221AA; TEN-982D8CD25EC5; TEN-D5D133305413</x:v>
      </x:c>
      <x:c r="S749" s="12" t="str">
        <x:v>Mixed commercial workplace</x:v>
      </x:c>
      <x:c r="T749" s="12" t="str">
        <x:v>Tenant business-type estimates and reviewed company-scale context.</x:v>
      </x:c>
    </x:row>
    <x:row r="750" ht="64" customHeight="1">
      <x:c r="A750" s="10" t="n">
        <x:v>1</x:v>
      </x:c>
      <x:c r="B750" s="2" t="str">
        <x:v>CORP-0768</x:v>
      </x:c>
      <x:c r="C750" s="2" t="str">
        <x:v>Delhi NCR</x:v>
      </x:c>
      <x:c r="D750" s="2" t="str"/>
      <x:c r="E750" s="12" t="str">
        <x:v>iLabs Info Technology Center</x:v>
      </x:c>
      <x:c r="F750" s="12" t="str">
        <x:v>Elevator Lobby</x:v>
      </x:c>
      <x:c r="G750" s="11" t="n">
        <x:v>1</x:v>
      </x:c>
      <x:c r="H750" s="2" t="str">
        <x:v>55 inch</x:v>
      </x:c>
      <x:c r="I750" s="12" t="str">
        <x:v>Nirvasa Healthcare; SS Innovations Private Limited; Kellton; TaskUs Mystiqa; Robosurg MedTech Pvt Ltd</x:v>
      </x:c>
      <x:c r="J750" s="2" t="n">
        <x:v>5</x:v>
      </x:c>
      <x:c r="K750" s="12" t="str">
        <x:v>Campus/portfolio roster; individual building occupancy unverified</x:v>
      </x:c>
      <x:c r="L750" s="12" t="str">
        <x:v>IT &amp; digital; Healthcare &amp; life sciences</x:v>
      </x:c>
      <x:c r="M750" s="12" t="str">
        <x:v>Small-scale prospects; Medium-scale prospects; Mixed business audience</x:v>
      </x:c>
      <x:c r="N750" s="12" t="str">
        <x:v>PARTNER-M353</x:v>
      </x:c>
      <x:c r="O750" s="13"/>
      <x:c r="P750" s="13"/>
      <x:c r="Q750" s="2" t="str"/>
      <x:c r="R750" s="2" t="str">
        <x:v>TEN-427F056730B2; TEN-48ED1FD35C3C; TEN-52E9D79221AA; TEN-982D8CD25EC5; TEN-D5D133305413</x:v>
      </x:c>
      <x:c r="S750" s="12" t="str">
        <x:v>Mixed commercial workplace</x:v>
      </x:c>
      <x:c r="T750" s="12" t="str">
        <x:v>Tenant business-type estimates and reviewed company-scale context.</x:v>
      </x:c>
    </x:row>
    <x:row r="751" ht="64" customHeight="1">
      <x:c r="A751" s="10" t="n">
        <x:v>1</x:v>
      </x:c>
      <x:c r="B751" s="2" t="str">
        <x:v>CORP-0769</x:v>
      </x:c>
      <x:c r="C751" s="2" t="str">
        <x:v>Delhi NCR</x:v>
      </x:c>
      <x:c r="D751" s="2" t="str"/>
      <x:c r="E751" s="12" t="str">
        <x:v>iLabs Info Technology Center</x:v>
      </x:c>
      <x:c r="F751" s="12" t="str">
        <x:v>Food court</x:v>
      </x:c>
      <x:c r="G751" s="11" t="n">
        <x:v>1</x:v>
      </x:c>
      <x:c r="H751" s="2" t="str">
        <x:v>55 inch</x:v>
      </x:c>
      <x:c r="I751" s="12" t="str">
        <x:v>Nirvasa Healthcare; SS Innovations Private Limited; Kellton; TaskUs Mystiqa; Robosurg MedTech Pvt Ltd</x:v>
      </x:c>
      <x:c r="J751" s="2" t="n">
        <x:v>5</x:v>
      </x:c>
      <x:c r="K751" s="12" t="str">
        <x:v>Campus/portfolio roster; individual building occupancy unverified</x:v>
      </x:c>
      <x:c r="L751" s="12" t="str">
        <x:v>IT &amp; digital; Healthcare &amp; life sciences</x:v>
      </x:c>
      <x:c r="M751" s="12" t="str">
        <x:v>Small-scale prospects; Medium-scale prospects; Mixed business audience</x:v>
      </x:c>
      <x:c r="N751" s="12" t="str">
        <x:v>PARTNER-M353</x:v>
      </x:c>
      <x:c r="O751" s="13"/>
      <x:c r="P751" s="13"/>
      <x:c r="Q751" s="2" t="str"/>
      <x:c r="R751" s="2" t="str">
        <x:v>TEN-427F056730B2; TEN-48ED1FD35C3C; TEN-52E9D79221AA; TEN-982D8CD25EC5; TEN-D5D133305413</x:v>
      </x:c>
      <x:c r="S751" s="12" t="str">
        <x:v>Mixed commercial workplace</x:v>
      </x:c>
      <x:c r="T751" s="12" t="str">
        <x:v>Tenant business-type estimates and reviewed company-scale context.</x:v>
      </x:c>
    </x:row>
    <x:row r="752" ht="64" customHeight="1">
      <x:c r="A752" s="10" t="n">
        <x:v>1</x:v>
      </x:c>
      <x:c r="B752" s="2" t="str">
        <x:v>CORP-0770</x:v>
      </x:c>
      <x:c r="C752" s="2" t="str">
        <x:v>Delhi NCR</x:v>
      </x:c>
      <x:c r="D752" s="2" t="str"/>
      <x:c r="E752" s="12" t="str">
        <x:v>iLabs Info Technology Center</x:v>
      </x:c>
      <x:c r="F752" s="12" t="str">
        <x:v>Food court</x:v>
      </x:c>
      <x:c r="G752" s="11" t="n">
        <x:v>1</x:v>
      </x:c>
      <x:c r="H752" s="2" t="str">
        <x:v>55 inch</x:v>
      </x:c>
      <x:c r="I752" s="12" t="str">
        <x:v>Nirvasa Healthcare; SS Innovations Private Limited; Kellton; TaskUs Mystiqa; Robosurg MedTech Pvt Ltd</x:v>
      </x:c>
      <x:c r="J752" s="2" t="n">
        <x:v>5</x:v>
      </x:c>
      <x:c r="K752" s="12" t="str">
        <x:v>Campus/portfolio roster; individual building occupancy unverified</x:v>
      </x:c>
      <x:c r="L752" s="12" t="str">
        <x:v>IT &amp; digital; Healthcare &amp; life sciences</x:v>
      </x:c>
      <x:c r="M752" s="12" t="str">
        <x:v>Small-scale prospects; Medium-scale prospects; Mixed business audience</x:v>
      </x:c>
      <x:c r="N752" s="12" t="str">
        <x:v>PARTNER-M353</x:v>
      </x:c>
      <x:c r="O752" s="13"/>
      <x:c r="P752" s="13"/>
      <x:c r="Q752" s="2" t="str"/>
      <x:c r="R752" s="2" t="str">
        <x:v>TEN-427F056730B2; TEN-48ED1FD35C3C; TEN-52E9D79221AA; TEN-982D8CD25EC5; TEN-D5D133305413</x:v>
      </x:c>
      <x:c r="S752" s="12" t="str">
        <x:v>Mixed commercial workplace</x:v>
      </x:c>
      <x:c r="T752" s="12" t="str">
        <x:v>Tenant business-type estimates and reviewed company-scale context.</x:v>
      </x:c>
    </x:row>
    <x:row r="753" ht="64" customHeight="1">
      <x:c r="A753" s="10" t="n">
        <x:v>1</x:v>
      </x:c>
      <x:c r="B753" s="2" t="str">
        <x:v>CORP-0771</x:v>
      </x:c>
      <x:c r="C753" s="2" t="str">
        <x:v>Delhi NCR</x:v>
      </x:c>
      <x:c r="D753" s="2" t="str"/>
      <x:c r="E753" s="12" t="str">
        <x:v>IHDP Business Park</x:v>
      </x:c>
      <x:c r="F753" s="12" t="str">
        <x:v>Studio Lobby</x:v>
      </x:c>
      <x:c r="G753" s="11" t="n">
        <x:v>1</x:v>
      </x:c>
      <x:c r="H753" s="2" t="str">
        <x:v>55 inch</x:v>
      </x:c>
      <x:c r="I753" s="12" t="str">
        <x:v>Infosys Limited; SRJ GLOBAL SOFTECH</x:v>
      </x:c>
      <x:c r="J753" s="2" t="n">
        <x:v>2</x:v>
      </x:c>
      <x:c r="K753" s="12" t="str">
        <x:v>Campus/portfolio roster; individual building occupancy unverified</x:v>
      </x:c>
      <x:c r="L753" s="12" t="str">
        <x:v>IT &amp; digital; Unresolved</x:v>
      </x:c>
      <x:c r="M753" s="12" t="str">
        <x:v>Large enterprise; Mixed business audience</x:v>
      </x:c>
      <x:c r="N753" s="12" t="str">
        <x:v>PARTNER-M358</x:v>
      </x:c>
      <x:c r="O753" s="13"/>
      <x:c r="P753" s="13"/>
      <x:c r="Q753" s="2" t="str"/>
      <x:c r="R753" s="2" t="str">
        <x:v>TEN-11AE440BBF7C; TEN-BE60E5F94A8F</x:v>
      </x:c>
      <x:c r="S753" s="12" t="str">
        <x:v>Multi-tenant business offices</x:v>
      </x:c>
      <x:c r="T753" s="12" t="str">
        <x:v>Tenant business-type estimates and reviewed company-scale context.</x:v>
      </x:c>
    </x:row>
    <x:row r="754" ht="64" customHeight="1">
      <x:c r="A754" s="10" t="n">
        <x:v>1</x:v>
      </x:c>
      <x:c r="B754" s="2" t="str">
        <x:v>CORP-0772</x:v>
      </x:c>
      <x:c r="C754" s="2" t="str">
        <x:v>Delhi NCR</x:v>
      </x:c>
      <x:c r="D754" s="2" t="str"/>
      <x:c r="E754" s="12" t="str">
        <x:v>IHDP Business Park</x:v>
      </x:c>
      <x:c r="F754" s="12" t="str">
        <x:v>Tower D lobby</x:v>
      </x:c>
      <x:c r="G754" s="11" t="n">
        <x:v>1</x:v>
      </x:c>
      <x:c r="H754" s="2" t="str">
        <x:v>55 inch</x:v>
      </x:c>
      <x:c r="I754" s="12" t="str">
        <x:v>Infosys Limited; SRJ GLOBAL SOFTECH</x:v>
      </x:c>
      <x:c r="J754" s="2" t="n">
        <x:v>2</x:v>
      </x:c>
      <x:c r="K754" s="12" t="str">
        <x:v>Campus/portfolio roster; individual building occupancy unverified</x:v>
      </x:c>
      <x:c r="L754" s="12" t="str">
        <x:v>IT &amp; digital; Unresolved</x:v>
      </x:c>
      <x:c r="M754" s="12" t="str">
        <x:v>Large enterprise; Mixed business audience</x:v>
      </x:c>
      <x:c r="N754" s="12" t="str">
        <x:v>PARTNER-M358</x:v>
      </x:c>
      <x:c r="O754" s="13"/>
      <x:c r="P754" s="13"/>
      <x:c r="Q754" s="2" t="str"/>
      <x:c r="R754" s="2" t="str">
        <x:v>TEN-11AE440BBF7C; TEN-BE60E5F94A8F</x:v>
      </x:c>
      <x:c r="S754" s="12" t="str">
        <x:v>Multi-tenant business offices</x:v>
      </x:c>
      <x:c r="T754" s="12" t="str">
        <x:v>Tenant business-type estimates and reviewed company-scale context.</x:v>
      </x:c>
    </x:row>
    <x:row r="755" ht="64" customHeight="1">
      <x:c r="A755" s="10" t="n">
        <x:v>1</x:v>
      </x:c>
      <x:c r="B755" s="2" t="str">
        <x:v>CORP-0773</x:v>
      </x:c>
      <x:c r="C755" s="2" t="str">
        <x:v>Delhi NCR</x:v>
      </x:c>
      <x:c r="D755" s="2" t="str"/>
      <x:c r="E755" s="12" t="str">
        <x:v>IHDP Business Park</x:v>
      </x:c>
      <x:c r="F755" s="12" t="str">
        <x:v>Tower A lobby</x:v>
      </x:c>
      <x:c r="G755" s="11" t="n">
        <x:v>1</x:v>
      </x:c>
      <x:c r="H755" s="2" t="str">
        <x:v>55 inch</x:v>
      </x:c>
      <x:c r="I755" s="12" t="str">
        <x:v>Infosys Limited; SRJ GLOBAL SOFTECH</x:v>
      </x:c>
      <x:c r="J755" s="2" t="n">
        <x:v>2</x:v>
      </x:c>
      <x:c r="K755" s="12" t="str">
        <x:v>Campus/portfolio roster; individual building occupancy unverified</x:v>
      </x:c>
      <x:c r="L755" s="12" t="str">
        <x:v>IT &amp; digital; Unresolved</x:v>
      </x:c>
      <x:c r="M755" s="12" t="str">
        <x:v>Large enterprise; Mixed business audience</x:v>
      </x:c>
      <x:c r="N755" s="12" t="str">
        <x:v>PARTNER-M358</x:v>
      </x:c>
      <x:c r="O755" s="13"/>
      <x:c r="P755" s="13"/>
      <x:c r="Q755" s="2" t="str"/>
      <x:c r="R755" s="2" t="str">
        <x:v>TEN-11AE440BBF7C; TEN-BE60E5F94A8F</x:v>
      </x:c>
      <x:c r="S755" s="12" t="str">
        <x:v>Multi-tenant business offices</x:v>
      </x:c>
      <x:c r="T755" s="12" t="str">
        <x:v>Tenant business-type estimates and reviewed company-scale context.</x:v>
      </x:c>
    </x:row>
    <x:row r="756" ht="64" customHeight="1">
      <x:c r="A756" s="10" t="n">
        <x:v>1</x:v>
      </x:c>
      <x:c r="B756" s="2" t="str">
        <x:v>CORP-0774</x:v>
      </x:c>
      <x:c r="C756" s="2" t="str">
        <x:v>Delhi NCR</x:v>
      </x:c>
      <x:c r="D756" s="2" t="str"/>
      <x:c r="E756" s="12" t="str">
        <x:v>IHDP Business Park</x:v>
      </x:c>
      <x:c r="F756" s="12" t="str">
        <x:v>Tower A lobby LB</x:v>
      </x:c>
      <x:c r="G756" s="11" t="n">
        <x:v>1</x:v>
      </x:c>
      <x:c r="H756" s="2" t="str">
        <x:v>55 inch</x:v>
      </x:c>
      <x:c r="I756" s="12" t="str">
        <x:v>Infosys Limited; SRJ GLOBAL SOFTECH</x:v>
      </x:c>
      <x:c r="J756" s="2" t="n">
        <x:v>2</x:v>
      </x:c>
      <x:c r="K756" s="12" t="str">
        <x:v>Campus/portfolio roster; individual building occupancy unverified</x:v>
      </x:c>
      <x:c r="L756" s="12" t="str">
        <x:v>IT &amp; digital; Unresolved</x:v>
      </x:c>
      <x:c r="M756" s="12" t="str">
        <x:v>Large enterprise; Mixed business audience</x:v>
      </x:c>
      <x:c r="N756" s="12" t="str">
        <x:v>PARTNER-M358</x:v>
      </x:c>
      <x:c r="O756" s="13"/>
      <x:c r="P756" s="13"/>
      <x:c r="Q756" s="2" t="str"/>
      <x:c r="R756" s="2" t="str">
        <x:v>TEN-11AE440BBF7C; TEN-BE60E5F94A8F</x:v>
      </x:c>
      <x:c r="S756" s="12" t="str">
        <x:v>Multi-tenant business offices</x:v>
      </x:c>
      <x:c r="T756" s="12" t="str">
        <x:v>Tenant business-type estimates and reviewed company-scale context.</x:v>
      </x:c>
    </x:row>
    <x:row r="757" ht="64" customHeight="1">
      <x:c r="A757" s="10" t="n">
        <x:v>1</x:v>
      </x:c>
      <x:c r="B757" s="2" t="str">
        <x:v>CORP-0775</x:v>
      </x:c>
      <x:c r="C757" s="2" t="str">
        <x:v>Delhi NCR</x:v>
      </x:c>
      <x:c r="D757" s="2" t="str"/>
      <x:c r="E757" s="12" t="str">
        <x:v>IHDP Business Park</x:v>
      </x:c>
      <x:c r="F757" s="12" t="str">
        <x:v>Tower A lobby Reception</x:v>
      </x:c>
      <x:c r="G757" s="11" t="n">
        <x:v>1</x:v>
      </x:c>
      <x:c r="H757" s="2" t="str">
        <x:v>55 inch</x:v>
      </x:c>
      <x:c r="I757" s="12" t="str">
        <x:v>Infosys Limited; SRJ GLOBAL SOFTECH</x:v>
      </x:c>
      <x:c r="J757" s="2" t="n">
        <x:v>2</x:v>
      </x:c>
      <x:c r="K757" s="12" t="str">
        <x:v>Campus/portfolio roster; individual building occupancy unverified</x:v>
      </x:c>
      <x:c r="L757" s="12" t="str">
        <x:v>IT &amp; digital; Unresolved</x:v>
      </x:c>
      <x:c r="M757" s="12" t="str">
        <x:v>Large enterprise; Mixed business audience</x:v>
      </x:c>
      <x:c r="N757" s="12" t="str">
        <x:v>PARTNER-M358</x:v>
      </x:c>
      <x:c r="O757" s="13"/>
      <x:c r="P757" s="13"/>
      <x:c r="Q757" s="2" t="str"/>
      <x:c r="R757" s="2" t="str">
        <x:v>TEN-11AE440BBF7C; TEN-BE60E5F94A8F</x:v>
      </x:c>
      <x:c r="S757" s="12" t="str">
        <x:v>Multi-tenant business offices</x:v>
      </x:c>
      <x:c r="T757" s="12" t="str">
        <x:v>Tenant business-type estimates and reviewed company-scale context.</x:v>
      </x:c>
    </x:row>
    <x:row r="758" ht="64" customHeight="1">
      <x:c r="A758" s="10" t="n">
        <x:v>1</x:v>
      </x:c>
      <x:c r="B758" s="2" t="str">
        <x:v>CORP-0776</x:v>
      </x:c>
      <x:c r="C758" s="2" t="str">
        <x:v>Delhi NCR</x:v>
      </x:c>
      <x:c r="D758" s="2" t="str"/>
      <x:c r="E758" s="12" t="str">
        <x:v>IHDP Business Park</x:v>
      </x:c>
      <x:c r="F758" s="12" t="str">
        <x:v>Tower B lobby Reception 2</x:v>
      </x:c>
      <x:c r="G758" s="11" t="n">
        <x:v>1</x:v>
      </x:c>
      <x:c r="H758" s="2" t="str">
        <x:v>55 inch</x:v>
      </x:c>
      <x:c r="I758" s="12" t="str">
        <x:v>Infosys Limited; SRJ GLOBAL SOFTECH</x:v>
      </x:c>
      <x:c r="J758" s="2" t="n">
        <x:v>2</x:v>
      </x:c>
      <x:c r="K758" s="12" t="str">
        <x:v>Campus/portfolio roster; individual building occupancy unverified</x:v>
      </x:c>
      <x:c r="L758" s="12" t="str">
        <x:v>IT &amp; digital; Unresolved</x:v>
      </x:c>
      <x:c r="M758" s="12" t="str">
        <x:v>Large enterprise; Mixed business audience</x:v>
      </x:c>
      <x:c r="N758" s="12" t="str">
        <x:v>PARTNER-M358</x:v>
      </x:c>
      <x:c r="O758" s="13"/>
      <x:c r="P758" s="13"/>
      <x:c r="Q758" s="2" t="str"/>
      <x:c r="R758" s="2" t="str">
        <x:v>TEN-11AE440BBF7C; TEN-BE60E5F94A8F</x:v>
      </x:c>
      <x:c r="S758" s="12" t="str">
        <x:v>Multi-tenant business offices</x:v>
      </x:c>
      <x:c r="T758" s="12" t="str">
        <x:v>Tenant business-type estimates and reviewed company-scale context.</x:v>
      </x:c>
    </x:row>
    <x:row r="759" ht="64" customHeight="1">
      <x:c r="A759" s="10" t="n">
        <x:v>1</x:v>
      </x:c>
      <x:c r="B759" s="2" t="str">
        <x:v>CORP-0777</x:v>
      </x:c>
      <x:c r="C759" s="2" t="str">
        <x:v>Delhi NCR</x:v>
      </x:c>
      <x:c r="D759" s="2" t="str"/>
      <x:c r="E759" s="12" t="str">
        <x:v>IHDP Business Park</x:v>
      </x:c>
      <x:c r="F759" s="12" t="str">
        <x:v>Tower A elevator</x:v>
      </x:c>
      <x:c r="G759" s="11" t="n">
        <x:v>1</x:v>
      </x:c>
      <x:c r="H759" s="2" t="str">
        <x:v>55 inch</x:v>
      </x:c>
      <x:c r="I759" s="12" t="str">
        <x:v>Infosys Limited; SRJ GLOBAL SOFTECH</x:v>
      </x:c>
      <x:c r="J759" s="2" t="n">
        <x:v>2</x:v>
      </x:c>
      <x:c r="K759" s="12" t="str">
        <x:v>Campus/portfolio roster; individual building occupancy unverified</x:v>
      </x:c>
      <x:c r="L759" s="12" t="str">
        <x:v>IT &amp; digital; Unresolved</x:v>
      </x:c>
      <x:c r="M759" s="12" t="str">
        <x:v>Large enterprise; Mixed business audience</x:v>
      </x:c>
      <x:c r="N759" s="12" t="str">
        <x:v>PARTNER-M358</x:v>
      </x:c>
      <x:c r="O759" s="13"/>
      <x:c r="P759" s="13"/>
      <x:c r="Q759" s="2" t="str"/>
      <x:c r="R759" s="2" t="str">
        <x:v>TEN-11AE440BBF7C; TEN-BE60E5F94A8F</x:v>
      </x:c>
      <x:c r="S759" s="12" t="str">
        <x:v>Multi-tenant business offices</x:v>
      </x:c>
      <x:c r="T759" s="12" t="str">
        <x:v>Tenant business-type estimates and reviewed company-scale context.</x:v>
      </x:c>
    </x:row>
    <x:row r="760" ht="75" customHeight="1">
      <x:c r="A760" s="10" t="n">
        <x:v>1</x:v>
      </x:c>
      <x:c r="B760" s="2" t="str">
        <x:v>CORP-0778</x:v>
      </x:c>
      <x:c r="C760" s="2" t="str">
        <x:v>Delhi NCR</x:v>
      </x:c>
      <x:c r="D760" s="2" t="str"/>
      <x:c r="E760" s="12" t="str">
        <x:v>Urbtech Trade Centre</x:v>
      </x:c>
      <x:c r="F760" s="12" t="str">
        <x:v>Towe A Foodcourt</x:v>
      </x:c>
      <x:c r="G760" s="11" t="n">
        <x:v>1</x:v>
      </x:c>
      <x:c r="H760" s="2" t="str">
        <x:v>55 inch</x:v>
      </x:c>
      <x:c r="I760"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0" s="2" t="n">
        <x:v>15</x:v>
      </x:c>
      <x:c r="K760" s="12" t="str">
        <x:v>Campus/portfolio roster; individual building occupancy unverified</x:v>
      </x:c>
      <x:c r="L760" s="12" t="str">
        <x:v>Professional services; Engineering &amp; manufacturing; Healthcare &amp; life sciences; Trade, consumer &amp; logistics; Workspace &amp; property operations; Unresolved</x:v>
      </x:c>
      <x:c r="M760" s="12" t="str">
        <x:v>Small-scale prospects; Medium-scale prospects; Mixed business audience</x:v>
      </x:c>
      <x:c r="N760" s="12" t="str">
        <x:v>PARTNER-M365</x:v>
      </x:c>
      <x:c r="O760" s="13"/>
      <x:c r="P760" s="13"/>
      <x:c r="Q760" s="2" t="str"/>
      <x:c r="R760" s="2" t="str">
        <x:v>TEN-0B84B8C86C04; TEN-1C4CDE20CBE1; TEN-24BCCA39B43D; TEN-24E8B74B48CE; TEN-351F2133C349; TEN-4637D767B45C; TEN-6186C00E74F2; TEN-71E33AB069A4; TEN-8B608DCA827C; TEN-9A16AFDC257F; TEN-A84075D6CDAD; TEN-B6D604AAAE8B; TEN-C81CB399F996; TEN-E2657581FE46; TEN-EE965BC63671</x:v>
      </x:c>
      <x:c r="S760" s="12" t="str">
        <x:v>Mixed commercial workplace</x:v>
      </x:c>
      <x:c r="T760" s="12" t="str">
        <x:v>Tenant business-type estimates and reviewed company-scale context.</x:v>
      </x:c>
    </x:row>
    <x:row r="761" ht="75" customHeight="1">
      <x:c r="A761" s="10" t="n">
        <x:v>1</x:v>
      </x:c>
      <x:c r="B761" s="2" t="str">
        <x:v>CORP-0779</x:v>
      </x:c>
      <x:c r="C761" s="2" t="str">
        <x:v>Delhi NCR</x:v>
      </x:c>
      <x:c r="D761" s="2" t="str"/>
      <x:c r="E761" s="12" t="str">
        <x:v>Urbtech Trade Centre</x:v>
      </x:c>
      <x:c r="F761" s="12" t="str">
        <x:v>Entry Gate</x:v>
      </x:c>
      <x:c r="G761" s="11" t="n">
        <x:v>1</x:v>
      </x:c>
      <x:c r="H761" s="2" t="str">
        <x:v>55 inch</x:v>
      </x:c>
      <x:c r="I761"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1" s="2" t="n">
        <x:v>15</x:v>
      </x:c>
      <x:c r="K761" s="12" t="str">
        <x:v>Campus/portfolio roster; individual building occupancy unverified</x:v>
      </x:c>
      <x:c r="L761" s="12" t="str">
        <x:v>Professional services; Engineering &amp; manufacturing; Healthcare &amp; life sciences; Trade, consumer &amp; logistics; Workspace &amp; property operations; Unresolved</x:v>
      </x:c>
      <x:c r="M761" s="12" t="str">
        <x:v>Small-scale prospects; Medium-scale prospects; Mixed business audience</x:v>
      </x:c>
      <x:c r="N761" s="12" t="str">
        <x:v>PARTNER-M365</x:v>
      </x:c>
      <x:c r="O761" s="13"/>
      <x:c r="P761" s="13"/>
      <x:c r="Q761" s="2" t="str"/>
      <x:c r="R761" s="2" t="str">
        <x:v>TEN-0B84B8C86C04; TEN-1C4CDE20CBE1; TEN-24BCCA39B43D; TEN-24E8B74B48CE; TEN-351F2133C349; TEN-4637D767B45C; TEN-6186C00E74F2; TEN-71E33AB069A4; TEN-8B608DCA827C; TEN-9A16AFDC257F; TEN-A84075D6CDAD; TEN-B6D604AAAE8B; TEN-C81CB399F996; TEN-E2657581FE46; TEN-EE965BC63671</x:v>
      </x:c>
      <x:c r="S761" s="12" t="str">
        <x:v>Mixed commercial workplace</x:v>
      </x:c>
      <x:c r="T761" s="12" t="str">
        <x:v>Tenant business-type estimates and reviewed company-scale context.</x:v>
      </x:c>
    </x:row>
    <x:row r="762" ht="75" customHeight="1">
      <x:c r="A762" s="10" t="n">
        <x:v>1</x:v>
      </x:c>
      <x:c r="B762" s="2" t="str">
        <x:v>CORP-0780</x:v>
      </x:c>
      <x:c r="C762" s="2" t="str">
        <x:v>Delhi NCR</x:v>
      </x:c>
      <x:c r="D762" s="2" t="str"/>
      <x:c r="E762" s="12" t="str">
        <x:v>Urbtech Trade Centre</x:v>
      </x:c>
      <x:c r="F762" s="12" t="str">
        <x:v>Tower B UB</x:v>
      </x:c>
      <x:c r="G762" s="11" t="n">
        <x:v>1</x:v>
      </x:c>
      <x:c r="H762" s="2" t="str">
        <x:v>55 inch</x:v>
      </x:c>
      <x:c r="I762"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2" s="2" t="n">
        <x:v>15</x:v>
      </x:c>
      <x:c r="K762" s="12" t="str">
        <x:v>Campus/portfolio roster; individual building occupancy unverified</x:v>
      </x:c>
      <x:c r="L762" s="12" t="str">
        <x:v>Professional services; Engineering &amp; manufacturing; Healthcare &amp; life sciences; Trade, consumer &amp; logistics; Workspace &amp; property operations; Unresolved</x:v>
      </x:c>
      <x:c r="M762" s="12" t="str">
        <x:v>Small-scale prospects; Medium-scale prospects; Mixed business audience</x:v>
      </x:c>
      <x:c r="N762" s="12" t="str">
        <x:v>PARTNER-M365</x:v>
      </x:c>
      <x:c r="O762" s="13"/>
      <x:c r="P762" s="13"/>
      <x:c r="Q762" s="2" t="str"/>
      <x:c r="R762" s="2" t="str">
        <x:v>TEN-0B84B8C86C04; TEN-1C4CDE20CBE1; TEN-24BCCA39B43D; TEN-24E8B74B48CE; TEN-351F2133C349; TEN-4637D767B45C; TEN-6186C00E74F2; TEN-71E33AB069A4; TEN-8B608DCA827C; TEN-9A16AFDC257F; TEN-A84075D6CDAD; TEN-B6D604AAAE8B; TEN-C81CB399F996; TEN-E2657581FE46; TEN-EE965BC63671</x:v>
      </x:c>
      <x:c r="S762" s="12" t="str">
        <x:v>Mixed commercial workplace</x:v>
      </x:c>
      <x:c r="T762" s="12" t="str">
        <x:v>Tenant business-type estimates and reviewed company-scale context.</x:v>
      </x:c>
    </x:row>
    <x:row r="763" ht="75" customHeight="1">
      <x:c r="A763" s="10" t="n">
        <x:v>1</x:v>
      </x:c>
      <x:c r="B763" s="2" t="str">
        <x:v>CORP-0781</x:v>
      </x:c>
      <x:c r="C763" s="2" t="str">
        <x:v>Delhi NCR</x:v>
      </x:c>
      <x:c r="D763" s="2" t="str"/>
      <x:c r="E763" s="12" t="str">
        <x:v>Urbtech Trade Centre</x:v>
      </x:c>
      <x:c r="F763" s="12" t="str">
        <x:v>Tower A Elevator Lobby</x:v>
      </x:c>
      <x:c r="G763" s="11" t="n">
        <x:v>1</x:v>
      </x:c>
      <x:c r="H763" s="2" t="str">
        <x:v>55 inch</x:v>
      </x:c>
      <x:c r="I763"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3" s="2" t="n">
        <x:v>15</x:v>
      </x:c>
      <x:c r="K763" s="12" t="str">
        <x:v>Campus/portfolio roster; individual building occupancy unverified</x:v>
      </x:c>
      <x:c r="L763" s="12" t="str">
        <x:v>Professional services; Engineering &amp; manufacturing; Healthcare &amp; life sciences; Trade, consumer &amp; logistics; Workspace &amp; property operations; Unresolved</x:v>
      </x:c>
      <x:c r="M763" s="12" t="str">
        <x:v>Small-scale prospects; Medium-scale prospects; Mixed business audience</x:v>
      </x:c>
      <x:c r="N763" s="12" t="str">
        <x:v>PARTNER-M365</x:v>
      </x:c>
      <x:c r="O763" s="13"/>
      <x:c r="P763" s="13"/>
      <x:c r="Q763" s="2" t="str"/>
      <x:c r="R763" s="2" t="str">
        <x:v>TEN-0B84B8C86C04; TEN-1C4CDE20CBE1; TEN-24BCCA39B43D; TEN-24E8B74B48CE; TEN-351F2133C349; TEN-4637D767B45C; TEN-6186C00E74F2; TEN-71E33AB069A4; TEN-8B608DCA827C; TEN-9A16AFDC257F; TEN-A84075D6CDAD; TEN-B6D604AAAE8B; TEN-C81CB399F996; TEN-E2657581FE46; TEN-EE965BC63671</x:v>
      </x:c>
      <x:c r="S763" s="12" t="str">
        <x:v>Mixed commercial workplace</x:v>
      </x:c>
      <x:c r="T763" s="12" t="str">
        <x:v>Tenant business-type estimates and reviewed company-scale context.</x:v>
      </x:c>
    </x:row>
    <x:row r="764" ht="75" customHeight="1">
      <x:c r="A764" s="10" t="n">
        <x:v>1</x:v>
      </x:c>
      <x:c r="B764" s="2" t="str">
        <x:v>CORP-0782</x:v>
      </x:c>
      <x:c r="C764" s="2" t="str">
        <x:v>Delhi NCR</x:v>
      </x:c>
      <x:c r="D764" s="2" t="str"/>
      <x:c r="E764" s="12" t="str">
        <x:v>Urbtech Trade Centre</x:v>
      </x:c>
      <x:c r="F764" s="12" t="str">
        <x:v>Tower A Entry podium</x:v>
      </x:c>
      <x:c r="G764" s="11" t="n">
        <x:v>1</x:v>
      </x:c>
      <x:c r="H764" s="2" t="str">
        <x:v>55 inch</x:v>
      </x:c>
      <x:c r="I764"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4" s="2" t="n">
        <x:v>15</x:v>
      </x:c>
      <x:c r="K764" s="12" t="str">
        <x:v>Campus/portfolio roster; individual building occupancy unverified</x:v>
      </x:c>
      <x:c r="L764" s="12" t="str">
        <x:v>Professional services; Engineering &amp; manufacturing; Healthcare &amp; life sciences; Trade, consumer &amp; logistics; Workspace &amp; property operations; Unresolved</x:v>
      </x:c>
      <x:c r="M764" s="12" t="str">
        <x:v>Small-scale prospects; Medium-scale prospects; Mixed business audience</x:v>
      </x:c>
      <x:c r="N764" s="12" t="str">
        <x:v>PARTNER-M365</x:v>
      </x:c>
      <x:c r="O764" s="13"/>
      <x:c r="P764" s="13"/>
      <x:c r="Q764" s="2" t="str"/>
      <x:c r="R764" s="2" t="str">
        <x:v>TEN-0B84B8C86C04; TEN-1C4CDE20CBE1; TEN-24BCCA39B43D; TEN-24E8B74B48CE; TEN-351F2133C349; TEN-4637D767B45C; TEN-6186C00E74F2; TEN-71E33AB069A4; TEN-8B608DCA827C; TEN-9A16AFDC257F; TEN-A84075D6CDAD; TEN-B6D604AAAE8B; TEN-C81CB399F996; TEN-E2657581FE46; TEN-EE965BC63671</x:v>
      </x:c>
      <x:c r="S764" s="12" t="str">
        <x:v>Mixed commercial workplace</x:v>
      </x:c>
      <x:c r="T764" s="12" t="str">
        <x:v>Tenant business-type estimates and reviewed company-scale context.</x:v>
      </x:c>
    </x:row>
    <x:row r="765" ht="75" customHeight="1">
      <x:c r="A765" s="10" t="n">
        <x:v>1</x:v>
      </x:c>
      <x:c r="B765" s="2" t="str">
        <x:v>CORP-0783</x:v>
      </x:c>
      <x:c r="C765" s="2" t="str">
        <x:v>Delhi NCR</x:v>
      </x:c>
      <x:c r="D765" s="2" t="str"/>
      <x:c r="E765" s="12" t="str">
        <x:v>Urbtech Trade Centre</x:v>
      </x:c>
      <x:c r="F765" s="12" t="str">
        <x:v>Tower C reception Lobby</x:v>
      </x:c>
      <x:c r="G765" s="11" t="n">
        <x:v>1</x:v>
      </x:c>
      <x:c r="H765" s="2" t="str">
        <x:v>55 inch</x:v>
      </x:c>
      <x:c r="I765"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5" s="2" t="n">
        <x:v>15</x:v>
      </x:c>
      <x:c r="K765" s="12" t="str">
        <x:v>Campus/portfolio roster; individual building occupancy unverified</x:v>
      </x:c>
      <x:c r="L765" s="12" t="str">
        <x:v>Professional services; Engineering &amp; manufacturing; Healthcare &amp; life sciences; Trade, consumer &amp; logistics; Workspace &amp; property operations; Unresolved</x:v>
      </x:c>
      <x:c r="M765" s="12" t="str">
        <x:v>Small-scale prospects; Medium-scale prospects; Mixed business audience</x:v>
      </x:c>
      <x:c r="N765" s="12" t="str">
        <x:v>PARTNER-M365</x:v>
      </x:c>
      <x:c r="O765" s="13"/>
      <x:c r="P765" s="13"/>
      <x:c r="Q765" s="2" t="str"/>
      <x:c r="R765" s="2" t="str">
        <x:v>TEN-0B84B8C86C04; TEN-1C4CDE20CBE1; TEN-24BCCA39B43D; TEN-24E8B74B48CE; TEN-351F2133C349; TEN-4637D767B45C; TEN-6186C00E74F2; TEN-71E33AB069A4; TEN-8B608DCA827C; TEN-9A16AFDC257F; TEN-A84075D6CDAD; TEN-B6D604AAAE8B; TEN-C81CB399F996; TEN-E2657581FE46; TEN-EE965BC63671</x:v>
      </x:c>
      <x:c r="S765" s="12" t="str">
        <x:v>Mixed commercial workplace</x:v>
      </x:c>
      <x:c r="T765" s="12" t="str">
        <x:v>Tenant business-type estimates and reviewed company-scale context.</x:v>
      </x:c>
    </x:row>
    <x:row r="766" ht="75" customHeight="1">
      <x:c r="A766" s="10" t="n">
        <x:v>1</x:v>
      </x:c>
      <x:c r="B766" s="2" t="str">
        <x:v>CORP-0784</x:v>
      </x:c>
      <x:c r="C766" s="2" t="str">
        <x:v>Delhi NCR</x:v>
      </x:c>
      <x:c r="D766" s="2" t="str"/>
      <x:c r="E766" s="12" t="str">
        <x:v>Urbtech Trade Centre</x:v>
      </x:c>
      <x:c r="F766" s="12" t="str">
        <x:v>Foodourt 2</x:v>
      </x:c>
      <x:c r="G766" s="11" t="n">
        <x:v>1</x:v>
      </x:c>
      <x:c r="H766" s="2" t="str">
        <x:v>55 inch</x:v>
      </x:c>
      <x:c r="I766"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6" s="2" t="n">
        <x:v>15</x:v>
      </x:c>
      <x:c r="K766" s="12" t="str">
        <x:v>Campus/portfolio roster; individual building occupancy unverified</x:v>
      </x:c>
      <x:c r="L766" s="12" t="str">
        <x:v>Professional services; Engineering &amp; manufacturing; Healthcare &amp; life sciences; Trade, consumer &amp; logistics; Workspace &amp; property operations; Unresolved</x:v>
      </x:c>
      <x:c r="M766" s="12" t="str">
        <x:v>Small-scale prospects; Medium-scale prospects; Mixed business audience</x:v>
      </x:c>
      <x:c r="N766" s="12" t="str">
        <x:v>PARTNER-M365</x:v>
      </x:c>
      <x:c r="O766" s="13"/>
      <x:c r="P766" s="13"/>
      <x:c r="Q766" s="2" t="str"/>
      <x:c r="R766" s="2" t="str">
        <x:v>TEN-0B84B8C86C04; TEN-1C4CDE20CBE1; TEN-24BCCA39B43D; TEN-24E8B74B48CE; TEN-351F2133C349; TEN-4637D767B45C; TEN-6186C00E74F2; TEN-71E33AB069A4; TEN-8B608DCA827C; TEN-9A16AFDC257F; TEN-A84075D6CDAD; TEN-B6D604AAAE8B; TEN-C81CB399F996; TEN-E2657581FE46; TEN-EE965BC63671</x:v>
      </x:c>
      <x:c r="S766" s="12" t="str">
        <x:v>Mixed commercial workplace</x:v>
      </x:c>
      <x:c r="T766" s="12" t="str">
        <x:v>Tenant business-type estimates and reviewed company-scale context.</x:v>
      </x:c>
    </x:row>
    <x:row r="767" ht="75" customHeight="1">
      <x:c r="A767" s="10" t="n">
        <x:v>1</x:v>
      </x:c>
      <x:c r="B767" s="2" t="str">
        <x:v>CORP-0785</x:v>
      </x:c>
      <x:c r="C767" s="2" t="str">
        <x:v>Delhi NCR</x:v>
      </x:c>
      <x:c r="D767" s="2" t="str"/>
      <x:c r="E767" s="12" t="str">
        <x:v>Urbtech Trade Centre</x:v>
      </x:c>
      <x:c r="F767" s="12" t="str">
        <x:v>Tower D Reception</x:v>
      </x:c>
      <x:c r="G767" s="11" t="n">
        <x:v>1</x:v>
      </x:c>
      <x:c r="H767" s="2" t="str">
        <x:v>55 inch</x:v>
      </x:c>
      <x:c r="I767"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7" s="2" t="n">
        <x:v>15</x:v>
      </x:c>
      <x:c r="K767" s="12" t="str">
        <x:v>Campus/portfolio roster; individual building occupancy unverified</x:v>
      </x:c>
      <x:c r="L767" s="12" t="str">
        <x:v>Professional services; Engineering &amp; manufacturing; Healthcare &amp; life sciences; Trade, consumer &amp; logistics; Workspace &amp; property operations; Unresolved</x:v>
      </x:c>
      <x:c r="M767" s="12" t="str">
        <x:v>Small-scale prospects; Medium-scale prospects; Mixed business audience</x:v>
      </x:c>
      <x:c r="N767" s="12" t="str">
        <x:v>PARTNER-M365</x:v>
      </x:c>
      <x:c r="O767" s="13"/>
      <x:c r="P767" s="13"/>
      <x:c r="Q767" s="2" t="str"/>
      <x:c r="R767" s="2" t="str">
        <x:v>TEN-0B84B8C86C04; TEN-1C4CDE20CBE1; TEN-24BCCA39B43D; TEN-24E8B74B48CE; TEN-351F2133C349; TEN-4637D767B45C; TEN-6186C00E74F2; TEN-71E33AB069A4; TEN-8B608DCA827C; TEN-9A16AFDC257F; TEN-A84075D6CDAD; TEN-B6D604AAAE8B; TEN-C81CB399F996; TEN-E2657581FE46; TEN-EE965BC63671</x:v>
      </x:c>
      <x:c r="S767" s="12" t="str">
        <x:v>Mixed commercial workplace</x:v>
      </x:c>
      <x:c r="T767" s="12" t="str">
        <x:v>Tenant business-type estimates and reviewed company-scale context.</x:v>
      </x:c>
    </x:row>
    <x:row r="768" ht="75" customHeight="1">
      <x:c r="A768" s="10" t="n">
        <x:v>1</x:v>
      </x:c>
      <x:c r="B768" s="2" t="str">
        <x:v>CORP-0786</x:v>
      </x:c>
      <x:c r="C768" s="2" t="str">
        <x:v>Delhi NCR</x:v>
      </x:c>
      <x:c r="D768" s="2" t="str"/>
      <x:c r="E768" s="12" t="str">
        <x:v>Urbtech Trade Centre</x:v>
      </x:c>
      <x:c r="F768" s="12" t="str">
        <x:v>Tower B reception</x:v>
      </x:c>
      <x:c r="G768" s="11" t="n">
        <x:v>1</x:v>
      </x:c>
      <x:c r="H768" s="2" t="str">
        <x:v>55 inch</x:v>
      </x:c>
      <x:c r="I768"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8" s="2" t="n">
        <x:v>15</x:v>
      </x:c>
      <x:c r="K768" s="12" t="str">
        <x:v>Campus/portfolio roster; individual building occupancy unverified</x:v>
      </x:c>
      <x:c r="L768" s="12" t="str">
        <x:v>Professional services; Engineering &amp; manufacturing; Healthcare &amp; life sciences; Trade, consumer &amp; logistics; Workspace &amp; property operations; Unresolved</x:v>
      </x:c>
      <x:c r="M768" s="12" t="str">
        <x:v>Small-scale prospects; Medium-scale prospects; Mixed business audience</x:v>
      </x:c>
      <x:c r="N768" s="12" t="str">
        <x:v>PARTNER-M365</x:v>
      </x:c>
      <x:c r="O768" s="13"/>
      <x:c r="P768" s="13"/>
      <x:c r="Q768" s="2" t="str"/>
      <x:c r="R768" s="2" t="str">
        <x:v>TEN-0B84B8C86C04; TEN-1C4CDE20CBE1; TEN-24BCCA39B43D; TEN-24E8B74B48CE; TEN-351F2133C349; TEN-4637D767B45C; TEN-6186C00E74F2; TEN-71E33AB069A4; TEN-8B608DCA827C; TEN-9A16AFDC257F; TEN-A84075D6CDAD; TEN-B6D604AAAE8B; TEN-C81CB399F996; TEN-E2657581FE46; TEN-EE965BC63671</x:v>
      </x:c>
      <x:c r="S768" s="12" t="str">
        <x:v>Mixed commercial workplace</x:v>
      </x:c>
      <x:c r="T768" s="12" t="str">
        <x:v>Tenant business-type estimates and reviewed company-scale context.</x:v>
      </x:c>
    </x:row>
    <x:row r="769" ht="75" customHeight="1">
      <x:c r="A769" s="10" t="n">
        <x:v>1</x:v>
      </x:c>
      <x:c r="B769" s="2" t="str">
        <x:v>CORP-0787</x:v>
      </x:c>
      <x:c r="C769" s="2" t="str">
        <x:v>Delhi NCR</x:v>
      </x:c>
      <x:c r="D769" s="2" t="str"/>
      <x:c r="E769" s="12" t="str">
        <x:v>Urbtech Trade Centre</x:v>
      </x:c>
      <x:c r="F769" s="12" t="str">
        <x:v>Tower A reception</x:v>
      </x:c>
      <x:c r="G769" s="11" t="n">
        <x:v>1</x:v>
      </x:c>
      <x:c r="H769" s="2" t="str">
        <x:v>55 inch</x:v>
      </x:c>
      <x:c r="I769" s="12" t="str">
        <x:v>Simon Electric pvt Ltd; SuperAdMedia; Serenia Coworking; Anektos Hybrid Buildings Pvt. Ltd; SmartTech Messaging; INLIVING; The LHR Group; Alyke; Zebra Technologies India Pvt Ltd; Herbal Chakra Private Limited; Techknowlabs Pvt Ltd; IPS BOUNCER WEDDING EVENT MANAGEMENT; Manipal Business Solutions Private Limited; Infobip; eMaven Solutions Pvt. Ltd</x:v>
      </x:c>
      <x:c r="J769" s="2" t="n">
        <x:v>15</x:v>
      </x:c>
      <x:c r="K769" s="12" t="str">
        <x:v>Campus/portfolio roster; individual building occupancy unverified</x:v>
      </x:c>
      <x:c r="L769" s="12" t="str">
        <x:v>Professional services; Engineering &amp; manufacturing; Healthcare &amp; life sciences; Trade, consumer &amp; logistics; Workspace &amp; property operations; Unresolved</x:v>
      </x:c>
      <x:c r="M769" s="12" t="str">
        <x:v>Small-scale prospects; Medium-scale prospects; Mixed business audience</x:v>
      </x:c>
      <x:c r="N769" s="12" t="str">
        <x:v>PARTNER-M365</x:v>
      </x:c>
      <x:c r="O769" s="13"/>
      <x:c r="P769" s="13"/>
      <x:c r="Q769" s="2" t="str"/>
      <x:c r="R769" s="2" t="str">
        <x:v>TEN-0B84B8C86C04; TEN-1C4CDE20CBE1; TEN-24BCCA39B43D; TEN-24E8B74B48CE; TEN-351F2133C349; TEN-4637D767B45C; TEN-6186C00E74F2; TEN-71E33AB069A4; TEN-8B608DCA827C; TEN-9A16AFDC257F; TEN-A84075D6CDAD; TEN-B6D604AAAE8B; TEN-C81CB399F996; TEN-E2657581FE46; TEN-EE965BC63671</x:v>
      </x:c>
      <x:c r="S769" s="12" t="str">
        <x:v>Mixed commercial workplace</x:v>
      </x:c>
      <x:c r="T769" s="12" t="str">
        <x:v>Tenant business-type estimates and reviewed company-scale context.</x:v>
      </x:c>
    </x:row>
    <x:row r="770" ht="64" customHeight="1">
      <x:c r="A770" s="10" t="n">
        <x:v>1</x:v>
      </x:c>
      <x:c r="B770" s="2" t="str">
        <x:v>CORP-0788</x:v>
      </x:c>
      <x:c r="C770" s="2" t="str">
        <x:v>Delhi NCR</x:v>
      </x:c>
      <x:c r="D770" s="2" t="str"/>
      <x:c r="E770" s="12" t="str">
        <x:v>Add India Height</x:v>
      </x:c>
      <x:c r="F770" s="12" t="str">
        <x:v>Reception Lobby</x:v>
      </x:c>
      <x:c r="G770" s="11" t="n">
        <x:v>1</x:v>
      </x:c>
      <x:c r="H770" s="2" t="str">
        <x:v>55 inch</x:v>
      </x:c>
      <x:c r="I770" s="12" t="str">
        <x:v>MerchServe Global Pvt Ltd; Skymet Weather Services Pvt. Ltd; JindalX; Bullmen Realty India Pvt Ltd; Visible Alpha; EFS Facilities Services; LYDS Legal</x:v>
      </x:c>
      <x:c r="J770" s="2" t="n">
        <x:v>7</x:v>
      </x:c>
      <x:c r="K770" s="12" t="str">
        <x:v>Campus/portfolio roster; individual building occupancy unverified</x:v>
      </x:c>
      <x:c r="L770" s="12" t="str">
        <x:v>IT &amp; digital; Professional services; Trade, consumer &amp; logistics; Unresolved</x:v>
      </x:c>
      <x:c r="M770" s="12" t="str">
        <x:v>Small-scale prospects; Mixed business audience</x:v>
      </x:c>
      <x:c r="N770" s="12" t="str">
        <x:v>PARTNER-M375</x:v>
      </x:c>
      <x:c r="O770" s="13"/>
      <x:c r="P770" s="13"/>
      <x:c r="Q770" s="2" t="str"/>
      <x:c r="R770" s="2" t="str">
        <x:v>TEN-15231E0E110E; TEN-2F36697C1256; TEN-499A46C1ED38; TEN-4F013726AFD9; TEN-82ABCD71B901; TEN-AAD82B0AF1B8; TEN-BCD2EBC682B7</x:v>
      </x:c>
      <x:c r="S770" s="12" t="str">
        <x:v>Mixed commercial workplace</x:v>
      </x:c>
      <x:c r="T770" s="12" t="str">
        <x:v>Tenant business-type estimates and reviewed company-scale context.</x:v>
      </x:c>
    </x:row>
    <x:row r="771" ht="64" customHeight="1">
      <x:c r="A771" s="10" t="n">
        <x:v>1</x:v>
      </x:c>
      <x:c r="B771" s="2" t="str">
        <x:v>CORP-0789</x:v>
      </x:c>
      <x:c r="C771" s="2" t="str">
        <x:v>Delhi NCR</x:v>
      </x:c>
      <x:c r="D771" s="2" t="str"/>
      <x:c r="E771" s="12" t="str">
        <x:v>Add India Height</x:v>
      </x:c>
      <x:c r="F771" s="12" t="str">
        <x:v>Reception Lobby</x:v>
      </x:c>
      <x:c r="G771" s="11" t="n">
        <x:v>1</x:v>
      </x:c>
      <x:c r="H771" s="2" t="str">
        <x:v>55 inch</x:v>
      </x:c>
      <x:c r="I771" s="12" t="str">
        <x:v>MerchServe Global Pvt Ltd; Skymet Weather Services Pvt. Ltd; JindalX; Bullmen Realty India Pvt Ltd; Visible Alpha; EFS Facilities Services; LYDS Legal</x:v>
      </x:c>
      <x:c r="J771" s="2" t="n">
        <x:v>7</x:v>
      </x:c>
      <x:c r="K771" s="12" t="str">
        <x:v>Campus/portfolio roster; individual building occupancy unverified</x:v>
      </x:c>
      <x:c r="L771" s="12" t="str">
        <x:v>IT &amp; digital; Professional services; Trade, consumer &amp; logistics; Unresolved</x:v>
      </x:c>
      <x:c r="M771" s="12" t="str">
        <x:v>Small-scale prospects; Mixed business audience</x:v>
      </x:c>
      <x:c r="N771" s="12" t="str">
        <x:v>PARTNER-M375</x:v>
      </x:c>
      <x:c r="O771" s="13"/>
      <x:c r="P771" s="13"/>
      <x:c r="Q771" s="2" t="str"/>
      <x:c r="R771" s="2" t="str">
        <x:v>TEN-15231E0E110E; TEN-2F36697C1256; TEN-499A46C1ED38; TEN-4F013726AFD9; TEN-82ABCD71B901; TEN-AAD82B0AF1B8; TEN-BCD2EBC682B7</x:v>
      </x:c>
      <x:c r="S771" s="12" t="str">
        <x:v>Mixed commercial workplace</x:v>
      </x:c>
      <x:c r="T771" s="12" t="str">
        <x:v>Tenant business-type estimates and reviewed company-scale context.</x:v>
      </x:c>
    </x:row>
    <x:row r="772" ht="64" customHeight="1">
      <x:c r="A772" s="10" t="n">
        <x:v>1</x:v>
      </x:c>
      <x:c r="B772" s="2" t="str">
        <x:v>CORP-0790</x:v>
      </x:c>
      <x:c r="C772" s="2" t="str">
        <x:v>Delhi NCR</x:v>
      </x:c>
      <x:c r="D772" s="2" t="str"/>
      <x:c r="E772" s="12" t="str">
        <x:v>Add India Height</x:v>
      </x:c>
      <x:c r="F772" s="12" t="str">
        <x:v>Reception Lobby walkway</x:v>
      </x:c>
      <x:c r="G772" s="11" t="n">
        <x:v>1</x:v>
      </x:c>
      <x:c r="H772" s="2" t="str">
        <x:v>55 inch</x:v>
      </x:c>
      <x:c r="I772" s="12" t="str">
        <x:v>MerchServe Global Pvt Ltd; Skymet Weather Services Pvt. Ltd; JindalX; Bullmen Realty India Pvt Ltd; Visible Alpha; EFS Facilities Services; LYDS Legal</x:v>
      </x:c>
      <x:c r="J772" s="2" t="n">
        <x:v>7</x:v>
      </x:c>
      <x:c r="K772" s="12" t="str">
        <x:v>Campus/portfolio roster; individual building occupancy unverified</x:v>
      </x:c>
      <x:c r="L772" s="12" t="str">
        <x:v>IT &amp; digital; Professional services; Trade, consumer &amp; logistics; Unresolved</x:v>
      </x:c>
      <x:c r="M772" s="12" t="str">
        <x:v>Small-scale prospects; Mixed business audience</x:v>
      </x:c>
      <x:c r="N772" s="12" t="str">
        <x:v>PARTNER-M375</x:v>
      </x:c>
      <x:c r="O772" s="13"/>
      <x:c r="P772" s="13"/>
      <x:c r="Q772" s="2" t="str"/>
      <x:c r="R772" s="2" t="str">
        <x:v>TEN-15231E0E110E; TEN-2F36697C1256; TEN-499A46C1ED38; TEN-4F013726AFD9; TEN-82ABCD71B901; TEN-AAD82B0AF1B8; TEN-BCD2EBC682B7</x:v>
      </x:c>
      <x:c r="S772" s="12" t="str">
        <x:v>Mixed commercial workplace</x:v>
      </x:c>
      <x:c r="T772" s="12" t="str">
        <x:v>Tenant business-type estimates and reviewed company-scale context.</x:v>
      </x:c>
    </x:row>
    <x:row r="773" ht="64" customHeight="1">
      <x:c r="A773" s="10" t="n">
        <x:v>1</x:v>
      </x:c>
      <x:c r="B773" s="2" t="str">
        <x:v>CORP-0791</x:v>
      </x:c>
      <x:c r="C773" s="2" t="str">
        <x:v>Delhi NCR</x:v>
      </x:c>
      <x:c r="D773" s="2" t="str"/>
      <x:c r="E773" s="12" t="str">
        <x:v>Add India Height</x:v>
      </x:c>
      <x:c r="F773" s="12" t="str">
        <x:v>Reception Lobby walkway</x:v>
      </x:c>
      <x:c r="G773" s="11" t="n">
        <x:v>1</x:v>
      </x:c>
      <x:c r="H773" s="2" t="str">
        <x:v>55 inch</x:v>
      </x:c>
      <x:c r="I773" s="12" t="str">
        <x:v>MerchServe Global Pvt Ltd; Skymet Weather Services Pvt. Ltd; JindalX; Bullmen Realty India Pvt Ltd; Visible Alpha; EFS Facilities Services; LYDS Legal</x:v>
      </x:c>
      <x:c r="J773" s="2" t="n">
        <x:v>7</x:v>
      </x:c>
      <x:c r="K773" s="12" t="str">
        <x:v>Campus/portfolio roster; individual building occupancy unverified</x:v>
      </x:c>
      <x:c r="L773" s="12" t="str">
        <x:v>IT &amp; digital; Professional services; Trade, consumer &amp; logistics; Unresolved</x:v>
      </x:c>
      <x:c r="M773" s="12" t="str">
        <x:v>Small-scale prospects; Mixed business audience</x:v>
      </x:c>
      <x:c r="N773" s="12" t="str">
        <x:v>PARTNER-M375</x:v>
      </x:c>
      <x:c r="O773" s="13"/>
      <x:c r="P773" s="13"/>
      <x:c r="Q773" s="2" t="str"/>
      <x:c r="R773" s="2" t="str">
        <x:v>TEN-15231E0E110E; TEN-2F36697C1256; TEN-499A46C1ED38; TEN-4F013726AFD9; TEN-82ABCD71B901; TEN-AAD82B0AF1B8; TEN-BCD2EBC682B7</x:v>
      </x:c>
      <x:c r="S773" s="12" t="str">
        <x:v>Mixed commercial workplace</x:v>
      </x:c>
      <x:c r="T773" s="12" t="str">
        <x:v>Tenant business-type estimates and reviewed company-scale context.</x:v>
      </x:c>
    </x:row>
    <x:row r="774" ht="64" customHeight="1">
      <x:c r="A774" s="10" t="n">
        <x:v>1</x:v>
      </x:c>
      <x:c r="B774" s="2" t="str">
        <x:v>CORP-0792</x:v>
      </x:c>
      <x:c r="C774" s="2" t="str">
        <x:v>Delhi NCR</x:v>
      </x:c>
      <x:c r="D774" s="2" t="str"/>
      <x:c r="E774" s="12" t="str">
        <x:v>Add India Tower 6A</x:v>
      </x:c>
      <x:c r="F774" s="12" t="str">
        <x:v>Reception Lobby</x:v>
      </x:c>
      <x:c r="G774" s="11" t="n">
        <x:v>1</x:v>
      </x:c>
      <x:c r="H774" s="2" t="str">
        <x:v>55 inch</x:v>
      </x:c>
      <x:c r="I774" s="12" t="str">
        <x:v>Astrotalk; Apptrove; Matrix Acres Private Limited; HDFC Bank</x:v>
      </x:c>
      <x:c r="J774" s="2" t="n">
        <x:v>4</x:v>
      </x:c>
      <x:c r="K774" s="12" t="str">
        <x:v>Campus/portfolio roster; individual building occupancy unverified</x:v>
      </x:c>
      <x:c r="L774" s="12" t="str">
        <x:v>IT &amp; digital; Finance &amp; insurance; Trade, consumer &amp; logistics</x:v>
      </x:c>
      <x:c r="M774" s="12" t="str">
        <x:v>Small-scale prospects; Large enterprise</x:v>
      </x:c>
      <x:c r="N774" s="12" t="str">
        <x:v>PARTNER-M379</x:v>
      </x:c>
      <x:c r="O774" s="13"/>
      <x:c r="P774" s="13"/>
      <x:c r="Q774" s="2" t="str"/>
      <x:c r="R774" s="2" t="str">
        <x:v>TEN-752677FEB07A; TEN-DE9CFA8F9BF3; TEN-E845A9E0AC51; TEN-F43D0727CFB6</x:v>
      </x:c>
      <x:c r="S774" s="12" t="str">
        <x:v>Mixed commercial workplace</x:v>
      </x:c>
      <x:c r="T774" s="12" t="str">
        <x:v>Tenant business-type estimates and reviewed company-scale context.</x:v>
      </x:c>
    </x:row>
    <x:row r="775" ht="64" customHeight="1">
      <x:c r="A775" s="10" t="n">
        <x:v>1</x:v>
      </x:c>
      <x:c r="B775" s="2" t="str">
        <x:v>CORP-0793</x:v>
      </x:c>
      <x:c r="C775" s="2" t="str">
        <x:v>Delhi NCR</x:v>
      </x:c>
      <x:c r="D775" s="2" t="str"/>
      <x:c r="E775" s="12" t="str">
        <x:v>Add India Tower 6A</x:v>
      </x:c>
      <x:c r="F775" s="12" t="str">
        <x:v>Elevator Lobby</x:v>
      </x:c>
      <x:c r="G775" s="11" t="n">
        <x:v>1</x:v>
      </x:c>
      <x:c r="H775" s="2" t="str">
        <x:v>55 inch</x:v>
      </x:c>
      <x:c r="I775" s="12" t="str">
        <x:v>Astrotalk; Apptrove; Matrix Acres Private Limited; HDFC Bank</x:v>
      </x:c>
      <x:c r="J775" s="2" t="n">
        <x:v>4</x:v>
      </x:c>
      <x:c r="K775" s="12" t="str">
        <x:v>Campus/portfolio roster; individual building occupancy unverified</x:v>
      </x:c>
      <x:c r="L775" s="12" t="str">
        <x:v>IT &amp; digital; Finance &amp; insurance; Trade, consumer &amp; logistics</x:v>
      </x:c>
      <x:c r="M775" s="12" t="str">
        <x:v>Small-scale prospects; Large enterprise</x:v>
      </x:c>
      <x:c r="N775" s="12" t="str">
        <x:v>PARTNER-M379</x:v>
      </x:c>
      <x:c r="O775" s="13"/>
      <x:c r="P775" s="13"/>
      <x:c r="Q775" s="2" t="str"/>
      <x:c r="R775" s="2" t="str">
        <x:v>TEN-752677FEB07A; TEN-DE9CFA8F9BF3; TEN-E845A9E0AC51; TEN-F43D0727CFB6</x:v>
      </x:c>
      <x:c r="S775" s="12" t="str">
        <x:v>Mixed commercial workplace</x:v>
      </x:c>
      <x:c r="T775" s="12" t="str">
        <x:v>Tenant business-type estimates and reviewed company-scale context.</x:v>
      </x:c>
    </x:row>
    <x:row r="776" ht="64" customHeight="1">
      <x:c r="A776" s="10" t="n">
        <x:v>1</x:v>
      </x:c>
      <x:c r="B776" s="2" t="str">
        <x:v>CORP-0794</x:v>
      </x:c>
      <x:c r="C776" s="2" t="str">
        <x:v>Delhi NCR</x:v>
      </x:c>
      <x:c r="D776" s="2" t="str"/>
      <x:c r="E776" s="12" t="str">
        <x:v>Add India Tower 6A</x:v>
      </x:c>
      <x:c r="F776" s="12" t="str">
        <x:v>Game Room</x:v>
      </x:c>
      <x:c r="G776" s="11" t="n">
        <x:v>1</x:v>
      </x:c>
      <x:c r="H776" s="2" t="str">
        <x:v>55 inch</x:v>
      </x:c>
      <x:c r="I776" s="12" t="str">
        <x:v>Astrotalk; Apptrove; Matrix Acres Private Limited; HDFC Bank</x:v>
      </x:c>
      <x:c r="J776" s="2" t="n">
        <x:v>4</x:v>
      </x:c>
      <x:c r="K776" s="12" t="str">
        <x:v>Campus/portfolio roster; individual building occupancy unverified</x:v>
      </x:c>
      <x:c r="L776" s="12" t="str">
        <x:v>IT &amp; digital; Finance &amp; insurance; Trade, consumer &amp; logistics</x:v>
      </x:c>
      <x:c r="M776" s="12" t="str">
        <x:v>Small-scale prospects; Large enterprise</x:v>
      </x:c>
      <x:c r="N776" s="12" t="str">
        <x:v>PARTNER-M379</x:v>
      </x:c>
      <x:c r="O776" s="13"/>
      <x:c r="P776" s="13"/>
      <x:c r="Q776" s="2" t="str"/>
      <x:c r="R776" s="2" t="str">
        <x:v>TEN-752677FEB07A; TEN-DE9CFA8F9BF3; TEN-E845A9E0AC51; TEN-F43D0727CFB6</x:v>
      </x:c>
      <x:c r="S776" s="12" t="str">
        <x:v>Mixed commercial workplace</x:v>
      </x:c>
      <x:c r="T776" s="12" t="str">
        <x:v>Tenant business-type estimates and reviewed company-scale context.</x:v>
      </x:c>
    </x:row>
    <x:row r="777" ht="64" customHeight="1">
      <x:c r="A777" s="10" t="n">
        <x:v>1</x:v>
      </x:c>
      <x:c r="B777" s="2" t="str">
        <x:v>CORP-0795</x:v>
      </x:c>
      <x:c r="C777" s="2" t="str">
        <x:v>Delhi NCR</x:v>
      </x:c>
      <x:c r="D777" s="2" t="str"/>
      <x:c r="E777" s="12" t="str">
        <x:v>Add India Tower 6A</x:v>
      </x:c>
      <x:c r="F777" s="12" t="str">
        <x:v>Food court 1</x:v>
      </x:c>
      <x:c r="G777" s="11" t="n">
        <x:v>1</x:v>
      </x:c>
      <x:c r="H777" s="2" t="str">
        <x:v>55 inch</x:v>
      </x:c>
      <x:c r="I777" s="12" t="str">
        <x:v>Astrotalk; Apptrove; Matrix Acres Private Limited; HDFC Bank</x:v>
      </x:c>
      <x:c r="J777" s="2" t="n">
        <x:v>4</x:v>
      </x:c>
      <x:c r="K777" s="12" t="str">
        <x:v>Campus/portfolio roster; individual building occupancy unverified</x:v>
      </x:c>
      <x:c r="L777" s="12" t="str">
        <x:v>IT &amp; digital; Finance &amp; insurance; Trade, consumer &amp; logistics</x:v>
      </x:c>
      <x:c r="M777" s="12" t="str">
        <x:v>Small-scale prospects; Large enterprise</x:v>
      </x:c>
      <x:c r="N777" s="12" t="str">
        <x:v>PARTNER-M379</x:v>
      </x:c>
      <x:c r="O777" s="13"/>
      <x:c r="P777" s="13"/>
      <x:c r="Q777" s="2" t="str"/>
      <x:c r="R777" s="2" t="str">
        <x:v>TEN-752677FEB07A; TEN-DE9CFA8F9BF3; TEN-E845A9E0AC51; TEN-F43D0727CFB6</x:v>
      </x:c>
      <x:c r="S777" s="12" t="str">
        <x:v>Mixed commercial workplace</x:v>
      </x:c>
      <x:c r="T777" s="12" t="str">
        <x:v>Tenant business-type estimates and reviewed company-scale context.</x:v>
      </x:c>
    </x:row>
    <x:row r="778" ht="64" customHeight="1">
      <x:c r="A778" s="10" t="n">
        <x:v>1</x:v>
      </x:c>
      <x:c r="B778" s="2" t="str">
        <x:v>CORP-0796</x:v>
      </x:c>
      <x:c r="C778" s="2" t="str">
        <x:v>Delhi NCR</x:v>
      </x:c>
      <x:c r="D778" s="2" t="str"/>
      <x:c r="E778" s="12" t="str">
        <x:v>Add India Tower 6A</x:v>
      </x:c>
      <x:c r="F778" s="12" t="str">
        <x:v>Food court 2</x:v>
      </x:c>
      <x:c r="G778" s="11" t="n">
        <x:v>1</x:v>
      </x:c>
      <x:c r="H778" s="2" t="str">
        <x:v>55 inch</x:v>
      </x:c>
      <x:c r="I778" s="12" t="str">
        <x:v>Astrotalk; Apptrove; Matrix Acres Private Limited; HDFC Bank</x:v>
      </x:c>
      <x:c r="J778" s="2" t="n">
        <x:v>4</x:v>
      </x:c>
      <x:c r="K778" s="12" t="str">
        <x:v>Campus/portfolio roster; individual building occupancy unverified</x:v>
      </x:c>
      <x:c r="L778" s="12" t="str">
        <x:v>IT &amp; digital; Finance &amp; insurance; Trade, consumer &amp; logistics</x:v>
      </x:c>
      <x:c r="M778" s="12" t="str">
        <x:v>Small-scale prospects; Large enterprise</x:v>
      </x:c>
      <x:c r="N778" s="12" t="str">
        <x:v>PARTNER-M379</x:v>
      </x:c>
      <x:c r="O778" s="13"/>
      <x:c r="P778" s="13"/>
      <x:c r="Q778" s="2" t="str"/>
      <x:c r="R778" s="2" t="str">
        <x:v>TEN-752677FEB07A; TEN-DE9CFA8F9BF3; TEN-E845A9E0AC51; TEN-F43D0727CFB6</x:v>
      </x:c>
      <x:c r="S778" s="12" t="str">
        <x:v>Mixed commercial workplace</x:v>
      </x:c>
      <x:c r="T778" s="12" t="str">
        <x:v>Tenant business-type estimates and reviewed company-scale context.</x:v>
      </x:c>
    </x:row>
    <x:row r="779" ht="64" customHeight="1">
      <x:c r="A779" s="10" t="n">
        <x:v>1</x:v>
      </x:c>
      <x:c r="B779" s="2" t="str">
        <x:v>CORP-0797</x:v>
      </x:c>
      <x:c r="C779" s="2" t="str">
        <x:v>Delhi NCR</x:v>
      </x:c>
      <x:c r="D779" s="2" t="str"/>
      <x:c r="E779" s="12" t="str">
        <x:v>NPX Tower</x:v>
      </x:c>
      <x:c r="F779" s="12" t="str">
        <x:v>Tower A Entry</x:v>
      </x:c>
      <x:c r="G779" s="11" t="n">
        <x:v>1</x:v>
      </x:c>
      <x:c r="H779" s="2" t="str">
        <x:v>55 inch</x:v>
      </x:c>
      <x:c r="I779" s="12" t="str">
        <x:v>AD Architect And Interior Designers; Gofusion; Twvlv Lifestyle Private Limited; AIQEN INDIA PRIVATE LIMITED; MyOffice; AVS HOMES; Fambo; Cloudmitra Private Limited; Attacktic Labs</x:v>
      </x:c>
      <x:c r="J779" s="2" t="n">
        <x:v>9</x:v>
      </x:c>
      <x:c r="K779" s="12" t="str">
        <x:v>Campus/portfolio roster; individual building occupancy unverified</x:v>
      </x:c>
      <x:c r="L779" s="12" t="str">
        <x:v>IT &amp; digital; Professional services; Trade, consumer &amp; logistics; Workspace &amp; property operations; Unresolved</x:v>
      </x:c>
      <x:c r="M779" s="12" t="str">
        <x:v>Small-scale prospects; Mixed business audience</x:v>
      </x:c>
      <x:c r="N779" s="12" t="str">
        <x:v>PARTNER-M384</x:v>
      </x:c>
      <x:c r="O779" s="13"/>
      <x:c r="P779" s="13"/>
      <x:c r="Q779" s="2" t="str"/>
      <x:c r="R779" s="2" t="str">
        <x:v>TEN-2D74E91371DF; TEN-351CB482AEA2; TEN-514C228FF85C; TEN-672E0F0F33A9; TEN-85F80403C42F; TEN-8A7CE4D1DF4D; TEN-BD95AB918566; TEN-C78E842CDD84; TEN-F1E6F3520D7D</x:v>
      </x:c>
      <x:c r="S779" s="12" t="str">
        <x:v>Mixed commercial workplace</x:v>
      </x:c>
      <x:c r="T779" s="12" t="str">
        <x:v>Tenant business-type estimates and reviewed company-scale context.</x:v>
      </x:c>
    </x:row>
    <x:row r="780" ht="64" customHeight="1">
      <x:c r="A780" s="10" t="n">
        <x:v>1</x:v>
      </x:c>
      <x:c r="B780" s="2" t="str">
        <x:v>CORP-0798</x:v>
      </x:c>
      <x:c r="C780" s="2" t="str">
        <x:v>Delhi NCR</x:v>
      </x:c>
      <x:c r="D780" s="2" t="str"/>
      <x:c r="E780" s="12" t="str">
        <x:v>NPX Tower</x:v>
      </x:c>
      <x:c r="F780" s="12" t="str">
        <x:v> Tower A GF</x:v>
      </x:c>
      <x:c r="G780" s="11" t="n">
        <x:v>1</x:v>
      </x:c>
      <x:c r="H780" s="2" t="str">
        <x:v>55 inch</x:v>
      </x:c>
      <x:c r="I780" s="12" t="str">
        <x:v>AD Architect And Interior Designers; Gofusion; Twvlv Lifestyle Private Limited; AIQEN INDIA PRIVATE LIMITED; MyOffice; AVS HOMES; Fambo; Cloudmitra Private Limited; Attacktic Labs</x:v>
      </x:c>
      <x:c r="J780" s="2" t="n">
        <x:v>9</x:v>
      </x:c>
      <x:c r="K780" s="12" t="str">
        <x:v>Campus/portfolio roster; individual building occupancy unverified</x:v>
      </x:c>
      <x:c r="L780" s="12" t="str">
        <x:v>IT &amp; digital; Professional services; Trade, consumer &amp; logistics; Workspace &amp; property operations; Unresolved</x:v>
      </x:c>
      <x:c r="M780" s="12" t="str">
        <x:v>Small-scale prospects; Mixed business audience</x:v>
      </x:c>
      <x:c r="N780" s="12" t="str">
        <x:v>PARTNER-M384</x:v>
      </x:c>
      <x:c r="O780" s="13"/>
      <x:c r="P780" s="13"/>
      <x:c r="Q780" s="2" t="str"/>
      <x:c r="R780" s="2" t="str">
        <x:v>TEN-2D74E91371DF; TEN-351CB482AEA2; TEN-514C228FF85C; TEN-672E0F0F33A9; TEN-85F80403C42F; TEN-8A7CE4D1DF4D; TEN-BD95AB918566; TEN-C78E842CDD84; TEN-F1E6F3520D7D</x:v>
      </x:c>
      <x:c r="S780" s="12" t="str">
        <x:v>Mixed commercial workplace</x:v>
      </x:c>
      <x:c r="T780" s="12" t="str">
        <x:v>Tenant business-type estimates and reviewed company-scale context.</x:v>
      </x:c>
    </x:row>
    <x:row r="781" ht="64" customHeight="1">
      <x:c r="A781" s="10" t="n">
        <x:v>1</x:v>
      </x:c>
      <x:c r="B781" s="2" t="str">
        <x:v>CORP-0799</x:v>
      </x:c>
      <x:c r="C781" s="2" t="str">
        <x:v>Delhi NCR</x:v>
      </x:c>
      <x:c r="D781" s="2" t="str"/>
      <x:c r="E781" s="12" t="str">
        <x:v>NPX Tower</x:v>
      </x:c>
      <x:c r="F781" s="12" t="str">
        <x:v>GF Lobby</x:v>
      </x:c>
      <x:c r="G781" s="11" t="n">
        <x:v>1</x:v>
      </x:c>
      <x:c r="H781" s="2" t="str">
        <x:v>55 inch</x:v>
      </x:c>
      <x:c r="I781" s="12" t="str">
        <x:v>AD Architect And Interior Designers; Gofusion; Twvlv Lifestyle Private Limited; AIQEN INDIA PRIVATE LIMITED; MyOffice; AVS HOMES; Fambo; Cloudmitra Private Limited; Attacktic Labs</x:v>
      </x:c>
      <x:c r="J781" s="2" t="n">
        <x:v>9</x:v>
      </x:c>
      <x:c r="K781" s="12" t="str">
        <x:v>Campus/portfolio roster; individual building occupancy unverified</x:v>
      </x:c>
      <x:c r="L781" s="12" t="str">
        <x:v>IT &amp; digital; Professional services; Trade, consumer &amp; logistics; Workspace &amp; property operations; Unresolved</x:v>
      </x:c>
      <x:c r="M781" s="12" t="str">
        <x:v>Small-scale prospects; Mixed business audience</x:v>
      </x:c>
      <x:c r="N781" s="12" t="str">
        <x:v>PARTNER-M384</x:v>
      </x:c>
      <x:c r="O781" s="13"/>
      <x:c r="P781" s="13"/>
      <x:c r="Q781" s="2" t="str"/>
      <x:c r="R781" s="2" t="str">
        <x:v>TEN-2D74E91371DF; TEN-351CB482AEA2; TEN-514C228FF85C; TEN-672E0F0F33A9; TEN-85F80403C42F; TEN-8A7CE4D1DF4D; TEN-BD95AB918566; TEN-C78E842CDD84; TEN-F1E6F3520D7D</x:v>
      </x:c>
      <x:c r="S781" s="12" t="str">
        <x:v>Mixed commercial workplace</x:v>
      </x:c>
      <x:c r="T781" s="12" t="str">
        <x:v>Tenant business-type estimates and reviewed company-scale context.</x:v>
      </x:c>
    </x:row>
    <x:row r="782" ht="64" customHeight="1">
      <x:c r="A782" s="10" t="n">
        <x:v>1</x:v>
      </x:c>
      <x:c r="B782" s="2" t="str">
        <x:v>CORP-0800</x:v>
      </x:c>
      <x:c r="C782" s="2" t="str">
        <x:v>Delhi NCR</x:v>
      </x:c>
      <x:c r="D782" s="2" t="str"/>
      <x:c r="E782" s="12" t="str">
        <x:v>NPX Tower</x:v>
      </x:c>
      <x:c r="F782" s="12" t="str">
        <x:v>Lobby 1 Reception</x:v>
      </x:c>
      <x:c r="G782" s="11" t="n">
        <x:v>1</x:v>
      </x:c>
      <x:c r="H782" s="2" t="str">
        <x:v>55 inch</x:v>
      </x:c>
      <x:c r="I782" s="12" t="str">
        <x:v>AD Architect And Interior Designers; Gofusion; Twvlv Lifestyle Private Limited; AIQEN INDIA PRIVATE LIMITED; MyOffice; AVS HOMES; Fambo; Cloudmitra Private Limited; Attacktic Labs</x:v>
      </x:c>
      <x:c r="J782" s="2" t="n">
        <x:v>9</x:v>
      </x:c>
      <x:c r="K782" s="12" t="str">
        <x:v>Campus/portfolio roster; individual building occupancy unverified</x:v>
      </x:c>
      <x:c r="L782" s="12" t="str">
        <x:v>IT &amp; digital; Professional services; Trade, consumer &amp; logistics; Workspace &amp; property operations; Unresolved</x:v>
      </x:c>
      <x:c r="M782" s="12" t="str">
        <x:v>Small-scale prospects; Mixed business audience</x:v>
      </x:c>
      <x:c r="N782" s="12" t="str">
        <x:v>PARTNER-M384</x:v>
      </x:c>
      <x:c r="O782" s="13"/>
      <x:c r="P782" s="13"/>
      <x:c r="Q782" s="2" t="str"/>
      <x:c r="R782" s="2" t="str">
        <x:v>TEN-2D74E91371DF; TEN-351CB482AEA2; TEN-514C228FF85C; TEN-672E0F0F33A9; TEN-85F80403C42F; TEN-8A7CE4D1DF4D; TEN-BD95AB918566; TEN-C78E842CDD84; TEN-F1E6F3520D7D</x:v>
      </x:c>
      <x:c r="S782" s="12" t="str">
        <x:v>Mixed commercial workplace</x:v>
      </x:c>
      <x:c r="T782" s="12" t="str">
        <x:v>Tenant business-type estimates and reviewed company-scale context.</x:v>
      </x:c>
    </x:row>
    <x:row r="783" ht="64" customHeight="1">
      <x:c r="A783" s="10" t="n">
        <x:v>1</x:v>
      </x:c>
      <x:c r="B783" s="2" t="str">
        <x:v>CORP-0801</x:v>
      </x:c>
      <x:c r="C783" s="2" t="str">
        <x:v>Delhi NCR</x:v>
      </x:c>
      <x:c r="D783" s="2" t="str"/>
      <x:c r="E783" s="12" t="str">
        <x:v>NPX Tower</x:v>
      </x:c>
      <x:c r="F783" s="12" t="str">
        <x:v>Reception 1</x:v>
      </x:c>
      <x:c r="G783" s="11" t="n">
        <x:v>1</x:v>
      </x:c>
      <x:c r="H783" s="2" t="str">
        <x:v>55 inch</x:v>
      </x:c>
      <x:c r="I783" s="12" t="str">
        <x:v>AD Architect And Interior Designers; Gofusion; Twvlv Lifestyle Private Limited; AIQEN INDIA PRIVATE LIMITED; MyOffice; AVS HOMES; Fambo; Cloudmitra Private Limited; Attacktic Labs</x:v>
      </x:c>
      <x:c r="J783" s="2" t="n">
        <x:v>9</x:v>
      </x:c>
      <x:c r="K783" s="12" t="str">
        <x:v>Campus/portfolio roster; individual building occupancy unverified</x:v>
      </x:c>
      <x:c r="L783" s="12" t="str">
        <x:v>IT &amp; digital; Professional services; Trade, consumer &amp; logistics; Workspace &amp; property operations; Unresolved</x:v>
      </x:c>
      <x:c r="M783" s="12" t="str">
        <x:v>Small-scale prospects; Mixed business audience</x:v>
      </x:c>
      <x:c r="N783" s="12" t="str">
        <x:v>PARTNER-M384</x:v>
      </x:c>
      <x:c r="O783" s="13"/>
      <x:c r="P783" s="13"/>
      <x:c r="Q783" s="2" t="str"/>
      <x:c r="R783" s="2" t="str">
        <x:v>TEN-2D74E91371DF; TEN-351CB482AEA2; TEN-514C228FF85C; TEN-672E0F0F33A9; TEN-85F80403C42F; TEN-8A7CE4D1DF4D; TEN-BD95AB918566; TEN-C78E842CDD84; TEN-F1E6F3520D7D</x:v>
      </x:c>
      <x:c r="S783" s="12" t="str">
        <x:v>Mixed commercial workplace</x:v>
      </x:c>
      <x:c r="T783" s="12" t="str">
        <x:v>Tenant business-type estimates and reviewed company-scale context.</x:v>
      </x:c>
    </x:row>
  </x:sheetData>
  <x:dataValidations count="1">
    <x:dataValidation type="list" sqref="A7:A783">
      <x:formula1>"1,0"</x:formula1>
    </x:dataValidation>
  </x:dataValidations>
  <x:pageMargins left="0.7" right="0.7" top="0.75" bottom="0.75" header="0.3" footer="0.3"/>
  <x:tableParts count="1">
    <x:tablePart xmlns:r="http://schemas.openxmlformats.org/officeDocument/2006/relationships" r:id="R53fd56413f204db3"/>
  </x:tableParts>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8" hidden="0" customWidth="1"/>
    <x:col min="2" max="2" width="45" hidden="0" customWidth="1"/>
    <x:col min="3" max="3" width="23" hidden="0" customWidth="1"/>
    <x:col min="4" max="4" width="28" hidden="0" customWidth="1"/>
    <x:col min="5" max="5" width="34" hidden="0" customWidth="1"/>
    <x:col min="6" max="6" width="27" hidden="0" customWidth="1"/>
    <x:col min="7" max="7" width="56" hidden="0" customWidth="1"/>
    <x:col min="8" max="8" width="13" hidden="0" customWidth="1"/>
    <x:col min="9" max="9" width="14" hidden="0" customWidth="1"/>
    <x:col min="10" max="10" width="17" hidden="0" customWidth="1"/>
    <x:col min="11" max="11" width="18" hidden="0" customWidth="1"/>
    <x:col min="12" max="12" width="24" hidden="0" customWidth="1"/>
    <x:col min="13" max="13" width="20" hidden="0" customWidth="1"/>
    <x:col min="14" max="14" width="26" hidden="0" customWidth="1"/>
    <x:col min="15" max="15" width="30" hidden="0" customWidth="1"/>
    <x:col min="16" max="16" width="58" hidden="0" customWidth="1"/>
    <x:col min="17" max="17" width="48" hidden="0" customWidth="1"/>
  </x:cols>
  <x:sheetData>
    <x:row r="1">
      <x:c r="A1" s="2"/>
      <x:c r="B1" s="2"/>
      <x:c r="C1" s="2"/>
      <x:c r="D1" s="2"/>
      <x:c r="E1" s="2"/>
      <x:c r="F1" s="2"/>
      <x:c r="G1" s="2"/>
      <x:c r="H1" s="2"/>
      <x:c r="I1" s="2"/>
      <x:c r="J1" s="2"/>
      <x:c r="K1" s="2"/>
      <x:c r="L1" s="2"/>
      <x:c r="M1" s="2"/>
      <x:c r="N1" s="2"/>
      <x:c r="O1" s="2"/>
      <x:c r="P1" s="2"/>
      <x:c r="Q1" s="2"/>
    </x:row>
    <x:row r="2">
      <x:c r="A2" s="3" t="str">
        <x:v>Individual tenant directory</x:v>
      </x:c>
      <x:c r="B2" s="2"/>
      <x:c r="C2" s="2"/>
      <x:c r="D2" s="2"/>
      <x:c r="E2" s="2"/>
      <x:c r="F2" s="2"/>
      <x:c r="G2" s="2"/>
      <x:c r="H2" s="2"/>
      <x:c r="I2" s="2"/>
      <x:c r="J2" s="2"/>
      <x:c r="K2" s="2"/>
      <x:c r="L2" s="2"/>
      <x:c r="M2" s="2"/>
      <x:c r="N2" s="2"/>
      <x:c r="O2" s="2"/>
      <x:c r="P2" s="2"/>
      <x:c r="Q2" s="2"/>
    </x:row>
    <x:row r="3">
      <x:c r="A3" s="4"/>
      <x:c r="B3" s="4"/>
      <x:c r="C3" s="4"/>
      <x:c r="D3" s="4"/>
      <x:c r="E3" s="4"/>
      <x:c r="F3" s="4"/>
      <x:c r="G3" s="4"/>
      <x:c r="H3" s="4"/>
      <x:c r="I3" s="4"/>
      <x:c r="J3" s="4"/>
      <x:c r="K3" s="4"/>
      <x:c r="L3" s="4"/>
      <x:c r="M3" s="4"/>
      <x:c r="N3" s="4"/>
      <x:c r="O3" s="4"/>
      <x:c r="P3" s="4"/>
      <x:c r="Q3" s="4"/>
    </x:row>
    <x:row r="4">
      <x:c r="A4" s="2" t="str">
        <x:v>Screens are building or campus associations, not exclusive tenant reach. Package options overlap and must not be added.</x:v>
      </x:c>
      <x:c r="B4" s="2"/>
      <x:c r="C4" s="2"/>
      <x:c r="D4" s="2"/>
      <x:c r="E4" s="2"/>
      <x:c r="F4" s="2"/>
      <x:c r="G4" s="2"/>
      <x:c r="H4" s="2"/>
      <x:c r="I4" s="2"/>
      <x:c r="J4" s="2"/>
      <x:c r="K4" s="2"/>
      <x:c r="L4" s="2"/>
      <x:c r="M4" s="2"/>
      <x:c r="N4" s="2"/>
      <x:c r="O4" s="2"/>
      <x:c r="P4" s="2"/>
      <x:c r="Q4" s="2"/>
    </x:row>
    <x:row r="5">
      <x:c r="A5" s="2" t="str">
        <x:v>Audience sizes are indicative prospect segments, based on company evidence or business-type assumptions. They are not statutory MSME classifications.</x:v>
      </x:c>
      <x:c r="B5" s="2"/>
      <x:c r="C5" s="2"/>
      <x:c r="D5" s="2"/>
      <x:c r="E5" s="2"/>
      <x:c r="F5" s="2"/>
      <x:c r="G5" s="2"/>
      <x:c r="H5" s="2"/>
      <x:c r="I5" s="2"/>
      <x:c r="J5" s="2"/>
      <x:c r="K5" s="2"/>
      <x:c r="L5" s="2"/>
      <x:c r="M5" s="2"/>
      <x:c r="N5" s="2"/>
      <x:c r="O5" s="2"/>
      <x:c r="P5" s="2"/>
      <x:c r="Q5" s="2"/>
    </x:row>
    <x:row r="6" ht="42" customHeight="1">
      <x:c r="A6" s="8" t="str">
        <x:v>Tenant ID</x:v>
      </x:c>
      <x:c r="B6" s="8" t="str">
        <x:v>Tenant / business name</x:v>
      </x:c>
      <x:c r="C6" s="8" t="str">
        <x:v>Role</x:v>
      </x:c>
      <x:c r="D6" s="8" t="str">
        <x:v>Business sector</x:v>
      </x:c>
      <x:c r="E6" s="8" t="str">
        <x:v>Subsector</x:v>
      </x:c>
      <x:c r="F6" s="8" t="str">
        <x:v>Outreach segment (indicative)</x:v>
      </x:c>
      <x:c r="G6" s="8" t="str">
        <x:v>Segment basis</x:v>
      </x:c>
      <x:c r="H6" s="8" t="str">
        <x:v>Inventory rows</x:v>
      </x:c>
      <x:c r="I6" s="8" t="str">
        <x:v>Associated screens</x:v>
      </x:c>
      <x:c r="J6" s="8" t="str">
        <x:v>Package delivery screens</x:v>
      </x:c>
      <x:c r="K6" s="8" t="str">
        <x:v>Additional package screens</x:v>
      </x:c>
      <x:c r="L6" s="8" t="str">
        <x:v>Full-package option ex GST</x:v>
      </x:c>
      <x:c r="M6" s="8" t="str">
        <x:v>GST</x:v>
      </x:c>
      <x:c r="N6" s="8" t="str">
        <x:v>Full-package option incl GST</x:v>
      </x:c>
      <x:c r="O6" s="8" t="str">
        <x:v>Markets</x:v>
      </x:c>
      <x:c r="P6" s="8" t="str">
        <x:v>Inventory references</x:v>
      </x:c>
      <x:c r="Q6" s="8" t="str">
        <x:v>Alternative names</x:v>
      </x:c>
    </x:row>
    <x:row r="7" ht="48" customHeight="1">
      <x:c r="A7" s="2" t="str">
        <x:v>TEN-3411C22AE83B</x:v>
      </x:c>
      <x:c r="B7" s="12" t="str">
        <x:v>24-7 Intouch</x:v>
      </x:c>
      <x:c r="C7" s="12" t="str">
        <x:v>Business / brand</x:v>
      </x:c>
      <x:c r="D7" s="12" t="str">
        <x:v>IT &amp; digital</x:v>
      </x:c>
      <x:c r="E7" s="12" t="str">
        <x:v>Business process &amp; customer operations</x:v>
      </x:c>
      <x:c r="F7" s="12" t="str">
        <x:v>Mixed business audience</x:v>
      </x:c>
      <x:c r="G7" s="12" t="str">
        <x:v>Established brand or business network; local company scale is not established. Use a mixed-business message.</x:v>
      </x:c>
      <x:c r="H7" s="11" t="n">
        <x:v>1</x:v>
      </x:c>
      <x:c r="I7" s="11" t="n">
        <x:v>1</x:v>
      </x:c>
      <x:c r="J7" s="11" t="n">
        <x:v>1</x:v>
      </x:c>
      <x:c r="K7" s="11" t="n">
        <x:v>0</x:v>
      </x:c>
      <x:c r="L7" s="17" t="n">
        <x:f>SUM(SUMIFS('Costing'!$P$9:$P$492,'Costing'!$A$9:$A$492,"MAIN-250"))</x:f>
        <x:v>15000</x:v>
      </x:c>
      <x:c r="M7" s="17" t="n">
        <x:f>ROUND(L7*'Costing'!$C$4,2)</x:f>
        <x:v>2700</x:v>
      </x:c>
      <x:c r="N7" s="17" t="n">
        <x:f>L7+M7</x:f>
        <x:v>17700</x:v>
      </x:c>
      <x:c r="O7" s="12" t="str">
        <x:v>Hyderabad</x:v>
      </x:c>
      <x:c r="P7" s="12" t="str">
        <x:v>CORP-0246</x:v>
      </x:c>
      <x:c r="Q7" s="12" t="str">
        <x:v>24-7 Intouch</x:v>
      </x:c>
    </x:row>
    <x:row r="8" ht="48" customHeight="1">
      <x:c r="A8" s="2" t="str">
        <x:v>TEN-7C0CB89957C8</x:v>
      </x:c>
      <x:c r="B8" s="12" t="str">
        <x:v>24/7 Games</x:v>
      </x:c>
      <x:c r="C8" s="12" t="str">
        <x:v>Business / brand</x:v>
      </x:c>
      <x:c r="D8" s="12" t="str">
        <x:v>Trade, consumer &amp; logistics</x:v>
      </x:c>
      <x:c r="E8" s="12" t="str">
        <x:v>Entertainment, media &amp; events</x:v>
      </x:c>
      <x:c r="F8" s="12" t="str">
        <x:v>Small-scale prospects</x:v>
      </x:c>
      <x:c r="G8" s="12" t="str">
        <x:v>Trading or consumer-services business; small-scale prospect assumption.</x:v>
      </x:c>
      <x:c r="H8" s="11" t="n">
        <x:v>1</x:v>
      </x:c>
      <x:c r="I8" s="11" t="n">
        <x:v>1</x:v>
      </x:c>
      <x:c r="J8" s="11" t="n">
        <x:v>1</x:v>
      </x:c>
      <x:c r="K8" s="11" t="n">
        <x:v>0</x:v>
      </x:c>
      <x:c r="L8" s="17" t="n">
        <x:f>SUM(SUMIFS('Costing'!$P$9:$P$492,'Costing'!$A$9:$A$492,"MAIN-135"))</x:f>
        <x:v>40000</x:v>
      </x:c>
      <x:c r="M8" s="17" t="n">
        <x:f>ROUND(L8*'Costing'!$C$4,2)</x:f>
        <x:v>7200</x:v>
      </x:c>
      <x:c r="N8" s="17" t="n">
        <x:f>L8+M8</x:f>
        <x:v>47200</x:v>
      </x:c>
      <x:c r="O8" s="12" t="str">
        <x:v>Bengaluru</x:v>
      </x:c>
      <x:c r="P8" s="12" t="str">
        <x:v>CORP-0131</x:v>
      </x:c>
      <x:c r="Q8" s="12" t="str">
        <x:v>24/7 Games</x:v>
      </x:c>
    </x:row>
    <x:row r="9" ht="48" customHeight="1">
      <x:c r="A9" s="2" t="str">
        <x:v>TEN-023FA99679B2</x:v>
      </x:c>
      <x:c r="B9" s="12" t="str">
        <x:v>2gether</x:v>
      </x:c>
      <x:c r="C9" s="12" t="str">
        <x:v>Business / brand</x:v>
      </x:c>
      <x:c r="D9" s="12" t="str">
        <x:v>Unresolved</x:v>
      </x:c>
      <x:c r="E9" s="12" t="str">
        <x:v>Business activity not established</x:v>
      </x:c>
      <x:c r="F9" s="12" t="str">
        <x:v>Mixed business audience</x:v>
      </x:c>
      <x:c r="G9" s="12" t="str">
        <x:v>Business activity and company scale are not established from this name.</x:v>
      </x:c>
      <x:c r="H9" s="11" t="n">
        <x:v>1</x:v>
      </x:c>
      <x:c r="I9" s="11" t="n">
        <x:v>18</x:v>
      </x:c>
      <x:c r="J9" s="11" t="n">
        <x:v>18</x:v>
      </x:c>
      <x:c r="K9" s="11" t="n">
        <x:v>0</x:v>
      </x:c>
      <x:c r="L9" s="17" t="n">
        <x:f>SUM(SUMIFS('Costing'!$P$9:$P$492,'Costing'!$A$9:$A$492,"MAIN-052"))</x:f>
        <x:v>270000</x:v>
      </x:c>
      <x:c r="M9" s="17" t="n">
        <x:f>ROUND(L9*'Costing'!$C$4,2)</x:f>
        <x:v>48600</x:v>
      </x:c>
      <x:c r="N9" s="17" t="n">
        <x:f>L9+M9</x:f>
        <x:v>318600</x:v>
      </x:c>
      <x:c r="O9" s="12" t="str">
        <x:v>Bengaluru</x:v>
      </x:c>
      <x:c r="P9" s="12" t="str">
        <x:v>CORP-0048</x:v>
      </x:c>
      <x:c r="Q9" s="12" t="str">
        <x:v>2gether</x:v>
      </x:c>
    </x:row>
    <x:row r="10" ht="48" customHeight="1">
      <x:c r="A10" s="2" t="str">
        <x:v>TEN-AB266C5DBB39</x:v>
      </x:c>
      <x:c r="B10" s="12" t="str">
        <x:v>3 concepts Building solutions</x:v>
      </x:c>
      <x:c r="C10" s="12" t="str">
        <x:v>Business / brand</x:v>
      </x:c>
      <x:c r="D10" s="12" t="str">
        <x:v>Unresolved</x:v>
      </x:c>
      <x:c r="E10" s="12" t="str">
        <x:v>Business activity not established</x:v>
      </x:c>
      <x:c r="F10" s="12" t="str">
        <x:v>Mixed business audience</x:v>
      </x:c>
      <x:c r="G10" s="12" t="str">
        <x:v>Business activity and company scale are not established from this name.</x:v>
      </x:c>
      <x:c r="H10" s="11" t="n">
        <x:v>1</x:v>
      </x:c>
      <x:c r="I10" s="11" t="n">
        <x:v>1</x:v>
      </x:c>
      <x:c r="J10" s="11" t="n">
        <x:v>1</x:v>
      </x:c>
      <x:c r="K10" s="11" t="n">
        <x:v>0</x:v>
      </x:c>
      <x:c r="L10" s="17" t="n">
        <x:f>SUM(SUMIFS('Costing'!$P$9:$P$492,'Costing'!$A$9:$A$492,"MAIN-035"))</x:f>
        <x:v>15000</x:v>
      </x:c>
      <x:c r="M10" s="17" t="n">
        <x:f>ROUND(L10*'Costing'!$C$4,2)</x:f>
        <x:v>2700</x:v>
      </x:c>
      <x:c r="N10" s="17" t="n">
        <x:f>L10+M10</x:f>
        <x:v>17700</x:v>
      </x:c>
      <x:c r="O10" s="12" t="str">
        <x:v>Bengaluru</x:v>
      </x:c>
      <x:c r="P10" s="12" t="str">
        <x:v>CORP-0031</x:v>
      </x:c>
      <x:c r="Q10" s="12" t="str">
        <x:v>3 concepts Building solutions</x:v>
      </x:c>
    </x:row>
    <x:row r="11" ht="48" customHeight="1">
      <x:c r="A11" s="2" t="str">
        <x:v>TEN-6CCD1ACFB146</x:v>
      </x:c>
      <x:c r="B11" s="12" t="str">
        <x:v>3i Infotech Limited</x:v>
      </x:c>
      <x:c r="C11" s="12" t="str">
        <x:v>Business / brand</x:v>
      </x:c>
      <x:c r="D11" s="12" t="str">
        <x:v>IT &amp; digital</x:v>
      </x:c>
      <x:c r="E11" s="12" t="str">
        <x:v>Enterprise software &amp; digital engineering</x:v>
      </x:c>
      <x:c r="F11" s="12" t="str">
        <x:v>Mixed business audience</x:v>
      </x:c>
      <x:c r="G11" s="12" t="str">
        <x:v>Established brand or business network; local company scale is not established. Use a mixed-business message.</x:v>
      </x:c>
      <x:c r="H11" s="11" t="n">
        <x:v>5</x:v>
      </x:c>
      <x:c r="I11" s="11" t="n">
        <x:v>5</x:v>
      </x:c>
      <x:c r="J11" s="11" t="n">
        <x:v>5</x:v>
      </x:c>
      <x:c r="K11" s="11" t="n">
        <x:v>0</x:v>
      </x:c>
      <x:c r="L11" s="17" t="n">
        <x:f>SUM(SUMIFS('Costing'!$P$9:$P$492,'Costing'!$A$9:$A$492,"PARTNER-M342"))</x:f>
        <x:v>200000</x:v>
      </x:c>
      <x:c r="M11" s="17" t="n">
        <x:f>ROUND(L11*'Costing'!$C$4,2)</x:f>
        <x:v>36000</x:v>
      </x:c>
      <x:c r="N11" s="17" t="n">
        <x:f>L11+M11</x:f>
        <x:v>236000</x:v>
      </x:c>
      <x:c r="O11" s="12" t="str">
        <x:v>Chennai</x:v>
      </x:c>
      <x:c r="P11" s="12" t="str">
        <x:v>CORP-0756, CORP-0757, CORP-0758, CORP-0759, CORP-0760</x:v>
      </x:c>
      <x:c r="Q11" s="12" t="str">
        <x:v>3i Infotech Limited</x:v>
      </x:c>
    </x:row>
    <x:row r="12" ht="48" customHeight="1">
      <x:c r="A12" s="2" t="str">
        <x:v>TEN-9C3C0E56B4EE</x:v>
      </x:c>
      <x:c r="B12" s="12" t="str">
        <x:v>75F Smart Innovations India Pvt.Ltd</x:v>
      </x:c>
      <x:c r="C12" s="12" t="str">
        <x:v>Business / brand</x:v>
      </x:c>
      <x:c r="D12" s="12" t="str">
        <x:v>IT &amp; digital</x:v>
      </x:c>
      <x:c r="E12" s="12" t="str">
        <x:v>Enterprise software &amp; digital engineering</x:v>
      </x:c>
      <x:c r="F12" s="12" t="str">
        <x:v>Small-scale prospects</x:v>
      </x:c>
      <x:c r="G12" s="12" t="str">
        <x:v>Software or technology-services business; small-scale prospect assumption.</x:v>
      </x:c>
      <x:c r="H12" s="11" t="n">
        <x:v>1</x:v>
      </x:c>
      <x:c r="I12" s="11" t="n">
        <x:v>11</x:v>
      </x:c>
      <x:c r="J12" s="11" t="n">
        <x:v>11</x:v>
      </x:c>
      <x:c r="K12" s="11" t="n">
        <x:v>0</x:v>
      </x:c>
      <x:c r="L12" s="17" t="n">
        <x:f>SUM(SUMIFS('Costing'!$P$9:$P$492,'Costing'!$A$9:$A$492,"MAIN-131"))</x:f>
        <x:v>275000</x:v>
      </x:c>
      <x:c r="M12" s="17" t="n">
        <x:f>ROUND(L12*'Costing'!$C$4,2)</x:f>
        <x:v>49500</x:v>
      </x:c>
      <x:c r="N12" s="17" t="n">
        <x:f>L12+M12</x:f>
        <x:v>324500</x:v>
      </x:c>
      <x:c r="O12" s="12" t="str">
        <x:v>Bengaluru</x:v>
      </x:c>
      <x:c r="P12" s="12" t="str">
        <x:v>CORP-0127</x:v>
      </x:c>
      <x:c r="Q12" s="12" t="str">
        <x:v>75F Smart Innovations India Pvt.Ltd</x:v>
      </x:c>
    </x:row>
    <x:row r="13" ht="48" customHeight="1">
      <x:c r="A13" s="2" t="str">
        <x:v>TEN-7F1BE9AADC7F</x:v>
      </x:c>
      <x:c r="B13" s="12" t="str">
        <x:v>7c cafe</x:v>
      </x:c>
      <x:c r="C13" s="12" t="str">
        <x:v>Business / brand</x:v>
      </x:c>
      <x:c r="D13" s="12" t="str">
        <x:v>Trade, consumer &amp; logistics</x:v>
      </x:c>
      <x:c r="E13" s="12" t="str">
        <x:v>Travel, hospitality, food &amp; beverages</x:v>
      </x:c>
      <x:c r="F13" s="12" t="str">
        <x:v>Micro-scale prospects</x:v>
      </x:c>
      <x:c r="G13" s="12" t="str">
        <x:v>Local consumer service or childcare model; micro-scale outreach assumption.</x:v>
      </x:c>
      <x:c r="H13" s="11" t="n">
        <x:v>1</x:v>
      </x:c>
      <x:c r="I13" s="11" t="n">
        <x:v>21</x:v>
      </x:c>
      <x:c r="J13" s="11" t="n">
        <x:v>21</x:v>
      </x:c>
      <x:c r="K13" s="11" t="n">
        <x:v>0</x:v>
      </x:c>
      <x:c r="L13" s="17" t="n">
        <x:f>SUM(SUMIFS('Costing'!$P$9:$P$492,'Costing'!$A$9:$A$492,"MAIN-313"))</x:f>
        <x:v>315000</x:v>
      </x:c>
      <x:c r="M13" s="17" t="n">
        <x:f>ROUND(L13*'Costing'!$C$4,2)</x:f>
        <x:v>56700</x:v>
      </x:c>
      <x:c r="N13" s="17" t="n">
        <x:f>L13+M13</x:f>
        <x:v>371700</x:v>
      </x:c>
      <x:c r="O13" s="12" t="str">
        <x:v>Mumbai</x:v>
      </x:c>
      <x:c r="P13" s="12" t="str">
        <x:v>CORP-0309</x:v>
      </x:c>
      <x:c r="Q13" s="12" t="str">
        <x:v>7c cafe</x:v>
      </x:c>
    </x:row>
    <x:row r="14" ht="48" customHeight="1">
      <x:c r="A14" s="2" t="str">
        <x:v>TEN-592C65297F79</x:v>
      </x:c>
      <x:c r="B14" s="12" t="str">
        <x:v>9AV Ads</x:v>
      </x:c>
      <x:c r="C14" s="12" t="str">
        <x:v>Business / brand</x:v>
      </x:c>
      <x:c r="D14" s="12" t="str">
        <x:v>Professional services</x:v>
      </x:c>
      <x:c r="E14" s="12" t="str">
        <x:v>Business, marketing &amp; research services</x:v>
      </x:c>
      <x:c r="F14" s="12" t="str">
        <x:v>Small-scale prospects</x:v>
      </x:c>
      <x:c r="G14" s="12" t="str">
        <x:v>Professional service, agency or advisory model; small-scale prospect assumption.</x:v>
      </x:c>
      <x:c r="H14" s="11" t="n">
        <x:v>1</x:v>
      </x:c>
      <x:c r="I14" s="11" t="n">
        <x:v>9</x:v>
      </x:c>
      <x:c r="J14" s="11" t="n">
        <x:v>9</x:v>
      </x:c>
      <x:c r="K14" s="11" t="n">
        <x:v>0</x:v>
      </x:c>
      <x:c r="L14" s="17" t="n">
        <x:f>SUM(SUMIFS('Costing'!$P$9:$P$492,'Costing'!$A$9:$A$492,"MAIN-262"))</x:f>
        <x:v>225000</x:v>
      </x:c>
      <x:c r="M14" s="17" t="n">
        <x:f>ROUND(L14*'Costing'!$C$4,2)</x:f>
        <x:v>40500</x:v>
      </x:c>
      <x:c r="N14" s="17" t="n">
        <x:f>L14+M14</x:f>
        <x:v>265500</x:v>
      </x:c>
      <x:c r="O14" s="12" t="str">
        <x:v>Hyderabad</x:v>
      </x:c>
      <x:c r="P14" s="12" t="str">
        <x:v>CORP-0258</x:v>
      </x:c>
      <x:c r="Q14" s="12" t="str">
        <x:v>9AV Ads</x:v>
      </x:c>
    </x:row>
    <x:row r="15" ht="48" customHeight="1">
      <x:c r="A15" s="2" t="str">
        <x:v>TEN-02B5417A7C79</x:v>
      </x:c>
      <x:c r="B15" s="12" t="str">
        <x:v>A.P Architects &amp; Interiors</x:v>
      </x:c>
      <x:c r="C15" s="12" t="str">
        <x:v>Business / brand</x:v>
      </x:c>
      <x:c r="D15" s="12" t="str">
        <x:v>Professional services</x:v>
      </x:c>
      <x:c r="E15" s="12" t="str">
        <x:v>Architecture, interiors &amp; design</x:v>
      </x:c>
      <x:c r="F15" s="12" t="str">
        <x:v>Small-scale prospects</x:v>
      </x:c>
      <x:c r="G15" s="12" t="str">
        <x:v>Professional service, agency or advisory model; small-scale prospect assumption.</x:v>
      </x:c>
      <x:c r="H15" s="11" t="n">
        <x:v>1</x:v>
      </x:c>
      <x:c r="I15" s="11" t="n">
        <x:v>11</x:v>
      </x:c>
      <x:c r="J15" s="11" t="n">
        <x:v>11</x:v>
      </x:c>
      <x:c r="K15" s="11" t="n">
        <x:v>0</x:v>
      </x:c>
      <x:c r="L15" s="17" t="n">
        <x:f>SUM(SUMIFS('Costing'!$P$9:$P$492,'Costing'!$A$9:$A$492,"MAIN-131"))</x:f>
        <x:v>275000</x:v>
      </x:c>
      <x:c r="M15" s="17" t="n">
        <x:f>ROUND(L15*'Costing'!$C$4,2)</x:f>
        <x:v>49500</x:v>
      </x:c>
      <x:c r="N15" s="17" t="n">
        <x:f>L15+M15</x:f>
        <x:v>324500</x:v>
      </x:c>
      <x:c r="O15" s="12" t="str">
        <x:v>Bengaluru</x:v>
      </x:c>
      <x:c r="P15" s="12" t="str">
        <x:v>CORP-0127</x:v>
      </x:c>
      <x:c r="Q15" s="12" t="str">
        <x:v>A.P Architects &amp; Interiors</x:v>
      </x:c>
    </x:row>
    <x:row r="16" ht="48" customHeight="1">
      <x:c r="A16" s="2" t="str">
        <x:v>TEN-6B86B1AF6901</x:v>
      </x:c>
      <x:c r="B16" s="12" t="str">
        <x:v>A2M TEchnologies</x:v>
      </x:c>
      <x:c r="C16" s="12" t="str">
        <x:v>Business / brand</x:v>
      </x:c>
      <x:c r="D16" s="12" t="str">
        <x:v>Unresolved</x:v>
      </x:c>
      <x:c r="E16" s="12" t="str">
        <x:v>Business activity not established</x:v>
      </x:c>
      <x:c r="F16" s="12" t="str">
        <x:v>Mixed business audience</x:v>
      </x:c>
      <x:c r="G16" s="12" t="str">
        <x:v>Business activity and company scale are not established from this name.</x:v>
      </x:c>
      <x:c r="H16" s="11" t="n">
        <x:v>1</x:v>
      </x:c>
      <x:c r="I16" s="11" t="n">
        <x:v>1</x:v>
      </x:c>
      <x:c r="J16" s="11" t="n">
        <x:v>1</x:v>
      </x:c>
      <x:c r="K16" s="11" t="n">
        <x:v>0</x:v>
      </x:c>
      <x:c r="L16" s="17" t="n">
        <x:f>SUM(SUMIFS('Costing'!$P$9:$P$492,'Costing'!$A$9:$A$492,"MAIN-071"))</x:f>
        <x:v>15000</x:v>
      </x:c>
      <x:c r="M16" s="17" t="n">
        <x:f>ROUND(L16*'Costing'!$C$4,2)</x:f>
        <x:v>2700</x:v>
      </x:c>
      <x:c r="N16" s="17" t="n">
        <x:f>L16+M16</x:f>
        <x:v>17700</x:v>
      </x:c>
      <x:c r="O16" s="12" t="str">
        <x:v>Bengaluru</x:v>
      </x:c>
      <x:c r="P16" s="12" t="str">
        <x:v>CORP-0067</x:v>
      </x:c>
      <x:c r="Q16" s="12" t="str">
        <x:v>A2M TEchnologies</x:v>
      </x:c>
    </x:row>
    <x:row r="17" ht="48" customHeight="1">
      <x:c r="A17" s="2" t="str">
        <x:v>TEN-0B56B6EC5EA6</x:v>
      </x:c>
      <x:c r="B17" s="12" t="str">
        <x:v>Aadrika Associates Pvt. Ltd</x:v>
      </x:c>
      <x:c r="C17" s="12" t="str">
        <x:v>Business / brand</x:v>
      </x:c>
      <x:c r="D17" s="12" t="str">
        <x:v>Unresolved</x:v>
      </x:c>
      <x:c r="E17" s="12" t="str">
        <x:v>Business activity not established</x:v>
      </x:c>
      <x:c r="F17" s="12" t="str">
        <x:v>Mixed business audience</x:v>
      </x:c>
      <x:c r="G17" s="12" t="str">
        <x:v>Business activity and company scale are not established from this name.</x:v>
      </x:c>
      <x:c r="H17" s="11" t="n">
        <x:v>1</x:v>
      </x:c>
      <x:c r="I17" s="11" t="n">
        <x:v>2</x:v>
      </x:c>
      <x:c r="J17" s="11" t="n">
        <x:v>2</x:v>
      </x:c>
      <x:c r="K17" s="11" t="n">
        <x:v>0</x:v>
      </x:c>
      <x:c r="L17" s="17" t="n">
        <x:f>SUM(SUMIFS('Costing'!$P$9:$P$492,'Costing'!$A$9:$A$492,"MAIN-268"))</x:f>
        <x:v>80000</x:v>
      </x:c>
      <x:c r="M17" s="17" t="n">
        <x:f>ROUND(L17*'Costing'!$C$4,2)</x:f>
        <x:v>14400</x:v>
      </x:c>
      <x:c r="N17" s="17" t="n">
        <x:f>L17+M17</x:f>
        <x:v>94400</x:v>
      </x:c>
      <x:c r="O17" s="12" t="str">
        <x:v>Indore</x:v>
      </x:c>
      <x:c r="P17" s="12" t="str">
        <x:v>CORP-0264</x:v>
      </x:c>
      <x:c r="Q17" s="12" t="str">
        <x:v>Aadrika Associates Pvt. Ltd</x:v>
      </x:c>
    </x:row>
    <x:row r="18" ht="48" customHeight="1">
      <x:c r="A18" s="2" t="str">
        <x:v>TEN-F6EB468BF351</x:v>
      </x:c>
      <x:c r="B18" s="12" t="str">
        <x:v>Aadrika Automation</x:v>
      </x:c>
      <x:c r="C18" s="12" t="str">
        <x:v>Business / brand</x:v>
      </x:c>
      <x:c r="D18" s="12" t="str">
        <x:v>Engineering &amp; manufacturing</x:v>
      </x:c>
      <x:c r="E18" s="12" t="str">
        <x:v>Energy, electrical &amp; industrial systems</x:v>
      </x:c>
      <x:c r="F18" s="12" t="str">
        <x:v>Medium-scale prospects</x:v>
      </x:c>
      <x:c r="G18" s="12" t="str">
        <x:v>Specialist industrial or engineering business; medium-scale prospect assumption.</x:v>
      </x:c>
      <x:c r="H18" s="11" t="n">
        <x:v>5</x:v>
      </x:c>
      <x:c r="I18" s="11" t="n">
        <x:v>5</x:v>
      </x:c>
      <x:c r="J18" s="11" t="n">
        <x:v>5</x:v>
      </x:c>
      <x:c r="K18" s="11" t="n">
        <x:v>0</x:v>
      </x:c>
      <x:c r="L18" s="17" t="n">
        <x:f>SUM(SUMIFS('Costing'!$P$9:$P$492,'Costing'!$A$9:$A$492,"PARTNER-M277"))</x:f>
        <x:v>200000</x:v>
      </x:c>
      <x:c r="M18" s="17" t="n">
        <x:f>ROUND(L18*'Costing'!$C$4,2)</x:f>
        <x:v>36000</x:v>
      </x:c>
      <x:c r="N18" s="17" t="n">
        <x:f>L18+M18</x:f>
        <x:v>236000</x:v>
      </x:c>
      <x:c r="O18" s="12" t="str">
        <x:v>Pune</x:v>
      </x:c>
      <x:c r="P18" s="12" t="str">
        <x:v>CORP-0693, CORP-0694, CORP-0695, CORP-0696, CORP-0697</x:v>
      </x:c>
      <x:c r="Q18" s="12" t="str">
        <x:v>Aadrika Automation</x:v>
      </x:c>
    </x:row>
    <x:row r="19" ht="48" customHeight="1">
      <x:c r="A19" s="2" t="str">
        <x:v>TEN-C4EB443BC291</x:v>
      </x:c>
      <x:c r="B19" s="12" t="str">
        <x:v>AAJ Media Productions</x:v>
      </x:c>
      <x:c r="C19" s="12" t="str">
        <x:v>Business / brand</x:v>
      </x:c>
      <x:c r="D19" s="12" t="str">
        <x:v>Trade, consumer &amp; logistics</x:v>
      </x:c>
      <x:c r="E19" s="12" t="str">
        <x:v>Entertainment, media &amp; events</x:v>
      </x:c>
      <x:c r="F19" s="12" t="str">
        <x:v>Small-scale prospects</x:v>
      </x:c>
      <x:c r="G19" s="12" t="str">
        <x:v>Trading or consumer-services business; small-scale prospect assumption.</x:v>
      </x:c>
      <x:c r="H19" s="11" t="n">
        <x:v>2</x:v>
      </x:c>
      <x:c r="I19" s="11" t="n">
        <x:v>2</x:v>
      </x:c>
      <x:c r="J19" s="11" t="n">
        <x:v>2</x:v>
      </x:c>
      <x:c r="K19" s="11" t="n">
        <x:v>0</x:v>
      </x:c>
      <x:c r="L19" s="17" t="n">
        <x:f>SUM(SUMIFS('Costing'!$P$9:$P$492,'Costing'!$A$9:$A$492,"PARTNER-M245"))</x:f>
        <x:v>80000</x:v>
      </x:c>
      <x:c r="M19" s="17" t="n">
        <x:f>ROUND(L19*'Costing'!$C$4,2)</x:f>
        <x:v>14400</x:v>
      </x:c>
      <x:c r="N19" s="17" t="n">
        <x:f>L19+M19</x:f>
        <x:v>94400</x:v>
      </x:c>
      <x:c r="O19" s="12" t="str">
        <x:v>Mumbai</x:v>
      </x:c>
      <x:c r="P19" s="12" t="str">
        <x:v>CORP-0662, CORP-0663</x:v>
      </x:c>
      <x:c r="Q19" s="12" t="str">
        <x:v>AAJ Media Productions</x:v>
      </x:c>
    </x:row>
    <x:row r="20" ht="48" customHeight="1">
      <x:c r="A20" s="2" t="str">
        <x:v>TEN-7AA9C7FAD1B1</x:v>
      </x:c>
      <x:c r="B20" s="12" t="str">
        <x:v>Aapah innovations</x:v>
      </x:c>
      <x:c r="C20" s="12" t="str">
        <x:v>Business / brand</x:v>
      </x:c>
      <x:c r="D20" s="12" t="str">
        <x:v>Unresolved</x:v>
      </x:c>
      <x:c r="E20" s="12" t="str">
        <x:v>Business activity not established</x:v>
      </x:c>
      <x:c r="F20" s="12" t="str">
        <x:v>Mixed business audience</x:v>
      </x:c>
      <x:c r="G20" s="12" t="str">
        <x:v>Business activity and company scale are not established from this name.</x:v>
      </x:c>
      <x:c r="H20" s="11" t="n">
        <x:v>1</x:v>
      </x:c>
      <x:c r="I20" s="11" t="n">
        <x:v>4</x:v>
      </x:c>
      <x:c r="J20" s="11" t="n">
        <x:v>4</x:v>
      </x:c>
      <x:c r="K20" s="11" t="n">
        <x:v>0</x:v>
      </x:c>
      <x:c r="L20" s="17" t="n">
        <x:f>SUM(SUMIFS('Costing'!$P$9:$P$492,'Costing'!$A$9:$A$492,"MAIN-226"))</x:f>
        <x:v>60000</x:v>
      </x:c>
      <x:c r="M20" s="17" t="n">
        <x:f>ROUND(L20*'Costing'!$C$4,2)</x:f>
        <x:v>10800</x:v>
      </x:c>
      <x:c r="N20" s="17" t="n">
        <x:f>L20+M20</x:f>
        <x:v>70800</x:v>
      </x:c>
      <x:c r="O20" s="12" t="str">
        <x:v>Hyderabad</x:v>
      </x:c>
      <x:c r="P20" s="12" t="str">
        <x:v>CORP-0222</x:v>
      </x:c>
      <x:c r="Q20" s="12" t="str">
        <x:v>Aapah innovations</x:v>
      </x:c>
    </x:row>
    <x:row r="21" ht="48" customHeight="1">
      <x:c r="A21" s="2" t="str">
        <x:v>TEN-681BFF1142BC</x:v>
      </x:c>
      <x:c r="B21" s="12" t="str">
        <x:v>Aarth</x:v>
      </x:c>
      <x:c r="C21" s="12" t="str">
        <x:v>Business / brand</x:v>
      </x:c>
      <x:c r="D21" s="12" t="str">
        <x:v>Unresolved</x:v>
      </x:c>
      <x:c r="E21" s="12" t="str">
        <x:v>Business activity not established</x:v>
      </x:c>
      <x:c r="F21" s="12" t="str">
        <x:v>Mixed business audience</x:v>
      </x:c>
      <x:c r="G21" s="12" t="str">
        <x:v>Business activity and company scale are not established from this name.</x:v>
      </x:c>
      <x:c r="H21" s="11" t="n">
        <x:v>1</x:v>
      </x:c>
      <x:c r="I21" s="11" t="n">
        <x:v>2</x:v>
      </x:c>
      <x:c r="J21" s="11" t="n">
        <x:v>2</x:v>
      </x:c>
      <x:c r="K21" s="11" t="n">
        <x:v>0</x:v>
      </x:c>
      <x:c r="L21" s="17" t="n">
        <x:f>SUM(SUMIFS('Costing'!$P$9:$P$492,'Costing'!$A$9:$A$492,"MAIN-225"))</x:f>
        <x:v>30000</x:v>
      </x:c>
      <x:c r="M21" s="17" t="n">
        <x:f>ROUND(L21*'Costing'!$C$4,2)</x:f>
        <x:v>5400</x:v>
      </x:c>
      <x:c r="N21" s="17" t="n">
        <x:f>L21+M21</x:f>
        <x:v>35400</x:v>
      </x:c>
      <x:c r="O21" s="12" t="str">
        <x:v>Hyderabad</x:v>
      </x:c>
      <x:c r="P21" s="12" t="str">
        <x:v>CORP-0221</x:v>
      </x:c>
      <x:c r="Q21" s="12" t="str">
        <x:v>Aarth</x:v>
      </x:c>
    </x:row>
    <x:row r="22" ht="48" customHeight="1">
      <x:c r="A22" s="2" t="str">
        <x:v>TEN-E64DFB9A7C4E</x:v>
      </x:c>
      <x:c r="B22" s="12" t="str">
        <x:v>AB media</x:v>
      </x:c>
      <x:c r="C22" s="12" t="str">
        <x:v>Business / brand</x:v>
      </x:c>
      <x:c r="D22" s="12" t="str">
        <x:v>Trade, consumer &amp; logistics</x:v>
      </x:c>
      <x:c r="E22" s="12" t="str">
        <x:v>Entertainment, media &amp; events</x:v>
      </x:c>
      <x:c r="F22" s="12" t="str">
        <x:v>Small-scale prospects</x:v>
      </x:c>
      <x:c r="G22" s="12" t="str">
        <x:v>Trading or consumer-services business; small-scale prospect assumption.</x:v>
      </x:c>
      <x:c r="H22" s="11" t="n">
        <x:v>1</x:v>
      </x:c>
      <x:c r="I22" s="11" t="n">
        <x:v>14</x:v>
      </x:c>
      <x:c r="J22" s="11" t="n">
        <x:v>14</x:v>
      </x:c>
      <x:c r="K22" s="11" t="n">
        <x:v>0</x:v>
      </x:c>
      <x:c r="L22" s="17" t="n">
        <x:f>SUM(SUMIFS('Costing'!$P$9:$P$492,'Costing'!$A$9:$A$492,"MAIN-210"))</x:f>
        <x:v>350000</x:v>
      </x:c>
      <x:c r="M22" s="17" t="n">
        <x:f>ROUND(L22*'Costing'!$C$4,2)</x:f>
        <x:v>63000</x:v>
      </x:c>
      <x:c r="N22" s="17" t="n">
        <x:f>L22+M22</x:f>
        <x:v>413000</x:v>
      </x:c>
      <x:c r="O22" s="12" t="str">
        <x:v>Delhi NCR</x:v>
      </x:c>
      <x:c r="P22" s="12" t="str">
        <x:v>CORP-0206</x:v>
      </x:c>
      <x:c r="Q22" s="12" t="str">
        <x:v>AB media</x:v>
      </x:c>
    </x:row>
    <x:row r="23" ht="48" customHeight="1">
      <x:c r="A23" s="2" t="str">
        <x:v>TEN-C23D7DDF638C</x:v>
      </x:c>
      <x:c r="B23" s="12" t="str">
        <x:v>Abacus Staffing and Services Pvt Ltd</x:v>
      </x:c>
      <x:c r="C23" s="12" t="str">
        <x:v>Business / brand</x:v>
      </x:c>
      <x:c r="D23" s="12" t="str">
        <x:v>Professional services</x:v>
      </x:c>
      <x:c r="E23" s="12" t="str">
        <x:v>Recruitment, HR &amp; staffing</x:v>
      </x:c>
      <x:c r="F23" s="12" t="str">
        <x:v>Small-scale prospects</x:v>
      </x:c>
      <x:c r="G23" s="12" t="str">
        <x:v>Professional service, agency or advisory model; small-scale prospect assumption.</x:v>
      </x:c>
      <x:c r="H23" s="11" t="n">
        <x:v>5</x:v>
      </x:c>
      <x:c r="I23" s="11" t="n">
        <x:v>5</x:v>
      </x:c>
      <x:c r="J23" s="11" t="n">
        <x:v>5</x:v>
      </x:c>
      <x:c r="K23" s="11" t="n">
        <x:v>0</x:v>
      </x:c>
      <x:c r="L23" s="17" t="n">
        <x:f>SUM(SUMIFS('Costing'!$P$9:$P$492,'Costing'!$A$9:$A$492,"PARTNER-M295"))</x:f>
        <x:v>200000</x:v>
      </x:c>
      <x:c r="M23" s="17" t="n">
        <x:f>ROUND(L23*'Costing'!$C$4,2)</x:f>
        <x:v>36000</x:v>
      </x:c>
      <x:c r="N23" s="17" t="n">
        <x:f>L23+M23</x:f>
        <x:v>236000</x:v>
      </x:c>
      <x:c r="O23" s="12" t="str">
        <x:v>Hyderabad</x:v>
      </x:c>
      <x:c r="P23" s="12" t="str">
        <x:v>CORP-0710, CORP-0711, CORP-0712, CORP-0713, CORP-0714</x:v>
      </x:c>
      <x:c r="Q23" s="12" t="str">
        <x:v>Abacus Staffing and Services Pvt Ltd</x:v>
      </x:c>
    </x:row>
    <x:row r="24" ht="48" customHeight="1">
      <x:c r="A24" s="2" t="str">
        <x:v>TEN-3688FF078C0E</x:v>
      </x:c>
      <x:c r="B24" s="12" t="str">
        <x:v>ABC Consultants</x:v>
      </x:c>
      <x:c r="C24" s="12" t="str">
        <x:v>Business / brand</x:v>
      </x:c>
      <x:c r="D24" s="12" t="str">
        <x:v>Professional services</x:v>
      </x:c>
      <x:c r="E24" s="12" t="str">
        <x:v>Business consulting &amp; advisory</x:v>
      </x:c>
      <x:c r="F24" s="12" t="str">
        <x:v>Mixed business audience</x:v>
      </x:c>
      <x:c r="G24" s="12" t="str">
        <x:v>Established brand or business network; local company scale is not established. Use a mixed-business message.</x:v>
      </x:c>
      <x:c r="H24" s="11" t="n">
        <x:v>1</x:v>
      </x:c>
      <x:c r="I24" s="11" t="n">
        <x:v>1</x:v>
      </x:c>
      <x:c r="J24" s="11" t="n">
        <x:v>1</x:v>
      </x:c>
      <x:c r="K24" s="11" t="n">
        <x:v>0</x:v>
      </x:c>
      <x:c r="L24" s="17" t="n">
        <x:f>SUM(SUMIFS('Costing'!$P$9:$P$492,'Costing'!$A$9:$A$492,"MAIN-323"))</x:f>
        <x:v>15000</x:v>
      </x:c>
      <x:c r="M24" s="17" t="n">
        <x:f>ROUND(L24*'Costing'!$C$4,2)</x:f>
        <x:v>2700</x:v>
      </x:c>
      <x:c r="N24" s="17" t="n">
        <x:f>L24+M24</x:f>
        <x:v>17700</x:v>
      </x:c>
      <x:c r="O24" s="12" t="str">
        <x:v>Mumbai</x:v>
      </x:c>
      <x:c r="P24" s="12" t="str">
        <x:v>CORP-0319</x:v>
      </x:c>
      <x:c r="Q24" s="12" t="str">
        <x:v>ABC Consultants</x:v>
      </x:c>
    </x:row>
    <x:row r="25" ht="48" customHeight="1">
      <x:c r="A25" s="2" t="str">
        <x:v>TEN-AAEEA46EA3EC</x:v>
      </x:c>
      <x:c r="B25" s="12" t="str">
        <x:v>ABC Techno Labs</x:v>
      </x:c>
      <x:c r="C25" s="12" t="str">
        <x:v>Business / brand</x:v>
      </x:c>
      <x:c r="D25" s="12" t="str">
        <x:v>Engineering &amp; manufacturing</x:v>
      </x:c>
      <x:c r="E25" s="12" t="str">
        <x:v>Engineering, testing &amp; technical services</x:v>
      </x:c>
      <x:c r="F25" s="12" t="str">
        <x:v>Medium-scale prospects</x:v>
      </x:c>
      <x:c r="G25" s="12" t="str">
        <x:v>Specialist industrial or engineering business; medium-scale prospect assumption.</x:v>
      </x:c>
      <x:c r="H25" s="11" t="n">
        <x:v>2</x:v>
      </x:c>
      <x:c r="I25" s="11" t="n">
        <x:v>5</x:v>
      </x:c>
      <x:c r="J25" s="11" t="n">
        <x:v>5</x:v>
      </x:c>
      <x:c r="K25" s="11" t="n">
        <x:v>0</x:v>
      </x:c>
      <x:c r="L25" s="17" t="n">
        <x:f>SUM(SUMIFS('Costing'!$P$9:$P$492,'Costing'!$A$9:$A$492,"MAIN-343"),SUMIFS('Costing'!$P$9:$P$492,'Costing'!$A$9:$A$492,"MAIN-344"))</x:f>
        <x:v>75000</x:v>
      </x:c>
      <x:c r="M25" s="17" t="n">
        <x:f>ROUND(L25*'Costing'!$C$4,2)</x:f>
        <x:v>13500</x:v>
      </x:c>
      <x:c r="N25" s="17" t="n">
        <x:f>L25+M25</x:f>
        <x:v>88500</x:v>
      </x:c>
      <x:c r="O25" s="12" t="str">
        <x:v>Mumbai</x:v>
      </x:c>
      <x:c r="P25" s="12" t="str">
        <x:v>CORP-0339, CORP-0340</x:v>
      </x:c>
      <x:c r="Q25" s="12" t="str">
        <x:v>ABC Techno Labs</x:v>
      </x:c>
    </x:row>
    <x:row r="26" ht="48" customHeight="1">
      <x:c r="A26" s="2" t="str">
        <x:v>TEN-15DD2ABC35D5</x:v>
      </x:c>
      <x:c r="B26" s="12" t="str">
        <x:v>ABCO</x:v>
      </x:c>
      <x:c r="C26" s="12" t="str">
        <x:v>Business / brand</x:v>
      </x:c>
      <x:c r="D26" s="12" t="str">
        <x:v>Unresolved</x:v>
      </x:c>
      <x:c r="E26" s="12" t="str">
        <x:v>Business activity not established</x:v>
      </x:c>
      <x:c r="F26" s="12" t="str">
        <x:v>Mixed business audience</x:v>
      </x:c>
      <x:c r="G26" s="12" t="str">
        <x:v>Business activity and company scale are not established from this name.</x:v>
      </x:c>
      <x:c r="H26" s="11" t="n">
        <x:v>1</x:v>
      </x:c>
      <x:c r="I26" s="11" t="n">
        <x:v>2</x:v>
      </x:c>
      <x:c r="J26" s="11" t="n">
        <x:v>2</x:v>
      </x:c>
      <x:c r="K26" s="11" t="n">
        <x:v>0</x:v>
      </x:c>
      <x:c r="L26" s="17" t="n">
        <x:f>SUM(SUMIFS('Costing'!$P$9:$P$492,'Costing'!$A$9:$A$492,"MAIN-063"))</x:f>
        <x:v>80000</x:v>
      </x:c>
      <x:c r="M26" s="17" t="n">
        <x:f>ROUND(L26*'Costing'!$C$4,2)</x:f>
        <x:v>14400</x:v>
      </x:c>
      <x:c r="N26" s="17" t="n">
        <x:f>L26+M26</x:f>
        <x:v>94400</x:v>
      </x:c>
      <x:c r="O26" s="12" t="str">
        <x:v>Bengaluru</x:v>
      </x:c>
      <x:c r="P26" s="12" t="str">
        <x:v>CORP-0059</x:v>
      </x:c>
      <x:c r="Q26" s="12" t="str">
        <x:v>ABCO</x:v>
      </x:c>
    </x:row>
    <x:row r="27" ht="48" customHeight="1">
      <x:c r="A27" s="2" t="str">
        <x:v>TEN-E1F0AD0EC4D2</x:v>
      </x:c>
      <x:c r="B27" s="12" t="str">
        <x:v>Abhijeet Plastics India Pvt. Ltd</x:v>
      </x:c>
      <x:c r="C27" s="12" t="str">
        <x:v>Business / brand</x:v>
      </x:c>
      <x:c r="D27" s="12" t="str">
        <x:v>Engineering &amp; manufacturing</x:v>
      </x:c>
      <x:c r="E27" s="12" t="str">
        <x:v>Chemicals, materials &amp; industrial manufacturing</x:v>
      </x:c>
      <x:c r="F27" s="12" t="str">
        <x:v>Medium-scale prospects</x:v>
      </x:c>
      <x:c r="G27" s="12" t="str">
        <x:v>Specialist industrial or engineering business; medium-scale prospect assumption.</x:v>
      </x:c>
      <x:c r="H27" s="11" t="n">
        <x:v>1</x:v>
      </x:c>
      <x:c r="I27" s="11" t="n">
        <x:v>4</x:v>
      </x:c>
      <x:c r="J27" s="11" t="n">
        <x:v>4</x:v>
      </x:c>
      <x:c r="K27" s="11" t="n">
        <x:v>0</x:v>
      </x:c>
      <x:c r="L27" s="17" t="n">
        <x:f>SUM(SUMIFS('Costing'!$P$9:$P$492,'Costing'!$A$9:$A$492,"MAIN-403"))</x:f>
        <x:v>80000</x:v>
      </x:c>
      <x:c r="M27" s="17" t="n">
        <x:f>ROUND(L27*'Costing'!$C$4,2)</x:f>
        <x:v>14400</x:v>
      </x:c>
      <x:c r="N27" s="17" t="n">
        <x:f>L27+M27</x:f>
        <x:v>94400</x:v>
      </x:c>
      <x:c r="O27" s="12" t="str">
        <x:v>Pune</x:v>
      </x:c>
      <x:c r="P27" s="12" t="str">
        <x:v>CORP-0399</x:v>
      </x:c>
      <x:c r="Q27" s="12" t="str">
        <x:v>Abhijeet Plastics India Pvt. Ltd</x:v>
      </x:c>
    </x:row>
    <x:row r="28" ht="48" customHeight="1">
      <x:c r="A28" s="2" t="str">
        <x:v>TEN-54BFBC460F9A</x:v>
      </x:c>
      <x:c r="B28" s="12" t="str">
        <x:v>Abhinav Immigration Services Pvt. Ltd</x:v>
      </x:c>
      <x:c r="C28" s="12" t="str">
        <x:v>Business / brand</x:v>
      </x:c>
      <x:c r="D28" s="12" t="str">
        <x:v>Professional services</x:v>
      </x:c>
      <x:c r="E28" s="12" t="str">
        <x:v>Immigration &amp; relocation services</x:v>
      </x:c>
      <x:c r="F28" s="12" t="str">
        <x:v>Small-scale prospects</x:v>
      </x:c>
      <x:c r="G28" s="12" t="str">
        <x:v>Professional service, agency or advisory model; small-scale prospect assumption.</x:v>
      </x:c>
      <x:c r="H28" s="11" t="n">
        <x:v>1</x:v>
      </x:c>
      <x:c r="I28" s="11" t="n">
        <x:v>9</x:v>
      </x:c>
      <x:c r="J28" s="11" t="n">
        <x:v>9</x:v>
      </x:c>
      <x:c r="K28" s="11" t="n">
        <x:v>0</x:v>
      </x:c>
      <x:c r="L28" s="17" t="n">
        <x:f>SUM(SUMIFS('Costing'!$P$9:$P$492,'Costing'!$A$9:$A$492,"MAIN-262"))</x:f>
        <x:v>225000</x:v>
      </x:c>
      <x:c r="M28" s="17" t="n">
        <x:f>ROUND(L28*'Costing'!$C$4,2)</x:f>
        <x:v>40500</x:v>
      </x:c>
      <x:c r="N28" s="17" t="n">
        <x:f>L28+M28</x:f>
        <x:v>265500</x:v>
      </x:c>
      <x:c r="O28" s="12" t="str">
        <x:v>Hyderabad</x:v>
      </x:c>
      <x:c r="P28" s="12" t="str">
        <x:v>CORP-0258</x:v>
      </x:c>
      <x:c r="Q28" s="12" t="str">
        <x:v>Abhinav Immigration Services Pvt. Ltd</x:v>
      </x:c>
    </x:row>
    <x:row r="29" ht="48" customHeight="1">
      <x:c r="A29" s="2" t="str">
        <x:v>TEN-6084B957DCD5</x:v>
      </x:c>
      <x:c r="B29" s="12" t="str">
        <x:v>ABHIYANK ENTERPRISES</x:v>
      </x:c>
      <x:c r="C29" s="12" t="str">
        <x:v>Business / brand</x:v>
      </x:c>
      <x:c r="D29" s="12" t="str">
        <x:v>Unresolved</x:v>
      </x:c>
      <x:c r="E29" s="12" t="str">
        <x:v>Business activity not established</x:v>
      </x:c>
      <x:c r="F29" s="12" t="str">
        <x:v>Mixed business audience</x:v>
      </x:c>
      <x:c r="G29" s="12" t="str">
        <x:v>Business activity and company scale are not established from this name.</x:v>
      </x:c>
      <x:c r="H29" s="11" t="n">
        <x:v>1</x:v>
      </x:c>
      <x:c r="I29" s="11" t="n">
        <x:v>26</x:v>
      </x:c>
      <x:c r="J29" s="11" t="n">
        <x:v>26</x:v>
      </x:c>
      <x:c r="K29" s="11" t="n">
        <x:v>0</x:v>
      </x:c>
      <x:c r="L29" s="17" t="n">
        <x:f>SUM(SUMIFS('Costing'!$P$9:$P$492,'Costing'!$A$9:$A$492,"MAIN-342"))</x:f>
        <x:v>390000</x:v>
      </x:c>
      <x:c r="M29" s="17" t="n">
        <x:f>ROUND(L29*'Costing'!$C$4,2)</x:f>
        <x:v>70200</x:v>
      </x:c>
      <x:c r="N29" s="17" t="n">
        <x:f>L29+M29</x:f>
        <x:v>460200</x:v>
      </x:c>
      <x:c r="O29" s="12" t="str">
        <x:v>Mumbai</x:v>
      </x:c>
      <x:c r="P29" s="12" t="str">
        <x:v>CORP-0338</x:v>
      </x:c>
      <x:c r="Q29" s="12" t="str">
        <x:v>ABHIYANK ENTERPRISES</x:v>
      </x:c>
    </x:row>
    <x:row r="30" ht="48" customHeight="1">
      <x:c r="A30" s="2" t="str">
        <x:v>TEN-20E8BE98ADE9</x:v>
      </x:c>
      <x:c r="B30" s="12" t="str">
        <x:v>Abinbev</x:v>
      </x:c>
      <x:c r="C30" s="12" t="str">
        <x:v>Business / brand</x:v>
      </x:c>
      <x:c r="D30" s="12" t="str">
        <x:v>Trade, consumer &amp; logistics</x:v>
      </x:c>
      <x:c r="E30" s="12" t="str">
        <x:v>Travel, hospitality, food &amp; beverages</x:v>
      </x:c>
      <x:c r="F30" s="12" t="str">
        <x:v>Mixed business audience</x:v>
      </x:c>
      <x:c r="G30" s="12" t="str">
        <x:v>Established brand or business network; local company scale is not established. Use a mixed-business message.</x:v>
      </x:c>
      <x:c r="H30" s="11" t="n">
        <x:v>10</x:v>
      </x:c>
      <x:c r="I30" s="11" t="n">
        <x:v>10</x:v>
      </x:c>
      <x:c r="J30" s="11" t="n">
        <x:v>10</x:v>
      </x:c>
      <x:c r="K30" s="11" t="n">
        <x:v>0</x:v>
      </x:c>
      <x:c r="L30" s="17" t="n">
        <x:f>SUM(SUMIFS('Costing'!$P$9:$P$492,'Costing'!$A$9:$A$492,"PARTNER-M120"))</x:f>
        <x:v>400000</x:v>
      </x:c>
      <x:c r="M30" s="17" t="n">
        <x:f>ROUND(L30*'Costing'!$C$4,2)</x:f>
        <x:v>72000</x:v>
      </x:c>
      <x:c r="N30" s="17" t="n">
        <x:f>L30+M30</x:f>
        <x:v>472000</x:v>
      </x:c>
      <x:c r="O30" s="12" t="str">
        <x:v>Bengaluru</x:v>
      </x:c>
      <x:c r="P30" s="12" t="str">
        <x:v>CORP-0538, CORP-0539, CORP-0540, CORP-0541, CORP-0542, CORP-0543, CORP-0544, CORP-0545, CORP-0546, CORP-0547</x:v>
      </x:c>
      <x:c r="Q30" s="12" t="str">
        <x:v>Abinbev</x:v>
      </x:c>
    </x:row>
    <x:row r="31" ht="48" customHeight="1">
      <x:c r="A31" s="2" t="str">
        <x:v>TEN-C70D08EBFA9A</x:v>
      </x:c>
      <x:c r="B31" s="12" t="str">
        <x:v>ABP Wedding HQ</x:v>
      </x:c>
      <x:c r="C31" s="12" t="str">
        <x:v>Business / brand</x:v>
      </x:c>
      <x:c r="D31" s="12" t="str">
        <x:v>Trade, consumer &amp; logistics</x:v>
      </x:c>
      <x:c r="E31" s="12" t="str">
        <x:v>Entertainment, media &amp; events</x:v>
      </x:c>
      <x:c r="F31" s="12" t="str">
        <x:v>Mixed business audience</x:v>
      </x:c>
      <x:c r="G31" s="12" t="str">
        <x:v>Established brand or business network; local company scale is not established. Use a mixed-business message.</x:v>
      </x:c>
      <x:c r="H31" s="11" t="n">
        <x:v>1</x:v>
      </x:c>
      <x:c r="I31" s="11" t="n">
        <x:v>2</x:v>
      </x:c>
      <x:c r="J31" s="11" t="n">
        <x:v>2</x:v>
      </x:c>
      <x:c r="K31" s="11" t="n">
        <x:v>0</x:v>
      </x:c>
      <x:c r="L31" s="17" t="n">
        <x:f>SUM(SUMIFS('Costing'!$P$9:$P$492,'Costing'!$A$9:$A$492,"MAIN-280"))</x:f>
        <x:v>30000</x:v>
      </x:c>
      <x:c r="M31" s="17" t="n">
        <x:f>ROUND(L31*'Costing'!$C$4,2)</x:f>
        <x:v>5400</x:v>
      </x:c>
      <x:c r="N31" s="17" t="n">
        <x:f>L31+M31</x:f>
        <x:v>35400</x:v>
      </x:c>
      <x:c r="O31" s="12" t="str">
        <x:v>Kolkata</x:v>
      </x:c>
      <x:c r="P31" s="12" t="str">
        <x:v>CORP-0276</x:v>
      </x:c>
      <x:c r="Q31" s="12" t="str">
        <x:v>ABP Wedding HQ</x:v>
      </x:c>
    </x:row>
    <x:row r="32" ht="48" customHeight="1">
      <x:c r="A32" s="2" t="str">
        <x:v>TEN-0932D55AA74D</x:v>
      </x:c>
      <x:c r="B32" s="12" t="str">
        <x:v>Abreco Freight Pvt.Ltd</x:v>
      </x:c>
      <x:c r="C32" s="12" t="str">
        <x:v>Business / brand</x:v>
      </x:c>
      <x:c r="D32" s="12" t="str">
        <x:v>Trade, consumer &amp; logistics</x:v>
      </x:c>
      <x:c r="E32" s="12" t="str">
        <x:v>Logistics, shipping &amp; transport</x:v>
      </x:c>
      <x:c r="F32" s="12" t="str">
        <x:v>Medium-scale prospects</x:v>
      </x:c>
      <x:c r="G32" s="12" t="str">
        <x:v>Specialist logistics or transport business; medium-scale prospect assumption.</x:v>
      </x:c>
      <x:c r="H32" s="11" t="n">
        <x:v>1</x:v>
      </x:c>
      <x:c r="I32" s="11" t="n">
        <x:v>2</x:v>
      </x:c>
      <x:c r="J32" s="11" t="n">
        <x:v>2</x:v>
      </x:c>
      <x:c r="K32" s="11" t="n">
        <x:v>0</x:v>
      </x:c>
      <x:c r="L32" s="17" t="n">
        <x:f>SUM(SUMIFS('Costing'!$P$9:$P$492,'Costing'!$A$9:$A$492,"MAIN-031"))</x:f>
        <x:v>30000</x:v>
      </x:c>
      <x:c r="M32" s="17" t="n">
        <x:f>ROUND(L32*'Costing'!$C$4,2)</x:f>
        <x:v>5400</x:v>
      </x:c>
      <x:c r="N32" s="17" t="n">
        <x:f>L32+M32</x:f>
        <x:v>35400</x:v>
      </x:c>
      <x:c r="O32" s="12" t="str">
        <x:v>Bengaluru</x:v>
      </x:c>
      <x:c r="P32" s="12" t="str">
        <x:v>CORP-0027</x:v>
      </x:c>
      <x:c r="Q32" s="12" t="str">
        <x:v>Abreco Freight Pvt.Ltd</x:v>
      </x:c>
    </x:row>
    <x:row r="33" ht="48" customHeight="1">
      <x:c r="A33" s="2" t="str">
        <x:v>TEN-78DA4A596A88</x:v>
      </x:c>
      <x:c r="B33" s="12" t="str">
        <x:v>ABS</x:v>
      </x:c>
      <x:c r="C33" s="12" t="str">
        <x:v>Business / brand</x:v>
      </x:c>
      <x:c r="D33" s="12" t="str">
        <x:v>Unresolved</x:v>
      </x:c>
      <x:c r="E33" s="12" t="str">
        <x:v>Business activity not established</x:v>
      </x:c>
      <x:c r="F33" s="12" t="str">
        <x:v>Mixed business audience</x:v>
      </x:c>
      <x:c r="G33" s="12" t="str">
        <x:v>Business activity and company scale are not established from this name.</x:v>
      </x:c>
      <x:c r="H33" s="11" t="n">
        <x:v>1</x:v>
      </x:c>
      <x:c r="I33" s="11" t="n">
        <x:v>2</x:v>
      </x:c>
      <x:c r="J33" s="11" t="n">
        <x:v>2</x:v>
      </x:c>
      <x:c r="K33" s="11" t="n">
        <x:v>0</x:v>
      </x:c>
      <x:c r="L33" s="17" t="n">
        <x:f>SUM(SUMIFS('Costing'!$P$9:$P$492,'Costing'!$A$9:$A$492,"MAIN-413"))</x:f>
        <x:v>80000</x:v>
      </x:c>
      <x:c r="M33" s="17" t="n">
        <x:f>ROUND(L33*'Costing'!$C$4,2)</x:f>
        <x:v>14400</x:v>
      </x:c>
      <x:c r="N33" s="17" t="n">
        <x:f>L33+M33</x:f>
        <x:v>94400</x:v>
      </x:c>
      <x:c r="O33" s="12" t="str">
        <x:v>Pune</x:v>
      </x:c>
      <x:c r="P33" s="12" t="str">
        <x:v>CORP-0409</x:v>
      </x:c>
      <x:c r="Q33" s="12" t="str">
        <x:v>ABS</x:v>
      </x:c>
    </x:row>
    <x:row r="34" ht="48" customHeight="1">
      <x:c r="A34" s="2" t="str">
        <x:v>TEN-EC1837F50F67</x:v>
      </x:c>
      <x:c r="B34" s="12" t="str">
        <x:v>Absolute barbecue</x:v>
      </x:c>
      <x:c r="C34" s="12" t="str">
        <x:v>Business / brand</x:v>
      </x:c>
      <x:c r="D34" s="12" t="str">
        <x:v>Trade, consumer &amp; logistics</x:v>
      </x:c>
      <x:c r="E34" s="12" t="str">
        <x:v>Travel, hospitality, food &amp; beverages</x:v>
      </x:c>
      <x:c r="F34" s="12" t="str">
        <x:v>Mixed business audience</x:v>
      </x:c>
      <x:c r="G34" s="12" t="str">
        <x:v>Established brand or business network; local company scale is not established. Use a mixed-business message.</x:v>
      </x:c>
      <x:c r="H34" s="11" t="n">
        <x:v>1</x:v>
      </x:c>
      <x:c r="I34" s="11" t="n">
        <x:v>1</x:v>
      </x:c>
      <x:c r="J34" s="11" t="n">
        <x:v>1</x:v>
      </x:c>
      <x:c r="K34" s="11" t="n">
        <x:v>0</x:v>
      </x:c>
      <x:c r="L34" s="17" t="n">
        <x:f>SUM(SUMIFS('Costing'!$P$9:$P$492,'Costing'!$A$9:$A$492,"MAIN-390"))</x:f>
        <x:v>15000</x:v>
      </x:c>
      <x:c r="M34" s="17" t="n">
        <x:f>ROUND(L34*'Costing'!$C$4,2)</x:f>
        <x:v>2700</x:v>
      </x:c>
      <x:c r="N34" s="17" t="n">
        <x:f>L34+M34</x:f>
        <x:v>17700</x:v>
      </x:c>
      <x:c r="O34" s="12" t="str">
        <x:v>Pune</x:v>
      </x:c>
      <x:c r="P34" s="12" t="str">
        <x:v>CORP-0386</x:v>
      </x:c>
      <x:c r="Q34" s="12" t="str">
        <x:v>Absolute barbecue</x:v>
      </x:c>
    </x:row>
    <x:row r="35" ht="48" customHeight="1">
      <x:c r="A35" s="2" t="str">
        <x:v>TEN-82B0C843061B</x:v>
      </x:c>
      <x:c r="B35" s="12" t="str">
        <x:v>ABSYZ software consulting pvt ltd</x:v>
      </x:c>
      <x:c r="C35" s="12" t="str">
        <x:v>Business / brand</x:v>
      </x:c>
      <x:c r="D35" s="12" t="str">
        <x:v>IT &amp; digital</x:v>
      </x:c>
      <x:c r="E35" s="12" t="str">
        <x:v>Enterprise software &amp; digital engineering</x:v>
      </x:c>
      <x:c r="F35" s="12" t="str">
        <x:v>Small-scale prospects</x:v>
      </x:c>
      <x:c r="G35" s="12" t="str">
        <x:v>Software or technology-services business; small-scale prospect assumption.</x:v>
      </x:c>
      <x:c r="H35" s="11" t="n">
        <x:v>1</x:v>
      </x:c>
      <x:c r="I35" s="11" t="n">
        <x:v>1</x:v>
      </x:c>
      <x:c r="J35" s="11" t="n">
        <x:v>1</x:v>
      </x:c>
      <x:c r="K35" s="11" t="n">
        <x:v>0</x:v>
      </x:c>
      <x:c r="L35" s="17" t="n">
        <x:f>SUM(SUMIFS('Costing'!$P$9:$P$492,'Costing'!$A$9:$A$492,"MAIN-065"))</x:f>
        <x:v>15000</x:v>
      </x:c>
      <x:c r="M35" s="17" t="n">
        <x:f>ROUND(L35*'Costing'!$C$4,2)</x:f>
        <x:v>2700</x:v>
      </x:c>
      <x:c r="N35" s="17" t="n">
        <x:f>L35+M35</x:f>
        <x:v>17700</x:v>
      </x:c>
      <x:c r="O35" s="12" t="str">
        <x:v>Bengaluru</x:v>
      </x:c>
      <x:c r="P35" s="12" t="str">
        <x:v>CORP-0061</x:v>
      </x:c>
      <x:c r="Q35" s="12" t="str">
        <x:v>ABSYZ software consulting pvt ltd</x:v>
      </x:c>
    </x:row>
    <x:row r="36" ht="48" customHeight="1">
      <x:c r="A36" s="2" t="str">
        <x:v>TEN-7DA7E229D048</x:v>
      </x:c>
      <x:c r="B36" s="12" t="str">
        <x:v>Acads 360</x:v>
      </x:c>
      <x:c r="C36" s="12" t="str">
        <x:v>Business / brand</x:v>
      </x:c>
      <x:c r="D36" s="12" t="str">
        <x:v>Education</x:v>
      </x:c>
      <x:c r="E36" s="12" t="str">
        <x:v>Education, training &amp; childcare</x:v>
      </x:c>
      <x:c r="F36" s="12" t="str">
        <x:v>Small-scale prospects</x:v>
      </x:c>
      <x:c r="G36" s="12" t="str">
        <x:v>Training or education-services business; small-scale prospect assumption.</x:v>
      </x:c>
      <x:c r="H36" s="11" t="n">
        <x:v>1</x:v>
      </x:c>
      <x:c r="I36" s="11" t="n">
        <x:v>8</x:v>
      </x:c>
      <x:c r="J36" s="11" t="n">
        <x:v>8</x:v>
      </x:c>
      <x:c r="K36" s="11" t="n">
        <x:v>0</x:v>
      </x:c>
      <x:c r="L36" s="17" t="n">
        <x:f>SUM(SUMIFS('Costing'!$P$9:$P$492,'Costing'!$A$9:$A$492,"MAIN-215"))</x:f>
        <x:v>120000</x:v>
      </x:c>
      <x:c r="M36" s="17" t="n">
        <x:f>ROUND(L36*'Costing'!$C$4,2)</x:f>
        <x:v>21600</x:v>
      </x:c>
      <x:c r="N36" s="17" t="n">
        <x:f>L36+M36</x:f>
        <x:v>141600</x:v>
      </x:c>
      <x:c r="O36" s="12" t="str">
        <x:v>Hyderabad</x:v>
      </x:c>
      <x:c r="P36" s="12" t="str">
        <x:v>CORP-0211</x:v>
      </x:c>
      <x:c r="Q36" s="12" t="str">
        <x:v>Acads 360</x:v>
      </x:c>
    </x:row>
    <x:row r="37" ht="48" customHeight="1">
      <x:c r="A37" s="2" t="str">
        <x:v>TEN-2A043F714A5D</x:v>
      </x:c>
      <x:c r="B37" s="12" t="str">
        <x:v>Acalvio technlogies</x:v>
      </x:c>
      <x:c r="C37" s="12" t="str">
        <x:v>Business / brand</x:v>
      </x:c>
      <x:c r="D37" s="12" t="str">
        <x:v>IT &amp; digital</x:v>
      </x:c>
      <x:c r="E37" s="12" t="str">
        <x:v>Cybersecurity &amp; cloud infrastructure</x:v>
      </x:c>
      <x:c r="F37" s="12" t="str">
        <x:v>Small-scale prospects</x:v>
      </x:c>
      <x:c r="G37" s="12" t="str">
        <x:v>Software or technology-services business; small-scale prospect assumption.</x:v>
      </x:c>
      <x:c r="H37" s="11" t="n">
        <x:v>1</x:v>
      </x:c>
      <x:c r="I37" s="11" t="n">
        <x:v>2</x:v>
      </x:c>
      <x:c r="J37" s="11" t="n">
        <x:v>2</x:v>
      </x:c>
      <x:c r="K37" s="11" t="n">
        <x:v>0</x:v>
      </x:c>
      <x:c r="L37" s="17" t="n">
        <x:f>SUM(SUMIFS('Costing'!$P$9:$P$492,'Costing'!$A$9:$A$492,"MAIN-022"))</x:f>
        <x:v>30000</x:v>
      </x:c>
      <x:c r="M37" s="17" t="n">
        <x:f>ROUND(L37*'Costing'!$C$4,2)</x:f>
        <x:v>5400</x:v>
      </x:c>
      <x:c r="N37" s="17" t="n">
        <x:f>L37+M37</x:f>
        <x:v>35400</x:v>
      </x:c>
      <x:c r="O37" s="12" t="str">
        <x:v>Bengaluru</x:v>
      </x:c>
      <x:c r="P37" s="12" t="str">
        <x:v>CORP-0018</x:v>
      </x:c>
      <x:c r="Q37" s="12" t="str">
        <x:v>Acalvio technlogies</x:v>
      </x:c>
    </x:row>
    <x:row r="38" ht="48" customHeight="1">
      <x:c r="A38" s="2" t="str">
        <x:v>TEN-C944C0646D46</x:v>
      </x:c>
      <x:c r="B38" s="12" t="str">
        <x:v>Acara Solutions India (Formerly Superior Talent India)</x:v>
      </x:c>
      <x:c r="C38" s="12" t="str">
        <x:v>Business / brand</x:v>
      </x:c>
      <x:c r="D38" s="12" t="str">
        <x:v>Professional services</x:v>
      </x:c>
      <x:c r="E38" s="12" t="str">
        <x:v>Recruitment, HR &amp; staffing</x:v>
      </x:c>
      <x:c r="F38" s="12" t="str">
        <x:v>Mixed business audience</x:v>
      </x:c>
      <x:c r="G38" s="12" t="str">
        <x:v>Established brand or business network; local company scale is not established. Use a mixed-business message.</x:v>
      </x:c>
      <x:c r="H38" s="11" t="n">
        <x:v>1</x:v>
      </x:c>
      <x:c r="I38" s="11" t="n">
        <x:v>1</x:v>
      </x:c>
      <x:c r="J38" s="11" t="n">
        <x:v>1</x:v>
      </x:c>
      <x:c r="K38" s="11" t="n">
        <x:v>0</x:v>
      </x:c>
      <x:c r="L38" s="17" t="n">
        <x:f>SUM(SUMIFS('Costing'!$P$9:$P$492,'Costing'!$A$9:$A$492,"PARTNER-M331"))</x:f>
        <x:v>40000</x:v>
      </x:c>
      <x:c r="M38" s="17" t="n">
        <x:f>ROUND(L38*'Costing'!$C$4,2)</x:f>
        <x:v>7200</x:v>
      </x:c>
      <x:c r="N38" s="17" t="n">
        <x:f>L38+M38</x:f>
        <x:v>47200</x:v>
      </x:c>
      <x:c r="O38" s="12" t="str">
        <x:v>Chennai</x:v>
      </x:c>
      <x:c r="P38" s="12" t="str">
        <x:v>CORP-0745</x:v>
      </x:c>
      <x:c r="Q38" s="12" t="str">
        <x:v>Acara Solutions India (Formerly Superior Talent India)</x:v>
      </x:c>
    </x:row>
    <x:row r="39" ht="48" customHeight="1">
      <x:c r="A39" s="2" t="str">
        <x:v>TEN-F05B963F9327</x:v>
      </x:c>
      <x:c r="B39" s="12" t="str">
        <x:v>Accel IT Services ( A division of Accel Limited)</x:v>
      </x:c>
      <x:c r="C39" s="12" t="str">
        <x:v>Business / brand</x:v>
      </x:c>
      <x:c r="D39" s="12" t="str">
        <x:v>IT &amp; digital</x:v>
      </x:c>
      <x:c r="E39" s="12" t="str">
        <x:v>Enterprise software &amp; digital engineering</x:v>
      </x:c>
      <x:c r="F39" s="12" t="str">
        <x:v>Mixed business audience</x:v>
      </x:c>
      <x:c r="G39" s="12" t="str">
        <x:v>Established brand or business network; local company scale is not established. Use a mixed-business message.</x:v>
      </x:c>
      <x:c r="H39" s="11" t="n">
        <x:v>1</x:v>
      </x:c>
      <x:c r="I39" s="11" t="n">
        <x:v>3</x:v>
      </x:c>
      <x:c r="J39" s="11" t="n">
        <x:v>3</x:v>
      </x:c>
      <x:c r="K39" s="11" t="n">
        <x:v>0</x:v>
      </x:c>
      <x:c r="L39" s="17" t="n">
        <x:f>SUM(SUMIFS('Costing'!$P$9:$P$492,'Costing'!$A$9:$A$492,"MAIN-404"))</x:f>
        <x:v>60000</x:v>
      </x:c>
      <x:c r="M39" s="17" t="n">
        <x:f>ROUND(L39*'Costing'!$C$4,2)</x:f>
        <x:v>10800</x:v>
      </x:c>
      <x:c r="N39" s="17" t="n">
        <x:f>L39+M39</x:f>
        <x:v>70800</x:v>
      </x:c>
      <x:c r="O39" s="12" t="str">
        <x:v>Pune</x:v>
      </x:c>
      <x:c r="P39" s="12" t="str">
        <x:v>CORP-0400</x:v>
      </x:c>
      <x:c r="Q39" s="12" t="str">
        <x:v>Accel IT Services ( A division of Accel Limited)</x:v>
      </x:c>
    </x:row>
    <x:row r="40" ht="48" customHeight="1">
      <x:c r="A40" s="2" t="str">
        <x:v>TEN-D570183BA689</x:v>
      </x:c>
      <x:c r="B40" s="12" t="str">
        <x:v>Accelalpha</x:v>
      </x:c>
      <x:c r="C40" s="12" t="str">
        <x:v>Business / brand</x:v>
      </x:c>
      <x:c r="D40" s="12" t="str">
        <x:v>IT &amp; digital</x:v>
      </x:c>
      <x:c r="E40" s="12" t="str">
        <x:v>Enterprise software &amp; digital engineering</x:v>
      </x:c>
      <x:c r="F40" s="12" t="str">
        <x:v>Mixed business audience</x:v>
      </x:c>
      <x:c r="G40" s="12" t="str">
        <x:v>Established brand or business network; local company scale is not established. Use a mixed-business message.</x:v>
      </x:c>
      <x:c r="H40" s="11" t="n">
        <x:v>5</x:v>
      </x:c>
      <x:c r="I40" s="11" t="n">
        <x:v>5</x:v>
      </x:c>
      <x:c r="J40" s="11" t="n">
        <x:v>5</x:v>
      </x:c>
      <x:c r="K40" s="11" t="n">
        <x:v>0</x:v>
      </x:c>
      <x:c r="L40" s="17" t="n">
        <x:f>SUM(SUMIFS('Costing'!$P$9:$P$492,'Costing'!$A$9:$A$492,"MAIN-250"),SUMIFS('Costing'!$P$9:$P$492,'Costing'!$A$9:$A$492,"PARTNER-M056"))</x:f>
        <x:v>175000</x:v>
      </x:c>
      <x:c r="M40" s="17" t="n">
        <x:f>ROUND(L40*'Costing'!$C$4,2)</x:f>
        <x:v>31500</x:v>
      </x:c>
      <x:c r="N40" s="17" t="n">
        <x:f>L40+M40</x:f>
        <x:v>206500</x:v>
      </x:c>
      <x:c r="O40" s="12" t="str">
        <x:v>Hyderabad, Bengaluru</x:v>
      </x:c>
      <x:c r="P40" s="12" t="str">
        <x:v>CORP-0246, CORP-0474, CORP-0475, CORP-0476, CORP-0477</x:v>
      </x:c>
      <x:c r="Q40" s="12" t="str">
        <x:v>Accelalpha</x:v>
      </x:c>
    </x:row>
    <x:row r="41" ht="48" customHeight="1">
      <x:c r="A41" s="2" t="str">
        <x:v>TEN-BDC65A4AB4C4</x:v>
      </x:c>
      <x:c r="B41" s="12" t="str">
        <x:v>acceldata</x:v>
      </x:c>
      <x:c r="C41" s="12" t="str">
        <x:v>Business / brand</x:v>
      </x:c>
      <x:c r="D41" s="12" t="str">
        <x:v>IT &amp; digital</x:v>
      </x:c>
      <x:c r="E41" s="12" t="str">
        <x:v>AI, data &amp; analytics</x:v>
      </x:c>
      <x:c r="F41" s="12" t="str">
        <x:v>Small-scale prospects</x:v>
      </x:c>
      <x:c r="G41" s="12" t="str">
        <x:v>Software or technology-services business; small-scale prospect assumption.</x:v>
      </x:c>
      <x:c r="H41" s="11" t="n">
        <x:v>1</x:v>
      </x:c>
      <x:c r="I41" s="11" t="n">
        <x:v>1</x:v>
      </x:c>
      <x:c r="J41" s="11" t="n">
        <x:v>1</x:v>
      </x:c>
      <x:c r="K41" s="11" t="n">
        <x:v>0</x:v>
      </x:c>
      <x:c r="L41" s="17" t="n">
        <x:f>SUM(SUMIFS('Costing'!$P$9:$P$492,'Costing'!$A$9:$A$492,"MAIN-104"))</x:f>
        <x:v>15000</x:v>
      </x:c>
      <x:c r="M41" s="17" t="n">
        <x:f>ROUND(L41*'Costing'!$C$4,2)</x:f>
        <x:v>2700</x:v>
      </x:c>
      <x:c r="N41" s="17" t="n">
        <x:f>L41+M41</x:f>
        <x:v>17700</x:v>
      </x:c>
      <x:c r="O41" s="12" t="str">
        <x:v>Bengaluru</x:v>
      </x:c>
      <x:c r="P41" s="12" t="str">
        <x:v>CORP-0100</x:v>
      </x:c>
      <x:c r="Q41" s="12" t="str">
        <x:v>acceldata</x:v>
      </x:c>
    </x:row>
    <x:row r="42" ht="48" customHeight="1">
      <x:c r="A42" s="2" t="str">
        <x:v>TEN-EAE5AC232E0F</x:v>
      </x:c>
      <x:c r="B42" s="12" t="str">
        <x:v>Accelerite</x:v>
      </x:c>
      <x:c r="C42" s="12" t="str">
        <x:v>Business / brand</x:v>
      </x:c>
      <x:c r="D42" s="12" t="str">
        <x:v>IT &amp; digital</x:v>
      </x:c>
      <x:c r="E42" s="12" t="str">
        <x:v>Enterprise software &amp; digital engineering</x:v>
      </x:c>
      <x:c r="F42" s="12" t="str">
        <x:v>Mixed business audience</x:v>
      </x:c>
      <x:c r="G42" s="12" t="str">
        <x:v>Established brand or business network; local company scale is not established. Use a mixed-business message.</x:v>
      </x:c>
      <x:c r="H42" s="11" t="n">
        <x:v>8</x:v>
      </x:c>
      <x:c r="I42" s="11" t="n">
        <x:v>8</x:v>
      </x:c>
      <x:c r="J42" s="11" t="n">
        <x:v>8</x:v>
      </x:c>
      <x:c r="K42" s="11" t="n">
        <x:v>0</x:v>
      </x:c>
      <x:c r="L42" s="17" t="n">
        <x:f>SUM(SUMIFS('Costing'!$P$9:$P$492,'Costing'!$A$9:$A$492,"PARTNER-M300"))</x:f>
        <x:v>320000</x:v>
      </x:c>
      <x:c r="M42" s="17" t="n">
        <x:f>ROUND(L42*'Costing'!$C$4,2)</x:f>
        <x:v>57600</x:v>
      </x:c>
      <x:c r="N42" s="17" t="n">
        <x:f>L42+M42</x:f>
        <x:v>377600</x:v>
      </x:c>
      <x:c r="O42" s="12" t="str">
        <x:v>Hyderabad</x:v>
      </x:c>
      <x:c r="P42" s="12" t="str">
        <x:v>CORP-0715, CORP-0716, CORP-0717, CORP-0718, CORP-0719, CORP-0720, CORP-0721, CORP-0722</x:v>
      </x:c>
      <x:c r="Q42" s="12" t="str">
        <x:v>Accelerite</x:v>
      </x:c>
    </x:row>
    <x:row r="43" ht="75" customHeight="1">
      <x:c r="A43" s="2" t="str">
        <x:v>TEN-4D748EBD71AF</x:v>
      </x:c>
      <x:c r="B43" s="12" t="str">
        <x:v>Accenture</x:v>
      </x:c>
      <x:c r="C43" s="12" t="str">
        <x:v>Business / brand</x:v>
      </x:c>
      <x:c r="D43" s="12" t="str">
        <x:v>IT &amp; digital</x:v>
      </x:c>
      <x:c r="E43" s="12" t="str">
        <x:v>Technology services — specialty unverified</x:v>
      </x:c>
      <x:c r="F43" s="12" t="str">
        <x:v>Large enterprise</x:v>
      </x:c>
      <x:c r="G43" s="12" t="str">
        <x:v>Official FY2026 fact sheet reports roughly 799,000 people and global operations.</x:v>
      </x:c>
      <x:c r="H43" s="11" t="n">
        <x:v>24</x:v>
      </x:c>
      <x:c r="I43" s="11" t="n">
        <x:v>45</x:v>
      </x:c>
      <x:c r="J43" s="11" t="n">
        <x:v>45</x:v>
      </x:c>
      <x:c r="K43" s="11" t="n">
        <x:v>0</x:v>
      </x:c>
      <x:c r="L43" s="17" t="n">
        <x:f>SUM(SUMIFS('Costing'!$P$9:$P$492,'Costing'!$A$9:$A$492,"MAIN-046"),SUMIFS('Costing'!$P$9:$P$492,'Costing'!$A$9:$A$492,"MAIN-047"),SUMIFS('Costing'!$P$9:$P$492,'Costing'!$A$9:$A$492,"MAIN-337"),SUMIFS('Costing'!$P$9:$P$492,'Costing'!$A$9:$A$492,"MAIN-338"),SUMIFS('Costing'!$P$9:$P$492,'Costing'!$A$9:$A$492,"MAIN-345"),SUMIFS('Costing'!$P$9:$P$492,'Costing'!$A$9:$A$492,"MAIN-346"),SUMIFS('Costing'!$P$9:$P$492,'Costing'!$A$9:$A$492,"PARTNER-M120"),SUMIFS('Costing'!$P$9:$P$492,'Costing'!$A$9:$A$492,"PARTNER-M300"))</x:f>
        <x:v>1490000</x:v>
      </x:c>
      <x:c r="M43" s="17" t="n">
        <x:f>ROUND(L43*'Costing'!$C$4,2)</x:f>
        <x:v>268200</x:v>
      </x:c>
      <x:c r="N43" s="17" t="n">
        <x:f>L43+M43</x:f>
        <x:v>1758200</x:v>
      </x:c>
      <x:c r="O43" s="12" t="str">
        <x:v>Bengaluru, Mumbai, Hyderabad</x:v>
      </x:c>
      <x:c r="P43" s="12" t="str">
        <x:v>CORP-0042, CORP-0043, CORP-0333, CORP-0334, CORP-0341, CORP-0342, CORP-0538, CORP-0539, CORP-0540, CORP-0541, CORP-0542, CORP-0543, CORP-0544, CORP-0545, CORP-0546, CORP-0547, CORP-0715, CORP-0716, CORP-0717, CORP-0718, CORP-0719, CORP-0720, CORP-0721, CORP-0722</x:v>
      </x:c>
      <x:c r="Q43" s="12" t="str">
        <x:v>Accenture</x:v>
      </x:c>
    </x:row>
    <x:row r="44" ht="48" customHeight="1">
      <x:c r="A44" s="2" t="str">
        <x:v>TEN-68D85C0A07A9</x:v>
      </x:c>
      <x:c r="B44" s="12" t="str">
        <x:v>Access Healthcare</x:v>
      </x:c>
      <x:c r="C44" s="12" t="str">
        <x:v>Business / brand</x:v>
      </x:c>
      <x:c r="D44" s="12" t="str">
        <x:v>Healthcare &amp; life sciences</x:v>
      </x:c>
      <x:c r="E44" s="12" t="str">
        <x:v>Clinical, medical &amp; diagnostic services</x:v>
      </x:c>
      <x:c r="F44" s="12" t="str">
        <x:v>Mixed business audience</x:v>
      </x:c>
      <x:c r="G44" s="12" t="str">
        <x:v>Established brand or business network; local company scale is not established. Use a mixed-business message.</x:v>
      </x:c>
      <x:c r="H44" s="11" t="n">
        <x:v>3</x:v>
      </x:c>
      <x:c r="I44" s="11" t="n">
        <x:v>3</x:v>
      </x:c>
      <x:c r="J44" s="11" t="n">
        <x:v>3</x:v>
      </x:c>
      <x:c r="K44" s="11" t="n">
        <x:v>0</x:v>
      </x:c>
      <x:c r="L44" s="17" t="n">
        <x:f>SUM(SUMIFS('Costing'!$P$9:$P$492,'Costing'!$A$9:$A$492,"PARTNER-M349"),SUMIFS('Costing'!$P$9:$P$492,'Costing'!$A$9:$A$492,"PARTNER-M350"))</x:f>
        <x:v>120000</x:v>
      </x:c>
      <x:c r="M44" s="17" t="n">
        <x:f>ROUND(L44*'Costing'!$C$4,2)</x:f>
        <x:v>21600</x:v>
      </x:c>
      <x:c r="N44" s="17" t="n">
        <x:f>L44+M44</x:f>
        <x:v>141600</x:v>
      </x:c>
      <x:c r="O44" s="12" t="str">
        <x:v>Chennai</x:v>
      </x:c>
      <x:c r="P44" s="12" t="str">
        <x:v>CORP-0763, CORP-0764, CORP-0765</x:v>
      </x:c>
      <x:c r="Q44" s="12" t="str">
        <x:v>Access Healthcare</x:v>
      </x:c>
    </x:row>
    <x:row r="45" ht="48" customHeight="1">
      <x:c r="A45" s="2" t="str">
        <x:v>TEN-5287C35B15B1</x:v>
      </x:c>
      <x:c r="B45" s="12" t="str">
        <x:v>Accleco</x:v>
      </x:c>
      <x:c r="C45" s="12" t="str">
        <x:v>Business / brand</x:v>
      </x:c>
      <x:c r="D45" s="12" t="str">
        <x:v>Professional services</x:v>
      </x:c>
      <x:c r="E45" s="12" t="str">
        <x:v>Professional services — specialty unverified</x:v>
      </x:c>
      <x:c r="F45" s="12" t="str">
        <x:v>Small-scale prospects</x:v>
      </x:c>
      <x:c r="G45" s="12" t="str">
        <x:v>Professional service, agency or advisory model; small-scale prospect assumption.</x:v>
      </x:c>
      <x:c r="H45" s="11" t="n">
        <x:v>2</x:v>
      </x:c>
      <x:c r="I45" s="11" t="n">
        <x:v>2</x:v>
      </x:c>
      <x:c r="J45" s="11" t="n">
        <x:v>2</x:v>
      </x:c>
      <x:c r="K45" s="11" t="n">
        <x:v>0</x:v>
      </x:c>
      <x:c r="L45" s="17" t="n">
        <x:f>SUM(SUMIFS('Costing'!$P$9:$P$492,'Costing'!$A$9:$A$492,"MAIN-405"),SUMIFS('Costing'!$P$9:$P$492,'Costing'!$A$9:$A$492,"MAIN-406"))</x:f>
        <x:v>30000</x:v>
      </x:c>
      <x:c r="M45" s="17" t="n">
        <x:f>ROUND(L45*'Costing'!$C$4,2)</x:f>
        <x:v>5400</x:v>
      </x:c>
      <x:c r="N45" s="17" t="n">
        <x:f>L45+M45</x:f>
        <x:v>35400</x:v>
      </x:c>
      <x:c r="O45" s="12" t="str">
        <x:v>Pune</x:v>
      </x:c>
      <x:c r="P45" s="12" t="str">
        <x:v>CORP-0401, CORP-0402</x:v>
      </x:c>
      <x:c r="Q45" s="12" t="str">
        <x:v>Accleco</x:v>
      </x:c>
    </x:row>
    <x:row r="46" ht="48" customHeight="1">
      <x:c r="A46" s="2" t="str">
        <x:v>TEN-57F46E8C661D</x:v>
      </x:c>
      <x:c r="B46" s="12" t="str">
        <x:v>Accode Software Pvt Ltd</x:v>
      </x:c>
      <x:c r="C46" s="12" t="str">
        <x:v>Business / brand</x:v>
      </x:c>
      <x:c r="D46" s="12" t="str">
        <x:v>IT &amp; digital</x:v>
      </x:c>
      <x:c r="E46" s="12" t="str">
        <x:v>Enterprise software &amp; digital engineering</x:v>
      </x:c>
      <x:c r="F46" s="12" t="str">
        <x:v>Small-scale prospects</x:v>
      </x:c>
      <x:c r="G46" s="12" t="str">
        <x:v>Software or technology-services business; small-scale prospect assumption.</x:v>
      </x:c>
      <x:c r="H46" s="11" t="n">
        <x:v>1</x:v>
      </x:c>
      <x:c r="I46" s="11" t="n">
        <x:v>5</x:v>
      </x:c>
      <x:c r="J46" s="11" t="n">
        <x:v>5</x:v>
      </x:c>
      <x:c r="K46" s="11" t="n">
        <x:v>0</x:v>
      </x:c>
      <x:c r="L46" s="17" t="n">
        <x:f>SUM(SUMIFS('Costing'!$P$9:$P$492,'Costing'!$A$9:$A$492,"MAIN-119"))</x:f>
        <x:v>125000</x:v>
      </x:c>
      <x:c r="M46" s="17" t="n">
        <x:f>ROUND(L46*'Costing'!$C$4,2)</x:f>
        <x:v>22500</x:v>
      </x:c>
      <x:c r="N46" s="17" t="n">
        <x:f>L46+M46</x:f>
        <x:v>147500</x:v>
      </x:c>
      <x:c r="O46" s="12" t="str">
        <x:v>Bengaluru</x:v>
      </x:c>
      <x:c r="P46" s="12" t="str">
        <x:v>CORP-0115</x:v>
      </x:c>
      <x:c r="Q46" s="12" t="str">
        <x:v>Accode Software Pvt Ltd</x:v>
      </x:c>
    </x:row>
    <x:row r="47" ht="48" customHeight="1">
      <x:c r="A47" s="2" t="str">
        <x:v>TEN-434AF73F01EE</x:v>
      </x:c>
      <x:c r="B47" s="12" t="str">
        <x:v>Accolite Software</x:v>
      </x:c>
      <x:c r="C47" s="12" t="str">
        <x:v>Business / brand</x:v>
      </x:c>
      <x:c r="D47" s="12" t="str">
        <x:v>IT &amp; digital</x:v>
      </x:c>
      <x:c r="E47" s="12" t="str">
        <x:v>Enterprise software &amp; digital engineering</x:v>
      </x:c>
      <x:c r="F47" s="12" t="str">
        <x:v>Mixed business audience</x:v>
      </x:c>
      <x:c r="G47" s="12" t="str">
        <x:v>Established brand or business network; local company scale is not established. Use a mixed-business message.</x:v>
      </x:c>
      <x:c r="H47" s="11" t="n">
        <x:v>6</x:v>
      </x:c>
      <x:c r="I47" s="11" t="n">
        <x:v>6</x:v>
      </x:c>
      <x:c r="J47" s="11" t="n">
        <x:v>6</x:v>
      </x:c>
      <x:c r="K47" s="11" t="n">
        <x:v>0</x:v>
      </x:c>
      <x:c r="L47" s="17" t="n">
        <x:f>SUM(SUMIFS('Costing'!$P$9:$P$492,'Costing'!$A$9:$A$492,"PARTNER-M072"))</x:f>
        <x:v>240000</x:v>
      </x:c>
      <x:c r="M47" s="17" t="n">
        <x:f>ROUND(L47*'Costing'!$C$4,2)</x:f>
        <x:v>43200</x:v>
      </x:c>
      <x:c r="N47" s="17" t="n">
        <x:f>L47+M47</x:f>
        <x:v>283200</x:v>
      </x:c>
      <x:c r="O47" s="12" t="str">
        <x:v>Bengaluru</x:v>
      </x:c>
      <x:c r="P47" s="12" t="str">
        <x:v>CORP-0490, CORP-0491, CORP-0492, CORP-0493, CORP-0494, CORP-0495</x:v>
      </x:c>
      <x:c r="Q47" s="12" t="str">
        <x:v>Accolite Software</x:v>
      </x:c>
    </x:row>
    <x:row r="48" ht="48" customHeight="1">
      <x:c r="A48" s="2" t="str">
        <x:v>TEN-4F2219C6EF6C</x:v>
      </x:c>
      <x:c r="B48" s="12" t="str">
        <x:v>Accor Plus- Gurgaon office</x:v>
      </x:c>
      <x:c r="C48" s="12" t="str">
        <x:v>Business / brand</x:v>
      </x:c>
      <x:c r="D48" s="12" t="str">
        <x:v>Trade, consumer &amp; logistics</x:v>
      </x:c>
      <x:c r="E48" s="12" t="str">
        <x:v>Travel, hospitality, food &amp; beverages</x:v>
      </x:c>
      <x:c r="F48" s="12" t="str">
        <x:v>Mixed business audience</x:v>
      </x:c>
      <x:c r="G48" s="12" t="str">
        <x:v>Recognisable business context; company-scale evidence remains insufficient for a single size band.</x:v>
      </x:c>
      <x:c r="H48" s="11" t="n">
        <x:v>1</x:v>
      </x:c>
      <x:c r="I48" s="11" t="n">
        <x:v>4</x:v>
      </x:c>
      <x:c r="J48" s="11" t="n">
        <x:v>4</x:v>
      </x:c>
      <x:c r="K48" s="11" t="n">
        <x:v>0</x:v>
      </x:c>
      <x:c r="L48" s="17" t="n">
        <x:f>SUM(SUMIFS('Costing'!$P$9:$P$492,'Costing'!$A$9:$A$492,"MAIN-204"))</x:f>
        <x:v>160000</x:v>
      </x:c>
      <x:c r="M48" s="17" t="n">
        <x:f>ROUND(L48*'Costing'!$C$4,2)</x:f>
        <x:v>28800</x:v>
      </x:c>
      <x:c r="N48" s="17" t="n">
        <x:f>L48+M48</x:f>
        <x:v>188800</x:v>
      </x:c>
      <x:c r="O48" s="12" t="str">
        <x:v>Delhi NCR</x:v>
      </x:c>
      <x:c r="P48" s="12" t="str">
        <x:v>CORP-0200</x:v>
      </x:c>
      <x:c r="Q48" s="12" t="str">
        <x:v>Accor Plus- Gurgaon office</x:v>
      </x:c>
    </x:row>
    <x:row r="49" ht="48" customHeight="1">
      <x:c r="A49" s="2" t="str">
        <x:v>TEN-85B7E717ED99</x:v>
      </x:c>
      <x:c r="B49" s="12" t="str">
        <x:v>AccountabilIT GDC India Pvt. Ltd</x:v>
      </x:c>
      <x:c r="C49" s="12" t="str">
        <x:v>Business / brand</x:v>
      </x:c>
      <x:c r="D49" s="12" t="str">
        <x:v>IT &amp; digital</x:v>
      </x:c>
      <x:c r="E49" s="12" t="str">
        <x:v>Enterprise software &amp; digital engineering</x:v>
      </x:c>
      <x:c r="F49" s="12" t="str">
        <x:v>Small-scale prospects</x:v>
      </x:c>
      <x:c r="G49" s="12" t="str">
        <x:v>Software or technology-services business; small-scale prospect assumption.</x:v>
      </x:c>
      <x:c r="H49" s="11" t="n">
        <x:v>1</x:v>
      </x:c>
      <x:c r="I49" s="11" t="n">
        <x:v>1</x:v>
      </x:c>
      <x:c r="J49" s="11" t="n">
        <x:v>1</x:v>
      </x:c>
      <x:c r="K49" s="11" t="n">
        <x:v>0</x:v>
      </x:c>
      <x:c r="L49" s="17" t="n">
        <x:f>SUM(SUMIFS('Costing'!$P$9:$P$492,'Costing'!$A$9:$A$492,"MAIN-208"))</x:f>
        <x:v>40000</x:v>
      </x:c>
      <x:c r="M49" s="17" t="n">
        <x:f>ROUND(L49*'Costing'!$C$4,2)</x:f>
        <x:v>7200</x:v>
      </x:c>
      <x:c r="N49" s="17" t="n">
        <x:f>L49+M49</x:f>
        <x:v>47200</x:v>
      </x:c>
      <x:c r="O49" s="12" t="str">
        <x:v>Delhi NCR</x:v>
      </x:c>
      <x:c r="P49" s="12" t="str">
        <x:v>CORP-0204</x:v>
      </x:c>
      <x:c r="Q49" s="12" t="str">
        <x:v>AccountabilIT GDC India Pvt. Ltd</x:v>
      </x:c>
    </x:row>
    <x:row r="50" ht="48" customHeight="1">
      <x:c r="A50" s="2" t="str">
        <x:v>TEN-A0342370923A</x:v>
      </x:c>
      <x:c r="B50" s="12" t="str">
        <x:v>Accretion Aviation</x:v>
      </x:c>
      <x:c r="C50" s="12" t="str">
        <x:v>Business / brand</x:v>
      </x:c>
      <x:c r="D50" s="12" t="str">
        <x:v>Trade, consumer &amp; logistics</x:v>
      </x:c>
      <x:c r="E50" s="12" t="str">
        <x:v>Travel, hospitality, food &amp; beverages</x:v>
      </x:c>
      <x:c r="F50" s="12" t="str">
        <x:v>Small-scale prospects</x:v>
      </x:c>
      <x:c r="G50" s="12" t="str">
        <x:v>Trading or consumer-services business; small-scale prospect assumption.</x:v>
      </x:c>
      <x:c r="H50" s="11" t="n">
        <x:v>1</x:v>
      </x:c>
      <x:c r="I50" s="11" t="n">
        <x:v>1</x:v>
      </x:c>
      <x:c r="J50" s="11" t="n">
        <x:v>1</x:v>
      </x:c>
      <x:c r="K50" s="11" t="n">
        <x:v>0</x:v>
      </x:c>
      <x:c r="L50" s="17" t="n">
        <x:f>SUM(SUMIFS('Costing'!$P$9:$P$492,'Costing'!$A$9:$A$492,"MAIN-272"))</x:f>
        <x:v>20000</x:v>
      </x:c>
      <x:c r="M50" s="17" t="n">
        <x:f>ROUND(L50*'Costing'!$C$4,2)</x:f>
        <x:v>3600</x:v>
      </x:c>
      <x:c r="N50" s="17" t="n">
        <x:f>L50+M50</x:f>
        <x:v>23600</x:v>
      </x:c>
      <x:c r="O50" s="12" t="str">
        <x:v>Indore</x:v>
      </x:c>
      <x:c r="P50" s="12" t="str">
        <x:v>CORP-0268</x:v>
      </x:c>
      <x:c r="Q50" s="12" t="str">
        <x:v>Accretion Aviation</x:v>
      </x:c>
    </x:row>
    <x:row r="51" ht="48" customHeight="1">
      <x:c r="A51" s="2" t="str">
        <x:v>TEN-C66D09431C09</x:v>
      </x:c>
      <x:c r="B51" s="12" t="str">
        <x:v>Accume</x:v>
      </x:c>
      <x:c r="C51" s="12" t="str">
        <x:v>Business / brand</x:v>
      </x:c>
      <x:c r="D51" s="12" t="str">
        <x:v>Unresolved</x:v>
      </x:c>
      <x:c r="E51" s="12" t="str">
        <x:v>Business activity not established</x:v>
      </x:c>
      <x:c r="F51" s="12" t="str">
        <x:v>Mixed business audience</x:v>
      </x:c>
      <x:c r="G51" s="12" t="str">
        <x:v>Business activity and company scale are not established from this name.</x:v>
      </x:c>
      <x:c r="H51" s="11" t="n">
        <x:v>1</x:v>
      </x:c>
      <x:c r="I51" s="11" t="n">
        <x:v>2</x:v>
      </x:c>
      <x:c r="J51" s="11" t="n">
        <x:v>2</x:v>
      </x:c>
      <x:c r="K51" s="11" t="n">
        <x:v>0</x:v>
      </x:c>
      <x:c r="L51" s="17" t="n">
        <x:f>SUM(SUMIFS('Costing'!$P$9:$P$492,'Costing'!$A$9:$A$492,"MAIN-268"))</x:f>
        <x:v>80000</x:v>
      </x:c>
      <x:c r="M51" s="17" t="n">
        <x:f>ROUND(L51*'Costing'!$C$4,2)</x:f>
        <x:v>14400</x:v>
      </x:c>
      <x:c r="N51" s="17" t="n">
        <x:f>L51+M51</x:f>
        <x:v>94400</x:v>
      </x:c>
      <x:c r="O51" s="12" t="str">
        <x:v>Indore</x:v>
      </x:c>
      <x:c r="P51" s="12" t="str">
        <x:v>CORP-0264</x:v>
      </x:c>
      <x:c r="Q51" s="12" t="str">
        <x:v>Accume</x:v>
      </x:c>
    </x:row>
    <x:row r="52" ht="48" customHeight="1">
      <x:c r="A52" s="2" t="str">
        <x:v>TEN-8FCBA0633921</x:v>
      </x:c>
      <x:c r="B52" s="12" t="str">
        <x:v>ACE E-Service Pvt Ltd</x:v>
      </x:c>
      <x:c r="C52" s="12" t="str">
        <x:v>Business / brand</x:v>
      </x:c>
      <x:c r="D52" s="12" t="str">
        <x:v>IT &amp; digital</x:v>
      </x:c>
      <x:c r="E52" s="12" t="str">
        <x:v>Business process &amp; customer operations</x:v>
      </x:c>
      <x:c r="F52" s="12" t="str">
        <x:v>Small-scale prospects</x:v>
      </x:c>
      <x:c r="G52" s="12" t="str">
        <x:v>Software or technology-services business; small-scale prospect assumption.</x:v>
      </x:c>
      <x:c r="H52" s="11" t="n">
        <x:v>3</x:v>
      </x:c>
      <x:c r="I52" s="11" t="n">
        <x:v>3</x:v>
      </x:c>
      <x:c r="J52" s="11" t="n">
        <x:v>3</x:v>
      </x:c>
      <x:c r="K52" s="11" t="n">
        <x:v>0</x:v>
      </x:c>
      <x:c r="L52" s="17" t="n">
        <x:f>SUM(SUMIFS('Costing'!$P$9:$P$492,'Costing'!$A$9:$A$492,"PARTNER-M185"))</x:f>
        <x:v>120000</x:v>
      </x:c>
      <x:c r="M52" s="17" t="n">
        <x:f>ROUND(L52*'Costing'!$C$4,2)</x:f>
        <x:v>21600</x:v>
      </x:c>
      <x:c r="N52" s="17" t="n">
        <x:f>L52+M52</x:f>
        <x:v>141600</x:v>
      </x:c>
      <x:c r="O52" s="12" t="str">
        <x:v>Mumbai</x:v>
      </x:c>
      <x:c r="P52" s="12" t="str">
        <x:v>CORP-0602, CORP-0603, CORP-0604</x:v>
      </x:c>
      <x:c r="Q52" s="12" t="str">
        <x:v>ACE E-Service Pvt Ltd</x:v>
      </x:c>
    </x:row>
    <x:row r="53" ht="48" customHeight="1">
      <x:c r="A53" s="2" t="str">
        <x:v>TEN-D50C629E9CEF</x:v>
      </x:c>
      <x:c r="B53" s="12" t="str">
        <x:v>Ace Logic Business Solutions</x:v>
      </x:c>
      <x:c r="C53" s="12" t="str">
        <x:v>Business / brand</x:v>
      </x:c>
      <x:c r="D53" s="12" t="str">
        <x:v>Professional services</x:v>
      </x:c>
      <x:c r="E53" s="12" t="str">
        <x:v>Marketing, media &amp; research services</x:v>
      </x:c>
      <x:c r="F53" s="12" t="str">
        <x:v>Small-scale prospects</x:v>
      </x:c>
      <x:c r="G53" s="12" t="str">
        <x:v>Professional service, agency or advisory model; small-scale prospect assumption.</x:v>
      </x:c>
      <x:c r="H53" s="11" t="n">
        <x:v>1</x:v>
      </x:c>
      <x:c r="I53" s="11" t="n">
        <x:v>1</x:v>
      </x:c>
      <x:c r="J53" s="11" t="n">
        <x:v>1</x:v>
      </x:c>
      <x:c r="K53" s="11" t="n">
        <x:v>0</x:v>
      </x:c>
      <x:c r="L53" s="17" t="n">
        <x:f>SUM(SUMIFS('Costing'!$P$9:$P$492,'Costing'!$A$9:$A$492,"MAIN-348"))</x:f>
        <x:v>15000</x:v>
      </x:c>
      <x:c r="M53" s="17" t="n">
        <x:f>ROUND(L53*'Costing'!$C$4,2)</x:f>
        <x:v>2700</x:v>
      </x:c>
      <x:c r="N53" s="17" t="n">
        <x:f>L53+M53</x:f>
        <x:v>17700</x:v>
      </x:c>
      <x:c r="O53" s="12" t="str">
        <x:v>Mumbai</x:v>
      </x:c>
      <x:c r="P53" s="12" t="str">
        <x:v>CORP-0344</x:v>
      </x:c>
      <x:c r="Q53" s="12" t="str">
        <x:v>Ace Logic Business Solutions</x:v>
      </x:c>
    </x:row>
    <x:row r="54" ht="48" customHeight="1">
      <x:c r="A54" s="2" t="str">
        <x:v>TEN-CD777AFE8002</x:v>
      </x:c>
      <x:c r="B54" s="12" t="str">
        <x:v>Ace technologies grp</x:v>
      </x:c>
      <x:c r="C54" s="12" t="str">
        <x:v>Business / brand</x:v>
      </x:c>
      <x:c r="D54" s="12" t="str">
        <x:v>Unresolved</x:v>
      </x:c>
      <x:c r="E54" s="12" t="str">
        <x:v>Business activity not established</x:v>
      </x:c>
      <x:c r="F54" s="12" t="str">
        <x:v>Mixed business audience</x:v>
      </x:c>
      <x:c r="G54" s="12" t="str">
        <x:v>Business activity and company scale are not established from this name.</x:v>
      </x:c>
      <x:c r="H54" s="11" t="n">
        <x:v>1</x:v>
      </x:c>
      <x:c r="I54" s="11" t="n">
        <x:v>39</x:v>
      </x:c>
      <x:c r="J54" s="11" t="n">
        <x:v>39</x:v>
      </x:c>
      <x:c r="K54" s="11" t="n">
        <x:v>0</x:v>
      </x:c>
      <x:c r="L54" s="17" t="n">
        <x:f>SUM(SUMIFS('Costing'!$P$9:$P$492,'Costing'!$A$9:$A$492,"MAIN-351"))</x:f>
        <x:v>585000</x:v>
      </x:c>
      <x:c r="M54" s="17" t="n">
        <x:f>ROUND(L54*'Costing'!$C$4,2)</x:f>
        <x:v>105300</x:v>
      </x:c>
      <x:c r="N54" s="17" t="n">
        <x:f>L54+M54</x:f>
        <x:v>690300</x:v>
      </x:c>
      <x:c r="O54" s="12" t="str">
        <x:v>Mumbai</x:v>
      </x:c>
      <x:c r="P54" s="12" t="str">
        <x:v>CORP-0347</x:v>
      </x:c>
      <x:c r="Q54" s="12" t="str">
        <x:v>Ace technologies grp</x:v>
      </x:c>
    </x:row>
    <x:row r="55" ht="48" customHeight="1">
      <x:c r="A55" s="2" t="str">
        <x:v>TEN-88E49CC6261B</x:v>
      </x:c>
      <x:c r="B55" s="12" t="str">
        <x:v>Aceis Services</x:v>
      </x:c>
      <x:c r="C55" s="12" t="str">
        <x:v>Business / brand</x:v>
      </x:c>
      <x:c r="D55" s="12" t="str">
        <x:v>Unresolved</x:v>
      </x:c>
      <x:c r="E55" s="12" t="str">
        <x:v>Business activity not established</x:v>
      </x:c>
      <x:c r="F55" s="12" t="str">
        <x:v>Mixed business audience</x:v>
      </x:c>
      <x:c r="G55" s="12" t="str">
        <x:v>Business activity and company scale are not established from this name.</x:v>
      </x:c>
      <x:c r="H55" s="11" t="n">
        <x:v>5</x:v>
      </x:c>
      <x:c r="I55" s="11" t="n">
        <x:v>5</x:v>
      </x:c>
      <x:c r="J55" s="11" t="n">
        <x:v>5</x:v>
      </x:c>
      <x:c r="K55" s="11" t="n">
        <x:v>0</x:v>
      </x:c>
      <x:c r="L55" s="17" t="n">
        <x:f>SUM(SUMIFS('Costing'!$P$9:$P$492,'Costing'!$A$9:$A$492,"PARTNER-M277"))</x:f>
        <x:v>200000</x:v>
      </x:c>
      <x:c r="M55" s="17" t="n">
        <x:f>ROUND(L55*'Costing'!$C$4,2)</x:f>
        <x:v>36000</x:v>
      </x:c>
      <x:c r="N55" s="17" t="n">
        <x:f>L55+M55</x:f>
        <x:v>236000</x:v>
      </x:c>
      <x:c r="O55" s="12" t="str">
        <x:v>Pune</x:v>
      </x:c>
      <x:c r="P55" s="12" t="str">
        <x:v>CORP-0693, CORP-0694, CORP-0695, CORP-0696, CORP-0697</x:v>
      </x:c>
      <x:c r="Q55" s="12" t="str">
        <x:v>Aceis Services</x:v>
      </x:c>
    </x:row>
    <x:row r="56" ht="48" customHeight="1">
      <x:c r="A56" s="2" t="str">
        <x:v>TEN-4C139C225475</x:v>
      </x:c>
      <x:c r="B56" s="12" t="str">
        <x:v>Acer India</x:v>
      </x:c>
      <x:c r="C56" s="12" t="str">
        <x:v>Business / brand</x:v>
      </x:c>
      <x:c r="D56" s="12" t="str">
        <x:v>Engineering &amp; manufacturing</x:v>
      </x:c>
      <x:c r="E56" s="12" t="str">
        <x:v>Semiconductors, electronics &amp; equipment</x:v>
      </x:c>
      <x:c r="F56" s="12" t="str">
        <x:v>Mixed business audience</x:v>
      </x:c>
      <x:c r="G56" s="12" t="str">
        <x:v>Established brand or business network; local company scale is not established. Use a mixed-business message.</x:v>
      </x:c>
      <x:c r="H56" s="11" t="n">
        <x:v>1</x:v>
      </x:c>
      <x:c r="I56" s="11" t="n">
        <x:v>4</x:v>
      </x:c>
      <x:c r="J56" s="11" t="n">
        <x:v>4</x:v>
      </x:c>
      <x:c r="K56" s="11" t="n">
        <x:v>0</x:v>
      </x:c>
      <x:c r="L56" s="17" t="n">
        <x:f>SUM(SUMIFS('Costing'!$P$9:$P$492,'Costing'!$A$9:$A$492,"MAIN-291"))</x:f>
        <x:v>160000</x:v>
      </x:c>
      <x:c r="M56" s="17" t="n">
        <x:f>ROUND(L56*'Costing'!$C$4,2)</x:f>
        <x:v>28800</x:v>
      </x:c>
      <x:c r="N56" s="17" t="n">
        <x:f>L56+M56</x:f>
        <x:v>188800</x:v>
      </x:c>
      <x:c r="O56" s="12" t="str">
        <x:v>Lucknow</x:v>
      </x:c>
      <x:c r="P56" s="12" t="str">
        <x:v>CORP-0287</x:v>
      </x:c>
      <x:c r="Q56" s="12" t="str">
        <x:v>Acer India</x:v>
      </x:c>
    </x:row>
    <x:row r="57" ht="48" customHeight="1">
      <x:c r="A57" s="2" t="str">
        <x:v>TEN-F01F46101559</x:v>
      </x:c>
      <x:c r="B57" s="12" t="str">
        <x:v>ACHALARE REALTORS</x:v>
      </x:c>
      <x:c r="C57" s="12" t="str">
        <x:v>Business / brand</x:v>
      </x:c>
      <x:c r="D57" s="12" t="str">
        <x:v>Trade, consumer &amp; logistics</x:v>
      </x:c>
      <x:c r="E57" s="12" t="str">
        <x:v>Real estate, property &amp; construction services</x:v>
      </x:c>
      <x:c r="F57" s="12" t="str">
        <x:v>Small-scale prospects</x:v>
      </x:c>
      <x:c r="G57" s="12" t="str">
        <x:v>Trading or consumer-services business; small-scale prospect assumption.</x:v>
      </x:c>
      <x:c r="H57" s="11" t="n">
        <x:v>2</x:v>
      </x:c>
      <x:c r="I57" s="11" t="n">
        <x:v>2</x:v>
      </x:c>
      <x:c r="J57" s="11" t="n">
        <x:v>2</x:v>
      </x:c>
      <x:c r="K57" s="11" t="n">
        <x:v>0</x:v>
      </x:c>
      <x:c r="L57" s="17" t="n">
        <x:f>SUM(SUMIFS('Costing'!$P$9:$P$492,'Costing'!$A$9:$A$492,"MAIN-405"),SUMIFS('Costing'!$P$9:$P$492,'Costing'!$A$9:$A$492,"MAIN-406"))</x:f>
        <x:v>30000</x:v>
      </x:c>
      <x:c r="M57" s="17" t="n">
        <x:f>ROUND(L57*'Costing'!$C$4,2)</x:f>
        <x:v>5400</x:v>
      </x:c>
      <x:c r="N57" s="17" t="n">
        <x:f>L57+M57</x:f>
        <x:v>35400</x:v>
      </x:c>
      <x:c r="O57" s="12" t="str">
        <x:v>Pune</x:v>
      </x:c>
      <x:c r="P57" s="12" t="str">
        <x:v>CORP-0401, CORP-0402</x:v>
      </x:c>
      <x:c r="Q57" s="12" t="str">
        <x:v>ACHALARE REALTORS</x:v>
      </x:c>
    </x:row>
    <x:row r="58" ht="48" customHeight="1">
      <x:c r="A58" s="2" t="str">
        <x:v>TEN-8174968E6F72</x:v>
      </x:c>
      <x:c r="B58" s="12" t="str">
        <x:v>Achronix</x:v>
      </x:c>
      <x:c r="C58" s="12" t="str">
        <x:v>Business / brand</x:v>
      </x:c>
      <x:c r="D58" s="12" t="str">
        <x:v>Engineering &amp; manufacturing</x:v>
      </x:c>
      <x:c r="E58" s="12" t="str">
        <x:v>Semiconductors, electronics &amp; equipment</x:v>
      </x:c>
      <x:c r="F58" s="12" t="str">
        <x:v>Mixed business audience</x:v>
      </x:c>
      <x:c r="G58" s="12" t="str">
        <x:v>Established brand or business network; local company scale is not established. Use a mixed-business message.</x:v>
      </x:c>
      <x:c r="H58" s="11" t="n">
        <x:v>9</x:v>
      </x:c>
      <x:c r="I58" s="11" t="n">
        <x:v>9</x:v>
      </x:c>
      <x:c r="J58" s="11" t="n">
        <x:v>9</x:v>
      </x:c>
      <x:c r="K58" s="11" t="n">
        <x:v>0</x:v>
      </x:c>
      <x:c r="L58" s="17" t="n">
        <x:f>SUM(SUMIFS('Costing'!$P$9:$P$492,'Costing'!$A$9:$A$492,"PARTNER-M002"))</x:f>
        <x:v>360000</x:v>
      </x:c>
      <x:c r="M58" s="17" t="n">
        <x:f>ROUND(L58*'Costing'!$C$4,2)</x:f>
        <x:v>64800</x:v>
      </x:c>
      <x:c r="N58" s="17" t="n">
        <x:f>L58+M58</x:f>
        <x:v>424800</x:v>
      </x:c>
      <x:c r="O58" s="12" t="str">
        <x:v>Bengaluru</x:v>
      </x:c>
      <x:c r="P58" s="12" t="str">
        <x:v>CORP-0420, CORP-0421, CORP-0422, CORP-0423, CORP-0424, CORP-0425, CORP-0426, CORP-0427, CORP-0428</x:v>
      </x:c>
      <x:c r="Q58" s="12" t="str">
        <x:v>Achronix</x:v>
      </x:c>
    </x:row>
    <x:row r="59" ht="48" customHeight="1">
      <x:c r="A59" s="2" t="str">
        <x:v>TEN-0F9E04732186</x:v>
      </x:c>
      <x:c r="B59" s="12" t="str">
        <x:v>Ackee Software Pvt Ltd</x:v>
      </x:c>
      <x:c r="C59" s="12" t="str">
        <x:v>Business / brand</x:v>
      </x:c>
      <x:c r="D59" s="12" t="str">
        <x:v>IT &amp; digital</x:v>
      </x:c>
      <x:c r="E59" s="12" t="str">
        <x:v>Enterprise software &amp; digital engineering</x:v>
      </x:c>
      <x:c r="F59" s="12" t="str">
        <x:v>Small-scale prospects</x:v>
      </x:c>
      <x:c r="G59" s="12" t="str">
        <x:v>Software or technology-services business; small-scale prospect assumption.</x:v>
      </x:c>
      <x:c r="H59" s="11" t="n">
        <x:v>1</x:v>
      </x:c>
      <x:c r="I59" s="11" t="n">
        <x:v>1</x:v>
      </x:c>
      <x:c r="J59" s="11" t="n">
        <x:v>1</x:v>
      </x:c>
      <x:c r="K59" s="11" t="n">
        <x:v>0</x:v>
      </x:c>
      <x:c r="L59" s="17" t="n">
        <x:f>SUM(SUMIFS('Costing'!$P$9:$P$492,'Costing'!$A$9:$A$492,"MAIN-086"))</x:f>
        <x:v>15000</x:v>
      </x:c>
      <x:c r="M59" s="17" t="n">
        <x:f>ROUND(L59*'Costing'!$C$4,2)</x:f>
        <x:v>2700</x:v>
      </x:c>
      <x:c r="N59" s="17" t="n">
        <x:f>L59+M59</x:f>
        <x:v>17700</x:v>
      </x:c>
      <x:c r="O59" s="12" t="str">
        <x:v>Bengaluru</x:v>
      </x:c>
      <x:c r="P59" s="12" t="str">
        <x:v>CORP-0082</x:v>
      </x:c>
      <x:c r="Q59" s="12" t="str">
        <x:v>Ackee Software Pvt Ltd</x:v>
      </x:c>
    </x:row>
    <x:row r="60" ht="48" customHeight="1">
      <x:c r="A60" s="2" t="str">
        <x:v>TEN-A546690B1C8E</x:v>
      </x:c>
      <x:c r="B60" s="12" t="str">
        <x:v>ACOS technology</x:v>
      </x:c>
      <x:c r="C60" s="12" t="str">
        <x:v>Business / brand</x:v>
      </x:c>
      <x:c r="D60" s="12" t="str">
        <x:v>Unresolved</x:v>
      </x:c>
      <x:c r="E60" s="12" t="str">
        <x:v>Business activity not established</x:v>
      </x:c>
      <x:c r="F60" s="12" t="str">
        <x:v>Mixed business audience</x:v>
      </x:c>
      <x:c r="G60" s="12" t="str">
        <x:v>Business activity and company scale are not established from this name.</x:v>
      </x:c>
      <x:c r="H60" s="11" t="n">
        <x:v>1</x:v>
      </x:c>
      <x:c r="I60" s="11" t="n">
        <x:v>2</x:v>
      </x:c>
      <x:c r="J60" s="11" t="n">
        <x:v>2</x:v>
      </x:c>
      <x:c r="K60" s="11" t="n">
        <x:v>0</x:v>
      </x:c>
      <x:c r="L60" s="17" t="n">
        <x:f>SUM(SUMIFS('Costing'!$P$9:$P$492,'Costing'!$A$9:$A$492,"MAIN-280"))</x:f>
        <x:v>30000</x:v>
      </x:c>
      <x:c r="M60" s="17" t="n">
        <x:f>ROUND(L60*'Costing'!$C$4,2)</x:f>
        <x:v>5400</x:v>
      </x:c>
      <x:c r="N60" s="17" t="n">
        <x:f>L60+M60</x:f>
        <x:v>35400</x:v>
      </x:c>
      <x:c r="O60" s="12" t="str">
        <x:v>Kolkata</x:v>
      </x:c>
      <x:c r="P60" s="12" t="str">
        <x:v>CORP-0276</x:v>
      </x:c>
      <x:c r="Q60" s="12" t="str">
        <x:v>ACOS technology</x:v>
      </x:c>
    </x:row>
    <x:row r="61" ht="48" customHeight="1">
      <x:c r="A61" s="2" t="str">
        <x:v>TEN-B4897F7ABC8F</x:v>
      </x:c>
      <x:c r="B61" s="12" t="str">
        <x:v>Act Insta</x:v>
      </x:c>
      <x:c r="C61" s="12" t="str">
        <x:v>Business / brand</x:v>
      </x:c>
      <x:c r="D61" s="12" t="str">
        <x:v>Unresolved</x:v>
      </x:c>
      <x:c r="E61" s="12" t="str">
        <x:v>Business activity not established</x:v>
      </x:c>
      <x:c r="F61" s="12" t="str">
        <x:v>Mixed business audience</x:v>
      </x:c>
      <x:c r="G61" s="12" t="str">
        <x:v>Business activity and company scale are not established from this name.</x:v>
      </x:c>
      <x:c r="H61" s="11" t="n">
        <x:v>1</x:v>
      </x:c>
      <x:c r="I61" s="11" t="n">
        <x:v>1</x:v>
      </x:c>
      <x:c r="J61" s="11" t="n">
        <x:v>1</x:v>
      </x:c>
      <x:c r="K61" s="11" t="n">
        <x:v>0</x:v>
      </x:c>
      <x:c r="L61" s="17" t="n">
        <x:f>SUM(SUMIFS('Costing'!$P$9:$P$492,'Costing'!$A$9:$A$492,"MAIN-010"))</x:f>
        <x:v>15000</x:v>
      </x:c>
      <x:c r="M61" s="17" t="n">
        <x:f>ROUND(L61*'Costing'!$C$4,2)</x:f>
        <x:v>2700</x:v>
      </x:c>
      <x:c r="N61" s="17" t="n">
        <x:f>L61+M61</x:f>
        <x:v>17700</x:v>
      </x:c>
      <x:c r="O61" s="12" t="str">
        <x:v>Bengaluru</x:v>
      </x:c>
      <x:c r="P61" s="12" t="str">
        <x:v>CORP-0006</x:v>
      </x:c>
      <x:c r="Q61" s="12" t="str">
        <x:v>Act Insta</x:v>
      </x:c>
    </x:row>
    <x:row r="62" ht="48" customHeight="1">
      <x:c r="A62" s="2" t="str">
        <x:v>TEN-FEDED0C77570</x:v>
      </x:c>
      <x:c r="B62" s="12" t="str">
        <x:v>Activ Doctors Clinic</x:v>
      </x:c>
      <x:c r="C62" s="12" t="str">
        <x:v>Business / brand</x:v>
      </x:c>
      <x:c r="D62" s="12" t="str">
        <x:v>Healthcare &amp; life sciences</x:v>
      </x:c>
      <x:c r="E62" s="12" t="str">
        <x:v>Clinical, medical &amp; diagnostic services</x:v>
      </x:c>
      <x:c r="F62" s="12" t="str">
        <x:v>Micro-scale prospects</x:v>
      </x:c>
      <x:c r="G62" s="12" t="str">
        <x:v>Local practice or clinic model; micro-scale outreach assumption.</x:v>
      </x:c>
      <x:c r="H62" s="11" t="n">
        <x:v>1</x:v>
      </x:c>
      <x:c r="I62" s="11" t="n">
        <x:v>1</x:v>
      </x:c>
      <x:c r="J62" s="11" t="n">
        <x:v>1</x:v>
      </x:c>
      <x:c r="K62" s="11" t="n">
        <x:v>0</x:v>
      </x:c>
      <x:c r="L62" s="17" t="n">
        <x:f>SUM(SUMIFS('Costing'!$P$9:$P$492,'Costing'!$A$9:$A$492,"MAIN-072"))</x:f>
        <x:v>15000</x:v>
      </x:c>
      <x:c r="M62" s="17" t="n">
        <x:f>ROUND(L62*'Costing'!$C$4,2)</x:f>
        <x:v>2700</x:v>
      </x:c>
      <x:c r="N62" s="17" t="n">
        <x:f>L62+M62</x:f>
        <x:v>17700</x:v>
      </x:c>
      <x:c r="O62" s="12" t="str">
        <x:v>Bengaluru</x:v>
      </x:c>
      <x:c r="P62" s="12" t="str">
        <x:v>CORP-0068</x:v>
      </x:c>
      <x:c r="Q62" s="12" t="str">
        <x:v>Activ Doctors Clinic</x:v>
      </x:c>
    </x:row>
    <x:row r="63" ht="62" customHeight="1">
      <x:c r="A63" s="2" t="str">
        <x:v>TEN-70E16A6A7C42</x:v>
      </x:c>
      <x:c r="B63" s="12" t="str">
        <x:v>Acumen HR Consulting Services</x:v>
      </x:c>
      <x:c r="C63" s="12" t="str">
        <x:v>Business / brand</x:v>
      </x:c>
      <x:c r="D63" s="12" t="str">
        <x:v>Professional services</x:v>
      </x:c>
      <x:c r="E63" s="12" t="str">
        <x:v>Recruitment, HR &amp; staffing</x:v>
      </x:c>
      <x:c r="F63" s="12" t="str">
        <x:v>Small-scale prospects</x:v>
      </x:c>
      <x:c r="G63" s="12" t="str">
        <x:v>Official site supports Mumbai-focused recruitment/HR consulting. Specialist service-team business model supports a provisional Small-scale prospect. Website quality and conflicting office addresses lower confidence.</x:v>
      </x:c>
      <x:c r="H63" s="11" t="n">
        <x:v>1</x:v>
      </x:c>
      <x:c r="I63" s="11" t="n">
        <x:v>70</x:v>
      </x:c>
      <x:c r="J63" s="11" t="n">
        <x:v>70</x:v>
      </x:c>
      <x:c r="K63" s="11" t="n">
        <x:v>0</x:v>
      </x:c>
      <x:c r="L63" s="17" t="n">
        <x:f>SUM(SUMIFS('Costing'!$P$9:$P$492,'Costing'!$A$9:$A$492,"MAIN-350"))</x:f>
        <x:v>1050000</x:v>
      </x:c>
      <x:c r="M63" s="17" t="n">
        <x:f>ROUND(L63*'Costing'!$C$4,2)</x:f>
        <x:v>189000</x:v>
      </x:c>
      <x:c r="N63" s="17" t="n">
        <x:f>L63+M63</x:f>
        <x:v>1239000</x:v>
      </x:c>
      <x:c r="O63" s="12" t="str">
        <x:v>Mumbai</x:v>
      </x:c>
      <x:c r="P63" s="12" t="str">
        <x:v>CORP-0346</x:v>
      </x:c>
      <x:c r="Q63" s="12" t="str">
        <x:v>Acumen HR Consulting Services</x:v>
      </x:c>
    </x:row>
    <x:row r="64" ht="48" customHeight="1">
      <x:c r="A64" s="2" t="str">
        <x:v>TEN-C3FC44005541</x:v>
      </x:c>
      <x:c r="B64" s="12" t="str">
        <x:v>ACUMENT IT SOLUTIONS</x:v>
      </x:c>
      <x:c r="C64" s="12" t="str">
        <x:v>Business / brand</x:v>
      </x:c>
      <x:c r="D64" s="12" t="str">
        <x:v>IT &amp; digital</x:v>
      </x:c>
      <x:c r="E64" s="12" t="str">
        <x:v>Enterprise software &amp; digital engineering</x:v>
      </x:c>
      <x:c r="F64" s="12" t="str">
        <x:v>Small-scale prospects</x:v>
      </x:c>
      <x:c r="G64" s="12" t="str">
        <x:v>Software or technology-services business; small-scale prospect assumption.</x:v>
      </x:c>
      <x:c r="H64" s="11" t="n">
        <x:v>1</x:v>
      </x:c>
      <x:c r="I64" s="11" t="n">
        <x:v>2</x:v>
      </x:c>
      <x:c r="J64" s="11" t="n">
        <x:v>2</x:v>
      </x:c>
      <x:c r="K64" s="11" t="n">
        <x:v>0</x:v>
      </x:c>
      <x:c r="L64" s="17" t="n">
        <x:f>SUM(SUMIFS('Costing'!$P$9:$P$492,'Costing'!$A$9:$A$492,"MAIN-216"))</x:f>
        <x:v>30000</x:v>
      </x:c>
      <x:c r="M64" s="17" t="n">
        <x:f>ROUND(L64*'Costing'!$C$4,2)</x:f>
        <x:v>5400</x:v>
      </x:c>
      <x:c r="N64" s="17" t="n">
        <x:f>L64+M64</x:f>
        <x:v>35400</x:v>
      </x:c>
      <x:c r="O64" s="12" t="str">
        <x:v>Hyderabad</x:v>
      </x:c>
      <x:c r="P64" s="12" t="str">
        <x:v>CORP-0212</x:v>
      </x:c>
      <x:c r="Q64" s="12" t="str">
        <x:v>ACUMENT IT SOLUTIONS</x:v>
      </x:c>
    </x:row>
    <x:row r="65" ht="48" customHeight="1">
      <x:c r="A65" s="2" t="str">
        <x:v>TEN-CBC12151BBB3</x:v>
      </x:c>
      <x:c r="B65" s="12" t="str">
        <x:v>Acuvea Analytics Private Limited</x:v>
      </x:c>
      <x:c r="C65" s="12" t="str">
        <x:v>Business / brand</x:v>
      </x:c>
      <x:c r="D65" s="12" t="str">
        <x:v>IT &amp; digital</x:v>
      </x:c>
      <x:c r="E65" s="12" t="str">
        <x:v>AI, data &amp; analytics</x:v>
      </x:c>
      <x:c r="F65" s="12" t="str">
        <x:v>Small-scale prospects</x:v>
      </x:c>
      <x:c r="G65" s="12" t="str">
        <x:v>Software or technology-services business; small-scale prospect assumption.</x:v>
      </x:c>
      <x:c r="H65" s="11" t="n">
        <x:v>1</x:v>
      </x:c>
      <x:c r="I65" s="11" t="n">
        <x:v>1</x:v>
      </x:c>
      <x:c r="J65" s="11" t="n">
        <x:v>1</x:v>
      </x:c>
      <x:c r="K65" s="11" t="n">
        <x:v>0</x:v>
      </x:c>
      <x:c r="L65" s="17" t="n">
        <x:f>SUM(SUMIFS('Costing'!$P$9:$P$492,'Costing'!$A$9:$A$492,"MAIN-068"))</x:f>
        <x:v>15000</x:v>
      </x:c>
      <x:c r="M65" s="17" t="n">
        <x:f>ROUND(L65*'Costing'!$C$4,2)</x:f>
        <x:v>2700</x:v>
      </x:c>
      <x:c r="N65" s="17" t="n">
        <x:f>L65+M65</x:f>
        <x:v>17700</x:v>
      </x:c>
      <x:c r="O65" s="12" t="str">
        <x:v>Bengaluru</x:v>
      </x:c>
      <x:c r="P65" s="12" t="str">
        <x:v>CORP-0064</x:v>
      </x:c>
      <x:c r="Q65" s="12" t="str">
        <x:v>Acuvea Analytics Private Limited</x:v>
      </x:c>
    </x:row>
    <x:row r="66" ht="48" customHeight="1">
      <x:c r="A66" s="2" t="str">
        <x:v>TEN-2D74E91371DF</x:v>
      </x:c>
      <x:c r="B66" s="12" t="str">
        <x:v>AD Architect And Interior Designers</x:v>
      </x:c>
      <x:c r="C66" s="12" t="str">
        <x:v>Business / brand</x:v>
      </x:c>
      <x:c r="D66" s="12" t="str">
        <x:v>Professional services</x:v>
      </x:c>
      <x:c r="E66" s="12" t="str">
        <x:v>Architecture, interiors &amp; design</x:v>
      </x:c>
      <x:c r="F66" s="12" t="str">
        <x:v>Small-scale prospects</x:v>
      </x:c>
      <x:c r="G66" s="12" t="str">
        <x:v>Professional service, agency or advisory model; small-scale prospect assumption.</x:v>
      </x:c>
      <x:c r="H66" s="11" t="n">
        <x:v>5</x:v>
      </x:c>
      <x:c r="I66" s="11" t="n">
        <x:v>5</x:v>
      </x:c>
      <x:c r="J66" s="11" t="n">
        <x:v>5</x:v>
      </x:c>
      <x:c r="K66" s="11" t="n">
        <x:v>0</x:v>
      </x:c>
      <x:c r="L66" s="17" t="n">
        <x:f>SUM(SUMIFS('Costing'!$P$9:$P$492,'Costing'!$A$9:$A$492,"PARTNER-M384"))</x:f>
        <x:v>200000</x:v>
      </x:c>
      <x:c r="M66" s="17" t="n">
        <x:f>ROUND(L66*'Costing'!$C$4,2)</x:f>
        <x:v>36000</x:v>
      </x:c>
      <x:c r="N66" s="17" t="n">
        <x:f>L66+M66</x:f>
        <x:v>236000</x:v>
      </x:c>
      <x:c r="O66" s="12" t="str">
        <x:v>Delhi NCR</x:v>
      </x:c>
      <x:c r="P66" s="12" t="str">
        <x:v>CORP-0797, CORP-0798, CORP-0799, CORP-0800, CORP-0801</x:v>
      </x:c>
      <x:c r="Q66" s="12" t="str">
        <x:v>AD Architect And Interior Designers</x:v>
      </x:c>
    </x:row>
    <x:row r="67" ht="48" customHeight="1">
      <x:c r="A67" s="2" t="str">
        <x:v>TEN-FDEE430D40BD</x:v>
      </x:c>
      <x:c r="B67" s="12" t="str">
        <x:v>ada</x:v>
      </x:c>
      <x:c r="C67" s="12" t="str">
        <x:v>Business / brand</x:v>
      </x:c>
      <x:c r="D67" s="12" t="str">
        <x:v>Unresolved</x:v>
      </x:c>
      <x:c r="E67" s="12" t="str">
        <x:v>Business activity not established</x:v>
      </x:c>
      <x:c r="F67" s="12" t="str">
        <x:v>Mixed business audience</x:v>
      </x:c>
      <x:c r="G67" s="12" t="str">
        <x:v>Business activity and company scale are not established from this name.</x:v>
      </x:c>
      <x:c r="H67" s="11" t="n">
        <x:v>1</x:v>
      </x:c>
      <x:c r="I67" s="11" t="n">
        <x:v>2</x:v>
      </x:c>
      <x:c r="J67" s="11" t="n">
        <x:v>2</x:v>
      </x:c>
      <x:c r="K67" s="11" t="n">
        <x:v>0</x:v>
      </x:c>
      <x:c r="L67" s="17" t="n">
        <x:f>SUM(SUMIFS('Costing'!$P$9:$P$492,'Costing'!$A$9:$A$492,"MAIN-090"))</x:f>
        <x:v>30000</x:v>
      </x:c>
      <x:c r="M67" s="17" t="n">
        <x:f>ROUND(L67*'Costing'!$C$4,2)</x:f>
        <x:v>5400</x:v>
      </x:c>
      <x:c r="N67" s="17" t="n">
        <x:f>L67+M67</x:f>
        <x:v>35400</x:v>
      </x:c>
      <x:c r="O67" s="12" t="str">
        <x:v>Bengaluru</x:v>
      </x:c>
      <x:c r="P67" s="12" t="str">
        <x:v>CORP-0086</x:v>
      </x:c>
      <x:c r="Q67" s="12" t="str">
        <x:v>ada</x:v>
      </x:c>
    </x:row>
    <x:row r="68" ht="48" customHeight="1">
      <x:c r="A68" s="2" t="str">
        <x:v>TEN-8FCCCD18B630</x:v>
      </x:c>
      <x:c r="B68" s="12" t="str">
        <x:v>Adani</x:v>
      </x:c>
      <x:c r="C68" s="12" t="str">
        <x:v>Business / brand</x:v>
      </x:c>
      <x:c r="D68" s="12" t="str">
        <x:v>Unresolved</x:v>
      </x:c>
      <x:c r="E68" s="12" t="str">
        <x:v>Business activity not established</x:v>
      </x:c>
      <x:c r="F68" s="12" t="str">
        <x:v>Mixed business audience</x:v>
      </x:c>
      <x:c r="G68" s="12" t="str">
        <x:v>Recognisable business context; company-scale evidence remains insufficient for a single size band.</x:v>
      </x:c>
      <x:c r="H68" s="11" t="n">
        <x:v>1</x:v>
      </x:c>
      <x:c r="I68" s="11" t="n">
        <x:v>1</x:v>
      </x:c>
      <x:c r="J68" s="11" t="n">
        <x:v>1</x:v>
      </x:c>
      <x:c r="K68" s="11" t="n">
        <x:v>0</x:v>
      </x:c>
      <x:c r="L68" s="17" t="n">
        <x:f>SUM(SUMIFS('Costing'!$P$9:$P$492,'Costing'!$A$9:$A$492,"MAIN-269"))</x:f>
        <x:v>40000</x:v>
      </x:c>
      <x:c r="M68" s="17" t="n">
        <x:f>ROUND(L68*'Costing'!$C$4,2)</x:f>
        <x:v>7200</x:v>
      </x:c>
      <x:c r="N68" s="17" t="n">
        <x:f>L68+M68</x:f>
        <x:v>47200</x:v>
      </x:c>
      <x:c r="O68" s="12" t="str">
        <x:v>Indore</x:v>
      </x:c>
      <x:c r="P68" s="12" t="str">
        <x:v>CORP-0265</x:v>
      </x:c>
      <x:c r="Q68" s="12" t="str">
        <x:v>Adani</x:v>
      </x:c>
    </x:row>
    <x:row r="69" ht="48" customHeight="1">
      <x:c r="A69" s="2" t="str">
        <x:v>TEN-642106BA717C</x:v>
      </x:c>
      <x:c r="B69" s="12" t="str">
        <x:v>Adaptoid Labs India Private Limited</x:v>
      </x:c>
      <x:c r="C69" s="12" t="str">
        <x:v>Business / brand</x:v>
      </x:c>
      <x:c r="D69" s="12" t="str">
        <x:v>Unresolved</x:v>
      </x:c>
      <x:c r="E69" s="12" t="str">
        <x:v>Business activity not established</x:v>
      </x:c>
      <x:c r="F69" s="12" t="str">
        <x:v>Mixed business audience</x:v>
      </x:c>
      <x:c r="G69" s="12" t="str">
        <x:v>Business activity and company scale are not established from this name.</x:v>
      </x:c>
      <x:c r="H69" s="11" t="n">
        <x:v>1</x:v>
      </x:c>
      <x:c r="I69" s="11" t="n">
        <x:v>1</x:v>
      </x:c>
      <x:c r="J69" s="11" t="n">
        <x:v>1</x:v>
      </x:c>
      <x:c r="K69" s="11" t="n">
        <x:v>0</x:v>
      </x:c>
      <x:c r="L69" s="17" t="n">
        <x:f>SUM(SUMIFS('Costing'!$P$9:$P$492,'Costing'!$A$9:$A$492,"MAIN-259"))</x:f>
        <x:v>20000</x:v>
      </x:c>
      <x:c r="M69" s="17" t="n">
        <x:f>ROUND(L69*'Costing'!$C$4,2)</x:f>
        <x:v>3600</x:v>
      </x:c>
      <x:c r="N69" s="17" t="n">
        <x:f>L69+M69</x:f>
        <x:v>23600</x:v>
      </x:c>
      <x:c r="O69" s="12" t="str">
        <x:v>Hyderabad</x:v>
      </x:c>
      <x:c r="P69" s="12" t="str">
        <x:v>CORP-0255</x:v>
      </x:c>
      <x:c r="Q69" s="12" t="str">
        <x:v>Adaptoid Labs India Private Limited</x:v>
      </x:c>
    </x:row>
    <x:row r="70" ht="48" customHeight="1">
      <x:c r="A70" s="2" t="str">
        <x:v>TEN-4E0D8ECA527F</x:v>
      </x:c>
      <x:c r="B70" s="12" t="str">
        <x:v>Addrest Tech Solutions Private Limited</x:v>
      </x:c>
      <x:c r="C70" s="12" t="str">
        <x:v>Business / brand</x:v>
      </x:c>
      <x:c r="D70" s="12" t="str">
        <x:v>Unresolved</x:v>
      </x:c>
      <x:c r="E70" s="12" t="str">
        <x:v>Business activity not established</x:v>
      </x:c>
      <x:c r="F70" s="12" t="str">
        <x:v>Mixed business audience</x:v>
      </x:c>
      <x:c r="G70" s="12" t="str">
        <x:v>Business activity and company scale are not established from this name.</x:v>
      </x:c>
      <x:c r="H70" s="11" t="n">
        <x:v>1</x:v>
      </x:c>
      <x:c r="I70" s="11" t="n">
        <x:v>2</x:v>
      </x:c>
      <x:c r="J70" s="11" t="n">
        <x:v>2</x:v>
      </x:c>
      <x:c r="K70" s="11" t="n">
        <x:v>0</x:v>
      </x:c>
      <x:c r="L70" s="17" t="n">
        <x:f>SUM(SUMIFS('Costing'!$P$9:$P$492,'Costing'!$A$9:$A$492,"MAIN-273"))</x:f>
        <x:v>40000</x:v>
      </x:c>
      <x:c r="M70" s="17" t="n">
        <x:f>ROUND(L70*'Costing'!$C$4,2)</x:f>
        <x:v>7200</x:v>
      </x:c>
      <x:c r="N70" s="17" t="n">
        <x:f>L70+M70</x:f>
        <x:v>47200</x:v>
      </x:c>
      <x:c r="O70" s="12" t="str">
        <x:v>Indore</x:v>
      </x:c>
      <x:c r="P70" s="12" t="str">
        <x:v>CORP-0269</x:v>
      </x:c>
      <x:c r="Q70" s="12" t="str">
        <x:v>Addrest Tech Solutions Private Limited</x:v>
      </x:c>
    </x:row>
    <x:row r="71" ht="48" customHeight="1">
      <x:c r="A71" s="2" t="str">
        <x:v>TEN-1DE6F8F03AAB</x:v>
      </x:c>
      <x:c r="B71" s="12" t="str">
        <x:v>Adecco India</x:v>
      </x:c>
      <x:c r="C71" s="12" t="str">
        <x:v>Business / brand</x:v>
      </x:c>
      <x:c r="D71" s="12" t="str">
        <x:v>Professional services</x:v>
      </x:c>
      <x:c r="E71" s="12" t="str">
        <x:v>Recruitment, HR &amp; staffing</x:v>
      </x:c>
      <x:c r="F71" s="12" t="str">
        <x:v>Mixed business audience</x:v>
      </x:c>
      <x:c r="G71" s="12" t="str">
        <x:v>Recognisable business context; company-scale evidence remains insufficient for a single size band.</x:v>
      </x:c>
      <x:c r="H71" s="11" t="n">
        <x:v>1</x:v>
      </x:c>
      <x:c r="I71" s="11" t="n">
        <x:v>1</x:v>
      </x:c>
      <x:c r="J71" s="11" t="n">
        <x:v>1</x:v>
      </x:c>
      <x:c r="K71" s="11" t="n">
        <x:v>0</x:v>
      </x:c>
      <x:c r="L71" s="17" t="n">
        <x:f>SUM(SUMIFS('Costing'!$P$9:$P$492,'Costing'!$A$9:$A$492,"MAIN-011"))</x:f>
        <x:v>15000</x:v>
      </x:c>
      <x:c r="M71" s="17" t="n">
        <x:f>ROUND(L71*'Costing'!$C$4,2)</x:f>
        <x:v>2700</x:v>
      </x:c>
      <x:c r="N71" s="17" t="n">
        <x:f>L71+M71</x:f>
        <x:v>17700</x:v>
      </x:c>
      <x:c r="O71" s="12" t="str">
        <x:v>Bengaluru</x:v>
      </x:c>
      <x:c r="P71" s="12" t="str">
        <x:v>CORP-0007</x:v>
      </x:c>
      <x:c r="Q71" s="12" t="str">
        <x:v>Adecco India</x:v>
      </x:c>
    </x:row>
    <x:row r="72" ht="48" customHeight="1">
      <x:c r="A72" s="2" t="str">
        <x:v>TEN-6429D6117F38</x:v>
      </x:c>
      <x:c r="B72" s="12" t="str">
        <x:v>Adenza Technology India Private Limited</x:v>
      </x:c>
      <x:c r="C72" s="12" t="str">
        <x:v>Business / brand</x:v>
      </x:c>
      <x:c r="D72" s="12" t="str">
        <x:v>IT &amp; digital</x:v>
      </x:c>
      <x:c r="E72" s="12" t="str">
        <x:v>Enterprise software &amp; digital engineering</x:v>
      </x:c>
      <x:c r="F72" s="12" t="str">
        <x:v>Mixed business audience</x:v>
      </x:c>
      <x:c r="G72" s="12" t="str">
        <x:v>Established brand or business network; local company scale is not established. Use a mixed-business message.</x:v>
      </x:c>
      <x:c r="H72" s="11" t="n">
        <x:v>1</x:v>
      </x:c>
      <x:c r="I72" s="11" t="n">
        <x:v>2</x:v>
      </x:c>
      <x:c r="J72" s="11" t="n">
        <x:v>2</x:v>
      </x:c>
      <x:c r="K72" s="11" t="n">
        <x:v>0</x:v>
      </x:c>
      <x:c r="L72" s="17" t="n">
        <x:f>SUM(SUMIFS('Costing'!$P$9:$P$492,'Costing'!$A$9:$A$492,"MAIN-158"))</x:f>
        <x:v>40000</x:v>
      </x:c>
      <x:c r="M72" s="17" t="n">
        <x:f>ROUND(L72*'Costing'!$C$4,2)</x:f>
        <x:v>7200</x:v>
      </x:c>
      <x:c r="N72" s="17" t="n">
        <x:f>L72+M72</x:f>
        <x:v>47200</x:v>
      </x:c>
      <x:c r="O72" s="12" t="str">
        <x:v>Chennai</x:v>
      </x:c>
      <x:c r="P72" s="12" t="str">
        <x:v>CORP-0154</x:v>
      </x:c>
      <x:c r="Q72" s="12" t="str">
        <x:v>Adenza Technology India Private Limited</x:v>
      </x:c>
    </x:row>
    <x:row r="73" ht="48" customHeight="1">
      <x:c r="A73" s="2" t="str">
        <x:v>TEN-DBAB58D7E29B</x:v>
      </x:c>
      <x:c r="B73" s="12" t="str">
        <x:v>Adept Chip Services Pvt. Ltd</x:v>
      </x:c>
      <x:c r="C73" s="12" t="str">
        <x:v>Business / brand</x:v>
      </x:c>
      <x:c r="D73" s="12" t="str">
        <x:v>Engineering &amp; manufacturing</x:v>
      </x:c>
      <x:c r="E73" s="12" t="str">
        <x:v>Semiconductors, electronics &amp; equipment</x:v>
      </x:c>
      <x:c r="F73" s="12" t="str">
        <x:v>Medium-scale prospects</x:v>
      </x:c>
      <x:c r="G73" s="12" t="str">
        <x:v>Specialist industrial or engineering business; medium-scale prospect assumption.</x:v>
      </x:c>
      <x:c r="H73" s="11" t="n">
        <x:v>5</x:v>
      </x:c>
      <x:c r="I73" s="11" t="n">
        <x:v>5</x:v>
      </x:c>
      <x:c r="J73" s="11" t="n">
        <x:v>5</x:v>
      </x:c>
      <x:c r="K73" s="11" t="n">
        <x:v>0</x:v>
      </x:c>
      <x:c r="L73" s="17" t="n">
        <x:f>SUM(SUMIFS('Costing'!$P$9:$P$492,'Costing'!$A$9:$A$492,"PARTNER-M034"))</x:f>
        <x:v>200000</x:v>
      </x:c>
      <x:c r="M73" s="17" t="n">
        <x:f>ROUND(L73*'Costing'!$C$4,2)</x:f>
        <x:v>36000</x:v>
      </x:c>
      <x:c r="N73" s="17" t="n">
        <x:f>L73+M73</x:f>
        <x:v>236000</x:v>
      </x:c>
      <x:c r="O73" s="12" t="str">
        <x:v>Bengaluru</x:v>
      </x:c>
      <x:c r="P73" s="12" t="str">
        <x:v>CORP-0452, CORP-0453, CORP-0454, CORP-0455, CORP-0456</x:v>
      </x:c>
      <x:c r="Q73" s="12" t="str">
        <x:v>Adept Chip Services Pvt. Ltd</x:v>
      </x:c>
    </x:row>
    <x:row r="74" ht="48" customHeight="1">
      <x:c r="A74" s="2" t="str">
        <x:v>TEN-9FE870D6A369</x:v>
      </x:c>
      <x:c r="B74" s="12" t="str">
        <x:v>ADFI digital pvt ltd</x:v>
      </x:c>
      <x:c r="C74" s="12" t="str">
        <x:v>Business / brand</x:v>
      </x:c>
      <x:c r="D74" s="12" t="str">
        <x:v>IT &amp; digital</x:v>
      </x:c>
      <x:c r="E74" s="12" t="str">
        <x:v>Enterprise software &amp; digital engineering</x:v>
      </x:c>
      <x:c r="F74" s="12" t="str">
        <x:v>Small-scale prospects</x:v>
      </x:c>
      <x:c r="G74" s="12" t="str">
        <x:v>Software or technology-services business; small-scale prospect assumption.</x:v>
      </x:c>
      <x:c r="H74" s="11" t="n">
        <x:v>1</x:v>
      </x:c>
      <x:c r="I74" s="11" t="n">
        <x:v>2</x:v>
      </x:c>
      <x:c r="J74" s="11" t="n">
        <x:v>2</x:v>
      </x:c>
      <x:c r="K74" s="11" t="n">
        <x:v>0</x:v>
      </x:c>
      <x:c r="L74" s="17" t="n">
        <x:f>SUM(SUMIFS('Costing'!$P$9:$P$492,'Costing'!$A$9:$A$492,"MAIN-181"))</x:f>
        <x:v>30000</x:v>
      </x:c>
      <x:c r="M74" s="17" t="n">
        <x:f>ROUND(L74*'Costing'!$C$4,2)</x:f>
        <x:v>5400</x:v>
      </x:c>
      <x:c r="N74" s="17" t="n">
        <x:f>L74+M74</x:f>
        <x:v>35400</x:v>
      </x:c>
      <x:c r="O74" s="12" t="str">
        <x:v>Delhi NCR</x:v>
      </x:c>
      <x:c r="P74" s="12" t="str">
        <x:v>CORP-0177</x:v>
      </x:c>
      <x:c r="Q74" s="12" t="str">
        <x:v>ADFI digital pvt ltd</x:v>
      </x:c>
    </x:row>
    <x:row r="75" ht="48" customHeight="1">
      <x:c r="A75" s="2" t="str">
        <x:v>TEN-508BB24BB9BD</x:v>
      </x:c>
      <x:c r="B75" s="12" t="str">
        <x:v>ADG</x:v>
      </x:c>
      <x:c r="C75" s="12" t="str">
        <x:v>Business / brand</x:v>
      </x:c>
      <x:c r="D75" s="12" t="str">
        <x:v>Unresolved</x:v>
      </x:c>
      <x:c r="E75" s="12" t="str">
        <x:v>Business activity not established</x:v>
      </x:c>
      <x:c r="F75" s="12" t="str">
        <x:v>Mixed business audience</x:v>
      </x:c>
      <x:c r="G75" s="12" t="str">
        <x:v>Business activity and company scale are not established from this name.</x:v>
      </x:c>
      <x:c r="H75" s="11" t="n">
        <x:v>2</x:v>
      </x:c>
      <x:c r="I75" s="11" t="n">
        <x:v>4</x:v>
      </x:c>
      <x:c r="J75" s="11" t="n">
        <x:v>4</x:v>
      </x:c>
      <x:c r="K75" s="11" t="n">
        <x:v>0</x:v>
      </x:c>
      <x:c r="L75" s="17" t="n">
        <x:f>SUM(SUMIFS('Costing'!$P$9:$P$492,'Costing'!$A$9:$A$492,"MAIN-163"),SUMIFS('Costing'!$P$9:$P$492,'Costing'!$A$9:$A$492,"MAIN-164"))</x:f>
        <x:v>60000</x:v>
      </x:c>
      <x:c r="M75" s="17" t="n">
        <x:f>ROUND(L75*'Costing'!$C$4,2)</x:f>
        <x:v>10800</x:v>
      </x:c>
      <x:c r="N75" s="17" t="n">
        <x:f>L75+M75</x:f>
        <x:v>70800</x:v>
      </x:c>
      <x:c r="O75" s="12" t="str">
        <x:v>Delhi NCR</x:v>
      </x:c>
      <x:c r="P75" s="12" t="str">
        <x:v>CORP-0159, CORP-0160</x:v>
      </x:c>
      <x:c r="Q75" s="12" t="str">
        <x:v>ADG</x:v>
      </x:c>
    </x:row>
    <x:row r="76" ht="48" customHeight="1">
      <x:c r="A76" s="2" t="str">
        <x:v>TEN-282C78C55341</x:v>
      </x:c>
      <x:c r="B76" s="12" t="str">
        <x:v>Adient Automotive Ltd</x:v>
      </x:c>
      <x:c r="C76" s="12" t="str">
        <x:v>Business / brand</x:v>
      </x:c>
      <x:c r="D76" s="12" t="str">
        <x:v>Engineering &amp; manufacturing</x:v>
      </x:c>
      <x:c r="E76" s="12" t="str">
        <x:v>Automotive, mobility &amp; aerospace</x:v>
      </x:c>
      <x:c r="F76" s="12" t="str">
        <x:v>Mixed business audience</x:v>
      </x:c>
      <x:c r="G76" s="12" t="str">
        <x:v>Recognisable business context; company-scale evidence remains insufficient for a single size band.</x:v>
      </x:c>
      <x:c r="H76" s="11" t="n">
        <x:v>5</x:v>
      </x:c>
      <x:c r="I76" s="11" t="n">
        <x:v>5</x:v>
      </x:c>
      <x:c r="J76" s="11" t="n">
        <x:v>5</x:v>
      </x:c>
      <x:c r="K76" s="11" t="n">
        <x:v>0</x:v>
      </x:c>
      <x:c r="L76" s="17" t="n">
        <x:f>SUM(SUMIFS('Costing'!$P$9:$P$492,'Costing'!$A$9:$A$492,"PARTNER-M268"))</x:f>
        <x:v>200000</x:v>
      </x:c>
      <x:c r="M76" s="17" t="n">
        <x:f>ROUND(L76*'Costing'!$C$4,2)</x:f>
        <x:v>36000</x:v>
      </x:c>
      <x:c r="N76" s="17" t="n">
        <x:f>L76+M76</x:f>
        <x:v>236000</x:v>
      </x:c>
      <x:c r="O76" s="12" t="str">
        <x:v>Pune</x:v>
      </x:c>
      <x:c r="P76" s="12" t="str">
        <x:v>CORP-0684, CORP-0685, CORP-0686, CORP-0687, CORP-0688</x:v>
      </x:c>
      <x:c r="Q76" s="12" t="str">
        <x:v>Adient Automotive Ltd</x:v>
      </x:c>
    </x:row>
    <x:row r="77" ht="48" customHeight="1">
      <x:c r="A77" s="2" t="str">
        <x:v>TEN-4BCB797C8F86</x:v>
      </x:c>
      <x:c r="B77" s="12" t="str">
        <x:v>Adiona Travels Pvt</x:v>
      </x:c>
      <x:c r="C77" s="12" t="str">
        <x:v>Business / brand</x:v>
      </x:c>
      <x:c r="D77" s="12" t="str">
        <x:v>Trade, consumer &amp; logistics</x:v>
      </x:c>
      <x:c r="E77" s="12" t="str">
        <x:v>Travel, hospitality, food &amp; beverages</x:v>
      </x:c>
      <x:c r="F77" s="12" t="str">
        <x:v>Small-scale prospects</x:v>
      </x:c>
      <x:c r="G77" s="12" t="str">
        <x:v>Trading or consumer-services business; small-scale prospect assumption.</x:v>
      </x:c>
      <x:c r="H77" s="11" t="n">
        <x:v>1</x:v>
      </x:c>
      <x:c r="I77" s="11" t="n">
        <x:v>1</x:v>
      </x:c>
      <x:c r="J77" s="11" t="n">
        <x:v>1</x:v>
      </x:c>
      <x:c r="K77" s="11" t="n">
        <x:v>0</x:v>
      </x:c>
      <x:c r="L77" s="17" t="n">
        <x:f>SUM(SUMIFS('Costing'!$P$9:$P$492,'Costing'!$A$9:$A$492,"MAIN-203"))</x:f>
        <x:v>40000</x:v>
      </x:c>
      <x:c r="M77" s="17" t="n">
        <x:f>ROUND(L77*'Costing'!$C$4,2)</x:f>
        <x:v>7200</x:v>
      </x:c>
      <x:c r="N77" s="17" t="n">
        <x:f>L77+M77</x:f>
        <x:v>47200</x:v>
      </x:c>
      <x:c r="O77" s="12" t="str">
        <x:v>Delhi NCR</x:v>
      </x:c>
      <x:c r="P77" s="12" t="str">
        <x:v>CORP-0199</x:v>
      </x:c>
      <x:c r="Q77" s="12" t="str">
        <x:v>Adiona Travels Pvt</x:v>
      </x:c>
    </x:row>
    <x:row r="78" ht="48" customHeight="1">
      <x:c r="A78" s="2" t="str">
        <x:v>TEN-E7F9F6E5FC3F</x:v>
      </x:c>
      <x:c r="B78" s="12" t="str">
        <x:v>Aditi Technologies</x:v>
      </x:c>
      <x:c r="C78" s="12" t="str">
        <x:v>Business / brand</x:v>
      </x:c>
      <x:c r="D78" s="12" t="str">
        <x:v>IT &amp; digital</x:v>
      </x:c>
      <x:c r="E78" s="12" t="str">
        <x:v>Enterprise software &amp; digital engineering</x:v>
      </x:c>
      <x:c r="F78" s="12" t="str">
        <x:v>Mixed business audience</x:v>
      </x:c>
      <x:c r="G78" s="12" t="str">
        <x:v>Established brand or business network; local company scale is not established. Use a mixed-business message.</x:v>
      </x:c>
      <x:c r="H78" s="11" t="n">
        <x:v>5</x:v>
      </x:c>
      <x:c r="I78" s="11" t="n">
        <x:v>5</x:v>
      </x:c>
      <x:c r="J78" s="11" t="n">
        <x:v>5</x:v>
      </x:c>
      <x:c r="K78" s="11" t="n">
        <x:v>0</x:v>
      </x:c>
      <x:c r="L78" s="17" t="n">
        <x:f>SUM(SUMIFS('Costing'!$P$9:$P$492,'Costing'!$A$9:$A$492,"PARTNER-M051"))</x:f>
        <x:v>200000</x:v>
      </x:c>
      <x:c r="M78" s="17" t="n">
        <x:f>ROUND(L78*'Costing'!$C$4,2)</x:f>
        <x:v>36000</x:v>
      </x:c>
      <x:c r="N78" s="17" t="n">
        <x:f>L78+M78</x:f>
        <x:v>236000</x:v>
      </x:c>
      <x:c r="O78" s="12" t="str">
        <x:v>Bengaluru</x:v>
      </x:c>
      <x:c r="P78" s="12" t="str">
        <x:v>CORP-0469, CORP-0470, CORP-0471, CORP-0472, CORP-0473</x:v>
      </x:c>
      <x:c r="Q78" s="12" t="str">
        <x:v>Aditi Technologies</x:v>
      </x:c>
    </x:row>
    <x:row r="79" ht="49" customHeight="1">
      <x:c r="A79" s="2" t="str">
        <x:v>TEN-52D3771C1219</x:v>
      </x:c>
      <x:c r="B79" s="12" t="str">
        <x:v>Aditya birla capital health insurance</x:v>
      </x:c>
      <x:c r="C79" s="12" t="str">
        <x:v>Business / brand</x:v>
      </x:c>
      <x:c r="D79" s="12" t="str">
        <x:v>Finance &amp; insurance</x:v>
      </x:c>
      <x:c r="E79" s="12" t="str">
        <x:v>Insurance &amp; insurance services</x:v>
      </x:c>
      <x:c r="F79" s="12" t="str">
        <x:v>Large enterprise</x:v>
      </x:c>
      <x:c r="G79" s="12" t="str">
        <x:v>National diversified financial-services group context. Health-insurance name is an audience/brand association, not exact legal-entity verification.</x:v>
      </x:c>
      <x:c r="H79" s="11" t="n">
        <x:v>1</x:v>
      </x:c>
      <x:c r="I79" s="11" t="n">
        <x:v>47</x:v>
      </x:c>
      <x:c r="J79" s="11" t="n">
        <x:v>47</x:v>
      </x:c>
      <x:c r="K79" s="11" t="n">
        <x:v>0</x:v>
      </x:c>
      <x:c r="L79" s="17" t="n">
        <x:f>SUM(SUMIFS('Costing'!$P$9:$P$492,'Costing'!$A$9:$A$492,"MAIN-308"))</x:f>
        <x:v>705000</x:v>
      </x:c>
      <x:c r="M79" s="17" t="n">
        <x:f>ROUND(L79*'Costing'!$C$4,2)</x:f>
        <x:v>126900</x:v>
      </x:c>
      <x:c r="N79" s="17" t="n">
        <x:f>L79+M79</x:f>
        <x:v>831900</x:v>
      </x:c>
      <x:c r="O79" s="12" t="str">
        <x:v>Mumbai</x:v>
      </x:c>
      <x:c r="P79" s="12" t="str">
        <x:v>CORP-0304</x:v>
      </x:c>
      <x:c r="Q79" s="12" t="str">
        <x:v>Aditya birla capital health insurance</x:v>
      </x:c>
    </x:row>
    <x:row r="80" ht="48" customHeight="1">
      <x:c r="A80" s="2" t="str">
        <x:v>TEN-4142B3BC93EF</x:v>
      </x:c>
      <x:c r="B80" s="12" t="str">
        <x:v>Aditya Birla Group</x:v>
      </x:c>
      <x:c r="C80" s="12" t="str">
        <x:v>Business / brand</x:v>
      </x:c>
      <x:c r="D80" s="12" t="str">
        <x:v>Unresolved</x:v>
      </x:c>
      <x:c r="E80" s="12" t="str">
        <x:v>Business activity not established</x:v>
      </x:c>
      <x:c r="F80" s="12" t="str">
        <x:v>Large enterprise</x:v>
      </x:c>
      <x:c r="G80" s="12" t="str">
        <x:v>Explicit Aditya Birla enterprise-family context; see ENTERPRISE_SUPP_022 evidence.</x:v>
      </x:c>
      <x:c r="H80" s="11" t="n">
        <x:v>1</x:v>
      </x:c>
      <x:c r="I80" s="11" t="n">
        <x:v>1</x:v>
      </x:c>
      <x:c r="J80" s="11" t="n">
        <x:v>1</x:v>
      </x:c>
      <x:c r="K80" s="11" t="n">
        <x:v>0</x:v>
      </x:c>
      <x:c r="L80" s="17" t="n">
        <x:f>SUM(SUMIFS('Costing'!$P$9:$P$492,'Costing'!$A$9:$A$492,"MAIN-269"))</x:f>
        <x:v>40000</x:v>
      </x:c>
      <x:c r="M80" s="17" t="n">
        <x:f>ROUND(L80*'Costing'!$C$4,2)</x:f>
        <x:v>7200</x:v>
      </x:c>
      <x:c r="N80" s="17" t="n">
        <x:f>L80+M80</x:f>
        <x:v>47200</x:v>
      </x:c>
      <x:c r="O80" s="12" t="str">
        <x:v>Indore</x:v>
      </x:c>
      <x:c r="P80" s="12" t="str">
        <x:v>CORP-0265</x:v>
      </x:c>
      <x:c r="Q80" s="12" t="str">
        <x:v>Aditya Birla Group</x:v>
      </x:c>
    </x:row>
    <x:row r="81" ht="48" customHeight="1">
      <x:c r="A81" s="2" t="str">
        <x:v>TEN-092903F0473D</x:v>
      </x:c>
      <x:c r="B81" s="12" t="str">
        <x:v>Aditya Birla Health Insurance Co. Limited</x:v>
      </x:c>
      <x:c r="C81" s="12" t="str">
        <x:v>Business / brand</x:v>
      </x:c>
      <x:c r="D81" s="12" t="str">
        <x:v>Finance &amp; insurance</x:v>
      </x:c>
      <x:c r="E81" s="12" t="str">
        <x:v>Insurance &amp; insurance services</x:v>
      </x:c>
      <x:c r="F81" s="12" t="str">
        <x:v>Large enterprise</x:v>
      </x:c>
      <x:c r="G81" s="12" t="str">
        <x:v>Explicit Aditya Birla enterprise-family context; see ENTERPRISE_SUPP_022 evidence.</x:v>
      </x:c>
      <x:c r="H81" s="11" t="n">
        <x:v>1</x:v>
      </x:c>
      <x:c r="I81" s="11" t="n">
        <x:v>1</x:v>
      </x:c>
      <x:c r="J81" s="11" t="n">
        <x:v>1</x:v>
      </x:c>
      <x:c r="K81" s="11" t="n">
        <x:v>0</x:v>
      </x:c>
      <x:c r="L81" s="17" t="n">
        <x:f>SUM(SUMIFS('Costing'!$P$9:$P$492,'Costing'!$A$9:$A$492,"MAIN-331"))</x:f>
        <x:v>15000</x:v>
      </x:c>
      <x:c r="M81" s="17" t="n">
        <x:f>ROUND(L81*'Costing'!$C$4,2)</x:f>
        <x:v>2700</x:v>
      </x:c>
      <x:c r="N81" s="17" t="n">
        <x:f>L81+M81</x:f>
        <x:v>17700</x:v>
      </x:c>
      <x:c r="O81" s="12" t="str">
        <x:v>Mumbai</x:v>
      </x:c>
      <x:c r="P81" s="12" t="str">
        <x:v>CORP-0327</x:v>
      </x:c>
      <x:c r="Q81" s="12" t="str">
        <x:v>Aditya Birla Health Insurance Co. Limited</x:v>
      </x:c>
    </x:row>
    <x:row r="82" ht="48" customHeight="1">
      <x:c r="A82" s="2" t="str">
        <x:v>TEN-A1609153A053</x:v>
      </x:c>
      <x:c r="B82" s="12" t="str">
        <x:v>ADMIREASIA</x:v>
      </x:c>
      <x:c r="C82" s="12" t="str">
        <x:v>Business / brand</x:v>
      </x:c>
      <x:c r="D82" s="12" t="str">
        <x:v>Unresolved</x:v>
      </x:c>
      <x:c r="E82" s="12" t="str">
        <x:v>Business activity not established</x:v>
      </x:c>
      <x:c r="F82" s="12" t="str">
        <x:v>Mixed business audience</x:v>
      </x:c>
      <x:c r="G82" s="12" t="str">
        <x:v>Business activity and company scale are not established from this name.</x:v>
      </x:c>
      <x:c r="H82" s="11" t="n">
        <x:v>1</x:v>
      </x:c>
      <x:c r="I82" s="11" t="n">
        <x:v>5</x:v>
      </x:c>
      <x:c r="J82" s="11" t="n">
        <x:v>5</x:v>
      </x:c>
      <x:c r="K82" s="11" t="n">
        <x:v>0</x:v>
      </x:c>
      <x:c r="L82" s="17" t="n">
        <x:f>SUM(SUMIFS('Costing'!$P$9:$P$492,'Costing'!$A$9:$A$492,"MAIN-119"))</x:f>
        <x:v>125000</x:v>
      </x:c>
      <x:c r="M82" s="17" t="n">
        <x:f>ROUND(L82*'Costing'!$C$4,2)</x:f>
        <x:v>22500</x:v>
      </x:c>
      <x:c r="N82" s="17" t="n">
        <x:f>L82+M82</x:f>
        <x:v>147500</x:v>
      </x:c>
      <x:c r="O82" s="12" t="str">
        <x:v>Bengaluru</x:v>
      </x:c>
      <x:c r="P82" s="12" t="str">
        <x:v>CORP-0115</x:v>
      </x:c>
      <x:c r="Q82" s="12" t="str">
        <x:v>ADMIREASIA</x:v>
      </x:c>
    </x:row>
    <x:row r="83" ht="48" customHeight="1">
      <x:c r="A83" s="2" t="str">
        <x:v>TEN-EE9021C84F33</x:v>
      </x:c>
      <x:c r="B83" s="12" t="str">
        <x:v>Adobe</x:v>
      </x:c>
      <x:c r="C83" s="12" t="str">
        <x:v>Business / brand</x:v>
      </x:c>
      <x:c r="D83" s="12" t="str">
        <x:v>IT &amp; digital</x:v>
      </x:c>
      <x:c r="E83" s="12" t="str">
        <x:v>Technology services — specialty unverified</x:v>
      </x:c>
      <x:c r="F83" s="12" t="str">
        <x:v>Large enterprise</x:v>
      </x:c>
      <x:c r="G83" s="12" t="str">
        <x:v>Explicit Adobe enterprise-family context; see ENTERPRISE_SUPP_038 evidence.</x:v>
      </x:c>
      <x:c r="H83" s="11" t="n">
        <x:v>6</x:v>
      </x:c>
      <x:c r="I83" s="11" t="n">
        <x:v>6</x:v>
      </x:c>
      <x:c r="J83" s="11" t="n">
        <x:v>6</x:v>
      </x:c>
      <x:c r="K83" s="11" t="n">
        <x:v>0</x:v>
      </x:c>
      <x:c r="L83" s="17" t="n">
        <x:f>SUM(SUMIFS('Costing'!$P$9:$P$492,'Costing'!$A$9:$A$492,"PARTNER-M039"))</x:f>
        <x:v>240000</x:v>
      </x:c>
      <x:c r="M83" s="17" t="n">
        <x:f>ROUND(L83*'Costing'!$C$4,2)</x:f>
        <x:v>43200</x:v>
      </x:c>
      <x:c r="N83" s="17" t="n">
        <x:f>L83+M83</x:f>
        <x:v>283200</x:v>
      </x:c>
      <x:c r="O83" s="12" t="str">
        <x:v>Bengaluru</x:v>
      </x:c>
      <x:c r="P83" s="12" t="str">
        <x:v>CORP-0457, CORP-0458, CORP-0459, CORP-0460, CORP-0461, CORP-0462</x:v>
      </x:c>
      <x:c r="Q83" s="12" t="str">
        <x:v>Adobe</x:v>
      </x:c>
    </x:row>
    <x:row r="84" ht="48" customHeight="1">
      <x:c r="A84" s="2" t="str">
        <x:v>TEN-773606B8B731</x:v>
      </x:c>
      <x:c r="B84" s="12" t="str">
        <x:v>AdvaCare Pharma USA</x:v>
      </x:c>
      <x:c r="C84" s="12" t="str">
        <x:v>Business / brand</x:v>
      </x:c>
      <x:c r="D84" s="12" t="str">
        <x:v>Healthcare &amp; life sciences</x:v>
      </x:c>
      <x:c r="E84" s="12" t="str">
        <x:v>Pharmaceuticals, biotechnology &amp; life sciences</x:v>
      </x:c>
      <x:c r="F84" s="12" t="str">
        <x:v>Medium-scale prospects</x:v>
      </x:c>
      <x:c r="G84" s="12" t="str">
        <x:v>Specialist life-sciences business; medium-scale prospect assumption.</x:v>
      </x:c>
      <x:c r="H84" s="11" t="n">
        <x:v>1</x:v>
      </x:c>
      <x:c r="I84" s="11" t="n">
        <x:v>1</x:v>
      </x:c>
      <x:c r="J84" s="11" t="n">
        <x:v>1</x:v>
      </x:c>
      <x:c r="K84" s="11" t="n">
        <x:v>0</x:v>
      </x:c>
      <x:c r="L84" s="17" t="n">
        <x:f>SUM(SUMIFS('Costing'!$P$9:$P$492,'Costing'!$A$9:$A$492,"MAIN-348"))</x:f>
        <x:v>15000</x:v>
      </x:c>
      <x:c r="M84" s="17" t="n">
        <x:f>ROUND(L84*'Costing'!$C$4,2)</x:f>
        <x:v>2700</x:v>
      </x:c>
      <x:c r="N84" s="17" t="n">
        <x:f>L84+M84</x:f>
        <x:v>17700</x:v>
      </x:c>
      <x:c r="O84" s="12" t="str">
        <x:v>Mumbai</x:v>
      </x:c>
      <x:c r="P84" s="12" t="str">
        <x:v>CORP-0344</x:v>
      </x:c>
      <x:c r="Q84" s="12" t="str">
        <x:v>AdvaCare Pharma USA</x:v>
      </x:c>
    </x:row>
    <x:row r="85" ht="48" customHeight="1">
      <x:c r="A85" s="2" t="str">
        <x:v>TEN-C40D987A6D54</x:v>
      </x:c>
      <x:c r="B85" s="12" t="str">
        <x:v>Advansoft</x:v>
      </x:c>
      <x:c r="C85" s="12" t="str">
        <x:v>Business / brand</x:v>
      </x:c>
      <x:c r="D85" s="12" t="str">
        <x:v>IT &amp; digital</x:v>
      </x:c>
      <x:c r="E85" s="12" t="str">
        <x:v>Enterprise software &amp; digital engineering</x:v>
      </x:c>
      <x:c r="F85" s="12" t="str">
        <x:v>Small-scale prospects</x:v>
      </x:c>
      <x:c r="G85" s="12" t="str">
        <x:v>Software or technology-services business; small-scale prospect assumption.</x:v>
      </x:c>
      <x:c r="H85" s="11" t="n">
        <x:v>6</x:v>
      </x:c>
      <x:c r="I85" s="11" t="n">
        <x:v>6</x:v>
      </x:c>
      <x:c r="J85" s="11" t="n">
        <x:v>6</x:v>
      </x:c>
      <x:c r="K85" s="11" t="n">
        <x:v>0</x:v>
      </x:c>
      <x:c r="L85" s="17" t="n">
        <x:f>SUM(SUMIFS('Costing'!$P$9:$P$492,'Costing'!$A$9:$A$492,"PARTNER-M289"))</x:f>
        <x:v>240000</x:v>
      </x:c>
      <x:c r="M85" s="17" t="n">
        <x:f>ROUND(L85*'Costing'!$C$4,2)</x:f>
        <x:v>43200</x:v>
      </x:c>
      <x:c r="N85" s="17" t="n">
        <x:f>L85+M85</x:f>
        <x:v>283200</x:v>
      </x:c>
      <x:c r="O85" s="12" t="str">
        <x:v>Hyderabad</x:v>
      </x:c>
      <x:c r="P85" s="12" t="str">
        <x:v>CORP-0704, CORP-0705, CORP-0706, CORP-0707, CORP-0708, CORP-0709</x:v>
      </x:c>
      <x:c r="Q85" s="12" t="str">
        <x:v>Advansoft</x:v>
      </x:c>
    </x:row>
    <x:row r="86" ht="48" customHeight="1">
      <x:c r="A86" s="2" t="str">
        <x:v>TEN-AF8F13CB7306</x:v>
      </x:c>
      <x:c r="B86" s="12" t="str">
        <x:v>AdventSys Technologies Private Limited</x:v>
      </x:c>
      <x:c r="C86" s="12" t="str">
        <x:v>Business / brand</x:v>
      </x:c>
      <x:c r="D86" s="12" t="str">
        <x:v>IT &amp; digital</x:v>
      </x:c>
      <x:c r="E86" s="12" t="str">
        <x:v>Enterprise software &amp; digital engineering</x:v>
      </x:c>
      <x:c r="F86" s="12" t="str">
        <x:v>Small-scale prospects</x:v>
      </x:c>
      <x:c r="G86" s="12" t="str">
        <x:v>Software or technology-services business; small-scale prospect assumption.</x:v>
      </x:c>
      <x:c r="H86" s="11" t="n">
        <x:v>1</x:v>
      </x:c>
      <x:c r="I86" s="11" t="n">
        <x:v>5</x:v>
      </x:c>
      <x:c r="J86" s="11" t="n">
        <x:v>5</x:v>
      </x:c>
      <x:c r="K86" s="11" t="n">
        <x:v>0</x:v>
      </x:c>
      <x:c r="L86" s="17" t="n">
        <x:f>SUM(SUMIFS('Costing'!$P$9:$P$492,'Costing'!$A$9:$A$492,"MAIN-025"))</x:f>
        <x:v>75000</x:v>
      </x:c>
      <x:c r="M86" s="17" t="n">
        <x:f>ROUND(L86*'Costing'!$C$4,2)</x:f>
        <x:v>13500</x:v>
      </x:c>
      <x:c r="N86" s="17" t="n">
        <x:f>L86+M86</x:f>
        <x:v>88500</x:v>
      </x:c>
      <x:c r="O86" s="12" t="str">
        <x:v>Bengaluru</x:v>
      </x:c>
      <x:c r="P86" s="12" t="str">
        <x:v>CORP-0021</x:v>
      </x:c>
      <x:c r="Q86" s="12" t="str">
        <x:v>AdventSys Technologies Private Limited</x:v>
      </x:c>
    </x:row>
    <x:row r="87" ht="48" customHeight="1">
      <x:c r="A87" s="2" t="str">
        <x:v>TEN-192B0F3559B4</x:v>
      </x:c>
      <x:c r="B87" s="12" t="str">
        <x:v>Advik Real Estate</x:v>
      </x:c>
      <x:c r="C87" s="12" t="str">
        <x:v>Business / brand</x:v>
      </x:c>
      <x:c r="D87" s="12" t="str">
        <x:v>Trade, consumer &amp; logistics</x:v>
      </x:c>
      <x:c r="E87" s="12" t="str">
        <x:v>Real estate, property &amp; construction services</x:v>
      </x:c>
      <x:c r="F87" s="12" t="str">
        <x:v>Small-scale prospects</x:v>
      </x:c>
      <x:c r="G87" s="12" t="str">
        <x:v>Trading or consumer-services business; small-scale prospect assumption.</x:v>
      </x:c>
      <x:c r="H87" s="11" t="n">
        <x:v>1</x:v>
      </x:c>
      <x:c r="I87" s="11" t="n">
        <x:v>4</x:v>
      </x:c>
      <x:c r="J87" s="11" t="n">
        <x:v>4</x:v>
      </x:c>
      <x:c r="K87" s="11" t="n">
        <x:v>0</x:v>
      </x:c>
      <x:c r="L87" s="17" t="n">
        <x:f>SUM(SUMIFS('Costing'!$P$9:$P$492,'Costing'!$A$9:$A$492,"MAIN-198"))</x:f>
        <x:v>60000</x:v>
      </x:c>
      <x:c r="M87" s="17" t="n">
        <x:f>ROUND(L87*'Costing'!$C$4,2)</x:f>
        <x:v>10800</x:v>
      </x:c>
      <x:c r="N87" s="17" t="n">
        <x:f>L87+M87</x:f>
        <x:v>70800</x:v>
      </x:c>
      <x:c r="O87" s="12" t="str">
        <x:v>Delhi NCR</x:v>
      </x:c>
      <x:c r="P87" s="12" t="str">
        <x:v>CORP-0194</x:v>
      </x:c>
      <x:c r="Q87" s="12" t="str">
        <x:v>Advik Real Estate</x:v>
      </x:c>
    </x:row>
    <x:row r="88" ht="48" customHeight="1">
      <x:c r="A88" s="2" t="str">
        <x:v>TEN-474177C9CCE2</x:v>
      </x:c>
      <x:c r="B88" s="12" t="str">
        <x:v>AdZ</x:v>
      </x:c>
      <x:c r="C88" s="12" t="str">
        <x:v>Business / brand</x:v>
      </x:c>
      <x:c r="D88" s="12" t="str">
        <x:v>Unresolved</x:v>
      </x:c>
      <x:c r="E88" s="12" t="str">
        <x:v>Business activity not established</x:v>
      </x:c>
      <x:c r="F88" s="12" t="str">
        <x:v>Mixed business audience</x:v>
      </x:c>
      <x:c r="G88" s="12" t="str">
        <x:v>Business activity and company scale are not established from this name.</x:v>
      </x:c>
      <x:c r="H88" s="11" t="n">
        <x:v>1</x:v>
      </x:c>
      <x:c r="I88" s="11" t="n">
        <x:v>2</x:v>
      </x:c>
      <x:c r="J88" s="11" t="n">
        <x:v>2</x:v>
      </x:c>
      <x:c r="K88" s="11" t="n">
        <x:v>0</x:v>
      </x:c>
      <x:c r="L88" s="17" t="n">
        <x:f>SUM(SUMIFS('Costing'!$P$9:$P$492,'Costing'!$A$9:$A$492,"MAIN-162"))</x:f>
        <x:v>30000</x:v>
      </x:c>
      <x:c r="M88" s="17" t="n">
        <x:f>ROUND(L88*'Costing'!$C$4,2)</x:f>
        <x:v>5400</x:v>
      </x:c>
      <x:c r="N88" s="17" t="n">
        <x:f>L88+M88</x:f>
        <x:v>35400</x:v>
      </x:c>
      <x:c r="O88" s="12" t="str">
        <x:v>Delhi NCR</x:v>
      </x:c>
      <x:c r="P88" s="12" t="str">
        <x:v>CORP-0158</x:v>
      </x:c>
      <x:c r="Q88" s="12" t="str">
        <x:v>AdZ</x:v>
      </x:c>
    </x:row>
    <x:row r="89" ht="48" customHeight="1">
      <x:c r="A89" s="2" t="str">
        <x:v>TEN-598F7A741A1E</x:v>
      </x:c>
      <x:c r="B89" s="12" t="str">
        <x:v>Aegis</x:v>
      </x:c>
      <x:c r="C89" s="12" t="str">
        <x:v>Business / brand</x:v>
      </x:c>
      <x:c r="D89" s="12" t="str">
        <x:v>IT &amp; digital</x:v>
      </x:c>
      <x:c r="E89" s="12" t="str">
        <x:v>Business process &amp; customer operations</x:v>
      </x:c>
      <x:c r="F89" s="12" t="str">
        <x:v>Mixed business audience</x:v>
      </x:c>
      <x:c r="G89" s="12" t="str">
        <x:v>Established brand or business network; local company scale is not established. Use a mixed-business message.</x:v>
      </x:c>
      <x:c r="H89" s="11" t="n">
        <x:v>9</x:v>
      </x:c>
      <x:c r="I89" s="11" t="n">
        <x:v>9</x:v>
      </x:c>
      <x:c r="J89" s="11" t="n">
        <x:v>9</x:v>
      </x:c>
      <x:c r="K89" s="11" t="n">
        <x:v>0</x:v>
      </x:c>
      <x:c r="L89" s="17" t="n">
        <x:f>SUM(SUMIFS('Costing'!$P$9:$P$492,'Costing'!$A$9:$A$492,"PARTNER-M002"))</x:f>
        <x:v>360000</x:v>
      </x:c>
      <x:c r="M89" s="17" t="n">
        <x:f>ROUND(L89*'Costing'!$C$4,2)</x:f>
        <x:v>64800</x:v>
      </x:c>
      <x:c r="N89" s="17" t="n">
        <x:f>L89+M89</x:f>
        <x:v>424800</x:v>
      </x:c>
      <x:c r="O89" s="12" t="str">
        <x:v>Bengaluru</x:v>
      </x:c>
      <x:c r="P89" s="12" t="str">
        <x:v>CORP-0420, CORP-0421, CORP-0422, CORP-0423, CORP-0424, CORP-0425, CORP-0426, CORP-0427, CORP-0428</x:v>
      </x:c>
      <x:c r="Q89" s="12" t="str">
        <x:v>Aegis</x:v>
      </x:c>
    </x:row>
    <x:row r="90" ht="48" customHeight="1">
      <x:c r="A90" s="2" t="str">
        <x:v>TEN-6B0F63C5E611</x:v>
      </x:c>
      <x:c r="B90" s="12" t="str">
        <x:v>Aeries Technology Private Limited</x:v>
      </x:c>
      <x:c r="C90" s="12" t="str">
        <x:v>Business / brand</x:v>
      </x:c>
      <x:c r="D90" s="12" t="str">
        <x:v>IT &amp; digital</x:v>
      </x:c>
      <x:c r="E90" s="12" t="str">
        <x:v>Enterprise software &amp; digital engineering</x:v>
      </x:c>
      <x:c r="F90" s="12" t="str">
        <x:v>Mixed business audience</x:v>
      </x:c>
      <x:c r="G90" s="12" t="str">
        <x:v>Established brand or business network; local company scale is not established. Use a mixed-business message.</x:v>
      </x:c>
      <x:c r="H90" s="11" t="n">
        <x:v>5</x:v>
      </x:c>
      <x:c r="I90" s="11" t="n">
        <x:v>5</x:v>
      </x:c>
      <x:c r="J90" s="11" t="n">
        <x:v>5</x:v>
      </x:c>
      <x:c r="K90" s="11" t="n">
        <x:v>0</x:v>
      </x:c>
      <x:c r="L90" s="17" t="n">
        <x:f>SUM(SUMIFS('Costing'!$P$9:$P$492,'Costing'!$A$9:$A$492,"PARTNER-M034"))</x:f>
        <x:v>200000</x:v>
      </x:c>
      <x:c r="M90" s="17" t="n">
        <x:f>ROUND(L90*'Costing'!$C$4,2)</x:f>
        <x:v>36000</x:v>
      </x:c>
      <x:c r="N90" s="17" t="n">
        <x:f>L90+M90</x:f>
        <x:v>236000</x:v>
      </x:c>
      <x:c r="O90" s="12" t="str">
        <x:v>Bengaluru</x:v>
      </x:c>
      <x:c r="P90" s="12" t="str">
        <x:v>CORP-0452, CORP-0453, CORP-0454, CORP-0455, CORP-0456</x:v>
      </x:c>
      <x:c r="Q90" s="12" t="str">
        <x:v>Aeries Technology Private Limited</x:v>
      </x:c>
    </x:row>
    <x:row r="91" ht="48" customHeight="1">
      <x:c r="A91" s="2" t="str">
        <x:v>TEN-D50AE0B08964</x:v>
      </x:c>
      <x:c r="B91" s="12" t="str">
        <x:v>AeroByte Innovations Pvt. Ltd</x:v>
      </x:c>
      <x:c r="C91" s="12" t="str">
        <x:v>Business / brand</x:v>
      </x:c>
      <x:c r="D91" s="12" t="str">
        <x:v>Unresolved</x:v>
      </x:c>
      <x:c r="E91" s="12" t="str">
        <x:v>Business activity not established</x:v>
      </x:c>
      <x:c r="F91" s="12" t="str">
        <x:v>Mixed business audience</x:v>
      </x:c>
      <x:c r="G91" s="12" t="str">
        <x:v>Business activity and company scale are not established from this name.</x:v>
      </x:c>
      <x:c r="H91" s="11" t="n">
        <x:v>1</x:v>
      </x:c>
      <x:c r="I91" s="11" t="n">
        <x:v>1</x:v>
      </x:c>
      <x:c r="J91" s="11" t="n">
        <x:v>1</x:v>
      </x:c>
      <x:c r="K91" s="11" t="n">
        <x:v>0</x:v>
      </x:c>
      <x:c r="L91" s="17" t="n">
        <x:f>SUM(SUMIFS('Costing'!$P$9:$P$492,'Costing'!$A$9:$A$492,"MAIN-247"))</x:f>
        <x:v>15000</x:v>
      </x:c>
      <x:c r="M91" s="17" t="n">
        <x:f>ROUND(L91*'Costing'!$C$4,2)</x:f>
        <x:v>2700</x:v>
      </x:c>
      <x:c r="N91" s="17" t="n">
        <x:f>L91+M91</x:f>
        <x:v>17700</x:v>
      </x:c>
      <x:c r="O91" s="12" t="str">
        <x:v>Hyderabad</x:v>
      </x:c>
      <x:c r="P91" s="12" t="str">
        <x:v>CORP-0243</x:v>
      </x:c>
      <x:c r="Q91" s="12" t="str">
        <x:v>AeroByte Innovations Pvt. Ltd</x:v>
      </x:c>
    </x:row>
    <x:row r="92" ht="48" customHeight="1">
      <x:c r="A92" s="2" t="str">
        <x:v>TEN-122B60C0A5AE</x:v>
      </x:c>
      <x:c r="B92" s="12" t="str">
        <x:v>Aerosquad private limited</x:v>
      </x:c>
      <x:c r="C92" s="12" t="str">
        <x:v>Business / brand</x:v>
      </x:c>
      <x:c r="D92" s="12" t="str">
        <x:v>Engineering &amp; manufacturing</x:v>
      </x:c>
      <x:c r="E92" s="12" t="str">
        <x:v>Engineering, testing &amp; technical services</x:v>
      </x:c>
      <x:c r="F92" s="12" t="str">
        <x:v>Medium-scale prospects</x:v>
      </x:c>
      <x:c r="G92" s="12" t="str">
        <x:v>Specialist industrial or engineering business; medium-scale prospect assumption.</x:v>
      </x:c>
      <x:c r="H92" s="11" t="n">
        <x:v>1</x:v>
      </x:c>
      <x:c r="I92" s="11" t="n">
        <x:v>3</x:v>
      </x:c>
      <x:c r="J92" s="11" t="n">
        <x:v>3</x:v>
      </x:c>
      <x:c r="K92" s="11" t="n">
        <x:v>0</x:v>
      </x:c>
      <x:c r="L92" s="17" t="n">
        <x:f>SUM(SUMIFS('Costing'!$P$9:$P$492,'Costing'!$A$9:$A$492,"MAIN-142"))</x:f>
        <x:v>45000</x:v>
      </x:c>
      <x:c r="M92" s="17" t="n">
        <x:f>ROUND(L92*'Costing'!$C$4,2)</x:f>
        <x:v>8100</x:v>
      </x:c>
      <x:c r="N92" s="17" t="n">
        <x:f>L92+M92</x:f>
        <x:v>53100</x:v>
      </x:c>
      <x:c r="O92" s="12" t="str">
        <x:v>Chennai</x:v>
      </x:c>
      <x:c r="P92" s="12" t="str">
        <x:v>CORP-0138</x:v>
      </x:c>
      <x:c r="Q92" s="12" t="str">
        <x:v>Aerosquad private limited</x:v>
      </x:c>
    </x:row>
    <x:row r="93" ht="48" customHeight="1">
      <x:c r="A93" s="2" t="str">
        <x:v>TEN-C7F623980871</x:v>
      </x:c>
      <x:c r="B93" s="12" t="str">
        <x:v>Affiliated Computer Services of India Pvt Ltd</x:v>
      </x:c>
      <x:c r="C93" s="12" t="str">
        <x:v>Business / brand</x:v>
      </x:c>
      <x:c r="D93" s="12" t="str">
        <x:v>IT &amp; digital</x:v>
      </x:c>
      <x:c r="E93" s="12" t="str">
        <x:v>Enterprise software &amp; digital engineering</x:v>
      </x:c>
      <x:c r="F93" s="12" t="str">
        <x:v>Mixed business audience</x:v>
      </x:c>
      <x:c r="G93" s="12" t="str">
        <x:v>Established brand or business network; local company scale is not established. Use a mixed-business message.</x:v>
      </x:c>
      <x:c r="H93" s="11" t="n">
        <x:v>1</x:v>
      </x:c>
      <x:c r="I93" s="11" t="n">
        <x:v>3</x:v>
      </x:c>
      <x:c r="J93" s="11" t="n">
        <x:v>3</x:v>
      </x:c>
      <x:c r="K93" s="11" t="n">
        <x:v>0</x:v>
      </x:c>
      <x:c r="L93" s="17" t="n">
        <x:f>SUM(SUMIFS('Costing'!$P$9:$P$492,'Costing'!$A$9:$A$492,"MAIN-366"))</x:f>
        <x:v>45000</x:v>
      </x:c>
      <x:c r="M93" s="17" t="n">
        <x:f>ROUND(L93*'Costing'!$C$4,2)</x:f>
        <x:v>8100</x:v>
      </x:c>
      <x:c r="N93" s="17" t="n">
        <x:f>L93+M93</x:f>
        <x:v>53100</x:v>
      </x:c>
      <x:c r="O93" s="12" t="str">
        <x:v>Delhi NCR</x:v>
      </x:c>
      <x:c r="P93" s="12" t="str">
        <x:v>CORP-0362</x:v>
      </x:c>
      <x:c r="Q93" s="12" t="str">
        <x:v>Affiliated Computer Services of India Pvt Ltd</x:v>
      </x:c>
    </x:row>
    <x:row r="94" ht="48" customHeight="1">
      <x:c r="A94" s="2" t="str">
        <x:v>TEN-33A6115B3EDA</x:v>
      </x:c>
      <x:c r="B94" s="12" t="str">
        <x:v>Affirmed Networks</x:v>
      </x:c>
      <x:c r="C94" s="12" t="str">
        <x:v>Business / brand</x:v>
      </x:c>
      <x:c r="D94" s="12" t="str">
        <x:v>IT &amp; digital</x:v>
      </x:c>
      <x:c r="E94" s="12" t="str">
        <x:v>Telecom, networks &amp; connectivity</x:v>
      </x:c>
      <x:c r="F94" s="12" t="str">
        <x:v>Mixed business audience</x:v>
      </x:c>
      <x:c r="G94" s="12" t="str">
        <x:v>Established brand or business network; local company scale is not established. Use a mixed-business message.</x:v>
      </x:c>
      <x:c r="H94" s="11" t="n">
        <x:v>2</x:v>
      </x:c>
      <x:c r="I94" s="11" t="n">
        <x:v>2</x:v>
      </x:c>
      <x:c r="J94" s="11" t="n">
        <x:v>2</x:v>
      </x:c>
      <x:c r="K94" s="11" t="n">
        <x:v>0</x:v>
      </x:c>
      <x:c r="L94" s="17" t="n">
        <x:f>SUM(SUMIFS('Costing'!$P$9:$P$492,'Costing'!$A$9:$A$492,"PARTNER-M070"))</x:f>
        <x:v>80000</x:v>
      </x:c>
      <x:c r="M94" s="17" t="n">
        <x:f>ROUND(L94*'Costing'!$C$4,2)</x:f>
        <x:v>14400</x:v>
      </x:c>
      <x:c r="N94" s="17" t="n">
        <x:f>L94+M94</x:f>
        <x:v>94400</x:v>
      </x:c>
      <x:c r="O94" s="12" t="str">
        <x:v>Bengaluru</x:v>
      </x:c>
      <x:c r="P94" s="12" t="str">
        <x:v>CORP-0488, CORP-0489</x:v>
      </x:c>
      <x:c r="Q94" s="12" t="str">
        <x:v>Affirmed Networks</x:v>
      </x:c>
    </x:row>
    <x:row r="95" ht="48" customHeight="1">
      <x:c r="A95" s="2" t="str">
        <x:v>TEN-6808A4E9C9BB</x:v>
      </x:c>
      <x:c r="B95" s="12" t="str">
        <x:v>ag aqugen</x:v>
      </x:c>
      <x:c r="C95" s="12" t="str">
        <x:v>Business / brand</x:v>
      </x:c>
      <x:c r="D95" s="12" t="str">
        <x:v>Unresolved</x:v>
      </x:c>
      <x:c r="E95" s="12" t="str">
        <x:v>Business activity not established</x:v>
      </x:c>
      <x:c r="F95" s="12" t="str">
        <x:v>Mixed business audience</x:v>
      </x:c>
      <x:c r="G95" s="12" t="str">
        <x:v>Business activity and company scale are not established from this name.</x:v>
      </x:c>
      <x:c r="H95" s="11" t="n">
        <x:v>1</x:v>
      </x:c>
      <x:c r="I95" s="11" t="n">
        <x:v>2</x:v>
      </x:c>
      <x:c r="J95" s="11" t="n">
        <x:v>2</x:v>
      </x:c>
      <x:c r="K95" s="11" t="n">
        <x:v>0</x:v>
      </x:c>
      <x:c r="L95" s="17" t="n">
        <x:f>SUM(SUMIFS('Costing'!$P$9:$P$492,'Costing'!$A$9:$A$492,"MAIN-162"))</x:f>
        <x:v>30000</x:v>
      </x:c>
      <x:c r="M95" s="17" t="n">
        <x:f>ROUND(L95*'Costing'!$C$4,2)</x:f>
        <x:v>5400</x:v>
      </x:c>
      <x:c r="N95" s="17" t="n">
        <x:f>L95+M95</x:f>
        <x:v>35400</x:v>
      </x:c>
      <x:c r="O95" s="12" t="str">
        <x:v>Delhi NCR</x:v>
      </x:c>
      <x:c r="P95" s="12" t="str">
        <x:v>CORP-0158</x:v>
      </x:c>
      <x:c r="Q95" s="12" t="str">
        <x:v>ag aqugen</x:v>
      </x:c>
    </x:row>
    <x:row r="96" ht="48" customHeight="1">
      <x:c r="A96" s="2" t="str">
        <x:v>TEN-9104E1CC29F2</x:v>
      </x:c>
      <x:c r="B96" s="12" t="str">
        <x:v>AG Privilege</x:v>
      </x:c>
      <x:c r="C96" s="12" t="str">
        <x:v>Business / brand</x:v>
      </x:c>
      <x:c r="D96" s="12" t="str">
        <x:v>Unresolved</x:v>
      </x:c>
      <x:c r="E96" s="12" t="str">
        <x:v>Business activity not established</x:v>
      </x:c>
      <x:c r="F96" s="12" t="str">
        <x:v>Mixed business audience</x:v>
      </x:c>
      <x:c r="G96" s="12" t="str">
        <x:v>Business activity and company scale are not established from this name.</x:v>
      </x:c>
      <x:c r="H96" s="11" t="n">
        <x:v>1</x:v>
      </x:c>
      <x:c r="I96" s="11" t="n">
        <x:v>1</x:v>
      </x:c>
      <x:c r="J96" s="11" t="n">
        <x:v>1</x:v>
      </x:c>
      <x:c r="K96" s="11" t="n">
        <x:v>0</x:v>
      </x:c>
      <x:c r="L96" s="17" t="n">
        <x:f>SUM(SUMIFS('Costing'!$P$9:$P$492,'Costing'!$A$9:$A$492,"MAIN-086"))</x:f>
        <x:v>15000</x:v>
      </x:c>
      <x:c r="M96" s="17" t="n">
        <x:f>ROUND(L96*'Costing'!$C$4,2)</x:f>
        <x:v>2700</x:v>
      </x:c>
      <x:c r="N96" s="17" t="n">
        <x:f>L96+M96</x:f>
        <x:v>17700</x:v>
      </x:c>
      <x:c r="O96" s="12" t="str">
        <x:v>Bengaluru</x:v>
      </x:c>
      <x:c r="P96" s="12" t="str">
        <x:v>CORP-0082</x:v>
      </x:c>
      <x:c r="Q96" s="12" t="str">
        <x:v>AG Privilege</x:v>
      </x:c>
    </x:row>
    <x:row r="97" ht="48" customHeight="1">
      <x:c r="A97" s="2" t="str">
        <x:v>TEN-731DBD118BBD</x:v>
      </x:c>
      <x:c r="B97" s="12" t="str">
        <x:v>Agile Labs</x:v>
      </x:c>
      <x:c r="C97" s="12" t="str">
        <x:v>Business / brand</x:v>
      </x:c>
      <x:c r="D97" s="12" t="str">
        <x:v>IT &amp; digital</x:v>
      </x:c>
      <x:c r="E97" s="12" t="str">
        <x:v>Enterprise software &amp; digital engineering</x:v>
      </x:c>
      <x:c r="F97" s="12" t="str">
        <x:v>Small-scale prospects</x:v>
      </x:c>
      <x:c r="G97" s="12" t="str">
        <x:v>Software or technology-services business; small-scale prospect assumption.</x:v>
      </x:c>
      <x:c r="H97" s="11" t="n">
        <x:v>1</x:v>
      </x:c>
      <x:c r="I97" s="11" t="n">
        <x:v>1</x:v>
      </x:c>
      <x:c r="J97" s="11" t="n">
        <x:v>1</x:v>
      </x:c>
      <x:c r="K97" s="11" t="n">
        <x:v>0</x:v>
      </x:c>
      <x:c r="L97" s="17" t="n">
        <x:f>SUM(SUMIFS('Costing'!$P$9:$P$492,'Costing'!$A$9:$A$492,"MAIN-093"))</x:f>
        <x:v>15000</x:v>
      </x:c>
      <x:c r="M97" s="17" t="n">
        <x:f>ROUND(L97*'Costing'!$C$4,2)</x:f>
        <x:v>2700</x:v>
      </x:c>
      <x:c r="N97" s="17" t="n">
        <x:f>L97+M97</x:f>
        <x:v>17700</x:v>
      </x:c>
      <x:c r="O97" s="12" t="str">
        <x:v>Bengaluru</x:v>
      </x:c>
      <x:c r="P97" s="12" t="str">
        <x:v>CORP-0089</x:v>
      </x:c>
      <x:c r="Q97" s="12" t="str">
        <x:v>Agile Labs</x:v>
      </x:c>
    </x:row>
    <x:row r="98" ht="48" customHeight="1">
      <x:c r="A98" s="2" t="str">
        <x:v>TEN-2FFACCC9B784</x:v>
      </x:c>
      <x:c r="B98" s="12" t="str">
        <x:v>Agilisium Consulting</x:v>
      </x:c>
      <x:c r="C98" s="12" t="str">
        <x:v>Business / brand</x:v>
      </x:c>
      <x:c r="D98" s="12" t="str">
        <x:v>IT &amp; digital</x:v>
      </x:c>
      <x:c r="E98" s="12" t="str">
        <x:v>AI, data &amp; analytics</x:v>
      </x:c>
      <x:c r="F98" s="12" t="str">
        <x:v>Small-scale prospects</x:v>
      </x:c>
      <x:c r="G98" s="12" t="str">
        <x:v>Software or technology-services business; small-scale prospect assumption.</x:v>
      </x:c>
      <x:c r="H98" s="11" t="n">
        <x:v>6</x:v>
      </x:c>
      <x:c r="I98" s="11" t="n">
        <x:v>6</x:v>
      </x:c>
      <x:c r="J98" s="11" t="n">
        <x:v>6</x:v>
      </x:c>
      <x:c r="K98" s="11" t="n">
        <x:v>0</x:v>
      </x:c>
      <x:c r="L98" s="17" t="n">
        <x:f>SUM(SUMIFS('Costing'!$P$9:$P$492,'Costing'!$A$9:$A$492,"PARTNER-M325"))</x:f>
        <x:v>240000</x:v>
      </x:c>
      <x:c r="M98" s="17" t="n">
        <x:f>ROUND(L98*'Costing'!$C$4,2)</x:f>
        <x:v>43200</x:v>
      </x:c>
      <x:c r="N98" s="17" t="n">
        <x:f>L98+M98</x:f>
        <x:v>283200</x:v>
      </x:c>
      <x:c r="O98" s="12" t="str">
        <x:v>Chennai</x:v>
      </x:c>
      <x:c r="P98" s="12" t="str">
        <x:v>CORP-0739, CORP-0740, CORP-0741, CORP-0742, CORP-0743, CORP-0744</x:v>
      </x:c>
      <x:c r="Q98" s="12" t="str">
        <x:v>Agilisium Consulting</x:v>
      </x:c>
    </x:row>
    <x:row r="99" ht="48" customHeight="1">
      <x:c r="A99" s="2" t="str">
        <x:v>TEN-9AC38C1AEF1F</x:v>
      </x:c>
      <x:c r="B99" s="12" t="str">
        <x:v>Agilitix Al</x:v>
      </x:c>
      <x:c r="C99" s="12" t="str">
        <x:v>Business / brand</x:v>
      </x:c>
      <x:c r="D99" s="12" t="str">
        <x:v>Unresolved</x:v>
      </x:c>
      <x:c r="E99" s="12" t="str">
        <x:v>Business activity not established</x:v>
      </x:c>
      <x:c r="F99" s="12" t="str">
        <x:v>Mixed business audience</x:v>
      </x:c>
      <x:c r="G99" s="12" t="str">
        <x:v>Business activity and company scale are not established from this name.</x:v>
      </x:c>
      <x:c r="H99" s="11" t="n">
        <x:v>1</x:v>
      </x:c>
      <x:c r="I99" s="11" t="n">
        <x:v>4</x:v>
      </x:c>
      <x:c r="J99" s="11" t="n">
        <x:v>4</x:v>
      </x:c>
      <x:c r="K99" s="11" t="n">
        <x:v>0</x:v>
      </x:c>
      <x:c r="L99" s="17" t="n">
        <x:f>SUM(SUMIFS('Costing'!$P$9:$P$492,'Costing'!$A$9:$A$492,"MAIN-226"))</x:f>
        <x:v>60000</x:v>
      </x:c>
      <x:c r="M99" s="17" t="n">
        <x:f>ROUND(L99*'Costing'!$C$4,2)</x:f>
        <x:v>10800</x:v>
      </x:c>
      <x:c r="N99" s="17" t="n">
        <x:f>L99+M99</x:f>
        <x:v>70800</x:v>
      </x:c>
      <x:c r="O99" s="12" t="str">
        <x:v>Hyderabad</x:v>
      </x:c>
      <x:c r="P99" s="12" t="str">
        <x:v>CORP-0222</x:v>
      </x:c>
      <x:c r="Q99" s="12" t="str">
        <x:v>Agilitix Al</x:v>
      </x:c>
    </x:row>
    <x:row r="100" ht="48" customHeight="1">
      <x:c r="A100" s="2" t="str">
        <x:v>TEN-90EE7A25A1C2</x:v>
      </x:c>
      <x:c r="B100" s="12" t="str">
        <x:v>AGP GGD India Pvt Ltd</x:v>
      </x:c>
      <x:c r="C100" s="12" t="str">
        <x:v>Business / brand</x:v>
      </x:c>
      <x:c r="D100" s="12" t="str">
        <x:v>Unresolved</x:v>
      </x:c>
      <x:c r="E100" s="12" t="str">
        <x:v>Business activity not established</x:v>
      </x:c>
      <x:c r="F100" s="12" t="str">
        <x:v>Mixed business audience</x:v>
      </x:c>
      <x:c r="G100" s="12" t="str">
        <x:v>Business activity and company scale are not established from this name.</x:v>
      </x:c>
      <x:c r="H100" s="11" t="n">
        <x:v>2</x:v>
      </x:c>
      <x:c r="I100" s="11" t="n">
        <x:v>2</x:v>
      </x:c>
      <x:c r="J100" s="11" t="n">
        <x:v>2</x:v>
      </x:c>
      <x:c r="K100" s="11" t="n">
        <x:v>0</x:v>
      </x:c>
      <x:c r="L100" s="17" t="n">
        <x:f>SUM(SUMIFS('Costing'!$P$9:$P$492,'Costing'!$A$9:$A$492,"PARTNER-M336"))</x:f>
        <x:v>80000</x:v>
      </x:c>
      <x:c r="M100" s="17" t="n">
        <x:f>ROUND(L100*'Costing'!$C$4,2)</x:f>
        <x:v>14400</x:v>
      </x:c>
      <x:c r="N100" s="17" t="n">
        <x:f>L100+M100</x:f>
        <x:v>94400</x:v>
      </x:c>
      <x:c r="O100" s="12" t="str">
        <x:v>Chennai</x:v>
      </x:c>
      <x:c r="P100" s="12" t="str">
        <x:v>CORP-0750, CORP-0751</x:v>
      </x:c>
      <x:c r="Q100" s="12" t="str">
        <x:v>AGP GGD India Pvt Ltd</x:v>
      </x:c>
    </x:row>
    <x:row r="101" ht="48" customHeight="1">
      <x:c r="A101" s="2" t="str">
        <x:v>TEN-65E55002CE6A</x:v>
      </x:c>
      <x:c r="B101" s="12" t="str">
        <x:v>Agrawal Sweets</x:v>
      </x:c>
      <x:c r="C101" s="12" t="str">
        <x:v>Business / brand</x:v>
      </x:c>
      <x:c r="D101" s="12" t="str">
        <x:v>Trade, consumer &amp; logistics</x:v>
      </x:c>
      <x:c r="E101" s="12" t="str">
        <x:v>Travel, hospitality, food &amp; beverages</x:v>
      </x:c>
      <x:c r="F101" s="12" t="str">
        <x:v>Micro-scale prospects</x:v>
      </x:c>
      <x:c r="G101" s="12" t="str">
        <x:v>Local consumer service or childcare model; micro-scale outreach assumption.</x:v>
      </x:c>
      <x:c r="H101" s="11" t="n">
        <x:v>1</x:v>
      </x:c>
      <x:c r="I101" s="11" t="n">
        <x:v>1</x:v>
      </x:c>
      <x:c r="J101" s="11" t="n">
        <x:v>1</x:v>
      </x:c>
      <x:c r="K101" s="11" t="n">
        <x:v>0</x:v>
      </x:c>
      <x:c r="L101" s="17" t="n">
        <x:f>SUM(SUMIFS('Costing'!$P$9:$P$492,'Costing'!$A$9:$A$492,"MAIN-269"))</x:f>
        <x:v>40000</x:v>
      </x:c>
      <x:c r="M101" s="17" t="n">
        <x:f>ROUND(L101*'Costing'!$C$4,2)</x:f>
        <x:v>7200</x:v>
      </x:c>
      <x:c r="N101" s="17" t="n">
        <x:f>L101+M101</x:f>
        <x:v>47200</x:v>
      </x:c>
      <x:c r="O101" s="12" t="str">
        <x:v>Indore</x:v>
      </x:c>
      <x:c r="P101" s="12" t="str">
        <x:v>CORP-0265</x:v>
      </x:c>
      <x:c r="Q101" s="12" t="str">
        <x:v>Agrawal Sweets</x:v>
      </x:c>
    </x:row>
    <x:row r="102" ht="48" customHeight="1">
      <x:c r="A102" s="2" t="str">
        <x:v>TEN-3FE557A29BB1</x:v>
      </x:c>
      <x:c r="B102" s="12" t="str">
        <x:v>AGS Health</x:v>
      </x:c>
      <x:c r="C102" s="12" t="str">
        <x:v>Business / brand</x:v>
      </x:c>
      <x:c r="D102" s="12" t="str">
        <x:v>Healthcare &amp; life sciences</x:v>
      </x:c>
      <x:c r="E102" s="12" t="str">
        <x:v>Clinical, medical &amp; diagnostic services</x:v>
      </x:c>
      <x:c r="F102" s="12" t="str">
        <x:v>Mixed business audience</x:v>
      </x:c>
      <x:c r="G102" s="12" t="str">
        <x:v>Established brand or business network; local company scale is not established. Use a mixed-business message.</x:v>
      </x:c>
      <x:c r="H102" s="11" t="n">
        <x:v>5</x:v>
      </x:c>
      <x:c r="I102" s="11" t="n">
        <x:v>5</x:v>
      </x:c>
      <x:c r="J102" s="11" t="n">
        <x:v>5</x:v>
      </x:c>
      <x:c r="K102" s="11" t="n">
        <x:v>0</x:v>
      </x:c>
      <x:c r="L102" s="17" t="n">
        <x:f>SUM(SUMIFS('Costing'!$P$9:$P$492,'Costing'!$A$9:$A$492,"PARTNER-M342"))</x:f>
        <x:v>200000</x:v>
      </x:c>
      <x:c r="M102" s="17" t="n">
        <x:f>ROUND(L102*'Costing'!$C$4,2)</x:f>
        <x:v>36000</x:v>
      </x:c>
      <x:c r="N102" s="17" t="n">
        <x:f>L102+M102</x:f>
        <x:v>236000</x:v>
      </x:c>
      <x:c r="O102" s="12" t="str">
        <x:v>Chennai</x:v>
      </x:c>
      <x:c r="P102" s="12" t="str">
        <x:v>CORP-0756, CORP-0757, CORP-0758, CORP-0759, CORP-0760</x:v>
      </x:c>
      <x:c r="Q102" s="12" t="str">
        <x:v>AGS Health</x:v>
      </x:c>
    </x:row>
    <x:row r="103" ht="48" customHeight="1">
      <x:c r="A103" s="2" t="str">
        <x:v>TEN-A71520DA2A6E</x:v>
      </x:c>
      <x:c r="B103" s="12" t="str">
        <x:v>AheadRace Software Development Services</x:v>
      </x:c>
      <x:c r="C103" s="12" t="str">
        <x:v>Business / brand</x:v>
      </x:c>
      <x:c r="D103" s="12" t="str">
        <x:v>IT &amp; digital</x:v>
      </x:c>
      <x:c r="E103" s="12" t="str">
        <x:v>Enterprise software &amp; digital engineering</x:v>
      </x:c>
      <x:c r="F103" s="12" t="str">
        <x:v>Small-scale prospects</x:v>
      </x:c>
      <x:c r="G103" s="12" t="str">
        <x:v>Software or technology-services business; small-scale prospect assumption.</x:v>
      </x:c>
      <x:c r="H103" s="11" t="n">
        <x:v>7</x:v>
      </x:c>
      <x:c r="I103" s="11" t="n">
        <x:v>7</x:v>
      </x:c>
      <x:c r="J103" s="11" t="n">
        <x:v>7</x:v>
      </x:c>
      <x:c r="K103" s="11" t="n">
        <x:v>0</x:v>
      </x:c>
      <x:c r="L103" s="17" t="n">
        <x:f>SUM(SUMIFS('Costing'!$P$9:$P$492,'Costing'!$A$9:$A$492,"PARTNER-M317"))</x:f>
        <x:v>280000</x:v>
      </x:c>
      <x:c r="M103" s="17" t="n">
        <x:f>ROUND(L103*'Costing'!$C$4,2)</x:f>
        <x:v>50400</x:v>
      </x:c>
      <x:c r="N103" s="17" t="n">
        <x:f>L103+M103</x:f>
        <x:v>330400</x:v>
      </x:c>
      <x:c r="O103" s="12" t="str">
        <x:v>Hyderabad</x:v>
      </x:c>
      <x:c r="P103" s="12" t="str">
        <x:v>CORP-0732, CORP-0733, CORP-0734, CORP-0735, CORP-0736, CORP-0737, CORP-0738</x:v>
      </x:c>
      <x:c r="Q103" s="12" t="str">
        <x:v>AheadRace Software Development Services</x:v>
      </x:c>
    </x:row>
    <x:row r="104" ht="48" customHeight="1">
      <x:c r="A104" s="2" t="str">
        <x:v>TEN-EB4F5CB9E5EC</x:v>
      </x:c>
      <x:c r="B104" s="12" t="str">
        <x:v>AI Trillion</x:v>
      </x:c>
      <x:c r="C104" s="12" t="str">
        <x:v>Business / brand</x:v>
      </x:c>
      <x:c r="D104" s="12" t="str">
        <x:v>IT &amp; digital</x:v>
      </x:c>
      <x:c r="E104" s="12" t="str">
        <x:v>AI, data &amp; analytics</x:v>
      </x:c>
      <x:c r="F104" s="12" t="str">
        <x:v>Small-scale prospects</x:v>
      </x:c>
      <x:c r="G104" s="12" t="str">
        <x:v>Software or technology-services business; small-scale prospect assumption.</x:v>
      </x:c>
      <x:c r="H104" s="11" t="n">
        <x:v>1</x:v>
      </x:c>
      <x:c r="I104" s="11" t="n">
        <x:v>2</x:v>
      </x:c>
      <x:c r="J104" s="11" t="n">
        <x:v>2</x:v>
      </x:c>
      <x:c r="K104" s="11" t="n">
        <x:v>0</x:v>
      </x:c>
      <x:c r="L104" s="17" t="n">
        <x:f>SUM(SUMIFS('Costing'!$P$9:$P$492,'Costing'!$A$9:$A$492,"MAIN-268"))</x:f>
        <x:v>80000</x:v>
      </x:c>
      <x:c r="M104" s="17" t="n">
        <x:f>ROUND(L104*'Costing'!$C$4,2)</x:f>
        <x:v>14400</x:v>
      </x:c>
      <x:c r="N104" s="17" t="n">
        <x:f>L104+M104</x:f>
        <x:v>94400</x:v>
      </x:c>
      <x:c r="O104" s="12" t="str">
        <x:v>Indore</x:v>
      </x:c>
      <x:c r="P104" s="12" t="str">
        <x:v>CORP-0264</x:v>
      </x:c>
      <x:c r="Q104" s="12" t="str">
        <x:v>AI Trillion</x:v>
      </x:c>
    </x:row>
    <x:row r="105" ht="48" customHeight="1">
      <x:c r="A105" s="2" t="str">
        <x:v>TEN-229A4B0753F7</x:v>
      </x:c>
      <x:c r="B105" s="12" t="str">
        <x:v>AIG</x:v>
      </x:c>
      <x:c r="C105" s="12" t="str">
        <x:v>Business / brand</x:v>
      </x:c>
      <x:c r="D105" s="12" t="str">
        <x:v>Finance &amp; insurance</x:v>
      </x:c>
      <x:c r="E105" s="12" t="str">
        <x:v>Financial services — specialty unverified</x:v>
      </x:c>
      <x:c r="F105" s="12" t="str">
        <x:v>Mixed business audience</x:v>
      </x:c>
      <x:c r="G105" s="12" t="str">
        <x:v>Recognisable business context; company-scale evidence remains insufficient for a single size band.</x:v>
      </x:c>
      <x:c r="H105" s="11" t="n">
        <x:v>6</x:v>
      </x:c>
      <x:c r="I105" s="11" t="n">
        <x:v>6</x:v>
      </x:c>
      <x:c r="J105" s="11" t="n">
        <x:v>6</x:v>
      </x:c>
      <x:c r="K105" s="11" t="n">
        <x:v>0</x:v>
      </x:c>
      <x:c r="L105" s="17" t="n">
        <x:f>SUM(SUMIFS('Costing'!$P$9:$P$492,'Costing'!$A$9:$A$492,"PARTNER-M039"))</x:f>
        <x:v>240000</x:v>
      </x:c>
      <x:c r="M105" s="17" t="n">
        <x:f>ROUND(L105*'Costing'!$C$4,2)</x:f>
        <x:v>43200</x:v>
      </x:c>
      <x:c r="N105" s="17" t="n">
        <x:f>L105+M105</x:f>
        <x:v>283200</x:v>
      </x:c>
      <x:c r="O105" s="12" t="str">
        <x:v>Bengaluru</x:v>
      </x:c>
      <x:c r="P105" s="12" t="str">
        <x:v>CORP-0457, CORP-0458, CORP-0459, CORP-0460, CORP-0461, CORP-0462</x:v>
      </x:c>
      <x:c r="Q105" s="12" t="str">
        <x:v>AIG</x:v>
      </x:c>
    </x:row>
    <x:row r="106" ht="88" customHeight="1">
      <x:c r="A106" s="2" t="str">
        <x:v>TEN-FB22E0C0AFC9</x:v>
      </x:c>
      <x:c r="B106" s="12" t="str">
        <x:v>Aimil ltd</x:v>
      </x:c>
      <x:c r="C106" s="12" t="str">
        <x:v>Business / brand</x:v>
      </x:c>
      <x:c r="D106" s="12" t="str">
        <x:v>Engineering &amp; manufacturing</x:v>
      </x:c>
      <x:c r="E106" s="12" t="str">
        <x:v>Semiconductors, electronics &amp; equipment</x:v>
      </x:c>
      <x:c r="F106" s="12" t="str">
        <x:v>Large enterprise</x:v>
      </x:c>
      <x:c r="G106" s="12" t="str">
        <x:v>Aimil describes a national scientific-instrumentation organisation with roughly 1,000 professionals and 15 offices in a 2025 company article. This extensive sales, service and engineering network supports enterprise audience context. Other official pages report older, lower counts; no fixed employee threshold is asserted.</x:v>
      </x:c>
      <x:c r="H106" s="11" t="n">
        <x:v>1</x:v>
      </x:c>
      <x:c r="I106" s="11" t="n">
        <x:v>47</x:v>
      </x:c>
      <x:c r="J106" s="11" t="n">
        <x:v>47</x:v>
      </x:c>
      <x:c r="K106" s="11" t="n">
        <x:v>0</x:v>
      </x:c>
      <x:c r="L106" s="17" t="n">
        <x:f>SUM(SUMIFS('Costing'!$P$9:$P$492,'Costing'!$A$9:$A$492,"MAIN-308"))</x:f>
        <x:v>705000</x:v>
      </x:c>
      <x:c r="M106" s="17" t="n">
        <x:f>ROUND(L106*'Costing'!$C$4,2)</x:f>
        <x:v>126900</x:v>
      </x:c>
      <x:c r="N106" s="17" t="n">
        <x:f>L106+M106</x:f>
        <x:v>831900</x:v>
      </x:c>
      <x:c r="O106" s="12" t="str">
        <x:v>Mumbai</x:v>
      </x:c>
      <x:c r="P106" s="12" t="str">
        <x:v>CORP-0304</x:v>
      </x:c>
      <x:c r="Q106" s="12" t="str">
        <x:v>Aimil ltd</x:v>
      </x:c>
    </x:row>
    <x:row r="107" ht="48" customHeight="1">
      <x:c r="A107" s="2" t="str">
        <x:v>TEN-5E5F0F62ACE8</x:v>
      </x:c>
      <x:c r="B107" s="12" t="str">
        <x:v>Aims Digital Services</x:v>
      </x:c>
      <x:c r="C107" s="12" t="str">
        <x:v>Business / brand</x:v>
      </x:c>
      <x:c r="D107" s="12" t="str">
        <x:v>IT &amp; digital</x:v>
      </x:c>
      <x:c r="E107" s="12" t="str">
        <x:v>Enterprise software &amp; digital engineering</x:v>
      </x:c>
      <x:c r="F107" s="12" t="str">
        <x:v>Small-scale prospects</x:v>
      </x:c>
      <x:c r="G107" s="12" t="str">
        <x:v>Software or technology-services business; small-scale prospect assumption.</x:v>
      </x:c>
      <x:c r="H107" s="11" t="n">
        <x:v>1</x:v>
      </x:c>
      <x:c r="I107" s="11" t="n">
        <x:v>2</x:v>
      </x:c>
      <x:c r="J107" s="11" t="n">
        <x:v>2</x:v>
      </x:c>
      <x:c r="K107" s="11" t="n">
        <x:v>0</x:v>
      </x:c>
      <x:c r="L107" s="17" t="n">
        <x:f>SUM(SUMIFS('Costing'!$P$9:$P$492,'Costing'!$A$9:$A$492,"MAIN-388"))</x:f>
        <x:v>30000</x:v>
      </x:c>
      <x:c r="M107" s="17" t="n">
        <x:f>ROUND(L107*'Costing'!$C$4,2)</x:f>
        <x:v>5400</x:v>
      </x:c>
      <x:c r="N107" s="17" t="n">
        <x:f>L107+M107</x:f>
        <x:v>35400</x:v>
      </x:c>
      <x:c r="O107" s="12" t="str">
        <x:v>Pune</x:v>
      </x:c>
      <x:c r="P107" s="12" t="str">
        <x:v>CORP-0384</x:v>
      </x:c>
      <x:c r="Q107" s="12" t="str">
        <x:v>Aims Digital Services</x:v>
      </x:c>
    </x:row>
    <x:row r="108" ht="48" customHeight="1">
      <x:c r="A108" s="2" t="str">
        <x:v>TEN-555A2C40B555</x:v>
      </x:c>
      <x:c r="B108" s="12" t="str">
        <x:v>Aimtron Technologies</x:v>
      </x:c>
      <x:c r="C108" s="12" t="str">
        <x:v>Business / brand</x:v>
      </x:c>
      <x:c r="D108" s="12" t="str">
        <x:v>Engineering &amp; manufacturing</x:v>
      </x:c>
      <x:c r="E108" s="12" t="str">
        <x:v>Semiconductors, electronics &amp; equipment</x:v>
      </x:c>
      <x:c r="F108" s="12" t="str">
        <x:v>Medium-scale prospects</x:v>
      </x:c>
      <x:c r="G108" s="12" t="str">
        <x:v>Specialist industrial or engineering business; medium-scale prospect assumption.</x:v>
      </x:c>
      <x:c r="H108" s="11" t="n">
        <x:v>4</x:v>
      </x:c>
      <x:c r="I108" s="11" t="n">
        <x:v>4</x:v>
      </x:c>
      <x:c r="J108" s="11" t="n">
        <x:v>4</x:v>
      </x:c>
      <x:c r="K108" s="11" t="n">
        <x:v>0</x:v>
      </x:c>
      <x:c r="L108" s="17" t="n">
        <x:f>SUM(SUMIFS('Costing'!$P$9:$P$492,'Costing'!$A$9:$A$492,"PARTNER-M056"))</x:f>
        <x:v>160000</x:v>
      </x:c>
      <x:c r="M108" s="17" t="n">
        <x:f>ROUND(L108*'Costing'!$C$4,2)</x:f>
        <x:v>28800</x:v>
      </x:c>
      <x:c r="N108" s="17" t="n">
        <x:f>L108+M108</x:f>
        <x:v>188800</x:v>
      </x:c>
      <x:c r="O108" s="12" t="str">
        <x:v>Bengaluru</x:v>
      </x:c>
      <x:c r="P108" s="12" t="str">
        <x:v>CORP-0474, CORP-0475, CORP-0476, CORP-0477</x:v>
      </x:c>
      <x:c r="Q108" s="12" t="str">
        <x:v>Aimtron Technologies</x:v>
      </x:c>
    </x:row>
    <x:row r="109" ht="48" customHeight="1">
      <x:c r="A109" s="2" t="str">
        <x:v>TEN-672E0F0F33A9</x:v>
      </x:c>
      <x:c r="B109" s="12" t="str">
        <x:v>AIQEN INDIA PRIVATE LIMITED</x:v>
      </x:c>
      <x:c r="C109" s="12" t="str">
        <x:v>Business / brand</x:v>
      </x:c>
      <x:c r="D109" s="12" t="str">
        <x:v>Unresolved</x:v>
      </x:c>
      <x:c r="E109" s="12" t="str">
        <x:v>Business activity not established</x:v>
      </x:c>
      <x:c r="F109" s="12" t="str">
        <x:v>Mixed business audience</x:v>
      </x:c>
      <x:c r="G109" s="12" t="str">
        <x:v>Business activity and company scale are not established from this name.</x:v>
      </x:c>
      <x:c r="H109" s="11" t="n">
        <x:v>5</x:v>
      </x:c>
      <x:c r="I109" s="11" t="n">
        <x:v>5</x:v>
      </x:c>
      <x:c r="J109" s="11" t="n">
        <x:v>5</x:v>
      </x:c>
      <x:c r="K109" s="11" t="n">
        <x:v>0</x:v>
      </x:c>
      <x:c r="L109" s="17" t="n">
        <x:f>SUM(SUMIFS('Costing'!$P$9:$P$492,'Costing'!$A$9:$A$492,"PARTNER-M384"))</x:f>
        <x:v>200000</x:v>
      </x:c>
      <x:c r="M109" s="17" t="n">
        <x:f>ROUND(L109*'Costing'!$C$4,2)</x:f>
        <x:v>36000</x:v>
      </x:c>
      <x:c r="N109" s="17" t="n">
        <x:f>L109+M109</x:f>
        <x:v>236000</x:v>
      </x:c>
      <x:c r="O109" s="12" t="str">
        <x:v>Delhi NCR</x:v>
      </x:c>
      <x:c r="P109" s="12" t="str">
        <x:v>CORP-0797, CORP-0798, CORP-0799, CORP-0800, CORP-0801</x:v>
      </x:c>
      <x:c r="Q109" s="12" t="str">
        <x:v>AIQEN INDIA PRIVATE LIMITED</x:v>
      </x:c>
    </x:row>
    <x:row r="110" ht="48" customHeight="1">
      <x:c r="A110" s="2" t="str">
        <x:v>TEN-27E5329AC430</x:v>
      </x:c>
      <x:c r="B110" s="12" t="str">
        <x:v>Air Water India Private Limited</x:v>
      </x:c>
      <x:c r="C110" s="12" t="str">
        <x:v>Business / brand</x:v>
      </x:c>
      <x:c r="D110" s="12" t="str">
        <x:v>Engineering &amp; manufacturing</x:v>
      </x:c>
      <x:c r="E110" s="12" t="str">
        <x:v>Chemicals, materials &amp; industrial manufacturing</x:v>
      </x:c>
      <x:c r="F110" s="12" t="str">
        <x:v>Mixed business audience</x:v>
      </x:c>
      <x:c r="G110" s="12" t="str">
        <x:v>Established brand or business network; local company scale is not established. Use a mixed-business message.</x:v>
      </x:c>
      <x:c r="H110" s="11" t="n">
        <x:v>1</x:v>
      </x:c>
      <x:c r="I110" s="11" t="n">
        <x:v>8</x:v>
      </x:c>
      <x:c r="J110" s="11" t="n">
        <x:v>8</x:v>
      </x:c>
      <x:c r="K110" s="11" t="n">
        <x:v>0</x:v>
      </x:c>
      <x:c r="L110" s="17" t="n">
        <x:f>SUM(SUMIFS('Costing'!$P$9:$P$492,'Costing'!$A$9:$A$492,"MAIN-126"))</x:f>
        <x:v>200000</x:v>
      </x:c>
      <x:c r="M110" s="17" t="n">
        <x:f>ROUND(L110*'Costing'!$C$4,2)</x:f>
        <x:v>36000</x:v>
      </x:c>
      <x:c r="N110" s="17" t="n">
        <x:f>L110+M110</x:f>
        <x:v>236000</x:v>
      </x:c>
      <x:c r="O110" s="12" t="str">
        <x:v>Bengaluru</x:v>
      </x:c>
      <x:c r="P110" s="12" t="str">
        <x:v>CORP-0122</x:v>
      </x:c>
      <x:c r="Q110" s="12" t="str">
        <x:v>Air Water India Private Limited</x:v>
      </x:c>
    </x:row>
    <x:row r="111" ht="48" customHeight="1">
      <x:c r="A111" s="2" t="str">
        <x:v>TEN-E911ACD7AC00</x:v>
      </x:c>
      <x:c r="B111" s="12" t="str">
        <x:v>Airen Group</x:v>
      </x:c>
      <x:c r="C111" s="12" t="str">
        <x:v>Business / brand</x:v>
      </x:c>
      <x:c r="D111" s="12" t="str">
        <x:v>Unresolved</x:v>
      </x:c>
      <x:c r="E111" s="12" t="str">
        <x:v>Business activity not established</x:v>
      </x:c>
      <x:c r="F111" s="12" t="str">
        <x:v>Mixed business audience</x:v>
      </x:c>
      <x:c r="G111" s="12" t="str">
        <x:v>Business activity and company scale are not established from this name.</x:v>
      </x:c>
      <x:c r="H111" s="11" t="n">
        <x:v>1</x:v>
      </x:c>
      <x:c r="I111" s="11" t="n">
        <x:v>1</x:v>
      </x:c>
      <x:c r="J111" s="11" t="n">
        <x:v>1</x:v>
      </x:c>
      <x:c r="K111" s="11" t="n">
        <x:v>0</x:v>
      </x:c>
      <x:c r="L111" s="17" t="n">
        <x:f>SUM(SUMIFS('Costing'!$P$9:$P$492,'Costing'!$A$9:$A$492,"MAIN-266"))</x:f>
        <x:v>20000</x:v>
      </x:c>
      <x:c r="M111" s="17" t="n">
        <x:f>ROUND(L111*'Costing'!$C$4,2)</x:f>
        <x:v>3600</x:v>
      </x:c>
      <x:c r="N111" s="17" t="n">
        <x:f>L111+M111</x:f>
        <x:v>23600</x:v>
      </x:c>
      <x:c r="O111" s="12" t="str">
        <x:v>Indore</x:v>
      </x:c>
      <x:c r="P111" s="12" t="str">
        <x:v>CORP-0262</x:v>
      </x:c>
      <x:c r="Q111" s="12" t="str">
        <x:v>Airen Group</x:v>
      </x:c>
    </x:row>
    <x:row r="112" ht="48" customHeight="1">
      <x:c r="A112" s="2" t="str">
        <x:v>TEN-B35F6FDA0695</x:v>
      </x:c>
      <x:c r="B112" s="12" t="str">
        <x:v>Airsah Solutions Pvt Ltd</x:v>
      </x:c>
      <x:c r="C112" s="12" t="str">
        <x:v>Business / brand</x:v>
      </x:c>
      <x:c r="D112" s="12" t="str">
        <x:v>Unresolved</x:v>
      </x:c>
      <x:c r="E112" s="12" t="str">
        <x:v>Business activity not established</x:v>
      </x:c>
      <x:c r="F112" s="12" t="str">
        <x:v>Mixed business audience</x:v>
      </x:c>
      <x:c r="G112" s="12" t="str">
        <x:v>Business activity and company scale are not established from this name.</x:v>
      </x:c>
      <x:c r="H112" s="11" t="n">
        <x:v>2</x:v>
      </x:c>
      <x:c r="I112" s="11" t="n">
        <x:v>6</x:v>
      </x:c>
      <x:c r="J112" s="11" t="n">
        <x:v>6</x:v>
      </x:c>
      <x:c r="K112" s="11" t="n">
        <x:v>0</x:v>
      </x:c>
      <x:c r="L112" s="17" t="n">
        <x:f>SUM(SUMIFS('Costing'!$P$9:$P$492,'Costing'!$A$9:$A$492,"MAIN-248"),SUMIFS('Costing'!$P$9:$P$492,'Costing'!$A$9:$A$492,"MAIN-249"))</x:f>
        <x:v>90000</x:v>
      </x:c>
      <x:c r="M112" s="17" t="n">
        <x:f>ROUND(L112*'Costing'!$C$4,2)</x:f>
        <x:v>16200</x:v>
      </x:c>
      <x:c r="N112" s="17" t="n">
        <x:f>L112+M112</x:f>
        <x:v>106200</x:v>
      </x:c>
      <x:c r="O112" s="12" t="str">
        <x:v>Hyderabad</x:v>
      </x:c>
      <x:c r="P112" s="12" t="str">
        <x:v>CORP-0244, CORP-0245</x:v>
      </x:c>
      <x:c r="Q112" s="12" t="str">
        <x:v>Airsah Solutions Pvt Ltd</x:v>
      </x:c>
    </x:row>
    <x:row r="113" ht="48" customHeight="1">
      <x:c r="A113" s="2" t="str">
        <x:v>TEN-934CA7C0EEF3</x:v>
      </x:c>
      <x:c r="B113" s="12" t="str">
        <x:v>AISECT</x:v>
      </x:c>
      <x:c r="C113" s="12" t="str">
        <x:v>Business / brand</x:v>
      </x:c>
      <x:c r="D113" s="12" t="str">
        <x:v>Education</x:v>
      </x:c>
      <x:c r="E113" s="12" t="str">
        <x:v>Education, training &amp; childcare</x:v>
      </x:c>
      <x:c r="F113" s="12" t="str">
        <x:v>Mixed business audience</x:v>
      </x:c>
      <x:c r="G113" s="12" t="str">
        <x:v>Established brand or business network; local company scale is not established. Use a mixed-business message.</x:v>
      </x:c>
      <x:c r="H113" s="11" t="n">
        <x:v>1</x:v>
      </x:c>
      <x:c r="I113" s="11" t="n">
        <x:v>1</x:v>
      </x:c>
      <x:c r="J113" s="11" t="n">
        <x:v>1</x:v>
      </x:c>
      <x:c r="K113" s="11" t="n">
        <x:v>0</x:v>
      </x:c>
      <x:c r="L113" s="17" t="n">
        <x:f>SUM(SUMIFS('Costing'!$P$9:$P$492,'Costing'!$A$9:$A$492,"MAIN-272"))</x:f>
        <x:v>20000</x:v>
      </x:c>
      <x:c r="M113" s="17" t="n">
        <x:f>ROUND(L113*'Costing'!$C$4,2)</x:f>
        <x:v>3600</x:v>
      </x:c>
      <x:c r="N113" s="17" t="n">
        <x:f>L113+M113</x:f>
        <x:v>23600</x:v>
      </x:c>
      <x:c r="O113" s="12" t="str">
        <x:v>Indore</x:v>
      </x:c>
      <x:c r="P113" s="12" t="str">
        <x:v>CORP-0268</x:v>
      </x:c>
      <x:c r="Q113" s="12" t="str">
        <x:v>AISECT</x:v>
      </x:c>
    </x:row>
    <x:row r="114" ht="75" customHeight="1">
      <x:c r="A114" s="2" t="str">
        <x:v>TEN-CA27C6C18E1C</x:v>
      </x:c>
      <x:c r="B114" s="12" t="str">
        <x:v>AISECT University</x:v>
      </x:c>
      <x:c r="C114" s="12" t="str">
        <x:v>Public / nonprofit</x:v>
      </x:c>
      <x:c r="D114" s="12" t="str">
        <x:v>Education</x:v>
      </x:c>
      <x:c r="E114" s="12" t="str">
        <x:v>Schools, childcare &amp; higher education</x:v>
      </x:c>
      <x:c r="F114" s="12" t="str">
        <x:v>Institutional</x:v>
      </x:c>
      <x:c r="G114" s="12" t="str">
        <x:v>Existing directory identifies an institutional, government, education, membership or nonprofit organisation rather than an ordinary MSME business prospect. This tag describes audience role and does not assert legal tax status.</x:v>
      </x:c>
      <x:c r="H114" s="11" t="n">
        <x:v>1</x:v>
      </x:c>
      <x:c r="I114" s="11" t="n">
        <x:v>1</x:v>
      </x:c>
      <x:c r="J114" s="11" t="n">
        <x:v>1</x:v>
      </x:c>
      <x:c r="K114" s="11" t="n">
        <x:v>0</x:v>
      </x:c>
      <x:c r="L114" s="17" t="n">
        <x:f>SUM(SUMIFS('Costing'!$P$9:$P$492,'Costing'!$A$9:$A$492,"MAIN-272"))</x:f>
        <x:v>20000</x:v>
      </x:c>
      <x:c r="M114" s="17" t="n">
        <x:f>ROUND(L114*'Costing'!$C$4,2)</x:f>
        <x:v>3600</x:v>
      </x:c>
      <x:c r="N114" s="17" t="n">
        <x:f>L114+M114</x:f>
        <x:v>23600</x:v>
      </x:c>
      <x:c r="O114" s="12" t="str">
        <x:v>Indore</x:v>
      </x:c>
      <x:c r="P114" s="12" t="str">
        <x:v>CORP-0268</x:v>
      </x:c>
      <x:c r="Q114" s="12" t="str">
        <x:v>AISECT University</x:v>
      </x:c>
    </x:row>
    <x:row r="115" ht="48" customHeight="1">
      <x:c r="A115" s="2" t="str">
        <x:v>TEN-57178E4DABB3</x:v>
      </x:c>
      <x:c r="B115" s="12" t="str">
        <x:v>AISeon Healthcare Technologies Pvt. Ltd</x:v>
      </x:c>
      <x:c r="C115" s="12" t="str">
        <x:v>Business / brand</x:v>
      </x:c>
      <x:c r="D115" s="12" t="str">
        <x:v>Healthcare &amp; life sciences</x:v>
      </x:c>
      <x:c r="E115" s="12" t="str">
        <x:v>Clinical, medical &amp; diagnostic services</x:v>
      </x:c>
      <x:c r="F115" s="12" t="str">
        <x:v>Small-scale prospects</x:v>
      </x:c>
      <x:c r="G115" s="12" t="str">
        <x:v>Healthcare services business; small-scale prospect assumption.</x:v>
      </x:c>
      <x:c r="H115" s="11" t="n">
        <x:v>1</x:v>
      </x:c>
      <x:c r="I115" s="11" t="n">
        <x:v>4</x:v>
      </x:c>
      <x:c r="J115" s="11" t="n">
        <x:v>4</x:v>
      </x:c>
      <x:c r="K115" s="11" t="n">
        <x:v>0</x:v>
      </x:c>
      <x:c r="L115" s="17" t="n">
        <x:f>SUM(SUMIFS('Costing'!$P$9:$P$492,'Costing'!$A$9:$A$492,"MAIN-361"))</x:f>
        <x:v>100000</x:v>
      </x:c>
      <x:c r="M115" s="17" t="n">
        <x:f>ROUND(L115*'Costing'!$C$4,2)</x:f>
        <x:v>18000</x:v>
      </x:c>
      <x:c r="N115" s="17" t="n">
        <x:f>L115+M115</x:f>
        <x:v>118000</x:v>
      </x:c>
      <x:c r="O115" s="12" t="str">
        <x:v>Mumbai</x:v>
      </x:c>
      <x:c r="P115" s="12" t="str">
        <x:v>CORP-0357</x:v>
      </x:c>
      <x:c r="Q115" s="12" t="str">
        <x:v>AISeon Healthcare Technologies Pvt. Ltd</x:v>
      </x:c>
    </x:row>
    <x:row r="116" ht="48" customHeight="1">
      <x:c r="A116" s="2" t="str">
        <x:v>TEN-12FFE3FCB38E</x:v>
      </x:c>
      <x:c r="B116" s="12" t="str">
        <x:v>AK Group</x:v>
      </x:c>
      <x:c r="C116" s="12" t="str">
        <x:v>Business / brand</x:v>
      </x:c>
      <x:c r="D116" s="12" t="str">
        <x:v>Unresolved</x:v>
      </x:c>
      <x:c r="E116" s="12" t="str">
        <x:v>Business activity not established</x:v>
      </x:c>
      <x:c r="F116" s="12" t="str">
        <x:v>Mixed business audience</x:v>
      </x:c>
      <x:c r="G116" s="12" t="str">
        <x:v>Business activity and company scale are not established from this name.</x:v>
      </x:c>
      <x:c r="H116" s="11" t="n">
        <x:v>6</x:v>
      </x:c>
      <x:c r="I116" s="11" t="n">
        <x:v>6</x:v>
      </x:c>
      <x:c r="J116" s="11" t="n">
        <x:v>6</x:v>
      </x:c>
      <x:c r="K116" s="11" t="n">
        <x:v>0</x:v>
      </x:c>
      <x:c r="L116" s="17" t="n">
        <x:f>SUM(SUMIFS('Costing'!$P$9:$P$492,'Costing'!$A$9:$A$492,"PARTNER-M227"))</x:f>
        <x:v>240000</x:v>
      </x:c>
      <x:c r="M116" s="17" t="n">
        <x:f>ROUND(L116*'Costing'!$C$4,2)</x:f>
        <x:v>43200</x:v>
      </x:c>
      <x:c r="N116" s="17" t="n">
        <x:f>L116+M116</x:f>
        <x:v>283200</x:v>
      </x:c>
      <x:c r="O116" s="12" t="str">
        <x:v>Mumbai</x:v>
      </x:c>
      <x:c r="P116" s="12" t="str">
        <x:v>CORP-0644, CORP-0645, CORP-0646, CORP-0647, CORP-0648, CORP-0649</x:v>
      </x:c>
      <x:c r="Q116" s="12" t="str">
        <x:v>AK Group</x:v>
      </x:c>
    </x:row>
    <x:row r="117" ht="48" customHeight="1">
      <x:c r="A117" s="2" t="str">
        <x:v>TEN-62357265C4F9</x:v>
      </x:c>
      <x:c r="B117" s="12" t="str">
        <x:v>Ak Marble &amp; Granite ( India ) Private Limited</x:v>
      </x:c>
      <x:c r="C117" s="12" t="str">
        <x:v>Business / brand</x:v>
      </x:c>
      <x:c r="D117" s="12" t="str">
        <x:v>Engineering &amp; manufacturing</x:v>
      </x:c>
      <x:c r="E117" s="12" t="str">
        <x:v>Chemicals, materials &amp; industrial manufacturing</x:v>
      </x:c>
      <x:c r="F117" s="12" t="str">
        <x:v>Medium-scale prospects</x:v>
      </x:c>
      <x:c r="G117" s="12" t="str">
        <x:v>Specialist industrial or engineering business; medium-scale prospect assumption.</x:v>
      </x:c>
      <x:c r="H117" s="11" t="n">
        <x:v>1</x:v>
      </x:c>
      <x:c r="I117" s="11" t="n">
        <x:v>6</x:v>
      </x:c>
      <x:c r="J117" s="11" t="n">
        <x:v>6</x:v>
      </x:c>
      <x:c r="K117" s="11" t="n">
        <x:v>0</x:v>
      </x:c>
      <x:c r="L117" s="17" t="n">
        <x:f>SUM(SUMIFS('Costing'!$P$9:$P$492,'Costing'!$A$9:$A$492,"MAIN-320"))</x:f>
        <x:v>90000</x:v>
      </x:c>
      <x:c r="M117" s="17" t="n">
        <x:f>ROUND(L117*'Costing'!$C$4,2)</x:f>
        <x:v>16200</x:v>
      </x:c>
      <x:c r="N117" s="17" t="n">
        <x:f>L117+M117</x:f>
        <x:v>106200</x:v>
      </x:c>
      <x:c r="O117" s="12" t="str">
        <x:v>Mumbai</x:v>
      </x:c>
      <x:c r="P117" s="12" t="str">
        <x:v>CORP-0316</x:v>
      </x:c>
      <x:c r="Q117" s="12" t="str">
        <x:v>Ak Marble &amp; Granite ( India ) Private Limited</x:v>
      </x:c>
    </x:row>
    <x:row r="118" ht="48" customHeight="1">
      <x:c r="A118" s="2" t="str">
        <x:v>TEN-8492381623BD</x:v>
      </x:c>
      <x:c r="B118" s="12" t="str">
        <x:v>Akamai Technologies</x:v>
      </x:c>
      <x:c r="C118" s="12" t="str">
        <x:v>Business / brand</x:v>
      </x:c>
      <x:c r="D118" s="12" t="str">
        <x:v>IT &amp; digital</x:v>
      </x:c>
      <x:c r="E118" s="12" t="str">
        <x:v>Technology services — specialty unverified</x:v>
      </x:c>
      <x:c r="F118" s="12" t="str">
        <x:v>Mixed business audience</x:v>
      </x:c>
      <x:c r="G118" s="12" t="str">
        <x:v>Recognisable business context; company-scale evidence remains insufficient for a single size band.</x:v>
      </x:c>
      <x:c r="H118" s="11" t="n">
        <x:v>6</x:v>
      </x:c>
      <x:c r="I118" s="11" t="n">
        <x:v>6</x:v>
      </x:c>
      <x:c r="J118" s="11" t="n">
        <x:v>6</x:v>
      </x:c>
      <x:c r="K118" s="11" t="n">
        <x:v>0</x:v>
      </x:c>
      <x:c r="L118" s="17" t="n">
        <x:f>SUM(SUMIFS('Costing'!$P$9:$P$492,'Costing'!$A$9:$A$492,"PARTNER-M045"))</x:f>
        <x:v>240000</x:v>
      </x:c>
      <x:c r="M118" s="17" t="n">
        <x:f>ROUND(L118*'Costing'!$C$4,2)</x:f>
        <x:v>43200</x:v>
      </x:c>
      <x:c r="N118" s="17" t="n">
        <x:f>L118+M118</x:f>
        <x:v>283200</x:v>
      </x:c>
      <x:c r="O118" s="12" t="str">
        <x:v>Bengaluru</x:v>
      </x:c>
      <x:c r="P118" s="12" t="str">
        <x:v>CORP-0463, CORP-0464, CORP-0465, CORP-0466, CORP-0467, CORP-0468</x:v>
      </x:c>
      <x:c r="Q118" s="12" t="str">
        <x:v>Akamai Technologies</x:v>
      </x:c>
    </x:row>
    <x:row r="119" ht="48" customHeight="1">
      <x:c r="A119" s="2" t="str">
        <x:v>TEN-1A1CF91802DC</x:v>
      </x:c>
      <x:c r="B119" s="12" t="str">
        <x:v>Akamai Technologies Solutions India Pvt Ltd</x:v>
      </x:c>
      <x:c r="C119" s="12" t="str">
        <x:v>Business / brand</x:v>
      </x:c>
      <x:c r="D119" s="12" t="str">
        <x:v>IT &amp; digital</x:v>
      </x:c>
      <x:c r="E119" s="12" t="str">
        <x:v>Technology services — specialty unverified</x:v>
      </x:c>
      <x:c r="F119" s="12" t="str">
        <x:v>Mixed business audience</x:v>
      </x:c>
      <x:c r="G119" s="12" t="str">
        <x:v>Recognisable business context; company-scale evidence remains insufficient for a single size band.</x:v>
      </x:c>
      <x:c r="H119" s="11" t="n">
        <x:v>2</x:v>
      </x:c>
      <x:c r="I119" s="11" t="n">
        <x:v>2</x:v>
      </x:c>
      <x:c r="J119" s="11" t="n">
        <x:v>2</x:v>
      </x:c>
      <x:c r="K119" s="11" t="n">
        <x:v>0</x:v>
      </x:c>
      <x:c r="L119" s="17" t="n">
        <x:f>SUM(SUMIFS('Costing'!$P$9:$P$492,'Costing'!$A$9:$A$492,"PARTNER-M065"))</x:f>
        <x:v>80000</x:v>
      </x:c>
      <x:c r="M119" s="17" t="n">
        <x:f>ROUND(L119*'Costing'!$C$4,2)</x:f>
        <x:v>14400</x:v>
      </x:c>
      <x:c r="N119" s="17" t="n">
        <x:f>L119+M119</x:f>
        <x:v>94400</x:v>
      </x:c>
      <x:c r="O119" s="12" t="str">
        <x:v>Bengaluru</x:v>
      </x:c>
      <x:c r="P119" s="12" t="str">
        <x:v>CORP-0483, CORP-0484</x:v>
      </x:c>
      <x:c r="Q119" s="12" t="str">
        <x:v>Akamai Technologies Solutions India Pvt Ltd</x:v>
      </x:c>
    </x:row>
    <x:row r="120" ht="48" customHeight="1">
      <x:c r="A120" s="2" t="str">
        <x:v>TEN-9E0F4D8A0AA5</x:v>
      </x:c>
      <x:c r="B120" s="12" t="str">
        <x:v>Akasa Air</x:v>
      </x:c>
      <x:c r="C120" s="12" t="str">
        <x:v>Business / brand</x:v>
      </x:c>
      <x:c r="D120" s="12" t="str">
        <x:v>Trade, consumer &amp; logistics</x:v>
      </x:c>
      <x:c r="E120" s="12" t="str">
        <x:v>Consumer/trade services — specialty unverified</x:v>
      </x:c>
      <x:c r="F120" s="12" t="str">
        <x:v>Mixed business audience</x:v>
      </x:c>
      <x:c r="G120" s="12" t="str">
        <x:v>Recognisable business context; company-scale evidence remains insufficient for a single size band.</x:v>
      </x:c>
      <x:c r="H120" s="11" t="n">
        <x:v>4</x:v>
      </x:c>
      <x:c r="I120" s="11" t="n">
        <x:v>4</x:v>
      </x:c>
      <x:c r="J120" s="11" t="n">
        <x:v>4</x:v>
      </x:c>
      <x:c r="K120" s="11" t="n">
        <x:v>0</x:v>
      </x:c>
      <x:c r="L120" s="17" t="n">
        <x:f>SUM(SUMIFS('Costing'!$P$9:$P$492,'Costing'!$A$9:$A$492,"PARTNER-M188"))</x:f>
        <x:v>160000</x:v>
      </x:c>
      <x:c r="M120" s="17" t="n">
        <x:f>ROUND(L120*'Costing'!$C$4,2)</x:f>
        <x:v>28800</x:v>
      </x:c>
      <x:c r="N120" s="17" t="n">
        <x:f>L120+M120</x:f>
        <x:v>188800</x:v>
      </x:c>
      <x:c r="O120" s="12" t="str">
        <x:v>Mumbai</x:v>
      </x:c>
      <x:c r="P120" s="12" t="str">
        <x:v>CORP-0605, CORP-0606, CORP-0607, CORP-0608</x:v>
      </x:c>
      <x:c r="Q120" s="12" t="str">
        <x:v>Akasa Air</x:v>
      </x:c>
    </x:row>
    <x:row r="121" ht="48" customHeight="1">
      <x:c r="A121" s="2" t="str">
        <x:v>TEN-8D8F469ED2EF</x:v>
      </x:c>
      <x:c r="B121" s="12" t="str">
        <x:v>Akira</x:v>
      </x:c>
      <x:c r="C121" s="12" t="str">
        <x:v>Business / brand</x:v>
      </x:c>
      <x:c r="D121" s="12" t="str">
        <x:v>Unresolved</x:v>
      </x:c>
      <x:c r="E121" s="12" t="str">
        <x:v>Business activity not established</x:v>
      </x:c>
      <x:c r="F121" s="12" t="str">
        <x:v>Mixed business audience</x:v>
      </x:c>
      <x:c r="G121" s="12" t="str">
        <x:v>Business activity and company scale are not established from this name.</x:v>
      </x:c>
      <x:c r="H121" s="11" t="n">
        <x:v>1</x:v>
      </x:c>
      <x:c r="I121" s="11" t="n">
        <x:v>1</x:v>
      </x:c>
      <x:c r="J121" s="11" t="n">
        <x:v>1</x:v>
      </x:c>
      <x:c r="K121" s="11" t="n">
        <x:v>0</x:v>
      </x:c>
      <x:c r="L121" s="17" t="n">
        <x:f>SUM(SUMIFS('Costing'!$P$9:$P$492,'Costing'!$A$9:$A$492,"MAIN-089"))</x:f>
        <x:v>15000</x:v>
      </x:c>
      <x:c r="M121" s="17" t="n">
        <x:f>ROUND(L121*'Costing'!$C$4,2)</x:f>
        <x:v>2700</x:v>
      </x:c>
      <x:c r="N121" s="17" t="n">
        <x:f>L121+M121</x:f>
        <x:v>17700</x:v>
      </x:c>
      <x:c r="O121" s="12" t="str">
        <x:v>Bengaluru</x:v>
      </x:c>
      <x:c r="P121" s="12" t="str">
        <x:v>CORP-0085</x:v>
      </x:c>
      <x:c r="Q121" s="12" t="str">
        <x:v>Akira</x:v>
      </x:c>
    </x:row>
    <x:row r="122" ht="48" customHeight="1">
      <x:c r="A122" s="2" t="str">
        <x:v>TEN-440DA864FC31</x:v>
      </x:c>
      <x:c r="B122" s="12" t="str">
        <x:v>Akognos Life Sciences Pvt. Ltd</x:v>
      </x:c>
      <x:c r="C122" s="12" t="str">
        <x:v>Business / brand</x:v>
      </x:c>
      <x:c r="D122" s="12" t="str">
        <x:v>Healthcare &amp; life sciences</x:v>
      </x:c>
      <x:c r="E122" s="12" t="str">
        <x:v>Pharmaceuticals, biotechnology &amp; life sciences</x:v>
      </x:c>
      <x:c r="F122" s="12" t="str">
        <x:v>Medium-scale prospects</x:v>
      </x:c>
      <x:c r="G122" s="12" t="str">
        <x:v>Specialist life-sciences business; medium-scale prospect assumption.</x:v>
      </x:c>
      <x:c r="H122" s="11" t="n">
        <x:v>1</x:v>
      </x:c>
      <x:c r="I122" s="11" t="n">
        <x:v>15</x:v>
      </x:c>
      <x:c r="J122" s="11" t="n">
        <x:v>15</x:v>
      </x:c>
      <x:c r="K122" s="11" t="n">
        <x:v>0</x:v>
      </x:c>
      <x:c r="L122" s="17" t="n">
        <x:f>SUM(SUMIFS('Costing'!$P$9:$P$492,'Costing'!$A$9:$A$492,"MAIN-169"))</x:f>
        <x:v>300000</x:v>
      </x:c>
      <x:c r="M122" s="17" t="n">
        <x:f>ROUND(L122*'Costing'!$C$4,2)</x:f>
        <x:v>54000</x:v>
      </x:c>
      <x:c r="N122" s="17" t="n">
        <x:f>L122+M122</x:f>
        <x:v>354000</x:v>
      </x:c>
      <x:c r="O122" s="12" t="str">
        <x:v>Delhi NCR</x:v>
      </x:c>
      <x:c r="P122" s="12" t="str">
        <x:v>CORP-0165</x:v>
      </x:c>
      <x:c r="Q122" s="12" t="str">
        <x:v>Akognos Life Sciences Pvt. Ltd</x:v>
      </x:c>
    </x:row>
    <x:row r="123" ht="48" customHeight="1">
      <x:c r="A123" s="2" t="str">
        <x:v>TEN-E0D827A703DC</x:v>
      </x:c>
      <x:c r="B123" s="12" t="str">
        <x:v>AKP Sublimations</x:v>
      </x:c>
      <x:c r="C123" s="12" t="str">
        <x:v>Business / brand</x:v>
      </x:c>
      <x:c r="D123" s="12" t="str">
        <x:v>Unresolved</x:v>
      </x:c>
      <x:c r="E123" s="12" t="str">
        <x:v>Business activity not established</x:v>
      </x:c>
      <x:c r="F123" s="12" t="str">
        <x:v>Mixed business audience</x:v>
      </x:c>
      <x:c r="G123" s="12" t="str">
        <x:v>Business activity and company scale are not established from this name.</x:v>
      </x:c>
      <x:c r="H123" s="11" t="n">
        <x:v>1</x:v>
      </x:c>
      <x:c r="I123" s="11" t="n">
        <x:v>22</x:v>
      </x:c>
      <x:c r="J123" s="11" t="n">
        <x:v>22</x:v>
      </x:c>
      <x:c r="K123" s="11" t="n">
        <x:v>0</x:v>
      </x:c>
      <x:c r="L123" s="17" t="n">
        <x:f>SUM(SUMIFS('Costing'!$P$9:$P$492,'Costing'!$A$9:$A$492,"MAIN-307"))</x:f>
        <x:v>330000</x:v>
      </x:c>
      <x:c r="M123" s="17" t="n">
        <x:f>ROUND(L123*'Costing'!$C$4,2)</x:f>
        <x:v>59400</x:v>
      </x:c>
      <x:c r="N123" s="17" t="n">
        <x:f>L123+M123</x:f>
        <x:v>389400</x:v>
      </x:c>
      <x:c r="O123" s="12" t="str">
        <x:v>Mumbai</x:v>
      </x:c>
      <x:c r="P123" s="12" t="str">
        <x:v>CORP-0303</x:v>
      </x:c>
      <x:c r="Q123" s="12" t="str">
        <x:v>AKP Sublimations</x:v>
      </x:c>
    </x:row>
    <x:row r="124" ht="48" customHeight="1">
      <x:c r="A124" s="2" t="str">
        <x:v>TEN-4831FEA01C5A</x:v>
      </x:c>
      <x:c r="B124" s="12" t="str">
        <x:v>Akrantha software PVT LTD</x:v>
      </x:c>
      <x:c r="C124" s="12" t="str">
        <x:v>Business / brand</x:v>
      </x:c>
      <x:c r="D124" s="12" t="str">
        <x:v>IT &amp; digital</x:v>
      </x:c>
      <x:c r="E124" s="12" t="str">
        <x:v>Enterprise software &amp; digital engineering</x:v>
      </x:c>
      <x:c r="F124" s="12" t="str">
        <x:v>Small-scale prospects</x:v>
      </x:c>
      <x:c r="G124" s="12" t="str">
        <x:v>Software or technology-services business; small-scale prospect assumption.</x:v>
      </x:c>
      <x:c r="H124" s="11" t="n">
        <x:v>1</x:v>
      </x:c>
      <x:c r="I124" s="11" t="n">
        <x:v>4</x:v>
      </x:c>
      <x:c r="J124" s="11" t="n">
        <x:v>4</x:v>
      </x:c>
      <x:c r="K124" s="11" t="n">
        <x:v>0</x:v>
      </x:c>
      <x:c r="L124" s="17" t="n">
        <x:f>SUM(SUMIFS('Costing'!$P$9:$P$492,'Costing'!$A$9:$A$492,"MAIN-226"))</x:f>
        <x:v>60000</x:v>
      </x:c>
      <x:c r="M124" s="17" t="n">
        <x:f>ROUND(L124*'Costing'!$C$4,2)</x:f>
        <x:v>10800</x:v>
      </x:c>
      <x:c r="N124" s="17" t="n">
        <x:f>L124+M124</x:f>
        <x:v>70800</x:v>
      </x:c>
      <x:c r="O124" s="12" t="str">
        <x:v>Hyderabad</x:v>
      </x:c>
      <x:c r="P124" s="12" t="str">
        <x:v>CORP-0222</x:v>
      </x:c>
      <x:c r="Q124" s="12" t="str">
        <x:v>Akrantha software PVT LTD</x:v>
      </x:c>
    </x:row>
    <x:row r="125" ht="48" customHeight="1">
      <x:c r="A125" s="2" t="str">
        <x:v>TEN-ED5537070C6C</x:v>
      </x:c>
      <x:c r="B125" s="12" t="str">
        <x:v>Alanati restaurent</x:v>
      </x:c>
      <x:c r="C125" s="12" t="str">
        <x:v>Business / brand</x:v>
      </x:c>
      <x:c r="D125" s="12" t="str">
        <x:v>Trade, consumer &amp; logistics</x:v>
      </x:c>
      <x:c r="E125" s="12" t="str">
        <x:v>Travel, hospitality, food &amp; beverages</x:v>
      </x:c>
      <x:c r="F125" s="12" t="str">
        <x:v>Small-scale prospects</x:v>
      </x:c>
      <x:c r="G125" s="12" t="str">
        <x:v>Trading or consumer-services business; small-scale prospect assumption.</x:v>
      </x:c>
      <x:c r="H125" s="11" t="n">
        <x:v>1</x:v>
      </x:c>
      <x:c r="I125" s="11" t="n">
        <x:v>22</x:v>
      </x:c>
      <x:c r="J125" s="11" t="n">
        <x:v>22</x:v>
      </x:c>
      <x:c r="K125" s="11" t="n">
        <x:v>0</x:v>
      </x:c>
      <x:c r="L125" s="17" t="n">
        <x:f>SUM(SUMIFS('Costing'!$P$9:$P$492,'Costing'!$A$9:$A$492,"MAIN-260"))</x:f>
        <x:v>715000</x:v>
      </x:c>
      <x:c r="M125" s="17" t="n">
        <x:f>ROUND(L125*'Costing'!$C$4,2)</x:f>
        <x:v>128700</x:v>
      </x:c>
      <x:c r="N125" s="17" t="n">
        <x:f>L125+M125</x:f>
        <x:v>843700</x:v>
      </x:c>
      <x:c r="O125" s="12" t="str">
        <x:v>Hyderabad</x:v>
      </x:c>
      <x:c r="P125" s="12" t="str">
        <x:v>CORP-0256</x:v>
      </x:c>
      <x:c r="Q125" s="12" t="str">
        <x:v>Alanati restaurent</x:v>
      </x:c>
    </x:row>
    <x:row r="126" ht="49" customHeight="1">
      <x:c r="A126" s="2" t="str">
        <x:v>TEN-EA30894BD53C</x:v>
      </x:c>
      <x:c r="B126" s="12" t="str">
        <x:v>Alcatel-Lucent</x:v>
      </x:c>
      <x:c r="C126" s="12" t="str">
        <x:v>Business / brand</x:v>
      </x:c>
      <x:c r="D126" s="12" t="str">
        <x:v>IT &amp; digital</x:v>
      </x:c>
      <x:c r="E126" s="12" t="str">
        <x:v>Technology services — specialty unverified</x:v>
      </x:c>
      <x:c r="F126" s="12" t="str">
        <x:v>Mixed business audience</x:v>
      </x:c>
      <x:c r="G126" s="12" t="str">
        <x:v>Recognisable business context; company-scale evidence remains insufficient for a single size band.</x:v>
      </x:c>
      <x:c r="H126" s="11" t="n">
        <x:v>14</x:v>
      </x:c>
      <x:c r="I126" s="11" t="n">
        <x:v>14</x:v>
      </x:c>
      <x:c r="J126" s="11" t="n">
        <x:v>14</x:v>
      </x:c>
      <x:c r="K126" s="11" t="n">
        <x:v>0</x:v>
      </x:c>
      <x:c r="L126" s="17" t="n">
        <x:f>SUM(SUMIFS('Costing'!$P$9:$P$492,'Costing'!$A$9:$A$492,"PARTNER-M002"),SUMIFS('Costing'!$P$9:$P$492,'Costing'!$A$9:$A$492,"PARTNER-M051"))</x:f>
        <x:v>560000</x:v>
      </x:c>
      <x:c r="M126" s="17" t="n">
        <x:f>ROUND(L126*'Costing'!$C$4,2)</x:f>
        <x:v>100800</x:v>
      </x:c>
      <x:c r="N126" s="17" t="n">
        <x:f>L126+M126</x:f>
        <x:v>660800</x:v>
      </x:c>
      <x:c r="O126" s="12" t="str">
        <x:v>Bengaluru</x:v>
      </x:c>
      <x:c r="P126" s="12" t="str">
        <x:v>CORP-0420, CORP-0421, CORP-0422, CORP-0423, CORP-0424, CORP-0425, CORP-0426, CORP-0427, CORP-0428, CORP-0469, CORP-0470, CORP-0471, CORP-0472, CORP-0473</x:v>
      </x:c>
      <x:c r="Q126" s="12" t="str">
        <x:v>Alcatel-Lucent, Alcatel - Lucent</x:v>
      </x:c>
    </x:row>
    <x:row r="127" ht="48" customHeight="1">
      <x:c r="A127" s="2" t="str">
        <x:v>TEN-8BB187FB202E</x:v>
      </x:c>
      <x:c r="B127" s="12" t="str">
        <x:v>Alchemist Marketing Talent Solutions Private Limited</x:v>
      </x:c>
      <x:c r="C127" s="12" t="str">
        <x:v>Business / brand</x:v>
      </x:c>
      <x:c r="D127" s="12" t="str">
        <x:v>Professional services</x:v>
      </x:c>
      <x:c r="E127" s="12" t="str">
        <x:v>Recruitment, HR &amp; staffing</x:v>
      </x:c>
      <x:c r="F127" s="12" t="str">
        <x:v>Small-scale prospects</x:v>
      </x:c>
      <x:c r="G127" s="12" t="str">
        <x:v>Professional service, agency or advisory model; small-scale prospect assumption.</x:v>
      </x:c>
      <x:c r="H127" s="11" t="n">
        <x:v>1</x:v>
      </x:c>
      <x:c r="I127" s="11" t="n">
        <x:v>2</x:v>
      </x:c>
      <x:c r="J127" s="11" t="n">
        <x:v>2</x:v>
      </x:c>
      <x:c r="K127" s="11" t="n">
        <x:v>0</x:v>
      </x:c>
      <x:c r="L127" s="17" t="n">
        <x:f>SUM(SUMIFS('Costing'!$P$9:$P$492,'Costing'!$A$9:$A$492,"MAIN-201"))</x:f>
        <x:v>80000</x:v>
      </x:c>
      <x:c r="M127" s="17" t="n">
        <x:f>ROUND(L127*'Costing'!$C$4,2)</x:f>
        <x:v>14400</x:v>
      </x:c>
      <x:c r="N127" s="17" t="n">
        <x:f>L127+M127</x:f>
        <x:v>94400</x:v>
      </x:c>
      <x:c r="O127" s="12" t="str">
        <x:v>Delhi NCR</x:v>
      </x:c>
      <x:c r="P127" s="12" t="str">
        <x:v>CORP-0197</x:v>
      </x:c>
      <x:c r="Q127" s="12" t="str">
        <x:v>Alchemist Marketing Talent Solutions Private Limited</x:v>
      </x:c>
    </x:row>
    <x:row r="128" ht="48" customHeight="1">
      <x:c r="A128" s="2" t="str">
        <x:v>TEN-1D6F21C9D1AB</x:v>
      </x:c>
      <x:c r="B128" s="12" t="str">
        <x:v>Algorythm</x:v>
      </x:c>
      <x:c r="C128" s="12" t="str">
        <x:v>Business / brand</x:v>
      </x:c>
      <x:c r="D128" s="12" t="str">
        <x:v>Unresolved</x:v>
      </x:c>
      <x:c r="E128" s="12" t="str">
        <x:v>Business activity not established</x:v>
      </x:c>
      <x:c r="F128" s="12" t="str">
        <x:v>Mixed business audience</x:v>
      </x:c>
      <x:c r="G128" s="12" t="str">
        <x:v>Business activity and company scale are not established from this name.</x:v>
      </x:c>
      <x:c r="H128" s="11" t="n">
        <x:v>7</x:v>
      </x:c>
      <x:c r="I128" s="11" t="n">
        <x:v>7</x:v>
      </x:c>
      <x:c r="J128" s="11" t="n">
        <x:v>7</x:v>
      </x:c>
      <x:c r="K128" s="11" t="n">
        <x:v>0</x:v>
      </x:c>
      <x:c r="L128" s="17" t="n">
        <x:f>SUM(SUMIFS('Costing'!$P$9:$P$492,'Costing'!$A$9:$A$492,"PARTNER-M027"))</x:f>
        <x:v>280000</x:v>
      </x:c>
      <x:c r="M128" s="17" t="n">
        <x:f>ROUND(L128*'Costing'!$C$4,2)</x:f>
        <x:v>50400</x:v>
      </x:c>
      <x:c r="N128" s="17" t="n">
        <x:f>L128+M128</x:f>
        <x:v>330400</x:v>
      </x:c>
      <x:c r="O128" s="12" t="str">
        <x:v>Bengaluru</x:v>
      </x:c>
      <x:c r="P128" s="12" t="str">
        <x:v>CORP-0445, CORP-0446, CORP-0447, CORP-0448, CORP-0449, CORP-0450, CORP-0451</x:v>
      </x:c>
      <x:c r="Q128" s="12" t="str">
        <x:v>Algorythm</x:v>
      </x:c>
    </x:row>
    <x:row r="129" ht="48" customHeight="1">
      <x:c r="A129" s="2" t="str">
        <x:v>TEN-55C9DB2EBA8B</x:v>
      </x:c>
      <x:c r="B129" s="12" t="str">
        <x:v>AliKnow Labs Pvt.Ltd</x:v>
      </x:c>
      <x:c r="C129" s="12" t="str">
        <x:v>Business / brand</x:v>
      </x:c>
      <x:c r="D129" s="12" t="str">
        <x:v>Unresolved</x:v>
      </x:c>
      <x:c r="E129" s="12" t="str">
        <x:v>Business activity not established</x:v>
      </x:c>
      <x:c r="F129" s="12" t="str">
        <x:v>Mixed business audience</x:v>
      </x:c>
      <x:c r="G129" s="12" t="str">
        <x:v>Business activity and company scale are not established from this name.</x:v>
      </x:c>
      <x:c r="H129" s="11" t="n">
        <x:v>1</x:v>
      </x:c>
      <x:c r="I129" s="11" t="n">
        <x:v>1</x:v>
      </x:c>
      <x:c r="J129" s="11" t="n">
        <x:v>1</x:v>
      </x:c>
      <x:c r="K129" s="11" t="n">
        <x:v>0</x:v>
      </x:c>
      <x:c r="L129" s="17" t="n">
        <x:f>SUM(SUMIFS('Costing'!$P$9:$P$492,'Costing'!$A$9:$A$492,"MAIN-010"))</x:f>
        <x:v>15000</x:v>
      </x:c>
      <x:c r="M129" s="17" t="n">
        <x:f>ROUND(L129*'Costing'!$C$4,2)</x:f>
        <x:v>2700</x:v>
      </x:c>
      <x:c r="N129" s="17" t="n">
        <x:f>L129+M129</x:f>
        <x:v>17700</x:v>
      </x:c>
      <x:c r="O129" s="12" t="str">
        <x:v>Bengaluru</x:v>
      </x:c>
      <x:c r="P129" s="12" t="str">
        <x:v>CORP-0006</x:v>
      </x:c>
      <x:c r="Q129" s="12" t="str">
        <x:v>AliKnow Labs Pvt.Ltd</x:v>
      </x:c>
    </x:row>
    <x:row r="130" ht="48" customHeight="1">
      <x:c r="A130" s="2" t="str">
        <x:v>TEN-135FC7A09DA2</x:v>
      </x:c>
      <x:c r="B130" s="12" t="str">
        <x:v>Alive</x:v>
      </x:c>
      <x:c r="C130" s="12" t="str">
        <x:v>Business / brand</x:v>
      </x:c>
      <x:c r="D130" s="12" t="str">
        <x:v>Unresolved</x:v>
      </x:c>
      <x:c r="E130" s="12" t="str">
        <x:v>Business activity not established</x:v>
      </x:c>
      <x:c r="F130" s="12" t="str">
        <x:v>Mixed business audience</x:v>
      </x:c>
      <x:c r="G130" s="12" t="str">
        <x:v>Business activity and company scale are not established from this name.</x:v>
      </x:c>
      <x:c r="H130" s="11" t="n">
        <x:v>1</x:v>
      </x:c>
      <x:c r="I130" s="11" t="n">
        <x:v>1</x:v>
      </x:c>
      <x:c r="J130" s="11" t="n">
        <x:v>1</x:v>
      </x:c>
      <x:c r="K130" s="11" t="n">
        <x:v>0</x:v>
      </x:c>
      <x:c r="L130" s="17" t="n">
        <x:f>SUM(SUMIFS('Costing'!$P$9:$P$492,'Costing'!$A$9:$A$492,"MAIN-272"))</x:f>
        <x:v>20000</x:v>
      </x:c>
      <x:c r="M130" s="17" t="n">
        <x:f>ROUND(L130*'Costing'!$C$4,2)</x:f>
        <x:v>3600</x:v>
      </x:c>
      <x:c r="N130" s="17" t="n">
        <x:f>L130+M130</x:f>
        <x:v>23600</x:v>
      </x:c>
      <x:c r="O130" s="12" t="str">
        <x:v>Indore</x:v>
      </x:c>
      <x:c r="P130" s="12" t="str">
        <x:v>CORP-0268</x:v>
      </x:c>
      <x:c r="Q130" s="12" t="str">
        <x:v>Alive</x:v>
      </x:c>
    </x:row>
    <x:row r="131" ht="48" customHeight="1">
      <x:c r="A131" s="2" t="str">
        <x:v>TEN-47E022B2F6C9</x:v>
      </x:c>
      <x:c r="B131" s="12" t="str">
        <x:v>alive&amp;thrive</x:v>
      </x:c>
      <x:c r="C131" s="12" t="str">
        <x:v>Business / brand</x:v>
      </x:c>
      <x:c r="D131" s="12" t="str">
        <x:v>Unresolved</x:v>
      </x:c>
      <x:c r="E131" s="12" t="str">
        <x:v>Business activity not established</x:v>
      </x:c>
      <x:c r="F131" s="12" t="str">
        <x:v>Mixed business audience</x:v>
      </x:c>
      <x:c r="G131" s="12" t="str">
        <x:v>Business activity and company scale are not established from this name.</x:v>
      </x:c>
      <x:c r="H131" s="11" t="n">
        <x:v>1</x:v>
      </x:c>
      <x:c r="I131" s="11" t="n">
        <x:v>2</x:v>
      </x:c>
      <x:c r="J131" s="11" t="n">
        <x:v>2</x:v>
      </x:c>
      <x:c r="K131" s="11" t="n">
        <x:v>0</x:v>
      </x:c>
      <x:c r="L131" s="17" t="n">
        <x:f>SUM(SUMIFS('Costing'!$P$9:$P$492,'Costing'!$A$9:$A$492,"MAIN-162"))</x:f>
        <x:v>30000</x:v>
      </x:c>
      <x:c r="M131" s="17" t="n">
        <x:f>ROUND(L131*'Costing'!$C$4,2)</x:f>
        <x:v>5400</x:v>
      </x:c>
      <x:c r="N131" s="17" t="n">
        <x:f>L131+M131</x:f>
        <x:v>35400</x:v>
      </x:c>
      <x:c r="O131" s="12" t="str">
        <x:v>Delhi NCR</x:v>
      </x:c>
      <x:c r="P131" s="12" t="str">
        <x:v>CORP-0158</x:v>
      </x:c>
      <x:c r="Q131" s="12" t="str">
        <x:v>alive&amp;thrive</x:v>
      </x:c>
    </x:row>
    <x:row r="132" ht="48" customHeight="1">
      <x:c r="A132" s="2" t="str">
        <x:v>TEN-FB0329803647</x:v>
      </x:c>
      <x:c r="B132" s="12" t="str">
        <x:v>ALKYL AMINES CHEMICALS LTD MAGARPATTA</x:v>
      </x:c>
      <x:c r="C132" s="12" t="str">
        <x:v>Business / brand</x:v>
      </x:c>
      <x:c r="D132" s="12" t="str">
        <x:v>Engineering &amp; manufacturing</x:v>
      </x:c>
      <x:c r="E132" s="12" t="str">
        <x:v>Chemicals, materials &amp; industrial manufacturing</x:v>
      </x:c>
      <x:c r="F132" s="12" t="str">
        <x:v>Mixed business audience</x:v>
      </x:c>
      <x:c r="G132" s="12" t="str">
        <x:v>Established brand or business network; local company scale is not established. Use a mixed-business message.</x:v>
      </x:c>
      <x:c r="H132" s="11" t="n">
        <x:v>4</x:v>
      </x:c>
      <x:c r="I132" s="11" t="n">
        <x:v>4</x:v>
      </x:c>
      <x:c r="J132" s="11" t="n">
        <x:v>4</x:v>
      </x:c>
      <x:c r="K132" s="11" t="n">
        <x:v>0</x:v>
      </x:c>
      <x:c r="L132" s="17" t="n">
        <x:f>SUM(SUMIFS('Costing'!$P$9:$P$492,'Costing'!$A$9:$A$492,"PARTNER-M261"))</x:f>
        <x:v>160000</x:v>
      </x:c>
      <x:c r="M132" s="17" t="n">
        <x:f>ROUND(L132*'Costing'!$C$4,2)</x:f>
        <x:v>28800</x:v>
      </x:c>
      <x:c r="N132" s="17" t="n">
        <x:f>L132+M132</x:f>
        <x:v>188800</x:v>
      </x:c>
      <x:c r="O132" s="12" t="str">
        <x:v>Pune</x:v>
      </x:c>
      <x:c r="P132" s="12" t="str">
        <x:v>CORP-0677, CORP-0678, CORP-0679, CORP-0680</x:v>
      </x:c>
      <x:c r="Q132" s="12" t="str">
        <x:v>ALKYL AMINES CHEMICALS LTD MAGARPATTA</x:v>
      </x:c>
    </x:row>
    <x:row r="133" ht="48" customHeight="1">
      <x:c r="A133" s="2" t="str">
        <x:v>TEN-FFDD85E02F24</x:v>
      </x:c>
      <x:c r="B133" s="12" t="str">
        <x:v>Allen Solly</x:v>
      </x:c>
      <x:c r="C133" s="12" t="str">
        <x:v>Business / brand</x:v>
      </x:c>
      <x:c r="D133" s="12" t="str">
        <x:v>Trade, consumer &amp; logistics</x:v>
      </x:c>
      <x:c r="E133" s="12" t="str">
        <x:v>Retail, consumer products &amp; ecommerce</x:v>
      </x:c>
      <x:c r="F133" s="12" t="str">
        <x:v>Mixed business audience</x:v>
      </x:c>
      <x:c r="G133" s="12" t="str">
        <x:v>Recognisable business context; company-scale evidence remains insufficient for a single size band.</x:v>
      </x:c>
      <x:c r="H133" s="11" t="n">
        <x:v>1</x:v>
      </x:c>
      <x:c r="I133" s="11" t="n">
        <x:v>1</x:v>
      </x:c>
      <x:c r="J133" s="11" t="n">
        <x:v>1</x:v>
      </x:c>
      <x:c r="K133" s="11" t="n">
        <x:v>0</x:v>
      </x:c>
      <x:c r="L133" s="17" t="n">
        <x:f>SUM(SUMIFS('Costing'!$P$9:$P$492,'Costing'!$A$9:$A$492,"MAIN-269"))</x:f>
        <x:v>40000</x:v>
      </x:c>
      <x:c r="M133" s="17" t="n">
        <x:f>ROUND(L133*'Costing'!$C$4,2)</x:f>
        <x:v>7200</x:v>
      </x:c>
      <x:c r="N133" s="17" t="n">
        <x:f>L133+M133</x:f>
        <x:v>47200</x:v>
      </x:c>
      <x:c r="O133" s="12" t="str">
        <x:v>Indore</x:v>
      </x:c>
      <x:c r="P133" s="12" t="str">
        <x:v>CORP-0265</x:v>
      </x:c>
      <x:c r="Q133" s="12" t="str">
        <x:v>Allen Solly</x:v>
      </x:c>
    </x:row>
    <x:row r="134" ht="49" customHeight="1">
      <x:c r="A134" s="2" t="str">
        <x:v>TEN-58FBF46B6AEC</x:v>
      </x:c>
      <x:c r="B134" s="12" t="str">
        <x:v>Allergan India</x:v>
      </x:c>
      <x:c r="C134" s="12" t="str">
        <x:v>Business / brand</x:v>
      </x:c>
      <x:c r="D134" s="12" t="str">
        <x:v>Healthcare &amp; life sciences</x:v>
      </x:c>
      <x:c r="E134" s="12" t="str">
        <x:v>Clinical, medical &amp; diagnostic services</x:v>
      </x:c>
      <x:c r="F134" s="12" t="str">
        <x:v>Mixed business audience</x:v>
      </x:c>
      <x:c r="G134" s="12" t="str">
        <x:v>Established brand or business network; local company scale is not established. Use a mixed-business message.</x:v>
      </x:c>
      <x:c r="H134" s="11" t="n">
        <x:v>11</x:v>
      </x:c>
      <x:c r="I134" s="11" t="n">
        <x:v>11</x:v>
      </x:c>
      <x:c r="J134" s="11" t="n">
        <x:v>11</x:v>
      </x:c>
      <x:c r="K134" s="11" t="n">
        <x:v>0</x:v>
      </x:c>
      <x:c r="L134" s="17" t="n">
        <x:f>SUM(SUMIFS('Costing'!$P$9:$P$492,'Costing'!$A$9:$A$492,"PARTNER-M082"))</x:f>
        <x:v>440000</x:v>
      </x:c>
      <x:c r="M134" s="17" t="n">
        <x:f>ROUND(L134*'Costing'!$C$4,2)</x:f>
        <x:v>79200</x:v>
      </x:c>
      <x:c r="N134" s="17" t="n">
        <x:f>L134+M134</x:f>
        <x:v>519200</x:v>
      </x:c>
      <x:c r="O134" s="12" t="str">
        <x:v>Bengaluru</x:v>
      </x:c>
      <x:c r="P134" s="12" t="str">
        <x:v>CORP-0500, CORP-0501, CORP-0502, CORP-0503, CORP-0504, CORP-0505, CORP-0506, CORP-0507, CORP-0508, CORP-0509, CORP-0510</x:v>
      </x:c>
      <x:c r="Q134" s="12" t="str">
        <x:v>Allergan India</x:v>
      </x:c>
    </x:row>
    <x:row r="135" ht="48" customHeight="1">
      <x:c r="A135" s="2" t="str">
        <x:v>TEN-2598A96C6EA1</x:v>
      </x:c>
      <x:c r="B135" s="12" t="str">
        <x:v>AlphaGrep</x:v>
      </x:c>
      <x:c r="C135" s="12" t="str">
        <x:v>Business / brand</x:v>
      </x:c>
      <x:c r="D135" s="12" t="str">
        <x:v>Finance &amp; insurance</x:v>
      </x:c>
      <x:c r="E135" s="12" t="str">
        <x:v>Investments, securities &amp; wealth</x:v>
      </x:c>
      <x:c r="F135" s="12" t="str">
        <x:v>Medium-scale prospects</x:v>
      </x:c>
      <x:c r="G135" s="12" t="str">
        <x:v>Specialist financial-services business; medium-scale prospect assumption.</x:v>
      </x:c>
      <x:c r="H135" s="11" t="n">
        <x:v>4</x:v>
      </x:c>
      <x:c r="I135" s="11" t="n">
        <x:v>4</x:v>
      </x:c>
      <x:c r="J135" s="11" t="n">
        <x:v>4</x:v>
      </x:c>
      <x:c r="K135" s="11" t="n">
        <x:v>0</x:v>
      </x:c>
      <x:c r="L135" s="17" t="n">
        <x:f>SUM(SUMIFS('Costing'!$P$9:$P$492,'Costing'!$A$9:$A$492,"PARTNER-M171"))</x:f>
        <x:v>160000</x:v>
      </x:c>
      <x:c r="M135" s="17" t="n">
        <x:f>ROUND(L135*'Costing'!$C$4,2)</x:f>
        <x:v>28800</x:v>
      </x:c>
      <x:c r="N135" s="17" t="n">
        <x:f>L135+M135</x:f>
        <x:v>188800</x:v>
      </x:c>
      <x:c r="O135" s="12" t="str">
        <x:v>Mumbai</x:v>
      </x:c>
      <x:c r="P135" s="12" t="str">
        <x:v>CORP-0588, CORP-0589, CORP-0590, CORP-0591</x:v>
      </x:c>
      <x:c r="Q135" s="12" t="str">
        <x:v>AlphaGrep</x:v>
      </x:c>
    </x:row>
    <x:row r="136" ht="48" customHeight="1">
      <x:c r="A136" s="2" t="str">
        <x:v>TEN-4749F5FD72F9</x:v>
      </x:c>
      <x:c r="B136" s="12" t="str">
        <x:v>Alphamu software technologies</x:v>
      </x:c>
      <x:c r="C136" s="12" t="str">
        <x:v>Business / brand</x:v>
      </x:c>
      <x:c r="D136" s="12" t="str">
        <x:v>IT &amp; digital</x:v>
      </x:c>
      <x:c r="E136" s="12" t="str">
        <x:v>Enterprise software &amp; digital engineering</x:v>
      </x:c>
      <x:c r="F136" s="12" t="str">
        <x:v>Small-scale prospects</x:v>
      </x:c>
      <x:c r="G136" s="12" t="str">
        <x:v>Software or technology-services business; small-scale prospect assumption.</x:v>
      </x:c>
      <x:c r="H136" s="11" t="n">
        <x:v>1</x:v>
      </x:c>
      <x:c r="I136" s="11" t="n">
        <x:v>4</x:v>
      </x:c>
      <x:c r="J136" s="11" t="n">
        <x:v>4</x:v>
      </x:c>
      <x:c r="K136" s="11" t="n">
        <x:v>0</x:v>
      </x:c>
      <x:c r="L136" s="17" t="n">
        <x:f>SUM(SUMIFS('Costing'!$P$9:$P$492,'Costing'!$A$9:$A$492,"MAIN-226"))</x:f>
        <x:v>60000</x:v>
      </x:c>
      <x:c r="M136" s="17" t="n">
        <x:f>ROUND(L136*'Costing'!$C$4,2)</x:f>
        <x:v>10800</x:v>
      </x:c>
      <x:c r="N136" s="17" t="n">
        <x:f>L136+M136</x:f>
        <x:v>70800</x:v>
      </x:c>
      <x:c r="O136" s="12" t="str">
        <x:v>Hyderabad</x:v>
      </x:c>
      <x:c r="P136" s="12" t="str">
        <x:v>CORP-0222</x:v>
      </x:c>
      <x:c r="Q136" s="12" t="str">
        <x:v>Alphamu software technologies</x:v>
      </x:c>
    </x:row>
    <x:row r="137" ht="75" customHeight="1">
      <x:c r="A137" s="2" t="str">
        <x:v>TEN-36E26473A4E8</x:v>
      </x:c>
      <x:c r="B137" s="12" t="str">
        <x:v>Alstom</x:v>
      </x:c>
      <x:c r="C137" s="12" t="str">
        <x:v>Business / brand</x:v>
      </x:c>
      <x:c r="D137" s="12" t="str">
        <x:v>Engineering &amp; manufacturing</x:v>
      </x:c>
      <x:c r="E137" s="12" t="str">
        <x:v>Automotive, mobility &amp; aerospace</x:v>
      </x:c>
      <x:c r="F137" s="12" t="str">
        <x:v>Large enterprise</x:v>
      </x:c>
      <x:c r="G137" s="12" t="str">
        <x:v>Official profile reports more than 86,000 staff and international rail operations; page has differing exact counts, so no single precise headcount is used.</x:v>
      </x:c>
      <x:c r="H137" s="11" t="n">
        <x:v>23</x:v>
      </x:c>
      <x:c r="I137" s="11" t="n">
        <x:v>57</x:v>
      </x:c>
      <x:c r="J137" s="11" t="n">
        <x:v>57</x:v>
      </x:c>
      <x:c r="K137" s="11" t="n">
        <x:v>0</x:v>
      </x:c>
      <x:c r="L137" s="17" t="n">
        <x:f>SUM(SUMIFS('Costing'!$P$9:$P$492,'Costing'!$A$9:$A$492,"MAIN-235"),SUMIFS('Costing'!$P$9:$P$492,'Costing'!$A$9:$A$492,"MAIN-236"),SUMIFS('Costing'!$P$9:$P$492,'Costing'!$A$9:$A$492,"MAIN-272"),SUMIFS('Costing'!$P$9:$P$492,'Costing'!$A$9:$A$492,"PARTNER-M130"),SUMIFS('Costing'!$P$9:$P$492,'Costing'!$A$9:$A$492,"PARTNER-M108"))</x:f>
        <x:v>1585000</x:v>
      </x:c>
      <x:c r="M137" s="17" t="n">
        <x:f>ROUND(L137*'Costing'!$C$4,2)</x:f>
        <x:v>285300</x:v>
      </x:c>
      <x:c r="N137" s="17" t="n">
        <x:f>L137+M137</x:f>
        <x:v>1870300</x:v>
      </x:c>
      <x:c r="O137" s="12" t="str">
        <x:v>Hyderabad, Indore, Bengaluru</x:v>
      </x:c>
      <x:c r="P137" s="12" t="str">
        <x:v>CORP-0231, CORP-0232, CORP-0268, CORP-0526, CORP-0527, CORP-0528, CORP-0529, CORP-0530, CORP-0531, CORP-0532, CORP-0533, CORP-0534, CORP-0535, CORP-0536, CORP-0537, CORP-0548, CORP-0549, CORP-0550, CORP-0551, CORP-0552, CORP-0553, CORP-0554, CORP-0555</x:v>
      </x:c>
      <x:c r="Q137" s="12" t="str">
        <x:v>Alstom, ALSTOM</x:v>
      </x:c>
    </x:row>
    <x:row r="138" ht="48" customHeight="1">
      <x:c r="A138" s="2" t="str">
        <x:v>TEN-6BFBAAC71E1C</x:v>
      </x:c>
      <x:c r="B138" s="12" t="str">
        <x:v>Altair</x:v>
      </x:c>
      <x:c r="C138" s="12" t="str">
        <x:v>Business / brand</x:v>
      </x:c>
      <x:c r="D138" s="12" t="str">
        <x:v>IT &amp; digital</x:v>
      </x:c>
      <x:c r="E138" s="12" t="str">
        <x:v>Enterprise software &amp; digital engineering</x:v>
      </x:c>
      <x:c r="F138" s="12" t="str">
        <x:v>Mixed business audience</x:v>
      </x:c>
      <x:c r="G138" s="12" t="str">
        <x:v>Established brand or business network; local company scale is not established. Use a mixed-business message.</x:v>
      </x:c>
      <x:c r="H138" s="11" t="n">
        <x:v>1</x:v>
      </x:c>
      <x:c r="I138" s="11" t="n">
        <x:v>2</x:v>
      </x:c>
      <x:c r="J138" s="11" t="n">
        <x:v>2</x:v>
      </x:c>
      <x:c r="K138" s="11" t="n">
        <x:v>0</x:v>
      </x:c>
      <x:c r="L138" s="17" t="n">
        <x:f>SUM(SUMIFS('Costing'!$P$9:$P$492,'Costing'!$A$9:$A$492,"MAIN-280"))</x:f>
        <x:v>30000</x:v>
      </x:c>
      <x:c r="M138" s="17" t="n">
        <x:f>ROUND(L138*'Costing'!$C$4,2)</x:f>
        <x:v>5400</x:v>
      </x:c>
      <x:c r="N138" s="17" t="n">
        <x:f>L138+M138</x:f>
        <x:v>35400</x:v>
      </x:c>
      <x:c r="O138" s="12" t="str">
        <x:v>Kolkata</x:v>
      </x:c>
      <x:c r="P138" s="12" t="str">
        <x:v>CORP-0276</x:v>
      </x:c>
      <x:c r="Q138" s="12" t="str">
        <x:v>Altair</x:v>
      </x:c>
    </x:row>
    <x:row r="139" ht="48" customHeight="1">
      <x:c r="A139" s="2" t="str">
        <x:v>TEN-8FA9382A9706</x:v>
      </x:c>
      <x:c r="B139" s="12" t="str">
        <x:v>Alten Calsoft Labs (India) Private Limited</x:v>
      </x:c>
      <x:c r="C139" s="12" t="str">
        <x:v>Business / brand</x:v>
      </x:c>
      <x:c r="D139" s="12" t="str">
        <x:v>IT &amp; digital</x:v>
      </x:c>
      <x:c r="E139" s="12" t="str">
        <x:v>Enterprise software &amp; digital engineering</x:v>
      </x:c>
      <x:c r="F139" s="12" t="str">
        <x:v>Mixed business audience</x:v>
      </x:c>
      <x:c r="G139" s="12" t="str">
        <x:v>Established brand or business network; local company scale is not established. Use a mixed-business message.</x:v>
      </x:c>
      <x:c r="H139" s="11" t="n">
        <x:v>1</x:v>
      </x:c>
      <x:c r="I139" s="11" t="n">
        <x:v>1</x:v>
      </x:c>
      <x:c r="J139" s="11" t="n">
        <x:v>1</x:v>
      </x:c>
      <x:c r="K139" s="11" t="n">
        <x:v>0</x:v>
      </x:c>
      <x:c r="L139" s="17" t="n">
        <x:f>SUM(SUMIFS('Costing'!$P$9:$P$492,'Costing'!$A$9:$A$492,"MAIN-297"))</x:f>
        <x:v>15000</x:v>
      </x:c>
      <x:c r="M139" s="17" t="n">
        <x:f>ROUND(L139*'Costing'!$C$4,2)</x:f>
        <x:v>2700</x:v>
      </x:c>
      <x:c r="N139" s="17" t="n">
        <x:f>L139+M139</x:f>
        <x:v>17700</x:v>
      </x:c>
      <x:c r="O139" s="12" t="str">
        <x:v>Mumbai</x:v>
      </x:c>
      <x:c r="P139" s="12" t="str">
        <x:v>CORP-0293</x:v>
      </x:c>
      <x:c r="Q139" s="12" t="str">
        <x:v>Alten Calsoft Labs (India) Private Limited</x:v>
      </x:c>
    </x:row>
    <x:row r="140" ht="48" customHeight="1">
      <x:c r="A140" s="2" t="str">
        <x:v>TEN-55E4D63DB5A3</x:v>
      </x:c>
      <x:c r="B140" s="12" t="str">
        <x:v>Alteryx</x:v>
      </x:c>
      <x:c r="C140" s="12" t="str">
        <x:v>Business / brand</x:v>
      </x:c>
      <x:c r="D140" s="12" t="str">
        <x:v>IT &amp; digital</x:v>
      </x:c>
      <x:c r="E140" s="12" t="str">
        <x:v>Technology services — specialty unverified</x:v>
      </x:c>
      <x:c r="F140" s="12" t="str">
        <x:v>Mixed business audience</x:v>
      </x:c>
      <x:c r="G140" s="12" t="str">
        <x:v>Recognisable business context; company-scale evidence remains insufficient for a single size band.</x:v>
      </x:c>
      <x:c r="H140" s="11" t="n">
        <x:v>1</x:v>
      </x:c>
      <x:c r="I140" s="11" t="n">
        <x:v>7</x:v>
      </x:c>
      <x:c r="J140" s="11" t="n">
        <x:v>7</x:v>
      </x:c>
      <x:c r="K140" s="11" t="n">
        <x:v>0</x:v>
      </x:c>
      <x:c r="L140" s="17" t="n">
        <x:f>SUM(SUMIFS('Costing'!$P$9:$P$492,'Costing'!$A$9:$A$492,"MAIN-116"))</x:f>
        <x:v>175000</x:v>
      </x:c>
      <x:c r="M140" s="17" t="n">
        <x:f>ROUND(L140*'Costing'!$C$4,2)</x:f>
        <x:v>31500</x:v>
      </x:c>
      <x:c r="N140" s="17" t="n">
        <x:f>L140+M140</x:f>
        <x:v>206500</x:v>
      </x:c>
      <x:c r="O140" s="12" t="str">
        <x:v>Bengaluru</x:v>
      </x:c>
      <x:c r="P140" s="12" t="str">
        <x:v>CORP-0112</x:v>
      </x:c>
      <x:c r="Q140" s="12" t="str">
        <x:v>Alteryx</x:v>
      </x:c>
    </x:row>
    <x:row r="141" ht="48" customHeight="1">
      <x:c r="A141" s="2" t="str">
        <x:v>TEN-F38062E0D24B</x:v>
      </x:c>
      <x:c r="B141" s="12" t="str">
        <x:v>Altin</x:v>
      </x:c>
      <x:c r="C141" s="12" t="str">
        <x:v>Business / brand</x:v>
      </x:c>
      <x:c r="D141" s="12" t="str">
        <x:v>Unresolved</x:v>
      </x:c>
      <x:c r="E141" s="12" t="str">
        <x:v>Business activity not established</x:v>
      </x:c>
      <x:c r="F141" s="12" t="str">
        <x:v>Mixed business audience</x:v>
      </x:c>
      <x:c r="G141" s="12" t="str">
        <x:v>Business activity and company scale are not established from this name.</x:v>
      </x:c>
      <x:c r="H141" s="11" t="n">
        <x:v>1</x:v>
      </x:c>
      <x:c r="I141" s="11" t="n">
        <x:v>1</x:v>
      </x:c>
      <x:c r="J141" s="11" t="n">
        <x:v>1</x:v>
      </x:c>
      <x:c r="K141" s="11" t="n">
        <x:v>0</x:v>
      </x:c>
      <x:c r="L141" s="17" t="n">
        <x:f>SUM(SUMIFS('Costing'!$P$9:$P$492,'Costing'!$A$9:$A$492,"MAIN-270"))</x:f>
        <x:v>20000</x:v>
      </x:c>
      <x:c r="M141" s="17" t="n">
        <x:f>ROUND(L141*'Costing'!$C$4,2)</x:f>
        <x:v>3600</x:v>
      </x:c>
      <x:c r="N141" s="17" t="n">
        <x:f>L141+M141</x:f>
        <x:v>23600</x:v>
      </x:c>
      <x:c r="O141" s="12" t="str">
        <x:v>Indore</x:v>
      </x:c>
      <x:c r="P141" s="12" t="str">
        <x:v>CORP-0266</x:v>
      </x:c>
      <x:c r="Q141" s="12" t="str">
        <x:v>Altin</x:v>
      </x:c>
    </x:row>
    <x:row r="142" ht="49" customHeight="1">
      <x:c r="A142" s="2" t="str">
        <x:v>TEN-19A1211FA855</x:v>
      </x:c>
      <x:c r="B142" s="12" t="str">
        <x:v>Altiostar</x:v>
      </x:c>
      <x:c r="C142" s="12" t="str">
        <x:v>Business / brand</x:v>
      </x:c>
      <x:c r="D142" s="12" t="str">
        <x:v>IT &amp; digital</x:v>
      </x:c>
      <x:c r="E142" s="12" t="str">
        <x:v>Telecom, networks &amp; connectivity</x:v>
      </x:c>
      <x:c r="F142" s="12" t="str">
        <x:v>Mixed business audience</x:v>
      </x:c>
      <x:c r="G142" s="12" t="str">
        <x:v>Established brand or business network; local company scale is not established. Use a mixed-business message.</x:v>
      </x:c>
      <x:c r="H142" s="11" t="n">
        <x:v>12</x:v>
      </x:c>
      <x:c r="I142" s="11" t="n">
        <x:v>12</x:v>
      </x:c>
      <x:c r="J142" s="11" t="n">
        <x:v>12</x:v>
      </x:c>
      <x:c r="K142" s="11" t="n">
        <x:v>0</x:v>
      </x:c>
      <x:c r="L142" s="17" t="n">
        <x:f>SUM(SUMIFS('Costing'!$P$9:$P$492,'Costing'!$A$9:$A$492,"PARTNER-M108"))</x:f>
        <x:v>480000</x:v>
      </x:c>
      <x:c r="M142" s="17" t="n">
        <x:f>ROUND(L142*'Costing'!$C$4,2)</x:f>
        <x:v>86400</x:v>
      </x:c>
      <x:c r="N142" s="17" t="n">
        <x:f>L142+M142</x:f>
        <x:v>566400</x:v>
      </x:c>
      <x:c r="O142" s="12" t="str">
        <x:v>Bengaluru</x:v>
      </x:c>
      <x:c r="P142" s="12" t="str">
        <x:v>CORP-0526, CORP-0527, CORP-0528, CORP-0529, CORP-0530, CORP-0531, CORP-0532, CORP-0533, CORP-0534, CORP-0535, CORP-0536, CORP-0537</x:v>
      </x:c>
      <x:c r="Q142" s="12" t="str">
        <x:v>Altiostar</x:v>
      </x:c>
    </x:row>
    <x:row r="143" ht="48" customHeight="1">
      <x:c r="A143" s="2" t="str">
        <x:v>TEN-38E35F68D170</x:v>
      </x:c>
      <x:c r="B143" s="12" t="str">
        <x:v>Altran Technologies India Pvt. Ltd</x:v>
      </x:c>
      <x:c r="C143" s="12" t="str">
        <x:v>Business / brand</x:v>
      </x:c>
      <x:c r="D143" s="12" t="str">
        <x:v>IT &amp; digital</x:v>
      </x:c>
      <x:c r="E143" s="12" t="str">
        <x:v>Enterprise software &amp; digital engineering</x:v>
      </x:c>
      <x:c r="F143" s="12" t="str">
        <x:v>Mixed business audience</x:v>
      </x:c>
      <x:c r="G143" s="12" t="str">
        <x:v>Established brand or business network; local company scale is not established. Use a mixed-business message.</x:v>
      </x:c>
      <x:c r="H143" s="11" t="n">
        <x:v>1</x:v>
      </x:c>
      <x:c r="I143" s="11" t="n">
        <x:v>3</x:v>
      </x:c>
      <x:c r="J143" s="11" t="n">
        <x:v>3</x:v>
      </x:c>
      <x:c r="K143" s="11" t="n">
        <x:v>0</x:v>
      </x:c>
      <x:c r="L143" s="17" t="n">
        <x:f>SUM(SUMIFS('Costing'!$P$9:$P$492,'Costing'!$A$9:$A$492,"MAIN-366"))</x:f>
        <x:v>45000</x:v>
      </x:c>
      <x:c r="M143" s="17" t="n">
        <x:f>ROUND(L143*'Costing'!$C$4,2)</x:f>
        <x:v>8100</x:v>
      </x:c>
      <x:c r="N143" s="17" t="n">
        <x:f>L143+M143</x:f>
        <x:v>53100</x:v>
      </x:c>
      <x:c r="O143" s="12" t="str">
        <x:v>Delhi NCR</x:v>
      </x:c>
      <x:c r="P143" s="12" t="str">
        <x:v>CORP-0362</x:v>
      </x:c>
      <x:c r="Q143" s="12" t="str">
        <x:v>Altran Technologies India Pvt. Ltd</x:v>
      </x:c>
    </x:row>
    <x:row r="144" ht="48" customHeight="1">
      <x:c r="A144" s="2" t="str">
        <x:v>TEN-46217CA33338</x:v>
      </x:c>
      <x:c r="B144" s="12" t="str">
        <x:v>Altruist technologies</x:v>
      </x:c>
      <x:c r="C144" s="12" t="str">
        <x:v>Business / brand</x:v>
      </x:c>
      <x:c r="D144" s="12" t="str">
        <x:v>IT &amp; digital</x:v>
      </x:c>
      <x:c r="E144" s="12" t="str">
        <x:v>Enterprise software &amp; digital engineering</x:v>
      </x:c>
      <x:c r="F144" s="12" t="str">
        <x:v>Small-scale prospects</x:v>
      </x:c>
      <x:c r="G144" s="12" t="str">
        <x:v>Software or technology-services business; small-scale prospect assumption.</x:v>
      </x:c>
      <x:c r="H144" s="11" t="n">
        <x:v>1</x:v>
      </x:c>
      <x:c r="I144" s="11" t="n">
        <x:v>6</x:v>
      </x:c>
      <x:c r="J144" s="11" t="n">
        <x:v>6</x:v>
      </x:c>
      <x:c r="K144" s="11" t="n">
        <x:v>0</x:v>
      </x:c>
      <x:c r="L144" s="17" t="n">
        <x:f>SUM(SUMIFS('Costing'!$P$9:$P$492,'Costing'!$A$9:$A$492,"MAIN-027"))</x:f>
        <x:v>90000</x:v>
      </x:c>
      <x:c r="M144" s="17" t="n">
        <x:f>ROUND(L144*'Costing'!$C$4,2)</x:f>
        <x:v>16200</x:v>
      </x:c>
      <x:c r="N144" s="17" t="n">
        <x:f>L144+M144</x:f>
        <x:v>106200</x:v>
      </x:c>
      <x:c r="O144" s="12" t="str">
        <x:v>Bengaluru</x:v>
      </x:c>
      <x:c r="P144" s="12" t="str">
        <x:v>CORP-0023</x:v>
      </x:c>
      <x:c r="Q144" s="12" t="str">
        <x:v>Altruist technologies</x:v>
      </x:c>
    </x:row>
    <x:row r="145" ht="48" customHeight="1">
      <x:c r="A145" s="2" t="str">
        <x:v>TEN-1C3B3DE3D7AC</x:v>
      </x:c>
      <x:c r="B145" s="12" t="str">
        <x:v>Alucor</x:v>
      </x:c>
      <x:c r="C145" s="12" t="str">
        <x:v>Business / brand</x:v>
      </x:c>
      <x:c r="D145" s="12" t="str">
        <x:v>Engineering &amp; manufacturing</x:v>
      </x:c>
      <x:c r="E145" s="12" t="str">
        <x:v>Chemicals, materials &amp; industrial manufacturing</x:v>
      </x:c>
      <x:c r="F145" s="12" t="str">
        <x:v>Medium-scale prospects</x:v>
      </x:c>
      <x:c r="G145" s="12" t="str">
        <x:v>Specialist industrial or engineering business; medium-scale prospect assumption.</x:v>
      </x:c>
      <x:c r="H145" s="11" t="n">
        <x:v>1</x:v>
      </x:c>
      <x:c r="I145" s="11" t="n">
        <x:v>5</x:v>
      </x:c>
      <x:c r="J145" s="11" t="n">
        <x:v>5</x:v>
      </x:c>
      <x:c r="K145" s="11" t="n">
        <x:v>0</x:v>
      </x:c>
      <x:c r="L145" s="17" t="n">
        <x:f>SUM(SUMIFS('Costing'!$P$9:$P$492,'Costing'!$A$9:$A$492,"MAIN-025"))</x:f>
        <x:v>75000</x:v>
      </x:c>
      <x:c r="M145" s="17" t="n">
        <x:f>ROUND(L145*'Costing'!$C$4,2)</x:f>
        <x:v>13500</x:v>
      </x:c>
      <x:c r="N145" s="17" t="n">
        <x:f>L145+M145</x:f>
        <x:v>88500</x:v>
      </x:c>
      <x:c r="O145" s="12" t="str">
        <x:v>Bengaluru</x:v>
      </x:c>
      <x:c r="P145" s="12" t="str">
        <x:v>CORP-0021</x:v>
      </x:c>
      <x:c r="Q145" s="12" t="str">
        <x:v>Alucor</x:v>
      </x:c>
    </x:row>
    <x:row r="146" ht="49" customHeight="1">
      <x:c r="A146" s="2" t="str">
        <x:v>TEN-E305C1EB5FCE</x:v>
      </x:c>
      <x:c r="B146" s="12" t="str">
        <x:v>ALUK</x:v>
      </x:c>
      <x:c r="C146" s="12" t="str">
        <x:v>Business / brand</x:v>
      </x:c>
      <x:c r="D146" s="12" t="str">
        <x:v>Engineering &amp; manufacturing</x:v>
      </x:c>
      <x:c r="E146" s="12" t="str">
        <x:v>Chemicals, materials &amp; industrial manufacturing</x:v>
      </x:c>
      <x:c r="F146" s="12" t="str">
        <x:v>Medium-scale prospects</x:v>
      </x:c>
      <x:c r="G146" s="12" t="str">
        <x:v>Specialist industrial or engineering business; medium-scale prospect assumption.</x:v>
      </x:c>
      <x:c r="H146" s="11" t="n">
        <x:v>12</x:v>
      </x:c>
      <x:c r="I146" s="11" t="n">
        <x:v>12</x:v>
      </x:c>
      <x:c r="J146" s="11" t="n">
        <x:v>12</x:v>
      </x:c>
      <x:c r="K146" s="11" t="n">
        <x:v>0</x:v>
      </x:c>
      <x:c r="L146" s="17" t="n">
        <x:f>SUM(SUMIFS('Costing'!$P$9:$P$492,'Costing'!$A$9:$A$492,"PARTNER-M108"))</x:f>
        <x:v>480000</x:v>
      </x:c>
      <x:c r="M146" s="17" t="n">
        <x:f>ROUND(L146*'Costing'!$C$4,2)</x:f>
        <x:v>86400</x:v>
      </x:c>
      <x:c r="N146" s="17" t="n">
        <x:f>L146+M146</x:f>
        <x:v>566400</x:v>
      </x:c>
      <x:c r="O146" s="12" t="str">
        <x:v>Bengaluru</x:v>
      </x:c>
      <x:c r="P146" s="12" t="str">
        <x:v>CORP-0526, CORP-0527, CORP-0528, CORP-0529, CORP-0530, CORP-0531, CORP-0532, CORP-0533, CORP-0534, CORP-0535, CORP-0536, CORP-0537</x:v>
      </x:c>
      <x:c r="Q146" s="12" t="str">
        <x:v>ALUK</x:v>
      </x:c>
    </x:row>
    <x:row r="147" ht="48" customHeight="1">
      <x:c r="A147" s="2" t="str">
        <x:v>TEN-553E661E9572</x:v>
      </x:c>
      <x:c r="B147" s="12" t="str">
        <x:v>Alumayer</x:v>
      </x:c>
      <x:c r="C147" s="12" t="str">
        <x:v>Business / brand</x:v>
      </x:c>
      <x:c r="D147" s="12" t="str">
        <x:v>Engineering &amp; manufacturing</x:v>
      </x:c>
      <x:c r="E147" s="12" t="str">
        <x:v>Chemicals, materials &amp; industrial manufacturing</x:v>
      </x:c>
      <x:c r="F147" s="12" t="str">
        <x:v>Medium-scale prospects</x:v>
      </x:c>
      <x:c r="G147" s="12" t="str">
        <x:v>Specialist industrial or engineering business; medium-scale prospect assumption.</x:v>
      </x:c>
      <x:c r="H147" s="11" t="n">
        <x:v>10</x:v>
      </x:c>
      <x:c r="I147" s="11" t="n">
        <x:v>10</x:v>
      </x:c>
      <x:c r="J147" s="11" t="n">
        <x:v>10</x:v>
      </x:c>
      <x:c r="K147" s="11" t="n">
        <x:v>0</x:v>
      </x:c>
      <x:c r="L147" s="17" t="n">
        <x:f>SUM(SUMIFS('Costing'!$P$9:$P$492,'Costing'!$A$9:$A$492,"PARTNER-M205"))</x:f>
        <x:v>400000</x:v>
      </x:c>
      <x:c r="M147" s="17" t="n">
        <x:f>ROUND(L147*'Costing'!$C$4,2)</x:f>
        <x:v>72000</x:v>
      </x:c>
      <x:c r="N147" s="17" t="n">
        <x:f>L147+M147</x:f>
        <x:v>472000</x:v>
      </x:c>
      <x:c r="O147" s="12" t="str">
        <x:v>Mumbai</x:v>
      </x:c>
      <x:c r="P147" s="12" t="str">
        <x:v>CORP-0622, CORP-0623, CORP-0624, CORP-0625, CORP-0626, CORP-0627, CORP-0628, CORP-0629, CORP-0630, CORP-0631</x:v>
      </x:c>
      <x:c r="Q147" s="12" t="str">
        <x:v>Alumayer</x:v>
      </x:c>
    </x:row>
    <x:row r="148" ht="48" customHeight="1">
      <x:c r="A148" s="2" t="str">
        <x:v>TEN-71E33AB069A4</x:v>
      </x:c>
      <x:c r="B148" s="12" t="str">
        <x:v>Alyke</x:v>
      </x:c>
      <x:c r="C148" s="12" t="str">
        <x:v>Business / brand</x:v>
      </x:c>
      <x:c r="D148" s="12" t="str">
        <x:v>Unresolved</x:v>
      </x:c>
      <x:c r="E148" s="12" t="str">
        <x:v>Business activity not established</x:v>
      </x:c>
      <x:c r="F148" s="12" t="str">
        <x:v>Mixed business audience</x:v>
      </x:c>
      <x:c r="G148" s="12" t="str">
        <x:v>Business activity and company scale are not established from this name.</x:v>
      </x:c>
      <x:c r="H148" s="11" t="n">
        <x:v>10</x:v>
      </x:c>
      <x:c r="I148" s="11" t="n">
        <x:v>10</x:v>
      </x:c>
      <x:c r="J148" s="11" t="n">
        <x:v>10</x:v>
      </x:c>
      <x:c r="K148" s="11" t="n">
        <x:v>0</x:v>
      </x:c>
      <x:c r="L148" s="17" t="n">
        <x:f>SUM(SUMIFS('Costing'!$P$9:$P$492,'Costing'!$A$9:$A$492,"PARTNER-M365"))</x:f>
        <x:v>400000</x:v>
      </x:c>
      <x:c r="M148" s="17" t="n">
        <x:f>ROUND(L148*'Costing'!$C$4,2)</x:f>
        <x:v>72000</x:v>
      </x:c>
      <x:c r="N148" s="17" t="n">
        <x:f>L148+M148</x:f>
        <x:v>472000</x:v>
      </x:c>
      <x:c r="O148" s="12" t="str">
        <x:v>Delhi NCR</x:v>
      </x:c>
      <x:c r="P148" s="12" t="str">
        <x:v>CORP-0778, CORP-0779, CORP-0780, CORP-0781, CORP-0782, CORP-0783, CORP-0784, CORP-0785, CORP-0786, CORP-0787</x:v>
      </x:c>
      <x:c r="Q148" s="12" t="str">
        <x:v>Alyke</x:v>
      </x:c>
    </x:row>
    <x:row r="149" ht="48" customHeight="1">
      <x:c r="A149" s="2" t="str">
        <x:v>TEN-1BC985E184F6</x:v>
      </x:c>
      <x:c r="B149" s="12" t="str">
        <x:v>Alzato Overseas Education</x:v>
      </x:c>
      <x:c r="C149" s="12" t="str">
        <x:v>Business / brand</x:v>
      </x:c>
      <x:c r="D149" s="12" t="str">
        <x:v>Education</x:v>
      </x:c>
      <x:c r="E149" s="12" t="str">
        <x:v>Edtech, training &amp; learning</x:v>
      </x:c>
      <x:c r="F149" s="12" t="str">
        <x:v>Small-scale prospects</x:v>
      </x:c>
      <x:c r="G149" s="12" t="str">
        <x:v>Training or education-services business; small-scale prospect assumption.</x:v>
      </x:c>
      <x:c r="H149" s="11" t="n">
        <x:v>1</x:v>
      </x:c>
      <x:c r="I149" s="11" t="n">
        <x:v>1</x:v>
      </x:c>
      <x:c r="J149" s="11" t="n">
        <x:v>1</x:v>
      </x:c>
      <x:c r="K149" s="11" t="n">
        <x:v>0</x:v>
      </x:c>
      <x:c r="L149" s="17" t="n">
        <x:f>SUM(SUMIFS('Costing'!$P$9:$P$492,'Costing'!$A$9:$A$492,"MAIN-275"))</x:f>
        <x:v>40000</x:v>
      </x:c>
      <x:c r="M149" s="17" t="n">
        <x:f>ROUND(L149*'Costing'!$C$4,2)</x:f>
        <x:v>7200</x:v>
      </x:c>
      <x:c r="N149" s="17" t="n">
        <x:f>L149+M149</x:f>
        <x:v>47200</x:v>
      </x:c>
      <x:c r="O149" s="12" t="str">
        <x:v>Indore</x:v>
      </x:c>
      <x:c r="P149" s="12" t="str">
        <x:v>CORP-0271</x:v>
      </x:c>
      <x:c r="Q149" s="12" t="str">
        <x:v>Alzato Overseas Education</x:v>
      </x:c>
    </x:row>
    <x:row r="150" ht="48" customHeight="1">
      <x:c r="A150" s="2" t="str">
        <x:v>TEN-1AAF3025033C</x:v>
      </x:c>
      <x:c r="B150" s="12" t="str">
        <x:v>Amadeus</x:v>
      </x:c>
      <x:c r="C150" s="12" t="str">
        <x:v>Business / brand</x:v>
      </x:c>
      <x:c r="D150" s="12" t="str">
        <x:v>IT &amp; digital</x:v>
      </x:c>
      <x:c r="E150" s="12" t="str">
        <x:v>Technology services — specialty unverified</x:v>
      </x:c>
      <x:c r="F150" s="12" t="str">
        <x:v>Large enterprise</x:v>
      </x:c>
      <x:c r="G150" s="12" t="str">
        <x:v>Explicit Amadeus enterprise-family context; see ENTERPRISE_SUPP_032 evidence.</x:v>
      </x:c>
      <x:c r="H150" s="11" t="n">
        <x:v>2</x:v>
      </x:c>
      <x:c r="I150" s="11" t="n">
        <x:v>6</x:v>
      </x:c>
      <x:c r="J150" s="11" t="n">
        <x:v>6</x:v>
      </x:c>
      <x:c r="K150" s="11" t="n">
        <x:v>0</x:v>
      </x:c>
      <x:c r="L150" s="17" t="n">
        <x:f>SUM(SUMIFS('Costing'!$P$9:$P$492,'Costing'!$A$9:$A$492,"MAIN-062"),SUMIFS('Costing'!$P$9:$P$492,'Costing'!$A$9:$A$492,"MAIN-072"))</x:f>
        <x:v>215000</x:v>
      </x:c>
      <x:c r="M150" s="17" t="n">
        <x:f>ROUND(L150*'Costing'!$C$4,2)</x:f>
        <x:v>38700</x:v>
      </x:c>
      <x:c r="N150" s="17" t="n">
        <x:f>L150+M150</x:f>
        <x:v>253700</x:v>
      </x:c>
      <x:c r="O150" s="12" t="str">
        <x:v>Bengaluru</x:v>
      </x:c>
      <x:c r="P150" s="12" t="str">
        <x:v>CORP-0058, CORP-0068</x:v>
      </x:c>
      <x:c r="Q150" s="12" t="str">
        <x:v>Amadeus</x:v>
      </x:c>
    </x:row>
    <x:row r="151" ht="48" customHeight="1">
      <x:c r="A151" s="2" t="str">
        <x:v>TEN-B38914B2E8FA</x:v>
      </x:c>
      <x:c r="B151" s="12" t="str">
        <x:v>Amadeus Software Labs</x:v>
      </x:c>
      <x:c r="C151" s="12" t="str">
        <x:v>Business / brand</x:v>
      </x:c>
      <x:c r="D151" s="12" t="str">
        <x:v>IT &amp; digital</x:v>
      </x:c>
      <x:c r="E151" s="12" t="str">
        <x:v>Enterprise software &amp; digital engineering</x:v>
      </x:c>
      <x:c r="F151" s="12" t="str">
        <x:v>Large enterprise</x:v>
      </x:c>
      <x:c r="G151" s="12" t="str">
        <x:v>Explicit Amadeus enterprise-family context; see ENTERPRISE_SUPP_032 evidence.</x:v>
      </x:c>
      <x:c r="H151" s="11" t="n">
        <x:v>6</x:v>
      </x:c>
      <x:c r="I151" s="11" t="n">
        <x:v>6</x:v>
      </x:c>
      <x:c r="J151" s="11" t="n">
        <x:v>6</x:v>
      </x:c>
      <x:c r="K151" s="11" t="n">
        <x:v>0</x:v>
      </x:c>
      <x:c r="L151" s="17" t="n">
        <x:f>SUM(SUMIFS('Costing'!$P$9:$P$492,'Costing'!$A$9:$A$492,"PARTNER-M045"))</x:f>
        <x:v>240000</x:v>
      </x:c>
      <x:c r="M151" s="17" t="n">
        <x:f>ROUND(L151*'Costing'!$C$4,2)</x:f>
        <x:v>43200</x:v>
      </x:c>
      <x:c r="N151" s="17" t="n">
        <x:f>L151+M151</x:f>
        <x:v>283200</x:v>
      </x:c>
      <x:c r="O151" s="12" t="str">
        <x:v>Bengaluru</x:v>
      </x:c>
      <x:c r="P151" s="12" t="str">
        <x:v>CORP-0463, CORP-0464, CORP-0465, CORP-0466, CORP-0467, CORP-0468</x:v>
      </x:c>
      <x:c r="Q151" s="12" t="str">
        <x:v>Amadeus Software Labs</x:v>
      </x:c>
    </x:row>
    <x:row r="152" ht="48" customHeight="1">
      <x:c r="A152" s="2" t="str">
        <x:v>TEN-242B52F0117F</x:v>
      </x:c>
      <x:c r="B152" s="12" t="str">
        <x:v>Amalgo Labs</x:v>
      </x:c>
      <x:c r="C152" s="12" t="str">
        <x:v>Business / brand</x:v>
      </x:c>
      <x:c r="D152" s="12" t="str">
        <x:v>Unresolved</x:v>
      </x:c>
      <x:c r="E152" s="12" t="str">
        <x:v>Business activity not established</x:v>
      </x:c>
      <x:c r="F152" s="12" t="str">
        <x:v>Mixed business audience</x:v>
      </x:c>
      <x:c r="G152" s="12" t="str">
        <x:v>Business activity and company scale are not established from this name.</x:v>
      </x:c>
      <x:c r="H152" s="11" t="n">
        <x:v>1</x:v>
      </x:c>
      <x:c r="I152" s="11" t="n">
        <x:v>14</x:v>
      </x:c>
      <x:c r="J152" s="11" t="n">
        <x:v>14</x:v>
      </x:c>
      <x:c r="K152" s="11" t="n">
        <x:v>0</x:v>
      </x:c>
      <x:c r="L152" s="17" t="n">
        <x:f>SUM(SUMIFS('Costing'!$P$9:$P$492,'Costing'!$A$9:$A$492,"MAIN-210"))</x:f>
        <x:v>350000</x:v>
      </x:c>
      <x:c r="M152" s="17" t="n">
        <x:f>ROUND(L152*'Costing'!$C$4,2)</x:f>
        <x:v>63000</x:v>
      </x:c>
      <x:c r="N152" s="17" t="n">
        <x:f>L152+M152</x:f>
        <x:v>413000</x:v>
      </x:c>
      <x:c r="O152" s="12" t="str">
        <x:v>Delhi NCR</x:v>
      </x:c>
      <x:c r="P152" s="12" t="str">
        <x:v>CORP-0206</x:v>
      </x:c>
      <x:c r="Q152" s="12" t="str">
        <x:v>Amalgo Labs</x:v>
      </x:c>
    </x:row>
    <x:row r="153" ht="48" customHeight="1">
      <x:c r="A153" s="2" t="str">
        <x:v>TEN-ECC7EC65401A</x:v>
      </x:c>
      <x:c r="B153" s="12" t="str">
        <x:v>Amantya technologies</x:v>
      </x:c>
      <x:c r="C153" s="12" t="str">
        <x:v>Business / brand</x:v>
      </x:c>
      <x:c r="D153" s="12" t="str">
        <x:v>IT &amp; digital</x:v>
      </x:c>
      <x:c r="E153" s="12" t="str">
        <x:v>Enterprise software &amp; digital engineering</x:v>
      </x:c>
      <x:c r="F153" s="12" t="str">
        <x:v>Small-scale prospects</x:v>
      </x:c>
      <x:c r="G153" s="12" t="str">
        <x:v>Software or technology-services business; small-scale prospect assumption.</x:v>
      </x:c>
      <x:c r="H153" s="11" t="n">
        <x:v>2</x:v>
      </x:c>
      <x:c r="I153" s="11" t="n">
        <x:v>5</x:v>
      </x:c>
      <x:c r="J153" s="11" t="n">
        <x:v>5</x:v>
      </x:c>
      <x:c r="K153" s="11" t="n">
        <x:v>0</x:v>
      </x:c>
      <x:c r="L153" s="17" t="n">
        <x:f>SUM(SUMIFS('Costing'!$P$9:$P$492,'Costing'!$A$9:$A$492,"MAIN-085"),SUMIFS('Costing'!$P$9:$P$492,'Costing'!$A$9:$A$492,"MAIN-092"))</x:f>
        <x:v>100000</x:v>
      </x:c>
      <x:c r="M153" s="17" t="n">
        <x:f>ROUND(L153*'Costing'!$C$4,2)</x:f>
        <x:v>18000</x:v>
      </x:c>
      <x:c r="N153" s="17" t="n">
        <x:f>L153+M153</x:f>
        <x:v>118000</x:v>
      </x:c>
      <x:c r="O153" s="12" t="str">
        <x:v>Bengaluru</x:v>
      </x:c>
      <x:c r="P153" s="12" t="str">
        <x:v>CORP-0081, CORP-0088</x:v>
      </x:c>
      <x:c r="Q153" s="12" t="str">
        <x:v>Amantya technologies</x:v>
      </x:c>
    </x:row>
    <x:row r="154" ht="48" customHeight="1">
      <x:c r="A154" s="2" t="str">
        <x:v>TEN-0AFDD9743E82</x:v>
      </x:c>
      <x:c r="B154" s="12" t="str">
        <x:v>amantyatechnology pvt ltd</x:v>
      </x:c>
      <x:c r="C154" s="12" t="str">
        <x:v>Business / brand</x:v>
      </x:c>
      <x:c r="D154" s="12" t="str">
        <x:v>Unresolved</x:v>
      </x:c>
      <x:c r="E154" s="12" t="str">
        <x:v>Business activity not established</x:v>
      </x:c>
      <x:c r="F154" s="12" t="str">
        <x:v>Mixed business audience</x:v>
      </x:c>
      <x:c r="G154" s="12" t="str">
        <x:v>Business activity and company scale are not established from this name.</x:v>
      </x:c>
      <x:c r="H154" s="11" t="n">
        <x:v>1</x:v>
      </x:c>
      <x:c r="I154" s="11" t="n">
        <x:v>2</x:v>
      </x:c>
      <x:c r="J154" s="11" t="n">
        <x:v>2</x:v>
      </x:c>
      <x:c r="K154" s="11" t="n">
        <x:v>0</x:v>
      </x:c>
      <x:c r="L154" s="17" t="n">
        <x:f>SUM(SUMIFS('Costing'!$P$9:$P$492,'Costing'!$A$9:$A$492,"MAIN-182"))</x:f>
        <x:v>30000</x:v>
      </x:c>
      <x:c r="M154" s="17" t="n">
        <x:f>ROUND(L154*'Costing'!$C$4,2)</x:f>
        <x:v>5400</x:v>
      </x:c>
      <x:c r="N154" s="17" t="n">
        <x:f>L154+M154</x:f>
        <x:v>35400</x:v>
      </x:c>
      <x:c r="O154" s="12" t="str">
        <x:v>Delhi NCR</x:v>
      </x:c>
      <x:c r="P154" s="12" t="str">
        <x:v>CORP-0178</x:v>
      </x:c>
      <x:c r="Q154" s="12" t="str">
        <x:v>amantyatechnology pvt ltd</x:v>
      </x:c>
    </x:row>
    <x:row r="155" ht="48" customHeight="1">
      <x:c r="A155" s="2" t="str">
        <x:v>TEN-2789E0ED91DF</x:v>
      </x:c>
      <x:c r="B155" s="12" t="str">
        <x:v>Amarakosha Technologies Private Limited</x:v>
      </x:c>
      <x:c r="C155" s="12" t="str">
        <x:v>Business / brand</x:v>
      </x:c>
      <x:c r="D155" s="12" t="str">
        <x:v>Unresolved</x:v>
      </x:c>
      <x:c r="E155" s="12" t="str">
        <x:v>Business activity not established</x:v>
      </x:c>
      <x:c r="F155" s="12" t="str">
        <x:v>Mixed business audience</x:v>
      </x:c>
      <x:c r="G155" s="12" t="str">
        <x:v>Business activity and company scale are not established from this name.</x:v>
      </x:c>
      <x:c r="H155" s="11" t="n">
        <x:v>1</x:v>
      </x:c>
      <x:c r="I155" s="11" t="n">
        <x:v>1</x:v>
      </x:c>
      <x:c r="J155" s="11" t="n">
        <x:v>1</x:v>
      </x:c>
      <x:c r="K155" s="11" t="n">
        <x:v>0</x:v>
      </x:c>
      <x:c r="L155" s="17" t="n">
        <x:f>SUM(SUMIFS('Costing'!$P$9:$P$492,'Costing'!$A$9:$A$492,"MAIN-064"))</x:f>
        <x:v>15000</x:v>
      </x:c>
      <x:c r="M155" s="17" t="n">
        <x:f>ROUND(L155*'Costing'!$C$4,2)</x:f>
        <x:v>2700</x:v>
      </x:c>
      <x:c r="N155" s="17" t="n">
        <x:f>L155+M155</x:f>
        <x:v>17700</x:v>
      </x:c>
      <x:c r="O155" s="12" t="str">
        <x:v>Bengaluru</x:v>
      </x:c>
      <x:c r="P155" s="12" t="str">
        <x:v>CORP-0060</x:v>
      </x:c>
      <x:c r="Q155" s="12" t="str">
        <x:v>Amarakosha Technologies Private Limited</x:v>
      </x:c>
    </x:row>
    <x:row r="156" ht="75" customHeight="1">
      <x:c r="A156" s="2" t="str">
        <x:v>TEN-CBC62794911F</x:v>
      </x:c>
      <x:c r="B156" s="12" t="str">
        <x:v>Amazon</x:v>
      </x:c>
      <x:c r="C156" s="12" t="str">
        <x:v>Business / brand</x:v>
      </x:c>
      <x:c r="D156" s="12" t="str">
        <x:v>IT &amp; digital</x:v>
      </x:c>
      <x:c r="E156" s="12" t="str">
        <x:v>Technology services — specialty unverified</x:v>
      </x:c>
      <x:c r="F156" s="12" t="str">
        <x:v>Large enterprise</x:v>
      </x:c>
      <x:c r="G156" s="12" t="str">
        <x:v>Official Amazon company news and workforce/infrastructure coverage establish global enterprise context; developer-centre/AWS names retained as separate records.</x:v>
      </x:c>
      <x:c r="H156" s="11" t="n">
        <x:v>26</x:v>
      </x:c>
      <x:c r="I156" s="11" t="n">
        <x:v>47</x:v>
      </x:c>
      <x:c r="J156" s="11" t="n">
        <x:v>47</x:v>
      </x:c>
      <x:c r="K156" s="11" t="n">
        <x:v>0</x:v>
      </x:c>
      <x:c r="L156" s="17" t="n">
        <x:f>SUM(SUMIFS('Costing'!$P$9:$P$492,'Costing'!$A$9:$A$492,"MAIN-253"),SUMIFS('Costing'!$P$9:$P$492,'Costing'!$A$9:$A$492,"MAIN-413"),SUMIFS('Costing'!$P$9:$P$492,'Costing'!$A$9:$A$492,"PARTNER-M130"),SUMIFS('Costing'!$P$9:$P$492,'Costing'!$A$9:$A$492,"PARTNER-M120"),SUMIFS('Costing'!$P$9:$P$492,'Costing'!$A$9:$A$492,"PARTNER-M325"))</x:f>
        <x:v>1880000</x:v>
      </x:c>
      <x:c r="M156" s="17" t="n">
        <x:f>ROUND(L156*'Costing'!$C$4,2)</x:f>
        <x:v>338400</x:v>
      </x:c>
      <x:c r="N156" s="17" t="n">
        <x:f>L156+M156</x:f>
        <x:v>2218400</x:v>
      </x:c>
      <x:c r="O156" s="12" t="str">
        <x:v>Hyderabad, Pune, Bengaluru, Chennai</x:v>
      </x:c>
      <x:c r="P156" s="12" t="str">
        <x:v>CORP-0249, CORP-0409, CORP-0538, CORP-0539, CORP-0540, CORP-0541, CORP-0542, CORP-0543, CORP-0544, CORP-0545, CORP-0546, CORP-0547, CORP-0548, CORP-0549, CORP-0550, CORP-0551, CORP-0552, CORP-0553, CORP-0554, CORP-0555, CORP-0739, CORP-0740, CORP-0741, CORP-0742, CORP-0743, CORP-0744</x:v>
      </x:c>
      <x:c r="Q156" s="12" t="str">
        <x:v>Amazon</x:v>
      </x:c>
    </x:row>
    <x:row r="157" ht="49" customHeight="1">
      <x:c r="A157" s="2" t="str">
        <x:v>TEN-859F1EFC67BC</x:v>
      </x:c>
      <x:c r="B157" s="12" t="str">
        <x:v>Amazon Development Centre</x:v>
      </x:c>
      <x:c r="C157" s="12" t="str">
        <x:v>Business / brand</x:v>
      </x:c>
      <x:c r="D157" s="12" t="str">
        <x:v>IT &amp; digital</x:v>
      </x:c>
      <x:c r="E157" s="12" t="str">
        <x:v>Technology services — specialty unverified</x:v>
      </x:c>
      <x:c r="F157" s="12" t="str">
        <x:v>Large enterprise</x:v>
      </x:c>
      <x:c r="G157" s="12" t="str">
        <x:v>Official Amazon company news and workforce/infrastructure coverage establish global enterprise context; developer-centre/AWS names retained as separate records.</x:v>
      </x:c>
      <x:c r="H157" s="11" t="n">
        <x:v>8</x:v>
      </x:c>
      <x:c r="I157" s="11" t="n">
        <x:v>8</x:v>
      </x:c>
      <x:c r="J157" s="11" t="n">
        <x:v>8</x:v>
      </x:c>
      <x:c r="K157" s="11" t="n">
        <x:v>0</x:v>
      </x:c>
      <x:c r="L157" s="17" t="n">
        <x:f>SUM(SUMIFS('Costing'!$P$9:$P$492,'Costing'!$A$9:$A$492,"PARTNER-M138"))</x:f>
        <x:v>320000</x:v>
      </x:c>
      <x:c r="M157" s="17" t="n">
        <x:f>ROUND(L157*'Costing'!$C$4,2)</x:f>
        <x:v>57600</x:v>
      </x:c>
      <x:c r="N157" s="17" t="n">
        <x:f>L157+M157</x:f>
        <x:v>377600</x:v>
      </x:c>
      <x:c r="O157" s="12" t="str">
        <x:v>Bengaluru</x:v>
      </x:c>
      <x:c r="P157" s="12" t="str">
        <x:v>CORP-0556, CORP-0557, CORP-0558, CORP-0559, CORP-0560, CORP-0561, CORP-0562, CORP-0563</x:v>
      </x:c>
      <x:c r="Q157" s="12" t="str">
        <x:v>Amazon Development Centre</x:v>
      </x:c>
    </x:row>
    <x:row r="158" ht="49" customHeight="1">
      <x:c r="A158" s="2" t="str">
        <x:v>TEN-6BFCEA63FC2C</x:v>
      </x:c>
      <x:c r="B158" s="12" t="str">
        <x:v>Amazon web services India Private Limited</x:v>
      </x:c>
      <x:c r="C158" s="12" t="str">
        <x:v>Business / brand</x:v>
      </x:c>
      <x:c r="D158" s="12" t="str">
        <x:v>IT &amp; digital</x:v>
      </x:c>
      <x:c r="E158" s="12" t="str">
        <x:v>Technology services — specialty unverified</x:v>
      </x:c>
      <x:c r="F158" s="12" t="str">
        <x:v>Large enterprise</x:v>
      </x:c>
      <x:c r="G158" s="12" t="str">
        <x:v>Official Amazon company news and workforce/infrastructure coverage establish global enterprise context; developer-centre/AWS names retained as separate records.</x:v>
      </x:c>
      <x:c r="H158" s="11" t="n">
        <x:v>1</x:v>
      </x:c>
      <x:c r="I158" s="11" t="n">
        <x:v>2</x:v>
      </x:c>
      <x:c r="J158" s="11" t="n">
        <x:v>2</x:v>
      </x:c>
      <x:c r="K158" s="11" t="n">
        <x:v>0</x:v>
      </x:c>
      <x:c r="L158" s="17" t="n">
        <x:f>SUM(SUMIFS('Costing'!$P$9:$P$492,'Costing'!$A$9:$A$492,"MAIN-063"))</x:f>
        <x:v>80000</x:v>
      </x:c>
      <x:c r="M158" s="17" t="n">
        <x:f>ROUND(L158*'Costing'!$C$4,2)</x:f>
        <x:v>14400</x:v>
      </x:c>
      <x:c r="N158" s="17" t="n">
        <x:f>L158+M158</x:f>
        <x:v>94400</x:v>
      </x:c>
      <x:c r="O158" s="12" t="str">
        <x:v>Bengaluru</x:v>
      </x:c>
      <x:c r="P158" s="12" t="str">
        <x:v>CORP-0059</x:v>
      </x:c>
      <x:c r="Q158" s="12" t="str">
        <x:v>Amazon web services India Private Limited</x:v>
      </x:c>
    </x:row>
    <x:row r="159" ht="48" customHeight="1">
      <x:c r="A159" s="2" t="str">
        <x:v>TEN-606E58F1D65E</x:v>
      </x:c>
      <x:c r="B159" s="12" t="str">
        <x:v>Amba Enterprises Limited</x:v>
      </x:c>
      <x:c r="C159" s="12" t="str">
        <x:v>Business / brand</x:v>
      </x:c>
      <x:c r="D159" s="12" t="str">
        <x:v>Unresolved</x:v>
      </x:c>
      <x:c r="E159" s="12" t="str">
        <x:v>Business activity not established</x:v>
      </x:c>
      <x:c r="F159" s="12" t="str">
        <x:v>Mixed business audience</x:v>
      </x:c>
      <x:c r="G159" s="12" t="str">
        <x:v>Business activity and company scale are not established from this name.</x:v>
      </x:c>
      <x:c r="H159" s="11" t="n">
        <x:v>1</x:v>
      </x:c>
      <x:c r="I159" s="11" t="n">
        <x:v>22</x:v>
      </x:c>
      <x:c r="J159" s="11" t="n">
        <x:v>22</x:v>
      </x:c>
      <x:c r="K159" s="11" t="n">
        <x:v>0</x:v>
      </x:c>
      <x:c r="L159" s="17" t="n">
        <x:f>SUM(SUMIFS('Costing'!$P$9:$P$492,'Costing'!$A$9:$A$492,"MAIN-307"))</x:f>
        <x:v>330000</x:v>
      </x:c>
      <x:c r="M159" s="17" t="n">
        <x:f>ROUND(L159*'Costing'!$C$4,2)</x:f>
        <x:v>59400</x:v>
      </x:c>
      <x:c r="N159" s="17" t="n">
        <x:f>L159+M159</x:f>
        <x:v>389400</x:v>
      </x:c>
      <x:c r="O159" s="12" t="str">
        <x:v>Mumbai</x:v>
      </x:c>
      <x:c r="P159" s="12" t="str">
        <x:v>CORP-0303</x:v>
      </x:c>
      <x:c r="Q159" s="12" t="str">
        <x:v>Amba Enterprises Limited</x:v>
      </x:c>
    </x:row>
    <x:row r="160" ht="48" customHeight="1">
      <x:c r="A160" s="2" t="str">
        <x:v>TEN-0CB5E89248A4</x:v>
      </x:c>
      <x:c r="B160" s="12" t="str">
        <x:v>Amber Day Care &amp; Candyfloss Pre-school</x:v>
      </x:c>
      <x:c r="C160" s="12" t="str">
        <x:v>Business / brand</x:v>
      </x:c>
      <x:c r="D160" s="12" t="str">
        <x:v>Education</x:v>
      </x:c>
      <x:c r="E160" s="12" t="str">
        <x:v>Schools, childcare &amp; higher education</x:v>
      </x:c>
      <x:c r="F160" s="12" t="str">
        <x:v>Micro-scale prospects</x:v>
      </x:c>
      <x:c r="G160" s="12" t="str">
        <x:v>Local consumer service or childcare model; micro-scale outreach assumption.</x:v>
      </x:c>
      <x:c r="H160" s="11" t="n">
        <x:v>4</x:v>
      </x:c>
      <x:c r="I160" s="11" t="n">
        <x:v>4</x:v>
      </x:c>
      <x:c r="J160" s="11" t="n">
        <x:v>4</x:v>
      </x:c>
      <x:c r="K160" s="11" t="n">
        <x:v>0</x:v>
      </x:c>
      <x:c r="L160" s="17" t="n">
        <x:f>SUM(SUMIFS('Costing'!$P$9:$P$492,'Costing'!$A$9:$A$492,"PARTNER-M223"))</x:f>
        <x:v>160000</x:v>
      </x:c>
      <x:c r="M160" s="17" t="n">
        <x:f>ROUND(L160*'Costing'!$C$4,2)</x:f>
        <x:v>28800</x:v>
      </x:c>
      <x:c r="N160" s="17" t="n">
        <x:f>L160+M160</x:f>
        <x:v>188800</x:v>
      </x:c>
      <x:c r="O160" s="12" t="str">
        <x:v>Mumbai</x:v>
      </x:c>
      <x:c r="P160" s="12" t="str">
        <x:v>CORP-0640, CORP-0641, CORP-0642, CORP-0643</x:v>
      </x:c>
      <x:c r="Q160" s="12" t="str">
        <x:v>Amber Day Care &amp; Candyfloss Pre-school</x:v>
      </x:c>
    </x:row>
    <x:row r="161" ht="48" customHeight="1">
      <x:c r="A161" s="2" t="str">
        <x:v>TEN-3E13E1C0E061</x:v>
      </x:c>
      <x:c r="B161" s="12" t="str">
        <x:v>AMBS Knowledge Driven Solutions</x:v>
      </x:c>
      <x:c r="C161" s="12" t="str">
        <x:v>Business / brand</x:v>
      </x:c>
      <x:c r="D161" s="12" t="str">
        <x:v>Unresolved</x:v>
      </x:c>
      <x:c r="E161" s="12" t="str">
        <x:v>Business activity not established</x:v>
      </x:c>
      <x:c r="F161" s="12" t="str">
        <x:v>Mixed business audience</x:v>
      </x:c>
      <x:c r="G161" s="12" t="str">
        <x:v>Business activity and company scale are not established from this name.</x:v>
      </x:c>
      <x:c r="H161" s="11" t="n">
        <x:v>1</x:v>
      </x:c>
      <x:c r="I161" s="11" t="n">
        <x:v>7</x:v>
      </x:c>
      <x:c r="J161" s="11" t="n">
        <x:v>7</x:v>
      </x:c>
      <x:c r="K161" s="11" t="n">
        <x:v>0</x:v>
      </x:c>
      <x:c r="L161" s="17" t="n">
        <x:f>SUM(SUMIFS('Costing'!$P$9:$P$492,'Costing'!$A$9:$A$492,"MAIN-140"))</x:f>
        <x:v>105000</x:v>
      </x:c>
      <x:c r="M161" s="17" t="n">
        <x:f>ROUND(L161*'Costing'!$C$4,2)</x:f>
        <x:v>18900</x:v>
      </x:c>
      <x:c r="N161" s="17" t="n">
        <x:f>L161+M161</x:f>
        <x:v>123900</x:v>
      </x:c>
      <x:c r="O161" s="12" t="str">
        <x:v>Chennai</x:v>
      </x:c>
      <x:c r="P161" s="12" t="str">
        <x:v>CORP-0136</x:v>
      </x:c>
      <x:c r="Q161" s="12" t="str">
        <x:v>AMBS Knowledge Driven Solutions</x:v>
      </x:c>
    </x:row>
    <x:row r="162" ht="48" customHeight="1">
      <x:c r="A162" s="2" t="str">
        <x:v>TEN-0D4FF0BF40A4</x:v>
      </x:c>
      <x:c r="B162" s="12" t="str">
        <x:v>Ambuja Neotia</x:v>
      </x:c>
      <x:c r="C162" s="12" t="str">
        <x:v>Business / brand</x:v>
      </x:c>
      <x:c r="D162" s="12" t="str">
        <x:v>Trade, consumer &amp; logistics</x:v>
      </x:c>
      <x:c r="E162" s="12" t="str">
        <x:v>Real estate, property &amp; construction services</x:v>
      </x:c>
      <x:c r="F162" s="12" t="str">
        <x:v>Mixed business audience</x:v>
      </x:c>
      <x:c r="G162" s="12" t="str">
        <x:v>Established brand or business network; local company scale is not established. Use a mixed-business message.</x:v>
      </x:c>
      <x:c r="H162" s="11" t="n">
        <x:v>1</x:v>
      </x:c>
      <x:c r="I162" s="11" t="n">
        <x:v>1</x:v>
      </x:c>
      <x:c r="J162" s="11" t="n">
        <x:v>1</x:v>
      </x:c>
      <x:c r="K162" s="11" t="n">
        <x:v>0</x:v>
      </x:c>
      <x:c r="L162" s="17" t="n">
        <x:f>SUM(SUMIFS('Costing'!$P$9:$P$492,'Costing'!$A$9:$A$492,"MAIN-281"))</x:f>
        <x:v>15000</x:v>
      </x:c>
      <x:c r="M162" s="17" t="n">
        <x:f>ROUND(L162*'Costing'!$C$4,2)</x:f>
        <x:v>2700</x:v>
      </x:c>
      <x:c r="N162" s="17" t="n">
        <x:f>L162+M162</x:f>
        <x:v>17700</x:v>
      </x:c>
      <x:c r="O162" s="12" t="str">
        <x:v>Kolkata</x:v>
      </x:c>
      <x:c r="P162" s="12" t="str">
        <x:v>CORP-0277</x:v>
      </x:c>
      <x:c r="Q162" s="12" t="str">
        <x:v>Ambuja Neotia</x:v>
      </x:c>
    </x:row>
    <x:row r="163" ht="48" customHeight="1">
      <x:c r="A163" s="2" t="str">
        <x:v>TEN-ECAE75B33F0B</x:v>
      </x:c>
      <x:c r="B163" s="12" t="str">
        <x:v>AMC Bridge Technology India Private Limited</x:v>
      </x:c>
      <x:c r="C163" s="12" t="str">
        <x:v>Business / brand</x:v>
      </x:c>
      <x:c r="D163" s="12" t="str">
        <x:v>IT &amp; digital</x:v>
      </x:c>
      <x:c r="E163" s="12" t="str">
        <x:v>Enterprise software &amp; digital engineering</x:v>
      </x:c>
      <x:c r="F163" s="12" t="str">
        <x:v>Small-scale prospects</x:v>
      </x:c>
      <x:c r="G163" s="12" t="str">
        <x:v>Software or technology-services business; small-scale prospect assumption.</x:v>
      </x:c>
      <x:c r="H163" s="11" t="n">
        <x:v>1</x:v>
      </x:c>
      <x:c r="I163" s="11" t="n">
        <x:v>2</x:v>
      </x:c>
      <x:c r="J163" s="11" t="n">
        <x:v>2</x:v>
      </x:c>
      <x:c r="K163" s="11" t="n">
        <x:v>0</x:v>
      </x:c>
      <x:c r="L163" s="17" t="n">
        <x:f>SUM(SUMIFS('Costing'!$P$9:$P$492,'Costing'!$A$9:$A$492,"MAIN-150"))</x:f>
        <x:v>40000</x:v>
      </x:c>
      <x:c r="M163" s="17" t="n">
        <x:f>ROUND(L163*'Costing'!$C$4,2)</x:f>
        <x:v>7200</x:v>
      </x:c>
      <x:c r="N163" s="17" t="n">
        <x:f>L163+M163</x:f>
        <x:v>47200</x:v>
      </x:c>
      <x:c r="O163" s="12" t="str">
        <x:v>Chennai</x:v>
      </x:c>
      <x:c r="P163" s="12" t="str">
        <x:v>CORP-0146</x:v>
      </x:c>
      <x:c r="Q163" s="12" t="str">
        <x:v>AMC Bridge Technology India Private Limited</x:v>
      </x:c>
    </x:row>
    <x:row r="164" ht="48" customHeight="1">
      <x:c r="A164" s="2" t="str">
        <x:v>TEN-240389F4B730</x:v>
      </x:c>
      <x:c r="B164" s="12" t="str">
        <x:v>AMD</x:v>
      </x:c>
      <x:c r="C164" s="12" t="str">
        <x:v>Business / brand</x:v>
      </x:c>
      <x:c r="D164" s="12" t="str">
        <x:v>Engineering &amp; manufacturing</x:v>
      </x:c>
      <x:c r="E164" s="12" t="str">
        <x:v>Semiconductors, electronics &amp; equipment</x:v>
      </x:c>
      <x:c r="F164" s="12" t="str">
        <x:v>Large enterprise</x:v>
      </x:c>
      <x:c r="G164" s="12" t="str">
        <x:v>Explicit AMD enterprise-family context; see ENTERPRISE_SUPP_039 evidence.</x:v>
      </x:c>
      <x:c r="H164" s="11" t="n">
        <x:v>5</x:v>
      </x:c>
      <x:c r="I164" s="11" t="n">
        <x:v>5</x:v>
      </x:c>
      <x:c r="J164" s="11" t="n">
        <x:v>5</x:v>
      </x:c>
      <x:c r="K164" s="11" t="n">
        <x:v>0</x:v>
      </x:c>
      <x:c r="L164" s="17" t="n">
        <x:f>SUM(SUMIFS('Costing'!$P$9:$P$492,'Costing'!$A$9:$A$492,"PARTNER-M034"))</x:f>
        <x:v>200000</x:v>
      </x:c>
      <x:c r="M164" s="17" t="n">
        <x:f>ROUND(L164*'Costing'!$C$4,2)</x:f>
        <x:v>36000</x:v>
      </x:c>
      <x:c r="N164" s="17" t="n">
        <x:f>L164+M164</x:f>
        <x:v>236000</x:v>
      </x:c>
      <x:c r="O164" s="12" t="str">
        <x:v>Bengaluru</x:v>
      </x:c>
      <x:c r="P164" s="12" t="str">
        <x:v>CORP-0452, CORP-0453, CORP-0454, CORP-0455, CORP-0456</x:v>
      </x:c>
      <x:c r="Q164" s="12" t="str">
        <x:v>AMD</x:v>
      </x:c>
    </x:row>
    <x:row r="165" ht="48" customHeight="1">
      <x:c r="A165" s="2" t="str">
        <x:v>TEN-1C7A49CFBD0F</x:v>
      </x:c>
      <x:c r="B165" s="12" t="str">
        <x:v>AMD Architects</x:v>
      </x:c>
      <x:c r="C165" s="12" t="str">
        <x:v>Business / brand</x:v>
      </x:c>
      <x:c r="D165" s="12" t="str">
        <x:v>Professional services</x:v>
      </x:c>
      <x:c r="E165" s="12" t="str">
        <x:v>Architecture, interiors &amp; design</x:v>
      </x:c>
      <x:c r="F165" s="12" t="str">
        <x:v>Small-scale prospects</x:v>
      </x:c>
      <x:c r="G165" s="12" t="str">
        <x:v>Professional service, agency or advisory model; small-scale prospect assumption.</x:v>
      </x:c>
      <x:c r="H165" s="11" t="n">
        <x:v>2</x:v>
      </x:c>
      <x:c r="I165" s="11" t="n">
        <x:v>5</x:v>
      </x:c>
      <x:c r="J165" s="11" t="n">
        <x:v>5</x:v>
      </x:c>
      <x:c r="K165" s="11" t="n">
        <x:v>0</x:v>
      </x:c>
      <x:c r="L165" s="17" t="n">
        <x:f>SUM(SUMIFS('Costing'!$P$9:$P$492,'Costing'!$A$9:$A$492,"MAIN-048"),SUMIFS('Costing'!$P$9:$P$492,'Costing'!$A$9:$A$492,"MAIN-049"))</x:f>
        <x:v>100000</x:v>
      </x:c>
      <x:c r="M165" s="17" t="n">
        <x:f>ROUND(L165*'Costing'!$C$4,2)</x:f>
        <x:v>18000</x:v>
      </x:c>
      <x:c r="N165" s="17" t="n">
        <x:f>L165+M165</x:f>
        <x:v>118000</x:v>
      </x:c>
      <x:c r="O165" s="12" t="str">
        <x:v>Bengaluru</x:v>
      </x:c>
      <x:c r="P165" s="12" t="str">
        <x:v>CORP-0044, CORP-0045</x:v>
      </x:c>
      <x:c r="Q165" s="12" t="str">
        <x:v>AMD Architects</x:v>
      </x:c>
    </x:row>
    <x:row r="166" ht="48" customHeight="1">
      <x:c r="A166" s="2" t="str">
        <x:v>TEN-3DC171281801</x:v>
      </x:c>
      <x:c r="B166" s="12" t="str">
        <x:v>AMD India Pvt.Ltd</x:v>
      </x:c>
      <x:c r="C166" s="12" t="str">
        <x:v>Business / brand</x:v>
      </x:c>
      <x:c r="D166" s="12" t="str">
        <x:v>IT &amp; digital</x:v>
      </x:c>
      <x:c r="E166" s="12" t="str">
        <x:v>Technology services — specialty unverified</x:v>
      </x:c>
      <x:c r="F166" s="12" t="str">
        <x:v>Large enterprise</x:v>
      </x:c>
      <x:c r="G166" s="12" t="str">
        <x:v>Explicit AMD enterprise-family context; see ENTERPRISE_SUPP_039 evidence.</x:v>
      </x:c>
      <x:c r="H166" s="11" t="n">
        <x:v>1</x:v>
      </x:c>
      <x:c r="I166" s="11" t="n">
        <x:v>2</x:v>
      </x:c>
      <x:c r="J166" s="11" t="n">
        <x:v>2</x:v>
      </x:c>
      <x:c r="K166" s="11" t="n">
        <x:v>0</x:v>
      </x:c>
      <x:c r="L166" s="17" t="n">
        <x:f>SUM(SUMIFS('Costing'!$P$9:$P$492,'Costing'!$A$9:$A$492,"MAIN-063"))</x:f>
        <x:v>80000</x:v>
      </x:c>
      <x:c r="M166" s="17" t="n">
        <x:f>ROUND(L166*'Costing'!$C$4,2)</x:f>
        <x:v>14400</x:v>
      </x:c>
      <x:c r="N166" s="17" t="n">
        <x:f>L166+M166</x:f>
        <x:v>94400</x:v>
      </x:c>
      <x:c r="O166" s="12" t="str">
        <x:v>Bengaluru</x:v>
      </x:c>
      <x:c r="P166" s="12" t="str">
        <x:v>CORP-0059</x:v>
      </x:c>
      <x:c r="Q166" s="12" t="str">
        <x:v>AMD India Pvt.Ltd</x:v>
      </x:c>
    </x:row>
    <x:row r="167" ht="48" customHeight="1">
      <x:c r="A167" s="2" t="str">
        <x:v>TEN-B5F5468E9428</x:v>
      </x:c>
      <x:c r="B167" s="12" t="str">
        <x:v>Amdocs</x:v>
      </x:c>
      <x:c r="C167" s="12" t="str">
        <x:v>Business / brand</x:v>
      </x:c>
      <x:c r="D167" s="12" t="str">
        <x:v>IT &amp; digital</x:v>
      </x:c>
      <x:c r="E167" s="12" t="str">
        <x:v>Enterprise software &amp; digital engineering</x:v>
      </x:c>
      <x:c r="F167" s="12" t="str">
        <x:v>Mixed business audience</x:v>
      </x:c>
      <x:c r="G167" s="12" t="str">
        <x:v>Established brand or business network; local company scale is not established. Use a mixed-business message.</x:v>
      </x:c>
      <x:c r="H167" s="11" t="n">
        <x:v>9</x:v>
      </x:c>
      <x:c r="I167" s="11" t="n">
        <x:v>9</x:v>
      </x:c>
      <x:c r="J167" s="11" t="n">
        <x:v>9</x:v>
      </x:c>
      <x:c r="K167" s="11" t="n">
        <x:v>0</x:v>
      </x:c>
      <x:c r="L167" s="17" t="n">
        <x:f>SUM(SUMIFS('Costing'!$P$9:$P$492,'Costing'!$A$9:$A$492,"PARTNER-M252"))</x:f>
        <x:v>360000</x:v>
      </x:c>
      <x:c r="M167" s="17" t="n">
        <x:f>ROUND(L167*'Costing'!$C$4,2)</x:f>
        <x:v>64800</x:v>
      </x:c>
      <x:c r="N167" s="17" t="n">
        <x:f>L167+M167</x:f>
        <x:v>424800</x:v>
      </x:c>
      <x:c r="O167" s="12" t="str">
        <x:v>Pune</x:v>
      </x:c>
      <x:c r="P167" s="12" t="str">
        <x:v>CORP-0668, CORP-0669, CORP-0670, CORP-0671, CORP-0672, CORP-0673, CORP-0674, CORP-0675, CORP-0676</x:v>
      </x:c>
      <x:c r="Q167" s="12" t="str">
        <x:v>Amdocs</x:v>
      </x:c>
    </x:row>
    <x:row r="168" ht="48" customHeight="1">
      <x:c r="A168" s="2" t="str">
        <x:v>TEN-03A4F323A24B</x:v>
      </x:c>
      <x:c r="B168" s="12" t="str">
        <x:v>Amelia Global Services</x:v>
      </x:c>
      <x:c r="C168" s="12" t="str">
        <x:v>Business / brand</x:v>
      </x:c>
      <x:c r="D168" s="12" t="str">
        <x:v>IT &amp; digital</x:v>
      </x:c>
      <x:c r="E168" s="12" t="str">
        <x:v>Enterprise software &amp; digital engineering</x:v>
      </x:c>
      <x:c r="F168" s="12" t="str">
        <x:v>Mixed business audience</x:v>
      </x:c>
      <x:c r="G168" s="12" t="str">
        <x:v>Established brand or business network; local company scale is not established. Use a mixed-business message.</x:v>
      </x:c>
      <x:c r="H168" s="11" t="n">
        <x:v>3</x:v>
      </x:c>
      <x:c r="I168" s="11" t="n">
        <x:v>3</x:v>
      </x:c>
      <x:c r="J168" s="11" t="n">
        <x:v>3</x:v>
      </x:c>
      <x:c r="K168" s="11" t="n">
        <x:v>0</x:v>
      </x:c>
      <x:c r="L168" s="17" t="n">
        <x:f>SUM(SUMIFS('Costing'!$P$9:$P$492,'Costing'!$A$9:$A$492,"PARTNER-M011"))</x:f>
        <x:v>120000</x:v>
      </x:c>
      <x:c r="M168" s="17" t="n">
        <x:f>ROUND(L168*'Costing'!$C$4,2)</x:f>
        <x:v>21600</x:v>
      </x:c>
      <x:c r="N168" s="17" t="n">
        <x:f>L168+M168</x:f>
        <x:v>141600</x:v>
      </x:c>
      <x:c r="O168" s="12" t="str">
        <x:v>Bengaluru</x:v>
      </x:c>
      <x:c r="P168" s="12" t="str">
        <x:v>CORP-0429, CORP-0430, CORP-0431</x:v>
      </x:c>
      <x:c r="Q168" s="12" t="str">
        <x:v>Amelia Global Services</x:v>
      </x:c>
    </x:row>
    <x:row r="169" ht="48" customHeight="1">
      <x:c r="A169" s="2" t="str">
        <x:v>TEN-066B5B5AD807</x:v>
      </x:c>
      <x:c r="B169" s="12" t="str">
        <x:v>American Express</x:v>
      </x:c>
      <x:c r="C169" s="12" t="str">
        <x:v>Business / brand</x:v>
      </x:c>
      <x:c r="D169" s="12" t="str">
        <x:v>Finance &amp; insurance</x:v>
      </x:c>
      <x:c r="E169" s="12" t="str">
        <x:v>Financial services — specialty unverified</x:v>
      </x:c>
      <x:c r="F169" s="12" t="str">
        <x:v>Mixed business audience</x:v>
      </x:c>
      <x:c r="G169" s="12" t="str">
        <x:v>Recognisable business context; company-scale evidence remains insufficient for a single size band.</x:v>
      </x:c>
      <x:c r="H169" s="11" t="n">
        <x:v>8</x:v>
      </x:c>
      <x:c r="I169" s="11" t="n">
        <x:v>8</x:v>
      </x:c>
      <x:c r="J169" s="11" t="n">
        <x:v>8</x:v>
      </x:c>
      <x:c r="K169" s="11" t="n">
        <x:v>0</x:v>
      </x:c>
      <x:c r="L169" s="17" t="n">
        <x:f>SUM(SUMIFS('Costing'!$P$9:$P$492,'Costing'!$A$9:$A$492,"PARTNER-M138"))</x:f>
        <x:v>320000</x:v>
      </x:c>
      <x:c r="M169" s="17" t="n">
        <x:f>ROUND(L169*'Costing'!$C$4,2)</x:f>
        <x:v>57600</x:v>
      </x:c>
      <x:c r="N169" s="17" t="n">
        <x:f>L169+M169</x:f>
        <x:v>377600</x:v>
      </x:c>
      <x:c r="O169" s="12" t="str">
        <x:v>Bengaluru</x:v>
      </x:c>
      <x:c r="P169" s="12" t="str">
        <x:v>CORP-0556, CORP-0557, CORP-0558, CORP-0559, CORP-0560, CORP-0561, CORP-0562, CORP-0563</x:v>
      </x:c>
      <x:c r="Q169" s="12" t="str">
        <x:v>American Express</x:v>
      </x:c>
    </x:row>
    <x:row r="170" ht="49" customHeight="1">
      <x:c r="A170" s="2" t="str">
        <x:v>TEN-1C2EC4E96776</x:v>
      </x:c>
      <x:c r="B170" s="12" t="str">
        <x:v>American Express GBT</x:v>
      </x:c>
      <x:c r="C170" s="12" t="str">
        <x:v>Business / brand</x:v>
      </x:c>
      <x:c r="D170" s="12" t="str">
        <x:v>Trade, consumer &amp; logistics</x:v>
      </x:c>
      <x:c r="E170" s="12" t="str">
        <x:v>Travel, hospitality, food &amp; beverages</x:v>
      </x:c>
      <x:c r="F170" s="12" t="str">
        <x:v>Mixed business audience</x:v>
      </x:c>
      <x:c r="G170" s="12" t="str">
        <x:v>Recognisable business context; company-scale evidence remains insufficient for a single size band.</x:v>
      </x:c>
      <x:c r="H170" s="11" t="n">
        <x:v>12</x:v>
      </x:c>
      <x:c r="I170" s="11" t="n">
        <x:v>12</x:v>
      </x:c>
      <x:c r="J170" s="11" t="n">
        <x:v>12</x:v>
      </x:c>
      <x:c r="K170" s="11" t="n">
        <x:v>0</x:v>
      </x:c>
      <x:c r="L170" s="17" t="n">
        <x:f>SUM(SUMIFS('Costing'!$P$9:$P$492,'Costing'!$A$9:$A$492,"PARTNER-M162"),SUMIFS('Costing'!$P$9:$P$492,'Costing'!$A$9:$A$492,"PARTNER-M154"))</x:f>
        <x:v>480000</x:v>
      </x:c>
      <x:c r="M170" s="17" t="n">
        <x:f>ROUND(L170*'Costing'!$C$4,2)</x:f>
        <x:v>86400</x:v>
      </x:c>
      <x:c r="N170" s="17" t="n">
        <x:f>L170+M170</x:f>
        <x:v>566400</x:v>
      </x:c>
      <x:c r="O170" s="12" t="str">
        <x:v>Bengaluru</x:v>
      </x:c>
      <x:c r="P170" s="12" t="str">
        <x:v>CORP-0572, CORP-0573, CORP-0574, CORP-0575, CORP-0576, CORP-0577, CORP-0578, CORP-0579, CORP-0580, CORP-0581, CORP-0582, CORP-0583</x:v>
      </x:c>
      <x:c r="Q170" s="12" t="str">
        <x:v>American Express GBT</x:v>
      </x:c>
    </x:row>
    <x:row r="171" ht="48" customHeight="1">
      <x:c r="A171" s="2" t="str">
        <x:v>TEN-8473394D087E</x:v>
      </x:c>
      <x:c r="B171" s="12" t="str">
        <x:v>American School of Bombay</x:v>
      </x:c>
      <x:c r="C171" s="12" t="str">
        <x:v>Business / brand</x:v>
      </x:c>
      <x:c r="D171" s="12" t="str">
        <x:v>Education</x:v>
      </x:c>
      <x:c r="E171" s="12" t="str">
        <x:v>Schools, childcare &amp; higher education</x:v>
      </x:c>
      <x:c r="F171" s="12" t="str">
        <x:v>Mixed business audience</x:v>
      </x:c>
      <x:c r="G171" s="12" t="str">
        <x:v>Established brand or business network; local company scale is not established. Use a mixed-business message.</x:v>
      </x:c>
      <x:c r="H171" s="11" t="n">
        <x:v>2</x:v>
      </x:c>
      <x:c r="I171" s="11" t="n">
        <x:v>2</x:v>
      </x:c>
      <x:c r="J171" s="11" t="n">
        <x:v>2</x:v>
      </x:c>
      <x:c r="K171" s="11" t="n">
        <x:v>0</x:v>
      </x:c>
      <x:c r="L171" s="17" t="n">
        <x:f>SUM(SUMIFS('Costing'!$P$9:$P$492,'Costing'!$A$9:$A$492,"PARTNER-M243"))</x:f>
        <x:v>80000</x:v>
      </x:c>
      <x:c r="M171" s="17" t="n">
        <x:f>ROUND(L171*'Costing'!$C$4,2)</x:f>
        <x:v>14400</x:v>
      </x:c>
      <x:c r="N171" s="17" t="n">
        <x:f>L171+M171</x:f>
        <x:v>94400</x:v>
      </x:c>
      <x:c r="O171" s="12" t="str">
        <x:v>Mumbai</x:v>
      </x:c>
      <x:c r="P171" s="12" t="str">
        <x:v>CORP-0660, CORP-0661</x:v>
      </x:c>
      <x:c r="Q171" s="12" t="str">
        <x:v>American School of Bombay</x:v>
      </x:c>
    </x:row>
    <x:row r="172" ht="48" customHeight="1">
      <x:c r="A172" s="2" t="str">
        <x:v>TEN-D2E4BC60D287</x:v>
      </x:c>
      <x:c r="B172" s="12" t="str">
        <x:v>American Wellness</x:v>
      </x:c>
      <x:c r="C172" s="12" t="str">
        <x:v>Business / brand</x:v>
      </x:c>
      <x:c r="D172" s="12" t="str">
        <x:v>Healthcare &amp; life sciences</x:v>
      </x:c>
      <x:c r="E172" s="12" t="str">
        <x:v>Mental health, wellbeing &amp; fitness</x:v>
      </x:c>
      <x:c r="F172" s="12" t="str">
        <x:v>Small-scale prospects</x:v>
      </x:c>
      <x:c r="G172" s="12" t="str">
        <x:v>Healthcare services business; small-scale prospect assumption.</x:v>
      </x:c>
      <x:c r="H172" s="11" t="n">
        <x:v>1</x:v>
      </x:c>
      <x:c r="I172" s="11" t="n">
        <x:v>1</x:v>
      </x:c>
      <x:c r="J172" s="11" t="n">
        <x:v>1</x:v>
      </x:c>
      <x:c r="K172" s="11" t="n">
        <x:v>0</x:v>
      </x:c>
      <x:c r="L172" s="17" t="n">
        <x:f>SUM(SUMIFS('Costing'!$P$9:$P$492,'Costing'!$A$9:$A$492,"MAIN-300"))</x:f>
        <x:v>15000</x:v>
      </x:c>
      <x:c r="M172" s="17" t="n">
        <x:f>ROUND(L172*'Costing'!$C$4,2)</x:f>
        <x:v>2700</x:v>
      </x:c>
      <x:c r="N172" s="17" t="n">
        <x:f>L172+M172</x:f>
        <x:v>17700</x:v>
      </x:c>
      <x:c r="O172" s="12" t="str">
        <x:v>Mumbai</x:v>
      </x:c>
      <x:c r="P172" s="12" t="str">
        <x:v>CORP-0296</x:v>
      </x:c>
      <x:c r="Q172" s="12" t="str">
        <x:v>American Wellness</x:v>
      </x:c>
    </x:row>
    <x:row r="173" ht="48" customHeight="1">
      <x:c r="A173" s="2" t="str">
        <x:v>TEN-90FAE2E6BE07</x:v>
      </x:c>
      <x:c r="B173" s="12" t="str">
        <x:v>AMEYA ASSOCIATES LLP</x:v>
      </x:c>
      <x:c r="C173" s="12" t="str">
        <x:v>Business / brand</x:v>
      </x:c>
      <x:c r="D173" s="12" t="str">
        <x:v>Unresolved</x:v>
      </x:c>
      <x:c r="E173" s="12" t="str">
        <x:v>Business activity not established</x:v>
      </x:c>
      <x:c r="F173" s="12" t="str">
        <x:v>Mixed business audience</x:v>
      </x:c>
      <x:c r="G173" s="12" t="str">
        <x:v>Business activity and company scale are not established from this name.</x:v>
      </x:c>
      <x:c r="H173" s="11" t="n">
        <x:v>1</x:v>
      </x:c>
      <x:c r="I173" s="11" t="n">
        <x:v>2</x:v>
      </x:c>
      <x:c r="J173" s="11" t="n">
        <x:v>2</x:v>
      </x:c>
      <x:c r="K173" s="11" t="n">
        <x:v>0</x:v>
      </x:c>
      <x:c r="L173" s="17" t="n">
        <x:f>SUM(SUMIFS('Costing'!$P$9:$P$492,'Costing'!$A$9:$A$492,"MAIN-389"))</x:f>
        <x:v>30000</x:v>
      </x:c>
      <x:c r="M173" s="17" t="n">
        <x:f>ROUND(L173*'Costing'!$C$4,2)</x:f>
        <x:v>5400</x:v>
      </x:c>
      <x:c r="N173" s="17" t="n">
        <x:f>L173+M173</x:f>
        <x:v>35400</x:v>
      </x:c>
      <x:c r="O173" s="12" t="str">
        <x:v>Pune</x:v>
      </x:c>
      <x:c r="P173" s="12" t="str">
        <x:v>CORP-0385</x:v>
      </x:c>
      <x:c r="Q173" s="12" t="str">
        <x:v>AMEYA ASSOCIATES LLP</x:v>
      </x:c>
    </x:row>
    <x:row r="174" ht="48" customHeight="1">
      <x:c r="A174" s="2" t="str">
        <x:v>TEN-C113FA983474</x:v>
      </x:c>
      <x:c r="B174" s="12" t="str">
        <x:v>Amezone</x:v>
      </x:c>
      <x:c r="C174" s="12" t="str">
        <x:v>Business / brand</x:v>
      </x:c>
      <x:c r="D174" s="12" t="str">
        <x:v>Unresolved</x:v>
      </x:c>
      <x:c r="E174" s="12" t="str">
        <x:v>Business activity not established</x:v>
      </x:c>
      <x:c r="F174" s="12" t="str">
        <x:v>Mixed business audience</x:v>
      </x:c>
      <x:c r="G174" s="12" t="str">
        <x:v>Business activity and company scale are not established from this name.</x:v>
      </x:c>
      <x:c r="H174" s="11" t="n">
        <x:v>1</x:v>
      </x:c>
      <x:c r="I174" s="11" t="n">
        <x:v>2</x:v>
      </x:c>
      <x:c r="J174" s="11" t="n">
        <x:v>2</x:v>
      </x:c>
      <x:c r="K174" s="11" t="n">
        <x:v>0</x:v>
      </x:c>
      <x:c r="L174" s="17" t="n">
        <x:f>SUM(SUMIFS('Costing'!$P$9:$P$492,'Costing'!$A$9:$A$492,"MAIN-325"))</x:f>
        <x:v>80000</x:v>
      </x:c>
      <x:c r="M174" s="17" t="n">
        <x:f>ROUND(L174*'Costing'!$C$4,2)</x:f>
        <x:v>14400</x:v>
      </x:c>
      <x:c r="N174" s="17" t="n">
        <x:f>L174+M174</x:f>
        <x:v>94400</x:v>
      </x:c>
      <x:c r="O174" s="12" t="str">
        <x:v>Mumbai</x:v>
      </x:c>
      <x:c r="P174" s="12" t="str">
        <x:v>CORP-0321</x:v>
      </x:c>
      <x:c r="Q174" s="12" t="str">
        <x:v>Amezone</x:v>
      </x:c>
    </x:row>
    <x:row r="175" ht="48" customHeight="1">
      <x:c r="A175" s="2" t="str">
        <x:v>TEN-AD5DF8A9641C</x:v>
      </x:c>
      <x:c r="B175" s="12" t="str">
        <x:v>AMN Life Science Pvt. Ltd</x:v>
      </x:c>
      <x:c r="C175" s="12" t="str">
        <x:v>Business / brand</x:v>
      </x:c>
      <x:c r="D175" s="12" t="str">
        <x:v>Healthcare &amp; life sciences</x:v>
      </x:c>
      <x:c r="E175" s="12" t="str">
        <x:v>Pharmaceuticals, biotechnology &amp; life sciences</x:v>
      </x:c>
      <x:c r="F175" s="12" t="str">
        <x:v>Medium-scale prospects</x:v>
      </x:c>
      <x:c r="G175" s="12" t="str">
        <x:v>Specialist life-sciences business; medium-scale prospect assumption.</x:v>
      </x:c>
      <x:c r="H175" s="11" t="n">
        <x:v>3</x:v>
      </x:c>
      <x:c r="I175" s="11" t="n">
        <x:v>3</x:v>
      </x:c>
      <x:c r="J175" s="11" t="n">
        <x:v>3</x:v>
      </x:c>
      <x:c r="K175" s="11" t="n">
        <x:v>0</x:v>
      </x:c>
      <x:c r="L175" s="17" t="n">
        <x:f>SUM(SUMIFS('Costing'!$P$9:$P$492,'Costing'!$A$9:$A$492,"PARTNER-M175"))</x:f>
        <x:v>120000</x:v>
      </x:c>
      <x:c r="M175" s="17" t="n">
        <x:f>ROUND(L175*'Costing'!$C$4,2)</x:f>
        <x:v>21600</x:v>
      </x:c>
      <x:c r="N175" s="17" t="n">
        <x:f>L175+M175</x:f>
        <x:v>141600</x:v>
      </x:c>
      <x:c r="O175" s="12" t="str">
        <x:v>Mumbai</x:v>
      </x:c>
      <x:c r="P175" s="12" t="str">
        <x:v>CORP-0592, CORP-0593, CORP-0594</x:v>
      </x:c>
      <x:c r="Q175" s="12" t="str">
        <x:v>AMN Life Science Pvt. Ltd</x:v>
      </x:c>
    </x:row>
    <x:row r="176" ht="48" customHeight="1">
      <x:c r="A176" s="2" t="str">
        <x:v>TEN-172416680C0F</x:v>
      </x:c>
      <x:c r="B176" s="12" t="str">
        <x:v>Amps And Watts</x:v>
      </x:c>
      <x:c r="C176" s="12" t="str">
        <x:v>Business / brand</x:v>
      </x:c>
      <x:c r="D176" s="12" t="str">
        <x:v>Engineering &amp; manufacturing</x:v>
      </x:c>
      <x:c r="E176" s="12" t="str">
        <x:v>Electronics, industrial systems &amp; manufacturing</x:v>
      </x:c>
      <x:c r="F176" s="12" t="str">
        <x:v>Medium-scale prospects</x:v>
      </x:c>
      <x:c r="G176" s="12" t="str">
        <x:v>Specialist industrial or engineering business; medium-scale prospect assumption.</x:v>
      </x:c>
      <x:c r="H176" s="11" t="n">
        <x:v>5</x:v>
      </x:c>
      <x:c r="I176" s="11" t="n">
        <x:v>5</x:v>
      </x:c>
      <x:c r="J176" s="11" t="n">
        <x:v>5</x:v>
      </x:c>
      <x:c r="K176" s="11" t="n">
        <x:v>0</x:v>
      </x:c>
      <x:c r="L176" s="17" t="n">
        <x:f>SUM(SUMIFS('Costing'!$P$9:$P$492,'Costing'!$A$9:$A$492,"PARTNER-M295"))</x:f>
        <x:v>200000</x:v>
      </x:c>
      <x:c r="M176" s="17" t="n">
        <x:f>ROUND(L176*'Costing'!$C$4,2)</x:f>
        <x:v>36000</x:v>
      </x:c>
      <x:c r="N176" s="17" t="n">
        <x:f>L176+M176</x:f>
        <x:v>236000</x:v>
      </x:c>
      <x:c r="O176" s="12" t="str">
        <x:v>Hyderabad</x:v>
      </x:c>
      <x:c r="P176" s="12" t="str">
        <x:v>CORP-0710, CORP-0711, CORP-0712, CORP-0713, CORP-0714</x:v>
      </x:c>
      <x:c r="Q176" s="12" t="str">
        <x:v>Amps And Watts</x:v>
      </x:c>
    </x:row>
    <x:row r="177" ht="48" customHeight="1">
      <x:c r="A177" s="2" t="str">
        <x:v>TEN-217C7370F820</x:v>
      </x:c>
      <x:c r="B177" s="12" t="str">
        <x:v>Amrit Planners Pvt. Ltd</x:v>
      </x:c>
      <x:c r="C177" s="12" t="str">
        <x:v>Business / brand</x:v>
      </x:c>
      <x:c r="D177" s="12" t="str">
        <x:v>Professional services</x:v>
      </x:c>
      <x:c r="E177" s="12" t="str">
        <x:v>Architecture, interiors &amp; design</x:v>
      </x:c>
      <x:c r="F177" s="12" t="str">
        <x:v>Small-scale prospects</x:v>
      </x:c>
      <x:c r="G177" s="12" t="str">
        <x:v>Professional service, agency or advisory model; small-scale prospect assumption.</x:v>
      </x:c>
      <x:c r="H177" s="11" t="n">
        <x:v>1</x:v>
      </x:c>
      <x:c r="I177" s="11" t="n">
        <x:v>1</x:v>
      </x:c>
      <x:c r="J177" s="11" t="n">
        <x:v>1</x:v>
      </x:c>
      <x:c r="K177" s="11" t="n">
        <x:v>0</x:v>
      </x:c>
      <x:c r="L177" s="17" t="n">
        <x:f>SUM(SUMIFS('Costing'!$P$9:$P$492,'Costing'!$A$9:$A$492,"MAIN-290"))</x:f>
        <x:v>40000</x:v>
      </x:c>
      <x:c r="M177" s="17" t="n">
        <x:f>ROUND(L177*'Costing'!$C$4,2)</x:f>
        <x:v>7200</x:v>
      </x:c>
      <x:c r="N177" s="17" t="n">
        <x:f>L177+M177</x:f>
        <x:v>47200</x:v>
      </x:c>
      <x:c r="O177" s="12" t="str">
        <x:v>Lucknow</x:v>
      </x:c>
      <x:c r="P177" s="12" t="str">
        <x:v>CORP-0286</x:v>
      </x:c>
      <x:c r="Q177" s="12" t="str">
        <x:v>Amrit Planners Pvt. Ltd</x:v>
      </x:c>
    </x:row>
    <x:row r="178" ht="48" customHeight="1">
      <x:c r="A178" s="2" t="str">
        <x:v>TEN-B2049BFB027D</x:v>
      </x:c>
      <x:c r="B178" s="12" t="str">
        <x:v>AMS project consultants</x:v>
      </x:c>
      <x:c r="C178" s="12" t="str">
        <x:v>Business / brand</x:v>
      </x:c>
      <x:c r="D178" s="12" t="str">
        <x:v>Professional services</x:v>
      </x:c>
      <x:c r="E178" s="12" t="str">
        <x:v>Business consulting &amp; advisory</x:v>
      </x:c>
      <x:c r="F178" s="12" t="str">
        <x:v>Small-scale prospects</x:v>
      </x:c>
      <x:c r="G178" s="12" t="str">
        <x:v>Professional service, agency or advisory model; small-scale prospect assumption.</x:v>
      </x:c>
      <x:c r="H178" s="11" t="n">
        <x:v>1</x:v>
      </x:c>
      <x:c r="I178" s="11" t="n">
        <x:v>4</x:v>
      </x:c>
      <x:c r="J178" s="11" t="n">
        <x:v>4</x:v>
      </x:c>
      <x:c r="K178" s="11" t="n">
        <x:v>0</x:v>
      </x:c>
      <x:c r="L178" s="17" t="n">
        <x:f>SUM(SUMIFS('Costing'!$P$9:$P$492,'Costing'!$A$9:$A$492,"MAIN-121"))</x:f>
        <x:v>100000</x:v>
      </x:c>
      <x:c r="M178" s="17" t="n">
        <x:f>ROUND(L178*'Costing'!$C$4,2)</x:f>
        <x:v>18000</x:v>
      </x:c>
      <x:c r="N178" s="17" t="n">
        <x:f>L178+M178</x:f>
        <x:v>118000</x:v>
      </x:c>
      <x:c r="O178" s="12" t="str">
        <x:v>Bengaluru</x:v>
      </x:c>
      <x:c r="P178" s="12" t="str">
        <x:v>CORP-0117</x:v>
      </x:c>
      <x:c r="Q178" s="12" t="str">
        <x:v>AMS project consultants</x:v>
      </x:c>
    </x:row>
    <x:row r="179" ht="48" customHeight="1">
      <x:c r="A179" s="2" t="str">
        <x:v>TEN-B6F0DAA20D8D</x:v>
      </x:c>
      <x:c r="B179" s="12" t="str">
        <x:v>AMS Semiconductors</x:v>
      </x:c>
      <x:c r="C179" s="12" t="str">
        <x:v>Business / brand</x:v>
      </x:c>
      <x:c r="D179" s="12" t="str">
        <x:v>Engineering &amp; manufacturing</x:v>
      </x:c>
      <x:c r="E179" s="12" t="str">
        <x:v>Semiconductors, electronics &amp; equipment</x:v>
      </x:c>
      <x:c r="F179" s="12" t="str">
        <x:v>Mixed business audience</x:v>
      </x:c>
      <x:c r="G179" s="12" t="str">
        <x:v>Established brand or business network; local company scale is not established. Use a mixed-business message.</x:v>
      </x:c>
      <x:c r="H179" s="11" t="n">
        <x:v>6</x:v>
      </x:c>
      <x:c r="I179" s="11" t="n">
        <x:v>6</x:v>
      </x:c>
      <x:c r="J179" s="11" t="n">
        <x:v>6</x:v>
      </x:c>
      <x:c r="K179" s="11" t="n">
        <x:v>0</x:v>
      </x:c>
      <x:c r="L179" s="17" t="n">
        <x:f>SUM(SUMIFS('Costing'!$P$9:$P$492,'Costing'!$A$9:$A$492,"PARTNER-M283"))</x:f>
        <x:v>240000</x:v>
      </x:c>
      <x:c r="M179" s="17" t="n">
        <x:f>ROUND(L179*'Costing'!$C$4,2)</x:f>
        <x:v>43200</x:v>
      </x:c>
      <x:c r="N179" s="17" t="n">
        <x:f>L179+M179</x:f>
        <x:v>283200</x:v>
      </x:c>
      <x:c r="O179" s="12" t="str">
        <x:v>Hyderabad</x:v>
      </x:c>
      <x:c r="P179" s="12" t="str">
        <x:v>CORP-0698, CORP-0699, CORP-0700, CORP-0701, CORP-0702, CORP-0703</x:v>
      </x:c>
      <x:c r="Q179" s="12" t="str">
        <x:v>AMS Semiconductors</x:v>
      </x:c>
    </x:row>
    <x:row r="180" ht="49" customHeight="1">
      <x:c r="A180" s="2" t="str">
        <x:v>TEN-A1964DB0508A</x:v>
      </x:c>
      <x:c r="B180" s="12" t="str">
        <x:v>an Awfis coworking space</x:v>
      </x:c>
      <x:c r="C180" s="12" t="str">
        <x:v>Workspace operator</x:v>
      </x:c>
      <x:c r="D180" s="12" t="str">
        <x:v>Workspace &amp; property operations</x:v>
      </x:c>
      <x:c r="E180" s="12" t="str">
        <x:v>Coworking/workspace operator</x:v>
      </x:c>
      <x:c r="F180" s="12" t="str">
        <x:v>Mixed business audience</x:v>
      </x:c>
      <x:c r="G180" s="12" t="str">
        <x:v>Supplied entry is a shared-workspace operator; the business sizes of occupant companies cannot be derived from the operator name.</x:v>
      </x:c>
      <x:c r="H180" s="11" t="n">
        <x:v>11</x:v>
      </x:c>
      <x:c r="I180" s="11" t="n">
        <x:v>11</x:v>
      </x:c>
      <x:c r="J180" s="11" t="n">
        <x:v>11</x:v>
      </x:c>
      <x:c r="K180" s="11" t="n">
        <x:v>0</x:v>
      </x:c>
      <x:c r="L180" s="17" t="n">
        <x:f>SUM(SUMIFS('Costing'!$P$9:$P$492,'Costing'!$A$9:$A$492,"PARTNER-M082"))</x:f>
        <x:v>440000</x:v>
      </x:c>
      <x:c r="M180" s="17" t="n">
        <x:f>ROUND(L180*'Costing'!$C$4,2)</x:f>
        <x:v>79200</x:v>
      </x:c>
      <x:c r="N180" s="17" t="n">
        <x:f>L180+M180</x:f>
        <x:v>519200</x:v>
      </x:c>
      <x:c r="O180" s="12" t="str">
        <x:v>Bengaluru</x:v>
      </x:c>
      <x:c r="P180" s="12" t="str">
        <x:v>CORP-0500, CORP-0501, CORP-0502, CORP-0503, CORP-0504, CORP-0505, CORP-0506, CORP-0507, CORP-0508, CORP-0509, CORP-0510</x:v>
      </x:c>
      <x:c r="Q180" s="12" t="str">
        <x:v>an Awfis coworking space</x:v>
      </x:c>
    </x:row>
    <x:row r="181" ht="62" customHeight="1">
      <x:c r="A181" s="2" t="str">
        <x:v>TEN-BB424F07FC73</x:v>
      </x:c>
      <x:c r="B181" s="12" t="str">
        <x:v>Analog Devices</x:v>
      </x:c>
      <x:c r="C181" s="12" t="str">
        <x:v>Business / brand</x:v>
      </x:c>
      <x:c r="D181" s="12" t="str">
        <x:v>Engineering &amp; manufacturing</x:v>
      </x:c>
      <x:c r="E181" s="12" t="str">
        <x:v>Semiconductors, electronics &amp; equipment</x:v>
      </x:c>
      <x:c r="F181" s="12" t="str">
        <x:v>Large enterprise</x:v>
      </x:c>
      <x:c r="G181" s="12" t="str">
        <x:v>The official company profile reports approximately 24,000 employees in 31 countries and USD11 billion in FY2025 revenue. This supports enterprise-scale semiconductor-company context.</x:v>
      </x:c>
      <x:c r="H181" s="11" t="n">
        <x:v>1</x:v>
      </x:c>
      <x:c r="I181" s="11" t="n">
        <x:v>18</x:v>
      </x:c>
      <x:c r="J181" s="11" t="n">
        <x:v>18</x:v>
      </x:c>
      <x:c r="K181" s="11" t="n">
        <x:v>0</x:v>
      </x:c>
      <x:c r="L181" s="17" t="n">
        <x:f>SUM(SUMIFS('Costing'!$P$9:$P$492,'Costing'!$A$9:$A$492,"MAIN-052"))</x:f>
        <x:v>270000</x:v>
      </x:c>
      <x:c r="M181" s="17" t="n">
        <x:f>ROUND(L181*'Costing'!$C$4,2)</x:f>
        <x:v>48600</x:v>
      </x:c>
      <x:c r="N181" s="17" t="n">
        <x:f>L181+M181</x:f>
        <x:v>318600</x:v>
      </x:c>
      <x:c r="O181" s="12" t="str">
        <x:v>Bengaluru</x:v>
      </x:c>
      <x:c r="P181" s="12" t="str">
        <x:v>CORP-0048</x:v>
      </x:c>
      <x:c r="Q181" s="12" t="str">
        <x:v>Analog Devices</x:v>
      </x:c>
    </x:row>
    <x:row r="182" ht="48" customHeight="1">
      <x:c r="A182" s="2" t="str">
        <x:v>TEN-20FDC37C36AD</x:v>
      </x:c>
      <x:c r="B182" s="12" t="str">
        <x:v>Analytica/Grid</x:v>
      </x:c>
      <x:c r="C182" s="12" t="str">
        <x:v>Identity unresolved</x:v>
      </x:c>
      <x:c r="D182" s="12" t="str">
        <x:v>Unresolved</x:v>
      </x:c>
      <x:c r="E182" s="12" t="str">
        <x:v>Business activity not established</x:v>
      </x:c>
      <x:c r="F182" s="12" t="str">
        <x:v>Mixed business audience</x:v>
      </x:c>
      <x:c r="G182" s="12" t="str">
        <x:v>Ambiguous directory record; use the surrounding property audience.</x:v>
      </x:c>
      <x:c r="H182" s="11" t="n">
        <x:v>1</x:v>
      </x:c>
      <x:c r="I182" s="11" t="n">
        <x:v>2</x:v>
      </x:c>
      <x:c r="J182" s="11" t="n">
        <x:v>2</x:v>
      </x:c>
      <x:c r="K182" s="11" t="n">
        <x:v>0</x:v>
      </x:c>
      <x:c r="L182" s="17" t="n">
        <x:f>SUM(SUMIFS('Costing'!$P$9:$P$492,'Costing'!$A$9:$A$492,"MAIN-109"))</x:f>
        <x:v>30000</x:v>
      </x:c>
      <x:c r="M182" s="17" t="n">
        <x:f>ROUND(L182*'Costing'!$C$4,2)</x:f>
        <x:v>5400</x:v>
      </x:c>
      <x:c r="N182" s="17" t="n">
        <x:f>L182+M182</x:f>
        <x:v>35400</x:v>
      </x:c>
      <x:c r="O182" s="12" t="str">
        <x:v>Bengaluru</x:v>
      </x:c>
      <x:c r="P182" s="12" t="str">
        <x:v>CORP-0105</x:v>
      </x:c>
      <x:c r="Q182" s="12" t="str">
        <x:v>Analytica/Grid</x:v>
      </x:c>
    </x:row>
    <x:row r="183" ht="48" customHeight="1">
      <x:c r="A183" s="2" t="str">
        <x:v>TEN-F13E5E75303C</x:v>
      </x:c>
      <x:c r="B183" s="12" t="str">
        <x:v>Analyttica Datalab Pvt. Ltd</x:v>
      </x:c>
      <x:c r="C183" s="12" t="str">
        <x:v>Business / brand</x:v>
      </x:c>
      <x:c r="D183" s="12" t="str">
        <x:v>IT &amp; digital</x:v>
      </x:c>
      <x:c r="E183" s="12" t="str">
        <x:v>AI, data &amp; analytics</x:v>
      </x:c>
      <x:c r="F183" s="12" t="str">
        <x:v>Small-scale prospects</x:v>
      </x:c>
      <x:c r="G183" s="12" t="str">
        <x:v>Software or technology-services business; small-scale prospect assumption.</x:v>
      </x:c>
      <x:c r="H183" s="11" t="n">
        <x:v>4</x:v>
      </x:c>
      <x:c r="I183" s="11" t="n">
        <x:v>4</x:v>
      </x:c>
      <x:c r="J183" s="11" t="n">
        <x:v>4</x:v>
      </x:c>
      <x:c r="K183" s="11" t="n">
        <x:v>0</x:v>
      </x:c>
      <x:c r="L183" s="17" t="n">
        <x:f>SUM(SUMIFS('Costing'!$P$9:$P$492,'Costing'!$A$9:$A$492,"PARTNER-M056"))</x:f>
        <x:v>160000</x:v>
      </x:c>
      <x:c r="M183" s="17" t="n">
        <x:f>ROUND(L183*'Costing'!$C$4,2)</x:f>
        <x:v>28800</x:v>
      </x:c>
      <x:c r="N183" s="17" t="n">
        <x:f>L183+M183</x:f>
        <x:v>188800</x:v>
      </x:c>
      <x:c r="O183" s="12" t="str">
        <x:v>Bengaluru</x:v>
      </x:c>
      <x:c r="P183" s="12" t="str">
        <x:v>CORP-0474, CORP-0475, CORP-0476, CORP-0477</x:v>
      </x:c>
      <x:c r="Q183" s="12" t="str">
        <x:v>Analyttica Datalab Pvt. Ltd</x:v>
      </x:c>
    </x:row>
    <x:row r="184" ht="48" customHeight="1">
      <x:c r="A184" s="2" t="str">
        <x:v>TEN-B6F590BF9615</x:v>
      </x:c>
      <x:c r="B184" s="12" t="str">
        <x:v>AnandOffice</x:v>
      </x:c>
      <x:c r="C184" s="12" t="str">
        <x:v>Identity unresolved</x:v>
      </x:c>
      <x:c r="D184" s="12" t="str">
        <x:v>Unresolved</x:v>
      </x:c>
      <x:c r="E184" s="12" t="str">
        <x:v>Business activity not established</x:v>
      </x:c>
      <x:c r="F184" s="12" t="str">
        <x:v>Mixed business audience</x:v>
      </x:c>
      <x:c r="G184" s="12" t="str">
        <x:v>Ambiguous directory record; use the surrounding property audience.</x:v>
      </x:c>
      <x:c r="H184" s="11" t="n">
        <x:v>1</x:v>
      </x:c>
      <x:c r="I184" s="11" t="n">
        <x:v>5</x:v>
      </x:c>
      <x:c r="J184" s="11" t="n">
        <x:v>5</x:v>
      </x:c>
      <x:c r="K184" s="11" t="n">
        <x:v>0</x:v>
      </x:c>
      <x:c r="L184" s="17" t="n">
        <x:f>SUM(SUMIFS('Costing'!$P$9:$P$492,'Costing'!$A$9:$A$492,"MAIN-078"))</x:f>
        <x:v>100000</x:v>
      </x:c>
      <x:c r="M184" s="17" t="n">
        <x:f>ROUND(L184*'Costing'!$C$4,2)</x:f>
        <x:v>18000</x:v>
      </x:c>
      <x:c r="N184" s="17" t="n">
        <x:f>L184+M184</x:f>
        <x:v>118000</x:v>
      </x:c>
      <x:c r="O184" s="12" t="str">
        <x:v>Bengaluru</x:v>
      </x:c>
      <x:c r="P184" s="12" t="str">
        <x:v>CORP-0074</x:v>
      </x:c>
      <x:c r="Q184" s="12" t="str">
        <x:v>AnandOffice</x:v>
      </x:c>
    </x:row>
    <x:row r="185" ht="48" customHeight="1">
      <x:c r="A185" s="2" t="str">
        <x:v>TEN-4C4553C8F64F</x:v>
      </x:c>
      <x:c r="B185" s="12" t="str">
        <x:v>Ananth Rathi</x:v>
      </x:c>
      <x:c r="C185" s="12" t="str">
        <x:v>Business / brand</x:v>
      </x:c>
      <x:c r="D185" s="12" t="str">
        <x:v>Finance &amp; insurance</x:v>
      </x:c>
      <x:c r="E185" s="12" t="str">
        <x:v>Banking, credit &amp; financial services</x:v>
      </x:c>
      <x:c r="F185" s="12" t="str">
        <x:v>Mixed business audience</x:v>
      </x:c>
      <x:c r="G185" s="12" t="str">
        <x:v>Established brand or business network; local company scale is not established. Use a mixed-business message.</x:v>
      </x:c>
      <x:c r="H185" s="11" t="n">
        <x:v>2</x:v>
      </x:c>
      <x:c r="I185" s="11" t="n">
        <x:v>2</x:v>
      </x:c>
      <x:c r="J185" s="11" t="n">
        <x:v>2</x:v>
      </x:c>
      <x:c r="K185" s="11" t="n">
        <x:v>0</x:v>
      </x:c>
      <x:c r="L185" s="17" t="n">
        <x:f>SUM(SUMIFS('Costing'!$P$9:$P$492,'Costing'!$A$9:$A$492,"PARTNER-M332"))</x:f>
        <x:v>80000</x:v>
      </x:c>
      <x:c r="M185" s="17" t="n">
        <x:f>ROUND(L185*'Costing'!$C$4,2)</x:f>
        <x:v>14400</x:v>
      </x:c>
      <x:c r="N185" s="17" t="n">
        <x:f>L185+M185</x:f>
        <x:v>94400</x:v>
      </x:c>
      <x:c r="O185" s="12" t="str">
        <x:v>Chennai</x:v>
      </x:c>
      <x:c r="P185" s="12" t="str">
        <x:v>CORP-0746, CORP-0747</x:v>
      </x:c>
      <x:c r="Q185" s="12" t="str">
        <x:v>Ananth Rathi</x:v>
      </x:c>
    </x:row>
    <x:row r="186" ht="48" customHeight="1">
      <x:c r="A186" s="2" t="str">
        <x:v>TEN-F81028DE58EF</x:v>
      </x:c>
      <x:c r="B186" s="12" t="str">
        <x:v>Anarock Group Business Services Private Limited</x:v>
      </x:c>
      <x:c r="C186" s="12" t="str">
        <x:v>Business / brand</x:v>
      </x:c>
      <x:c r="D186" s="12" t="str">
        <x:v>Trade, consumer &amp; logistics</x:v>
      </x:c>
      <x:c r="E186" s="12" t="str">
        <x:v>Real estate, property &amp; construction services</x:v>
      </x:c>
      <x:c r="F186" s="12" t="str">
        <x:v>Mixed business audience</x:v>
      </x:c>
      <x:c r="G186" s="12" t="str">
        <x:v>Recognisable business context; company-scale evidence remains insufficient for a single size band.</x:v>
      </x:c>
      <x:c r="H186" s="11" t="n">
        <x:v>1</x:v>
      </x:c>
      <x:c r="I186" s="11" t="n">
        <x:v>1</x:v>
      </x:c>
      <x:c r="J186" s="11" t="n">
        <x:v>1</x:v>
      </x:c>
      <x:c r="K186" s="11" t="n">
        <x:v>0</x:v>
      </x:c>
      <x:c r="L186" s="17" t="n">
        <x:f>SUM(SUMIFS('Costing'!$P$9:$P$492,'Costing'!$A$9:$A$492,"MAIN-070"))</x:f>
        <x:v>15000</x:v>
      </x:c>
      <x:c r="M186" s="17" t="n">
        <x:f>ROUND(L186*'Costing'!$C$4,2)</x:f>
        <x:v>2700</x:v>
      </x:c>
      <x:c r="N186" s="17" t="n">
        <x:f>L186+M186</x:f>
        <x:v>17700</x:v>
      </x:c>
      <x:c r="O186" s="12" t="str">
        <x:v>Bengaluru</x:v>
      </x:c>
      <x:c r="P186" s="12" t="str">
        <x:v>CORP-0066</x:v>
      </x:c>
      <x:c r="Q186" s="12" t="str">
        <x:v>Anarock Group Business Services Private Limited</x:v>
      </x:c>
    </x:row>
    <x:row r="187" ht="48" customHeight="1">
      <x:c r="A187" s="2" t="str">
        <x:v>TEN-1D32A0A61549</x:v>
      </x:c>
      <x:c r="B187" s="12" t="str">
        <x:v>ANAROCK Property Consultants</x:v>
      </x:c>
      <x:c r="C187" s="12" t="str">
        <x:v>Business / brand</x:v>
      </x:c>
      <x:c r="D187" s="12" t="str">
        <x:v>Trade, consumer &amp; logistics</x:v>
      </x:c>
      <x:c r="E187" s="12" t="str">
        <x:v>Real estate, property &amp; construction services</x:v>
      </x:c>
      <x:c r="F187" s="12" t="str">
        <x:v>Mixed business audience</x:v>
      </x:c>
      <x:c r="G187" s="12" t="str">
        <x:v>Recognisable business context; company-scale evidence remains insufficient for a single size band.</x:v>
      </x:c>
      <x:c r="H187" s="11" t="n">
        <x:v>1</x:v>
      </x:c>
      <x:c r="I187" s="11" t="n">
        <x:v>3</x:v>
      </x:c>
      <x:c r="J187" s="11" t="n">
        <x:v>3</x:v>
      </x:c>
      <x:c r="K187" s="11" t="n">
        <x:v>0</x:v>
      </x:c>
      <x:c r="L187" s="17" t="n">
        <x:f>SUM(SUMIFS('Costing'!$P$9:$P$492,'Costing'!$A$9:$A$492,"MAIN-255"))</x:f>
        <x:v>45000</x:v>
      </x:c>
      <x:c r="M187" s="17" t="n">
        <x:f>ROUND(L187*'Costing'!$C$4,2)</x:f>
        <x:v>8100</x:v>
      </x:c>
      <x:c r="N187" s="17" t="n">
        <x:f>L187+M187</x:f>
        <x:v>53100</x:v>
      </x:c>
      <x:c r="O187" s="12" t="str">
        <x:v>Hyderabad</x:v>
      </x:c>
      <x:c r="P187" s="12" t="str">
        <x:v>CORP-0251</x:v>
      </x:c>
      <x:c r="Q187" s="12" t="str">
        <x:v>ANAROCK Property Consultants</x:v>
      </x:c>
    </x:row>
    <x:row r="188" ht="48" customHeight="1">
      <x:c r="A188" s="2" t="str">
        <x:v>TEN-9287B2BCD212</x:v>
      </x:c>
      <x:c r="B188" s="12" t="str">
        <x:v>Anchanto Services Pvt Ltd</x:v>
      </x:c>
      <x:c r="C188" s="12" t="str">
        <x:v>Business / brand</x:v>
      </x:c>
      <x:c r="D188" s="12" t="str">
        <x:v>IT &amp; digital</x:v>
      </x:c>
      <x:c r="E188" s="12" t="str">
        <x:v>Enterprise software &amp; digital engineering</x:v>
      </x:c>
      <x:c r="F188" s="12" t="str">
        <x:v>Small-scale prospects</x:v>
      </x:c>
      <x:c r="G188" s="12" t="str">
        <x:v>Software or technology-services business; small-scale prospect assumption.</x:v>
      </x:c>
      <x:c r="H188" s="11" t="n">
        <x:v>1</x:v>
      </x:c>
      <x:c r="I188" s="11" t="n">
        <x:v>4</x:v>
      </x:c>
      <x:c r="J188" s="11" t="n">
        <x:v>4</x:v>
      </x:c>
      <x:c r="K188" s="11" t="n">
        <x:v>0</x:v>
      </x:c>
      <x:c r="L188" s="17" t="n">
        <x:f>SUM(SUMIFS('Costing'!$P$9:$P$492,'Costing'!$A$9:$A$492,"MAIN-403"))</x:f>
        <x:v>80000</x:v>
      </x:c>
      <x:c r="M188" s="17" t="n">
        <x:f>ROUND(L188*'Costing'!$C$4,2)</x:f>
        <x:v>14400</x:v>
      </x:c>
      <x:c r="N188" s="17" t="n">
        <x:f>L188+M188</x:f>
        <x:v>94400</x:v>
      </x:c>
      <x:c r="O188" s="12" t="str">
        <x:v>Pune</x:v>
      </x:c>
      <x:c r="P188" s="12" t="str">
        <x:v>CORP-0399</x:v>
      </x:c>
      <x:c r="Q188" s="12" t="str">
        <x:v>Anchanto Services Pvt Ltd</x:v>
      </x:c>
    </x:row>
    <x:row r="189" ht="48" customHeight="1">
      <x:c r="A189" s="2" t="str">
        <x:v>TEN-64ACC2041078</x:v>
      </x:c>
      <x:c r="B189" s="12" t="str">
        <x:v>Andhra Bank</x:v>
      </x:c>
      <x:c r="C189" s="12" t="str">
        <x:v>Business / brand</x:v>
      </x:c>
      <x:c r="D189" s="12" t="str">
        <x:v>Finance &amp; insurance</x:v>
      </x:c>
      <x:c r="E189" s="12" t="str">
        <x:v>Banking &amp; credit</x:v>
      </x:c>
      <x:c r="F189" s="12" t="str">
        <x:v>Mixed business audience</x:v>
      </x:c>
      <x:c r="G189" s="12" t="str">
        <x:v>Established brand or business network; local company scale is not established. Use a mixed-business message.</x:v>
      </x:c>
      <x:c r="H189" s="11" t="n">
        <x:v>6</x:v>
      </x:c>
      <x:c r="I189" s="11" t="n">
        <x:v>6</x:v>
      </x:c>
      <x:c r="J189" s="11" t="n">
        <x:v>6</x:v>
      </x:c>
      <x:c r="K189" s="11" t="n">
        <x:v>0</x:v>
      </x:c>
      <x:c r="L189" s="17" t="n">
        <x:f>SUM(SUMIFS('Costing'!$P$9:$P$492,'Costing'!$A$9:$A$492,"PARTNER-M289"))</x:f>
        <x:v>240000</x:v>
      </x:c>
      <x:c r="M189" s="17" t="n">
        <x:f>ROUND(L189*'Costing'!$C$4,2)</x:f>
        <x:v>43200</x:v>
      </x:c>
      <x:c r="N189" s="17" t="n">
        <x:f>L189+M189</x:f>
        <x:v>283200</x:v>
      </x:c>
      <x:c r="O189" s="12" t="str">
        <x:v>Hyderabad</x:v>
      </x:c>
      <x:c r="P189" s="12" t="str">
        <x:v>CORP-0704, CORP-0705, CORP-0706, CORP-0707, CORP-0708, CORP-0709</x:v>
      </x:c>
      <x:c r="Q189" s="12" t="str">
        <x:v>Andhra Bank</x:v>
      </x:c>
    </x:row>
    <x:row r="190" ht="48" customHeight="1">
      <x:c r="A190" s="2" t="str">
        <x:v>TEN-CAD973567458</x:v>
      </x:c>
      <x:c r="B190" s="12" t="str">
        <x:v>Andritz AG</x:v>
      </x:c>
      <x:c r="C190" s="12" t="str">
        <x:v>Business / brand</x:v>
      </x:c>
      <x:c r="D190" s="12" t="str">
        <x:v>Engineering &amp; manufacturing</x:v>
      </x:c>
      <x:c r="E190" s="12" t="str">
        <x:v>Chemicals, materials &amp; industrial manufacturing</x:v>
      </x:c>
      <x:c r="F190" s="12" t="str">
        <x:v>Mixed business audience</x:v>
      </x:c>
      <x:c r="G190" s="12" t="str">
        <x:v>Established brand or business network; local company scale is not established. Use a mixed-business message.</x:v>
      </x:c>
      <x:c r="H190" s="11" t="n">
        <x:v>5</x:v>
      </x:c>
      <x:c r="I190" s="11" t="n">
        <x:v>5</x:v>
      </x:c>
      <x:c r="J190" s="11" t="n">
        <x:v>5</x:v>
      </x:c>
      <x:c r="K190" s="11" t="n">
        <x:v>0</x:v>
      </x:c>
      <x:c r="L190" s="17" t="n">
        <x:f>SUM(SUMIFS('Costing'!$P$9:$P$492,'Costing'!$A$9:$A$492,"PARTNER-M051"))</x:f>
        <x:v>200000</x:v>
      </x:c>
      <x:c r="M190" s="17" t="n">
        <x:f>ROUND(L190*'Costing'!$C$4,2)</x:f>
        <x:v>36000</x:v>
      </x:c>
      <x:c r="N190" s="17" t="n">
        <x:f>L190+M190</x:f>
        <x:v>236000</x:v>
      </x:c>
      <x:c r="O190" s="12" t="str">
        <x:v>Bengaluru</x:v>
      </x:c>
      <x:c r="P190" s="12" t="str">
        <x:v>CORP-0469, CORP-0470, CORP-0471, CORP-0472, CORP-0473</x:v>
      </x:c>
      <x:c r="Q190" s="12" t="str">
        <x:v>Andritz AG</x:v>
      </x:c>
    </x:row>
    <x:row r="191" ht="48" customHeight="1">
      <x:c r="A191" s="2" t="str">
        <x:v>TEN-24E8B74B48CE</x:v>
      </x:c>
      <x:c r="B191" s="12" t="str">
        <x:v>Anektos Hybrid Buildings Pvt. Ltd</x:v>
      </x:c>
      <x:c r="C191" s="12" t="str">
        <x:v>Business / brand</x:v>
      </x:c>
      <x:c r="D191" s="12" t="str">
        <x:v>Trade, consumer &amp; logistics</x:v>
      </x:c>
      <x:c r="E191" s="12" t="str">
        <x:v>Real estate, property &amp; construction services</x:v>
      </x:c>
      <x:c r="F191" s="12" t="str">
        <x:v>Small-scale prospects</x:v>
      </x:c>
      <x:c r="G191" s="12" t="str">
        <x:v>Trading or consumer-services business; small-scale prospect assumption.</x:v>
      </x:c>
      <x:c r="H191" s="11" t="n">
        <x:v>10</x:v>
      </x:c>
      <x:c r="I191" s="11" t="n">
        <x:v>10</x:v>
      </x:c>
      <x:c r="J191" s="11" t="n">
        <x:v>10</x:v>
      </x:c>
      <x:c r="K191" s="11" t="n">
        <x:v>0</x:v>
      </x:c>
      <x:c r="L191" s="17" t="n">
        <x:f>SUM(SUMIFS('Costing'!$P$9:$P$492,'Costing'!$A$9:$A$492,"PARTNER-M365"))</x:f>
        <x:v>400000</x:v>
      </x:c>
      <x:c r="M191" s="17" t="n">
        <x:f>ROUND(L191*'Costing'!$C$4,2)</x:f>
        <x:v>72000</x:v>
      </x:c>
      <x:c r="N191" s="17" t="n">
        <x:f>L191+M191</x:f>
        <x:v>472000</x:v>
      </x:c>
      <x:c r="O191" s="12" t="str">
        <x:v>Delhi NCR</x:v>
      </x:c>
      <x:c r="P191" s="12" t="str">
        <x:v>CORP-0778, CORP-0779, CORP-0780, CORP-0781, CORP-0782, CORP-0783, CORP-0784, CORP-0785, CORP-0786, CORP-0787</x:v>
      </x:c>
      <x:c r="Q191" s="12" t="str">
        <x:v>Anektos Hybrid Buildings Pvt. Ltd</x:v>
      </x:c>
    </x:row>
    <x:row r="192" ht="48" customHeight="1">
      <x:c r="A192" s="2" t="str">
        <x:v>TEN-FE47F9E7F7A1</x:v>
      </x:c>
      <x:c r="B192" s="12" t="str">
        <x:v>AngelOne</x:v>
      </x:c>
      <x:c r="C192" s="12" t="str">
        <x:v>Business / brand</x:v>
      </x:c>
      <x:c r="D192" s="12" t="str">
        <x:v>Finance &amp; insurance</x:v>
      </x:c>
      <x:c r="E192" s="12" t="str">
        <x:v>Financial services — specialty unverified</x:v>
      </x:c>
      <x:c r="F192" s="12" t="str">
        <x:v>Mixed business audience</x:v>
      </x:c>
      <x:c r="G192" s="12" t="str">
        <x:v>Recognisable business context; company-scale evidence remains insufficient for a single size band.</x:v>
      </x:c>
      <x:c r="H192" s="11" t="n">
        <x:v>1</x:v>
      </x:c>
      <x:c r="I192" s="11" t="n">
        <x:v>1</x:v>
      </x:c>
      <x:c r="J192" s="11" t="n">
        <x:v>1</x:v>
      </x:c>
      <x:c r="K192" s="11" t="n">
        <x:v>0</x:v>
      </x:c>
      <x:c r="L192" s="17" t="n">
        <x:f>SUM(SUMIFS('Costing'!$P$9:$P$492,'Costing'!$A$9:$A$492,"MAIN-274"))</x:f>
        <x:v>40000</x:v>
      </x:c>
      <x:c r="M192" s="17" t="n">
        <x:f>ROUND(L192*'Costing'!$C$4,2)</x:f>
        <x:v>7200</x:v>
      </x:c>
      <x:c r="N192" s="17" t="n">
        <x:f>L192+M192</x:f>
        <x:v>47200</x:v>
      </x:c>
      <x:c r="O192" s="12" t="str">
        <x:v>Indore</x:v>
      </x:c>
      <x:c r="P192" s="12" t="str">
        <x:v>CORP-0270</x:v>
      </x:c>
      <x:c r="Q192" s="12" t="str">
        <x:v>AngelOne</x:v>
      </x:c>
    </x:row>
    <x:row r="193" ht="48" customHeight="1">
      <x:c r="A193" s="2" t="str">
        <x:v>TEN-40E88EA2F489</x:v>
      </x:c>
      <x:c r="B193" s="12" t="str">
        <x:v>Anglo eastern</x:v>
      </x:c>
      <x:c r="C193" s="12" t="str">
        <x:v>Business / brand</x:v>
      </x:c>
      <x:c r="D193" s="12" t="str">
        <x:v>Trade, consumer &amp; logistics</x:v>
      </x:c>
      <x:c r="E193" s="12" t="str">
        <x:v>Logistics, shipping &amp; transport</x:v>
      </x:c>
      <x:c r="F193" s="12" t="str">
        <x:v>Mixed business audience</x:v>
      </x:c>
      <x:c r="G193" s="12" t="str">
        <x:v>Established brand or business network; local company scale is not established. Use a mixed-business message.</x:v>
      </x:c>
      <x:c r="H193" s="11" t="n">
        <x:v>1</x:v>
      </x:c>
      <x:c r="I193" s="11" t="n">
        <x:v>4</x:v>
      </x:c>
      <x:c r="J193" s="11" t="n">
        <x:v>4</x:v>
      </x:c>
      <x:c r="K193" s="11" t="n">
        <x:v>0</x:v>
      </x:c>
      <x:c r="L193" s="17" t="n">
        <x:f>SUM(SUMIFS('Costing'!$P$9:$P$492,'Costing'!$A$9:$A$492,"MAIN-291"))</x:f>
        <x:v>160000</x:v>
      </x:c>
      <x:c r="M193" s="17" t="n">
        <x:f>ROUND(L193*'Costing'!$C$4,2)</x:f>
        <x:v>28800</x:v>
      </x:c>
      <x:c r="N193" s="17" t="n">
        <x:f>L193+M193</x:f>
        <x:v>188800</x:v>
      </x:c>
      <x:c r="O193" s="12" t="str">
        <x:v>Lucknow</x:v>
      </x:c>
      <x:c r="P193" s="12" t="str">
        <x:v>CORP-0287</x:v>
      </x:c>
      <x:c r="Q193" s="12" t="str">
        <x:v>Anglo eastern</x:v>
      </x:c>
    </x:row>
    <x:row r="194" ht="48" customHeight="1">
      <x:c r="A194" s="2" t="str">
        <x:v>TEN-1843C84A4318</x:v>
      </x:c>
      <x:c r="B194" s="12" t="str">
        <x:v>Anheuser Busch Inbev</x:v>
      </x:c>
      <x:c r="C194" s="12" t="str">
        <x:v>Business / brand</x:v>
      </x:c>
      <x:c r="D194" s="12" t="str">
        <x:v>Trade, consumer &amp; logistics</x:v>
      </x:c>
      <x:c r="E194" s="12" t="str">
        <x:v>Travel, hospitality, food &amp; beverages</x:v>
      </x:c>
      <x:c r="F194" s="12" t="str">
        <x:v>Mixed business audience</x:v>
      </x:c>
      <x:c r="G194" s="12" t="str">
        <x:v>Established brand or business network; local company scale is not established. Use a mixed-business message.</x:v>
      </x:c>
      <x:c r="H194" s="11" t="n">
        <x:v>2</x:v>
      </x:c>
      <x:c r="I194" s="11" t="n">
        <x:v>2</x:v>
      </x:c>
      <x:c r="J194" s="11" t="n">
        <x:v>2</x:v>
      </x:c>
      <x:c r="K194" s="11" t="n">
        <x:v>0</x:v>
      </x:c>
      <x:c r="L194" s="17" t="n">
        <x:f>SUM(SUMIFS('Costing'!$P$9:$P$492,'Costing'!$A$9:$A$492,"PARTNER-M241"))</x:f>
        <x:v>80000</x:v>
      </x:c>
      <x:c r="M194" s="17" t="n">
        <x:f>ROUND(L194*'Costing'!$C$4,2)</x:f>
        <x:v>14400</x:v>
      </x:c>
      <x:c r="N194" s="17" t="n">
        <x:f>L194+M194</x:f>
        <x:v>94400</x:v>
      </x:c>
      <x:c r="O194" s="12" t="str">
        <x:v>Mumbai</x:v>
      </x:c>
      <x:c r="P194" s="12" t="str">
        <x:v>CORP-0658, CORP-0659</x:v>
      </x:c>
      <x:c r="Q194" s="12" t="str">
        <x:v>Anheuser Busch Inbev</x:v>
      </x:c>
    </x:row>
    <x:row r="195" ht="48" customHeight="1">
      <x:c r="A195" s="2" t="str">
        <x:v>TEN-9CB90BDA82CB</x:v>
      </x:c>
      <x:c r="B195" s="12" t="str">
        <x:v>Anicca Data Science Solution Pvt.Ltd</x:v>
      </x:c>
      <x:c r="C195" s="12" t="str">
        <x:v>Business / brand</x:v>
      </x:c>
      <x:c r="D195" s="12" t="str">
        <x:v>IT &amp; digital</x:v>
      </x:c>
      <x:c r="E195" s="12" t="str">
        <x:v>AI, data &amp; analytics</x:v>
      </x:c>
      <x:c r="F195" s="12" t="str">
        <x:v>Small-scale prospects</x:v>
      </x:c>
      <x:c r="G195" s="12" t="str">
        <x:v>Software or technology-services business; small-scale prospect assumption.</x:v>
      </x:c>
      <x:c r="H195" s="11" t="n">
        <x:v>1</x:v>
      </x:c>
      <x:c r="I195" s="11" t="n">
        <x:v>1</x:v>
      </x:c>
      <x:c r="J195" s="11" t="n">
        <x:v>1</x:v>
      </x:c>
      <x:c r="K195" s="11" t="n">
        <x:v>0</x:v>
      </x:c>
      <x:c r="L195" s="17" t="n">
        <x:f>SUM(SUMIFS('Costing'!$P$9:$P$492,'Costing'!$A$9:$A$492,"MAIN-093"))</x:f>
        <x:v>15000</x:v>
      </x:c>
      <x:c r="M195" s="17" t="n">
        <x:f>ROUND(L195*'Costing'!$C$4,2)</x:f>
        <x:v>2700</x:v>
      </x:c>
      <x:c r="N195" s="17" t="n">
        <x:f>L195+M195</x:f>
        <x:v>17700</x:v>
      </x:c>
      <x:c r="O195" s="12" t="str">
        <x:v>Bengaluru</x:v>
      </x:c>
      <x:c r="P195" s="12" t="str">
        <x:v>CORP-0089</x:v>
      </x:c>
      <x:c r="Q195" s="12" t="str">
        <x:v>Anicca Data Science Solution Pvt.Ltd</x:v>
      </x:c>
    </x:row>
    <x:row r="196" ht="48" customHeight="1">
      <x:c r="A196" s="2" t="str">
        <x:v>TEN-B8DA2A0FAF46</x:v>
      </x:c>
      <x:c r="B196" s="12" t="str">
        <x:v>Aniket enterprises</x:v>
      </x:c>
      <x:c r="C196" s="12" t="str">
        <x:v>Business / brand</x:v>
      </x:c>
      <x:c r="D196" s="12" t="str">
        <x:v>Unresolved</x:v>
      </x:c>
      <x:c r="E196" s="12" t="str">
        <x:v>Business activity not established</x:v>
      </x:c>
      <x:c r="F196" s="12" t="str">
        <x:v>Mixed business audience</x:v>
      </x:c>
      <x:c r="G196" s="12" t="str">
        <x:v>Business activity and company scale are not established from this name.</x:v>
      </x:c>
      <x:c r="H196" s="11" t="n">
        <x:v>1</x:v>
      </x:c>
      <x:c r="I196" s="11" t="n">
        <x:v>1</x:v>
      </x:c>
      <x:c r="J196" s="11" t="n">
        <x:v>1</x:v>
      </x:c>
      <x:c r="K196" s="11" t="n">
        <x:v>0</x:v>
      </x:c>
      <x:c r="L196" s="17" t="n">
        <x:f>SUM(SUMIFS('Costing'!$P$9:$P$492,'Costing'!$A$9:$A$492,"MAIN-379"))</x:f>
        <x:v>15000</x:v>
      </x:c>
      <x:c r="M196" s="17" t="n">
        <x:f>ROUND(L196*'Costing'!$C$4,2)</x:f>
        <x:v>2700</x:v>
      </x:c>
      <x:c r="N196" s="17" t="n">
        <x:f>L196+M196</x:f>
        <x:v>17700</x:v>
      </x:c>
      <x:c r="O196" s="12" t="str">
        <x:v>Pune</x:v>
      </x:c>
      <x:c r="P196" s="12" t="str">
        <x:v>CORP-0375</x:v>
      </x:c>
      <x:c r="Q196" s="12" t="str">
        <x:v>Aniket enterprises</x:v>
      </x:c>
    </x:row>
    <x:row r="197" ht="48" customHeight="1">
      <x:c r="A197" s="2" t="str">
        <x:v>TEN-047B5C39429C</x:v>
      </x:c>
      <x:c r="B197" s="12" t="str">
        <x:v>Anish Financial Services</x:v>
      </x:c>
      <x:c r="C197" s="12" t="str">
        <x:v>Business / brand</x:v>
      </x:c>
      <x:c r="D197" s="12" t="str">
        <x:v>Finance &amp; insurance</x:v>
      </x:c>
      <x:c r="E197" s="12" t="str">
        <x:v>Financial services — specialty unverified</x:v>
      </x:c>
      <x:c r="F197" s="12" t="str">
        <x:v>Medium-scale prospects</x:v>
      </x:c>
      <x:c r="G197" s="12" t="str">
        <x:v>Specialist financial-services business; medium-scale prospect assumption.</x:v>
      </x:c>
      <x:c r="H197" s="11" t="n">
        <x:v>4</x:v>
      </x:c>
      <x:c r="I197" s="11" t="n">
        <x:v>4</x:v>
      </x:c>
      <x:c r="J197" s="11" t="n">
        <x:v>4</x:v>
      </x:c>
      <x:c r="K197" s="11" t="n">
        <x:v>0</x:v>
      </x:c>
      <x:c r="L197" s="17" t="n">
        <x:f>SUM(SUMIFS('Costing'!$P$9:$P$492,'Costing'!$A$9:$A$492,"PARTNER-M247"))</x:f>
        <x:v>160000</x:v>
      </x:c>
      <x:c r="M197" s="17" t="n">
        <x:f>ROUND(L197*'Costing'!$C$4,2)</x:f>
        <x:v>28800</x:v>
      </x:c>
      <x:c r="N197" s="17" t="n">
        <x:f>L197+M197</x:f>
        <x:v>188800</x:v>
      </x:c>
      <x:c r="O197" s="12" t="str">
        <x:v>Mumbai</x:v>
      </x:c>
      <x:c r="P197" s="12" t="str">
        <x:v>CORP-0664, CORP-0665, CORP-0666, CORP-0667</x:v>
      </x:c>
      <x:c r="Q197" s="12" t="str">
        <x:v>Anish Financial Services</x:v>
      </x:c>
    </x:row>
    <x:row r="198" ht="48" customHeight="1">
      <x:c r="A198" s="2" t="str">
        <x:v>TEN-EC11082DA4CE</x:v>
      </x:c>
      <x:c r="B198" s="12" t="str">
        <x:v>Anju Life Sciences Private Limited</x:v>
      </x:c>
      <x:c r="C198" s="12" t="str">
        <x:v>Business / brand</x:v>
      </x:c>
      <x:c r="D198" s="12" t="str">
        <x:v>Healthcare &amp; life sciences</x:v>
      </x:c>
      <x:c r="E198" s="12" t="str">
        <x:v>Pharmaceuticals, biotechnology &amp; life sciences</x:v>
      </x:c>
      <x:c r="F198" s="12" t="str">
        <x:v>Medium-scale prospects</x:v>
      </x:c>
      <x:c r="G198" s="12" t="str">
        <x:v>Specialist life-sciences business; medium-scale prospect assumption.</x:v>
      </x:c>
      <x:c r="H198" s="11" t="n">
        <x:v>1</x:v>
      </x:c>
      <x:c r="I198" s="11" t="n">
        <x:v>1</x:v>
      </x:c>
      <x:c r="J198" s="11" t="n">
        <x:v>1</x:v>
      </x:c>
      <x:c r="K198" s="11" t="n">
        <x:v>0</x:v>
      </x:c>
      <x:c r="L198" s="17" t="n">
        <x:f>SUM(SUMIFS('Costing'!$P$9:$P$492,'Costing'!$A$9:$A$492,"MAIN-409"))</x:f>
        <x:v>15000</x:v>
      </x:c>
      <x:c r="M198" s="17" t="n">
        <x:f>ROUND(L198*'Costing'!$C$4,2)</x:f>
        <x:v>2700</x:v>
      </x:c>
      <x:c r="N198" s="17" t="n">
        <x:f>L198+M198</x:f>
        <x:v>17700</x:v>
      </x:c>
      <x:c r="O198" s="12" t="str">
        <x:v>Pune</x:v>
      </x:c>
      <x:c r="P198" s="12" t="str">
        <x:v>CORP-0405</x:v>
      </x:c>
      <x:c r="Q198" s="12" t="str">
        <x:v>Anju Life Sciences Private Limited</x:v>
      </x:c>
    </x:row>
    <x:row r="199" ht="48" customHeight="1">
      <x:c r="A199" s="2" t="str">
        <x:v>TEN-223D607AEE9C</x:v>
      </x:c>
      <x:c r="B199" s="12" t="str">
        <x:v>Annalect</x:v>
      </x:c>
      <x:c r="C199" s="12" t="str">
        <x:v>Business / brand</x:v>
      </x:c>
      <x:c r="D199" s="12" t="str">
        <x:v>Professional services</x:v>
      </x:c>
      <x:c r="E199" s="12" t="str">
        <x:v>Business, marketing &amp; research services</x:v>
      </x:c>
      <x:c r="F199" s="12" t="str">
        <x:v>Mixed business audience</x:v>
      </x:c>
      <x:c r="G199" s="12" t="str">
        <x:v>Established brand or business network; local company scale is not established. Use a mixed-business message.</x:v>
      </x:c>
      <x:c r="H199" s="11" t="n">
        <x:v>5</x:v>
      </x:c>
      <x:c r="I199" s="11" t="n">
        <x:v>5</x:v>
      </x:c>
      <x:c r="J199" s="11" t="n">
        <x:v>5</x:v>
      </x:c>
      <x:c r="K199" s="11" t="n">
        <x:v>0</x:v>
      </x:c>
      <x:c r="L199" s="17" t="n">
        <x:f>SUM(SUMIFS('Costing'!$P$9:$P$492,'Costing'!$A$9:$A$492,"PARTNER-M034"))</x:f>
        <x:v>200000</x:v>
      </x:c>
      <x:c r="M199" s="17" t="n">
        <x:f>ROUND(L199*'Costing'!$C$4,2)</x:f>
        <x:v>36000</x:v>
      </x:c>
      <x:c r="N199" s="17" t="n">
        <x:f>L199+M199</x:f>
        <x:v>236000</x:v>
      </x:c>
      <x:c r="O199" s="12" t="str">
        <x:v>Bengaluru</x:v>
      </x:c>
      <x:c r="P199" s="12" t="str">
        <x:v>CORP-0452, CORP-0453, CORP-0454, CORP-0455, CORP-0456</x:v>
      </x:c>
      <x:c r="Q199" s="12" t="str">
        <x:v>Annalect</x:v>
      </x:c>
    </x:row>
    <x:row r="200" ht="48" customHeight="1">
      <x:c r="A200" s="2" t="str">
        <x:v>TEN-D4B4760000F5</x:v>
      </x:c>
      <x:c r="B200" s="12" t="str">
        <x:v>Anritsu India Pvt. Ltd</x:v>
      </x:c>
      <x:c r="C200" s="12" t="str">
        <x:v>Business / brand</x:v>
      </x:c>
      <x:c r="D200" s="12" t="str">
        <x:v>IT &amp; digital</x:v>
      </x:c>
      <x:c r="E200" s="12" t="str">
        <x:v>Telecom, networks &amp; connectivity</x:v>
      </x:c>
      <x:c r="F200" s="12" t="str">
        <x:v>Mixed business audience</x:v>
      </x:c>
      <x:c r="G200" s="12" t="str">
        <x:v>Established brand or business network; local company scale is not established. Use a mixed-business message.</x:v>
      </x:c>
      <x:c r="H200" s="11" t="n">
        <x:v>2</x:v>
      </x:c>
      <x:c r="I200" s="11" t="n">
        <x:v>6</x:v>
      </x:c>
      <x:c r="J200" s="11" t="n">
        <x:v>6</x:v>
      </x:c>
      <x:c r="K200" s="11" t="n">
        <x:v>0</x:v>
      </x:c>
      <x:c r="L200" s="17" t="n">
        <x:f>SUM(SUMIFS('Costing'!$P$9:$P$492,'Costing'!$A$9:$A$492,"MAIN-374"),SUMIFS('Costing'!$P$9:$P$492,'Costing'!$A$9:$A$492,"MAIN-375"))</x:f>
        <x:v>140000</x:v>
      </x:c>
      <x:c r="M200" s="17" t="n">
        <x:f>ROUND(L200*'Costing'!$C$4,2)</x:f>
        <x:v>25200</x:v>
      </x:c>
      <x:c r="N200" s="17" t="n">
        <x:f>L200+M200</x:f>
        <x:v>165200</x:v>
      </x:c>
      <x:c r="O200" s="12" t="str">
        <x:v>Delhi NCR</x:v>
      </x:c>
      <x:c r="P200" s="12" t="str">
        <x:v>CORP-0370, CORP-0371</x:v>
      </x:c>
      <x:c r="Q200" s="12" t="str">
        <x:v>Anritsu India Pvt. Ltd</x:v>
      </x:c>
    </x:row>
    <x:row r="201" ht="48" customHeight="1">
      <x:c r="A201" s="2" t="str">
        <x:v>TEN-F43C7B93298A</x:v>
      </x:c>
      <x:c r="B201" s="12" t="str">
        <x:v>Antares</x:v>
      </x:c>
      <x:c r="C201" s="12" t="str">
        <x:v>Business / brand</x:v>
      </x:c>
      <x:c r="D201" s="12" t="str">
        <x:v>Unresolved</x:v>
      </x:c>
      <x:c r="E201" s="12" t="str">
        <x:v>Business activity not established</x:v>
      </x:c>
      <x:c r="F201" s="12" t="str">
        <x:v>Mixed business audience</x:v>
      </x:c>
      <x:c r="G201" s="12" t="str">
        <x:v>Business activity and company scale are not established from this name.</x:v>
      </x:c>
      <x:c r="H201" s="11" t="n">
        <x:v>1</x:v>
      </x:c>
      <x:c r="I201" s="11" t="n">
        <x:v>1</x:v>
      </x:c>
      <x:c r="J201" s="11" t="n">
        <x:v>1</x:v>
      </x:c>
      <x:c r="K201" s="11" t="n">
        <x:v>0</x:v>
      </x:c>
      <x:c r="L201" s="17" t="n">
        <x:f>SUM(SUMIFS('Costing'!$P$9:$P$492,'Costing'!$A$9:$A$492,"MAIN-275"))</x:f>
        <x:v>40000</x:v>
      </x:c>
      <x:c r="M201" s="17" t="n">
        <x:f>ROUND(L201*'Costing'!$C$4,2)</x:f>
        <x:v>7200</x:v>
      </x:c>
      <x:c r="N201" s="17" t="n">
        <x:f>L201+M201</x:f>
        <x:v>47200</x:v>
      </x:c>
      <x:c r="O201" s="12" t="str">
        <x:v>Indore</x:v>
      </x:c>
      <x:c r="P201" s="12" t="str">
        <x:v>CORP-0271</x:v>
      </x:c>
      <x:c r="Q201" s="12" t="str">
        <x:v>Antares</x:v>
      </x:c>
    </x:row>
    <x:row r="202" ht="48" customHeight="1">
      <x:c r="A202" s="2" t="str">
        <x:v>TEN-80B24726F3BE</x:v>
      </x:c>
      <x:c r="B202" s="12" t="str">
        <x:v>Antontech</x:v>
      </x:c>
      <x:c r="C202" s="12" t="str">
        <x:v>Business / brand</x:v>
      </x:c>
      <x:c r="D202" s="12" t="str">
        <x:v>Unresolved</x:v>
      </x:c>
      <x:c r="E202" s="12" t="str">
        <x:v>Business activity not established</x:v>
      </x:c>
      <x:c r="F202" s="12" t="str">
        <x:v>Mixed business audience</x:v>
      </x:c>
      <x:c r="G202" s="12" t="str">
        <x:v>Business activity and company scale are not established from this name.</x:v>
      </x:c>
      <x:c r="H202" s="11" t="n">
        <x:v>1</x:v>
      </x:c>
      <x:c r="I202" s="11" t="n">
        <x:v>4</x:v>
      </x:c>
      <x:c r="J202" s="11" t="n">
        <x:v>4</x:v>
      </x:c>
      <x:c r="K202" s="11" t="n">
        <x:v>0</x:v>
      </x:c>
      <x:c r="L202" s="17" t="n">
        <x:f>SUM(SUMIFS('Costing'!$P$9:$P$492,'Costing'!$A$9:$A$492,"MAIN-151"))</x:f>
        <x:v>160000</x:v>
      </x:c>
      <x:c r="M202" s="17" t="n">
        <x:f>ROUND(L202*'Costing'!$C$4,2)</x:f>
        <x:v>28800</x:v>
      </x:c>
      <x:c r="N202" s="17" t="n">
        <x:f>L202+M202</x:f>
        <x:v>188800</x:v>
      </x:c>
      <x:c r="O202" s="12" t="str">
        <x:v>Chennai</x:v>
      </x:c>
      <x:c r="P202" s="12" t="str">
        <x:v>CORP-0147</x:v>
      </x:c>
      <x:c r="Q202" s="12" t="str">
        <x:v>Antontech</x:v>
      </x:c>
    </x:row>
    <x:row r="203" ht="48" customHeight="1">
      <x:c r="A203" s="2" t="str">
        <x:v>TEN-945F177BCC3D</x:v>
      </x:c>
      <x:c r="B203" s="12" t="str">
        <x:v>Anukoolan Solutions</x:v>
      </x:c>
      <x:c r="C203" s="12" t="str">
        <x:v>Business / brand</x:v>
      </x:c>
      <x:c r="D203" s="12" t="str">
        <x:v>Unresolved</x:v>
      </x:c>
      <x:c r="E203" s="12" t="str">
        <x:v>Business activity not established</x:v>
      </x:c>
      <x:c r="F203" s="12" t="str">
        <x:v>Mixed business audience</x:v>
      </x:c>
      <x:c r="G203" s="12" t="str">
        <x:v>Business activity and company scale are not established from this name.</x:v>
      </x:c>
      <x:c r="H203" s="11" t="n">
        <x:v>1</x:v>
      </x:c>
      <x:c r="I203" s="11" t="n">
        <x:v>1</x:v>
      </x:c>
      <x:c r="J203" s="11" t="n">
        <x:v>1</x:v>
      </x:c>
      <x:c r="K203" s="11" t="n">
        <x:v>0</x:v>
      </x:c>
      <x:c r="L203" s="17" t="n">
        <x:f>SUM(SUMIFS('Costing'!$P$9:$P$492,'Costing'!$A$9:$A$492,"MAIN-386"))</x:f>
        <x:v>15000</x:v>
      </x:c>
      <x:c r="M203" s="17" t="n">
        <x:f>ROUND(L203*'Costing'!$C$4,2)</x:f>
        <x:v>2700</x:v>
      </x:c>
      <x:c r="N203" s="17" t="n">
        <x:f>L203+M203</x:f>
        <x:v>17700</x:v>
      </x:c>
      <x:c r="O203" s="12" t="str">
        <x:v>Pune</x:v>
      </x:c>
      <x:c r="P203" s="12" t="str">
        <x:v>CORP-0382</x:v>
      </x:c>
      <x:c r="Q203" s="12" t="str">
        <x:v>Anukoolan Solutions</x:v>
      </x:c>
    </x:row>
    <x:row r="204" ht="48" customHeight="1">
      <x:c r="A204" s="2" t="str">
        <x:v>TEN-96F63367FE10</x:v>
      </x:c>
      <x:c r="B204" s="12" t="str">
        <x:v>Anurag Pandey RJ</x:v>
      </x:c>
      <x:c r="C204" s="12" t="str">
        <x:v>Person / contact unresolved</x:v>
      </x:c>
      <x:c r="D204" s="12" t="str">
        <x:v>Unresolved</x:v>
      </x:c>
      <x:c r="E204" s="12" t="str">
        <x:v>Business activity not established</x:v>
      </x:c>
      <x:c r="F204" s="12" t="str">
        <x:v>Mixed business audience</x:v>
      </x:c>
      <x:c r="G204" s="12" t="str">
        <x:v>Ambiguous directory record; use the surrounding property audience.</x:v>
      </x:c>
      <x:c r="H204" s="11" t="n">
        <x:v>1</x:v>
      </x:c>
      <x:c r="I204" s="11" t="n">
        <x:v>9</x:v>
      </x:c>
      <x:c r="J204" s="11" t="n">
        <x:v>9</x:v>
      </x:c>
      <x:c r="K204" s="11" t="n">
        <x:v>0</x:v>
      </x:c>
      <x:c r="L204" s="17" t="n">
        <x:f>SUM(SUMIFS('Costing'!$P$9:$P$492,'Costing'!$A$9:$A$492,"MAIN-326"))</x:f>
        <x:v>360000</x:v>
      </x:c>
      <x:c r="M204" s="17" t="n">
        <x:f>ROUND(L204*'Costing'!$C$4,2)</x:f>
        <x:v>64800</x:v>
      </x:c>
      <x:c r="N204" s="17" t="n">
        <x:f>L204+M204</x:f>
        <x:v>424800</x:v>
      </x:c>
      <x:c r="O204" s="12" t="str">
        <x:v>Mumbai</x:v>
      </x:c>
      <x:c r="P204" s="12" t="str">
        <x:v>CORP-0322</x:v>
      </x:c>
      <x:c r="Q204" s="12" t="str">
        <x:v>Anurag Pandey RJ</x:v>
      </x:c>
    </x:row>
    <x:row r="205" ht="48" customHeight="1">
      <x:c r="A205" s="2" t="str">
        <x:v>TEN-940CC6BFC3C4</x:v>
      </x:c>
      <x:c r="B205" s="12" t="str">
        <x:v>Anytime Fitness</x:v>
      </x:c>
      <x:c r="C205" s="12" t="str">
        <x:v>Business / brand</x:v>
      </x:c>
      <x:c r="D205" s="12" t="str">
        <x:v>Healthcare &amp; life sciences</x:v>
      </x:c>
      <x:c r="E205" s="12" t="str">
        <x:v>Mental health, wellbeing &amp; fitness</x:v>
      </x:c>
      <x:c r="F205" s="12" t="str">
        <x:v>Mixed business audience</x:v>
      </x:c>
      <x:c r="G205" s="12" t="str">
        <x:v>Established brand or business network; local company scale is not established. Use a mixed-business message.</x:v>
      </x:c>
      <x:c r="H205" s="11" t="n">
        <x:v>1</x:v>
      </x:c>
      <x:c r="I205" s="11" t="n">
        <x:v>1</x:v>
      </x:c>
      <x:c r="J205" s="11" t="n">
        <x:v>1</x:v>
      </x:c>
      <x:c r="K205" s="11" t="n">
        <x:v>0</x:v>
      </x:c>
      <x:c r="L205" s="17" t="n">
        <x:f>SUM(SUMIFS('Costing'!$P$9:$P$492,'Costing'!$A$9:$A$492,"MAIN-269"))</x:f>
        <x:v>40000</x:v>
      </x:c>
      <x:c r="M205" s="17" t="n">
        <x:f>ROUND(L205*'Costing'!$C$4,2)</x:f>
        <x:v>7200</x:v>
      </x:c>
      <x:c r="N205" s="17" t="n">
        <x:f>L205+M205</x:f>
        <x:v>47200</x:v>
      </x:c>
      <x:c r="O205" s="12" t="str">
        <x:v>Indore</x:v>
      </x:c>
      <x:c r="P205" s="12" t="str">
        <x:v>CORP-0265</x:v>
      </x:c>
      <x:c r="Q205" s="12" t="str">
        <x:v>Anytime Fitness</x:v>
      </x:c>
    </x:row>
    <x:row r="206" ht="48" customHeight="1">
      <x:c r="A206" s="2" t="str">
        <x:v>TEN-4E5B2E7D6119</x:v>
      </x:c>
      <x:c r="B206" s="12" t="str">
        <x:v>ANZ</x:v>
      </x:c>
      <x:c r="C206" s="12" t="str">
        <x:v>Business / brand</x:v>
      </x:c>
      <x:c r="D206" s="12" t="str">
        <x:v>Finance &amp; insurance</x:v>
      </x:c>
      <x:c r="E206" s="12" t="str">
        <x:v>Financial services — specialty unverified</x:v>
      </x:c>
      <x:c r="F206" s="12" t="str">
        <x:v>Mixed business audience</x:v>
      </x:c>
      <x:c r="G206" s="12" t="str">
        <x:v>Recognisable business context; company-scale evidence remains insufficient for a single size band.</x:v>
      </x:c>
      <x:c r="H206" s="11" t="n">
        <x:v>5</x:v>
      </x:c>
      <x:c r="I206" s="11" t="n">
        <x:v>5</x:v>
      </x:c>
      <x:c r="J206" s="11" t="n">
        <x:v>5</x:v>
      </x:c>
      <x:c r="K206" s="11" t="n">
        <x:v>0</x:v>
      </x:c>
      <x:c r="L206" s="17" t="n">
        <x:f>SUM(SUMIFS('Costing'!$P$9:$P$492,'Costing'!$A$9:$A$492,"PARTNER-M051"))</x:f>
        <x:v>200000</x:v>
      </x:c>
      <x:c r="M206" s="17" t="n">
        <x:f>ROUND(L206*'Costing'!$C$4,2)</x:f>
        <x:v>36000</x:v>
      </x:c>
      <x:c r="N206" s="17" t="n">
        <x:f>L206+M206</x:f>
        <x:v>236000</x:v>
      </x:c>
      <x:c r="O206" s="12" t="str">
        <x:v>Bengaluru</x:v>
      </x:c>
      <x:c r="P206" s="12" t="str">
        <x:v>CORP-0469, CORP-0470, CORP-0471, CORP-0472, CORP-0473</x:v>
      </x:c>
      <x:c r="Q206" s="12" t="str">
        <x:v>ANZ</x:v>
      </x:c>
    </x:row>
    <x:row r="207" ht="48" customHeight="1">
      <x:c r="A207" s="2" t="str">
        <x:v>TEN-1C20B1A4BABD</x:v>
      </x:c>
      <x:c r="B207" s="12" t="str">
        <x:v>Apollo Corporate Office Bangalore</x:v>
      </x:c>
      <x:c r="C207" s="12" t="str">
        <x:v>Business / brand</x:v>
      </x:c>
      <x:c r="D207" s="12" t="str">
        <x:v>Unresolved</x:v>
      </x:c>
      <x:c r="E207" s="12" t="str">
        <x:v>Business activity not established</x:v>
      </x:c>
      <x:c r="F207" s="12" t="str">
        <x:v>Mixed business audience</x:v>
      </x:c>
      <x:c r="G207" s="12" t="str">
        <x:v>Business activity and company scale are not established from this name.</x:v>
      </x:c>
      <x:c r="H207" s="11" t="n">
        <x:v>1</x:v>
      </x:c>
      <x:c r="I207" s="11" t="n">
        <x:v>4</x:v>
      </x:c>
      <x:c r="J207" s="11" t="n">
        <x:v>4</x:v>
      </x:c>
      <x:c r="K207" s="11" t="n">
        <x:v>0</x:v>
      </x:c>
      <x:c r="L207" s="17" t="n">
        <x:f>SUM(SUMIFS('Costing'!$P$9:$P$492,'Costing'!$A$9:$A$492,"MAIN-115"))</x:f>
        <x:v>100000</x:v>
      </x:c>
      <x:c r="M207" s="17" t="n">
        <x:f>ROUND(L207*'Costing'!$C$4,2)</x:f>
        <x:v>18000</x:v>
      </x:c>
      <x:c r="N207" s="17" t="n">
        <x:f>L207+M207</x:f>
        <x:v>118000</x:v>
      </x:c>
      <x:c r="O207" s="12" t="str">
        <x:v>Bengaluru</x:v>
      </x:c>
      <x:c r="P207" s="12" t="str">
        <x:v>CORP-0111</x:v>
      </x:c>
      <x:c r="Q207" s="12" t="str">
        <x:v>Apollo Corporate Office Bangalore</x:v>
      </x:c>
    </x:row>
    <x:row r="208" ht="48" customHeight="1">
      <x:c r="A208" s="2" t="str">
        <x:v>TEN-621F0FBC68F3</x:v>
      </x:c>
      <x:c r="B208" s="12" t="str">
        <x:v>Apollo Dental</x:v>
      </x:c>
      <x:c r="C208" s="12" t="str">
        <x:v>Business / brand</x:v>
      </x:c>
      <x:c r="D208" s="12" t="str">
        <x:v>Healthcare &amp; life sciences</x:v>
      </x:c>
      <x:c r="E208" s="12" t="str">
        <x:v>Clinical, medical &amp; diagnostic services</x:v>
      </x:c>
      <x:c r="F208" s="12" t="str">
        <x:v>Mixed business audience</x:v>
      </x:c>
      <x:c r="G208" s="12" t="str">
        <x:v>Recognisable business context; company-scale evidence remains insufficient for a single size band.</x:v>
      </x:c>
      <x:c r="H208" s="11" t="n">
        <x:v>1</x:v>
      </x:c>
      <x:c r="I208" s="11" t="n">
        <x:v>2</x:v>
      </x:c>
      <x:c r="J208" s="11" t="n">
        <x:v>2</x:v>
      </x:c>
      <x:c r="K208" s="11" t="n">
        <x:v>0</x:v>
      </x:c>
      <x:c r="L208" s="17" t="n">
        <x:f>SUM(SUMIFS('Costing'!$P$9:$P$492,'Costing'!$A$9:$A$492,"MAIN-267"))</x:f>
        <x:v>40000</x:v>
      </x:c>
      <x:c r="M208" s="17" t="n">
        <x:f>ROUND(L208*'Costing'!$C$4,2)</x:f>
        <x:v>7200</x:v>
      </x:c>
      <x:c r="N208" s="17" t="n">
        <x:f>L208+M208</x:f>
        <x:v>47200</x:v>
      </x:c>
      <x:c r="O208" s="12" t="str">
        <x:v>Indore</x:v>
      </x:c>
      <x:c r="P208" s="12" t="str">
        <x:v>CORP-0263</x:v>
      </x:c>
      <x:c r="Q208" s="12" t="str">
        <x:v>Apollo Dental</x:v>
      </x:c>
    </x:row>
    <x:row r="209" ht="48" customHeight="1">
      <x:c r="A209" s="2" t="str">
        <x:v>TEN-839DEB3142C5</x:v>
      </x:c>
      <x:c r="B209" s="12" t="str">
        <x:v>Apollo Tyres Ltd</x:v>
      </x:c>
      <x:c r="C209" s="12" t="str">
        <x:v>Business / brand</x:v>
      </x:c>
      <x:c r="D209" s="12" t="str">
        <x:v>Engineering &amp; manufacturing</x:v>
      </x:c>
      <x:c r="E209" s="12" t="str">
        <x:v>Automotive, mobility &amp; aerospace</x:v>
      </x:c>
      <x:c r="F209" s="12" t="str">
        <x:v>Mixed business audience</x:v>
      </x:c>
      <x:c r="G209" s="12" t="str">
        <x:v>Recognisable business context; company-scale evidence remains insufficient for a single size band.</x:v>
      </x:c>
      <x:c r="H209" s="11" t="n">
        <x:v>1</x:v>
      </x:c>
      <x:c r="I209" s="11" t="n">
        <x:v>2</x:v>
      </x:c>
      <x:c r="J209" s="11" t="n">
        <x:v>2</x:v>
      </x:c>
      <x:c r="K209" s="11" t="n">
        <x:v>0</x:v>
      </x:c>
      <x:c r="L209" s="17" t="n">
        <x:f>SUM(SUMIFS('Costing'!$P$9:$P$492,'Costing'!$A$9:$A$492,"MAIN-268"))</x:f>
        <x:v>80000</x:v>
      </x:c>
      <x:c r="M209" s="17" t="n">
        <x:f>ROUND(L209*'Costing'!$C$4,2)</x:f>
        <x:v>14400</x:v>
      </x:c>
      <x:c r="N209" s="17" t="n">
        <x:f>L209+M209</x:f>
        <x:v>94400</x:v>
      </x:c>
      <x:c r="O209" s="12" t="str">
        <x:v>Indore</x:v>
      </x:c>
      <x:c r="P209" s="12" t="str">
        <x:v>CORP-0264</x:v>
      </x:c>
      <x:c r="Q209" s="12" t="str">
        <x:v>Apollo Tyres Ltd</x:v>
      </x:c>
    </x:row>
    <x:row r="210" ht="48" customHeight="1">
      <x:c r="A210" s="2" t="str">
        <x:v>TEN-1CAE3150CD93</x:v>
      </x:c>
      <x:c r="B210" s="12" t="str">
        <x:v>App Sphere Softwares</x:v>
      </x:c>
      <x:c r="C210" s="12" t="str">
        <x:v>Business / brand</x:v>
      </x:c>
      <x:c r="D210" s="12" t="str">
        <x:v>IT &amp; digital</x:v>
      </x:c>
      <x:c r="E210" s="12" t="str">
        <x:v>Enterprise software &amp; digital engineering</x:v>
      </x:c>
      <x:c r="F210" s="12" t="str">
        <x:v>Small-scale prospects</x:v>
      </x:c>
      <x:c r="G210" s="12" t="str">
        <x:v>Software or technology-services business; small-scale prospect assumption.</x:v>
      </x:c>
      <x:c r="H210" s="11" t="n">
        <x:v>1</x:v>
      </x:c>
      <x:c r="I210" s="11" t="n">
        <x:v>2</x:v>
      </x:c>
      <x:c r="J210" s="11" t="n">
        <x:v>2</x:v>
      </x:c>
      <x:c r="K210" s="11" t="n">
        <x:v>0</x:v>
      </x:c>
      <x:c r="L210" s="17" t="n">
        <x:f>SUM(SUMIFS('Costing'!$P$9:$P$492,'Costing'!$A$9:$A$492,"MAIN-267"))</x:f>
        <x:v>40000</x:v>
      </x:c>
      <x:c r="M210" s="17" t="n">
        <x:f>ROUND(L210*'Costing'!$C$4,2)</x:f>
        <x:v>7200</x:v>
      </x:c>
      <x:c r="N210" s="17" t="n">
        <x:f>L210+M210</x:f>
        <x:v>47200</x:v>
      </x:c>
      <x:c r="O210" s="12" t="str">
        <x:v>Indore</x:v>
      </x:c>
      <x:c r="P210" s="12" t="str">
        <x:v>CORP-0263</x:v>
      </x:c>
      <x:c r="Q210" s="12" t="str">
        <x:v>App Sphere Softwares</x:v>
      </x:c>
    </x:row>
    <x:row r="211" ht="48" customHeight="1">
      <x:c r="A211" s="2" t="str">
        <x:v>TEN-37A9A152C42F</x:v>
      </x:c>
      <x:c r="B211" s="12" t="str">
        <x:v>AppDirect</x:v>
      </x:c>
      <x:c r="C211" s="12" t="str">
        <x:v>Business / brand</x:v>
      </x:c>
      <x:c r="D211" s="12" t="str">
        <x:v>IT &amp; digital</x:v>
      </x:c>
      <x:c r="E211" s="12" t="str">
        <x:v>Enterprise software &amp; digital engineering</x:v>
      </x:c>
      <x:c r="F211" s="12" t="str">
        <x:v>Mixed business audience</x:v>
      </x:c>
      <x:c r="G211" s="12" t="str">
        <x:v>Established brand or business network; local company scale is not established. Use a mixed-business message.</x:v>
      </x:c>
      <x:c r="H211" s="11" t="n">
        <x:v>9</x:v>
      </x:c>
      <x:c r="I211" s="11" t="n">
        <x:v>9</x:v>
      </x:c>
      <x:c r="J211" s="11" t="n">
        <x:v>9</x:v>
      </x:c>
      <x:c r="K211" s="11" t="n">
        <x:v>0</x:v>
      </x:c>
      <x:c r="L211" s="17" t="n">
        <x:f>SUM(SUMIFS('Costing'!$P$9:$P$492,'Costing'!$A$9:$A$492,"PARTNER-M252"))</x:f>
        <x:v>360000</x:v>
      </x:c>
      <x:c r="M211" s="17" t="n">
        <x:f>ROUND(L211*'Costing'!$C$4,2)</x:f>
        <x:v>64800</x:v>
      </x:c>
      <x:c r="N211" s="17" t="n">
        <x:f>L211+M211</x:f>
        <x:v>424800</x:v>
      </x:c>
      <x:c r="O211" s="12" t="str">
        <x:v>Pune</x:v>
      </x:c>
      <x:c r="P211" s="12" t="str">
        <x:v>CORP-0668, CORP-0669, CORP-0670, CORP-0671, CORP-0672, CORP-0673, CORP-0674, CORP-0675, CORP-0676</x:v>
      </x:c>
      <x:c r="Q211" s="12" t="str">
        <x:v>AppDirect</x:v>
      </x:c>
    </x:row>
    <x:row r="212" ht="48" customHeight="1">
      <x:c r="A212" s="2" t="str">
        <x:v>TEN-605FBFDF4C2C</x:v>
      </x:c>
      <x:c r="B212" s="12" t="str">
        <x:v>Apple Development Center</x:v>
      </x:c>
      <x:c r="C212" s="12" t="str">
        <x:v>Business / brand</x:v>
      </x:c>
      <x:c r="D212" s="12" t="str">
        <x:v>IT &amp; digital</x:v>
      </x:c>
      <x:c r="E212" s="12" t="str">
        <x:v>Enterprise software &amp; digital engineering</x:v>
      </x:c>
      <x:c r="F212" s="12" t="str">
        <x:v>Mixed business audience</x:v>
      </x:c>
      <x:c r="G212" s="12" t="str">
        <x:v>Established brand or business network; local company scale is not established. Use a mixed-business message.</x:v>
      </x:c>
      <x:c r="H212" s="11" t="n">
        <x:v>8</x:v>
      </x:c>
      <x:c r="I212" s="11" t="n">
        <x:v>8</x:v>
      </x:c>
      <x:c r="J212" s="11" t="n">
        <x:v>8</x:v>
      </x:c>
      <x:c r="K212" s="11" t="n">
        <x:v>0</x:v>
      </x:c>
      <x:c r="L212" s="17" t="n">
        <x:f>SUM(SUMIFS('Costing'!$P$9:$P$492,'Costing'!$A$9:$A$492,"PARTNER-M300"))</x:f>
        <x:v>320000</x:v>
      </x:c>
      <x:c r="M212" s="17" t="n">
        <x:f>ROUND(L212*'Costing'!$C$4,2)</x:f>
        <x:v>57600</x:v>
      </x:c>
      <x:c r="N212" s="17" t="n">
        <x:f>L212+M212</x:f>
        <x:v>377600</x:v>
      </x:c>
      <x:c r="O212" s="12" t="str">
        <x:v>Hyderabad</x:v>
      </x:c>
      <x:c r="P212" s="12" t="str">
        <x:v>CORP-0715, CORP-0716, CORP-0717, CORP-0718, CORP-0719, CORP-0720, CORP-0721, CORP-0722</x:v>
      </x:c>
      <x:c r="Q212" s="12" t="str">
        <x:v>Apple Development Center</x:v>
      </x:c>
    </x:row>
    <x:row r="213" ht="48" customHeight="1">
      <x:c r="A213" s="2" t="str">
        <x:v>TEN-0A41DF50FB75</x:v>
      </x:c>
      <x:c r="B213" s="12" t="str">
        <x:v>APPLE INFOSYS</x:v>
      </x:c>
      <x:c r="C213" s="12" t="str">
        <x:v>Identity unresolved</x:v>
      </x:c>
      <x:c r="D213" s="12" t="str">
        <x:v>Unresolved</x:v>
      </x:c>
      <x:c r="E213" s="12" t="str">
        <x:v>Business activity not established</x:v>
      </x:c>
      <x:c r="F213" s="12" t="str">
        <x:v>Mixed business audience</x:v>
      </x:c>
      <x:c r="G213" s="12" t="str">
        <x:v>Ambiguous directory record; use the surrounding property audience.</x:v>
      </x:c>
      <x:c r="H213" s="11" t="n">
        <x:v>8</x:v>
      </x:c>
      <x:c r="I213" s="11" t="n">
        <x:v>8</x:v>
      </x:c>
      <x:c r="J213" s="11" t="n">
        <x:v>8</x:v>
      </x:c>
      <x:c r="K213" s="11" t="n">
        <x:v>0</x:v>
      </x:c>
      <x:c r="L213" s="17" t="n">
        <x:f>SUM(SUMIFS('Costing'!$P$9:$P$492,'Costing'!$A$9:$A$492,"PARTNER-M300"))</x:f>
        <x:v>320000</x:v>
      </x:c>
      <x:c r="M213" s="17" t="n">
        <x:f>ROUND(L213*'Costing'!$C$4,2)</x:f>
        <x:v>57600</x:v>
      </x:c>
      <x:c r="N213" s="17" t="n">
        <x:f>L213+M213</x:f>
        <x:v>377600</x:v>
      </x:c>
      <x:c r="O213" s="12" t="str">
        <x:v>Hyderabad</x:v>
      </x:c>
      <x:c r="P213" s="12" t="str">
        <x:v>CORP-0715, CORP-0716, CORP-0717, CORP-0718, CORP-0719, CORP-0720, CORP-0721, CORP-0722</x:v>
      </x:c>
      <x:c r="Q213" s="12" t="str">
        <x:v>APPLE INFOSYS</x:v>
      </x:c>
    </x:row>
    <x:row r="214" ht="48" customHeight="1">
      <x:c r="A214" s="2" t="str">
        <x:v>TEN-C37E3D3636A0</x:v>
      </x:c>
      <x:c r="B214" s="12" t="str">
        <x:v>Applied Information Sciences India</x:v>
      </x:c>
      <x:c r="C214" s="12" t="str">
        <x:v>Business / brand</x:v>
      </x:c>
      <x:c r="D214" s="12" t="str">
        <x:v>IT &amp; digital</x:v>
      </x:c>
      <x:c r="E214" s="12" t="str">
        <x:v>Enterprise software &amp; digital engineering</x:v>
      </x:c>
      <x:c r="F214" s="12" t="str">
        <x:v>Small-scale prospects</x:v>
      </x:c>
      <x:c r="G214" s="12" t="str">
        <x:v>Software or technology-services business; small-scale prospect assumption.</x:v>
      </x:c>
      <x:c r="H214" s="11" t="n">
        <x:v>3</x:v>
      </x:c>
      <x:c r="I214" s="11" t="n">
        <x:v>3</x:v>
      </x:c>
      <x:c r="J214" s="11" t="n">
        <x:v>3</x:v>
      </x:c>
      <x:c r="K214" s="11" t="n">
        <x:v>0</x:v>
      </x:c>
      <x:c r="L214" s="17" t="n">
        <x:f>SUM(SUMIFS('Costing'!$P$9:$P$492,'Costing'!$A$9:$A$492,"PARTNER-M067"))</x:f>
        <x:v>120000</x:v>
      </x:c>
      <x:c r="M214" s="17" t="n">
        <x:f>ROUND(L214*'Costing'!$C$4,2)</x:f>
        <x:v>21600</x:v>
      </x:c>
      <x:c r="N214" s="17" t="n">
        <x:f>L214+M214</x:f>
        <x:v>141600</x:v>
      </x:c>
      <x:c r="O214" s="12" t="str">
        <x:v>Bengaluru</x:v>
      </x:c>
      <x:c r="P214" s="12" t="str">
        <x:v>CORP-0485, CORP-0486, CORP-0487</x:v>
      </x:c>
      <x:c r="Q214" s="12" t="str">
        <x:v>Applied Information Sciences India</x:v>
      </x:c>
    </x:row>
    <x:row r="215" ht="48" customHeight="1">
      <x:c r="A215" s="2" t="str">
        <x:v>TEN-E1F279A6A033</x:v>
      </x:c>
      <x:c r="B215" s="12" t="str">
        <x:v>Applied Materials</x:v>
      </x:c>
      <x:c r="C215" s="12" t="str">
        <x:v>Business / brand</x:v>
      </x:c>
      <x:c r="D215" s="12" t="str">
        <x:v>Engineering &amp; manufacturing</x:v>
      </x:c>
      <x:c r="E215" s="12" t="str">
        <x:v>Semiconductors, electronics &amp; equipment</x:v>
      </x:c>
      <x:c r="F215" s="12" t="str">
        <x:v>Mixed business audience</x:v>
      </x:c>
      <x:c r="G215" s="12" t="str">
        <x:v>Established brand or business network; local company scale is not established. Use a mixed-business message.</x:v>
      </x:c>
      <x:c r="H215" s="11" t="n">
        <x:v>9</x:v>
      </x:c>
      <x:c r="I215" s="11" t="n">
        <x:v>9</x:v>
      </x:c>
      <x:c r="J215" s="11" t="n">
        <x:v>9</x:v>
      </x:c>
      <x:c r="K215" s="11" t="n">
        <x:v>0</x:v>
      </x:c>
      <x:c r="L215" s="17" t="n">
        <x:f>SUM(SUMIFS('Costing'!$P$9:$P$492,'Costing'!$A$9:$A$492,"PARTNER-M002"))</x:f>
        <x:v>360000</x:v>
      </x:c>
      <x:c r="M215" s="17" t="n">
        <x:f>ROUND(L215*'Costing'!$C$4,2)</x:f>
        <x:v>64800</x:v>
      </x:c>
      <x:c r="N215" s="17" t="n">
        <x:f>L215+M215</x:f>
        <x:v>424800</x:v>
      </x:c>
      <x:c r="O215" s="12" t="str">
        <x:v>Bengaluru</x:v>
      </x:c>
      <x:c r="P215" s="12" t="str">
        <x:v>CORP-0420, CORP-0421, CORP-0422, CORP-0423, CORP-0424, CORP-0425, CORP-0426, CORP-0427, CORP-0428</x:v>
      </x:c>
      <x:c r="Q215" s="12" t="str">
        <x:v>Applied Materials</x:v>
      </x:c>
    </x:row>
    <x:row r="216" ht="48" customHeight="1">
      <x:c r="A216" s="2" t="str">
        <x:v>TEN-288E47F6ADE1</x:v>
      </x:c>
      <x:c r="B216" s="12" t="str">
        <x:v>AppStars</x:v>
      </x:c>
      <x:c r="C216" s="12" t="str">
        <x:v>Business / brand</x:v>
      </x:c>
      <x:c r="D216" s="12" t="str">
        <x:v>Unresolved</x:v>
      </x:c>
      <x:c r="E216" s="12" t="str">
        <x:v>Business activity not established</x:v>
      </x:c>
      <x:c r="F216" s="12" t="str">
        <x:v>Mixed business audience</x:v>
      </x:c>
      <x:c r="G216" s="12" t="str">
        <x:v>Business activity and company scale are not established from this name.</x:v>
      </x:c>
      <x:c r="H216" s="11" t="n">
        <x:v>2</x:v>
      </x:c>
      <x:c r="I216" s="11" t="n">
        <x:v>2</x:v>
      </x:c>
      <x:c r="J216" s="11" t="n">
        <x:v>2</x:v>
      </x:c>
      <x:c r="K216" s="11" t="n">
        <x:v>0</x:v>
      </x:c>
      <x:c r="L216" s="17" t="n">
        <x:f>SUM(SUMIFS('Costing'!$P$9:$P$492,'Costing'!$A$9:$A$492,"PARTNER-M332"))</x:f>
        <x:v>80000</x:v>
      </x:c>
      <x:c r="M216" s="17" t="n">
        <x:f>ROUND(L216*'Costing'!$C$4,2)</x:f>
        <x:v>14400</x:v>
      </x:c>
      <x:c r="N216" s="17" t="n">
        <x:f>L216+M216</x:f>
        <x:v>94400</x:v>
      </x:c>
      <x:c r="O216" s="12" t="str">
        <x:v>Chennai</x:v>
      </x:c>
      <x:c r="P216" s="12" t="str">
        <x:v>CORP-0746, CORP-0747</x:v>
      </x:c>
      <x:c r="Q216" s="12" t="str">
        <x:v>AppStars</x:v>
      </x:c>
    </x:row>
    <x:row r="217" ht="48" customHeight="1">
      <x:c r="A217" s="2" t="str">
        <x:v>TEN-ED8AA4B2E058</x:v>
      </x:c>
      <x:c r="B217" s="12" t="str">
        <x:v>Appstek Solutions</x:v>
      </x:c>
      <x:c r="C217" s="12" t="str">
        <x:v>Business / brand</x:v>
      </x:c>
      <x:c r="D217" s="12" t="str">
        <x:v>IT &amp; digital</x:v>
      </x:c>
      <x:c r="E217" s="12" t="str">
        <x:v>Enterprise software &amp; digital engineering</x:v>
      </x:c>
      <x:c r="F217" s="12" t="str">
        <x:v>Small-scale prospects</x:v>
      </x:c>
      <x:c r="G217" s="12" t="str">
        <x:v>Software or technology-services business; small-scale prospect assumption.</x:v>
      </x:c>
      <x:c r="H217" s="11" t="n">
        <x:v>7</x:v>
      </x:c>
      <x:c r="I217" s="11" t="n">
        <x:v>7</x:v>
      </x:c>
      <x:c r="J217" s="11" t="n">
        <x:v>7</x:v>
      </x:c>
      <x:c r="K217" s="11" t="n">
        <x:v>0</x:v>
      </x:c>
      <x:c r="L217" s="17" t="n">
        <x:f>SUM(SUMIFS('Costing'!$P$9:$P$492,'Costing'!$A$9:$A$492,"PARTNER-M317"))</x:f>
        <x:v>280000</x:v>
      </x:c>
      <x:c r="M217" s="17" t="n">
        <x:f>ROUND(L217*'Costing'!$C$4,2)</x:f>
        <x:v>50400</x:v>
      </x:c>
      <x:c r="N217" s="17" t="n">
        <x:f>L217+M217</x:f>
        <x:v>330400</x:v>
      </x:c>
      <x:c r="O217" s="12" t="str">
        <x:v>Hyderabad</x:v>
      </x:c>
      <x:c r="P217" s="12" t="str">
        <x:v>CORP-0732, CORP-0733, CORP-0734, CORP-0735, CORP-0736, CORP-0737, CORP-0738</x:v>
      </x:c>
      <x:c r="Q217" s="12" t="str">
        <x:v>Appstek Solutions</x:v>
      </x:c>
    </x:row>
    <x:row r="218" ht="48" customHeight="1">
      <x:c r="A218" s="2" t="str">
        <x:v>TEN-DE9CFA8F9BF3</x:v>
      </x:c>
      <x:c r="B218" s="12" t="str">
        <x:v>Apptrove</x:v>
      </x:c>
      <x:c r="C218" s="12" t="str">
        <x:v>Business / brand</x:v>
      </x:c>
      <x:c r="D218" s="12" t="str">
        <x:v>IT &amp; digital</x:v>
      </x:c>
      <x:c r="E218" s="12" t="str">
        <x:v>Enterprise software &amp; digital engineering</x:v>
      </x:c>
      <x:c r="F218" s="12" t="str">
        <x:v>Small-scale prospects</x:v>
      </x:c>
      <x:c r="G218" s="12" t="str">
        <x:v>Software or technology-services business; small-scale prospect assumption.</x:v>
      </x:c>
      <x:c r="H218" s="11" t="n">
        <x:v>5</x:v>
      </x:c>
      <x:c r="I218" s="11" t="n">
        <x:v>5</x:v>
      </x:c>
      <x:c r="J218" s="11" t="n">
        <x:v>5</x:v>
      </x:c>
      <x:c r="K218" s="11" t="n">
        <x:v>0</x:v>
      </x:c>
      <x:c r="L218" s="17" t="n">
        <x:f>SUM(SUMIFS('Costing'!$P$9:$P$492,'Costing'!$A$9:$A$492,"PARTNER-M379"))</x:f>
        <x:v>200000</x:v>
      </x:c>
      <x:c r="M218" s="17" t="n">
        <x:f>ROUND(L218*'Costing'!$C$4,2)</x:f>
        <x:v>36000</x:v>
      </x:c>
      <x:c r="N218" s="17" t="n">
        <x:f>L218+M218</x:f>
        <x:v>236000</x:v>
      </x:c>
      <x:c r="O218" s="12" t="str">
        <x:v>Delhi NCR</x:v>
      </x:c>
      <x:c r="P218" s="12" t="str">
        <x:v>CORP-0792, CORP-0793, CORP-0794, CORP-0795, CORP-0796</x:v>
      </x:c>
      <x:c r="Q218" s="12" t="str">
        <x:v>Apptrove</x:v>
      </x:c>
    </x:row>
    <x:row r="219" ht="48" customHeight="1">
      <x:c r="A219" s="2" t="str">
        <x:v>TEN-FD35A90C9F34</x:v>
      </x:c>
      <x:c r="B219" s="12" t="str">
        <x:v>AppTweak India</x:v>
      </x:c>
      <x:c r="C219" s="12" t="str">
        <x:v>Business / brand</x:v>
      </x:c>
      <x:c r="D219" s="12" t="str">
        <x:v>IT &amp; digital</x:v>
      </x:c>
      <x:c r="E219" s="12" t="str">
        <x:v>Enterprise software &amp; digital engineering</x:v>
      </x:c>
      <x:c r="F219" s="12" t="str">
        <x:v>Small-scale prospects</x:v>
      </x:c>
      <x:c r="G219" s="12" t="str">
        <x:v>Software or technology-services business; small-scale prospect assumption.</x:v>
      </x:c>
      <x:c r="H219" s="11" t="n">
        <x:v>1</x:v>
      </x:c>
      <x:c r="I219" s="11" t="n">
        <x:v>5</x:v>
      </x:c>
      <x:c r="J219" s="11" t="n">
        <x:v>5</x:v>
      </x:c>
      <x:c r="K219" s="11" t="n">
        <x:v>0</x:v>
      </x:c>
      <x:c r="L219" s="17" t="n">
        <x:f>SUM(SUMIFS('Costing'!$P$9:$P$492,'Costing'!$A$9:$A$492,"MAIN-119"))</x:f>
        <x:v>125000</x:v>
      </x:c>
      <x:c r="M219" s="17" t="n">
        <x:f>ROUND(L219*'Costing'!$C$4,2)</x:f>
        <x:v>22500</x:v>
      </x:c>
      <x:c r="N219" s="17" t="n">
        <x:f>L219+M219</x:f>
        <x:v>147500</x:v>
      </x:c>
      <x:c r="O219" s="12" t="str">
        <x:v>Bengaluru</x:v>
      </x:c>
      <x:c r="P219" s="12" t="str">
        <x:v>CORP-0115</x:v>
      </x:c>
      <x:c r="Q219" s="12" t="str">
        <x:v>AppTweak India</x:v>
      </x:c>
    </x:row>
    <x:row r="220" ht="48" customHeight="1">
      <x:c r="A220" s="2" t="str">
        <x:v>TEN-D83FDFEE4416</x:v>
      </x:c>
      <x:c r="B220" s="12" t="str">
        <x:v>Aptify</x:v>
      </x:c>
      <x:c r="C220" s="12" t="str">
        <x:v>Business / brand</x:v>
      </x:c>
      <x:c r="D220" s="12" t="str">
        <x:v>IT &amp; digital</x:v>
      </x:c>
      <x:c r="E220" s="12" t="str">
        <x:v>Enterprise software &amp; digital engineering</x:v>
      </x:c>
      <x:c r="F220" s="12" t="str">
        <x:v>Mixed business audience</x:v>
      </x:c>
      <x:c r="G220" s="12" t="str">
        <x:v>Established brand or business network; local company scale is not established. Use a mixed-business message.</x:v>
      </x:c>
      <x:c r="H220" s="11" t="n">
        <x:v>1</x:v>
      </x:c>
      <x:c r="I220" s="11" t="n">
        <x:v>2</x:v>
      </x:c>
      <x:c r="J220" s="11" t="n">
        <x:v>2</x:v>
      </x:c>
      <x:c r="K220" s="11" t="n">
        <x:v>0</x:v>
      </x:c>
      <x:c r="L220" s="17" t="n">
        <x:f>SUM(SUMIFS('Costing'!$P$9:$P$492,'Costing'!$A$9:$A$492,"MAIN-413"))</x:f>
        <x:v>80000</x:v>
      </x:c>
      <x:c r="M220" s="17" t="n">
        <x:f>ROUND(L220*'Costing'!$C$4,2)</x:f>
        <x:v>14400</x:v>
      </x:c>
      <x:c r="N220" s="17" t="n">
        <x:f>L220+M220</x:f>
        <x:v>94400</x:v>
      </x:c>
      <x:c r="O220" s="12" t="str">
        <x:v>Pune</x:v>
      </x:c>
      <x:c r="P220" s="12" t="str">
        <x:v>CORP-0409</x:v>
      </x:c>
      <x:c r="Q220" s="12" t="str">
        <x:v>Aptify</x:v>
      </x:c>
    </x:row>
    <x:row r="221" ht="48" customHeight="1">
      <x:c r="A221" s="2" t="str">
        <x:v>TEN-1A32A2EA27AE</x:v>
      </x:c>
      <x:c r="B221" s="12" t="str">
        <x:v>Aptos India Private Limited</x:v>
      </x:c>
      <x:c r="C221" s="12" t="str">
        <x:v>Business / brand</x:v>
      </x:c>
      <x:c r="D221" s="12" t="str">
        <x:v>IT &amp; digital</x:v>
      </x:c>
      <x:c r="E221" s="12" t="str">
        <x:v>Enterprise software &amp; digital engineering</x:v>
      </x:c>
      <x:c r="F221" s="12" t="str">
        <x:v>Mixed business audience</x:v>
      </x:c>
      <x:c r="G221" s="12" t="str">
        <x:v>Recognisable business context; company-scale evidence remains insufficient for a single size band.</x:v>
      </x:c>
      <x:c r="H221" s="11" t="n">
        <x:v>10</x:v>
      </x:c>
      <x:c r="I221" s="11" t="n">
        <x:v>10</x:v>
      </x:c>
      <x:c r="J221" s="11" t="n">
        <x:v>10</x:v>
      </x:c>
      <x:c r="K221" s="11" t="n">
        <x:v>0</x:v>
      </x:c>
      <x:c r="L221" s="17" t="n">
        <x:f>SUM(SUMIFS('Costing'!$P$9:$P$492,'Costing'!$A$9:$A$492,"PARTNER-M014"))</x:f>
        <x:v>400000</x:v>
      </x:c>
      <x:c r="M221" s="17" t="n">
        <x:f>ROUND(L221*'Costing'!$C$4,2)</x:f>
        <x:v>72000</x:v>
      </x:c>
      <x:c r="N221" s="17" t="n">
        <x:f>L221+M221</x:f>
        <x:v>472000</x:v>
      </x:c>
      <x:c r="O221" s="12" t="str">
        <x:v>Bengaluru</x:v>
      </x:c>
      <x:c r="P221" s="12" t="str">
        <x:v>CORP-0432, CORP-0433, CORP-0434, CORP-0435, CORP-0436, CORP-0437, CORP-0438, CORP-0439, CORP-0440, CORP-0441</x:v>
      </x:c>
      <x:c r="Q221" s="12" t="str">
        <x:v>Aptos India Private Limited</x:v>
      </x:c>
    </x:row>
    <x:row r="222" ht="48" customHeight="1">
      <x:c r="A222" s="2" t="str">
        <x:v>TEN-9B7F5525854D</x:v>
      </x:c>
      <x:c r="B222" s="12" t="str">
        <x:v>AQUANTIA SEMICONDUCTOR INDIA PVT LTD</x:v>
      </x:c>
      <x:c r="C222" s="12" t="str">
        <x:v>Business / brand</x:v>
      </x:c>
      <x:c r="D222" s="12" t="str">
        <x:v>Engineering &amp; manufacturing</x:v>
      </x:c>
      <x:c r="E222" s="12" t="str">
        <x:v>Semiconductors, electronics &amp; equipment</x:v>
      </x:c>
      <x:c r="F222" s="12" t="str">
        <x:v>Mixed business audience</x:v>
      </x:c>
      <x:c r="G222" s="12" t="str">
        <x:v>Established brand or business network; local company scale is not established. Use a mixed-business message.</x:v>
      </x:c>
      <x:c r="H222" s="11" t="n">
        <x:v>10</x:v>
      </x:c>
      <x:c r="I222" s="11" t="n">
        <x:v>10</x:v>
      </x:c>
      <x:c r="J222" s="11" t="n">
        <x:v>10</x:v>
      </x:c>
      <x:c r="K222" s="11" t="n">
        <x:v>0</x:v>
      </x:c>
      <x:c r="L222" s="17" t="n">
        <x:f>SUM(SUMIFS('Costing'!$P$9:$P$492,'Costing'!$A$9:$A$492,"PARTNER-M014"))</x:f>
        <x:v>400000</x:v>
      </x:c>
      <x:c r="M222" s="17" t="n">
        <x:f>ROUND(L222*'Costing'!$C$4,2)</x:f>
        <x:v>72000</x:v>
      </x:c>
      <x:c r="N222" s="17" t="n">
        <x:f>L222+M222</x:f>
        <x:v>472000</x:v>
      </x:c>
      <x:c r="O222" s="12" t="str">
        <x:v>Bengaluru</x:v>
      </x:c>
      <x:c r="P222" s="12" t="str">
        <x:v>CORP-0432, CORP-0433, CORP-0434, CORP-0435, CORP-0436, CORP-0437, CORP-0438, CORP-0439, CORP-0440, CORP-0441</x:v>
      </x:c>
      <x:c r="Q222" s="12" t="str">
        <x:v>AQUANTIA SEMICONDUCTOR INDIA PVT LTD</x:v>
      </x:c>
    </x:row>
    <x:row r="223" ht="48" customHeight="1">
      <x:c r="A223" s="2" t="str">
        <x:v>TEN-B79A492C4FE0</x:v>
      </x:c>
      <x:c r="B223" s="12" t="str">
        <x:v>Arafa Vegetables</x:v>
      </x:c>
      <x:c r="C223" s="12" t="str">
        <x:v>Business / brand</x:v>
      </x:c>
      <x:c r="D223" s="12" t="str">
        <x:v>Trade, consumer &amp; logistics</x:v>
      </x:c>
      <x:c r="E223" s="12" t="str">
        <x:v>Travel, hospitality, food &amp; beverages</x:v>
      </x:c>
      <x:c r="F223" s="12" t="str">
        <x:v>Small-scale prospects</x:v>
      </x:c>
      <x:c r="G223" s="12" t="str">
        <x:v>Trading or consumer-services business; small-scale prospect assumption.</x:v>
      </x:c>
      <x:c r="H223" s="11" t="n">
        <x:v>1</x:v>
      </x:c>
      <x:c r="I223" s="11" t="n">
        <x:v>5</x:v>
      </x:c>
      <x:c r="J223" s="11" t="n">
        <x:v>5</x:v>
      </x:c>
      <x:c r="K223" s="11" t="n">
        <x:v>0</x:v>
      </x:c>
      <x:c r="L223" s="17" t="n">
        <x:f>SUM(SUMIFS('Costing'!$P$9:$P$492,'Costing'!$A$9:$A$492,"MAIN-127"))</x:f>
        <x:v>125000</x:v>
      </x:c>
      <x:c r="M223" s="17" t="n">
        <x:f>ROUND(L223*'Costing'!$C$4,2)</x:f>
        <x:v>22500</x:v>
      </x:c>
      <x:c r="N223" s="17" t="n">
        <x:f>L223+M223</x:f>
        <x:v>147500</x:v>
      </x:c>
      <x:c r="O223" s="12" t="str">
        <x:v>Bengaluru</x:v>
      </x:c>
      <x:c r="P223" s="12" t="str">
        <x:v>CORP-0123</x:v>
      </x:c>
      <x:c r="Q223" s="12" t="str">
        <x:v>Arafa Vegetables</x:v>
      </x:c>
    </x:row>
    <x:row r="224" ht="48" customHeight="1">
      <x:c r="A224" s="2" t="str">
        <x:v>TEN-7BD90F1535C8</x:v>
      </x:c>
      <x:c r="B224" s="12" t="str">
        <x:v>archents</x:v>
      </x:c>
      <x:c r="C224" s="12" t="str">
        <x:v>Business / brand</x:v>
      </x:c>
      <x:c r="D224" s="12" t="str">
        <x:v>Unresolved</x:v>
      </x:c>
      <x:c r="E224" s="12" t="str">
        <x:v>Business activity not established</x:v>
      </x:c>
      <x:c r="F224" s="12" t="str">
        <x:v>Mixed business audience</x:v>
      </x:c>
      <x:c r="G224" s="12" t="str">
        <x:v>Business activity and company scale are not established from this name.</x:v>
      </x:c>
      <x:c r="H224" s="11" t="n">
        <x:v>1</x:v>
      </x:c>
      <x:c r="I224" s="11" t="n">
        <x:v>3</x:v>
      </x:c>
      <x:c r="J224" s="11" t="n">
        <x:v>3</x:v>
      </x:c>
      <x:c r="K224" s="11" t="n">
        <x:v>0</x:v>
      </x:c>
      <x:c r="L224" s="17" t="n">
        <x:f>SUM(SUMIFS('Costing'!$P$9:$P$492,'Costing'!$A$9:$A$492,"MAIN-218"))</x:f>
        <x:v>45000</x:v>
      </x:c>
      <x:c r="M224" s="17" t="n">
        <x:f>ROUND(L224*'Costing'!$C$4,2)</x:f>
        <x:v>8100</x:v>
      </x:c>
      <x:c r="N224" s="17" t="n">
        <x:f>L224+M224</x:f>
        <x:v>53100</x:v>
      </x:c>
      <x:c r="O224" s="12" t="str">
        <x:v>Hyderabad</x:v>
      </x:c>
      <x:c r="P224" s="12" t="str">
        <x:v>CORP-0214</x:v>
      </x:c>
      <x:c r="Q224" s="12" t="str">
        <x:v>archents</x:v>
      </x:c>
    </x:row>
    <x:row r="225" ht="48" customHeight="1">
      <x:c r="A225" s="2" t="str">
        <x:v>TEN-C848A0DACEA1</x:v>
      </x:c>
      <x:c r="B225" s="12" t="str">
        <x:v>archer and bullet</x:v>
      </x:c>
      <x:c r="C225" s="12" t="str">
        <x:v>Business / brand</x:v>
      </x:c>
      <x:c r="D225" s="12" t="str">
        <x:v>Unresolved</x:v>
      </x:c>
      <x:c r="E225" s="12" t="str">
        <x:v>Business activity not established</x:v>
      </x:c>
      <x:c r="F225" s="12" t="str">
        <x:v>Mixed business audience</x:v>
      </x:c>
      <x:c r="G225" s="12" t="str">
        <x:v>Business activity and company scale are not established from this name.</x:v>
      </x:c>
      <x:c r="H225" s="11" t="n">
        <x:v>1</x:v>
      </x:c>
      <x:c r="I225" s="11" t="n">
        <x:v>2</x:v>
      </x:c>
      <x:c r="J225" s="11" t="n">
        <x:v>2</x:v>
      </x:c>
      <x:c r="K225" s="11" t="n">
        <x:v>0</x:v>
      </x:c>
      <x:c r="L225" s="17" t="n">
        <x:f>SUM(SUMIFS('Costing'!$P$9:$P$492,'Costing'!$A$9:$A$492,"MAIN-182"))</x:f>
        <x:v>30000</x:v>
      </x:c>
      <x:c r="M225" s="17" t="n">
        <x:f>ROUND(L225*'Costing'!$C$4,2)</x:f>
        <x:v>5400</x:v>
      </x:c>
      <x:c r="N225" s="17" t="n">
        <x:f>L225+M225</x:f>
        <x:v>35400</x:v>
      </x:c>
      <x:c r="O225" s="12" t="str">
        <x:v>Delhi NCR</x:v>
      </x:c>
      <x:c r="P225" s="12" t="str">
        <x:v>CORP-0178</x:v>
      </x:c>
      <x:c r="Q225" s="12" t="str">
        <x:v>archer and bullet</x:v>
      </x:c>
    </x:row>
    <x:row r="226" ht="48" customHeight="1">
      <x:c r="A226" s="2" t="str">
        <x:v>TEN-F68A6275A50C</x:v>
      </x:c>
      <x:c r="B226" s="12" t="str">
        <x:v>Archwel</x:v>
      </x:c>
      <x:c r="C226" s="12" t="str">
        <x:v>Business / brand</x:v>
      </x:c>
      <x:c r="D226" s="12" t="str">
        <x:v>Unresolved</x:v>
      </x:c>
      <x:c r="E226" s="12" t="str">
        <x:v>Business activity not established</x:v>
      </x:c>
      <x:c r="F226" s="12" t="str">
        <x:v>Mixed business audience</x:v>
      </x:c>
      <x:c r="G226" s="12" t="str">
        <x:v>Business activity and company scale are not established from this name.</x:v>
      </x:c>
      <x:c r="H226" s="11" t="n">
        <x:v>8</x:v>
      </x:c>
      <x:c r="I226" s="11" t="n">
        <x:v>8</x:v>
      </x:c>
      <x:c r="J226" s="11" t="n">
        <x:v>8</x:v>
      </x:c>
      <x:c r="K226" s="11" t="n">
        <x:v>0</x:v>
      </x:c>
      <x:c r="L226" s="17" t="n">
        <x:f>SUM(SUMIFS('Costing'!$P$9:$P$492,'Costing'!$A$9:$A$492,"PARTNER-M130"))</x:f>
        <x:v>320000</x:v>
      </x:c>
      <x:c r="M226" s="17" t="n">
        <x:f>ROUND(L226*'Costing'!$C$4,2)</x:f>
        <x:v>57600</x:v>
      </x:c>
      <x:c r="N226" s="17" t="n">
        <x:f>L226+M226</x:f>
        <x:v>377600</x:v>
      </x:c>
      <x:c r="O226" s="12" t="str">
        <x:v>Bengaluru</x:v>
      </x:c>
      <x:c r="P226" s="12" t="str">
        <x:v>CORP-0548, CORP-0549, CORP-0550, CORP-0551, CORP-0552, CORP-0553, CORP-0554, CORP-0555</x:v>
      </x:c>
      <x:c r="Q226" s="12" t="str">
        <x:v>Archwel</x:v>
      </x:c>
    </x:row>
    <x:row r="227" ht="48" customHeight="1">
      <x:c r="A227" s="2" t="str">
        <x:v>TEN-0B1B737E0D61</x:v>
      </x:c>
      <x:c r="B227" s="12" t="str">
        <x:v>Areteans Hyderabad</x:v>
      </x:c>
      <x:c r="C227" s="12" t="str">
        <x:v>Business / brand</x:v>
      </x:c>
      <x:c r="D227" s="12" t="str">
        <x:v>IT &amp; digital</x:v>
      </x:c>
      <x:c r="E227" s="12" t="str">
        <x:v>Enterprise software &amp; digital engineering</x:v>
      </x:c>
      <x:c r="F227" s="12" t="str">
        <x:v>Mixed business audience</x:v>
      </x:c>
      <x:c r="G227" s="12" t="str">
        <x:v>Established brand or business network; local company scale is not established. Use a mixed-business message.</x:v>
      </x:c>
      <x:c r="H227" s="11" t="n">
        <x:v>3</x:v>
      </x:c>
      <x:c r="I227" s="11" t="n">
        <x:v>25</x:v>
      </x:c>
      <x:c r="J227" s="11" t="n">
        <x:v>25</x:v>
      </x:c>
      <x:c r="K227" s="11" t="n">
        <x:v>0</x:v>
      </x:c>
      <x:c r="L227" s="17" t="n">
        <x:f>SUM(SUMIFS('Costing'!$P$9:$P$492,'Costing'!$A$9:$A$492,"MAIN-237"),SUMIFS('Costing'!$P$9:$P$492,'Costing'!$A$9:$A$492,"MAIN-238"),SUMIFS('Costing'!$P$9:$P$492,'Costing'!$A$9:$A$492,"MAIN-239"))</x:f>
        <x:v>485000</x:v>
      </x:c>
      <x:c r="M227" s="17" t="n">
        <x:f>ROUND(L227*'Costing'!$C$4,2)</x:f>
        <x:v>87300</x:v>
      </x:c>
      <x:c r="N227" s="17" t="n">
        <x:f>L227+M227</x:f>
        <x:v>572300</x:v>
      </x:c>
      <x:c r="O227" s="12" t="str">
        <x:v>Hyderabad</x:v>
      </x:c>
      <x:c r="P227" s="12" t="str">
        <x:v>CORP-0233, CORP-0234, CORP-0235</x:v>
      </x:c>
      <x:c r="Q227" s="12" t="str">
        <x:v>Areteans Hyderabad</x:v>
      </x:c>
    </x:row>
    <x:row r="228" ht="48" customHeight="1">
      <x:c r="A228" s="2" t="str">
        <x:v>TEN-E3DC8F201DEF</x:v>
      </x:c>
      <x:c r="B228" s="12" t="str">
        <x:v>ARKA Fincap Ltd</x:v>
      </x:c>
      <x:c r="C228" s="12" t="str">
        <x:v>Business / brand</x:v>
      </x:c>
      <x:c r="D228" s="12" t="str">
        <x:v>Finance &amp; insurance</x:v>
      </x:c>
      <x:c r="E228" s="12" t="str">
        <x:v>Banking &amp; credit</x:v>
      </x:c>
      <x:c r="F228" s="12" t="str">
        <x:v>Mixed business audience</x:v>
      </x:c>
      <x:c r="G228" s="12" t="str">
        <x:v>Established brand or business network; local company scale is not established. Use a mixed-business message.</x:v>
      </x:c>
      <x:c r="H228" s="11" t="n">
        <x:v>1</x:v>
      </x:c>
      <x:c r="I228" s="11" t="n">
        <x:v>2</x:v>
      </x:c>
      <x:c r="J228" s="11" t="n">
        <x:v>2</x:v>
      </x:c>
      <x:c r="K228" s="11" t="n">
        <x:v>0</x:v>
      </x:c>
      <x:c r="L228" s="17" t="n">
        <x:f>SUM(SUMIFS('Costing'!$P$9:$P$492,'Costing'!$A$9:$A$492,"MAIN-318"))</x:f>
        <x:v>30000</x:v>
      </x:c>
      <x:c r="M228" s="17" t="n">
        <x:f>ROUND(L228*'Costing'!$C$4,2)</x:f>
        <x:v>5400</x:v>
      </x:c>
      <x:c r="N228" s="17" t="n">
        <x:f>L228+M228</x:f>
        <x:v>35400</x:v>
      </x:c>
      <x:c r="O228" s="12" t="str">
        <x:v>Mumbai</x:v>
      </x:c>
      <x:c r="P228" s="12" t="str">
        <x:v>CORP-0314</x:v>
      </x:c>
      <x:c r="Q228" s="12" t="str">
        <x:v>ARKA Fincap Ltd</x:v>
      </x:c>
    </x:row>
    <x:row r="229" ht="48" customHeight="1">
      <x:c r="A229" s="2" t="str">
        <x:v>TEN-CCB62E7F914B</x:v>
      </x:c>
      <x:c r="B229" s="12" t="str">
        <x:v>Arkay Ispat Pvt Ltd</x:v>
      </x:c>
      <x:c r="C229" s="12" t="str">
        <x:v>Business / brand</x:v>
      </x:c>
      <x:c r="D229" s="12" t="str">
        <x:v>Engineering &amp; manufacturing</x:v>
      </x:c>
      <x:c r="E229" s="12" t="str">
        <x:v>Electronics, industrial systems &amp; manufacturing</x:v>
      </x:c>
      <x:c r="F229" s="12" t="str">
        <x:v>Medium-scale prospects</x:v>
      </x:c>
      <x:c r="G229" s="12" t="str">
        <x:v>Specialist industrial or engineering business; medium-scale prospect assumption.</x:v>
      </x:c>
      <x:c r="H229" s="11" t="n">
        <x:v>1</x:v>
      </x:c>
      <x:c r="I229" s="11" t="n">
        <x:v>1</x:v>
      </x:c>
      <x:c r="J229" s="11" t="n">
        <x:v>1</x:v>
      </x:c>
      <x:c r="K229" s="11" t="n">
        <x:v>0</x:v>
      </x:c>
      <x:c r="L229" s="17" t="n">
        <x:f>SUM(SUMIFS('Costing'!$P$9:$P$492,'Costing'!$A$9:$A$492,"PARTNER-M331"))</x:f>
        <x:v>40000</x:v>
      </x:c>
      <x:c r="M229" s="17" t="n">
        <x:f>ROUND(L229*'Costing'!$C$4,2)</x:f>
        <x:v>7200</x:v>
      </x:c>
      <x:c r="N229" s="17" t="n">
        <x:f>L229+M229</x:f>
        <x:v>47200</x:v>
      </x:c>
      <x:c r="O229" s="12" t="str">
        <x:v>Chennai</x:v>
      </x:c>
      <x:c r="P229" s="12" t="str">
        <x:v>CORP-0745</x:v>
      </x:c>
      <x:c r="Q229" s="12" t="str">
        <x:v>Arkay Ispat Pvt Ltd</x:v>
      </x:c>
    </x:row>
    <x:row r="230" ht="48" customHeight="1">
      <x:c r="A230" s="2" t="str">
        <x:v>TEN-6A9D4FE5CE43</x:v>
      </x:c>
      <x:c r="B230" s="12" t="str">
        <x:v>Arlo Ship Management</x:v>
      </x:c>
      <x:c r="C230" s="12" t="str">
        <x:v>Business / brand</x:v>
      </x:c>
      <x:c r="D230" s="12" t="str">
        <x:v>Trade, consumer &amp; logistics</x:v>
      </x:c>
      <x:c r="E230" s="12" t="str">
        <x:v>Travel, hospitality, food &amp; beverages</x:v>
      </x:c>
      <x:c r="F230" s="12" t="str">
        <x:v>Small-scale prospects</x:v>
      </x:c>
      <x:c r="G230" s="12" t="str">
        <x:v>Trading or consumer-services business; small-scale prospect assumption.</x:v>
      </x:c>
      <x:c r="H230" s="11" t="n">
        <x:v>2</x:v>
      </x:c>
      <x:c r="I230" s="11" t="n">
        <x:v>4</x:v>
      </x:c>
      <x:c r="J230" s="11" t="n">
        <x:v>4</x:v>
      </x:c>
      <x:c r="K230" s="11" t="n">
        <x:v>0</x:v>
      </x:c>
      <x:c r="L230" s="17" t="n">
        <x:f>SUM(SUMIFS('Costing'!$P$9:$P$492,'Costing'!$A$9:$A$492,"MAIN-345"),SUMIFS('Costing'!$P$9:$P$492,'Costing'!$A$9:$A$492,"MAIN-346"))</x:f>
        <x:v>60000</x:v>
      </x:c>
      <x:c r="M230" s="17" t="n">
        <x:f>ROUND(L230*'Costing'!$C$4,2)</x:f>
        <x:v>10800</x:v>
      </x:c>
      <x:c r="N230" s="17" t="n">
        <x:f>L230+M230</x:f>
        <x:v>70800</x:v>
      </x:c>
      <x:c r="O230" s="12" t="str">
        <x:v>Mumbai</x:v>
      </x:c>
      <x:c r="P230" s="12" t="str">
        <x:v>CORP-0341, CORP-0342</x:v>
      </x:c>
      <x:c r="Q230" s="12" t="str">
        <x:v>Arlo Ship Management</x:v>
      </x:c>
    </x:row>
    <x:row r="231" ht="48" customHeight="1">
      <x:c r="A231" s="2" t="str">
        <x:v>TEN-DDF7FF5EBD9D</x:v>
      </x:c>
      <x:c r="B231" s="12" t="str">
        <x:v>ARM</x:v>
      </x:c>
      <x:c r="C231" s="12" t="str">
        <x:v>Business / brand</x:v>
      </x:c>
      <x:c r="D231" s="12" t="str">
        <x:v>Engineering &amp; manufacturing</x:v>
      </x:c>
      <x:c r="E231" s="12" t="str">
        <x:v>Semiconductors, electronics &amp; equipment</x:v>
      </x:c>
      <x:c r="F231" s="12" t="str">
        <x:v>Mixed business audience</x:v>
      </x:c>
      <x:c r="G231" s="12" t="str">
        <x:v>Recognisable business context; company-scale evidence remains insufficient for a single size band.</x:v>
      </x:c>
      <x:c r="H231" s="11" t="n">
        <x:v>10</x:v>
      </x:c>
      <x:c r="I231" s="11" t="n">
        <x:v>10</x:v>
      </x:c>
      <x:c r="J231" s="11" t="n">
        <x:v>10</x:v>
      </x:c>
      <x:c r="K231" s="11" t="n">
        <x:v>0</x:v>
      </x:c>
      <x:c r="L231" s="17" t="n">
        <x:f>SUM(SUMIFS('Costing'!$P$9:$P$492,'Costing'!$A$9:$A$492,"PARTNER-M120"))</x:f>
        <x:v>400000</x:v>
      </x:c>
      <x:c r="M231" s="17" t="n">
        <x:f>ROUND(L231*'Costing'!$C$4,2)</x:f>
        <x:v>72000</x:v>
      </x:c>
      <x:c r="N231" s="17" t="n">
        <x:f>L231+M231</x:f>
        <x:v>472000</x:v>
      </x:c>
      <x:c r="O231" s="12" t="str">
        <x:v>Bengaluru</x:v>
      </x:c>
      <x:c r="P231" s="12" t="str">
        <x:v>CORP-0538, CORP-0539, CORP-0540, CORP-0541, CORP-0542, CORP-0543, CORP-0544, CORP-0545, CORP-0546, CORP-0547</x:v>
      </x:c>
      <x:c r="Q231" s="12" t="str">
        <x:v>ARM</x:v>
      </x:c>
    </x:row>
    <x:row r="232" ht="48" customHeight="1">
      <x:c r="A232" s="2" t="str">
        <x:v>TEN-5F80F36FD8F7</x:v>
      </x:c>
      <x:c r="B232" s="12" t="str">
        <x:v>Armsoftech Pvt Ltd</x:v>
      </x:c>
      <x:c r="C232" s="12" t="str">
        <x:v>Business / brand</x:v>
      </x:c>
      <x:c r="D232" s="12" t="str">
        <x:v>IT &amp; digital</x:v>
      </x:c>
      <x:c r="E232" s="12" t="str">
        <x:v>Enterprise software &amp; digital engineering</x:v>
      </x:c>
      <x:c r="F232" s="12" t="str">
        <x:v>Small-scale prospects</x:v>
      </x:c>
      <x:c r="G232" s="12" t="str">
        <x:v>Software or technology-services business; small-scale prospect assumption.</x:v>
      </x:c>
      <x:c r="H232" s="11" t="n">
        <x:v>1</x:v>
      </x:c>
      <x:c r="I232" s="11" t="n">
        <x:v>4</x:v>
      </x:c>
      <x:c r="J232" s="11" t="n">
        <x:v>4</x:v>
      </x:c>
      <x:c r="K232" s="11" t="n">
        <x:v>0</x:v>
      </x:c>
      <x:c r="L232" s="17" t="n">
        <x:f>SUM(SUMIFS('Costing'!$P$9:$P$492,'Costing'!$A$9:$A$492,"MAIN-151"))</x:f>
        <x:v>160000</x:v>
      </x:c>
      <x:c r="M232" s="17" t="n">
        <x:f>ROUND(L232*'Costing'!$C$4,2)</x:f>
        <x:v>28800</x:v>
      </x:c>
      <x:c r="N232" s="17" t="n">
        <x:f>L232+M232</x:f>
        <x:v>188800</x:v>
      </x:c>
      <x:c r="O232" s="12" t="str">
        <x:v>Chennai</x:v>
      </x:c>
      <x:c r="P232" s="12" t="str">
        <x:v>CORP-0147</x:v>
      </x:c>
      <x:c r="Q232" s="12" t="str">
        <x:v>Armsoftech Pvt Ltd</x:v>
      </x:c>
    </x:row>
    <x:row r="233" ht="48" customHeight="1">
      <x:c r="A233" s="2" t="str">
        <x:v>TEN-C45C1EA08B3F</x:v>
      </x:c>
      <x:c r="B233" s="12" t="str">
        <x:v>Arogya Yogshala</x:v>
      </x:c>
      <x:c r="C233" s="12" t="str">
        <x:v>Business / brand</x:v>
      </x:c>
      <x:c r="D233" s="12" t="str">
        <x:v>Healthcare &amp; life sciences</x:v>
      </x:c>
      <x:c r="E233" s="12" t="str">
        <x:v>Mental health, wellbeing &amp; fitness</x:v>
      </x:c>
      <x:c r="F233" s="12" t="str">
        <x:v>Small-scale prospects</x:v>
      </x:c>
      <x:c r="G233" s="12" t="str">
        <x:v>Healthcare services business; small-scale prospect assumption.</x:v>
      </x:c>
      <x:c r="H233" s="11" t="n">
        <x:v>1</x:v>
      </x:c>
      <x:c r="I233" s="11" t="n">
        <x:v>4</x:v>
      </x:c>
      <x:c r="J233" s="11" t="n">
        <x:v>4</x:v>
      </x:c>
      <x:c r="K233" s="11" t="n">
        <x:v>0</x:v>
      </x:c>
      <x:c r="L233" s="17" t="n">
        <x:f>SUM(SUMIFS('Costing'!$P$9:$P$492,'Costing'!$A$9:$A$492,"MAIN-198"))</x:f>
        <x:v>60000</x:v>
      </x:c>
      <x:c r="M233" s="17" t="n">
        <x:f>ROUND(L233*'Costing'!$C$4,2)</x:f>
        <x:v>10800</x:v>
      </x:c>
      <x:c r="N233" s="17" t="n">
        <x:f>L233+M233</x:f>
        <x:v>70800</x:v>
      </x:c>
      <x:c r="O233" s="12" t="str">
        <x:v>Delhi NCR</x:v>
      </x:c>
      <x:c r="P233" s="12" t="str">
        <x:v>CORP-0194</x:v>
      </x:c>
      <x:c r="Q233" s="12" t="str">
        <x:v>Arogya Yogshala</x:v>
      </x:c>
    </x:row>
    <x:row r="234" ht="48" customHeight="1">
      <x:c r="A234" s="2" t="str">
        <x:v>TEN-9E3EBC1B58D6</x:v>
      </x:c>
      <x:c r="B234" s="12" t="str">
        <x:v>Arrcus Software Pvt Ltd</x:v>
      </x:c>
      <x:c r="C234" s="12" t="str">
        <x:v>Business / brand</x:v>
      </x:c>
      <x:c r="D234" s="12" t="str">
        <x:v>IT &amp; digital</x:v>
      </x:c>
      <x:c r="E234" s="12" t="str">
        <x:v>Enterprise software &amp; digital engineering</x:v>
      </x:c>
      <x:c r="F234" s="12" t="str">
        <x:v>Small-scale prospects</x:v>
      </x:c>
      <x:c r="G234" s="12" t="str">
        <x:v>Software or technology-services business; small-scale prospect assumption.</x:v>
      </x:c>
      <x:c r="H234" s="11" t="n">
        <x:v>1</x:v>
      </x:c>
      <x:c r="I234" s="11" t="n">
        <x:v>7</x:v>
      </x:c>
      <x:c r="J234" s="11" t="n">
        <x:v>7</x:v>
      </x:c>
      <x:c r="K234" s="11" t="n">
        <x:v>0</x:v>
      </x:c>
      <x:c r="L234" s="17" t="n">
        <x:f>SUM(SUMIFS('Costing'!$P$9:$P$492,'Costing'!$A$9:$A$492,"MAIN-116"))</x:f>
        <x:v>175000</x:v>
      </x:c>
      <x:c r="M234" s="17" t="n">
        <x:f>ROUND(L234*'Costing'!$C$4,2)</x:f>
        <x:v>31500</x:v>
      </x:c>
      <x:c r="N234" s="17" t="n">
        <x:f>L234+M234</x:f>
        <x:v>206500</x:v>
      </x:c>
      <x:c r="O234" s="12" t="str">
        <x:v>Bengaluru</x:v>
      </x:c>
      <x:c r="P234" s="12" t="str">
        <x:v>CORP-0112</x:v>
      </x:c>
      <x:c r="Q234" s="12" t="str">
        <x:v>Arrcus Software Pvt Ltd</x:v>
      </x:c>
    </x:row>
    <x:row r="235" ht="48" customHeight="1">
      <x:c r="A235" s="2" t="str">
        <x:v>TEN-F3CC7F1E38DB</x:v>
      </x:c>
      <x:c r="B235" s="12" t="str">
        <x:v>ARTOIES INTERNATIONAL PRIVATE LIMITED</x:v>
      </x:c>
      <x:c r="C235" s="12" t="str">
        <x:v>Business / brand</x:v>
      </x:c>
      <x:c r="D235" s="12" t="str">
        <x:v>Unresolved</x:v>
      </x:c>
      <x:c r="E235" s="12" t="str">
        <x:v>Business activity not established</x:v>
      </x:c>
      <x:c r="F235" s="12" t="str">
        <x:v>Mixed business audience</x:v>
      </x:c>
      <x:c r="G235" s="12" t="str">
        <x:v>Business activity and company scale are not established from this name.</x:v>
      </x:c>
      <x:c r="H235" s="11" t="n">
        <x:v>4</x:v>
      </x:c>
      <x:c r="I235" s="11" t="n">
        <x:v>4</x:v>
      </x:c>
      <x:c r="J235" s="11" t="n">
        <x:v>4</x:v>
      </x:c>
      <x:c r="K235" s="11" t="n">
        <x:v>0</x:v>
      </x:c>
      <x:c r="L235" s="17" t="n">
        <x:f>SUM(SUMIFS('Costing'!$P$9:$P$492,'Costing'!$A$9:$A$492,"PARTNER-M056"))</x:f>
        <x:v>160000</x:v>
      </x:c>
      <x:c r="M235" s="17" t="n">
        <x:f>ROUND(L235*'Costing'!$C$4,2)</x:f>
        <x:v>28800</x:v>
      </x:c>
      <x:c r="N235" s="17" t="n">
        <x:f>L235+M235</x:f>
        <x:v>188800</x:v>
      </x:c>
      <x:c r="O235" s="12" t="str">
        <x:v>Bengaluru</x:v>
      </x:c>
      <x:c r="P235" s="12" t="str">
        <x:v>CORP-0474, CORP-0475, CORP-0476, CORP-0477</x:v>
      </x:c>
      <x:c r="Q235" s="12" t="str">
        <x:v>ARTOIES INTERNATIONAL PRIVATE LIMITED</x:v>
      </x:c>
    </x:row>
    <x:row r="236" ht="48" customHeight="1">
      <x:c r="A236" s="2" t="str">
        <x:v>TEN-72DA9DBF0092</x:v>
      </x:c>
      <x:c r="B236" s="12" t="str">
        <x:v>Aruba Networks</x:v>
      </x:c>
      <x:c r="C236" s="12" t="str">
        <x:v>Business / brand</x:v>
      </x:c>
      <x:c r="D236" s="12" t="str">
        <x:v>IT &amp; digital</x:v>
      </x:c>
      <x:c r="E236" s="12" t="str">
        <x:v>Telecom, networks &amp; connectivity</x:v>
      </x:c>
      <x:c r="F236" s="12" t="str">
        <x:v>Large enterprise</x:v>
      </x:c>
      <x:c r="G236" s="12" t="str">
        <x:v>Explicit HPE enterprise-family context; see ENTERPRISE_SUPP_037 evidence.</x:v>
      </x:c>
      <x:c r="H236" s="11" t="n">
        <x:v>10</x:v>
      </x:c>
      <x:c r="I236" s="11" t="n">
        <x:v>10</x:v>
      </x:c>
      <x:c r="J236" s="11" t="n">
        <x:v>10</x:v>
      </x:c>
      <x:c r="K236" s="11" t="n">
        <x:v>0</x:v>
      </x:c>
      <x:c r="L236" s="17" t="n">
        <x:f>SUM(SUMIFS('Costing'!$P$9:$P$492,'Costing'!$A$9:$A$492,"PARTNER-M014"))</x:f>
        <x:v>400000</x:v>
      </x:c>
      <x:c r="M236" s="17" t="n">
        <x:f>ROUND(L236*'Costing'!$C$4,2)</x:f>
        <x:v>72000</x:v>
      </x:c>
      <x:c r="N236" s="17" t="n">
        <x:f>L236+M236</x:f>
        <x:v>472000</x:v>
      </x:c>
      <x:c r="O236" s="12" t="str">
        <x:v>Bengaluru</x:v>
      </x:c>
      <x:c r="P236" s="12" t="str">
        <x:v>CORP-0432, CORP-0433, CORP-0434, CORP-0435, CORP-0436, CORP-0437, CORP-0438, CORP-0439, CORP-0440, CORP-0441</x:v>
      </x:c>
      <x:c r="Q236" s="12" t="str">
        <x:v>Aruba Networks</x:v>
      </x:c>
    </x:row>
    <x:row r="237" ht="48" customHeight="1">
      <x:c r="A237" s="2" t="str">
        <x:v>TEN-5741AB36EBF3</x:v>
      </x:c>
      <x:c r="B237" s="12" t="str">
        <x:v>Arus info Pvt Ltd</x:v>
      </x:c>
      <x:c r="C237" s="12" t="str">
        <x:v>Business / brand</x:v>
      </x:c>
      <x:c r="D237" s="12" t="str">
        <x:v>Unresolved</x:v>
      </x:c>
      <x:c r="E237" s="12" t="str">
        <x:v>Business activity not established</x:v>
      </x:c>
      <x:c r="F237" s="12" t="str">
        <x:v>Mixed business audience</x:v>
      </x:c>
      <x:c r="G237" s="12" t="str">
        <x:v>Business activity and company scale are not established from this name.</x:v>
      </x:c>
      <x:c r="H237" s="11" t="n">
        <x:v>1</x:v>
      </x:c>
      <x:c r="I237" s="11" t="n">
        <x:v>1</x:v>
      </x:c>
      <x:c r="J237" s="11" t="n">
        <x:v>1</x:v>
      </x:c>
      <x:c r="K237" s="11" t="n">
        <x:v>0</x:v>
      </x:c>
      <x:c r="L237" s="17" t="n">
        <x:f>SUM(SUMIFS('Costing'!$P$9:$P$492,'Costing'!$A$9:$A$492,"MAIN-066"))</x:f>
        <x:v>15000</x:v>
      </x:c>
      <x:c r="M237" s="17" t="n">
        <x:f>ROUND(L237*'Costing'!$C$4,2)</x:f>
        <x:v>2700</x:v>
      </x:c>
      <x:c r="N237" s="17" t="n">
        <x:f>L237+M237</x:f>
        <x:v>17700</x:v>
      </x:c>
      <x:c r="O237" s="12" t="str">
        <x:v>Bengaluru</x:v>
      </x:c>
      <x:c r="P237" s="12" t="str">
        <x:v>CORP-0062</x:v>
      </x:c>
      <x:c r="Q237" s="12" t="str">
        <x:v>Arus info Pvt Ltd</x:v>
      </x:c>
    </x:row>
    <x:row r="238" ht="48" customHeight="1">
      <x:c r="A238" s="2" t="str">
        <x:v>TEN-C7267F9A1E45</x:v>
      </x:c>
      <x:c r="B238" s="12" t="str">
        <x:v>Ascendion</x:v>
      </x:c>
      <x:c r="C238" s="12" t="str">
        <x:v>Business / brand</x:v>
      </x:c>
      <x:c r="D238" s="12" t="str">
        <x:v>IT &amp; digital</x:v>
      </x:c>
      <x:c r="E238" s="12" t="str">
        <x:v>Enterprise software &amp; digital engineering</x:v>
      </x:c>
      <x:c r="F238" s="12" t="str">
        <x:v>Mixed business audience</x:v>
      </x:c>
      <x:c r="G238" s="12" t="str">
        <x:v>Established brand or business network; local company scale is not established. Use a mixed-business message.</x:v>
      </x:c>
      <x:c r="H238" s="11" t="n">
        <x:v>1</x:v>
      </x:c>
      <x:c r="I238" s="11" t="n">
        <x:v>1</x:v>
      </x:c>
      <x:c r="J238" s="11" t="n">
        <x:v>1</x:v>
      </x:c>
      <x:c r="K238" s="11" t="n">
        <x:v>0</x:v>
      </x:c>
      <x:c r="L238" s="17" t="n">
        <x:f>SUM(SUMIFS('Costing'!$P$9:$P$492,'Costing'!$A$9:$A$492,"MAIN-015"))</x:f>
        <x:v>15000</x:v>
      </x:c>
      <x:c r="M238" s="17" t="n">
        <x:f>ROUND(L238*'Costing'!$C$4,2)</x:f>
        <x:v>2700</x:v>
      </x:c>
      <x:c r="N238" s="17" t="n">
        <x:f>L238+M238</x:f>
        <x:v>17700</x:v>
      </x:c>
      <x:c r="O238" s="12" t="str">
        <x:v>Bengaluru</x:v>
      </x:c>
      <x:c r="P238" s="12" t="str">
        <x:v>CORP-0011</x:v>
      </x:c>
      <x:c r="Q238" s="12" t="str">
        <x:v>Ascendion</x:v>
      </x:c>
    </x:row>
    <x:row r="239" ht="48" customHeight="1">
      <x:c r="A239" s="2" t="str">
        <x:v>TEN-2E7AAE5DD17C</x:v>
      </x:c>
      <x:c r="B239" s="12" t="str">
        <x:v>Ascent Consulting Services</x:v>
      </x:c>
      <x:c r="C239" s="12" t="str">
        <x:v>Business / brand</x:v>
      </x:c>
      <x:c r="D239" s="12" t="str">
        <x:v>Professional services</x:v>
      </x:c>
      <x:c r="E239" s="12" t="str">
        <x:v>Business consulting &amp; advisory</x:v>
      </x:c>
      <x:c r="F239" s="12" t="str">
        <x:v>Small-scale prospects</x:v>
      </x:c>
      <x:c r="G239" s="12" t="str">
        <x:v>Professional service, agency or advisory model; small-scale prospect assumption.</x:v>
      </x:c>
      <x:c r="H239" s="11" t="n">
        <x:v>4</x:v>
      </x:c>
      <x:c r="I239" s="11" t="n">
        <x:v>4</x:v>
      </x:c>
      <x:c r="J239" s="11" t="n">
        <x:v>4</x:v>
      </x:c>
      <x:c r="K239" s="11" t="n">
        <x:v>0</x:v>
      </x:c>
      <x:c r="L239" s="17" t="n">
        <x:f>SUM(SUMIFS('Costing'!$P$9:$P$492,'Costing'!$A$9:$A$492,"PARTNER-M247"))</x:f>
        <x:v>160000</x:v>
      </x:c>
      <x:c r="M239" s="17" t="n">
        <x:f>ROUND(L239*'Costing'!$C$4,2)</x:f>
        <x:v>28800</x:v>
      </x:c>
      <x:c r="N239" s="17" t="n">
        <x:f>L239+M239</x:f>
        <x:v>188800</x:v>
      </x:c>
      <x:c r="O239" s="12" t="str">
        <x:v>Mumbai</x:v>
      </x:c>
      <x:c r="P239" s="12" t="str">
        <x:v>CORP-0664, CORP-0665, CORP-0666, CORP-0667</x:v>
      </x:c>
      <x:c r="Q239" s="12" t="str">
        <x:v>Ascent Consulting Services</x:v>
      </x:c>
    </x:row>
    <x:row r="240" ht="48" customHeight="1">
      <x:c r="A240" s="2" t="str">
        <x:v>TEN-15C760D67D1D</x:v>
      </x:c>
      <x:c r="B240" s="12" t="str">
        <x:v>Ascra Technologies</x:v>
      </x:c>
      <x:c r="C240" s="12" t="str">
        <x:v>Business / brand</x:v>
      </x:c>
      <x:c r="D240" s="12" t="str">
        <x:v>IT &amp; digital</x:v>
      </x:c>
      <x:c r="E240" s="12" t="str">
        <x:v>Enterprise software &amp; digital engineering</x:v>
      </x:c>
      <x:c r="F240" s="12" t="str">
        <x:v>Small-scale prospects</x:v>
      </x:c>
      <x:c r="G240" s="12" t="str">
        <x:v>Software or technology-services business; small-scale prospect assumption.</x:v>
      </x:c>
      <x:c r="H240" s="11" t="n">
        <x:v>10</x:v>
      </x:c>
      <x:c r="I240" s="11" t="n">
        <x:v>10</x:v>
      </x:c>
      <x:c r="J240" s="11" t="n">
        <x:v>10</x:v>
      </x:c>
      <x:c r="K240" s="11" t="n">
        <x:v>0</x:v>
      </x:c>
      <x:c r="L240" s="17" t="n">
        <x:f>SUM(SUMIFS('Costing'!$P$9:$P$492,'Costing'!$A$9:$A$492,"PARTNER-M205"))</x:f>
        <x:v>400000</x:v>
      </x:c>
      <x:c r="M240" s="17" t="n">
        <x:f>ROUND(L240*'Costing'!$C$4,2)</x:f>
        <x:v>72000</x:v>
      </x:c>
      <x:c r="N240" s="17" t="n">
        <x:f>L240+M240</x:f>
        <x:v>472000</x:v>
      </x:c>
      <x:c r="O240" s="12" t="str">
        <x:v>Mumbai</x:v>
      </x:c>
      <x:c r="P240" s="12" t="str">
        <x:v>CORP-0622, CORP-0623, CORP-0624, CORP-0625, CORP-0626, CORP-0627, CORP-0628, CORP-0629, CORP-0630, CORP-0631</x:v>
      </x:c>
      <x:c r="Q240" s="12" t="str">
        <x:v>Ascra Technologies</x:v>
      </x:c>
    </x:row>
    <x:row r="241" ht="48" customHeight="1">
      <x:c r="A241" s="2" t="str">
        <x:v>TEN-DB3A04A96C4C</x:v>
      </x:c>
      <x:c r="B241" s="12" t="str">
        <x:v>Ashish Life science pvt ltd</x:v>
      </x:c>
      <x:c r="C241" s="12" t="str">
        <x:v>Business / brand</x:v>
      </x:c>
      <x:c r="D241" s="12" t="str">
        <x:v>Healthcare &amp; life sciences</x:v>
      </x:c>
      <x:c r="E241" s="12" t="str">
        <x:v>Pharmaceuticals, biotechnology &amp; life sciences</x:v>
      </x:c>
      <x:c r="F241" s="12" t="str">
        <x:v>Medium-scale prospects</x:v>
      </x:c>
      <x:c r="G241" s="12" t="str">
        <x:v>Specialist life-sciences business; medium-scale prospect assumption.</x:v>
      </x:c>
      <x:c r="H241" s="11" t="n">
        <x:v>1</x:v>
      </x:c>
      <x:c r="I241" s="11" t="n">
        <x:v>1</x:v>
      </x:c>
      <x:c r="J241" s="11" t="n">
        <x:v>1</x:v>
      </x:c>
      <x:c r="K241" s="11" t="n">
        <x:v>0</x:v>
      </x:c>
      <x:c r="L241" s="17" t="n">
        <x:f>SUM(SUMIFS('Costing'!$P$9:$P$492,'Costing'!$A$9:$A$492,"MAIN-300"))</x:f>
        <x:v>15000</x:v>
      </x:c>
      <x:c r="M241" s="17" t="n">
        <x:f>ROUND(L241*'Costing'!$C$4,2)</x:f>
        <x:v>2700</x:v>
      </x:c>
      <x:c r="N241" s="17" t="n">
        <x:f>L241+M241</x:f>
        <x:v>17700</x:v>
      </x:c>
      <x:c r="O241" s="12" t="str">
        <x:v>Mumbai</x:v>
      </x:c>
      <x:c r="P241" s="12" t="str">
        <x:v>CORP-0296</x:v>
      </x:c>
      <x:c r="Q241" s="12" t="str">
        <x:v>Ashish Life science pvt ltd</x:v>
      </x:c>
    </x:row>
    <x:row r="242" ht="48" customHeight="1">
      <x:c r="A242" s="2" t="str">
        <x:v>TEN-55BBAC060EB2</x:v>
      </x:c>
      <x:c r="B242" s="12" t="str">
        <x:v>Ashok Leyland Ltd</x:v>
      </x:c>
      <x:c r="C242" s="12" t="str">
        <x:v>Business / brand</x:v>
      </x:c>
      <x:c r="D242" s="12" t="str">
        <x:v>Engineering &amp; manufacturing</x:v>
      </x:c>
      <x:c r="E242" s="12" t="str">
        <x:v>Engineering/manufacturing — specialty unverified</x:v>
      </x:c>
      <x:c r="F242" s="12" t="str">
        <x:v>Mixed business audience</x:v>
      </x:c>
      <x:c r="G242" s="12" t="str">
        <x:v>Recognisable business context; company-scale evidence remains insufficient for a single size band.</x:v>
      </x:c>
      <x:c r="H242" s="11" t="n">
        <x:v>1</x:v>
      </x:c>
      <x:c r="I242" s="11" t="n">
        <x:v>2</x:v>
      </x:c>
      <x:c r="J242" s="11" t="n">
        <x:v>2</x:v>
      </x:c>
      <x:c r="K242" s="11" t="n">
        <x:v>0</x:v>
      </x:c>
      <x:c r="L242" s="17" t="n">
        <x:f>SUM(SUMIFS('Costing'!$P$9:$P$492,'Costing'!$A$9:$A$492,"MAIN-207"))</x:f>
        <x:v>80000</x:v>
      </x:c>
      <x:c r="M242" s="17" t="n">
        <x:f>ROUND(L242*'Costing'!$C$4,2)</x:f>
        <x:v>14400</x:v>
      </x:c>
      <x:c r="N242" s="17" t="n">
        <x:f>L242+M242</x:f>
        <x:v>94400</x:v>
      </x:c>
      <x:c r="O242" s="12" t="str">
        <x:v>Delhi NCR</x:v>
      </x:c>
      <x:c r="P242" s="12" t="str">
        <x:v>CORP-0203</x:v>
      </x:c>
      <x:c r="Q242" s="12" t="str">
        <x:v>Ashok Leyland Ltd</x:v>
      </x:c>
    </x:row>
    <x:row r="243" ht="48" customHeight="1">
      <x:c r="A243" s="2" t="str">
        <x:v>TEN-D0879CBAC1A9</x:v>
      </x:c>
      <x:c r="B243" s="12" t="str">
        <x:v>Asian Paints</x:v>
      </x:c>
      <x:c r="C243" s="12" t="str">
        <x:v>Business / brand</x:v>
      </x:c>
      <x:c r="D243" s="12" t="str">
        <x:v>Engineering &amp; manufacturing</x:v>
      </x:c>
      <x:c r="E243" s="12" t="str">
        <x:v>Chemicals, materials &amp; industrial manufacturing</x:v>
      </x:c>
      <x:c r="F243" s="12" t="str">
        <x:v>Mixed business audience</x:v>
      </x:c>
      <x:c r="G243" s="12" t="str">
        <x:v>Recognisable business context; company-scale evidence remains insufficient for a single size band.</x:v>
      </x:c>
      <x:c r="H243" s="11" t="n">
        <x:v>1</x:v>
      </x:c>
      <x:c r="I243" s="11" t="n">
        <x:v>2</x:v>
      </x:c>
      <x:c r="J243" s="11" t="n">
        <x:v>2</x:v>
      </x:c>
      <x:c r="K243" s="11" t="n">
        <x:v>0</x:v>
      </x:c>
      <x:c r="L243" s="17" t="n">
        <x:f>SUM(SUMIFS('Costing'!$P$9:$P$492,'Costing'!$A$9:$A$492,"MAIN-271"))</x:f>
        <x:v>40000</x:v>
      </x:c>
      <x:c r="M243" s="17" t="n">
        <x:f>ROUND(L243*'Costing'!$C$4,2)</x:f>
        <x:v>7200</x:v>
      </x:c>
      <x:c r="N243" s="17" t="n">
        <x:f>L243+M243</x:f>
        <x:v>47200</x:v>
      </x:c>
      <x:c r="O243" s="12" t="str">
        <x:v>Indore</x:v>
      </x:c>
      <x:c r="P243" s="12" t="str">
        <x:v>CORP-0267</x:v>
      </x:c>
      <x:c r="Q243" s="12" t="str">
        <x:v>Asian Paints</x:v>
      </x:c>
    </x:row>
    <x:row r="244" ht="48" customHeight="1">
      <x:c r="A244" s="2" t="str">
        <x:v>TEN-EF60DF2E884D</x:v>
      </x:c>
      <x:c r="B244" s="12" t="str">
        <x:v>Aspire Systems</x:v>
      </x:c>
      <x:c r="C244" s="12" t="str">
        <x:v>Business / brand</x:v>
      </x:c>
      <x:c r="D244" s="12" t="str">
        <x:v>IT &amp; digital</x:v>
      </x:c>
      <x:c r="E244" s="12" t="str">
        <x:v>Enterprise software &amp; digital engineering</x:v>
      </x:c>
      <x:c r="F244" s="12" t="str">
        <x:v>Mixed business audience</x:v>
      </x:c>
      <x:c r="G244" s="12" t="str">
        <x:v>Established brand or business network; local company scale is not established. Use a mixed-business message.</x:v>
      </x:c>
      <x:c r="H244" s="11" t="n">
        <x:v>2</x:v>
      </x:c>
      <x:c r="I244" s="11" t="n">
        <x:v>2</x:v>
      </x:c>
      <x:c r="J244" s="11" t="n">
        <x:v>2</x:v>
      </x:c>
      <x:c r="K244" s="11" t="n">
        <x:v>0</x:v>
      </x:c>
      <x:c r="L244" s="17" t="n">
        <x:f>SUM(SUMIFS('Costing'!$P$9:$P$492,'Costing'!$A$9:$A$492,"PARTNER-M070"))</x:f>
        <x:v>80000</x:v>
      </x:c>
      <x:c r="M244" s="17" t="n">
        <x:f>ROUND(L244*'Costing'!$C$4,2)</x:f>
        <x:v>14400</x:v>
      </x:c>
      <x:c r="N244" s="17" t="n">
        <x:f>L244+M244</x:f>
        <x:v>94400</x:v>
      </x:c>
      <x:c r="O244" s="12" t="str">
        <x:v>Bengaluru</x:v>
      </x:c>
      <x:c r="P244" s="12" t="str">
        <x:v>CORP-0488, CORP-0489</x:v>
      </x:c>
      <x:c r="Q244" s="12" t="str">
        <x:v>Aspire Systems</x:v>
      </x:c>
    </x:row>
    <x:row r="245" ht="48" customHeight="1">
      <x:c r="A245" s="2" t="str">
        <x:v>TEN-D60A7EBBA35C</x:v>
      </x:c>
      <x:c r="B245" s="12" t="str">
        <x:v>Aspire Techlish Solutions LLP</x:v>
      </x:c>
      <x:c r="C245" s="12" t="str">
        <x:v>Business / brand</x:v>
      </x:c>
      <x:c r="D245" s="12" t="str">
        <x:v>Unresolved</x:v>
      </x:c>
      <x:c r="E245" s="12" t="str">
        <x:v>Business activity not established</x:v>
      </x:c>
      <x:c r="F245" s="12" t="str">
        <x:v>Mixed business audience</x:v>
      </x:c>
      <x:c r="G245" s="12" t="str">
        <x:v>Business activity and company scale are not established from this name.</x:v>
      </x:c>
      <x:c r="H245" s="11" t="n">
        <x:v>1</x:v>
      </x:c>
      <x:c r="I245" s="11" t="n">
        <x:v>2</x:v>
      </x:c>
      <x:c r="J245" s="11" t="n">
        <x:v>2</x:v>
      </x:c>
      <x:c r="K245" s="11" t="n">
        <x:v>0</x:v>
      </x:c>
      <x:c r="L245" s="17" t="n">
        <x:f>SUM(SUMIFS('Costing'!$P$9:$P$492,'Costing'!$A$9:$A$492,"MAIN-273"))</x:f>
        <x:v>40000</x:v>
      </x:c>
      <x:c r="M245" s="17" t="n">
        <x:f>ROUND(L245*'Costing'!$C$4,2)</x:f>
        <x:v>7200</x:v>
      </x:c>
      <x:c r="N245" s="17" t="n">
        <x:f>L245+M245</x:f>
        <x:v>47200</x:v>
      </x:c>
      <x:c r="O245" s="12" t="str">
        <x:v>Indore</x:v>
      </x:c>
      <x:c r="P245" s="12" t="str">
        <x:v>CORP-0269</x:v>
      </x:c>
      <x:c r="Q245" s="12" t="str">
        <x:v>Aspire Techlish Solutions LLP</x:v>
      </x:c>
    </x:row>
    <x:row r="246" ht="48" customHeight="1">
      <x:c r="A246" s="2" t="str">
        <x:v>TEN-496B7BB6B430</x:v>
      </x:c>
      <x:c r="B246" s="12" t="str">
        <x:v>Asset Reconstruction Company (India) Ltd</x:v>
      </x:c>
      <x:c r="C246" s="12" t="str">
        <x:v>Business / brand</x:v>
      </x:c>
      <x:c r="D246" s="12" t="str">
        <x:v>Finance &amp; insurance</x:v>
      </x:c>
      <x:c r="E246" s="12" t="str">
        <x:v>Banking, credit &amp; financial services</x:v>
      </x:c>
      <x:c r="F246" s="12" t="str">
        <x:v>Mixed business audience</x:v>
      </x:c>
      <x:c r="G246" s="12" t="str">
        <x:v>Established brand or business network; local company scale is not established. Use a mixed-business message.</x:v>
      </x:c>
      <x:c r="H246" s="11" t="n">
        <x:v>1</x:v>
      </x:c>
      <x:c r="I246" s="11" t="n">
        <x:v>2</x:v>
      </x:c>
      <x:c r="J246" s="11" t="n">
        <x:v>2</x:v>
      </x:c>
      <x:c r="K246" s="11" t="n">
        <x:v>0</x:v>
      </x:c>
      <x:c r="L246" s="17" t="n">
        <x:f>SUM(SUMIFS('Costing'!$P$9:$P$492,'Costing'!$A$9:$A$492,"MAIN-302"))</x:f>
        <x:v>30000</x:v>
      </x:c>
      <x:c r="M246" s="17" t="n">
        <x:f>ROUND(L246*'Costing'!$C$4,2)</x:f>
        <x:v>5400</x:v>
      </x:c>
      <x:c r="N246" s="17" t="n">
        <x:f>L246+M246</x:f>
        <x:v>35400</x:v>
      </x:c>
      <x:c r="O246" s="12" t="str">
        <x:v>Mumbai</x:v>
      </x:c>
      <x:c r="P246" s="12" t="str">
        <x:v>CORP-0298</x:v>
      </x:c>
      <x:c r="Q246" s="12" t="str">
        <x:v>Asset Reconstruction Company (India) Ltd</x:v>
      </x:c>
    </x:row>
    <x:row r="247" ht="48" customHeight="1">
      <x:c r="A247" s="2" t="str">
        <x:v>TEN-63BE8044D771</x:v>
      </x:c>
      <x:c r="B247" s="12" t="str">
        <x:v>Assure</x:v>
      </x:c>
      <x:c r="C247" s="12" t="str">
        <x:v>Business / brand</x:v>
      </x:c>
      <x:c r="D247" s="12" t="str">
        <x:v>Unresolved</x:v>
      </x:c>
      <x:c r="E247" s="12" t="str">
        <x:v>Business activity not established</x:v>
      </x:c>
      <x:c r="F247" s="12" t="str">
        <x:v>Mixed business audience</x:v>
      </x:c>
      <x:c r="G247" s="12" t="str">
        <x:v>Business activity and company scale are not established from this name.</x:v>
      </x:c>
      <x:c r="H247" s="11" t="n">
        <x:v>1</x:v>
      </x:c>
      <x:c r="I247" s="11" t="n">
        <x:v>2</x:v>
      </x:c>
      <x:c r="J247" s="11" t="n">
        <x:v>2</x:v>
      </x:c>
      <x:c r="K247" s="11" t="n">
        <x:v>0</x:v>
      </x:c>
      <x:c r="L247" s="17" t="n">
        <x:f>SUM(SUMIFS('Costing'!$P$9:$P$492,'Costing'!$A$9:$A$492,"MAIN-268"))</x:f>
        <x:v>80000</x:v>
      </x:c>
      <x:c r="M247" s="17" t="n">
        <x:f>ROUND(L247*'Costing'!$C$4,2)</x:f>
        <x:v>14400</x:v>
      </x:c>
      <x:c r="N247" s="17" t="n">
        <x:f>L247+M247</x:f>
        <x:v>94400</x:v>
      </x:c>
      <x:c r="O247" s="12" t="str">
        <x:v>Indore</x:v>
      </x:c>
      <x:c r="P247" s="12" t="str">
        <x:v>CORP-0264</x:v>
      </x:c>
      <x:c r="Q247" s="12" t="str">
        <x:v>Assure</x:v>
      </x:c>
    </x:row>
    <x:row r="248" ht="48" customHeight="1">
      <x:c r="A248" s="2" t="str">
        <x:v>TEN-38C0CE06A8BC</x:v>
      </x:c>
      <x:c r="B248" s="12" t="str">
        <x:v>Assystem Stup</x:v>
      </x:c>
      <x:c r="C248" s="12" t="str">
        <x:v>Business / brand</x:v>
      </x:c>
      <x:c r="D248" s="12" t="str">
        <x:v>Engineering &amp; manufacturing</x:v>
      </x:c>
      <x:c r="E248" s="12" t="str">
        <x:v>Engineering, testing &amp; technical services</x:v>
      </x:c>
      <x:c r="F248" s="12" t="str">
        <x:v>Mixed business audience</x:v>
      </x:c>
      <x:c r="G248" s="12" t="str">
        <x:v>Established brand or business network; local company scale is not established. Use a mixed-business message.</x:v>
      </x:c>
      <x:c r="H248" s="11" t="n">
        <x:v>1</x:v>
      </x:c>
      <x:c r="I248" s="11" t="n">
        <x:v>2</x:v>
      </x:c>
      <x:c r="J248" s="11" t="n">
        <x:v>2</x:v>
      </x:c>
      <x:c r="K248" s="11" t="n">
        <x:v>0</x:v>
      </x:c>
      <x:c r="L248" s="17" t="n">
        <x:f>SUM(SUMIFS('Costing'!$P$9:$P$492,'Costing'!$A$9:$A$492,"MAIN-389"))</x:f>
        <x:v>30000</x:v>
      </x:c>
      <x:c r="M248" s="17" t="n">
        <x:f>ROUND(L248*'Costing'!$C$4,2)</x:f>
        <x:v>5400</x:v>
      </x:c>
      <x:c r="N248" s="17" t="n">
        <x:f>L248+M248</x:f>
        <x:v>35400</x:v>
      </x:c>
      <x:c r="O248" s="12" t="str">
        <x:v>Pune</x:v>
      </x:c>
      <x:c r="P248" s="12" t="str">
        <x:v>CORP-0385</x:v>
      </x:c>
      <x:c r="Q248" s="12" t="str">
        <x:v>Assystem Stup</x:v>
      </x:c>
    </x:row>
    <x:row r="249" ht="48" customHeight="1">
      <x:c r="A249" s="2" t="str">
        <x:v>TEN-B9245A5BADFE</x:v>
      </x:c>
      <x:c r="B249" s="12" t="str">
        <x:v>aster</x:v>
      </x:c>
      <x:c r="C249" s="12" t="str">
        <x:v>Business / brand</x:v>
      </x:c>
      <x:c r="D249" s="12" t="str">
        <x:v>Unresolved</x:v>
      </x:c>
      <x:c r="E249" s="12" t="str">
        <x:v>Business activity not established</x:v>
      </x:c>
      <x:c r="F249" s="12" t="str">
        <x:v>Mixed business audience</x:v>
      </x:c>
      <x:c r="G249" s="12" t="str">
        <x:v>Business activity and company scale are not established from this name.</x:v>
      </x:c>
      <x:c r="H249" s="11" t="n">
        <x:v>1</x:v>
      </x:c>
      <x:c r="I249" s="11" t="n">
        <x:v>4</x:v>
      </x:c>
      <x:c r="J249" s="11" t="n">
        <x:v>4</x:v>
      </x:c>
      <x:c r="K249" s="11" t="n">
        <x:v>0</x:v>
      </x:c>
      <x:c r="L249" s="17" t="n">
        <x:f>SUM(SUMIFS('Costing'!$P$9:$P$492,'Costing'!$A$9:$A$492,"MAIN-014"))</x:f>
        <x:v>60000</x:v>
      </x:c>
      <x:c r="M249" s="17" t="n">
        <x:f>ROUND(L249*'Costing'!$C$4,2)</x:f>
        <x:v>10800</x:v>
      </x:c>
      <x:c r="N249" s="17" t="n">
        <x:f>L249+M249</x:f>
        <x:v>70800</x:v>
      </x:c>
      <x:c r="O249" s="12" t="str">
        <x:v>Bengaluru</x:v>
      </x:c>
      <x:c r="P249" s="12" t="str">
        <x:v>CORP-0010</x:v>
      </x:c>
      <x:c r="Q249" s="12" t="str">
        <x:v>aster</x:v>
      </x:c>
    </x:row>
    <x:row r="250" ht="48" customHeight="1">
      <x:c r="A250" s="2" t="str">
        <x:v>TEN-752677FEB07A</x:v>
      </x:c>
      <x:c r="B250" s="12" t="str">
        <x:v>Astrotalk</x:v>
      </x:c>
      <x:c r="C250" s="12" t="str">
        <x:v>Business / brand</x:v>
      </x:c>
      <x:c r="D250" s="12" t="str">
        <x:v>Trade, consumer &amp; logistics</x:v>
      </x:c>
      <x:c r="E250" s="12" t="str">
        <x:v>Entertainment, media &amp; events</x:v>
      </x:c>
      <x:c r="F250" s="12" t="str">
        <x:v>Small-scale prospects</x:v>
      </x:c>
      <x:c r="G250" s="12" t="str">
        <x:v>Trading or consumer-services business; small-scale prospect assumption.</x:v>
      </x:c>
      <x:c r="H250" s="11" t="n">
        <x:v>5</x:v>
      </x:c>
      <x:c r="I250" s="11" t="n">
        <x:v>5</x:v>
      </x:c>
      <x:c r="J250" s="11" t="n">
        <x:v>5</x:v>
      </x:c>
      <x:c r="K250" s="11" t="n">
        <x:v>0</x:v>
      </x:c>
      <x:c r="L250" s="17" t="n">
        <x:f>SUM(SUMIFS('Costing'!$P$9:$P$492,'Costing'!$A$9:$A$492,"PARTNER-M379"))</x:f>
        <x:v>200000</x:v>
      </x:c>
      <x:c r="M250" s="17" t="n">
        <x:f>ROUND(L250*'Costing'!$C$4,2)</x:f>
        <x:v>36000</x:v>
      </x:c>
      <x:c r="N250" s="17" t="n">
        <x:f>L250+M250</x:f>
        <x:v>236000</x:v>
      </x:c>
      <x:c r="O250" s="12" t="str">
        <x:v>Delhi NCR</x:v>
      </x:c>
      <x:c r="P250" s="12" t="str">
        <x:v>CORP-0792, CORP-0793, CORP-0794, CORP-0795, CORP-0796</x:v>
      </x:c>
      <x:c r="Q250" s="12" t="str">
        <x:v>Astrotalk</x:v>
      </x:c>
    </x:row>
    <x:row r="251" ht="48" customHeight="1">
      <x:c r="A251" s="2" t="str">
        <x:v>TEN-069C6A580D35</x:v>
      </x:c>
      <x:c r="B251" s="12" t="str">
        <x:v>asuku India Pvt Ltd</x:v>
      </x:c>
      <x:c r="C251" s="12" t="str">
        <x:v>Business / brand</x:v>
      </x:c>
      <x:c r="D251" s="12" t="str">
        <x:v>Unresolved</x:v>
      </x:c>
      <x:c r="E251" s="12" t="str">
        <x:v>Business activity not established</x:v>
      </x:c>
      <x:c r="F251" s="12" t="str">
        <x:v>Mixed business audience</x:v>
      </x:c>
      <x:c r="G251" s="12" t="str">
        <x:v>Business activity and company scale are not established from this name.</x:v>
      </x:c>
      <x:c r="H251" s="11" t="n">
        <x:v>3</x:v>
      </x:c>
      <x:c r="I251" s="11" t="n">
        <x:v>7</x:v>
      </x:c>
      <x:c r="J251" s="11" t="n">
        <x:v>7</x:v>
      </x:c>
      <x:c r="K251" s="11" t="n">
        <x:v>0</x:v>
      </x:c>
      <x:c r="L251" s="17" t="n">
        <x:f>SUM(SUMIFS('Costing'!$P$9:$P$492,'Costing'!$A$9:$A$492,"MAIN-163"),SUMIFS('Costing'!$P$9:$P$492,'Costing'!$A$9:$A$492,"MAIN-164"),SUMIFS('Costing'!$P$9:$P$492,'Costing'!$A$9:$A$492,"MAIN-180"))</x:f>
        <x:v>105000</x:v>
      </x:c>
      <x:c r="M251" s="17" t="n">
        <x:f>ROUND(L251*'Costing'!$C$4,2)</x:f>
        <x:v>18900</x:v>
      </x:c>
      <x:c r="N251" s="17" t="n">
        <x:f>L251+M251</x:f>
        <x:v>123900</x:v>
      </x:c>
      <x:c r="O251" s="12" t="str">
        <x:v>Delhi NCR</x:v>
      </x:c>
      <x:c r="P251" s="12" t="str">
        <x:v>CORP-0159, CORP-0160, CORP-0176</x:v>
      </x:c>
      <x:c r="Q251" s="12" t="str">
        <x:v>asuku India Pvt Ltd, asuku india pvt ltd</x:v>
      </x:c>
    </x:row>
    <x:row r="252" ht="48" customHeight="1">
      <x:c r="A252" s="2" t="str">
        <x:v>TEN-D260B37CCDE9</x:v>
      </x:c>
      <x:c r="B252" s="12" t="str">
        <x:v>Asunto technology</x:v>
      </x:c>
      <x:c r="C252" s="12" t="str">
        <x:v>Business / brand</x:v>
      </x:c>
      <x:c r="D252" s="12" t="str">
        <x:v>Unresolved</x:v>
      </x:c>
      <x:c r="E252" s="12" t="str">
        <x:v>Business activity not established</x:v>
      </x:c>
      <x:c r="F252" s="12" t="str">
        <x:v>Mixed business audience</x:v>
      </x:c>
      <x:c r="G252" s="12" t="str">
        <x:v>Business activity and company scale are not established from this name.</x:v>
      </x:c>
      <x:c r="H252" s="11" t="n">
        <x:v>1</x:v>
      </x:c>
      <x:c r="I252" s="11" t="n">
        <x:v>2</x:v>
      </x:c>
      <x:c r="J252" s="11" t="n">
        <x:v>2</x:v>
      </x:c>
      <x:c r="K252" s="11" t="n">
        <x:v>0</x:v>
      </x:c>
      <x:c r="L252" s="17" t="n">
        <x:f>SUM(SUMIFS('Costing'!$P$9:$P$492,'Costing'!$A$9:$A$492,"MAIN-081"))</x:f>
        <x:v>30000</x:v>
      </x:c>
      <x:c r="M252" s="17" t="n">
        <x:f>ROUND(L252*'Costing'!$C$4,2)</x:f>
        <x:v>5400</x:v>
      </x:c>
      <x:c r="N252" s="17" t="n">
        <x:f>L252+M252</x:f>
        <x:v>35400</x:v>
      </x:c>
      <x:c r="O252" s="12" t="str">
        <x:v>Bengaluru</x:v>
      </x:c>
      <x:c r="P252" s="12" t="str">
        <x:v>CORP-0077</x:v>
      </x:c>
      <x:c r="Q252" s="12" t="str">
        <x:v>Asunto technology</x:v>
      </x:c>
    </x:row>
    <x:row r="253" ht="48" customHeight="1">
      <x:c r="A253" s="2" t="str">
        <x:v>TEN-7C1C2E1FDB67</x:v>
      </x:c>
      <x:c r="B253" s="12" t="str">
        <x:v>AT&amp;T Communication Services</x:v>
      </x:c>
      <x:c r="C253" s="12" t="str">
        <x:v>Business / brand</x:v>
      </x:c>
      <x:c r="D253" s="12" t="str">
        <x:v>IT &amp; digital</x:v>
      </x:c>
      <x:c r="E253" s="12" t="str">
        <x:v>Telecom, networks &amp; connectivity</x:v>
      </x:c>
      <x:c r="F253" s="12" t="str">
        <x:v>Mixed business audience</x:v>
      </x:c>
      <x:c r="G253" s="12" t="str">
        <x:v>Established brand or business network; local company scale is not established. Use a mixed-business message.</x:v>
      </x:c>
      <x:c r="H253" s="11" t="n">
        <x:v>6</x:v>
      </x:c>
      <x:c r="I253" s="11" t="n">
        <x:v>6</x:v>
      </x:c>
      <x:c r="J253" s="11" t="n">
        <x:v>6</x:v>
      </x:c>
      <x:c r="K253" s="11" t="n">
        <x:v>0</x:v>
      </x:c>
      <x:c r="L253" s="17" t="n">
        <x:f>SUM(SUMIFS('Costing'!$P$9:$P$492,'Costing'!$A$9:$A$492,"PARTNER-M072"))</x:f>
        <x:v>240000</x:v>
      </x:c>
      <x:c r="M253" s="17" t="n">
        <x:f>ROUND(L253*'Costing'!$C$4,2)</x:f>
        <x:v>43200</x:v>
      </x:c>
      <x:c r="N253" s="17" t="n">
        <x:f>L253+M253</x:f>
        <x:v>283200</x:v>
      </x:c>
      <x:c r="O253" s="12" t="str">
        <x:v>Bengaluru</x:v>
      </x:c>
      <x:c r="P253" s="12" t="str">
        <x:v>CORP-0490, CORP-0491, CORP-0492, CORP-0493, CORP-0494, CORP-0495</x:v>
      </x:c>
      <x:c r="Q253" s="12" t="str">
        <x:v>AT&amp;T Communication Services</x:v>
      </x:c>
    </x:row>
    <x:row r="254" ht="48" customHeight="1">
      <x:c r="A254" s="2" t="str">
        <x:v>TEN-337FC025530C</x:v>
      </x:c>
      <x:c r="B254" s="12" t="str">
        <x:v>ATC India</x:v>
      </x:c>
      <x:c r="C254" s="12" t="str">
        <x:v>Business / brand</x:v>
      </x:c>
      <x:c r="D254" s="12" t="str">
        <x:v>IT &amp; digital</x:v>
      </x:c>
      <x:c r="E254" s="12" t="str">
        <x:v>Telecom, networks &amp; connectivity</x:v>
      </x:c>
      <x:c r="F254" s="12" t="str">
        <x:v>Mixed business audience</x:v>
      </x:c>
      <x:c r="G254" s="12" t="str">
        <x:v>Established brand or business network; local company scale is not established. Use a mixed-business message.</x:v>
      </x:c>
      <x:c r="H254" s="11" t="n">
        <x:v>1</x:v>
      </x:c>
      <x:c r="I254" s="11" t="n">
        <x:v>1</x:v>
      </x:c>
      <x:c r="J254" s="11" t="n">
        <x:v>1</x:v>
      </x:c>
      <x:c r="K254" s="11" t="n">
        <x:v>0</x:v>
      </x:c>
      <x:c r="L254" s="17" t="n">
        <x:f>SUM(SUMIFS('Costing'!$P$9:$P$492,'Costing'!$A$9:$A$492,"MAIN-272"))</x:f>
        <x:v>20000</x:v>
      </x:c>
      <x:c r="M254" s="17" t="n">
        <x:f>ROUND(L254*'Costing'!$C$4,2)</x:f>
        <x:v>3600</x:v>
      </x:c>
      <x:c r="N254" s="17" t="n">
        <x:f>L254+M254</x:f>
        <x:v>23600</x:v>
      </x:c>
      <x:c r="O254" s="12" t="str">
        <x:v>Indore</x:v>
      </x:c>
      <x:c r="P254" s="12" t="str">
        <x:v>CORP-0268</x:v>
      </x:c>
      <x:c r="Q254" s="12" t="str">
        <x:v>ATC India</x:v>
      </x:c>
    </x:row>
    <x:row r="255" ht="48" customHeight="1">
      <x:c r="A255" s="2" t="str">
        <x:v>TEN-0AD3D799437B</x:v>
      </x:c>
      <x:c r="B255" s="12" t="str">
        <x:v>ATC Telecom Infrastructure</x:v>
      </x:c>
      <x:c r="C255" s="12" t="str">
        <x:v>Business / brand</x:v>
      </x:c>
      <x:c r="D255" s="12" t="str">
        <x:v>IT &amp; digital</x:v>
      </x:c>
      <x:c r="E255" s="12" t="str">
        <x:v>Telecom, networks &amp; connectivity</x:v>
      </x:c>
      <x:c r="F255" s="12" t="str">
        <x:v>Mixed business audience</x:v>
      </x:c>
      <x:c r="G255" s="12" t="str">
        <x:v>Established brand or business network; local company scale is not established. Use a mixed-business message.</x:v>
      </x:c>
      <x:c r="H255" s="11" t="n">
        <x:v>1</x:v>
      </x:c>
      <x:c r="I255" s="11" t="n">
        <x:v>2</x:v>
      </x:c>
      <x:c r="J255" s="11" t="n">
        <x:v>2</x:v>
      </x:c>
      <x:c r="K255" s="11" t="n">
        <x:v>0</x:v>
      </x:c>
      <x:c r="L255" s="17" t="n">
        <x:f>SUM(SUMIFS('Costing'!$P$9:$P$492,'Costing'!$A$9:$A$492,"MAIN-407"))</x:f>
        <x:v>30000</x:v>
      </x:c>
      <x:c r="M255" s="17" t="n">
        <x:f>ROUND(L255*'Costing'!$C$4,2)</x:f>
        <x:v>5400</x:v>
      </x:c>
      <x:c r="N255" s="17" t="n">
        <x:f>L255+M255</x:f>
        <x:v>35400</x:v>
      </x:c>
      <x:c r="O255" s="12" t="str">
        <x:v>Pune</x:v>
      </x:c>
      <x:c r="P255" s="12" t="str">
        <x:v>CORP-0403</x:v>
      </x:c>
      <x:c r="Q255" s="12" t="str">
        <x:v>ATC Telecom Infrastructure</x:v>
      </x:c>
    </x:row>
    <x:row r="256" ht="48" customHeight="1">
      <x:c r="A256" s="2" t="str">
        <x:v>TEN-6F7359803DF1</x:v>
      </x:c>
      <x:c r="B256" s="12" t="str">
        <x:v>ATCS</x:v>
      </x:c>
      <x:c r="C256" s="12" t="str">
        <x:v>Business / brand</x:v>
      </x:c>
      <x:c r="D256" s="12" t="str">
        <x:v>IT &amp; digital</x:v>
      </x:c>
      <x:c r="E256" s="12" t="str">
        <x:v>Enterprise software &amp; digital engineering</x:v>
      </x:c>
      <x:c r="F256" s="12" t="str">
        <x:v>Small-scale prospects</x:v>
      </x:c>
      <x:c r="G256" s="12" t="str">
        <x:v>Software or technology-services business; small-scale prospect assumption.</x:v>
      </x:c>
      <x:c r="H256" s="11" t="n">
        <x:v>4</x:v>
      </x:c>
      <x:c r="I256" s="11" t="n">
        <x:v>4</x:v>
      </x:c>
      <x:c r="J256" s="11" t="n">
        <x:v>4</x:v>
      </x:c>
      <x:c r="K256" s="11" t="n">
        <x:v>0</x:v>
      </x:c>
      <x:c r="L256" s="17" t="n">
        <x:f>SUM(SUMIFS('Costing'!$P$9:$P$492,'Costing'!$A$9:$A$492,"PARTNER-M056"))</x:f>
        <x:v>160000</x:v>
      </x:c>
      <x:c r="M256" s="17" t="n">
        <x:f>ROUND(L256*'Costing'!$C$4,2)</x:f>
        <x:v>28800</x:v>
      </x:c>
      <x:c r="N256" s="17" t="n">
        <x:f>L256+M256</x:f>
        <x:v>188800</x:v>
      </x:c>
      <x:c r="O256" s="12" t="str">
        <x:v>Bengaluru</x:v>
      </x:c>
      <x:c r="P256" s="12" t="str">
        <x:v>CORP-0474, CORP-0475, CORP-0476, CORP-0477</x:v>
      </x:c>
      <x:c r="Q256" s="12" t="str">
        <x:v>ATCS</x:v>
      </x:c>
    </x:row>
    <x:row r="257" ht="48" customHeight="1">
      <x:c r="A257" s="2" t="str">
        <x:v>TEN-7505CCD0823D</x:v>
      </x:c>
      <x:c r="B257" s="12" t="str">
        <x:v>ATHENA BPO PVT. LTD</x:v>
      </x:c>
      <x:c r="C257" s="12" t="str">
        <x:v>Business / brand</x:v>
      </x:c>
      <x:c r="D257" s="12" t="str">
        <x:v>IT &amp; digital</x:v>
      </x:c>
      <x:c r="E257" s="12" t="str">
        <x:v>Business process &amp; customer operations</x:v>
      </x:c>
      <x:c r="F257" s="12" t="str">
        <x:v>Small-scale prospects</x:v>
      </x:c>
      <x:c r="G257" s="12" t="str">
        <x:v>Software or technology-services business; small-scale prospect assumption.</x:v>
      </x:c>
      <x:c r="H257" s="11" t="n">
        <x:v>1</x:v>
      </x:c>
      <x:c r="I257" s="11" t="n">
        <x:v>2</x:v>
      </x:c>
      <x:c r="J257" s="11" t="n">
        <x:v>2</x:v>
      </x:c>
      <x:c r="K257" s="11" t="n">
        <x:v>0</x:v>
      </x:c>
      <x:c r="L257" s="17" t="n">
        <x:f>SUM(SUMIFS('Costing'!$P$9:$P$492,'Costing'!$A$9:$A$492,"MAIN-347"))</x:f>
        <x:v>24000</x:v>
      </x:c>
      <x:c r="M257" s="17" t="n">
        <x:f>ROUND(L257*'Costing'!$C$4,2)</x:f>
        <x:v>4320</x:v>
      </x:c>
      <x:c r="N257" s="17" t="n">
        <x:f>L257+M257</x:f>
        <x:v>28320</x:v>
      </x:c>
      <x:c r="O257" s="12" t="str">
        <x:v>Mumbai</x:v>
      </x:c>
      <x:c r="P257" s="12" t="str">
        <x:v>CORP-0343</x:v>
      </x:c>
      <x:c r="Q257" s="12" t="str">
        <x:v>ATHENA BPO PVT. LTD</x:v>
      </x:c>
    </x:row>
    <x:row r="258" ht="48" customHeight="1">
      <x:c r="A258" s="2" t="str">
        <x:v>TEN-243411AB0A80</x:v>
      </x:c>
      <x:c r="B258" s="12" t="str">
        <x:v>Athena Health</x:v>
      </x:c>
      <x:c r="C258" s="12" t="str">
        <x:v>Business / brand</x:v>
      </x:c>
      <x:c r="D258" s="12" t="str">
        <x:v>Healthcare &amp; life sciences</x:v>
      </x:c>
      <x:c r="E258" s="12" t="str">
        <x:v>Clinical, medical &amp; diagnostic services</x:v>
      </x:c>
      <x:c r="F258" s="12" t="str">
        <x:v>Mixed business audience</x:v>
      </x:c>
      <x:c r="G258" s="12" t="str">
        <x:v>Established brand or business network; local company scale is not established. Use a mixed-business message.</x:v>
      </x:c>
      <x:c r="H258" s="11" t="n">
        <x:v>1</x:v>
      </x:c>
      <x:c r="I258" s="11" t="n">
        <x:v>3</x:v>
      </x:c>
      <x:c r="J258" s="11" t="n">
        <x:v>3</x:v>
      </x:c>
      <x:c r="K258" s="11" t="n">
        <x:v>0</x:v>
      </x:c>
      <x:c r="L258" s="17" t="n">
        <x:f>SUM(SUMIFS('Costing'!$P$9:$P$492,'Costing'!$A$9:$A$492,"MAIN-422"))</x:f>
        <x:v>45000</x:v>
      </x:c>
      <x:c r="M258" s="17" t="n">
        <x:f>ROUND(L258*'Costing'!$C$4,2)</x:f>
        <x:v>8100</x:v>
      </x:c>
      <x:c r="N258" s="17" t="n">
        <x:f>L258+M258</x:f>
        <x:v>53100</x:v>
      </x:c>
      <x:c r="O258" s="12" t="str">
        <x:v>Pune</x:v>
      </x:c>
      <x:c r="P258" s="12" t="str">
        <x:v>CORP-0418</x:v>
      </x:c>
      <x:c r="Q258" s="12" t="str">
        <x:v>Athena Health</x:v>
      </x:c>
    </x:row>
    <x:row r="259" ht="48" customHeight="1">
      <x:c r="A259" s="2" t="str">
        <x:v>TEN-A1CAB074F125</x:v>
      </x:c>
      <x:c r="B259" s="12" t="str">
        <x:v>atlantis Diagnostic center</x:v>
      </x:c>
      <x:c r="C259" s="12" t="str">
        <x:v>Business / brand</x:v>
      </x:c>
      <x:c r="D259" s="12" t="str">
        <x:v>Healthcare &amp; life sciences</x:v>
      </x:c>
      <x:c r="E259" s="12" t="str">
        <x:v>Clinical, medical &amp; diagnostic services</x:v>
      </x:c>
      <x:c r="F259" s="12" t="str">
        <x:v>Small-scale prospects</x:v>
      </x:c>
      <x:c r="G259" s="12" t="str">
        <x:v>Healthcare services business; small-scale prospect assumption.</x:v>
      </x:c>
      <x:c r="H259" s="11" t="n">
        <x:v>1</x:v>
      </x:c>
      <x:c r="I259" s="11" t="n">
        <x:v>4</x:v>
      </x:c>
      <x:c r="J259" s="11" t="n">
        <x:v>4</x:v>
      </x:c>
      <x:c r="K259" s="11" t="n">
        <x:v>0</x:v>
      </x:c>
      <x:c r="L259" s="17" t="n">
        <x:f>SUM(SUMIFS('Costing'!$P$9:$P$492,'Costing'!$A$9:$A$492,"MAIN-291"))</x:f>
        <x:v>160000</x:v>
      </x:c>
      <x:c r="M259" s="17" t="n">
        <x:f>ROUND(L259*'Costing'!$C$4,2)</x:f>
        <x:v>28800</x:v>
      </x:c>
      <x:c r="N259" s="17" t="n">
        <x:f>L259+M259</x:f>
        <x:v>188800</x:v>
      </x:c>
      <x:c r="O259" s="12" t="str">
        <x:v>Lucknow</x:v>
      </x:c>
      <x:c r="P259" s="12" t="str">
        <x:v>CORP-0287</x:v>
      </x:c>
      <x:c r="Q259" s="12" t="str">
        <x:v>atlantis Diagnostic center</x:v>
      </x:c>
    </x:row>
    <x:row r="260" ht="48" customHeight="1">
      <x:c r="A260" s="2" t="str">
        <x:v>TEN-955D5077F546</x:v>
      </x:c>
      <x:c r="B260" s="12" t="str">
        <x:v>Atlas Copco</x:v>
      </x:c>
      <x:c r="C260" s="12" t="str">
        <x:v>Business / brand</x:v>
      </x:c>
      <x:c r="D260" s="12" t="str">
        <x:v>Engineering &amp; manufacturing</x:v>
      </x:c>
      <x:c r="E260" s="12" t="str">
        <x:v>Engineering/manufacturing — specialty unverified</x:v>
      </x:c>
      <x:c r="F260" s="12" t="str">
        <x:v>Mixed business audience</x:v>
      </x:c>
      <x:c r="G260" s="12" t="str">
        <x:v>Recognisable business context; company-scale evidence remains insufficient for a single size band.</x:v>
      </x:c>
      <x:c r="H260" s="11" t="n">
        <x:v>5</x:v>
      </x:c>
      <x:c r="I260" s="11" t="n">
        <x:v>5</x:v>
      </x:c>
      <x:c r="J260" s="11" t="n">
        <x:v>5</x:v>
      </x:c>
      <x:c r="K260" s="11" t="n">
        <x:v>0</x:v>
      </x:c>
      <x:c r="L260" s="17" t="n">
        <x:f>SUM(SUMIFS('Costing'!$P$9:$P$492,'Costing'!$A$9:$A$492,"PARTNER-M051"))</x:f>
        <x:v>200000</x:v>
      </x:c>
      <x:c r="M260" s="17" t="n">
        <x:f>ROUND(L260*'Costing'!$C$4,2)</x:f>
        <x:v>36000</x:v>
      </x:c>
      <x:c r="N260" s="17" t="n">
        <x:f>L260+M260</x:f>
        <x:v>236000</x:v>
      </x:c>
      <x:c r="O260" s="12" t="str">
        <x:v>Bengaluru</x:v>
      </x:c>
      <x:c r="P260" s="12" t="str">
        <x:v>CORP-0469, CORP-0470, CORP-0471, CORP-0472, CORP-0473</x:v>
      </x:c>
      <x:c r="Q260" s="12" t="str">
        <x:v>Atlas Copco</x:v>
      </x:c>
    </x:row>
    <x:row r="261" ht="48" customHeight="1">
      <x:c r="A261" s="2" t="str">
        <x:v>TEN-CC236CA9F0D8</x:v>
      </x:c>
      <x:c r="B261" s="12" t="str">
        <x:v>Atlassian India</x:v>
      </x:c>
      <x:c r="C261" s="12" t="str">
        <x:v>Business / brand</x:v>
      </x:c>
      <x:c r="D261" s="12" t="str">
        <x:v>IT &amp; digital</x:v>
      </x:c>
      <x:c r="E261" s="12" t="str">
        <x:v>Technology services — specialty unverified</x:v>
      </x:c>
      <x:c r="F261" s="12" t="str">
        <x:v>Large enterprise</x:v>
      </x:c>
      <x:c r="G261" s="12" t="str">
        <x:v>Explicit Atlassian enterprise-family context; see ENTERPRISE_SUPP_040 evidence.</x:v>
      </x:c>
      <x:c r="H261" s="11" t="n">
        <x:v>2</x:v>
      </x:c>
      <x:c r="I261" s="11" t="n">
        <x:v>5</x:v>
      </x:c>
      <x:c r="J261" s="11" t="n">
        <x:v>5</x:v>
      </x:c>
      <x:c r="K261" s="11" t="n">
        <x:v>0</x:v>
      </x:c>
      <x:c r="L261" s="17" t="n">
        <x:f>SUM(SUMIFS('Costing'!$P$9:$P$492,'Costing'!$A$9:$A$492,"MAIN-113"),SUMIFS('Costing'!$P$9:$P$492,'Costing'!$A$9:$A$492,"MAIN-128"))</x:f>
        <x:v>125000</x:v>
      </x:c>
      <x:c r="M261" s="17" t="n">
        <x:f>ROUND(L261*'Costing'!$C$4,2)</x:f>
        <x:v>22500</x:v>
      </x:c>
      <x:c r="N261" s="17" t="n">
        <x:f>L261+M261</x:f>
        <x:v>147500</x:v>
      </x:c>
      <x:c r="O261" s="12" t="str">
        <x:v>Bengaluru</x:v>
      </x:c>
      <x:c r="P261" s="12" t="str">
        <x:v>CORP-0109, CORP-0124</x:v>
      </x:c>
      <x:c r="Q261" s="12" t="str">
        <x:v>Atlassian India</x:v>
      </x:c>
    </x:row>
    <x:row r="262" ht="48" customHeight="1">
      <x:c r="A262" s="2" t="str">
        <x:v>TEN-1F7F342C1544</x:v>
      </x:c>
      <x:c r="B262" s="12" t="str">
        <x:v>Atlys India Pvt Ltd</x:v>
      </x:c>
      <x:c r="C262" s="12" t="str">
        <x:v>Business / brand</x:v>
      </x:c>
      <x:c r="D262" s="12" t="str">
        <x:v>Professional services</x:v>
      </x:c>
      <x:c r="E262" s="12" t="str">
        <x:v>Research, marketing &amp; professional services</x:v>
      </x:c>
      <x:c r="F262" s="12" t="str">
        <x:v>Small-scale prospects</x:v>
      </x:c>
      <x:c r="G262" s="12" t="str">
        <x:v>Professional service, agency or advisory model; small-scale prospect assumption.</x:v>
      </x:c>
      <x:c r="H262" s="11" t="n">
        <x:v>1</x:v>
      </x:c>
      <x:c r="I262" s="11" t="n">
        <x:v>3</x:v>
      </x:c>
      <x:c r="J262" s="11" t="n">
        <x:v>3</x:v>
      </x:c>
      <x:c r="K262" s="11" t="n">
        <x:v>0</x:v>
      </x:c>
      <x:c r="L262" s="17" t="n">
        <x:f>SUM(SUMIFS('Costing'!$P$9:$P$492,'Costing'!$A$9:$A$492,"MAIN-359"))</x:f>
        <x:v>75000</x:v>
      </x:c>
      <x:c r="M262" s="17" t="n">
        <x:f>ROUND(L262*'Costing'!$C$4,2)</x:f>
        <x:v>13500</x:v>
      </x:c>
      <x:c r="N262" s="17" t="n">
        <x:f>L262+M262</x:f>
        <x:v>88500</x:v>
      </x:c>
      <x:c r="O262" s="12" t="str">
        <x:v>Mumbai</x:v>
      </x:c>
      <x:c r="P262" s="12" t="str">
        <x:v>CORP-0355</x:v>
      </x:c>
      <x:c r="Q262" s="12" t="str">
        <x:v>Atlys India Pvt Ltd</x:v>
      </x:c>
    </x:row>
    <x:row r="263" ht="48" customHeight="1">
      <x:c r="A263" s="2" t="str">
        <x:v>TEN-C79EC7F1D968</x:v>
      </x:c>
      <x:c r="B263" s="12" t="str">
        <x:v>ATN</x:v>
      </x:c>
      <x:c r="C263" s="12" t="str">
        <x:v>Business / brand</x:v>
      </x:c>
      <x:c r="D263" s="12" t="str">
        <x:v>Unresolved</x:v>
      </x:c>
      <x:c r="E263" s="12" t="str">
        <x:v>Business activity not established</x:v>
      </x:c>
      <x:c r="F263" s="12" t="str">
        <x:v>Mixed business audience</x:v>
      </x:c>
      <x:c r="G263" s="12" t="str">
        <x:v>Business activity and company scale are not established from this name.</x:v>
      </x:c>
      <x:c r="H263" s="11" t="n">
        <x:v>2</x:v>
      </x:c>
      <x:c r="I263" s="11" t="n">
        <x:v>23</x:v>
      </x:c>
      <x:c r="J263" s="11" t="n">
        <x:v>23</x:v>
      </x:c>
      <x:c r="K263" s="11" t="n">
        <x:v>0</x:v>
      </x:c>
      <x:c r="L263" s="17" t="n">
        <x:f>SUM(SUMIFS('Costing'!$P$9:$P$492,'Costing'!$A$9:$A$492,"MAIN-238"),SUMIFS('Costing'!$P$9:$P$492,'Costing'!$A$9:$A$492,"MAIN-239"))</x:f>
        <x:v>405000</x:v>
      </x:c>
      <x:c r="M263" s="17" t="n">
        <x:f>ROUND(L263*'Costing'!$C$4,2)</x:f>
        <x:v>72900</x:v>
      </x:c>
      <x:c r="N263" s="17" t="n">
        <x:f>L263+M263</x:f>
        <x:v>477900</x:v>
      </x:c>
      <x:c r="O263" s="12" t="str">
        <x:v>Hyderabad</x:v>
      </x:c>
      <x:c r="P263" s="12" t="str">
        <x:v>CORP-0234, CORP-0235</x:v>
      </x:c>
      <x:c r="Q263" s="12" t="str">
        <x:v>ATN</x:v>
      </x:c>
    </x:row>
    <x:row r="264" ht="48" customHeight="1">
      <x:c r="A264" s="2" t="str">
        <x:v>TEN-46FF0B8F24EC</x:v>
      </x:c>
      <x:c r="B264" s="12" t="str">
        <x:v>ATOS</x:v>
      </x:c>
      <x:c r="C264" s="12" t="str">
        <x:v>Business / brand</x:v>
      </x:c>
      <x:c r="D264" s="12" t="str">
        <x:v>IT &amp; digital</x:v>
      </x:c>
      <x:c r="E264" s="12" t="str">
        <x:v>Technology services — specialty unverified</x:v>
      </x:c>
      <x:c r="F264" s="12" t="str">
        <x:v>Large enterprise</x:v>
      </x:c>
      <x:c r="G264" s="12" t="str">
        <x:v>Explicit Atos enterprise-family context; see ENTERPRISE_SUPP_021 evidence.</x:v>
      </x:c>
      <x:c r="H264" s="11" t="n">
        <x:v>1</x:v>
      </x:c>
      <x:c r="I264" s="11" t="n">
        <x:v>5</x:v>
      </x:c>
      <x:c r="J264" s="11" t="n">
        <x:v>5</x:v>
      </x:c>
      <x:c r="K264" s="11" t="n">
        <x:v>0</x:v>
      </x:c>
      <x:c r="L264" s="17" t="n">
        <x:f>SUM(SUMIFS('Costing'!$P$9:$P$492,'Costing'!$A$9:$A$492,"MAIN-338"))</x:f>
        <x:v>200000</x:v>
      </x:c>
      <x:c r="M264" s="17" t="n">
        <x:f>ROUND(L264*'Costing'!$C$4,2)</x:f>
        <x:v>36000</x:v>
      </x:c>
      <x:c r="N264" s="17" t="n">
        <x:f>L264+M264</x:f>
        <x:v>236000</x:v>
      </x:c>
      <x:c r="O264" s="12" t="str">
        <x:v>Mumbai</x:v>
      </x:c>
      <x:c r="P264" s="12" t="str">
        <x:v>CORP-0334</x:v>
      </x:c>
      <x:c r="Q264" s="12" t="str">
        <x:v>ATOS</x:v>
      </x:c>
    </x:row>
    <x:row r="265" ht="48" customHeight="1">
      <x:c r="A265" s="2" t="str">
        <x:v>TEN-482FDA90611F</x:v>
      </x:c>
      <x:c r="B265" s="12" t="str">
        <x:v>Atos Global IT Solutions and Services Private Limited</x:v>
      </x:c>
      <x:c r="C265" s="12" t="str">
        <x:v>Business / brand</x:v>
      </x:c>
      <x:c r="D265" s="12" t="str">
        <x:v>IT &amp; digital</x:v>
      </x:c>
      <x:c r="E265" s="12" t="str">
        <x:v>Enterprise software &amp; digital engineering</x:v>
      </x:c>
      <x:c r="F265" s="12" t="str">
        <x:v>Large enterprise</x:v>
      </x:c>
      <x:c r="G265" s="12" t="str">
        <x:v>Explicit Atos enterprise-family context; see ENTERPRISE_SUPP_021 evidence.</x:v>
      </x:c>
      <x:c r="H265" s="11" t="n">
        <x:v>1</x:v>
      </x:c>
      <x:c r="I265" s="11" t="n">
        <x:v>2</x:v>
      </x:c>
      <x:c r="J265" s="11" t="n">
        <x:v>2</x:v>
      </x:c>
      <x:c r="K265" s="11" t="n">
        <x:v>0</x:v>
      </x:c>
      <x:c r="L265" s="17" t="n">
        <x:f>SUM(SUMIFS('Costing'!$P$9:$P$492,'Costing'!$A$9:$A$492,"MAIN-037"))</x:f>
        <x:v>80000</x:v>
      </x:c>
      <x:c r="M265" s="17" t="n">
        <x:f>ROUND(L265*'Costing'!$C$4,2)</x:f>
        <x:v>14400</x:v>
      </x:c>
      <x:c r="N265" s="17" t="n">
        <x:f>L265+M265</x:f>
        <x:v>94400</x:v>
      </x:c>
      <x:c r="O265" s="12" t="str">
        <x:v>Bengaluru</x:v>
      </x:c>
      <x:c r="P265" s="12" t="str">
        <x:v>CORP-0033</x:v>
      </x:c>
      <x:c r="Q265" s="12" t="str">
        <x:v>Atos Global IT Solutions and Services Private Limited</x:v>
      </x:c>
    </x:row>
    <x:row r="266" ht="48" customHeight="1">
      <x:c r="A266" s="2" t="str">
        <x:v>TEN-B73A39ADECC4</x:v>
      </x:c>
      <x:c r="B266" s="12" t="str">
        <x:v>ATOS IT</x:v>
      </x:c>
      <x:c r="C266" s="12" t="str">
        <x:v>Business / brand</x:v>
      </x:c>
      <x:c r="D266" s="12" t="str">
        <x:v>IT &amp; digital</x:v>
      </x:c>
      <x:c r="E266" s="12" t="str">
        <x:v>Technology services — specialty unverified</x:v>
      </x:c>
      <x:c r="F266" s="12" t="str">
        <x:v>Large enterprise</x:v>
      </x:c>
      <x:c r="G266" s="12" t="str">
        <x:v>Explicit Atos enterprise-family context; see ENTERPRISE_SUPP_021 evidence.</x:v>
      </x:c>
      <x:c r="H266" s="11" t="n">
        <x:v>9</x:v>
      </x:c>
      <x:c r="I266" s="11" t="n">
        <x:v>9</x:v>
      </x:c>
      <x:c r="J266" s="11" t="n">
        <x:v>9</x:v>
      </x:c>
      <x:c r="K266" s="11" t="n">
        <x:v>0</x:v>
      </x:c>
      <x:c r="L266" s="17" t="n">
        <x:f>SUM(SUMIFS('Costing'!$P$9:$P$492,'Costing'!$A$9:$A$492,"PARTNER-M002"))</x:f>
        <x:v>360000</x:v>
      </x:c>
      <x:c r="M266" s="17" t="n">
        <x:f>ROUND(L266*'Costing'!$C$4,2)</x:f>
        <x:v>64800</x:v>
      </x:c>
      <x:c r="N266" s="17" t="n">
        <x:f>L266+M266</x:f>
        <x:v>424800</x:v>
      </x:c>
      <x:c r="O266" s="12" t="str">
        <x:v>Bengaluru</x:v>
      </x:c>
      <x:c r="P266" s="12" t="str">
        <x:v>CORP-0420, CORP-0421, CORP-0422, CORP-0423, CORP-0424, CORP-0425, CORP-0426, CORP-0427, CORP-0428</x:v>
      </x:c>
      <x:c r="Q266" s="12" t="str">
        <x:v>ATOS IT, ATOST IT</x:v>
      </x:c>
    </x:row>
    <x:row r="267" ht="48" customHeight="1">
      <x:c r="A267" s="2" t="str">
        <x:v>TEN-1A7118C1FC7F</x:v>
      </x:c>
      <x:c r="B267" s="12" t="str">
        <x:v>Atradious India Credit Management service</x:v>
      </x:c>
      <x:c r="C267" s="12" t="str">
        <x:v>Business / brand</x:v>
      </x:c>
      <x:c r="D267" s="12" t="str">
        <x:v>Finance &amp; insurance</x:v>
      </x:c>
      <x:c r="E267" s="12" t="str">
        <x:v>Banking &amp; credit</x:v>
      </x:c>
      <x:c r="F267" s="12" t="str">
        <x:v>Mixed business audience</x:v>
      </x:c>
      <x:c r="G267" s="12" t="str">
        <x:v>Established brand or business network; local company scale is not established. Use a mixed-business message.</x:v>
      </x:c>
      <x:c r="H267" s="11" t="n">
        <x:v>1</x:v>
      </x:c>
      <x:c r="I267" s="11" t="n">
        <x:v>9</x:v>
      </x:c>
      <x:c r="J267" s="11" t="n">
        <x:v>9</x:v>
      </x:c>
      <x:c r="K267" s="11" t="n">
        <x:v>0</x:v>
      </x:c>
      <x:c r="L267" s="17" t="n">
        <x:f>SUM(SUMIFS('Costing'!$P$9:$P$492,'Costing'!$A$9:$A$492,"MAIN-326"))</x:f>
        <x:v>360000</x:v>
      </x:c>
      <x:c r="M267" s="17" t="n">
        <x:f>ROUND(L267*'Costing'!$C$4,2)</x:f>
        <x:v>64800</x:v>
      </x:c>
      <x:c r="N267" s="17" t="n">
        <x:f>L267+M267</x:f>
        <x:v>424800</x:v>
      </x:c>
      <x:c r="O267" s="12" t="str">
        <x:v>Mumbai</x:v>
      </x:c>
      <x:c r="P267" s="12" t="str">
        <x:v>CORP-0322</x:v>
      </x:c>
      <x:c r="Q267" s="12" t="str">
        <x:v>Atradious India Credit Management service</x:v>
      </x:c>
    </x:row>
    <x:row r="268" ht="48" customHeight="1">
      <x:c r="A268" s="2" t="str">
        <x:v>TEN-36780DC603DA</x:v>
      </x:c>
      <x:c r="B268" s="12" t="str">
        <x:v>Atraduius Collection</x:v>
      </x:c>
      <x:c r="C268" s="12" t="str">
        <x:v>Business / brand</x:v>
      </x:c>
      <x:c r="D268" s="12" t="str">
        <x:v>Finance &amp; insurance</x:v>
      </x:c>
      <x:c r="E268" s="12" t="str">
        <x:v>Banking, credit &amp; financial services</x:v>
      </x:c>
      <x:c r="F268" s="12" t="str">
        <x:v>Mixed business audience</x:v>
      </x:c>
      <x:c r="G268" s="12" t="str">
        <x:v>Established brand or business network; local company scale is not established. Use a mixed-business message.</x:v>
      </x:c>
      <x:c r="H268" s="11" t="n">
        <x:v>1</x:v>
      </x:c>
      <x:c r="I268" s="11" t="n">
        <x:v>9</x:v>
      </x:c>
      <x:c r="J268" s="11" t="n">
        <x:v>9</x:v>
      </x:c>
      <x:c r="K268" s="11" t="n">
        <x:v>0</x:v>
      </x:c>
      <x:c r="L268" s="17" t="n">
        <x:f>SUM(SUMIFS('Costing'!$P$9:$P$492,'Costing'!$A$9:$A$492,"MAIN-326"))</x:f>
        <x:v>360000</x:v>
      </x:c>
      <x:c r="M268" s="17" t="n">
        <x:f>ROUND(L268*'Costing'!$C$4,2)</x:f>
        <x:v>64800</x:v>
      </x:c>
      <x:c r="N268" s="17" t="n">
        <x:f>L268+M268</x:f>
        <x:v>424800</x:v>
      </x:c>
      <x:c r="O268" s="12" t="str">
        <x:v>Mumbai</x:v>
      </x:c>
      <x:c r="P268" s="12" t="str">
        <x:v>CORP-0322</x:v>
      </x:c>
      <x:c r="Q268" s="12" t="str">
        <x:v>Atraduius Collection</x:v>
      </x:c>
    </x:row>
    <x:row r="269" ht="48" customHeight="1">
      <x:c r="A269" s="2" t="str">
        <x:v>TEN-91BEEC88DDAF</x:v>
      </x:c>
      <x:c r="B269" s="12" t="str">
        <x:v>Atsiro Pvt Ltd</x:v>
      </x:c>
      <x:c r="C269" s="12" t="str">
        <x:v>Business / brand</x:v>
      </x:c>
      <x:c r="D269" s="12" t="str">
        <x:v>Unresolved</x:v>
      </x:c>
      <x:c r="E269" s="12" t="str">
        <x:v>Business activity not established</x:v>
      </x:c>
      <x:c r="F269" s="12" t="str">
        <x:v>Mixed business audience</x:v>
      </x:c>
      <x:c r="G269" s="12" t="str">
        <x:v>Business activity and company scale are not established from this name.</x:v>
      </x:c>
      <x:c r="H269" s="11" t="n">
        <x:v>2</x:v>
      </x:c>
      <x:c r="I269" s="11" t="n">
        <x:v>2</x:v>
      </x:c>
      <x:c r="J269" s="11" t="n">
        <x:v>2</x:v>
      </x:c>
      <x:c r="K269" s="11" t="n">
        <x:v>0</x:v>
      </x:c>
      <x:c r="L269" s="17" t="n">
        <x:f>SUM(SUMIFS('Costing'!$P$9:$P$492,'Costing'!$A$9:$A$492,"PARTNER-M065"))</x:f>
        <x:v>80000</x:v>
      </x:c>
      <x:c r="M269" s="17" t="n">
        <x:f>ROUND(L269*'Costing'!$C$4,2)</x:f>
        <x:v>14400</x:v>
      </x:c>
      <x:c r="N269" s="17" t="n">
        <x:f>L269+M269</x:f>
        <x:v>94400</x:v>
      </x:c>
      <x:c r="O269" s="12" t="str">
        <x:v>Bengaluru</x:v>
      </x:c>
      <x:c r="P269" s="12" t="str">
        <x:v>CORP-0483, CORP-0484</x:v>
      </x:c>
      <x:c r="Q269" s="12" t="str">
        <x:v>Atsiro Pvt Ltd</x:v>
      </x:c>
    </x:row>
    <x:row r="270" ht="48" customHeight="1">
      <x:c r="A270" s="2" t="str">
        <x:v>TEN-F1E6F3520D7D</x:v>
      </x:c>
      <x:c r="B270" s="12" t="str">
        <x:v>Attacktic Labs</x:v>
      </x:c>
      <x:c r="C270" s="12" t="str">
        <x:v>Business / brand</x:v>
      </x:c>
      <x:c r="D270" s="12" t="str">
        <x:v>Unresolved</x:v>
      </x:c>
      <x:c r="E270" s="12" t="str">
        <x:v>Business activity not established</x:v>
      </x:c>
      <x:c r="F270" s="12" t="str">
        <x:v>Mixed business audience</x:v>
      </x:c>
      <x:c r="G270" s="12" t="str">
        <x:v>Business activity and company scale are not established from this name.</x:v>
      </x:c>
      <x:c r="H270" s="11" t="n">
        <x:v>5</x:v>
      </x:c>
      <x:c r="I270" s="11" t="n">
        <x:v>5</x:v>
      </x:c>
      <x:c r="J270" s="11" t="n">
        <x:v>5</x:v>
      </x:c>
      <x:c r="K270" s="11" t="n">
        <x:v>0</x:v>
      </x:c>
      <x:c r="L270" s="17" t="n">
        <x:f>SUM(SUMIFS('Costing'!$P$9:$P$492,'Costing'!$A$9:$A$492,"PARTNER-M384"))</x:f>
        <x:v>200000</x:v>
      </x:c>
      <x:c r="M270" s="17" t="n">
        <x:f>ROUND(L270*'Costing'!$C$4,2)</x:f>
        <x:v>36000</x:v>
      </x:c>
      <x:c r="N270" s="17" t="n">
        <x:f>L270+M270</x:f>
        <x:v>236000</x:v>
      </x:c>
      <x:c r="O270" s="12" t="str">
        <x:v>Delhi NCR</x:v>
      </x:c>
      <x:c r="P270" s="12" t="str">
        <x:v>CORP-0797, CORP-0798, CORP-0799, CORP-0800, CORP-0801</x:v>
      </x:c>
      <x:c r="Q270" s="12" t="str">
        <x:v>Attacktic Labs</x:v>
      </x:c>
    </x:row>
    <x:row r="271" ht="48" customHeight="1">
      <x:c r="A271" s="2" t="str">
        <x:v>TEN-1781916B2378</x:v>
      </x:c>
      <x:c r="B271" s="12" t="str">
        <x:v>Attra Infotech</x:v>
      </x:c>
      <x:c r="C271" s="12" t="str">
        <x:v>Business / brand</x:v>
      </x:c>
      <x:c r="D271" s="12" t="str">
        <x:v>IT &amp; digital</x:v>
      </x:c>
      <x:c r="E271" s="12" t="str">
        <x:v>Enterprise software &amp; digital engineering</x:v>
      </x:c>
      <x:c r="F271" s="12" t="str">
        <x:v>Mixed business audience</x:v>
      </x:c>
      <x:c r="G271" s="12" t="str">
        <x:v>Established brand or business network; local company scale is not established. Use a mixed-business message.</x:v>
      </x:c>
      <x:c r="H271" s="11" t="n">
        <x:v>8</x:v>
      </x:c>
      <x:c r="I271" s="11" t="n">
        <x:v>8</x:v>
      </x:c>
      <x:c r="J271" s="11" t="n">
        <x:v>8</x:v>
      </x:c>
      <x:c r="K271" s="11" t="n">
        <x:v>0</x:v>
      </x:c>
      <x:c r="L271" s="17" t="n">
        <x:f>SUM(SUMIFS('Costing'!$P$9:$P$492,'Costing'!$A$9:$A$492,"PARTNER-M300"))</x:f>
        <x:v>320000</x:v>
      </x:c>
      <x:c r="M271" s="17" t="n">
        <x:f>ROUND(L271*'Costing'!$C$4,2)</x:f>
        <x:v>57600</x:v>
      </x:c>
      <x:c r="N271" s="17" t="n">
        <x:f>L271+M271</x:f>
        <x:v>377600</x:v>
      </x:c>
      <x:c r="O271" s="12" t="str">
        <x:v>Hyderabad</x:v>
      </x:c>
      <x:c r="P271" s="12" t="str">
        <x:v>CORP-0715, CORP-0716, CORP-0717, CORP-0718, CORP-0719, CORP-0720, CORP-0721, CORP-0722</x:v>
      </x:c>
      <x:c r="Q271" s="12" t="str">
        <x:v>Attra Infotech</x:v>
      </x:c>
    </x:row>
    <x:row r="272" ht="48" customHeight="1">
      <x:c r="A272" s="2" t="str">
        <x:v>TEN-F0F59D5208F6</x:v>
      </x:c>
      <x:c r="B272" s="12" t="str">
        <x:v>AU Bank</x:v>
      </x:c>
      <x:c r="C272" s="12" t="str">
        <x:v>Business / brand</x:v>
      </x:c>
      <x:c r="D272" s="12" t="str">
        <x:v>Finance &amp; insurance</x:v>
      </x:c>
      <x:c r="E272" s="12" t="str">
        <x:v>Banking &amp; credit</x:v>
      </x:c>
      <x:c r="F272" s="12" t="str">
        <x:v>Mixed business audience</x:v>
      </x:c>
      <x:c r="G272" s="12" t="str">
        <x:v>Recognisable business context; company-scale evidence remains insufficient for a single size band.</x:v>
      </x:c>
      <x:c r="H272" s="11" t="n">
        <x:v>2</x:v>
      </x:c>
      <x:c r="I272" s="11" t="n">
        <x:v>3</x:v>
      </x:c>
      <x:c r="J272" s="11" t="n">
        <x:v>3</x:v>
      </x:c>
      <x:c r="K272" s="11" t="n">
        <x:v>0</x:v>
      </x:c>
      <x:c r="L272" s="17" t="n">
        <x:f>SUM(SUMIFS('Costing'!$P$9:$P$492,'Costing'!$A$9:$A$492,"MAIN-269"),SUMIFS('Costing'!$P$9:$P$492,'Costing'!$A$9:$A$492,"MAIN-271"))</x:f>
        <x:v>80000</x:v>
      </x:c>
      <x:c r="M272" s="17" t="n">
        <x:f>ROUND(L272*'Costing'!$C$4,2)</x:f>
        <x:v>14400</x:v>
      </x:c>
      <x:c r="N272" s="17" t="n">
        <x:f>L272+M272</x:f>
        <x:v>94400</x:v>
      </x:c>
      <x:c r="O272" s="12" t="str">
        <x:v>Indore</x:v>
      </x:c>
      <x:c r="P272" s="12" t="str">
        <x:v>CORP-0265, CORP-0267</x:v>
      </x:c>
      <x:c r="Q272" s="12" t="str">
        <x:v>AU Bank</x:v>
      </x:c>
    </x:row>
    <x:row r="273" ht="48" customHeight="1">
      <x:c r="A273" s="2" t="str">
        <x:v>TEN-981025AEFE37</x:v>
      </x:c>
      <x:c r="B273" s="12" t="str">
        <x:v>audiocodes</x:v>
      </x:c>
      <x:c r="C273" s="12" t="str">
        <x:v>Business / brand</x:v>
      </x:c>
      <x:c r="D273" s="12" t="str">
        <x:v>IT &amp; digital</x:v>
      </x:c>
      <x:c r="E273" s="12" t="str">
        <x:v>Telecom, networks &amp; connectivity</x:v>
      </x:c>
      <x:c r="F273" s="12" t="str">
        <x:v>Mixed business audience</x:v>
      </x:c>
      <x:c r="G273" s="12" t="str">
        <x:v>Established brand or business network; local company scale is not established. Use a mixed-business message.</x:v>
      </x:c>
      <x:c r="H273" s="11" t="n">
        <x:v>1</x:v>
      </x:c>
      <x:c r="I273" s="11" t="n">
        <x:v>2</x:v>
      </x:c>
      <x:c r="J273" s="11" t="n">
        <x:v>2</x:v>
      </x:c>
      <x:c r="K273" s="11" t="n">
        <x:v>0</x:v>
      </x:c>
      <x:c r="L273" s="17" t="n">
        <x:f>SUM(SUMIFS('Costing'!$P$9:$P$492,'Costing'!$A$9:$A$492,"MAIN-045"))</x:f>
        <x:v>30000</x:v>
      </x:c>
      <x:c r="M273" s="17" t="n">
        <x:f>ROUND(L273*'Costing'!$C$4,2)</x:f>
        <x:v>5400</x:v>
      </x:c>
      <x:c r="N273" s="17" t="n">
        <x:f>L273+M273</x:f>
        <x:v>35400</x:v>
      </x:c>
      <x:c r="O273" s="12" t="str">
        <x:v>Bengaluru</x:v>
      </x:c>
      <x:c r="P273" s="12" t="str">
        <x:v>CORP-0041</x:v>
      </x:c>
      <x:c r="Q273" s="12" t="str">
        <x:v>audiocodes</x:v>
      </x:c>
    </x:row>
    <x:row r="274" ht="48" customHeight="1">
      <x:c r="A274" s="2" t="str">
        <x:v>TEN-1DE8CBBDF5B3</x:v>
      </x:c>
      <x:c r="B274" s="12" t="str">
        <x:v>Augsburg Innowerks Pvt.Ltd</x:v>
      </x:c>
      <x:c r="C274" s="12" t="str">
        <x:v>Business / brand</x:v>
      </x:c>
      <x:c r="D274" s="12" t="str">
        <x:v>Unresolved</x:v>
      </x:c>
      <x:c r="E274" s="12" t="str">
        <x:v>Business activity not established</x:v>
      </x:c>
      <x:c r="F274" s="12" t="str">
        <x:v>Mixed business audience</x:v>
      </x:c>
      <x:c r="G274" s="12" t="str">
        <x:v>Business activity and company scale are not established from this name.</x:v>
      </x:c>
      <x:c r="H274" s="11" t="n">
        <x:v>1</x:v>
      </x:c>
      <x:c r="I274" s="11" t="n">
        <x:v>6</x:v>
      </x:c>
      <x:c r="J274" s="11" t="n">
        <x:v>6</x:v>
      </x:c>
      <x:c r="K274" s="11" t="n">
        <x:v>0</x:v>
      </x:c>
      <x:c r="L274" s="17" t="n">
        <x:f>SUM(SUMIFS('Costing'!$P$9:$P$492,'Costing'!$A$9:$A$492,"MAIN-030"))</x:f>
        <x:v>90000</x:v>
      </x:c>
      <x:c r="M274" s="17" t="n">
        <x:f>ROUND(L274*'Costing'!$C$4,2)</x:f>
        <x:v>16200</x:v>
      </x:c>
      <x:c r="N274" s="17" t="n">
        <x:f>L274+M274</x:f>
        <x:v>106200</x:v>
      </x:c>
      <x:c r="O274" s="12" t="str">
        <x:v>Bengaluru</x:v>
      </x:c>
      <x:c r="P274" s="12" t="str">
        <x:v>CORP-0026</x:v>
      </x:c>
      <x:c r="Q274" s="12" t="str">
        <x:v>Augsburg Innowerks Pvt.Ltd</x:v>
      </x:c>
    </x:row>
    <x:row r="275" ht="48" customHeight="1">
      <x:c r="A275" s="2" t="str">
        <x:v>TEN-690474F0C5B4</x:v>
      </x:c>
      <x:c r="B275" s="12" t="str">
        <x:v>August energy pvt.ltd</x:v>
      </x:c>
      <x:c r="C275" s="12" t="str">
        <x:v>Business / brand</x:v>
      </x:c>
      <x:c r="D275" s="12" t="str">
        <x:v>Engineering &amp; manufacturing</x:v>
      </x:c>
      <x:c r="E275" s="12" t="str">
        <x:v>Energy, electrical &amp; industrial systems</x:v>
      </x:c>
      <x:c r="F275" s="12" t="str">
        <x:v>Medium-scale prospects</x:v>
      </x:c>
      <x:c r="G275" s="12" t="str">
        <x:v>Specialist industrial or engineering business; medium-scale prospect assumption.</x:v>
      </x:c>
      <x:c r="H275" s="11" t="n">
        <x:v>1</x:v>
      </x:c>
      <x:c r="I275" s="11" t="n">
        <x:v>3</x:v>
      </x:c>
      <x:c r="J275" s="11" t="n">
        <x:v>3</x:v>
      </x:c>
      <x:c r="K275" s="11" t="n">
        <x:v>0</x:v>
      </x:c>
      <x:c r="L275" s="17" t="n">
        <x:f>SUM(SUMIFS('Costing'!$P$9:$P$492,'Costing'!$A$9:$A$492,"MAIN-172"))</x:f>
        <x:v>45000</x:v>
      </x:c>
      <x:c r="M275" s="17" t="n">
        <x:f>ROUND(L275*'Costing'!$C$4,2)</x:f>
        <x:v>8100</x:v>
      </x:c>
      <x:c r="N275" s="17" t="n">
        <x:f>L275+M275</x:f>
        <x:v>53100</x:v>
      </x:c>
      <x:c r="O275" s="12" t="str">
        <x:v>Delhi NCR</x:v>
      </x:c>
      <x:c r="P275" s="12" t="str">
        <x:v>CORP-0168</x:v>
      </x:c>
      <x:c r="Q275" s="12" t="str">
        <x:v>August energy pvt.ltd</x:v>
      </x:c>
    </x:row>
    <x:row r="276" ht="75" customHeight="1">
      <x:c r="A276" s="2" t="str">
        <x:v>TEN-E730D0261178</x:v>
      </x:c>
      <x:c r="B276" s="12" t="str">
        <x:v>Aura Toddlers</x:v>
      </x:c>
      <x:c r="C276" s="12" t="str">
        <x:v>Business / brand</x:v>
      </x:c>
      <x:c r="D276" s="12" t="str">
        <x:v>Education</x:v>
      </x:c>
      <x:c r="E276" s="12" t="str">
        <x:v>Schools, childcare &amp; higher education</x:v>
      </x:c>
      <x:c r="F276" s="12" t="str">
        <x:v>Micro-scale prospects</x:v>
      </x:c>
      <x:c r="G276" s="12" t="str">
        <x:v>Indicative local early-years education business. Its company-controlled profile self-reports a 2–10 employee range and an Ahmedabad location at RE11. This supports a micro-scale audience estimate, not a certified employee or statutory-size count.</x:v>
      </x:c>
      <x:c r="H276" s="11" t="n">
        <x:v>1</x:v>
      </x:c>
      <x:c r="I276" s="11" t="n">
        <x:v>1</x:v>
      </x:c>
      <x:c r="J276" s="11" t="n">
        <x:v>1</x:v>
      </x:c>
      <x:c r="K276" s="11" t="n">
        <x:v>0</x:v>
      </x:c>
      <x:c r="L276" s="17" t="n">
        <x:f>SUM(SUMIFS('Costing'!$P$9:$P$492,'Costing'!$A$9:$A$492,"MAIN-006"))</x:f>
        <x:v>15000</x:v>
      </x:c>
      <x:c r="M276" s="17" t="n">
        <x:f>ROUND(L276*'Costing'!$C$4,2)</x:f>
        <x:v>2700</x:v>
      </x:c>
      <x:c r="N276" s="17" t="n">
        <x:f>L276+M276</x:f>
        <x:v>17700</x:v>
      </x:c>
      <x:c r="O276" s="12" t="str">
        <x:v>Ahmedabad</x:v>
      </x:c>
      <x:c r="P276" s="12" t="str">
        <x:v>CORP-0002</x:v>
      </x:c>
      <x:c r="Q276" s="12" t="str">
        <x:v>Aura Toddlers</x:v>
      </x:c>
    </x:row>
    <x:row r="277" ht="48" customHeight="1">
      <x:c r="A277" s="2" t="str">
        <x:v>TEN-696EBEF1BEC8</x:v>
      </x:c>
      <x:c r="B277" s="12" t="str">
        <x:v>AureusTech Systems</x:v>
      </x:c>
      <x:c r="C277" s="12" t="str">
        <x:v>Business / brand</x:v>
      </x:c>
      <x:c r="D277" s="12" t="str">
        <x:v>IT &amp; digital</x:v>
      </x:c>
      <x:c r="E277" s="12" t="str">
        <x:v>Enterprise software &amp; digital engineering</x:v>
      </x:c>
      <x:c r="F277" s="12" t="str">
        <x:v>Small-scale prospects</x:v>
      </x:c>
      <x:c r="G277" s="12" t="str">
        <x:v>Software or technology-services business; small-scale prospect assumption.</x:v>
      </x:c>
      <x:c r="H277" s="11" t="n">
        <x:v>7</x:v>
      </x:c>
      <x:c r="I277" s="11" t="n">
        <x:v>7</x:v>
      </x:c>
      <x:c r="J277" s="11" t="n">
        <x:v>7</x:v>
      </x:c>
      <x:c r="K277" s="11" t="n">
        <x:v>0</x:v>
      </x:c>
      <x:c r="L277" s="17" t="n">
        <x:f>SUM(SUMIFS('Costing'!$P$9:$P$492,'Costing'!$A$9:$A$492,"PARTNER-M317"))</x:f>
        <x:v>280000</x:v>
      </x:c>
      <x:c r="M277" s="17" t="n">
        <x:f>ROUND(L277*'Costing'!$C$4,2)</x:f>
        <x:v>50400</x:v>
      </x:c>
      <x:c r="N277" s="17" t="n">
        <x:f>L277+M277</x:f>
        <x:v>330400</x:v>
      </x:c>
      <x:c r="O277" s="12" t="str">
        <x:v>Hyderabad</x:v>
      </x:c>
      <x:c r="P277" s="12" t="str">
        <x:v>CORP-0732, CORP-0733, CORP-0734, CORP-0735, CORP-0736, CORP-0737, CORP-0738</x:v>
      </x:c>
      <x:c r="Q277" s="12" t="str">
        <x:v>AureusTech Systems</x:v>
      </x:c>
    </x:row>
    <x:row r="278" ht="48" customHeight="1">
      <x:c r="A278" s="2" t="str">
        <x:v>TEN-A5BCAFB06351</x:v>
      </x:c>
      <x:c r="B278" s="12" t="str">
        <x:v>AUTOLYTICS</x:v>
      </x:c>
      <x:c r="C278" s="12" t="str">
        <x:v>Business / brand</x:v>
      </x:c>
      <x:c r="D278" s="12" t="str">
        <x:v>Unresolved</x:v>
      </x:c>
      <x:c r="E278" s="12" t="str">
        <x:v>Business activity not established</x:v>
      </x:c>
      <x:c r="F278" s="12" t="str">
        <x:v>Mixed business audience</x:v>
      </x:c>
      <x:c r="G278" s="12" t="str">
        <x:v>Business activity and company scale are not established from this name.</x:v>
      </x:c>
      <x:c r="H278" s="11" t="n">
        <x:v>1</x:v>
      </x:c>
      <x:c r="I278" s="11" t="n">
        <x:v>1</x:v>
      </x:c>
      <x:c r="J278" s="11" t="n">
        <x:v>1</x:v>
      </x:c>
      <x:c r="K278" s="11" t="n">
        <x:v>0</x:v>
      </x:c>
      <x:c r="L278" s="17" t="n">
        <x:f>SUM(SUMIFS('Costing'!$P$9:$P$492,'Costing'!$A$9:$A$492,"MAIN-295"))</x:f>
        <x:v>15000</x:v>
      </x:c>
      <x:c r="M278" s="17" t="n">
        <x:f>ROUND(L278*'Costing'!$C$4,2)</x:f>
        <x:v>2700</x:v>
      </x:c>
      <x:c r="N278" s="17" t="n">
        <x:f>L278+M278</x:f>
        <x:v>17700</x:v>
      </x:c>
      <x:c r="O278" s="12" t="str">
        <x:v>Mumbai</x:v>
      </x:c>
      <x:c r="P278" s="12" t="str">
        <x:v>CORP-0291</x:v>
      </x:c>
      <x:c r="Q278" s="12" t="str">
        <x:v>AUTOLYTICS</x:v>
      </x:c>
    </x:row>
    <x:row r="279" ht="48" customHeight="1">
      <x:c r="A279" s="2" t="str">
        <x:v>TEN-9FFBD94DEBEC</x:v>
      </x:c>
      <x:c r="B279" s="12" t="str">
        <x:v>Automation Anywhere</x:v>
      </x:c>
      <x:c r="C279" s="12" t="str">
        <x:v>Business / brand</x:v>
      </x:c>
      <x:c r="D279" s="12" t="str">
        <x:v>IT &amp; digital</x:v>
      </x:c>
      <x:c r="E279" s="12" t="str">
        <x:v>Technology services — specialty unverified</x:v>
      </x:c>
      <x:c r="F279" s="12" t="str">
        <x:v>Mixed business audience</x:v>
      </x:c>
      <x:c r="G279" s="12" t="str">
        <x:v>Recognisable business context; company-scale evidence remains insufficient for a single size band.</x:v>
      </x:c>
      <x:c r="H279" s="11" t="n">
        <x:v>1</x:v>
      </x:c>
      <x:c r="I279" s="11" t="n">
        <x:v>2</x:v>
      </x:c>
      <x:c r="J279" s="11" t="n">
        <x:v>2</x:v>
      </x:c>
      <x:c r="K279" s="11" t="n">
        <x:v>0</x:v>
      </x:c>
      <x:c r="L279" s="17" t="n">
        <x:f>SUM(SUMIFS('Costing'!$P$9:$P$492,'Costing'!$A$9:$A$492,"MAIN-063"))</x:f>
        <x:v>80000</x:v>
      </x:c>
      <x:c r="M279" s="17" t="n">
        <x:f>ROUND(L279*'Costing'!$C$4,2)</x:f>
        <x:v>14400</x:v>
      </x:c>
      <x:c r="N279" s="17" t="n">
        <x:f>L279+M279</x:f>
        <x:v>94400</x:v>
      </x:c>
      <x:c r="O279" s="12" t="str">
        <x:v>Bengaluru</x:v>
      </x:c>
      <x:c r="P279" s="12" t="str">
        <x:v>CORP-0059</x:v>
      </x:c>
      <x:c r="Q279" s="12" t="str">
        <x:v>Automation Anywhere</x:v>
      </x:c>
    </x:row>
    <x:row r="280" ht="48" customHeight="1">
      <x:c r="A280" s="2" t="str">
        <x:v>TEN-BB47F2F86C7E</x:v>
      </x:c>
      <x:c r="B280" s="12" t="str">
        <x:v>Autuskey Private Limited</x:v>
      </x:c>
      <x:c r="C280" s="12" t="str">
        <x:v>Business / brand</x:v>
      </x:c>
      <x:c r="D280" s="12" t="str">
        <x:v>IT &amp; digital</x:v>
      </x:c>
      <x:c r="E280" s="12" t="str">
        <x:v>Enterprise software &amp; digital engineering</x:v>
      </x:c>
      <x:c r="F280" s="12" t="str">
        <x:v>Small-scale prospects</x:v>
      </x:c>
      <x:c r="G280" s="12" t="str">
        <x:v>Software or technology-services business; small-scale prospect assumption.</x:v>
      </x:c>
      <x:c r="H280" s="11" t="n">
        <x:v>5</x:v>
      </x:c>
      <x:c r="I280" s="11" t="n">
        <x:v>5</x:v>
      </x:c>
      <x:c r="J280" s="11" t="n">
        <x:v>5</x:v>
      </x:c>
      <x:c r="K280" s="11" t="n">
        <x:v>0</x:v>
      </x:c>
      <x:c r="L280" s="17" t="n">
        <x:f>SUM(SUMIFS('Costing'!$P$9:$P$492,'Costing'!$A$9:$A$492,"PARTNER-M277"))</x:f>
        <x:v>200000</x:v>
      </x:c>
      <x:c r="M280" s="17" t="n">
        <x:f>ROUND(L280*'Costing'!$C$4,2)</x:f>
        <x:v>36000</x:v>
      </x:c>
      <x:c r="N280" s="17" t="n">
        <x:f>L280+M280</x:f>
        <x:v>236000</x:v>
      </x:c>
      <x:c r="O280" s="12" t="str">
        <x:v>Pune</x:v>
      </x:c>
      <x:c r="P280" s="12" t="str">
        <x:v>CORP-0693, CORP-0694, CORP-0695, CORP-0696, CORP-0697</x:v>
      </x:c>
      <x:c r="Q280" s="12" t="str">
        <x:v>Autuskey Private Limited</x:v>
      </x:c>
    </x:row>
    <x:row r="281" ht="48" customHeight="1">
      <x:c r="A281" s="2" t="str">
        <x:v>TEN-C84EE5F68808</x:v>
      </x:c>
      <x:c r="B281" s="12" t="str">
        <x:v>Avani Tech Solutions Pvt Ltd</x:v>
      </x:c>
      <x:c r="C281" s="12" t="str">
        <x:v>Business / brand</x:v>
      </x:c>
      <x:c r="D281" s="12" t="str">
        <x:v>IT &amp; digital</x:v>
      </x:c>
      <x:c r="E281" s="12" t="str">
        <x:v>Enterprise software &amp; digital engineering</x:v>
      </x:c>
      <x:c r="F281" s="12" t="str">
        <x:v>Small-scale prospects</x:v>
      </x:c>
      <x:c r="G281" s="12" t="str">
        <x:v>Software or technology-services business; small-scale prospect assumption.</x:v>
      </x:c>
      <x:c r="H281" s="11" t="n">
        <x:v>1</x:v>
      </x:c>
      <x:c r="I281" s="11" t="n">
        <x:v>5</x:v>
      </x:c>
      <x:c r="J281" s="11" t="n">
        <x:v>5</x:v>
      </x:c>
      <x:c r="K281" s="11" t="n">
        <x:v>0</x:v>
      </x:c>
      <x:c r="L281" s="17" t="n">
        <x:f>SUM(SUMIFS('Costing'!$P$9:$P$492,'Costing'!$A$9:$A$492,"MAIN-258"))</x:f>
        <x:v>200000</x:v>
      </x:c>
      <x:c r="M281" s="17" t="n">
        <x:f>ROUND(L281*'Costing'!$C$4,2)</x:f>
        <x:v>36000</x:v>
      </x:c>
      <x:c r="N281" s="17" t="n">
        <x:f>L281+M281</x:f>
        <x:v>236000</x:v>
      </x:c>
      <x:c r="O281" s="12" t="str">
        <x:v>Hyderabad</x:v>
      </x:c>
      <x:c r="P281" s="12" t="str">
        <x:v>CORP-0254</x:v>
      </x:c>
      <x:c r="Q281" s="12" t="str">
        <x:v>Avani Tech Solutions Pvt Ltd</x:v>
      </x:c>
    </x:row>
    <x:row r="282" ht="48" customHeight="1">
      <x:c r="A282" s="2" t="str">
        <x:v>TEN-3650DF32F50C</x:v>
      </x:c>
      <x:c r="B282" s="12" t="str">
        <x:v>Avanthika Innovations</x:v>
      </x:c>
      <x:c r="C282" s="12" t="str">
        <x:v>Business / brand</x:v>
      </x:c>
      <x:c r="D282" s="12" t="str">
        <x:v>Unresolved</x:v>
      </x:c>
      <x:c r="E282" s="12" t="str">
        <x:v>Business activity not established</x:v>
      </x:c>
      <x:c r="F282" s="12" t="str">
        <x:v>Mixed business audience</x:v>
      </x:c>
      <x:c r="G282" s="12" t="str">
        <x:v>Business activity and company scale are not established from this name.</x:v>
      </x:c>
      <x:c r="H282" s="11" t="n">
        <x:v>1</x:v>
      </x:c>
      <x:c r="I282" s="11" t="n">
        <x:v>4</x:v>
      </x:c>
      <x:c r="J282" s="11" t="n">
        <x:v>4</x:v>
      </x:c>
      <x:c r="K282" s="11" t="n">
        <x:v>0</x:v>
      </x:c>
      <x:c r="L282" s="17" t="n">
        <x:f>SUM(SUMIFS('Costing'!$P$9:$P$492,'Costing'!$A$9:$A$492,"MAIN-226"))</x:f>
        <x:v>60000</x:v>
      </x:c>
      <x:c r="M282" s="17" t="n">
        <x:f>ROUND(L282*'Costing'!$C$4,2)</x:f>
        <x:v>10800</x:v>
      </x:c>
      <x:c r="N282" s="17" t="n">
        <x:f>L282+M282</x:f>
        <x:v>70800</x:v>
      </x:c>
      <x:c r="O282" s="12" t="str">
        <x:v>Hyderabad</x:v>
      </x:c>
      <x:c r="P282" s="12" t="str">
        <x:v>CORP-0222</x:v>
      </x:c>
      <x:c r="Q282" s="12" t="str">
        <x:v>Avanthika Innovations</x:v>
      </x:c>
    </x:row>
    <x:row r="283" ht="48" customHeight="1">
      <x:c r="A283" s="2" t="str">
        <x:v>TEN-51377B2CA4B8</x:v>
      </x:c>
      <x:c r="B283" s="12" t="str">
        <x:v>Avanthika InnovationsPVT</x:v>
      </x:c>
      <x:c r="C283" s="12" t="str">
        <x:v>Business / brand</x:v>
      </x:c>
      <x:c r="D283" s="12" t="str">
        <x:v>Unresolved</x:v>
      </x:c>
      <x:c r="E283" s="12" t="str">
        <x:v>Business activity not established</x:v>
      </x:c>
      <x:c r="F283" s="12" t="str">
        <x:v>Mixed business audience</x:v>
      </x:c>
      <x:c r="G283" s="12" t="str">
        <x:v>Business activity and company scale are not established from this name.</x:v>
      </x:c>
      <x:c r="H283" s="11" t="n">
        <x:v>1</x:v>
      </x:c>
      <x:c r="I283" s="11" t="n">
        <x:v>3</x:v>
      </x:c>
      <x:c r="J283" s="11" t="n">
        <x:v>3</x:v>
      </x:c>
      <x:c r="K283" s="11" t="n">
        <x:v>0</x:v>
      </x:c>
      <x:c r="L283" s="17" t="n">
        <x:f>SUM(SUMIFS('Costing'!$P$9:$P$492,'Costing'!$A$9:$A$492,"MAIN-371"))</x:f>
        <x:v>45000</x:v>
      </x:c>
      <x:c r="M283" s="17" t="n">
        <x:f>ROUND(L283*'Costing'!$C$4,2)</x:f>
        <x:v>8100</x:v>
      </x:c>
      <x:c r="N283" s="17" t="n">
        <x:f>L283+M283</x:f>
        <x:v>53100</x:v>
      </x:c>
      <x:c r="O283" s="12" t="str">
        <x:v>Delhi NCR</x:v>
      </x:c>
      <x:c r="P283" s="12" t="str">
        <x:v>CORP-0367</x:v>
      </x:c>
      <x:c r="Q283" s="12" t="str">
        <x:v>Avanthika InnovationsPVT</x:v>
      </x:c>
    </x:row>
    <x:row r="284" ht="48" customHeight="1">
      <x:c r="A284" s="2" t="str">
        <x:v>TEN-7DE355F41161</x:v>
      </x:c>
      <x:c r="B284" s="12" t="str">
        <x:v>Avaya</x:v>
      </x:c>
      <x:c r="C284" s="12" t="str">
        <x:v>Business / brand</x:v>
      </x:c>
      <x:c r="D284" s="12" t="str">
        <x:v>IT &amp; digital</x:v>
      </x:c>
      <x:c r="E284" s="12" t="str">
        <x:v>Telecom, networks &amp; connectivity</x:v>
      </x:c>
      <x:c r="F284" s="12" t="str">
        <x:v>Mixed business audience</x:v>
      </x:c>
      <x:c r="G284" s="12" t="str">
        <x:v>Recognisable business context; company-scale evidence remains insufficient for a single size band.</x:v>
      </x:c>
      <x:c r="H284" s="11" t="n">
        <x:v>9</x:v>
      </x:c>
      <x:c r="I284" s="11" t="n">
        <x:v>9</x:v>
      </x:c>
      <x:c r="J284" s="11" t="n">
        <x:v>9</x:v>
      </x:c>
      <x:c r="K284" s="11" t="n">
        <x:v>0</x:v>
      </x:c>
      <x:c r="L284" s="17" t="n">
        <x:f>SUM(SUMIFS('Costing'!$P$9:$P$492,'Costing'!$A$9:$A$492,"PARTNER-M252"))</x:f>
        <x:v>360000</x:v>
      </x:c>
      <x:c r="M284" s="17" t="n">
        <x:f>ROUND(L284*'Costing'!$C$4,2)</x:f>
        <x:v>64800</x:v>
      </x:c>
      <x:c r="N284" s="17" t="n">
        <x:f>L284+M284</x:f>
        <x:v>424800</x:v>
      </x:c>
      <x:c r="O284" s="12" t="str">
        <x:v>Pune</x:v>
      </x:c>
      <x:c r="P284" s="12" t="str">
        <x:v>CORP-0668, CORP-0669, CORP-0670, CORP-0671, CORP-0672, CORP-0673, CORP-0674, CORP-0675, CORP-0676</x:v>
      </x:c>
      <x:c r="Q284" s="12" t="str">
        <x:v>Avaya</x:v>
      </x:c>
    </x:row>
    <x:row r="285" ht="48" customHeight="1">
      <x:c r="A285" s="2" t="str">
        <x:v>TEN-11B177B76116</x:v>
      </x:c>
      <x:c r="B285" s="12" t="str">
        <x:v>Avaya Global Connect Ltd</x:v>
      </x:c>
      <x:c r="C285" s="12" t="str">
        <x:v>Business / brand</x:v>
      </x:c>
      <x:c r="D285" s="12" t="str">
        <x:v>IT &amp; digital</x:v>
      </x:c>
      <x:c r="E285" s="12" t="str">
        <x:v>Telecom, networks &amp; connectivity</x:v>
      </x:c>
      <x:c r="F285" s="12" t="str">
        <x:v>Mixed business audience</x:v>
      </x:c>
      <x:c r="G285" s="12" t="str">
        <x:v>Recognisable business context; company-scale evidence remains insufficient for a single size band.</x:v>
      </x:c>
      <x:c r="H285" s="11" t="n">
        <x:v>10</x:v>
      </x:c>
      <x:c r="I285" s="11" t="n">
        <x:v>10</x:v>
      </x:c>
      <x:c r="J285" s="11" t="n">
        <x:v>10</x:v>
      </x:c>
      <x:c r="K285" s="11" t="n">
        <x:v>0</x:v>
      </x:c>
      <x:c r="L285" s="17" t="n">
        <x:f>SUM(SUMIFS('Costing'!$P$9:$P$492,'Costing'!$A$9:$A$492,"PARTNER-M014"))</x:f>
        <x:v>400000</x:v>
      </x:c>
      <x:c r="M285" s="17" t="n">
        <x:f>ROUND(L285*'Costing'!$C$4,2)</x:f>
        <x:v>72000</x:v>
      </x:c>
      <x:c r="N285" s="17" t="n">
        <x:f>L285+M285</x:f>
        <x:v>472000</x:v>
      </x:c>
      <x:c r="O285" s="12" t="str">
        <x:v>Bengaluru</x:v>
      </x:c>
      <x:c r="P285" s="12" t="str">
        <x:v>CORP-0432, CORP-0433, CORP-0434, CORP-0435, CORP-0436, CORP-0437, CORP-0438, CORP-0439, CORP-0440, CORP-0441</x:v>
      </x:c>
      <x:c r="Q285" s="12" t="str">
        <x:v>Avaya Global Connect Ltd</x:v>
      </x:c>
    </x:row>
    <x:row r="286" ht="48" customHeight="1">
      <x:c r="A286" s="2" t="str">
        <x:v>TEN-9FE6746863D6</x:v>
      </x:c>
      <x:c r="B286" s="12" t="str">
        <x:v>Aveva</x:v>
      </x:c>
      <x:c r="C286" s="12" t="str">
        <x:v>Business / brand</x:v>
      </x:c>
      <x:c r="D286" s="12" t="str">
        <x:v>IT &amp; digital</x:v>
      </x:c>
      <x:c r="E286" s="12" t="str">
        <x:v>Enterprise software &amp; digital engineering</x:v>
      </x:c>
      <x:c r="F286" s="12" t="str">
        <x:v>Mixed business audience</x:v>
      </x:c>
      <x:c r="G286" s="12" t="str">
        <x:v>Established brand or business network; local company scale is not established. Use a mixed-business message.</x:v>
      </x:c>
      <x:c r="H286" s="11" t="n">
        <x:v>8</x:v>
      </x:c>
      <x:c r="I286" s="11" t="n">
        <x:v>8</x:v>
      </x:c>
      <x:c r="J286" s="11" t="n">
        <x:v>8</x:v>
      </x:c>
      <x:c r="K286" s="11" t="n">
        <x:v>0</x:v>
      </x:c>
      <x:c r="L286" s="17" t="n">
        <x:f>SUM(SUMIFS('Costing'!$P$9:$P$492,'Costing'!$A$9:$A$492,"PARTNER-M300"))</x:f>
        <x:v>320000</x:v>
      </x:c>
      <x:c r="M286" s="17" t="n">
        <x:f>ROUND(L286*'Costing'!$C$4,2)</x:f>
        <x:v>57600</x:v>
      </x:c>
      <x:c r="N286" s="17" t="n">
        <x:f>L286+M286</x:f>
        <x:v>377600</x:v>
      </x:c>
      <x:c r="O286" s="12" t="str">
        <x:v>Hyderabad</x:v>
      </x:c>
      <x:c r="P286" s="12" t="str">
        <x:v>CORP-0715, CORP-0716, CORP-0717, CORP-0718, CORP-0719, CORP-0720, CORP-0721, CORP-0722</x:v>
      </x:c>
      <x:c r="Q286" s="12" t="str">
        <x:v>Aveva</x:v>
      </x:c>
    </x:row>
    <x:row r="287" ht="48" customHeight="1">
      <x:c r="A287" s="2" t="str">
        <x:v>TEN-606A7820DBB1</x:v>
      </x:c>
      <x:c r="B287" s="12" t="str">
        <x:v>Aviabird Technologies Pvt. Ltd</x:v>
      </x:c>
      <x:c r="C287" s="12" t="str">
        <x:v>Business / brand</x:v>
      </x:c>
      <x:c r="D287" s="12" t="str">
        <x:v>IT &amp; digital</x:v>
      </x:c>
      <x:c r="E287" s="12" t="str">
        <x:v>Enterprise software &amp; digital engineering</x:v>
      </x:c>
      <x:c r="F287" s="12" t="str">
        <x:v>Small-scale prospects</x:v>
      </x:c>
      <x:c r="G287" s="12" t="str">
        <x:v>Software or technology-services business; small-scale prospect assumption.</x:v>
      </x:c>
      <x:c r="H287" s="11" t="n">
        <x:v>1</x:v>
      </x:c>
      <x:c r="I287" s="11" t="n">
        <x:v>1</x:v>
      </x:c>
      <x:c r="J287" s="11" t="n">
        <x:v>1</x:v>
      </x:c>
      <x:c r="K287" s="11" t="n">
        <x:v>0</x:v>
      </x:c>
      <x:c r="L287" s="17" t="n">
        <x:f>SUM(SUMIFS('Costing'!$P$9:$P$492,'Costing'!$A$9:$A$492,"MAIN-386"))</x:f>
        <x:v>15000</x:v>
      </x:c>
      <x:c r="M287" s="17" t="n">
        <x:f>ROUND(L287*'Costing'!$C$4,2)</x:f>
        <x:v>2700</x:v>
      </x:c>
      <x:c r="N287" s="17" t="n">
        <x:f>L287+M287</x:f>
        <x:v>17700</x:v>
      </x:c>
      <x:c r="O287" s="12" t="str">
        <x:v>Pune</x:v>
      </x:c>
      <x:c r="P287" s="12" t="str">
        <x:v>CORP-0382</x:v>
      </x:c>
      <x:c r="Q287" s="12" t="str">
        <x:v>Aviabird Technologies Pvt. Ltd</x:v>
      </x:c>
    </x:row>
    <x:row r="288" ht="48" customHeight="1">
      <x:c r="A288" s="2" t="str">
        <x:v>TEN-F9676989ACD4</x:v>
      </x:c>
      <x:c r="B288" s="12" t="str">
        <x:v>Avineon India</x:v>
      </x:c>
      <x:c r="C288" s="12" t="str">
        <x:v>Business / brand</x:v>
      </x:c>
      <x:c r="D288" s="12" t="str">
        <x:v>IT &amp; digital</x:v>
      </x:c>
      <x:c r="E288" s="12" t="str">
        <x:v>Enterprise software &amp; digital engineering</x:v>
      </x:c>
      <x:c r="F288" s="12" t="str">
        <x:v>Mixed business audience</x:v>
      </x:c>
      <x:c r="G288" s="12" t="str">
        <x:v>Established brand or business network; local company scale is not established. Use a mixed-business message.</x:v>
      </x:c>
      <x:c r="H288" s="11" t="n">
        <x:v>5</x:v>
      </x:c>
      <x:c r="I288" s="11" t="n">
        <x:v>5</x:v>
      </x:c>
      <x:c r="J288" s="11" t="n">
        <x:v>5</x:v>
      </x:c>
      <x:c r="K288" s="11" t="n">
        <x:v>0</x:v>
      </x:c>
      <x:c r="L288" s="17" t="n">
        <x:f>SUM(SUMIFS('Costing'!$P$9:$P$492,'Costing'!$A$9:$A$492,"PARTNER-M295"))</x:f>
        <x:v>200000</x:v>
      </x:c>
      <x:c r="M288" s="17" t="n">
        <x:f>ROUND(L288*'Costing'!$C$4,2)</x:f>
        <x:v>36000</x:v>
      </x:c>
      <x:c r="N288" s="17" t="n">
        <x:f>L288+M288</x:f>
        <x:v>236000</x:v>
      </x:c>
      <x:c r="O288" s="12" t="str">
        <x:v>Hyderabad</x:v>
      </x:c>
      <x:c r="P288" s="12" t="str">
        <x:v>CORP-0710, CORP-0711, CORP-0712, CORP-0713, CORP-0714</x:v>
      </x:c>
      <x:c r="Q288" s="12" t="str">
        <x:v>Avineon India</x:v>
      </x:c>
    </x:row>
    <x:row r="289" ht="48" customHeight="1">
      <x:c r="A289" s="2" t="str">
        <x:v>TEN-5E25BA93F1B8</x:v>
      </x:c>
      <x:c r="B289" s="12" t="str">
        <x:v>Aviz Networks India</x:v>
      </x:c>
      <x:c r="C289" s="12" t="str">
        <x:v>Business / brand</x:v>
      </x:c>
      <x:c r="D289" s="12" t="str">
        <x:v>IT &amp; digital</x:v>
      </x:c>
      <x:c r="E289" s="12" t="str">
        <x:v>Telecom, networks &amp; connectivity</x:v>
      </x:c>
      <x:c r="F289" s="12" t="str">
        <x:v>Small-scale prospects</x:v>
      </x:c>
      <x:c r="G289" s="12" t="str">
        <x:v>Software or technology-services business; small-scale prospect assumption.</x:v>
      </x:c>
      <x:c r="H289" s="11" t="n">
        <x:v>1</x:v>
      </x:c>
      <x:c r="I289" s="11" t="n">
        <x:v>10</x:v>
      </x:c>
      <x:c r="J289" s="11" t="n">
        <x:v>10</x:v>
      </x:c>
      <x:c r="K289" s="11" t="n">
        <x:v>0</x:v>
      </x:c>
      <x:c r="L289" s="17" t="n">
        <x:f>SUM(SUMIFS('Costing'!$P$9:$P$492,'Costing'!$A$9:$A$492,"MAIN-261"))</x:f>
        <x:v>325000</x:v>
      </x:c>
      <x:c r="M289" s="17" t="n">
        <x:f>ROUND(L289*'Costing'!$C$4,2)</x:f>
        <x:v>58500</x:v>
      </x:c>
      <x:c r="N289" s="17" t="n">
        <x:f>L289+M289</x:f>
        <x:v>383500</x:v>
      </x:c>
      <x:c r="O289" s="12" t="str">
        <x:v>Hyderabad</x:v>
      </x:c>
      <x:c r="P289" s="12" t="str">
        <x:v>CORP-0257</x:v>
      </x:c>
      <x:c r="Q289" s="12" t="str">
        <x:v>Aviz Networks India</x:v>
      </x:c>
    </x:row>
    <x:row r="290" ht="48" customHeight="1">
      <x:c r="A290" s="2" t="str">
        <x:v>TEN-BB7F414379C6</x:v>
      </x:c>
      <x:c r="B290" s="12" t="str">
        <x:v>avosina</x:v>
      </x:c>
      <x:c r="C290" s="12" t="str">
        <x:v>Business / brand</x:v>
      </x:c>
      <x:c r="D290" s="12" t="str">
        <x:v>Unresolved</x:v>
      </x:c>
      <x:c r="E290" s="12" t="str">
        <x:v>Business activity not established</x:v>
      </x:c>
      <x:c r="F290" s="12" t="str">
        <x:v>Mixed business audience</x:v>
      </x:c>
      <x:c r="G290" s="12" t="str">
        <x:v>Business activity and company scale are not established from this name.</x:v>
      </x:c>
      <x:c r="H290" s="11" t="n">
        <x:v>1</x:v>
      </x:c>
      <x:c r="I290" s="11" t="n">
        <x:v>7</x:v>
      </x:c>
      <x:c r="J290" s="11" t="n">
        <x:v>7</x:v>
      </x:c>
      <x:c r="K290" s="11" t="n">
        <x:v>0</x:v>
      </x:c>
      <x:c r="L290" s="17" t="n">
        <x:f>SUM(SUMIFS('Costing'!$P$9:$P$492,'Costing'!$A$9:$A$492,"MAIN-140"))</x:f>
        <x:v>105000</x:v>
      </x:c>
      <x:c r="M290" s="17" t="n">
        <x:f>ROUND(L290*'Costing'!$C$4,2)</x:f>
        <x:v>18900</x:v>
      </x:c>
      <x:c r="N290" s="17" t="n">
        <x:f>L290+M290</x:f>
        <x:v>123900</x:v>
      </x:c>
      <x:c r="O290" s="12" t="str">
        <x:v>Chennai</x:v>
      </x:c>
      <x:c r="P290" s="12" t="str">
        <x:v>CORP-0136</x:v>
      </x:c>
      <x:c r="Q290" s="12" t="str">
        <x:v>avosina</x:v>
      </x:c>
    </x:row>
    <x:row r="291" ht="48" customHeight="1">
      <x:c r="A291" s="2" t="str">
        <x:v>TEN-8A7CE4D1DF4D</x:v>
      </x:c>
      <x:c r="B291" s="12" t="str">
        <x:v>AVS HOMES</x:v>
      </x:c>
      <x:c r="C291" s="12" t="str">
        <x:v>Business / brand</x:v>
      </x:c>
      <x:c r="D291" s="12" t="str">
        <x:v>Trade, consumer &amp; logistics</x:v>
      </x:c>
      <x:c r="E291" s="12" t="str">
        <x:v>Real estate, property &amp; construction services</x:v>
      </x:c>
      <x:c r="F291" s="12" t="str">
        <x:v>Small-scale prospects</x:v>
      </x:c>
      <x:c r="G291" s="12" t="str">
        <x:v>Trading or consumer-services business; small-scale prospect assumption.</x:v>
      </x:c>
      <x:c r="H291" s="11" t="n">
        <x:v>5</x:v>
      </x:c>
      <x:c r="I291" s="11" t="n">
        <x:v>5</x:v>
      </x:c>
      <x:c r="J291" s="11" t="n">
        <x:v>5</x:v>
      </x:c>
      <x:c r="K291" s="11" t="n">
        <x:v>0</x:v>
      </x:c>
      <x:c r="L291" s="17" t="n">
        <x:f>SUM(SUMIFS('Costing'!$P$9:$P$492,'Costing'!$A$9:$A$492,"PARTNER-M384"))</x:f>
        <x:v>200000</x:v>
      </x:c>
      <x:c r="M291" s="17" t="n">
        <x:f>ROUND(L291*'Costing'!$C$4,2)</x:f>
        <x:v>36000</x:v>
      </x:c>
      <x:c r="N291" s="17" t="n">
        <x:f>L291+M291</x:f>
        <x:v>236000</x:v>
      </x:c>
      <x:c r="O291" s="12" t="str">
        <x:v>Delhi NCR</x:v>
      </x:c>
      <x:c r="P291" s="12" t="str">
        <x:v>CORP-0797, CORP-0798, CORP-0799, CORP-0800, CORP-0801</x:v>
      </x:c>
      <x:c r="Q291" s="12" t="str">
        <x:v>AVS HOMES</x:v>
      </x:c>
    </x:row>
    <x:row r="292" ht="48" customHeight="1">
      <x:c r="A292" s="2" t="str">
        <x:v>TEN-A5721E1BABB7</x:v>
      </x:c>
      <x:c r="B292" s="12" t="str">
        <x:v>Avva Deepak</x:v>
      </x:c>
      <x:c r="C292" s="12" t="str">
        <x:v>Person / contact unresolved</x:v>
      </x:c>
      <x:c r="D292" s="12" t="str">
        <x:v>Unresolved</x:v>
      </x:c>
      <x:c r="E292" s="12" t="str">
        <x:v>Business activity not established</x:v>
      </x:c>
      <x:c r="F292" s="12" t="str">
        <x:v>Mixed business audience</x:v>
      </x:c>
      <x:c r="G292" s="12" t="str">
        <x:v>Ambiguous directory record; use the surrounding property audience.</x:v>
      </x:c>
      <x:c r="H292" s="11" t="n">
        <x:v>8</x:v>
      </x:c>
      <x:c r="I292" s="11" t="n">
        <x:v>8</x:v>
      </x:c>
      <x:c r="J292" s="11" t="n">
        <x:v>8</x:v>
      </x:c>
      <x:c r="K292" s="11" t="n">
        <x:v>0</x:v>
      </x:c>
      <x:c r="L292" s="17" t="n">
        <x:f>SUM(SUMIFS('Costing'!$P$9:$P$492,'Costing'!$A$9:$A$492,"PARTNER-M300"))</x:f>
        <x:v>320000</x:v>
      </x:c>
      <x:c r="M292" s="17" t="n">
        <x:f>ROUND(L292*'Costing'!$C$4,2)</x:f>
        <x:v>57600</x:v>
      </x:c>
      <x:c r="N292" s="17" t="n">
        <x:f>L292+M292</x:f>
        <x:v>377600</x:v>
      </x:c>
      <x:c r="O292" s="12" t="str">
        <x:v>Hyderabad</x:v>
      </x:c>
      <x:c r="P292" s="12" t="str">
        <x:v>CORP-0715, CORP-0716, CORP-0717, CORP-0718, CORP-0719, CORP-0720, CORP-0721, CORP-0722</x:v>
      </x:c>
      <x:c r="Q292" s="12" t="str">
        <x:v>Avva Deepak</x:v>
      </x:c>
    </x:row>
    <x:row r="293" ht="48" customHeight="1">
      <x:c r="A293" s="2" t="str">
        <x:v>TEN-2EE57059EE6D</x:v>
      </x:c>
      <x:c r="B293" s="12" t="str">
        <x:v>awesomesauce</x:v>
      </x:c>
      <x:c r="C293" s="12" t="str">
        <x:v>Business / brand</x:v>
      </x:c>
      <x:c r="D293" s="12" t="str">
        <x:v>Unresolved</x:v>
      </x:c>
      <x:c r="E293" s="12" t="str">
        <x:v>Business activity not established</x:v>
      </x:c>
      <x:c r="F293" s="12" t="str">
        <x:v>Mixed business audience</x:v>
      </x:c>
      <x:c r="G293" s="12" t="str">
        <x:v>Business activity and company scale are not established from this name.</x:v>
      </x:c>
      <x:c r="H293" s="11" t="n">
        <x:v>1</x:v>
      </x:c>
      <x:c r="I293" s="11" t="n">
        <x:v>2</x:v>
      </x:c>
      <x:c r="J293" s="11" t="n">
        <x:v>2</x:v>
      </x:c>
      <x:c r="K293" s="11" t="n">
        <x:v>0</x:v>
      </x:c>
      <x:c r="L293" s="17" t="n">
        <x:f>SUM(SUMIFS('Costing'!$P$9:$P$492,'Costing'!$A$9:$A$492,"MAIN-288"))</x:f>
        <x:v>40000</x:v>
      </x:c>
      <x:c r="M293" s="17" t="n">
        <x:f>ROUND(L293*'Costing'!$C$4,2)</x:f>
        <x:v>7200</x:v>
      </x:c>
      <x:c r="N293" s="17" t="n">
        <x:f>L293+M293</x:f>
        <x:v>47200</x:v>
      </x:c>
      <x:c r="O293" s="12" t="str">
        <x:v>Lucknow</x:v>
      </x:c>
      <x:c r="P293" s="12" t="str">
        <x:v>CORP-0284</x:v>
      </x:c>
      <x:c r="Q293" s="12" t="str">
        <x:v>awesomesauce</x:v>
      </x:c>
    </x:row>
    <x:row r="294" ht="49" customHeight="1">
      <x:c r="A294" s="2" t="str">
        <x:v>TEN-298147A4B3E2</x:v>
      </x:c>
      <x:c r="B294" s="12" t="str">
        <x:v>Awfis</x:v>
      </x:c>
      <x:c r="C294" s="12" t="str">
        <x:v>Workspace operator</x:v>
      </x:c>
      <x:c r="D294" s="12" t="str">
        <x:v>Workspace &amp; property operations</x:v>
      </x:c>
      <x:c r="E294" s="12" t="str">
        <x:v>Coworking/workspace operator</x:v>
      </x:c>
      <x:c r="F294" s="12" t="str">
        <x:v>Mixed business audience</x:v>
      </x:c>
      <x:c r="G294" s="12" t="str">
        <x:v>Supplied entry is a shared-workspace operator; the business sizes of occupant companies cannot be derived from the operator name.</x:v>
      </x:c>
      <x:c r="H294" s="11" t="n">
        <x:v>9</x:v>
      </x:c>
      <x:c r="I294" s="11" t="n">
        <x:v>9</x:v>
      </x:c>
      <x:c r="J294" s="11" t="n">
        <x:v>9</x:v>
      </x:c>
      <x:c r="K294" s="11" t="n">
        <x:v>0</x:v>
      </x:c>
      <x:c r="L294" s="17" t="n">
        <x:f>SUM(SUMIFS('Costing'!$P$9:$P$492,'Costing'!$A$9:$A$492,"MAIN-364"),SUMIFS('Costing'!$P$9:$P$492,'Costing'!$A$9:$A$492,"MAIN-365"),SUMIFS('Costing'!$P$9:$P$492,'Costing'!$A$9:$A$492,"MAIN-165"),SUMIFS('Costing'!$P$9:$P$492,'Costing'!$A$9:$A$492,"MAIN-301"),SUMIFS('Costing'!$P$9:$P$492,'Costing'!$A$9:$A$492,"MAIN-387"),SUMIFS('Costing'!$P$9:$P$492,'Costing'!$A$9:$A$492,"PARTNER-M197"))</x:f>
        <x:v>235000</x:v>
      </x:c>
      <x:c r="M294" s="17" t="n">
        <x:f>ROUND(L294*'Costing'!$C$4,2)</x:f>
        <x:v>42300</x:v>
      </x:c>
      <x:c r="N294" s="17" t="n">
        <x:f>L294+M294</x:f>
        <x:v>277300</x:v>
      </x:c>
      <x:c r="O294" s="12" t="str">
        <x:v>Delhi NCR, Mumbai, Pune</x:v>
      </x:c>
      <x:c r="P294" s="12" t="str">
        <x:v>CORP-0161, CORP-0297, CORP-0360, CORP-0361, CORP-0383, CORP-0614, CORP-0615, CORP-0616, CORP-0617</x:v>
      </x:c>
      <x:c r="Q294" s="12" t="str">
        <x:v>Awfis</x:v>
      </x:c>
    </x:row>
    <x:row r="295" ht="49" customHeight="1">
      <x:c r="A295" s="2" t="str">
        <x:v>TEN-80BAA3706B07</x:v>
      </x:c>
      <x:c r="B295" s="12" t="str">
        <x:v>AWFIS Space Solutions Pvt Ltd</x:v>
      </x:c>
      <x:c r="C295" s="12" t="str">
        <x:v>Workspace operator</x:v>
      </x:c>
      <x:c r="D295" s="12" t="str">
        <x:v>Workspace &amp; property operations</x:v>
      </x:c>
      <x:c r="E295" s="12" t="str">
        <x:v>Coworking/workspace operator</x:v>
      </x:c>
      <x:c r="F295" s="12" t="str">
        <x:v>Mixed business audience</x:v>
      </x:c>
      <x:c r="G295" s="12" t="str">
        <x:v>Supplied entry is a shared-workspace operator; the business sizes of occupant companies cannot be derived from the operator name.</x:v>
      </x:c>
      <x:c r="H295" s="11" t="n">
        <x:v>4</x:v>
      </x:c>
      <x:c r="I295" s="11" t="n">
        <x:v>4</x:v>
      </x:c>
      <x:c r="J295" s="11" t="n">
        <x:v>4</x:v>
      </x:c>
      <x:c r="K295" s="11" t="n">
        <x:v>0</x:v>
      </x:c>
      <x:c r="L295" s="17" t="n">
        <x:f>SUM(SUMIFS('Costing'!$P$9:$P$492,'Costing'!$A$9:$A$492,"PARTNER-M340"),SUMIFS('Costing'!$P$9:$P$492,'Costing'!$A$9:$A$492,"PARTNER-M334"))</x:f>
        <x:v>160000</x:v>
      </x:c>
      <x:c r="M295" s="17" t="n">
        <x:f>ROUND(L295*'Costing'!$C$4,2)</x:f>
        <x:v>28800</x:v>
      </x:c>
      <x:c r="N295" s="17" t="n">
        <x:f>L295+M295</x:f>
        <x:v>188800</x:v>
      </x:c>
      <x:c r="O295" s="12" t="str">
        <x:v>Chennai</x:v>
      </x:c>
      <x:c r="P295" s="12" t="str">
        <x:v>CORP-0748, CORP-0749, CORP-0754, CORP-0755</x:v>
      </x:c>
      <x:c r="Q295" s="12" t="str">
        <x:v>AWFIS Space Solutions Pvt Ltd, Awfis Space Solutions Pvt Ltd</x:v>
      </x:c>
    </x:row>
    <x:row r="296" ht="48" customHeight="1">
      <x:c r="A296" s="2" t="str">
        <x:v>TEN-4C75F725A6D4</x:v>
      </x:c>
      <x:c r="B296" s="12" t="str">
        <x:v>AXA Business Services</x:v>
      </x:c>
      <x:c r="C296" s="12" t="str">
        <x:v>Business / brand</x:v>
      </x:c>
      <x:c r="D296" s="12" t="str">
        <x:v>Finance &amp; insurance</x:v>
      </x:c>
      <x:c r="E296" s="12" t="str">
        <x:v>Banking, insurance, investments &amp; financial services</x:v>
      </x:c>
      <x:c r="F296" s="12" t="str">
        <x:v>Large enterprise</x:v>
      </x:c>
      <x:c r="G296" s="12" t="str">
        <x:v>Explicit AXA enterprise-family context; see ENTERPRISE_SUPP_025 evidence.</x:v>
      </x:c>
      <x:c r="H296" s="11" t="n">
        <x:v>5</x:v>
      </x:c>
      <x:c r="I296" s="11" t="n">
        <x:v>5</x:v>
      </x:c>
      <x:c r="J296" s="11" t="n">
        <x:v>5</x:v>
      </x:c>
      <x:c r="K296" s="11" t="n">
        <x:v>0</x:v>
      </x:c>
      <x:c r="L296" s="17" t="n">
        <x:f>SUM(SUMIFS('Costing'!$P$9:$P$492,'Costing'!$A$9:$A$492,"PARTNER-M051"))</x:f>
        <x:v>200000</x:v>
      </x:c>
      <x:c r="M296" s="17" t="n">
        <x:f>ROUND(L296*'Costing'!$C$4,2)</x:f>
        <x:v>36000</x:v>
      </x:c>
      <x:c r="N296" s="17" t="n">
        <x:f>L296+M296</x:f>
        <x:v>236000</x:v>
      </x:c>
      <x:c r="O296" s="12" t="str">
        <x:v>Bengaluru</x:v>
      </x:c>
      <x:c r="P296" s="12" t="str">
        <x:v>CORP-0469, CORP-0470, CORP-0471, CORP-0472, CORP-0473</x:v>
      </x:c>
      <x:c r="Q296" s="12" t="str">
        <x:v>AXA Business Services</x:v>
      </x:c>
    </x:row>
    <x:row r="297" ht="48" customHeight="1">
      <x:c r="A297" s="2" t="str">
        <x:v>TEN-6229AE0860C6</x:v>
      </x:c>
      <x:c r="B297" s="12" t="str">
        <x:v>AXA Technologies Shared Services</x:v>
      </x:c>
      <x:c r="C297" s="12" t="str">
        <x:v>Business / brand</x:v>
      </x:c>
      <x:c r="D297" s="12" t="str">
        <x:v>IT &amp; digital</x:v>
      </x:c>
      <x:c r="E297" s="12" t="str">
        <x:v>Enterprise software &amp; digital engineering</x:v>
      </x:c>
      <x:c r="F297" s="12" t="str">
        <x:v>Large enterprise</x:v>
      </x:c>
      <x:c r="G297" s="12" t="str">
        <x:v>Explicit AXA enterprise-family context; see ENTERPRISE_SUPP_025 evidence.</x:v>
      </x:c>
      <x:c r="H297" s="11" t="n">
        <x:v>5</x:v>
      </x:c>
      <x:c r="I297" s="11" t="n">
        <x:v>5</x:v>
      </x:c>
      <x:c r="J297" s="11" t="n">
        <x:v>5</x:v>
      </x:c>
      <x:c r="K297" s="11" t="n">
        <x:v>0</x:v>
      </x:c>
      <x:c r="L297" s="17" t="n">
        <x:f>SUM(SUMIFS('Costing'!$P$9:$P$492,'Costing'!$A$9:$A$492,"PARTNER-M051"))</x:f>
        <x:v>200000</x:v>
      </x:c>
      <x:c r="M297" s="17" t="n">
        <x:f>ROUND(L297*'Costing'!$C$4,2)</x:f>
        <x:v>36000</x:v>
      </x:c>
      <x:c r="N297" s="17" t="n">
        <x:f>L297+M297</x:f>
        <x:v>236000</x:v>
      </x:c>
      <x:c r="O297" s="12" t="str">
        <x:v>Bengaluru</x:v>
      </x:c>
      <x:c r="P297" s="12" t="str">
        <x:v>CORP-0469, CORP-0470, CORP-0471, CORP-0472, CORP-0473</x:v>
      </x:c>
      <x:c r="Q297" s="12" t="str">
        <x:v>AXA Technologies Shared Services</x:v>
      </x:c>
    </x:row>
    <x:row r="298" ht="48" customHeight="1">
      <x:c r="A298" s="2" t="str">
        <x:v>TEN-52CC75641406</x:v>
      </x:c>
      <x:c r="B298" s="12" t="str">
        <x:v>Axis Bank</x:v>
      </x:c>
      <x:c r="C298" s="12" t="str">
        <x:v>Business / brand</x:v>
      </x:c>
      <x:c r="D298" s="12" t="str">
        <x:v>Finance &amp; insurance</x:v>
      </x:c>
      <x:c r="E298" s="12" t="str">
        <x:v>Banking &amp; credit</x:v>
      </x:c>
      <x:c r="F298" s="12" t="str">
        <x:v>Large enterprise</x:v>
      </x:c>
      <x:c r="G298" s="12" t="str">
        <x:v>Explicit Axis Bank enterprise-family context; see ENTERPRISE_SUPP_011 evidence.</x:v>
      </x:c>
      <x:c r="H298" s="11" t="n">
        <x:v>2</x:v>
      </x:c>
      <x:c r="I298" s="11" t="n">
        <x:v>7</x:v>
      </x:c>
      <x:c r="J298" s="11" t="n">
        <x:v>7</x:v>
      </x:c>
      <x:c r="K298" s="11" t="n">
        <x:v>0</x:v>
      </x:c>
      <x:c r="L298" s="17" t="n">
        <x:f>SUM(SUMIFS('Costing'!$P$9:$P$492,'Costing'!$A$9:$A$492,"MAIN-271"),SUMIFS('Costing'!$P$9:$P$492,'Costing'!$A$9:$A$492,"MAIN-338"))</x:f>
        <x:v>240000</x:v>
      </x:c>
      <x:c r="M298" s="17" t="n">
        <x:f>ROUND(L298*'Costing'!$C$4,2)</x:f>
        <x:v>43200</x:v>
      </x:c>
      <x:c r="N298" s="17" t="n">
        <x:f>L298+M298</x:f>
        <x:v>283200</x:v>
      </x:c>
      <x:c r="O298" s="12" t="str">
        <x:v>Indore, Mumbai</x:v>
      </x:c>
      <x:c r="P298" s="12" t="str">
        <x:v>CORP-0267, CORP-0334</x:v>
      </x:c>
      <x:c r="Q298" s="12" t="str">
        <x:v>Axis Bank, Axis bank</x:v>
      </x:c>
    </x:row>
    <x:row r="299" ht="48" customHeight="1">
      <x:c r="A299" s="2" t="str">
        <x:v>TEN-408FF4FBBE84</x:v>
      </x:c>
      <x:c r="B299" s="12" t="str">
        <x:v>AZB patners</x:v>
      </x:c>
      <x:c r="C299" s="12" t="str">
        <x:v>Business / brand</x:v>
      </x:c>
      <x:c r="D299" s="12" t="str">
        <x:v>Professional services</x:v>
      </x:c>
      <x:c r="E299" s="12" t="str">
        <x:v>Business, marketing &amp; research services</x:v>
      </x:c>
      <x:c r="F299" s="12" t="str">
        <x:v>Mixed business audience</x:v>
      </x:c>
      <x:c r="G299" s="12" t="str">
        <x:v>Established brand or business network; local company scale is not established. Use a mixed-business message.</x:v>
      </x:c>
      <x:c r="H299" s="11" t="n">
        <x:v>1</x:v>
      </x:c>
      <x:c r="I299" s="11" t="n">
        <x:v>2</x:v>
      </x:c>
      <x:c r="J299" s="11" t="n">
        <x:v>2</x:v>
      </x:c>
      <x:c r="K299" s="11" t="n">
        <x:v>0</x:v>
      </x:c>
      <x:c r="L299" s="17" t="n">
        <x:f>SUM(SUMIFS('Costing'!$P$9:$P$492,'Costing'!$A$9:$A$492,"MAIN-182"))</x:f>
        <x:v>30000</x:v>
      </x:c>
      <x:c r="M299" s="17" t="n">
        <x:f>ROUND(L299*'Costing'!$C$4,2)</x:f>
        <x:v>5400</x:v>
      </x:c>
      <x:c r="N299" s="17" t="n">
        <x:f>L299+M299</x:f>
        <x:v>35400</x:v>
      </x:c>
      <x:c r="O299" s="12" t="str">
        <x:v>Delhi NCR</x:v>
      </x:c>
      <x:c r="P299" s="12" t="str">
        <x:v>CORP-0178</x:v>
      </x:c>
      <x:c r="Q299" s="12" t="str">
        <x:v>AZB patners</x:v>
      </x:c>
    </x:row>
    <x:row r="300" ht="48" customHeight="1">
      <x:c r="A300" s="2" t="str">
        <x:v>TEN-9C630AB31C7F</x:v>
      </x:c>
      <x:c r="B300" s="12" t="str">
        <x:v>Babcock Power APAC Pvt. Ltd</x:v>
      </x:c>
      <x:c r="C300" s="12" t="str">
        <x:v>Business / brand</x:v>
      </x:c>
      <x:c r="D300" s="12" t="str">
        <x:v>Engineering &amp; manufacturing</x:v>
      </x:c>
      <x:c r="E300" s="12" t="str">
        <x:v>Energy, electrical &amp; industrial systems</x:v>
      </x:c>
      <x:c r="F300" s="12" t="str">
        <x:v>Mixed business audience</x:v>
      </x:c>
      <x:c r="G300" s="12" t="str">
        <x:v>Established brand or business network; local company scale is not established. Use a mixed-business message.</x:v>
      </x:c>
      <x:c r="H300" s="11" t="n">
        <x:v>6</x:v>
      </x:c>
      <x:c r="I300" s="11" t="n">
        <x:v>6</x:v>
      </x:c>
      <x:c r="J300" s="11" t="n">
        <x:v>6</x:v>
      </x:c>
      <x:c r="K300" s="11" t="n">
        <x:v>0</x:v>
      </x:c>
      <x:c r="L300" s="17" t="n">
        <x:f>SUM(SUMIFS('Costing'!$P$9:$P$492,'Costing'!$A$9:$A$492,"PARTNER-M325"))</x:f>
        <x:v>240000</x:v>
      </x:c>
      <x:c r="M300" s="17" t="n">
        <x:f>ROUND(L300*'Costing'!$C$4,2)</x:f>
        <x:v>43200</x:v>
      </x:c>
      <x:c r="N300" s="17" t="n">
        <x:f>L300+M300</x:f>
        <x:v>283200</x:v>
      </x:c>
      <x:c r="O300" s="12" t="str">
        <x:v>Chennai</x:v>
      </x:c>
      <x:c r="P300" s="12" t="str">
        <x:v>CORP-0739, CORP-0740, CORP-0741, CORP-0742, CORP-0743, CORP-0744</x:v>
      </x:c>
      <x:c r="Q300" s="12" t="str">
        <x:v>Babcock Power APAC Pvt. Ltd, BABCOCK POWER APAC PVT. LTD</x:v>
      </x:c>
    </x:row>
    <x:row r="301" ht="48" customHeight="1">
      <x:c r="A301" s="2" t="str">
        <x:v>TEN-9E29CC6A4F3E</x:v>
      </x:c>
      <x:c r="B301" s="12" t="str">
        <x:v>Badaghaar</x:v>
      </x:c>
      <x:c r="C301" s="12" t="str">
        <x:v>Business / brand</x:v>
      </x:c>
      <x:c r="D301" s="12" t="str">
        <x:v>Unresolved</x:v>
      </x:c>
      <x:c r="E301" s="12" t="str">
        <x:v>Business activity not established</x:v>
      </x:c>
      <x:c r="F301" s="12" t="str">
        <x:v>Mixed business audience</x:v>
      </x:c>
      <x:c r="G301" s="12" t="str">
        <x:v>Business activity and company scale are not established from this name.</x:v>
      </x:c>
      <x:c r="H301" s="11" t="n">
        <x:v>1</x:v>
      </x:c>
      <x:c r="I301" s="11" t="n">
        <x:v>3</x:v>
      </x:c>
      <x:c r="J301" s="11" t="n">
        <x:v>3</x:v>
      </x:c>
      <x:c r="K301" s="11" t="n">
        <x:v>0</x:v>
      </x:c>
      <x:c r="L301" s="17" t="n">
        <x:f>SUM(SUMIFS('Costing'!$P$9:$P$492,'Costing'!$A$9:$A$492,"MAIN-371"))</x:f>
        <x:v>45000</x:v>
      </x:c>
      <x:c r="M301" s="17" t="n">
        <x:f>ROUND(L301*'Costing'!$C$4,2)</x:f>
        <x:v>8100</x:v>
      </x:c>
      <x:c r="N301" s="17" t="n">
        <x:f>L301+M301</x:f>
        <x:v>53100</x:v>
      </x:c>
      <x:c r="O301" s="12" t="str">
        <x:v>Delhi NCR</x:v>
      </x:c>
      <x:c r="P301" s="12" t="str">
        <x:v>CORP-0367</x:v>
      </x:c>
      <x:c r="Q301" s="12" t="str">
        <x:v>Badaghaar</x:v>
      </x:c>
    </x:row>
    <x:row r="302" ht="48" customHeight="1">
      <x:c r="A302" s="2" t="str">
        <x:v>TEN-79E64640C221</x:v>
      </x:c>
      <x:c r="B302" s="12" t="str">
        <x:v>BAHALA GROUP</x:v>
      </x:c>
      <x:c r="C302" s="12" t="str">
        <x:v>Business / brand</x:v>
      </x:c>
      <x:c r="D302" s="12" t="str">
        <x:v>Unresolved</x:v>
      </x:c>
      <x:c r="E302" s="12" t="str">
        <x:v>Business activity not established</x:v>
      </x:c>
      <x:c r="F302" s="12" t="str">
        <x:v>Mixed business audience</x:v>
      </x:c>
      <x:c r="G302" s="12" t="str">
        <x:v>Business activity and company scale are not established from this name.</x:v>
      </x:c>
      <x:c r="H302" s="11" t="n">
        <x:v>1</x:v>
      </x:c>
      <x:c r="I302" s="11" t="n">
        <x:v>5</x:v>
      </x:c>
      <x:c r="J302" s="11" t="n">
        <x:v>5</x:v>
      </x:c>
      <x:c r="K302" s="11" t="n">
        <x:v>0</x:v>
      </x:c>
      <x:c r="L302" s="17" t="n">
        <x:f>SUM(SUMIFS('Costing'!$P$9:$P$492,'Costing'!$A$9:$A$492,"MAIN-168"))</x:f>
        <x:v>200000</x:v>
      </x:c>
      <x:c r="M302" s="17" t="n">
        <x:f>ROUND(L302*'Costing'!$C$4,2)</x:f>
        <x:v>36000</x:v>
      </x:c>
      <x:c r="N302" s="17" t="n">
        <x:f>L302+M302</x:f>
        <x:v>236000</x:v>
      </x:c>
      <x:c r="O302" s="12" t="str">
        <x:v>Delhi NCR</x:v>
      </x:c>
      <x:c r="P302" s="12" t="str">
        <x:v>CORP-0164</x:v>
      </x:c>
      <x:c r="Q302" s="12" t="str">
        <x:v>BAHALA GROUP</x:v>
      </x:c>
    </x:row>
    <x:row r="303" ht="48" customHeight="1">
      <x:c r="A303" s="2" t="str">
        <x:v>TEN-230FC25B995B</x:v>
      </x:c>
      <x:c r="B303" s="12" t="str">
        <x:v>Bain &amp; Company</x:v>
      </x:c>
      <x:c r="C303" s="12" t="str">
        <x:v>Business / brand</x:v>
      </x:c>
      <x:c r="D303" s="12" t="str">
        <x:v>Professional services</x:v>
      </x:c>
      <x:c r="E303" s="12" t="str">
        <x:v>Professional services — specialty unverified</x:v>
      </x:c>
      <x:c r="F303" s="12" t="str">
        <x:v>Mixed business audience</x:v>
      </x:c>
      <x:c r="G303" s="12" t="str">
        <x:v>Established brand or business network; local company scale is not established. Use a mixed-business message.</x:v>
      </x:c>
      <x:c r="H303" s="11" t="n">
        <x:v>3</x:v>
      </x:c>
      <x:c r="I303" s="11" t="n">
        <x:v>3</x:v>
      </x:c>
      <x:c r="J303" s="11" t="n">
        <x:v>3</x:v>
      </x:c>
      <x:c r="K303" s="11" t="n">
        <x:v>0</x:v>
      </x:c>
      <x:c r="L303" s="17" t="n">
        <x:f>SUM(SUMIFS('Costing'!$P$9:$P$492,'Costing'!$A$9:$A$492,"PARTNER-M175"))</x:f>
        <x:v>120000</x:v>
      </x:c>
      <x:c r="M303" s="17" t="n">
        <x:f>ROUND(L303*'Costing'!$C$4,2)</x:f>
        <x:v>21600</x:v>
      </x:c>
      <x:c r="N303" s="17" t="n">
        <x:f>L303+M303</x:f>
        <x:v>141600</x:v>
      </x:c>
      <x:c r="O303" s="12" t="str">
        <x:v>Mumbai</x:v>
      </x:c>
      <x:c r="P303" s="12" t="str">
        <x:v>CORP-0592, CORP-0593, CORP-0594</x:v>
      </x:c>
      <x:c r="Q303" s="12" t="str">
        <x:v>Bain &amp; Company</x:v>
      </x:c>
    </x:row>
    <x:row r="304" ht="48" customHeight="1">
      <x:c r="A304" s="2" t="str">
        <x:v>TEN-EFA1AA1770B7</x:v>
      </x:c>
      <x:c r="B304" s="12" t="str">
        <x:v>Bajaj Allianz</x:v>
      </x:c>
      <x:c r="C304" s="12" t="str">
        <x:v>Business / brand</x:v>
      </x:c>
      <x:c r="D304" s="12" t="str">
        <x:v>Finance &amp; insurance</x:v>
      </x:c>
      <x:c r="E304" s="12" t="str">
        <x:v>Insurance &amp; insurance services</x:v>
      </x:c>
      <x:c r="F304" s="12" t="str">
        <x:v>Large enterprise</x:v>
      </x:c>
      <x:c r="G304" s="12" t="str">
        <x:v>Explicit Bajaj Finserv enterprise-family context; see ENTERPRISE_SUPP_007 evidence.</x:v>
      </x:c>
      <x:c r="H304" s="11" t="n">
        <x:v>2</x:v>
      </x:c>
      <x:c r="I304" s="11" t="n">
        <x:v>3</x:v>
      </x:c>
      <x:c r="J304" s="11" t="n">
        <x:v>3</x:v>
      </x:c>
      <x:c r="K304" s="11" t="n">
        <x:v>0</x:v>
      </x:c>
      <x:c r="L304" s="17" t="n">
        <x:f>SUM(SUMIFS('Costing'!$P$9:$P$492,'Costing'!$A$9:$A$492,"MAIN-270"),SUMIFS('Costing'!$P$9:$P$492,'Costing'!$A$9:$A$492,"MAIN-413"))</x:f>
        <x:v>100000</x:v>
      </x:c>
      <x:c r="M304" s="17" t="n">
        <x:f>ROUND(L304*'Costing'!$C$4,2)</x:f>
        <x:v>18000</x:v>
      </x:c>
      <x:c r="N304" s="17" t="n">
        <x:f>L304+M304</x:f>
        <x:v>118000</x:v>
      </x:c>
      <x:c r="O304" s="12" t="str">
        <x:v>Indore, Pune</x:v>
      </x:c>
      <x:c r="P304" s="12" t="str">
        <x:v>CORP-0266, CORP-0409</x:v>
      </x:c>
      <x:c r="Q304" s="12" t="str">
        <x:v>Bajaj Allianz</x:v>
      </x:c>
    </x:row>
    <x:row r="305" ht="48" customHeight="1">
      <x:c r="A305" s="2" t="str">
        <x:v>TEN-A3F403EC4923</x:v>
      </x:c>
      <x:c r="B305" s="12" t="str">
        <x:v>Bajaj Allianz Life Insurance Company Limited</x:v>
      </x:c>
      <x:c r="C305" s="12" t="str">
        <x:v>Business / brand</x:v>
      </x:c>
      <x:c r="D305" s="12" t="str">
        <x:v>Finance &amp; insurance</x:v>
      </x:c>
      <x:c r="E305" s="12" t="str">
        <x:v>Insurance &amp; insurance services</x:v>
      </x:c>
      <x:c r="F305" s="12" t="str">
        <x:v>Large enterprise</x:v>
      </x:c>
      <x:c r="G305" s="12" t="str">
        <x:v>Explicit Bajaj Finserv enterprise-family context; see ENTERPRISE_SUPP_007 evidence.</x:v>
      </x:c>
      <x:c r="H305" s="11" t="n">
        <x:v>1</x:v>
      </x:c>
      <x:c r="I305" s="11" t="n">
        <x:v>1</x:v>
      </x:c>
      <x:c r="J305" s="11" t="n">
        <x:v>1</x:v>
      </x:c>
      <x:c r="K305" s="11" t="n">
        <x:v>0</x:v>
      </x:c>
      <x:c r="L305" s="17" t="n">
        <x:f>SUM(SUMIFS('Costing'!$P$9:$P$492,'Costing'!$A$9:$A$492,"MAIN-281"))</x:f>
        <x:v>15000</x:v>
      </x:c>
      <x:c r="M305" s="17" t="n">
        <x:f>ROUND(L305*'Costing'!$C$4,2)</x:f>
        <x:v>2700</x:v>
      </x:c>
      <x:c r="N305" s="17" t="n">
        <x:f>L305+M305</x:f>
        <x:v>17700</x:v>
      </x:c>
      <x:c r="O305" s="12" t="str">
        <x:v>Kolkata</x:v>
      </x:c>
      <x:c r="P305" s="12" t="str">
        <x:v>CORP-0277</x:v>
      </x:c>
      <x:c r="Q305" s="12" t="str">
        <x:v>Bajaj Allianz Life Insurance Company Limited</x:v>
      </x:c>
    </x:row>
    <x:row r="306" ht="48" customHeight="1">
      <x:c r="A306" s="2" t="str">
        <x:v>TEN-0470467C47DA</x:v>
      </x:c>
      <x:c r="B306" s="12" t="str">
        <x:v>Bajaj Finserv</x:v>
      </x:c>
      <x:c r="C306" s="12" t="str">
        <x:v>Business / brand</x:v>
      </x:c>
      <x:c r="D306" s="12" t="str">
        <x:v>Finance &amp; insurance</x:v>
      </x:c>
      <x:c r="E306" s="12" t="str">
        <x:v>Insurance &amp; insurance services</x:v>
      </x:c>
      <x:c r="F306" s="12" t="str">
        <x:v>Large enterprise</x:v>
      </x:c>
      <x:c r="G306" s="12" t="str">
        <x:v>Explicit Bajaj Finserv enterprise-family context; see ENTERPRISE_SUPP_007 evidence.</x:v>
      </x:c>
      <x:c r="H306" s="11" t="n">
        <x:v>1</x:v>
      </x:c>
      <x:c r="I306" s="11" t="n">
        <x:v>1</x:v>
      </x:c>
      <x:c r="J306" s="11" t="n">
        <x:v>1</x:v>
      </x:c>
      <x:c r="K306" s="11" t="n">
        <x:v>0</x:v>
      </x:c>
      <x:c r="L306" s="17" t="n">
        <x:f>SUM(SUMIFS('Costing'!$P$9:$P$492,'Costing'!$A$9:$A$492,"MAIN-266"))</x:f>
        <x:v>20000</x:v>
      </x:c>
      <x:c r="M306" s="17" t="n">
        <x:f>ROUND(L306*'Costing'!$C$4,2)</x:f>
        <x:v>3600</x:v>
      </x:c>
      <x:c r="N306" s="17" t="n">
        <x:f>L306+M306</x:f>
        <x:v>23600</x:v>
      </x:c>
      <x:c r="O306" s="12" t="str">
        <x:v>Indore</x:v>
      </x:c>
      <x:c r="P306" s="12" t="str">
        <x:v>CORP-0262</x:v>
      </x:c>
      <x:c r="Q306" s="12" t="str">
        <x:v>Bajaj Finserv</x:v>
      </x:c>
    </x:row>
    <x:row r="307" ht="48" customHeight="1">
      <x:c r="A307" s="2" t="str">
        <x:v>TEN-0C0136DB04F2</x:v>
      </x:c>
      <x:c r="B307" s="12" t="str">
        <x:v>Bajaj Housing finance</x:v>
      </x:c>
      <x:c r="C307" s="12" t="str">
        <x:v>Business / brand</x:v>
      </x:c>
      <x:c r="D307" s="12" t="str">
        <x:v>Finance &amp; insurance</x:v>
      </x:c>
      <x:c r="E307" s="12" t="str">
        <x:v>Banking &amp; credit</x:v>
      </x:c>
      <x:c r="F307" s="12" t="str">
        <x:v>Large enterprise</x:v>
      </x:c>
      <x:c r="G307" s="12" t="str">
        <x:v>Explicit Bajaj Finserv enterprise-family context; see ENTERPRISE_SUPP_007 evidence.</x:v>
      </x:c>
      <x:c r="H307" s="11" t="n">
        <x:v>1</x:v>
      </x:c>
      <x:c r="I307" s="11" t="n">
        <x:v>3</x:v>
      </x:c>
      <x:c r="J307" s="11" t="n">
        <x:v>3</x:v>
      </x:c>
      <x:c r="K307" s="11" t="n">
        <x:v>0</x:v>
      </x:c>
      <x:c r="L307" s="17" t="n">
        <x:f>SUM(SUMIFS('Costing'!$P$9:$P$492,'Costing'!$A$9:$A$492,"MAIN-422"))</x:f>
        <x:v>45000</x:v>
      </x:c>
      <x:c r="M307" s="17" t="n">
        <x:f>ROUND(L307*'Costing'!$C$4,2)</x:f>
        <x:v>8100</x:v>
      </x:c>
      <x:c r="N307" s="17" t="n">
        <x:f>L307+M307</x:f>
        <x:v>53100</x:v>
      </x:c>
      <x:c r="O307" s="12" t="str">
        <x:v>Pune</x:v>
      </x:c>
      <x:c r="P307" s="12" t="str">
        <x:v>CORP-0418</x:v>
      </x:c>
      <x:c r="Q307" s="12" t="str">
        <x:v>Bajaj Housing finance</x:v>
      </x:c>
    </x:row>
    <x:row r="308" ht="48" customHeight="1">
      <x:c r="A308" s="2" t="str">
        <x:v>TEN-30CD0B02435B</x:v>
      </x:c>
      <x:c r="B308" s="12" t="str">
        <x:v>Baldor technologies</x:v>
      </x:c>
      <x:c r="C308" s="12" t="str">
        <x:v>Business / brand</x:v>
      </x:c>
      <x:c r="D308" s="12" t="str">
        <x:v>Unresolved</x:v>
      </x:c>
      <x:c r="E308" s="12" t="str">
        <x:v>Business activity not established</x:v>
      </x:c>
      <x:c r="F308" s="12" t="str">
        <x:v>Mixed business audience</x:v>
      </x:c>
      <x:c r="G308" s="12" t="str">
        <x:v>Business activity and company scale are not established from this name.</x:v>
      </x:c>
      <x:c r="H308" s="11" t="n">
        <x:v>1</x:v>
      </x:c>
      <x:c r="I308" s="11" t="n">
        <x:v>2</x:v>
      </x:c>
      <x:c r="J308" s="11" t="n">
        <x:v>2</x:v>
      </x:c>
      <x:c r="K308" s="11" t="n">
        <x:v>0</x:v>
      </x:c>
      <x:c r="L308" s="17" t="n">
        <x:f>SUM(SUMIFS('Costing'!$P$9:$P$492,'Costing'!$A$9:$A$492,"MAIN-304"))</x:f>
        <x:v>30000</x:v>
      </x:c>
      <x:c r="M308" s="17" t="n">
        <x:f>ROUND(L308*'Costing'!$C$4,2)</x:f>
        <x:v>5400</x:v>
      </x:c>
      <x:c r="N308" s="17" t="n">
        <x:f>L308+M308</x:f>
        <x:v>35400</x:v>
      </x:c>
      <x:c r="O308" s="12" t="str">
        <x:v>Mumbai</x:v>
      </x:c>
      <x:c r="P308" s="12" t="str">
        <x:v>CORP-0300</x:v>
      </x:c>
      <x:c r="Q308" s="12" t="str">
        <x:v>Baldor technologies</x:v>
      </x:c>
    </x:row>
    <x:row r="309" ht="48" customHeight="1">
      <x:c r="A309" s="2" t="str">
        <x:v>TEN-357493962351</x:v>
      </x:c>
      <x:c r="B309" s="12" t="str">
        <x:v>Bambrew</x:v>
      </x:c>
      <x:c r="C309" s="12" t="str">
        <x:v>Business / brand</x:v>
      </x:c>
      <x:c r="D309" s="12" t="str">
        <x:v>Engineering &amp; manufacturing</x:v>
      </x:c>
      <x:c r="E309" s="12" t="str">
        <x:v>Chemicals, materials &amp; industrial manufacturing</x:v>
      </x:c>
      <x:c r="F309" s="12" t="str">
        <x:v>Medium-scale prospects</x:v>
      </x:c>
      <x:c r="G309" s="12" t="str">
        <x:v>Specialist industrial or engineering business; medium-scale prospect assumption.</x:v>
      </x:c>
      <x:c r="H309" s="11" t="n">
        <x:v>1</x:v>
      </x:c>
      <x:c r="I309" s="11" t="n">
        <x:v>1</x:v>
      </x:c>
      <x:c r="J309" s="11" t="n">
        <x:v>1</x:v>
      </x:c>
      <x:c r="K309" s="11" t="n">
        <x:v>0</x:v>
      </x:c>
      <x:c r="L309" s="17" t="n">
        <x:f>SUM(SUMIFS('Costing'!$P$9:$P$492,'Costing'!$A$9:$A$492,"MAIN-105"))</x:f>
        <x:v>15000</x:v>
      </x:c>
      <x:c r="M309" s="17" t="n">
        <x:f>ROUND(L309*'Costing'!$C$4,2)</x:f>
        <x:v>2700</x:v>
      </x:c>
      <x:c r="N309" s="17" t="n">
        <x:f>L309+M309</x:f>
        <x:v>17700</x:v>
      </x:c>
      <x:c r="O309" s="12" t="str">
        <x:v>Bengaluru</x:v>
      </x:c>
      <x:c r="P309" s="12" t="str">
        <x:v>CORP-0101</x:v>
      </x:c>
      <x:c r="Q309" s="12" t="str">
        <x:v>Bambrew</x:v>
      </x:c>
    </x:row>
    <x:row r="310" ht="48" customHeight="1">
      <x:c r="A310" s="2" t="str">
        <x:v>TEN-C8827568878B</x:v>
      </x:c>
      <x:c r="B310" s="12" t="str">
        <x:v>Bank Of Baroda</x:v>
      </x:c>
      <x:c r="C310" s="12" t="str">
        <x:v>Business / brand</x:v>
      </x:c>
      <x:c r="D310" s="12" t="str">
        <x:v>Finance &amp; insurance</x:v>
      </x:c>
      <x:c r="E310" s="12" t="str">
        <x:v>Banking &amp; credit</x:v>
      </x:c>
      <x:c r="F310" s="12" t="str">
        <x:v>Large enterprise</x:v>
      </x:c>
      <x:c r="G310" s="12" t="str">
        <x:v>Explicit Bank of Baroda enterprise-family context; see ENTERPRISE_SUPP_014 evidence.</x:v>
      </x:c>
      <x:c r="H310" s="11" t="n">
        <x:v>3</x:v>
      </x:c>
      <x:c r="I310" s="11" t="n">
        <x:v>3</x:v>
      </x:c>
      <x:c r="J310" s="11" t="n">
        <x:v>3</x:v>
      </x:c>
      <x:c r="K310" s="11" t="n">
        <x:v>0</x:v>
      </x:c>
      <x:c r="L310" s="17" t="n">
        <x:f>SUM(SUMIFS('Costing'!$P$9:$P$492,'Costing'!$A$9:$A$492,"PARTNER-M175"))</x:f>
        <x:v>120000</x:v>
      </x:c>
      <x:c r="M310" s="17" t="n">
        <x:f>ROUND(L310*'Costing'!$C$4,2)</x:f>
        <x:v>21600</x:v>
      </x:c>
      <x:c r="N310" s="17" t="n">
        <x:f>L310+M310</x:f>
        <x:v>141600</x:v>
      </x:c>
      <x:c r="O310" s="12" t="str">
        <x:v>Mumbai</x:v>
      </x:c>
      <x:c r="P310" s="12" t="str">
        <x:v>CORP-0592, CORP-0593, CORP-0594</x:v>
      </x:c>
      <x:c r="Q310" s="12" t="str">
        <x:v>Bank Of Baroda</x:v>
      </x:c>
    </x:row>
    <x:row r="311" ht="48" customHeight="1">
      <x:c r="A311" s="2" t="str">
        <x:v>TEN-F2743CB33EB1</x:v>
      </x:c>
      <x:c r="B311" s="12" t="str">
        <x:v>Barracuda</x:v>
      </x:c>
      <x:c r="C311" s="12" t="str">
        <x:v>Business / brand</x:v>
      </x:c>
      <x:c r="D311" s="12" t="str">
        <x:v>IT &amp; digital</x:v>
      </x:c>
      <x:c r="E311" s="12" t="str">
        <x:v>Cybersecurity &amp; cloud infrastructure</x:v>
      </x:c>
      <x:c r="F311" s="12" t="str">
        <x:v>Mixed business audience</x:v>
      </x:c>
      <x:c r="G311" s="12" t="str">
        <x:v>Recognisable business context; company-scale evidence remains insufficient for a single size band.</x:v>
      </x:c>
      <x:c r="H311" s="11" t="n">
        <x:v>1</x:v>
      </x:c>
      <x:c r="I311" s="11" t="n">
        <x:v>1</x:v>
      </x:c>
      <x:c r="J311" s="11" t="n">
        <x:v>1</x:v>
      </x:c>
      <x:c r="K311" s="11" t="n">
        <x:v>0</x:v>
      </x:c>
      <x:c r="L311" s="17" t="n">
        <x:f>SUM(SUMIFS('Costing'!$P$9:$P$492,'Costing'!$A$9:$A$492,"MAIN-015"))</x:f>
        <x:v>15000</x:v>
      </x:c>
      <x:c r="M311" s="17" t="n">
        <x:f>ROUND(L311*'Costing'!$C$4,2)</x:f>
        <x:v>2700</x:v>
      </x:c>
      <x:c r="N311" s="17" t="n">
        <x:f>L311+M311</x:f>
        <x:v>17700</x:v>
      </x:c>
      <x:c r="O311" s="12" t="str">
        <x:v>Bengaluru</x:v>
      </x:c>
      <x:c r="P311" s="12" t="str">
        <x:v>CORP-0011</x:v>
      </x:c>
      <x:c r="Q311" s="12" t="str">
        <x:v>Barracuda</x:v>
      </x:c>
    </x:row>
    <x:row r="312" ht="49" customHeight="1">
      <x:c r="A312" s="2" t="str">
        <x:v>TEN-C4BDE5AF5978</x:v>
      </x:c>
      <x:c r="B312" s="12" t="str">
        <x:v>Barracuda Networks</x:v>
      </x:c>
      <x:c r="C312" s="12" t="str">
        <x:v>Business / brand</x:v>
      </x:c>
      <x:c r="D312" s="12" t="str">
        <x:v>IT &amp; digital</x:v>
      </x:c>
      <x:c r="E312" s="12" t="str">
        <x:v>Cybersecurity &amp; cloud infrastructure</x:v>
      </x:c>
      <x:c r="F312" s="12" t="str">
        <x:v>Mixed business audience</x:v>
      </x:c>
      <x:c r="G312" s="12" t="str">
        <x:v>Recognisable business context; company-scale evidence remains insufficient for a single size band.</x:v>
      </x:c>
      <x:c r="H312" s="11" t="n">
        <x:v>11</x:v>
      </x:c>
      <x:c r="I312" s="11" t="n">
        <x:v>11</x:v>
      </x:c>
      <x:c r="J312" s="11" t="n">
        <x:v>11</x:v>
      </x:c>
      <x:c r="K312" s="11" t="n">
        <x:v>0</x:v>
      </x:c>
      <x:c r="L312" s="17" t="n">
        <x:f>SUM(SUMIFS('Costing'!$P$9:$P$492,'Costing'!$A$9:$A$492,"PARTNER-M082"))</x:f>
        <x:v>440000</x:v>
      </x:c>
      <x:c r="M312" s="17" t="n">
        <x:f>ROUND(L312*'Costing'!$C$4,2)</x:f>
        <x:v>79200</x:v>
      </x:c>
      <x:c r="N312" s="17" t="n">
        <x:f>L312+M312</x:f>
        <x:v>519200</x:v>
      </x:c>
      <x:c r="O312" s="12" t="str">
        <x:v>Bengaluru</x:v>
      </x:c>
      <x:c r="P312" s="12" t="str">
        <x:v>CORP-0500, CORP-0501, CORP-0502, CORP-0503, CORP-0504, CORP-0505, CORP-0506, CORP-0507, CORP-0508, CORP-0509, CORP-0510</x:v>
      </x:c>
      <x:c r="Q312" s="12" t="str">
        <x:v>Barracuda Networks</x:v>
      </x:c>
    </x:row>
    <x:row r="313" ht="48" customHeight="1">
      <x:c r="A313" s="2" t="str">
        <x:v>TEN-D3004A4276FF</x:v>
      </x:c>
      <x:c r="B313" s="12" t="str">
        <x:v>Barry Callebaut India Private Limited</x:v>
      </x:c>
      <x:c r="C313" s="12" t="str">
        <x:v>Business / brand</x:v>
      </x:c>
      <x:c r="D313" s="12" t="str">
        <x:v>Trade, consumer &amp; logistics</x:v>
      </x:c>
      <x:c r="E313" s="12" t="str">
        <x:v>Consumer/trade services — specialty unverified</x:v>
      </x:c>
      <x:c r="F313" s="12" t="str">
        <x:v>Mixed business audience</x:v>
      </x:c>
      <x:c r="G313" s="12" t="str">
        <x:v>Recognisable business context; company-scale evidence remains insufficient for a single size band.</x:v>
      </x:c>
      <x:c r="H313" s="11" t="n">
        <x:v>2</x:v>
      </x:c>
      <x:c r="I313" s="11" t="n">
        <x:v>2</x:v>
      </x:c>
      <x:c r="J313" s="11" t="n">
        <x:v>2</x:v>
      </x:c>
      <x:c r="K313" s="11" t="n">
        <x:v>0</x:v>
      </x:c>
      <x:c r="L313" s="17" t="n">
        <x:f>SUM(SUMIFS('Costing'!$P$9:$P$492,'Costing'!$A$9:$A$492,"PARTNER-M239"))</x:f>
        <x:v>80000</x:v>
      </x:c>
      <x:c r="M313" s="17" t="n">
        <x:f>ROUND(L313*'Costing'!$C$4,2)</x:f>
        <x:v>14400</x:v>
      </x:c>
      <x:c r="N313" s="17" t="n">
        <x:f>L313+M313</x:f>
        <x:v>94400</x:v>
      </x:c>
      <x:c r="O313" s="12" t="str">
        <x:v>Mumbai</x:v>
      </x:c>
      <x:c r="P313" s="12" t="str">
        <x:v>CORP-0656, CORP-0657</x:v>
      </x:c>
      <x:c r="Q313" s="12" t="str">
        <x:v>Barry Callebaut India Private Limited</x:v>
      </x:c>
    </x:row>
    <x:row r="314" ht="48" customHeight="1">
      <x:c r="A314" s="2" t="str">
        <x:v>TEN-E23305C78818</x:v>
      </x:c>
      <x:c r="B314" s="12" t="str">
        <x:v>Baxter Innovations &amp; Business Solutions Pvt Ltd</x:v>
      </x:c>
      <x:c r="C314" s="12" t="str">
        <x:v>Business / brand</x:v>
      </x:c>
      <x:c r="D314" s="12" t="str">
        <x:v>Healthcare &amp; life sciences</x:v>
      </x:c>
      <x:c r="E314" s="12" t="str">
        <x:v>Clinical, medical &amp; diagnostic services</x:v>
      </x:c>
      <x:c r="F314" s="12" t="str">
        <x:v>Mixed business audience</x:v>
      </x:c>
      <x:c r="G314" s="12" t="str">
        <x:v>Recognisable business context; company-scale evidence remains insufficient for a single size band.</x:v>
      </x:c>
      <x:c r="H314" s="11" t="n">
        <x:v>7</x:v>
      </x:c>
      <x:c r="I314" s="11" t="n">
        <x:v>7</x:v>
      </x:c>
      <x:c r="J314" s="11" t="n">
        <x:v>7</x:v>
      </x:c>
      <x:c r="K314" s="11" t="n">
        <x:v>0</x:v>
      </x:c>
      <x:c r="L314" s="17" t="n">
        <x:f>SUM(SUMIFS('Costing'!$P$9:$P$492,'Costing'!$A$9:$A$492,"PARTNER-M027"))</x:f>
        <x:v>280000</x:v>
      </x:c>
      <x:c r="M314" s="17" t="n">
        <x:f>ROUND(L314*'Costing'!$C$4,2)</x:f>
        <x:v>50400</x:v>
      </x:c>
      <x:c r="N314" s="17" t="n">
        <x:f>L314+M314</x:f>
        <x:v>330400</x:v>
      </x:c>
      <x:c r="O314" s="12" t="str">
        <x:v>Bengaluru</x:v>
      </x:c>
      <x:c r="P314" s="12" t="str">
        <x:v>CORP-0445, CORP-0446, CORP-0447, CORP-0448, CORP-0449, CORP-0450, CORP-0451</x:v>
      </x:c>
      <x:c r="Q314" s="12" t="str">
        <x:v>Baxter Innovations &amp; Business Solutions Pvt Ltd</x:v>
      </x:c>
    </x:row>
    <x:row r="315" ht="48" customHeight="1">
      <x:c r="A315" s="2" t="str">
        <x:v>TEN-F9306C38D687</x:v>
      </x:c>
      <x:c r="B315" s="12" t="str">
        <x:v>BBC studios India pvt</x:v>
      </x:c>
      <x:c r="C315" s="12" t="str">
        <x:v>Business / brand</x:v>
      </x:c>
      <x:c r="D315" s="12" t="str">
        <x:v>Trade, consumer &amp; logistics</x:v>
      </x:c>
      <x:c r="E315" s="12" t="str">
        <x:v>Entertainment, media &amp; events</x:v>
      </x:c>
      <x:c r="F315" s="12" t="str">
        <x:v>Mixed business audience</x:v>
      </x:c>
      <x:c r="G315" s="12" t="str">
        <x:v>Established brand or business network; local company scale is not established. Use a mixed-business message.</x:v>
      </x:c>
      <x:c r="H315" s="11" t="n">
        <x:v>6</x:v>
      </x:c>
      <x:c r="I315" s="11" t="n">
        <x:v>6</x:v>
      </x:c>
      <x:c r="J315" s="11" t="n">
        <x:v>6</x:v>
      </x:c>
      <x:c r="K315" s="11" t="n">
        <x:v>0</x:v>
      </x:c>
      <x:c r="L315" s="17" t="n">
        <x:f>SUM(SUMIFS('Costing'!$P$9:$P$492,'Costing'!$A$9:$A$492,"PARTNER-M227"))</x:f>
        <x:v>240000</x:v>
      </x:c>
      <x:c r="M315" s="17" t="n">
        <x:f>ROUND(L315*'Costing'!$C$4,2)</x:f>
        <x:v>43200</x:v>
      </x:c>
      <x:c r="N315" s="17" t="n">
        <x:f>L315+M315</x:f>
        <x:v>283200</x:v>
      </x:c>
      <x:c r="O315" s="12" t="str">
        <x:v>Mumbai</x:v>
      </x:c>
      <x:c r="P315" s="12" t="str">
        <x:v>CORP-0644, CORP-0645, CORP-0646, CORP-0647, CORP-0648, CORP-0649</x:v>
      </x:c>
      <x:c r="Q315" s="12" t="str">
        <x:v>BBC studios India pvt</x:v>
      </x:c>
    </x:row>
    <x:row r="316" ht="48" customHeight="1">
      <x:c r="A316" s="2" t="str">
        <x:v>TEN-55920F87BD83</x:v>
      </x:c>
      <x:c r="B316" s="12" t="str">
        <x:v>BDO India LLP</x:v>
      </x:c>
      <x:c r="C316" s="12" t="str">
        <x:v>Business / brand</x:v>
      </x:c>
      <x:c r="D316" s="12" t="str">
        <x:v>Professional services</x:v>
      </x:c>
      <x:c r="E316" s="12" t="str">
        <x:v>Accounting, tax &amp; audit</x:v>
      </x:c>
      <x:c r="F316" s="12" t="str">
        <x:v>Mixed business audience</x:v>
      </x:c>
      <x:c r="G316" s="12" t="str">
        <x:v>Established brand or business network; local company scale is not established. Use a mixed-business message.</x:v>
      </x:c>
      <x:c r="H316" s="11" t="n">
        <x:v>2</x:v>
      </x:c>
      <x:c r="I316" s="11" t="n">
        <x:v>6</x:v>
      </x:c>
      <x:c r="J316" s="11" t="n">
        <x:v>6</x:v>
      </x:c>
      <x:c r="K316" s="11" t="n">
        <x:v>0</x:v>
      </x:c>
      <x:c r="L316" s="17" t="n">
        <x:f>SUM(SUMIFS('Costing'!$P$9:$P$492,'Costing'!$A$9:$A$492,"MAIN-148"),SUMIFS('Costing'!$P$9:$P$492,'Costing'!$A$9:$A$492,"MAIN-149"))</x:f>
        <x:v>120000</x:v>
      </x:c>
      <x:c r="M316" s="17" t="n">
        <x:f>ROUND(L316*'Costing'!$C$4,2)</x:f>
        <x:v>21600</x:v>
      </x:c>
      <x:c r="N316" s="17" t="n">
        <x:f>L316+M316</x:f>
        <x:v>141600</x:v>
      </x:c>
      <x:c r="O316" s="12" t="str">
        <x:v>Chennai</x:v>
      </x:c>
      <x:c r="P316" s="12" t="str">
        <x:v>CORP-0144, CORP-0145</x:v>
      </x:c>
      <x:c r="Q316" s="12" t="str">
        <x:v>BDO India LLP</x:v>
      </x:c>
    </x:row>
    <x:row r="317" ht="48" customHeight="1">
      <x:c r="A317" s="2" t="str">
        <x:v>TEN-FADB5FECC373</x:v>
      </x:c>
      <x:c r="B317" s="12" t="str">
        <x:v>Beco - Kwick Living (I) Pvt Ltd</x:v>
      </x:c>
      <x:c r="C317" s="12" t="str">
        <x:v>Business / brand</x:v>
      </x:c>
      <x:c r="D317" s="12" t="str">
        <x:v>Trade, consumer &amp; logistics</x:v>
      </x:c>
      <x:c r="E317" s="12" t="str">
        <x:v>Retail, consumer products &amp; ecommerce</x:v>
      </x:c>
      <x:c r="F317" s="12" t="str">
        <x:v>Small-scale prospects</x:v>
      </x:c>
      <x:c r="G317" s="12" t="str">
        <x:v>Trading or consumer-services business; small-scale prospect assumption.</x:v>
      </x:c>
      <x:c r="H317" s="11" t="n">
        <x:v>1</x:v>
      </x:c>
      <x:c r="I317" s="11" t="n">
        <x:v>4</x:v>
      </x:c>
      <x:c r="J317" s="11" t="n">
        <x:v>4</x:v>
      </x:c>
      <x:c r="K317" s="11" t="n">
        <x:v>0</x:v>
      </x:c>
      <x:c r="L317" s="17" t="n">
        <x:f>SUM(SUMIFS('Costing'!$P$9:$P$492,'Costing'!$A$9:$A$492,"MAIN-352"))</x:f>
        <x:v>80000</x:v>
      </x:c>
      <x:c r="M317" s="17" t="n">
        <x:f>ROUND(L317*'Costing'!$C$4,2)</x:f>
        <x:v>14400</x:v>
      </x:c>
      <x:c r="N317" s="17" t="n">
        <x:f>L317+M317</x:f>
        <x:v>94400</x:v>
      </x:c>
      <x:c r="O317" s="12" t="str">
        <x:v>Mumbai</x:v>
      </x:c>
      <x:c r="P317" s="12" t="str">
        <x:v>CORP-0348</x:v>
      </x:c>
      <x:c r="Q317" s="12" t="str">
        <x:v>Beco - Kwick Living (I) Pvt Ltd</x:v>
      </x:c>
    </x:row>
    <x:row r="318" ht="48" customHeight="1">
      <x:c r="A318" s="2" t="str">
        <x:v>TEN-BB2B0F8A6E69</x:v>
      </x:c>
      <x:c r="B318" s="12" t="str">
        <x:v>Becton Dickinson Private Limited</x:v>
      </x:c>
      <x:c r="C318" s="12" t="str">
        <x:v>Business / brand</x:v>
      </x:c>
      <x:c r="D318" s="12" t="str">
        <x:v>Healthcare &amp; life sciences</x:v>
      </x:c>
      <x:c r="E318" s="12" t="str">
        <x:v>Clinical, medical &amp; diagnostic services</x:v>
      </x:c>
      <x:c r="F318" s="12" t="str">
        <x:v>Mixed business audience</x:v>
      </x:c>
      <x:c r="G318" s="12" t="str">
        <x:v>Recognisable business context; company-scale evidence remains insufficient for a single size band.</x:v>
      </x:c>
      <x:c r="H318" s="11" t="n">
        <x:v>1</x:v>
      </x:c>
      <x:c r="I318" s="11" t="n">
        <x:v>2</x:v>
      </x:c>
      <x:c r="J318" s="11" t="n">
        <x:v>2</x:v>
      </x:c>
      <x:c r="K318" s="11" t="n">
        <x:v>0</x:v>
      </x:c>
      <x:c r="L318" s="17" t="n">
        <x:f>SUM(SUMIFS('Costing'!$P$9:$P$492,'Costing'!$A$9:$A$492,"MAIN-207"))</x:f>
        <x:v>80000</x:v>
      </x:c>
      <x:c r="M318" s="17" t="n">
        <x:f>ROUND(L318*'Costing'!$C$4,2)</x:f>
        <x:v>14400</x:v>
      </x:c>
      <x:c r="N318" s="17" t="n">
        <x:f>L318+M318</x:f>
        <x:v>94400</x:v>
      </x:c>
      <x:c r="O318" s="12" t="str">
        <x:v>Delhi NCR</x:v>
      </x:c>
      <x:c r="P318" s="12" t="str">
        <x:v>CORP-0203</x:v>
      </x:c>
      <x:c r="Q318" s="12" t="str">
        <x:v>Becton Dickinson Private Limited</x:v>
      </x:c>
    </x:row>
    <x:row r="319" ht="48" customHeight="1">
      <x:c r="A319" s="2" t="str">
        <x:v>TEN-5477F6F03C2C</x:v>
      </x:c>
      <x:c r="B319" s="12" t="str">
        <x:v>Bee Aura Tech</x:v>
      </x:c>
      <x:c r="C319" s="12" t="str">
        <x:v>Business / brand</x:v>
      </x:c>
      <x:c r="D319" s="12" t="str">
        <x:v>IT &amp; digital</x:v>
      </x:c>
      <x:c r="E319" s="12" t="str">
        <x:v>Enterprise software &amp; digital engineering</x:v>
      </x:c>
      <x:c r="F319" s="12" t="str">
        <x:v>Small-scale prospects</x:v>
      </x:c>
      <x:c r="G319" s="12" t="str">
        <x:v>Software or technology-services business; small-scale prospect assumption.</x:v>
      </x:c>
      <x:c r="H319" s="11" t="n">
        <x:v>1</x:v>
      </x:c>
      <x:c r="I319" s="11" t="n">
        <x:v>4</x:v>
      </x:c>
      <x:c r="J319" s="11" t="n">
        <x:v>4</x:v>
      </x:c>
      <x:c r="K319" s="11" t="n">
        <x:v>0</x:v>
      </x:c>
      <x:c r="L319" s="17" t="n">
        <x:f>SUM(SUMIFS('Costing'!$P$9:$P$492,'Costing'!$A$9:$A$492,"MAIN-151"))</x:f>
        <x:v>160000</x:v>
      </x:c>
      <x:c r="M319" s="17" t="n">
        <x:f>ROUND(L319*'Costing'!$C$4,2)</x:f>
        <x:v>28800</x:v>
      </x:c>
      <x:c r="N319" s="17" t="n">
        <x:f>L319+M319</x:f>
        <x:v>188800</x:v>
      </x:c>
      <x:c r="O319" s="12" t="str">
        <x:v>Chennai</x:v>
      </x:c>
      <x:c r="P319" s="12" t="str">
        <x:v>CORP-0147</x:v>
      </x:c>
      <x:c r="Q319" s="12" t="str">
        <x:v>Bee Aura Tech</x:v>
      </x:c>
    </x:row>
    <x:row r="320" ht="48" customHeight="1">
      <x:c r="A320" s="2" t="str">
        <x:v>TEN-BB5FB69704FE</x:v>
      </x:c>
      <x:c r="B320" s="12" t="str">
        <x:v>Befree</x:v>
      </x:c>
      <x:c r="C320" s="12" t="str">
        <x:v>Business / brand</x:v>
      </x:c>
      <x:c r="D320" s="12" t="str">
        <x:v>Professional services</x:v>
      </x:c>
      <x:c r="E320" s="12" t="str">
        <x:v>Business, marketing &amp; research services</x:v>
      </x:c>
      <x:c r="F320" s="12" t="str">
        <x:v>Small-scale prospects</x:v>
      </x:c>
      <x:c r="G320" s="12" t="str">
        <x:v>Professional service, agency or advisory model; small-scale prospect assumption.</x:v>
      </x:c>
      <x:c r="H320" s="11" t="n">
        <x:v>1</x:v>
      </x:c>
      <x:c r="I320" s="11" t="n">
        <x:v>1</x:v>
      </x:c>
      <x:c r="J320" s="11" t="n">
        <x:v>1</x:v>
      </x:c>
      <x:c r="K320" s="11" t="n">
        <x:v>0</x:v>
      </x:c>
      <x:c r="L320" s="17" t="n">
        <x:f>SUM(SUMIFS('Costing'!$P$9:$P$492,'Costing'!$A$9:$A$492,"MAIN-275"))</x:f>
        <x:v>40000</x:v>
      </x:c>
      <x:c r="M320" s="17" t="n">
        <x:f>ROUND(L320*'Costing'!$C$4,2)</x:f>
        <x:v>7200</x:v>
      </x:c>
      <x:c r="N320" s="17" t="n">
        <x:f>L320+M320</x:f>
        <x:v>47200</x:v>
      </x:c>
      <x:c r="O320" s="12" t="str">
        <x:v>Indore</x:v>
      </x:c>
      <x:c r="P320" s="12" t="str">
        <x:v>CORP-0271</x:v>
      </x:c>
      <x:c r="Q320" s="12" t="str">
        <x:v>Befree</x:v>
      </x:c>
    </x:row>
    <x:row r="321" ht="48" customHeight="1">
      <x:c r="A321" s="2" t="str">
        <x:v>TEN-2F339524DD3D</x:v>
      </x:c>
      <x:c r="B321" s="12" t="str">
        <x:v>Beghou Consulting</x:v>
      </x:c>
      <x:c r="C321" s="12" t="str">
        <x:v>Business / brand</x:v>
      </x:c>
      <x:c r="D321" s="12" t="str">
        <x:v>Professional services</x:v>
      </x:c>
      <x:c r="E321" s="12" t="str">
        <x:v>Business consulting &amp; advisory</x:v>
      </x:c>
      <x:c r="F321" s="12" t="str">
        <x:v>Small-scale prospects</x:v>
      </x:c>
      <x:c r="G321" s="12" t="str">
        <x:v>Professional service, agency or advisory model; small-scale prospect assumption.</x:v>
      </x:c>
      <x:c r="H321" s="11" t="n">
        <x:v>1</x:v>
      </x:c>
      <x:c r="I321" s="11" t="n">
        <x:v>4</x:v>
      </x:c>
      <x:c r="J321" s="11" t="n">
        <x:v>4</x:v>
      </x:c>
      <x:c r="K321" s="11" t="n">
        <x:v>0</x:v>
      </x:c>
      <x:c r="L321" s="17" t="n">
        <x:f>SUM(SUMIFS('Costing'!$P$9:$P$492,'Costing'!$A$9:$A$492,"MAIN-381"))</x:f>
        <x:v>80000</x:v>
      </x:c>
      <x:c r="M321" s="17" t="n">
        <x:f>ROUND(L321*'Costing'!$C$4,2)</x:f>
        <x:v>14400</x:v>
      </x:c>
      <x:c r="N321" s="17" t="n">
        <x:f>L321+M321</x:f>
        <x:v>94400</x:v>
      </x:c>
      <x:c r="O321" s="12" t="str">
        <x:v>Pune</x:v>
      </x:c>
      <x:c r="P321" s="12" t="str">
        <x:v>CORP-0377</x:v>
      </x:c>
      <x:c r="Q321" s="12" t="str">
        <x:v>Beghou Consulting</x:v>
      </x:c>
    </x:row>
    <x:row r="322" ht="48" customHeight="1">
      <x:c r="A322" s="2" t="str">
        <x:v>TEN-776EBC473AD4</x:v>
      </x:c>
      <x:c r="B322" s="12" t="str">
        <x:v>Belatrix Software Pvt Ltd</x:v>
      </x:c>
      <x:c r="C322" s="12" t="str">
        <x:v>Business / brand</x:v>
      </x:c>
      <x:c r="D322" s="12" t="str">
        <x:v>IT &amp; digital</x:v>
      </x:c>
      <x:c r="E322" s="12" t="str">
        <x:v>Enterprise software &amp; digital engineering</x:v>
      </x:c>
      <x:c r="F322" s="12" t="str">
        <x:v>Mixed business audience</x:v>
      </x:c>
      <x:c r="G322" s="12" t="str">
        <x:v>Established brand or business network; local company scale is not established. Use a mixed-business message.</x:v>
      </x:c>
      <x:c r="H322" s="11" t="n">
        <x:v>1</x:v>
      </x:c>
      <x:c r="I322" s="11" t="n">
        <x:v>3</x:v>
      </x:c>
      <x:c r="J322" s="11" t="n">
        <x:v>3</x:v>
      </x:c>
      <x:c r="K322" s="11" t="n">
        <x:v>0</x:v>
      </x:c>
      <x:c r="L322" s="17" t="n">
        <x:f>SUM(SUMIFS('Costing'!$P$9:$P$492,'Costing'!$A$9:$A$492,"MAIN-255"))</x:f>
        <x:v>45000</x:v>
      </x:c>
      <x:c r="M322" s="17" t="n">
        <x:f>ROUND(L322*'Costing'!$C$4,2)</x:f>
        <x:v>8100</x:v>
      </x:c>
      <x:c r="N322" s="17" t="n">
        <x:f>L322+M322</x:f>
        <x:v>53100</x:v>
      </x:c>
      <x:c r="O322" s="12" t="str">
        <x:v>Hyderabad</x:v>
      </x:c>
      <x:c r="P322" s="12" t="str">
        <x:v>CORP-0251</x:v>
      </x:c>
      <x:c r="Q322" s="12" t="str">
        <x:v>Belatrix Software Pvt Ltd</x:v>
      </x:c>
    </x:row>
    <x:row r="323" ht="48" customHeight="1">
      <x:c r="A323" s="2" t="str">
        <x:v>TEN-4B0ECD1B387D</x:v>
      </x:c>
      <x:c r="B323" s="12" t="str">
        <x:v>Belden India Pvt Ltd</x:v>
      </x:c>
      <x:c r="C323" s="12" t="str">
        <x:v>Business / brand</x:v>
      </x:c>
      <x:c r="D323" s="12" t="str">
        <x:v>IT &amp; digital</x:v>
      </x:c>
      <x:c r="E323" s="12" t="str">
        <x:v>Telecom, networks &amp; connectivity</x:v>
      </x:c>
      <x:c r="F323" s="12" t="str">
        <x:v>Mixed business audience</x:v>
      </x:c>
      <x:c r="G323" s="12" t="str">
        <x:v>Established brand or business network; local company scale is not established. Use a mixed-business message.</x:v>
      </x:c>
      <x:c r="H323" s="11" t="n">
        <x:v>1</x:v>
      </x:c>
      <x:c r="I323" s="11" t="n">
        <x:v>2</x:v>
      </x:c>
      <x:c r="J323" s="11" t="n">
        <x:v>2</x:v>
      </x:c>
      <x:c r="K323" s="11" t="n">
        <x:v>0</x:v>
      </x:c>
      <x:c r="L323" s="17" t="n">
        <x:f>SUM(SUMIFS('Costing'!$P$9:$P$492,'Costing'!$A$9:$A$492,"MAIN-114"))</x:f>
        <x:v>50000</x:v>
      </x:c>
      <x:c r="M323" s="17" t="n">
        <x:f>ROUND(L323*'Costing'!$C$4,2)</x:f>
        <x:v>9000</x:v>
      </x:c>
      <x:c r="N323" s="17" t="n">
        <x:f>L323+M323</x:f>
        <x:v>59000</x:v>
      </x:c>
      <x:c r="O323" s="12" t="str">
        <x:v>Bengaluru</x:v>
      </x:c>
      <x:c r="P323" s="12" t="str">
        <x:v>CORP-0110</x:v>
      </x:c>
      <x:c r="Q323" s="12" t="str">
        <x:v>Belden India Pvt Ltd</x:v>
      </x:c>
    </x:row>
    <x:row r="324" ht="48" customHeight="1">
      <x:c r="A324" s="2" t="str">
        <x:v>TEN-166DE523A0A8</x:v>
      </x:c>
      <x:c r="B324" s="12" t="str">
        <x:v>Beleive realtors</x:v>
      </x:c>
      <x:c r="C324" s="12" t="str">
        <x:v>Business / brand</x:v>
      </x:c>
      <x:c r="D324" s="12" t="str">
        <x:v>Trade, consumer &amp; logistics</x:v>
      </x:c>
      <x:c r="E324" s="12" t="str">
        <x:v>Real estate, property &amp; construction services</x:v>
      </x:c>
      <x:c r="F324" s="12" t="str">
        <x:v>Small-scale prospects</x:v>
      </x:c>
      <x:c r="G324" s="12" t="str">
        <x:v>Trading or consumer-services business; small-scale prospect assumption.</x:v>
      </x:c>
      <x:c r="H324" s="11" t="n">
        <x:v>1</x:v>
      </x:c>
      <x:c r="I324" s="11" t="n">
        <x:v>1</x:v>
      </x:c>
      <x:c r="J324" s="11" t="n">
        <x:v>1</x:v>
      </x:c>
      <x:c r="K324" s="11" t="n">
        <x:v>0</x:v>
      </x:c>
      <x:c r="L324" s="17" t="n">
        <x:f>SUM(SUMIFS('Costing'!$P$9:$P$492,'Costing'!$A$9:$A$492,"MAIN-300"))</x:f>
        <x:v>15000</x:v>
      </x:c>
      <x:c r="M324" s="17" t="n">
        <x:f>ROUND(L324*'Costing'!$C$4,2)</x:f>
        <x:v>2700</x:v>
      </x:c>
      <x:c r="N324" s="17" t="n">
        <x:f>L324+M324</x:f>
        <x:v>17700</x:v>
      </x:c>
      <x:c r="O324" s="12" t="str">
        <x:v>Mumbai</x:v>
      </x:c>
      <x:c r="P324" s="12" t="str">
        <x:v>CORP-0296</x:v>
      </x:c>
      <x:c r="Q324" s="12" t="str">
        <x:v>Beleive realtors</x:v>
      </x:c>
    </x:row>
    <x:row r="325" ht="49" customHeight="1">
      <x:c r="A325" s="2" t="str">
        <x:v>TEN-4CD291270F9E</x:v>
      </x:c>
      <x:c r="B325" s="12" t="str">
        <x:v>Belgium Business Center Chennai</x:v>
      </x:c>
      <x:c r="C325" s="12" t="str">
        <x:v>Workspace operator</x:v>
      </x:c>
      <x:c r="D325" s="12" t="str">
        <x:v>Workspace &amp; property operations</x:v>
      </x:c>
      <x:c r="E325" s="12" t="str">
        <x:v>Coworking/workspace operator</x:v>
      </x:c>
      <x:c r="F325" s="12" t="str">
        <x:v>Mixed business audience</x:v>
      </x:c>
      <x:c r="G325" s="12" t="str">
        <x:v>Supplied entry is a shared-workspace operator; the business sizes of occupant companies cannot be derived from the operator name.</x:v>
      </x:c>
      <x:c r="H325" s="11" t="n">
        <x:v>2</x:v>
      </x:c>
      <x:c r="I325" s="11" t="n">
        <x:v>2</x:v>
      </x:c>
      <x:c r="J325" s="11" t="n">
        <x:v>2</x:v>
      </x:c>
      <x:c r="K325" s="11" t="n">
        <x:v>0</x:v>
      </x:c>
      <x:c r="L325" s="17" t="n">
        <x:f>SUM(SUMIFS('Costing'!$P$9:$P$492,'Costing'!$A$9:$A$492,"PARTNER-M347"))</x:f>
        <x:v>80000</x:v>
      </x:c>
      <x:c r="M325" s="17" t="n">
        <x:f>ROUND(L325*'Costing'!$C$4,2)</x:f>
        <x:v>14400</x:v>
      </x:c>
      <x:c r="N325" s="17" t="n">
        <x:f>L325+M325</x:f>
        <x:v>94400</x:v>
      </x:c>
      <x:c r="O325" s="12" t="str">
        <x:v>Chennai</x:v>
      </x:c>
      <x:c r="P325" s="12" t="str">
        <x:v>CORP-0761, CORP-0762</x:v>
      </x:c>
      <x:c r="Q325" s="12" t="str">
        <x:v>Belgium Business Center Chennai</x:v>
      </x:c>
    </x:row>
    <x:row r="326" ht="49" customHeight="1">
      <x:c r="A326" s="2" t="str">
        <x:v>TEN-19546A6A3D52</x:v>
      </x:c>
      <x:c r="B326" s="12" t="str">
        <x:v>Belito solution LLP</x:v>
      </x:c>
      <x:c r="C326" s="12" t="str">
        <x:v>Business / brand</x:v>
      </x:c>
      <x:c r="D326" s="12" t="str">
        <x:v>Unresolved</x:v>
      </x:c>
      <x:c r="E326" s="12" t="str">
        <x:v>Business activity not established</x:v>
      </x:c>
      <x:c r="F326" s="12" t="str">
        <x:v>Mixed business audience</x:v>
      </x:c>
      <x:c r="G326" s="12" t="str">
        <x:v>Belito solution LLP has no resolved business identity/activity in this review. LLP suffix and 70 shared building screens cannot establish size.</x:v>
      </x:c>
      <x:c r="H326" s="11" t="n">
        <x:v>1</x:v>
      </x:c>
      <x:c r="I326" s="11" t="n">
        <x:v>70</x:v>
      </x:c>
      <x:c r="J326" s="11" t="n">
        <x:v>70</x:v>
      </x:c>
      <x:c r="K326" s="11" t="n">
        <x:v>0</x:v>
      </x:c>
      <x:c r="L326" s="17" t="n">
        <x:f>SUM(SUMIFS('Costing'!$P$9:$P$492,'Costing'!$A$9:$A$492,"MAIN-350"))</x:f>
        <x:v>1050000</x:v>
      </x:c>
      <x:c r="M326" s="17" t="n">
        <x:f>ROUND(L326*'Costing'!$C$4,2)</x:f>
        <x:v>189000</x:v>
      </x:c>
      <x:c r="N326" s="17" t="n">
        <x:f>L326+M326</x:f>
        <x:v>1239000</x:v>
      </x:c>
      <x:c r="O326" s="12" t="str">
        <x:v>Mumbai</x:v>
      </x:c>
      <x:c r="P326" s="12" t="str">
        <x:v>CORP-0346</x:v>
      </x:c>
      <x:c r="Q326" s="12" t="str">
        <x:v>Belito solution LLP</x:v>
      </x:c>
    </x:row>
    <x:row r="327" ht="48" customHeight="1">
      <x:c r="A327" s="2" t="str">
        <x:v>TEN-03BAC00D147B</x:v>
      </x:c>
      <x:c r="B327" s="12" t="str">
        <x:v>Bell Techlogix India Private Limited</x:v>
      </x:c>
      <x:c r="C327" s="12" t="str">
        <x:v>Business / brand</x:v>
      </x:c>
      <x:c r="D327" s="12" t="str">
        <x:v>IT &amp; digital</x:v>
      </x:c>
      <x:c r="E327" s="12" t="str">
        <x:v>Telecom, networks &amp; connectivity</x:v>
      </x:c>
      <x:c r="F327" s="12" t="str">
        <x:v>Small-scale prospects</x:v>
      </x:c>
      <x:c r="G327" s="12" t="str">
        <x:v>Software or technology-services business; small-scale prospect assumption.</x:v>
      </x:c>
      <x:c r="H327" s="11" t="n">
        <x:v>5</x:v>
      </x:c>
      <x:c r="I327" s="11" t="n">
        <x:v>5</x:v>
      </x:c>
      <x:c r="J327" s="11" t="n">
        <x:v>5</x:v>
      </x:c>
      <x:c r="K327" s="11" t="n">
        <x:v>0</x:v>
      </x:c>
      <x:c r="L327" s="17" t="n">
        <x:f>SUM(SUMIFS('Costing'!$P$9:$P$492,'Costing'!$A$9:$A$492,"PARTNER-M312"))</x:f>
        <x:v>200000</x:v>
      </x:c>
      <x:c r="M327" s="17" t="n">
        <x:f>ROUND(L327*'Costing'!$C$4,2)</x:f>
        <x:v>36000</x:v>
      </x:c>
      <x:c r="N327" s="17" t="n">
        <x:f>L327+M327</x:f>
        <x:v>236000</x:v>
      </x:c>
      <x:c r="O327" s="12" t="str">
        <x:v>Hyderabad</x:v>
      </x:c>
      <x:c r="P327" s="12" t="str">
        <x:v>CORP-0727, CORP-0728, CORP-0729, CORP-0730, CORP-0731</x:v>
      </x:c>
      <x:c r="Q327" s="12" t="str">
        <x:v>Bell Techlogix India Private Limited</x:v>
      </x:c>
    </x:row>
    <x:row r="328" ht="48" customHeight="1">
      <x:c r="A328" s="2" t="str">
        <x:v>TEN-4912FC070A64</x:v>
      </x:c>
      <x:c r="B328" s="12" t="str">
        <x:v>Benesse india Pvt Ltd</x:v>
      </x:c>
      <x:c r="C328" s="12" t="str">
        <x:v>Business / brand</x:v>
      </x:c>
      <x:c r="D328" s="12" t="str">
        <x:v>Education</x:v>
      </x:c>
      <x:c r="E328" s="12" t="str">
        <x:v>Education/learning — specialty unverified</x:v>
      </x:c>
      <x:c r="F328" s="12" t="str">
        <x:v>Mixed business audience</x:v>
      </x:c>
      <x:c r="G328" s="12" t="str">
        <x:v>Recognisable business context; company-scale evidence remains insufficient for a single size band.</x:v>
      </x:c>
      <x:c r="H328" s="11" t="n">
        <x:v>1</x:v>
      </x:c>
      <x:c r="I328" s="11" t="n">
        <x:v>3</x:v>
      </x:c>
      <x:c r="J328" s="11" t="n">
        <x:v>3</x:v>
      </x:c>
      <x:c r="K328" s="11" t="n">
        <x:v>0</x:v>
      </x:c>
      <x:c r="L328" s="17" t="n">
        <x:f>SUM(SUMIFS('Costing'!$P$9:$P$492,'Costing'!$A$9:$A$492,"MAIN-172"))</x:f>
        <x:v>45000</x:v>
      </x:c>
      <x:c r="M328" s="17" t="n">
        <x:f>ROUND(L328*'Costing'!$C$4,2)</x:f>
        <x:v>8100</x:v>
      </x:c>
      <x:c r="N328" s="17" t="n">
        <x:f>L328+M328</x:f>
        <x:v>53100</x:v>
      </x:c>
      <x:c r="O328" s="12" t="str">
        <x:v>Delhi NCR</x:v>
      </x:c>
      <x:c r="P328" s="12" t="str">
        <x:v>CORP-0168</x:v>
      </x:c>
      <x:c r="Q328" s="12" t="str">
        <x:v>Benesse india Pvt Ltd</x:v>
      </x:c>
    </x:row>
    <x:row r="329" ht="48" customHeight="1">
      <x:c r="A329" s="2" t="str">
        <x:v>TEN-4CEEF779B054</x:v>
      </x:c>
      <x:c r="B329" s="12" t="str">
        <x:v>Benson Trophy Manufacture in Gurgaon</x:v>
      </x:c>
      <x:c r="C329" s="12" t="str">
        <x:v>Business / brand</x:v>
      </x:c>
      <x:c r="D329" s="12" t="str">
        <x:v>Engineering &amp; manufacturing</x:v>
      </x:c>
      <x:c r="E329" s="12" t="str">
        <x:v>Chemicals, materials &amp; industrial manufacturing</x:v>
      </x:c>
      <x:c r="F329" s="12" t="str">
        <x:v>Medium-scale prospects</x:v>
      </x:c>
      <x:c r="G329" s="12" t="str">
        <x:v>Specialist industrial or engineering business; medium-scale prospect assumption.</x:v>
      </x:c>
      <x:c r="H329" s="11" t="n">
        <x:v>1</x:v>
      </x:c>
      <x:c r="I329" s="11" t="n">
        <x:v>7</x:v>
      </x:c>
      <x:c r="J329" s="11" t="n">
        <x:v>7</x:v>
      </x:c>
      <x:c r="K329" s="11" t="n">
        <x:v>0</x:v>
      </x:c>
      <x:c r="L329" s="17" t="n">
        <x:f>SUM(SUMIFS('Costing'!$P$9:$P$492,'Costing'!$A$9:$A$492,"MAIN-200"))</x:f>
        <x:v>105000</x:v>
      </x:c>
      <x:c r="M329" s="17" t="n">
        <x:f>ROUND(L329*'Costing'!$C$4,2)</x:f>
        <x:v>18900</x:v>
      </x:c>
      <x:c r="N329" s="17" t="n">
        <x:f>L329+M329</x:f>
        <x:v>123900</x:v>
      </x:c>
      <x:c r="O329" s="12" t="str">
        <x:v>Delhi NCR</x:v>
      </x:c>
      <x:c r="P329" s="12" t="str">
        <x:v>CORP-0196</x:v>
      </x:c>
      <x:c r="Q329" s="12" t="str">
        <x:v>Benson Trophy Manufacture in Gurgaon</x:v>
      </x:c>
    </x:row>
    <x:row r="330" ht="48" customHeight="1">
      <x:c r="A330" s="2" t="str">
        <x:v>TEN-10D01265A325</x:v>
      </x:c>
      <x:c r="B330" s="12" t="str">
        <x:v>BerryPlus Technologies Private Limited</x:v>
      </x:c>
      <x:c r="C330" s="12" t="str">
        <x:v>Business / brand</x:v>
      </x:c>
      <x:c r="D330" s="12" t="str">
        <x:v>Unresolved</x:v>
      </x:c>
      <x:c r="E330" s="12" t="str">
        <x:v>Business activity not established</x:v>
      </x:c>
      <x:c r="F330" s="12" t="str">
        <x:v>Mixed business audience</x:v>
      </x:c>
      <x:c r="G330" s="12" t="str">
        <x:v>Business activity and company scale are not established from this name.</x:v>
      </x:c>
      <x:c r="H330" s="11" t="n">
        <x:v>1</x:v>
      </x:c>
      <x:c r="I330" s="11" t="n">
        <x:v>17</x:v>
      </x:c>
      <x:c r="J330" s="11" t="n">
        <x:v>17</x:v>
      </x:c>
      <x:c r="K330" s="11" t="n">
        <x:v>0</x:v>
      </x:c>
      <x:c r="L330" s="17" t="n">
        <x:f>SUM(SUMIFS('Costing'!$P$9:$P$492,'Costing'!$A$9:$A$492,"MAIN-353"))</x:f>
        <x:v>425000</x:v>
      </x:c>
      <x:c r="M330" s="17" t="n">
        <x:f>ROUND(L330*'Costing'!$C$4,2)</x:f>
        <x:v>76500</x:v>
      </x:c>
      <x:c r="N330" s="17" t="n">
        <x:f>L330+M330</x:f>
        <x:v>501500</x:v>
      </x:c>
      <x:c r="O330" s="12" t="str">
        <x:v>Mumbai</x:v>
      </x:c>
      <x:c r="P330" s="12" t="str">
        <x:v>CORP-0349</x:v>
      </x:c>
      <x:c r="Q330" s="12" t="str">
        <x:v>BerryPlus Technologies Private Limited</x:v>
      </x:c>
    </x:row>
    <x:row r="331" ht="48" customHeight="1">
      <x:c r="A331" s="2" t="str">
        <x:v>TEN-5D0C383E84BD</x:v>
      </x:c>
      <x:c r="B331" s="12" t="str">
        <x:v>Bertelsmann (BII) - Gurgaon</x:v>
      </x:c>
      <x:c r="C331" s="12" t="str">
        <x:v>Business / brand</x:v>
      </x:c>
      <x:c r="D331" s="12" t="str">
        <x:v>Finance &amp; insurance</x:v>
      </x:c>
      <x:c r="E331" s="12" t="str">
        <x:v>Investments, securities &amp; wealth</x:v>
      </x:c>
      <x:c r="F331" s="12" t="str">
        <x:v>Mixed business audience</x:v>
      </x:c>
      <x:c r="G331" s="12" t="str">
        <x:v>Recognisable business context; company-scale evidence remains insufficient for a single size band.</x:v>
      </x:c>
      <x:c r="H331" s="11" t="n">
        <x:v>1</x:v>
      </x:c>
      <x:c r="I331" s="11" t="n">
        <x:v>1</x:v>
      </x:c>
      <x:c r="J331" s="11" t="n">
        <x:v>1</x:v>
      </x:c>
      <x:c r="K331" s="11" t="n">
        <x:v>0</x:v>
      </x:c>
      <x:c r="L331" s="17" t="n">
        <x:f>SUM(SUMIFS('Costing'!$P$9:$P$492,'Costing'!$A$9:$A$492,"MAIN-208"))</x:f>
        <x:v>40000</x:v>
      </x:c>
      <x:c r="M331" s="17" t="n">
        <x:f>ROUND(L331*'Costing'!$C$4,2)</x:f>
        <x:v>7200</x:v>
      </x:c>
      <x:c r="N331" s="17" t="n">
        <x:f>L331+M331</x:f>
        <x:v>47200</x:v>
      </x:c>
      <x:c r="O331" s="12" t="str">
        <x:v>Delhi NCR</x:v>
      </x:c>
      <x:c r="P331" s="12" t="str">
        <x:v>CORP-0204</x:v>
      </x:c>
      <x:c r="Q331" s="12" t="str">
        <x:v>Bertelsmann (BII) - Gurgaon</x:v>
      </x:c>
    </x:row>
    <x:row r="332" ht="48" customHeight="1">
      <x:c r="A332" s="2" t="str">
        <x:v>TEN-F9DD0973ACFC</x:v>
      </x:c>
      <x:c r="B332" s="12" t="str">
        <x:v>Bhanzu</x:v>
      </x:c>
      <x:c r="C332" s="12" t="str">
        <x:v>Business / brand</x:v>
      </x:c>
      <x:c r="D332" s="12" t="str">
        <x:v>Education</x:v>
      </x:c>
      <x:c r="E332" s="12" t="str">
        <x:v>Education/learning — specialty unverified</x:v>
      </x:c>
      <x:c r="F332" s="12" t="str">
        <x:v>Mixed business audience</x:v>
      </x:c>
      <x:c r="G332" s="12" t="str">
        <x:v>Recognisable business context; company-scale evidence remains insufficient for a single size band.</x:v>
      </x:c>
      <x:c r="H332" s="11" t="n">
        <x:v>1</x:v>
      </x:c>
      <x:c r="I332" s="11" t="n">
        <x:v>2</x:v>
      </x:c>
      <x:c r="J332" s="11" t="n">
        <x:v>2</x:v>
      </x:c>
      <x:c r="K332" s="11" t="n">
        <x:v>0</x:v>
      </x:c>
      <x:c r="L332" s="17" t="n">
        <x:f>SUM(SUMIFS('Costing'!$P$9:$P$492,'Costing'!$A$9:$A$492,"MAIN-088"))</x:f>
        <x:v>30000</x:v>
      </x:c>
      <x:c r="M332" s="17" t="n">
        <x:f>ROUND(L332*'Costing'!$C$4,2)</x:f>
        <x:v>5400</x:v>
      </x:c>
      <x:c r="N332" s="17" t="n">
        <x:f>L332+M332</x:f>
        <x:v>35400</x:v>
      </x:c>
      <x:c r="O332" s="12" t="str">
        <x:v>Bengaluru</x:v>
      </x:c>
      <x:c r="P332" s="12" t="str">
        <x:v>CORP-0084</x:v>
      </x:c>
      <x:c r="Q332" s="12" t="str">
        <x:v>Bhanzu</x:v>
      </x:c>
    </x:row>
    <x:row r="333" ht="48" customHeight="1">
      <x:c r="A333" s="2" t="str">
        <x:v>TEN-5DB1123C398D</x:v>
      </x:c>
      <x:c r="B333" s="12" t="str">
        <x:v>Bharat Certis</x:v>
      </x:c>
      <x:c r="C333" s="12" t="str">
        <x:v>Business / brand</x:v>
      </x:c>
      <x:c r="D333" s="12" t="str">
        <x:v>Engineering &amp; manufacturing</x:v>
      </x:c>
      <x:c r="E333" s="12" t="str">
        <x:v>Chemicals, materials &amp; industrial manufacturing</x:v>
      </x:c>
      <x:c r="F333" s="12" t="str">
        <x:v>Medium-scale prospects</x:v>
      </x:c>
      <x:c r="G333" s="12" t="str">
        <x:v>Specialist industrial or engineering business; medium-scale prospect assumption.</x:v>
      </x:c>
      <x:c r="H333" s="11" t="n">
        <x:v>1</x:v>
      </x:c>
      <x:c r="I333" s="11" t="n">
        <x:v>2</x:v>
      </x:c>
      <x:c r="J333" s="11" t="n">
        <x:v>2</x:v>
      </x:c>
      <x:c r="K333" s="11" t="n">
        <x:v>0</x:v>
      </x:c>
      <x:c r="L333" s="17" t="n">
        <x:f>SUM(SUMIFS('Costing'!$P$9:$P$492,'Costing'!$A$9:$A$492,"MAIN-271"))</x:f>
        <x:v>40000</x:v>
      </x:c>
      <x:c r="M333" s="17" t="n">
        <x:f>ROUND(L333*'Costing'!$C$4,2)</x:f>
        <x:v>7200</x:v>
      </x:c>
      <x:c r="N333" s="17" t="n">
        <x:f>L333+M333</x:f>
        <x:v>47200</x:v>
      </x:c>
      <x:c r="O333" s="12" t="str">
        <x:v>Indore</x:v>
      </x:c>
      <x:c r="P333" s="12" t="str">
        <x:v>CORP-0267</x:v>
      </x:c>
      <x:c r="Q333" s="12" t="str">
        <x:v>Bharat Certis</x:v>
      </x:c>
    </x:row>
    <x:row r="334" ht="48" customHeight="1">
      <x:c r="A334" s="2" t="str">
        <x:v>TEN-4352939E2375</x:v>
      </x:c>
      <x:c r="B334" s="12" t="str">
        <x:v>Bharat Finlease</x:v>
      </x:c>
      <x:c r="C334" s="12" t="str">
        <x:v>Business / brand</x:v>
      </x:c>
      <x:c r="D334" s="12" t="str">
        <x:v>Finance &amp; insurance</x:v>
      </x:c>
      <x:c r="E334" s="12" t="str">
        <x:v>Banking, credit &amp; financial services</x:v>
      </x:c>
      <x:c r="F334" s="12" t="str">
        <x:v>Medium-scale prospects</x:v>
      </x:c>
      <x:c r="G334" s="12" t="str">
        <x:v>Specialist financial-services business; medium-scale prospect assumption.</x:v>
      </x:c>
      <x:c r="H334" s="11" t="n">
        <x:v>2</x:v>
      </x:c>
      <x:c r="I334" s="11" t="n">
        <x:v>2</x:v>
      </x:c>
      <x:c r="J334" s="11" t="n">
        <x:v>2</x:v>
      </x:c>
      <x:c r="K334" s="11" t="n">
        <x:v>0</x:v>
      </x:c>
      <x:c r="L334" s="17" t="n">
        <x:f>SUM(SUMIFS('Costing'!$P$9:$P$492,'Costing'!$A$9:$A$492,"PARTNER-M241"))</x:f>
        <x:v>80000</x:v>
      </x:c>
      <x:c r="M334" s="17" t="n">
        <x:f>ROUND(L334*'Costing'!$C$4,2)</x:f>
        <x:v>14400</x:v>
      </x:c>
      <x:c r="N334" s="17" t="n">
        <x:f>L334+M334</x:f>
        <x:v>94400</x:v>
      </x:c>
      <x:c r="O334" s="12" t="str">
        <x:v>Mumbai</x:v>
      </x:c>
      <x:c r="P334" s="12" t="str">
        <x:v>CORP-0658, CORP-0659</x:v>
      </x:c>
      <x:c r="Q334" s="12" t="str">
        <x:v>Bharat Finlease</x:v>
      </x:c>
    </x:row>
    <x:row r="335" ht="48" customHeight="1">
      <x:c r="A335" s="2" t="str">
        <x:v>TEN-0DBD6055C8F3</x:v>
      </x:c>
      <x:c r="B335" s="12" t="str">
        <x:v>Bharat RERA</x:v>
      </x:c>
      <x:c r="C335" s="12" t="str">
        <x:v>Identity unresolved</x:v>
      </x:c>
      <x:c r="D335" s="12" t="str">
        <x:v>Unresolved</x:v>
      </x:c>
      <x:c r="E335" s="12" t="str">
        <x:v>Business activity not established</x:v>
      </x:c>
      <x:c r="F335" s="12" t="str">
        <x:v>Mixed business audience</x:v>
      </x:c>
      <x:c r="G335" s="12" t="str">
        <x:v>Ambiguous directory record; use the surrounding property audience.</x:v>
      </x:c>
      <x:c r="H335" s="11" t="n">
        <x:v>1</x:v>
      </x:c>
      <x:c r="I335" s="11" t="n">
        <x:v>5</x:v>
      </x:c>
      <x:c r="J335" s="11" t="n">
        <x:v>5</x:v>
      </x:c>
      <x:c r="K335" s="11" t="n">
        <x:v>0</x:v>
      </x:c>
      <x:c r="L335" s="17" t="n">
        <x:f>SUM(SUMIFS('Costing'!$P$9:$P$492,'Costing'!$A$9:$A$492,"MAIN-168"))</x:f>
        <x:v>200000</x:v>
      </x:c>
      <x:c r="M335" s="17" t="n">
        <x:f>ROUND(L335*'Costing'!$C$4,2)</x:f>
        <x:v>36000</x:v>
      </x:c>
      <x:c r="N335" s="17" t="n">
        <x:f>L335+M335</x:f>
        <x:v>236000</x:v>
      </x:c>
      <x:c r="O335" s="12" t="str">
        <x:v>Delhi NCR</x:v>
      </x:c>
      <x:c r="P335" s="12" t="str">
        <x:v>CORP-0164</x:v>
      </x:c>
      <x:c r="Q335" s="12" t="str">
        <x:v>Bharat RERA</x:v>
      </x:c>
    </x:row>
    <x:row r="336" ht="48" customHeight="1">
      <x:c r="A336" s="2" t="str">
        <x:v>TEN-50A50A4E75D3</x:v>
      </x:c>
      <x:c r="B336" s="12" t="str">
        <x:v>Bharat Sanchar Nigam</x:v>
      </x:c>
      <x:c r="C336" s="12" t="str">
        <x:v>Business / brand</x:v>
      </x:c>
      <x:c r="D336" s="12" t="str">
        <x:v>IT &amp; digital</x:v>
      </x:c>
      <x:c r="E336" s="12" t="str">
        <x:v>Technology services — specialty unverified</x:v>
      </x:c>
      <x:c r="F336" s="12" t="str">
        <x:v>Mixed business audience</x:v>
      </x:c>
      <x:c r="G336" s="12" t="str">
        <x:v>Recognisable business context; company-scale evidence remains insufficient for a single size band.</x:v>
      </x:c>
      <x:c r="H336" s="11" t="n">
        <x:v>9</x:v>
      </x:c>
      <x:c r="I336" s="11" t="n">
        <x:v>9</x:v>
      </x:c>
      <x:c r="J336" s="11" t="n">
        <x:v>9</x:v>
      </x:c>
      <x:c r="K336" s="11" t="n">
        <x:v>0</x:v>
      </x:c>
      <x:c r="L336" s="17" t="n">
        <x:f>SUM(SUMIFS('Costing'!$P$9:$P$492,'Costing'!$A$9:$A$492,"PARTNER-M002"))</x:f>
        <x:v>360000</x:v>
      </x:c>
      <x:c r="M336" s="17" t="n">
        <x:f>ROUND(L336*'Costing'!$C$4,2)</x:f>
        <x:v>64800</x:v>
      </x:c>
      <x:c r="N336" s="17" t="n">
        <x:f>L336+M336</x:f>
        <x:v>424800</x:v>
      </x:c>
      <x:c r="O336" s="12" t="str">
        <x:v>Bengaluru</x:v>
      </x:c>
      <x:c r="P336" s="12" t="str">
        <x:v>CORP-0420, CORP-0421, CORP-0422, CORP-0423, CORP-0424, CORP-0425, CORP-0426, CORP-0427, CORP-0428</x:v>
      </x:c>
      <x:c r="Q336" s="12" t="str">
        <x:v>Bharat Sanchar Nigam</x:v>
      </x:c>
    </x:row>
    <x:row r="337" ht="48" customHeight="1">
      <x:c r="A337" s="2" t="str">
        <x:v>TEN-7A3BF6233C80</x:v>
      </x:c>
      <x:c r="B337" s="12" t="str">
        <x:v>Bharat Serums and Vaccines Limited</x:v>
      </x:c>
      <x:c r="C337" s="12" t="str">
        <x:v>Business / brand</x:v>
      </x:c>
      <x:c r="D337" s="12" t="str">
        <x:v>Healthcare &amp; life sciences</x:v>
      </x:c>
      <x:c r="E337" s="12" t="str">
        <x:v>Pharmaceuticals, biotechnology &amp; life sciences</x:v>
      </x:c>
      <x:c r="F337" s="12" t="str">
        <x:v>Mixed business audience</x:v>
      </x:c>
      <x:c r="G337" s="12" t="str">
        <x:v>Recognisable business context; company-scale evidence remains insufficient for a single size band.</x:v>
      </x:c>
      <x:c r="H337" s="11" t="n">
        <x:v>4</x:v>
      </x:c>
      <x:c r="I337" s="11" t="n">
        <x:v>4</x:v>
      </x:c>
      <x:c r="J337" s="11" t="n">
        <x:v>4</x:v>
      </x:c>
      <x:c r="K337" s="11" t="n">
        <x:v>0</x:v>
      </x:c>
      <x:c r="L337" s="17" t="n">
        <x:f>SUM(SUMIFS('Costing'!$P$9:$P$492,'Costing'!$A$9:$A$492,"PARTNER-M201"),SUMIFS('Costing'!$P$9:$P$492,'Costing'!$A$9:$A$492,"PARTNER-M203"))</x:f>
        <x:v>160000</x:v>
      </x:c>
      <x:c r="M337" s="17" t="n">
        <x:f>ROUND(L337*'Costing'!$C$4,2)</x:f>
        <x:v>28800</x:v>
      </x:c>
      <x:c r="N337" s="17" t="n">
        <x:f>L337+M337</x:f>
        <x:v>188800</x:v>
      </x:c>
      <x:c r="O337" s="12" t="str">
        <x:v>Mumbai</x:v>
      </x:c>
      <x:c r="P337" s="12" t="str">
        <x:v>CORP-0618, CORP-0619, CORP-0620, CORP-0621</x:v>
      </x:c>
      <x:c r="Q337" s="12" t="str">
        <x:v>Bharat Serums and Vaccines Limited</x:v>
      </x:c>
    </x:row>
    <x:row r="338" ht="48" customHeight="1">
      <x:c r="A338" s="2" t="str">
        <x:v>TEN-DE8400B24025</x:v>
      </x:c>
      <x:c r="B338" s="12" t="str">
        <x:v>Bharathi &amp; Associations Asset Building Pvt.Ltd</x:v>
      </x:c>
      <x:c r="C338" s="12" t="str">
        <x:v>Business / brand</x:v>
      </x:c>
      <x:c r="D338" s="12" t="str">
        <x:v>Unresolved</x:v>
      </x:c>
      <x:c r="E338" s="12" t="str">
        <x:v>Business activity not established</x:v>
      </x:c>
      <x:c r="F338" s="12" t="str">
        <x:v>Mixed business audience</x:v>
      </x:c>
      <x:c r="G338" s="12" t="str">
        <x:v>Business activity and company scale are not established from this name.</x:v>
      </x:c>
      <x:c r="H338" s="11" t="n">
        <x:v>1</x:v>
      </x:c>
      <x:c r="I338" s="11" t="n">
        <x:v>2</x:v>
      </x:c>
      <x:c r="J338" s="11" t="n">
        <x:v>2</x:v>
      </x:c>
      <x:c r="K338" s="11" t="n">
        <x:v>0</x:v>
      </x:c>
      <x:c r="L338" s="17" t="n">
        <x:f>SUM(SUMIFS('Costing'!$P$9:$P$492,'Costing'!$A$9:$A$492,"MAIN-031"))</x:f>
        <x:v>30000</x:v>
      </x:c>
      <x:c r="M338" s="17" t="n">
        <x:f>ROUND(L338*'Costing'!$C$4,2)</x:f>
        <x:v>5400</x:v>
      </x:c>
      <x:c r="N338" s="17" t="n">
        <x:f>L338+M338</x:f>
        <x:v>35400</x:v>
      </x:c>
      <x:c r="O338" s="12" t="str">
        <x:v>Bengaluru</x:v>
      </x:c>
      <x:c r="P338" s="12" t="str">
        <x:v>CORP-0027</x:v>
      </x:c>
      <x:c r="Q338" s="12" t="str">
        <x:v>Bharathi &amp; Associations Asset Building Pvt.Ltd</x:v>
      </x:c>
    </x:row>
    <x:row r="339" ht="48" customHeight="1">
      <x:c r="A339" s="2" t="str">
        <x:v>TEN-CF5DE55991E4</x:v>
      </x:c>
      <x:c r="B339" s="12" t="str">
        <x:v>Bharathi axa life insurance</x:v>
      </x:c>
      <x:c r="C339" s="12" t="str">
        <x:v>Business / brand</x:v>
      </x:c>
      <x:c r="D339" s="12" t="str">
        <x:v>Finance &amp; insurance</x:v>
      </x:c>
      <x:c r="E339" s="12" t="str">
        <x:v>Insurance &amp; insurance services</x:v>
      </x:c>
      <x:c r="F339" s="12" t="str">
        <x:v>Mixed business audience</x:v>
      </x:c>
      <x:c r="G339" s="12" t="str">
        <x:v>Established brand or business network; local company scale is not established. Use a mixed-business message.</x:v>
      </x:c>
      <x:c r="H339" s="11" t="n">
        <x:v>1</x:v>
      </x:c>
      <x:c r="I339" s="11" t="n">
        <x:v>8</x:v>
      </x:c>
      <x:c r="J339" s="11" t="n">
        <x:v>8</x:v>
      </x:c>
      <x:c r="K339" s="11" t="n">
        <x:v>0</x:v>
      </x:c>
      <x:c r="L339" s="17" t="n">
        <x:f>SUM(SUMIFS('Costing'!$P$9:$P$492,'Costing'!$A$9:$A$492,"MAIN-358"))</x:f>
        <x:v>200000</x:v>
      </x:c>
      <x:c r="M339" s="17" t="n">
        <x:f>ROUND(L339*'Costing'!$C$4,2)</x:f>
        <x:v>36000</x:v>
      </x:c>
      <x:c r="N339" s="17" t="n">
        <x:f>L339+M339</x:f>
        <x:v>236000</x:v>
      </x:c>
      <x:c r="O339" s="12" t="str">
        <x:v>Mumbai</x:v>
      </x:c>
      <x:c r="P339" s="12" t="str">
        <x:v>CORP-0354</x:v>
      </x:c>
      <x:c r="Q339" s="12" t="str">
        <x:v>Bharathi axa life insurance</x:v>
      </x:c>
    </x:row>
    <x:row r="340" ht="48" customHeight="1">
      <x:c r="A340" s="2" t="str">
        <x:v>TEN-76CFAA52B5B5</x:v>
      </x:c>
      <x:c r="B340" s="12" t="str">
        <x:v>Bhartnext</x:v>
      </x:c>
      <x:c r="C340" s="12" t="str">
        <x:v>Business / brand</x:v>
      </x:c>
      <x:c r="D340" s="12" t="str">
        <x:v>Unresolved</x:v>
      </x:c>
      <x:c r="E340" s="12" t="str">
        <x:v>Business activity not established</x:v>
      </x:c>
      <x:c r="F340" s="12" t="str">
        <x:v>Mixed business audience</x:v>
      </x:c>
      <x:c r="G340" s="12" t="str">
        <x:v>Business activity and company scale are not established from this name.</x:v>
      </x:c>
      <x:c r="H340" s="11" t="n">
        <x:v>1</x:v>
      </x:c>
      <x:c r="I340" s="11" t="n">
        <x:v>1</x:v>
      </x:c>
      <x:c r="J340" s="11" t="n">
        <x:v>1</x:v>
      </x:c>
      <x:c r="K340" s="11" t="n">
        <x:v>0</x:v>
      </x:c>
      <x:c r="L340" s="17" t="n">
        <x:f>SUM(SUMIFS('Costing'!$P$9:$P$492,'Costing'!$A$9:$A$492,"MAIN-303"))</x:f>
        <x:v>15000</x:v>
      </x:c>
      <x:c r="M340" s="17" t="n">
        <x:f>ROUND(L340*'Costing'!$C$4,2)</x:f>
        <x:v>2700</x:v>
      </x:c>
      <x:c r="N340" s="17" t="n">
        <x:f>L340+M340</x:f>
        <x:v>17700</x:v>
      </x:c>
      <x:c r="O340" s="12" t="str">
        <x:v>Mumbai</x:v>
      </x:c>
      <x:c r="P340" s="12" t="str">
        <x:v>CORP-0299</x:v>
      </x:c>
      <x:c r="Q340" s="12" t="str">
        <x:v>Bhartnext</x:v>
      </x:c>
    </x:row>
    <x:row r="341" ht="48" customHeight="1">
      <x:c r="A341" s="2" t="str">
        <x:v>TEN-9B3AF305EFBE</x:v>
      </x:c>
      <x:c r="B341" s="12" t="str">
        <x:v>Bhima Jewellers</x:v>
      </x:c>
      <x:c r="C341" s="12" t="str">
        <x:v>Business / brand</x:v>
      </x:c>
      <x:c r="D341" s="12" t="str">
        <x:v>Trade, consumer &amp; logistics</x:v>
      </x:c>
      <x:c r="E341" s="12" t="str">
        <x:v>Retail, consumer products &amp; ecommerce</x:v>
      </x:c>
      <x:c r="F341" s="12" t="str">
        <x:v>Mixed business audience</x:v>
      </x:c>
      <x:c r="G341" s="12" t="str">
        <x:v>Recognisable business context; company-scale evidence remains insufficient for a single size band.</x:v>
      </x:c>
      <x:c r="H341" s="11" t="n">
        <x:v>2</x:v>
      </x:c>
      <x:c r="I341" s="11" t="n">
        <x:v>6</x:v>
      </x:c>
      <x:c r="J341" s="11" t="n">
        <x:v>6</x:v>
      </x:c>
      <x:c r="K341" s="11" t="n">
        <x:v>0</x:v>
      </x:c>
      <x:c r="L341" s="17" t="n">
        <x:f>SUM(SUMIFS('Costing'!$P$9:$P$492,'Costing'!$A$9:$A$492,"MAIN-MSRY7ANC"))</x:f>
        <x:v>120000</x:v>
      </x:c>
      <x:c r="M341" s="17" t="n">
        <x:f>ROUND(L341*'Costing'!$C$4,2)</x:f>
        <x:v>21600</x:v>
      </x:c>
      <x:c r="N341" s="17" t="n">
        <x:f>L341+M341</x:f>
        <x:v>141600</x:v>
      </x:c>
      <x:c r="O341" s="12" t="str">
        <x:v>Bengaluru</x:v>
      </x:c>
      <x:c r="P341" s="12" t="str">
        <x:v>CORP-0051, CORP-0052</x:v>
      </x:c>
      <x:c r="Q341" s="12" t="str">
        <x:v>Bhima Jewellers</x:v>
      </x:c>
    </x:row>
    <x:row r="342" ht="48" customHeight="1">
      <x:c r="A342" s="2" t="str">
        <x:v>TEN-EFE115AB0E96</x:v>
      </x:c>
      <x:c r="B342" s="12" t="str">
        <x:v>Bhrigus Software India Pvt Ltd</x:v>
      </x:c>
      <x:c r="C342" s="12" t="str">
        <x:v>Business / brand</x:v>
      </x:c>
      <x:c r="D342" s="12" t="str">
        <x:v>IT &amp; digital</x:v>
      </x:c>
      <x:c r="E342" s="12" t="str">
        <x:v>Enterprise software &amp; digital engineering</x:v>
      </x:c>
      <x:c r="F342" s="12" t="str">
        <x:v>Small-scale prospects</x:v>
      </x:c>
      <x:c r="G342" s="12" t="str">
        <x:v>Software or technology-services business; small-scale prospect assumption.</x:v>
      </x:c>
      <x:c r="H342" s="11" t="n">
        <x:v>6</x:v>
      </x:c>
      <x:c r="I342" s="11" t="n">
        <x:v>6</x:v>
      </x:c>
      <x:c r="J342" s="11" t="n">
        <x:v>6</x:v>
      </x:c>
      <x:c r="K342" s="11" t="n">
        <x:v>0</x:v>
      </x:c>
      <x:c r="L342" s="17" t="n">
        <x:f>SUM(SUMIFS('Costing'!$P$9:$P$492,'Costing'!$A$9:$A$492,"PARTNER-M289"))</x:f>
        <x:v>240000</x:v>
      </x:c>
      <x:c r="M342" s="17" t="n">
        <x:f>ROUND(L342*'Costing'!$C$4,2)</x:f>
        <x:v>43200</x:v>
      </x:c>
      <x:c r="N342" s="17" t="n">
        <x:f>L342+M342</x:f>
        <x:v>283200</x:v>
      </x:c>
      <x:c r="O342" s="12" t="str">
        <x:v>Hyderabad</x:v>
      </x:c>
      <x:c r="P342" s="12" t="str">
        <x:v>CORP-0704, CORP-0705, CORP-0706, CORP-0707, CORP-0708, CORP-0709</x:v>
      </x:c>
      <x:c r="Q342" s="12" t="str">
        <x:v>Bhrigus Software India Pvt Ltd</x:v>
      </x:c>
    </x:row>
    <x:row r="343" ht="48" customHeight="1">
      <x:c r="A343" s="2" t="str">
        <x:v>TEN-00BC9C2397F4</x:v>
      </x:c>
      <x:c r="B343" s="12" t="str">
        <x:v>Bhutani Group</x:v>
      </x:c>
      <x:c r="C343" s="12" t="str">
        <x:v>Business / brand</x:v>
      </x:c>
      <x:c r="D343" s="12" t="str">
        <x:v>Trade, consumer &amp; logistics</x:v>
      </x:c>
      <x:c r="E343" s="12" t="str">
        <x:v>Real estate, property &amp; construction services</x:v>
      </x:c>
      <x:c r="F343" s="12" t="str">
        <x:v>Mixed business audience</x:v>
      </x:c>
      <x:c r="G343" s="12" t="str">
        <x:v>Established brand or business network; local company scale is not established. Use a mixed-business message.</x:v>
      </x:c>
      <x:c r="H343" s="11" t="n">
        <x:v>1</x:v>
      </x:c>
      <x:c r="I343" s="11" t="n">
        <x:v>4</x:v>
      </x:c>
      <x:c r="J343" s="11" t="n">
        <x:v>4</x:v>
      </x:c>
      <x:c r="K343" s="11" t="n">
        <x:v>0</x:v>
      </x:c>
      <x:c r="L343" s="17" t="n">
        <x:f>SUM(SUMIFS('Costing'!$P$9:$P$492,'Costing'!$A$9:$A$492,"MAIN-291"))</x:f>
        <x:v>160000</x:v>
      </x:c>
      <x:c r="M343" s="17" t="n">
        <x:f>ROUND(L343*'Costing'!$C$4,2)</x:f>
        <x:v>28800</x:v>
      </x:c>
      <x:c r="N343" s="17" t="n">
        <x:f>L343+M343</x:f>
        <x:v>188800</x:v>
      </x:c>
      <x:c r="O343" s="12" t="str">
        <x:v>Lucknow</x:v>
      </x:c>
      <x:c r="P343" s="12" t="str">
        <x:v>CORP-0287</x:v>
      </x:c>
      <x:c r="Q343" s="12" t="str">
        <x:v>Bhutani Group</x:v>
      </x:c>
    </x:row>
    <x:row r="344" ht="48" customHeight="1">
      <x:c r="A344" s="2" t="str">
        <x:v>TEN-08D2EE4FF19C</x:v>
      </x:c>
      <x:c r="B344" s="12" t="str">
        <x:v>BICS Global</x:v>
      </x:c>
      <x:c r="C344" s="12" t="str">
        <x:v>Business / brand</x:v>
      </x:c>
      <x:c r="D344" s="12" t="str">
        <x:v>IT &amp; digital</x:v>
      </x:c>
      <x:c r="E344" s="12" t="str">
        <x:v>Enterprise software &amp; digital engineering</x:v>
      </x:c>
      <x:c r="F344" s="12" t="str">
        <x:v>Mixed business audience</x:v>
      </x:c>
      <x:c r="G344" s="12" t="str">
        <x:v>Established brand or business network; local company scale is not established. Use a mixed-business message.</x:v>
      </x:c>
      <x:c r="H344" s="11" t="n">
        <x:v>3</x:v>
      </x:c>
      <x:c r="I344" s="11" t="n">
        <x:v>3</x:v>
      </x:c>
      <x:c r="J344" s="11" t="n">
        <x:v>3</x:v>
      </x:c>
      <x:c r="K344" s="11" t="n">
        <x:v>0</x:v>
      </x:c>
      <x:c r="L344" s="17" t="n">
        <x:f>SUM(SUMIFS('Costing'!$P$9:$P$492,'Costing'!$A$9:$A$492,"PARTNER-M349"),SUMIFS('Costing'!$P$9:$P$492,'Costing'!$A$9:$A$492,"PARTNER-M350"))</x:f>
        <x:v>120000</x:v>
      </x:c>
      <x:c r="M344" s="17" t="n">
        <x:f>ROUND(L344*'Costing'!$C$4,2)</x:f>
        <x:v>21600</x:v>
      </x:c>
      <x:c r="N344" s="17" t="n">
        <x:f>L344+M344</x:f>
        <x:v>141600</x:v>
      </x:c>
      <x:c r="O344" s="12" t="str">
        <x:v>Chennai</x:v>
      </x:c>
      <x:c r="P344" s="12" t="str">
        <x:v>CORP-0763, CORP-0764, CORP-0765</x:v>
      </x:c>
      <x:c r="Q344" s="12" t="str">
        <x:v>BICS Global</x:v>
      </x:c>
    </x:row>
    <x:row r="345" ht="48" customHeight="1">
      <x:c r="A345" s="2" t="str">
        <x:v>TEN-217A3357FE5A</x:v>
      </x:c>
      <x:c r="B345" s="12" t="str">
        <x:v>Bidyut Innovation</x:v>
      </x:c>
      <x:c r="C345" s="12" t="str">
        <x:v>Business / brand</x:v>
      </x:c>
      <x:c r="D345" s="12" t="str">
        <x:v>Unresolved</x:v>
      </x:c>
      <x:c r="E345" s="12" t="str">
        <x:v>Business activity not established</x:v>
      </x:c>
      <x:c r="F345" s="12" t="str">
        <x:v>Mixed business audience</x:v>
      </x:c>
      <x:c r="G345" s="12" t="str">
        <x:v>Business activity and company scale are not established from this name.</x:v>
      </x:c>
      <x:c r="H345" s="11" t="n">
        <x:v>1</x:v>
      </x:c>
      <x:c r="I345" s="11" t="n">
        <x:v>1</x:v>
      </x:c>
      <x:c r="J345" s="11" t="n">
        <x:v>1</x:v>
      </x:c>
      <x:c r="K345" s="11" t="n">
        <x:v>0</x:v>
      </x:c>
      <x:c r="L345" s="17" t="n">
        <x:f>SUM(SUMIFS('Costing'!$P$9:$P$492,'Costing'!$A$9:$A$492,"MAIN-270"))</x:f>
        <x:v>20000</x:v>
      </x:c>
      <x:c r="M345" s="17" t="n">
        <x:f>ROUND(L345*'Costing'!$C$4,2)</x:f>
        <x:v>3600</x:v>
      </x:c>
      <x:c r="N345" s="17" t="n">
        <x:f>L345+M345</x:f>
        <x:v>23600</x:v>
      </x:c>
      <x:c r="O345" s="12" t="str">
        <x:v>Indore</x:v>
      </x:c>
      <x:c r="P345" s="12" t="str">
        <x:v>CORP-0266</x:v>
      </x:c>
      <x:c r="Q345" s="12" t="str">
        <x:v>Bidyut Innovation</x:v>
      </x:c>
    </x:row>
    <x:row r="346" ht="48" customHeight="1">
      <x:c r="A346" s="2" t="str">
        <x:v>TEN-8902B4CC832B</x:v>
      </x:c>
      <x:c r="B346" s="12" t="str">
        <x:v>BIFCO</x:v>
      </x:c>
      <x:c r="C346" s="12" t="str">
        <x:v>Business / brand</x:v>
      </x:c>
      <x:c r="D346" s="12" t="str">
        <x:v>Unresolved</x:v>
      </x:c>
      <x:c r="E346" s="12" t="str">
        <x:v>Business activity not established</x:v>
      </x:c>
      <x:c r="F346" s="12" t="str">
        <x:v>Mixed business audience</x:v>
      </x:c>
      <x:c r="G346" s="12" t="str">
        <x:v>Business activity and company scale are not established from this name.</x:v>
      </x:c>
      <x:c r="H346" s="11" t="n">
        <x:v>1</x:v>
      </x:c>
      <x:c r="I346" s="11" t="n">
        <x:v>2</x:v>
      </x:c>
      <x:c r="J346" s="11" t="n">
        <x:v>2</x:v>
      </x:c>
      <x:c r="K346" s="11" t="n">
        <x:v>0</x:v>
      </x:c>
      <x:c r="L346" s="17" t="n">
        <x:f>SUM(SUMIFS('Costing'!$P$9:$P$492,'Costing'!$A$9:$A$492,"MAIN-298"))</x:f>
        <x:v>30000</x:v>
      </x:c>
      <x:c r="M346" s="17" t="n">
        <x:f>ROUND(L346*'Costing'!$C$4,2)</x:f>
        <x:v>5400</x:v>
      </x:c>
      <x:c r="N346" s="17" t="n">
        <x:f>L346+M346</x:f>
        <x:v>35400</x:v>
      </x:c>
      <x:c r="O346" s="12" t="str">
        <x:v>Mumbai</x:v>
      </x:c>
      <x:c r="P346" s="12" t="str">
        <x:v>CORP-0294</x:v>
      </x:c>
      <x:c r="Q346" s="12" t="str">
        <x:v>BIFCO</x:v>
      </x:c>
    </x:row>
    <x:row r="347" ht="48" customHeight="1">
      <x:c r="A347" s="2" t="str">
        <x:v>TEN-A51B11D31E60</x:v>
      </x:c>
      <x:c r="B347" s="12" t="str">
        <x:v>Big daddy</x:v>
      </x:c>
      <x:c r="C347" s="12" t="str">
        <x:v>Business / brand</x:v>
      </x:c>
      <x:c r="D347" s="12" t="str">
        <x:v>Unresolved</x:v>
      </x:c>
      <x:c r="E347" s="12" t="str">
        <x:v>Business activity not established</x:v>
      </x:c>
      <x:c r="F347" s="12" t="str">
        <x:v>Mixed business audience</x:v>
      </x:c>
      <x:c r="G347" s="12" t="str">
        <x:v>Business activity and company scale are not established from this name.</x:v>
      </x:c>
      <x:c r="H347" s="11" t="n">
        <x:v>1</x:v>
      </x:c>
      <x:c r="I347" s="11" t="n">
        <x:v>4</x:v>
      </x:c>
      <x:c r="J347" s="11" t="n">
        <x:v>4</x:v>
      </x:c>
      <x:c r="K347" s="11" t="n">
        <x:v>0</x:v>
      </x:c>
      <x:c r="L347" s="17" t="n">
        <x:f>SUM(SUMIFS('Costing'!$P$9:$P$492,'Costing'!$A$9:$A$492,"MAIN-291"))</x:f>
        <x:v>160000</x:v>
      </x:c>
      <x:c r="M347" s="17" t="n">
        <x:f>ROUND(L347*'Costing'!$C$4,2)</x:f>
        <x:v>28800</x:v>
      </x:c>
      <x:c r="N347" s="17" t="n">
        <x:f>L347+M347</x:f>
        <x:v>188800</x:v>
      </x:c>
      <x:c r="O347" s="12" t="str">
        <x:v>Lucknow</x:v>
      </x:c>
      <x:c r="P347" s="12" t="str">
        <x:v>CORP-0287</x:v>
      </x:c>
      <x:c r="Q347" s="12" t="str">
        <x:v>Big daddy</x:v>
      </x:c>
    </x:row>
    <x:row r="348" ht="48" customHeight="1">
      <x:c r="A348" s="2" t="str">
        <x:v>TEN-9D4238E274CB</x:v>
      </x:c>
      <x:c r="B348" s="12" t="str">
        <x:v>Big picture</x:v>
      </x:c>
      <x:c r="C348" s="12" t="str">
        <x:v>Business / brand</x:v>
      </x:c>
      <x:c r="D348" s="12" t="str">
        <x:v>Unresolved</x:v>
      </x:c>
      <x:c r="E348" s="12" t="str">
        <x:v>Business activity not established</x:v>
      </x:c>
      <x:c r="F348" s="12" t="str">
        <x:v>Mixed business audience</x:v>
      </x:c>
      <x:c r="G348" s="12" t="str">
        <x:v>Business activity and company scale are not established from this name.</x:v>
      </x:c>
      <x:c r="H348" s="11" t="n">
        <x:v>1</x:v>
      </x:c>
      <x:c r="I348" s="11" t="n">
        <x:v>2</x:v>
      </x:c>
      <x:c r="J348" s="11" t="n">
        <x:v>2</x:v>
      </x:c>
      <x:c r="K348" s="11" t="n">
        <x:v>0</x:v>
      </x:c>
      <x:c r="L348" s="17" t="n">
        <x:f>SUM(SUMIFS('Costing'!$P$9:$P$492,'Costing'!$A$9:$A$492,"MAIN-298"))</x:f>
        <x:v>30000</x:v>
      </x:c>
      <x:c r="M348" s="17" t="n">
        <x:f>ROUND(L348*'Costing'!$C$4,2)</x:f>
        <x:v>5400</x:v>
      </x:c>
      <x:c r="N348" s="17" t="n">
        <x:f>L348+M348</x:f>
        <x:v>35400</x:v>
      </x:c>
      <x:c r="O348" s="12" t="str">
        <x:v>Mumbai</x:v>
      </x:c>
      <x:c r="P348" s="12" t="str">
        <x:v>CORP-0294</x:v>
      </x:c>
      <x:c r="Q348" s="12" t="str">
        <x:v>Big picture</x:v>
      </x:c>
    </x:row>
    <x:row r="349" ht="48" customHeight="1">
      <x:c r="A349" s="2" t="str">
        <x:v>TEN-4D5ABFAB0D72</x:v>
      </x:c>
      <x:c r="B349" s="12" t="str">
        <x:v>biipbyte Technologies Pvt Ltd</x:v>
      </x:c>
      <x:c r="C349" s="12" t="str">
        <x:v>Business / brand</x:v>
      </x:c>
      <x:c r="D349" s="12" t="str">
        <x:v>Unresolved</x:v>
      </x:c>
      <x:c r="E349" s="12" t="str">
        <x:v>Business activity not established</x:v>
      </x:c>
      <x:c r="F349" s="12" t="str">
        <x:v>Mixed business audience</x:v>
      </x:c>
      <x:c r="G349" s="12" t="str">
        <x:v>Business activity and company scale are not established from this name.</x:v>
      </x:c>
      <x:c r="H349" s="11" t="n">
        <x:v>1</x:v>
      </x:c>
      <x:c r="I349" s="11" t="n">
        <x:v>8</x:v>
      </x:c>
      <x:c r="J349" s="11" t="n">
        <x:v>8</x:v>
      </x:c>
      <x:c r="K349" s="11" t="n">
        <x:v>0</x:v>
      </x:c>
      <x:c r="L349" s="17" t="n">
        <x:f>SUM(SUMIFS('Costing'!$P$9:$P$492,'Costing'!$A$9:$A$492,"MAIN-009"))</x:f>
        <x:v>120000</x:v>
      </x:c>
      <x:c r="M349" s="17" t="n">
        <x:f>ROUND(L349*'Costing'!$C$4,2)</x:f>
        <x:v>21600</x:v>
      </x:c>
      <x:c r="N349" s="17" t="n">
        <x:f>L349+M349</x:f>
        <x:v>141600</x:v>
      </x:c>
      <x:c r="O349" s="12" t="str">
        <x:v>Bengaluru</x:v>
      </x:c>
      <x:c r="P349" s="12" t="str">
        <x:v>CORP-0005</x:v>
      </x:c>
      <x:c r="Q349" s="12" t="str">
        <x:v>biipbyte Technologies Pvt Ltd, biipbyte Technlogies Pvt Ltd</x:v>
      </x:c>
    </x:row>
    <x:row r="350" ht="48" customHeight="1">
      <x:c r="A350" s="2" t="str">
        <x:v>TEN-FA6E54D148C8</x:v>
      </x:c>
      <x:c r="B350" s="12" t="str">
        <x:v>Bingo bee</x:v>
      </x:c>
      <x:c r="C350" s="12" t="str">
        <x:v>Business / brand</x:v>
      </x:c>
      <x:c r="D350" s="12" t="str">
        <x:v>Unresolved</x:v>
      </x:c>
      <x:c r="E350" s="12" t="str">
        <x:v>Business activity not established</x:v>
      </x:c>
      <x:c r="F350" s="12" t="str">
        <x:v>Mixed business audience</x:v>
      </x:c>
      <x:c r="G350" s="12" t="str">
        <x:v>Business activity and company scale are not established from this name.</x:v>
      </x:c>
      <x:c r="H350" s="11" t="n">
        <x:v>1</x:v>
      </x:c>
      <x:c r="I350" s="11" t="n">
        <x:v>4</x:v>
      </x:c>
      <x:c r="J350" s="11" t="n">
        <x:v>4</x:v>
      </x:c>
      <x:c r="K350" s="11" t="n">
        <x:v>0</x:v>
      </x:c>
      <x:c r="L350" s="17" t="n">
        <x:f>SUM(SUMIFS('Costing'!$P$9:$P$492,'Costing'!$A$9:$A$492,"MAIN-291"))</x:f>
        <x:v>160000</x:v>
      </x:c>
      <x:c r="M350" s="17" t="n">
        <x:f>ROUND(L350*'Costing'!$C$4,2)</x:f>
        <x:v>28800</x:v>
      </x:c>
      <x:c r="N350" s="17" t="n">
        <x:f>L350+M350</x:f>
        <x:v>188800</x:v>
      </x:c>
      <x:c r="O350" s="12" t="str">
        <x:v>Lucknow</x:v>
      </x:c>
      <x:c r="P350" s="12" t="str">
        <x:v>CORP-0287</x:v>
      </x:c>
      <x:c r="Q350" s="12" t="str">
        <x:v>Bingo bee</x:v>
      </x:c>
    </x:row>
    <x:row r="351" ht="48" customHeight="1">
      <x:c r="A351" s="2" t="str">
        <x:v>TEN-84B3A38783C4</x:v>
      </x:c>
      <x:c r="B351" s="12" t="str">
        <x:v>Biomartt Exports Private Limited</x:v>
      </x:c>
      <x:c r="C351" s="12" t="str">
        <x:v>Business / brand</x:v>
      </x:c>
      <x:c r="D351" s="12" t="str">
        <x:v>Trade, consumer &amp; logistics</x:v>
      </x:c>
      <x:c r="E351" s="12" t="str">
        <x:v>Retail, consumer products &amp; ecommerce</x:v>
      </x:c>
      <x:c r="F351" s="12" t="str">
        <x:v>Small-scale prospects</x:v>
      </x:c>
      <x:c r="G351" s="12" t="str">
        <x:v>Trading or consumer-services business; small-scale prospect assumption.</x:v>
      </x:c>
      <x:c r="H351" s="11" t="n">
        <x:v>1</x:v>
      </x:c>
      <x:c r="I351" s="11" t="n">
        <x:v>1</x:v>
      </x:c>
      <x:c r="J351" s="11" t="n">
        <x:v>1</x:v>
      </x:c>
      <x:c r="K351" s="11" t="n">
        <x:v>0</x:v>
      </x:c>
      <x:c r="L351" s="17" t="n">
        <x:f>SUM(SUMIFS('Costing'!$P$9:$P$492,'Costing'!$A$9:$A$492,"MAIN-050"))</x:f>
        <x:v>15000</x:v>
      </x:c>
      <x:c r="M351" s="17" t="n">
        <x:f>ROUND(L351*'Costing'!$C$4,2)</x:f>
        <x:v>2700</x:v>
      </x:c>
      <x:c r="N351" s="17" t="n">
        <x:f>L351+M351</x:f>
        <x:v>17700</x:v>
      </x:c>
      <x:c r="O351" s="12" t="str">
        <x:v>Bengaluru</x:v>
      </x:c>
      <x:c r="P351" s="12" t="str">
        <x:v>CORP-0046</x:v>
      </x:c>
      <x:c r="Q351" s="12" t="str">
        <x:v>Biomartt Exports Private Limited</x:v>
      </x:c>
    </x:row>
    <x:row r="352" ht="48" customHeight="1">
      <x:c r="A352" s="2" t="str">
        <x:v>TEN-0E58FC443FF5</x:v>
      </x:c>
      <x:c r="B352" s="12" t="str">
        <x:v>BioUrja</x:v>
      </x:c>
      <x:c r="C352" s="12" t="str">
        <x:v>Business / brand</x:v>
      </x:c>
      <x:c r="D352" s="12" t="str">
        <x:v>Engineering &amp; manufacturing</x:v>
      </x:c>
      <x:c r="E352" s="12" t="str">
        <x:v>Electronics, industrial systems &amp; manufacturing</x:v>
      </x:c>
      <x:c r="F352" s="12" t="str">
        <x:v>Medium-scale prospects</x:v>
      </x:c>
      <x:c r="G352" s="12" t="str">
        <x:v>Specialist industrial or engineering business; medium-scale prospect assumption.</x:v>
      </x:c>
      <x:c r="H352" s="11" t="n">
        <x:v>1</x:v>
      </x:c>
      <x:c r="I352" s="11" t="n">
        <x:v>1</x:v>
      </x:c>
      <x:c r="J352" s="11" t="n">
        <x:v>1</x:v>
      </x:c>
      <x:c r="K352" s="11" t="n">
        <x:v>0</x:v>
      </x:c>
      <x:c r="L352" s="17" t="n">
        <x:f>SUM(SUMIFS('Costing'!$P$9:$P$492,'Costing'!$A$9:$A$492,"MAIN-266"))</x:f>
        <x:v>20000</x:v>
      </x:c>
      <x:c r="M352" s="17" t="n">
        <x:f>ROUND(L352*'Costing'!$C$4,2)</x:f>
        <x:v>3600</x:v>
      </x:c>
      <x:c r="N352" s="17" t="n">
        <x:f>L352+M352</x:f>
        <x:v>23600</x:v>
      </x:c>
      <x:c r="O352" s="12" t="str">
        <x:v>Indore</x:v>
      </x:c>
      <x:c r="P352" s="12" t="str">
        <x:v>CORP-0262</x:v>
      </x:c>
      <x:c r="Q352" s="12" t="str">
        <x:v>BioUrja</x:v>
      </x:c>
    </x:row>
    <x:row r="353" ht="48" customHeight="1">
      <x:c r="A353" s="2" t="str">
        <x:v>TEN-8816BD509BFD</x:v>
      </x:c>
      <x:c r="B353" s="12" t="str">
        <x:v>Birla Corpooration</x:v>
      </x:c>
      <x:c r="C353" s="12" t="str">
        <x:v>Business / brand</x:v>
      </x:c>
      <x:c r="D353" s="12" t="str">
        <x:v>Engineering &amp; manufacturing</x:v>
      </x:c>
      <x:c r="E353" s="12" t="str">
        <x:v>Chemicals, materials &amp; industrial manufacturing</x:v>
      </x:c>
      <x:c r="F353" s="12" t="str">
        <x:v>Mixed business audience</x:v>
      </x:c>
      <x:c r="G353" s="12" t="str">
        <x:v>Established brand or business network; local company scale is not established. Use a mixed-business message.</x:v>
      </x:c>
      <x:c r="H353" s="11" t="n">
        <x:v>1</x:v>
      </x:c>
      <x:c r="I353" s="11" t="n">
        <x:v>3</x:v>
      </x:c>
      <x:c r="J353" s="11" t="n">
        <x:v>3</x:v>
      </x:c>
      <x:c r="K353" s="11" t="n">
        <x:v>0</x:v>
      </x:c>
      <x:c r="L353" s="17" t="n">
        <x:f>SUM(SUMIFS('Costing'!$P$9:$P$492,'Costing'!$A$9:$A$492,"MAIN-292"))</x:f>
        <x:v>120000</x:v>
      </x:c>
      <x:c r="M353" s="17" t="n">
        <x:f>ROUND(L353*'Costing'!$C$4,2)</x:f>
        <x:v>21600</x:v>
      </x:c>
      <x:c r="N353" s="17" t="n">
        <x:f>L353+M353</x:f>
        <x:v>141600</x:v>
      </x:c>
      <x:c r="O353" s="12" t="str">
        <x:v>Lucknow</x:v>
      </x:c>
      <x:c r="P353" s="12" t="str">
        <x:v>CORP-0288</x:v>
      </x:c>
      <x:c r="Q353" s="12" t="str">
        <x:v>Birla Corpooration</x:v>
      </x:c>
    </x:row>
    <x:row r="354" ht="48" customHeight="1">
      <x:c r="A354" s="2" t="str">
        <x:v>TEN-EEE8236F2BE2</x:v>
      </x:c>
      <x:c r="B354" s="12" t="str">
        <x:v>Birla Opus Paints</x:v>
      </x:c>
      <x:c r="C354" s="12" t="str">
        <x:v>Business / brand</x:v>
      </x:c>
      <x:c r="D354" s="12" t="str">
        <x:v>Engineering &amp; manufacturing</x:v>
      </x:c>
      <x:c r="E354" s="12" t="str">
        <x:v>Chemicals, materials &amp; industrial manufacturing</x:v>
      </x:c>
      <x:c r="F354" s="12" t="str">
        <x:v>Large enterprise</x:v>
      </x:c>
      <x:c r="G354" s="12" t="str">
        <x:v>Explicit Aditya Birla enterprise-family context; see ENTERPRISE_SUPP_022 evidence.</x:v>
      </x:c>
      <x:c r="H354" s="11" t="n">
        <x:v>1</x:v>
      </x:c>
      <x:c r="I354" s="11" t="n">
        <x:v>1</x:v>
      </x:c>
      <x:c r="J354" s="11" t="n">
        <x:v>1</x:v>
      </x:c>
      <x:c r="K354" s="11" t="n">
        <x:v>0</x:v>
      </x:c>
      <x:c r="L354" s="17" t="n">
        <x:f>SUM(SUMIFS('Costing'!$P$9:$P$492,'Costing'!$A$9:$A$492,"MAIN-269"))</x:f>
        <x:v>40000</x:v>
      </x:c>
      <x:c r="M354" s="17" t="n">
        <x:f>ROUND(L354*'Costing'!$C$4,2)</x:f>
        <x:v>7200</x:v>
      </x:c>
      <x:c r="N354" s="17" t="n">
        <x:f>L354+M354</x:f>
        <x:v>47200</x:v>
      </x:c>
      <x:c r="O354" s="12" t="str">
        <x:v>Indore</x:v>
      </x:c>
      <x:c r="P354" s="12" t="str">
        <x:v>CORP-0265</x:v>
      </x:c>
      <x:c r="Q354" s="12" t="str">
        <x:v>Birla Opus Paints</x:v>
      </x:c>
    </x:row>
    <x:row r="355" ht="48" customHeight="1">
      <x:c r="A355" s="2" t="str">
        <x:v>TEN-284A226B58B5</x:v>
      </x:c>
      <x:c r="B355" s="12" t="str">
        <x:v>Birla Pivot</x:v>
      </x:c>
      <x:c r="C355" s="12" t="str">
        <x:v>Business / brand</x:v>
      </x:c>
      <x:c r="D355" s="12" t="str">
        <x:v>Trade, consumer &amp; logistics</x:v>
      </x:c>
      <x:c r="E355" s="12" t="str">
        <x:v>Real estate, property &amp; construction services</x:v>
      </x:c>
      <x:c r="F355" s="12" t="str">
        <x:v>Large enterprise</x:v>
      </x:c>
      <x:c r="G355" s="12" t="str">
        <x:v>Explicit Aditya Birla enterprise-family context; see ENTERPRISE_SUPP_022 evidence.</x:v>
      </x:c>
      <x:c r="H355" s="11" t="n">
        <x:v>3</x:v>
      </x:c>
      <x:c r="I355" s="11" t="n">
        <x:v>3</x:v>
      </x:c>
      <x:c r="J355" s="11" t="n">
        <x:v>3</x:v>
      </x:c>
      <x:c r="K355" s="11" t="n">
        <x:v>0</x:v>
      </x:c>
      <x:c r="L355" s="17" t="n">
        <x:f>SUM(SUMIFS('Costing'!$P$9:$P$492,'Costing'!$A$9:$A$492,"PARTNER-M166"))</x:f>
        <x:v>120000</x:v>
      </x:c>
      <x:c r="M355" s="17" t="n">
        <x:f>ROUND(L355*'Costing'!$C$4,2)</x:f>
        <x:v>21600</x:v>
      </x:c>
      <x:c r="N355" s="17" t="n">
        <x:f>L355+M355</x:f>
        <x:v>141600</x:v>
      </x:c>
      <x:c r="O355" s="12" t="str">
        <x:v>Bengaluru</x:v>
      </x:c>
      <x:c r="P355" s="12" t="str">
        <x:v>CORP-0584, CORP-0585, CORP-0586</x:v>
      </x:c>
      <x:c r="Q355" s="12" t="str">
        <x:v>Birla Pivot</x:v>
      </x:c>
    </x:row>
    <x:row r="356" ht="48" customHeight="1">
      <x:c r="A356" s="2" t="str">
        <x:v>TEN-A4FA06EB9338</x:v>
      </x:c>
      <x:c r="B356" s="12" t="str">
        <x:v>Birla Sunlife Insurance Co Ltd</x:v>
      </x:c>
      <x:c r="C356" s="12" t="str">
        <x:v>Business / brand</x:v>
      </x:c>
      <x:c r="D356" s="12" t="str">
        <x:v>Finance &amp; insurance</x:v>
      </x:c>
      <x:c r="E356" s="12" t="str">
        <x:v>Insurance &amp; insurance services</x:v>
      </x:c>
      <x:c r="F356" s="12" t="str">
        <x:v>Large enterprise</x:v>
      </x:c>
      <x:c r="G356" s="12" t="str">
        <x:v>Explicit Aditya Birla enterprise-family context; see ENTERPRISE_SUPP_022 evidence.</x:v>
      </x:c>
      <x:c r="H356" s="11" t="n">
        <x:v>3</x:v>
      </x:c>
      <x:c r="I356" s="11" t="n">
        <x:v>3</x:v>
      </x:c>
      <x:c r="J356" s="11" t="n">
        <x:v>3</x:v>
      </x:c>
      <x:c r="K356" s="11" t="n">
        <x:v>0</x:v>
      </x:c>
      <x:c r="L356" s="17" t="n">
        <x:f>SUM(SUMIFS('Costing'!$P$9:$P$492,'Costing'!$A$9:$A$492,"PARTNER-M185"))</x:f>
        <x:v>120000</x:v>
      </x:c>
      <x:c r="M356" s="17" t="n">
        <x:f>ROUND(L356*'Costing'!$C$4,2)</x:f>
        <x:v>21600</x:v>
      </x:c>
      <x:c r="N356" s="17" t="n">
        <x:f>L356+M356</x:f>
        <x:v>141600</x:v>
      </x:c>
      <x:c r="O356" s="12" t="str">
        <x:v>Mumbai</x:v>
      </x:c>
      <x:c r="P356" s="12" t="str">
        <x:v>CORP-0602, CORP-0603, CORP-0604</x:v>
      </x:c>
      <x:c r="Q356" s="12" t="str">
        <x:v>Birla Sunlife Insurance Co Ltd</x:v>
      </x:c>
    </x:row>
    <x:row r="357" ht="48" customHeight="1">
      <x:c r="A357" s="2" t="str">
        <x:v>TEN-5B49D3958B92</x:v>
      </x:c>
      <x:c r="B357" s="12" t="str">
        <x:v>Bisleri International</x:v>
      </x:c>
      <x:c r="C357" s="12" t="str">
        <x:v>Business / brand</x:v>
      </x:c>
      <x:c r="D357" s="12" t="str">
        <x:v>Trade, consumer &amp; logistics</x:v>
      </x:c>
      <x:c r="E357" s="12" t="str">
        <x:v>Retail, consumer products &amp; ecommerce</x:v>
      </x:c>
      <x:c r="F357" s="12" t="str">
        <x:v>Mixed business audience</x:v>
      </x:c>
      <x:c r="G357" s="12" t="str">
        <x:v>Established brand or business network; local company scale is not established. Use a mixed-business message.</x:v>
      </x:c>
      <x:c r="H357" s="11" t="n">
        <x:v>4</x:v>
      </x:c>
      <x:c r="I357" s="11" t="n">
        <x:v>4</x:v>
      </x:c>
      <x:c r="J357" s="11" t="n">
        <x:v>4</x:v>
      </x:c>
      <x:c r="K357" s="11" t="n">
        <x:v>0</x:v>
      </x:c>
      <x:c r="L357" s="17" t="n">
        <x:f>SUM(SUMIFS('Costing'!$P$9:$P$492,'Costing'!$A$9:$A$492,"PARTNER-M247"))</x:f>
        <x:v>160000</x:v>
      </x:c>
      <x:c r="M357" s="17" t="n">
        <x:f>ROUND(L357*'Costing'!$C$4,2)</x:f>
        <x:v>28800</x:v>
      </x:c>
      <x:c r="N357" s="17" t="n">
        <x:f>L357+M357</x:f>
        <x:v>188800</x:v>
      </x:c>
      <x:c r="O357" s="12" t="str">
        <x:v>Mumbai</x:v>
      </x:c>
      <x:c r="P357" s="12" t="str">
        <x:v>CORP-0664, CORP-0665, CORP-0666, CORP-0667</x:v>
      </x:c>
      <x:c r="Q357" s="12" t="str">
        <x:v>Bisleri International</x:v>
      </x:c>
    </x:row>
    <x:row r="358" ht="48" customHeight="1">
      <x:c r="A358" s="2" t="str">
        <x:v>TEN-31A2AFA67FE9</x:v>
      </x:c>
      <x:c r="B358" s="12" t="str">
        <x:v>Bizgrace Delight PVT LTD</x:v>
      </x:c>
      <x:c r="C358" s="12" t="str">
        <x:v>Business / brand</x:v>
      </x:c>
      <x:c r="D358" s="12" t="str">
        <x:v>Unresolved</x:v>
      </x:c>
      <x:c r="E358" s="12" t="str">
        <x:v>Business activity not established</x:v>
      </x:c>
      <x:c r="F358" s="12" t="str">
        <x:v>Mixed business audience</x:v>
      </x:c>
      <x:c r="G358" s="12" t="str">
        <x:v>Business activity and company scale are not established from this name.</x:v>
      </x:c>
      <x:c r="H358" s="11" t="n">
        <x:v>1</x:v>
      </x:c>
      <x:c r="I358" s="11" t="n">
        <x:v>2</x:v>
      </x:c>
      <x:c r="J358" s="11" t="n">
        <x:v>2</x:v>
      </x:c>
      <x:c r="K358" s="11" t="n">
        <x:v>0</x:v>
      </x:c>
      <x:c r="L358" s="17" t="n">
        <x:f>SUM(SUMIFS('Costing'!$P$9:$P$492,'Costing'!$A$9:$A$492,"MAIN-277"))</x:f>
        <x:v>30000</x:v>
      </x:c>
      <x:c r="M358" s="17" t="n">
        <x:f>ROUND(L358*'Costing'!$C$4,2)</x:f>
        <x:v>5400</x:v>
      </x:c>
      <x:c r="N358" s="17" t="n">
        <x:f>L358+M358</x:f>
        <x:v>35400</x:v>
      </x:c>
      <x:c r="O358" s="12" t="str">
        <x:v>Kochi</x:v>
      </x:c>
      <x:c r="P358" s="12" t="str">
        <x:v>CORP-0273</x:v>
      </x:c>
      <x:c r="Q358" s="12" t="str">
        <x:v>Bizgrace Delight PVT LTD</x:v>
      </x:c>
    </x:row>
    <x:row r="359" ht="48" customHeight="1">
      <x:c r="A359" s="2" t="str">
        <x:v>TEN-1699A5C0AE77</x:v>
      </x:c>
      <x:c r="B359" s="12" t="str">
        <x:v>Black Box</x:v>
      </x:c>
      <x:c r="C359" s="12" t="str">
        <x:v>Business / brand</x:v>
      </x:c>
      <x:c r="D359" s="12" t="str">
        <x:v>IT &amp; digital</x:v>
      </x:c>
      <x:c r="E359" s="12" t="str">
        <x:v>Telecom, networks &amp; connectivity</x:v>
      </x:c>
      <x:c r="F359" s="12" t="str">
        <x:v>Mixed business audience</x:v>
      </x:c>
      <x:c r="G359" s="12" t="str">
        <x:v>Established brand or business network; local company scale is not established. Use a mixed-business message.</x:v>
      </x:c>
      <x:c r="H359" s="11" t="n">
        <x:v>1</x:v>
      </x:c>
      <x:c r="I359" s="11" t="n">
        <x:v>5</x:v>
      </x:c>
      <x:c r="J359" s="11" t="n">
        <x:v>5</x:v>
      </x:c>
      <x:c r="K359" s="11" t="n">
        <x:v>0</x:v>
      </x:c>
      <x:c r="L359" s="17" t="n">
        <x:f>SUM(SUMIFS('Costing'!$P$9:$P$492,'Costing'!$A$9:$A$492,"MAIN-338"))</x:f>
        <x:v>200000</x:v>
      </x:c>
      <x:c r="M359" s="17" t="n">
        <x:f>ROUND(L359*'Costing'!$C$4,2)</x:f>
        <x:v>36000</x:v>
      </x:c>
      <x:c r="N359" s="17" t="n">
        <x:f>L359+M359</x:f>
        <x:v>236000</x:v>
      </x:c>
      <x:c r="O359" s="12" t="str">
        <x:v>Mumbai</x:v>
      </x:c>
      <x:c r="P359" s="12" t="str">
        <x:v>CORP-0334</x:v>
      </x:c>
      <x:c r="Q359" s="12" t="str">
        <x:v>Black Box</x:v>
      </x:c>
    </x:row>
    <x:row r="360" ht="48" customHeight="1">
      <x:c r="A360" s="2" t="str">
        <x:v>TEN-5A5035480186</x:v>
      </x:c>
      <x:c r="B360" s="12" t="str">
        <x:v>Blackstone Group Tech Private Limited</x:v>
      </x:c>
      <x:c r="C360" s="12" t="str">
        <x:v>Business / brand</x:v>
      </x:c>
      <x:c r="D360" s="12" t="str">
        <x:v>IT &amp; digital</x:v>
      </x:c>
      <x:c r="E360" s="12" t="str">
        <x:v>Enterprise software &amp; digital engineering</x:v>
      </x:c>
      <x:c r="F360" s="12" t="str">
        <x:v>Mixed business audience</x:v>
      </x:c>
      <x:c r="G360" s="12" t="str">
        <x:v>Recognisable business context; company-scale evidence remains insufficient for a single size band.</x:v>
      </x:c>
      <x:c r="H360" s="11" t="n">
        <x:v>3</x:v>
      </x:c>
      <x:c r="I360" s="11" t="n">
        <x:v>3</x:v>
      </x:c>
      <x:c r="J360" s="11" t="n">
        <x:v>3</x:v>
      </x:c>
      <x:c r="K360" s="11" t="n">
        <x:v>0</x:v>
      </x:c>
      <x:c r="L360" s="17" t="n">
        <x:f>SUM(SUMIFS('Costing'!$P$9:$P$492,'Costing'!$A$9:$A$492,"PARTNER-M349"),SUMIFS('Costing'!$P$9:$P$492,'Costing'!$A$9:$A$492,"PARTNER-M350"))</x:f>
        <x:v>120000</x:v>
      </x:c>
      <x:c r="M360" s="17" t="n">
        <x:f>ROUND(L360*'Costing'!$C$4,2)</x:f>
        <x:v>21600</x:v>
      </x:c>
      <x:c r="N360" s="17" t="n">
        <x:f>L360+M360</x:f>
        <x:v>141600</x:v>
      </x:c>
      <x:c r="O360" s="12" t="str">
        <x:v>Chennai</x:v>
      </x:c>
      <x:c r="P360" s="12" t="str">
        <x:v>CORP-0763, CORP-0764, CORP-0765</x:v>
      </x:c>
      <x:c r="Q360" s="12" t="str">
        <x:v>Blackstone Group Tech Private Limited</x:v>
      </x:c>
    </x:row>
    <x:row r="361" ht="48" customHeight="1">
      <x:c r="A361" s="2" t="str">
        <x:v>TEN-223E0BE4600B</x:v>
      </x:c>
      <x:c r="B361" s="12" t="str">
        <x:v>Blaze Automation</x:v>
      </x:c>
      <x:c r="C361" s="12" t="str">
        <x:v>Business / brand</x:v>
      </x:c>
      <x:c r="D361" s="12" t="str">
        <x:v>Engineering &amp; manufacturing</x:v>
      </x:c>
      <x:c r="E361" s="12" t="str">
        <x:v>Energy, electrical &amp; industrial systems</x:v>
      </x:c>
      <x:c r="F361" s="12" t="str">
        <x:v>Medium-scale prospects</x:v>
      </x:c>
      <x:c r="G361" s="12" t="str">
        <x:v>Specialist industrial or engineering business; medium-scale prospect assumption.</x:v>
      </x:c>
      <x:c r="H361" s="11" t="n">
        <x:v>6</x:v>
      </x:c>
      <x:c r="I361" s="11" t="n">
        <x:v>6</x:v>
      </x:c>
      <x:c r="J361" s="11" t="n">
        <x:v>6</x:v>
      </x:c>
      <x:c r="K361" s="11" t="n">
        <x:v>0</x:v>
      </x:c>
      <x:c r="L361" s="17" t="n">
        <x:f>SUM(SUMIFS('Costing'!$P$9:$P$492,'Costing'!$A$9:$A$492,"PARTNER-M289"))</x:f>
        <x:v>240000</x:v>
      </x:c>
      <x:c r="M361" s="17" t="n">
        <x:f>ROUND(L361*'Costing'!$C$4,2)</x:f>
        <x:v>43200</x:v>
      </x:c>
      <x:c r="N361" s="17" t="n">
        <x:f>L361+M361</x:f>
        <x:v>283200</x:v>
      </x:c>
      <x:c r="O361" s="12" t="str">
        <x:v>Hyderabad</x:v>
      </x:c>
      <x:c r="P361" s="12" t="str">
        <x:v>CORP-0704, CORP-0705, CORP-0706, CORP-0707, CORP-0708, CORP-0709</x:v>
      </x:c>
      <x:c r="Q361" s="12" t="str">
        <x:v>Blaze Automation</x:v>
      </x:c>
    </x:row>
    <x:row r="362" ht="48" customHeight="1">
      <x:c r="A362" s="2" t="str">
        <x:v>TEN-0E6024625C2C</x:v>
      </x:c>
      <x:c r="B362" s="12" t="str">
        <x:v>Blenheim Chalcot IT Services India Pvt. Ltd. (Navi Mumbai)</x:v>
      </x:c>
      <x:c r="C362" s="12" t="str">
        <x:v>Business / brand</x:v>
      </x:c>
      <x:c r="D362" s="12" t="str">
        <x:v>Finance &amp; insurance</x:v>
      </x:c>
      <x:c r="E362" s="12" t="str">
        <x:v>Investments, securities &amp; wealth</x:v>
      </x:c>
      <x:c r="F362" s="12" t="str">
        <x:v>Mixed business audience</x:v>
      </x:c>
      <x:c r="G362" s="12" t="str">
        <x:v>Established brand or business network; local company scale is not established. Use a mixed-business message.</x:v>
      </x:c>
      <x:c r="H362" s="11" t="n">
        <x:v>1</x:v>
      </x:c>
      <x:c r="I362" s="11" t="n">
        <x:v>1</x:v>
      </x:c>
      <x:c r="J362" s="11" t="n">
        <x:v>1</x:v>
      </x:c>
      <x:c r="K362" s="11" t="n">
        <x:v>0</x:v>
      </x:c>
      <x:c r="L362" s="17" t="n">
        <x:f>SUM(SUMIFS('Costing'!$P$9:$P$492,'Costing'!$A$9:$A$492,"MAIN-341"))</x:f>
        <x:v>15000</x:v>
      </x:c>
      <x:c r="M362" s="17" t="n">
        <x:f>ROUND(L362*'Costing'!$C$4,2)</x:f>
        <x:v>2700</x:v>
      </x:c>
      <x:c r="N362" s="17" t="n">
        <x:f>L362+M362</x:f>
        <x:v>17700</x:v>
      </x:c>
      <x:c r="O362" s="12" t="str">
        <x:v>Mumbai</x:v>
      </x:c>
      <x:c r="P362" s="12" t="str">
        <x:v>CORP-0337</x:v>
      </x:c>
      <x:c r="Q362" s="12" t="str">
        <x:v>Blenheim Chalcot IT Services India Pvt. Ltd. (Navi Mumbai)</x:v>
      </x:c>
    </x:row>
    <x:row r="363" ht="48" customHeight="1">
      <x:c r="A363" s="2" t="str">
        <x:v>TEN-57FDEDC0DEC7</x:v>
      </x:c>
      <x:c r="B363" s="12" t="str">
        <x:v>BLH.Software</x:v>
      </x:c>
      <x:c r="C363" s="12" t="str">
        <x:v>Business / brand</x:v>
      </x:c>
      <x:c r="D363" s="12" t="str">
        <x:v>IT &amp; digital</x:v>
      </x:c>
      <x:c r="E363" s="12" t="str">
        <x:v>Enterprise software &amp; digital engineering</x:v>
      </x:c>
      <x:c r="F363" s="12" t="str">
        <x:v>Small-scale prospects</x:v>
      </x:c>
      <x:c r="G363" s="12" t="str">
        <x:v>Software or technology-services business; small-scale prospect assumption.</x:v>
      </x:c>
      <x:c r="H363" s="11" t="n">
        <x:v>1</x:v>
      </x:c>
      <x:c r="I363" s="11" t="n">
        <x:v>4</x:v>
      </x:c>
      <x:c r="J363" s="11" t="n">
        <x:v>4</x:v>
      </x:c>
      <x:c r="K363" s="11" t="n">
        <x:v>0</x:v>
      </x:c>
      <x:c r="L363" s="17" t="n">
        <x:f>SUM(SUMIFS('Costing'!$P$9:$P$492,'Costing'!$A$9:$A$492,"MAIN-124"))</x:f>
        <x:v>100000</x:v>
      </x:c>
      <x:c r="M363" s="17" t="n">
        <x:f>ROUND(L363*'Costing'!$C$4,2)</x:f>
        <x:v>18000</x:v>
      </x:c>
      <x:c r="N363" s="17" t="n">
        <x:f>L363+M363</x:f>
        <x:v>118000</x:v>
      </x:c>
      <x:c r="O363" s="12" t="str">
        <x:v>Bengaluru</x:v>
      </x:c>
      <x:c r="P363" s="12" t="str">
        <x:v>CORP-0120</x:v>
      </x:c>
      <x:c r="Q363" s="12" t="str">
        <x:v>BLH.Software</x:v>
      </x:c>
    </x:row>
    <x:row r="364" ht="48" customHeight="1">
      <x:c r="A364" s="2" t="str">
        <x:v>TEN-74F3676D4320</x:v>
      </x:c>
      <x:c r="B364" s="12" t="str">
        <x:v>Bliss Chocolates (Smoor)</x:v>
      </x:c>
      <x:c r="C364" s="12" t="str">
        <x:v>Business / brand</x:v>
      </x:c>
      <x:c r="D364" s="12" t="str">
        <x:v>Trade, consumer &amp; logistics</x:v>
      </x:c>
      <x:c r="E364" s="12" t="str">
        <x:v>Travel, hospitality, food &amp; beverages</x:v>
      </x:c>
      <x:c r="F364" s="12" t="str">
        <x:v>Mixed business audience</x:v>
      </x:c>
      <x:c r="G364" s="12" t="str">
        <x:v>Established brand or business network; local company scale is not established. Use a mixed-business message.</x:v>
      </x:c>
      <x:c r="H364" s="11" t="n">
        <x:v>4</x:v>
      </x:c>
      <x:c r="I364" s="11" t="n">
        <x:v>4</x:v>
      </x:c>
      <x:c r="J364" s="11" t="n">
        <x:v>4</x:v>
      </x:c>
      <x:c r="K364" s="11" t="n">
        <x:v>0</x:v>
      </x:c>
      <x:c r="L364" s="17" t="n">
        <x:f>SUM(SUMIFS('Costing'!$P$9:$P$492,'Costing'!$A$9:$A$492,"PARTNER-M093"))</x:f>
        <x:v>160000</x:v>
      </x:c>
      <x:c r="M364" s="17" t="n">
        <x:f>ROUND(L364*'Costing'!$C$4,2)</x:f>
        <x:v>28800</x:v>
      </x:c>
      <x:c r="N364" s="17" t="n">
        <x:f>L364+M364</x:f>
        <x:v>188800</x:v>
      </x:c>
      <x:c r="O364" s="12" t="str">
        <x:v>Bengaluru</x:v>
      </x:c>
      <x:c r="P364" s="12" t="str">
        <x:v>CORP-0511, CORP-0512, CORP-0513, CORP-0514</x:v>
      </x:c>
      <x:c r="Q364" s="12" t="str">
        <x:v>Bliss Chocolates (Smoor)</x:v>
      </x:c>
    </x:row>
    <x:row r="365" ht="48" customHeight="1">
      <x:c r="A365" s="2" t="str">
        <x:v>TEN-4372F5F2C226</x:v>
      </x:c>
      <x:c r="B365" s="12" t="str">
        <x:v>Blissclub</x:v>
      </x:c>
      <x:c r="C365" s="12" t="str">
        <x:v>Business / brand</x:v>
      </x:c>
      <x:c r="D365" s="12" t="str">
        <x:v>Trade, consumer &amp; logistics</x:v>
      </x:c>
      <x:c r="E365" s="12" t="str">
        <x:v>Retail, consumer products &amp; ecommerce</x:v>
      </x:c>
      <x:c r="F365" s="12" t="str">
        <x:v>Small-scale prospects</x:v>
      </x:c>
      <x:c r="G365" s="12" t="str">
        <x:v>Trading or consumer-services business; small-scale prospect assumption.</x:v>
      </x:c>
      <x:c r="H365" s="11" t="n">
        <x:v>2</x:v>
      </x:c>
      <x:c r="I365" s="11" t="n">
        <x:v>4</x:v>
      </x:c>
      <x:c r="J365" s="11" t="n">
        <x:v>4</x:v>
      </x:c>
      <x:c r="K365" s="11" t="n">
        <x:v>0</x:v>
      </x:c>
      <x:c r="L365" s="17" t="n">
        <x:f>SUM(SUMIFS('Costing'!$P$9:$P$492,'Costing'!$A$9:$A$492,"MAIN-098"),SUMIFS('Costing'!$P$9:$P$492,'Costing'!$A$9:$A$492,"MAIN-268"))</x:f>
        <x:v>110000</x:v>
      </x:c>
      <x:c r="M365" s="17" t="n">
        <x:f>ROUND(L365*'Costing'!$C$4,2)</x:f>
        <x:v>19800</x:v>
      </x:c>
      <x:c r="N365" s="17" t="n">
        <x:f>L365+M365</x:f>
        <x:v>129800</x:v>
      </x:c>
      <x:c r="O365" s="12" t="str">
        <x:v>Bengaluru, Indore</x:v>
      </x:c>
      <x:c r="P365" s="12" t="str">
        <x:v>CORP-0094, CORP-0264</x:v>
      </x:c>
      <x:c r="Q365" s="12" t="str">
        <x:v>Blissclub</x:v>
      </x:c>
    </x:row>
    <x:row r="366" ht="48" customHeight="1">
      <x:c r="A366" s="2" t="str">
        <x:v>TEN-419FFC22FB32</x:v>
      </x:c>
      <x:c r="B366" s="12" t="str">
        <x:v>Blitz Squad</x:v>
      </x:c>
      <x:c r="C366" s="12" t="str">
        <x:v>Business / brand</x:v>
      </x:c>
      <x:c r="D366" s="12" t="str">
        <x:v>Unresolved</x:v>
      </x:c>
      <x:c r="E366" s="12" t="str">
        <x:v>Business activity not established</x:v>
      </x:c>
      <x:c r="F366" s="12" t="str">
        <x:v>Mixed business audience</x:v>
      </x:c>
      <x:c r="G366" s="12" t="str">
        <x:v>Business activity and company scale are not established from this name.</x:v>
      </x:c>
      <x:c r="H366" s="11" t="n">
        <x:v>1</x:v>
      </x:c>
      <x:c r="I366" s="11" t="n">
        <x:v>2</x:v>
      </x:c>
      <x:c r="J366" s="11" t="n">
        <x:v>2</x:v>
      </x:c>
      <x:c r="K366" s="11" t="n">
        <x:v>0</x:v>
      </x:c>
      <x:c r="L366" s="17" t="n">
        <x:f>SUM(SUMIFS('Costing'!$P$9:$P$492,'Costing'!$A$9:$A$492,"MAIN-081"))</x:f>
        <x:v>30000</x:v>
      </x:c>
      <x:c r="M366" s="17" t="n">
        <x:f>ROUND(L366*'Costing'!$C$4,2)</x:f>
        <x:v>5400</x:v>
      </x:c>
      <x:c r="N366" s="17" t="n">
        <x:f>L366+M366</x:f>
        <x:v>35400</x:v>
      </x:c>
      <x:c r="O366" s="12" t="str">
        <x:v>Bengaluru</x:v>
      </x:c>
      <x:c r="P366" s="12" t="str">
        <x:v>CORP-0077</x:v>
      </x:c>
      <x:c r="Q366" s="12" t="str">
        <x:v>Blitz Squad</x:v>
      </x:c>
    </x:row>
    <x:row r="367" ht="48" customHeight="1">
      <x:c r="A367" s="2" t="str">
        <x:v>TEN-81A1D02B9C6A</x:v>
      </x:c>
      <x:c r="B367" s="12" t="str">
        <x:v>Blue Optima</x:v>
      </x:c>
      <x:c r="C367" s="12" t="str">
        <x:v>Business / brand</x:v>
      </x:c>
      <x:c r="D367" s="12" t="str">
        <x:v>IT &amp; digital</x:v>
      </x:c>
      <x:c r="E367" s="12" t="str">
        <x:v>Enterprise software &amp; digital engineering</x:v>
      </x:c>
      <x:c r="F367" s="12" t="str">
        <x:v>Small-scale prospects</x:v>
      </x:c>
      <x:c r="G367" s="12" t="str">
        <x:v>Software or technology-services business; small-scale prospect assumption.</x:v>
      </x:c>
      <x:c r="H367" s="11" t="n">
        <x:v>1</x:v>
      </x:c>
      <x:c r="I367" s="11" t="n">
        <x:v>2</x:v>
      </x:c>
      <x:c r="J367" s="11" t="n">
        <x:v>2</x:v>
      </x:c>
      <x:c r="K367" s="11" t="n">
        <x:v>0</x:v>
      </x:c>
      <x:c r="L367" s="17" t="n">
        <x:f>SUM(SUMIFS('Costing'!$P$9:$P$492,'Costing'!$A$9:$A$492,"MAIN-212"))</x:f>
        <x:v>30000</x:v>
      </x:c>
      <x:c r="M367" s="17" t="n">
        <x:f>ROUND(L367*'Costing'!$C$4,2)</x:f>
        <x:v>5400</x:v>
      </x:c>
      <x:c r="N367" s="17" t="n">
        <x:f>L367+M367</x:f>
        <x:v>35400</x:v>
      </x:c>
      <x:c r="O367" s="12" t="str">
        <x:v>Delhi NCR</x:v>
      </x:c>
      <x:c r="P367" s="12" t="str">
        <x:v>CORP-0208</x:v>
      </x:c>
      <x:c r="Q367" s="12" t="str">
        <x:v>Blue Optima</x:v>
      </x:c>
    </x:row>
    <x:row r="368" ht="48" customHeight="1">
      <x:c r="A368" s="2" t="str">
        <x:v>TEN-6833ABA80C52</x:v>
      </x:c>
      <x:c r="B368" s="12" t="str">
        <x:v>Blue Tokai</x:v>
      </x:c>
      <x:c r="C368" s="12" t="str">
        <x:v>Business / brand</x:v>
      </x:c>
      <x:c r="D368" s="12" t="str">
        <x:v>Trade, consumer &amp; logistics</x:v>
      </x:c>
      <x:c r="E368" s="12" t="str">
        <x:v>Travel, hospitality, food &amp; beverages</x:v>
      </x:c>
      <x:c r="F368" s="12" t="str">
        <x:v>Mixed business audience</x:v>
      </x:c>
      <x:c r="G368" s="12" t="str">
        <x:v>Established brand or business network; local company scale is not established. Use a mixed-business message.</x:v>
      </x:c>
      <x:c r="H368" s="11" t="n">
        <x:v>1</x:v>
      </x:c>
      <x:c r="I368" s="11" t="n">
        <x:v>1</x:v>
      </x:c>
      <x:c r="J368" s="11" t="n">
        <x:v>1</x:v>
      </x:c>
      <x:c r="K368" s="11" t="n">
        <x:v>0</x:v>
      </x:c>
      <x:c r="L368" s="17" t="n">
        <x:f>SUM(SUMIFS('Costing'!$P$9:$P$492,'Costing'!$A$9:$A$492,"MAIN-111"))</x:f>
        <x:v>15000</x:v>
      </x:c>
      <x:c r="M368" s="17" t="n">
        <x:f>ROUND(L368*'Costing'!$C$4,2)</x:f>
        <x:v>2700</x:v>
      </x:c>
      <x:c r="N368" s="17" t="n">
        <x:f>L368+M368</x:f>
        <x:v>17700</x:v>
      </x:c>
      <x:c r="O368" s="12" t="str">
        <x:v>Bengaluru</x:v>
      </x:c>
      <x:c r="P368" s="12" t="str">
        <x:v>CORP-0107</x:v>
      </x:c>
      <x:c r="Q368" s="12" t="str">
        <x:v>Blue Tokai</x:v>
      </x:c>
    </x:row>
    <x:row r="369" ht="62" customHeight="1">
      <x:c r="A369" s="2" t="str">
        <x:v>TEN-071009974983</x:v>
      </x:c>
      <x:c r="B369" s="12" t="str">
        <x:v>Blue Yonder</x:v>
      </x:c>
      <x:c r="C369" s="12" t="str">
        <x:v>Business / brand</x:v>
      </x:c>
      <x:c r="D369" s="12" t="str">
        <x:v>IT &amp; digital</x:v>
      </x:c>
      <x:c r="E369" s="12" t="str">
        <x:v>Technology services — specialty unverified</x:v>
      </x:c>
      <x:c r="F369" s="12" t="str">
        <x:v>Large enterprise</x:v>
      </x:c>
      <x:c r="G369" s="12" t="str">
        <x:v>The company's February 2025 release reports USD1.36 billion in FY2024 revenue and 132 new customers that year. This establishes substantial global software-company scale beyond a specialist IT default.</x:v>
      </x:c>
      <x:c r="H369" s="11" t="n">
        <x:v>1</x:v>
      </x:c>
      <x:c r="I369" s="11" t="n">
        <x:v>18</x:v>
      </x:c>
      <x:c r="J369" s="11" t="n">
        <x:v>18</x:v>
      </x:c>
      <x:c r="K369" s="11" t="n">
        <x:v>0</x:v>
      </x:c>
      <x:c r="L369" s="17" t="n">
        <x:f>SUM(SUMIFS('Costing'!$P$9:$P$492,'Costing'!$A$9:$A$492,"MAIN-052"))</x:f>
        <x:v>270000</x:v>
      </x:c>
      <x:c r="M369" s="17" t="n">
        <x:f>ROUND(L369*'Costing'!$C$4,2)</x:f>
        <x:v>48600</x:v>
      </x:c>
      <x:c r="N369" s="17" t="n">
        <x:f>L369+M369</x:f>
        <x:v>318600</x:v>
      </x:c>
      <x:c r="O369" s="12" t="str">
        <x:v>Bengaluru</x:v>
      </x:c>
      <x:c r="P369" s="12" t="str">
        <x:v>CORP-0048</x:v>
      </x:c>
      <x:c r="Q369" s="12" t="str">
        <x:v>Blue Yonder, BlueYonder</x:v>
      </x:c>
    </x:row>
    <x:row r="370" ht="48" customHeight="1">
      <x:c r="A370" s="2" t="str">
        <x:v>TEN-5530B09CCCE4</x:v>
      </x:c>
      <x:c r="B370" s="12" t="str">
        <x:v>BLUEJAY WORKTECH PRIVATE LIMITED</x:v>
      </x:c>
      <x:c r="C370" s="12" t="str">
        <x:v>Business / brand</x:v>
      </x:c>
      <x:c r="D370" s="12" t="str">
        <x:v>Unresolved</x:v>
      </x:c>
      <x:c r="E370" s="12" t="str">
        <x:v>Business activity not established</x:v>
      </x:c>
      <x:c r="F370" s="12" t="str">
        <x:v>Mixed business audience</x:v>
      </x:c>
      <x:c r="G370" s="12" t="str">
        <x:v>Business activity and company scale are not established from this name.</x:v>
      </x:c>
      <x:c r="H370" s="11" t="n">
        <x:v>1</x:v>
      </x:c>
      <x:c r="I370" s="11" t="n">
        <x:v>1</x:v>
      </x:c>
      <x:c r="J370" s="11" t="n">
        <x:v>1</x:v>
      </x:c>
      <x:c r="K370" s="11" t="n">
        <x:v>0</x:v>
      </x:c>
      <x:c r="L370" s="17" t="n">
        <x:f>SUM(SUMIFS('Costing'!$P$9:$P$492,'Costing'!$A$9:$A$492,"MAIN-028"))</x:f>
        <x:v>15000</x:v>
      </x:c>
      <x:c r="M370" s="17" t="n">
        <x:f>ROUND(L370*'Costing'!$C$4,2)</x:f>
        <x:v>2700</x:v>
      </x:c>
      <x:c r="N370" s="17" t="n">
        <x:f>L370+M370</x:f>
        <x:v>17700</x:v>
      </x:c>
      <x:c r="O370" s="12" t="str">
        <x:v>Bengaluru</x:v>
      </x:c>
      <x:c r="P370" s="12" t="str">
        <x:v>CORP-0024</x:v>
      </x:c>
      <x:c r="Q370" s="12" t="str">
        <x:v>BLUEJAY WORKTECH PRIVATE LIMITED</x:v>
      </x:c>
    </x:row>
    <x:row r="371" ht="48" customHeight="1">
      <x:c r="A371" s="2" t="str">
        <x:v>TEN-C34DF63CE5F2</x:v>
      </x:c>
      <x:c r="B371" s="12" t="str">
        <x:v>BlueJeans Networks Pvt Ltd</x:v>
      </x:c>
      <x:c r="C371" s="12" t="str">
        <x:v>Business / brand</x:v>
      </x:c>
      <x:c r="D371" s="12" t="str">
        <x:v>IT &amp; digital</x:v>
      </x:c>
      <x:c r="E371" s="12" t="str">
        <x:v>Telecom, networks &amp; connectivity</x:v>
      </x:c>
      <x:c r="F371" s="12" t="str">
        <x:v>Mixed business audience</x:v>
      </x:c>
      <x:c r="G371" s="12" t="str">
        <x:v>Established brand or business network; local company scale is not established. Use a mixed-business message.</x:v>
      </x:c>
      <x:c r="H371" s="11" t="n">
        <x:v>10</x:v>
      </x:c>
      <x:c r="I371" s="11" t="n">
        <x:v>10</x:v>
      </x:c>
      <x:c r="J371" s="11" t="n">
        <x:v>10</x:v>
      </x:c>
      <x:c r="K371" s="11" t="n">
        <x:v>0</x:v>
      </x:c>
      <x:c r="L371" s="17" t="n">
        <x:f>SUM(SUMIFS('Costing'!$P$9:$P$492,'Costing'!$A$9:$A$492,"PARTNER-M014"))</x:f>
        <x:v>400000</x:v>
      </x:c>
      <x:c r="M371" s="17" t="n">
        <x:f>ROUND(L371*'Costing'!$C$4,2)</x:f>
        <x:v>72000</x:v>
      </x:c>
      <x:c r="N371" s="17" t="n">
        <x:f>L371+M371</x:f>
        <x:v>472000</x:v>
      </x:c>
      <x:c r="O371" s="12" t="str">
        <x:v>Bengaluru</x:v>
      </x:c>
      <x:c r="P371" s="12" t="str">
        <x:v>CORP-0432, CORP-0433, CORP-0434, CORP-0435, CORP-0436, CORP-0437, CORP-0438, CORP-0439, CORP-0440, CORP-0441</x:v>
      </x:c>
      <x:c r="Q371" s="12" t="str">
        <x:v>BlueJeans Networks Pvt Ltd</x:v>
      </x:c>
    </x:row>
    <x:row r="372" ht="48" customHeight="1">
      <x:c r="A372" s="2" t="str">
        <x:v>TEN-F4768D7D29EC</x:v>
      </x:c>
      <x:c r="B372" s="12" t="str">
        <x:v>Bluejersey18 Technologies Private Limited</x:v>
      </x:c>
      <x:c r="C372" s="12" t="str">
        <x:v>Business / brand</x:v>
      </x:c>
      <x:c r="D372" s="12" t="str">
        <x:v>Unresolved</x:v>
      </x:c>
      <x:c r="E372" s="12" t="str">
        <x:v>Business activity not established</x:v>
      </x:c>
      <x:c r="F372" s="12" t="str">
        <x:v>Mixed business audience</x:v>
      </x:c>
      <x:c r="G372" s="12" t="str">
        <x:v>Business activity and company scale are not established from this name.</x:v>
      </x:c>
      <x:c r="H372" s="11" t="n">
        <x:v>1</x:v>
      </x:c>
      <x:c r="I372" s="11" t="n">
        <x:v>7</x:v>
      </x:c>
      <x:c r="J372" s="11" t="n">
        <x:v>7</x:v>
      </x:c>
      <x:c r="K372" s="11" t="n">
        <x:v>0</x:v>
      </x:c>
      <x:c r="L372" s="17" t="n">
        <x:f>SUM(SUMIFS('Costing'!$P$9:$P$492,'Costing'!$A$9:$A$492,"MAIN-116"))</x:f>
        <x:v>175000</x:v>
      </x:c>
      <x:c r="M372" s="17" t="n">
        <x:f>ROUND(L372*'Costing'!$C$4,2)</x:f>
        <x:v>31500</x:v>
      </x:c>
      <x:c r="N372" s="17" t="n">
        <x:f>L372+M372</x:f>
        <x:v>206500</x:v>
      </x:c>
      <x:c r="O372" s="12" t="str">
        <x:v>Bengaluru</x:v>
      </x:c>
      <x:c r="P372" s="12" t="str">
        <x:v>CORP-0112</x:v>
      </x:c>
      <x:c r="Q372" s="12" t="str">
        <x:v>Bluejersey18 Technologies Private Limited</x:v>
      </x:c>
    </x:row>
    <x:row r="373" ht="48" customHeight="1">
      <x:c r="A373" s="2" t="str">
        <x:v>TEN-E0C400B0984A</x:v>
      </x:c>
      <x:c r="B373" s="12" t="str">
        <x:v>Bluestar</x:v>
      </x:c>
      <x:c r="C373" s="12" t="str">
        <x:v>Business / brand</x:v>
      </x:c>
      <x:c r="D373" s="12" t="str">
        <x:v>Engineering &amp; manufacturing</x:v>
      </x:c>
      <x:c r="E373" s="12" t="str">
        <x:v>Engineering/manufacturing — specialty unverified</x:v>
      </x:c>
      <x:c r="F373" s="12" t="str">
        <x:v>Mixed business audience</x:v>
      </x:c>
      <x:c r="G373" s="12" t="str">
        <x:v>Recognisable business context; company-scale evidence remains insufficient for a single size band.</x:v>
      </x:c>
      <x:c r="H373" s="11" t="n">
        <x:v>1</x:v>
      </x:c>
      <x:c r="I373" s="11" t="n">
        <x:v>1</x:v>
      </x:c>
      <x:c r="J373" s="11" t="n">
        <x:v>1</x:v>
      </x:c>
      <x:c r="K373" s="11" t="n">
        <x:v>0</x:v>
      </x:c>
      <x:c r="L373" s="17" t="n">
        <x:f>SUM(SUMIFS('Costing'!$P$9:$P$492,'Costing'!$A$9:$A$492,"MAIN-272"))</x:f>
        <x:v>20000</x:v>
      </x:c>
      <x:c r="M373" s="17" t="n">
        <x:f>ROUND(L373*'Costing'!$C$4,2)</x:f>
        <x:v>3600</x:v>
      </x:c>
      <x:c r="N373" s="17" t="n">
        <x:f>L373+M373</x:f>
        <x:v>23600</x:v>
      </x:c>
      <x:c r="O373" s="12" t="str">
        <x:v>Indore</x:v>
      </x:c>
      <x:c r="P373" s="12" t="str">
        <x:v>CORP-0268</x:v>
      </x:c>
      <x:c r="Q373" s="12" t="str">
        <x:v>Bluestar</x:v>
      </x:c>
    </x:row>
    <x:row r="374" ht="48" customHeight="1">
      <x:c r="A374" s="2" t="str">
        <x:v>TEN-5065EDF9A8BE</x:v>
      </x:c>
      <x:c r="B374" s="12" t="str">
        <x:v>Bluestone</x:v>
      </x:c>
      <x:c r="C374" s="12" t="str">
        <x:v>Business / brand</x:v>
      </x:c>
      <x:c r="D374" s="12" t="str">
        <x:v>Trade, consumer &amp; logistics</x:v>
      </x:c>
      <x:c r="E374" s="12" t="str">
        <x:v>Consumer/trade services — specialty unverified</x:v>
      </x:c>
      <x:c r="F374" s="12" t="str">
        <x:v>Mixed business audience</x:v>
      </x:c>
      <x:c r="G374" s="12" t="str">
        <x:v>Recognisable business context; company-scale evidence remains insufficient for a single size band.</x:v>
      </x:c>
      <x:c r="H374" s="11" t="n">
        <x:v>1</x:v>
      </x:c>
      <x:c r="I374" s="11" t="n">
        <x:v>1</x:v>
      </x:c>
      <x:c r="J374" s="11" t="n">
        <x:v>1</x:v>
      </x:c>
      <x:c r="K374" s="11" t="n">
        <x:v>0</x:v>
      </x:c>
      <x:c r="L374" s="17" t="n">
        <x:f>SUM(SUMIFS('Costing'!$P$9:$P$492,'Costing'!$A$9:$A$492,"MAIN-103"))</x:f>
        <x:v>15000</x:v>
      </x:c>
      <x:c r="M374" s="17" t="n">
        <x:f>ROUND(L374*'Costing'!$C$4,2)</x:f>
        <x:v>2700</x:v>
      </x:c>
      <x:c r="N374" s="17" t="n">
        <x:f>L374+M374</x:f>
        <x:v>17700</x:v>
      </x:c>
      <x:c r="O374" s="12" t="str">
        <x:v>Bengaluru</x:v>
      </x:c>
      <x:c r="P374" s="12" t="str">
        <x:v>CORP-0099</x:v>
      </x:c>
      <x:c r="Q374" s="12" t="str">
        <x:v>Bluestone</x:v>
      </x:c>
    </x:row>
    <x:row r="375" ht="48" customHeight="1">
      <x:c r="A375" s="2" t="str">
        <x:v>TEN-B9BB35EF1CC5</x:v>
      </x:c>
      <x:c r="B375" s="12" t="str">
        <x:v>BMC Software</x:v>
      </x:c>
      <x:c r="C375" s="12" t="str">
        <x:v>Business / brand</x:v>
      </x:c>
      <x:c r="D375" s="12" t="str">
        <x:v>IT &amp; digital</x:v>
      </x:c>
      <x:c r="E375" s="12" t="str">
        <x:v>Enterprise software &amp; digital engineering</x:v>
      </x:c>
      <x:c r="F375" s="12" t="str">
        <x:v>Mixed business audience</x:v>
      </x:c>
      <x:c r="G375" s="12" t="str">
        <x:v>Recognisable business context; company-scale evidence remains insufficient for a single size band.</x:v>
      </x:c>
      <x:c r="H375" s="11" t="n">
        <x:v>4</x:v>
      </x:c>
      <x:c r="I375" s="11" t="n">
        <x:v>4</x:v>
      </x:c>
      <x:c r="J375" s="11" t="n">
        <x:v>4</x:v>
      </x:c>
      <x:c r="K375" s="11" t="n">
        <x:v>0</x:v>
      </x:c>
      <x:c r="L375" s="17" t="n">
        <x:f>SUM(SUMIFS('Costing'!$P$9:$P$492,'Costing'!$A$9:$A$492,"PARTNER-M093"))</x:f>
        <x:v>160000</x:v>
      </x:c>
      <x:c r="M375" s="17" t="n">
        <x:f>ROUND(L375*'Costing'!$C$4,2)</x:f>
        <x:v>28800</x:v>
      </x:c>
      <x:c r="N375" s="17" t="n">
        <x:f>L375+M375</x:f>
        <x:v>188800</x:v>
      </x:c>
      <x:c r="O375" s="12" t="str">
        <x:v>Bengaluru</x:v>
      </x:c>
      <x:c r="P375" s="12" t="str">
        <x:v>CORP-0511, CORP-0512, CORP-0513, CORP-0514</x:v>
      </x:c>
      <x:c r="Q375" s="12" t="str">
        <x:v>BMC Software</x:v>
      </x:c>
    </x:row>
    <x:row r="376" ht="48" customHeight="1">
      <x:c r="A376" s="2" t="str">
        <x:v>TEN-61BF9757EB71</x:v>
      </x:c>
      <x:c r="B376" s="12" t="str">
        <x:v>BMM</x:v>
      </x:c>
      <x:c r="C376" s="12" t="str">
        <x:v>Business / brand</x:v>
      </x:c>
      <x:c r="D376" s="12" t="str">
        <x:v>Unresolved</x:v>
      </x:c>
      <x:c r="E376" s="12" t="str">
        <x:v>Business activity not established</x:v>
      </x:c>
      <x:c r="F376" s="12" t="str">
        <x:v>Mixed business audience</x:v>
      </x:c>
      <x:c r="G376" s="12" t="str">
        <x:v>Business activity and company scale are not established from this name.</x:v>
      </x:c>
      <x:c r="H376" s="11" t="n">
        <x:v>2</x:v>
      </x:c>
      <x:c r="I376" s="11" t="n">
        <x:v>4</x:v>
      </x:c>
      <x:c r="J376" s="11" t="n">
        <x:v>4</x:v>
      </x:c>
      <x:c r="K376" s="11" t="n">
        <x:v>0</x:v>
      </x:c>
      <x:c r="L376" s="17" t="n">
        <x:f>SUM(SUMIFS('Costing'!$P$9:$P$492,'Costing'!$A$9:$A$492,"MAIN-163"),SUMIFS('Costing'!$P$9:$P$492,'Costing'!$A$9:$A$492,"MAIN-164"))</x:f>
        <x:v>60000</x:v>
      </x:c>
      <x:c r="M376" s="17" t="n">
        <x:f>ROUND(L376*'Costing'!$C$4,2)</x:f>
        <x:v>10800</x:v>
      </x:c>
      <x:c r="N376" s="17" t="n">
        <x:f>L376+M376</x:f>
        <x:v>70800</x:v>
      </x:c>
      <x:c r="O376" s="12" t="str">
        <x:v>Delhi NCR</x:v>
      </x:c>
      <x:c r="P376" s="12" t="str">
        <x:v>CORP-0159, CORP-0160</x:v>
      </x:c>
      <x:c r="Q376" s="12" t="str">
        <x:v>BMM</x:v>
      </x:c>
    </x:row>
    <x:row r="377" ht="48" customHeight="1">
      <x:c r="A377" s="2" t="str">
        <x:v>TEN-7FB575E3B4B0</x:v>
      </x:c>
      <x:c r="B377" s="12" t="str">
        <x:v>BMW TechWorks India</x:v>
      </x:c>
      <x:c r="C377" s="12" t="str">
        <x:v>Business / brand</x:v>
      </x:c>
      <x:c r="D377" s="12" t="str">
        <x:v>IT &amp; digital</x:v>
      </x:c>
      <x:c r="E377" s="12" t="str">
        <x:v>Enterprise software &amp; digital engineering</x:v>
      </x:c>
      <x:c r="F377" s="12" t="str">
        <x:v>Mixed business audience</x:v>
      </x:c>
      <x:c r="G377" s="12" t="str">
        <x:v>Established brand or business network; local company scale is not established. Use a mixed-business message.</x:v>
      </x:c>
      <x:c r="H377" s="11" t="n">
        <x:v>1</x:v>
      </x:c>
      <x:c r="I377" s="11" t="n">
        <x:v>2</x:v>
      </x:c>
      <x:c r="J377" s="11" t="n">
        <x:v>2</x:v>
      </x:c>
      <x:c r="K377" s="11" t="n">
        <x:v>0</x:v>
      </x:c>
      <x:c r="L377" s="17" t="n">
        <x:f>SUM(SUMIFS('Costing'!$P$9:$P$492,'Costing'!$A$9:$A$492,"MAIN-384"))</x:f>
        <x:v>80000</x:v>
      </x:c>
      <x:c r="M377" s="17" t="n">
        <x:f>ROUND(L377*'Costing'!$C$4,2)</x:f>
        <x:v>14400</x:v>
      </x:c>
      <x:c r="N377" s="17" t="n">
        <x:f>L377+M377</x:f>
        <x:v>94400</x:v>
      </x:c>
      <x:c r="O377" s="12" t="str">
        <x:v>Pune</x:v>
      </x:c>
      <x:c r="P377" s="12" t="str">
        <x:v>CORP-0380</x:v>
      </x:c>
      <x:c r="Q377" s="12" t="str">
        <x:v>BMW TechWorks India</x:v>
      </x:c>
    </x:row>
    <x:row r="378" ht="48" customHeight="1">
      <x:c r="A378" s="2" t="str">
        <x:v>TEN-56046651CB41</x:v>
      </x:c>
      <x:c r="B378" s="12" t="str">
        <x:v>BNP Paribas</x:v>
      </x:c>
      <x:c r="C378" s="12" t="str">
        <x:v>Business / brand</x:v>
      </x:c>
      <x:c r="D378" s="12" t="str">
        <x:v>Finance &amp; insurance</x:v>
      </x:c>
      <x:c r="E378" s="12" t="str">
        <x:v>Financial services — specialty unverified</x:v>
      </x:c>
      <x:c r="F378" s="12" t="str">
        <x:v>Large enterprise</x:v>
      </x:c>
      <x:c r="G378" s="12" t="str">
        <x:v>Explicit BNP Paribas enterprise-family context; see ENTERPRISE_SUPP_042 evidence.</x:v>
      </x:c>
      <x:c r="H378" s="11" t="n">
        <x:v>1</x:v>
      </x:c>
      <x:c r="I378" s="11" t="n">
        <x:v>1</x:v>
      </x:c>
      <x:c r="J378" s="11" t="n">
        <x:v>1</x:v>
      </x:c>
      <x:c r="K378" s="11" t="n">
        <x:v>0</x:v>
      </x:c>
      <x:c r="L378" s="17" t="n">
        <x:f>SUM(SUMIFS('Costing'!$P$9:$P$492,'Costing'!$A$9:$A$492,"PARTNER-M331"))</x:f>
        <x:v>40000</x:v>
      </x:c>
      <x:c r="M378" s="17" t="n">
        <x:f>ROUND(L378*'Costing'!$C$4,2)</x:f>
        <x:v>7200</x:v>
      </x:c>
      <x:c r="N378" s="17" t="n">
        <x:f>L378+M378</x:f>
        <x:v>47200</x:v>
      </x:c>
      <x:c r="O378" s="12" t="str">
        <x:v>Chennai</x:v>
      </x:c>
      <x:c r="P378" s="12" t="str">
        <x:v>CORP-0745</x:v>
      </x:c>
      <x:c r="Q378" s="12" t="str">
        <x:v>BNP Paribas</x:v>
      </x:c>
    </x:row>
    <x:row r="379" ht="48" customHeight="1">
      <x:c r="A379" s="2" t="str">
        <x:v>TEN-E9992F5DAD60</x:v>
      </x:c>
      <x:c r="B379" s="12" t="str">
        <x:v>BNY Mellon</x:v>
      </x:c>
      <x:c r="C379" s="12" t="str">
        <x:v>Business / brand</x:v>
      </x:c>
      <x:c r="D379" s="12" t="str">
        <x:v>Finance &amp; insurance</x:v>
      </x:c>
      <x:c r="E379" s="12" t="str">
        <x:v>Financial services — specialty unverified</x:v>
      </x:c>
      <x:c r="F379" s="12" t="str">
        <x:v>Mixed business audience</x:v>
      </x:c>
      <x:c r="G379" s="12" t="str">
        <x:v>Recognisable business context; company-scale evidence remains insufficient for a single size band.</x:v>
      </x:c>
      <x:c r="H379" s="11" t="n">
        <x:v>10</x:v>
      </x:c>
      <x:c r="I379" s="11" t="n">
        <x:v>11</x:v>
      </x:c>
      <x:c r="J379" s="11" t="n">
        <x:v>11</x:v>
      </x:c>
      <x:c r="K379" s="11" t="n">
        <x:v>0</x:v>
      </x:c>
      <x:c r="L379" s="17" t="n">
        <x:f>SUM(SUMIFS('Costing'!$P$9:$P$492,'Costing'!$A$9:$A$492,"MAIN-413"),SUMIFS('Costing'!$P$9:$P$492,'Costing'!$A$9:$A$492,"PARTNER-M252"))</x:f>
        <x:v>440000</x:v>
      </x:c>
      <x:c r="M379" s="17" t="n">
        <x:f>ROUND(L379*'Costing'!$C$4,2)</x:f>
        <x:v>79200</x:v>
      </x:c>
      <x:c r="N379" s="17" t="n">
        <x:f>L379+M379</x:f>
        <x:v>519200</x:v>
      </x:c>
      <x:c r="O379" s="12" t="str">
        <x:v>Pune</x:v>
      </x:c>
      <x:c r="P379" s="12" t="str">
        <x:v>CORP-0409, CORP-0668, CORP-0669, CORP-0670, CORP-0671, CORP-0672, CORP-0673, CORP-0674, CORP-0675, CORP-0676</x:v>
      </x:c>
      <x:c r="Q379" s="12" t="str">
        <x:v>BNY Mellon</x:v>
      </x:c>
    </x:row>
    <x:row r="380" ht="48" customHeight="1">
      <x:c r="A380" s="2" t="str">
        <x:v>TEN-ABF9235DCBEF</x:v>
      </x:c>
      <x:c r="B380" s="12" t="str">
        <x:v>Bo-Chem</x:v>
      </x:c>
      <x:c r="C380" s="12" t="str">
        <x:v>Business / brand</x:v>
      </x:c>
      <x:c r="D380" s="12" t="str">
        <x:v>Engineering &amp; manufacturing</x:v>
      </x:c>
      <x:c r="E380" s="12" t="str">
        <x:v>Chemicals, materials &amp; industrial manufacturing</x:v>
      </x:c>
      <x:c r="F380" s="12" t="str">
        <x:v>Medium-scale prospects</x:v>
      </x:c>
      <x:c r="G380" s="12" t="str">
        <x:v>Specialist industrial or engineering business; medium-scale prospect assumption.</x:v>
      </x:c>
      <x:c r="H380" s="11" t="n">
        <x:v>2</x:v>
      </x:c>
      <x:c r="I380" s="11" t="n">
        <x:v>2</x:v>
      </x:c>
      <x:c r="J380" s="11" t="n">
        <x:v>2</x:v>
      </x:c>
      <x:c r="K380" s="11" t="n">
        <x:v>0</x:v>
      </x:c>
      <x:c r="L380" s="17" t="n">
        <x:f>SUM(SUMIFS('Costing'!$P$9:$P$492,'Costing'!$A$9:$A$492,"PARTNER-M241"))</x:f>
        <x:v>80000</x:v>
      </x:c>
      <x:c r="M380" s="17" t="n">
        <x:f>ROUND(L380*'Costing'!$C$4,2)</x:f>
        <x:v>14400</x:v>
      </x:c>
      <x:c r="N380" s="17" t="n">
        <x:f>L380+M380</x:f>
        <x:v>94400</x:v>
      </x:c>
      <x:c r="O380" s="12" t="str">
        <x:v>Mumbai</x:v>
      </x:c>
      <x:c r="P380" s="12" t="str">
        <x:v>CORP-0658, CORP-0659</x:v>
      </x:c>
      <x:c r="Q380" s="12" t="str">
        <x:v>Bo-Chem</x:v>
      </x:c>
    </x:row>
    <x:row r="381" ht="48" customHeight="1">
      <x:c r="A381" s="2" t="str">
        <x:v>TEN-25CDB46D8D21</x:v>
      </x:c>
      <x:c r="B381" s="12" t="str">
        <x:v>Boat</x:v>
      </x:c>
      <x:c r="C381" s="12" t="str">
        <x:v>Business / brand</x:v>
      </x:c>
      <x:c r="D381" s="12" t="str">
        <x:v>Trade, consumer &amp; logistics</x:v>
      </x:c>
      <x:c r="E381" s="12" t="str">
        <x:v>Retail, consumer products &amp; ecommerce</x:v>
      </x:c>
      <x:c r="F381" s="12" t="str">
        <x:v>Mixed business audience</x:v>
      </x:c>
      <x:c r="G381" s="12" t="str">
        <x:v>Established brand or business network; local company scale is not established. Use a mixed-business message.</x:v>
      </x:c>
      <x:c r="H381" s="11" t="n">
        <x:v>1</x:v>
      </x:c>
      <x:c r="I381" s="11" t="n">
        <x:v>8</x:v>
      </x:c>
      <x:c r="J381" s="11" t="n">
        <x:v>8</x:v>
      </x:c>
      <x:c r="K381" s="11" t="n">
        <x:v>0</x:v>
      </x:c>
      <x:c r="L381" s="17" t="n">
        <x:f>SUM(SUMIFS('Costing'!$P$9:$P$492,'Costing'!$A$9:$A$492,"MAIN-009"))</x:f>
        <x:v>120000</x:v>
      </x:c>
      <x:c r="M381" s="17" t="n">
        <x:f>ROUND(L381*'Costing'!$C$4,2)</x:f>
        <x:v>21600</x:v>
      </x:c>
      <x:c r="N381" s="17" t="n">
        <x:f>L381+M381</x:f>
        <x:v>141600</x:v>
      </x:c>
      <x:c r="O381" s="12" t="str">
        <x:v>Bengaluru</x:v>
      </x:c>
      <x:c r="P381" s="12" t="str">
        <x:v>CORP-0005</x:v>
      </x:c>
      <x:c r="Q381" s="12" t="str">
        <x:v>Boat</x:v>
      </x:c>
    </x:row>
    <x:row r="382" ht="48" customHeight="1">
      <x:c r="A382" s="2" t="str">
        <x:v>TEN-9717823FF639</x:v>
      </x:c>
      <x:c r="B382" s="12" t="str">
        <x:v>BOB Capital Markets Ltd</x:v>
      </x:c>
      <x:c r="C382" s="12" t="str">
        <x:v>Business / brand</x:v>
      </x:c>
      <x:c r="D382" s="12" t="str">
        <x:v>Finance &amp; insurance</x:v>
      </x:c>
      <x:c r="E382" s="12" t="str">
        <x:v>Investments, securities &amp; wealth</x:v>
      </x:c>
      <x:c r="F382" s="12" t="str">
        <x:v>Large enterprise</x:v>
      </x:c>
      <x:c r="G382" s="12" t="str">
        <x:v>Explicit Bank of Baroda enterprise-family context; see ENTERPRISE_SUPP_014 evidence.</x:v>
      </x:c>
      <x:c r="H382" s="11" t="n">
        <x:v>4</x:v>
      </x:c>
      <x:c r="I382" s="11" t="n">
        <x:v>4</x:v>
      </x:c>
      <x:c r="J382" s="11" t="n">
        <x:v>4</x:v>
      </x:c>
      <x:c r="K382" s="11" t="n">
        <x:v>0</x:v>
      </x:c>
      <x:c r="L382" s="17" t="n">
        <x:f>SUM(SUMIFS('Costing'!$P$9:$P$492,'Costing'!$A$9:$A$492,"PARTNER-M171"))</x:f>
        <x:v>160000</x:v>
      </x:c>
      <x:c r="M382" s="17" t="n">
        <x:f>ROUND(L382*'Costing'!$C$4,2)</x:f>
        <x:v>28800</x:v>
      </x:c>
      <x:c r="N382" s="17" t="n">
        <x:f>L382+M382</x:f>
        <x:v>188800</x:v>
      </x:c>
      <x:c r="O382" s="12" t="str">
        <x:v>Mumbai</x:v>
      </x:c>
      <x:c r="P382" s="12" t="str">
        <x:v>CORP-0588, CORP-0589, CORP-0590, CORP-0591</x:v>
      </x:c>
      <x:c r="Q382" s="12" t="str">
        <x:v>BOB Capital Markets Ltd</x:v>
      </x:c>
    </x:row>
    <x:row r="383" ht="48" customHeight="1">
      <x:c r="A383" s="2" t="str">
        <x:v>TEN-2D2BD6458539</x:v>
      </x:c>
      <x:c r="B383" s="12" t="str">
        <x:v>Bodal Chemicals Limited</x:v>
      </x:c>
      <x:c r="C383" s="12" t="str">
        <x:v>Business / brand</x:v>
      </x:c>
      <x:c r="D383" s="12" t="str">
        <x:v>Engineering &amp; manufacturing</x:v>
      </x:c>
      <x:c r="E383" s="12" t="str">
        <x:v>Chemicals, materials &amp; industrial manufacturing</x:v>
      </x:c>
      <x:c r="F383" s="12" t="str">
        <x:v>Mixed business audience</x:v>
      </x:c>
      <x:c r="G383" s="12" t="str">
        <x:v>Established brand or business network; local company scale is not established. Use a mixed-business message.</x:v>
      </x:c>
      <x:c r="H383" s="11" t="n">
        <x:v>1</x:v>
      </x:c>
      <x:c r="I383" s="11" t="n">
        <x:v>1</x:v>
      </x:c>
      <x:c r="J383" s="11" t="n">
        <x:v>1</x:v>
      </x:c>
      <x:c r="K383" s="11" t="n">
        <x:v>0</x:v>
      </x:c>
      <x:c r="L383" s="17" t="n">
        <x:f>SUM(SUMIFS('Costing'!$P$9:$P$492,'Costing'!$A$9:$A$492,"MAIN-005"))</x:f>
        <x:v>15000</x:v>
      </x:c>
      <x:c r="M383" s="17" t="n">
        <x:f>ROUND(L383*'Costing'!$C$4,2)</x:f>
        <x:v>2700</x:v>
      </x:c>
      <x:c r="N383" s="17" t="n">
        <x:f>L383+M383</x:f>
        <x:v>17700</x:v>
      </x:c>
      <x:c r="O383" s="12" t="str">
        <x:v>Ahmedabad</x:v>
      </x:c>
      <x:c r="P383" s="12" t="str">
        <x:v>CORP-0001</x:v>
      </x:c>
      <x:c r="Q383" s="12" t="str">
        <x:v>Bodal Chemicals Limited</x:v>
      </x:c>
    </x:row>
    <x:row r="384" ht="48" customHeight="1">
      <x:c r="A384" s="2" t="str">
        <x:v>TEN-B7F72869D568</x:v>
      </x:c>
      <x:c r="B384" s="12" t="str">
        <x:v>Body capital pvt ltd</x:v>
      </x:c>
      <x:c r="C384" s="12" t="str">
        <x:v>Business / brand</x:v>
      </x:c>
      <x:c r="D384" s="12" t="str">
        <x:v>Finance &amp; insurance</x:v>
      </x:c>
      <x:c r="E384" s="12" t="str">
        <x:v>Investments, securities &amp; wealth</x:v>
      </x:c>
      <x:c r="F384" s="12" t="str">
        <x:v>Medium-scale prospects</x:v>
      </x:c>
      <x:c r="G384" s="12" t="str">
        <x:v>Specialist financial-services business; medium-scale prospect assumption.</x:v>
      </x:c>
      <x:c r="H384" s="11" t="n">
        <x:v>1</x:v>
      </x:c>
      <x:c r="I384" s="11" t="n">
        <x:v>4</x:v>
      </x:c>
      <x:c r="J384" s="11" t="n">
        <x:v>4</x:v>
      </x:c>
      <x:c r="K384" s="11" t="n">
        <x:v>0</x:v>
      </x:c>
      <x:c r="L384" s="17" t="n">
        <x:f>SUM(SUMIFS('Costing'!$P$9:$P$492,'Costing'!$A$9:$A$492,"MAIN-016"))</x:f>
        <x:v>60000</x:v>
      </x:c>
      <x:c r="M384" s="17" t="n">
        <x:f>ROUND(L384*'Costing'!$C$4,2)</x:f>
        <x:v>10800</x:v>
      </x:c>
      <x:c r="N384" s="17" t="n">
        <x:f>L384+M384</x:f>
        <x:v>70800</x:v>
      </x:c>
      <x:c r="O384" s="12" t="str">
        <x:v>Bengaluru</x:v>
      </x:c>
      <x:c r="P384" s="12" t="str">
        <x:v>CORP-0012</x:v>
      </x:c>
      <x:c r="Q384" s="12" t="str">
        <x:v>Body capital pvt ltd</x:v>
      </x:c>
    </x:row>
    <x:row r="385" ht="48" customHeight="1">
      <x:c r="A385" s="2" t="str">
        <x:v>TEN-DCFBA15B3400</x:v>
      </x:c>
      <x:c r="B385" s="12" t="str">
        <x:v>BodyScience Pilates</x:v>
      </x:c>
      <x:c r="C385" s="12" t="str">
        <x:v>Business / brand</x:v>
      </x:c>
      <x:c r="D385" s="12" t="str">
        <x:v>Healthcare &amp; life sciences</x:v>
      </x:c>
      <x:c r="E385" s="12" t="str">
        <x:v>Mental health, wellbeing &amp; fitness</x:v>
      </x:c>
      <x:c r="F385" s="12" t="str">
        <x:v>Small-scale prospects</x:v>
      </x:c>
      <x:c r="G385" s="12" t="str">
        <x:v>Healthcare services business; small-scale prospect assumption.</x:v>
      </x:c>
      <x:c r="H385" s="11" t="n">
        <x:v>5</x:v>
      </x:c>
      <x:c r="I385" s="11" t="n">
        <x:v>5</x:v>
      </x:c>
      <x:c r="J385" s="11" t="n">
        <x:v>5</x:v>
      </x:c>
      <x:c r="K385" s="11" t="n">
        <x:v>0</x:v>
      </x:c>
      <x:c r="L385" s="17" t="n">
        <x:f>SUM(SUMIFS('Costing'!$P$9:$P$492,'Costing'!$A$9:$A$492,"PARTNER-M312"))</x:f>
        <x:v>200000</x:v>
      </x:c>
      <x:c r="M385" s="17" t="n">
        <x:f>ROUND(L385*'Costing'!$C$4,2)</x:f>
        <x:v>36000</x:v>
      </x:c>
      <x:c r="N385" s="17" t="n">
        <x:f>L385+M385</x:f>
        <x:v>236000</x:v>
      </x:c>
      <x:c r="O385" s="12" t="str">
        <x:v>Hyderabad</x:v>
      </x:c>
      <x:c r="P385" s="12" t="str">
        <x:v>CORP-0727, CORP-0728, CORP-0729, CORP-0730, CORP-0731</x:v>
      </x:c>
      <x:c r="Q385" s="12" t="str">
        <x:v>BodyScience Pilates</x:v>
      </x:c>
    </x:row>
    <x:row r="386" ht="88" customHeight="1">
      <x:c r="A386" s="2" t="str">
        <x:v>TEN-16F45B99ABFD</x:v>
      </x:c>
      <x:c r="B386" s="12" t="str">
        <x:v>Boeing</x:v>
      </x:c>
      <x:c r="C386" s="12" t="str">
        <x:v>Business / brand</x:v>
      </x:c>
      <x:c r="D386" s="12" t="str">
        <x:v>Engineering &amp; manufacturing</x:v>
      </x:c>
      <x:c r="E386" s="12" t="str">
        <x:v>Automotive, mobility &amp; aerospace</x:v>
      </x:c>
      <x:c r="F386" s="12" t="str">
        <x:v>Large enterprise</x:v>
      </x:c>
      <x:c r="G386" s="12" t="str">
        <x:v>Official profile reports more than 182,000 people and customers in over 150 countries.</x:v>
      </x:c>
      <x:c r="H386" s="11" t="n">
        <x:v>30</x:v>
      </x:c>
      <x:c r="I386" s="11" t="n">
        <x:v>30</x:v>
      </x:c>
      <x:c r="J386" s="11" t="n">
        <x:v>30</x:v>
      </x:c>
      <x:c r="K386" s="11" t="n">
        <x:v>0</x:v>
      </x:c>
      <x:c r="L386" s="17" t="n">
        <x:f>SUM(SUMIFS('Costing'!$P$9:$P$492,'Costing'!$A$9:$A$492,"PARTNER-M130"),SUMIFS('Costing'!$P$9:$P$492,'Costing'!$A$9:$A$492,"PARTNER-M108"),SUMIFS('Costing'!$P$9:$P$492,'Costing'!$A$9:$A$492,"PARTNER-M120"))</x:f>
        <x:v>1200000</x:v>
      </x:c>
      <x:c r="M386" s="17" t="n">
        <x:f>ROUND(L386*'Costing'!$C$4,2)</x:f>
        <x:v>216000</x:v>
      </x:c>
      <x:c r="N386" s="17" t="n">
        <x:f>L386+M386</x:f>
        <x:v>1416000</x:v>
      </x:c>
      <x:c r="O386" s="12" t="str">
        <x:v>Bengaluru</x:v>
      </x:c>
      <x:c r="P386" s="12" t="str">
        <x:v>CORP-0526, CORP-0527, CORP-0528, CORP-0529, CORP-0530, CORP-0531, CORP-0532, CORP-0533, CORP-0534, CORP-0535, CORP-0536, CORP-0537, CORP-0538, CORP-0539, CORP-0540, CORP-0541, CORP-0542, CORP-0543, CORP-0544, CORP-0545, CORP-0546, CORP-0547, CORP-0548, CORP-0549, CORP-0550, CORP-0551, CORP-0552, CORP-0553, CORP-0554, CORP-0555</x:v>
      </x:c>
      <x:c r="Q386" s="12" t="str">
        <x:v>Boeing</x:v>
      </x:c>
    </x:row>
    <x:row r="387" ht="48" customHeight="1">
      <x:c r="A387" s="2" t="str">
        <x:v>TEN-8BBE512452EF</x:v>
      </x:c>
      <x:c r="B387" s="12" t="str">
        <x:v>Boerger India Pvt. Ltd</x:v>
      </x:c>
      <x:c r="C387" s="12" t="str">
        <x:v>Business / brand</x:v>
      </x:c>
      <x:c r="D387" s="12" t="str">
        <x:v>Engineering &amp; manufacturing</x:v>
      </x:c>
      <x:c r="E387" s="12" t="str">
        <x:v>Chemicals, materials &amp; industrial manufacturing</x:v>
      </x:c>
      <x:c r="F387" s="12" t="str">
        <x:v>Medium-scale prospects</x:v>
      </x:c>
      <x:c r="G387" s="12" t="str">
        <x:v>Specialist industrial or engineering business; medium-scale prospect assumption.</x:v>
      </x:c>
      <x:c r="H387" s="11" t="n">
        <x:v>1</x:v>
      </x:c>
      <x:c r="I387" s="11" t="n">
        <x:v>3</x:v>
      </x:c>
      <x:c r="J387" s="11" t="n">
        <x:v>3</x:v>
      </x:c>
      <x:c r="K387" s="11" t="n">
        <x:v>0</x:v>
      </x:c>
      <x:c r="L387" s="17" t="n">
        <x:f>SUM(SUMIFS('Costing'!$P$9:$P$492,'Costing'!$A$9:$A$492,"MAIN-195"))</x:f>
        <x:v>60000</x:v>
      </x:c>
      <x:c r="M387" s="17" t="n">
        <x:f>ROUND(L387*'Costing'!$C$4,2)</x:f>
        <x:v>10800</x:v>
      </x:c>
      <x:c r="N387" s="17" t="n">
        <x:f>L387+M387</x:f>
        <x:v>70800</x:v>
      </x:c>
      <x:c r="O387" s="12" t="str">
        <x:v>Delhi NCR</x:v>
      </x:c>
      <x:c r="P387" s="12" t="str">
        <x:v>CORP-0191</x:v>
      </x:c>
      <x:c r="Q387" s="12" t="str">
        <x:v>Boerger India Pvt. Ltd</x:v>
      </x:c>
    </x:row>
    <x:row r="388" ht="48" customHeight="1">
      <x:c r="A388" s="2" t="str">
        <x:v>TEN-B8183D6109C1</x:v>
      </x:c>
      <x:c r="B388" s="12" t="str">
        <x:v>Bolanile Infratech Pvt Ltd</x:v>
      </x:c>
      <x:c r="C388" s="12" t="str">
        <x:v>Business / brand</x:v>
      </x:c>
      <x:c r="D388" s="12" t="str">
        <x:v>Trade, consumer &amp; logistics</x:v>
      </x:c>
      <x:c r="E388" s="12" t="str">
        <x:v>Real estate, property &amp; construction services</x:v>
      </x:c>
      <x:c r="F388" s="12" t="str">
        <x:v>Small-scale prospects</x:v>
      </x:c>
      <x:c r="G388" s="12" t="str">
        <x:v>Trading or consumer-services business; small-scale prospect assumption.</x:v>
      </x:c>
      <x:c r="H388" s="11" t="n">
        <x:v>1</x:v>
      </x:c>
      <x:c r="I388" s="11" t="n">
        <x:v>8</x:v>
      </x:c>
      <x:c r="J388" s="11" t="n">
        <x:v>8</x:v>
      </x:c>
      <x:c r="K388" s="11" t="n">
        <x:v>0</x:v>
      </x:c>
      <x:c r="L388" s="17" t="n">
        <x:f>SUM(SUMIFS('Costing'!$P$9:$P$492,'Costing'!$A$9:$A$492,"MAIN-356"))</x:f>
        <x:v>200000</x:v>
      </x:c>
      <x:c r="M388" s="17" t="n">
        <x:f>ROUND(L388*'Costing'!$C$4,2)</x:f>
        <x:v>36000</x:v>
      </x:c>
      <x:c r="N388" s="17" t="n">
        <x:f>L388+M388</x:f>
        <x:v>236000</x:v>
      </x:c>
      <x:c r="O388" s="12" t="str">
        <x:v>Mumbai</x:v>
      </x:c>
      <x:c r="P388" s="12" t="str">
        <x:v>CORP-0352</x:v>
      </x:c>
      <x:c r="Q388" s="12" t="str">
        <x:v>Bolanile Infratech Pvt Ltd</x:v>
      </x:c>
    </x:row>
    <x:row r="389" ht="48" customHeight="1">
      <x:c r="A389" s="2" t="str">
        <x:v>TEN-705C1B5267C6</x:v>
      </x:c>
      <x:c r="B389" s="12" t="str">
        <x:v>BOLT TECH</x:v>
      </x:c>
      <x:c r="C389" s="12" t="str">
        <x:v>Business / brand</x:v>
      </x:c>
      <x:c r="D389" s="12" t="str">
        <x:v>Finance &amp; insurance</x:v>
      </x:c>
      <x:c r="E389" s="12" t="str">
        <x:v>Banking, insurance, investments &amp; financial services</x:v>
      </x:c>
      <x:c r="F389" s="12" t="str">
        <x:v>Medium-scale prospects</x:v>
      </x:c>
      <x:c r="G389" s="12" t="str">
        <x:v>Specialist financial-services business; medium-scale prospect assumption.</x:v>
      </x:c>
      <x:c r="H389" s="11" t="n">
        <x:v>1</x:v>
      </x:c>
      <x:c r="I389" s="11" t="n">
        <x:v>1</x:v>
      </x:c>
      <x:c r="J389" s="11" t="n">
        <x:v>1</x:v>
      </x:c>
      <x:c r="K389" s="11" t="n">
        <x:v>0</x:v>
      </x:c>
      <x:c r="L389" s="17" t="n">
        <x:f>SUM(SUMIFS('Costing'!$P$9:$P$492,'Costing'!$A$9:$A$492,"MAIN-295"))</x:f>
        <x:v>15000</x:v>
      </x:c>
      <x:c r="M389" s="17" t="n">
        <x:f>ROUND(L389*'Costing'!$C$4,2)</x:f>
        <x:v>2700</x:v>
      </x:c>
      <x:c r="N389" s="17" t="n">
        <x:f>L389+M389</x:f>
        <x:v>17700</x:v>
      </x:c>
      <x:c r="O389" s="12" t="str">
        <x:v>Mumbai</x:v>
      </x:c>
      <x:c r="P389" s="12" t="str">
        <x:v>CORP-0291</x:v>
      </x:c>
      <x:c r="Q389" s="12" t="str">
        <x:v>BOLT TECH</x:v>
      </x:c>
    </x:row>
    <x:row r="390" ht="48" customHeight="1">
      <x:c r="A390" s="2" t="str">
        <x:v>TEN-40919C846642</x:v>
      </x:c>
      <x:c r="B390" s="12" t="str">
        <x:v>Bombay Law Chambers</x:v>
      </x:c>
      <x:c r="C390" s="12" t="str">
        <x:v>Business / brand</x:v>
      </x:c>
      <x:c r="D390" s="12" t="str">
        <x:v>Professional services</x:v>
      </x:c>
      <x:c r="E390" s="12" t="str">
        <x:v>Business, marketing &amp; research services</x:v>
      </x:c>
      <x:c r="F390" s="12" t="str">
        <x:v>Small-scale prospects</x:v>
      </x:c>
      <x:c r="G390" s="12" t="str">
        <x:v>Professional service, agency or advisory model; small-scale prospect assumption.</x:v>
      </x:c>
      <x:c r="H390" s="11" t="n">
        <x:v>3</x:v>
      </x:c>
      <x:c r="I390" s="11" t="n">
        <x:v>3</x:v>
      </x:c>
      <x:c r="J390" s="11" t="n">
        <x:v>3</x:v>
      </x:c>
      <x:c r="K390" s="11" t="n">
        <x:v>0</x:v>
      </x:c>
      <x:c r="L390" s="17" t="n">
        <x:f>SUM(SUMIFS('Costing'!$P$9:$P$492,'Costing'!$A$9:$A$492,"PARTNER-M175"))</x:f>
        <x:v>120000</x:v>
      </x:c>
      <x:c r="M390" s="17" t="n">
        <x:f>ROUND(L390*'Costing'!$C$4,2)</x:f>
        <x:v>21600</x:v>
      </x:c>
      <x:c r="N390" s="17" t="n">
        <x:f>L390+M390</x:f>
        <x:v>141600</x:v>
      </x:c>
      <x:c r="O390" s="12" t="str">
        <x:v>Mumbai</x:v>
      </x:c>
      <x:c r="P390" s="12" t="str">
        <x:v>CORP-0592, CORP-0593, CORP-0594</x:v>
      </x:c>
      <x:c r="Q390" s="12" t="str">
        <x:v>Bombay Law Chambers</x:v>
      </x:c>
    </x:row>
    <x:row r="391" ht="48" customHeight="1">
      <x:c r="A391" s="2" t="str">
        <x:v>TEN-263FF83A24E8</x:v>
      </x:c>
      <x:c r="B391" s="12" t="str">
        <x:v>Bonito Designs Goregaon Mumbai</x:v>
      </x:c>
      <x:c r="C391" s="12" t="str">
        <x:v>Business / brand</x:v>
      </x:c>
      <x:c r="D391" s="12" t="str">
        <x:v>Professional services</x:v>
      </x:c>
      <x:c r="E391" s="12" t="str">
        <x:v>Architecture, interiors &amp; design</x:v>
      </x:c>
      <x:c r="F391" s="12" t="str">
        <x:v>Small-scale prospects</x:v>
      </x:c>
      <x:c r="G391" s="12" t="str">
        <x:v>Professional service, agency or advisory model; small-scale prospect assumption.</x:v>
      </x:c>
      <x:c r="H391" s="11" t="n">
        <x:v>1</x:v>
      </x:c>
      <x:c r="I391" s="11" t="n">
        <x:v>8</x:v>
      </x:c>
      <x:c r="J391" s="11" t="n">
        <x:v>8</x:v>
      </x:c>
      <x:c r="K391" s="11" t="n">
        <x:v>0</x:v>
      </x:c>
      <x:c r="L391" s="17" t="n">
        <x:f>SUM(SUMIFS('Costing'!$P$9:$P$492,'Costing'!$A$9:$A$492,"MAIN-356"))</x:f>
        <x:v>200000</x:v>
      </x:c>
      <x:c r="M391" s="17" t="n">
        <x:f>ROUND(L391*'Costing'!$C$4,2)</x:f>
        <x:v>36000</x:v>
      </x:c>
      <x:c r="N391" s="17" t="n">
        <x:f>L391+M391</x:f>
        <x:v>236000</x:v>
      </x:c>
      <x:c r="O391" s="12" t="str">
        <x:v>Mumbai</x:v>
      </x:c>
      <x:c r="P391" s="12" t="str">
        <x:v>CORP-0352</x:v>
      </x:c>
      <x:c r="Q391" s="12" t="str">
        <x:v>Bonito Designs Goregaon Mumbai</x:v>
      </x:c>
    </x:row>
    <x:row r="392" ht="48" customHeight="1">
      <x:c r="A392" s="2" t="str">
        <x:v>TEN-1A35D512D448</x:v>
      </x:c>
      <x:c r="B392" s="12" t="str">
        <x:v>Book MyT Software Technologies</x:v>
      </x:c>
      <x:c r="C392" s="12" t="str">
        <x:v>Business / brand</x:v>
      </x:c>
      <x:c r="D392" s="12" t="str">
        <x:v>IT &amp; digital</x:v>
      </x:c>
      <x:c r="E392" s="12" t="str">
        <x:v>Enterprise software &amp; digital engineering</x:v>
      </x:c>
      <x:c r="F392" s="12" t="str">
        <x:v>Small-scale prospects</x:v>
      </x:c>
      <x:c r="G392" s="12" t="str">
        <x:v>Software or technology-services business; small-scale prospect assumption.</x:v>
      </x:c>
      <x:c r="H392" s="11" t="n">
        <x:v>7</x:v>
      </x:c>
      <x:c r="I392" s="11" t="n">
        <x:v>7</x:v>
      </x:c>
      <x:c r="J392" s="11" t="n">
        <x:v>7</x:v>
      </x:c>
      <x:c r="K392" s="11" t="n">
        <x:v>0</x:v>
      </x:c>
      <x:c r="L392" s="17" t="n">
        <x:f>SUM(SUMIFS('Costing'!$P$9:$P$492,'Costing'!$A$9:$A$492,"PARTNER-M317"))</x:f>
        <x:v>280000</x:v>
      </x:c>
      <x:c r="M392" s="17" t="n">
        <x:f>ROUND(L392*'Costing'!$C$4,2)</x:f>
        <x:v>50400</x:v>
      </x:c>
      <x:c r="N392" s="17" t="n">
        <x:f>L392+M392</x:f>
        <x:v>330400</x:v>
      </x:c>
      <x:c r="O392" s="12" t="str">
        <x:v>Hyderabad</x:v>
      </x:c>
      <x:c r="P392" s="12" t="str">
        <x:v>CORP-0732, CORP-0733, CORP-0734, CORP-0735, CORP-0736, CORP-0737, CORP-0738</x:v>
      </x:c>
      <x:c r="Q392" s="12" t="str">
        <x:v>Book MyT Software Technologies</x:v>
      </x:c>
    </x:row>
    <x:row r="393" ht="48" customHeight="1">
      <x:c r="A393" s="2" t="str">
        <x:v>TEN-B157654CDD7A</x:v>
      </x:c>
      <x:c r="B393" s="12" t="str">
        <x:v>Bookmyartist</x:v>
      </x:c>
      <x:c r="C393" s="12" t="str">
        <x:v>Business / brand</x:v>
      </x:c>
      <x:c r="D393" s="12" t="str">
        <x:v>Trade, consumer &amp; logistics</x:v>
      </x:c>
      <x:c r="E393" s="12" t="str">
        <x:v>Entertainment, media &amp; events</x:v>
      </x:c>
      <x:c r="F393" s="12" t="str">
        <x:v>Small-scale prospects</x:v>
      </x:c>
      <x:c r="G393" s="12" t="str">
        <x:v>Trading or consumer-services business; small-scale prospect assumption.</x:v>
      </x:c>
      <x:c r="H393" s="11" t="n">
        <x:v>1</x:v>
      </x:c>
      <x:c r="I393" s="11" t="n">
        <x:v>1</x:v>
      </x:c>
      <x:c r="J393" s="11" t="n">
        <x:v>1</x:v>
      </x:c>
      <x:c r="K393" s="11" t="n">
        <x:v>0</x:v>
      </x:c>
      <x:c r="L393" s="17" t="n">
        <x:f>SUM(SUMIFS('Costing'!$P$9:$P$492,'Costing'!$A$9:$A$492,"MAIN-173"))</x:f>
        <x:v>15000</x:v>
      </x:c>
      <x:c r="M393" s="17" t="n">
        <x:f>ROUND(L393*'Costing'!$C$4,2)</x:f>
        <x:v>2700</x:v>
      </x:c>
      <x:c r="N393" s="17" t="n">
        <x:f>L393+M393</x:f>
        <x:v>17700</x:v>
      </x:c>
      <x:c r="O393" s="12" t="str">
        <x:v>Delhi NCR</x:v>
      </x:c>
      <x:c r="P393" s="12" t="str">
        <x:v>CORP-0169</x:v>
      </x:c>
      <x:c r="Q393" s="12" t="str">
        <x:v>Bookmyartist</x:v>
      </x:c>
    </x:row>
    <x:row r="394" ht="48" customHeight="1">
      <x:c r="A394" s="2" t="str">
        <x:v>TEN-B68573D869BB</x:v>
      </x:c>
      <x:c r="B394" s="12" t="str">
        <x:v>BoopinCommunications Pvt. ltd</x:v>
      </x:c>
      <x:c r="C394" s="12" t="str">
        <x:v>Business / brand</x:v>
      </x:c>
      <x:c r="D394" s="12" t="str">
        <x:v>Professional services</x:v>
      </x:c>
      <x:c r="E394" s="12" t="str">
        <x:v>Marketing, media &amp; research services</x:v>
      </x:c>
      <x:c r="F394" s="12" t="str">
        <x:v>Small-scale prospects</x:v>
      </x:c>
      <x:c r="G394" s="12" t="str">
        <x:v>Professional service, agency or advisory model; small-scale prospect assumption.</x:v>
      </x:c>
      <x:c r="H394" s="11" t="n">
        <x:v>1</x:v>
      </x:c>
      <x:c r="I394" s="11" t="n">
        <x:v>5</x:v>
      </x:c>
      <x:c r="J394" s="11" t="n">
        <x:v>5</x:v>
      </x:c>
      <x:c r="K394" s="11" t="n">
        <x:v>0</x:v>
      </x:c>
      <x:c r="L394" s="17" t="n">
        <x:f>SUM(SUMIFS('Costing'!$P$9:$P$492,'Costing'!$A$9:$A$492,"MAIN-025"))</x:f>
        <x:v>75000</x:v>
      </x:c>
      <x:c r="M394" s="17" t="n">
        <x:f>ROUND(L394*'Costing'!$C$4,2)</x:f>
        <x:v>13500</x:v>
      </x:c>
      <x:c r="N394" s="17" t="n">
        <x:f>L394+M394</x:f>
        <x:v>88500</x:v>
      </x:c>
      <x:c r="O394" s="12" t="str">
        <x:v>Bengaluru</x:v>
      </x:c>
      <x:c r="P394" s="12" t="str">
        <x:v>CORP-0021</x:v>
      </x:c>
      <x:c r="Q394" s="12" t="str">
        <x:v>BoopinCommunications Pvt. ltd</x:v>
      </x:c>
    </x:row>
    <x:row r="395" ht="48" customHeight="1">
      <x:c r="A395" s="2" t="str">
        <x:v>TEN-2E1A93A8B010</x:v>
      </x:c>
      <x:c r="B395" s="12" t="str">
        <x:v>Borqs Software Solutions</x:v>
      </x:c>
      <x:c r="C395" s="12" t="str">
        <x:v>Business / brand</x:v>
      </x:c>
      <x:c r="D395" s="12" t="str">
        <x:v>IT &amp; digital</x:v>
      </x:c>
      <x:c r="E395" s="12" t="str">
        <x:v>Enterprise software &amp; digital engineering</x:v>
      </x:c>
      <x:c r="F395" s="12" t="str">
        <x:v>Small-scale prospects</x:v>
      </x:c>
      <x:c r="G395" s="12" t="str">
        <x:v>Software or technology-services business; small-scale prospect assumption.</x:v>
      </x:c>
      <x:c r="H395" s="11" t="n">
        <x:v>9</x:v>
      </x:c>
      <x:c r="I395" s="11" t="n">
        <x:v>9</x:v>
      </x:c>
      <x:c r="J395" s="11" t="n">
        <x:v>9</x:v>
      </x:c>
      <x:c r="K395" s="11" t="n">
        <x:v>0</x:v>
      </x:c>
      <x:c r="L395" s="17" t="n">
        <x:f>SUM(SUMIFS('Costing'!$P$9:$P$492,'Costing'!$A$9:$A$492,"MAIN-073"),SUMIFS('Costing'!$P$9:$P$492,'Costing'!$A$9:$A$492,"PARTNER-M100"))</x:f>
        <x:v>360000</x:v>
      </x:c>
      <x:c r="M395" s="17" t="n">
        <x:f>ROUND(L395*'Costing'!$C$4,2)</x:f>
        <x:v>64800</x:v>
      </x:c>
      <x:c r="N395" s="17" t="n">
        <x:f>L395+M395</x:f>
        <x:v>424800</x:v>
      </x:c>
      <x:c r="O395" s="12" t="str">
        <x:v>Bengaluru</x:v>
      </x:c>
      <x:c r="P395" s="12" t="str">
        <x:v>CORP-0069, CORP-0518, CORP-0519, CORP-0520, CORP-0521, CORP-0522, CORP-0523, CORP-0524, CORP-0525</x:v>
      </x:c>
      <x:c r="Q395" s="12" t="str">
        <x:v>Borqs Software Solutions</x:v>
      </x:c>
    </x:row>
    <x:row r="396" ht="48" customHeight="1">
      <x:c r="A396" s="2" t="str">
        <x:v>TEN-0600C79833CC</x:v>
      </x:c>
      <x:c r="B396" s="12" t="str">
        <x:v>BOSCH</x:v>
      </x:c>
      <x:c r="C396" s="12" t="str">
        <x:v>Business / brand</x:v>
      </x:c>
      <x:c r="D396" s="12" t="str">
        <x:v>Engineering &amp; manufacturing</x:v>
      </x:c>
      <x:c r="E396" s="12" t="str">
        <x:v>Engineering/manufacturing — specialty unverified</x:v>
      </x:c>
      <x:c r="F396" s="12" t="str">
        <x:v>Large enterprise</x:v>
      </x:c>
      <x:c r="G396" s="12" t="str">
        <x:v>Explicit Bosch enterprise-family context; see ENTERPRISE_SUPP_005 evidence.</x:v>
      </x:c>
      <x:c r="H396" s="11" t="n">
        <x:v>1</x:v>
      </x:c>
      <x:c r="I396" s="11" t="n">
        <x:v>2</x:v>
      </x:c>
      <x:c r="J396" s="11" t="n">
        <x:v>2</x:v>
      </x:c>
      <x:c r="K396" s="11" t="n">
        <x:v>0</x:v>
      </x:c>
      <x:c r="L396" s="17" t="n">
        <x:f>SUM(SUMIFS('Costing'!$P$9:$P$492,'Costing'!$A$9:$A$492,"MAIN-268"))</x:f>
        <x:v>80000</x:v>
      </x:c>
      <x:c r="M396" s="17" t="n">
        <x:f>ROUND(L396*'Costing'!$C$4,2)</x:f>
        <x:v>14400</x:v>
      </x:c>
      <x:c r="N396" s="17" t="n">
        <x:f>L396+M396</x:f>
        <x:v>94400</x:v>
      </x:c>
      <x:c r="O396" s="12" t="str">
        <x:v>Indore</x:v>
      </x:c>
      <x:c r="P396" s="12" t="str">
        <x:v>CORP-0264</x:v>
      </x:c>
      <x:c r="Q396" s="12" t="str">
        <x:v>BOSCH</x:v>
      </x:c>
    </x:row>
    <x:row r="397" ht="48" customHeight="1">
      <x:c r="A397" s="2" t="str">
        <x:v>TEN-CC1BF7890031</x:v>
      </x:c>
      <x:c r="B397" s="12" t="str">
        <x:v>Bosch Global Software Technologies</x:v>
      </x:c>
      <x:c r="C397" s="12" t="str">
        <x:v>Business / brand</x:v>
      </x:c>
      <x:c r="D397" s="12" t="str">
        <x:v>Engineering &amp; manufacturing</x:v>
      </x:c>
      <x:c r="E397" s="12" t="str">
        <x:v>Engineering/manufacturing — specialty unverified</x:v>
      </x:c>
      <x:c r="F397" s="12" t="str">
        <x:v>Large enterprise</x:v>
      </x:c>
      <x:c r="G397" s="12" t="str">
        <x:v>Explicit Bosch enterprise-family context; see ENTERPRISE_SUPP_005 evidence.</x:v>
      </x:c>
      <x:c r="H397" s="11" t="n">
        <x:v>1</x:v>
      </x:c>
      <x:c r="I397" s="11" t="n">
        <x:v>5</x:v>
      </x:c>
      <x:c r="J397" s="11" t="n">
        <x:v>5</x:v>
      </x:c>
      <x:c r="K397" s="11" t="n">
        <x:v>0</x:v>
      </x:c>
      <x:c r="L397" s="17" t="n">
        <x:f>SUM(SUMIFS('Costing'!$P$9:$P$492,'Costing'!$A$9:$A$492,"MAIN-062"))</x:f>
        <x:v>200000</x:v>
      </x:c>
      <x:c r="M397" s="17" t="n">
        <x:f>ROUND(L397*'Costing'!$C$4,2)</x:f>
        <x:v>36000</x:v>
      </x:c>
      <x:c r="N397" s="17" t="n">
        <x:f>L397+M397</x:f>
        <x:v>236000</x:v>
      </x:c>
      <x:c r="O397" s="12" t="str">
        <x:v>Bengaluru</x:v>
      </x:c>
      <x:c r="P397" s="12" t="str">
        <x:v>CORP-0058</x:v>
      </x:c>
      <x:c r="Q397" s="12" t="str">
        <x:v>Bosch Global Software Technologies</x:v>
      </x:c>
    </x:row>
    <x:row r="398" ht="48" customHeight="1">
      <x:c r="A398" s="2" t="str">
        <x:v>TEN-8BB4D44E4590</x:v>
      </x:c>
      <x:c r="B398" s="12" t="str">
        <x:v>Bosch Ltd</x:v>
      </x:c>
      <x:c r="C398" s="12" t="str">
        <x:v>Business / brand</x:v>
      </x:c>
      <x:c r="D398" s="12" t="str">
        <x:v>Engineering &amp; manufacturing</x:v>
      </x:c>
      <x:c r="E398" s="12" t="str">
        <x:v>Engineering/manufacturing — specialty unverified</x:v>
      </x:c>
      <x:c r="F398" s="12" t="str">
        <x:v>Large enterprise</x:v>
      </x:c>
      <x:c r="G398" s="12" t="str">
        <x:v>Explicit Bosch enterprise-family context; see ENTERPRISE_SUPP_005 evidence.</x:v>
      </x:c>
      <x:c r="H398" s="11" t="n">
        <x:v>1</x:v>
      </x:c>
      <x:c r="I398" s="11" t="n">
        <x:v>2</x:v>
      </x:c>
      <x:c r="J398" s="11" t="n">
        <x:v>2</x:v>
      </x:c>
      <x:c r="K398" s="11" t="n">
        <x:v>0</x:v>
      </x:c>
      <x:c r="L398" s="17" t="n">
        <x:f>SUM(SUMIFS('Costing'!$P$9:$P$492,'Costing'!$A$9:$A$492,"MAIN-201"))</x:f>
        <x:v>80000</x:v>
      </x:c>
      <x:c r="M398" s="17" t="n">
        <x:f>ROUND(L398*'Costing'!$C$4,2)</x:f>
        <x:v>14400</x:v>
      </x:c>
      <x:c r="N398" s="17" t="n">
        <x:f>L398+M398</x:f>
        <x:v>94400</x:v>
      </x:c>
      <x:c r="O398" s="12" t="str">
        <x:v>Delhi NCR</x:v>
      </x:c>
      <x:c r="P398" s="12" t="str">
        <x:v>CORP-0197</x:v>
      </x:c>
      <x:c r="Q398" s="12" t="str">
        <x:v>Bosch Ltd</x:v>
      </x:c>
    </x:row>
    <x:row r="399" ht="48" customHeight="1">
      <x:c r="A399" s="2" t="str">
        <x:v>TEN-A37CB298D632</x:v>
      </x:c>
      <x:c r="B399" s="12" t="str">
        <x:v>Boston Business Solutions Pvt.Ltd</x:v>
      </x:c>
      <x:c r="C399" s="12" t="str">
        <x:v>Business / brand</x:v>
      </x:c>
      <x:c r="D399" s="12" t="str">
        <x:v>Unresolved</x:v>
      </x:c>
      <x:c r="E399" s="12" t="str">
        <x:v>Business activity not established</x:v>
      </x:c>
      <x:c r="F399" s="12" t="str">
        <x:v>Mixed business audience</x:v>
      </x:c>
      <x:c r="G399" s="12" t="str">
        <x:v>Business activity and company scale are not established from this name.</x:v>
      </x:c>
      <x:c r="H399" s="11" t="n">
        <x:v>1</x:v>
      </x:c>
      <x:c r="I399" s="11" t="n">
        <x:v>3</x:v>
      </x:c>
      <x:c r="J399" s="11" t="n">
        <x:v>3</x:v>
      </x:c>
      <x:c r="K399" s="11" t="n">
        <x:v>0</x:v>
      </x:c>
      <x:c r="L399" s="17" t="n">
        <x:f>SUM(SUMIFS('Costing'!$P$9:$P$492,'Costing'!$A$9:$A$492,"MAIN-029"))</x:f>
        <x:v>45000</x:v>
      </x:c>
      <x:c r="M399" s="17" t="n">
        <x:f>ROUND(L399*'Costing'!$C$4,2)</x:f>
        <x:v>8100</x:v>
      </x:c>
      <x:c r="N399" s="17" t="n">
        <x:f>L399+M399</x:f>
        <x:v>53100</x:v>
      </x:c>
      <x:c r="O399" s="12" t="str">
        <x:v>Bengaluru</x:v>
      </x:c>
      <x:c r="P399" s="12" t="str">
        <x:v>CORP-0025</x:v>
      </x:c>
      <x:c r="Q399" s="12" t="str">
        <x:v>Boston Business Solutions Pvt.Ltd</x:v>
      </x:c>
    </x:row>
    <x:row r="400" ht="48" customHeight="1">
      <x:c r="A400" s="2" t="str">
        <x:v>TEN-F95278102ACA</x:v>
      </x:c>
      <x:c r="B400" s="12" t="str">
        <x:v>BOTHRA PROPERTIES</x:v>
      </x:c>
      <x:c r="C400" s="12" t="str">
        <x:v>Business / brand</x:v>
      </x:c>
      <x:c r="D400" s="12" t="str">
        <x:v>Trade, consumer &amp; logistics</x:v>
      </x:c>
      <x:c r="E400" s="12" t="str">
        <x:v>Real estate, property &amp; construction services</x:v>
      </x:c>
      <x:c r="F400" s="12" t="str">
        <x:v>Small-scale prospects</x:v>
      </x:c>
      <x:c r="G400" s="12" t="str">
        <x:v>Trading or consumer-services business; small-scale prospect assumption.</x:v>
      </x:c>
      <x:c r="H400" s="11" t="n">
        <x:v>1</x:v>
      </x:c>
      <x:c r="I400" s="11" t="n">
        <x:v>26</x:v>
      </x:c>
      <x:c r="J400" s="11" t="n">
        <x:v>26</x:v>
      </x:c>
      <x:c r="K400" s="11" t="n">
        <x:v>0</x:v>
      </x:c>
      <x:c r="L400" s="17" t="n">
        <x:f>SUM(SUMIFS('Costing'!$P$9:$P$492,'Costing'!$A$9:$A$492,"MAIN-342"))</x:f>
        <x:v>390000</x:v>
      </x:c>
      <x:c r="M400" s="17" t="n">
        <x:f>ROUND(L400*'Costing'!$C$4,2)</x:f>
        <x:v>70200</x:v>
      </x:c>
      <x:c r="N400" s="17" t="n">
        <x:f>L400+M400</x:f>
        <x:v>460200</x:v>
      </x:c>
      <x:c r="O400" s="12" t="str">
        <x:v>Mumbai</x:v>
      </x:c>
      <x:c r="P400" s="12" t="str">
        <x:v>CORP-0338</x:v>
      </x:c>
      <x:c r="Q400" s="12" t="str">
        <x:v>BOTHRA PROPERTIES</x:v>
      </x:c>
    </x:row>
    <x:row r="401" ht="48" customHeight="1">
      <x:c r="A401" s="2" t="str">
        <x:v>TEN-59685FB62EA9</x:v>
      </x:c>
      <x:c r="B401" s="12" t="str">
        <x:v>Bottomline</x:v>
      </x:c>
      <x:c r="C401" s="12" t="str">
        <x:v>Business / brand</x:v>
      </x:c>
      <x:c r="D401" s="12" t="str">
        <x:v>IT &amp; digital</x:v>
      </x:c>
      <x:c r="E401" s="12" t="str">
        <x:v>Enterprise software &amp; digital engineering</x:v>
      </x:c>
      <x:c r="F401" s="12" t="str">
        <x:v>Mixed business audience</x:v>
      </x:c>
      <x:c r="G401" s="12" t="str">
        <x:v>Established brand or business network; local company scale is not established. Use a mixed-business message.</x:v>
      </x:c>
      <x:c r="H401" s="11" t="n">
        <x:v>8</x:v>
      </x:c>
      <x:c r="I401" s="11" t="n">
        <x:v>8</x:v>
      </x:c>
      <x:c r="J401" s="11" t="n">
        <x:v>8</x:v>
      </x:c>
      <x:c r="K401" s="11" t="n">
        <x:v>0</x:v>
      </x:c>
      <x:c r="L401" s="17" t="n">
        <x:f>SUM(SUMIFS('Costing'!$P$9:$P$492,'Costing'!$A$9:$A$492,"PARTNER-M138"))</x:f>
        <x:v>320000</x:v>
      </x:c>
      <x:c r="M401" s="17" t="n">
        <x:f>ROUND(L401*'Costing'!$C$4,2)</x:f>
        <x:v>57600</x:v>
      </x:c>
      <x:c r="N401" s="17" t="n">
        <x:f>L401+M401</x:f>
        <x:v>377600</x:v>
      </x:c>
      <x:c r="O401" s="12" t="str">
        <x:v>Bengaluru</x:v>
      </x:c>
      <x:c r="P401" s="12" t="str">
        <x:v>CORP-0556, CORP-0557, CORP-0558, CORP-0559, CORP-0560, CORP-0561, CORP-0562, CORP-0563</x:v>
      </x:c>
      <x:c r="Q401" s="12" t="str">
        <x:v>Bottomline</x:v>
      </x:c>
    </x:row>
    <x:row r="402" ht="48" customHeight="1">
      <x:c r="A402" s="2" t="str">
        <x:v>TEN-D4F5F3367894</x:v>
      </x:c>
      <x:c r="B402" s="12" t="str">
        <x:v>Boxally</x:v>
      </x:c>
      <x:c r="C402" s="12" t="str">
        <x:v>Business / brand</x:v>
      </x:c>
      <x:c r="D402" s="12" t="str">
        <x:v>Unresolved</x:v>
      </x:c>
      <x:c r="E402" s="12" t="str">
        <x:v>Business activity not established</x:v>
      </x:c>
      <x:c r="F402" s="12" t="str">
        <x:v>Mixed business audience</x:v>
      </x:c>
      <x:c r="G402" s="12" t="str">
        <x:v>Business activity and company scale are not established from this name.</x:v>
      </x:c>
      <x:c r="H402" s="11" t="n">
        <x:v>1</x:v>
      </x:c>
      <x:c r="I402" s="11" t="n">
        <x:v>2</x:v>
      </x:c>
      <x:c r="J402" s="11" t="n">
        <x:v>2</x:v>
      </x:c>
      <x:c r="K402" s="11" t="n">
        <x:v>0</x:v>
      </x:c>
      <x:c r="L402" s="17" t="n">
        <x:f>SUM(SUMIFS('Costing'!$P$9:$P$492,'Costing'!$A$9:$A$492,"MAIN-288"))</x:f>
        <x:v>40000</x:v>
      </x:c>
      <x:c r="M402" s="17" t="n">
        <x:f>ROUND(L402*'Costing'!$C$4,2)</x:f>
        <x:v>7200</x:v>
      </x:c>
      <x:c r="N402" s="17" t="n">
        <x:f>L402+M402</x:f>
        <x:v>47200</x:v>
      </x:c>
      <x:c r="O402" s="12" t="str">
        <x:v>Lucknow</x:v>
      </x:c>
      <x:c r="P402" s="12" t="str">
        <x:v>CORP-0284</x:v>
      </x:c>
      <x:c r="Q402" s="12" t="str">
        <x:v>Boxally</x:v>
      </x:c>
    </x:row>
    <x:row r="403" ht="48" customHeight="1">
      <x:c r="A403" s="2" t="str">
        <x:v>TEN-A7E1C1C99457</x:v>
      </x:c>
      <x:c r="B403" s="12" t="str">
        <x:v>BR Bang</x:v>
      </x:c>
      <x:c r="C403" s="12" t="str">
        <x:v>Business / brand</x:v>
      </x:c>
      <x:c r="D403" s="12" t="str">
        <x:v>Unresolved</x:v>
      </x:c>
      <x:c r="E403" s="12" t="str">
        <x:v>Business activity not established</x:v>
      </x:c>
      <x:c r="F403" s="12" t="str">
        <x:v>Mixed business audience</x:v>
      </x:c>
      <x:c r="G403" s="12" t="str">
        <x:v>Business activity and company scale are not established from this name.</x:v>
      </x:c>
      <x:c r="H403" s="11" t="n">
        <x:v>1</x:v>
      </x:c>
      <x:c r="I403" s="11" t="n">
        <x:v>2</x:v>
      </x:c>
      <x:c r="J403" s="11" t="n">
        <x:v>2</x:v>
      </x:c>
      <x:c r="K403" s="11" t="n">
        <x:v>0</x:v>
      </x:c>
      <x:c r="L403" s="17" t="n">
        <x:f>SUM(SUMIFS('Costing'!$P$9:$P$492,'Costing'!$A$9:$A$492,"MAIN-268"))</x:f>
        <x:v>80000</x:v>
      </x:c>
      <x:c r="M403" s="17" t="n">
        <x:f>ROUND(L403*'Costing'!$C$4,2)</x:f>
        <x:v>14400</x:v>
      </x:c>
      <x:c r="N403" s="17" t="n">
        <x:f>L403+M403</x:f>
        <x:v>94400</x:v>
      </x:c>
      <x:c r="O403" s="12" t="str">
        <x:v>Indore</x:v>
      </x:c>
      <x:c r="P403" s="12" t="str">
        <x:v>CORP-0264</x:v>
      </x:c>
      <x:c r="Q403" s="12" t="str">
        <x:v>BR Bang</x:v>
      </x:c>
    </x:row>
    <x:row r="404" ht="48" customHeight="1">
      <x:c r="A404" s="2" t="str">
        <x:v>TEN-C534FF89F340</x:v>
      </x:c>
      <x:c r="B404" s="12" t="str">
        <x:v>Brady Company India Pvt. Ltd</x:v>
      </x:c>
      <x:c r="C404" s="12" t="str">
        <x:v>Business / brand</x:v>
      </x:c>
      <x:c r="D404" s="12" t="str">
        <x:v>Engineering &amp; manufacturing</x:v>
      </x:c>
      <x:c r="E404" s="12" t="str">
        <x:v>Chemicals, materials &amp; industrial manufacturing</x:v>
      </x:c>
      <x:c r="F404" s="12" t="str">
        <x:v>Mixed business audience</x:v>
      </x:c>
      <x:c r="G404" s="12" t="str">
        <x:v>Recognisable business context; company-scale evidence remains insufficient for a single size band.</x:v>
      </x:c>
      <x:c r="H404" s="11" t="n">
        <x:v>5</x:v>
      </x:c>
      <x:c r="I404" s="11" t="n">
        <x:v>5</x:v>
      </x:c>
      <x:c r="J404" s="11" t="n">
        <x:v>5</x:v>
      </x:c>
      <x:c r="K404" s="11" t="n">
        <x:v>0</x:v>
      </x:c>
      <x:c r="L404" s="17" t="n">
        <x:f>SUM(SUMIFS('Costing'!$P$9:$P$492,'Costing'!$A$9:$A$492,"PARTNER-M034"))</x:f>
        <x:v>200000</x:v>
      </x:c>
      <x:c r="M404" s="17" t="n">
        <x:f>ROUND(L404*'Costing'!$C$4,2)</x:f>
        <x:v>36000</x:v>
      </x:c>
      <x:c r="N404" s="17" t="n">
        <x:f>L404+M404</x:f>
        <x:v>236000</x:v>
      </x:c>
      <x:c r="O404" s="12" t="str">
        <x:v>Bengaluru</x:v>
      </x:c>
      <x:c r="P404" s="12" t="str">
        <x:v>CORP-0452, CORP-0453, CORP-0454, CORP-0455, CORP-0456</x:v>
      </x:c>
      <x:c r="Q404" s="12" t="str">
        <x:v>Brady Company India Pvt. Ltd</x:v>
      </x:c>
    </x:row>
    <x:row r="405" ht="48" customHeight="1">
      <x:c r="A405" s="2" t="str">
        <x:v>TEN-18A174B5F51D</x:v>
      </x:c>
      <x:c r="B405" s="12" t="str">
        <x:v>Bramasol</x:v>
      </x:c>
      <x:c r="C405" s="12" t="str">
        <x:v>Business / brand</x:v>
      </x:c>
      <x:c r="D405" s="12" t="str">
        <x:v>IT &amp; digital</x:v>
      </x:c>
      <x:c r="E405" s="12" t="str">
        <x:v>Enterprise software &amp; digital engineering</x:v>
      </x:c>
      <x:c r="F405" s="12" t="str">
        <x:v>Small-scale prospects</x:v>
      </x:c>
      <x:c r="G405" s="12" t="str">
        <x:v>Software or technology-services business; small-scale prospect assumption.</x:v>
      </x:c>
      <x:c r="H405" s="11" t="n">
        <x:v>1</x:v>
      </x:c>
      <x:c r="I405" s="11" t="n">
        <x:v>3</x:v>
      </x:c>
      <x:c r="J405" s="11" t="n">
        <x:v>3</x:v>
      </x:c>
      <x:c r="K405" s="11" t="n">
        <x:v>0</x:v>
      </x:c>
      <x:c r="L405" s="17" t="n">
        <x:f>SUM(SUMIFS('Costing'!$P$9:$P$492,'Costing'!$A$9:$A$492,"MAIN-422"))</x:f>
        <x:v>45000</x:v>
      </x:c>
      <x:c r="M405" s="17" t="n">
        <x:f>ROUND(L405*'Costing'!$C$4,2)</x:f>
        <x:v>8100</x:v>
      </x:c>
      <x:c r="N405" s="17" t="n">
        <x:f>L405+M405</x:f>
        <x:v>53100</x:v>
      </x:c>
      <x:c r="O405" s="12" t="str">
        <x:v>Pune</x:v>
      </x:c>
      <x:c r="P405" s="12" t="str">
        <x:v>CORP-0418</x:v>
      </x:c>
      <x:c r="Q405" s="12" t="str">
        <x:v>Bramasol</x:v>
      </x:c>
    </x:row>
    <x:row r="406" ht="48" customHeight="1">
      <x:c r="A406" s="2" t="str">
        <x:v>TEN-CB5214A112D9</x:v>
      </x:c>
      <x:c r="B406" s="12" t="str">
        <x:v>Brand Studios (Atlas Copco Group)</x:v>
      </x:c>
      <x:c r="C406" s="12" t="str">
        <x:v>Business / brand</x:v>
      </x:c>
      <x:c r="D406" s="12" t="str">
        <x:v>Engineering &amp; manufacturing</x:v>
      </x:c>
      <x:c r="E406" s="12" t="str">
        <x:v>Chemicals, materials &amp; industrial manufacturing</x:v>
      </x:c>
      <x:c r="F406" s="12" t="str">
        <x:v>Mixed business audience</x:v>
      </x:c>
      <x:c r="G406" s="12" t="str">
        <x:v>Established brand or business network; local company scale is not established. Use a mixed-business message.</x:v>
      </x:c>
      <x:c r="H406" s="11" t="n">
        <x:v>1</x:v>
      </x:c>
      <x:c r="I406" s="11" t="n">
        <x:v>2</x:v>
      </x:c>
      <x:c r="J406" s="11" t="n">
        <x:v>2</x:v>
      </x:c>
      <x:c r="K406" s="11" t="n">
        <x:v>0</x:v>
      </x:c>
      <x:c r="L406" s="17" t="n">
        <x:f>SUM(SUMIFS('Costing'!$P$9:$P$492,'Costing'!$A$9:$A$492,"MAIN-388"))</x:f>
        <x:v>30000</x:v>
      </x:c>
      <x:c r="M406" s="17" t="n">
        <x:f>ROUND(L406*'Costing'!$C$4,2)</x:f>
        <x:v>5400</x:v>
      </x:c>
      <x:c r="N406" s="17" t="n">
        <x:f>L406+M406</x:f>
        <x:v>35400</x:v>
      </x:c>
      <x:c r="O406" s="12" t="str">
        <x:v>Pune</x:v>
      </x:c>
      <x:c r="P406" s="12" t="str">
        <x:v>CORP-0384</x:v>
      </x:c>
      <x:c r="Q406" s="12" t="str">
        <x:v>Brand Studios (Atlas Copco Group), Brand Studios- Atlas Copco Group</x:v>
      </x:c>
    </x:row>
    <x:row r="407" ht="48" customHeight="1">
      <x:c r="A407" s="2" t="str">
        <x:v>TEN-BB53FE43D8A6</x:v>
      </x:c>
      <x:c r="B407" s="12" t="str">
        <x:v>Brandmovers India</x:v>
      </x:c>
      <x:c r="C407" s="12" t="str">
        <x:v>Business / brand</x:v>
      </x:c>
      <x:c r="D407" s="12" t="str">
        <x:v>Professional services</x:v>
      </x:c>
      <x:c r="E407" s="12" t="str">
        <x:v>Business, marketing &amp; research services</x:v>
      </x:c>
      <x:c r="F407" s="12" t="str">
        <x:v>Small-scale prospects</x:v>
      </x:c>
      <x:c r="G407" s="12" t="str">
        <x:v>Professional service, agency or advisory model; small-scale prospect assumption.</x:v>
      </x:c>
      <x:c r="H407" s="11" t="n">
        <x:v>1</x:v>
      </x:c>
      <x:c r="I407" s="11" t="n">
        <x:v>2</x:v>
      </x:c>
      <x:c r="J407" s="11" t="n">
        <x:v>2</x:v>
      </x:c>
      <x:c r="K407" s="11" t="n">
        <x:v>0</x:v>
      </x:c>
      <x:c r="L407" s="17" t="n">
        <x:f>SUM(SUMIFS('Costing'!$P$9:$P$492,'Costing'!$A$9:$A$492,"MAIN-318"))</x:f>
        <x:v>30000</x:v>
      </x:c>
      <x:c r="M407" s="17" t="n">
        <x:f>ROUND(L407*'Costing'!$C$4,2)</x:f>
        <x:v>5400</x:v>
      </x:c>
      <x:c r="N407" s="17" t="n">
        <x:f>L407+M407</x:f>
        <x:v>35400</x:v>
      </x:c>
      <x:c r="O407" s="12" t="str">
        <x:v>Mumbai</x:v>
      </x:c>
      <x:c r="P407" s="12" t="str">
        <x:v>CORP-0314</x:v>
      </x:c>
      <x:c r="Q407" s="12" t="str">
        <x:v>Brandmovers India</x:v>
      </x:c>
    </x:row>
    <x:row r="408" ht="48" customHeight="1">
      <x:c r="A408" s="2" t="str">
        <x:v>TEN-4AEC6EEBDC4E</x:v>
      </x:c>
      <x:c r="B408" s="12" t="str">
        <x:v>Brandzindia Services Private Limited</x:v>
      </x:c>
      <x:c r="C408" s="12" t="str">
        <x:v>Business / brand</x:v>
      </x:c>
      <x:c r="D408" s="12" t="str">
        <x:v>Professional services</x:v>
      </x:c>
      <x:c r="E408" s="12" t="str">
        <x:v>Business, marketing &amp; research services</x:v>
      </x:c>
      <x:c r="F408" s="12" t="str">
        <x:v>Small-scale prospects</x:v>
      </x:c>
      <x:c r="G408" s="12" t="str">
        <x:v>Professional service, agency or advisory model; small-scale prospect assumption.</x:v>
      </x:c>
      <x:c r="H408" s="11" t="n">
        <x:v>1</x:v>
      </x:c>
      <x:c r="I408" s="11" t="n">
        <x:v>6</x:v>
      </x:c>
      <x:c r="J408" s="11" t="n">
        <x:v>6</x:v>
      </x:c>
      <x:c r="K408" s="11" t="n">
        <x:v>0</x:v>
      </x:c>
      <x:c r="L408" s="17" t="n">
        <x:f>SUM(SUMIFS('Costing'!$P$9:$P$492,'Costing'!$A$9:$A$492,"MAIN-373"))</x:f>
        <x:v>240000</x:v>
      </x:c>
      <x:c r="M408" s="17" t="n">
        <x:f>ROUND(L408*'Costing'!$C$4,2)</x:f>
        <x:v>43200</x:v>
      </x:c>
      <x:c r="N408" s="17" t="n">
        <x:f>L408+M408</x:f>
        <x:v>283200</x:v>
      </x:c>
      <x:c r="O408" s="12" t="str">
        <x:v>Delhi NCR</x:v>
      </x:c>
      <x:c r="P408" s="12" t="str">
        <x:v>CORP-0369</x:v>
      </x:c>
      <x:c r="Q408" s="12" t="str">
        <x:v>Brandzindia Services Private Limited</x:v>
      </x:c>
    </x:row>
    <x:row r="409" ht="48" customHeight="1">
      <x:c r="A409" s="2" t="str">
        <x:v>TEN-7488A822E29F</x:v>
      </x:c>
      <x:c r="B409" s="12" t="str">
        <x:v>Bricstal Group</x:v>
      </x:c>
      <x:c r="C409" s="12" t="str">
        <x:v>Business / brand</x:v>
      </x:c>
      <x:c r="D409" s="12" t="str">
        <x:v>Unresolved</x:v>
      </x:c>
      <x:c r="E409" s="12" t="str">
        <x:v>Business activity not established</x:v>
      </x:c>
      <x:c r="F409" s="12" t="str">
        <x:v>Mixed business audience</x:v>
      </x:c>
      <x:c r="G409" s="12" t="str">
        <x:v>Business activity and company scale are not established from this name.</x:v>
      </x:c>
      <x:c r="H409" s="11" t="n">
        <x:v>1</x:v>
      </x:c>
      <x:c r="I409" s="11" t="n">
        <x:v>2</x:v>
      </x:c>
      <x:c r="J409" s="11" t="n">
        <x:v>2</x:v>
      </x:c>
      <x:c r="K409" s="11" t="n">
        <x:v>0</x:v>
      </x:c>
      <x:c r="L409" s="17" t="n">
        <x:f>SUM(SUMIFS('Costing'!$P$9:$P$492,'Costing'!$A$9:$A$492,"MAIN-118"))</x:f>
        <x:v>50000</x:v>
      </x:c>
      <x:c r="M409" s="17" t="n">
        <x:f>ROUND(L409*'Costing'!$C$4,2)</x:f>
        <x:v>9000</x:v>
      </x:c>
      <x:c r="N409" s="17" t="n">
        <x:f>L409+M409</x:f>
        <x:v>59000</x:v>
      </x:c>
      <x:c r="O409" s="12" t="str">
        <x:v>Bengaluru</x:v>
      </x:c>
      <x:c r="P409" s="12" t="str">
        <x:v>CORP-0114</x:v>
      </x:c>
      <x:c r="Q409" s="12" t="str">
        <x:v>Bricstal Group</x:v>
      </x:c>
    </x:row>
    <x:row r="410" ht="48" customHeight="1">
      <x:c r="A410" s="2" t="str">
        <x:v>TEN-9FB259296B34</x:v>
      </x:c>
      <x:c r="B410" s="12" t="str">
        <x:v>Bridgei2i Analytics Solutions</x:v>
      </x:c>
      <x:c r="C410" s="12" t="str">
        <x:v>Business / brand</x:v>
      </x:c>
      <x:c r="D410" s="12" t="str">
        <x:v>IT &amp; digital</x:v>
      </x:c>
      <x:c r="E410" s="12" t="str">
        <x:v>AI, data &amp; analytics</x:v>
      </x:c>
      <x:c r="F410" s="12" t="str">
        <x:v>Mixed business audience</x:v>
      </x:c>
      <x:c r="G410" s="12" t="str">
        <x:v>Established brand or business network; local company scale is not established. Use a mixed-business message.</x:v>
      </x:c>
      <x:c r="H410" s="11" t="n">
        <x:v>6</x:v>
      </x:c>
      <x:c r="I410" s="11" t="n">
        <x:v>6</x:v>
      </x:c>
      <x:c r="J410" s="11" t="n">
        <x:v>6</x:v>
      </x:c>
      <x:c r="K410" s="11" t="n">
        <x:v>0</x:v>
      </x:c>
      <x:c r="L410" s="17" t="n">
        <x:f>SUM(SUMIFS('Costing'!$P$9:$P$492,'Costing'!$A$9:$A$492,"PARTNER-M072"))</x:f>
        <x:v>240000</x:v>
      </x:c>
      <x:c r="M410" s="17" t="n">
        <x:f>ROUND(L410*'Costing'!$C$4,2)</x:f>
        <x:v>43200</x:v>
      </x:c>
      <x:c r="N410" s="17" t="n">
        <x:f>L410+M410</x:f>
        <x:v>283200</x:v>
      </x:c>
      <x:c r="O410" s="12" t="str">
        <x:v>Bengaluru</x:v>
      </x:c>
      <x:c r="P410" s="12" t="str">
        <x:v>CORP-0490, CORP-0491, CORP-0492, CORP-0493, CORP-0494, CORP-0495</x:v>
      </x:c>
      <x:c r="Q410" s="12" t="str">
        <x:v>Bridgei2i Analytics Solutions</x:v>
      </x:c>
    </x:row>
    <x:row r="411" ht="48" customHeight="1">
      <x:c r="A411" s="2" t="str">
        <x:v>TEN-53F71D1CF28F</x:v>
      </x:c>
      <x:c r="B411" s="12" t="str">
        <x:v>Bridgestone city office</x:v>
      </x:c>
      <x:c r="C411" s="12" t="str">
        <x:v>Business / brand</x:v>
      </x:c>
      <x:c r="D411" s="12" t="str">
        <x:v>Engineering &amp; manufacturing</x:v>
      </x:c>
      <x:c r="E411" s="12" t="str">
        <x:v>Automotive, mobility &amp; aerospace</x:v>
      </x:c>
      <x:c r="F411" s="12" t="str">
        <x:v>Mixed business audience</x:v>
      </x:c>
      <x:c r="G411" s="12" t="str">
        <x:v>Recognisable business context; company-scale evidence remains insufficient for a single size band.</x:v>
      </x:c>
      <x:c r="H411" s="11" t="n">
        <x:v>1</x:v>
      </x:c>
      <x:c r="I411" s="11" t="n">
        <x:v>7</x:v>
      </x:c>
      <x:c r="J411" s="11" t="n">
        <x:v>7</x:v>
      </x:c>
      <x:c r="K411" s="11" t="n">
        <x:v>0</x:v>
      </x:c>
      <x:c r="L411" s="17" t="n">
        <x:f>SUM(SUMIFS('Costing'!$P$9:$P$492,'Costing'!$A$9:$A$492,"MAIN-382"))</x:f>
        <x:v>140000</x:v>
      </x:c>
      <x:c r="M411" s="17" t="n">
        <x:f>ROUND(L411*'Costing'!$C$4,2)</x:f>
        <x:v>25200</x:v>
      </x:c>
      <x:c r="N411" s="17" t="n">
        <x:f>L411+M411</x:f>
        <x:v>165200</x:v>
      </x:c>
      <x:c r="O411" s="12" t="str">
        <x:v>Pune</x:v>
      </x:c>
      <x:c r="P411" s="12" t="str">
        <x:v>CORP-0378</x:v>
      </x:c>
      <x:c r="Q411" s="12" t="str">
        <x:v>Bridgestone city office</x:v>
      </x:c>
    </x:row>
    <x:row r="412" ht="48" customHeight="1">
      <x:c r="A412" s="2" t="str">
        <x:v>TEN-F203D8BBAC6A</x:v>
      </x:c>
      <x:c r="B412" s="12" t="str">
        <x:v>Brigosha Tech</x:v>
      </x:c>
      <x:c r="C412" s="12" t="str">
        <x:v>Business / brand</x:v>
      </x:c>
      <x:c r="D412" s="12" t="str">
        <x:v>IT &amp; digital</x:v>
      </x:c>
      <x:c r="E412" s="12" t="str">
        <x:v>Enterprise software &amp; digital engineering</x:v>
      </x:c>
      <x:c r="F412" s="12" t="str">
        <x:v>Small-scale prospects</x:v>
      </x:c>
      <x:c r="G412" s="12" t="str">
        <x:v>Software or technology-services business; small-scale prospect assumption.</x:v>
      </x:c>
      <x:c r="H412" s="11" t="n">
        <x:v>1</x:v>
      </x:c>
      <x:c r="I412" s="11" t="n">
        <x:v>1</x:v>
      </x:c>
      <x:c r="J412" s="11" t="n">
        <x:v>1</x:v>
      </x:c>
      <x:c r="K412" s="11" t="n">
        <x:v>0</x:v>
      </x:c>
      <x:c r="L412" s="17" t="n">
        <x:f>SUM(SUMIFS('Costing'!$P$9:$P$492,'Costing'!$A$9:$A$492,"MAIN-111"))</x:f>
        <x:v>15000</x:v>
      </x:c>
      <x:c r="M412" s="17" t="n">
        <x:f>ROUND(L412*'Costing'!$C$4,2)</x:f>
        <x:v>2700</x:v>
      </x:c>
      <x:c r="N412" s="17" t="n">
        <x:f>L412+M412</x:f>
        <x:v>17700</x:v>
      </x:c>
      <x:c r="O412" s="12" t="str">
        <x:v>Bengaluru</x:v>
      </x:c>
      <x:c r="P412" s="12" t="str">
        <x:v>CORP-0107</x:v>
      </x:c>
      <x:c r="Q412" s="12" t="str">
        <x:v>Brigosha Tech</x:v>
      </x:c>
    </x:row>
    <x:row r="413" ht="48" customHeight="1">
      <x:c r="A413" s="2" t="str">
        <x:v>TEN-D1D0F589C024</x:v>
      </x:c>
      <x:c r="B413" s="12" t="str">
        <x:v>Brigosha Technologies</x:v>
      </x:c>
      <x:c r="C413" s="12" t="str">
        <x:v>Business / brand</x:v>
      </x:c>
      <x:c r="D413" s="12" t="str">
        <x:v>IT &amp; digital</x:v>
      </x:c>
      <x:c r="E413" s="12" t="str">
        <x:v>Enterprise software &amp; digital engineering</x:v>
      </x:c>
      <x:c r="F413" s="12" t="str">
        <x:v>Small-scale prospects</x:v>
      </x:c>
      <x:c r="G413" s="12" t="str">
        <x:v>Software or technology-services business; small-scale prospect assumption.</x:v>
      </x:c>
      <x:c r="H413" s="11" t="n">
        <x:v>1</x:v>
      </x:c>
      <x:c r="I413" s="11" t="n">
        <x:v>1</x:v>
      </x:c>
      <x:c r="J413" s="11" t="n">
        <x:v>1</x:v>
      </x:c>
      <x:c r="K413" s="11" t="n">
        <x:v>0</x:v>
      </x:c>
      <x:c r="L413" s="17" t="n">
        <x:f>SUM(SUMIFS('Costing'!$P$9:$P$492,'Costing'!$A$9:$A$492,"MAIN-111"))</x:f>
        <x:v>15000</x:v>
      </x:c>
      <x:c r="M413" s="17" t="n">
        <x:f>ROUND(L413*'Costing'!$C$4,2)</x:f>
        <x:v>2700</x:v>
      </x:c>
      <x:c r="N413" s="17" t="n">
        <x:f>L413+M413</x:f>
        <x:v>17700</x:v>
      </x:c>
      <x:c r="O413" s="12" t="str">
        <x:v>Bengaluru</x:v>
      </x:c>
      <x:c r="P413" s="12" t="str">
        <x:v>CORP-0107</x:v>
      </x:c>
      <x:c r="Q413" s="12" t="str">
        <x:v>Brigosha Technologies</x:v>
      </x:c>
    </x:row>
    <x:row r="414" ht="48" customHeight="1">
      <x:c r="A414" s="2" t="str">
        <x:v>TEN-E978525A3709</x:v>
      </x:c>
      <x:c r="B414" s="12" t="str">
        <x:v>Brihans Laboratories</x:v>
      </x:c>
      <x:c r="C414" s="12" t="str">
        <x:v>Business / brand</x:v>
      </x:c>
      <x:c r="D414" s="12" t="str">
        <x:v>Healthcare &amp; life sciences</x:v>
      </x:c>
      <x:c r="E414" s="12" t="str">
        <x:v>Clinical, medical &amp; diagnostic services</x:v>
      </x:c>
      <x:c r="F414" s="12" t="str">
        <x:v>Small-scale prospects</x:v>
      </x:c>
      <x:c r="G414" s="12" t="str">
        <x:v>Healthcare services business; small-scale prospect assumption.</x:v>
      </x:c>
      <x:c r="H414" s="11" t="n">
        <x:v>1</x:v>
      </x:c>
      <x:c r="I414" s="11" t="n">
        <x:v>2</x:v>
      </x:c>
      <x:c r="J414" s="11" t="n">
        <x:v>2</x:v>
      </x:c>
      <x:c r="K414" s="11" t="n">
        <x:v>0</x:v>
      </x:c>
      <x:c r="L414" s="17" t="n">
        <x:f>SUM(SUMIFS('Costing'!$P$9:$P$492,'Costing'!$A$9:$A$492,"MAIN-305"))</x:f>
        <x:v>30000</x:v>
      </x:c>
      <x:c r="M414" s="17" t="n">
        <x:f>ROUND(L414*'Costing'!$C$4,2)</x:f>
        <x:v>5400</x:v>
      </x:c>
      <x:c r="N414" s="17" t="n">
        <x:f>L414+M414</x:f>
        <x:v>35400</x:v>
      </x:c>
      <x:c r="O414" s="12" t="str">
        <x:v>Mumbai</x:v>
      </x:c>
      <x:c r="P414" s="12" t="str">
        <x:v>CORP-0301</x:v>
      </x:c>
      <x:c r="Q414" s="12" t="str">
        <x:v>Brihans Laboratories</x:v>
      </x:c>
    </x:row>
    <x:row r="415" ht="48" customHeight="1">
      <x:c r="A415" s="2" t="str">
        <x:v>TEN-69AFDF39DA60</x:v>
      </x:c>
      <x:c r="B415" s="12" t="str">
        <x:v>Brik Oven</x:v>
      </x:c>
      <x:c r="C415" s="12" t="str">
        <x:v>Business / brand</x:v>
      </x:c>
      <x:c r="D415" s="12" t="str">
        <x:v>Trade, consumer &amp; logistics</x:v>
      </x:c>
      <x:c r="E415" s="12" t="str">
        <x:v>Travel, hospitality, food &amp; beverages</x:v>
      </x:c>
      <x:c r="F415" s="12" t="str">
        <x:v>Small-scale prospects</x:v>
      </x:c>
      <x:c r="G415" s="12" t="str">
        <x:v>Trading or consumer-services business; small-scale prospect assumption.</x:v>
      </x:c>
      <x:c r="H415" s="11" t="n">
        <x:v>1</x:v>
      </x:c>
      <x:c r="I415" s="11" t="n">
        <x:v>2</x:v>
      </x:c>
      <x:c r="J415" s="11" t="n">
        <x:v>2</x:v>
      </x:c>
      <x:c r="K415" s="11" t="n">
        <x:v>0</x:v>
      </x:c>
      <x:c r="L415" s="17" t="n">
        <x:f>SUM(SUMIFS('Costing'!$P$9:$P$492,'Costing'!$A$9:$A$492,"MAIN-063"))</x:f>
        <x:v>80000</x:v>
      </x:c>
      <x:c r="M415" s="17" t="n">
        <x:f>ROUND(L415*'Costing'!$C$4,2)</x:f>
        <x:v>14400</x:v>
      </x:c>
      <x:c r="N415" s="17" t="n">
        <x:f>L415+M415</x:f>
        <x:v>94400</x:v>
      </x:c>
      <x:c r="O415" s="12" t="str">
        <x:v>Bengaluru</x:v>
      </x:c>
      <x:c r="P415" s="12" t="str">
        <x:v>CORP-0059</x:v>
      </x:c>
      <x:c r="Q415" s="12" t="str">
        <x:v>Brik Oven</x:v>
      </x:c>
    </x:row>
    <x:row r="416" ht="48" customHeight="1">
      <x:c r="A416" s="2" t="str">
        <x:v>TEN-2FD515B5FF3F</x:v>
      </x:c>
      <x:c r="B416" s="12" t="str">
        <x:v>Brima Sagar Maharastra Distilleries LTD</x:v>
      </x:c>
      <x:c r="C416" s="12" t="str">
        <x:v>Business / brand</x:v>
      </x:c>
      <x:c r="D416" s="12" t="str">
        <x:v>Trade, consumer &amp; logistics</x:v>
      </x:c>
      <x:c r="E416" s="12" t="str">
        <x:v>Travel, hospitality, food &amp; beverages</x:v>
      </x:c>
      <x:c r="F416" s="12" t="str">
        <x:v>Small-scale prospects</x:v>
      </x:c>
      <x:c r="G416" s="12" t="str">
        <x:v>Trading or consumer-services business; small-scale prospect assumption.</x:v>
      </x:c>
      <x:c r="H416" s="11" t="n">
        <x:v>1</x:v>
      </x:c>
      <x:c r="I416" s="11" t="n">
        <x:v>2</x:v>
      </x:c>
      <x:c r="J416" s="11" t="n">
        <x:v>2</x:v>
      </x:c>
      <x:c r="K416" s="11" t="n">
        <x:v>0</x:v>
      </x:c>
      <x:c r="L416" s="17" t="n">
        <x:f>SUM(SUMIFS('Costing'!$P$9:$P$492,'Costing'!$A$9:$A$492,"MAIN-305"))</x:f>
        <x:v>30000</x:v>
      </x:c>
      <x:c r="M416" s="17" t="n">
        <x:f>ROUND(L416*'Costing'!$C$4,2)</x:f>
        <x:v>5400</x:v>
      </x:c>
      <x:c r="N416" s="17" t="n">
        <x:f>L416+M416</x:f>
        <x:v>35400</x:v>
      </x:c>
      <x:c r="O416" s="12" t="str">
        <x:v>Mumbai</x:v>
      </x:c>
      <x:c r="P416" s="12" t="str">
        <x:v>CORP-0301</x:v>
      </x:c>
      <x:c r="Q416" s="12" t="str">
        <x:v>Brima Sagar Maharastra Distilleries LTD</x:v>
      </x:c>
    </x:row>
    <x:row r="417" ht="48" customHeight="1">
      <x:c r="A417" s="2" t="str">
        <x:v>TEN-9636D9305A9A</x:v>
      </x:c>
      <x:c r="B417" s="12" t="str">
        <x:v>Britannia Industries Limited</x:v>
      </x:c>
      <x:c r="C417" s="12" t="str">
        <x:v>Business / brand</x:v>
      </x:c>
      <x:c r="D417" s="12" t="str">
        <x:v>Trade, consumer &amp; logistics</x:v>
      </x:c>
      <x:c r="E417" s="12" t="str">
        <x:v>Travel, hospitality, food &amp; beverages</x:v>
      </x:c>
      <x:c r="F417" s="12" t="str">
        <x:v>Mixed business audience</x:v>
      </x:c>
      <x:c r="G417" s="12" t="str">
        <x:v>Recognisable business context; company-scale evidence remains insufficient for a single size band.</x:v>
      </x:c>
      <x:c r="H417" s="11" t="n">
        <x:v>7</x:v>
      </x:c>
      <x:c r="I417" s="11" t="n">
        <x:v>7</x:v>
      </x:c>
      <x:c r="J417" s="11" t="n">
        <x:v>7</x:v>
      </x:c>
      <x:c r="K417" s="11" t="n">
        <x:v>0</x:v>
      </x:c>
      <x:c r="L417" s="17" t="n">
        <x:f>SUM(SUMIFS('Costing'!$P$9:$P$492,'Costing'!$A$9:$A$492,"PARTNER-M027"))</x:f>
        <x:v>280000</x:v>
      </x:c>
      <x:c r="M417" s="17" t="n">
        <x:f>ROUND(L417*'Costing'!$C$4,2)</x:f>
        <x:v>50400</x:v>
      </x:c>
      <x:c r="N417" s="17" t="n">
        <x:f>L417+M417</x:f>
        <x:v>330400</x:v>
      </x:c>
      <x:c r="O417" s="12" t="str">
        <x:v>Bengaluru</x:v>
      </x:c>
      <x:c r="P417" s="12" t="str">
        <x:v>CORP-0445, CORP-0446, CORP-0447, CORP-0448, CORP-0449, CORP-0450, CORP-0451</x:v>
      </x:c>
      <x:c r="Q417" s="12" t="str">
        <x:v>Britannia Industries Limited</x:v>
      </x:c>
    </x:row>
    <x:row r="418" ht="75" customHeight="1">
      <x:c r="A418" s="2" t="str">
        <x:v>TEN-62D03FBBED53</x:v>
      </x:c>
      <x:c r="B418" s="12" t="str">
        <x:v>British Council</x:v>
      </x:c>
      <x:c r="C418" s="12" t="str">
        <x:v>Public / nonprofit</x:v>
      </x:c>
      <x:c r="D418" s="12" t="str">
        <x:v>Government &amp; nonprofit</x:v>
      </x:c>
      <x:c r="E418" s="12" t="str">
        <x:v>Public, nonprofit or membership organization</x:v>
      </x:c>
      <x:c r="F418" s="12" t="str">
        <x:v>Institutional</x:v>
      </x:c>
      <x:c r="G418" s="12" t="str">
        <x:v>Existing directory identifies an institutional, government, education, membership or nonprofit organisation rather than an ordinary MSME business prospect. This tag describes audience role and does not assert legal tax status.</x:v>
      </x:c>
      <x:c r="H418" s="11" t="n">
        <x:v>1</x:v>
      </x:c>
      <x:c r="I418" s="11" t="n">
        <x:v>1</x:v>
      </x:c>
      <x:c r="J418" s="11" t="n">
        <x:v>1</x:v>
      </x:c>
      <x:c r="K418" s="11" t="n">
        <x:v>0</x:v>
      </x:c>
      <x:c r="L418" s="17" t="n">
        <x:f>SUM(SUMIFS('Costing'!$P$9:$P$492,'Costing'!$A$9:$A$492,"MAIN-331"))</x:f>
        <x:v>15000</x:v>
      </x:c>
      <x:c r="M418" s="17" t="n">
        <x:f>ROUND(L418*'Costing'!$C$4,2)</x:f>
        <x:v>2700</x:v>
      </x:c>
      <x:c r="N418" s="17" t="n">
        <x:f>L418+M418</x:f>
        <x:v>17700</x:v>
      </x:c>
      <x:c r="O418" s="12" t="str">
        <x:v>Mumbai</x:v>
      </x:c>
      <x:c r="P418" s="12" t="str">
        <x:v>CORP-0327</x:v>
      </x:c>
      <x:c r="Q418" s="12" t="str">
        <x:v>British Council</x:v>
      </x:c>
    </x:row>
    <x:row r="419" ht="48" customHeight="1">
      <x:c r="A419" s="2" t="str">
        <x:v>TEN-3DAF16CAD05F</x:v>
      </x:c>
      <x:c r="B419" s="12" t="str">
        <x:v>BTV</x:v>
      </x:c>
      <x:c r="C419" s="12" t="str">
        <x:v>Business / brand</x:v>
      </x:c>
      <x:c r="D419" s="12" t="str">
        <x:v>Unresolved</x:v>
      </x:c>
      <x:c r="E419" s="12" t="str">
        <x:v>Business activity not established</x:v>
      </x:c>
      <x:c r="F419" s="12" t="str">
        <x:v>Mixed business audience</x:v>
      </x:c>
      <x:c r="G419" s="12" t="str">
        <x:v>Business activity and company scale are not established from this name.</x:v>
      </x:c>
      <x:c r="H419" s="11" t="n">
        <x:v>6</x:v>
      </x:c>
      <x:c r="I419" s="11" t="n">
        <x:v>6</x:v>
      </x:c>
      <x:c r="J419" s="11" t="n">
        <x:v>6</x:v>
      </x:c>
      <x:c r="K419" s="11" t="n">
        <x:v>0</x:v>
      </x:c>
      <x:c r="L419" s="17" t="n">
        <x:f>SUM(SUMIFS('Costing'!$P$9:$P$492,'Costing'!$A$9:$A$492,"PARTNER-M227"))</x:f>
        <x:v>240000</x:v>
      </x:c>
      <x:c r="M419" s="17" t="n">
        <x:f>ROUND(L419*'Costing'!$C$4,2)</x:f>
        <x:v>43200</x:v>
      </x:c>
      <x:c r="N419" s="17" t="n">
        <x:f>L419+M419</x:f>
        <x:v>283200</x:v>
      </x:c>
      <x:c r="O419" s="12" t="str">
        <x:v>Mumbai</x:v>
      </x:c>
      <x:c r="P419" s="12" t="str">
        <x:v>CORP-0644, CORP-0645, CORP-0646, CORP-0647, CORP-0648, CORP-0649</x:v>
      </x:c>
      <x:c r="Q419" s="12" t="str">
        <x:v>BTV</x:v>
      </x:c>
    </x:row>
    <x:row r="420" ht="48" customHeight="1">
      <x:c r="A420" s="2" t="str">
        <x:v>TEN-CF222513A60C</x:v>
      </x:c>
      <x:c r="B420" s="12" t="str">
        <x:v>bucker HQ</x:v>
      </x:c>
      <x:c r="C420" s="12" t="str">
        <x:v>Business / brand</x:v>
      </x:c>
      <x:c r="D420" s="12" t="str">
        <x:v>Unresolved</x:v>
      </x:c>
      <x:c r="E420" s="12" t="str">
        <x:v>Business activity not established</x:v>
      </x:c>
      <x:c r="F420" s="12" t="str">
        <x:v>Mixed business audience</x:v>
      </x:c>
      <x:c r="G420" s="12" t="str">
        <x:v>Business activity and company scale are not established from this name.</x:v>
      </x:c>
      <x:c r="H420" s="11" t="n">
        <x:v>1</x:v>
      </x:c>
      <x:c r="I420" s="11" t="n">
        <x:v>4</x:v>
      </x:c>
      <x:c r="J420" s="11" t="n">
        <x:v>4</x:v>
      </x:c>
      <x:c r="K420" s="11" t="n">
        <x:v>0</x:v>
      </x:c>
      <x:c r="L420" s="17" t="n">
        <x:f>SUM(SUMIFS('Costing'!$P$9:$P$492,'Costing'!$A$9:$A$492,"MAIN-226"))</x:f>
        <x:v>60000</x:v>
      </x:c>
      <x:c r="M420" s="17" t="n">
        <x:f>ROUND(L420*'Costing'!$C$4,2)</x:f>
        <x:v>10800</x:v>
      </x:c>
      <x:c r="N420" s="17" t="n">
        <x:f>L420+M420</x:f>
        <x:v>70800</x:v>
      </x:c>
      <x:c r="O420" s="12" t="str">
        <x:v>Hyderabad</x:v>
      </x:c>
      <x:c r="P420" s="12" t="str">
        <x:v>CORP-0222</x:v>
      </x:c>
      <x:c r="Q420" s="12" t="str">
        <x:v>bucker HQ</x:v>
      </x:c>
    </x:row>
    <x:row r="421" ht="48" customHeight="1">
      <x:c r="A421" s="2" t="str">
        <x:v>TEN-4F013726AFD9</x:v>
      </x:c>
      <x:c r="B421" s="12" t="str">
        <x:v>Bullmen Realty India Pvt Ltd</x:v>
      </x:c>
      <x:c r="C421" s="12" t="str">
        <x:v>Business / brand</x:v>
      </x:c>
      <x:c r="D421" s="12" t="str">
        <x:v>Trade, consumer &amp; logistics</x:v>
      </x:c>
      <x:c r="E421" s="12" t="str">
        <x:v>Real estate, property &amp; construction services</x:v>
      </x:c>
      <x:c r="F421" s="12" t="str">
        <x:v>Small-scale prospects</x:v>
      </x:c>
      <x:c r="G421" s="12" t="str">
        <x:v>Trading or consumer-services business; small-scale prospect assumption.</x:v>
      </x:c>
      <x:c r="H421" s="11" t="n">
        <x:v>4</x:v>
      </x:c>
      <x:c r="I421" s="11" t="n">
        <x:v>4</x:v>
      </x:c>
      <x:c r="J421" s="11" t="n">
        <x:v>4</x:v>
      </x:c>
      <x:c r="K421" s="11" t="n">
        <x:v>0</x:v>
      </x:c>
      <x:c r="L421" s="17" t="n">
        <x:f>SUM(SUMIFS('Costing'!$P$9:$P$492,'Costing'!$A$9:$A$492,"PARTNER-M375"))</x:f>
        <x:v>160000</x:v>
      </x:c>
      <x:c r="M421" s="17" t="n">
        <x:f>ROUND(L421*'Costing'!$C$4,2)</x:f>
        <x:v>28800</x:v>
      </x:c>
      <x:c r="N421" s="17" t="n">
        <x:f>L421+M421</x:f>
        <x:v>188800</x:v>
      </x:c>
      <x:c r="O421" s="12" t="str">
        <x:v>Delhi NCR</x:v>
      </x:c>
      <x:c r="P421" s="12" t="str">
        <x:v>CORP-0788, CORP-0789, CORP-0790, CORP-0791</x:v>
      </x:c>
      <x:c r="Q421" s="12" t="str">
        <x:v>Bullmen Realty India Pvt Ltd</x:v>
      </x:c>
    </x:row>
    <x:row r="422" ht="48" customHeight="1">
      <x:c r="A422" s="2" t="str">
        <x:v>TEN-28788F1DD8EE</x:v>
      </x:c>
      <x:c r="B422" s="12" t="str">
        <x:v>Bullsmart</x:v>
      </x:c>
      <x:c r="C422" s="12" t="str">
        <x:v>Business / brand</x:v>
      </x:c>
      <x:c r="D422" s="12" t="str">
        <x:v>Finance &amp; insurance</x:v>
      </x:c>
      <x:c r="E422" s="12" t="str">
        <x:v>Banking, credit &amp; financial services</x:v>
      </x:c>
      <x:c r="F422" s="12" t="str">
        <x:v>Medium-scale prospects</x:v>
      </x:c>
      <x:c r="G422" s="12" t="str">
        <x:v>Specialist financial-services business; medium-scale prospect assumption.</x:v>
      </x:c>
      <x:c r="H422" s="11" t="n">
        <x:v>1</x:v>
      </x:c>
      <x:c r="I422" s="11" t="n">
        <x:v>2</x:v>
      </x:c>
      <x:c r="J422" s="11" t="n">
        <x:v>2</x:v>
      </x:c>
      <x:c r="K422" s="11" t="n">
        <x:v>0</x:v>
      </x:c>
      <x:c r="L422" s="17" t="n">
        <x:f>SUM(SUMIFS('Costing'!$P$9:$P$492,'Costing'!$A$9:$A$492,"MAIN-091"))</x:f>
        <x:v>30000</x:v>
      </x:c>
      <x:c r="M422" s="17" t="n">
        <x:f>ROUND(L422*'Costing'!$C$4,2)</x:f>
        <x:v>5400</x:v>
      </x:c>
      <x:c r="N422" s="17" t="n">
        <x:f>L422+M422</x:f>
        <x:v>35400</x:v>
      </x:c>
      <x:c r="O422" s="12" t="str">
        <x:v>Bengaluru</x:v>
      </x:c>
      <x:c r="P422" s="12" t="str">
        <x:v>CORP-0087</x:v>
      </x:c>
      <x:c r="Q422" s="12" t="str">
        <x:v>Bullsmart</x:v>
      </x:c>
    </x:row>
    <x:row r="423" ht="48" customHeight="1">
      <x:c r="A423" s="2" t="str">
        <x:v>TEN-3BF12FCD804F</x:v>
      </x:c>
      <x:c r="B423" s="12" t="str">
        <x:v>Burda Media India Pvt. Ltd</x:v>
      </x:c>
      <x:c r="C423" s="12" t="str">
        <x:v>Business / brand</x:v>
      </x:c>
      <x:c r="D423" s="12" t="str">
        <x:v>Trade, consumer &amp; logistics</x:v>
      </x:c>
      <x:c r="E423" s="12" t="str">
        <x:v>Entertainment, media &amp; events</x:v>
      </x:c>
      <x:c r="F423" s="12" t="str">
        <x:v>Mixed business audience</x:v>
      </x:c>
      <x:c r="G423" s="12" t="str">
        <x:v>Established brand or business network; local company scale is not established. Use a mixed-business message.</x:v>
      </x:c>
      <x:c r="H423" s="11" t="n">
        <x:v>1</x:v>
      </x:c>
      <x:c r="I423" s="11" t="n">
        <x:v>3</x:v>
      </x:c>
      <x:c r="J423" s="11" t="n">
        <x:v>3</x:v>
      </x:c>
      <x:c r="K423" s="11" t="n">
        <x:v>0</x:v>
      </x:c>
      <x:c r="L423" s="17" t="n">
        <x:f>SUM(SUMIFS('Costing'!$P$9:$P$492,'Costing'!$A$9:$A$492,"MAIN-179"))</x:f>
        <x:v>45000</x:v>
      </x:c>
      <x:c r="M423" s="17" t="n">
        <x:f>ROUND(L423*'Costing'!$C$4,2)</x:f>
        <x:v>8100</x:v>
      </x:c>
      <x:c r="N423" s="17" t="n">
        <x:f>L423+M423</x:f>
        <x:v>53100</x:v>
      </x:c>
      <x:c r="O423" s="12" t="str">
        <x:v>Delhi NCR</x:v>
      </x:c>
      <x:c r="P423" s="12" t="str">
        <x:v>CORP-0175</x:v>
      </x:c>
      <x:c r="Q423" s="12" t="str">
        <x:v>Burda Media India Pvt. Ltd</x:v>
      </x:c>
    </x:row>
    <x:row r="424" ht="48" customHeight="1">
      <x:c r="A424" s="2" t="str">
        <x:v>TEN-A627CC7CE64B</x:v>
      </x:c>
      <x:c r="B424" s="12" t="str">
        <x:v>Bureau veritas consumer product service Pvt.Ltd</x:v>
      </x:c>
      <x:c r="C424" s="12" t="str">
        <x:v>Business / brand</x:v>
      </x:c>
      <x:c r="D424" s="12" t="str">
        <x:v>Professional services</x:v>
      </x:c>
      <x:c r="E424" s="12" t="str">
        <x:v>Professional services — specialty unverified</x:v>
      </x:c>
      <x:c r="F424" s="12" t="str">
        <x:v>Mixed business audience</x:v>
      </x:c>
      <x:c r="G424" s="12" t="str">
        <x:v>Recognisable business context; company-scale evidence remains insufficient for a single size band.</x:v>
      </x:c>
      <x:c r="H424" s="11" t="n">
        <x:v>1</x:v>
      </x:c>
      <x:c r="I424" s="11" t="n">
        <x:v>6</x:v>
      </x:c>
      <x:c r="J424" s="11" t="n">
        <x:v>6</x:v>
      </x:c>
      <x:c r="K424" s="11" t="n">
        <x:v>0</x:v>
      </x:c>
      <x:c r="L424" s="17" t="n">
        <x:f>SUM(SUMIFS('Costing'!$P$9:$P$492,'Costing'!$A$9:$A$492,"MAIN-027"))</x:f>
        <x:v>90000</x:v>
      </x:c>
      <x:c r="M424" s="17" t="n">
        <x:f>ROUND(L424*'Costing'!$C$4,2)</x:f>
        <x:v>16200</x:v>
      </x:c>
      <x:c r="N424" s="17" t="n">
        <x:f>L424+M424</x:f>
        <x:v>106200</x:v>
      </x:c>
      <x:c r="O424" s="12" t="str">
        <x:v>Bengaluru</x:v>
      </x:c>
      <x:c r="P424" s="12" t="str">
        <x:v>CORP-0023</x:v>
      </x:c>
      <x:c r="Q424" s="12" t="str">
        <x:v>Bureau veritas consumer product service Pvt.Ltd</x:v>
      </x:c>
    </x:row>
    <x:row r="425" ht="48" customHeight="1">
      <x:c r="A425" s="2" t="str">
        <x:v>TEN-FF0B654DAE85</x:v>
      </x:c>
      <x:c r="B425" s="12" t="str">
        <x:v>Bureau Veritas GSSC</x:v>
      </x:c>
      <x:c r="C425" s="12" t="str">
        <x:v>Business / brand</x:v>
      </x:c>
      <x:c r="D425" s="12" t="str">
        <x:v>Professional services</x:v>
      </x:c>
      <x:c r="E425" s="12" t="str">
        <x:v>Professional services — specialty unverified</x:v>
      </x:c>
      <x:c r="F425" s="12" t="str">
        <x:v>Mixed business audience</x:v>
      </x:c>
      <x:c r="G425" s="12" t="str">
        <x:v>Recognisable business context; company-scale evidence remains insufficient for a single size band.</x:v>
      </x:c>
      <x:c r="H425" s="11" t="n">
        <x:v>1</x:v>
      </x:c>
      <x:c r="I425" s="11" t="n">
        <x:v>3</x:v>
      </x:c>
      <x:c r="J425" s="11" t="n">
        <x:v>3</x:v>
      </x:c>
      <x:c r="K425" s="11" t="n">
        <x:v>0</x:v>
      </x:c>
      <x:c r="L425" s="17" t="n">
        <x:f>SUM(SUMIFS('Costing'!$P$9:$P$492,'Costing'!$A$9:$A$492,"MAIN-366"))</x:f>
        <x:v>45000</x:v>
      </x:c>
      <x:c r="M425" s="17" t="n">
        <x:f>ROUND(L425*'Costing'!$C$4,2)</x:f>
        <x:v>8100</x:v>
      </x:c>
      <x:c r="N425" s="17" t="n">
        <x:f>L425+M425</x:f>
        <x:v>53100</x:v>
      </x:c>
      <x:c r="O425" s="12" t="str">
        <x:v>Delhi NCR</x:v>
      </x:c>
      <x:c r="P425" s="12" t="str">
        <x:v>CORP-0362</x:v>
      </x:c>
      <x:c r="Q425" s="12" t="str">
        <x:v>Bureau Veritas GSSC</x:v>
      </x:c>
    </x:row>
    <x:row r="426" ht="48" customHeight="1">
      <x:c r="A426" s="2" t="str">
        <x:v>TEN-6C0D20116366</x:v>
      </x:c>
      <x:c r="B426" s="12" t="str">
        <x:v>Burns &amp; McDonnell</x:v>
      </x:c>
      <x:c r="C426" s="12" t="str">
        <x:v>Business / brand</x:v>
      </x:c>
      <x:c r="D426" s="12" t="str">
        <x:v>Engineering &amp; manufacturing</x:v>
      </x:c>
      <x:c r="E426" s="12" t="str">
        <x:v>Engineering/manufacturing — specialty unverified</x:v>
      </x:c>
      <x:c r="F426" s="12" t="str">
        <x:v>Mixed business audience</x:v>
      </x:c>
      <x:c r="G426" s="12" t="str">
        <x:v>Established brand or business network; local company scale is not established. Use a mixed-business message.</x:v>
      </x:c>
      <x:c r="H426" s="11" t="n">
        <x:v>8</x:v>
      </x:c>
      <x:c r="I426" s="11" t="n">
        <x:v>8</x:v>
      </x:c>
      <x:c r="J426" s="11" t="n">
        <x:v>8</x:v>
      </x:c>
      <x:c r="K426" s="11" t="n">
        <x:v>0</x:v>
      </x:c>
      <x:c r="L426" s="17" t="n">
        <x:f>SUM(SUMIFS('Costing'!$P$9:$P$492,'Costing'!$A$9:$A$492,"PARTNER-M146"))</x:f>
        <x:v>320000</x:v>
      </x:c>
      <x:c r="M426" s="17" t="n">
        <x:f>ROUND(L426*'Costing'!$C$4,2)</x:f>
        <x:v>57600</x:v>
      </x:c>
      <x:c r="N426" s="17" t="n">
        <x:f>L426+M426</x:f>
        <x:v>377600</x:v>
      </x:c>
      <x:c r="O426" s="12" t="str">
        <x:v>Bengaluru</x:v>
      </x:c>
      <x:c r="P426" s="12" t="str">
        <x:v>CORP-0564, CORP-0565, CORP-0566, CORP-0567, CORP-0568, CORP-0569, CORP-0570, CORP-0571</x:v>
      </x:c>
      <x:c r="Q426" s="12" t="str">
        <x:v>Burns &amp; McDonnell</x:v>
      </x:c>
    </x:row>
    <x:row r="427" ht="48" customHeight="1">
      <x:c r="A427" s="2" t="str">
        <x:v>TEN-652C71309085</x:v>
      </x:c>
      <x:c r="B427" s="12" t="str">
        <x:v>Buzz Bee Studio</x:v>
      </x:c>
      <x:c r="C427" s="12" t="str">
        <x:v>Business / brand</x:v>
      </x:c>
      <x:c r="D427" s="12" t="str">
        <x:v>Professional services</x:v>
      </x:c>
      <x:c r="E427" s="12" t="str">
        <x:v>Marketing, media &amp; research services</x:v>
      </x:c>
      <x:c r="F427" s="12" t="str">
        <x:v>Small-scale prospects</x:v>
      </x:c>
      <x:c r="G427" s="12" t="str">
        <x:v>Professional service, agency or advisory model; small-scale prospect assumption.</x:v>
      </x:c>
      <x:c r="H427" s="11" t="n">
        <x:v>1</x:v>
      </x:c>
      <x:c r="I427" s="11" t="n">
        <x:v>2</x:v>
      </x:c>
      <x:c r="J427" s="11" t="n">
        <x:v>2</x:v>
      </x:c>
      <x:c r="K427" s="11" t="n">
        <x:v>0</x:v>
      </x:c>
      <x:c r="L427" s="17" t="n">
        <x:f>SUM(SUMIFS('Costing'!$P$9:$P$492,'Costing'!$A$9:$A$492,"MAIN-347"))</x:f>
        <x:v>24000</x:v>
      </x:c>
      <x:c r="M427" s="17" t="n">
        <x:f>ROUND(L427*'Costing'!$C$4,2)</x:f>
        <x:v>4320</x:v>
      </x:c>
      <x:c r="N427" s="17" t="n">
        <x:f>L427+M427</x:f>
        <x:v>28320</x:v>
      </x:c>
      <x:c r="O427" s="12" t="str">
        <x:v>Mumbai</x:v>
      </x:c>
      <x:c r="P427" s="12" t="str">
        <x:v>CORP-0343</x:v>
      </x:c>
      <x:c r="Q427" s="12" t="str">
        <x:v>Buzz Bee Studio</x:v>
      </x:c>
    </x:row>
    <x:row r="428" ht="48" customHeight="1">
      <x:c r="A428" s="2" t="str">
        <x:v>TEN-65F6D553633D</x:v>
      </x:c>
      <x:c r="B428" s="12" t="str">
        <x:v>BWW</x:v>
      </x:c>
      <x:c r="C428" s="12" t="str">
        <x:v>Business / brand</x:v>
      </x:c>
      <x:c r="D428" s="12" t="str">
        <x:v>Unresolved</x:v>
      </x:c>
      <x:c r="E428" s="12" t="str">
        <x:v>Business activity not established</x:v>
      </x:c>
      <x:c r="F428" s="12" t="str">
        <x:v>Mixed business audience</x:v>
      </x:c>
      <x:c r="G428" s="12" t="str">
        <x:v>Business activity and company scale are not established from this name.</x:v>
      </x:c>
      <x:c r="H428" s="11" t="n">
        <x:v>1</x:v>
      </x:c>
      <x:c r="I428" s="11" t="n">
        <x:v>1</x:v>
      </x:c>
      <x:c r="J428" s="11" t="n">
        <x:v>1</x:v>
      </x:c>
      <x:c r="K428" s="11" t="n">
        <x:v>0</x:v>
      </x:c>
      <x:c r="L428" s="17" t="n">
        <x:f>SUM(SUMIFS('Costing'!$P$9:$P$492,'Costing'!$A$9:$A$492,"MAIN-035"))</x:f>
        <x:v>15000</x:v>
      </x:c>
      <x:c r="M428" s="17" t="n">
        <x:f>ROUND(L428*'Costing'!$C$4,2)</x:f>
        <x:v>2700</x:v>
      </x:c>
      <x:c r="N428" s="17" t="n">
        <x:f>L428+M428</x:f>
        <x:v>17700</x:v>
      </x:c>
      <x:c r="O428" s="12" t="str">
        <x:v>Bengaluru</x:v>
      </x:c>
      <x:c r="P428" s="12" t="str">
        <x:v>CORP-0031</x:v>
      </x:c>
      <x:c r="Q428" s="12" t="str">
        <x:v>BWW</x:v>
      </x:c>
    </x:row>
    <x:row r="429" ht="48" customHeight="1">
      <x:c r="A429" s="2" t="str">
        <x:v>TEN-4B4B35DB7BA4</x:v>
      </x:c>
      <x:c r="B429" s="12" t="str">
        <x:v>CA B K Goyal &amp; Co LLP Chartered Accountants</x:v>
      </x:c>
      <x:c r="C429" s="12" t="str">
        <x:v>Business / brand</x:v>
      </x:c>
      <x:c r="D429" s="12" t="str">
        <x:v>Professional services</x:v>
      </x:c>
      <x:c r="E429" s="12" t="str">
        <x:v>Accounting, tax &amp; audit</x:v>
      </x:c>
      <x:c r="F429" s="12" t="str">
        <x:v>Micro-scale prospects</x:v>
      </x:c>
      <x:c r="G429" s="12" t="str">
        <x:v>Local practice or clinic model; micro-scale outreach assumption.</x:v>
      </x:c>
      <x:c r="H429" s="11" t="n">
        <x:v>1</x:v>
      </x:c>
      <x:c r="I429" s="11" t="n">
        <x:v>14</x:v>
      </x:c>
      <x:c r="J429" s="11" t="n">
        <x:v>14</x:v>
      </x:c>
      <x:c r="K429" s="11" t="n">
        <x:v>0</x:v>
      </x:c>
      <x:c r="L429" s="17" t="n">
        <x:f>SUM(SUMIFS('Costing'!$P$9:$P$492,'Costing'!$A$9:$A$492,"MAIN-210"))</x:f>
        <x:v>350000</x:v>
      </x:c>
      <x:c r="M429" s="17" t="n">
        <x:f>ROUND(L429*'Costing'!$C$4,2)</x:f>
        <x:v>63000</x:v>
      </x:c>
      <x:c r="N429" s="17" t="n">
        <x:f>L429+M429</x:f>
        <x:v>413000</x:v>
      </x:c>
      <x:c r="O429" s="12" t="str">
        <x:v>Delhi NCR</x:v>
      </x:c>
      <x:c r="P429" s="12" t="str">
        <x:v>CORP-0206</x:v>
      </x:c>
      <x:c r="Q429" s="12" t="str">
        <x:v>CA B K Goyal &amp; Co LLP Chartered Accountants</x:v>
      </x:c>
    </x:row>
    <x:row r="430" ht="75" customHeight="1">
      <x:c r="A430" s="2" t="str">
        <x:v>TEN-08BA913363E2</x:v>
      </x:c>
      <x:c r="B430" s="12" t="str">
        <x:v>CA Salsabeel and Co</x:v>
      </x:c>
      <x:c r="C430" s="12" t="str">
        <x:v>Business / brand</x:v>
      </x:c>
      <x:c r="D430" s="12" t="str">
        <x:v>Professional services</x:v>
      </x:c>
      <x:c r="E430" s="12" t="str">
        <x:v>Accounting, tax &amp; audit</x:v>
      </x:c>
      <x:c r="F430" s="12" t="str">
        <x:v>Micro-scale prospects</x:v>
      </x:c>
      <x:c r="G430" s="12" t="str">
        <x:v>Indicative owner-led local professional-practice audience. The official site identifies CA Salsabeel Ahmed as the firm's founder/director and describes accounting, tax and compliance services in Bengaluru. Micro-scale is a business-model assumption; a team size is not published.</x:v>
      </x:c>
      <x:c r="H430" s="11" t="n">
        <x:v>1</x:v>
      </x:c>
      <x:c r="I430" s="11" t="n">
        <x:v>1</x:v>
      </x:c>
      <x:c r="J430" s="11" t="n">
        <x:v>1</x:v>
      </x:c>
      <x:c r="K430" s="11" t="n">
        <x:v>0</x:v>
      </x:c>
      <x:c r="L430" s="17" t="n">
        <x:f>SUM(SUMIFS('Costing'!$P$9:$P$492,'Costing'!$A$9:$A$492,"MAIN-010"))</x:f>
        <x:v>15000</x:v>
      </x:c>
      <x:c r="M430" s="17" t="n">
        <x:f>ROUND(L430*'Costing'!$C$4,2)</x:f>
        <x:v>2700</x:v>
      </x:c>
      <x:c r="N430" s="17" t="n">
        <x:f>L430+M430</x:f>
        <x:v>17700</x:v>
      </x:c>
      <x:c r="O430" s="12" t="str">
        <x:v>Bengaluru</x:v>
      </x:c>
      <x:c r="P430" s="12" t="str">
        <x:v>CORP-0006</x:v>
      </x:c>
      <x:c r="Q430" s="12" t="str">
        <x:v>CA Salsabeel and Co</x:v>
      </x:c>
    </x:row>
    <x:row r="431" ht="48" customHeight="1">
      <x:c r="A431" s="2" t="str">
        <x:v>TEN-4F6B9E1C24D9</x:v>
      </x:c>
      <x:c r="B431" s="12" t="str">
        <x:v>Cadence</x:v>
      </x:c>
      <x:c r="C431" s="12" t="str">
        <x:v>Business / brand</x:v>
      </x:c>
      <x:c r="D431" s="12" t="str">
        <x:v>Engineering &amp; manufacturing</x:v>
      </x:c>
      <x:c r="E431" s="12" t="str">
        <x:v>Semiconductors, electronics &amp; equipment</x:v>
      </x:c>
      <x:c r="F431" s="12" t="str">
        <x:v>Mixed business audience</x:v>
      </x:c>
      <x:c r="G431" s="12" t="str">
        <x:v>Recognisable business context; company-scale evidence remains insufficient for a single size band.</x:v>
      </x:c>
      <x:c r="H431" s="11" t="n">
        <x:v>1</x:v>
      </x:c>
      <x:c r="I431" s="11" t="n">
        <x:v>2</x:v>
      </x:c>
      <x:c r="J431" s="11" t="n">
        <x:v>2</x:v>
      </x:c>
      <x:c r="K431" s="11" t="n">
        <x:v>0</x:v>
      </x:c>
      <x:c r="L431" s="17" t="n">
        <x:f>SUM(SUMIFS('Costing'!$P$9:$P$492,'Costing'!$A$9:$A$492,"MAIN-413"))</x:f>
        <x:v>80000</x:v>
      </x:c>
      <x:c r="M431" s="17" t="n">
        <x:f>ROUND(L431*'Costing'!$C$4,2)</x:f>
        <x:v>14400</x:v>
      </x:c>
      <x:c r="N431" s="17" t="n">
        <x:f>L431+M431</x:f>
        <x:v>94400</x:v>
      </x:c>
      <x:c r="O431" s="12" t="str">
        <x:v>Pune</x:v>
      </x:c>
      <x:c r="P431" s="12" t="str">
        <x:v>CORP-0409</x:v>
      </x:c>
      <x:c r="Q431" s="12" t="str">
        <x:v>Cadence</x:v>
      </x:c>
    </x:row>
    <x:row r="432" ht="62" customHeight="1">
      <x:c r="A432" s="2" t="str">
        <x:v>TEN-CB8F9497136D</x:v>
      </x:c>
      <x:c r="B432" s="12" t="str">
        <x:v>Cadence Design Systems (I) Pvt Ltd</x:v>
      </x:c>
      <x:c r="C432" s="12" t="str">
        <x:v>Business / brand</x:v>
      </x:c>
      <x:c r="D432" s="12" t="str">
        <x:v>Engineering &amp; manufacturing</x:v>
      </x:c>
      <x:c r="E432" s="12" t="str">
        <x:v>Semiconductors, electronics &amp; equipment</x:v>
      </x:c>
      <x:c r="F432" s="12" t="str">
        <x:v>Large enterprise</x:v>
      </x:c>
      <x:c r="G432" s="12" t="str">
        <x:v>The official Cadence profile reports more than 13,000 employees, over 70 offices and USD5.29 billion in 2025 revenue. This supports enterprise-group context for Cadence Design Systems India.</x:v>
      </x:c>
      <x:c r="H432" s="11" t="n">
        <x:v>1</x:v>
      </x:c>
      <x:c r="I432" s="11" t="n">
        <x:v>16</x:v>
      </x:c>
      <x:c r="J432" s="11" t="n">
        <x:v>16</x:v>
      </x:c>
      <x:c r="K432" s="11" t="n">
        <x:v>0</x:v>
      </x:c>
      <x:c r="L432" s="17" t="n">
        <x:f>SUM(SUMIFS('Costing'!$P$9:$P$492,'Costing'!$A$9:$A$492,"MAIN-039"))</x:f>
        <x:v>640000</x:v>
      </x:c>
      <x:c r="M432" s="17" t="n">
        <x:f>ROUND(L432*'Costing'!$C$4,2)</x:f>
        <x:v>115200</x:v>
      </x:c>
      <x:c r="N432" s="17" t="n">
        <x:f>L432+M432</x:f>
        <x:v>755200</x:v>
      </x:c>
      <x:c r="O432" s="12" t="str">
        <x:v>Bengaluru</x:v>
      </x:c>
      <x:c r="P432" s="12" t="str">
        <x:v>CORP-0035</x:v>
      </x:c>
      <x:c r="Q432" s="12" t="str">
        <x:v>Cadence Design Systems (I) Pvt Ltd</x:v>
      </x:c>
    </x:row>
    <x:row r="433" ht="48" customHeight="1">
      <x:c r="A433" s="2" t="str">
        <x:v>TEN-766583A204E4</x:v>
      </x:c>
      <x:c r="B433" s="12" t="str">
        <x:v>Cafe Tulum Culture</x:v>
      </x:c>
      <x:c r="C433" s="12" t="str">
        <x:v>Business / brand</x:v>
      </x:c>
      <x:c r="D433" s="12" t="str">
        <x:v>Trade, consumer &amp; logistics</x:v>
      </x:c>
      <x:c r="E433" s="12" t="str">
        <x:v>Travel, hospitality, food &amp; beverages</x:v>
      </x:c>
      <x:c r="F433" s="12" t="str">
        <x:v>Micro-scale prospects</x:v>
      </x:c>
      <x:c r="G433" s="12" t="str">
        <x:v>Local consumer service or childcare model; micro-scale outreach assumption.</x:v>
      </x:c>
      <x:c r="H433" s="11" t="n">
        <x:v>1</x:v>
      </x:c>
      <x:c r="I433" s="11" t="n">
        <x:v>1</x:v>
      </x:c>
      <x:c r="J433" s="11" t="n">
        <x:v>1</x:v>
      </x:c>
      <x:c r="K433" s="11" t="n">
        <x:v>0</x:v>
      </x:c>
      <x:c r="L433" s="17" t="n">
        <x:f>SUM(SUMIFS('Costing'!$P$9:$P$492,'Costing'!$A$9:$A$492,"MAIN-111"))</x:f>
        <x:v>15000</x:v>
      </x:c>
      <x:c r="M433" s="17" t="n">
        <x:f>ROUND(L433*'Costing'!$C$4,2)</x:f>
        <x:v>2700</x:v>
      </x:c>
      <x:c r="N433" s="17" t="n">
        <x:f>L433+M433</x:f>
        <x:v>17700</x:v>
      </x:c>
      <x:c r="O433" s="12" t="str">
        <x:v>Bengaluru</x:v>
      </x:c>
      <x:c r="P433" s="12" t="str">
        <x:v>CORP-0107</x:v>
      </x:c>
      <x:c r="Q433" s="12" t="str">
        <x:v>Cafe Tulum Culture</x:v>
      </x:c>
    </x:row>
    <x:row r="434" ht="48" customHeight="1">
      <x:c r="A434" s="2" t="str">
        <x:v>TEN-A845A7DB23BB</x:v>
      </x:c>
      <x:c r="B434" s="12" t="str">
        <x:v>Cahfad Technologies</x:v>
      </x:c>
      <x:c r="C434" s="12" t="str">
        <x:v>Business / brand</x:v>
      </x:c>
      <x:c r="D434" s="12" t="str">
        <x:v>Unresolved</x:v>
      </x:c>
      <x:c r="E434" s="12" t="str">
        <x:v>Business activity not established</x:v>
      </x:c>
      <x:c r="F434" s="12" t="str">
        <x:v>Mixed business audience</x:v>
      </x:c>
      <x:c r="G434" s="12" t="str">
        <x:v>Business activity and company scale are not established from this name.</x:v>
      </x:c>
      <x:c r="H434" s="11" t="n">
        <x:v>2</x:v>
      </x:c>
      <x:c r="I434" s="11" t="n">
        <x:v>2</x:v>
      </x:c>
      <x:c r="J434" s="11" t="n">
        <x:v>2</x:v>
      </x:c>
      <x:c r="K434" s="11" t="n">
        <x:v>0</x:v>
      </x:c>
      <x:c r="L434" s="17" t="n">
        <x:f>SUM(SUMIFS('Costing'!$P$9:$P$492,'Costing'!$A$9:$A$492,"PARTNER-M065"))</x:f>
        <x:v>80000</x:v>
      </x:c>
      <x:c r="M434" s="17" t="n">
        <x:f>ROUND(L434*'Costing'!$C$4,2)</x:f>
        <x:v>14400</x:v>
      </x:c>
      <x:c r="N434" s="17" t="n">
        <x:f>L434+M434</x:f>
        <x:v>94400</x:v>
      </x:c>
      <x:c r="O434" s="12" t="str">
        <x:v>Bengaluru</x:v>
      </x:c>
      <x:c r="P434" s="12" t="str">
        <x:v>CORP-0483, CORP-0484</x:v>
      </x:c>
      <x:c r="Q434" s="12" t="str">
        <x:v>Cahfad Technologies</x:v>
      </x:c>
    </x:row>
    <x:row r="435" ht="48" customHeight="1">
      <x:c r="A435" s="2" t="str">
        <x:v>TEN-F0E21574F5BD</x:v>
      </x:c>
      <x:c r="B435" s="12" t="str">
        <x:v>Cambium Networks</x:v>
      </x:c>
      <x:c r="C435" s="12" t="str">
        <x:v>Business / brand</x:v>
      </x:c>
      <x:c r="D435" s="12" t="str">
        <x:v>IT &amp; digital</x:v>
      </x:c>
      <x:c r="E435" s="12" t="str">
        <x:v>Telecom, networks &amp; connectivity</x:v>
      </x:c>
      <x:c r="F435" s="12" t="str">
        <x:v>Mixed business audience</x:v>
      </x:c>
      <x:c r="G435" s="12" t="str">
        <x:v>Established brand or business network; local company scale is not established. Use a mixed-business message.</x:v>
      </x:c>
      <x:c r="H435" s="11" t="n">
        <x:v>6</x:v>
      </x:c>
      <x:c r="I435" s="11" t="n">
        <x:v>6</x:v>
      </x:c>
      <x:c r="J435" s="11" t="n">
        <x:v>6</x:v>
      </x:c>
      <x:c r="K435" s="11" t="n">
        <x:v>0</x:v>
      </x:c>
      <x:c r="L435" s="17" t="n">
        <x:f>SUM(SUMIFS('Costing'!$P$9:$P$492,'Costing'!$A$9:$A$492,"PARTNER-M072"))</x:f>
        <x:v>240000</x:v>
      </x:c>
      <x:c r="M435" s="17" t="n">
        <x:f>ROUND(L435*'Costing'!$C$4,2)</x:f>
        <x:v>43200</x:v>
      </x:c>
      <x:c r="N435" s="17" t="n">
        <x:f>L435+M435</x:f>
        <x:v>283200</x:v>
      </x:c>
      <x:c r="O435" s="12" t="str">
        <x:v>Bengaluru</x:v>
      </x:c>
      <x:c r="P435" s="12" t="str">
        <x:v>CORP-0490, CORP-0491, CORP-0492, CORP-0493, CORP-0494, CORP-0495</x:v>
      </x:c>
      <x:c r="Q435" s="12" t="str">
        <x:v>Cambium Networks</x:v>
      </x:c>
    </x:row>
    <x:row r="436" ht="48" customHeight="1">
      <x:c r="A436" s="2" t="str">
        <x:v>TEN-17C400F7181E</x:v>
      </x:c>
      <x:c r="B436" s="12" t="str">
        <x:v>Cambium Networks Private Limited</x:v>
      </x:c>
      <x:c r="C436" s="12" t="str">
        <x:v>Business / brand</x:v>
      </x:c>
      <x:c r="D436" s="12" t="str">
        <x:v>IT &amp; digital</x:v>
      </x:c>
      <x:c r="E436" s="12" t="str">
        <x:v>Telecom, networks &amp; connectivity</x:v>
      </x:c>
      <x:c r="F436" s="12" t="str">
        <x:v>Mixed business audience</x:v>
      </x:c>
      <x:c r="G436" s="12" t="str">
        <x:v>Established brand or business network; local company scale is not established. Use a mixed-business message.</x:v>
      </x:c>
      <x:c r="H436" s="11" t="n">
        <x:v>6</x:v>
      </x:c>
      <x:c r="I436" s="11" t="n">
        <x:v>6</x:v>
      </x:c>
      <x:c r="J436" s="11" t="n">
        <x:v>6</x:v>
      </x:c>
      <x:c r="K436" s="11" t="n">
        <x:v>0</x:v>
      </x:c>
      <x:c r="L436" s="17" t="n">
        <x:f>SUM(SUMIFS('Costing'!$P$9:$P$492,'Costing'!$A$9:$A$492,"PARTNER-M067"),SUMIFS('Costing'!$P$9:$P$492,'Costing'!$A$9:$A$492,"PARTNER-M166"))</x:f>
        <x:v>240000</x:v>
      </x:c>
      <x:c r="M436" s="17" t="n">
        <x:f>ROUND(L436*'Costing'!$C$4,2)</x:f>
        <x:v>43200</x:v>
      </x:c>
      <x:c r="N436" s="17" t="n">
        <x:f>L436+M436</x:f>
        <x:v>283200</x:v>
      </x:c>
      <x:c r="O436" s="12" t="str">
        <x:v>Bengaluru</x:v>
      </x:c>
      <x:c r="P436" s="12" t="str">
        <x:v>CORP-0485, CORP-0486, CORP-0487, CORP-0584, CORP-0585, CORP-0586</x:v>
      </x:c>
      <x:c r="Q436" s="12" t="str">
        <x:v>Cambium Networks Private Limited</x:v>
      </x:c>
    </x:row>
    <x:row r="437" ht="75" customHeight="1">
      <x:c r="A437" s="2" t="str">
        <x:v>TEN-1FAA12305EE7</x:v>
      </x:c>
      <x:c r="B437" s="12" t="str">
        <x:v>Cambridge University Press &amp; Assessment</x:v>
      </x:c>
      <x:c r="C437" s="12" t="str">
        <x:v>Public / nonprofit</x:v>
      </x:c>
      <x:c r="D437" s="12" t="str">
        <x:v>Education</x:v>
      </x:c>
      <x:c r="E437" s="12" t="str">
        <x:v>Schools, childcare &amp; higher education</x:v>
      </x:c>
      <x:c r="F437" s="12" t="str">
        <x:v>Institutional</x:v>
      </x:c>
      <x:c r="G437" s="12" t="str">
        <x:v>Existing directory identifies an institutional, government, education, membership or nonprofit organisation rather than an ordinary MSME business prospect. This tag describes audience role and does not assert legal tax status.</x:v>
      </x:c>
      <x:c r="H437" s="11" t="n">
        <x:v>4</x:v>
      </x:c>
      <x:c r="I437" s="11" t="n">
        <x:v>4</x:v>
      </x:c>
      <x:c r="J437" s="11" t="n">
        <x:v>4</x:v>
      </x:c>
      <x:c r="K437" s="11" t="n">
        <x:v>0</x:v>
      </x:c>
      <x:c r="L437" s="17" t="n">
        <x:f>SUM(SUMIFS('Costing'!$P$9:$P$492,'Costing'!$A$9:$A$492,"PARTNER-M093"))</x:f>
        <x:v>160000</x:v>
      </x:c>
      <x:c r="M437" s="17" t="n">
        <x:f>ROUND(L437*'Costing'!$C$4,2)</x:f>
        <x:v>28800</x:v>
      </x:c>
      <x:c r="N437" s="17" t="n">
        <x:f>L437+M437</x:f>
        <x:v>188800</x:v>
      </x:c>
      <x:c r="O437" s="12" t="str">
        <x:v>Bengaluru</x:v>
      </x:c>
      <x:c r="P437" s="12" t="str">
        <x:v>CORP-0511, CORP-0512, CORP-0513, CORP-0514</x:v>
      </x:c>
      <x:c r="Q437" s="12" t="str">
        <x:v>Cambridge University Press &amp; Assessment</x:v>
      </x:c>
    </x:row>
    <x:row r="438" ht="48" customHeight="1">
      <x:c r="A438" s="2" t="str">
        <x:v>TEN-E8A956B73F6D</x:v>
      </x:c>
      <x:c r="B438" s="12" t="str">
        <x:v>Cams Vashi Office</x:v>
      </x:c>
      <x:c r="C438" s="12" t="str">
        <x:v>Business / brand</x:v>
      </x:c>
      <x:c r="D438" s="12" t="str">
        <x:v>Finance &amp; insurance</x:v>
      </x:c>
      <x:c r="E438" s="12" t="str">
        <x:v>Banking, credit &amp; financial services</x:v>
      </x:c>
      <x:c r="F438" s="12" t="str">
        <x:v>Mixed business audience</x:v>
      </x:c>
      <x:c r="G438" s="12" t="str">
        <x:v>Established brand or business network; local company scale is not established. Use a mixed-business message.</x:v>
      </x:c>
      <x:c r="H438" s="11" t="n">
        <x:v>1</x:v>
      </x:c>
      <x:c r="I438" s="11" t="n">
        <x:v>47</x:v>
      </x:c>
      <x:c r="J438" s="11" t="n">
        <x:v>47</x:v>
      </x:c>
      <x:c r="K438" s="11" t="n">
        <x:v>0</x:v>
      </x:c>
      <x:c r="L438" s="17" t="n">
        <x:f>SUM(SUMIFS('Costing'!$P$9:$P$492,'Costing'!$A$9:$A$492,"MAIN-308"))</x:f>
        <x:v>705000</x:v>
      </x:c>
      <x:c r="M438" s="17" t="n">
        <x:f>ROUND(L438*'Costing'!$C$4,2)</x:f>
        <x:v>126900</x:v>
      </x:c>
      <x:c r="N438" s="17" t="n">
        <x:f>L438+M438</x:f>
        <x:v>831900</x:v>
      </x:c>
      <x:c r="O438" s="12" t="str">
        <x:v>Mumbai</x:v>
      </x:c>
      <x:c r="P438" s="12" t="str">
        <x:v>CORP-0304</x:v>
      </x:c>
      <x:c r="Q438" s="12" t="str">
        <x:v>Cams Vashi Office</x:v>
      </x:c>
    </x:row>
    <x:row r="439" ht="48" customHeight="1">
      <x:c r="A439" s="2" t="str">
        <x:v>TEN-3C994B7C46CE</x:v>
      </x:c>
      <x:c r="B439" s="12" t="str">
        <x:v>Canara Bank-General Branch</x:v>
      </x:c>
      <x:c r="C439" s="12" t="str">
        <x:v>Business / brand</x:v>
      </x:c>
      <x:c r="D439" s="12" t="str">
        <x:v>Finance &amp; insurance</x:v>
      </x:c>
      <x:c r="E439" s="12" t="str">
        <x:v>Banking &amp; credit</x:v>
      </x:c>
      <x:c r="F439" s="12" t="str">
        <x:v>Large enterprise</x:v>
      </x:c>
      <x:c r="G439" s="12" t="str">
        <x:v>Explicit Canara Bank enterprise-family context; see ENTERPRISE_SUPP_012 evidence.</x:v>
      </x:c>
      <x:c r="H439" s="11" t="n">
        <x:v>1</x:v>
      </x:c>
      <x:c r="I439" s="11" t="n">
        <x:v>4</x:v>
      </x:c>
      <x:c r="J439" s="11" t="n">
        <x:v>4</x:v>
      </x:c>
      <x:c r="K439" s="11" t="n">
        <x:v>0</x:v>
      </x:c>
      <x:c r="L439" s="17" t="n">
        <x:f>SUM(SUMIFS('Costing'!$P$9:$P$492,'Costing'!$A$9:$A$492,"MAIN-053"))</x:f>
        <x:v>60000</x:v>
      </x:c>
      <x:c r="M439" s="17" t="n">
        <x:f>ROUND(L439*'Costing'!$C$4,2)</x:f>
        <x:v>10800</x:v>
      </x:c>
      <x:c r="N439" s="17" t="n">
        <x:f>L439+M439</x:f>
        <x:v>70800</x:v>
      </x:c>
      <x:c r="O439" s="12" t="str">
        <x:v>Bengaluru</x:v>
      </x:c>
      <x:c r="P439" s="12" t="str">
        <x:v>CORP-0049</x:v>
      </x:c>
      <x:c r="Q439" s="12" t="str">
        <x:v>Canara Bank-General Branch</x:v>
      </x:c>
    </x:row>
    <x:row r="440" ht="48" customHeight="1">
      <x:c r="A440" s="2" t="str">
        <x:v>TEN-C73172A3BDEB</x:v>
      </x:c>
      <x:c r="B440" s="12" t="str">
        <x:v>Canara X HSBC Insurance</x:v>
      </x:c>
      <x:c r="C440" s="12" t="str">
        <x:v>Business / brand</x:v>
      </x:c>
      <x:c r="D440" s="12" t="str">
        <x:v>Finance &amp; insurance</x:v>
      </x:c>
      <x:c r="E440" s="12" t="str">
        <x:v>Insurance &amp; insurance services</x:v>
      </x:c>
      <x:c r="F440" s="12" t="str">
        <x:v>Mixed business audience</x:v>
      </x:c>
      <x:c r="G440" s="12" t="str">
        <x:v>Established brand or business network; local company scale is not established. Use a mixed-business message.</x:v>
      </x:c>
      <x:c r="H440" s="11" t="n">
        <x:v>1</x:v>
      </x:c>
      <x:c r="I440" s="11" t="n">
        <x:v>2</x:v>
      </x:c>
      <x:c r="J440" s="11" t="n">
        <x:v>2</x:v>
      </x:c>
      <x:c r="K440" s="11" t="n">
        <x:v>0</x:v>
      </x:c>
      <x:c r="L440" s="17" t="n">
        <x:f>SUM(SUMIFS('Costing'!$P$9:$P$492,'Costing'!$A$9:$A$492,"MAIN-268"))</x:f>
        <x:v>80000</x:v>
      </x:c>
      <x:c r="M440" s="17" t="n">
        <x:f>ROUND(L440*'Costing'!$C$4,2)</x:f>
        <x:v>14400</x:v>
      </x:c>
      <x:c r="N440" s="17" t="n">
        <x:f>L440+M440</x:f>
        <x:v>94400</x:v>
      </x:c>
      <x:c r="O440" s="12" t="str">
        <x:v>Indore</x:v>
      </x:c>
      <x:c r="P440" s="12" t="str">
        <x:v>CORP-0264</x:v>
      </x:c>
      <x:c r="Q440" s="12" t="str">
        <x:v>Canara X HSBC Insurance</x:v>
      </x:c>
    </x:row>
    <x:row r="441" ht="48" customHeight="1">
      <x:c r="A441" s="2" t="str">
        <x:v>TEN-0CCB511F7B14</x:v>
      </x:c>
      <x:c r="B441" s="12" t="str">
        <x:v>Candle light club</x:v>
      </x:c>
      <x:c r="C441" s="12" t="str">
        <x:v>Business / brand</x:v>
      </x:c>
      <x:c r="D441" s="12" t="str">
        <x:v>Trade, consumer &amp; logistics</x:v>
      </x:c>
      <x:c r="E441" s="12" t="str">
        <x:v>Travel, hospitality, food &amp; beverages</x:v>
      </x:c>
      <x:c r="F441" s="12" t="str">
        <x:v>Small-scale prospects</x:v>
      </x:c>
      <x:c r="G441" s="12" t="str">
        <x:v>Trading or consumer-services business; small-scale prospect assumption.</x:v>
      </x:c>
      <x:c r="H441" s="11" t="n">
        <x:v>1</x:v>
      </x:c>
      <x:c r="I441" s="11" t="n">
        <x:v>1</x:v>
      </x:c>
      <x:c r="J441" s="11" t="n">
        <x:v>1</x:v>
      </x:c>
      <x:c r="K441" s="11" t="n">
        <x:v>0</x:v>
      </x:c>
      <x:c r="L441" s="17" t="n">
        <x:f>SUM(SUMIFS('Costing'!$P$9:$P$492,'Costing'!$A$9:$A$492,"MAIN-379"))</x:f>
        <x:v>15000</x:v>
      </x:c>
      <x:c r="M441" s="17" t="n">
        <x:f>ROUND(L441*'Costing'!$C$4,2)</x:f>
        <x:v>2700</x:v>
      </x:c>
      <x:c r="N441" s="17" t="n">
        <x:f>L441+M441</x:f>
        <x:v>17700</x:v>
      </x:c>
      <x:c r="O441" s="12" t="str">
        <x:v>Pune</x:v>
      </x:c>
      <x:c r="P441" s="12" t="str">
        <x:v>CORP-0375</x:v>
      </x:c>
      <x:c r="Q441" s="12" t="str">
        <x:v>Candle light club</x:v>
      </x:c>
    </x:row>
    <x:row r="442" ht="48" customHeight="1">
      <x:c r="A442" s="2" t="str">
        <x:v>TEN-C7D44E633249</x:v>
      </x:c>
      <x:c r="B442" s="12" t="str">
        <x:v>Canopus</x:v>
      </x:c>
      <x:c r="C442" s="12" t="str">
        <x:v>Business / brand</x:v>
      </x:c>
      <x:c r="D442" s="12" t="str">
        <x:v>Unresolved</x:v>
      </x:c>
      <x:c r="E442" s="12" t="str">
        <x:v>Business activity not established</x:v>
      </x:c>
      <x:c r="F442" s="12" t="str">
        <x:v>Mixed business audience</x:v>
      </x:c>
      <x:c r="G442" s="12" t="str">
        <x:v>Business activity and company scale are not established from this name.</x:v>
      </x:c>
      <x:c r="H442" s="11" t="n">
        <x:v>1</x:v>
      </x:c>
      <x:c r="I442" s="11" t="n">
        <x:v>1</x:v>
      </x:c>
      <x:c r="J442" s="11" t="n">
        <x:v>1</x:v>
      </x:c>
      <x:c r="K442" s="11" t="n">
        <x:v>0</x:v>
      </x:c>
      <x:c r="L442" s="17" t="n">
        <x:f>SUM(SUMIFS('Costing'!$P$9:$P$492,'Costing'!$A$9:$A$492,"MAIN-266"))</x:f>
        <x:v>20000</x:v>
      </x:c>
      <x:c r="M442" s="17" t="n">
        <x:f>ROUND(L442*'Costing'!$C$4,2)</x:f>
        <x:v>3600</x:v>
      </x:c>
      <x:c r="N442" s="17" t="n">
        <x:f>L442+M442</x:f>
        <x:v>23600</x:v>
      </x:c>
      <x:c r="O442" s="12" t="str">
        <x:v>Indore</x:v>
      </x:c>
      <x:c r="P442" s="12" t="str">
        <x:v>CORP-0262</x:v>
      </x:c>
      <x:c r="Q442" s="12" t="str">
        <x:v>Canopus</x:v>
      </x:c>
    </x:row>
    <x:row r="443" ht="48" customHeight="1">
      <x:c r="A443" s="2" t="str">
        <x:v>TEN-464F9C5379BC</x:v>
      </x:c>
      <x:c r="B443" s="12" t="str">
        <x:v>CAPELLA ENTERPRISES</x:v>
      </x:c>
      <x:c r="C443" s="12" t="str">
        <x:v>Business / brand</x:v>
      </x:c>
      <x:c r="D443" s="12" t="str">
        <x:v>Unresolved</x:v>
      </x:c>
      <x:c r="E443" s="12" t="str">
        <x:v>Business activity not established</x:v>
      </x:c>
      <x:c r="F443" s="12" t="str">
        <x:v>Mixed business audience</x:v>
      </x:c>
      <x:c r="G443" s="12" t="str">
        <x:v>Business activity and company scale are not established from this name.</x:v>
      </x:c>
      <x:c r="H443" s="11" t="n">
        <x:v>1</x:v>
      </x:c>
      <x:c r="I443" s="11" t="n">
        <x:v>2</x:v>
      </x:c>
      <x:c r="J443" s="11" t="n">
        <x:v>2</x:v>
      </x:c>
      <x:c r="K443" s="11" t="n">
        <x:v>0</x:v>
      </x:c>
      <x:c r="L443" s="17" t="n">
        <x:f>SUM(SUMIFS('Costing'!$P$9:$P$492,'Costing'!$A$9:$A$492,"MAIN-244"))</x:f>
        <x:v>30000</x:v>
      </x:c>
      <x:c r="M443" s="17" t="n">
        <x:f>ROUND(L443*'Costing'!$C$4,2)</x:f>
        <x:v>5400</x:v>
      </x:c>
      <x:c r="N443" s="17" t="n">
        <x:f>L443+M443</x:f>
        <x:v>35400</x:v>
      </x:c>
      <x:c r="O443" s="12" t="str">
        <x:v>Hyderabad</x:v>
      </x:c>
      <x:c r="P443" s="12" t="str">
        <x:v>CORP-0240</x:v>
      </x:c>
      <x:c r="Q443" s="12" t="str">
        <x:v>CAPELLA ENTERPRISES</x:v>
      </x:c>
    </x:row>
    <x:row r="444" ht="101" customHeight="1">
      <x:c r="A444" s="2" t="str">
        <x:v>TEN-F55A85B2F2EB</x:v>
      </x:c>
      <x:c r="B444" s="12" t="str">
        <x:v>Capgemini</x:v>
      </x:c>
      <x:c r="C444" s="12" t="str">
        <x:v>Business / brand</x:v>
      </x:c>
      <x:c r="D444" s="12" t="str">
        <x:v>IT &amp; digital</x:v>
      </x:c>
      <x:c r="E444" s="12" t="str">
        <x:v>Technology services — specialty unverified</x:v>
      </x:c>
      <x:c r="F444" s="12" t="str">
        <x:v>Large enterprise</x:v>
      </x:c>
      <x:c r="G444" s="12" t="str">
        <x:v>Official group overview reports 420K people and EUR22.5B 2025 revenue.</x:v>
      </x:c>
      <x:c r="H444" s="11" t="n">
        <x:v>36</x:v>
      </x:c>
      <x:c r="I444" s="11" t="n">
        <x:v>77</x:v>
      </x:c>
      <x:c r="J444" s="11" t="n">
        <x:v>77</x:v>
      </x:c>
      <x:c r="K444" s="11" t="n">
        <x:v>0</x:v>
      </x:c>
      <x:c r="L444" s="17" t="n">
        <x:f>SUM(SUMIFS('Costing'!$P$9:$P$492,'Costing'!$A$9:$A$492,"MAIN-060"),SUMIFS('Costing'!$P$9:$P$492,'Costing'!$A$9:$A$492,"MAIN-235"),SUMIFS('Costing'!$P$9:$P$492,'Costing'!$A$9:$A$492,"MAIN-236"),SUMIFS('Costing'!$P$9:$P$492,'Costing'!$A$9:$A$492,"MAIN-345"),SUMIFS('Costing'!$P$9:$P$492,'Costing'!$A$9:$A$492,"MAIN-346"),SUMIFS('Costing'!$P$9:$P$492,'Costing'!$A$9:$A$492,"PARTNER-M039"),SUMIFS('Costing'!$P$9:$P$492,'Costing'!$A$9:$A$492,"PARTNER-M045"),SUMIFS('Costing'!$P$9:$P$492,'Costing'!$A$9:$A$492,"PARTNER-M014"),SUMIFS('Costing'!$P$9:$P$492,'Costing'!$A$9:$A$492,"PARTNER-M252"))</x:f>
        <x:v>2305000</x:v>
      </x:c>
      <x:c r="M444" s="17" t="n">
        <x:f>ROUND(L444*'Costing'!$C$4,2)</x:f>
        <x:v>414900</x:v>
      </x:c>
      <x:c r="N444" s="17" t="n">
        <x:f>L444+M444</x:f>
        <x:v>2719900</x:v>
      </x:c>
      <x:c r="O444" s="12" t="str">
        <x:v>Bengaluru, Hyderabad, Mumbai, Pune</x:v>
      </x:c>
      <x:c r="P444" s="12" t="str">
        <x:v>CORP-0056, CORP-0231, CORP-0232, CORP-0341, CORP-0342, CORP-0432, CORP-0433, CORP-0434, CORP-0435, CORP-0436, CORP-0437, CORP-0438, CORP-0439, CORP-0440, CORP-0441, CORP-0457, CORP-0458, CORP-0459, CORP-0460, CORP-0461, CORP-0462, CORP-0463, CORP-0464, CORP-0465, CORP-0466, CORP-0467, CORP-0468, CORP-0668, CORP-0669, CORP-0670, CORP-0671, CORP-0672, CORP-0673, CORP-0674, CORP-0675, CORP-0676</x:v>
      </x:c>
      <x:c r="Q444" s="12" t="str">
        <x:v>Capgemini</x:v>
      </x:c>
    </x:row>
    <x:row r="445" ht="48" customHeight="1">
      <x:c r="A445" s="2" t="str">
        <x:v>TEN-3DA7A100CB6A</x:v>
      </x:c>
      <x:c r="B445" s="12" t="str">
        <x:v>CapGemini Technologies Services Pvt Ltd</x:v>
      </x:c>
      <x:c r="C445" s="12" t="str">
        <x:v>Business / brand</x:v>
      </x:c>
      <x:c r="D445" s="12" t="str">
        <x:v>IT &amp; digital</x:v>
      </x:c>
      <x:c r="E445" s="12" t="str">
        <x:v>Technology services — specialty unverified</x:v>
      </x:c>
      <x:c r="F445" s="12" t="str">
        <x:v>Large enterprise</x:v>
      </x:c>
      <x:c r="G445" s="12" t="str">
        <x:v>Official group overview reports 420K people and EUR22.5B 2025 revenue.</x:v>
      </x:c>
      <x:c r="H445" s="11" t="n">
        <x:v>2</x:v>
      </x:c>
      <x:c r="I445" s="11" t="n">
        <x:v>2</x:v>
      </x:c>
      <x:c r="J445" s="11" t="n">
        <x:v>2</x:v>
      </x:c>
      <x:c r="K445" s="11" t="n">
        <x:v>0</x:v>
      </x:c>
      <x:c r="L445" s="17" t="n">
        <x:f>SUM(SUMIFS('Costing'!$P$9:$P$492,'Costing'!$A$9:$A$492,"PARTNER-M336"))</x:f>
        <x:v>80000</x:v>
      </x:c>
      <x:c r="M445" s="17" t="n">
        <x:f>ROUND(L445*'Costing'!$C$4,2)</x:f>
        <x:v>14400</x:v>
      </x:c>
      <x:c r="N445" s="17" t="n">
        <x:f>L445+M445</x:f>
        <x:v>94400</x:v>
      </x:c>
      <x:c r="O445" s="12" t="str">
        <x:v>Chennai</x:v>
      </x:c>
      <x:c r="P445" s="12" t="str">
        <x:v>CORP-0750, CORP-0751</x:v>
      </x:c>
      <x:c r="Q445" s="12" t="str">
        <x:v>CapGemini Technologies Services Pvt Ltd</x:v>
      </x:c>
    </x:row>
    <x:row r="446" ht="48" customHeight="1">
      <x:c r="A446" s="2" t="str">
        <x:v>TEN-E1F3AEFC4A1F</x:v>
      </x:c>
      <x:c r="B446" s="12" t="str">
        <x:v>Capgemini Technology Services India Limited</x:v>
      </x:c>
      <x:c r="C446" s="12" t="str">
        <x:v>Business / brand</x:v>
      </x:c>
      <x:c r="D446" s="12" t="str">
        <x:v>IT &amp; digital</x:v>
      </x:c>
      <x:c r="E446" s="12" t="str">
        <x:v>Enterprise software &amp; digital engineering</x:v>
      </x:c>
      <x:c r="F446" s="12" t="str">
        <x:v>Large enterprise</x:v>
      </x:c>
      <x:c r="G446" s="12" t="str">
        <x:v>Official group overview reports 420K people and EUR22.5B 2025 revenue.</x:v>
      </x:c>
      <x:c r="H446" s="11" t="n">
        <x:v>3</x:v>
      </x:c>
      <x:c r="I446" s="11" t="n">
        <x:v>33</x:v>
      </x:c>
      <x:c r="J446" s="11" t="n">
        <x:v>33</x:v>
      </x:c>
      <x:c r="K446" s="11" t="n">
        <x:v>0</x:v>
      </x:c>
      <x:c r="L446" s="17" t="n">
        <x:f>SUM(SUMIFS('Costing'!$P$9:$P$492,'Costing'!$A$9:$A$492,"MAIN-011"),SUMIFS('Costing'!$P$9:$P$492,'Costing'!$A$9:$A$492,"MAIN-039"),SUMIFS('Costing'!$P$9:$P$492,'Costing'!$A$9:$A$492,"MAIN-234"))</x:f>
        <x:v>895000</x:v>
      </x:c>
      <x:c r="M446" s="17" t="n">
        <x:f>ROUND(L446*'Costing'!$C$4,2)</x:f>
        <x:v>161100</x:v>
      </x:c>
      <x:c r="N446" s="17" t="n">
        <x:f>L446+M446</x:f>
        <x:v>1056100</x:v>
      </x:c>
      <x:c r="O446" s="12" t="str">
        <x:v>Bengaluru, Hyderabad</x:v>
      </x:c>
      <x:c r="P446" s="12" t="str">
        <x:v>CORP-0007, CORP-0035, CORP-0230</x:v>
      </x:c>
      <x:c r="Q446" s="12" t="str">
        <x:v>Capgemini Technology Services India Limited</x:v>
      </x:c>
    </x:row>
    <x:row r="447" ht="48" customHeight="1">
      <x:c r="A447" s="2" t="str">
        <x:v>TEN-AAF6BBA77E60</x:v>
      </x:c>
      <x:c r="B447" s="12" t="str">
        <x:v>Capita</x:v>
      </x:c>
      <x:c r="C447" s="12" t="str">
        <x:v>Business / brand</x:v>
      </x:c>
      <x:c r="D447" s="12" t="str">
        <x:v>IT &amp; digital</x:v>
      </x:c>
      <x:c r="E447" s="12" t="str">
        <x:v>Business process &amp; customer operations</x:v>
      </x:c>
      <x:c r="F447" s="12" t="str">
        <x:v>Mixed business audience</x:v>
      </x:c>
      <x:c r="G447" s="12" t="str">
        <x:v>Established brand or business network; local company scale is not established. Use a mixed-business message.</x:v>
      </x:c>
      <x:c r="H447" s="11" t="n">
        <x:v>9</x:v>
      </x:c>
      <x:c r="I447" s="11" t="n">
        <x:v>9</x:v>
      </x:c>
      <x:c r="J447" s="11" t="n">
        <x:v>9</x:v>
      </x:c>
      <x:c r="K447" s="11" t="n">
        <x:v>0</x:v>
      </x:c>
      <x:c r="L447" s="17" t="n">
        <x:f>SUM(SUMIFS('Costing'!$P$9:$P$492,'Costing'!$A$9:$A$492,"PARTNER-M252"))</x:f>
        <x:v>360000</x:v>
      </x:c>
      <x:c r="M447" s="17" t="n">
        <x:f>ROUND(L447*'Costing'!$C$4,2)</x:f>
        <x:v>64800</x:v>
      </x:c>
      <x:c r="N447" s="17" t="n">
        <x:f>L447+M447</x:f>
        <x:v>424800</x:v>
      </x:c>
      <x:c r="O447" s="12" t="str">
        <x:v>Pune</x:v>
      </x:c>
      <x:c r="P447" s="12" t="str">
        <x:v>CORP-0668, CORP-0669, CORP-0670, CORP-0671, CORP-0672, CORP-0673, CORP-0674, CORP-0675, CORP-0676</x:v>
      </x:c>
      <x:c r="Q447" s="12" t="str">
        <x:v>Capita</x:v>
      </x:c>
    </x:row>
    <x:row r="448" ht="48" customHeight="1">
      <x:c r="A448" s="2" t="str">
        <x:v>TEN-8C4275F1FD40</x:v>
      </x:c>
      <x:c r="B448" s="12" t="str">
        <x:v>Capital Land</x:v>
      </x:c>
      <x:c r="C448" s="12" t="str">
        <x:v>Business / brand</x:v>
      </x:c>
      <x:c r="D448" s="12" t="str">
        <x:v>Trade, consumer &amp; logistics</x:v>
      </x:c>
      <x:c r="E448" s="12" t="str">
        <x:v>Real estate, property &amp; construction services</x:v>
      </x:c>
      <x:c r="F448" s="12" t="str">
        <x:v>Mixed business audience</x:v>
      </x:c>
      <x:c r="G448" s="12" t="str">
        <x:v>Established brand or business network; local company scale is not established. Use a mixed-business message.</x:v>
      </x:c>
      <x:c r="H448" s="11" t="n">
        <x:v>9</x:v>
      </x:c>
      <x:c r="I448" s="11" t="n">
        <x:v>9</x:v>
      </x:c>
      <x:c r="J448" s="11" t="n">
        <x:v>9</x:v>
      </x:c>
      <x:c r="K448" s="11" t="n">
        <x:v>0</x:v>
      </x:c>
      <x:c r="L448" s="17" t="n">
        <x:f>SUM(SUMIFS('Costing'!$P$9:$P$492,'Costing'!$A$9:$A$492,"PARTNER-M002"))</x:f>
        <x:v>360000</x:v>
      </x:c>
      <x:c r="M448" s="17" t="n">
        <x:f>ROUND(L448*'Costing'!$C$4,2)</x:f>
        <x:v>64800</x:v>
      </x:c>
      <x:c r="N448" s="17" t="n">
        <x:f>L448+M448</x:f>
        <x:v>424800</x:v>
      </x:c>
      <x:c r="O448" s="12" t="str">
        <x:v>Bengaluru</x:v>
      </x:c>
      <x:c r="P448" s="12" t="str">
        <x:v>CORP-0420, CORP-0421, CORP-0422, CORP-0423, CORP-0424, CORP-0425, CORP-0426, CORP-0427, CORP-0428</x:v>
      </x:c>
      <x:c r="Q448" s="12" t="str">
        <x:v>Capital Land</x:v>
      </x:c>
    </x:row>
    <x:row r="449" ht="48" customHeight="1">
      <x:c r="A449" s="2" t="str">
        <x:v>TEN-29CCA10F58D0</x:v>
      </x:c>
      <x:c r="B449" s="12" t="str">
        <x:v>Capital Now</x:v>
      </x:c>
      <x:c r="C449" s="12" t="str">
        <x:v>Business / brand</x:v>
      </x:c>
      <x:c r="D449" s="12" t="str">
        <x:v>Finance &amp; insurance</x:v>
      </x:c>
      <x:c r="E449" s="12" t="str">
        <x:v>Investments, securities &amp; wealth</x:v>
      </x:c>
      <x:c r="F449" s="12" t="str">
        <x:v>Medium-scale prospects</x:v>
      </x:c>
      <x:c r="G449" s="12" t="str">
        <x:v>Specialist financial-services business; medium-scale prospect assumption.</x:v>
      </x:c>
      <x:c r="H449" s="11" t="n">
        <x:v>1</x:v>
      </x:c>
      <x:c r="I449" s="11" t="n">
        <x:v>2</x:v>
      </x:c>
      <x:c r="J449" s="11" t="n">
        <x:v>2</x:v>
      </x:c>
      <x:c r="K449" s="11" t="n">
        <x:v>0</x:v>
      </x:c>
      <x:c r="L449" s="17" t="n">
        <x:f>SUM(SUMIFS('Costing'!$P$9:$P$492,'Costing'!$A$9:$A$492,"MAIN-257"))</x:f>
        <x:v>40000</x:v>
      </x:c>
      <x:c r="M449" s="17" t="n">
        <x:f>ROUND(L449*'Costing'!$C$4,2)</x:f>
        <x:v>7200</x:v>
      </x:c>
      <x:c r="N449" s="17" t="n">
        <x:f>L449+M449</x:f>
        <x:v>47200</x:v>
      </x:c>
      <x:c r="O449" s="12" t="str">
        <x:v>Hyderabad</x:v>
      </x:c>
      <x:c r="P449" s="12" t="str">
        <x:v>CORP-0253</x:v>
      </x:c>
      <x:c r="Q449" s="12" t="str">
        <x:v>Capital Now</x:v>
      </x:c>
    </x:row>
    <x:row r="450" ht="48" customHeight="1">
      <x:c r="A450" s="2" t="str">
        <x:v>TEN-E517F4484EEE</x:v>
      </x:c>
      <x:c r="B450" s="12" t="str">
        <x:v>CapRelo Mobility India Private Limited</x:v>
      </x:c>
      <x:c r="C450" s="12" t="str">
        <x:v>Business / brand</x:v>
      </x:c>
      <x:c r="D450" s="12" t="str">
        <x:v>Professional services</x:v>
      </x:c>
      <x:c r="E450" s="12" t="str">
        <x:v>Research, marketing &amp; professional services</x:v>
      </x:c>
      <x:c r="F450" s="12" t="str">
        <x:v>Mixed business audience</x:v>
      </x:c>
      <x:c r="G450" s="12" t="str">
        <x:v>Established brand or business network; local company scale is not established. Use a mixed-business message.</x:v>
      </x:c>
      <x:c r="H450" s="11" t="n">
        <x:v>7</x:v>
      </x:c>
      <x:c r="I450" s="11" t="n">
        <x:v>7</x:v>
      </x:c>
      <x:c r="J450" s="11" t="n">
        <x:v>7</x:v>
      </x:c>
      <x:c r="K450" s="11" t="n">
        <x:v>0</x:v>
      </x:c>
      <x:c r="L450" s="17" t="n">
        <x:f>SUM(SUMIFS('Costing'!$P$9:$P$492,'Costing'!$A$9:$A$492,"PARTNER-M027"))</x:f>
        <x:v>280000</x:v>
      </x:c>
      <x:c r="M450" s="17" t="n">
        <x:f>ROUND(L450*'Costing'!$C$4,2)</x:f>
        <x:v>50400</x:v>
      </x:c>
      <x:c r="N450" s="17" t="n">
        <x:f>L450+M450</x:f>
        <x:v>330400</x:v>
      </x:c>
      <x:c r="O450" s="12" t="str">
        <x:v>Bengaluru</x:v>
      </x:c>
      <x:c r="P450" s="12" t="str">
        <x:v>CORP-0445, CORP-0446, CORP-0447, CORP-0448, CORP-0449, CORP-0450, CORP-0451</x:v>
      </x:c>
      <x:c r="Q450" s="12" t="str">
        <x:v>CapRelo Mobility India Private Limited</x:v>
      </x:c>
    </x:row>
    <x:row r="451" ht="48" customHeight="1">
      <x:c r="A451" s="2" t="str">
        <x:v>TEN-AD95F6E4E93C</x:v>
      </x:c>
      <x:c r="B451" s="12" t="str">
        <x:v>Captain decor</x:v>
      </x:c>
      <x:c r="C451" s="12" t="str">
        <x:v>Business / brand</x:v>
      </x:c>
      <x:c r="D451" s="12" t="str">
        <x:v>Professional services</x:v>
      </x:c>
      <x:c r="E451" s="12" t="str">
        <x:v>Architecture, interiors &amp; design</x:v>
      </x:c>
      <x:c r="F451" s="12" t="str">
        <x:v>Small-scale prospects</x:v>
      </x:c>
      <x:c r="G451" s="12" t="str">
        <x:v>Professional service, agency or advisory model; small-scale prospect assumption.</x:v>
      </x:c>
      <x:c r="H451" s="11" t="n">
        <x:v>1</x:v>
      </x:c>
      <x:c r="I451" s="11" t="n">
        <x:v>8</x:v>
      </x:c>
      <x:c r="J451" s="11" t="n">
        <x:v>8</x:v>
      </x:c>
      <x:c r="K451" s="11" t="n">
        <x:v>0</x:v>
      </x:c>
      <x:c r="L451" s="17" t="n">
        <x:f>SUM(SUMIFS('Costing'!$P$9:$P$492,'Costing'!$A$9:$A$492,"MAIN-211"))</x:f>
        <x:v>200000</x:v>
      </x:c>
      <x:c r="M451" s="17" t="n">
        <x:f>ROUND(L451*'Costing'!$C$4,2)</x:f>
        <x:v>36000</x:v>
      </x:c>
      <x:c r="N451" s="17" t="n">
        <x:f>L451+M451</x:f>
        <x:v>236000</x:v>
      </x:c>
      <x:c r="O451" s="12" t="str">
        <x:v>Delhi NCR</x:v>
      </x:c>
      <x:c r="P451" s="12" t="str">
        <x:v>CORP-0207</x:v>
      </x:c>
      <x:c r="Q451" s="12" t="str">
        <x:v>Captain decor</x:v>
      </x:c>
    </x:row>
    <x:row r="452" ht="48" customHeight="1">
      <x:c r="A452" s="2" t="str">
        <x:v>TEN-BC652A17D88B</x:v>
      </x:c>
      <x:c r="B452" s="12" t="str">
        <x:v>car24</x:v>
      </x:c>
      <x:c r="C452" s="12" t="str">
        <x:v>Business / brand</x:v>
      </x:c>
      <x:c r="D452" s="12" t="str">
        <x:v>Trade, consumer &amp; logistics</x:v>
      </x:c>
      <x:c r="E452" s="12" t="str">
        <x:v>Retail, consumer products &amp; ecommerce</x:v>
      </x:c>
      <x:c r="F452" s="12" t="str">
        <x:v>Mixed business audience</x:v>
      </x:c>
      <x:c r="G452" s="12" t="str">
        <x:v>Established brand or business network; local company scale is not established. Use a mixed-business message.</x:v>
      </x:c>
      <x:c r="H452" s="11" t="n">
        <x:v>1</x:v>
      </x:c>
      <x:c r="I452" s="11" t="n">
        <x:v>2</x:v>
      </x:c>
      <x:c r="J452" s="11" t="n">
        <x:v>2</x:v>
      </x:c>
      <x:c r="K452" s="11" t="n">
        <x:v>0</x:v>
      </x:c>
      <x:c r="L452" s="17" t="n">
        <x:f>SUM(SUMIFS('Costing'!$P$9:$P$492,'Costing'!$A$9:$A$492,"MAIN-288"))</x:f>
        <x:v>40000</x:v>
      </x:c>
      <x:c r="M452" s="17" t="n">
        <x:f>ROUND(L452*'Costing'!$C$4,2)</x:f>
        <x:v>7200</x:v>
      </x:c>
      <x:c r="N452" s="17" t="n">
        <x:f>L452+M452</x:f>
        <x:v>47200</x:v>
      </x:c>
      <x:c r="O452" s="12" t="str">
        <x:v>Lucknow</x:v>
      </x:c>
      <x:c r="P452" s="12" t="str">
        <x:v>CORP-0284</x:v>
      </x:c>
      <x:c r="Q452" s="12" t="str">
        <x:v>car24</x:v>
      </x:c>
    </x:row>
    <x:row r="453" ht="48" customHeight="1">
      <x:c r="A453" s="2" t="str">
        <x:v>TEN-498CDFB360D3</x:v>
      </x:c>
      <x:c r="B453" s="12" t="str">
        <x:v>carbanio</x:v>
      </x:c>
      <x:c r="C453" s="12" t="str">
        <x:v>Business / brand</x:v>
      </x:c>
      <x:c r="D453" s="12" t="str">
        <x:v>Unresolved</x:v>
      </x:c>
      <x:c r="E453" s="12" t="str">
        <x:v>Business activity not established</x:v>
      </x:c>
      <x:c r="F453" s="12" t="str">
        <x:v>Mixed business audience</x:v>
      </x:c>
      <x:c r="G453" s="12" t="str">
        <x:v>Business activity and company scale are not established from this name.</x:v>
      </x:c>
      <x:c r="H453" s="11" t="n">
        <x:v>1</x:v>
      </x:c>
      <x:c r="I453" s="11" t="n">
        <x:v>2</x:v>
      </x:c>
      <x:c r="J453" s="11" t="n">
        <x:v>2</x:v>
      </x:c>
      <x:c r="K453" s="11" t="n">
        <x:v>0</x:v>
      </x:c>
      <x:c r="L453" s="17" t="n">
        <x:f>SUM(SUMIFS('Costing'!$P$9:$P$492,'Costing'!$A$9:$A$492,"MAIN-219"))</x:f>
        <x:v>30000</x:v>
      </x:c>
      <x:c r="M453" s="17" t="n">
        <x:f>ROUND(L453*'Costing'!$C$4,2)</x:f>
        <x:v>5400</x:v>
      </x:c>
      <x:c r="N453" s="17" t="n">
        <x:f>L453+M453</x:f>
        <x:v>35400</x:v>
      </x:c>
      <x:c r="O453" s="12" t="str">
        <x:v>Hyderabad</x:v>
      </x:c>
      <x:c r="P453" s="12" t="str">
        <x:v>CORP-0215</x:v>
      </x:c>
      <x:c r="Q453" s="12" t="str">
        <x:v>carbanio</x:v>
      </x:c>
    </x:row>
    <x:row r="454" ht="48" customHeight="1">
      <x:c r="A454" s="2" t="str">
        <x:v>TEN-8F9C783063DF</x:v>
      </x:c>
      <x:c r="B454" s="12" t="str">
        <x:v>Carbynetech India Private</x:v>
      </x:c>
      <x:c r="C454" s="12" t="str">
        <x:v>Business / brand</x:v>
      </x:c>
      <x:c r="D454" s="12" t="str">
        <x:v>IT &amp; digital</x:v>
      </x:c>
      <x:c r="E454" s="12" t="str">
        <x:v>Enterprise software &amp; digital engineering</x:v>
      </x:c>
      <x:c r="F454" s="12" t="str">
        <x:v>Small-scale prospects</x:v>
      </x:c>
      <x:c r="G454" s="12" t="str">
        <x:v>Software or technology-services business; small-scale prospect assumption.</x:v>
      </x:c>
      <x:c r="H454" s="11" t="n">
        <x:v>5</x:v>
      </x:c>
      <x:c r="I454" s="11" t="n">
        <x:v>5</x:v>
      </x:c>
      <x:c r="J454" s="11" t="n">
        <x:v>5</x:v>
      </x:c>
      <x:c r="K454" s="11" t="n">
        <x:v>0</x:v>
      </x:c>
      <x:c r="L454" s="17" t="n">
        <x:f>SUM(SUMIFS('Costing'!$P$9:$P$492,'Costing'!$A$9:$A$492,"PARTNER-M295"))</x:f>
        <x:v>200000</x:v>
      </x:c>
      <x:c r="M454" s="17" t="n">
        <x:f>ROUND(L454*'Costing'!$C$4,2)</x:f>
        <x:v>36000</x:v>
      </x:c>
      <x:c r="N454" s="17" t="n">
        <x:f>L454+M454</x:f>
        <x:v>236000</x:v>
      </x:c>
      <x:c r="O454" s="12" t="str">
        <x:v>Hyderabad</x:v>
      </x:c>
      <x:c r="P454" s="12" t="str">
        <x:v>CORP-0710, CORP-0711, CORP-0712, CORP-0713, CORP-0714</x:v>
      </x:c>
      <x:c r="Q454" s="12" t="str">
        <x:v>Carbynetech India Private</x:v>
      </x:c>
    </x:row>
    <x:row r="455" ht="49" customHeight="1">
      <x:c r="A455" s="2" t="str">
        <x:v>TEN-2A09783B1C47</x:v>
      </x:c>
      <x:c r="B455" s="12" t="str">
        <x:v>Cardinal</x:v>
      </x:c>
      <x:c r="C455" s="12" t="str">
        <x:v>Business / brand</x:v>
      </x:c>
      <x:c r="D455" s="12" t="str">
        <x:v>Unresolved</x:v>
      </x:c>
      <x:c r="E455" s="12" t="str">
        <x:v>Business activity not established</x:v>
      </x:c>
      <x:c r="F455" s="12" t="str">
        <x:v>Mixed business audience</x:v>
      </x:c>
      <x:c r="G455" s="12" t="str">
        <x:v>Business activity and company scale are not established from this name.</x:v>
      </x:c>
      <x:c r="H455" s="11" t="n">
        <x:v>12</x:v>
      </x:c>
      <x:c r="I455" s="11" t="n">
        <x:v>12</x:v>
      </x:c>
      <x:c r="J455" s="11" t="n">
        <x:v>12</x:v>
      </x:c>
      <x:c r="K455" s="11" t="n">
        <x:v>0</x:v>
      </x:c>
      <x:c r="L455" s="17" t="n">
        <x:f>SUM(SUMIFS('Costing'!$P$9:$P$492,'Costing'!$A$9:$A$492,"PARTNER-M108"))</x:f>
        <x:v>480000</x:v>
      </x:c>
      <x:c r="M455" s="17" t="n">
        <x:f>ROUND(L455*'Costing'!$C$4,2)</x:f>
        <x:v>86400</x:v>
      </x:c>
      <x:c r="N455" s="17" t="n">
        <x:f>L455+M455</x:f>
        <x:v>566400</x:v>
      </x:c>
      <x:c r="O455" s="12" t="str">
        <x:v>Bengaluru</x:v>
      </x:c>
      <x:c r="P455" s="12" t="str">
        <x:v>CORP-0526, CORP-0527, CORP-0528, CORP-0529, CORP-0530, CORP-0531, CORP-0532, CORP-0533, CORP-0534, CORP-0535, CORP-0536, CORP-0537</x:v>
      </x:c>
      <x:c r="Q455" s="12" t="str">
        <x:v>Cardinal</x:v>
      </x:c>
    </x:row>
    <x:row r="456" ht="48" customHeight="1">
      <x:c r="A456" s="2" t="str">
        <x:v>TEN-45699C1D6DAE</x:v>
      </x:c>
      <x:c r="B456" s="12" t="str">
        <x:v>Care Health</x:v>
      </x:c>
      <x:c r="C456" s="12" t="str">
        <x:v>Business / brand</x:v>
      </x:c>
      <x:c r="D456" s="12" t="str">
        <x:v>Finance &amp; insurance</x:v>
      </x:c>
      <x:c r="E456" s="12" t="str">
        <x:v>Financial services — specialty unverified</x:v>
      </x:c>
      <x:c r="F456" s="12" t="str">
        <x:v>Mixed business audience</x:v>
      </x:c>
      <x:c r="G456" s="12" t="str">
        <x:v>Recognisable business context; company-scale evidence remains insufficient for a single size band.</x:v>
      </x:c>
      <x:c r="H456" s="11" t="n">
        <x:v>1</x:v>
      </x:c>
      <x:c r="I456" s="11" t="n">
        <x:v>3</x:v>
      </x:c>
      <x:c r="J456" s="11" t="n">
        <x:v>3</x:v>
      </x:c>
      <x:c r="K456" s="11" t="n">
        <x:v>0</x:v>
      </x:c>
      <x:c r="L456" s="17" t="n">
        <x:f>SUM(SUMIFS('Costing'!$P$9:$P$492,'Costing'!$A$9:$A$492,"MAIN-292"))</x:f>
        <x:v>120000</x:v>
      </x:c>
      <x:c r="M456" s="17" t="n">
        <x:f>ROUND(L456*'Costing'!$C$4,2)</x:f>
        <x:v>21600</x:v>
      </x:c>
      <x:c r="N456" s="17" t="n">
        <x:f>L456+M456</x:f>
        <x:v>141600</x:v>
      </x:c>
      <x:c r="O456" s="12" t="str">
        <x:v>Lucknow</x:v>
      </x:c>
      <x:c r="P456" s="12" t="str">
        <x:v>CORP-0288</x:v>
      </x:c>
      <x:c r="Q456" s="12" t="str">
        <x:v>Care Health</x:v>
      </x:c>
    </x:row>
    <x:row r="457" ht="48" customHeight="1">
      <x:c r="A457" s="2" t="str">
        <x:v>TEN-54D308D4C42F</x:v>
      </x:c>
      <x:c r="B457" s="12" t="str">
        <x:v>Carelon Global Solutions</x:v>
      </x:c>
      <x:c r="C457" s="12" t="str">
        <x:v>Business / brand</x:v>
      </x:c>
      <x:c r="D457" s="12" t="str">
        <x:v>Healthcare &amp; life sciences</x:v>
      </x:c>
      <x:c r="E457" s="12" t="str">
        <x:v>Clinical, medical &amp; diagnostic services</x:v>
      </x:c>
      <x:c r="F457" s="12" t="str">
        <x:v>Mixed business audience</x:v>
      </x:c>
      <x:c r="G457" s="12" t="str">
        <x:v>Established brand or business network; local company scale is not established. Use a mixed-business message.</x:v>
      </x:c>
      <x:c r="H457" s="11" t="n">
        <x:v>8</x:v>
      </x:c>
      <x:c r="I457" s="11" t="n">
        <x:v>8</x:v>
      </x:c>
      <x:c r="J457" s="11" t="n">
        <x:v>8</x:v>
      </x:c>
      <x:c r="K457" s="11" t="n">
        <x:v>0</x:v>
      </x:c>
      <x:c r="L457" s="17" t="n">
        <x:f>SUM(SUMIFS('Costing'!$P$9:$P$492,'Costing'!$A$9:$A$492,"PARTNER-M146"))</x:f>
        <x:v>320000</x:v>
      </x:c>
      <x:c r="M457" s="17" t="n">
        <x:f>ROUND(L457*'Costing'!$C$4,2)</x:f>
        <x:v>57600</x:v>
      </x:c>
      <x:c r="N457" s="17" t="n">
        <x:f>L457+M457</x:f>
        <x:v>377600</x:v>
      </x:c>
      <x:c r="O457" s="12" t="str">
        <x:v>Bengaluru</x:v>
      </x:c>
      <x:c r="P457" s="12" t="str">
        <x:v>CORP-0564, CORP-0565, CORP-0566, CORP-0567, CORP-0568, CORP-0569, CORP-0570, CORP-0571</x:v>
      </x:c>
      <x:c r="Q457" s="12" t="str">
        <x:v>Carelon Global Solutions</x:v>
      </x:c>
    </x:row>
    <x:row r="458" ht="48" customHeight="1">
      <x:c r="A458" s="2" t="str">
        <x:v>TEN-8443D2DCCA7C</x:v>
      </x:c>
      <x:c r="B458" s="12" t="str">
        <x:v>carestack</x:v>
      </x:c>
      <x:c r="C458" s="12" t="str">
        <x:v>Business / brand</x:v>
      </x:c>
      <x:c r="D458" s="12" t="str">
        <x:v>IT &amp; digital</x:v>
      </x:c>
      <x:c r="E458" s="12" t="str">
        <x:v>Enterprise software &amp; digital engineering</x:v>
      </x:c>
      <x:c r="F458" s="12" t="str">
        <x:v>Small-scale prospects</x:v>
      </x:c>
      <x:c r="G458" s="12" t="str">
        <x:v>Software or technology-services business; small-scale prospect assumption.</x:v>
      </x:c>
      <x:c r="H458" s="11" t="n">
        <x:v>1</x:v>
      </x:c>
      <x:c r="I458" s="11" t="n">
        <x:v>2</x:v>
      </x:c>
      <x:c r="J458" s="11" t="n">
        <x:v>2</x:v>
      </x:c>
      <x:c r="K458" s="11" t="n">
        <x:v>0</x:v>
      </x:c>
      <x:c r="L458" s="17" t="n">
        <x:f>SUM(SUMIFS('Costing'!$P$9:$P$492,'Costing'!$A$9:$A$492,"MAIN-096"))</x:f>
        <x:v>30000</x:v>
      </x:c>
      <x:c r="M458" s="17" t="n">
        <x:f>ROUND(L458*'Costing'!$C$4,2)</x:f>
        <x:v>5400</x:v>
      </x:c>
      <x:c r="N458" s="17" t="n">
        <x:f>L458+M458</x:f>
        <x:v>35400</x:v>
      </x:c>
      <x:c r="O458" s="12" t="str">
        <x:v>Bengaluru</x:v>
      </x:c>
      <x:c r="P458" s="12" t="str">
        <x:v>CORP-0092</x:v>
      </x:c>
      <x:c r="Q458" s="12" t="str">
        <x:v>carestack</x:v>
      </x:c>
    </x:row>
    <x:row r="459" ht="48" customHeight="1">
      <x:c r="A459" s="2" t="str">
        <x:v>TEN-B91BF0E0084F</x:v>
      </x:c>
      <x:c r="B459" s="12" t="str">
        <x:v>cargill</x:v>
      </x:c>
      <x:c r="C459" s="12" t="str">
        <x:v>Business / brand</x:v>
      </x:c>
      <x:c r="D459" s="12" t="str">
        <x:v>Trade, consumer &amp; logistics</x:v>
      </x:c>
      <x:c r="E459" s="12" t="str">
        <x:v>Consumer/trade services — specialty unverified</x:v>
      </x:c>
      <x:c r="F459" s="12" t="str">
        <x:v>Mixed business audience</x:v>
      </x:c>
      <x:c r="G459" s="12" t="str">
        <x:v>Recognisable business context; company-scale evidence remains insufficient for a single size band.</x:v>
      </x:c>
      <x:c r="H459" s="11" t="n">
        <x:v>2</x:v>
      </x:c>
      <x:c r="I459" s="11" t="n">
        <x:v>7</x:v>
      </x:c>
      <x:c r="J459" s="11" t="n">
        <x:v>7</x:v>
      </x:c>
      <x:c r="K459" s="11" t="n">
        <x:v>0</x:v>
      </x:c>
      <x:c r="L459" s="17" t="n">
        <x:f>SUM(SUMIFS('Costing'!$P$9:$P$492,'Costing'!$A$9:$A$492,"MAIN-060"),SUMIFS('Costing'!$P$9:$P$492,'Costing'!$A$9:$A$492,"MAIN-275"))</x:f>
        <x:v>280000</x:v>
      </x:c>
      <x:c r="M459" s="17" t="n">
        <x:f>ROUND(L459*'Costing'!$C$4,2)</x:f>
        <x:v>50400</x:v>
      </x:c>
      <x:c r="N459" s="17" t="n">
        <x:f>L459+M459</x:f>
        <x:v>330400</x:v>
      </x:c>
      <x:c r="O459" s="12" t="str">
        <x:v>Bengaluru, Indore</x:v>
      </x:c>
      <x:c r="P459" s="12" t="str">
        <x:v>CORP-0056, CORP-0271</x:v>
      </x:c>
      <x:c r="Q459" s="12" t="str">
        <x:v>cargill, Cargill</x:v>
      </x:c>
    </x:row>
    <x:row r="460" ht="48" customHeight="1">
      <x:c r="A460" s="2" t="str">
        <x:v>TEN-B1E1798527DF</x:v>
      </x:c>
      <x:c r="B460" s="12" t="str">
        <x:v>Carnation</x:v>
      </x:c>
      <x:c r="C460" s="12" t="str">
        <x:v>Business / brand</x:v>
      </x:c>
      <x:c r="D460" s="12" t="str">
        <x:v>Unresolved</x:v>
      </x:c>
      <x:c r="E460" s="12" t="str">
        <x:v>Business activity not established</x:v>
      </x:c>
      <x:c r="F460" s="12" t="str">
        <x:v>Mixed business audience</x:v>
      </x:c>
      <x:c r="G460" s="12" t="str">
        <x:v>Business activity and company scale are not established from this name.</x:v>
      </x:c>
      <x:c r="H460" s="11" t="n">
        <x:v>9</x:v>
      </x:c>
      <x:c r="I460" s="11" t="n">
        <x:v>9</x:v>
      </x:c>
      <x:c r="J460" s="11" t="n">
        <x:v>9</x:v>
      </x:c>
      <x:c r="K460" s="11" t="n">
        <x:v>0</x:v>
      </x:c>
      <x:c r="L460" s="17" t="n">
        <x:f>SUM(SUMIFS('Costing'!$P$9:$P$492,'Costing'!$A$9:$A$492,"PARTNER-M002"))</x:f>
        <x:v>360000</x:v>
      </x:c>
      <x:c r="M460" s="17" t="n">
        <x:f>ROUND(L460*'Costing'!$C$4,2)</x:f>
        <x:v>64800</x:v>
      </x:c>
      <x:c r="N460" s="17" t="n">
        <x:f>L460+M460</x:f>
        <x:v>424800</x:v>
      </x:c>
      <x:c r="O460" s="12" t="str">
        <x:v>Bengaluru</x:v>
      </x:c>
      <x:c r="P460" s="12" t="str">
        <x:v>CORP-0420, CORP-0421, CORP-0422, CORP-0423, CORP-0424, CORP-0425, CORP-0426, CORP-0427, CORP-0428</x:v>
      </x:c>
      <x:c r="Q460" s="12" t="str">
        <x:v>Carnation</x:v>
      </x:c>
    </x:row>
    <x:row r="461" ht="48" customHeight="1">
      <x:c r="A461" s="2" t="str">
        <x:v>TEN-D6ED1EEBDEED</x:v>
      </x:c>
      <x:c r="B461" s="12" t="str">
        <x:v>Carnival Support Services India Pvt. Ltd</x:v>
      </x:c>
      <x:c r="C461" s="12" t="str">
        <x:v>Business / brand</x:v>
      </x:c>
      <x:c r="D461" s="12" t="str">
        <x:v>Trade, consumer &amp; logistics</x:v>
      </x:c>
      <x:c r="E461" s="12" t="str">
        <x:v>Travel, hospitality, food &amp; beverages</x:v>
      </x:c>
      <x:c r="F461" s="12" t="str">
        <x:v>Mixed business audience</x:v>
      </x:c>
      <x:c r="G461" s="12" t="str">
        <x:v>Established brand or business network; local company scale is not established. Use a mixed-business message.</x:v>
      </x:c>
      <x:c r="H461" s="11" t="n">
        <x:v>2</x:v>
      </x:c>
      <x:c r="I461" s="11" t="n">
        <x:v>2</x:v>
      </x:c>
      <x:c r="J461" s="11" t="n">
        <x:v>2</x:v>
      </x:c>
      <x:c r="K461" s="11" t="n">
        <x:v>0</x:v>
      </x:c>
      <x:c r="L461" s="17" t="n">
        <x:f>SUM(SUMIFS('Costing'!$P$9:$P$492,'Costing'!$A$9:$A$492,"PARTNER-M243"))</x:f>
        <x:v>80000</x:v>
      </x:c>
      <x:c r="M461" s="17" t="n">
        <x:f>ROUND(L461*'Costing'!$C$4,2)</x:f>
        <x:v>14400</x:v>
      </x:c>
      <x:c r="N461" s="17" t="n">
        <x:f>L461+M461</x:f>
        <x:v>94400</x:v>
      </x:c>
      <x:c r="O461" s="12" t="str">
        <x:v>Mumbai</x:v>
      </x:c>
      <x:c r="P461" s="12" t="str">
        <x:v>CORP-0660, CORP-0661</x:v>
      </x:c>
      <x:c r="Q461" s="12" t="str">
        <x:v>Carnival Support Services India Pvt. Ltd</x:v>
      </x:c>
    </x:row>
    <x:row r="462" ht="48" customHeight="1">
      <x:c r="A462" s="2" t="str">
        <x:v>TEN-5803587E6791</x:v>
      </x:c>
      <x:c r="B462" s="12" t="str">
        <x:v>Carrier</x:v>
      </x:c>
      <x:c r="C462" s="12" t="str">
        <x:v>Business / brand</x:v>
      </x:c>
      <x:c r="D462" s="12" t="str">
        <x:v>Engineering &amp; manufacturing</x:v>
      </x:c>
      <x:c r="E462" s="12" t="str">
        <x:v>Engineering/manufacturing — specialty unverified</x:v>
      </x:c>
      <x:c r="F462" s="12" t="str">
        <x:v>Mixed business audience</x:v>
      </x:c>
      <x:c r="G462" s="12" t="str">
        <x:v>Recognisable business context; company-scale evidence remains insufficient for a single size band.</x:v>
      </x:c>
      <x:c r="H462" s="11" t="n">
        <x:v>1</x:v>
      </x:c>
      <x:c r="I462" s="11" t="n">
        <x:v>1</x:v>
      </x:c>
      <x:c r="J462" s="11" t="n">
        <x:v>1</x:v>
      </x:c>
      <x:c r="K462" s="11" t="n">
        <x:v>0</x:v>
      </x:c>
      <x:c r="L462" s="17" t="n">
        <x:f>SUM(SUMIFS('Costing'!$P$9:$P$492,'Costing'!$A$9:$A$492,"MAIN-272"))</x:f>
        <x:v>20000</x:v>
      </x:c>
      <x:c r="M462" s="17" t="n">
        <x:f>ROUND(L462*'Costing'!$C$4,2)</x:f>
        <x:v>3600</x:v>
      </x:c>
      <x:c r="N462" s="17" t="n">
        <x:f>L462+M462</x:f>
        <x:v>23600</x:v>
      </x:c>
      <x:c r="O462" s="12" t="str">
        <x:v>Indore</x:v>
      </x:c>
      <x:c r="P462" s="12" t="str">
        <x:v>CORP-0268</x:v>
      </x:c>
      <x:c r="Q462" s="12" t="str">
        <x:v>Carrier</x:v>
      </x:c>
    </x:row>
    <x:row r="463" ht="48" customHeight="1">
      <x:c r="A463" s="2" t="str">
        <x:v>TEN-99E829F578DD</x:v>
      </x:c>
      <x:c r="B463" s="12" t="str">
        <x:v>Cars24</x:v>
      </x:c>
      <x:c r="C463" s="12" t="str">
        <x:v>Business / brand</x:v>
      </x:c>
      <x:c r="D463" s="12" t="str">
        <x:v>Trade, consumer &amp; logistics</x:v>
      </x:c>
      <x:c r="E463" s="12" t="str">
        <x:v>Retail, consumer products &amp; ecommerce</x:v>
      </x:c>
      <x:c r="F463" s="12" t="str">
        <x:v>Mixed business audience</x:v>
      </x:c>
      <x:c r="G463" s="12" t="str">
        <x:v>Established brand or business network; local company scale is not established. Use a mixed-business message.</x:v>
      </x:c>
      <x:c r="H463" s="11" t="n">
        <x:v>1</x:v>
      </x:c>
      <x:c r="I463" s="11" t="n">
        <x:v>1</x:v>
      </x:c>
      <x:c r="J463" s="11" t="n">
        <x:v>1</x:v>
      </x:c>
      <x:c r="K463" s="11" t="n">
        <x:v>0</x:v>
      </x:c>
      <x:c r="L463" s="17" t="n">
        <x:f>SUM(SUMIFS('Costing'!$P$9:$P$492,'Costing'!$A$9:$A$492,"MAIN-385"))</x:f>
        <x:v>15000</x:v>
      </x:c>
      <x:c r="M463" s="17" t="n">
        <x:f>ROUND(L463*'Costing'!$C$4,2)</x:f>
        <x:v>2700</x:v>
      </x:c>
      <x:c r="N463" s="17" t="n">
        <x:f>L463+M463</x:f>
        <x:v>17700</x:v>
      </x:c>
      <x:c r="O463" s="12" t="str">
        <x:v>Pune</x:v>
      </x:c>
      <x:c r="P463" s="12" t="str">
        <x:v>CORP-0381</x:v>
      </x:c>
      <x:c r="Q463" s="12" t="str">
        <x:v>Cars24</x:v>
      </x:c>
    </x:row>
    <x:row r="464" ht="48" customHeight="1">
      <x:c r="A464" s="2" t="str">
        <x:v>TEN-A90DFC47A741</x:v>
      </x:c>
      <x:c r="B464" s="12" t="str">
        <x:v>Caste Software India Private Limited</x:v>
      </x:c>
      <x:c r="C464" s="12" t="str">
        <x:v>Business / brand</x:v>
      </x:c>
      <x:c r="D464" s="12" t="str">
        <x:v>IT &amp; digital</x:v>
      </x:c>
      <x:c r="E464" s="12" t="str">
        <x:v>Enterprise software &amp; digital engineering</x:v>
      </x:c>
      <x:c r="F464" s="12" t="str">
        <x:v>Small-scale prospects</x:v>
      </x:c>
      <x:c r="G464" s="12" t="str">
        <x:v>Software or technology-services business; small-scale prospect assumption.</x:v>
      </x:c>
      <x:c r="H464" s="11" t="n">
        <x:v>1</x:v>
      </x:c>
      <x:c r="I464" s="11" t="n">
        <x:v>2</x:v>
      </x:c>
      <x:c r="J464" s="11" t="n">
        <x:v>2</x:v>
      </x:c>
      <x:c r="K464" s="11" t="n">
        <x:v>0</x:v>
      </x:c>
      <x:c r="L464" s="17" t="n">
        <x:f>SUM(SUMIFS('Costing'!$P$9:$P$492,'Costing'!$A$9:$A$492,"MAIN-067"))</x:f>
        <x:v>30000</x:v>
      </x:c>
      <x:c r="M464" s="17" t="n">
        <x:f>ROUND(L464*'Costing'!$C$4,2)</x:f>
        <x:v>5400</x:v>
      </x:c>
      <x:c r="N464" s="17" t="n">
        <x:f>L464+M464</x:f>
        <x:v>35400</x:v>
      </x:c>
      <x:c r="O464" s="12" t="str">
        <x:v>Bengaluru</x:v>
      </x:c>
      <x:c r="P464" s="12" t="str">
        <x:v>CORP-0063</x:v>
      </x:c>
      <x:c r="Q464" s="12" t="str">
        <x:v>Caste Software India Private Limited</x:v>
      </x:c>
    </x:row>
    <x:row r="465" ht="48" customHeight="1">
      <x:c r="A465" s="2" t="str">
        <x:v>TEN-8780B4FF8456</x:v>
      </x:c>
      <x:c r="B465" s="12" t="str">
        <x:v>Catalyst Trusteeship Ltd</x:v>
      </x:c>
      <x:c r="C465" s="12" t="str">
        <x:v>Business / brand</x:v>
      </x:c>
      <x:c r="D465" s="12" t="str">
        <x:v>Finance &amp; insurance</x:v>
      </x:c>
      <x:c r="E465" s="12" t="str">
        <x:v>Banking, credit &amp; financial services</x:v>
      </x:c>
      <x:c r="F465" s="12" t="str">
        <x:v>Mixed business audience</x:v>
      </x:c>
      <x:c r="G465" s="12" t="str">
        <x:v>Established brand or business network; local company scale is not established. Use a mixed-business message.</x:v>
      </x:c>
      <x:c r="H465" s="11" t="n">
        <x:v>1</x:v>
      </x:c>
      <x:c r="I465" s="11" t="n">
        <x:v>2</x:v>
      </x:c>
      <x:c r="J465" s="11" t="n">
        <x:v>2</x:v>
      </x:c>
      <x:c r="K465" s="11" t="n">
        <x:v>0</x:v>
      </x:c>
      <x:c r="L465" s="17" t="n">
        <x:f>SUM(SUMIFS('Costing'!$P$9:$P$492,'Costing'!$A$9:$A$492,"MAIN-031"))</x:f>
        <x:v>30000</x:v>
      </x:c>
      <x:c r="M465" s="17" t="n">
        <x:f>ROUND(L465*'Costing'!$C$4,2)</x:f>
        <x:v>5400</x:v>
      </x:c>
      <x:c r="N465" s="17" t="n">
        <x:f>L465+M465</x:f>
        <x:v>35400</x:v>
      </x:c>
      <x:c r="O465" s="12" t="str">
        <x:v>Bengaluru</x:v>
      </x:c>
      <x:c r="P465" s="12" t="str">
        <x:v>CORP-0027</x:v>
      </x:c>
      <x:c r="Q465" s="12" t="str">
        <x:v>Catalyst Trusteeship Ltd</x:v>
      </x:c>
    </x:row>
    <x:row r="466" ht="48" customHeight="1">
      <x:c r="A466" s="2" t="str">
        <x:v>TEN-BAFFDF37AA5D</x:v>
      </x:c>
      <x:c r="B466" s="12" t="str">
        <x:v>Caterpillar</x:v>
      </x:c>
      <x:c r="C466" s="12" t="str">
        <x:v>Business / brand</x:v>
      </x:c>
      <x:c r="D466" s="12" t="str">
        <x:v>Engineering &amp; manufacturing</x:v>
      </x:c>
      <x:c r="E466" s="12" t="str">
        <x:v>Automotive, mobility &amp; aerospace</x:v>
      </x:c>
      <x:c r="F466" s="12" t="str">
        <x:v>Mixed business audience</x:v>
      </x:c>
      <x:c r="G466" s="12" t="str">
        <x:v>Recognisable business context; company-scale evidence remains insufficient for a single size band.</x:v>
      </x:c>
      <x:c r="H466" s="11" t="n">
        <x:v>6</x:v>
      </x:c>
      <x:c r="I466" s="11" t="n">
        <x:v>6</x:v>
      </x:c>
      <x:c r="J466" s="11" t="n">
        <x:v>6</x:v>
      </x:c>
      <x:c r="K466" s="11" t="n">
        <x:v>0</x:v>
      </x:c>
      <x:c r="L466" s="17" t="n">
        <x:f>SUM(SUMIFS('Costing'!$P$9:$P$492,'Costing'!$A$9:$A$492,"PARTNER-M325"))</x:f>
        <x:v>240000</x:v>
      </x:c>
      <x:c r="M466" s="17" t="n">
        <x:f>ROUND(L466*'Costing'!$C$4,2)</x:f>
        <x:v>43200</x:v>
      </x:c>
      <x:c r="N466" s="17" t="n">
        <x:f>L466+M466</x:f>
        <x:v>283200</x:v>
      </x:c>
      <x:c r="O466" s="12" t="str">
        <x:v>Chennai</x:v>
      </x:c>
      <x:c r="P466" s="12" t="str">
        <x:v>CORP-0739, CORP-0740, CORP-0741, CORP-0742, CORP-0743, CORP-0744</x:v>
      </x:c>
      <x:c r="Q466" s="12" t="str">
        <x:v>Caterpillar</x:v>
      </x:c>
    </x:row>
    <x:row r="467" ht="48" customHeight="1">
      <x:c r="A467" s="2" t="str">
        <x:v>TEN-614F7C87ABB5</x:v>
      </x:c>
      <x:c r="B467" s="12" t="str">
        <x:v>CBL Solutions</x:v>
      </x:c>
      <x:c r="C467" s="12" t="str">
        <x:v>Business / brand</x:v>
      </x:c>
      <x:c r="D467" s="12" t="str">
        <x:v>IT &amp; digital</x:v>
      </x:c>
      <x:c r="E467" s="12" t="str">
        <x:v>Enterprise software &amp; digital engineering</x:v>
      </x:c>
      <x:c r="F467" s="12" t="str">
        <x:v>Small-scale prospects</x:v>
      </x:c>
      <x:c r="G467" s="12" t="str">
        <x:v>Software or technology-services business; small-scale prospect assumption.</x:v>
      </x:c>
      <x:c r="H467" s="11" t="n">
        <x:v>1</x:v>
      </x:c>
      <x:c r="I467" s="11" t="n">
        <x:v>1</x:v>
      </x:c>
      <x:c r="J467" s="11" t="n">
        <x:v>1</x:v>
      </x:c>
      <x:c r="K467" s="11" t="n">
        <x:v>0</x:v>
      </x:c>
      <x:c r="L467" s="17" t="n">
        <x:f>SUM(SUMIFS('Costing'!$P$9:$P$492,'Costing'!$A$9:$A$492,"MAIN-259"))</x:f>
        <x:v>20000</x:v>
      </x:c>
      <x:c r="M467" s="17" t="n">
        <x:f>ROUND(L467*'Costing'!$C$4,2)</x:f>
        <x:v>3600</x:v>
      </x:c>
      <x:c r="N467" s="17" t="n">
        <x:f>L467+M467</x:f>
        <x:v>23600</x:v>
      </x:c>
      <x:c r="O467" s="12" t="str">
        <x:v>Hyderabad</x:v>
      </x:c>
      <x:c r="P467" s="12" t="str">
        <x:v>CORP-0255</x:v>
      </x:c>
      <x:c r="Q467" s="12" t="str">
        <x:v>CBL Solutions</x:v>
      </x:c>
    </x:row>
    <x:row r="468" ht="48" customHeight="1">
      <x:c r="A468" s="2" t="str">
        <x:v>TEN-9B085FDF9B41</x:v>
      </x:c>
      <x:c r="B468" s="12" t="str">
        <x:v>CCube9 infotech Pvt. Ltd</x:v>
      </x:c>
      <x:c r="C468" s="12" t="str">
        <x:v>Business / brand</x:v>
      </x:c>
      <x:c r="D468" s="12" t="str">
        <x:v>IT &amp; digital</x:v>
      </x:c>
      <x:c r="E468" s="12" t="str">
        <x:v>Enterprise software &amp; digital engineering</x:v>
      </x:c>
      <x:c r="F468" s="12" t="str">
        <x:v>Small-scale prospects</x:v>
      </x:c>
      <x:c r="G468" s="12" t="str">
        <x:v>Software or technology-services business; small-scale prospect assumption.</x:v>
      </x:c>
      <x:c r="H468" s="11" t="n">
        <x:v>1</x:v>
      </x:c>
      <x:c r="I468" s="11" t="n">
        <x:v>1</x:v>
      </x:c>
      <x:c r="J468" s="11" t="n">
        <x:v>1</x:v>
      </x:c>
      <x:c r="K468" s="11" t="n">
        <x:v>0</x:v>
      </x:c>
      <x:c r="L468" s="17" t="n">
        <x:f>SUM(SUMIFS('Costing'!$P$9:$P$492,'Costing'!$A$9:$A$492,"MAIN-386"))</x:f>
        <x:v>15000</x:v>
      </x:c>
      <x:c r="M468" s="17" t="n">
        <x:f>ROUND(L468*'Costing'!$C$4,2)</x:f>
        <x:v>2700</x:v>
      </x:c>
      <x:c r="N468" s="17" t="n">
        <x:f>L468+M468</x:f>
        <x:v>17700</x:v>
      </x:c>
      <x:c r="O468" s="12" t="str">
        <x:v>Pune</x:v>
      </x:c>
      <x:c r="P468" s="12" t="str">
        <x:v>CORP-0382</x:v>
      </x:c>
      <x:c r="Q468" s="12" t="str">
        <x:v>CCube9 infotech Pvt. Ltd</x:v>
      </x:c>
    </x:row>
    <x:row r="469" ht="48" customHeight="1">
      <x:c r="A469" s="2" t="str">
        <x:v>TEN-7C8285B4AA0D</x:v>
      </x:c>
      <x:c r="B469" s="12" t="str">
        <x:v>CDDEP India Private Limited</x:v>
      </x:c>
      <x:c r="C469" s="12" t="str">
        <x:v>Business / brand</x:v>
      </x:c>
      <x:c r="D469" s="12" t="str">
        <x:v>Unresolved</x:v>
      </x:c>
      <x:c r="E469" s="12" t="str">
        <x:v>Business activity not established</x:v>
      </x:c>
      <x:c r="F469" s="12" t="str">
        <x:v>Mixed business audience</x:v>
      </x:c>
      <x:c r="G469" s="12" t="str">
        <x:v>Business activity and company scale are not established from this name.</x:v>
      </x:c>
      <x:c r="H469" s="11" t="n">
        <x:v>1</x:v>
      </x:c>
      <x:c r="I469" s="11" t="n">
        <x:v>2</x:v>
      </x:c>
      <x:c r="J469" s="11" t="n">
        <x:v>2</x:v>
      </x:c>
      <x:c r="K469" s="11" t="n">
        <x:v>0</x:v>
      </x:c>
      <x:c r="L469" s="17" t="n">
        <x:f>SUM(SUMIFS('Costing'!$P$9:$P$492,'Costing'!$A$9:$A$492,"MAIN-067"))</x:f>
        <x:v>30000</x:v>
      </x:c>
      <x:c r="M469" s="17" t="n">
        <x:f>ROUND(L469*'Costing'!$C$4,2)</x:f>
        <x:v>5400</x:v>
      </x:c>
      <x:c r="N469" s="17" t="n">
        <x:f>L469+M469</x:f>
        <x:v>35400</x:v>
      </x:c>
      <x:c r="O469" s="12" t="str">
        <x:v>Bengaluru</x:v>
      </x:c>
      <x:c r="P469" s="12" t="str">
        <x:v>CORP-0063</x:v>
      </x:c>
      <x:c r="Q469" s="12" t="str">
        <x:v>CDDEP India Private Limited</x:v>
      </x:c>
    </x:row>
    <x:row r="470" ht="48" customHeight="1">
      <x:c r="A470" s="2" t="str">
        <x:v>TEN-8ADB906B0167</x:v>
      </x:c>
      <x:c r="B470" s="12" t="str">
        <x:v>cean network express india pvt ltd</x:v>
      </x:c>
      <x:c r="C470" s="12" t="str">
        <x:v>Business / brand</x:v>
      </x:c>
      <x:c r="D470" s="12" t="str">
        <x:v>Trade, consumer &amp; logistics</x:v>
      </x:c>
      <x:c r="E470" s="12" t="str">
        <x:v>Logistics, shipping &amp; transport</x:v>
      </x:c>
      <x:c r="F470" s="12" t="str">
        <x:v>Mixed business audience</x:v>
      </x:c>
      <x:c r="G470" s="12" t="str">
        <x:v>Established brand or business network; local company scale is not established. Use a mixed-business message.</x:v>
      </x:c>
      <x:c r="H470" s="11" t="n">
        <x:v>1</x:v>
      </x:c>
      <x:c r="I470" s="11" t="n">
        <x:v>2</x:v>
      </x:c>
      <x:c r="J470" s="11" t="n">
        <x:v>2</x:v>
      </x:c>
      <x:c r="K470" s="11" t="n">
        <x:v>0</x:v>
      </x:c>
      <x:c r="L470" s="17" t="n">
        <x:f>SUM(SUMIFS('Costing'!$P$9:$P$492,'Costing'!$A$9:$A$492,"MAIN-304"))</x:f>
        <x:v>30000</x:v>
      </x:c>
      <x:c r="M470" s="17" t="n">
        <x:f>ROUND(L470*'Costing'!$C$4,2)</x:f>
        <x:v>5400</x:v>
      </x:c>
      <x:c r="N470" s="17" t="n">
        <x:f>L470+M470</x:f>
        <x:v>35400</x:v>
      </x:c>
      <x:c r="O470" s="12" t="str">
        <x:v>Mumbai</x:v>
      </x:c>
      <x:c r="P470" s="12" t="str">
        <x:v>CORP-0300</x:v>
      </x:c>
      <x:c r="Q470" s="12" t="str">
        <x:v>cean network express india pvt ltd</x:v>
      </x:c>
    </x:row>
    <x:row r="471" ht="48" customHeight="1">
      <x:c r="A471" s="2" t="str">
        <x:v>TEN-ACC1CC2BE8B0</x:v>
      </x:c>
      <x:c r="B471" s="12" t="str">
        <x:v>Celona Networks Private Limited</x:v>
      </x:c>
      <x:c r="C471" s="12" t="str">
        <x:v>Business / brand</x:v>
      </x:c>
      <x:c r="D471" s="12" t="str">
        <x:v>IT &amp; digital</x:v>
      </x:c>
      <x:c r="E471" s="12" t="str">
        <x:v>Telecom, networks &amp; connectivity</x:v>
      </x:c>
      <x:c r="F471" s="12" t="str">
        <x:v>Small-scale prospects</x:v>
      </x:c>
      <x:c r="G471" s="12" t="str">
        <x:v>Software or technology-services business; small-scale prospect assumption.</x:v>
      </x:c>
      <x:c r="H471" s="11" t="n">
        <x:v>1</x:v>
      </x:c>
      <x:c r="I471" s="11" t="n">
        <x:v>2</x:v>
      </x:c>
      <x:c r="J471" s="11" t="n">
        <x:v>2</x:v>
      </x:c>
      <x:c r="K471" s="11" t="n">
        <x:v>0</x:v>
      </x:c>
      <x:c r="L471" s="17" t="n">
        <x:f>SUM(SUMIFS('Costing'!$P$9:$P$492,'Costing'!$A$9:$A$492,"MAIN-044"))</x:f>
        <x:v>40000</x:v>
      </x:c>
      <x:c r="M471" s="17" t="n">
        <x:f>ROUND(L471*'Costing'!$C$4,2)</x:f>
        <x:v>7200</x:v>
      </x:c>
      <x:c r="N471" s="17" t="n">
        <x:f>L471+M471</x:f>
        <x:v>47200</x:v>
      </x:c>
      <x:c r="O471" s="12" t="str">
        <x:v>Bengaluru</x:v>
      </x:c>
      <x:c r="P471" s="12" t="str">
        <x:v>CORP-0040</x:v>
      </x:c>
      <x:c r="Q471" s="12" t="str">
        <x:v>Celona Networks Private Limited</x:v>
      </x:c>
    </x:row>
    <x:row r="472" ht="48" customHeight="1">
      <x:c r="A472" s="2" t="str">
        <x:v>TEN-7FBD858E7FC7</x:v>
      </x:c>
      <x:c r="B472" s="12" t="str">
        <x:v>Celzene</x:v>
      </x:c>
      <x:c r="C472" s="12" t="str">
        <x:v>Business / brand</x:v>
      </x:c>
      <x:c r="D472" s="12" t="str">
        <x:v>Unresolved</x:v>
      </x:c>
      <x:c r="E472" s="12" t="str">
        <x:v>Business activity not established</x:v>
      </x:c>
      <x:c r="F472" s="12" t="str">
        <x:v>Mixed business audience</x:v>
      </x:c>
      <x:c r="G472" s="12" t="str">
        <x:v>Business activity and company scale are not established from this name.</x:v>
      </x:c>
      <x:c r="H472" s="11" t="n">
        <x:v>1</x:v>
      </x:c>
      <x:c r="I472" s="11" t="n">
        <x:v>3</x:v>
      </x:c>
      <x:c r="J472" s="11" t="n">
        <x:v>3</x:v>
      </x:c>
      <x:c r="K472" s="11" t="n">
        <x:v>0</x:v>
      </x:c>
      <x:c r="L472" s="17" t="n">
        <x:f>SUM(SUMIFS('Costing'!$P$9:$P$492,'Costing'!$A$9:$A$492,"MAIN-218"))</x:f>
        <x:v>45000</x:v>
      </x:c>
      <x:c r="M472" s="17" t="n">
        <x:f>ROUND(L472*'Costing'!$C$4,2)</x:f>
        <x:v>8100</x:v>
      </x:c>
      <x:c r="N472" s="17" t="n">
        <x:f>L472+M472</x:f>
        <x:v>53100</x:v>
      </x:c>
      <x:c r="O472" s="12" t="str">
        <x:v>Hyderabad</x:v>
      </x:c>
      <x:c r="P472" s="12" t="str">
        <x:v>CORP-0214</x:v>
      </x:c>
      <x:c r="Q472" s="12" t="str">
        <x:v>Celzene</x:v>
      </x:c>
    </x:row>
    <x:row r="473" ht="49" customHeight="1">
      <x:c r="A473" s="2" t="str">
        <x:v>TEN-B1331F460EB4</x:v>
      </x:c>
      <x:c r="B473" s="12" t="str">
        <x:v>CEM</x:v>
      </x:c>
      <x:c r="C473" s="12" t="str">
        <x:v>Business / brand</x:v>
      </x:c>
      <x:c r="D473" s="12" t="str">
        <x:v>Unresolved</x:v>
      </x:c>
      <x:c r="E473" s="12" t="str">
        <x:v>Business activity not established</x:v>
      </x:c>
      <x:c r="F473" s="12" t="str">
        <x:v>Mixed business audience</x:v>
      </x:c>
      <x:c r="G473" s="12" t="str">
        <x:v>Business activity and company scale are not established from this name.</x:v>
      </x:c>
      <x:c r="H473" s="11" t="n">
        <x:v>12</x:v>
      </x:c>
      <x:c r="I473" s="11" t="n">
        <x:v>12</x:v>
      </x:c>
      <x:c r="J473" s="11" t="n">
        <x:v>12</x:v>
      </x:c>
      <x:c r="K473" s="11" t="n">
        <x:v>0</x:v>
      </x:c>
      <x:c r="L473" s="17" t="n">
        <x:f>SUM(SUMIFS('Costing'!$P$9:$P$492,'Costing'!$A$9:$A$492,"PARTNER-M108"))</x:f>
        <x:v>480000</x:v>
      </x:c>
      <x:c r="M473" s="17" t="n">
        <x:f>ROUND(L473*'Costing'!$C$4,2)</x:f>
        <x:v>86400</x:v>
      </x:c>
      <x:c r="N473" s="17" t="n">
        <x:f>L473+M473</x:f>
        <x:v>566400</x:v>
      </x:c>
      <x:c r="O473" s="12" t="str">
        <x:v>Bengaluru</x:v>
      </x:c>
      <x:c r="P473" s="12" t="str">
        <x:v>CORP-0526, CORP-0527, CORP-0528, CORP-0529, CORP-0530, CORP-0531, CORP-0532, CORP-0533, CORP-0534, CORP-0535, CORP-0536, CORP-0537</x:v>
      </x:c>
      <x:c r="Q473" s="12" t="str">
        <x:v>CEM</x:v>
      </x:c>
    </x:row>
    <x:row r="474" ht="48" customHeight="1">
      <x:c r="A474" s="2" t="str">
        <x:v>TEN-22AB01C3CE3F</x:v>
      </x:c>
      <x:c r="B474" s="12" t="str">
        <x:v>Centaus Technologies</x:v>
      </x:c>
      <x:c r="C474" s="12" t="str">
        <x:v>Business / brand</x:v>
      </x:c>
      <x:c r="D474" s="12" t="str">
        <x:v>Unresolved</x:v>
      </x:c>
      <x:c r="E474" s="12" t="str">
        <x:v>Business activity not established</x:v>
      </x:c>
      <x:c r="F474" s="12" t="str">
        <x:v>Mixed business audience</x:v>
      </x:c>
      <x:c r="G474" s="12" t="str">
        <x:v>Business activity and company scale are not established from this name.</x:v>
      </x:c>
      <x:c r="H474" s="11" t="n">
        <x:v>1</x:v>
      </x:c>
      <x:c r="I474" s="11" t="n">
        <x:v>1</x:v>
      </x:c>
      <x:c r="J474" s="11" t="n">
        <x:v>1</x:v>
      </x:c>
      <x:c r="K474" s="11" t="n">
        <x:v>0</x:v>
      </x:c>
      <x:c r="L474" s="17" t="n">
        <x:f>SUM(SUMIFS('Costing'!$P$9:$P$492,'Costing'!$A$9:$A$492,"MAIN-021"))</x:f>
        <x:v>15000</x:v>
      </x:c>
      <x:c r="M474" s="17" t="n">
        <x:f>ROUND(L474*'Costing'!$C$4,2)</x:f>
        <x:v>2700</x:v>
      </x:c>
      <x:c r="N474" s="17" t="n">
        <x:f>L474+M474</x:f>
        <x:v>17700</x:v>
      </x:c>
      <x:c r="O474" s="12" t="str">
        <x:v>Bengaluru</x:v>
      </x:c>
      <x:c r="P474" s="12" t="str">
        <x:v>CORP-0017</x:v>
      </x:c>
      <x:c r="Q474" s="12" t="str">
        <x:v>Centaus Technologies</x:v>
      </x:c>
    </x:row>
    <x:row r="475" ht="48" customHeight="1">
      <x:c r="A475" s="2" t="str">
        <x:v>TEN-B3AD9B3F9232</x:v>
      </x:c>
      <x:c r="B475" s="12" t="str">
        <x:v>Cequence Security India Pvt Ltd</x:v>
      </x:c>
      <x:c r="C475" s="12" t="str">
        <x:v>Business / brand</x:v>
      </x:c>
      <x:c r="D475" s="12" t="str">
        <x:v>IT &amp; digital</x:v>
      </x:c>
      <x:c r="E475" s="12" t="str">
        <x:v>Cybersecurity &amp; cloud infrastructure</x:v>
      </x:c>
      <x:c r="F475" s="12" t="str">
        <x:v>Small-scale prospects</x:v>
      </x:c>
      <x:c r="G475" s="12" t="str">
        <x:v>Software or technology-services business; small-scale prospect assumption.</x:v>
      </x:c>
      <x:c r="H475" s="11" t="n">
        <x:v>1</x:v>
      </x:c>
      <x:c r="I475" s="11" t="n">
        <x:v>7</x:v>
      </x:c>
      <x:c r="J475" s="11" t="n">
        <x:v>7</x:v>
      </x:c>
      <x:c r="K475" s="11" t="n">
        <x:v>0</x:v>
      </x:c>
      <x:c r="L475" s="17" t="n">
        <x:f>SUM(SUMIFS('Costing'!$P$9:$P$492,'Costing'!$A$9:$A$492,"MAIN-116"))</x:f>
        <x:v>175000</x:v>
      </x:c>
      <x:c r="M475" s="17" t="n">
        <x:f>ROUND(L475*'Costing'!$C$4,2)</x:f>
        <x:v>31500</x:v>
      </x:c>
      <x:c r="N475" s="17" t="n">
        <x:f>L475+M475</x:f>
        <x:v>206500</x:v>
      </x:c>
      <x:c r="O475" s="12" t="str">
        <x:v>Bengaluru</x:v>
      </x:c>
      <x:c r="P475" s="12" t="str">
        <x:v>CORP-0112</x:v>
      </x:c>
      <x:c r="Q475" s="12" t="str">
        <x:v>Cequence Security India Pvt Ltd</x:v>
      </x:c>
    </x:row>
    <x:row r="476" ht="48" customHeight="1">
      <x:c r="A476" s="2" t="str">
        <x:v>TEN-7A03B2E48987</x:v>
      </x:c>
      <x:c r="B476" s="12" t="str">
        <x:v>Cerner</x:v>
      </x:c>
      <x:c r="C476" s="12" t="str">
        <x:v>Business / brand</x:v>
      </x:c>
      <x:c r="D476" s="12" t="str">
        <x:v>Healthcare &amp; life sciences</x:v>
      </x:c>
      <x:c r="E476" s="12" t="str">
        <x:v>Healthcare/life sciences — specialty unverified</x:v>
      </x:c>
      <x:c r="F476" s="12" t="str">
        <x:v>Mixed business audience</x:v>
      </x:c>
      <x:c r="G476" s="12" t="str">
        <x:v>Recognisable business context; company-scale evidence remains insufficient for a single size band.</x:v>
      </x:c>
      <x:c r="H476" s="11" t="n">
        <x:v>5</x:v>
      </x:c>
      <x:c r="I476" s="11" t="n">
        <x:v>5</x:v>
      </x:c>
      <x:c r="J476" s="11" t="n">
        <x:v>5</x:v>
      </x:c>
      <x:c r="K476" s="11" t="n">
        <x:v>0</x:v>
      </x:c>
      <x:c r="L476" s="17" t="n">
        <x:f>SUM(SUMIFS('Costing'!$P$9:$P$492,'Costing'!$A$9:$A$492,"PARTNER-M051"))</x:f>
        <x:v>200000</x:v>
      </x:c>
      <x:c r="M476" s="17" t="n">
        <x:f>ROUND(L476*'Costing'!$C$4,2)</x:f>
        <x:v>36000</x:v>
      </x:c>
      <x:c r="N476" s="17" t="n">
        <x:f>L476+M476</x:f>
        <x:v>236000</x:v>
      </x:c>
      <x:c r="O476" s="12" t="str">
        <x:v>Bengaluru</x:v>
      </x:c>
      <x:c r="P476" s="12" t="str">
        <x:v>CORP-0469, CORP-0470, CORP-0471, CORP-0472, CORP-0473</x:v>
      </x:c>
      <x:c r="Q476" s="12" t="str">
        <x:v>Cerner</x:v>
      </x:c>
    </x:row>
    <x:row r="477" ht="48" customHeight="1">
      <x:c r="A477" s="2" t="str">
        <x:v>TEN-DA7A5218187E</x:v>
      </x:c>
      <x:c r="B477" s="12" t="str">
        <x:v>Certes</x:v>
      </x:c>
      <x:c r="C477" s="12" t="str">
        <x:v>Business / brand</x:v>
      </x:c>
      <x:c r="D477" s="12" t="str">
        <x:v>Unresolved</x:v>
      </x:c>
      <x:c r="E477" s="12" t="str">
        <x:v>Business activity not established</x:v>
      </x:c>
      <x:c r="F477" s="12" t="str">
        <x:v>Mixed business audience</x:v>
      </x:c>
      <x:c r="G477" s="12" t="str">
        <x:v>Business activity and company scale are not established from this name.</x:v>
      </x:c>
      <x:c r="H477" s="11" t="n">
        <x:v>9</x:v>
      </x:c>
      <x:c r="I477" s="11" t="n">
        <x:v>9</x:v>
      </x:c>
      <x:c r="J477" s="11" t="n">
        <x:v>9</x:v>
      </x:c>
      <x:c r="K477" s="11" t="n">
        <x:v>0</x:v>
      </x:c>
      <x:c r="L477" s="17" t="n">
        <x:f>SUM(SUMIFS('Costing'!$P$9:$P$492,'Costing'!$A$9:$A$492,"PARTNER-M002"))</x:f>
        <x:v>360000</x:v>
      </x:c>
      <x:c r="M477" s="17" t="n">
        <x:f>ROUND(L477*'Costing'!$C$4,2)</x:f>
        <x:v>64800</x:v>
      </x:c>
      <x:c r="N477" s="17" t="n">
        <x:f>L477+M477</x:f>
        <x:v>424800</x:v>
      </x:c>
      <x:c r="O477" s="12" t="str">
        <x:v>Bengaluru</x:v>
      </x:c>
      <x:c r="P477" s="12" t="str">
        <x:v>CORP-0420, CORP-0421, CORP-0422, CORP-0423, CORP-0424, CORP-0425, CORP-0426, CORP-0427, CORP-0428</x:v>
      </x:c>
      <x:c r="Q477" s="12" t="str">
        <x:v>Certes</x:v>
      </x:c>
    </x:row>
    <x:row r="478" ht="48" customHeight="1">
      <x:c r="A478" s="2" t="str">
        <x:v>TEN-FC53D3F16D7A</x:v>
      </x:c>
      <x:c r="B478" s="12" t="str">
        <x:v>Certified Professional Translation</x:v>
      </x:c>
      <x:c r="C478" s="12" t="str">
        <x:v>Business / brand</x:v>
      </x:c>
      <x:c r="D478" s="12" t="str">
        <x:v>Professional services</x:v>
      </x:c>
      <x:c r="E478" s="12" t="str">
        <x:v>Business, marketing &amp; research services</x:v>
      </x:c>
      <x:c r="F478" s="12" t="str">
        <x:v>Small-scale prospects</x:v>
      </x:c>
      <x:c r="G478" s="12" t="str">
        <x:v>Professional service, agency or advisory model; small-scale prospect assumption.</x:v>
      </x:c>
      <x:c r="H478" s="11" t="n">
        <x:v>4</x:v>
      </x:c>
      <x:c r="I478" s="11" t="n">
        <x:v>4</x:v>
      </x:c>
      <x:c r="J478" s="11" t="n">
        <x:v>4</x:v>
      </x:c>
      <x:c r="K478" s="11" t="n">
        <x:v>0</x:v>
      </x:c>
      <x:c r="L478" s="17" t="n">
        <x:f>SUM(SUMIFS('Costing'!$P$9:$P$492,'Costing'!$A$9:$A$492,"PARTNER-M193"))</x:f>
        <x:v>160000</x:v>
      </x:c>
      <x:c r="M478" s="17" t="n">
        <x:f>ROUND(L478*'Costing'!$C$4,2)</x:f>
        <x:v>28800</x:v>
      </x:c>
      <x:c r="N478" s="17" t="n">
        <x:f>L478+M478</x:f>
        <x:v>188800</x:v>
      </x:c>
      <x:c r="O478" s="12" t="str">
        <x:v>Mumbai</x:v>
      </x:c>
      <x:c r="P478" s="12" t="str">
        <x:v>CORP-0610, CORP-0611, CORP-0612, CORP-0613</x:v>
      </x:c>
      <x:c r="Q478" s="12" t="str">
        <x:v>Certified Professional Translation</x:v>
      </x:c>
    </x:row>
    <x:row r="479" ht="75" customHeight="1">
      <x:c r="A479" s="2" t="str">
        <x:v>TEN-0D0617B41A0D</x:v>
      </x:c>
      <x:c r="B479" s="12" t="str">
        <x:v>CFA Institute</x:v>
      </x:c>
      <x:c r="C479" s="12" t="str">
        <x:v>Public / nonprofit</x:v>
      </x:c>
      <x:c r="D479" s="12" t="str">
        <x:v>Government &amp; nonprofit</x:v>
      </x:c>
      <x:c r="E479" s="12" t="str">
        <x:v>Public, nonprofit or membership organization</x:v>
      </x:c>
      <x:c r="F479" s="12" t="str">
        <x:v>Institutional</x:v>
      </x:c>
      <x:c r="G479" s="12" t="str">
        <x:v>Existing directory identifies an institutional, government, education, membership or nonprofit organisation rather than an ordinary MSME business prospect. This tag describes audience role and does not assert legal tax status.</x:v>
      </x:c>
      <x:c r="H479" s="11" t="n">
        <x:v>1</x:v>
      </x:c>
      <x:c r="I479" s="11" t="n">
        <x:v>2</x:v>
      </x:c>
      <x:c r="J479" s="11" t="n">
        <x:v>2</x:v>
      </x:c>
      <x:c r="K479" s="11" t="n">
        <x:v>0</x:v>
      </x:c>
      <x:c r="L479" s="17" t="n">
        <x:f>SUM(SUMIFS('Costing'!$P$9:$P$492,'Costing'!$A$9:$A$492,"MAIN-325"))</x:f>
        <x:v>80000</x:v>
      </x:c>
      <x:c r="M479" s="17" t="n">
        <x:f>ROUND(L479*'Costing'!$C$4,2)</x:f>
        <x:v>14400</x:v>
      </x:c>
      <x:c r="N479" s="17" t="n">
        <x:f>L479+M479</x:f>
        <x:v>94400</x:v>
      </x:c>
      <x:c r="O479" s="12" t="str">
        <x:v>Mumbai</x:v>
      </x:c>
      <x:c r="P479" s="12" t="str">
        <x:v>CORP-0321</x:v>
      </x:c>
      <x:c r="Q479" s="12" t="str">
        <x:v>CFA Institute</x:v>
      </x:c>
    </x:row>
    <x:row r="480" ht="48" customHeight="1">
      <x:c r="A480" s="2" t="str">
        <x:v>TEN-D0B98ADA645D</x:v>
      </x:c>
      <x:c r="B480" s="12" t="str">
        <x:v>CGG Services India Private Limited</x:v>
      </x:c>
      <x:c r="C480" s="12" t="str">
        <x:v>Business / brand</x:v>
      </x:c>
      <x:c r="D480" s="12" t="str">
        <x:v>Engineering &amp; manufacturing</x:v>
      </x:c>
      <x:c r="E480" s="12" t="str">
        <x:v>Engineering, testing &amp; technical services</x:v>
      </x:c>
      <x:c r="F480" s="12" t="str">
        <x:v>Mixed business audience</x:v>
      </x:c>
      <x:c r="G480" s="12" t="str">
        <x:v>Established brand or business network; local company scale is not established. Use a mixed-business message.</x:v>
      </x:c>
      <x:c r="H480" s="11" t="n">
        <x:v>1</x:v>
      </x:c>
      <x:c r="I480" s="11" t="n">
        <x:v>1</x:v>
      </x:c>
      <x:c r="J480" s="11" t="n">
        <x:v>1</x:v>
      </x:c>
      <x:c r="K480" s="11" t="n">
        <x:v>0</x:v>
      </x:c>
      <x:c r="L480" s="17" t="n">
        <x:f>SUM(SUMIFS('Costing'!$P$9:$P$492,'Costing'!$A$9:$A$492,"MAIN-297"))</x:f>
        <x:v>15000</x:v>
      </x:c>
      <x:c r="M480" s="17" t="n">
        <x:f>ROUND(L480*'Costing'!$C$4,2)</x:f>
        <x:v>2700</x:v>
      </x:c>
      <x:c r="N480" s="17" t="n">
        <x:f>L480+M480</x:f>
        <x:v>17700</x:v>
      </x:c>
      <x:c r="O480" s="12" t="str">
        <x:v>Mumbai</x:v>
      </x:c>
      <x:c r="P480" s="12" t="str">
        <x:v>CORP-0293</x:v>
      </x:c>
      <x:c r="Q480" s="12" t="str">
        <x:v>CGG Services India Private Limited</x:v>
      </x:c>
    </x:row>
    <x:row r="481" ht="48" customHeight="1">
      <x:c r="A481" s="2" t="str">
        <x:v>TEN-A50481FFDD48</x:v>
      </x:c>
      <x:c r="B481" s="12" t="str">
        <x:v>CGSC</x:v>
      </x:c>
      <x:c r="C481" s="12" t="str">
        <x:v>Business / brand</x:v>
      </x:c>
      <x:c r="D481" s="12" t="str">
        <x:v>Unresolved</x:v>
      </x:c>
      <x:c r="E481" s="12" t="str">
        <x:v>Business activity not established</x:v>
      </x:c>
      <x:c r="F481" s="12" t="str">
        <x:v>Mixed business audience</x:v>
      </x:c>
      <x:c r="G481" s="12" t="str">
        <x:v>Business activity and company scale are not established from this name.</x:v>
      </x:c>
      <x:c r="H481" s="11" t="n">
        <x:v>1</x:v>
      </x:c>
      <x:c r="I481" s="11" t="n">
        <x:v>2</x:v>
      </x:c>
      <x:c r="J481" s="11" t="n">
        <x:v>2</x:v>
      </x:c>
      <x:c r="K481" s="11" t="n">
        <x:v>0</x:v>
      </x:c>
      <x:c r="L481" s="17" t="n">
        <x:f>SUM(SUMIFS('Costing'!$P$9:$P$492,'Costing'!$A$9:$A$492,"MAIN-162"))</x:f>
        <x:v>30000</x:v>
      </x:c>
      <x:c r="M481" s="17" t="n">
        <x:f>ROUND(L481*'Costing'!$C$4,2)</x:f>
        <x:v>5400</x:v>
      </x:c>
      <x:c r="N481" s="17" t="n">
        <x:f>L481+M481</x:f>
        <x:v>35400</x:v>
      </x:c>
      <x:c r="O481" s="12" t="str">
        <x:v>Delhi NCR</x:v>
      </x:c>
      <x:c r="P481" s="12" t="str">
        <x:v>CORP-0158</x:v>
      </x:c>
      <x:c r="Q481" s="12" t="str">
        <x:v>CGSC</x:v>
      </x:c>
    </x:row>
    <x:row r="482" ht="48" customHeight="1">
      <x:c r="A482" s="2" t="str">
        <x:v>TEN-8811AC206AD4</x:v>
      </x:c>
      <x:c r="B482" s="12" t="str">
        <x:v>Chainalytics</x:v>
      </x:c>
      <x:c r="C482" s="12" t="str">
        <x:v>Business / brand</x:v>
      </x:c>
      <x:c r="D482" s="12" t="str">
        <x:v>Professional services</x:v>
      </x:c>
      <x:c r="E482" s="12" t="str">
        <x:v>Business, marketing &amp; research services</x:v>
      </x:c>
      <x:c r="F482" s="12" t="str">
        <x:v>Small-scale prospects</x:v>
      </x:c>
      <x:c r="G482" s="12" t="str">
        <x:v>Professional service, agency or advisory model; small-scale prospect assumption.</x:v>
      </x:c>
      <x:c r="H482" s="11" t="n">
        <x:v>4</x:v>
      </x:c>
      <x:c r="I482" s="11" t="n">
        <x:v>4</x:v>
      </x:c>
      <x:c r="J482" s="11" t="n">
        <x:v>4</x:v>
      </x:c>
      <x:c r="K482" s="11" t="n">
        <x:v>0</x:v>
      </x:c>
      <x:c r="L482" s="17" t="n">
        <x:f>SUM(SUMIFS('Costing'!$P$9:$P$492,'Costing'!$A$9:$A$492,"PARTNER-M056"))</x:f>
        <x:v>160000</x:v>
      </x:c>
      <x:c r="M482" s="17" t="n">
        <x:f>ROUND(L482*'Costing'!$C$4,2)</x:f>
        <x:v>28800</x:v>
      </x:c>
      <x:c r="N482" s="17" t="n">
        <x:f>L482+M482</x:f>
        <x:v>188800</x:v>
      </x:c>
      <x:c r="O482" s="12" t="str">
        <x:v>Bengaluru</x:v>
      </x:c>
      <x:c r="P482" s="12" t="str">
        <x:v>CORP-0474, CORP-0475, CORP-0476, CORP-0477</x:v>
      </x:c>
      <x:c r="Q482" s="12" t="str">
        <x:v>Chainalytics</x:v>
      </x:c>
    </x:row>
    <x:row r="483" ht="48" customHeight="1">
      <x:c r="A483" s="2" t="str">
        <x:v>TEN-848822CFB226</x:v>
      </x:c>
      <x:c r="B483" s="12" t="str">
        <x:v>Chalo</x:v>
      </x:c>
      <x:c r="C483" s="12" t="str">
        <x:v>Business / brand</x:v>
      </x:c>
      <x:c r="D483" s="12" t="str">
        <x:v>Trade, consumer &amp; logistics</x:v>
      </x:c>
      <x:c r="E483" s="12" t="str">
        <x:v>Logistics, shipping &amp; transport</x:v>
      </x:c>
      <x:c r="F483" s="12" t="str">
        <x:v>Medium-scale prospects</x:v>
      </x:c>
      <x:c r="G483" s="12" t="str">
        <x:v>Specialist logistics or transport business; medium-scale prospect assumption.</x:v>
      </x:c>
      <x:c r="H483" s="11" t="n">
        <x:v>1</x:v>
      </x:c>
      <x:c r="I483" s="11" t="n">
        <x:v>2</x:v>
      </x:c>
      <x:c r="J483" s="11" t="n">
        <x:v>2</x:v>
      </x:c>
      <x:c r="K483" s="11" t="n">
        <x:v>0</x:v>
      </x:c>
      <x:c r="L483" s="17" t="n">
        <x:f>SUM(SUMIFS('Costing'!$P$9:$P$492,'Costing'!$A$9:$A$492,"MAIN-109"))</x:f>
        <x:v>30000</x:v>
      </x:c>
      <x:c r="M483" s="17" t="n">
        <x:f>ROUND(L483*'Costing'!$C$4,2)</x:f>
        <x:v>5400</x:v>
      </x:c>
      <x:c r="N483" s="17" t="n">
        <x:f>L483+M483</x:f>
        <x:v>35400</x:v>
      </x:c>
      <x:c r="O483" s="12" t="str">
        <x:v>Bengaluru</x:v>
      </x:c>
      <x:c r="P483" s="12" t="str">
        <x:v>CORP-0105</x:v>
      </x:c>
      <x:c r="Q483" s="12" t="str">
        <x:v>Chalo</x:v>
      </x:c>
    </x:row>
    <x:row r="484" ht="48" customHeight="1">
      <x:c r="A484" s="2" t="str">
        <x:v>TEN-E8742C488447</x:v>
      </x:c>
      <x:c r="B484" s="12" t="str">
        <x:v>Charcoal Eats</x:v>
      </x:c>
      <x:c r="C484" s="12" t="str">
        <x:v>Business / brand</x:v>
      </x:c>
      <x:c r="D484" s="12" t="str">
        <x:v>Trade, consumer &amp; logistics</x:v>
      </x:c>
      <x:c r="E484" s="12" t="str">
        <x:v>Travel, hospitality, food &amp; beverages</x:v>
      </x:c>
      <x:c r="F484" s="12" t="str">
        <x:v>Small-scale prospects</x:v>
      </x:c>
      <x:c r="G484" s="12" t="str">
        <x:v>Trading or consumer-services business; small-scale prospect assumption.</x:v>
      </x:c>
      <x:c r="H484" s="11" t="n">
        <x:v>1</x:v>
      </x:c>
      <x:c r="I484" s="11" t="n">
        <x:v>21</x:v>
      </x:c>
      <x:c r="J484" s="11" t="n">
        <x:v>21</x:v>
      </x:c>
      <x:c r="K484" s="11" t="n">
        <x:v>0</x:v>
      </x:c>
      <x:c r="L484" s="17" t="n">
        <x:f>SUM(SUMIFS('Costing'!$P$9:$P$492,'Costing'!$A$9:$A$492,"MAIN-313"))</x:f>
        <x:v>315000</x:v>
      </x:c>
      <x:c r="M484" s="17" t="n">
        <x:f>ROUND(L484*'Costing'!$C$4,2)</x:f>
        <x:v>56700</x:v>
      </x:c>
      <x:c r="N484" s="17" t="n">
        <x:f>L484+M484</x:f>
        <x:v>371700</x:v>
      </x:c>
      <x:c r="O484" s="12" t="str">
        <x:v>Mumbai</x:v>
      </x:c>
      <x:c r="P484" s="12" t="str">
        <x:v>CORP-0309</x:v>
      </x:c>
      <x:c r="Q484" s="12" t="str">
        <x:v>Charcoal Eats</x:v>
      </x:c>
    </x:row>
    <x:row r="485" ht="49" customHeight="1">
      <x:c r="A485" s="2" t="str">
        <x:v>TEN-B89A12E50ABA</x:v>
      </x:c>
      <x:c r="B485" s="12" t="str">
        <x:v>Charterd Coworks</x:v>
      </x:c>
      <x:c r="C485" s="12" t="str">
        <x:v>Workspace operator</x:v>
      </x:c>
      <x:c r="D485" s="12" t="str">
        <x:v>Workspace &amp; property operations</x:v>
      </x:c>
      <x:c r="E485" s="12" t="str">
        <x:v>Coworking/workspace operator</x:v>
      </x:c>
      <x:c r="F485" s="12" t="str">
        <x:v>Mixed business audience</x:v>
      </x:c>
      <x:c r="G485" s="12" t="str">
        <x:v>Supplied entry is a shared-workspace operator; the business sizes of occupant companies cannot be derived from the operator name.</x:v>
      </x:c>
      <x:c r="H485" s="11" t="n">
        <x:v>1</x:v>
      </x:c>
      <x:c r="I485" s="11" t="n">
        <x:v>1</x:v>
      </x:c>
      <x:c r="J485" s="11" t="n">
        <x:v>1</x:v>
      </x:c>
      <x:c r="K485" s="11" t="n">
        <x:v>0</x:v>
      </x:c>
      <x:c r="L485" s="17" t="n">
        <x:f>SUM(SUMIFS('Costing'!$P$9:$P$492,'Costing'!$A$9:$A$492,"MAIN-415"))</x:f>
        <x:v>15000</x:v>
      </x:c>
      <x:c r="M485" s="17" t="n">
        <x:f>ROUND(L485*'Costing'!$C$4,2)</x:f>
        <x:v>2700</x:v>
      </x:c>
      <x:c r="N485" s="17" t="n">
        <x:f>L485+M485</x:f>
        <x:v>17700</x:v>
      </x:c>
      <x:c r="O485" s="12" t="str">
        <x:v>Pune</x:v>
      </x:c>
      <x:c r="P485" s="12" t="str">
        <x:v>CORP-0411</x:v>
      </x:c>
      <x:c r="Q485" s="12" t="str">
        <x:v>Charterd Coworks</x:v>
      </x:c>
    </x:row>
    <x:row r="486" ht="48" customHeight="1">
      <x:c r="A486" s="2" t="str">
        <x:v>TEN-16362ADD6C25</x:v>
      </x:c>
      <x:c r="B486" s="12" t="str">
        <x:v>Charzera tech pvt ltd</x:v>
      </x:c>
      <x:c r="C486" s="12" t="str">
        <x:v>Business / brand</x:v>
      </x:c>
      <x:c r="D486" s="12" t="str">
        <x:v>Unresolved</x:v>
      </x:c>
      <x:c r="E486" s="12" t="str">
        <x:v>Business activity not established</x:v>
      </x:c>
      <x:c r="F486" s="12" t="str">
        <x:v>Mixed business audience</x:v>
      </x:c>
      <x:c r="G486" s="12" t="str">
        <x:v>Business activity and company scale are not established from this name.</x:v>
      </x:c>
      <x:c r="H486" s="11" t="n">
        <x:v>1</x:v>
      </x:c>
      <x:c r="I486" s="11" t="n">
        <x:v>2</x:v>
      </x:c>
      <x:c r="J486" s="11" t="n">
        <x:v>2</x:v>
      </x:c>
      <x:c r="K486" s="11" t="n">
        <x:v>0</x:v>
      </x:c>
      <x:c r="L486" s="17" t="n">
        <x:f>SUM(SUMIFS('Costing'!$P$9:$P$492,'Costing'!$A$9:$A$492,"MAIN-045"))</x:f>
        <x:v>30000</x:v>
      </x:c>
      <x:c r="M486" s="17" t="n">
        <x:f>ROUND(L486*'Costing'!$C$4,2)</x:f>
        <x:v>5400</x:v>
      </x:c>
      <x:c r="N486" s="17" t="n">
        <x:f>L486+M486</x:f>
        <x:v>35400</x:v>
      </x:c>
      <x:c r="O486" s="12" t="str">
        <x:v>Bengaluru</x:v>
      </x:c>
      <x:c r="P486" s="12" t="str">
        <x:v>CORP-0041</x:v>
      </x:c>
      <x:c r="Q486" s="12" t="str">
        <x:v>Charzera tech pvt ltd</x:v>
      </x:c>
    </x:row>
    <x:row r="487" ht="48" customHeight="1">
      <x:c r="A487" s="2" t="str">
        <x:v>TEN-D3DBB73A0C6F</x:v>
      </x:c>
      <x:c r="B487" s="12" t="str">
        <x:v>Chill Life Hospitality LLP</x:v>
      </x:c>
      <x:c r="C487" s="12" t="str">
        <x:v>Business / brand</x:v>
      </x:c>
      <x:c r="D487" s="12" t="str">
        <x:v>Trade, consumer &amp; logistics</x:v>
      </x:c>
      <x:c r="E487" s="12" t="str">
        <x:v>Travel, hospitality, food &amp; beverages</x:v>
      </x:c>
      <x:c r="F487" s="12" t="str">
        <x:v>Small-scale prospects</x:v>
      </x:c>
      <x:c r="G487" s="12" t="str">
        <x:v>Trading or consumer-services business; small-scale prospect assumption.</x:v>
      </x:c>
      <x:c r="H487" s="11" t="n">
        <x:v>1</x:v>
      </x:c>
      <x:c r="I487" s="11" t="n">
        <x:v>6</x:v>
      </x:c>
      <x:c r="J487" s="11" t="n">
        <x:v>6</x:v>
      </x:c>
      <x:c r="K487" s="11" t="n">
        <x:v>0</x:v>
      </x:c>
      <x:c r="L487" s="17" t="n">
        <x:f>SUM(SUMIFS('Costing'!$P$9:$P$492,'Costing'!$A$9:$A$492,"MAIN-030"))</x:f>
        <x:v>90000</x:v>
      </x:c>
      <x:c r="M487" s="17" t="n">
        <x:f>ROUND(L487*'Costing'!$C$4,2)</x:f>
        <x:v>16200</x:v>
      </x:c>
      <x:c r="N487" s="17" t="n">
        <x:f>L487+M487</x:f>
        <x:v>106200</x:v>
      </x:c>
      <x:c r="O487" s="12" t="str">
        <x:v>Bengaluru</x:v>
      </x:c>
      <x:c r="P487" s="12" t="str">
        <x:v>CORP-0026</x:v>
      </x:c>
      <x:c r="Q487" s="12" t="str">
        <x:v>Chill Life Hospitality LLP</x:v>
      </x:c>
    </x:row>
    <x:row r="488" ht="48" customHeight="1">
      <x:c r="A488" s="2" t="str">
        <x:v>TEN-D0B6359CA261</x:v>
      </x:c>
      <x:c r="B488" s="12" t="str">
        <x:v>China Shipping</x:v>
      </x:c>
      <x:c r="C488" s="12" t="str">
        <x:v>Business / brand</x:v>
      </x:c>
      <x:c r="D488" s="12" t="str">
        <x:v>Trade, consumer &amp; logistics</x:v>
      </x:c>
      <x:c r="E488" s="12" t="str">
        <x:v>Logistics, shipping &amp; transport</x:v>
      </x:c>
      <x:c r="F488" s="12" t="str">
        <x:v>Mixed business audience</x:v>
      </x:c>
      <x:c r="G488" s="12" t="str">
        <x:v>Established brand or business network; local company scale is not established. Use a mixed-business message.</x:v>
      </x:c>
      <x:c r="H488" s="11" t="n">
        <x:v>2</x:v>
      </x:c>
      <x:c r="I488" s="11" t="n">
        <x:v>2</x:v>
      </x:c>
      <x:c r="J488" s="11" t="n">
        <x:v>2</x:v>
      </x:c>
      <x:c r="K488" s="11" t="n">
        <x:v>0</x:v>
      </x:c>
      <x:c r="L488" s="17" t="n">
        <x:f>SUM(SUMIFS('Costing'!$P$9:$P$492,'Costing'!$A$9:$A$492,"PARTNER-M241"))</x:f>
        <x:v>80000</x:v>
      </x:c>
      <x:c r="M488" s="17" t="n">
        <x:f>ROUND(L488*'Costing'!$C$4,2)</x:f>
        <x:v>14400</x:v>
      </x:c>
      <x:c r="N488" s="17" t="n">
        <x:f>L488+M488</x:f>
        <x:v>94400</x:v>
      </x:c>
      <x:c r="O488" s="12" t="str">
        <x:v>Mumbai</x:v>
      </x:c>
      <x:c r="P488" s="12" t="str">
        <x:v>CORP-0658, CORP-0659</x:v>
      </x:c>
      <x:c r="Q488" s="12" t="str">
        <x:v>China Shipping</x:v>
      </x:c>
    </x:row>
    <x:row r="489" ht="48" customHeight="1">
      <x:c r="A489" s="2" t="str">
        <x:v>TEN-404B0D4EBDF8</x:v>
      </x:c>
      <x:c r="B489" s="12" t="str">
        <x:v>Choice solutions limited</x:v>
      </x:c>
      <x:c r="C489" s="12" t="str">
        <x:v>Business / brand</x:v>
      </x:c>
      <x:c r="D489" s="12" t="str">
        <x:v>Unresolved</x:v>
      </x:c>
      <x:c r="E489" s="12" t="str">
        <x:v>Business activity not established</x:v>
      </x:c>
      <x:c r="F489" s="12" t="str">
        <x:v>Mixed business audience</x:v>
      </x:c>
      <x:c r="G489" s="12" t="str">
        <x:v>Business activity and company scale are not established from this name.</x:v>
      </x:c>
      <x:c r="H489" s="11" t="n">
        <x:v>1</x:v>
      </x:c>
      <x:c r="I489" s="11" t="n">
        <x:v>22</x:v>
      </x:c>
      <x:c r="J489" s="11" t="n">
        <x:v>22</x:v>
      </x:c>
      <x:c r="K489" s="11" t="n">
        <x:v>0</x:v>
      </x:c>
      <x:c r="L489" s="17" t="n">
        <x:f>SUM(SUMIFS('Costing'!$P$9:$P$492,'Costing'!$A$9:$A$492,"MAIN-260"))</x:f>
        <x:v>715000</x:v>
      </x:c>
      <x:c r="M489" s="17" t="n">
        <x:f>ROUND(L489*'Costing'!$C$4,2)</x:f>
        <x:v>128700</x:v>
      </x:c>
      <x:c r="N489" s="17" t="n">
        <x:f>L489+M489</x:f>
        <x:v>843700</x:v>
      </x:c>
      <x:c r="O489" s="12" t="str">
        <x:v>Hyderabad</x:v>
      </x:c>
      <x:c r="P489" s="12" t="str">
        <x:v>CORP-0256</x:v>
      </x:c>
      <x:c r="Q489" s="12" t="str">
        <x:v>Choice solutions limited</x:v>
      </x:c>
    </x:row>
    <x:row r="490" ht="48" customHeight="1">
      <x:c r="A490" s="2" t="str">
        <x:v>TEN-A0E57F90BD10</x:v>
      </x:c>
      <x:c r="B490" s="12" t="str">
        <x:v>Chroniclo Cloud</x:v>
      </x:c>
      <x:c r="C490" s="12" t="str">
        <x:v>Business / brand</x:v>
      </x:c>
      <x:c r="D490" s="12" t="str">
        <x:v>IT &amp; digital</x:v>
      </x:c>
      <x:c r="E490" s="12" t="str">
        <x:v>Cybersecurity &amp; cloud infrastructure</x:v>
      </x:c>
      <x:c r="F490" s="12" t="str">
        <x:v>Small-scale prospects</x:v>
      </x:c>
      <x:c r="G490" s="12" t="str">
        <x:v>Software or technology-services business; small-scale prospect assumption.</x:v>
      </x:c>
      <x:c r="H490" s="11" t="n">
        <x:v>1</x:v>
      </x:c>
      <x:c r="I490" s="11" t="n">
        <x:v>2</x:v>
      </x:c>
      <x:c r="J490" s="11" t="n">
        <x:v>2</x:v>
      </x:c>
      <x:c r="K490" s="11" t="n">
        <x:v>0</x:v>
      </x:c>
      <x:c r="L490" s="17" t="n">
        <x:f>SUM(SUMIFS('Costing'!$P$9:$P$492,'Costing'!$A$9:$A$492,"MAIN-268"))</x:f>
        <x:v>80000</x:v>
      </x:c>
      <x:c r="M490" s="17" t="n">
        <x:f>ROUND(L490*'Costing'!$C$4,2)</x:f>
        <x:v>14400</x:v>
      </x:c>
      <x:c r="N490" s="17" t="n">
        <x:f>L490+M490</x:f>
        <x:v>94400</x:v>
      </x:c>
      <x:c r="O490" s="12" t="str">
        <x:v>Indore</x:v>
      </x:c>
      <x:c r="P490" s="12" t="str">
        <x:v>CORP-0264</x:v>
      </x:c>
      <x:c r="Q490" s="12" t="str">
        <x:v>Chroniclo Cloud</x:v>
      </x:c>
    </x:row>
    <x:row r="491" ht="48" customHeight="1">
      <x:c r="A491" s="2" t="str">
        <x:v>TEN-F2D6B3DEBABF</x:v>
      </x:c>
      <x:c r="B491" s="12" t="str">
        <x:v>Chubb Business Services India Private Limited</x:v>
      </x:c>
      <x:c r="C491" s="12" t="str">
        <x:v>Business / brand</x:v>
      </x:c>
      <x:c r="D491" s="12" t="str">
        <x:v>Finance &amp; insurance</x:v>
      </x:c>
      <x:c r="E491" s="12" t="str">
        <x:v>Insurance &amp; insurance services</x:v>
      </x:c>
      <x:c r="F491" s="12" t="str">
        <x:v>Mixed business audience</x:v>
      </x:c>
      <x:c r="G491" s="12" t="str">
        <x:v>Recognisable business context; company-scale evidence remains insufficient for a single size band.</x:v>
      </x:c>
      <x:c r="H491" s="11" t="n">
        <x:v>1</x:v>
      </x:c>
      <x:c r="I491" s="11" t="n">
        <x:v>1</x:v>
      </x:c>
      <x:c r="J491" s="11" t="n">
        <x:v>1</x:v>
      </x:c>
      <x:c r="K491" s="11" t="n">
        <x:v>0</x:v>
      </x:c>
      <x:c r="L491" s="17" t="n">
        <x:f>SUM(SUMIFS('Costing'!$P$9:$P$492,'Costing'!$A$9:$A$492,"MAIN-254"))</x:f>
        <x:v>15000</x:v>
      </x:c>
      <x:c r="M491" s="17" t="n">
        <x:f>ROUND(L491*'Costing'!$C$4,2)</x:f>
        <x:v>2700</x:v>
      </x:c>
      <x:c r="N491" s="17" t="n">
        <x:f>L491+M491</x:f>
        <x:v>17700</x:v>
      </x:c>
      <x:c r="O491" s="12" t="str">
        <x:v>Hyderabad</x:v>
      </x:c>
      <x:c r="P491" s="12" t="str">
        <x:v>CORP-0250</x:v>
      </x:c>
      <x:c r="Q491" s="12" t="str">
        <x:v>Chubb Business Services India Private Limited</x:v>
      </x:c>
    </x:row>
    <x:row r="492" ht="48" customHeight="1">
      <x:c r="A492" s="2" t="str">
        <x:v>TEN-96311B221568</x:v>
      </x:c>
      <x:c r="B492" s="12" t="str">
        <x:v>Chutney Retails Services Pvt.Ltd</x:v>
      </x:c>
      <x:c r="C492" s="12" t="str">
        <x:v>Business / brand</x:v>
      </x:c>
      <x:c r="D492" s="12" t="str">
        <x:v>Trade, consumer &amp; logistics</x:v>
      </x:c>
      <x:c r="E492" s="12" t="str">
        <x:v>Travel, hospitality, food &amp; beverages</x:v>
      </x:c>
      <x:c r="F492" s="12" t="str">
        <x:v>Small-scale prospects</x:v>
      </x:c>
      <x:c r="G492" s="12" t="str">
        <x:v>Trading or consumer-services business; small-scale prospect assumption.</x:v>
      </x:c>
      <x:c r="H492" s="11" t="n">
        <x:v>1</x:v>
      </x:c>
      <x:c r="I492" s="11" t="n">
        <x:v>6</x:v>
      </x:c>
      <x:c r="J492" s="11" t="n">
        <x:v>6</x:v>
      </x:c>
      <x:c r="K492" s="11" t="n">
        <x:v>0</x:v>
      </x:c>
      <x:c r="L492" s="17" t="n">
        <x:f>SUM(SUMIFS('Costing'!$P$9:$P$492,'Costing'!$A$9:$A$492,"MAIN-030"))</x:f>
        <x:v>90000</x:v>
      </x:c>
      <x:c r="M492" s="17" t="n">
        <x:f>ROUND(L492*'Costing'!$C$4,2)</x:f>
        <x:v>16200</x:v>
      </x:c>
      <x:c r="N492" s="17" t="n">
        <x:f>L492+M492</x:f>
        <x:v>106200</x:v>
      </x:c>
      <x:c r="O492" s="12" t="str">
        <x:v>Bengaluru</x:v>
      </x:c>
      <x:c r="P492" s="12" t="str">
        <x:v>CORP-0026</x:v>
      </x:c>
      <x:c r="Q492" s="12" t="str">
        <x:v>Chutney Retails Services Pvt.Ltd</x:v>
      </x:c>
    </x:row>
    <x:row r="493" ht="48" customHeight="1">
      <x:c r="A493" s="2" t="str">
        <x:v>TEN-DBE7EEE76AB6</x:v>
      </x:c>
      <x:c r="B493" s="12" t="str">
        <x:v>CIEL HR Services Pvt Ltd</x:v>
      </x:c>
      <x:c r="C493" s="12" t="str">
        <x:v>Business / brand</x:v>
      </x:c>
      <x:c r="D493" s="12" t="str">
        <x:v>Professional services</x:v>
      </x:c>
      <x:c r="E493" s="12" t="str">
        <x:v>Recruitment, HR &amp; staffing</x:v>
      </x:c>
      <x:c r="F493" s="12" t="str">
        <x:v>Small-scale prospects</x:v>
      </x:c>
      <x:c r="G493" s="12" t="str">
        <x:v>Professional service, agency or advisory model; small-scale prospect assumption.</x:v>
      </x:c>
      <x:c r="H493" s="11" t="n">
        <x:v>1</x:v>
      </x:c>
      <x:c r="I493" s="11" t="n">
        <x:v>8</x:v>
      </x:c>
      <x:c r="J493" s="11" t="n">
        <x:v>8</x:v>
      </x:c>
      <x:c r="K493" s="11" t="n">
        <x:v>0</x:v>
      </x:c>
      <x:c r="L493" s="17" t="n">
        <x:f>SUM(SUMIFS('Costing'!$P$9:$P$492,'Costing'!$A$9:$A$492,"MAIN-286"))</x:f>
        <x:v>120000</x:v>
      </x:c>
      <x:c r="M493" s="17" t="n">
        <x:f>ROUND(L493*'Costing'!$C$4,2)</x:f>
        <x:v>21600</x:v>
      </x:c>
      <x:c r="N493" s="17" t="n">
        <x:f>L493+M493</x:f>
        <x:v>141600</x:v>
      </x:c>
      <x:c r="O493" s="12" t="str">
        <x:v>Kolkata</x:v>
      </x:c>
      <x:c r="P493" s="12" t="str">
        <x:v>CORP-0282</x:v>
      </x:c>
      <x:c r="Q493" s="12" t="str">
        <x:v>CIEL HR Services Pvt Ltd</x:v>
      </x:c>
    </x:row>
    <x:row r="494" ht="48" customHeight="1">
      <x:c r="A494" s="2" t="str">
        <x:v>TEN-4EA5DCC360A3</x:v>
      </x:c>
      <x:c r="B494" s="12" t="str">
        <x:v>CIF INDUSTRIES PRIVATE LIMITED</x:v>
      </x:c>
      <x:c r="C494" s="12" t="str">
        <x:v>Business / brand</x:v>
      </x:c>
      <x:c r="D494" s="12" t="str">
        <x:v>Unresolved</x:v>
      </x:c>
      <x:c r="E494" s="12" t="str">
        <x:v>Business activity not established</x:v>
      </x:c>
      <x:c r="F494" s="12" t="str">
        <x:v>Mixed business audience</x:v>
      </x:c>
      <x:c r="G494" s="12" t="str">
        <x:v>Business activity and company scale are not established from this name.</x:v>
      </x:c>
      <x:c r="H494" s="11" t="n">
        <x:v>1</x:v>
      </x:c>
      <x:c r="I494" s="11" t="n">
        <x:v>4</x:v>
      </x:c>
      <x:c r="J494" s="11" t="n">
        <x:v>4</x:v>
      </x:c>
      <x:c r="K494" s="11" t="n">
        <x:v>0</x:v>
      </x:c>
      <x:c r="L494" s="17" t="n">
        <x:f>SUM(SUMIFS('Costing'!$P$9:$P$492,'Costing'!$A$9:$A$492,"MAIN-204"))</x:f>
        <x:v>160000</x:v>
      </x:c>
      <x:c r="M494" s="17" t="n">
        <x:f>ROUND(L494*'Costing'!$C$4,2)</x:f>
        <x:v>28800</x:v>
      </x:c>
      <x:c r="N494" s="17" t="n">
        <x:f>L494+M494</x:f>
        <x:v>188800</x:v>
      </x:c>
      <x:c r="O494" s="12" t="str">
        <x:v>Delhi NCR</x:v>
      </x:c>
      <x:c r="P494" s="12" t="str">
        <x:v>CORP-0200</x:v>
      </x:c>
      <x:c r="Q494" s="12" t="str">
        <x:v>CIF INDUSTRIES PRIVATE LIMITED</x:v>
      </x:c>
    </x:row>
    <x:row r="495" ht="48" customHeight="1">
      <x:c r="A495" s="2" t="str">
        <x:v>TEN-A04E8DBF862F</x:v>
      </x:c>
      <x:c r="B495" s="12" t="str">
        <x:v>Cigna TTK Health Insurance Company Ltd</x:v>
      </x:c>
      <x:c r="C495" s="12" t="str">
        <x:v>Business / brand</x:v>
      </x:c>
      <x:c r="D495" s="12" t="str">
        <x:v>Finance &amp; insurance</x:v>
      </x:c>
      <x:c r="E495" s="12" t="str">
        <x:v>Insurance &amp; insurance services</x:v>
      </x:c>
      <x:c r="F495" s="12" t="str">
        <x:v>Mixed business audience</x:v>
      </x:c>
      <x:c r="G495" s="12" t="str">
        <x:v>Recognisable business context; company-scale evidence remains insufficient for a single size band.</x:v>
      </x:c>
      <x:c r="H495" s="11" t="n">
        <x:v>9</x:v>
      </x:c>
      <x:c r="I495" s="11" t="n">
        <x:v>9</x:v>
      </x:c>
      <x:c r="J495" s="11" t="n">
        <x:v>9</x:v>
      </x:c>
      <x:c r="K495" s="11" t="n">
        <x:v>0</x:v>
      </x:c>
      <x:c r="L495" s="17" t="n">
        <x:f>SUM(SUMIFS('Costing'!$P$9:$P$492,'Costing'!$A$9:$A$492,"MAIN-073"),SUMIFS('Costing'!$P$9:$P$492,'Costing'!$A$9:$A$492,"PARTNER-M100"))</x:f>
        <x:v>360000</x:v>
      </x:c>
      <x:c r="M495" s="17" t="n">
        <x:f>ROUND(L495*'Costing'!$C$4,2)</x:f>
        <x:v>64800</x:v>
      </x:c>
      <x:c r="N495" s="17" t="n">
        <x:f>L495+M495</x:f>
        <x:v>424800</x:v>
      </x:c>
      <x:c r="O495" s="12" t="str">
        <x:v>Bengaluru</x:v>
      </x:c>
      <x:c r="P495" s="12" t="str">
        <x:v>CORP-0069, CORP-0518, CORP-0519, CORP-0520, CORP-0521, CORP-0522, CORP-0523, CORP-0524, CORP-0525</x:v>
      </x:c>
      <x:c r="Q495" s="12" t="str">
        <x:v>Cigna TTK Health Insurance Company Ltd</x:v>
      </x:c>
    </x:row>
    <x:row r="496" ht="48" customHeight="1">
      <x:c r="A496" s="2" t="str">
        <x:v>TEN-B3B549850AA9</x:v>
      </x:c>
      <x:c r="B496" s="12" t="str">
        <x:v>Ciklum</x:v>
      </x:c>
      <x:c r="C496" s="12" t="str">
        <x:v>Business / brand</x:v>
      </x:c>
      <x:c r="D496" s="12" t="str">
        <x:v>IT &amp; digital</x:v>
      </x:c>
      <x:c r="E496" s="12" t="str">
        <x:v>Enterprise software &amp; digital engineering</x:v>
      </x:c>
      <x:c r="F496" s="12" t="str">
        <x:v>Mixed business audience</x:v>
      </x:c>
      <x:c r="G496" s="12" t="str">
        <x:v>Established brand or business network; local company scale is not established. Use a mixed-business message.</x:v>
      </x:c>
      <x:c r="H496" s="11" t="n">
        <x:v>1</x:v>
      </x:c>
      <x:c r="I496" s="11" t="n">
        <x:v>1</x:v>
      </x:c>
      <x:c r="J496" s="11" t="n">
        <x:v>1</x:v>
      </x:c>
      <x:c r="K496" s="11" t="n">
        <x:v>0</x:v>
      </x:c>
      <x:c r="L496" s="17" t="n">
        <x:f>SUM(SUMIFS('Costing'!$P$9:$P$492,'Costing'!$A$9:$A$492,"MAIN-160"))</x:f>
        <x:v>15000</x:v>
      </x:c>
      <x:c r="M496" s="17" t="n">
        <x:f>ROUND(L496*'Costing'!$C$4,2)</x:f>
        <x:v>2700</x:v>
      </x:c>
      <x:c r="N496" s="17" t="n">
        <x:f>L496+M496</x:f>
        <x:v>17700</x:v>
      </x:c>
      <x:c r="O496" s="12" t="str">
        <x:v>Chennai</x:v>
      </x:c>
      <x:c r="P496" s="12" t="str">
        <x:v>CORP-0156</x:v>
      </x:c>
      <x:c r="Q496" s="12" t="str">
        <x:v>Ciklum</x:v>
      </x:c>
    </x:row>
    <x:row r="497" ht="48" customHeight="1">
      <x:c r="A497" s="2" t="str">
        <x:v>TEN-B82219A14E90</x:v>
      </x:c>
      <x:c r="B497" s="12" t="str">
        <x:v>Cimpress Bangalore</x:v>
      </x:c>
      <x:c r="C497" s="12" t="str">
        <x:v>Business / brand</x:v>
      </x:c>
      <x:c r="D497" s="12" t="str">
        <x:v>Trade, consumer &amp; logistics</x:v>
      </x:c>
      <x:c r="E497" s="12" t="str">
        <x:v>Retail, consumer products &amp; ecommerce</x:v>
      </x:c>
      <x:c r="F497" s="12" t="str">
        <x:v>Mixed business audience</x:v>
      </x:c>
      <x:c r="G497" s="12" t="str">
        <x:v>Recognisable business context; company-scale evidence remains insufficient for a single size band.</x:v>
      </x:c>
      <x:c r="H497" s="11" t="n">
        <x:v>1</x:v>
      </x:c>
      <x:c r="I497" s="11" t="n">
        <x:v>4</x:v>
      </x:c>
      <x:c r="J497" s="11" t="n">
        <x:v>4</x:v>
      </x:c>
      <x:c r="K497" s="11" t="n">
        <x:v>0</x:v>
      </x:c>
      <x:c r="L497" s="17" t="n">
        <x:f>SUM(SUMIFS('Costing'!$P$9:$P$492,'Costing'!$A$9:$A$492,"MAIN-124"))</x:f>
        <x:v>100000</x:v>
      </x:c>
      <x:c r="M497" s="17" t="n">
        <x:f>ROUND(L497*'Costing'!$C$4,2)</x:f>
        <x:v>18000</x:v>
      </x:c>
      <x:c r="N497" s="17" t="n">
        <x:f>L497+M497</x:f>
        <x:v>118000</x:v>
      </x:c>
      <x:c r="O497" s="12" t="str">
        <x:v>Bengaluru</x:v>
      </x:c>
      <x:c r="P497" s="12" t="str">
        <x:v>CORP-0120</x:v>
      </x:c>
      <x:c r="Q497" s="12" t="str">
        <x:v>Cimpress Bangalore</x:v>
      </x:c>
    </x:row>
    <x:row r="498" ht="48" customHeight="1">
      <x:c r="A498" s="2" t="str">
        <x:v>TEN-DB041B39B6B0</x:v>
      </x:c>
      <x:c r="B498" s="12" t="str">
        <x:v>CIMS</x:v>
      </x:c>
      <x:c r="C498" s="12" t="str">
        <x:v>Business / brand</x:v>
      </x:c>
      <x:c r="D498" s="12" t="str">
        <x:v>Unresolved</x:v>
      </x:c>
      <x:c r="E498" s="12" t="str">
        <x:v>Business activity not established</x:v>
      </x:c>
      <x:c r="F498" s="12" t="str">
        <x:v>Mixed business audience</x:v>
      </x:c>
      <x:c r="G498" s="12" t="str">
        <x:v>Business activity and company scale are not established from this name.</x:v>
      </x:c>
      <x:c r="H498" s="11" t="n">
        <x:v>6</x:v>
      </x:c>
      <x:c r="I498" s="11" t="n">
        <x:v>6</x:v>
      </x:c>
      <x:c r="J498" s="11" t="n">
        <x:v>6</x:v>
      </x:c>
      <x:c r="K498" s="11" t="n">
        <x:v>0</x:v>
      </x:c>
      <x:c r="L498" s="17" t="n">
        <x:f>SUM(SUMIFS('Costing'!$P$9:$P$492,'Costing'!$A$9:$A$492,"PARTNER-M179"))</x:f>
        <x:v>240000</x:v>
      </x:c>
      <x:c r="M498" s="17" t="n">
        <x:f>ROUND(L498*'Costing'!$C$4,2)</x:f>
        <x:v>43200</x:v>
      </x:c>
      <x:c r="N498" s="17" t="n">
        <x:f>L498+M498</x:f>
        <x:v>283200</x:v>
      </x:c>
      <x:c r="O498" s="12" t="str">
        <x:v>Mumbai</x:v>
      </x:c>
      <x:c r="P498" s="12" t="str">
        <x:v>CORP-0596, CORP-0597, CORP-0598, CORP-0599, CORP-0600, CORP-0601</x:v>
      </x:c>
      <x:c r="Q498" s="12" t="str">
        <x:v>CIMS</x:v>
      </x:c>
    </x:row>
    <x:row r="499" ht="48" customHeight="1">
      <x:c r="A499" s="2" t="str">
        <x:v>TEN-436E0E6B6326</x:v>
      </x:c>
      <x:c r="B499" s="12" t="str">
        <x:v>CINEGENCE</x:v>
      </x:c>
      <x:c r="C499" s="12" t="str">
        <x:v>Business / brand</x:v>
      </x:c>
      <x:c r="D499" s="12" t="str">
        <x:v>Trade, consumer &amp; logistics</x:v>
      </x:c>
      <x:c r="E499" s="12" t="str">
        <x:v>Entertainment, media &amp; events</x:v>
      </x:c>
      <x:c r="F499" s="12" t="str">
        <x:v>Small-scale prospects</x:v>
      </x:c>
      <x:c r="G499" s="12" t="str">
        <x:v>Trading or consumer-services business; small-scale prospect assumption.</x:v>
      </x:c>
      <x:c r="H499" s="11" t="n">
        <x:v>1</x:v>
      </x:c>
      <x:c r="I499" s="11" t="n">
        <x:v>22</x:v>
      </x:c>
      <x:c r="J499" s="11" t="n">
        <x:v>22</x:v>
      </x:c>
      <x:c r="K499" s="11" t="n">
        <x:v>0</x:v>
      </x:c>
      <x:c r="L499" s="17" t="n">
        <x:f>SUM(SUMIFS('Costing'!$P$9:$P$492,'Costing'!$A$9:$A$492,"MAIN-307"))</x:f>
        <x:v>330000</x:v>
      </x:c>
      <x:c r="M499" s="17" t="n">
        <x:f>ROUND(L499*'Costing'!$C$4,2)</x:f>
        <x:v>59400</x:v>
      </x:c>
      <x:c r="N499" s="17" t="n">
        <x:f>L499+M499</x:f>
        <x:v>389400</x:v>
      </x:c>
      <x:c r="O499" s="12" t="str">
        <x:v>Mumbai</x:v>
      </x:c>
      <x:c r="P499" s="12" t="str">
        <x:v>CORP-0303</x:v>
      </x:c>
      <x:c r="Q499" s="12" t="str">
        <x:v>CINEGENCE</x:v>
      </x:c>
    </x:row>
    <x:row r="500" ht="48" customHeight="1">
      <x:c r="A500" s="2" t="str">
        <x:v>TEN-C82109C6EDE0</x:v>
      </x:c>
      <x:c r="B500" s="12" t="str">
        <x:v>Cinepolis</x:v>
      </x:c>
      <x:c r="C500" s="12" t="str">
        <x:v>Business / brand</x:v>
      </x:c>
      <x:c r="D500" s="12" t="str">
        <x:v>Trade, consumer &amp; logistics</x:v>
      </x:c>
      <x:c r="E500" s="12" t="str">
        <x:v>Entertainment, media &amp; events</x:v>
      </x:c>
      <x:c r="F500" s="12" t="str">
        <x:v>Mixed business audience</x:v>
      </x:c>
      <x:c r="G500" s="12" t="str">
        <x:v>Recognisable business context; company-scale evidence remains insufficient for a single size band.</x:v>
      </x:c>
      <x:c r="H500" s="11" t="n">
        <x:v>1</x:v>
      </x:c>
      <x:c r="I500" s="11" t="n">
        <x:v>1</x:v>
      </x:c>
      <x:c r="J500" s="11" t="n">
        <x:v>1</x:v>
      </x:c>
      <x:c r="K500" s="11" t="n">
        <x:v>0</x:v>
      </x:c>
      <x:c r="L500" s="17" t="n">
        <x:f>SUM(SUMIFS('Costing'!$P$9:$P$492,'Costing'!$A$9:$A$492,"MAIN-390"))</x:f>
        <x:v>15000</x:v>
      </x:c>
      <x:c r="M500" s="17" t="n">
        <x:f>ROUND(L500*'Costing'!$C$4,2)</x:f>
        <x:v>2700</x:v>
      </x:c>
      <x:c r="N500" s="17" t="n">
        <x:f>L500+M500</x:f>
        <x:v>17700</x:v>
      </x:c>
      <x:c r="O500" s="12" t="str">
        <x:v>Pune</x:v>
      </x:c>
      <x:c r="P500" s="12" t="str">
        <x:v>CORP-0386</x:v>
      </x:c>
      <x:c r="Q500" s="12" t="str">
        <x:v>Cinepolis</x:v>
      </x:c>
    </x:row>
    <x:row r="501" ht="48" customHeight="1">
      <x:c r="A501" s="2" t="str">
        <x:v>TEN-391E3B1AA5D2</x:v>
      </x:c>
      <x:c r="B501" s="12" t="str">
        <x:v>CIPHOR</x:v>
      </x:c>
      <x:c r="C501" s="12" t="str">
        <x:v>Business / brand</x:v>
      </x:c>
      <x:c r="D501" s="12" t="str">
        <x:v>IT &amp; digital</x:v>
      </x:c>
      <x:c r="E501" s="12" t="str">
        <x:v>Cybersecurity &amp; cloud infrastructure</x:v>
      </x:c>
      <x:c r="F501" s="12" t="str">
        <x:v>Small-scale prospects</x:v>
      </x:c>
      <x:c r="G501" s="12" t="str">
        <x:v>Software or technology-services business; small-scale prospect assumption.</x:v>
      </x:c>
      <x:c r="H501" s="11" t="n">
        <x:v>1</x:v>
      </x:c>
      <x:c r="I501" s="11" t="n">
        <x:v>19</x:v>
      </x:c>
      <x:c r="J501" s="11" t="n">
        <x:v>19</x:v>
      </x:c>
      <x:c r="K501" s="11" t="n">
        <x:v>0</x:v>
      </x:c>
      <x:c r="L501" s="17" t="n">
        <x:f>SUM(SUMIFS('Costing'!$P$9:$P$492,'Costing'!$A$9:$A$492,"MAIN-054"))</x:f>
        <x:v>285000</x:v>
      </x:c>
      <x:c r="M501" s="17" t="n">
        <x:f>ROUND(L501*'Costing'!$C$4,2)</x:f>
        <x:v>51300</x:v>
      </x:c>
      <x:c r="N501" s="17" t="n">
        <x:f>L501+M501</x:f>
        <x:v>336300</x:v>
      </x:c>
      <x:c r="O501" s="12" t="str">
        <x:v>Bengaluru</x:v>
      </x:c>
      <x:c r="P501" s="12" t="str">
        <x:v>CORP-0050</x:v>
      </x:c>
      <x:c r="Q501" s="12" t="str">
        <x:v>CIPHOR</x:v>
      </x:c>
    </x:row>
    <x:row r="502" ht="49" customHeight="1">
      <x:c r="A502" s="2" t="str">
        <x:v>TEN-E73B79A0B10F</x:v>
      </x:c>
      <x:c r="B502" s="12" t="str">
        <x:v>Cisco</x:v>
      </x:c>
      <x:c r="C502" s="12" t="str">
        <x:v>Business / brand</x:v>
      </x:c>
      <x:c r="D502" s="12" t="str">
        <x:v>IT &amp; digital</x:v>
      </x:c>
      <x:c r="E502" s="12" t="str">
        <x:v>Telecom, networks &amp; connectivity</x:v>
      </x:c>
      <x:c r="F502" s="12" t="str">
        <x:v>Large enterprise</x:v>
      </x:c>
      <x:c r="G502" s="12" t="str">
        <x:v>Official global networking and security technology company profile supports enterprise context.</x:v>
      </x:c>
      <x:c r="H502" s="11" t="n">
        <x:v>13</x:v>
      </x:c>
      <x:c r="I502" s="11" t="n">
        <x:v>18</x:v>
      </x:c>
      <x:c r="J502" s="11" t="n">
        <x:v>18</x:v>
      </x:c>
      <x:c r="K502" s="11" t="n">
        <x:v>0</x:v>
      </x:c>
      <x:c r="L502" s="17" t="n">
        <x:f>SUM(SUMIFS('Costing'!$P$9:$P$492,'Costing'!$A$9:$A$492,"MAIN-060"),SUMIFS('Costing'!$P$9:$P$492,'Costing'!$A$9:$A$492,"PARTNER-M108"))</x:f>
        <x:v>720000</x:v>
      </x:c>
      <x:c r="M502" s="17" t="n">
        <x:f>ROUND(L502*'Costing'!$C$4,2)</x:f>
        <x:v>129600</x:v>
      </x:c>
      <x:c r="N502" s="17" t="n">
        <x:f>L502+M502</x:f>
        <x:v>849600</x:v>
      </x:c>
      <x:c r="O502" s="12" t="str">
        <x:v>Bengaluru</x:v>
      </x:c>
      <x:c r="P502" s="12" t="str">
        <x:v>CORP-0056, CORP-0526, CORP-0527, CORP-0528, CORP-0529, CORP-0530, CORP-0531, CORP-0532, CORP-0533, CORP-0534, CORP-0535, CORP-0536, CORP-0537</x:v>
      </x:c>
      <x:c r="Q502" s="12" t="str">
        <x:v>Cisco, cisco</x:v>
      </x:c>
    </x:row>
    <x:row r="503" ht="62" customHeight="1">
      <x:c r="A503" s="2" t="str">
        <x:v>TEN-D886B2C883A6</x:v>
      </x:c>
      <x:c r="B503" s="12" t="str">
        <x:v>Citi Bank</x:v>
      </x:c>
      <x:c r="C503" s="12" t="str">
        <x:v>Business / brand</x:v>
      </x:c>
      <x:c r="D503" s="12" t="str">
        <x:v>Finance &amp; insurance</x:v>
      </x:c>
      <x:c r="E503" s="12" t="str">
        <x:v>Banking &amp; credit</x:v>
      </x:c>
      <x:c r="F503" s="12" t="str">
        <x:v>Large enterprise</x:v>
      </x:c>
      <x:c r="G503" s="12" t="str">
        <x:v>Official global banking group profile. CITI-INDIA Creative IT is explicitly excluded from this match.</x:v>
      </x:c>
      <x:c r="H503" s="11" t="n">
        <x:v>19</x:v>
      </x:c>
      <x:c r="I503" s="11" t="n">
        <x:v>19</x:v>
      </x:c>
      <x:c r="J503" s="11" t="n">
        <x:v>19</x:v>
      </x:c>
      <x:c r="K503" s="11" t="n">
        <x:v>0</x:v>
      </x:c>
      <x:c r="L503" s="17" t="n">
        <x:f>SUM(SUMIFS('Costing'!$P$9:$P$492,'Costing'!$A$9:$A$492,"PARTNER-M002"),SUMIFS('Costing'!$P$9:$P$492,'Costing'!$A$9:$A$492,"PARTNER-M014"))</x:f>
        <x:v>760000</x:v>
      </x:c>
      <x:c r="M503" s="17" t="n">
        <x:f>ROUND(L503*'Costing'!$C$4,2)</x:f>
        <x:v>136800</x:v>
      </x:c>
      <x:c r="N503" s="17" t="n">
        <x:f>L503+M503</x:f>
        <x:v>896800</x:v>
      </x:c>
      <x:c r="O503" s="12" t="str">
        <x:v>Bengaluru</x:v>
      </x:c>
      <x:c r="P503" s="12" t="str">
        <x:v>CORP-0420, CORP-0421, CORP-0422, CORP-0423, CORP-0424, CORP-0425, CORP-0426, CORP-0427, CORP-0428, CORP-0432, CORP-0433, CORP-0434, CORP-0435, CORP-0436, CORP-0437, CORP-0438, CORP-0439, CORP-0440, CORP-0441</x:v>
      </x:c>
      <x:c r="Q503" s="12" t="str">
        <x:v>Citi Bank</x:v>
      </x:c>
    </x:row>
    <x:row r="504" ht="49" customHeight="1">
      <x:c r="A504" s="2" t="str">
        <x:v>TEN-5DCF807F8D0D</x:v>
      </x:c>
      <x:c r="B504" s="12" t="str">
        <x:v>CITI-INDIA Creative IT</x:v>
      </x:c>
      <x:c r="C504" s="12" t="str">
        <x:v>Business / brand</x:v>
      </x:c>
      <x:c r="D504" s="12" t="str">
        <x:v>IT &amp; digital</x:v>
      </x:c>
      <x:c r="E504" s="12" t="str">
        <x:v>Enterprise software &amp; digital engineering</x:v>
      </x:c>
      <x:c r="F504" s="12" t="str">
        <x:v>Mixed business audience</x:v>
      </x:c>
      <x:c r="G504" s="12" t="str">
        <x:v>CITI-INDIA Creative IT is not established as Citibank. Exact lexical CITI match must not trigger a banking large-enterprise override.</x:v>
      </x:c>
      <x:c r="H504" s="11" t="n">
        <x:v>4</x:v>
      </x:c>
      <x:c r="I504" s="11" t="n">
        <x:v>4</x:v>
      </x:c>
      <x:c r="J504" s="11" t="n">
        <x:v>4</x:v>
      </x:c>
      <x:c r="K504" s="11" t="n">
        <x:v>0</x:v>
      </x:c>
      <x:c r="L504" s="17" t="n">
        <x:f>SUM(SUMIFS('Costing'!$P$9:$P$492,'Costing'!$A$9:$A$492,"PARTNER-M197"))</x:f>
        <x:v>160000</x:v>
      </x:c>
      <x:c r="M504" s="17" t="n">
        <x:f>ROUND(L504*'Costing'!$C$4,2)</x:f>
        <x:v>28800</x:v>
      </x:c>
      <x:c r="N504" s="17" t="n">
        <x:f>L504+M504</x:f>
        <x:v>188800</x:v>
      </x:c>
      <x:c r="O504" s="12" t="str">
        <x:v>Mumbai</x:v>
      </x:c>
      <x:c r="P504" s="12" t="str">
        <x:v>CORP-0614, CORP-0615, CORP-0616, CORP-0617</x:v>
      </x:c>
      <x:c r="Q504" s="12" t="str">
        <x:v>CITI-INDIA Creative IT</x:v>
      </x:c>
    </x:row>
    <x:row r="505" ht="62" customHeight="1">
      <x:c r="A505" s="2" t="str">
        <x:v>TEN-88C817E54866</x:v>
      </x:c>
      <x:c r="B505" s="12" t="str">
        <x:v>Citius Tech</x:v>
      </x:c>
      <x:c r="C505" s="12" t="str">
        <x:v>Business / brand</x:v>
      </x:c>
      <x:c r="D505" s="12" t="str">
        <x:v>Healthcare &amp; life sciences</x:v>
      </x:c>
      <x:c r="E505" s="12" t="str">
        <x:v>Clinical, medical &amp; diagnostic services</x:v>
      </x:c>
      <x:c r="F505" s="12" t="str">
        <x:v>Large enterprise</x:v>
      </x:c>
      <x:c r="G505" s="12" t="str">
        <x:v>The official August 2026 company release describes more than 7,700 healthcare-technology professionals worldwide serving over 140 enterprises. This supports enterprise-scale context for Citius Tech.</x:v>
      </x:c>
      <x:c r="H505" s="11" t="n">
        <x:v>1</x:v>
      </x:c>
      <x:c r="I505" s="11" t="n">
        <x:v>12</x:v>
      </x:c>
      <x:c r="J505" s="11" t="n">
        <x:v>12</x:v>
      </x:c>
      <x:c r="K505" s="11" t="n">
        <x:v>0</x:v>
      </x:c>
      <x:c r="L505" s="17" t="n">
        <x:f>SUM(SUMIFS('Costing'!$P$9:$P$492,'Costing'!$A$9:$A$492,"MAIN-337"))</x:f>
        <x:v>390000</x:v>
      </x:c>
      <x:c r="M505" s="17" t="n">
        <x:f>ROUND(L505*'Costing'!$C$4,2)</x:f>
        <x:v>70200</x:v>
      </x:c>
      <x:c r="N505" s="17" t="n">
        <x:f>L505+M505</x:f>
        <x:v>460200</x:v>
      </x:c>
      <x:c r="O505" s="12" t="str">
        <x:v>Mumbai</x:v>
      </x:c>
      <x:c r="P505" s="12" t="str">
        <x:v>CORP-0333</x:v>
      </x:c>
      <x:c r="Q505" s="12" t="str">
        <x:v>Citius Tech</x:v>
      </x:c>
    </x:row>
    <x:row r="506" ht="48" customHeight="1">
      <x:c r="A506" s="2" t="str">
        <x:v>TEN-262F528291FE</x:v>
      </x:c>
      <x:c r="B506" s="12" t="str">
        <x:v>CitiusTech Healthcare Technology Private Limited</x:v>
      </x:c>
      <x:c r="C506" s="12" t="str">
        <x:v>Business / brand</x:v>
      </x:c>
      <x:c r="D506" s="12" t="str">
        <x:v>Healthcare &amp; life sciences</x:v>
      </x:c>
      <x:c r="E506" s="12" t="str">
        <x:v>Clinical, medical &amp; diagnostic services</x:v>
      </x:c>
      <x:c r="F506" s="12" t="str">
        <x:v>Mixed business audience</x:v>
      </x:c>
      <x:c r="G506" s="12" t="str">
        <x:v>Established brand or business network; local company scale is not established. Use a mixed-business message.</x:v>
      </x:c>
      <x:c r="H506" s="11" t="n">
        <x:v>4</x:v>
      </x:c>
      <x:c r="I506" s="11" t="n">
        <x:v>4</x:v>
      </x:c>
      <x:c r="J506" s="11" t="n">
        <x:v>4</x:v>
      </x:c>
      <x:c r="K506" s="11" t="n">
        <x:v>0</x:v>
      </x:c>
      <x:c r="L506" s="17" t="n">
        <x:f>SUM(SUMIFS('Costing'!$P$9:$P$492,'Costing'!$A$9:$A$492,"PARTNER-M223"))</x:f>
        <x:v>160000</x:v>
      </x:c>
      <x:c r="M506" s="17" t="n">
        <x:f>ROUND(L506*'Costing'!$C$4,2)</x:f>
        <x:v>28800</x:v>
      </x:c>
      <x:c r="N506" s="17" t="n">
        <x:f>L506+M506</x:f>
        <x:v>188800</x:v>
      </x:c>
      <x:c r="O506" s="12" t="str">
        <x:v>Mumbai</x:v>
      </x:c>
      <x:c r="P506" s="12" t="str">
        <x:v>CORP-0640, CORP-0641, CORP-0642, CORP-0643</x:v>
      </x:c>
      <x:c r="Q506" s="12" t="str">
        <x:v>CitiusTech Healthcare Technology Private Limited</x:v>
      </x:c>
    </x:row>
    <x:row r="507" ht="48" customHeight="1">
      <x:c r="A507" s="2" t="str">
        <x:v>TEN-C89B9174C0F0</x:v>
      </x:c>
      <x:c r="B507" s="12" t="str">
        <x:v>Citrix Systems</x:v>
      </x:c>
      <x:c r="C507" s="12" t="str">
        <x:v>Business / brand</x:v>
      </x:c>
      <x:c r="D507" s="12" t="str">
        <x:v>IT &amp; digital</x:v>
      </x:c>
      <x:c r="E507" s="12" t="str">
        <x:v>Technology services — specialty unverified</x:v>
      </x:c>
      <x:c r="F507" s="12" t="str">
        <x:v>Mixed business audience</x:v>
      </x:c>
      <x:c r="G507" s="12" t="str">
        <x:v>Recognisable business context; company-scale evidence remains insufficient for a single size band.</x:v>
      </x:c>
      <x:c r="H507" s="11" t="n">
        <x:v>1</x:v>
      </x:c>
      <x:c r="I507" s="11" t="n">
        <x:v>1</x:v>
      </x:c>
      <x:c r="J507" s="11" t="n">
        <x:v>1</x:v>
      </x:c>
      <x:c r="K507" s="11" t="n">
        <x:v>0</x:v>
      </x:c>
      <x:c r="L507" s="17" t="n">
        <x:f>SUM(SUMIFS('Costing'!$P$9:$P$492,'Costing'!$A$9:$A$492,"MAIN-112"))</x:f>
        <x:v>25000</x:v>
      </x:c>
      <x:c r="M507" s="17" t="n">
        <x:f>ROUND(L507*'Costing'!$C$4,2)</x:f>
        <x:v>4500</x:v>
      </x:c>
      <x:c r="N507" s="17" t="n">
        <x:f>L507+M507</x:f>
        <x:v>29500</x:v>
      </x:c>
      <x:c r="O507" s="12" t="str">
        <x:v>Bengaluru</x:v>
      </x:c>
      <x:c r="P507" s="12" t="str">
        <x:v>CORP-0108</x:v>
      </x:c>
      <x:c r="Q507" s="12" t="str">
        <x:v>Citrix Systems</x:v>
      </x:c>
    </x:row>
    <x:row r="508" ht="48" customHeight="1">
      <x:c r="A508" s="2" t="str">
        <x:v>TEN-E2E08B128519</x:v>
      </x:c>
      <x:c r="B508" s="12" t="str">
        <x:v>City Plots</x:v>
      </x:c>
      <x:c r="C508" s="12" t="str">
        <x:v>Business / brand</x:v>
      </x:c>
      <x:c r="D508" s="12" t="str">
        <x:v>Trade, consumer &amp; logistics</x:v>
      </x:c>
      <x:c r="E508" s="12" t="str">
        <x:v>Real estate, property &amp; construction services</x:v>
      </x:c>
      <x:c r="F508" s="12" t="str">
        <x:v>Small-scale prospects</x:v>
      </x:c>
      <x:c r="G508" s="12" t="str">
        <x:v>Trading or consumer-services business; small-scale prospect assumption.</x:v>
      </x:c>
      <x:c r="H508" s="11" t="n">
        <x:v>1</x:v>
      </x:c>
      <x:c r="I508" s="11" t="n">
        <x:v>2</x:v>
      </x:c>
      <x:c r="J508" s="11" t="n">
        <x:v>2</x:v>
      </x:c>
      <x:c r="K508" s="11" t="n">
        <x:v>0</x:v>
      </x:c>
      <x:c r="L508" s="17" t="n">
        <x:f>SUM(SUMIFS('Costing'!$P$9:$P$492,'Costing'!$A$9:$A$492,"MAIN-152"))</x:f>
        <x:v>40000</x:v>
      </x:c>
      <x:c r="M508" s="17" t="n">
        <x:f>ROUND(L508*'Costing'!$C$4,2)</x:f>
        <x:v>7200</x:v>
      </x:c>
      <x:c r="N508" s="17" t="n">
        <x:f>L508+M508</x:f>
        <x:v>47200</x:v>
      </x:c>
      <x:c r="O508" s="12" t="str">
        <x:v>Chennai</x:v>
      </x:c>
      <x:c r="P508" s="12" t="str">
        <x:v>CORP-0148</x:v>
      </x:c>
      <x:c r="Q508" s="12" t="str">
        <x:v>City Plots</x:v>
      </x:c>
    </x:row>
    <x:row r="509" ht="48" customHeight="1">
      <x:c r="A509" s="2" t="str">
        <x:v>TEN-8A4FFCF51C45</x:v>
      </x:c>
      <x:c r="B509" s="12" t="str">
        <x:v>Clariant India Private Limited</x:v>
      </x:c>
      <x:c r="C509" s="12" t="str">
        <x:v>Business / brand</x:v>
      </x:c>
      <x:c r="D509" s="12" t="str">
        <x:v>Engineering &amp; manufacturing</x:v>
      </x:c>
      <x:c r="E509" s="12" t="str">
        <x:v>Engineering/manufacturing — specialty unverified</x:v>
      </x:c>
      <x:c r="F509" s="12" t="str">
        <x:v>Mixed business audience</x:v>
      </x:c>
      <x:c r="G509" s="12" t="str">
        <x:v>Recognisable business context; company-scale evidence remains insufficient for a single size band.</x:v>
      </x:c>
      <x:c r="H509" s="11" t="n">
        <x:v>4</x:v>
      </x:c>
      <x:c r="I509" s="11" t="n">
        <x:v>4</x:v>
      </x:c>
      <x:c r="J509" s="11" t="n">
        <x:v>4</x:v>
      </x:c>
      <x:c r="K509" s="11" t="n">
        <x:v>0</x:v>
      </x:c>
      <x:c r="L509" s="17" t="n">
        <x:f>SUM(SUMIFS('Costing'!$P$9:$P$492,'Costing'!$A$9:$A$492,"PARTNER-M197"))</x:f>
        <x:v>160000</x:v>
      </x:c>
      <x:c r="M509" s="17" t="n">
        <x:f>ROUND(L509*'Costing'!$C$4,2)</x:f>
        <x:v>28800</x:v>
      </x:c>
      <x:c r="N509" s="17" t="n">
        <x:f>L509+M509</x:f>
        <x:v>188800</x:v>
      </x:c>
      <x:c r="O509" s="12" t="str">
        <x:v>Mumbai</x:v>
      </x:c>
      <x:c r="P509" s="12" t="str">
        <x:v>CORP-0614, CORP-0615, CORP-0616, CORP-0617</x:v>
      </x:c>
      <x:c r="Q509" s="12" t="str">
        <x:v>Clariant India Private Limited</x:v>
      </x:c>
    </x:row>
    <x:row r="510" ht="48" customHeight="1">
      <x:c r="A510" s="2" t="str">
        <x:v>TEN-52FBDEAF6627</x:v>
      </x:c>
      <x:c r="B510" s="12" t="str">
        <x:v>Clarivate</x:v>
      </x:c>
      <x:c r="C510" s="12" t="str">
        <x:v>Business / brand</x:v>
      </x:c>
      <x:c r="D510" s="12" t="str">
        <x:v>IT &amp; digital</x:v>
      </x:c>
      <x:c r="E510" s="12" t="str">
        <x:v>AI, data &amp; analytics</x:v>
      </x:c>
      <x:c r="F510" s="12" t="str">
        <x:v>Mixed business audience</x:v>
      </x:c>
      <x:c r="G510" s="12" t="str">
        <x:v>Established brand or business network; local company scale is not established. Use a mixed-business message.</x:v>
      </x:c>
      <x:c r="H510" s="11" t="n">
        <x:v>2</x:v>
      </x:c>
      <x:c r="I510" s="11" t="n">
        <x:v>2</x:v>
      </x:c>
      <x:c r="J510" s="11" t="n">
        <x:v>2</x:v>
      </x:c>
      <x:c r="K510" s="11" t="n">
        <x:v>0</x:v>
      </x:c>
      <x:c r="L510" s="17" t="n">
        <x:f>SUM(SUMIFS('Costing'!$P$9:$P$492,'Costing'!$A$9:$A$492,"PARTNER-M334"))</x:f>
        <x:v>80000</x:v>
      </x:c>
      <x:c r="M510" s="17" t="n">
        <x:f>ROUND(L510*'Costing'!$C$4,2)</x:f>
        <x:v>14400</x:v>
      </x:c>
      <x:c r="N510" s="17" t="n">
        <x:f>L510+M510</x:f>
        <x:v>94400</x:v>
      </x:c>
      <x:c r="O510" s="12" t="str">
        <x:v>Chennai</x:v>
      </x:c>
      <x:c r="P510" s="12" t="str">
        <x:v>CORP-0748, CORP-0749</x:v>
      </x:c>
      <x:c r="Q510" s="12" t="str">
        <x:v>Clarivate</x:v>
      </x:c>
    </x:row>
    <x:row r="511" ht="48" customHeight="1">
      <x:c r="A511" s="2" t="str">
        <x:v>TEN-5C5CC4165124</x:v>
      </x:c>
      <x:c r="B511" s="12" t="str">
        <x:v>Classic Design</x:v>
      </x:c>
      <x:c r="C511" s="12" t="str">
        <x:v>Business / brand</x:v>
      </x:c>
      <x:c r="D511" s="12" t="str">
        <x:v>Unresolved</x:v>
      </x:c>
      <x:c r="E511" s="12" t="str">
        <x:v>Business activity not established</x:v>
      </x:c>
      <x:c r="F511" s="12" t="str">
        <x:v>Mixed business audience</x:v>
      </x:c>
      <x:c r="G511" s="12" t="str">
        <x:v>Business activity and company scale are not established from this name.</x:v>
      </x:c>
      <x:c r="H511" s="11" t="n">
        <x:v>8</x:v>
      </x:c>
      <x:c r="I511" s="11" t="n">
        <x:v>8</x:v>
      </x:c>
      <x:c r="J511" s="11" t="n">
        <x:v>8</x:v>
      </x:c>
      <x:c r="K511" s="11" t="n">
        <x:v>0</x:v>
      </x:c>
      <x:c r="L511" s="17" t="n">
        <x:f>SUM(SUMIFS('Costing'!$P$9:$P$492,'Costing'!$A$9:$A$492,"PARTNER-M300"))</x:f>
        <x:v>320000</x:v>
      </x:c>
      <x:c r="M511" s="17" t="n">
        <x:f>ROUND(L511*'Costing'!$C$4,2)</x:f>
        <x:v>57600</x:v>
      </x:c>
      <x:c r="N511" s="17" t="n">
        <x:f>L511+M511</x:f>
        <x:v>377600</x:v>
      </x:c>
      <x:c r="O511" s="12" t="str">
        <x:v>Hyderabad</x:v>
      </x:c>
      <x:c r="P511" s="12" t="str">
        <x:v>CORP-0715, CORP-0716, CORP-0717, CORP-0718, CORP-0719, CORP-0720, CORP-0721, CORP-0722</x:v>
      </x:c>
      <x:c r="Q511" s="12" t="str">
        <x:v>Classic Design</x:v>
      </x:c>
    </x:row>
    <x:row r="512" ht="48" customHeight="1">
      <x:c r="A512" s="2" t="str">
        <x:v>TEN-5BC7BE6ECE7C</x:v>
      </x:c>
      <x:c r="B512" s="12" t="str">
        <x:v>Classklap</x:v>
      </x:c>
      <x:c r="C512" s="12" t="str">
        <x:v>Business / brand</x:v>
      </x:c>
      <x:c r="D512" s="12" t="str">
        <x:v>Education</x:v>
      </x:c>
      <x:c r="E512" s="12" t="str">
        <x:v>Edtech, training &amp; learning</x:v>
      </x:c>
      <x:c r="F512" s="12" t="str">
        <x:v>Mixed business audience</x:v>
      </x:c>
      <x:c r="G512" s="12" t="str">
        <x:v>Recognisable business context; company-scale evidence remains insufficient for a single size band.</x:v>
      </x:c>
      <x:c r="H512" s="11" t="n">
        <x:v>1</x:v>
      </x:c>
      <x:c r="I512" s="11" t="n">
        <x:v>2</x:v>
      </x:c>
      <x:c r="J512" s="11" t="n">
        <x:v>2</x:v>
      </x:c>
      <x:c r="K512" s="11" t="n">
        <x:v>0</x:v>
      </x:c>
      <x:c r="L512" s="17" t="n">
        <x:f>SUM(SUMIFS('Costing'!$P$9:$P$492,'Costing'!$A$9:$A$492,"MAIN-090"))</x:f>
        <x:v>30000</x:v>
      </x:c>
      <x:c r="M512" s="17" t="n">
        <x:f>ROUND(L512*'Costing'!$C$4,2)</x:f>
        <x:v>5400</x:v>
      </x:c>
      <x:c r="N512" s="17" t="n">
        <x:f>L512+M512</x:f>
        <x:v>35400</x:v>
      </x:c>
      <x:c r="O512" s="12" t="str">
        <x:v>Bengaluru</x:v>
      </x:c>
      <x:c r="P512" s="12" t="str">
        <x:v>CORP-0086</x:v>
      </x:c>
      <x:c r="Q512" s="12" t="str">
        <x:v>Classklap</x:v>
      </x:c>
    </x:row>
    <x:row r="513" ht="48" customHeight="1">
      <x:c r="A513" s="2" t="str">
        <x:v>TEN-337F2DC67A95</x:v>
      </x:c>
      <x:c r="B513" s="12" t="str">
        <x:v>Clayfin Technologies Private Limited</x:v>
      </x:c>
      <x:c r="C513" s="12" t="str">
        <x:v>Business / brand</x:v>
      </x:c>
      <x:c r="D513" s="12" t="str">
        <x:v>IT &amp; digital</x:v>
      </x:c>
      <x:c r="E513" s="12" t="str">
        <x:v>Enterprise software &amp; digital engineering</x:v>
      </x:c>
      <x:c r="F513" s="12" t="str">
        <x:v>Small-scale prospects</x:v>
      </x:c>
      <x:c r="G513" s="12" t="str">
        <x:v>Software or technology-services business; small-scale prospect assumption.</x:v>
      </x:c>
      <x:c r="H513" s="11" t="n">
        <x:v>1</x:v>
      </x:c>
      <x:c r="I513" s="11" t="n">
        <x:v>1</x:v>
      </x:c>
      <x:c r="J513" s="11" t="n">
        <x:v>1</x:v>
      </x:c>
      <x:c r="K513" s="11" t="n">
        <x:v>0</x:v>
      </x:c>
      <x:c r="L513" s="17" t="n">
        <x:f>SUM(SUMIFS('Costing'!$P$9:$P$492,'Costing'!$A$9:$A$492,"MAIN-155"))</x:f>
        <x:v>20000</x:v>
      </x:c>
      <x:c r="M513" s="17" t="n">
        <x:f>ROUND(L513*'Costing'!$C$4,2)</x:f>
        <x:v>3600</x:v>
      </x:c>
      <x:c r="N513" s="17" t="n">
        <x:f>L513+M513</x:f>
        <x:v>23600</x:v>
      </x:c>
      <x:c r="O513" s="12" t="str">
        <x:v>Chennai</x:v>
      </x:c>
      <x:c r="P513" s="12" t="str">
        <x:v>CORP-0151</x:v>
      </x:c>
      <x:c r="Q513" s="12" t="str">
        <x:v>Clayfin Technologies Private Limited</x:v>
      </x:c>
    </x:row>
    <x:row r="514" ht="48" customHeight="1">
      <x:c r="A514" s="2" t="str">
        <x:v>TEN-204F804BC276</x:v>
      </x:c>
      <x:c r="B514" s="12" t="str">
        <x:v>Clear Point Instrumentation Pvt. Ltd</x:v>
      </x:c>
      <x:c r="C514" s="12" t="str">
        <x:v>Business / brand</x:v>
      </x:c>
      <x:c r="D514" s="12" t="str">
        <x:v>Engineering &amp; manufacturing</x:v>
      </x:c>
      <x:c r="E514" s="12" t="str">
        <x:v>Electronics, industrial systems &amp; manufacturing</x:v>
      </x:c>
      <x:c r="F514" s="12" t="str">
        <x:v>Medium-scale prospects</x:v>
      </x:c>
      <x:c r="G514" s="12" t="str">
        <x:v>Specialist industrial or engineering business; medium-scale prospect assumption.</x:v>
      </x:c>
      <x:c r="H514" s="11" t="n">
        <x:v>6</x:v>
      </x:c>
      <x:c r="I514" s="11" t="n">
        <x:v>6</x:v>
      </x:c>
      <x:c r="J514" s="11" t="n">
        <x:v>6</x:v>
      </x:c>
      <x:c r="K514" s="11" t="n">
        <x:v>0</x:v>
      </x:c>
      <x:c r="L514" s="17" t="n">
        <x:f>SUM(SUMIFS('Costing'!$P$9:$P$492,'Costing'!$A$9:$A$492,"PARTNER-M179"))</x:f>
        <x:v>240000</x:v>
      </x:c>
      <x:c r="M514" s="17" t="n">
        <x:f>ROUND(L514*'Costing'!$C$4,2)</x:f>
        <x:v>43200</x:v>
      </x:c>
      <x:c r="N514" s="17" t="n">
        <x:f>L514+M514</x:f>
        <x:v>283200</x:v>
      </x:c>
      <x:c r="O514" s="12" t="str">
        <x:v>Mumbai</x:v>
      </x:c>
      <x:c r="P514" s="12" t="str">
        <x:v>CORP-0596, CORP-0597, CORP-0598, CORP-0599, CORP-0600, CORP-0601</x:v>
      </x:c>
      <x:c r="Q514" s="12" t="str">
        <x:v>Clear Point Instrumentation Pvt. Ltd</x:v>
      </x:c>
    </x:row>
    <x:row r="515" ht="48" customHeight="1">
      <x:c r="A515" s="2" t="str">
        <x:v>TEN-A309C887A783</x:v>
      </x:c>
      <x:c r="B515" s="12" t="str">
        <x:v>Cleartrip</x:v>
      </x:c>
      <x:c r="C515" s="12" t="str">
        <x:v>Business / brand</x:v>
      </x:c>
      <x:c r="D515" s="12" t="str">
        <x:v>Trade, consumer &amp; logistics</x:v>
      </x:c>
      <x:c r="E515" s="12" t="str">
        <x:v>Consumer/trade services — specialty unverified</x:v>
      </x:c>
      <x:c r="F515" s="12" t="str">
        <x:v>Mixed business audience</x:v>
      </x:c>
      <x:c r="G515" s="12" t="str">
        <x:v>Recognisable business context; company-scale evidence remains insufficient for a single size band.</x:v>
      </x:c>
      <x:c r="H515" s="11" t="n">
        <x:v>1</x:v>
      </x:c>
      <x:c r="I515" s="11" t="n">
        <x:v>1</x:v>
      </x:c>
      <x:c r="J515" s="11" t="n">
        <x:v>1</x:v>
      </x:c>
      <x:c r="K515" s="11" t="n">
        <x:v>0</x:v>
      </x:c>
      <x:c r="L515" s="17" t="n">
        <x:f>SUM(SUMIFS('Costing'!$P$9:$P$492,'Costing'!$A$9:$A$492,"MAIN-303"))</x:f>
        <x:v>15000</x:v>
      </x:c>
      <x:c r="M515" s="17" t="n">
        <x:f>ROUND(L515*'Costing'!$C$4,2)</x:f>
        <x:v>2700</x:v>
      </x:c>
      <x:c r="N515" s="17" t="n">
        <x:f>L515+M515</x:f>
        <x:v>17700</x:v>
      </x:c>
      <x:c r="O515" s="12" t="str">
        <x:v>Mumbai</x:v>
      </x:c>
      <x:c r="P515" s="12" t="str">
        <x:v>CORP-0299</x:v>
      </x:c>
      <x:c r="Q515" s="12" t="str">
        <x:v>Cleartrip</x:v>
      </x:c>
    </x:row>
    <x:row r="516" ht="48" customHeight="1">
      <x:c r="A516" s="2" t="str">
        <x:v>TEN-655B077590B2</x:v>
      </x:c>
      <x:c r="B516" s="12" t="str">
        <x:v>Clicktech Retail</x:v>
      </x:c>
      <x:c r="C516" s="12" t="str">
        <x:v>Business / brand</x:v>
      </x:c>
      <x:c r="D516" s="12" t="str">
        <x:v>Trade, consumer &amp; logistics</x:v>
      </x:c>
      <x:c r="E516" s="12" t="str">
        <x:v>Retail, consumer products &amp; ecommerce</x:v>
      </x:c>
      <x:c r="F516" s="12" t="str">
        <x:v>Small-scale prospects</x:v>
      </x:c>
      <x:c r="G516" s="12" t="str">
        <x:v>Trading or consumer-services business; small-scale prospect assumption.</x:v>
      </x:c>
      <x:c r="H516" s="11" t="n">
        <x:v>4</x:v>
      </x:c>
      <x:c r="I516" s="11" t="n">
        <x:v>4</x:v>
      </x:c>
      <x:c r="J516" s="11" t="n">
        <x:v>4</x:v>
      </x:c>
      <x:c r="K516" s="11" t="n">
        <x:v>0</x:v>
      </x:c>
      <x:c r="L516" s="17" t="n">
        <x:f>SUM(SUMIFS('Costing'!$P$9:$P$492,'Costing'!$A$9:$A$492,"PARTNER-M093"))</x:f>
        <x:v>160000</x:v>
      </x:c>
      <x:c r="M516" s="17" t="n">
        <x:f>ROUND(L516*'Costing'!$C$4,2)</x:f>
        <x:v>28800</x:v>
      </x:c>
      <x:c r="N516" s="17" t="n">
        <x:f>L516+M516</x:f>
        <x:v>188800</x:v>
      </x:c>
      <x:c r="O516" s="12" t="str">
        <x:v>Bengaluru</x:v>
      </x:c>
      <x:c r="P516" s="12" t="str">
        <x:v>CORP-0511, CORP-0512, CORP-0513, CORP-0514</x:v>
      </x:c>
      <x:c r="Q516" s="12" t="str">
        <x:v>Clicktech Retail</x:v>
      </x:c>
    </x:row>
    <x:row r="517" ht="48" customHeight="1">
      <x:c r="A517" s="2" t="str">
        <x:v>TEN-CD4C13F13D3E</x:v>
      </x:c>
      <x:c r="B517" s="12" t="str">
        <x:v>Clifford Chance Business Services</x:v>
      </x:c>
      <x:c r="C517" s="12" t="str">
        <x:v>Business / brand</x:v>
      </x:c>
      <x:c r="D517" s="12" t="str">
        <x:v>Professional services</x:v>
      </x:c>
      <x:c r="E517" s="12" t="str">
        <x:v>Professional services — specialty unverified</x:v>
      </x:c>
      <x:c r="F517" s="12" t="str">
        <x:v>Mixed business audience</x:v>
      </x:c>
      <x:c r="G517" s="12" t="str">
        <x:v>Recognisable business context; company-scale evidence remains insufficient for a single size band.</x:v>
      </x:c>
      <x:c r="H517" s="11" t="n">
        <x:v>1</x:v>
      </x:c>
      <x:c r="I517" s="11" t="n">
        <x:v>4</x:v>
      </x:c>
      <x:c r="J517" s="11" t="n">
        <x:v>4</x:v>
      </x:c>
      <x:c r="K517" s="11" t="n">
        <x:v>0</x:v>
      </x:c>
      <x:c r="L517" s="17" t="n">
        <x:f>SUM(SUMIFS('Costing'!$P$9:$P$492,'Costing'!$A$9:$A$492,"MAIN-265"))</x:f>
        <x:v>100000</x:v>
      </x:c>
      <x:c r="M517" s="17" t="n">
        <x:f>ROUND(L517*'Costing'!$C$4,2)</x:f>
        <x:v>18000</x:v>
      </x:c>
      <x:c r="N517" s="17" t="n">
        <x:f>L517+M517</x:f>
        <x:v>118000</x:v>
      </x:c>
      <x:c r="O517" s="12" t="str">
        <x:v>Hyderabad</x:v>
      </x:c>
      <x:c r="P517" s="12" t="str">
        <x:v>CORP-0261</x:v>
      </x:c>
      <x:c r="Q517" s="12" t="str">
        <x:v>Clifford Chance Business Services</x:v>
      </x:c>
    </x:row>
    <x:row r="518" ht="48" customHeight="1">
      <x:c r="A518" s="2" t="str">
        <x:v>TEN-0744BB22C8B2</x:v>
      </x:c>
      <x:c r="B518" s="12" t="str">
        <x:v>Climeto</x:v>
      </x:c>
      <x:c r="C518" s="12" t="str">
        <x:v>Business / brand</x:v>
      </x:c>
      <x:c r="D518" s="12" t="str">
        <x:v>Unresolved</x:v>
      </x:c>
      <x:c r="E518" s="12" t="str">
        <x:v>Business activity not established</x:v>
      </x:c>
      <x:c r="F518" s="12" t="str">
        <x:v>Mixed business audience</x:v>
      </x:c>
      <x:c r="G518" s="12" t="str">
        <x:v>Business activity and company scale are not established from this name.</x:v>
      </x:c>
      <x:c r="H518" s="11" t="n">
        <x:v>1</x:v>
      </x:c>
      <x:c r="I518" s="11" t="n">
        <x:v>2</x:v>
      </x:c>
      <x:c r="J518" s="11" t="n">
        <x:v>2</x:v>
      </x:c>
      <x:c r="K518" s="11" t="n">
        <x:v>0</x:v>
      </x:c>
      <x:c r="L518" s="17" t="n">
        <x:f>SUM(SUMIFS('Costing'!$P$9:$P$492,'Costing'!$A$9:$A$492,"MAIN-268"))</x:f>
        <x:v>80000</x:v>
      </x:c>
      <x:c r="M518" s="17" t="n">
        <x:f>ROUND(L518*'Costing'!$C$4,2)</x:f>
        <x:v>14400</x:v>
      </x:c>
      <x:c r="N518" s="17" t="n">
        <x:f>L518+M518</x:f>
        <x:v>94400</x:v>
      </x:c>
      <x:c r="O518" s="12" t="str">
        <x:v>Indore</x:v>
      </x:c>
      <x:c r="P518" s="12" t="str">
        <x:v>CORP-0264</x:v>
      </x:c>
      <x:c r="Q518" s="12" t="str">
        <x:v>Climeto</x:v>
      </x:c>
    </x:row>
    <x:row r="519" ht="48" customHeight="1">
      <x:c r="A519" s="2" t="str">
        <x:v>TEN-F9337D4627CA</x:v>
      </x:c>
      <x:c r="B519" s="12" t="str">
        <x:v>cliq Solutions</x:v>
      </x:c>
      <x:c r="C519" s="12" t="str">
        <x:v>Business / brand</x:v>
      </x:c>
      <x:c r="D519" s="12" t="str">
        <x:v>Unresolved</x:v>
      </x:c>
      <x:c r="E519" s="12" t="str">
        <x:v>Business activity not established</x:v>
      </x:c>
      <x:c r="F519" s="12" t="str">
        <x:v>Mixed business audience</x:v>
      </x:c>
      <x:c r="G519" s="12" t="str">
        <x:v>Business activity and company scale are not established from this name.</x:v>
      </x:c>
      <x:c r="H519" s="11" t="n">
        <x:v>1</x:v>
      </x:c>
      <x:c r="I519" s="11" t="n">
        <x:v>7</x:v>
      </x:c>
      <x:c r="J519" s="11" t="n">
        <x:v>7</x:v>
      </x:c>
      <x:c r="K519" s="11" t="n">
        <x:v>0</x:v>
      </x:c>
      <x:c r="L519" s="17" t="n">
        <x:f>SUM(SUMIFS('Costing'!$P$9:$P$492,'Costing'!$A$9:$A$492,"MAIN-140"))</x:f>
        <x:v>105000</x:v>
      </x:c>
      <x:c r="M519" s="17" t="n">
        <x:f>ROUND(L519*'Costing'!$C$4,2)</x:f>
        <x:v>18900</x:v>
      </x:c>
      <x:c r="N519" s="17" t="n">
        <x:f>L519+M519</x:f>
        <x:v>123900</x:v>
      </x:c>
      <x:c r="O519" s="12" t="str">
        <x:v>Chennai</x:v>
      </x:c>
      <x:c r="P519" s="12" t="str">
        <x:v>CORP-0136</x:v>
      </x:c>
      <x:c r="Q519" s="12" t="str">
        <x:v>cliq Solutions</x:v>
      </x:c>
    </x:row>
    <x:row r="520" ht="48" customHeight="1">
      <x:c r="A520" s="2" t="str">
        <x:v>TEN-4407D65F4D09</x:v>
      </x:c>
      <x:c r="B520" s="12" t="str">
        <x:v>Clohype llp</x:v>
      </x:c>
      <x:c r="C520" s="12" t="str">
        <x:v>Business / brand</x:v>
      </x:c>
      <x:c r="D520" s="12" t="str">
        <x:v>Unresolved</x:v>
      </x:c>
      <x:c r="E520" s="12" t="str">
        <x:v>Business activity not established</x:v>
      </x:c>
      <x:c r="F520" s="12" t="str">
        <x:v>Mixed business audience</x:v>
      </x:c>
      <x:c r="G520" s="12" t="str">
        <x:v>Business activity and company scale are not established from this name.</x:v>
      </x:c>
      <x:c r="H520" s="11" t="n">
        <x:v>1</x:v>
      </x:c>
      <x:c r="I520" s="11" t="n">
        <x:v>2</x:v>
      </x:c>
      <x:c r="J520" s="11" t="n">
        <x:v>2</x:v>
      </x:c>
      <x:c r="K520" s="11" t="n">
        <x:v>0</x:v>
      </x:c>
      <x:c r="L520" s="17" t="n">
        <x:f>SUM(SUMIFS('Costing'!$P$9:$P$492,'Costing'!$A$9:$A$492,"MAIN-081"))</x:f>
        <x:v>30000</x:v>
      </x:c>
      <x:c r="M520" s="17" t="n">
        <x:f>ROUND(L520*'Costing'!$C$4,2)</x:f>
        <x:v>5400</x:v>
      </x:c>
      <x:c r="N520" s="17" t="n">
        <x:f>L520+M520</x:f>
        <x:v>35400</x:v>
      </x:c>
      <x:c r="O520" s="12" t="str">
        <x:v>Bengaluru</x:v>
      </x:c>
      <x:c r="P520" s="12" t="str">
        <x:v>CORP-0077</x:v>
      </x:c>
      <x:c r="Q520" s="12" t="str">
        <x:v>Clohype llp</x:v>
      </x:c>
    </x:row>
    <x:row r="521" ht="48" customHeight="1">
      <x:c r="A521" s="2" t="str">
        <x:v>TEN-B8E6D97935CA</x:v>
      </x:c>
      <x:c r="B521" s="12" t="str">
        <x:v>cloud angles</x:v>
      </x:c>
      <x:c r="C521" s="12" t="str">
        <x:v>Business / brand</x:v>
      </x:c>
      <x:c r="D521" s="12" t="str">
        <x:v>IT &amp; digital</x:v>
      </x:c>
      <x:c r="E521" s="12" t="str">
        <x:v>Cybersecurity &amp; cloud infrastructure</x:v>
      </x:c>
      <x:c r="F521" s="12" t="str">
        <x:v>Small-scale prospects</x:v>
      </x:c>
      <x:c r="G521" s="12" t="str">
        <x:v>Software or technology-services business; small-scale prospect assumption.</x:v>
      </x:c>
      <x:c r="H521" s="11" t="n">
        <x:v>1</x:v>
      </x:c>
      <x:c r="I521" s="11" t="n">
        <x:v>3</x:v>
      </x:c>
      <x:c r="J521" s="11" t="n">
        <x:v>3</x:v>
      </x:c>
      <x:c r="K521" s="11" t="n">
        <x:v>0</x:v>
      </x:c>
      <x:c r="L521" s="17" t="n">
        <x:f>SUM(SUMIFS('Costing'!$P$9:$P$492,'Costing'!$A$9:$A$492,"MAIN-217"))</x:f>
        <x:v>45000</x:v>
      </x:c>
      <x:c r="M521" s="17" t="n">
        <x:f>ROUND(L521*'Costing'!$C$4,2)</x:f>
        <x:v>8100</x:v>
      </x:c>
      <x:c r="N521" s="17" t="n">
        <x:f>L521+M521</x:f>
        <x:v>53100</x:v>
      </x:c>
      <x:c r="O521" s="12" t="str">
        <x:v>Hyderabad</x:v>
      </x:c>
      <x:c r="P521" s="12" t="str">
        <x:v>CORP-0213</x:v>
      </x:c>
      <x:c r="Q521" s="12" t="str">
        <x:v>cloud angles</x:v>
      </x:c>
    </x:row>
    <x:row r="522" ht="48" customHeight="1">
      <x:c r="A522" s="2" t="str">
        <x:v>TEN-34C2FF8C28F0</x:v>
      </x:c>
      <x:c r="B522" s="12" t="str">
        <x:v>CloudAI Pvt Ltd</x:v>
      </x:c>
      <x:c r="C522" s="12" t="str">
        <x:v>Business / brand</x:v>
      </x:c>
      <x:c r="D522" s="12" t="str">
        <x:v>IT &amp; digital</x:v>
      </x:c>
      <x:c r="E522" s="12" t="str">
        <x:v>Cybersecurity &amp; cloud infrastructure</x:v>
      </x:c>
      <x:c r="F522" s="12" t="str">
        <x:v>Small-scale prospects</x:v>
      </x:c>
      <x:c r="G522" s="12" t="str">
        <x:v>Software or technology-services business; small-scale prospect assumption.</x:v>
      </x:c>
      <x:c r="H522" s="11" t="n">
        <x:v>1</x:v>
      </x:c>
      <x:c r="I522" s="11" t="n">
        <x:v>7</x:v>
      </x:c>
      <x:c r="J522" s="11" t="n">
        <x:v>7</x:v>
      </x:c>
      <x:c r="K522" s="11" t="n">
        <x:v>0</x:v>
      </x:c>
      <x:c r="L522" s="17" t="n">
        <x:f>SUM(SUMIFS('Costing'!$P$9:$P$492,'Costing'!$A$9:$A$492,"MAIN-116"))</x:f>
        <x:v>175000</x:v>
      </x:c>
      <x:c r="M522" s="17" t="n">
        <x:f>ROUND(L522*'Costing'!$C$4,2)</x:f>
        <x:v>31500</x:v>
      </x:c>
      <x:c r="N522" s="17" t="n">
        <x:f>L522+M522</x:f>
        <x:v>206500</x:v>
      </x:c>
      <x:c r="O522" s="12" t="str">
        <x:v>Bengaluru</x:v>
      </x:c>
      <x:c r="P522" s="12" t="str">
        <x:v>CORP-0112</x:v>
      </x:c>
      <x:c r="Q522" s="12" t="str">
        <x:v>CloudAI Pvt Ltd</x:v>
      </x:c>
    </x:row>
    <x:row r="523" ht="48" customHeight="1">
      <x:c r="A523" s="2" t="str">
        <x:v>TEN-957E37CA19C4</x:v>
      </x:c>
      <x:c r="B523" s="12" t="str">
        <x:v>CloudBuilders Technologies Private Limited</x:v>
      </x:c>
      <x:c r="C523" s="12" t="str">
        <x:v>Business / brand</x:v>
      </x:c>
      <x:c r="D523" s="12" t="str">
        <x:v>IT &amp; digital</x:v>
      </x:c>
      <x:c r="E523" s="12" t="str">
        <x:v>Cybersecurity &amp; cloud infrastructure</x:v>
      </x:c>
      <x:c r="F523" s="12" t="str">
        <x:v>Small-scale prospects</x:v>
      </x:c>
      <x:c r="G523" s="12" t="str">
        <x:v>Software or technology-services business; small-scale prospect assumption.</x:v>
      </x:c>
      <x:c r="H523" s="11" t="n">
        <x:v>1</x:v>
      </x:c>
      <x:c r="I523" s="11" t="n">
        <x:v>4</x:v>
      </x:c>
      <x:c r="J523" s="11" t="n">
        <x:v>4</x:v>
      </x:c>
      <x:c r="K523" s="11" t="n">
        <x:v>0</x:v>
      </x:c>
      <x:c r="L523" s="17" t="n">
        <x:f>SUM(SUMIFS('Costing'!$P$9:$P$492,'Costing'!$A$9:$A$492,"MAIN-264"))</x:f>
        <x:v>100000</x:v>
      </x:c>
      <x:c r="M523" s="17" t="n">
        <x:f>ROUND(L523*'Costing'!$C$4,2)</x:f>
        <x:v>18000</x:v>
      </x:c>
      <x:c r="N523" s="17" t="n">
        <x:f>L523+M523</x:f>
        <x:v>118000</x:v>
      </x:c>
      <x:c r="O523" s="12" t="str">
        <x:v>Hyderabad</x:v>
      </x:c>
      <x:c r="P523" s="12" t="str">
        <x:v>CORP-0260</x:v>
      </x:c>
      <x:c r="Q523" s="12" t="str">
        <x:v>CloudBuilders Technologies Private Limited</x:v>
      </x:c>
    </x:row>
    <x:row r="524" ht="48" customHeight="1">
      <x:c r="A524" s="2" t="str">
        <x:v>TEN-4ACDF81AA293</x:v>
      </x:c>
      <x:c r="B524" s="12" t="str">
        <x:v>CloudifyOps Pvt Ltd</x:v>
      </x:c>
      <x:c r="C524" s="12" t="str">
        <x:v>Business / brand</x:v>
      </x:c>
      <x:c r="D524" s="12" t="str">
        <x:v>IT &amp; digital</x:v>
      </x:c>
      <x:c r="E524" s="12" t="str">
        <x:v>Cybersecurity &amp; cloud infrastructure</x:v>
      </x:c>
      <x:c r="F524" s="12" t="str">
        <x:v>Small-scale prospects</x:v>
      </x:c>
      <x:c r="G524" s="12" t="str">
        <x:v>Software or technology-services business; small-scale prospect assumption.</x:v>
      </x:c>
      <x:c r="H524" s="11" t="n">
        <x:v>1</x:v>
      </x:c>
      <x:c r="I524" s="11" t="n">
        <x:v>2</x:v>
      </x:c>
      <x:c r="J524" s="11" t="n">
        <x:v>2</x:v>
      </x:c>
      <x:c r="K524" s="11" t="n">
        <x:v>0</x:v>
      </x:c>
      <x:c r="L524" s="17" t="n">
        <x:f>SUM(SUMIFS('Costing'!$P$9:$P$492,'Costing'!$A$9:$A$492,"MAIN-044"))</x:f>
        <x:v>40000</x:v>
      </x:c>
      <x:c r="M524" s="17" t="n">
        <x:f>ROUND(L524*'Costing'!$C$4,2)</x:f>
        <x:v>7200</x:v>
      </x:c>
      <x:c r="N524" s="17" t="n">
        <x:f>L524+M524</x:f>
        <x:v>47200</x:v>
      </x:c>
      <x:c r="O524" s="12" t="str">
        <x:v>Bengaluru</x:v>
      </x:c>
      <x:c r="P524" s="12" t="str">
        <x:v>CORP-0040</x:v>
      </x:c>
      <x:c r="Q524" s="12" t="str">
        <x:v>CloudifyOps Pvt Ltd</x:v>
      </x:c>
    </x:row>
    <x:row r="525" ht="48" customHeight="1">
      <x:c r="A525" s="2" t="str">
        <x:v>TEN-C78E842CDD84</x:v>
      </x:c>
      <x:c r="B525" s="12" t="str">
        <x:v>Cloudmitra Private Limited</x:v>
      </x:c>
      <x:c r="C525" s="12" t="str">
        <x:v>Business / brand</x:v>
      </x:c>
      <x:c r="D525" s="12" t="str">
        <x:v>IT &amp; digital</x:v>
      </x:c>
      <x:c r="E525" s="12" t="str">
        <x:v>Cybersecurity &amp; cloud infrastructure</x:v>
      </x:c>
      <x:c r="F525" s="12" t="str">
        <x:v>Small-scale prospects</x:v>
      </x:c>
      <x:c r="G525" s="12" t="str">
        <x:v>Software or technology-services business; small-scale prospect assumption.</x:v>
      </x:c>
      <x:c r="H525" s="11" t="n">
        <x:v>5</x:v>
      </x:c>
      <x:c r="I525" s="11" t="n">
        <x:v>5</x:v>
      </x:c>
      <x:c r="J525" s="11" t="n">
        <x:v>5</x:v>
      </x:c>
      <x:c r="K525" s="11" t="n">
        <x:v>0</x:v>
      </x:c>
      <x:c r="L525" s="17" t="n">
        <x:f>SUM(SUMIFS('Costing'!$P$9:$P$492,'Costing'!$A$9:$A$492,"PARTNER-M384"))</x:f>
        <x:v>200000</x:v>
      </x:c>
      <x:c r="M525" s="17" t="n">
        <x:f>ROUND(L525*'Costing'!$C$4,2)</x:f>
        <x:v>36000</x:v>
      </x:c>
      <x:c r="N525" s="17" t="n">
        <x:f>L525+M525</x:f>
        <x:v>236000</x:v>
      </x:c>
      <x:c r="O525" s="12" t="str">
        <x:v>Delhi NCR</x:v>
      </x:c>
      <x:c r="P525" s="12" t="str">
        <x:v>CORP-0797, CORP-0798, CORP-0799, CORP-0800, CORP-0801</x:v>
      </x:c>
      <x:c r="Q525" s="12" t="str">
        <x:v>Cloudmitra Private Limited</x:v>
      </x:c>
    </x:row>
    <x:row r="526" ht="75" customHeight="1">
      <x:c r="A526" s="2" t="str">
        <x:v>TEN-333981AAF1CC</x:v>
      </x:c>
      <x:c r="B526" s="12" t="str">
        <x:v>Cloudnaut Technologies LLP</x:v>
      </x:c>
      <x:c r="C526" s="12" t="str">
        <x:v>Business / brand</x:v>
      </x:c>
      <x:c r="D526" s="12" t="str">
        <x:v>IT &amp; digital</x:v>
      </x:c>
      <x:c r="E526" s="12" t="str">
        <x:v>Cybersecurity &amp; cloud infrastructure</x:v>
      </x:c>
      <x:c r="F526" s="12" t="str">
        <x:v>Small-scale prospects</x:v>
      </x:c>
      <x:c r="G526" s="12" t="str">
        <x:v>Indicative cloud-specialist specialist audience. The official site centres on AWS engineering, AI and modernization and publishes a Pune office. A Small-scale planning label is a service-model estimate with no numeric size assertion.</x:v>
      </x:c>
      <x:c r="H526" s="11" t="n">
        <x:v>1</x:v>
      </x:c>
      <x:c r="I526" s="11" t="n">
        <x:v>1</x:v>
      </x:c>
      <x:c r="J526" s="11" t="n">
        <x:v>1</x:v>
      </x:c>
      <x:c r="K526" s="11" t="n">
        <x:v>0</x:v>
      </x:c>
      <x:c r="L526" s="17" t="n">
        <x:f>SUM(SUMIFS('Costing'!$P$9:$P$492,'Costing'!$A$9:$A$492,"MAIN-394"))</x:f>
        <x:v>15000</x:v>
      </x:c>
      <x:c r="M526" s="17" t="n">
        <x:f>ROUND(L526*'Costing'!$C$4,2)</x:f>
        <x:v>2700</x:v>
      </x:c>
      <x:c r="N526" s="17" t="n">
        <x:f>L526+M526</x:f>
        <x:v>17700</x:v>
      </x:c>
      <x:c r="O526" s="12" t="str">
        <x:v>Pune</x:v>
      </x:c>
      <x:c r="P526" s="12" t="str">
        <x:v>CORP-0390</x:v>
      </x:c>
      <x:c r="Q526" s="12" t="str">
        <x:v>Cloudnaut Technologies LLP</x:v>
      </x:c>
    </x:row>
    <x:row r="527" ht="48" customHeight="1">
      <x:c r="A527" s="2" t="str">
        <x:v>TEN-522C7A456D3F</x:v>
      </x:c>
      <x:c r="B527" s="12" t="str">
        <x:v>Clove Dental</x:v>
      </x:c>
      <x:c r="C527" s="12" t="str">
        <x:v>Business / brand</x:v>
      </x:c>
      <x:c r="D527" s="12" t="str">
        <x:v>Healthcare &amp; life sciences</x:v>
      </x:c>
      <x:c r="E527" s="12" t="str">
        <x:v>Clinical, medical &amp; diagnostic services</x:v>
      </x:c>
      <x:c r="F527" s="12" t="str">
        <x:v>Mixed business audience</x:v>
      </x:c>
      <x:c r="G527" s="12" t="str">
        <x:v>Established brand or business network; local company scale is not established. Use a mixed-business message.</x:v>
      </x:c>
      <x:c r="H527" s="11" t="n">
        <x:v>1</x:v>
      </x:c>
      <x:c r="I527" s="11" t="n">
        <x:v>1</x:v>
      </x:c>
      <x:c r="J527" s="11" t="n">
        <x:v>1</x:v>
      </x:c>
      <x:c r="K527" s="11" t="n">
        <x:v>0</x:v>
      </x:c>
      <x:c r="L527" s="17" t="n">
        <x:f>SUM(SUMIFS('Costing'!$P$9:$P$492,'Costing'!$A$9:$A$492,"MAIN-171"))</x:f>
        <x:v>25000</x:v>
      </x:c>
      <x:c r="M527" s="17" t="n">
        <x:f>ROUND(L527*'Costing'!$C$4,2)</x:f>
        <x:v>4500</x:v>
      </x:c>
      <x:c r="N527" s="17" t="n">
        <x:f>L527+M527</x:f>
        <x:v>29500</x:v>
      </x:c>
      <x:c r="O527" s="12" t="str">
        <x:v>Delhi NCR</x:v>
      </x:c>
      <x:c r="P527" s="12" t="str">
        <x:v>CORP-0167</x:v>
      </x:c>
      <x:c r="Q527" s="12" t="str">
        <x:v>Clove Dental</x:v>
      </x:c>
    </x:row>
    <x:row r="528" ht="48" customHeight="1">
      <x:c r="A528" s="2" t="str">
        <x:v>TEN-C2243270963A</x:v>
      </x:c>
      <x:c r="B528" s="12" t="str">
        <x:v>Clyde Industries pvt ltd</x:v>
      </x:c>
      <x:c r="C528" s="12" t="str">
        <x:v>Business / brand</x:v>
      </x:c>
      <x:c r="D528" s="12" t="str">
        <x:v>Engineering &amp; manufacturing</x:v>
      </x:c>
      <x:c r="E528" s="12" t="str">
        <x:v>Electronics, industrial systems &amp; manufacturing</x:v>
      </x:c>
      <x:c r="F528" s="12" t="str">
        <x:v>Medium-scale prospects</x:v>
      </x:c>
      <x:c r="G528" s="12" t="str">
        <x:v>Specialist industrial or engineering business; medium-scale prospect assumption.</x:v>
      </x:c>
      <x:c r="H528" s="11" t="n">
        <x:v>1</x:v>
      </x:c>
      <x:c r="I528" s="11" t="n">
        <x:v>1</x:v>
      </x:c>
      <x:c r="J528" s="11" t="n">
        <x:v>1</x:v>
      </x:c>
      <x:c r="K528" s="11" t="n">
        <x:v>0</x:v>
      </x:c>
      <x:c r="L528" s="17" t="n">
        <x:f>SUM(SUMIFS('Costing'!$P$9:$P$492,'Costing'!$A$9:$A$492,"MAIN-415"))</x:f>
        <x:v>15000</x:v>
      </x:c>
      <x:c r="M528" s="17" t="n">
        <x:f>ROUND(L528*'Costing'!$C$4,2)</x:f>
        <x:v>2700</x:v>
      </x:c>
      <x:c r="N528" s="17" t="n">
        <x:f>L528+M528</x:f>
        <x:v>17700</x:v>
      </x:c>
      <x:c r="O528" s="12" t="str">
        <x:v>Pune</x:v>
      </x:c>
      <x:c r="P528" s="12" t="str">
        <x:v>CORP-0411</x:v>
      </x:c>
      <x:c r="Q528" s="12" t="str">
        <x:v>Clyde Industries pvt ltd</x:v>
      </x:c>
    </x:row>
    <x:row r="529" ht="48" customHeight="1">
      <x:c r="A529" s="2" t="str">
        <x:v>TEN-F0D2BE946F8E</x:v>
      </x:c>
      <x:c r="B529" s="12" t="str">
        <x:v>CMA</x:v>
      </x:c>
      <x:c r="C529" s="12" t="str">
        <x:v>Business / brand</x:v>
      </x:c>
      <x:c r="D529" s="12" t="str">
        <x:v>Unresolved</x:v>
      </x:c>
      <x:c r="E529" s="12" t="str">
        <x:v>Business activity not established</x:v>
      </x:c>
      <x:c r="F529" s="12" t="str">
        <x:v>Mixed business audience</x:v>
      </x:c>
      <x:c r="G529" s="12" t="str">
        <x:v>Business activity and company scale are not established from this name.</x:v>
      </x:c>
      <x:c r="H529" s="11" t="n">
        <x:v>1</x:v>
      </x:c>
      <x:c r="I529" s="11" t="n">
        <x:v>5</x:v>
      </x:c>
      <x:c r="J529" s="11" t="n">
        <x:v>5</x:v>
      </x:c>
      <x:c r="K529" s="11" t="n">
        <x:v>0</x:v>
      </x:c>
      <x:c r="L529" s="17" t="n">
        <x:f>SUM(SUMIFS('Costing'!$P$9:$P$492,'Costing'!$A$9:$A$492,"MAIN-338"))</x:f>
        <x:v>200000</x:v>
      </x:c>
      <x:c r="M529" s="17" t="n">
        <x:f>ROUND(L529*'Costing'!$C$4,2)</x:f>
        <x:v>36000</x:v>
      </x:c>
      <x:c r="N529" s="17" t="n">
        <x:f>L529+M529</x:f>
        <x:v>236000</x:v>
      </x:c>
      <x:c r="O529" s="12" t="str">
        <x:v>Mumbai</x:v>
      </x:c>
      <x:c r="P529" s="12" t="str">
        <x:v>CORP-0334</x:v>
      </x:c>
      <x:c r="Q529" s="12" t="str">
        <x:v>CMA</x:v>
      </x:c>
    </x:row>
    <x:row r="530" ht="48" customHeight="1">
      <x:c r="A530" s="2" t="str">
        <x:v>TEN-89B79C32DF1D</x:v>
      </x:c>
      <x:c r="B530" s="12" t="str">
        <x:v>CMPTL</x:v>
      </x:c>
      <x:c r="C530" s="12" t="str">
        <x:v>Business / brand</x:v>
      </x:c>
      <x:c r="D530" s="12" t="str">
        <x:v>Unresolved</x:v>
      </x:c>
      <x:c r="E530" s="12" t="str">
        <x:v>Business activity not established</x:v>
      </x:c>
      <x:c r="F530" s="12" t="str">
        <x:v>Mixed business audience</x:v>
      </x:c>
      <x:c r="G530" s="12" t="str">
        <x:v>Business activity and company scale are not established from this name.</x:v>
      </x:c>
      <x:c r="H530" s="11" t="n">
        <x:v>1</x:v>
      </x:c>
      <x:c r="I530" s="11" t="n">
        <x:v>8</x:v>
      </x:c>
      <x:c r="J530" s="11" t="n">
        <x:v>8</x:v>
      </x:c>
      <x:c r="K530" s="11" t="n">
        <x:v>0</x:v>
      </x:c>
      <x:c r="L530" s="17" t="n">
        <x:f>SUM(SUMIFS('Costing'!$P$9:$P$492,'Costing'!$A$9:$A$492,"MAIN-009"))</x:f>
        <x:v>120000</x:v>
      </x:c>
      <x:c r="M530" s="17" t="n">
        <x:f>ROUND(L530*'Costing'!$C$4,2)</x:f>
        <x:v>21600</x:v>
      </x:c>
      <x:c r="N530" s="17" t="n">
        <x:f>L530+M530</x:f>
        <x:v>141600</x:v>
      </x:c>
      <x:c r="O530" s="12" t="str">
        <x:v>Bengaluru</x:v>
      </x:c>
      <x:c r="P530" s="12" t="str">
        <x:v>CORP-0005</x:v>
      </x:c>
      <x:c r="Q530" s="12" t="str">
        <x:v>CMPTL</x:v>
      </x:c>
    </x:row>
    <x:row r="531" ht="48" customHeight="1">
      <x:c r="A531" s="2" t="str">
        <x:v>TEN-C3CF650A0210</x:v>
      </x:c>
      <x:c r="B531" s="12" t="str">
        <x:v>CNSI</x:v>
      </x:c>
      <x:c r="C531" s="12" t="str">
        <x:v>Business / brand</x:v>
      </x:c>
      <x:c r="D531" s="12" t="str">
        <x:v>IT &amp; digital</x:v>
      </x:c>
      <x:c r="E531" s="12" t="str">
        <x:v>Enterprise software &amp; digital engineering</x:v>
      </x:c>
      <x:c r="F531" s="12" t="str">
        <x:v>Mixed business audience</x:v>
      </x:c>
      <x:c r="G531" s="12" t="str">
        <x:v>Established brand or business network; local company scale is not established. Use a mixed-business message.</x:v>
      </x:c>
      <x:c r="H531" s="11" t="n">
        <x:v>2</x:v>
      </x:c>
      <x:c r="I531" s="11" t="n">
        <x:v>2</x:v>
      </x:c>
      <x:c r="J531" s="11" t="n">
        <x:v>2</x:v>
      </x:c>
      <x:c r="K531" s="11" t="n">
        <x:v>0</x:v>
      </x:c>
      <x:c r="L531" s="17" t="n">
        <x:f>SUM(SUMIFS('Costing'!$P$9:$P$492,'Costing'!$A$9:$A$492,"PARTNER-M338"))</x:f>
        <x:v>80000</x:v>
      </x:c>
      <x:c r="M531" s="17" t="n">
        <x:f>ROUND(L531*'Costing'!$C$4,2)</x:f>
        <x:v>14400</x:v>
      </x:c>
      <x:c r="N531" s="17" t="n">
        <x:f>L531+M531</x:f>
        <x:v>94400</x:v>
      </x:c>
      <x:c r="O531" s="12" t="str">
        <x:v>Chennai</x:v>
      </x:c>
      <x:c r="P531" s="12" t="str">
        <x:v>CORP-0752, CORP-0753</x:v>
      </x:c>
      <x:c r="Q531" s="12" t="str">
        <x:v>CNSI</x:v>
      </x:c>
    </x:row>
    <x:row r="532" ht="48" customHeight="1">
      <x:c r="A532" s="2" t="str">
        <x:v>TEN-3CE3F5332C33</x:v>
      </x:c>
      <x:c r="B532" s="12" t="str">
        <x:v>Coactuar</x:v>
      </x:c>
      <x:c r="C532" s="12" t="str">
        <x:v>Business / brand</x:v>
      </x:c>
      <x:c r="D532" s="12" t="str">
        <x:v>Unresolved</x:v>
      </x:c>
      <x:c r="E532" s="12" t="str">
        <x:v>Business activity not established</x:v>
      </x:c>
      <x:c r="F532" s="12" t="str">
        <x:v>Mixed business audience</x:v>
      </x:c>
      <x:c r="G532" s="12" t="str">
        <x:v>Business activity and company scale are not established from this name.</x:v>
      </x:c>
      <x:c r="H532" s="11" t="n">
        <x:v>1</x:v>
      </x:c>
      <x:c r="I532" s="11" t="n">
        <x:v>2</x:v>
      </x:c>
      <x:c r="J532" s="11" t="n">
        <x:v>2</x:v>
      </x:c>
      <x:c r="K532" s="11" t="n">
        <x:v>0</x:v>
      </x:c>
      <x:c r="L532" s="17" t="n">
        <x:f>SUM(SUMIFS('Costing'!$P$9:$P$492,'Costing'!$A$9:$A$492,"MAIN-298"))</x:f>
        <x:v>30000</x:v>
      </x:c>
      <x:c r="M532" s="17" t="n">
        <x:f>ROUND(L532*'Costing'!$C$4,2)</x:f>
        <x:v>5400</x:v>
      </x:c>
      <x:c r="N532" s="17" t="n">
        <x:f>L532+M532</x:f>
        <x:v>35400</x:v>
      </x:c>
      <x:c r="O532" s="12" t="str">
        <x:v>Mumbai</x:v>
      </x:c>
      <x:c r="P532" s="12" t="str">
        <x:v>CORP-0294</x:v>
      </x:c>
      <x:c r="Q532" s="12" t="str">
        <x:v>Coactuar</x:v>
      </x:c>
    </x:row>
    <x:row r="533" ht="48" customHeight="1">
      <x:c r="A533" s="2" t="str">
        <x:v>TEN-B6EB7D8C755F</x:v>
      </x:c>
      <x:c r="B533" s="12" t="str">
        <x:v>CodeVyasa</x:v>
      </x:c>
      <x:c r="C533" s="12" t="str">
        <x:v>Business / brand</x:v>
      </x:c>
      <x:c r="D533" s="12" t="str">
        <x:v>IT &amp; digital</x:v>
      </x:c>
      <x:c r="E533" s="12" t="str">
        <x:v>Enterprise software &amp; digital engineering</x:v>
      </x:c>
      <x:c r="F533" s="12" t="str">
        <x:v>Small-scale prospects</x:v>
      </x:c>
      <x:c r="G533" s="12" t="str">
        <x:v>Software or technology-services business; small-scale prospect assumption.</x:v>
      </x:c>
      <x:c r="H533" s="11" t="n">
        <x:v>1</x:v>
      </x:c>
      <x:c r="I533" s="11" t="n">
        <x:v>15</x:v>
      </x:c>
      <x:c r="J533" s="11" t="n">
        <x:v>15</x:v>
      </x:c>
      <x:c r="K533" s="11" t="n">
        <x:v>0</x:v>
      </x:c>
      <x:c r="L533" s="17" t="n">
        <x:f>SUM(SUMIFS('Costing'!$P$9:$P$492,'Costing'!$A$9:$A$492,"MAIN-169"))</x:f>
        <x:v>300000</x:v>
      </x:c>
      <x:c r="M533" s="17" t="n">
        <x:f>ROUND(L533*'Costing'!$C$4,2)</x:f>
        <x:v>54000</x:v>
      </x:c>
      <x:c r="N533" s="17" t="n">
        <x:f>L533+M533</x:f>
        <x:v>354000</x:v>
      </x:c>
      <x:c r="O533" s="12" t="str">
        <x:v>Delhi NCR</x:v>
      </x:c>
      <x:c r="P533" s="12" t="str">
        <x:v>CORP-0165</x:v>
      </x:c>
      <x:c r="Q533" s="12" t="str">
        <x:v>CodeVyasa</x:v>
      </x:c>
    </x:row>
    <x:row r="534" ht="48" customHeight="1">
      <x:c r="A534" s="2" t="str">
        <x:v>TEN-5E423FF3D952</x:v>
      </x:c>
      <x:c r="B534" s="12" t="str">
        <x:v>Codexbox</x:v>
      </x:c>
      <x:c r="C534" s="12" t="str">
        <x:v>Business / brand</x:v>
      </x:c>
      <x:c r="D534" s="12" t="str">
        <x:v>Unresolved</x:v>
      </x:c>
      <x:c r="E534" s="12" t="str">
        <x:v>Business activity not established</x:v>
      </x:c>
      <x:c r="F534" s="12" t="str">
        <x:v>Mixed business audience</x:v>
      </x:c>
      <x:c r="G534" s="12" t="str">
        <x:v>Business activity and company scale are not established from this name.</x:v>
      </x:c>
      <x:c r="H534" s="11" t="n">
        <x:v>7</x:v>
      </x:c>
      <x:c r="I534" s="11" t="n">
        <x:v>7</x:v>
      </x:c>
      <x:c r="J534" s="11" t="n">
        <x:v>7</x:v>
      </x:c>
      <x:c r="K534" s="11" t="n">
        <x:v>0</x:v>
      </x:c>
      <x:c r="L534" s="17" t="n">
        <x:f>SUM(SUMIFS('Costing'!$P$9:$P$492,'Costing'!$A$9:$A$492,"PARTNER-M317"))</x:f>
        <x:v>280000</x:v>
      </x:c>
      <x:c r="M534" s="17" t="n">
        <x:f>ROUND(L534*'Costing'!$C$4,2)</x:f>
        <x:v>50400</x:v>
      </x:c>
      <x:c r="N534" s="17" t="n">
        <x:f>L534+M534</x:f>
        <x:v>330400</x:v>
      </x:c>
      <x:c r="O534" s="12" t="str">
        <x:v>Hyderabad</x:v>
      </x:c>
      <x:c r="P534" s="12" t="str">
        <x:v>CORP-0732, CORP-0733, CORP-0734, CORP-0735, CORP-0736, CORP-0737, CORP-0738</x:v>
      </x:c>
      <x:c r="Q534" s="12" t="str">
        <x:v>Codexbox</x:v>
      </x:c>
    </x:row>
    <x:row r="535" ht="75" customHeight="1">
      <x:c r="A535" s="2" t="str">
        <x:v>TEN-5A77600C2DAB</x:v>
      </x:c>
      <x:c r="B535" s="12" t="str">
        <x:v>Codilar Technologies Pvt Ltd</x:v>
      </x:c>
      <x:c r="C535" s="12" t="str">
        <x:v>Business / brand</x:v>
      </x:c>
      <x:c r="D535" s="12" t="str">
        <x:v>IT &amp; digital</x:v>
      </x:c>
      <x:c r="E535" s="12" t="str">
        <x:v>Enterprise software &amp; digital engineering</x:v>
      </x:c>
      <x:c r="F535" s="12" t="str">
        <x:v>Medium-scale prospects</x:v>
      </x:c>
      <x:c r="G535" s="12" t="str">
        <x:v>Indicative growth/specialist digital-commerce organization. The official about page reports more than 240 certified experts and presents a multi-function leadership team. This gives direct organization-level scale context while leaving statutory MSME size unverified.</x:v>
      </x:c>
      <x:c r="H535" s="11" t="n">
        <x:v>1</x:v>
      </x:c>
      <x:c r="I535" s="11" t="n">
        <x:v>1</x:v>
      </x:c>
      <x:c r="J535" s="11" t="n">
        <x:v>1</x:v>
      </x:c>
      <x:c r="K535" s="11" t="n">
        <x:v>0</x:v>
      </x:c>
      <x:c r="L535" s="17" t="n">
        <x:f>SUM(SUMIFS('Costing'!$P$9:$P$492,'Costing'!$A$9:$A$492,"MAIN-020"))</x:f>
        <x:v>15000</x:v>
      </x:c>
      <x:c r="M535" s="17" t="n">
        <x:f>ROUND(L535*'Costing'!$C$4,2)</x:f>
        <x:v>2700</x:v>
      </x:c>
      <x:c r="N535" s="17" t="n">
        <x:f>L535+M535</x:f>
        <x:v>17700</x:v>
      </x:c>
      <x:c r="O535" s="12" t="str">
        <x:v>Bengaluru</x:v>
      </x:c>
      <x:c r="P535" s="12" t="str">
        <x:v>CORP-0016</x:v>
      </x:c>
      <x:c r="Q535" s="12" t="str">
        <x:v>Codilar Technologies Pvt Ltd</x:v>
      </x:c>
    </x:row>
    <x:row r="536" ht="48" customHeight="1">
      <x:c r="A536" s="2" t="str">
        <x:v>TEN-E3B0B0D2C88E</x:v>
      </x:c>
      <x:c r="B536" s="12" t="str">
        <x:v>Coditas</x:v>
      </x:c>
      <x:c r="C536" s="12" t="str">
        <x:v>Business / brand</x:v>
      </x:c>
      <x:c r="D536" s="12" t="str">
        <x:v>IT &amp; digital</x:v>
      </x:c>
      <x:c r="E536" s="12" t="str">
        <x:v>Enterprise software &amp; digital engineering</x:v>
      </x:c>
      <x:c r="F536" s="12" t="str">
        <x:v>Small-scale prospects</x:v>
      </x:c>
      <x:c r="G536" s="12" t="str">
        <x:v>Software or technology-services business; small-scale prospect assumption.</x:v>
      </x:c>
      <x:c r="H536" s="11" t="n">
        <x:v>4</x:v>
      </x:c>
      <x:c r="I536" s="11" t="n">
        <x:v>4</x:v>
      </x:c>
      <x:c r="J536" s="11" t="n">
        <x:v>4</x:v>
      </x:c>
      <x:c r="K536" s="11" t="n">
        <x:v>0</x:v>
      </x:c>
      <x:c r="L536" s="17" t="n">
        <x:f>SUM(SUMIFS('Costing'!$P$9:$P$492,'Costing'!$A$9:$A$492,"PARTNER-M273"))</x:f>
        <x:v>160000</x:v>
      </x:c>
      <x:c r="M536" s="17" t="n">
        <x:f>ROUND(L536*'Costing'!$C$4,2)</x:f>
        <x:v>28800</x:v>
      </x:c>
      <x:c r="N536" s="17" t="n">
        <x:f>L536+M536</x:f>
        <x:v>188800</x:v>
      </x:c>
      <x:c r="O536" s="12" t="str">
        <x:v>Pune</x:v>
      </x:c>
      <x:c r="P536" s="12" t="str">
        <x:v>CORP-0689, CORP-0690, CORP-0691, CORP-0692</x:v>
      </x:c>
      <x:c r="Q536" s="12" t="str">
        <x:v>Coditas</x:v>
      </x:c>
    </x:row>
    <x:row r="537" ht="49" customHeight="1">
      <x:c r="A537" s="2" t="str">
        <x:v>TEN-64F651426DF4</x:v>
      </x:c>
      <x:c r="B537" s="12" t="str">
        <x:v>CoElevate @ Nirvana Country</x:v>
      </x:c>
      <x:c r="C537" s="12" t="str">
        <x:v>Workspace operator</x:v>
      </x:c>
      <x:c r="D537" s="12" t="str">
        <x:v>Workspace &amp; property operations</x:v>
      </x:c>
      <x:c r="E537" s="12" t="str">
        <x:v>Coworking/workspace operator</x:v>
      </x:c>
      <x:c r="F537" s="12" t="str">
        <x:v>Mixed business audience</x:v>
      </x:c>
      <x:c r="G537" s="12" t="str">
        <x:v>Supplied entry is a shared-workspace operator; the business sizes of occupant companies cannot be derived from the operator name.</x:v>
      </x:c>
      <x:c r="H537" s="11" t="n">
        <x:v>1</x:v>
      </x:c>
      <x:c r="I537" s="11" t="n">
        <x:v>4</x:v>
      </x:c>
      <x:c r="J537" s="11" t="n">
        <x:v>4</x:v>
      </x:c>
      <x:c r="K537" s="11" t="n">
        <x:v>0</x:v>
      </x:c>
      <x:c r="L537" s="17" t="n">
        <x:f>SUM(SUMIFS('Costing'!$P$9:$P$492,'Costing'!$A$9:$A$492,"MAIN-202"))</x:f>
        <x:v>160000</x:v>
      </x:c>
      <x:c r="M537" s="17" t="n">
        <x:f>ROUND(L537*'Costing'!$C$4,2)</x:f>
        <x:v>28800</x:v>
      </x:c>
      <x:c r="N537" s="17" t="n">
        <x:f>L537+M537</x:f>
        <x:v>188800</x:v>
      </x:c>
      <x:c r="O537" s="12" t="str">
        <x:v>Delhi NCR</x:v>
      </x:c>
      <x:c r="P537" s="12" t="str">
        <x:v>CORP-0198</x:v>
      </x:c>
      <x:c r="Q537" s="12" t="str">
        <x:v>CoElevate @ Nirvana Country</x:v>
      </x:c>
    </x:row>
    <x:row r="538" ht="48" customHeight="1">
      <x:c r="A538" s="2" t="str">
        <x:v>TEN-907D11AE3179</x:v>
      </x:c>
      <x:c r="B538" s="12" t="str">
        <x:v>Coface India</x:v>
      </x:c>
      <x:c r="C538" s="12" t="str">
        <x:v>Business / brand</x:v>
      </x:c>
      <x:c r="D538" s="12" t="str">
        <x:v>Finance &amp; insurance</x:v>
      </x:c>
      <x:c r="E538" s="12" t="str">
        <x:v>Banking, credit &amp; financial services</x:v>
      </x:c>
      <x:c r="F538" s="12" t="str">
        <x:v>Mixed business audience</x:v>
      </x:c>
      <x:c r="G538" s="12" t="str">
        <x:v>Established brand or business network; local company scale is not established. Use a mixed-business message.</x:v>
      </x:c>
      <x:c r="H538" s="11" t="n">
        <x:v>9</x:v>
      </x:c>
      <x:c r="I538" s="11" t="n">
        <x:v>9</x:v>
      </x:c>
      <x:c r="J538" s="11" t="n">
        <x:v>9</x:v>
      </x:c>
      <x:c r="K538" s="11" t="n">
        <x:v>0</x:v>
      </x:c>
      <x:c r="L538" s="17" t="n">
        <x:f>SUM(SUMIFS('Costing'!$P$9:$P$492,'Costing'!$A$9:$A$492,"MAIN-073"),SUMIFS('Costing'!$P$9:$P$492,'Costing'!$A$9:$A$492,"PARTNER-M100"))</x:f>
        <x:v>360000</x:v>
      </x:c>
      <x:c r="M538" s="17" t="n">
        <x:f>ROUND(L538*'Costing'!$C$4,2)</x:f>
        <x:v>64800</x:v>
      </x:c>
      <x:c r="N538" s="17" t="n">
        <x:f>L538+M538</x:f>
        <x:v>424800</x:v>
      </x:c>
      <x:c r="O538" s="12" t="str">
        <x:v>Bengaluru</x:v>
      </x:c>
      <x:c r="P538" s="12" t="str">
        <x:v>CORP-0069, CORP-0518, CORP-0519, CORP-0520, CORP-0521, CORP-0522, CORP-0523, CORP-0524, CORP-0525</x:v>
      </x:c>
      <x:c r="Q538" s="12" t="str">
        <x:v>Coface India</x:v>
      </x:c>
    </x:row>
    <x:row r="539" ht="48" customHeight="1">
      <x:c r="A539" s="2" t="str">
        <x:v>TEN-3A4174138191</x:v>
      </x:c>
      <x:c r="B539" s="12" t="str">
        <x:v>Coffee by Di Bella</x:v>
      </x:c>
      <x:c r="C539" s="12" t="str">
        <x:v>Business / brand</x:v>
      </x:c>
      <x:c r="D539" s="12" t="str">
        <x:v>Trade, consumer &amp; logistics</x:v>
      </x:c>
      <x:c r="E539" s="12" t="str">
        <x:v>Travel, hospitality, food &amp; beverages</x:v>
      </x:c>
      <x:c r="F539" s="12" t="str">
        <x:v>Mixed business audience</x:v>
      </x:c>
      <x:c r="G539" s="12" t="str">
        <x:v>Established brand or business network; local company scale is not established. Use a mixed-business message.</x:v>
      </x:c>
      <x:c r="H539" s="11" t="n">
        <x:v>1</x:v>
      </x:c>
      <x:c r="I539" s="11" t="n">
        <x:v>1</x:v>
      </x:c>
      <x:c r="J539" s="11" t="n">
        <x:v>1</x:v>
      </x:c>
      <x:c r="K539" s="11" t="n">
        <x:v>0</x:v>
      </x:c>
      <x:c r="L539" s="17" t="n">
        <x:f>SUM(SUMIFS('Costing'!$P$9:$P$492,'Costing'!$A$9:$A$492,"MAIN-270"))</x:f>
        <x:v>20000</x:v>
      </x:c>
      <x:c r="M539" s="17" t="n">
        <x:f>ROUND(L539*'Costing'!$C$4,2)</x:f>
        <x:v>3600</x:v>
      </x:c>
      <x:c r="N539" s="17" t="n">
        <x:f>L539+M539</x:f>
        <x:v>23600</x:v>
      </x:c>
      <x:c r="O539" s="12" t="str">
        <x:v>Indore</x:v>
      </x:c>
      <x:c r="P539" s="12" t="str">
        <x:v>CORP-0266</x:v>
      </x:c>
      <x:c r="Q539" s="12" t="str">
        <x:v>Coffee by Di Bella</x:v>
      </x:c>
    </x:row>
    <x:row r="540" ht="48" customHeight="1">
      <x:c r="A540" s="2" t="str">
        <x:v>TEN-B3F99731DE4E</x:v>
      </x:c>
      <x:c r="B540" s="12" t="str">
        <x:v>CogBooks</x:v>
      </x:c>
      <x:c r="C540" s="12" t="str">
        <x:v>Business / brand</x:v>
      </x:c>
      <x:c r="D540" s="12" t="str">
        <x:v>Education</x:v>
      </x:c>
      <x:c r="E540" s="12" t="str">
        <x:v>Education, training &amp; childcare</x:v>
      </x:c>
      <x:c r="F540" s="12" t="str">
        <x:v>Mixed business audience</x:v>
      </x:c>
      <x:c r="G540" s="12" t="str">
        <x:v>Established brand or business network; local company scale is not established. Use a mixed-business message.</x:v>
      </x:c>
      <x:c r="H540" s="11" t="n">
        <x:v>1</x:v>
      </x:c>
      <x:c r="I540" s="11" t="n">
        <x:v>7</x:v>
      </x:c>
      <x:c r="J540" s="11" t="n">
        <x:v>7</x:v>
      </x:c>
      <x:c r="K540" s="11" t="n">
        <x:v>0</x:v>
      </x:c>
      <x:c r="L540" s="17" t="n">
        <x:f>SUM(SUMIFS('Costing'!$P$9:$P$492,'Costing'!$A$9:$A$492,"MAIN-129"))</x:f>
        <x:v>175000</x:v>
      </x:c>
      <x:c r="M540" s="17" t="n">
        <x:f>ROUND(L540*'Costing'!$C$4,2)</x:f>
        <x:v>31500</x:v>
      </x:c>
      <x:c r="N540" s="17" t="n">
        <x:f>L540+M540</x:f>
        <x:v>206500</x:v>
      </x:c>
      <x:c r="O540" s="12" t="str">
        <x:v>Bengaluru</x:v>
      </x:c>
      <x:c r="P540" s="12" t="str">
        <x:v>CORP-0125</x:v>
      </x:c>
      <x:c r="Q540" s="12" t="str">
        <x:v>CogBooks</x:v>
      </x:c>
    </x:row>
    <x:row r="541" ht="48" customHeight="1">
      <x:c r="A541" s="2" t="str">
        <x:v>TEN-764410B207C5</x:v>
      </x:c>
      <x:c r="B541" s="12" t="str">
        <x:v>CogBooks India</x:v>
      </x:c>
      <x:c r="C541" s="12" t="str">
        <x:v>Business / brand</x:v>
      </x:c>
      <x:c r="D541" s="12" t="str">
        <x:v>Education</x:v>
      </x:c>
      <x:c r="E541" s="12" t="str">
        <x:v>Education, training &amp; childcare</x:v>
      </x:c>
      <x:c r="F541" s="12" t="str">
        <x:v>Mixed business audience</x:v>
      </x:c>
      <x:c r="G541" s="12" t="str">
        <x:v>Established brand or business network; local company scale is not established. Use a mixed-business message.</x:v>
      </x:c>
      <x:c r="H541" s="11" t="n">
        <x:v>1</x:v>
      </x:c>
      <x:c r="I541" s="11" t="n">
        <x:v>7</x:v>
      </x:c>
      <x:c r="J541" s="11" t="n">
        <x:v>7</x:v>
      </x:c>
      <x:c r="K541" s="11" t="n">
        <x:v>0</x:v>
      </x:c>
      <x:c r="L541" s="17" t="n">
        <x:f>SUM(SUMIFS('Costing'!$P$9:$P$492,'Costing'!$A$9:$A$492,"MAIN-129"))</x:f>
        <x:v>175000</x:v>
      </x:c>
      <x:c r="M541" s="17" t="n">
        <x:f>ROUND(L541*'Costing'!$C$4,2)</x:f>
        <x:v>31500</x:v>
      </x:c>
      <x:c r="N541" s="17" t="n">
        <x:f>L541+M541</x:f>
        <x:v>206500</x:v>
      </x:c>
      <x:c r="O541" s="12" t="str">
        <x:v>Bengaluru</x:v>
      </x:c>
      <x:c r="P541" s="12" t="str">
        <x:v>CORP-0125</x:v>
      </x:c>
      <x:c r="Q541" s="12" t="str">
        <x:v>CogBooks India</x:v>
      </x:c>
    </x:row>
    <x:row r="542" ht="48" customHeight="1">
      <x:c r="A542" s="2" t="str">
        <x:v>TEN-B14ECF80C8CB</x:v>
      </x:c>
      <x:c r="B542" s="12" t="str">
        <x:v>Cogent</x:v>
      </x:c>
      <x:c r="C542" s="12" t="str">
        <x:v>Business / brand</x:v>
      </x:c>
      <x:c r="D542" s="12" t="str">
        <x:v>Unresolved</x:v>
      </x:c>
      <x:c r="E542" s="12" t="str">
        <x:v>Business activity not established</x:v>
      </x:c>
      <x:c r="F542" s="12" t="str">
        <x:v>Mixed business audience</x:v>
      </x:c>
      <x:c r="G542" s="12" t="str">
        <x:v>Business activity and company scale are not established from this name.</x:v>
      </x:c>
      <x:c r="H542" s="11" t="n">
        <x:v>1</x:v>
      </x:c>
      <x:c r="I542" s="11" t="n">
        <x:v>1</x:v>
      </x:c>
      <x:c r="J542" s="11" t="n">
        <x:v>1</x:v>
      </x:c>
      <x:c r="K542" s="11" t="n">
        <x:v>0</x:v>
      </x:c>
      <x:c r="L542" s="17" t="n">
        <x:f>SUM(SUMIFS('Costing'!$P$9:$P$492,'Costing'!$A$9:$A$492,"MAIN-319"))</x:f>
        <x:v>15000</x:v>
      </x:c>
      <x:c r="M542" s="17" t="n">
        <x:f>ROUND(L542*'Costing'!$C$4,2)</x:f>
        <x:v>2700</x:v>
      </x:c>
      <x:c r="N542" s="17" t="n">
        <x:f>L542+M542</x:f>
        <x:v>17700</x:v>
      </x:c>
      <x:c r="O542" s="12" t="str">
        <x:v>Mumbai</x:v>
      </x:c>
      <x:c r="P542" s="12" t="str">
        <x:v>CORP-0315</x:v>
      </x:c>
      <x:c r="Q542" s="12" t="str">
        <x:v>Cogent</x:v>
      </x:c>
    </x:row>
    <x:row r="543" ht="48" customHeight="1">
      <x:c r="A543" s="2" t="str">
        <x:v>TEN-0C81B9564D37</x:v>
      </x:c>
      <x:c r="B543" s="12" t="str">
        <x:v>Cogent eservices private limited PSN Bangalore</x:v>
      </x:c>
      <x:c r="C543" s="12" t="str">
        <x:v>Business / brand</x:v>
      </x:c>
      <x:c r="D543" s="12" t="str">
        <x:v>IT &amp; digital</x:v>
      </x:c>
      <x:c r="E543" s="12" t="str">
        <x:v>Business process &amp; customer operations</x:v>
      </x:c>
      <x:c r="F543" s="12" t="str">
        <x:v>Mixed business audience</x:v>
      </x:c>
      <x:c r="G543" s="12" t="str">
        <x:v>Established brand or business network; local company scale is not established. Use a mixed-business message.</x:v>
      </x:c>
      <x:c r="H543" s="11" t="n">
        <x:v>7</x:v>
      </x:c>
      <x:c r="I543" s="11" t="n">
        <x:v>7</x:v>
      </x:c>
      <x:c r="J543" s="11" t="n">
        <x:v>7</x:v>
      </x:c>
      <x:c r="K543" s="11" t="n">
        <x:v>0</x:v>
      </x:c>
      <x:c r="L543" s="17" t="n">
        <x:f>SUM(SUMIFS('Costing'!$P$9:$P$492,'Costing'!$A$9:$A$492,"PARTNER-M027"))</x:f>
        <x:v>280000</x:v>
      </x:c>
      <x:c r="M543" s="17" t="n">
        <x:f>ROUND(L543*'Costing'!$C$4,2)</x:f>
        <x:v>50400</x:v>
      </x:c>
      <x:c r="N543" s="17" t="n">
        <x:f>L543+M543</x:f>
        <x:v>330400</x:v>
      </x:c>
      <x:c r="O543" s="12" t="str">
        <x:v>Bengaluru</x:v>
      </x:c>
      <x:c r="P543" s="12" t="str">
        <x:v>CORP-0445, CORP-0446, CORP-0447, CORP-0448, CORP-0449, CORP-0450, CORP-0451</x:v>
      </x:c>
      <x:c r="Q543" s="12" t="str">
        <x:v>Cogent eservices private limited PSN Bangalore</x:v>
      </x:c>
    </x:row>
    <x:row r="544" ht="48" customHeight="1">
      <x:c r="A544" s="2" t="str">
        <x:v>TEN-6D01BFE28329</x:v>
      </x:c>
      <x:c r="B544" s="12" t="str">
        <x:v>Cognexa Business Solutions</x:v>
      </x:c>
      <x:c r="C544" s="12" t="str">
        <x:v>Business / brand</x:v>
      </x:c>
      <x:c r="D544" s="12" t="str">
        <x:v>Unresolved</x:v>
      </x:c>
      <x:c r="E544" s="12" t="str">
        <x:v>Business activity not established</x:v>
      </x:c>
      <x:c r="F544" s="12" t="str">
        <x:v>Mixed business audience</x:v>
      </x:c>
      <x:c r="G544" s="12" t="str">
        <x:v>Business activity and company scale are not established from this name.</x:v>
      </x:c>
      <x:c r="H544" s="11" t="n">
        <x:v>2</x:v>
      </x:c>
      <x:c r="I544" s="11" t="n">
        <x:v>2</x:v>
      </x:c>
      <x:c r="J544" s="11" t="n">
        <x:v>2</x:v>
      </x:c>
      <x:c r="K544" s="11" t="n">
        <x:v>0</x:v>
      </x:c>
      <x:c r="L544" s="17" t="n">
        <x:f>SUM(SUMIFS('Costing'!$P$9:$P$492,'Costing'!$A$9:$A$492,"PARTNER-M065"))</x:f>
        <x:v>80000</x:v>
      </x:c>
      <x:c r="M544" s="17" t="n">
        <x:f>ROUND(L544*'Costing'!$C$4,2)</x:f>
        <x:v>14400</x:v>
      </x:c>
      <x:c r="N544" s="17" t="n">
        <x:f>L544+M544</x:f>
        <x:v>94400</x:v>
      </x:c>
      <x:c r="O544" s="12" t="str">
        <x:v>Bengaluru</x:v>
      </x:c>
      <x:c r="P544" s="12" t="str">
        <x:v>CORP-0483, CORP-0484</x:v>
      </x:c>
      <x:c r="Q544" s="12" t="str">
        <x:v>Cognexa Business Solutions</x:v>
      </x:c>
    </x:row>
    <x:row r="545" ht="48" customHeight="1">
      <x:c r="A545" s="2" t="str">
        <x:v>TEN-BDA4D17476FE</x:v>
      </x:c>
      <x:c r="B545" s="12" t="str">
        <x:v>Cognisure</x:v>
      </x:c>
      <x:c r="C545" s="12" t="str">
        <x:v>Business / brand</x:v>
      </x:c>
      <x:c r="D545" s="12" t="str">
        <x:v>IT &amp; digital</x:v>
      </x:c>
      <x:c r="E545" s="12" t="str">
        <x:v>Enterprise software &amp; digital engineering</x:v>
      </x:c>
      <x:c r="F545" s="12" t="str">
        <x:v>Small-scale prospects</x:v>
      </x:c>
      <x:c r="G545" s="12" t="str">
        <x:v>Software or technology-services business; small-scale prospect assumption.</x:v>
      </x:c>
      <x:c r="H545" s="11" t="n">
        <x:v>9</x:v>
      </x:c>
      <x:c r="I545" s="11" t="n">
        <x:v>9</x:v>
      </x:c>
      <x:c r="J545" s="11" t="n">
        <x:v>9</x:v>
      </x:c>
      <x:c r="K545" s="11" t="n">
        <x:v>0</x:v>
      </x:c>
      <x:c r="L545" s="17" t="n">
        <x:f>SUM(SUMIFS('Costing'!$P$9:$P$492,'Costing'!$A$9:$A$492,"PARTNER-M002"))</x:f>
        <x:v>360000</x:v>
      </x:c>
      <x:c r="M545" s="17" t="n">
        <x:f>ROUND(L545*'Costing'!$C$4,2)</x:f>
        <x:v>64800</x:v>
      </x:c>
      <x:c r="N545" s="17" t="n">
        <x:f>L545+M545</x:f>
        <x:v>424800</x:v>
      </x:c>
      <x:c r="O545" s="12" t="str">
        <x:v>Bengaluru</x:v>
      </x:c>
      <x:c r="P545" s="12" t="str">
        <x:v>CORP-0420, CORP-0421, CORP-0422, CORP-0423, CORP-0424, CORP-0425, CORP-0426, CORP-0427, CORP-0428</x:v>
      </x:c>
      <x:c r="Q545" s="12" t="str">
        <x:v>Cognisure</x:v>
      </x:c>
    </x:row>
    <x:row r="546" ht="49" customHeight="1">
      <x:c r="A546" s="2" t="str">
        <x:v>TEN-86F73DFE7BB6</x:v>
      </x:c>
      <x:c r="B546" s="12" t="str">
        <x:v>Cognizant</x:v>
      </x:c>
      <x:c r="C546" s="12" t="str">
        <x:v>Business / brand</x:v>
      </x:c>
      <x:c r="D546" s="12" t="str">
        <x:v>IT &amp; digital</x:v>
      </x:c>
      <x:c r="E546" s="12" t="str">
        <x:v>Technology services — specialty unverified</x:v>
      </x:c>
      <x:c r="F546" s="12" t="str">
        <x:v>Large enterprise</x:v>
      </x:c>
      <x:c r="G546" s="12" t="str">
        <x:v>Official overview reports 356,700 employees worldwide and USD21.1B 2025 revenue.</x:v>
      </x:c>
      <x:c r="H546" s="11" t="n">
        <x:v>15</x:v>
      </x:c>
      <x:c r="I546" s="11" t="n">
        <x:v>80</x:v>
      </x:c>
      <x:c r="J546" s="11" t="n">
        <x:v>80</x:v>
      </x:c>
      <x:c r="K546" s="11" t="n">
        <x:v>0</x:v>
      </x:c>
      <x:c r="L546" s="17" t="n">
        <x:f>SUM(SUMIFS('Costing'!$P$9:$P$492,'Costing'!$A$9:$A$492,"MAIN-235"),SUMIFS('Costing'!$P$9:$P$492,'Costing'!$A$9:$A$492,"MAIN-236"),SUMIFS('Costing'!$P$9:$P$492,'Costing'!$A$9:$A$492,"MAIN-253"),SUMIFS('Costing'!$P$9:$P$492,'Costing'!$A$9:$A$492,"MAIN-337"),SUMIFS('Costing'!$P$9:$P$492,'Costing'!$A$9:$A$492,"PARTNER-M051"),SUMIFS('Costing'!$P$9:$P$492,'Costing'!$A$9:$A$492,"PARTNER-M045"))</x:f>
        <x:v>2435000</x:v>
      </x:c>
      <x:c r="M546" s="17" t="n">
        <x:f>ROUND(L546*'Costing'!$C$4,2)</x:f>
        <x:v>438300</x:v>
      </x:c>
      <x:c r="N546" s="17" t="n">
        <x:f>L546+M546</x:f>
        <x:v>2873300</x:v>
      </x:c>
      <x:c r="O546" s="12" t="str">
        <x:v>Hyderabad, Mumbai, Bengaluru</x:v>
      </x:c>
      <x:c r="P546" s="12" t="str">
        <x:v>CORP-0231, CORP-0232, CORP-0249, CORP-0333, CORP-0463, CORP-0464, CORP-0465, CORP-0466, CORP-0467, CORP-0468, CORP-0469, CORP-0470, CORP-0471, CORP-0472, CORP-0473</x:v>
      </x:c>
      <x:c r="Q546" s="12" t="str">
        <x:v>Cognizant</x:v>
      </x:c>
    </x:row>
    <x:row r="547" ht="48" customHeight="1">
      <x:c r="A547" s="2" t="str">
        <x:v>TEN-52A348458B44</x:v>
      </x:c>
      <x:c r="B547" s="12" t="str">
        <x:v>Cohance Lifesciences</x:v>
      </x:c>
      <x:c r="C547" s="12" t="str">
        <x:v>Business / brand</x:v>
      </x:c>
      <x:c r="D547" s="12" t="str">
        <x:v>Healthcare &amp; life sciences</x:v>
      </x:c>
      <x:c r="E547" s="12" t="str">
        <x:v>Pharmaceuticals, biotechnology &amp; life sciences</x:v>
      </x:c>
      <x:c r="F547" s="12" t="str">
        <x:v>Mixed business audience</x:v>
      </x:c>
      <x:c r="G547" s="12" t="str">
        <x:v>Established brand or business network; local company scale is not established. Use a mixed-business message.</x:v>
      </x:c>
      <x:c r="H547" s="11" t="n">
        <x:v>4</x:v>
      </x:c>
      <x:c r="I547" s="11" t="n">
        <x:v>4</x:v>
      </x:c>
      <x:c r="J547" s="11" t="n">
        <x:v>4</x:v>
      </x:c>
      <x:c r="K547" s="11" t="n">
        <x:v>0</x:v>
      </x:c>
      <x:c r="L547" s="17" t="n">
        <x:f>SUM(SUMIFS('Costing'!$P$9:$P$492,'Costing'!$A$9:$A$492,"PARTNER-M308"))</x:f>
        <x:v>160000</x:v>
      </x:c>
      <x:c r="M547" s="17" t="n">
        <x:f>ROUND(L547*'Costing'!$C$4,2)</x:f>
        <x:v>28800</x:v>
      </x:c>
      <x:c r="N547" s="17" t="n">
        <x:f>L547+M547</x:f>
        <x:v>188800</x:v>
      </x:c>
      <x:c r="O547" s="12" t="str">
        <x:v>Hyderabad</x:v>
      </x:c>
      <x:c r="P547" s="12" t="str">
        <x:v>CORP-0723, CORP-0724, CORP-0725, CORP-0726</x:v>
      </x:c>
      <x:c r="Q547" s="12" t="str">
        <x:v>Cohance Lifesciences</x:v>
      </x:c>
    </x:row>
    <x:row r="548" ht="48" customHeight="1">
      <x:c r="A548" s="2" t="str">
        <x:v>TEN-E0D35E7B9595</x:v>
      </x:c>
      <x:c r="B548" s="12" t="str">
        <x:v>coked</x:v>
      </x:c>
      <x:c r="C548" s="12" t="str">
        <x:v>Business / brand</x:v>
      </x:c>
      <x:c r="D548" s="12" t="str">
        <x:v>Unresolved</x:v>
      </x:c>
      <x:c r="E548" s="12" t="str">
        <x:v>Business activity not established</x:v>
      </x:c>
      <x:c r="F548" s="12" t="str">
        <x:v>Mixed business audience</x:v>
      </x:c>
      <x:c r="G548" s="12" t="str">
        <x:v>Business activity and company scale are not established from this name.</x:v>
      </x:c>
      <x:c r="H548" s="11" t="n">
        <x:v>1</x:v>
      </x:c>
      <x:c r="I548" s="11" t="n">
        <x:v>7</x:v>
      </x:c>
      <x:c r="J548" s="11" t="n">
        <x:v>7</x:v>
      </x:c>
      <x:c r="K548" s="11" t="n">
        <x:v>0</x:v>
      </x:c>
      <x:c r="L548" s="17" t="n">
        <x:f>SUM(SUMIFS('Costing'!$P$9:$P$492,'Costing'!$A$9:$A$492,"MAIN-140"))</x:f>
        <x:v>105000</x:v>
      </x:c>
      <x:c r="M548" s="17" t="n">
        <x:f>ROUND(L548*'Costing'!$C$4,2)</x:f>
        <x:v>18900</x:v>
      </x:c>
      <x:c r="N548" s="17" t="n">
        <x:f>L548+M548</x:f>
        <x:v>123900</x:v>
      </x:c>
      <x:c r="O548" s="12" t="str">
        <x:v>Chennai</x:v>
      </x:c>
      <x:c r="P548" s="12" t="str">
        <x:v>CORP-0136</x:v>
      </x:c>
      <x:c r="Q548" s="12" t="str">
        <x:v>coked</x:v>
      </x:c>
    </x:row>
    <x:row r="549" ht="48" customHeight="1">
      <x:c r="A549" s="2" t="str">
        <x:v>TEN-363435ED1329</x:v>
      </x:c>
      <x:c r="B549" s="12" t="str">
        <x:v>Collabera</x:v>
      </x:c>
      <x:c r="C549" s="12" t="str">
        <x:v>Business / brand</x:v>
      </x:c>
      <x:c r="D549" s="12" t="str">
        <x:v>Professional services</x:v>
      </x:c>
      <x:c r="E549" s="12" t="str">
        <x:v>Professional services — specialty unverified</x:v>
      </x:c>
      <x:c r="F549" s="12" t="str">
        <x:v>Mixed business audience</x:v>
      </x:c>
      <x:c r="G549" s="12" t="str">
        <x:v>Recognisable business context; company-scale evidence remains insufficient for a single size band.</x:v>
      </x:c>
      <x:c r="H549" s="11" t="n">
        <x:v>1</x:v>
      </x:c>
      <x:c r="I549" s="11" t="n">
        <x:v>1</x:v>
      </x:c>
      <x:c r="J549" s="11" t="n">
        <x:v>1</x:v>
      </x:c>
      <x:c r="K549" s="11" t="n">
        <x:v>0</x:v>
      </x:c>
      <x:c r="L549" s="17" t="n">
        <x:f>SUM(SUMIFS('Costing'!$P$9:$P$492,'Costing'!$A$9:$A$492,"MAIN-015"))</x:f>
        <x:v>15000</x:v>
      </x:c>
      <x:c r="M549" s="17" t="n">
        <x:f>ROUND(L549*'Costing'!$C$4,2)</x:f>
        <x:v>2700</x:v>
      </x:c>
      <x:c r="N549" s="17" t="n">
        <x:f>L549+M549</x:f>
        <x:v>17700</x:v>
      </x:c>
      <x:c r="O549" s="12" t="str">
        <x:v>Bengaluru</x:v>
      </x:c>
      <x:c r="P549" s="12" t="str">
        <x:v>CORP-0011</x:v>
      </x:c>
      <x:c r="Q549" s="12" t="str">
        <x:v>Collabera</x:v>
      </x:c>
    </x:row>
    <x:row r="550" ht="48" customHeight="1">
      <x:c r="A550" s="2" t="str">
        <x:v>TEN-E2C9313C145A</x:v>
      </x:c>
      <x:c r="B550" s="12" t="str">
        <x:v>Collabera Technologies</x:v>
      </x:c>
      <x:c r="C550" s="12" t="str">
        <x:v>Business / brand</x:v>
      </x:c>
      <x:c r="D550" s="12" t="str">
        <x:v>Professional services</x:v>
      </x:c>
      <x:c r="E550" s="12" t="str">
        <x:v>Professional services — specialty unverified</x:v>
      </x:c>
      <x:c r="F550" s="12" t="str">
        <x:v>Mixed business audience</x:v>
      </x:c>
      <x:c r="G550" s="12" t="str">
        <x:v>Recognisable business context; company-scale evidence remains insufficient for a single size band.</x:v>
      </x:c>
      <x:c r="H550" s="11" t="n">
        <x:v>3</x:v>
      </x:c>
      <x:c r="I550" s="11" t="n">
        <x:v>3</x:v>
      </x:c>
      <x:c r="J550" s="11" t="n">
        <x:v>3</x:v>
      </x:c>
      <x:c r="K550" s="11" t="n">
        <x:v>0</x:v>
      </x:c>
      <x:c r="L550" s="17" t="n">
        <x:f>SUM(SUMIFS('Costing'!$P$9:$P$492,'Costing'!$A$9:$A$492,"PARTNER-M097"))</x:f>
        <x:v>120000</x:v>
      </x:c>
      <x:c r="M550" s="17" t="n">
        <x:f>ROUND(L550*'Costing'!$C$4,2)</x:f>
        <x:v>21600</x:v>
      </x:c>
      <x:c r="N550" s="17" t="n">
        <x:f>L550+M550</x:f>
        <x:v>141600</x:v>
      </x:c>
      <x:c r="O550" s="12" t="str">
        <x:v>Bengaluru</x:v>
      </x:c>
      <x:c r="P550" s="12" t="str">
        <x:v>CORP-0515, CORP-0516, CORP-0517</x:v>
      </x:c>
      <x:c r="Q550" s="12" t="str">
        <x:v>Collabera Technologies</x:v>
      </x:c>
    </x:row>
    <x:row r="551" ht="48" customHeight="1">
      <x:c r="A551" s="2" t="str">
        <x:v>TEN-943DC3AC657A</x:v>
      </x:c>
      <x:c r="B551" s="12" t="str">
        <x:v>Collabera Technologies Pvt. Ltd</x:v>
      </x:c>
      <x:c r="C551" s="12" t="str">
        <x:v>Business / brand</x:v>
      </x:c>
      <x:c r="D551" s="12" t="str">
        <x:v>Professional services</x:v>
      </x:c>
      <x:c r="E551" s="12" t="str">
        <x:v>Professional services — specialty unverified</x:v>
      </x:c>
      <x:c r="F551" s="12" t="str">
        <x:v>Mixed business audience</x:v>
      </x:c>
      <x:c r="G551" s="12" t="str">
        <x:v>Recognisable business context; company-scale evidence remains insufficient for a single size band.</x:v>
      </x:c>
      <x:c r="H551" s="11" t="n">
        <x:v>4</x:v>
      </x:c>
      <x:c r="I551" s="11" t="n">
        <x:v>4</x:v>
      </x:c>
      <x:c r="J551" s="11" t="n">
        <x:v>4</x:v>
      </x:c>
      <x:c r="K551" s="11" t="n">
        <x:v>0</x:v>
      </x:c>
      <x:c r="L551" s="17" t="n">
        <x:f>SUM(SUMIFS('Costing'!$P$9:$P$492,'Costing'!$A$9:$A$492,"PARTNER-M261"))</x:f>
        <x:v>160000</x:v>
      </x:c>
      <x:c r="M551" s="17" t="n">
        <x:f>ROUND(L551*'Costing'!$C$4,2)</x:f>
        <x:v>28800</x:v>
      </x:c>
      <x:c r="N551" s="17" t="n">
        <x:f>L551+M551</x:f>
        <x:v>188800</x:v>
      </x:c>
      <x:c r="O551" s="12" t="str">
        <x:v>Pune</x:v>
      </x:c>
      <x:c r="P551" s="12" t="str">
        <x:v>CORP-0677, CORP-0678, CORP-0679, CORP-0680</x:v>
      </x:c>
      <x:c r="Q551" s="12" t="str">
        <x:v>Collabera Technologies Pvt. Ltd</x:v>
      </x:c>
    </x:row>
    <x:row r="552" ht="48" customHeight="1">
      <x:c r="A552" s="2" t="str">
        <x:v>TEN-C0EA8E7C1508</x:v>
      </x:c>
      <x:c r="B552" s="12" t="str">
        <x:v>CollegePass</x:v>
      </x:c>
      <x:c r="C552" s="12" t="str">
        <x:v>Business / brand</x:v>
      </x:c>
      <x:c r="D552" s="12" t="str">
        <x:v>Education</x:v>
      </x:c>
      <x:c r="E552" s="12" t="str">
        <x:v>Schools, childcare &amp; higher education</x:v>
      </x:c>
      <x:c r="F552" s="12" t="str">
        <x:v>Mixed business audience</x:v>
      </x:c>
      <x:c r="G552" s="12" t="str">
        <x:v>Recognisable business context; company-scale evidence remains insufficient for a single size band.</x:v>
      </x:c>
      <x:c r="H552" s="11" t="n">
        <x:v>1</x:v>
      </x:c>
      <x:c r="I552" s="11" t="n">
        <x:v>4</x:v>
      </x:c>
      <x:c r="J552" s="11" t="n">
        <x:v>4</x:v>
      </x:c>
      <x:c r="K552" s="11" t="n">
        <x:v>0</x:v>
      </x:c>
      <x:c r="L552" s="17" t="n">
        <x:f>SUM(SUMIFS('Costing'!$P$9:$P$492,'Costing'!$A$9:$A$492,"MAIN-115"))</x:f>
        <x:v>100000</x:v>
      </x:c>
      <x:c r="M552" s="17" t="n">
        <x:f>ROUND(L552*'Costing'!$C$4,2)</x:f>
        <x:v>18000</x:v>
      </x:c>
      <x:c r="N552" s="17" t="n">
        <x:f>L552+M552</x:f>
        <x:v>118000</x:v>
      </x:c>
      <x:c r="O552" s="12" t="str">
        <x:v>Bengaluru</x:v>
      </x:c>
      <x:c r="P552" s="12" t="str">
        <x:v>CORP-0111</x:v>
      </x:c>
      <x:c r="Q552" s="12" t="str">
        <x:v>CollegePass</x:v>
      </x:c>
    </x:row>
    <x:row r="553" ht="48" customHeight="1">
      <x:c r="A553" s="2" t="str">
        <x:v>TEN-AF3AAC2C86FE</x:v>
      </x:c>
      <x:c r="B553" s="12" t="str">
        <x:v>Collinson India PVT LTD</x:v>
      </x:c>
      <x:c r="C553" s="12" t="str">
        <x:v>Business / brand</x:v>
      </x:c>
      <x:c r="D553" s="12" t="str">
        <x:v>Trade, consumer &amp; logistics</x:v>
      </x:c>
      <x:c r="E553" s="12" t="str">
        <x:v>Travel, hospitality, food &amp; beverages</x:v>
      </x:c>
      <x:c r="F553" s="12" t="str">
        <x:v>Mixed business audience</x:v>
      </x:c>
      <x:c r="G553" s="12" t="str">
        <x:v>Recognisable business context; company-scale evidence remains insufficient for a single size band.</x:v>
      </x:c>
      <x:c r="H553" s="11" t="n">
        <x:v>1</x:v>
      </x:c>
      <x:c r="I553" s="11" t="n">
        <x:v>5</x:v>
      </x:c>
      <x:c r="J553" s="11" t="n">
        <x:v>5</x:v>
      </x:c>
      <x:c r="K553" s="11" t="n">
        <x:v>0</x:v>
      </x:c>
      <x:c r="L553" s="17" t="n">
        <x:f>SUM(SUMIFS('Costing'!$P$9:$P$492,'Costing'!$A$9:$A$492,"MAIN-139"))</x:f>
        <x:v>75000</x:v>
      </x:c>
      <x:c r="M553" s="17" t="n">
        <x:f>ROUND(L553*'Costing'!$C$4,2)</x:f>
        <x:v>13500</x:v>
      </x:c>
      <x:c r="N553" s="17" t="n">
        <x:f>L553+M553</x:f>
        <x:v>88500</x:v>
      </x:c>
      <x:c r="O553" s="12" t="str">
        <x:v>Chennai</x:v>
      </x:c>
      <x:c r="P553" s="12" t="str">
        <x:v>CORP-0135</x:v>
      </x:c>
      <x:c r="Q553" s="12" t="str">
        <x:v>Collinson India PVT LTD</x:v>
      </x:c>
    </x:row>
    <x:row r="554" ht="48" customHeight="1">
      <x:c r="A554" s="2" t="str">
        <x:v>TEN-6301EA260891</x:v>
      </x:c>
      <x:c r="B554" s="12" t="str">
        <x:v>Collison</x:v>
      </x:c>
      <x:c r="C554" s="12" t="str">
        <x:v>Business / brand</x:v>
      </x:c>
      <x:c r="D554" s="12" t="str">
        <x:v>Unresolved</x:v>
      </x:c>
      <x:c r="E554" s="12" t="str">
        <x:v>Business activity not established</x:v>
      </x:c>
      <x:c r="F554" s="12" t="str">
        <x:v>Mixed business audience</x:v>
      </x:c>
      <x:c r="G554" s="12" t="str">
        <x:v>Business activity and company scale are not established from this name.</x:v>
      </x:c>
      <x:c r="H554" s="11" t="n">
        <x:v>1</x:v>
      </x:c>
      <x:c r="I554" s="11" t="n">
        <x:v>5</x:v>
      </x:c>
      <x:c r="J554" s="11" t="n">
        <x:v>5</x:v>
      </x:c>
      <x:c r="K554" s="11" t="n">
        <x:v>0</x:v>
      </x:c>
      <x:c r="L554" s="17" t="n">
        <x:f>SUM(SUMIFS('Costing'!$P$9:$P$492,'Costing'!$A$9:$A$492,"MAIN-025"))</x:f>
        <x:v>75000</x:v>
      </x:c>
      <x:c r="M554" s="17" t="n">
        <x:f>ROUND(L554*'Costing'!$C$4,2)</x:f>
        <x:v>13500</x:v>
      </x:c>
      <x:c r="N554" s="17" t="n">
        <x:f>L554+M554</x:f>
        <x:v>88500</x:v>
      </x:c>
      <x:c r="O554" s="12" t="str">
        <x:v>Bengaluru</x:v>
      </x:c>
      <x:c r="P554" s="12" t="str">
        <x:v>CORP-0021</x:v>
      </x:c>
      <x:c r="Q554" s="12" t="str">
        <x:v>Collison</x:v>
      </x:c>
    </x:row>
    <x:row r="555" ht="48" customHeight="1">
      <x:c r="A555" s="2" t="str">
        <x:v>TEN-3E2A5D865C6E</x:v>
      </x:c>
      <x:c r="B555" s="12" t="str">
        <x:v>Colossal Developers Pvt.Ltd</x:v>
      </x:c>
      <x:c r="C555" s="12" t="str">
        <x:v>Business / brand</x:v>
      </x:c>
      <x:c r="D555" s="12" t="str">
        <x:v>Trade, consumer &amp; logistics</x:v>
      </x:c>
      <x:c r="E555" s="12" t="str">
        <x:v>Real estate, property &amp; construction services</x:v>
      </x:c>
      <x:c r="F555" s="12" t="str">
        <x:v>Small-scale prospects</x:v>
      </x:c>
      <x:c r="G555" s="12" t="str">
        <x:v>Trading or consumer-services business; small-scale prospect assumption.</x:v>
      </x:c>
      <x:c r="H555" s="11" t="n">
        <x:v>1</x:v>
      </x:c>
      <x:c r="I555" s="11" t="n">
        <x:v>2</x:v>
      </x:c>
      <x:c r="J555" s="11" t="n">
        <x:v>2</x:v>
      </x:c>
      <x:c r="K555" s="11" t="n">
        <x:v>0</x:v>
      </x:c>
      <x:c r="L555" s="17" t="n">
        <x:f>SUM(SUMIFS('Costing'!$P$9:$P$492,'Costing'!$A$9:$A$492,"MAIN-024"))</x:f>
        <x:v>30000</x:v>
      </x:c>
      <x:c r="M555" s="17" t="n">
        <x:f>ROUND(L555*'Costing'!$C$4,2)</x:f>
        <x:v>5400</x:v>
      </x:c>
      <x:c r="N555" s="17" t="n">
        <x:f>L555+M555</x:f>
        <x:v>35400</x:v>
      </x:c>
      <x:c r="O555" s="12" t="str">
        <x:v>Bengaluru</x:v>
      </x:c>
      <x:c r="P555" s="12" t="str">
        <x:v>CORP-0020</x:v>
      </x:c>
      <x:c r="Q555" s="12" t="str">
        <x:v>Colossal Developers Pvt.Ltd</x:v>
      </x:c>
    </x:row>
    <x:row r="556" ht="48" customHeight="1">
      <x:c r="A556" s="2" t="str">
        <x:v>TEN-A1A5873B72DA</x:v>
      </x:c>
      <x:c r="B556" s="12" t="str">
        <x:v>Colt Technologies</x:v>
      </x:c>
      <x:c r="C556" s="12" t="str">
        <x:v>Business / brand</x:v>
      </x:c>
      <x:c r="D556" s="12" t="str">
        <x:v>IT &amp; digital</x:v>
      </x:c>
      <x:c r="E556" s="12" t="str">
        <x:v>Telecom, networks &amp; connectivity</x:v>
      </x:c>
      <x:c r="F556" s="12" t="str">
        <x:v>Mixed business audience</x:v>
      </x:c>
      <x:c r="G556" s="12" t="str">
        <x:v>Established brand or business network; local company scale is not established. Use a mixed-business message.</x:v>
      </x:c>
      <x:c r="H556" s="11" t="n">
        <x:v>5</x:v>
      </x:c>
      <x:c r="I556" s="11" t="n">
        <x:v>5</x:v>
      </x:c>
      <x:c r="J556" s="11" t="n">
        <x:v>5</x:v>
      </x:c>
      <x:c r="K556" s="11" t="n">
        <x:v>0</x:v>
      </x:c>
      <x:c r="L556" s="17" t="n">
        <x:f>SUM(SUMIFS('Costing'!$P$9:$P$492,'Costing'!$A$9:$A$492,"PARTNER-M051"))</x:f>
        <x:v>200000</x:v>
      </x:c>
      <x:c r="M556" s="17" t="n">
        <x:f>ROUND(L556*'Costing'!$C$4,2)</x:f>
        <x:v>36000</x:v>
      </x:c>
      <x:c r="N556" s="17" t="n">
        <x:f>L556+M556</x:f>
        <x:v>236000</x:v>
      </x:c>
      <x:c r="O556" s="12" t="str">
        <x:v>Bengaluru</x:v>
      </x:c>
      <x:c r="P556" s="12" t="str">
        <x:v>CORP-0469, CORP-0470, CORP-0471, CORP-0472, CORP-0473</x:v>
      </x:c>
      <x:c r="Q556" s="12" t="str">
        <x:v>Colt Technologies</x:v>
      </x:c>
    </x:row>
    <x:row r="557" ht="48" customHeight="1">
      <x:c r="A557" s="2" t="str">
        <x:v>TEN-6D3FD8E92D3B</x:v>
      </x:c>
      <x:c r="B557" s="12" t="str">
        <x:v>Columbus Global India</x:v>
      </x:c>
      <x:c r="C557" s="12" t="str">
        <x:v>Business / brand</x:v>
      </x:c>
      <x:c r="D557" s="12" t="str">
        <x:v>IT &amp; digital</x:v>
      </x:c>
      <x:c r="E557" s="12" t="str">
        <x:v>Enterprise software &amp; digital engineering</x:v>
      </x:c>
      <x:c r="F557" s="12" t="str">
        <x:v>Mixed business audience</x:v>
      </x:c>
      <x:c r="G557" s="12" t="str">
        <x:v>Established brand or business network; local company scale is not established. Use a mixed-business message.</x:v>
      </x:c>
      <x:c r="H557" s="11" t="n">
        <x:v>4</x:v>
      </x:c>
      <x:c r="I557" s="11" t="n">
        <x:v>4</x:v>
      </x:c>
      <x:c r="J557" s="11" t="n">
        <x:v>4</x:v>
      </x:c>
      <x:c r="K557" s="11" t="n">
        <x:v>0</x:v>
      </x:c>
      <x:c r="L557" s="17" t="n">
        <x:f>SUM(SUMIFS('Costing'!$P$9:$P$492,'Costing'!$A$9:$A$492,"PARTNER-M308"))</x:f>
        <x:v>160000</x:v>
      </x:c>
      <x:c r="M557" s="17" t="n">
        <x:f>ROUND(L557*'Costing'!$C$4,2)</x:f>
        <x:v>28800</x:v>
      </x:c>
      <x:c r="N557" s="17" t="n">
        <x:f>L557+M557</x:f>
        <x:v>188800</x:v>
      </x:c>
      <x:c r="O557" s="12" t="str">
        <x:v>Hyderabad</x:v>
      </x:c>
      <x:c r="P557" s="12" t="str">
        <x:v>CORP-0723, CORP-0724, CORP-0725, CORP-0726</x:v>
      </x:c>
      <x:c r="Q557" s="12" t="str">
        <x:v>Columbus Global India</x:v>
      </x:c>
    </x:row>
    <x:row r="558" ht="48" customHeight="1">
      <x:c r="A558" s="2" t="str">
        <x:v>TEN-71E01020DF68</x:v>
      </x:c>
      <x:c r="B558" s="12" t="str">
        <x:v>coMakeIT Software Pvt Ltd</x:v>
      </x:c>
      <x:c r="C558" s="12" t="str">
        <x:v>Business / brand</x:v>
      </x:c>
      <x:c r="D558" s="12" t="str">
        <x:v>IT &amp; digital</x:v>
      </x:c>
      <x:c r="E558" s="12" t="str">
        <x:v>Enterprise software &amp; digital engineering</x:v>
      </x:c>
      <x:c r="F558" s="12" t="str">
        <x:v>Mixed business audience</x:v>
      </x:c>
      <x:c r="G558" s="12" t="str">
        <x:v>Established brand or business network; local company scale is not established. Use a mixed-business message.</x:v>
      </x:c>
      <x:c r="H558" s="11" t="n">
        <x:v>4</x:v>
      </x:c>
      <x:c r="I558" s="11" t="n">
        <x:v>4</x:v>
      </x:c>
      <x:c r="J558" s="11" t="n">
        <x:v>4</x:v>
      </x:c>
      <x:c r="K558" s="11" t="n">
        <x:v>0</x:v>
      </x:c>
      <x:c r="L558" s="17" t="n">
        <x:f>SUM(SUMIFS('Costing'!$P$9:$P$492,'Costing'!$A$9:$A$492,"PARTNER-M308"))</x:f>
        <x:v>160000</x:v>
      </x:c>
      <x:c r="M558" s="17" t="n">
        <x:f>ROUND(L558*'Costing'!$C$4,2)</x:f>
        <x:v>28800</x:v>
      </x:c>
      <x:c r="N558" s="17" t="n">
        <x:f>L558+M558</x:f>
        <x:v>188800</x:v>
      </x:c>
      <x:c r="O558" s="12" t="str">
        <x:v>Hyderabad</x:v>
      </x:c>
      <x:c r="P558" s="12" t="str">
        <x:v>CORP-0723, CORP-0724, CORP-0725, CORP-0726</x:v>
      </x:c>
      <x:c r="Q558" s="12" t="str">
        <x:v>coMakeIT Software Pvt Ltd</x:v>
      </x:c>
    </x:row>
    <x:row r="559" ht="48" customHeight="1">
      <x:c r="A559" s="2" t="str">
        <x:v>TEN-6613992388BF</x:v>
      </x:c>
      <x:c r="B559" s="12" t="str">
        <x:v>Comedia technologies</x:v>
      </x:c>
      <x:c r="C559" s="12" t="str">
        <x:v>Business / brand</x:v>
      </x:c>
      <x:c r="D559" s="12" t="str">
        <x:v>Unresolved</x:v>
      </x:c>
      <x:c r="E559" s="12" t="str">
        <x:v>Business activity not established</x:v>
      </x:c>
      <x:c r="F559" s="12" t="str">
        <x:v>Mixed business audience</x:v>
      </x:c>
      <x:c r="G559" s="12" t="str">
        <x:v>Business activity and company scale are not established from this name.</x:v>
      </x:c>
      <x:c r="H559" s="11" t="n">
        <x:v>1</x:v>
      </x:c>
      <x:c r="I559" s="11" t="n">
        <x:v>2</x:v>
      </x:c>
      <x:c r="J559" s="11" t="n">
        <x:v>2</x:v>
      </x:c>
      <x:c r="K559" s="11" t="n">
        <x:v>0</x:v>
      </x:c>
      <x:c r="L559" s="17" t="n">
        <x:f>SUM(SUMIFS('Costing'!$P$9:$P$492,'Costing'!$A$9:$A$492,"MAIN-081"))</x:f>
        <x:v>30000</x:v>
      </x:c>
      <x:c r="M559" s="17" t="n">
        <x:f>ROUND(L559*'Costing'!$C$4,2)</x:f>
        <x:v>5400</x:v>
      </x:c>
      <x:c r="N559" s="17" t="n">
        <x:f>L559+M559</x:f>
        <x:v>35400</x:v>
      </x:c>
      <x:c r="O559" s="12" t="str">
        <x:v>Bengaluru</x:v>
      </x:c>
      <x:c r="P559" s="12" t="str">
        <x:v>CORP-0077</x:v>
      </x:c>
      <x:c r="Q559" s="12" t="str">
        <x:v>Comedia technologies</x:v>
      </x:c>
    </x:row>
    <x:row r="560" ht="48" customHeight="1">
      <x:c r="A560" s="2" t="str">
        <x:v>TEN-FA0DDD5275C1</x:v>
      </x:c>
      <x:c r="B560" s="12" t="str">
        <x:v>Comfort My Travel</x:v>
      </x:c>
      <x:c r="C560" s="12" t="str">
        <x:v>Business / brand</x:v>
      </x:c>
      <x:c r="D560" s="12" t="str">
        <x:v>Trade, consumer &amp; logistics</x:v>
      </x:c>
      <x:c r="E560" s="12" t="str">
        <x:v>Travel, hospitality, food &amp; beverages</x:v>
      </x:c>
      <x:c r="F560" s="12" t="str">
        <x:v>Small-scale prospects</x:v>
      </x:c>
      <x:c r="G560" s="12" t="str">
        <x:v>Trading or consumer-services business; small-scale prospect assumption.</x:v>
      </x:c>
      <x:c r="H560" s="11" t="n">
        <x:v>1</x:v>
      </x:c>
      <x:c r="I560" s="11" t="n">
        <x:v>1</x:v>
      </x:c>
      <x:c r="J560" s="11" t="n">
        <x:v>1</x:v>
      </x:c>
      <x:c r="K560" s="11" t="n">
        <x:v>0</x:v>
      </x:c>
      <x:c r="L560" s="17" t="n">
        <x:f>SUM(SUMIFS('Costing'!$P$9:$P$492,'Costing'!$A$9:$A$492,"MAIN-290"))</x:f>
        <x:v>40000</x:v>
      </x:c>
      <x:c r="M560" s="17" t="n">
        <x:f>ROUND(L560*'Costing'!$C$4,2)</x:f>
        <x:v>7200</x:v>
      </x:c>
      <x:c r="N560" s="17" t="n">
        <x:f>L560+M560</x:f>
        <x:v>47200</x:v>
      </x:c>
      <x:c r="O560" s="12" t="str">
        <x:v>Lucknow</x:v>
      </x:c>
      <x:c r="P560" s="12" t="str">
        <x:v>CORP-0286</x:v>
      </x:c>
      <x:c r="Q560" s="12" t="str">
        <x:v>Comfort My Travel</x:v>
      </x:c>
    </x:row>
    <x:row r="561" ht="62" customHeight="1">
      <x:c r="A561" s="2" t="str">
        <x:v>TEN-0B570123A8C3</x:v>
      </x:c>
      <x:c r="B561" s="12" t="str">
        <x:v>Commvault</x:v>
      </x:c>
      <x:c r="C561" s="12" t="str">
        <x:v>Business / brand</x:v>
      </x:c>
      <x:c r="D561" s="12" t="str">
        <x:v>IT &amp; digital</x:v>
      </x:c>
      <x:c r="E561" s="12" t="str">
        <x:v>Technology services — specialty unverified</x:v>
      </x:c>
      <x:c r="F561" s="12" t="str">
        <x:v>Large enterprise</x:v>
      </x:c>
      <x:c r="G561" s="12" t="str">
        <x:v>The official Commvault profile reports more than 2,800 employees worldwide and describes a global enterprise-data-security business. This supports Large enterprise audience context.</x:v>
      </x:c>
      <x:c r="H561" s="11" t="n">
        <x:v>12</x:v>
      </x:c>
      <x:c r="I561" s="11" t="n">
        <x:v>12</x:v>
      </x:c>
      <x:c r="J561" s="11" t="n">
        <x:v>12</x:v>
      </x:c>
      <x:c r="K561" s="11" t="n">
        <x:v>0</x:v>
      </x:c>
      <x:c r="L561" s="17" t="n">
        <x:f>SUM(SUMIFS('Costing'!$P$9:$P$492,'Costing'!$A$9:$A$492,"PARTNER-M108"))</x:f>
        <x:v>480000</x:v>
      </x:c>
      <x:c r="M561" s="17" t="n">
        <x:f>ROUND(L561*'Costing'!$C$4,2)</x:f>
        <x:v>86400</x:v>
      </x:c>
      <x:c r="N561" s="17" t="n">
        <x:f>L561+M561</x:f>
        <x:v>566400</x:v>
      </x:c>
      <x:c r="O561" s="12" t="str">
        <x:v>Bengaluru</x:v>
      </x:c>
      <x:c r="P561" s="12" t="str">
        <x:v>CORP-0526, CORP-0527, CORP-0528, CORP-0529, CORP-0530, CORP-0531, CORP-0532, CORP-0533, CORP-0534, CORP-0535, CORP-0536, CORP-0537</x:v>
      </x:c>
      <x:c r="Q561" s="12" t="str">
        <x:v>Commvault</x:v>
      </x:c>
    </x:row>
    <x:row r="562" ht="48" customHeight="1">
      <x:c r="A562" s="2" t="str">
        <x:v>TEN-866F70D2D0FF</x:v>
      </x:c>
      <x:c r="B562" s="12" t="str">
        <x:v>CompuCom</x:v>
      </x:c>
      <x:c r="C562" s="12" t="str">
        <x:v>Business / brand</x:v>
      </x:c>
      <x:c r="D562" s="12" t="str">
        <x:v>IT &amp; digital</x:v>
      </x:c>
      <x:c r="E562" s="12" t="str">
        <x:v>Enterprise software &amp; digital engineering</x:v>
      </x:c>
      <x:c r="F562" s="12" t="str">
        <x:v>Mixed business audience</x:v>
      </x:c>
      <x:c r="G562" s="12" t="str">
        <x:v>Established brand or business network; local company scale is not established. Use a mixed-business message.</x:v>
      </x:c>
      <x:c r="H562" s="11" t="n">
        <x:v>9</x:v>
      </x:c>
      <x:c r="I562" s="11" t="n">
        <x:v>9</x:v>
      </x:c>
      <x:c r="J562" s="11" t="n">
        <x:v>9</x:v>
      </x:c>
      <x:c r="K562" s="11" t="n">
        <x:v>0</x:v>
      </x:c>
      <x:c r="L562" s="17" t="n">
        <x:f>SUM(SUMIFS('Costing'!$P$9:$P$492,'Costing'!$A$9:$A$492,"PARTNER-M252"))</x:f>
        <x:v>360000</x:v>
      </x:c>
      <x:c r="M562" s="17" t="n">
        <x:f>ROUND(L562*'Costing'!$C$4,2)</x:f>
        <x:v>64800</x:v>
      </x:c>
      <x:c r="N562" s="17" t="n">
        <x:f>L562+M562</x:f>
        <x:v>424800</x:v>
      </x:c>
      <x:c r="O562" s="12" t="str">
        <x:v>Pune</x:v>
      </x:c>
      <x:c r="P562" s="12" t="str">
        <x:v>CORP-0668, CORP-0669, CORP-0670, CORP-0671, CORP-0672, CORP-0673, CORP-0674, CORP-0675, CORP-0676</x:v>
      </x:c>
      <x:c r="Q562" s="12" t="str">
        <x:v>CompuCom</x:v>
      </x:c>
    </x:row>
    <x:row r="563" ht="48" customHeight="1">
      <x:c r="A563" s="2" t="str">
        <x:v>TEN-A932AA2FF310</x:v>
      </x:c>
      <x:c r="B563" s="12" t="str">
        <x:v>CompuGain Solutions</x:v>
      </x:c>
      <x:c r="C563" s="12" t="str">
        <x:v>Business / brand</x:v>
      </x:c>
      <x:c r="D563" s="12" t="str">
        <x:v>IT &amp; digital</x:v>
      </x:c>
      <x:c r="E563" s="12" t="str">
        <x:v>Enterprise software &amp; digital engineering</x:v>
      </x:c>
      <x:c r="F563" s="12" t="str">
        <x:v>Mixed business audience</x:v>
      </x:c>
      <x:c r="G563" s="12" t="str">
        <x:v>Established brand or business network; local company scale is not established. Use a mixed-business message.</x:v>
      </x:c>
      <x:c r="H563" s="11" t="n">
        <x:v>8</x:v>
      </x:c>
      <x:c r="I563" s="11" t="n">
        <x:v>8</x:v>
      </x:c>
      <x:c r="J563" s="11" t="n">
        <x:v>8</x:v>
      </x:c>
      <x:c r="K563" s="11" t="n">
        <x:v>0</x:v>
      </x:c>
      <x:c r="L563" s="17" t="n">
        <x:f>SUM(SUMIFS('Costing'!$P$9:$P$492,'Costing'!$A$9:$A$492,"PARTNER-M300"))</x:f>
        <x:v>320000</x:v>
      </x:c>
      <x:c r="M563" s="17" t="n">
        <x:f>ROUND(L563*'Costing'!$C$4,2)</x:f>
        <x:v>57600</x:v>
      </x:c>
      <x:c r="N563" s="17" t="n">
        <x:f>L563+M563</x:f>
        <x:v>377600</x:v>
      </x:c>
      <x:c r="O563" s="12" t="str">
        <x:v>Hyderabad</x:v>
      </x:c>
      <x:c r="P563" s="12" t="str">
        <x:v>CORP-0715, CORP-0716, CORP-0717, CORP-0718, CORP-0719, CORP-0720, CORP-0721, CORP-0722</x:v>
      </x:c>
      <x:c r="Q563" s="12" t="str">
        <x:v>CompuGain Solutions</x:v>
      </x:c>
    </x:row>
    <x:row r="564" ht="48" customHeight="1">
      <x:c r="A564" s="2" t="str">
        <x:v>TEN-894BD711A108</x:v>
      </x:c>
      <x:c r="B564" s="12" t="str">
        <x:v>CompUp</x:v>
      </x:c>
      <x:c r="C564" s="12" t="str">
        <x:v>Business / brand</x:v>
      </x:c>
      <x:c r="D564" s="12" t="str">
        <x:v>IT &amp; digital</x:v>
      </x:c>
      <x:c r="E564" s="12" t="str">
        <x:v>Enterprise software &amp; digital engineering</x:v>
      </x:c>
      <x:c r="F564" s="12" t="str">
        <x:v>Small-scale prospects</x:v>
      </x:c>
      <x:c r="G564" s="12" t="str">
        <x:v>Software or technology-services business; small-scale prospect assumption.</x:v>
      </x:c>
      <x:c r="H564" s="11" t="n">
        <x:v>1</x:v>
      </x:c>
      <x:c r="I564" s="11" t="n">
        <x:v>1</x:v>
      </x:c>
      <x:c r="J564" s="11" t="n">
        <x:v>1</x:v>
      </x:c>
      <x:c r="K564" s="11" t="n">
        <x:v>0</x:v>
      </x:c>
      <x:c r="L564" s="17" t="n">
        <x:f>SUM(SUMIFS('Costing'!$P$9:$P$492,'Costing'!$A$9:$A$492,"MAIN-093"))</x:f>
        <x:v>15000</x:v>
      </x:c>
      <x:c r="M564" s="17" t="n">
        <x:f>ROUND(L564*'Costing'!$C$4,2)</x:f>
        <x:v>2700</x:v>
      </x:c>
      <x:c r="N564" s="17" t="n">
        <x:f>L564+M564</x:f>
        <x:v>17700</x:v>
      </x:c>
      <x:c r="O564" s="12" t="str">
        <x:v>Bengaluru</x:v>
      </x:c>
      <x:c r="P564" s="12" t="str">
        <x:v>CORP-0089</x:v>
      </x:c>
      <x:c r="Q564" s="12" t="str">
        <x:v>CompUp</x:v>
      </x:c>
    </x:row>
    <x:row r="565" ht="48" customHeight="1">
      <x:c r="A565" s="2" t="str">
        <x:v>TEN-D8AA87D79F26</x:v>
      </x:c>
      <x:c r="B565" s="12" t="str">
        <x:v>ComTec IT Services</x:v>
      </x:c>
      <x:c r="C565" s="12" t="str">
        <x:v>Business / brand</x:v>
      </x:c>
      <x:c r="D565" s="12" t="str">
        <x:v>IT &amp; digital</x:v>
      </x:c>
      <x:c r="E565" s="12" t="str">
        <x:v>Enterprise software &amp; digital engineering</x:v>
      </x:c>
      <x:c r="F565" s="12" t="str">
        <x:v>Small-scale prospects</x:v>
      </x:c>
      <x:c r="G565" s="12" t="str">
        <x:v>Software or technology-services business; small-scale prospect assumption.</x:v>
      </x:c>
      <x:c r="H565" s="11" t="n">
        <x:v>5</x:v>
      </x:c>
      <x:c r="I565" s="11" t="n">
        <x:v>5</x:v>
      </x:c>
      <x:c r="J565" s="11" t="n">
        <x:v>5</x:v>
      </x:c>
      <x:c r="K565" s="11" t="n">
        <x:v>0</x:v>
      </x:c>
      <x:c r="L565" s="17" t="n">
        <x:f>SUM(SUMIFS('Costing'!$P$9:$P$492,'Costing'!$A$9:$A$492,"PARTNER-M295"))</x:f>
        <x:v>200000</x:v>
      </x:c>
      <x:c r="M565" s="17" t="n">
        <x:f>ROUND(L565*'Costing'!$C$4,2)</x:f>
        <x:v>36000</x:v>
      </x:c>
      <x:c r="N565" s="17" t="n">
        <x:f>L565+M565</x:f>
        <x:v>236000</x:v>
      </x:c>
      <x:c r="O565" s="12" t="str">
        <x:v>Hyderabad</x:v>
      </x:c>
      <x:c r="P565" s="12" t="str">
        <x:v>CORP-0710, CORP-0711, CORP-0712, CORP-0713, CORP-0714</x:v>
      </x:c>
      <x:c r="Q565" s="12" t="str">
        <x:v>ComTec IT Services</x:v>
      </x:c>
    </x:row>
    <x:row r="566" ht="48" customHeight="1">
      <x:c r="A566" s="2" t="str">
        <x:v>TEN-4EEAB8193C3F</x:v>
      </x:c>
      <x:c r="B566" s="12" t="str">
        <x:v>Concentric AI</x:v>
      </x:c>
      <x:c r="C566" s="12" t="str">
        <x:v>Business / brand</x:v>
      </x:c>
      <x:c r="D566" s="12" t="str">
        <x:v>IT &amp; digital</x:v>
      </x:c>
      <x:c r="E566" s="12" t="str">
        <x:v>AI, data &amp; analytics</x:v>
      </x:c>
      <x:c r="F566" s="12" t="str">
        <x:v>Small-scale prospects</x:v>
      </x:c>
      <x:c r="G566" s="12" t="str">
        <x:v>Software or technology-services business; small-scale prospect assumption.</x:v>
      </x:c>
      <x:c r="H566" s="11" t="n">
        <x:v>2</x:v>
      </x:c>
      <x:c r="I566" s="11" t="n">
        <x:v>6</x:v>
      </x:c>
      <x:c r="J566" s="11" t="n">
        <x:v>6</x:v>
      </x:c>
      <x:c r="K566" s="11" t="n">
        <x:v>0</x:v>
      </x:c>
      <x:c r="L566" s="17" t="n">
        <x:f>SUM(SUMIFS('Costing'!$P$9:$P$492,'Costing'!$A$9:$A$492,"MAIN-MSRY7ANC"))</x:f>
        <x:v>120000</x:v>
      </x:c>
      <x:c r="M566" s="17" t="n">
        <x:f>ROUND(L566*'Costing'!$C$4,2)</x:f>
        <x:v>21600</x:v>
      </x:c>
      <x:c r="N566" s="17" t="n">
        <x:f>L566+M566</x:f>
        <x:v>141600</x:v>
      </x:c>
      <x:c r="O566" s="12" t="str">
        <x:v>Bengaluru</x:v>
      </x:c>
      <x:c r="P566" s="12" t="str">
        <x:v>CORP-0051, CORP-0052</x:v>
      </x:c>
      <x:c r="Q566" s="12" t="str">
        <x:v>Concentric AI</x:v>
      </x:c>
    </x:row>
    <x:row r="567" ht="62" customHeight="1">
      <x:c r="A567" s="2" t="str">
        <x:v>TEN-BA6AE2780CD4</x:v>
      </x:c>
      <x:c r="B567" s="12" t="str">
        <x:v>Concentrix</x:v>
      </x:c>
      <x:c r="C567" s="12" t="str">
        <x:v>Business / brand</x:v>
      </x:c>
      <x:c r="D567" s="12" t="str">
        <x:v>IT &amp; digital</x:v>
      </x:c>
      <x:c r="E567" s="12" t="str">
        <x:v>Business process &amp; customer operations</x:v>
      </x:c>
      <x:c r="F567" s="12" t="str">
        <x:v>Large enterprise</x:v>
      </x:c>
      <x:c r="G567" s="12" t="str">
        <x:v>Concentrix's 2025 ESG report describes operations across more than 70 countries and six continents. This global business-services delivery footprint supports enterprise audience context.</x:v>
      </x:c>
      <x:c r="H567" s="11" t="n">
        <x:v>15</x:v>
      </x:c>
      <x:c r="I567" s="11" t="n">
        <x:v>15</x:v>
      </x:c>
      <x:c r="J567" s="11" t="n">
        <x:v>15</x:v>
      </x:c>
      <x:c r="K567" s="11" t="n">
        <x:v>0</x:v>
      </x:c>
      <x:c r="L567" s="17" t="n">
        <x:f>SUM(SUMIFS('Costing'!$P$9:$P$492,'Costing'!$A$9:$A$492,"PARTNER-M051"),SUMIFS('Costing'!$P$9:$P$492,'Costing'!$A$9:$A$492,"PARTNER-M027"),SUMIFS('Costing'!$P$9:$P$492,'Costing'!$A$9:$A$492,"PARTNER-M185"))</x:f>
        <x:v>600000</x:v>
      </x:c>
      <x:c r="M567" s="17" t="n">
        <x:f>ROUND(L567*'Costing'!$C$4,2)</x:f>
        <x:v>108000</x:v>
      </x:c>
      <x:c r="N567" s="17" t="n">
        <x:f>L567+M567</x:f>
        <x:v>708000</x:v>
      </x:c>
      <x:c r="O567" s="12" t="str">
        <x:v>Bengaluru, Mumbai</x:v>
      </x:c>
      <x:c r="P567" s="12" t="str">
        <x:v>CORP-0445, CORP-0446, CORP-0447, CORP-0448, CORP-0449, CORP-0450, CORP-0451, CORP-0469, CORP-0470, CORP-0471, CORP-0472, CORP-0473, CORP-0602, CORP-0603, CORP-0604</x:v>
      </x:c>
      <x:c r="Q567" s="12" t="str">
        <x:v>Concentrix</x:v>
      </x:c>
    </x:row>
    <x:row r="568" ht="48" customHeight="1">
      <x:c r="A568" s="2" t="str">
        <x:v>TEN-0E1C583F6A7B</x:v>
      </x:c>
      <x:c r="B568" s="12" t="str">
        <x:v>Concentrix Daksh Business Services Pvt Ltd</x:v>
      </x:c>
      <x:c r="C568" s="12" t="str">
        <x:v>Business / brand</x:v>
      </x:c>
      <x:c r="D568" s="12" t="str">
        <x:v>IT &amp; digital</x:v>
      </x:c>
      <x:c r="E568" s="12" t="str">
        <x:v>Business process &amp; customer operations</x:v>
      </x:c>
      <x:c r="F568" s="12" t="str">
        <x:v>Mixed business audience</x:v>
      </x:c>
      <x:c r="G568" s="12" t="str">
        <x:v>Recognisable business context; company-scale evidence remains insufficient for a single size band.</x:v>
      </x:c>
      <x:c r="H568" s="11" t="n">
        <x:v>1</x:v>
      </x:c>
      <x:c r="I568" s="11" t="n">
        <x:v>1</x:v>
      </x:c>
      <x:c r="J568" s="11" t="n">
        <x:v>1</x:v>
      </x:c>
      <x:c r="K568" s="11" t="n">
        <x:v>0</x:v>
      </x:c>
      <x:c r="L568" s="17" t="n">
        <x:f>SUM(SUMIFS('Costing'!$P$9:$P$492,'Costing'!$A$9:$A$492,"MAIN-263"))</x:f>
        <x:v>25000</x:v>
      </x:c>
      <x:c r="M568" s="17" t="n">
        <x:f>ROUND(L568*'Costing'!$C$4,2)</x:f>
        <x:v>4500</x:v>
      </x:c>
      <x:c r="N568" s="17" t="n">
        <x:f>L568+M568</x:f>
        <x:v>29500</x:v>
      </x:c>
      <x:c r="O568" s="12" t="str">
        <x:v>Hyderabad</x:v>
      </x:c>
      <x:c r="P568" s="12" t="str">
        <x:v>CORP-0259</x:v>
      </x:c>
      <x:c r="Q568" s="12" t="str">
        <x:v>Concentrix Daksh Business Services Pvt Ltd</x:v>
      </x:c>
    </x:row>
    <x:row r="569" ht="48" customHeight="1">
      <x:c r="A569" s="2" t="str">
        <x:v>TEN-5A02EC14AC05</x:v>
      </x:c>
      <x:c r="B569" s="12" t="str">
        <x:v>Concentrix Daksh India Pvt Ltd</x:v>
      </x:c>
      <x:c r="C569" s="12" t="str">
        <x:v>Business / brand</x:v>
      </x:c>
      <x:c r="D569" s="12" t="str">
        <x:v>IT &amp; digital</x:v>
      </x:c>
      <x:c r="E569" s="12" t="str">
        <x:v>Business process &amp; customer operations</x:v>
      </x:c>
      <x:c r="F569" s="12" t="str">
        <x:v>Mixed business audience</x:v>
      </x:c>
      <x:c r="G569" s="12" t="str">
        <x:v>Recognisable business context; company-scale evidence remains insufficient for a single size band.</x:v>
      </x:c>
      <x:c r="H569" s="11" t="n">
        <x:v>1</x:v>
      </x:c>
      <x:c r="I569" s="11" t="n">
        <x:v>1</x:v>
      </x:c>
      <x:c r="J569" s="11" t="n">
        <x:v>1</x:v>
      </x:c>
      <x:c r="K569" s="11" t="n">
        <x:v>0</x:v>
      </x:c>
      <x:c r="L569" s="17" t="n">
        <x:f>SUM(SUMIFS('Costing'!$P$9:$P$492,'Costing'!$A$9:$A$492,"MAIN-250"))</x:f>
        <x:v>15000</x:v>
      </x:c>
      <x:c r="M569" s="17" t="n">
        <x:f>ROUND(L569*'Costing'!$C$4,2)</x:f>
        <x:v>2700</x:v>
      </x:c>
      <x:c r="N569" s="17" t="n">
        <x:f>L569+M569</x:f>
        <x:v>17700</x:v>
      </x:c>
      <x:c r="O569" s="12" t="str">
        <x:v>Hyderabad</x:v>
      </x:c>
      <x:c r="P569" s="12" t="str">
        <x:v>CORP-0246</x:v>
      </x:c>
      <x:c r="Q569" s="12" t="str">
        <x:v>Concentrix Daksh India Pvt Ltd</x:v>
      </x:c>
    </x:row>
    <x:row r="570" ht="48" customHeight="1">
      <x:c r="A570" s="2" t="str">
        <x:v>TEN-4BBC20253CB6</x:v>
      </x:c>
      <x:c r="B570" s="12" t="str">
        <x:v>Conduent Business Services India</x:v>
      </x:c>
      <x:c r="C570" s="12" t="str">
        <x:v>Business / brand</x:v>
      </x:c>
      <x:c r="D570" s="12" t="str">
        <x:v>IT &amp; digital</x:v>
      </x:c>
      <x:c r="E570" s="12" t="str">
        <x:v>Business process &amp; customer operations</x:v>
      </x:c>
      <x:c r="F570" s="12" t="str">
        <x:v>Mixed business audience</x:v>
      </x:c>
      <x:c r="G570" s="12" t="str">
        <x:v>Established brand or business network; local company scale is not established. Use a mixed-business message.</x:v>
      </x:c>
      <x:c r="H570" s="11" t="n">
        <x:v>3</x:v>
      </x:c>
      <x:c r="I570" s="11" t="n">
        <x:v>3</x:v>
      </x:c>
      <x:c r="J570" s="11" t="n">
        <x:v>3</x:v>
      </x:c>
      <x:c r="K570" s="11" t="n">
        <x:v>0</x:v>
      </x:c>
      <x:c r="L570" s="17" t="n">
        <x:f>SUM(SUMIFS('Costing'!$P$9:$P$492,'Costing'!$A$9:$A$492,"PARTNER-M011"))</x:f>
        <x:v>120000</x:v>
      </x:c>
      <x:c r="M570" s="17" t="n">
        <x:f>ROUND(L570*'Costing'!$C$4,2)</x:f>
        <x:v>21600</x:v>
      </x:c>
      <x:c r="N570" s="17" t="n">
        <x:f>L570+M570</x:f>
        <x:v>141600</x:v>
      </x:c>
      <x:c r="O570" s="12" t="str">
        <x:v>Bengaluru</x:v>
      </x:c>
      <x:c r="P570" s="12" t="str">
        <x:v>CORP-0429, CORP-0430, CORP-0431</x:v>
      </x:c>
      <x:c r="Q570" s="12" t="str">
        <x:v>Conduent Business Services India</x:v>
      </x:c>
    </x:row>
    <x:row r="571" ht="48" customHeight="1">
      <x:c r="A571" s="2" t="str">
        <x:v>TEN-B909749F4464</x:v>
      </x:c>
      <x:c r="B571" s="12" t="str">
        <x:v>Conga (Apttus) Software Pvt. Ltd</x:v>
      </x:c>
      <x:c r="C571" s="12" t="str">
        <x:v>Business / brand</x:v>
      </x:c>
      <x:c r="D571" s="12" t="str">
        <x:v>IT &amp; digital</x:v>
      </x:c>
      <x:c r="E571" s="12" t="str">
        <x:v>Enterprise software &amp; digital engineering</x:v>
      </x:c>
      <x:c r="F571" s="12" t="str">
        <x:v>Mixed business audience</x:v>
      </x:c>
      <x:c r="G571" s="12" t="str">
        <x:v>Recognisable business context; company-scale evidence remains insufficient for a single size band.</x:v>
      </x:c>
      <x:c r="H571" s="11" t="n">
        <x:v>10</x:v>
      </x:c>
      <x:c r="I571" s="11" t="n">
        <x:v>10</x:v>
      </x:c>
      <x:c r="J571" s="11" t="n">
        <x:v>10</x:v>
      </x:c>
      <x:c r="K571" s="11" t="n">
        <x:v>0</x:v>
      </x:c>
      <x:c r="L571" s="17" t="n">
        <x:f>SUM(SUMIFS('Costing'!$P$9:$P$492,'Costing'!$A$9:$A$492,"PARTNER-M014"))</x:f>
        <x:v>400000</x:v>
      </x:c>
      <x:c r="M571" s="17" t="n">
        <x:f>ROUND(L571*'Costing'!$C$4,2)</x:f>
        <x:v>72000</x:v>
      </x:c>
      <x:c r="N571" s="17" t="n">
        <x:f>L571+M571</x:f>
        <x:v>472000</x:v>
      </x:c>
      <x:c r="O571" s="12" t="str">
        <x:v>Bengaluru</x:v>
      </x:c>
      <x:c r="P571" s="12" t="str">
        <x:v>CORP-0432, CORP-0433, CORP-0434, CORP-0435, CORP-0436, CORP-0437, CORP-0438, CORP-0439, CORP-0440, CORP-0441</x:v>
      </x:c>
      <x:c r="Q571" s="12" t="str">
        <x:v>Conga (Apttus) Software Pvt. Ltd</x:v>
      </x:c>
    </x:row>
    <x:row r="572" ht="48" customHeight="1">
      <x:c r="A572" s="2" t="str">
        <x:v>TEN-4B78498AB581</x:v>
      </x:c>
      <x:c r="B572" s="12" t="str">
        <x:v>ConnectingDots Infotech</x:v>
      </x:c>
      <x:c r="C572" s="12" t="str">
        <x:v>Business / brand</x:v>
      </x:c>
      <x:c r="D572" s="12" t="str">
        <x:v>IT &amp; digital</x:v>
      </x:c>
      <x:c r="E572" s="12" t="str">
        <x:v>Enterprise software &amp; digital engineering</x:v>
      </x:c>
      <x:c r="F572" s="12" t="str">
        <x:v>Small-scale prospects</x:v>
      </x:c>
      <x:c r="G572" s="12" t="str">
        <x:v>Software or technology-services business; small-scale prospect assumption.</x:v>
      </x:c>
      <x:c r="H572" s="11" t="n">
        <x:v>1</x:v>
      </x:c>
      <x:c r="I572" s="11" t="n">
        <x:v>1</x:v>
      </x:c>
      <x:c r="J572" s="11" t="n">
        <x:v>1</x:v>
      </x:c>
      <x:c r="K572" s="11" t="n">
        <x:v>0</x:v>
      </x:c>
      <x:c r="L572" s="17" t="n">
        <x:f>SUM(SUMIFS('Costing'!$P$9:$P$492,'Costing'!$A$9:$A$492,"MAIN-386"))</x:f>
        <x:v>15000</x:v>
      </x:c>
      <x:c r="M572" s="17" t="n">
        <x:f>ROUND(L572*'Costing'!$C$4,2)</x:f>
        <x:v>2700</x:v>
      </x:c>
      <x:c r="N572" s="17" t="n">
        <x:f>L572+M572</x:f>
        <x:v>17700</x:v>
      </x:c>
      <x:c r="O572" s="12" t="str">
        <x:v>Pune</x:v>
      </x:c>
      <x:c r="P572" s="12" t="str">
        <x:v>CORP-0382</x:v>
      </x:c>
      <x:c r="Q572" s="12" t="str">
        <x:v>ConnectingDots Infotech</x:v>
      </x:c>
    </x:row>
    <x:row r="573" ht="48" customHeight="1">
      <x:c r="A573" s="2" t="str">
        <x:v>TEN-F19F825E6EF8</x:v>
      </x:c>
      <x:c r="B573" s="12" t="str">
        <x:v>conneqt</x:v>
      </x:c>
      <x:c r="C573" s="12" t="str">
        <x:v>Business / brand</x:v>
      </x:c>
      <x:c r="D573" s="12" t="str">
        <x:v>IT &amp; digital</x:v>
      </x:c>
      <x:c r="E573" s="12" t="str">
        <x:v>Business process &amp; customer operations</x:v>
      </x:c>
      <x:c r="F573" s="12" t="str">
        <x:v>Mixed business audience</x:v>
      </x:c>
      <x:c r="G573" s="12" t="str">
        <x:v>Established brand or business network; local company scale is not established. Use a mixed-business message.</x:v>
      </x:c>
      <x:c r="H573" s="11" t="n">
        <x:v>1</x:v>
      </x:c>
      <x:c r="I573" s="11" t="n">
        <x:v>7</x:v>
      </x:c>
      <x:c r="J573" s="11" t="n">
        <x:v>7</x:v>
      </x:c>
      <x:c r="K573" s="11" t="n">
        <x:v>0</x:v>
      </x:c>
      <x:c r="L573" s="17" t="n">
        <x:f>SUM(SUMIFS('Costing'!$P$9:$P$492,'Costing'!$A$9:$A$492,"MAIN-398"))</x:f>
        <x:v>105000</x:v>
      </x:c>
      <x:c r="M573" s="17" t="n">
        <x:f>ROUND(L573*'Costing'!$C$4,2)</x:f>
        <x:v>18900</x:v>
      </x:c>
      <x:c r="N573" s="17" t="n">
        <x:f>L573+M573</x:f>
        <x:v>123900</x:v>
      </x:c>
      <x:c r="O573" s="12" t="str">
        <x:v>Pune</x:v>
      </x:c>
      <x:c r="P573" s="12" t="str">
        <x:v>CORP-0394</x:v>
      </x:c>
      <x:c r="Q573" s="12" t="str">
        <x:v>conneqt</x:v>
      </x:c>
    </x:row>
    <x:row r="574" ht="48" customHeight="1">
      <x:c r="A574" s="2" t="str">
        <x:v>TEN-EE34A3B310C4</x:v>
      </x:c>
      <x:c r="B574" s="12" t="str">
        <x:v>Connexis Technologies Pvt. Ltd</x:v>
      </x:c>
      <x:c r="C574" s="12" t="str">
        <x:v>Business / brand</x:v>
      </x:c>
      <x:c r="D574" s="12" t="str">
        <x:v>IT &amp; digital</x:v>
      </x:c>
      <x:c r="E574" s="12" t="str">
        <x:v>Enterprise software &amp; digital engineering</x:v>
      </x:c>
      <x:c r="F574" s="12" t="str">
        <x:v>Small-scale prospects</x:v>
      </x:c>
      <x:c r="G574" s="12" t="str">
        <x:v>Software or technology-services business; small-scale prospect assumption.</x:v>
      </x:c>
      <x:c r="H574" s="11" t="n">
        <x:v>1</x:v>
      </x:c>
      <x:c r="I574" s="11" t="n">
        <x:v>4</x:v>
      </x:c>
      <x:c r="J574" s="11" t="n">
        <x:v>4</x:v>
      </x:c>
      <x:c r="K574" s="11" t="n">
        <x:v>0</x:v>
      </x:c>
      <x:c r="L574" s="17" t="n">
        <x:f>SUM(SUMIFS('Costing'!$P$9:$P$492,'Costing'!$A$9:$A$492,"MAIN-403"))</x:f>
        <x:v>80000</x:v>
      </x:c>
      <x:c r="M574" s="17" t="n">
        <x:f>ROUND(L574*'Costing'!$C$4,2)</x:f>
        <x:v>14400</x:v>
      </x:c>
      <x:c r="N574" s="17" t="n">
        <x:f>L574+M574</x:f>
        <x:v>94400</x:v>
      </x:c>
      <x:c r="O574" s="12" t="str">
        <x:v>Pune</x:v>
      </x:c>
      <x:c r="P574" s="12" t="str">
        <x:v>CORP-0399</x:v>
      </x:c>
      <x:c r="Q574" s="12" t="str">
        <x:v>Connexis Technologies Pvt. Ltd</x:v>
      </x:c>
    </x:row>
    <x:row r="575" ht="75" customHeight="1">
      <x:c r="A575" s="2" t="str">
        <x:v>TEN-88C77A8CE97E</x:v>
      </x:c>
      <x:c r="B575" s="12" t="str">
        <x:v>Consulate General of Republic of South Africa</x:v>
      </x:c>
      <x:c r="C575" s="12" t="str">
        <x:v>Public / nonprofit</x:v>
      </x:c>
      <x:c r="D575" s="12" t="str">
        <x:v>Government &amp; nonprofit</x:v>
      </x:c>
      <x:c r="E575" s="12" t="str">
        <x:v>Public, nonprofit or membership organization</x:v>
      </x:c>
      <x:c r="F575" s="12" t="str">
        <x:v>Institutional</x:v>
      </x:c>
      <x:c r="G575" s="12" t="str">
        <x:v>Existing directory identifies an institutional, government, education, membership or nonprofit organisation rather than an ordinary MSME business prospect. This tag describes audience role and does not assert legal tax status.</x:v>
      </x:c>
      <x:c r="H575" s="11" t="n">
        <x:v>4</x:v>
      </x:c>
      <x:c r="I575" s="11" t="n">
        <x:v>4</x:v>
      </x:c>
      <x:c r="J575" s="11" t="n">
        <x:v>4</x:v>
      </x:c>
      <x:c r="K575" s="11" t="n">
        <x:v>0</x:v>
      </x:c>
      <x:c r="L575" s="17" t="n">
        <x:f>SUM(SUMIFS('Costing'!$P$9:$P$492,'Costing'!$A$9:$A$492,"PARTNER-M188"))</x:f>
        <x:v>160000</x:v>
      </x:c>
      <x:c r="M575" s="17" t="n">
        <x:f>ROUND(L575*'Costing'!$C$4,2)</x:f>
        <x:v>28800</x:v>
      </x:c>
      <x:c r="N575" s="17" t="n">
        <x:f>L575+M575</x:f>
        <x:v>188800</x:v>
      </x:c>
      <x:c r="O575" s="12" t="str">
        <x:v>Mumbai</x:v>
      </x:c>
      <x:c r="P575" s="12" t="str">
        <x:v>CORP-0605, CORP-0606, CORP-0607, CORP-0608</x:v>
      </x:c>
      <x:c r="Q575" s="12" t="str">
        <x:v>Consulate General of Republic of South Africa</x:v>
      </x:c>
    </x:row>
    <x:row r="576" ht="75" customHeight="1">
      <x:c r="A576" s="2" t="str">
        <x:v>TEN-B70A5DB4FE8D</x:v>
      </x:c>
      <x:c r="B576" s="12" t="str">
        <x:v>Consulate General of spain</x:v>
      </x:c>
      <x:c r="C576" s="12" t="str">
        <x:v>Public / nonprofit</x:v>
      </x:c>
      <x:c r="D576" s="12" t="str">
        <x:v>Government &amp; nonprofit</x:v>
      </x:c>
      <x:c r="E576" s="12" t="str">
        <x:v>Public, nonprofit or membership organization</x:v>
      </x:c>
      <x:c r="F576" s="12" t="str">
        <x:v>Institutional</x:v>
      </x:c>
      <x:c r="G576" s="12" t="str">
        <x:v>Existing directory identifies an institutional, government, education, membership or nonprofit organisation rather than an ordinary MSME business prospect. This tag describes audience role and does not assert legal tax status.</x:v>
      </x:c>
      <x:c r="H576" s="11" t="n">
        <x:v>1</x:v>
      </x:c>
      <x:c r="I576" s="11" t="n">
        <x:v>1</x:v>
      </x:c>
      <x:c r="J576" s="11" t="n">
        <x:v>1</x:v>
      </x:c>
      <x:c r="K576" s="11" t="n">
        <x:v>0</x:v>
      </x:c>
      <x:c r="L576" s="17" t="n">
        <x:f>SUM(SUMIFS('Costing'!$P$9:$P$492,'Costing'!$A$9:$A$492,"MAIN-354"))</x:f>
        <x:v>25000</x:v>
      </x:c>
      <x:c r="M576" s="17" t="n">
        <x:f>ROUND(L576*'Costing'!$C$4,2)</x:f>
        <x:v>4500</x:v>
      </x:c>
      <x:c r="N576" s="17" t="n">
        <x:f>L576+M576</x:f>
        <x:v>29500</x:v>
      </x:c>
      <x:c r="O576" s="12" t="str">
        <x:v>Mumbai</x:v>
      </x:c>
      <x:c r="P576" s="12" t="str">
        <x:v>CORP-0350</x:v>
      </x:c>
      <x:c r="Q576" s="12" t="str">
        <x:v>Consulate General of spain</x:v>
      </x:c>
    </x:row>
    <x:row r="577" ht="75" customHeight="1">
      <x:c r="A577" s="2" t="str">
        <x:v>TEN-7989E7FF0546</x:v>
      </x:c>
      <x:c r="B577" s="12" t="str">
        <x:v>Consulate General of the Kingdom of the Netherlands</x:v>
      </x:c>
      <x:c r="C577" s="12" t="str">
        <x:v>Public / nonprofit</x:v>
      </x:c>
      <x:c r="D577" s="12" t="str">
        <x:v>Government &amp; nonprofit</x:v>
      </x:c>
      <x:c r="E577" s="12" t="str">
        <x:v>Public, nonprofit or membership organization</x:v>
      </x:c>
      <x:c r="F577" s="12" t="str">
        <x:v>Institutional</x:v>
      </x:c>
      <x:c r="G577" s="12" t="str">
        <x:v>Existing directory identifies an institutional, government, education, membership or nonprofit organisation rather than an ordinary MSME business prospect. This tag describes audience role and does not assert legal tax status.</x:v>
      </x:c>
      <x:c r="H577" s="11" t="n">
        <x:v>1</x:v>
      </x:c>
      <x:c r="I577" s="11" t="n">
        <x:v>2</x:v>
      </x:c>
      <x:c r="J577" s="11" t="n">
        <x:v>2</x:v>
      </x:c>
      <x:c r="K577" s="11" t="n">
        <x:v>0</x:v>
      </x:c>
      <x:c r="L577" s="17" t="n">
        <x:f>SUM(SUMIFS('Costing'!$P$9:$P$492,'Costing'!$A$9:$A$492,"MAIN-114"))</x:f>
        <x:v>50000</x:v>
      </x:c>
      <x:c r="M577" s="17" t="n">
        <x:f>ROUND(L577*'Costing'!$C$4,2)</x:f>
        <x:v>9000</x:v>
      </x:c>
      <x:c r="N577" s="17" t="n">
        <x:f>L577+M577</x:f>
        <x:v>59000</x:v>
      </x:c>
      <x:c r="O577" s="12" t="str">
        <x:v>Bengaluru</x:v>
      </x:c>
      <x:c r="P577" s="12" t="str">
        <x:v>CORP-0110</x:v>
      </x:c>
      <x:c r="Q577" s="12" t="str">
        <x:v>Consulate General of the Kingdom of the Netherlands</x:v>
      </x:c>
    </x:row>
    <x:row r="578" ht="48" customHeight="1">
      <x:c r="A578" s="2" t="str">
        <x:v>TEN-D5F7A8ABBC60</x:v>
      </x:c>
      <x:c r="B578" s="12" t="str">
        <x:v>Continental Carriers</x:v>
      </x:c>
      <x:c r="C578" s="12" t="str">
        <x:v>Business / brand</x:v>
      </x:c>
      <x:c r="D578" s="12" t="str">
        <x:v>Trade, consumer &amp; logistics</x:v>
      </x:c>
      <x:c r="E578" s="12" t="str">
        <x:v>Logistics, shipping &amp; transport</x:v>
      </x:c>
      <x:c r="F578" s="12" t="str">
        <x:v>Medium-scale prospects</x:v>
      </x:c>
      <x:c r="G578" s="12" t="str">
        <x:v>Specialist logistics or transport business; medium-scale prospect assumption.</x:v>
      </x:c>
      <x:c r="H578" s="11" t="n">
        <x:v>2</x:v>
      </x:c>
      <x:c r="I578" s="11" t="n">
        <x:v>2</x:v>
      </x:c>
      <x:c r="J578" s="11" t="n">
        <x:v>2</x:v>
      </x:c>
      <x:c r="K578" s="11" t="n">
        <x:v>0</x:v>
      </x:c>
      <x:c r="L578" s="17" t="n">
        <x:f>SUM(SUMIFS('Costing'!$P$9:$P$492,'Costing'!$A$9:$A$492,"PARTNER-M241"))</x:f>
        <x:v>80000</x:v>
      </x:c>
      <x:c r="M578" s="17" t="n">
        <x:f>ROUND(L578*'Costing'!$C$4,2)</x:f>
        <x:v>14400</x:v>
      </x:c>
      <x:c r="N578" s="17" t="n">
        <x:f>L578+M578</x:f>
        <x:v>94400</x:v>
      </x:c>
      <x:c r="O578" s="12" t="str">
        <x:v>Mumbai</x:v>
      </x:c>
      <x:c r="P578" s="12" t="str">
        <x:v>CORP-0658, CORP-0659</x:v>
      </x:c>
      <x:c r="Q578" s="12" t="str">
        <x:v>Continental Carriers</x:v>
      </x:c>
    </x:row>
    <x:row r="579" ht="48" customHeight="1">
      <x:c r="A579" s="2" t="str">
        <x:v>TEN-71F75C7E06F5</x:v>
      </x:c>
      <x:c r="B579" s="12" t="str">
        <x:v>Continual Engine Pvt. Ltd</x:v>
      </x:c>
      <x:c r="C579" s="12" t="str">
        <x:v>Business / brand</x:v>
      </x:c>
      <x:c r="D579" s="12" t="str">
        <x:v>IT &amp; digital</x:v>
      </x:c>
      <x:c r="E579" s="12" t="str">
        <x:v>AI, data &amp; analytics</x:v>
      </x:c>
      <x:c r="F579" s="12" t="str">
        <x:v>Small-scale prospects</x:v>
      </x:c>
      <x:c r="G579" s="12" t="str">
        <x:v>Software or technology-services business; small-scale prospect assumption.</x:v>
      </x:c>
      <x:c r="H579" s="11" t="n">
        <x:v>2</x:v>
      </x:c>
      <x:c r="I579" s="11" t="n">
        <x:v>2</x:v>
      </x:c>
      <x:c r="J579" s="11" t="n">
        <x:v>2</x:v>
      </x:c>
      <x:c r="K579" s="11" t="n">
        <x:v>0</x:v>
      </x:c>
      <x:c r="L579" s="17" t="n">
        <x:f>SUM(SUMIFS('Costing'!$P$9:$P$492,'Costing'!$A$9:$A$492,"PARTNER-M070"))</x:f>
        <x:v>80000</x:v>
      </x:c>
      <x:c r="M579" s="17" t="n">
        <x:f>ROUND(L579*'Costing'!$C$4,2)</x:f>
        <x:v>14400</x:v>
      </x:c>
      <x:c r="N579" s="17" t="n">
        <x:f>L579+M579</x:f>
        <x:v>94400</x:v>
      </x:c>
      <x:c r="O579" s="12" t="str">
        <x:v>Bengaluru</x:v>
      </x:c>
      <x:c r="P579" s="12" t="str">
        <x:v>CORP-0488, CORP-0489</x:v>
      </x:c>
      <x:c r="Q579" s="12" t="str">
        <x:v>Continual Engine Pvt. Ltd</x:v>
      </x:c>
    </x:row>
    <x:row r="580" ht="48" customHeight="1">
      <x:c r="A580" s="2" t="str">
        <x:v>TEN-9C6170918FFD</x:v>
      </x:c>
      <x:c r="B580" s="12" t="str">
        <x:v>Convergint India Pvt. Ltd</x:v>
      </x:c>
      <x:c r="C580" s="12" t="str">
        <x:v>Business / brand</x:v>
      </x:c>
      <x:c r="D580" s="12" t="str">
        <x:v>IT &amp; digital</x:v>
      </x:c>
      <x:c r="E580" s="12" t="str">
        <x:v>Cybersecurity &amp; cloud infrastructure</x:v>
      </x:c>
      <x:c r="F580" s="12" t="str">
        <x:v>Mixed business audience</x:v>
      </x:c>
      <x:c r="G580" s="12" t="str">
        <x:v>Established brand or business network; local company scale is not established. Use a mixed-business message.</x:v>
      </x:c>
      <x:c r="H580" s="11" t="n">
        <x:v>1</x:v>
      </x:c>
      <x:c r="I580" s="11" t="n">
        <x:v>2</x:v>
      </x:c>
      <x:c r="J580" s="11" t="n">
        <x:v>2</x:v>
      </x:c>
      <x:c r="K580" s="11" t="n">
        <x:v>0</x:v>
      </x:c>
      <x:c r="L580" s="17" t="n">
        <x:f>SUM(SUMIFS('Costing'!$P$9:$P$492,'Costing'!$A$9:$A$492,"MAIN-389"))</x:f>
        <x:v>30000</x:v>
      </x:c>
      <x:c r="M580" s="17" t="n">
        <x:f>ROUND(L580*'Costing'!$C$4,2)</x:f>
        <x:v>5400</x:v>
      </x:c>
      <x:c r="N580" s="17" t="n">
        <x:f>L580+M580</x:f>
        <x:v>35400</x:v>
      </x:c>
      <x:c r="O580" s="12" t="str">
        <x:v>Pune</x:v>
      </x:c>
      <x:c r="P580" s="12" t="str">
        <x:v>CORP-0385</x:v>
      </x:c>
      <x:c r="Q580" s="12" t="str">
        <x:v>Convergint India Pvt. Ltd</x:v>
      </x:c>
    </x:row>
    <x:row r="581" ht="48" customHeight="1">
      <x:c r="A581" s="2" t="str">
        <x:v>TEN-778D09F77BD0</x:v>
      </x:c>
      <x:c r="B581" s="12" t="str">
        <x:v>Convergys</x:v>
      </x:c>
      <x:c r="C581" s="12" t="str">
        <x:v>Business / brand</x:v>
      </x:c>
      <x:c r="D581" s="12" t="str">
        <x:v>IT &amp; digital</x:v>
      </x:c>
      <x:c r="E581" s="12" t="str">
        <x:v>Business process &amp; customer operations</x:v>
      </x:c>
      <x:c r="F581" s="12" t="str">
        <x:v>Mixed business audience</x:v>
      </x:c>
      <x:c r="G581" s="12" t="str">
        <x:v>Recognisable business context; company-scale evidence remains insufficient for a single size band.</x:v>
      </x:c>
      <x:c r="H581" s="11" t="n">
        <x:v>3</x:v>
      </x:c>
      <x:c r="I581" s="11" t="n">
        <x:v>3</x:v>
      </x:c>
      <x:c r="J581" s="11" t="n">
        <x:v>3</x:v>
      </x:c>
      <x:c r="K581" s="11" t="n">
        <x:v>0</x:v>
      </x:c>
      <x:c r="L581" s="17" t="n">
        <x:f>SUM(SUMIFS('Costing'!$P$9:$P$492,'Costing'!$A$9:$A$492,"PARTNER-M185"))</x:f>
        <x:v>120000</x:v>
      </x:c>
      <x:c r="M581" s="17" t="n">
        <x:f>ROUND(L581*'Costing'!$C$4,2)</x:f>
        <x:v>21600</x:v>
      </x:c>
      <x:c r="N581" s="17" t="n">
        <x:f>L581+M581</x:f>
        <x:v>141600</x:v>
      </x:c>
      <x:c r="O581" s="12" t="str">
        <x:v>Mumbai</x:v>
      </x:c>
      <x:c r="P581" s="12" t="str">
        <x:v>CORP-0602, CORP-0603, CORP-0604</x:v>
      </x:c>
      <x:c r="Q581" s="12" t="str">
        <x:v>Convergys</x:v>
      </x:c>
    </x:row>
    <x:row r="582" ht="48" customHeight="1">
      <x:c r="A582" s="2" t="str">
        <x:v>TEN-415DF7078045</x:v>
      </x:c>
      <x:c r="B582" s="12" t="str">
        <x:v>Cooper Standard</x:v>
      </x:c>
      <x:c r="C582" s="12" t="str">
        <x:v>Business / brand</x:v>
      </x:c>
      <x:c r="D582" s="12" t="str">
        <x:v>Engineering &amp; manufacturing</x:v>
      </x:c>
      <x:c r="E582" s="12" t="str">
        <x:v>Engineering/manufacturing — specialty unverified</x:v>
      </x:c>
      <x:c r="F582" s="12" t="str">
        <x:v>Mixed business audience</x:v>
      </x:c>
      <x:c r="G582" s="12" t="str">
        <x:v>Recognisable business context; company-scale evidence remains insufficient for a single size band.</x:v>
      </x:c>
      <x:c r="H582" s="11" t="n">
        <x:v>1</x:v>
      </x:c>
      <x:c r="I582" s="11" t="n">
        <x:v>1</x:v>
      </x:c>
      <x:c r="J582" s="11" t="n">
        <x:v>1</x:v>
      </x:c>
      <x:c r="K582" s="11" t="n">
        <x:v>0</x:v>
      </x:c>
      <x:c r="L582" s="17" t="n">
        <x:f>SUM(SUMIFS('Costing'!$P$9:$P$492,'Costing'!$A$9:$A$492,"MAIN-161"))</x:f>
        <x:v>15000</x:v>
      </x:c>
      <x:c r="M582" s="17" t="n">
        <x:f>ROUND(L582*'Costing'!$C$4,2)</x:f>
        <x:v>2700</x:v>
      </x:c>
      <x:c r="N582" s="17" t="n">
        <x:f>L582+M582</x:f>
        <x:v>17700</x:v>
      </x:c>
      <x:c r="O582" s="12" t="str">
        <x:v>Chennai</x:v>
      </x:c>
      <x:c r="P582" s="12" t="str">
        <x:v>CORP-0157</x:v>
      </x:c>
      <x:c r="Q582" s="12" t="str">
        <x:v>Cooper Standard</x:v>
      </x:c>
    </x:row>
    <x:row r="583" ht="48" customHeight="1">
      <x:c r="A583" s="2" t="str">
        <x:v>TEN-44DD619604F9</x:v>
      </x:c>
      <x:c r="B583" s="12" t="str">
        <x:v>Copart India Center</x:v>
      </x:c>
      <x:c r="C583" s="12" t="str">
        <x:v>Business / brand</x:v>
      </x:c>
      <x:c r="D583" s="12" t="str">
        <x:v>Trade, consumer &amp; logistics</x:v>
      </x:c>
      <x:c r="E583" s="12" t="str">
        <x:v>Logistics, shipping &amp; transport</x:v>
      </x:c>
      <x:c r="F583" s="12" t="str">
        <x:v>Mixed business audience</x:v>
      </x:c>
      <x:c r="G583" s="12" t="str">
        <x:v>Established brand or business network; local company scale is not established. Use a mixed-business message.</x:v>
      </x:c>
      <x:c r="H583" s="11" t="n">
        <x:v>1</x:v>
      </x:c>
      <x:c r="I583" s="11" t="n">
        <x:v>2</x:v>
      </x:c>
      <x:c r="J583" s="11" t="n">
        <x:v>2</x:v>
      </x:c>
      <x:c r="K583" s="11" t="n">
        <x:v>0</x:v>
      </x:c>
      <x:c r="L583" s="17" t="n">
        <x:f>SUM(SUMIFS('Costing'!$P$9:$P$492,'Costing'!$A$9:$A$492,"MAIN-251"))</x:f>
        <x:v>40000</x:v>
      </x:c>
      <x:c r="M583" s="17" t="n">
        <x:f>ROUND(L583*'Costing'!$C$4,2)</x:f>
        <x:v>7200</x:v>
      </x:c>
      <x:c r="N583" s="17" t="n">
        <x:f>L583+M583</x:f>
        <x:v>47200</x:v>
      </x:c>
      <x:c r="O583" s="12" t="str">
        <x:v>Hyderabad</x:v>
      </x:c>
      <x:c r="P583" s="12" t="str">
        <x:v>CORP-0247</x:v>
      </x:c>
      <x:c r="Q583" s="12" t="str">
        <x:v>Copart India Center</x:v>
      </x:c>
    </x:row>
    <x:row r="584" ht="48" customHeight="1">
      <x:c r="A584" s="2" t="str">
        <x:v>TEN-F7B286C658EE</x:v>
      </x:c>
      <x:c r="B584" s="12" t="str">
        <x:v>Copro Solutions Pvt Ltd</x:v>
      </x:c>
      <x:c r="C584" s="12" t="str">
        <x:v>Business / brand</x:v>
      </x:c>
      <x:c r="D584" s="12" t="str">
        <x:v>Unresolved</x:v>
      </x:c>
      <x:c r="E584" s="12" t="str">
        <x:v>Business activity not established</x:v>
      </x:c>
      <x:c r="F584" s="12" t="str">
        <x:v>Mixed business audience</x:v>
      </x:c>
      <x:c r="G584" s="12" t="str">
        <x:v>Business activity and company scale are not established from this name.</x:v>
      </x:c>
      <x:c r="H584" s="11" t="n">
        <x:v>1</x:v>
      </x:c>
      <x:c r="I584" s="11" t="n">
        <x:v>5</x:v>
      </x:c>
      <x:c r="J584" s="11" t="n">
        <x:v>5</x:v>
      </x:c>
      <x:c r="K584" s="11" t="n">
        <x:v>0</x:v>
      </x:c>
      <x:c r="L584" s="17" t="n">
        <x:f>SUM(SUMIFS('Costing'!$P$9:$P$492,'Costing'!$A$9:$A$492,"MAIN-287"))</x:f>
        <x:v>75000</x:v>
      </x:c>
      <x:c r="M584" s="17" t="n">
        <x:f>ROUND(L584*'Costing'!$C$4,2)</x:f>
        <x:v>13500</x:v>
      </x:c>
      <x:c r="N584" s="17" t="n">
        <x:f>L584+M584</x:f>
        <x:v>88500</x:v>
      </x:c>
      <x:c r="O584" s="12" t="str">
        <x:v>Kolkata</x:v>
      </x:c>
      <x:c r="P584" s="12" t="str">
        <x:v>CORP-0283</x:v>
      </x:c>
      <x:c r="Q584" s="12" t="str">
        <x:v>Copro Solutions Pvt Ltd</x:v>
      </x:c>
    </x:row>
    <x:row r="585" ht="48" customHeight="1">
      <x:c r="A585" s="2" t="str">
        <x:v>TEN-CF94E9B95014</x:v>
      </x:c>
      <x:c r="B585" s="12" t="str">
        <x:v>CORBION INDIA PRIVATE LIMITED</x:v>
      </x:c>
      <x:c r="C585" s="12" t="str">
        <x:v>Business / brand</x:v>
      </x:c>
      <x:c r="D585" s="12" t="str">
        <x:v>Engineering &amp; manufacturing</x:v>
      </x:c>
      <x:c r="E585" s="12" t="str">
        <x:v>Chemicals, materials &amp; industrial manufacturing</x:v>
      </x:c>
      <x:c r="F585" s="12" t="str">
        <x:v>Mixed business audience</x:v>
      </x:c>
      <x:c r="G585" s="12" t="str">
        <x:v>Recognisable business context; company-scale evidence remains insufficient for a single size band.</x:v>
      </x:c>
      <x:c r="H585" s="11" t="n">
        <x:v>1</x:v>
      </x:c>
      <x:c r="I585" s="11" t="n">
        <x:v>1</x:v>
      </x:c>
      <x:c r="J585" s="11" t="n">
        <x:v>1</x:v>
      </x:c>
      <x:c r="K585" s="11" t="n">
        <x:v>0</x:v>
      </x:c>
      <x:c r="L585" s="17" t="n">
        <x:f>SUM(SUMIFS('Costing'!$P$9:$P$492,'Costing'!$A$9:$A$492,"MAIN-297"))</x:f>
        <x:v>15000</x:v>
      </x:c>
      <x:c r="M585" s="17" t="n">
        <x:f>ROUND(L585*'Costing'!$C$4,2)</x:f>
        <x:v>2700</x:v>
      </x:c>
      <x:c r="N585" s="17" t="n">
        <x:f>L585+M585</x:f>
        <x:v>17700</x:v>
      </x:c>
      <x:c r="O585" s="12" t="str">
        <x:v>Mumbai</x:v>
      </x:c>
      <x:c r="P585" s="12" t="str">
        <x:v>CORP-0293</x:v>
      </x:c>
      <x:c r="Q585" s="12" t="str">
        <x:v>CORBION INDIA PRIVATE LIMITED</x:v>
      </x:c>
    </x:row>
    <x:row r="586" ht="48" customHeight="1">
      <x:c r="A586" s="2" t="str">
        <x:v>TEN-BABF16146449</x:v>
      </x:c>
      <x:c r="B586" s="12" t="str">
        <x:v>Core project engineer and consultant</x:v>
      </x:c>
      <x:c r="C586" s="12" t="str">
        <x:v>Business / brand</x:v>
      </x:c>
      <x:c r="D586" s="12" t="str">
        <x:v>Engineering &amp; manufacturing</x:v>
      </x:c>
      <x:c r="E586" s="12" t="str">
        <x:v>Engineering, testing &amp; technical services</x:v>
      </x:c>
      <x:c r="F586" s="12" t="str">
        <x:v>Medium-scale prospects</x:v>
      </x:c>
      <x:c r="G586" s="12" t="str">
        <x:v>Specialist industrial or engineering business; medium-scale prospect assumption.</x:v>
      </x:c>
      <x:c r="H586" s="11" t="n">
        <x:v>1</x:v>
      </x:c>
      <x:c r="I586" s="11" t="n">
        <x:v>1</x:v>
      </x:c>
      <x:c r="J586" s="11" t="n">
        <x:v>1</x:v>
      </x:c>
      <x:c r="K586" s="11" t="n">
        <x:v>0</x:v>
      </x:c>
      <x:c r="L586" s="17" t="n">
        <x:f>SUM(SUMIFS('Costing'!$P$9:$P$492,'Costing'!$A$9:$A$492,"MAIN-415"))</x:f>
        <x:v>15000</x:v>
      </x:c>
      <x:c r="M586" s="17" t="n">
        <x:f>ROUND(L586*'Costing'!$C$4,2)</x:f>
        <x:v>2700</x:v>
      </x:c>
      <x:c r="N586" s="17" t="n">
        <x:f>L586+M586</x:f>
        <x:v>17700</x:v>
      </x:c>
      <x:c r="O586" s="12" t="str">
        <x:v>Pune</x:v>
      </x:c>
      <x:c r="P586" s="12" t="str">
        <x:v>CORP-0411</x:v>
      </x:c>
      <x:c r="Q586" s="12" t="str">
        <x:v>Core project engineer and consultant</x:v>
      </x:c>
    </x:row>
    <x:row r="587" ht="48" customHeight="1">
      <x:c r="A587" s="2" t="str">
        <x:v>TEN-ABA79A2B2DEC</x:v>
      </x:c>
      <x:c r="B587" s="12" t="str">
        <x:v>CoreCompete</x:v>
      </x:c>
      <x:c r="C587" s="12" t="str">
        <x:v>Business / brand</x:v>
      </x:c>
      <x:c r="D587" s="12" t="str">
        <x:v>IT &amp; digital</x:v>
      </x:c>
      <x:c r="E587" s="12" t="str">
        <x:v>Enterprise software &amp; digital engineering</x:v>
      </x:c>
      <x:c r="F587" s="12" t="str">
        <x:v>Mixed business audience</x:v>
      </x:c>
      <x:c r="G587" s="12" t="str">
        <x:v>Established brand or business network; local company scale is not established. Use a mixed-business message.</x:v>
      </x:c>
      <x:c r="H587" s="11" t="n">
        <x:v>7</x:v>
      </x:c>
      <x:c r="I587" s="11" t="n">
        <x:v>7</x:v>
      </x:c>
      <x:c r="J587" s="11" t="n">
        <x:v>7</x:v>
      </x:c>
      <x:c r="K587" s="11" t="n">
        <x:v>0</x:v>
      </x:c>
      <x:c r="L587" s="17" t="n">
        <x:f>SUM(SUMIFS('Costing'!$P$9:$P$492,'Costing'!$A$9:$A$492,"PARTNER-M317"))</x:f>
        <x:v>280000</x:v>
      </x:c>
      <x:c r="M587" s="17" t="n">
        <x:f>ROUND(L587*'Costing'!$C$4,2)</x:f>
        <x:v>50400</x:v>
      </x:c>
      <x:c r="N587" s="17" t="n">
        <x:f>L587+M587</x:f>
        <x:v>330400</x:v>
      </x:c>
      <x:c r="O587" s="12" t="str">
        <x:v>Hyderabad</x:v>
      </x:c>
      <x:c r="P587" s="12" t="str">
        <x:v>CORP-0732, CORP-0733, CORP-0734, CORP-0735, CORP-0736, CORP-0737, CORP-0738</x:v>
      </x:c>
      <x:c r="Q587" s="12" t="str">
        <x:v>CoreCompete</x:v>
      </x:c>
    </x:row>
    <x:row r="588" ht="48" customHeight="1">
      <x:c r="A588" s="2" t="str">
        <x:v>TEN-AE0965DF4BB7</x:v>
      </x:c>
      <x:c r="B588" s="12" t="str">
        <x:v>corezi</x:v>
      </x:c>
      <x:c r="C588" s="12" t="str">
        <x:v>Business / brand</x:v>
      </x:c>
      <x:c r="D588" s="12" t="str">
        <x:v>Unresolved</x:v>
      </x:c>
      <x:c r="E588" s="12" t="str">
        <x:v>Business activity not established</x:v>
      </x:c>
      <x:c r="F588" s="12" t="str">
        <x:v>Mixed business audience</x:v>
      </x:c>
      <x:c r="G588" s="12" t="str">
        <x:v>Business activity and company scale are not established from this name.</x:v>
      </x:c>
      <x:c r="H588" s="11" t="n">
        <x:v>1</x:v>
      </x:c>
      <x:c r="I588" s="11" t="n">
        <x:v>7</x:v>
      </x:c>
      <x:c r="J588" s="11" t="n">
        <x:v>7</x:v>
      </x:c>
      <x:c r="K588" s="11" t="n">
        <x:v>0</x:v>
      </x:c>
      <x:c r="L588" s="17" t="n">
        <x:f>SUM(SUMIFS('Costing'!$P$9:$P$492,'Costing'!$A$9:$A$492,"MAIN-140"))</x:f>
        <x:v>105000</x:v>
      </x:c>
      <x:c r="M588" s="17" t="n">
        <x:f>ROUND(L588*'Costing'!$C$4,2)</x:f>
        <x:v>18900</x:v>
      </x:c>
      <x:c r="N588" s="17" t="n">
        <x:f>L588+M588</x:f>
        <x:v>123900</x:v>
      </x:c>
      <x:c r="O588" s="12" t="str">
        <x:v>Chennai</x:v>
      </x:c>
      <x:c r="P588" s="12" t="str">
        <x:v>CORP-0136</x:v>
      </x:c>
      <x:c r="Q588" s="12" t="str">
        <x:v>corezi</x:v>
      </x:c>
    </x:row>
    <x:row r="589" ht="48" customHeight="1">
      <x:c r="A589" s="2" t="str">
        <x:v>TEN-F7F44358B02D</x:v>
      </x:c>
      <x:c r="B589" s="12" t="str">
        <x:v>Coromandel</x:v>
      </x:c>
      <x:c r="C589" s="12" t="str">
        <x:v>Business / brand</x:v>
      </x:c>
      <x:c r="D589" s="12" t="str">
        <x:v>Engineering &amp; manufacturing</x:v>
      </x:c>
      <x:c r="E589" s="12" t="str">
        <x:v>Engineering/manufacturing — specialty unverified</x:v>
      </x:c>
      <x:c r="F589" s="12" t="str">
        <x:v>Mixed business audience</x:v>
      </x:c>
      <x:c r="G589" s="12" t="str">
        <x:v>Recognisable business context; company-scale evidence remains insufficient for a single size band.</x:v>
      </x:c>
      <x:c r="H589" s="11" t="n">
        <x:v>1</x:v>
      </x:c>
      <x:c r="I589" s="11" t="n">
        <x:v>1</x:v>
      </x:c>
      <x:c r="J589" s="11" t="n">
        <x:v>1</x:v>
      </x:c>
      <x:c r="K589" s="11" t="n">
        <x:v>0</x:v>
      </x:c>
      <x:c r="L589" s="17" t="n">
        <x:f>SUM(SUMIFS('Costing'!$P$9:$P$492,'Costing'!$A$9:$A$492,"MAIN-269"))</x:f>
        <x:v>40000</x:v>
      </x:c>
      <x:c r="M589" s="17" t="n">
        <x:f>ROUND(L589*'Costing'!$C$4,2)</x:f>
        <x:v>7200</x:v>
      </x:c>
      <x:c r="N589" s="17" t="n">
        <x:f>L589+M589</x:f>
        <x:v>47200</x:v>
      </x:c>
      <x:c r="O589" s="12" t="str">
        <x:v>Indore</x:v>
      </x:c>
      <x:c r="P589" s="12" t="str">
        <x:v>CORP-0265</x:v>
      </x:c>
      <x:c r="Q589" s="12" t="str">
        <x:v>Coromandel</x:v>
      </x:c>
    </x:row>
    <x:row r="590" ht="48" customHeight="1">
      <x:c r="A590" s="2" t="str">
        <x:v>TEN-70BA232C2774</x:v>
      </x:c>
      <x:c r="B590" s="12" t="str">
        <x:v>Corporatehunt</x:v>
      </x:c>
      <x:c r="C590" s="12" t="str">
        <x:v>Business / brand</x:v>
      </x:c>
      <x:c r="D590" s="12" t="str">
        <x:v>Professional services</x:v>
      </x:c>
      <x:c r="E590" s="12" t="str">
        <x:v>Business, marketing &amp; research services</x:v>
      </x:c>
      <x:c r="F590" s="12" t="str">
        <x:v>Small-scale prospects</x:v>
      </x:c>
      <x:c r="G590" s="12" t="str">
        <x:v>Professional service, agency or advisory model; small-scale prospect assumption.</x:v>
      </x:c>
      <x:c r="H590" s="11" t="n">
        <x:v>1</x:v>
      </x:c>
      <x:c r="I590" s="11" t="n">
        <x:v>2</x:v>
      </x:c>
      <x:c r="J590" s="11" t="n">
        <x:v>2</x:v>
      </x:c>
      <x:c r="K590" s="11" t="n">
        <x:v>0</x:v>
      </x:c>
      <x:c r="L590" s="17" t="n">
        <x:f>SUM(SUMIFS('Costing'!$P$9:$P$492,'Costing'!$A$9:$A$492,"MAIN-318"))</x:f>
        <x:v>30000</x:v>
      </x:c>
      <x:c r="M590" s="17" t="n">
        <x:f>ROUND(L590*'Costing'!$C$4,2)</x:f>
        <x:v>5400</x:v>
      </x:c>
      <x:c r="N590" s="17" t="n">
        <x:f>L590+M590</x:f>
        <x:v>35400</x:v>
      </x:c>
      <x:c r="O590" s="12" t="str">
        <x:v>Mumbai</x:v>
      </x:c>
      <x:c r="P590" s="12" t="str">
        <x:v>CORP-0314</x:v>
      </x:c>
      <x:c r="Q590" s="12" t="str">
        <x:v>Corporatehunt</x:v>
      </x:c>
    </x:row>
    <x:row r="591" ht="62" customHeight="1">
      <x:c r="A591" s="2" t="str">
        <x:v>TEN-AF1255090479</x:v>
      </x:c>
      <x:c r="B591" s="12" t="str">
        <x:v>CorroHealth Infotech Pvt Ltd</x:v>
      </x:c>
      <x:c r="C591" s="12" t="str">
        <x:v>Business / brand</x:v>
      </x:c>
      <x:c r="D591" s="12" t="str">
        <x:v>Healthcare &amp; life sciences</x:v>
      </x:c>
      <x:c r="E591" s="12" t="str">
        <x:v>Clinical, medical &amp; diagnostic services</x:v>
      </x:c>
      <x:c r="F591" s="12" t="str">
        <x:v>Large enterprise</x:v>
      </x:c>
      <x:c r="G591" s="12" t="str">
        <x:v>A 2025 company announcement reports more than 17,000 employees worldwide and ten locations across the US, India and UK. This supports enterprise-group context for the supplied CorroHealth Infotech name.</x:v>
      </x:c>
      <x:c r="H591" s="11" t="n">
        <x:v>1</x:v>
      </x:c>
      <x:c r="I591" s="11" t="n">
        <x:v>21</x:v>
      </x:c>
      <x:c r="J591" s="11" t="n">
        <x:v>21</x:v>
      </x:c>
      <x:c r="K591" s="11" t="n">
        <x:v>0</x:v>
      </x:c>
      <x:c r="L591" s="17" t="n">
        <x:f>SUM(SUMIFS('Costing'!$P$9:$P$492,'Costing'!$A$9:$A$492,"MAIN-232"))</x:f>
        <x:v>315000</x:v>
      </x:c>
      <x:c r="M591" s="17" t="n">
        <x:f>ROUND(L591*'Costing'!$C$4,2)</x:f>
        <x:v>56700</x:v>
      </x:c>
      <x:c r="N591" s="17" t="n">
        <x:f>L591+M591</x:f>
        <x:v>371700</x:v>
      </x:c>
      <x:c r="O591" s="12" t="str">
        <x:v>Hyderabad</x:v>
      </x:c>
      <x:c r="P591" s="12" t="str">
        <x:v>CORP-0228</x:v>
      </x:c>
      <x:c r="Q591" s="12" t="str">
        <x:v>CorroHealth Infotech Pvt Ltd</x:v>
      </x:c>
    </x:row>
    <x:row r="592" ht="48" customHeight="1">
      <x:c r="A592" s="2" t="str">
        <x:v>TEN-A8A4F777A65C</x:v>
      </x:c>
      <x:c r="B592" s="12" t="str">
        <x:v>Cortiqa</x:v>
      </x:c>
      <x:c r="C592" s="12" t="str">
        <x:v>Business / brand</x:v>
      </x:c>
      <x:c r="D592" s="12" t="str">
        <x:v>IT &amp; digital</x:v>
      </x:c>
      <x:c r="E592" s="12" t="str">
        <x:v>AI, data &amp; analytics</x:v>
      </x:c>
      <x:c r="F592" s="12" t="str">
        <x:v>Small-scale prospects</x:v>
      </x:c>
      <x:c r="G592" s="12" t="str">
        <x:v>Software or technology-services business; small-scale prospect assumption.</x:v>
      </x:c>
      <x:c r="H592" s="11" t="n">
        <x:v>1</x:v>
      </x:c>
      <x:c r="I592" s="11" t="n">
        <x:v>2</x:v>
      </x:c>
      <x:c r="J592" s="11" t="n">
        <x:v>2</x:v>
      </x:c>
      <x:c r="K592" s="11" t="n">
        <x:v>0</x:v>
      </x:c>
      <x:c r="L592" s="17" t="n">
        <x:f>SUM(SUMIFS('Costing'!$P$9:$P$492,'Costing'!$A$9:$A$492,"MAIN-091"))</x:f>
        <x:v>30000</x:v>
      </x:c>
      <x:c r="M592" s="17" t="n">
        <x:f>ROUND(L592*'Costing'!$C$4,2)</x:f>
        <x:v>5400</x:v>
      </x:c>
      <x:c r="N592" s="17" t="n">
        <x:f>L592+M592</x:f>
        <x:v>35400</x:v>
      </x:c>
      <x:c r="O592" s="12" t="str">
        <x:v>Bengaluru</x:v>
      </x:c>
      <x:c r="P592" s="12" t="str">
        <x:v>CORP-0087</x:v>
      </x:c>
      <x:c r="Q592" s="12" t="str">
        <x:v>Cortiqa</x:v>
      </x:c>
    </x:row>
    <x:row r="593" ht="48" customHeight="1">
      <x:c r="A593" s="2" t="str">
        <x:v>TEN-92B63CC8EFA5</x:v>
      </x:c>
      <x:c r="B593" s="12" t="str">
        <x:v>Cotiviti India</x:v>
      </x:c>
      <x:c r="C593" s="12" t="str">
        <x:v>Business / brand</x:v>
      </x:c>
      <x:c r="D593" s="12" t="str">
        <x:v>IT &amp; digital</x:v>
      </x:c>
      <x:c r="E593" s="12" t="str">
        <x:v>Enterprise software &amp; digital engineering</x:v>
      </x:c>
      <x:c r="F593" s="12" t="str">
        <x:v>Mixed business audience</x:v>
      </x:c>
      <x:c r="G593" s="12" t="str">
        <x:v>Established brand or business network; local company scale is not established. Use a mixed-business message.</x:v>
      </x:c>
      <x:c r="H593" s="11" t="n">
        <x:v>4</x:v>
      </x:c>
      <x:c r="I593" s="11" t="n">
        <x:v>4</x:v>
      </x:c>
      <x:c r="J593" s="11" t="n">
        <x:v>4</x:v>
      </x:c>
      <x:c r="K593" s="11" t="n">
        <x:v>0</x:v>
      </x:c>
      <x:c r="L593" s="17" t="n">
        <x:f>SUM(SUMIFS('Costing'!$P$9:$P$492,'Costing'!$A$9:$A$492,"PARTNER-M308"))</x:f>
        <x:v>160000</x:v>
      </x:c>
      <x:c r="M593" s="17" t="n">
        <x:f>ROUND(L593*'Costing'!$C$4,2)</x:f>
        <x:v>28800</x:v>
      </x:c>
      <x:c r="N593" s="17" t="n">
        <x:f>L593+M593</x:f>
        <x:v>188800</x:v>
      </x:c>
      <x:c r="O593" s="12" t="str">
        <x:v>Hyderabad</x:v>
      </x:c>
      <x:c r="P593" s="12" t="str">
        <x:v>CORP-0723, CORP-0724, CORP-0725, CORP-0726</x:v>
      </x:c>
      <x:c r="Q593" s="12" t="str">
        <x:v>Cotiviti India</x:v>
      </x:c>
    </x:row>
    <x:row r="594" ht="48" customHeight="1">
      <x:c r="A594" s="2" t="str">
        <x:v>TEN-20AE44E7A981</x:v>
      </x:c>
      <x:c r="B594" s="12" t="str">
        <x:v>Covalense Technologies</x:v>
      </x:c>
      <x:c r="C594" s="12" t="str">
        <x:v>Business / brand</x:v>
      </x:c>
      <x:c r="D594" s="12" t="str">
        <x:v>IT &amp; digital</x:v>
      </x:c>
      <x:c r="E594" s="12" t="str">
        <x:v>Enterprise software &amp; digital engineering</x:v>
      </x:c>
      <x:c r="F594" s="12" t="str">
        <x:v>Small-scale prospects</x:v>
      </x:c>
      <x:c r="G594" s="12" t="str">
        <x:v>Software or technology-services business; small-scale prospect assumption.</x:v>
      </x:c>
      <x:c r="H594" s="11" t="n">
        <x:v>7</x:v>
      </x:c>
      <x:c r="I594" s="11" t="n">
        <x:v>7</x:v>
      </x:c>
      <x:c r="J594" s="11" t="n">
        <x:v>7</x:v>
      </x:c>
      <x:c r="K594" s="11" t="n">
        <x:v>0</x:v>
      </x:c>
      <x:c r="L594" s="17" t="n">
        <x:f>SUM(SUMIFS('Costing'!$P$9:$P$492,'Costing'!$A$9:$A$492,"PARTNER-M317"))</x:f>
        <x:v>280000</x:v>
      </x:c>
      <x:c r="M594" s="17" t="n">
        <x:f>ROUND(L594*'Costing'!$C$4,2)</x:f>
        <x:v>50400</x:v>
      </x:c>
      <x:c r="N594" s="17" t="n">
        <x:f>L594+M594</x:f>
        <x:v>330400</x:v>
      </x:c>
      <x:c r="O594" s="12" t="str">
        <x:v>Hyderabad</x:v>
      </x:c>
      <x:c r="P594" s="12" t="str">
        <x:v>CORP-0732, CORP-0733, CORP-0734, CORP-0735, CORP-0736, CORP-0737, CORP-0738</x:v>
      </x:c>
      <x:c r="Q594" s="12" t="str">
        <x:v>Covalense Technologies</x:v>
      </x:c>
    </x:row>
    <x:row r="595" ht="49" customHeight="1">
      <x:c r="A595" s="2" t="str">
        <x:v>TEN-E2FECF32E1CD</x:v>
      </x:c>
      <x:c r="B595" s="12" t="str">
        <x:v>COWRKS India Private Limited</x:v>
      </x:c>
      <x:c r="C595" s="12" t="str">
        <x:v>Workspace operator</x:v>
      </x:c>
      <x:c r="D595" s="12" t="str">
        <x:v>Workspace &amp; property operations</x:v>
      </x:c>
      <x:c r="E595" s="12" t="str">
        <x:v>Coworking/workspace operator</x:v>
      </x:c>
      <x:c r="F595" s="12" t="str">
        <x:v>Mixed business audience</x:v>
      </x:c>
      <x:c r="G595" s="12" t="str">
        <x:v>Supplied entry is a shared-workspace operator; the business sizes of occupant companies cannot be derived from the operator name.</x:v>
      </x:c>
      <x:c r="H595" s="11" t="n">
        <x:v>1</x:v>
      </x:c>
      <x:c r="I595" s="11" t="n">
        <x:v>16</x:v>
      </x:c>
      <x:c r="J595" s="11" t="n">
        <x:v>16</x:v>
      </x:c>
      <x:c r="K595" s="11" t="n">
        <x:v>0</x:v>
      </x:c>
      <x:c r="L595" s="17" t="n">
        <x:f>SUM(SUMIFS('Costing'!$P$9:$P$492,'Costing'!$A$9:$A$492,"MAIN-039"))</x:f>
        <x:v>640000</x:v>
      </x:c>
      <x:c r="M595" s="17" t="n">
        <x:f>ROUND(L595*'Costing'!$C$4,2)</x:f>
        <x:v>115200</x:v>
      </x:c>
      <x:c r="N595" s="17" t="n">
        <x:f>L595+M595</x:f>
        <x:v>755200</x:v>
      </x:c>
      <x:c r="O595" s="12" t="str">
        <x:v>Bengaluru</x:v>
      </x:c>
      <x:c r="P595" s="12" t="str">
        <x:v>CORP-0035</x:v>
      </x:c>
      <x:c r="Q595" s="12" t="str">
        <x:v>COWRKS India Private Limited</x:v>
      </x:c>
    </x:row>
    <x:row r="596" ht="75" customHeight="1">
      <x:c r="A596" s="2" t="str">
        <x:v>TEN-5138C32F78E3</x:v>
      </x:c>
      <x:c r="B596" s="12" t="str">
        <x:v>Cozentus Technologies (P) Ltd</x:v>
      </x:c>
      <x:c r="C596" s="12" t="str">
        <x:v>Business / brand</x:v>
      </x:c>
      <x:c r="D596" s="12" t="str">
        <x:v>IT &amp; digital</x:v>
      </x:c>
      <x:c r="E596" s="12" t="str">
        <x:v>Enterprise software &amp; digital engineering</x:v>
      </x:c>
      <x:c r="F596" s="12" t="str">
        <x:v>Medium-scale prospects</x:v>
      </x:c>
      <x:c r="G596" s="12" t="str">
        <x:v>Indicative growth/specialist technology organization. The official company page describes technical/domain expertise, an internal innovation hub and teams across the US, UK and India. This is a multi-region specialist operating-model estimate, with no numeric size band asserted.</x:v>
      </x:c>
      <x:c r="H596" s="11" t="n">
        <x:v>1</x:v>
      </x:c>
      <x:c r="I596" s="11" t="n">
        <x:v>2</x:v>
      </x:c>
      <x:c r="J596" s="11" t="n">
        <x:v>2</x:v>
      </x:c>
      <x:c r="K596" s="11" t="n">
        <x:v>0</x:v>
      </x:c>
      <x:c r="L596" s="17" t="n">
        <x:f>SUM(SUMIFS('Costing'!$P$9:$P$492,'Costing'!$A$9:$A$492,"MAIN-137"))</x:f>
        <x:v>30000</x:v>
      </x:c>
      <x:c r="M596" s="17" t="n">
        <x:f>ROUND(L596*'Costing'!$C$4,2)</x:f>
        <x:v>5400</x:v>
      </x:c>
      <x:c r="N596" s="17" t="n">
        <x:f>L596+M596</x:f>
        <x:v>35400</x:v>
      </x:c>
      <x:c r="O596" s="12" t="str">
        <x:v>Bhubaneswar</x:v>
      </x:c>
      <x:c r="P596" s="12" t="str">
        <x:v>CORP-0133</x:v>
      </x:c>
      <x:c r="Q596" s="12" t="str">
        <x:v>Cozentus Technologies (P) Ltd</x:v>
      </x:c>
    </x:row>
    <x:row r="597" ht="48" customHeight="1">
      <x:c r="A597" s="2" t="str">
        <x:v>TEN-B32819CCF671</x:v>
      </x:c>
      <x:c r="B597" s="12" t="str">
        <x:v>Crafting Dialogue Pvt.Ltd</x:v>
      </x:c>
      <x:c r="C597" s="12" t="str">
        <x:v>Business / brand</x:v>
      </x:c>
      <x:c r="D597" s="12" t="str">
        <x:v>Unresolved</x:v>
      </x:c>
      <x:c r="E597" s="12" t="str">
        <x:v>Business activity not established</x:v>
      </x:c>
      <x:c r="F597" s="12" t="str">
        <x:v>Mixed business audience</x:v>
      </x:c>
      <x:c r="G597" s="12" t="str">
        <x:v>Business activity and company scale are not established from this name.</x:v>
      </x:c>
      <x:c r="H597" s="11" t="n">
        <x:v>1</x:v>
      </x:c>
      <x:c r="I597" s="11" t="n">
        <x:v>2</x:v>
      </x:c>
      <x:c r="J597" s="11" t="n">
        <x:v>2</x:v>
      </x:c>
      <x:c r="K597" s="11" t="n">
        <x:v>0</x:v>
      </x:c>
      <x:c r="L597" s="17" t="n">
        <x:f>SUM(SUMIFS('Costing'!$P$9:$P$492,'Costing'!$A$9:$A$492,"MAIN-032"))</x:f>
        <x:v>30000</x:v>
      </x:c>
      <x:c r="M597" s="17" t="n">
        <x:f>ROUND(L597*'Costing'!$C$4,2)</x:f>
        <x:v>5400</x:v>
      </x:c>
      <x:c r="N597" s="17" t="n">
        <x:f>L597+M597</x:f>
        <x:v>35400</x:v>
      </x:c>
      <x:c r="O597" s="12" t="str">
        <x:v>Bengaluru</x:v>
      </x:c>
      <x:c r="P597" s="12" t="str">
        <x:v>CORP-0028</x:v>
      </x:c>
      <x:c r="Q597" s="12" t="str">
        <x:v>Crafting Dialogue Pvt.Ltd</x:v>
      </x:c>
    </x:row>
    <x:row r="598" ht="48" customHeight="1">
      <x:c r="A598" s="2" t="str">
        <x:v>TEN-A1330F668902</x:v>
      </x:c>
      <x:c r="B598" s="12" t="str">
        <x:v>Crane Consulting and Outsourcing Pvt Ltd</x:v>
      </x:c>
      <x:c r="C598" s="12" t="str">
        <x:v>Business / brand</x:v>
      </x:c>
      <x:c r="D598" s="12" t="str">
        <x:v>Professional services</x:v>
      </x:c>
      <x:c r="E598" s="12" t="str">
        <x:v>Business consulting &amp; advisory</x:v>
      </x:c>
      <x:c r="F598" s="12" t="str">
        <x:v>Small-scale prospects</x:v>
      </x:c>
      <x:c r="G598" s="12" t="str">
        <x:v>Professional service, agency or advisory model; small-scale prospect assumption.</x:v>
      </x:c>
      <x:c r="H598" s="11" t="n">
        <x:v>1</x:v>
      </x:c>
      <x:c r="I598" s="11" t="n">
        <x:v>4</x:v>
      </x:c>
      <x:c r="J598" s="11" t="n">
        <x:v>4</x:v>
      </x:c>
      <x:c r="K598" s="11" t="n">
        <x:v>0</x:v>
      </x:c>
      <x:c r="L598" s="17" t="n">
        <x:f>SUM(SUMIFS('Costing'!$P$9:$P$492,'Costing'!$A$9:$A$492,"MAIN-381"))</x:f>
        <x:v>80000</x:v>
      </x:c>
      <x:c r="M598" s="17" t="n">
        <x:f>ROUND(L598*'Costing'!$C$4,2)</x:f>
        <x:v>14400</x:v>
      </x:c>
      <x:c r="N598" s="17" t="n">
        <x:f>L598+M598</x:f>
        <x:v>94400</x:v>
      </x:c>
      <x:c r="O598" s="12" t="str">
        <x:v>Pune</x:v>
      </x:c>
      <x:c r="P598" s="12" t="str">
        <x:v>CORP-0377</x:v>
      </x:c>
      <x:c r="Q598" s="12" t="str">
        <x:v>Crane Consulting and Outsourcing Pvt Ltd</x:v>
      </x:c>
    </x:row>
    <x:row r="599" ht="48" customHeight="1">
      <x:c r="A599" s="2" t="str">
        <x:v>TEN-2BA699ECCB6E</x:v>
      </x:c>
      <x:c r="B599" s="12" t="str">
        <x:v>Crane NXT Pvt. Ltd</x:v>
      </x:c>
      <x:c r="C599" s="12" t="str">
        <x:v>Business / brand</x:v>
      </x:c>
      <x:c r="D599" s="12" t="str">
        <x:v>Engineering &amp; manufacturing</x:v>
      </x:c>
      <x:c r="E599" s="12" t="str">
        <x:v>Chemicals, materials &amp; industrial manufacturing</x:v>
      </x:c>
      <x:c r="F599" s="12" t="str">
        <x:v>Mixed business audience</x:v>
      </x:c>
      <x:c r="G599" s="12" t="str">
        <x:v>Established brand or business network; local company scale is not established. Use a mixed-business message.</x:v>
      </x:c>
      <x:c r="H599" s="11" t="n">
        <x:v>1</x:v>
      </x:c>
      <x:c r="I599" s="11" t="n">
        <x:v>4</x:v>
      </x:c>
      <x:c r="J599" s="11" t="n">
        <x:v>4</x:v>
      </x:c>
      <x:c r="K599" s="11" t="n">
        <x:v>0</x:v>
      </x:c>
      <x:c r="L599" s="17" t="n">
        <x:f>SUM(SUMIFS('Costing'!$P$9:$P$492,'Costing'!$A$9:$A$492,"MAIN-403"))</x:f>
        <x:v>80000</x:v>
      </x:c>
      <x:c r="M599" s="17" t="n">
        <x:f>ROUND(L599*'Costing'!$C$4,2)</x:f>
        <x:v>14400</x:v>
      </x:c>
      <x:c r="N599" s="17" t="n">
        <x:f>L599+M599</x:f>
        <x:v>94400</x:v>
      </x:c>
      <x:c r="O599" s="12" t="str">
        <x:v>Pune</x:v>
      </x:c>
      <x:c r="P599" s="12" t="str">
        <x:v>CORP-0399</x:v>
      </x:c>
      <x:c r="Q599" s="12" t="str">
        <x:v>Crane NXT Pvt. Ltd</x:v>
      </x:c>
    </x:row>
    <x:row r="600" ht="48" customHeight="1">
      <x:c r="A600" s="2" t="str">
        <x:v>TEN-DD5A43C002F0</x:v>
      </x:c>
      <x:c r="B600" s="12" t="str">
        <x:v>CREAT - UNO MINDA Enterprise</x:v>
      </x:c>
      <x:c r="C600" s="12" t="str">
        <x:v>Business / brand</x:v>
      </x:c>
      <x:c r="D600" s="12" t="str">
        <x:v>Engineering &amp; manufacturing</x:v>
      </x:c>
      <x:c r="E600" s="12" t="str">
        <x:v>Chemicals, materials &amp; industrial manufacturing</x:v>
      </x:c>
      <x:c r="F600" s="12" t="str">
        <x:v>Mixed business audience</x:v>
      </x:c>
      <x:c r="G600" s="12" t="str">
        <x:v>Established brand or business network; local company scale is not established. Use a mixed-business message.</x:v>
      </x:c>
      <x:c r="H600" s="11" t="n">
        <x:v>5</x:v>
      </x:c>
      <x:c r="I600" s="11" t="n">
        <x:v>5</x:v>
      </x:c>
      <x:c r="J600" s="11" t="n">
        <x:v>5</x:v>
      </x:c>
      <x:c r="K600" s="11" t="n">
        <x:v>0</x:v>
      </x:c>
      <x:c r="L600" s="17" t="n">
        <x:f>SUM(SUMIFS('Costing'!$P$9:$P$492,'Costing'!$A$9:$A$492,"PARTNER-M268"))</x:f>
        <x:v>200000</x:v>
      </x:c>
      <x:c r="M600" s="17" t="n">
        <x:f>ROUND(L600*'Costing'!$C$4,2)</x:f>
        <x:v>36000</x:v>
      </x:c>
      <x:c r="N600" s="17" t="n">
        <x:f>L600+M600</x:f>
        <x:v>236000</x:v>
      </x:c>
      <x:c r="O600" s="12" t="str">
        <x:v>Pune</x:v>
      </x:c>
      <x:c r="P600" s="12" t="str">
        <x:v>CORP-0684, CORP-0685, CORP-0686, CORP-0687, CORP-0688</x:v>
      </x:c>
      <x:c r="Q600" s="12" t="str">
        <x:v>CREAT - UNO MINDA Enterprise</x:v>
      </x:c>
    </x:row>
    <x:row r="601" ht="48" customHeight="1">
      <x:c r="A601" s="2" t="str">
        <x:v>TEN-B7D6BC892877</x:v>
      </x:c>
      <x:c r="B601" s="12" t="str">
        <x:v>CredAvenue</x:v>
      </x:c>
      <x:c r="C601" s="12" t="str">
        <x:v>Business / brand</x:v>
      </x:c>
      <x:c r="D601" s="12" t="str">
        <x:v>Finance &amp; insurance</x:v>
      </x:c>
      <x:c r="E601" s="12" t="str">
        <x:v>Financial services — specialty unverified</x:v>
      </x:c>
      <x:c r="F601" s="12" t="str">
        <x:v>Mixed business audience</x:v>
      </x:c>
      <x:c r="G601" s="12" t="str">
        <x:v>Recognisable business context; company-scale evidence remains insufficient for a single size band.</x:v>
      </x:c>
      <x:c r="H601" s="11" t="n">
        <x:v>2</x:v>
      </x:c>
      <x:c r="I601" s="11" t="n">
        <x:v>2</x:v>
      </x:c>
      <x:c r="J601" s="11" t="n">
        <x:v>2</x:v>
      </x:c>
      <x:c r="K601" s="11" t="n">
        <x:v>0</x:v>
      </x:c>
      <x:c r="L601" s="17" t="n">
        <x:f>SUM(SUMIFS('Costing'!$P$9:$P$492,'Costing'!$A$9:$A$492,"PARTNER-M332"))</x:f>
        <x:v>80000</x:v>
      </x:c>
      <x:c r="M601" s="17" t="n">
        <x:f>ROUND(L601*'Costing'!$C$4,2)</x:f>
        <x:v>14400</x:v>
      </x:c>
      <x:c r="N601" s="17" t="n">
        <x:f>L601+M601</x:f>
        <x:v>94400</x:v>
      </x:c>
      <x:c r="O601" s="12" t="str">
        <x:v>Chennai</x:v>
      </x:c>
      <x:c r="P601" s="12" t="str">
        <x:v>CORP-0746, CORP-0747</x:v>
      </x:c>
      <x:c r="Q601" s="12" t="str">
        <x:v>CredAvenue</x:v>
      </x:c>
    </x:row>
    <x:row r="602" ht="48" customHeight="1">
      <x:c r="A602" s="2" t="str">
        <x:v>TEN-5FED6F03A8D3</x:v>
      </x:c>
      <x:c r="B602" s="12" t="str">
        <x:v>CredAvenue Securities</x:v>
      </x:c>
      <x:c r="C602" s="12" t="str">
        <x:v>Business / brand</x:v>
      </x:c>
      <x:c r="D602" s="12" t="str">
        <x:v>Finance &amp; insurance</x:v>
      </x:c>
      <x:c r="E602" s="12" t="str">
        <x:v>Investments, securities &amp; wealth</x:v>
      </x:c>
      <x:c r="F602" s="12" t="str">
        <x:v>Mixed business audience</x:v>
      </x:c>
      <x:c r="G602" s="12" t="str">
        <x:v>Recognisable business context; company-scale evidence remains insufficient for a single size band.</x:v>
      </x:c>
      <x:c r="H602" s="11" t="n">
        <x:v>2</x:v>
      </x:c>
      <x:c r="I602" s="11" t="n">
        <x:v>2</x:v>
      </x:c>
      <x:c r="J602" s="11" t="n">
        <x:v>2</x:v>
      </x:c>
      <x:c r="K602" s="11" t="n">
        <x:v>0</x:v>
      </x:c>
      <x:c r="L602" s="17" t="n">
        <x:f>SUM(SUMIFS('Costing'!$P$9:$P$492,'Costing'!$A$9:$A$492,"PARTNER-M332"))</x:f>
        <x:v>80000</x:v>
      </x:c>
      <x:c r="M602" s="17" t="n">
        <x:f>ROUND(L602*'Costing'!$C$4,2)</x:f>
        <x:v>14400</x:v>
      </x:c>
      <x:c r="N602" s="17" t="n">
        <x:f>L602+M602</x:f>
        <x:v>94400</x:v>
      </x:c>
      <x:c r="O602" s="12" t="str">
        <x:v>Chennai</x:v>
      </x:c>
      <x:c r="P602" s="12" t="str">
        <x:v>CORP-0746, CORP-0747</x:v>
      </x:c>
      <x:c r="Q602" s="12" t="str">
        <x:v>CredAvenue Securities</x:v>
      </x:c>
    </x:row>
    <x:row r="603" ht="48" customHeight="1">
      <x:c r="A603" s="2" t="str">
        <x:v>TEN-D934E49EEA7C</x:v>
      </x:c>
      <x:c r="B603" s="12" t="str">
        <x:v>Credence</x:v>
      </x:c>
      <x:c r="C603" s="12" t="str">
        <x:v>Business / brand</x:v>
      </x:c>
      <x:c r="D603" s="12" t="str">
        <x:v>Unresolved</x:v>
      </x:c>
      <x:c r="E603" s="12" t="str">
        <x:v>Business activity not established</x:v>
      </x:c>
      <x:c r="F603" s="12" t="str">
        <x:v>Mixed business audience</x:v>
      </x:c>
      <x:c r="G603" s="12" t="str">
        <x:v>Business activity and company scale are not established from this name.</x:v>
      </x:c>
      <x:c r="H603" s="11" t="n">
        <x:v>1</x:v>
      </x:c>
      <x:c r="I603" s="11" t="n">
        <x:v>7</x:v>
      </x:c>
      <x:c r="J603" s="11" t="n">
        <x:v>7</x:v>
      </x:c>
      <x:c r="K603" s="11" t="n">
        <x:v>0</x:v>
      </x:c>
      <x:c r="L603" s="17" t="n">
        <x:f>SUM(SUMIFS('Costing'!$P$9:$P$492,'Costing'!$A$9:$A$492,"MAIN-398"))</x:f>
        <x:v>105000</x:v>
      </x:c>
      <x:c r="M603" s="17" t="n">
        <x:f>ROUND(L603*'Costing'!$C$4,2)</x:f>
        <x:v>18900</x:v>
      </x:c>
      <x:c r="N603" s="17" t="n">
        <x:f>L603+M603</x:f>
        <x:v>123900</x:v>
      </x:c>
      <x:c r="O603" s="12" t="str">
        <x:v>Pune</x:v>
      </x:c>
      <x:c r="P603" s="12" t="str">
        <x:v>CORP-0394</x:v>
      </x:c>
      <x:c r="Q603" s="12" t="str">
        <x:v>Credence</x:v>
      </x:c>
    </x:row>
    <x:row r="604" ht="48" customHeight="1">
      <x:c r="A604" s="2" t="str">
        <x:v>TEN-78DCE9DD9B5D</x:v>
      </x:c>
      <x:c r="B604" s="12" t="str">
        <x:v>Credera Hyderabad</x:v>
      </x:c>
      <x:c r="C604" s="12" t="str">
        <x:v>Business / brand</x:v>
      </x:c>
      <x:c r="D604" s="12" t="str">
        <x:v>IT &amp; digital</x:v>
      </x:c>
      <x:c r="E604" s="12" t="str">
        <x:v>Enterprise software &amp; digital engineering</x:v>
      </x:c>
      <x:c r="F604" s="12" t="str">
        <x:v>Mixed business audience</x:v>
      </x:c>
      <x:c r="G604" s="12" t="str">
        <x:v>Established brand or business network; local company scale is not established. Use a mixed-business message.</x:v>
      </x:c>
      <x:c r="H604" s="11" t="n">
        <x:v>1</x:v>
      </x:c>
      <x:c r="I604" s="11" t="n">
        <x:v>2</x:v>
      </x:c>
      <x:c r="J604" s="11" t="n">
        <x:v>2</x:v>
      </x:c>
      <x:c r="K604" s="11" t="n">
        <x:v>0</x:v>
      </x:c>
      <x:c r="L604" s="17" t="n">
        <x:f>SUM(SUMIFS('Costing'!$P$9:$P$492,'Costing'!$A$9:$A$492,"MAIN-237"))</x:f>
        <x:v>80000</x:v>
      </x:c>
      <x:c r="M604" s="17" t="n">
        <x:f>ROUND(L604*'Costing'!$C$4,2)</x:f>
        <x:v>14400</x:v>
      </x:c>
      <x:c r="N604" s="17" t="n">
        <x:f>L604+M604</x:f>
        <x:v>94400</x:v>
      </x:c>
      <x:c r="O604" s="12" t="str">
        <x:v>Hyderabad</x:v>
      </x:c>
      <x:c r="P604" s="12" t="str">
        <x:v>CORP-0233</x:v>
      </x:c>
      <x:c r="Q604" s="12" t="str">
        <x:v>Credera Hyderabad</x:v>
      </x:c>
    </x:row>
    <x:row r="605" ht="48" customHeight="1">
      <x:c r="A605" s="2" t="str">
        <x:v>TEN-A518E4150708</x:v>
      </x:c>
      <x:c r="B605" s="12" t="str">
        <x:v>Credilia Financial Services Limited</x:v>
      </x:c>
      <x:c r="C605" s="12" t="str">
        <x:v>Business / brand</x:v>
      </x:c>
      <x:c r="D605" s="12" t="str">
        <x:v>Finance &amp; insurance</x:v>
      </x:c>
      <x:c r="E605" s="12" t="str">
        <x:v>Financial services — specialty unverified</x:v>
      </x:c>
      <x:c r="F605" s="12" t="str">
        <x:v>Mixed business audience</x:v>
      </x:c>
      <x:c r="G605" s="12" t="str">
        <x:v>Established brand or business network; local company scale is not established. Use a mixed-business message.</x:v>
      </x:c>
      <x:c r="H605" s="11" t="n">
        <x:v>6</x:v>
      </x:c>
      <x:c r="I605" s="11" t="n">
        <x:v>6</x:v>
      </x:c>
      <x:c r="J605" s="11" t="n">
        <x:v>6</x:v>
      </x:c>
      <x:c r="K605" s="11" t="n">
        <x:v>0</x:v>
      </x:c>
      <x:c r="L605" s="17" t="n">
        <x:f>SUM(SUMIFS('Costing'!$P$9:$P$492,'Costing'!$A$9:$A$492,"PARTNER-M227"))</x:f>
        <x:v>240000</x:v>
      </x:c>
      <x:c r="M605" s="17" t="n">
        <x:f>ROUND(L605*'Costing'!$C$4,2)</x:f>
        <x:v>43200</x:v>
      </x:c>
      <x:c r="N605" s="17" t="n">
        <x:f>L605+M605</x:f>
        <x:v>283200</x:v>
      </x:c>
      <x:c r="O605" s="12" t="str">
        <x:v>Mumbai</x:v>
      </x:c>
      <x:c r="P605" s="12" t="str">
        <x:v>CORP-0644, CORP-0645, CORP-0646, CORP-0647, CORP-0648, CORP-0649</x:v>
      </x:c>
      <x:c r="Q605" s="12" t="str">
        <x:v>Credilia Financial Services Limited</x:v>
      </x:c>
    </x:row>
    <x:row r="606" ht="48" customHeight="1">
      <x:c r="A606" s="2" t="str">
        <x:v>TEN-02250879BF4E</x:v>
      </x:c>
      <x:c r="B606" s="12" t="str">
        <x:v>Credit Suisse</x:v>
      </x:c>
      <x:c r="C606" s="12" t="str">
        <x:v>Business / brand</x:v>
      </x:c>
      <x:c r="D606" s="12" t="str">
        <x:v>Finance &amp; insurance</x:v>
      </x:c>
      <x:c r="E606" s="12" t="str">
        <x:v>Banking &amp; credit</x:v>
      </x:c>
      <x:c r="F606" s="12" t="str">
        <x:v>Mixed business audience</x:v>
      </x:c>
      <x:c r="G606" s="12" t="str">
        <x:v>Recognisable business context; company-scale evidence remains insufficient for a single size band.</x:v>
      </x:c>
      <x:c r="H606" s="11" t="n">
        <x:v>6</x:v>
      </x:c>
      <x:c r="I606" s="11" t="n">
        <x:v>6</x:v>
      </x:c>
      <x:c r="J606" s="11" t="n">
        <x:v>6</x:v>
      </x:c>
      <x:c r="K606" s="11" t="n">
        <x:v>0</x:v>
      </x:c>
      <x:c r="L606" s="17" t="n">
        <x:f>SUM(SUMIFS('Costing'!$P$9:$P$492,'Costing'!$A$9:$A$492,"PARTNER-M039"))</x:f>
        <x:v>240000</x:v>
      </x:c>
      <x:c r="M606" s="17" t="n">
        <x:f>ROUND(L606*'Costing'!$C$4,2)</x:f>
        <x:v>43200</x:v>
      </x:c>
      <x:c r="N606" s="17" t="n">
        <x:f>L606+M606</x:f>
        <x:v>283200</x:v>
      </x:c>
      <x:c r="O606" s="12" t="str">
        <x:v>Bengaluru</x:v>
      </x:c>
      <x:c r="P606" s="12" t="str">
        <x:v>CORP-0457, CORP-0458, CORP-0459, CORP-0460, CORP-0461, CORP-0462</x:v>
      </x:c>
      <x:c r="Q606" s="12" t="str">
        <x:v>Credit Suisse</x:v>
      </x:c>
    </x:row>
    <x:row r="607" ht="48" customHeight="1">
      <x:c r="A607" s="2" t="str">
        <x:v>TEN-2D9DF6A9EB0C</x:v>
      </x:c>
      <x:c r="B607" s="12" t="str">
        <x:v>Credit Vidya (Info credit service)</x:v>
      </x:c>
      <x:c r="C607" s="12" t="str">
        <x:v>Business / brand</x:v>
      </x:c>
      <x:c r="D607" s="12" t="str">
        <x:v>Finance &amp; insurance</x:v>
      </x:c>
      <x:c r="E607" s="12" t="str">
        <x:v>Banking &amp; credit</x:v>
      </x:c>
      <x:c r="F607" s="12" t="str">
        <x:v>Medium-scale prospects</x:v>
      </x:c>
      <x:c r="G607" s="12" t="str">
        <x:v>Specialist financial-services business; medium-scale prospect assumption.</x:v>
      </x:c>
      <x:c r="H607" s="11" t="n">
        <x:v>1</x:v>
      </x:c>
      <x:c r="I607" s="11" t="n">
        <x:v>2</x:v>
      </x:c>
      <x:c r="J607" s="11" t="n">
        <x:v>2</x:v>
      </x:c>
      <x:c r="K607" s="11" t="n">
        <x:v>0</x:v>
      </x:c>
      <x:c r="L607" s="17" t="n">
        <x:f>SUM(SUMIFS('Costing'!$P$9:$P$492,'Costing'!$A$9:$A$492,"MAIN-257"))</x:f>
        <x:v>40000</x:v>
      </x:c>
      <x:c r="M607" s="17" t="n">
        <x:f>ROUND(L607*'Costing'!$C$4,2)</x:f>
        <x:v>7200</x:v>
      </x:c>
      <x:c r="N607" s="17" t="n">
        <x:f>L607+M607</x:f>
        <x:v>47200</x:v>
      </x:c>
      <x:c r="O607" s="12" t="str">
        <x:v>Hyderabad</x:v>
      </x:c>
      <x:c r="P607" s="12" t="str">
        <x:v>CORP-0253</x:v>
      </x:c>
      <x:c r="Q607" s="12" t="str">
        <x:v>Credit Vidya (Info credit service)</x:v>
      </x:c>
    </x:row>
    <x:row r="608" ht="48" customHeight="1">
      <x:c r="A608" s="2" t="str">
        <x:v>TEN-8101C2E2D34F</x:v>
      </x:c>
      <x:c r="B608" s="12" t="str">
        <x:v>Crescendo Global</x:v>
      </x:c>
      <x:c r="C608" s="12" t="str">
        <x:v>Business / brand</x:v>
      </x:c>
      <x:c r="D608" s="12" t="str">
        <x:v>Professional services</x:v>
      </x:c>
      <x:c r="E608" s="12" t="str">
        <x:v>Business, marketing &amp; research services</x:v>
      </x:c>
      <x:c r="F608" s="12" t="str">
        <x:v>Small-scale prospects</x:v>
      </x:c>
      <x:c r="G608" s="12" t="str">
        <x:v>Professional service, agency or advisory model; small-scale prospect assumption.</x:v>
      </x:c>
      <x:c r="H608" s="11" t="n">
        <x:v>1</x:v>
      </x:c>
      <x:c r="I608" s="11" t="n">
        <x:v>10</x:v>
      </x:c>
      <x:c r="J608" s="11" t="n">
        <x:v>10</x:v>
      </x:c>
      <x:c r="K608" s="11" t="n">
        <x:v>0</x:v>
      </x:c>
      <x:c r="L608" s="17" t="n">
        <x:f>SUM(SUMIFS('Costing'!$P$9:$P$492,'Costing'!$A$9:$A$492,"MAIN-209"))</x:f>
        <x:v>250000</x:v>
      </x:c>
      <x:c r="M608" s="17" t="n">
        <x:f>ROUND(L608*'Costing'!$C$4,2)</x:f>
        <x:v>45000</x:v>
      </x:c>
      <x:c r="N608" s="17" t="n">
        <x:f>L608+M608</x:f>
        <x:v>295000</x:v>
      </x:c>
      <x:c r="O608" s="12" t="str">
        <x:v>Delhi NCR</x:v>
      </x:c>
      <x:c r="P608" s="12" t="str">
        <x:v>CORP-0205</x:v>
      </x:c>
      <x:c r="Q608" s="12" t="str">
        <x:v>Crescendo Global</x:v>
      </x:c>
    </x:row>
    <x:row r="609" ht="48" customHeight="1">
      <x:c r="A609" s="2" t="str">
        <x:v>TEN-265E801D779A</x:v>
      </x:c>
      <x:c r="B609" s="12" t="str">
        <x:v>CRIF Solution Private Limited</x:v>
      </x:c>
      <x:c r="C609" s="12" t="str">
        <x:v>Business / brand</x:v>
      </x:c>
      <x:c r="D609" s="12" t="str">
        <x:v>Finance &amp; insurance</x:v>
      </x:c>
      <x:c r="E609" s="12" t="str">
        <x:v>Banking, credit &amp; financial services</x:v>
      </x:c>
      <x:c r="F609" s="12" t="str">
        <x:v>Mixed business audience</x:v>
      </x:c>
      <x:c r="G609" s="12" t="str">
        <x:v>Established brand or business network; local company scale is not established. Use a mixed-business message.</x:v>
      </x:c>
      <x:c r="H609" s="11" t="n">
        <x:v>1</x:v>
      </x:c>
      <x:c r="I609" s="11" t="n">
        <x:v>6</x:v>
      </x:c>
      <x:c r="J609" s="11" t="n">
        <x:v>6</x:v>
      </x:c>
      <x:c r="K609" s="11" t="n">
        <x:v>0</x:v>
      </x:c>
      <x:c r="L609" s="17" t="n">
        <x:f>SUM(SUMIFS('Costing'!$P$9:$P$492,'Costing'!$A$9:$A$492,"MAIN-380"))</x:f>
        <x:v>120000</x:v>
      </x:c>
      <x:c r="M609" s="17" t="n">
        <x:f>ROUND(L609*'Costing'!$C$4,2)</x:f>
        <x:v>21600</x:v>
      </x:c>
      <x:c r="N609" s="17" t="n">
        <x:f>L609+M609</x:f>
        <x:v>141600</x:v>
      </x:c>
      <x:c r="O609" s="12" t="str">
        <x:v>Pune</x:v>
      </x:c>
      <x:c r="P609" s="12" t="str">
        <x:v>CORP-0376</x:v>
      </x:c>
      <x:c r="Q609" s="12" t="str">
        <x:v>CRIF Solution Private Limited</x:v>
      </x:c>
    </x:row>
    <x:row r="610" ht="48" customHeight="1">
      <x:c r="A610" s="2" t="str">
        <x:v>TEN-815BBEF4584A</x:v>
      </x:c>
      <x:c r="B610" s="12" t="str">
        <x:v>Crime Scanner Pvt. Ltd. (Detective Agency)</x:v>
      </x:c>
      <x:c r="C610" s="12" t="str">
        <x:v>Business / brand</x:v>
      </x:c>
      <x:c r="D610" s="12" t="str">
        <x:v>Professional services</x:v>
      </x:c>
      <x:c r="E610" s="12" t="str">
        <x:v>Business, marketing &amp; research services</x:v>
      </x:c>
      <x:c r="F610" s="12" t="str">
        <x:v>Small-scale prospects</x:v>
      </x:c>
      <x:c r="G610" s="12" t="str">
        <x:v>Professional service, agency or advisory model; small-scale prospect assumption.</x:v>
      </x:c>
      <x:c r="H610" s="11" t="n">
        <x:v>1</x:v>
      </x:c>
      <x:c r="I610" s="11" t="n">
        <x:v>7</x:v>
      </x:c>
      <x:c r="J610" s="11" t="n">
        <x:v>7</x:v>
      </x:c>
      <x:c r="K610" s="11" t="n">
        <x:v>0</x:v>
      </x:c>
      <x:c r="L610" s="17" t="n">
        <x:f>SUM(SUMIFS('Costing'!$P$9:$P$492,'Costing'!$A$9:$A$492,"MAIN-200"))</x:f>
        <x:v>105000</x:v>
      </x:c>
      <x:c r="M610" s="17" t="n">
        <x:f>ROUND(L610*'Costing'!$C$4,2)</x:f>
        <x:v>18900</x:v>
      </x:c>
      <x:c r="N610" s="17" t="n">
        <x:f>L610+M610</x:f>
        <x:v>123900</x:v>
      </x:c>
      <x:c r="O610" s="12" t="str">
        <x:v>Delhi NCR</x:v>
      </x:c>
      <x:c r="P610" s="12" t="str">
        <x:v>CORP-0196</x:v>
      </x:c>
      <x:c r="Q610" s="12" t="str">
        <x:v>Crime Scanner Pvt. Ltd. (Detective Agency)</x:v>
      </x:c>
    </x:row>
    <x:row r="611" ht="48" customHeight="1">
      <x:c r="A611" s="2" t="str">
        <x:v>TEN-DE86AC86417B</x:v>
      </x:c>
      <x:c r="B611" s="12" t="str">
        <x:v>CrimsonLogic India Pvt. Ltd</x:v>
      </x:c>
      <x:c r="C611" s="12" t="str">
        <x:v>Business / brand</x:v>
      </x:c>
      <x:c r="D611" s="12" t="str">
        <x:v>IT &amp; digital</x:v>
      </x:c>
      <x:c r="E611" s="12" t="str">
        <x:v>Enterprise software &amp; digital engineering</x:v>
      </x:c>
      <x:c r="F611" s="12" t="str">
        <x:v>Mixed business audience</x:v>
      </x:c>
      <x:c r="G611" s="12" t="str">
        <x:v>Established brand or business network; local company scale is not established. Use a mixed-business message.</x:v>
      </x:c>
      <x:c r="H611" s="11" t="n">
        <x:v>3</x:v>
      </x:c>
      <x:c r="I611" s="11" t="n">
        <x:v>3</x:v>
      </x:c>
      <x:c r="J611" s="11" t="n">
        <x:v>3</x:v>
      </x:c>
      <x:c r="K611" s="11" t="n">
        <x:v>0</x:v>
      </x:c>
      <x:c r="L611" s="17" t="n">
        <x:f>SUM(SUMIFS('Costing'!$P$9:$P$492,'Costing'!$A$9:$A$492,"PARTNER-M067"))</x:f>
        <x:v>120000</x:v>
      </x:c>
      <x:c r="M611" s="17" t="n">
        <x:f>ROUND(L611*'Costing'!$C$4,2)</x:f>
        <x:v>21600</x:v>
      </x:c>
      <x:c r="N611" s="17" t="n">
        <x:f>L611+M611</x:f>
        <x:v>141600</x:v>
      </x:c>
      <x:c r="O611" s="12" t="str">
        <x:v>Bengaluru</x:v>
      </x:c>
      <x:c r="P611" s="12" t="str">
        <x:v>CORP-0485, CORP-0486, CORP-0487</x:v>
      </x:c>
      <x:c r="Q611" s="12" t="str">
        <x:v>CrimsonLogic India Pvt. Ltd</x:v>
      </x:c>
    </x:row>
    <x:row r="612" ht="62" customHeight="1">
      <x:c r="A612" s="2" t="str">
        <x:v>TEN-D9BA66358074</x:v>
      </x:c>
      <x:c r="B612" s="12" t="str">
        <x:v>Crisil</x:v>
      </x:c>
      <x:c r="C612" s="12" t="str">
        <x:v>Business / brand</x:v>
      </x:c>
      <x:c r="D612" s="12" t="str">
        <x:v>Finance &amp; insurance</x:v>
      </x:c>
      <x:c r="E612" s="12" t="str">
        <x:v>Financial services — specialty unverified</x:v>
      </x:c>
      <x:c r="F612" s="12" t="str">
        <x:v>Large enterprise</x:v>
      </x:c>
      <x:c r="G612" s="12" t="str">
        <x:v>Crisil's official profile reports more than 4,000 people serving clients across the Americas, Europe, Middle East, Asia-Pacific and Australia. This supports enterprise-scale analytics and financial-services context.</x:v>
      </x:c>
      <x:c r="H612" s="11" t="n">
        <x:v>1</x:v>
      </x:c>
      <x:c r="I612" s="11" t="n">
        <x:v>12</x:v>
      </x:c>
      <x:c r="J612" s="11" t="n">
        <x:v>12</x:v>
      </x:c>
      <x:c r="K612" s="11" t="n">
        <x:v>0</x:v>
      </x:c>
      <x:c r="L612" s="17" t="n">
        <x:f>SUM(SUMIFS('Costing'!$P$9:$P$492,'Costing'!$A$9:$A$492,"MAIN-337"))</x:f>
        <x:v>390000</x:v>
      </x:c>
      <x:c r="M612" s="17" t="n">
        <x:f>ROUND(L612*'Costing'!$C$4,2)</x:f>
        <x:v>70200</x:v>
      </x:c>
      <x:c r="N612" s="17" t="n">
        <x:f>L612+M612</x:f>
        <x:v>460200</x:v>
      </x:c>
      <x:c r="O612" s="12" t="str">
        <x:v>Mumbai</x:v>
      </x:c>
      <x:c r="P612" s="12" t="str">
        <x:v>CORP-0333</x:v>
      </x:c>
      <x:c r="Q612" s="12" t="str">
        <x:v>Crisil</x:v>
      </x:c>
    </x:row>
    <x:row r="613" ht="48" customHeight="1">
      <x:c r="A613" s="2" t="str">
        <x:v>TEN-5F435B82E7E9</x:v>
      </x:c>
      <x:c r="B613" s="12" t="str">
        <x:v>Criterion</x:v>
      </x:c>
      <x:c r="C613" s="12" t="str">
        <x:v>Business / brand</x:v>
      </x:c>
      <x:c r="D613" s="12" t="str">
        <x:v>Unresolved</x:v>
      </x:c>
      <x:c r="E613" s="12" t="str">
        <x:v>Business activity not established</x:v>
      </x:c>
      <x:c r="F613" s="12" t="str">
        <x:v>Mixed business audience</x:v>
      </x:c>
      <x:c r="G613" s="12" t="str">
        <x:v>Business activity and company scale are not established from this name.</x:v>
      </x:c>
      <x:c r="H613" s="11" t="n">
        <x:v>9</x:v>
      </x:c>
      <x:c r="I613" s="11" t="n">
        <x:v>9</x:v>
      </x:c>
      <x:c r="J613" s="11" t="n">
        <x:v>9</x:v>
      </x:c>
      <x:c r="K613" s="11" t="n">
        <x:v>0</x:v>
      </x:c>
      <x:c r="L613" s="17" t="n">
        <x:f>SUM(SUMIFS('Costing'!$P$9:$P$492,'Costing'!$A$9:$A$492,"PARTNER-M002"))</x:f>
        <x:v>360000</x:v>
      </x:c>
      <x:c r="M613" s="17" t="n">
        <x:f>ROUND(L613*'Costing'!$C$4,2)</x:f>
        <x:v>64800</x:v>
      </x:c>
      <x:c r="N613" s="17" t="n">
        <x:f>L613+M613</x:f>
        <x:v>424800</x:v>
      </x:c>
      <x:c r="O613" s="12" t="str">
        <x:v>Bengaluru</x:v>
      </x:c>
      <x:c r="P613" s="12" t="str">
        <x:v>CORP-0420, CORP-0421, CORP-0422, CORP-0423, CORP-0424, CORP-0425, CORP-0426, CORP-0427, CORP-0428</x:v>
      </x:c>
      <x:c r="Q613" s="12" t="str">
        <x:v>Criterion</x:v>
      </x:c>
    </x:row>
    <x:row r="614" ht="48" customHeight="1">
      <x:c r="A614" s="2" t="str">
        <x:v>TEN-7ECB3C42E303</x:v>
      </x:c>
      <x:c r="B614" s="12" t="str">
        <x:v>Criterion Networks</x:v>
      </x:c>
      <x:c r="C614" s="12" t="str">
        <x:v>Business / brand</x:v>
      </x:c>
      <x:c r="D614" s="12" t="str">
        <x:v>IT &amp; digital</x:v>
      </x:c>
      <x:c r="E614" s="12" t="str">
        <x:v>Telecom, networks &amp; connectivity</x:v>
      </x:c>
      <x:c r="F614" s="12" t="str">
        <x:v>Small-scale prospects</x:v>
      </x:c>
      <x:c r="G614" s="12" t="str">
        <x:v>Software or technology-services business; small-scale prospect assumption.</x:v>
      </x:c>
      <x:c r="H614" s="11" t="n">
        <x:v>9</x:v>
      </x:c>
      <x:c r="I614" s="11" t="n">
        <x:v>9</x:v>
      </x:c>
      <x:c r="J614" s="11" t="n">
        <x:v>9</x:v>
      </x:c>
      <x:c r="K614" s="11" t="n">
        <x:v>0</x:v>
      </x:c>
      <x:c r="L614" s="17" t="n">
        <x:f>SUM(SUMIFS('Costing'!$P$9:$P$492,'Costing'!$A$9:$A$492,"PARTNER-M002"))</x:f>
        <x:v>360000</x:v>
      </x:c>
      <x:c r="M614" s="17" t="n">
        <x:f>ROUND(L614*'Costing'!$C$4,2)</x:f>
        <x:v>64800</x:v>
      </x:c>
      <x:c r="N614" s="17" t="n">
        <x:f>L614+M614</x:f>
        <x:v>424800</x:v>
      </x:c>
      <x:c r="O614" s="12" t="str">
        <x:v>Bengaluru</x:v>
      </x:c>
      <x:c r="P614" s="12" t="str">
        <x:v>CORP-0420, CORP-0421, CORP-0422, CORP-0423, CORP-0424, CORP-0425, CORP-0426, CORP-0427, CORP-0428</x:v>
      </x:c>
      <x:c r="Q614" s="12" t="str">
        <x:v>Criterion Networks</x:v>
      </x:c>
    </x:row>
    <x:row r="615" ht="48" customHeight="1">
      <x:c r="A615" s="2" t="str">
        <x:v>TEN-DC49949A782B</x:v>
      </x:c>
      <x:c r="B615" s="12" t="str">
        <x:v>Crocs</x:v>
      </x:c>
      <x:c r="C615" s="12" t="str">
        <x:v>Business / brand</x:v>
      </x:c>
      <x:c r="D615" s="12" t="str">
        <x:v>Trade, consumer &amp; logistics</x:v>
      </x:c>
      <x:c r="E615" s="12" t="str">
        <x:v>Consumer/trade services — specialty unverified</x:v>
      </x:c>
      <x:c r="F615" s="12" t="str">
        <x:v>Mixed business audience</x:v>
      </x:c>
      <x:c r="G615" s="12" t="str">
        <x:v>Recognisable business context; company-scale evidence remains insufficient for a single size band.</x:v>
      </x:c>
      <x:c r="H615" s="11" t="n">
        <x:v>1</x:v>
      </x:c>
      <x:c r="I615" s="11" t="n">
        <x:v>1</x:v>
      </x:c>
      <x:c r="J615" s="11" t="n">
        <x:v>1</x:v>
      </x:c>
      <x:c r="K615" s="11" t="n">
        <x:v>0</x:v>
      </x:c>
      <x:c r="L615" s="17" t="n">
        <x:f>SUM(SUMIFS('Costing'!$P$9:$P$492,'Costing'!$A$9:$A$492,"MAIN-275"))</x:f>
        <x:v>40000</x:v>
      </x:c>
      <x:c r="M615" s="17" t="n">
        <x:f>ROUND(L615*'Costing'!$C$4,2)</x:f>
        <x:v>7200</x:v>
      </x:c>
      <x:c r="N615" s="17" t="n">
        <x:f>L615+M615</x:f>
        <x:v>47200</x:v>
      </x:c>
      <x:c r="O615" s="12" t="str">
        <x:v>Indore</x:v>
      </x:c>
      <x:c r="P615" s="12" t="str">
        <x:v>CORP-0271</x:v>
      </x:c>
      <x:c r="Q615" s="12" t="str">
        <x:v>Crocs</x:v>
      </x:c>
    </x:row>
    <x:row r="616" ht="48" customHeight="1">
      <x:c r="A616" s="2" t="str">
        <x:v>TEN-17EF62BE4FAF</x:v>
      </x:c>
      <x:c r="B616" s="12" t="str">
        <x:v>croma</x:v>
      </x:c>
      <x:c r="C616" s="12" t="str">
        <x:v>Business / brand</x:v>
      </x:c>
      <x:c r="D616" s="12" t="str">
        <x:v>Trade, consumer &amp; logistics</x:v>
      </x:c>
      <x:c r="E616" s="12" t="str">
        <x:v>Retail, consumer products &amp; ecommerce</x:v>
      </x:c>
      <x:c r="F616" s="12" t="str">
        <x:v>Large enterprise</x:v>
      </x:c>
      <x:c r="G616" s="12" t="str">
        <x:v>Explicit Tata enterprise-family context; see ENTERPRISE_SUPP_006 evidence.</x:v>
      </x:c>
      <x:c r="H616" s="11" t="n">
        <x:v>1</x:v>
      </x:c>
      <x:c r="I616" s="11" t="n">
        <x:v>1</x:v>
      </x:c>
      <x:c r="J616" s="11" t="n">
        <x:v>1</x:v>
      </x:c>
      <x:c r="K616" s="11" t="n">
        <x:v>0</x:v>
      </x:c>
      <x:c r="L616" s="17" t="n">
        <x:f>SUM(SUMIFS('Costing'!$P$9:$P$492,'Costing'!$A$9:$A$492,"MAIN-390"))</x:f>
        <x:v>15000</x:v>
      </x:c>
      <x:c r="M616" s="17" t="n">
        <x:f>ROUND(L616*'Costing'!$C$4,2)</x:f>
        <x:v>2700</x:v>
      </x:c>
      <x:c r="N616" s="17" t="n">
        <x:f>L616+M616</x:f>
        <x:v>17700</x:v>
      </x:c>
      <x:c r="O616" s="12" t="str">
        <x:v>Pune</x:v>
      </x:c>
      <x:c r="P616" s="12" t="str">
        <x:v>CORP-0386</x:v>
      </x:c>
      <x:c r="Q616" s="12" t="str">
        <x:v>croma</x:v>
      </x:c>
    </x:row>
    <x:row r="617" ht="48" customHeight="1">
      <x:c r="A617" s="2" t="str">
        <x:v>TEN-C4FDA280D307</x:v>
      </x:c>
      <x:c r="B617" s="12" t="str">
        <x:v>Cronbay Technologies</x:v>
      </x:c>
      <x:c r="C617" s="12" t="str">
        <x:v>Business / brand</x:v>
      </x:c>
      <x:c r="D617" s="12" t="str">
        <x:v>Unresolved</x:v>
      </x:c>
      <x:c r="E617" s="12" t="str">
        <x:v>Business activity not established</x:v>
      </x:c>
      <x:c r="F617" s="12" t="str">
        <x:v>Mixed business audience</x:v>
      </x:c>
      <x:c r="G617" s="12" t="str">
        <x:v>Business activity and company scale are not established from this name.</x:v>
      </x:c>
      <x:c r="H617" s="11" t="n">
        <x:v>4</x:v>
      </x:c>
      <x:c r="I617" s="11" t="n">
        <x:v>4</x:v>
      </x:c>
      <x:c r="J617" s="11" t="n">
        <x:v>4</x:v>
      </x:c>
      <x:c r="K617" s="11" t="n">
        <x:v>0</x:v>
      </x:c>
      <x:c r="L617" s="17" t="n">
        <x:f>SUM(SUMIFS('Costing'!$P$9:$P$492,'Costing'!$A$9:$A$492,"PARTNER-M056"))</x:f>
        <x:v>160000</x:v>
      </x:c>
      <x:c r="M617" s="17" t="n">
        <x:f>ROUND(L617*'Costing'!$C$4,2)</x:f>
        <x:v>28800</x:v>
      </x:c>
      <x:c r="N617" s="17" t="n">
        <x:f>L617+M617</x:f>
        <x:v>188800</x:v>
      </x:c>
      <x:c r="O617" s="12" t="str">
        <x:v>Bengaluru</x:v>
      </x:c>
      <x:c r="P617" s="12" t="str">
        <x:v>CORP-0474, CORP-0475, CORP-0476, CORP-0477</x:v>
      </x:c>
      <x:c r="Q617" s="12" t="str">
        <x:v>Cronbay Technologies</x:v>
      </x:c>
    </x:row>
    <x:row r="618" ht="48" customHeight="1">
      <x:c r="A618" s="2" t="str">
        <x:v>TEN-723943909E6B</x:v>
      </x:c>
      <x:c r="B618" s="12" t="str">
        <x:v>Crossasyst</x:v>
      </x:c>
      <x:c r="C618" s="12" t="str">
        <x:v>Business / brand</x:v>
      </x:c>
      <x:c r="D618" s="12" t="str">
        <x:v>IT &amp; digital</x:v>
      </x:c>
      <x:c r="E618" s="12" t="str">
        <x:v>Enterprise software &amp; digital engineering</x:v>
      </x:c>
      <x:c r="F618" s="12" t="str">
        <x:v>Small-scale prospects</x:v>
      </x:c>
      <x:c r="G618" s="12" t="str">
        <x:v>Software or technology-services business; small-scale prospect assumption.</x:v>
      </x:c>
      <x:c r="H618" s="11" t="n">
        <x:v>1</x:v>
      </x:c>
      <x:c r="I618" s="11" t="n">
        <x:v>5</x:v>
      </x:c>
      <x:c r="J618" s="11" t="n">
        <x:v>5</x:v>
      </x:c>
      <x:c r="K618" s="11" t="n">
        <x:v>0</x:v>
      </x:c>
      <x:c r="L618" s="17" t="n">
        <x:f>SUM(SUMIFS('Costing'!$P$9:$P$492,'Costing'!$A$9:$A$492,"MAIN-338"))</x:f>
        <x:v>200000</x:v>
      </x:c>
      <x:c r="M618" s="17" t="n">
        <x:f>ROUND(L618*'Costing'!$C$4,2)</x:f>
        <x:v>36000</x:v>
      </x:c>
      <x:c r="N618" s="17" t="n">
        <x:f>L618+M618</x:f>
        <x:v>236000</x:v>
      </x:c>
      <x:c r="O618" s="12" t="str">
        <x:v>Mumbai</x:v>
      </x:c>
      <x:c r="P618" s="12" t="str">
        <x:v>CORP-0334</x:v>
      </x:c>
      <x:c r="Q618" s="12" t="str">
        <x:v>Crossasyst</x:v>
      </x:c>
    </x:row>
    <x:row r="619" ht="48" customHeight="1">
      <x:c r="A619" s="2" t="str">
        <x:v>TEN-0A5D7E2C01FC</x:v>
      </x:c>
      <x:c r="B619" s="12" t="str">
        <x:v>CRS Info Solutions Salesforce Training Course</x:v>
      </x:c>
      <x:c r="C619" s="12" t="str">
        <x:v>Business / brand</x:v>
      </x:c>
      <x:c r="D619" s="12" t="str">
        <x:v>Education</x:v>
      </x:c>
      <x:c r="E619" s="12" t="str">
        <x:v>Edtech, training &amp; learning</x:v>
      </x:c>
      <x:c r="F619" s="12" t="str">
        <x:v>Small-scale prospects</x:v>
      </x:c>
      <x:c r="G619" s="12" t="str">
        <x:v>Training or education-services business; small-scale prospect assumption.</x:v>
      </x:c>
      <x:c r="H619" s="11" t="n">
        <x:v>2</x:v>
      </x:c>
      <x:c r="I619" s="11" t="n">
        <x:v>6</x:v>
      </x:c>
      <x:c r="J619" s="11" t="n">
        <x:v>6</x:v>
      </x:c>
      <x:c r="K619" s="11" t="n">
        <x:v>0</x:v>
      </x:c>
      <x:c r="L619" s="17" t="n">
        <x:f>SUM(SUMIFS('Costing'!$P$9:$P$492,'Costing'!$A$9:$A$492,"MAIN-MSRY7ANC"))</x:f>
        <x:v>120000</x:v>
      </x:c>
      <x:c r="M619" s="17" t="n">
        <x:f>ROUND(L619*'Costing'!$C$4,2)</x:f>
        <x:v>21600</x:v>
      </x:c>
      <x:c r="N619" s="17" t="n">
        <x:f>L619+M619</x:f>
        <x:v>141600</x:v>
      </x:c>
      <x:c r="O619" s="12" t="str">
        <x:v>Bengaluru</x:v>
      </x:c>
      <x:c r="P619" s="12" t="str">
        <x:v>CORP-0051, CORP-0052</x:v>
      </x:c>
      <x:c r="Q619" s="12" t="str">
        <x:v>CRS Info Solutions Salesforce Training Course</x:v>
      </x:c>
    </x:row>
    <x:row r="620" ht="48" customHeight="1">
      <x:c r="A620" s="2" t="str">
        <x:v>TEN-22D6EAAAD3BD</x:v>
      </x:c>
      <x:c r="B620" s="12" t="str">
        <x:v>Crux Digital Pvt Ltd</x:v>
      </x:c>
      <x:c r="C620" s="12" t="str">
        <x:v>Business / brand</x:v>
      </x:c>
      <x:c r="D620" s="12" t="str">
        <x:v>IT &amp; digital</x:v>
      </x:c>
      <x:c r="E620" s="12" t="str">
        <x:v>Enterprise software &amp; digital engineering</x:v>
      </x:c>
      <x:c r="F620" s="12" t="str">
        <x:v>Small-scale prospects</x:v>
      </x:c>
      <x:c r="G620" s="12" t="str">
        <x:v>Software or technology-services business; small-scale prospect assumption.</x:v>
      </x:c>
      <x:c r="H620" s="11" t="n">
        <x:v>1</x:v>
      </x:c>
      <x:c r="I620" s="11" t="n">
        <x:v>22</x:v>
      </x:c>
      <x:c r="J620" s="11" t="n">
        <x:v>22</x:v>
      </x:c>
      <x:c r="K620" s="11" t="n">
        <x:v>0</x:v>
      </x:c>
      <x:c r="L620" s="17" t="n">
        <x:f>SUM(SUMIFS('Costing'!$P$9:$P$492,'Costing'!$A$9:$A$492,"MAIN-307"))</x:f>
        <x:v>330000</x:v>
      </x:c>
      <x:c r="M620" s="17" t="n">
        <x:f>ROUND(L620*'Costing'!$C$4,2)</x:f>
        <x:v>59400</x:v>
      </x:c>
      <x:c r="N620" s="17" t="n">
        <x:f>L620+M620</x:f>
        <x:v>389400</x:v>
      </x:c>
      <x:c r="O620" s="12" t="str">
        <x:v>Mumbai</x:v>
      </x:c>
      <x:c r="P620" s="12" t="str">
        <x:v>CORP-0303</x:v>
      </x:c>
      <x:c r="Q620" s="12" t="str">
        <x:v>Crux Digital Pvt Ltd</x:v>
      </x:c>
    </x:row>
    <x:row r="621" ht="48" customHeight="1">
      <x:c r="A621" s="2" t="str">
        <x:v>TEN-ABA4CECB91B9</x:v>
      </x:c>
      <x:c r="B621" s="12" t="str">
        <x:v>CSGT Trading India Pvt Ltd</x:v>
      </x:c>
      <x:c r="C621" s="12" t="str">
        <x:v>Business / brand</x:v>
      </x:c>
      <x:c r="D621" s="12" t="str">
        <x:v>Trade, consumer &amp; logistics</x:v>
      </x:c>
      <x:c r="E621" s="12" t="str">
        <x:v>Retail, consumer products &amp; ecommerce</x:v>
      </x:c>
      <x:c r="F621" s="12" t="str">
        <x:v>Small-scale prospects</x:v>
      </x:c>
      <x:c r="G621" s="12" t="str">
        <x:v>Trading or consumer-services business; small-scale prospect assumption.</x:v>
      </x:c>
      <x:c r="H621" s="11" t="n">
        <x:v>4</x:v>
      </x:c>
      <x:c r="I621" s="11" t="n">
        <x:v>4</x:v>
      </x:c>
      <x:c r="J621" s="11" t="n">
        <x:v>4</x:v>
      </x:c>
      <x:c r="K621" s="11" t="n">
        <x:v>0</x:v>
      </x:c>
      <x:c r="L621" s="17" t="n">
        <x:f>SUM(SUMIFS('Costing'!$P$9:$P$492,'Costing'!$A$9:$A$492,"PARTNER-M235"))</x:f>
        <x:v>160000</x:v>
      </x:c>
      <x:c r="M621" s="17" t="n">
        <x:f>ROUND(L621*'Costing'!$C$4,2)</x:f>
        <x:v>28800</x:v>
      </x:c>
      <x:c r="N621" s="17" t="n">
        <x:f>L621+M621</x:f>
        <x:v>188800</x:v>
      </x:c>
      <x:c r="O621" s="12" t="str">
        <x:v>Mumbai</x:v>
      </x:c>
      <x:c r="P621" s="12" t="str">
        <x:v>CORP-0652, CORP-0653, CORP-0654, CORP-0655</x:v>
      </x:c>
      <x:c r="Q621" s="12" t="str">
        <x:v>CSGT Trading India Pvt Ltd</x:v>
      </x:c>
    </x:row>
    <x:row r="622" ht="48" customHeight="1">
      <x:c r="A622" s="2" t="str">
        <x:v>TEN-44747DEEA5CA</x:v>
      </x:c>
      <x:c r="B622" s="12" t="str">
        <x:v>CSoft Marketing Pvt Ltd</x:v>
      </x:c>
      <x:c r="C622" s="12" t="str">
        <x:v>Business / brand</x:v>
      </x:c>
      <x:c r="D622" s="12" t="str">
        <x:v>Professional services</x:v>
      </x:c>
      <x:c r="E622" s="12" t="str">
        <x:v>Marketing, media &amp; research services</x:v>
      </x:c>
      <x:c r="F622" s="12" t="str">
        <x:v>Small-scale prospects</x:v>
      </x:c>
      <x:c r="G622" s="12" t="str">
        <x:v>Professional service, agency or advisory model; small-scale prospect assumption.</x:v>
      </x:c>
      <x:c r="H622" s="11" t="n">
        <x:v>1</x:v>
      </x:c>
      <x:c r="I622" s="11" t="n">
        <x:v>8</x:v>
      </x:c>
      <x:c r="J622" s="11" t="n">
        <x:v>8</x:v>
      </x:c>
      <x:c r="K622" s="11" t="n">
        <x:v>0</x:v>
      </x:c>
      <x:c r="L622" s="17" t="n">
        <x:f>SUM(SUMIFS('Costing'!$P$9:$P$492,'Costing'!$A$9:$A$492,"MAIN-286"))</x:f>
        <x:v>120000</x:v>
      </x:c>
      <x:c r="M622" s="17" t="n">
        <x:f>ROUND(L622*'Costing'!$C$4,2)</x:f>
        <x:v>21600</x:v>
      </x:c>
      <x:c r="N622" s="17" t="n">
        <x:f>L622+M622</x:f>
        <x:v>141600</x:v>
      </x:c>
      <x:c r="O622" s="12" t="str">
        <x:v>Kolkata</x:v>
      </x:c>
      <x:c r="P622" s="12" t="str">
        <x:v>CORP-0282</x:v>
      </x:c>
      <x:c r="Q622" s="12" t="str">
        <x:v>CSoft Marketing Pvt Ltd</x:v>
      </x:c>
    </x:row>
    <x:row r="623" ht="48" customHeight="1">
      <x:c r="A623" s="2" t="str">
        <x:v>TEN-D254184A081B</x:v>
      </x:c>
      <x:c r="B623" s="12" t="str">
        <x:v>CSS Corp</x:v>
      </x:c>
      <x:c r="C623" s="12" t="str">
        <x:v>Business / brand</x:v>
      </x:c>
      <x:c r="D623" s="12" t="str">
        <x:v>IT &amp; digital</x:v>
      </x:c>
      <x:c r="E623" s="12" t="str">
        <x:v>Enterprise software &amp; digital engineering</x:v>
      </x:c>
      <x:c r="F623" s="12" t="str">
        <x:v>Mixed business audience</x:v>
      </x:c>
      <x:c r="G623" s="12" t="str">
        <x:v>Established brand or business network; local company scale is not established. Use a mixed-business message.</x:v>
      </x:c>
      <x:c r="H623" s="11" t="n">
        <x:v>3</x:v>
      </x:c>
      <x:c r="I623" s="11" t="n">
        <x:v>3</x:v>
      </x:c>
      <x:c r="J623" s="11" t="n">
        <x:v>3</x:v>
      </x:c>
      <x:c r="K623" s="11" t="n">
        <x:v>0</x:v>
      </x:c>
      <x:c r="L623" s="17" t="n">
        <x:f>SUM(SUMIFS('Costing'!$P$9:$P$492,'Costing'!$A$9:$A$492,"PARTNER-M011"))</x:f>
        <x:v>120000</x:v>
      </x:c>
      <x:c r="M623" s="17" t="n">
        <x:f>ROUND(L623*'Costing'!$C$4,2)</x:f>
        <x:v>21600</x:v>
      </x:c>
      <x:c r="N623" s="17" t="n">
        <x:f>L623+M623</x:f>
        <x:v>141600</x:v>
      </x:c>
      <x:c r="O623" s="12" t="str">
        <x:v>Bengaluru</x:v>
      </x:c>
      <x:c r="P623" s="12" t="str">
        <x:v>CORP-0429, CORP-0430, CORP-0431</x:v>
      </x:c>
      <x:c r="Q623" s="12" t="str">
        <x:v>CSS Corp</x:v>
      </x:c>
    </x:row>
    <x:row r="624" ht="48" customHeight="1">
      <x:c r="A624" s="2" t="str">
        <x:v>TEN-995AA36A28FC</x:v>
      </x:c>
      <x:c r="B624" s="12" t="str">
        <x:v>CTA-Comtemporary Training academy</x:v>
      </x:c>
      <x:c r="C624" s="12" t="str">
        <x:v>Business / brand</x:v>
      </x:c>
      <x:c r="D624" s="12" t="str">
        <x:v>Education</x:v>
      </x:c>
      <x:c r="E624" s="12" t="str">
        <x:v>Schools, childcare &amp; higher education</x:v>
      </x:c>
      <x:c r="F624" s="12" t="str">
        <x:v>Small-scale prospects</x:v>
      </x:c>
      <x:c r="G624" s="12" t="str">
        <x:v>Training or education-services business; small-scale prospect assumption.</x:v>
      </x:c>
      <x:c r="H624" s="11" t="n">
        <x:v>1</x:v>
      </x:c>
      <x:c r="I624" s="11" t="n">
        <x:v>5</x:v>
      </x:c>
      <x:c r="J624" s="11" t="n">
        <x:v>5</x:v>
      </x:c>
      <x:c r="K624" s="11" t="n">
        <x:v>0</x:v>
      </x:c>
      <x:c r="L624" s="17" t="n">
        <x:f>SUM(SUMIFS('Costing'!$P$9:$P$492,'Costing'!$A$9:$A$492,"MAIN-287"))</x:f>
        <x:v>75000</x:v>
      </x:c>
      <x:c r="M624" s="17" t="n">
        <x:f>ROUND(L624*'Costing'!$C$4,2)</x:f>
        <x:v>13500</x:v>
      </x:c>
      <x:c r="N624" s="17" t="n">
        <x:f>L624+M624</x:f>
        <x:v>88500</x:v>
      </x:c>
      <x:c r="O624" s="12" t="str">
        <x:v>Kolkata</x:v>
      </x:c>
      <x:c r="P624" s="12" t="str">
        <x:v>CORP-0283</x:v>
      </x:c>
      <x:c r="Q624" s="12" t="str">
        <x:v>CTA-Comtemporary Training academy</x:v>
      </x:c>
    </x:row>
    <x:row r="625" ht="48" customHeight="1">
      <x:c r="A625" s="2" t="str">
        <x:v>TEN-05D0DCE8B2C4</x:v>
      </x:c>
      <x:c r="B625" s="12" t="str">
        <x:v>Ctruh technologies pvt ltd</x:v>
      </x:c>
      <x:c r="C625" s="12" t="str">
        <x:v>Business / brand</x:v>
      </x:c>
      <x:c r="D625" s="12" t="str">
        <x:v>Unresolved</x:v>
      </x:c>
      <x:c r="E625" s="12" t="str">
        <x:v>Business activity not established</x:v>
      </x:c>
      <x:c r="F625" s="12" t="str">
        <x:v>Mixed business audience</x:v>
      </x:c>
      <x:c r="G625" s="12" t="str">
        <x:v>Business activity and company scale are not established from this name.</x:v>
      </x:c>
      <x:c r="H625" s="11" t="n">
        <x:v>1</x:v>
      </x:c>
      <x:c r="I625" s="11" t="n">
        <x:v>1</x:v>
      </x:c>
      <x:c r="J625" s="11" t="n">
        <x:v>1</x:v>
      </x:c>
      <x:c r="K625" s="11" t="n">
        <x:v>0</x:v>
      </x:c>
      <x:c r="L625" s="17" t="n">
        <x:f>SUM(SUMIFS('Costing'!$P$9:$P$492,'Costing'!$A$9:$A$492,"MAIN-066"))</x:f>
        <x:v>15000</x:v>
      </x:c>
      <x:c r="M625" s="17" t="n">
        <x:f>ROUND(L625*'Costing'!$C$4,2)</x:f>
        <x:v>2700</x:v>
      </x:c>
      <x:c r="N625" s="17" t="n">
        <x:f>L625+M625</x:f>
        <x:v>17700</x:v>
      </x:c>
      <x:c r="O625" s="12" t="str">
        <x:v>Bengaluru</x:v>
      </x:c>
      <x:c r="P625" s="12" t="str">
        <x:v>CORP-0062</x:v>
      </x:c>
      <x:c r="Q625" s="12" t="str">
        <x:v>Ctruh technologies pvt ltd</x:v>
      </x:c>
    </x:row>
    <x:row r="626" ht="48" customHeight="1">
      <x:c r="A626" s="2" t="str">
        <x:v>TEN-66CADC6FE62F</x:v>
      </x:c>
      <x:c r="B626" s="12" t="str">
        <x:v>Cube Highways and Transport Assets Advisors Private Limited</x:v>
      </x:c>
      <x:c r="C626" s="12" t="str">
        <x:v>Business / brand</x:v>
      </x:c>
      <x:c r="D626" s="12" t="str">
        <x:v>Professional services</x:v>
      </x:c>
      <x:c r="E626" s="12" t="str">
        <x:v>Business consulting &amp; advisory</x:v>
      </x:c>
      <x:c r="F626" s="12" t="str">
        <x:v>Mixed business audience</x:v>
      </x:c>
      <x:c r="G626" s="12" t="str">
        <x:v>Established brand or business network; local company scale is not established. Use a mixed-business message.</x:v>
      </x:c>
      <x:c r="H626" s="11" t="n">
        <x:v>1</x:v>
      </x:c>
      <x:c r="I626" s="11" t="n">
        <x:v>13</x:v>
      </x:c>
      <x:c r="J626" s="11" t="n">
        <x:v>13</x:v>
      </x:c>
      <x:c r="K626" s="11" t="n">
        <x:v>0</x:v>
      </x:c>
      <x:c r="L626" s="17" t="n">
        <x:f>SUM(SUMIFS('Costing'!$P$9:$P$492,'Costing'!$A$9:$A$492,"MAIN-378"))</x:f>
        <x:v>260000</x:v>
      </x:c>
      <x:c r="M626" s="17" t="n">
        <x:f>ROUND(L626*'Costing'!$C$4,2)</x:f>
        <x:v>46800</x:v>
      </x:c>
      <x:c r="N626" s="17" t="n">
        <x:f>L626+M626</x:f>
        <x:v>306800</x:v>
      </x:c>
      <x:c r="O626" s="12" t="str">
        <x:v>Delhi NCR</x:v>
      </x:c>
      <x:c r="P626" s="12" t="str">
        <x:v>CORP-0374</x:v>
      </x:c>
      <x:c r="Q626" s="12" t="str">
        <x:v>Cube Highways and Transport Assets Advisors Private Limited</x:v>
      </x:c>
    </x:row>
    <x:row r="627" ht="48" customHeight="1">
      <x:c r="A627" s="2" t="str">
        <x:v>TEN-28D1E16E18A8</x:v>
      </x:c>
      <x:c r="B627" s="12" t="str">
        <x:v>Cubelogic Software India Pvt Ltd</x:v>
      </x:c>
      <x:c r="C627" s="12" t="str">
        <x:v>Business / brand</x:v>
      </x:c>
      <x:c r="D627" s="12" t="str">
        <x:v>IT &amp; digital</x:v>
      </x:c>
      <x:c r="E627" s="12" t="str">
        <x:v>Enterprise software &amp; digital engineering</x:v>
      </x:c>
      <x:c r="F627" s="12" t="str">
        <x:v>Small-scale prospects</x:v>
      </x:c>
      <x:c r="G627" s="12" t="str">
        <x:v>Software or technology-services business; small-scale prospect assumption.</x:v>
      </x:c>
      <x:c r="H627" s="11" t="n">
        <x:v>1</x:v>
      </x:c>
      <x:c r="I627" s="11" t="n">
        <x:v>11</x:v>
      </x:c>
      <x:c r="J627" s="11" t="n">
        <x:v>11</x:v>
      </x:c>
      <x:c r="K627" s="11" t="n">
        <x:v>0</x:v>
      </x:c>
      <x:c r="L627" s="17" t="n">
        <x:f>SUM(SUMIFS('Costing'!$P$9:$P$492,'Costing'!$A$9:$A$492,"MAIN-077"))</x:f>
        <x:v>165000</x:v>
      </x:c>
      <x:c r="M627" s="17" t="n">
        <x:f>ROUND(L627*'Costing'!$C$4,2)</x:f>
        <x:v>29700</x:v>
      </x:c>
      <x:c r="N627" s="17" t="n">
        <x:f>L627+M627</x:f>
        <x:v>194700</x:v>
      </x:c>
      <x:c r="O627" s="12" t="str">
        <x:v>Bengaluru</x:v>
      </x:c>
      <x:c r="P627" s="12" t="str">
        <x:v>CORP-0073</x:v>
      </x:c>
      <x:c r="Q627" s="12" t="str">
        <x:v>Cubelogic Software India Pvt Ltd</x:v>
      </x:c>
    </x:row>
    <x:row r="628" ht="48" customHeight="1">
      <x:c r="A628" s="2" t="str">
        <x:v>TEN-CE371D3C6BED</x:v>
      </x:c>
      <x:c r="B628" s="12" t="str">
        <x:v>Cubic</x:v>
      </x:c>
      <x:c r="C628" s="12" t="str">
        <x:v>Business / brand</x:v>
      </x:c>
      <x:c r="D628" s="12" t="str">
        <x:v>Unresolved</x:v>
      </x:c>
      <x:c r="E628" s="12" t="str">
        <x:v>Business activity not established</x:v>
      </x:c>
      <x:c r="F628" s="12" t="str">
        <x:v>Mixed business audience</x:v>
      </x:c>
      <x:c r="G628" s="12" t="str">
        <x:v>Business activity and company scale are not established from this name.</x:v>
      </x:c>
      <x:c r="H628" s="11" t="n">
        <x:v>6</x:v>
      </x:c>
      <x:c r="I628" s="11" t="n">
        <x:v>6</x:v>
      </x:c>
      <x:c r="J628" s="11" t="n">
        <x:v>6</x:v>
      </x:c>
      <x:c r="K628" s="11" t="n">
        <x:v>0</x:v>
      </x:c>
      <x:c r="L628" s="17" t="n">
        <x:f>SUM(SUMIFS('Costing'!$P$9:$P$492,'Costing'!$A$9:$A$492,"PARTNER-M283"))</x:f>
        <x:v>240000</x:v>
      </x:c>
      <x:c r="M628" s="17" t="n">
        <x:f>ROUND(L628*'Costing'!$C$4,2)</x:f>
        <x:v>43200</x:v>
      </x:c>
      <x:c r="N628" s="17" t="n">
        <x:f>L628+M628</x:f>
        <x:v>283200</x:v>
      </x:c>
      <x:c r="O628" s="12" t="str">
        <x:v>Hyderabad</x:v>
      </x:c>
      <x:c r="P628" s="12" t="str">
        <x:v>CORP-0698, CORP-0699, CORP-0700, CORP-0701, CORP-0702, CORP-0703</x:v>
      </x:c>
      <x:c r="Q628" s="12" t="str">
        <x:v>Cubic</x:v>
      </x:c>
    </x:row>
    <x:row r="629" ht="48" customHeight="1">
      <x:c r="A629" s="2" t="str">
        <x:v>TEN-2154BACB4876</x:v>
      </x:c>
      <x:c r="B629" s="12" t="str">
        <x:v>Cubic logic</x:v>
      </x:c>
      <x:c r="C629" s="12" t="str">
        <x:v>Business / brand</x:v>
      </x:c>
      <x:c r="D629" s="12" t="str">
        <x:v>IT &amp; digital</x:v>
      </x:c>
      <x:c r="E629" s="12" t="str">
        <x:v>Enterprise software &amp; digital engineering</x:v>
      </x:c>
      <x:c r="F629" s="12" t="str">
        <x:v>Small-scale prospects</x:v>
      </x:c>
      <x:c r="G629" s="12" t="str">
        <x:v>Software or technology-services business; small-scale prospect assumption.</x:v>
      </x:c>
      <x:c r="H629" s="11" t="n">
        <x:v>1</x:v>
      </x:c>
      <x:c r="I629" s="11" t="n">
        <x:v>2</x:v>
      </x:c>
      <x:c r="J629" s="11" t="n">
        <x:v>2</x:v>
      </x:c>
      <x:c r="K629" s="11" t="n">
        <x:v>0</x:v>
      </x:c>
      <x:c r="L629" s="17" t="n">
        <x:f>SUM(SUMIFS('Costing'!$P$9:$P$492,'Costing'!$A$9:$A$492,"MAIN-022"))</x:f>
        <x:v>30000</x:v>
      </x:c>
      <x:c r="M629" s="17" t="n">
        <x:f>ROUND(L629*'Costing'!$C$4,2)</x:f>
        <x:v>5400</x:v>
      </x:c>
      <x:c r="N629" s="17" t="n">
        <x:f>L629+M629</x:f>
        <x:v>35400</x:v>
      </x:c>
      <x:c r="O629" s="12" t="str">
        <x:v>Bengaluru</x:v>
      </x:c>
      <x:c r="P629" s="12" t="str">
        <x:v>CORP-0018</x:v>
      </x:c>
      <x:c r="Q629" s="12" t="str">
        <x:v>Cubic logic</x:v>
      </x:c>
    </x:row>
    <x:row r="630" ht="49" customHeight="1">
      <x:c r="A630" s="2" t="str">
        <x:v>TEN-FF7C6D9BF585</x:v>
      </x:c>
      <x:c r="B630" s="12" t="str">
        <x:v>Cue spaces</x:v>
      </x:c>
      <x:c r="C630" s="12" t="str">
        <x:v>Workspace operator</x:v>
      </x:c>
      <x:c r="D630" s="12" t="str">
        <x:v>Workspace &amp; property operations</x:v>
      </x:c>
      <x:c r="E630" s="12" t="str">
        <x:v>Coworking/workspace operator</x:v>
      </x:c>
      <x:c r="F630" s="12" t="str">
        <x:v>Mixed business audience</x:v>
      </x:c>
      <x:c r="G630" s="12" t="str">
        <x:v>Supplied entry is a shared-workspace operator; the business sizes of occupant companies cannot be derived from the operator name.</x:v>
      </x:c>
      <x:c r="H630" s="11" t="n">
        <x:v>1</x:v>
      </x:c>
      <x:c r="I630" s="11" t="n">
        <x:v>1</x:v>
      </x:c>
      <x:c r="J630" s="11" t="n">
        <x:v>1</x:v>
      </x:c>
      <x:c r="K630" s="11" t="n">
        <x:v>0</x:v>
      </x:c>
      <x:c r="L630" s="17" t="n">
        <x:f>SUM(SUMIFS('Costing'!$P$9:$P$492,'Costing'!$A$9:$A$492,"MAIN-390"))</x:f>
        <x:v>15000</x:v>
      </x:c>
      <x:c r="M630" s="17" t="n">
        <x:f>ROUND(L630*'Costing'!$C$4,2)</x:f>
        <x:v>2700</x:v>
      </x:c>
      <x:c r="N630" s="17" t="n">
        <x:f>L630+M630</x:f>
        <x:v>17700</x:v>
      </x:c>
      <x:c r="O630" s="12" t="str">
        <x:v>Pune</x:v>
      </x:c>
      <x:c r="P630" s="12" t="str">
        <x:v>CORP-0386</x:v>
      </x:c>
      <x:c r="Q630" s="12" t="str">
        <x:v>Cue spaces</x:v>
      </x:c>
    </x:row>
    <x:row r="631" ht="48" customHeight="1">
      <x:c r="A631" s="2" t="str">
        <x:v>TEN-9FFDE6DEDC6D</x:v>
      </x:c>
      <x:c r="B631" s="12" t="str">
        <x:v>Cuemath Online Tution Center</x:v>
      </x:c>
      <x:c r="C631" s="12" t="str">
        <x:v>Business / brand</x:v>
      </x:c>
      <x:c r="D631" s="12" t="str">
        <x:v>Education</x:v>
      </x:c>
      <x:c r="E631" s="12" t="str">
        <x:v>Schools, childcare &amp; higher education</x:v>
      </x:c>
      <x:c r="F631" s="12" t="str">
        <x:v>Mixed business audience</x:v>
      </x:c>
      <x:c r="G631" s="12" t="str">
        <x:v>Recognisable business context; company-scale evidence remains insufficient for a single size band.</x:v>
      </x:c>
      <x:c r="H631" s="11" t="n">
        <x:v>1</x:v>
      </x:c>
      <x:c r="I631" s="11" t="n">
        <x:v>4</x:v>
      </x:c>
      <x:c r="J631" s="11" t="n">
        <x:v>4</x:v>
      </x:c>
      <x:c r="K631" s="11" t="n">
        <x:v>0</x:v>
      </x:c>
      <x:c r="L631" s="17" t="n">
        <x:f>SUM(SUMIFS('Costing'!$P$9:$P$492,'Costing'!$A$9:$A$492,"MAIN-124"))</x:f>
        <x:v>100000</x:v>
      </x:c>
      <x:c r="M631" s="17" t="n">
        <x:f>ROUND(L631*'Costing'!$C$4,2)</x:f>
        <x:v>18000</x:v>
      </x:c>
      <x:c r="N631" s="17" t="n">
        <x:f>L631+M631</x:f>
        <x:v>118000</x:v>
      </x:c>
      <x:c r="O631" s="12" t="str">
        <x:v>Bengaluru</x:v>
      </x:c>
      <x:c r="P631" s="12" t="str">
        <x:v>CORP-0120</x:v>
      </x:c>
      <x:c r="Q631" s="12" t="str">
        <x:v>Cuemath Online Tution Center</x:v>
      </x:c>
    </x:row>
    <x:row r="632" ht="48" customHeight="1">
      <x:c r="A632" s="2" t="str">
        <x:v>TEN-17CA9B2CE93C</x:v>
      </x:c>
      <x:c r="B632" s="12" t="str">
        <x:v>Cushman</x:v>
      </x:c>
      <x:c r="C632" s="12" t="str">
        <x:v>Business / brand</x:v>
      </x:c>
      <x:c r="D632" s="12" t="str">
        <x:v>Trade, consumer &amp; logistics</x:v>
      </x:c>
      <x:c r="E632" s="12" t="str">
        <x:v>Real estate, property &amp; construction services</x:v>
      </x:c>
      <x:c r="F632" s="12" t="str">
        <x:v>Large enterprise</x:v>
      </x:c>
      <x:c r="G632" s="12" t="str">
        <x:v>Explicit Cushman &amp; Wakefield enterprise-family context; see ENTERPRISE_SUPP_030 evidence.</x:v>
      </x:c>
      <x:c r="H632" s="11" t="n">
        <x:v>2</x:v>
      </x:c>
      <x:c r="I632" s="11" t="n">
        <x:v>2</x:v>
      </x:c>
      <x:c r="J632" s="11" t="n">
        <x:v>2</x:v>
      </x:c>
      <x:c r="K632" s="11" t="n">
        <x:v>0</x:v>
      </x:c>
      <x:c r="L632" s="17" t="n">
        <x:f>SUM(SUMIFS('Costing'!$P$9:$P$492,'Costing'!$A$9:$A$492,"PARTNER-M332"))</x:f>
        <x:v>80000</x:v>
      </x:c>
      <x:c r="M632" s="17" t="n">
        <x:f>ROUND(L632*'Costing'!$C$4,2)</x:f>
        <x:v>14400</x:v>
      </x:c>
      <x:c r="N632" s="17" t="n">
        <x:f>L632+M632</x:f>
        <x:v>94400</x:v>
      </x:c>
      <x:c r="O632" s="12" t="str">
        <x:v>Chennai</x:v>
      </x:c>
      <x:c r="P632" s="12" t="str">
        <x:v>CORP-0746, CORP-0747</x:v>
      </x:c>
      <x:c r="Q632" s="12" t="str">
        <x:v>Cushman</x:v>
      </x:c>
    </x:row>
    <x:row r="633" ht="48" customHeight="1">
      <x:c r="A633" s="2" t="str">
        <x:v>TEN-3D1BACA6D51F</x:v>
      </x:c>
      <x:c r="B633" s="12" t="str">
        <x:v>Cushman &amp; Wakefield</x:v>
      </x:c>
      <x:c r="C633" s="12" t="str">
        <x:v>Business / brand</x:v>
      </x:c>
      <x:c r="D633" s="12" t="str">
        <x:v>Trade, consumer &amp; logistics</x:v>
      </x:c>
      <x:c r="E633" s="12" t="str">
        <x:v>Real estate, property &amp; construction services</x:v>
      </x:c>
      <x:c r="F633" s="12" t="str">
        <x:v>Large enterprise</x:v>
      </x:c>
      <x:c r="G633" s="12" t="str">
        <x:v>Explicit Cushman &amp; Wakefield enterprise-family context; see ENTERPRISE_SUPP_030 evidence.</x:v>
      </x:c>
      <x:c r="H633" s="11" t="n">
        <x:v>1</x:v>
      </x:c>
      <x:c r="I633" s="11" t="n">
        <x:v>1</x:v>
      </x:c>
      <x:c r="J633" s="11" t="n">
        <x:v>1</x:v>
      </x:c>
      <x:c r="K633" s="11" t="n">
        <x:v>0</x:v>
      </x:c>
      <x:c r="L633" s="17" t="n">
        <x:f>SUM(SUMIFS('Costing'!$P$9:$P$492,'Costing'!$A$9:$A$492,"MAIN-250"))</x:f>
        <x:v>15000</x:v>
      </x:c>
      <x:c r="M633" s="17" t="n">
        <x:f>ROUND(L633*'Costing'!$C$4,2)</x:f>
        <x:v>2700</x:v>
      </x:c>
      <x:c r="N633" s="17" t="n">
        <x:f>L633+M633</x:f>
        <x:v>17700</x:v>
      </x:c>
      <x:c r="O633" s="12" t="str">
        <x:v>Hyderabad</x:v>
      </x:c>
      <x:c r="P633" s="12" t="str">
        <x:v>CORP-0246</x:v>
      </x:c>
      <x:c r="Q633" s="12" t="str">
        <x:v>Cushman &amp; Wakefield</x:v>
      </x:c>
    </x:row>
    <x:row r="634" ht="48" customHeight="1">
      <x:c r="A634" s="2" t="str">
        <x:v>TEN-71D66DBB439D</x:v>
      </x:c>
      <x:c r="B634" s="12" t="str">
        <x:v>Customer Glu</x:v>
      </x:c>
      <x:c r="C634" s="12" t="str">
        <x:v>Business / brand</x:v>
      </x:c>
      <x:c r="D634" s="12" t="str">
        <x:v>IT &amp; digital</x:v>
      </x:c>
      <x:c r="E634" s="12" t="str">
        <x:v>Enterprise software &amp; digital engineering</x:v>
      </x:c>
      <x:c r="F634" s="12" t="str">
        <x:v>Small-scale prospects</x:v>
      </x:c>
      <x:c r="G634" s="12" t="str">
        <x:v>Software or technology-services business; small-scale prospect assumption.</x:v>
      </x:c>
      <x:c r="H634" s="11" t="n">
        <x:v>1</x:v>
      </x:c>
      <x:c r="I634" s="11" t="n">
        <x:v>2</x:v>
      </x:c>
      <x:c r="J634" s="11" t="n">
        <x:v>2</x:v>
      </x:c>
      <x:c r="K634" s="11" t="n">
        <x:v>0</x:v>
      </x:c>
      <x:c r="L634" s="17" t="n">
        <x:f>SUM(SUMIFS('Costing'!$P$9:$P$492,'Costing'!$A$9:$A$492,"MAIN-099"))</x:f>
        <x:v>30000</x:v>
      </x:c>
      <x:c r="M634" s="17" t="n">
        <x:f>ROUND(L634*'Costing'!$C$4,2)</x:f>
        <x:v>5400</x:v>
      </x:c>
      <x:c r="N634" s="17" t="n">
        <x:f>L634+M634</x:f>
        <x:v>35400</x:v>
      </x:c>
      <x:c r="O634" s="12" t="str">
        <x:v>Bengaluru</x:v>
      </x:c>
      <x:c r="P634" s="12" t="str">
        <x:v>CORP-0095</x:v>
      </x:c>
      <x:c r="Q634" s="12" t="str">
        <x:v>Customer Glu</x:v>
      </x:c>
    </x:row>
    <x:row r="635" ht="48" customHeight="1">
      <x:c r="A635" s="2" t="str">
        <x:v>TEN-BC9765585BF0</x:v>
      </x:c>
      <x:c r="B635" s="12" t="str">
        <x:v>CVM Solutions</x:v>
      </x:c>
      <x:c r="C635" s="12" t="str">
        <x:v>Business / brand</x:v>
      </x:c>
      <x:c r="D635" s="12" t="str">
        <x:v>Unresolved</x:v>
      </x:c>
      <x:c r="E635" s="12" t="str">
        <x:v>Business activity not established</x:v>
      </x:c>
      <x:c r="F635" s="12" t="str">
        <x:v>Mixed business audience</x:v>
      </x:c>
      <x:c r="G635" s="12" t="str">
        <x:v>Business activity and company scale are not established from this name.</x:v>
      </x:c>
      <x:c r="H635" s="11" t="n">
        <x:v>6</x:v>
      </x:c>
      <x:c r="I635" s="11" t="n">
        <x:v>6</x:v>
      </x:c>
      <x:c r="J635" s="11" t="n">
        <x:v>6</x:v>
      </x:c>
      <x:c r="K635" s="11" t="n">
        <x:v>0</x:v>
      </x:c>
      <x:c r="L635" s="17" t="n">
        <x:f>SUM(SUMIFS('Costing'!$P$9:$P$492,'Costing'!$A$9:$A$492,"PARTNER-M283"))</x:f>
        <x:v>240000</x:v>
      </x:c>
      <x:c r="M635" s="17" t="n">
        <x:f>ROUND(L635*'Costing'!$C$4,2)</x:f>
        <x:v>43200</x:v>
      </x:c>
      <x:c r="N635" s="17" t="n">
        <x:f>L635+M635</x:f>
        <x:v>283200</x:v>
      </x:c>
      <x:c r="O635" s="12" t="str">
        <x:v>Hyderabad</x:v>
      </x:c>
      <x:c r="P635" s="12" t="str">
        <x:v>CORP-0698, CORP-0699, CORP-0700, CORP-0701, CORP-0702, CORP-0703</x:v>
      </x:c>
      <x:c r="Q635" s="12" t="str">
        <x:v>CVM Solutions</x:v>
      </x:c>
    </x:row>
    <x:row r="636" ht="48" customHeight="1">
      <x:c r="A636" s="2" t="str">
        <x:v>TEN-21D8CC8F4466</x:v>
      </x:c>
      <x:c r="B636" s="12" t="str">
        <x:v>Cybergyan Software Training</x:v>
      </x:c>
      <x:c r="C636" s="12" t="str">
        <x:v>Business / brand</x:v>
      </x:c>
      <x:c r="D636" s="12" t="str">
        <x:v>Education</x:v>
      </x:c>
      <x:c r="E636" s="12" t="str">
        <x:v>Education, training &amp; childcare</x:v>
      </x:c>
      <x:c r="F636" s="12" t="str">
        <x:v>Small-scale prospects</x:v>
      </x:c>
      <x:c r="G636" s="12" t="str">
        <x:v>Training or education-services business; small-scale prospect assumption.</x:v>
      </x:c>
      <x:c r="H636" s="11" t="n">
        <x:v>1</x:v>
      </x:c>
      <x:c r="I636" s="11" t="n">
        <x:v>2</x:v>
      </x:c>
      <x:c r="J636" s="11" t="n">
        <x:v>2</x:v>
      </x:c>
      <x:c r="K636" s="11" t="n">
        <x:v>0</x:v>
      </x:c>
      <x:c r="L636" s="17" t="n">
        <x:f>SUM(SUMIFS('Costing'!$P$9:$P$492,'Costing'!$A$9:$A$492,"MAIN-024"))</x:f>
        <x:v>30000</x:v>
      </x:c>
      <x:c r="M636" s="17" t="n">
        <x:f>ROUND(L636*'Costing'!$C$4,2)</x:f>
        <x:v>5400</x:v>
      </x:c>
      <x:c r="N636" s="17" t="n">
        <x:f>L636+M636</x:f>
        <x:v>35400</x:v>
      </x:c>
      <x:c r="O636" s="12" t="str">
        <x:v>Bengaluru</x:v>
      </x:c>
      <x:c r="P636" s="12" t="str">
        <x:v>CORP-0020</x:v>
      </x:c>
      <x:c r="Q636" s="12" t="str">
        <x:v>Cybergyan Software Training</x:v>
      </x:c>
    </x:row>
    <x:row r="637" ht="48" customHeight="1">
      <x:c r="A637" s="2" t="str">
        <x:v>TEN-5C5D346958F3</x:v>
      </x:c>
      <x:c r="B637" s="12" t="str">
        <x:v>CYGNUS DIGITAL ENGINEERING SERVICES</x:v>
      </x:c>
      <x:c r="C637" s="12" t="str">
        <x:v>Business / brand</x:v>
      </x:c>
      <x:c r="D637" s="12" t="str">
        <x:v>Engineering &amp; manufacturing</x:v>
      </x:c>
      <x:c r="E637" s="12" t="str">
        <x:v>Energy, electrical &amp; industrial systems</x:v>
      </x:c>
      <x:c r="F637" s="12" t="str">
        <x:v>Medium-scale prospects</x:v>
      </x:c>
      <x:c r="G637" s="12" t="str">
        <x:v>Specialist industrial or engineering business; medium-scale prospect assumption.</x:v>
      </x:c>
      <x:c r="H637" s="11" t="n">
        <x:v>1</x:v>
      </x:c>
      <x:c r="I637" s="11" t="n">
        <x:v>2</x:v>
      </x:c>
      <x:c r="J637" s="11" t="n">
        <x:v>2</x:v>
      </x:c>
      <x:c r="K637" s="11" t="n">
        <x:v>0</x:v>
      </x:c>
      <x:c r="L637" s="17" t="n">
        <x:f>SUM(SUMIFS('Costing'!$P$9:$P$492,'Costing'!$A$9:$A$492,"MAIN-216"))</x:f>
        <x:v>30000</x:v>
      </x:c>
      <x:c r="M637" s="17" t="n">
        <x:f>ROUND(L637*'Costing'!$C$4,2)</x:f>
        <x:v>5400</x:v>
      </x:c>
      <x:c r="N637" s="17" t="n">
        <x:f>L637+M637</x:f>
        <x:v>35400</x:v>
      </x:c>
      <x:c r="O637" s="12" t="str">
        <x:v>Hyderabad</x:v>
      </x:c>
      <x:c r="P637" s="12" t="str">
        <x:v>CORP-0212</x:v>
      </x:c>
      <x:c r="Q637" s="12" t="str">
        <x:v>CYGNUS DIGITAL ENGINEERING SERVICES</x:v>
      </x:c>
    </x:row>
    <x:row r="638" ht="48" customHeight="1">
      <x:c r="A638" s="2" t="str">
        <x:v>TEN-2DC3FC5EA3A9</x:v>
      </x:c>
      <x:c r="B638" s="12" t="str">
        <x:v>Cyient Ltd</x:v>
      </x:c>
      <x:c r="C638" s="12" t="str">
        <x:v>Business / brand</x:v>
      </x:c>
      <x:c r="D638" s="12" t="str">
        <x:v>Engineering &amp; manufacturing</x:v>
      </x:c>
      <x:c r="E638" s="12" t="str">
        <x:v>Engineering, testing &amp; technical services</x:v>
      </x:c>
      <x:c r="F638" s="12" t="str">
        <x:v>Large enterprise</x:v>
      </x:c>
      <x:c r="G638" s="12" t="str">
        <x:v>Official profile reports 15K+ employees and a global engineering delivery network.</x:v>
      </x:c>
      <x:c r="H638" s="11" t="n">
        <x:v>2</x:v>
      </x:c>
      <x:c r="I638" s="11" t="n">
        <x:v>17</x:v>
      </x:c>
      <x:c r="J638" s="11" t="n">
        <x:v>17</x:v>
      </x:c>
      <x:c r="K638" s="11" t="n">
        <x:v>0</x:v>
      </x:c>
      <x:c r="L638" s="17" t="n">
        <x:f>SUM(SUMIFS('Costing'!$P$9:$P$492,'Costing'!$A$9:$A$492,"MAIN-240"),SUMIFS('Costing'!$P$9:$P$492,'Costing'!$A$9:$A$492,"MAIN-381"))</x:f>
        <x:v>275000</x:v>
      </x:c>
      <x:c r="M638" s="17" t="n">
        <x:f>ROUND(L638*'Costing'!$C$4,2)</x:f>
        <x:v>49500</x:v>
      </x:c>
      <x:c r="N638" s="17" t="n">
        <x:f>L638+M638</x:f>
        <x:v>324500</x:v>
      </x:c>
      <x:c r="O638" s="12" t="str">
        <x:v>Hyderabad, Pune</x:v>
      </x:c>
      <x:c r="P638" s="12" t="str">
        <x:v>CORP-0236, CORP-0377</x:v>
      </x:c>
      <x:c r="Q638" s="12" t="str">
        <x:v>Cyient Ltd, CYIENT LIMITED</x:v>
      </x:c>
    </x:row>
    <x:row r="639" ht="49" customHeight="1">
      <x:c r="A639" s="2" t="str">
        <x:v>TEN-55F83AF98CA9</x:v>
      </x:c>
      <x:c r="B639" s="12" t="str">
        <x:v>cypress</x:v>
      </x:c>
      <x:c r="C639" s="12" t="str">
        <x:v>Business / brand</x:v>
      </x:c>
      <x:c r="D639" s="12" t="str">
        <x:v>Engineering &amp; manufacturing</x:v>
      </x:c>
      <x:c r="E639" s="12" t="str">
        <x:v>Semiconductors, electronics &amp; equipment</x:v>
      </x:c>
      <x:c r="F639" s="12" t="str">
        <x:v>Mixed business audience</x:v>
      </x:c>
      <x:c r="G639" s="12" t="str">
        <x:v>Established brand or business network; local company scale is not established. Use a mixed-business message.</x:v>
      </x:c>
      <x:c r="H639" s="11" t="n">
        <x:v>12</x:v>
      </x:c>
      <x:c r="I639" s="11" t="n">
        <x:v>12</x:v>
      </x:c>
      <x:c r="J639" s="11" t="n">
        <x:v>12</x:v>
      </x:c>
      <x:c r="K639" s="11" t="n">
        <x:v>0</x:v>
      </x:c>
      <x:c r="L639" s="17" t="n">
        <x:f>SUM(SUMIFS('Costing'!$P$9:$P$492,'Costing'!$A$9:$A$492,"PARTNER-M108"))</x:f>
        <x:v>480000</x:v>
      </x:c>
      <x:c r="M639" s="17" t="n">
        <x:f>ROUND(L639*'Costing'!$C$4,2)</x:f>
        <x:v>86400</x:v>
      </x:c>
      <x:c r="N639" s="17" t="n">
        <x:f>L639+M639</x:f>
        <x:v>566400</x:v>
      </x:c>
      <x:c r="O639" s="12" t="str">
        <x:v>Bengaluru</x:v>
      </x:c>
      <x:c r="P639" s="12" t="str">
        <x:v>CORP-0526, CORP-0527, CORP-0528, CORP-0529, CORP-0530, CORP-0531, CORP-0532, CORP-0533, CORP-0534, CORP-0535, CORP-0536, CORP-0537</x:v>
      </x:c>
      <x:c r="Q639" s="12" t="str">
        <x:v>cypress</x:v>
      </x:c>
    </x:row>
    <x:row r="640" ht="48" customHeight="1">
      <x:c r="A640" s="2" t="str">
        <x:v>TEN-BA21AB5B12DA</x:v>
      </x:c>
      <x:c r="B640" s="12" t="str">
        <x:v>Cytel</x:v>
      </x:c>
      <x:c r="C640" s="12" t="str">
        <x:v>Business / brand</x:v>
      </x:c>
      <x:c r="D640" s="12" t="str">
        <x:v>IT &amp; digital</x:v>
      </x:c>
      <x:c r="E640" s="12" t="str">
        <x:v>Enterprise software &amp; digital engineering</x:v>
      </x:c>
      <x:c r="F640" s="12" t="str">
        <x:v>Mixed business audience</x:v>
      </x:c>
      <x:c r="G640" s="12" t="str">
        <x:v>Established brand or business network; local company scale is not established. Use a mixed-business message.</x:v>
      </x:c>
      <x:c r="H640" s="11" t="n">
        <x:v>2</x:v>
      </x:c>
      <x:c r="I640" s="11" t="n">
        <x:v>2</x:v>
      </x:c>
      <x:c r="J640" s="11" t="n">
        <x:v>2</x:v>
      </x:c>
      <x:c r="K640" s="11" t="n">
        <x:v>0</x:v>
      </x:c>
      <x:c r="L640" s="17" t="n">
        <x:f>SUM(SUMIFS('Costing'!$P$9:$P$492,'Costing'!$A$9:$A$492,"PARTNER-M201"))</x:f>
        <x:v>80000</x:v>
      </x:c>
      <x:c r="M640" s="17" t="n">
        <x:f>ROUND(L640*'Costing'!$C$4,2)</x:f>
        <x:v>14400</x:v>
      </x:c>
      <x:c r="N640" s="17" t="n">
        <x:f>L640+M640</x:f>
        <x:v>94400</x:v>
      </x:c>
      <x:c r="O640" s="12" t="str">
        <x:v>Mumbai</x:v>
      </x:c>
      <x:c r="P640" s="12" t="str">
        <x:v>CORP-0618, CORP-0619</x:v>
      </x:c>
      <x:c r="Q640" s="12" t="str">
        <x:v>Cytel</x:v>
      </x:c>
    </x:row>
    <x:row r="641" ht="48" customHeight="1">
      <x:c r="A641" s="2" t="str">
        <x:v>TEN-2DE61E4711F8</x:v>
      </x:c>
      <x:c r="B641" s="12" t="str">
        <x:v>Cytel Statistical Software &amp; Services Private Limited</x:v>
      </x:c>
      <x:c r="C641" s="12" t="str">
        <x:v>Business / brand</x:v>
      </x:c>
      <x:c r="D641" s="12" t="str">
        <x:v>IT &amp; digital</x:v>
      </x:c>
      <x:c r="E641" s="12" t="str">
        <x:v>Enterprise software &amp; digital engineering</x:v>
      </x:c>
      <x:c r="F641" s="12" t="str">
        <x:v>Mixed business audience</x:v>
      </x:c>
      <x:c r="G641" s="12" t="str">
        <x:v>Established brand or business network; local company scale is not established. Use a mixed-business message.</x:v>
      </x:c>
      <x:c r="H641" s="11" t="n">
        <x:v>1</x:v>
      </x:c>
      <x:c r="I641" s="11" t="n">
        <x:v>2</x:v>
      </x:c>
      <x:c r="J641" s="11" t="n">
        <x:v>2</x:v>
      </x:c>
      <x:c r="K641" s="11" t="n">
        <x:v>0</x:v>
      </x:c>
      <x:c r="L641" s="17" t="n">
        <x:f>SUM(SUMIFS('Costing'!$P$9:$P$492,'Costing'!$A$9:$A$492,"MAIN-251"))</x:f>
        <x:v>40000</x:v>
      </x:c>
      <x:c r="M641" s="17" t="n">
        <x:f>ROUND(L641*'Costing'!$C$4,2)</x:f>
        <x:v>7200</x:v>
      </x:c>
      <x:c r="N641" s="17" t="n">
        <x:f>L641+M641</x:f>
        <x:v>47200</x:v>
      </x:c>
      <x:c r="O641" s="12" t="str">
        <x:v>Hyderabad</x:v>
      </x:c>
      <x:c r="P641" s="12" t="str">
        <x:v>CORP-0247</x:v>
      </x:c>
      <x:c r="Q641" s="12" t="str">
        <x:v>Cytel Statistical Software &amp; Services Private Limited</x:v>
      </x:c>
    </x:row>
    <x:row r="642" ht="48" customHeight="1">
      <x:c r="A642" s="2" t="str">
        <x:v>TEN-BAA6D3865F7F</x:v>
      </x:c>
      <x:c r="B642" s="12" t="str">
        <x:v>CYWARE</x:v>
      </x:c>
      <x:c r="C642" s="12" t="str">
        <x:v>Business / brand</x:v>
      </x:c>
      <x:c r="D642" s="12" t="str">
        <x:v>IT &amp; digital</x:v>
      </x:c>
      <x:c r="E642" s="12" t="str">
        <x:v>Cybersecurity &amp; cloud infrastructure</x:v>
      </x:c>
      <x:c r="F642" s="12" t="str">
        <x:v>Small-scale prospects</x:v>
      </x:c>
      <x:c r="G642" s="12" t="str">
        <x:v>Software or technology-services business; small-scale prospect assumption.</x:v>
      </x:c>
      <x:c r="H642" s="11" t="n">
        <x:v>1</x:v>
      </x:c>
      <x:c r="I642" s="11" t="n">
        <x:v>2</x:v>
      </x:c>
      <x:c r="J642" s="11" t="n">
        <x:v>2</x:v>
      </x:c>
      <x:c r="K642" s="11" t="n">
        <x:v>0</x:v>
      </x:c>
      <x:c r="L642" s="17" t="n">
        <x:f>SUM(SUMIFS('Costing'!$P$9:$P$492,'Costing'!$A$9:$A$492,"MAIN-102"))</x:f>
        <x:v>30000</x:v>
      </x:c>
      <x:c r="M642" s="17" t="n">
        <x:f>ROUND(L642*'Costing'!$C$4,2)</x:f>
        <x:v>5400</x:v>
      </x:c>
      <x:c r="N642" s="17" t="n">
        <x:f>L642+M642</x:f>
        <x:v>35400</x:v>
      </x:c>
      <x:c r="O642" s="12" t="str">
        <x:v>Bengaluru</x:v>
      </x:c>
      <x:c r="P642" s="12" t="str">
        <x:v>CORP-0098</x:v>
      </x:c>
      <x:c r="Q642" s="12" t="str">
        <x:v>CYWARE</x:v>
      </x:c>
    </x:row>
    <x:row r="643" ht="48" customHeight="1">
      <x:c r="A643" s="2" t="str">
        <x:v>TEN-A6A145176095</x:v>
      </x:c>
      <x:c r="B643" s="12" t="str">
        <x:v>D B Consultants</x:v>
      </x:c>
      <x:c r="C643" s="12" t="str">
        <x:v>Business / brand</x:v>
      </x:c>
      <x:c r="D643" s="12" t="str">
        <x:v>Professional services</x:v>
      </x:c>
      <x:c r="E643" s="12" t="str">
        <x:v>Business consulting &amp; advisory</x:v>
      </x:c>
      <x:c r="F643" s="12" t="str">
        <x:v>Small-scale prospects</x:v>
      </x:c>
      <x:c r="G643" s="12" t="str">
        <x:v>Professional service, agency or advisory model; small-scale prospect assumption.</x:v>
      </x:c>
      <x:c r="H643" s="11" t="n">
        <x:v>4</x:v>
      </x:c>
      <x:c r="I643" s="11" t="n">
        <x:v>4</x:v>
      </x:c>
      <x:c r="J643" s="11" t="n">
        <x:v>4</x:v>
      </x:c>
      <x:c r="K643" s="11" t="n">
        <x:v>0</x:v>
      </x:c>
      <x:c r="L643" s="17" t="n">
        <x:f>SUM(SUMIFS('Costing'!$P$9:$P$492,'Costing'!$A$9:$A$492,"PARTNER-M247"))</x:f>
        <x:v>160000</x:v>
      </x:c>
      <x:c r="M643" s="17" t="n">
        <x:f>ROUND(L643*'Costing'!$C$4,2)</x:f>
        <x:v>28800</x:v>
      </x:c>
      <x:c r="N643" s="17" t="n">
        <x:f>L643+M643</x:f>
        <x:v>188800</x:v>
      </x:c>
      <x:c r="O643" s="12" t="str">
        <x:v>Mumbai</x:v>
      </x:c>
      <x:c r="P643" s="12" t="str">
        <x:v>CORP-0664, CORP-0665, CORP-0666, CORP-0667</x:v>
      </x:c>
      <x:c r="Q643" s="12" t="str">
        <x:v>D B Consultants</x:v>
      </x:c>
    </x:row>
    <x:row r="644" ht="48" customHeight="1">
      <x:c r="A644" s="2" t="str">
        <x:v>TEN-B0659027A62A</x:v>
      </x:c>
      <x:c r="B644" s="12" t="str">
        <x:v>D.E shaw pvt ltd</x:v>
      </x:c>
      <x:c r="C644" s="12" t="str">
        <x:v>Business / brand</x:v>
      </x:c>
      <x:c r="D644" s="12" t="str">
        <x:v>Finance &amp; insurance</x:v>
      </x:c>
      <x:c r="E644" s="12" t="str">
        <x:v>Banking, credit &amp; financial services</x:v>
      </x:c>
      <x:c r="F644" s="12" t="str">
        <x:v>Mixed business audience</x:v>
      </x:c>
      <x:c r="G644" s="12" t="str">
        <x:v>Established brand or business network; local company scale is not established. Use a mixed-business message.</x:v>
      </x:c>
      <x:c r="H644" s="11" t="n">
        <x:v>1</x:v>
      </x:c>
      <x:c r="I644" s="11" t="n">
        <x:v>1</x:v>
      </x:c>
      <x:c r="J644" s="11" t="n">
        <x:v>1</x:v>
      </x:c>
      <x:c r="K644" s="11" t="n">
        <x:v>0</x:v>
      </x:c>
      <x:c r="L644" s="17" t="n">
        <x:f>SUM(SUMIFS('Costing'!$P$9:$P$492,'Costing'!$A$9:$A$492,"MAIN-245"))</x:f>
        <x:v>40000</x:v>
      </x:c>
      <x:c r="M644" s="17" t="n">
        <x:f>ROUND(L644*'Costing'!$C$4,2)</x:f>
        <x:v>7200</x:v>
      </x:c>
      <x:c r="N644" s="17" t="n">
        <x:f>L644+M644</x:f>
        <x:v>47200</x:v>
      </x:c>
      <x:c r="O644" s="12" t="str">
        <x:v>Hyderabad</x:v>
      </x:c>
      <x:c r="P644" s="12" t="str">
        <x:v>CORP-0241</x:v>
      </x:c>
      <x:c r="Q644" s="12" t="str">
        <x:v>D.E shaw pvt ltd</x:v>
      </x:c>
    </x:row>
    <x:row r="645" ht="48" customHeight="1">
      <x:c r="A645" s="2" t="str">
        <x:v>TEN-DB6C877226A2</x:v>
      </x:c>
      <x:c r="B645" s="12" t="str">
        <x:v>D4T4 - Celebrus India Pvt Ltd</x:v>
      </x:c>
      <x:c r="C645" s="12" t="str">
        <x:v>Business / brand</x:v>
      </x:c>
      <x:c r="D645" s="12" t="str">
        <x:v>IT &amp; digital</x:v>
      </x:c>
      <x:c r="E645" s="12" t="str">
        <x:v>Enterprise software &amp; digital engineering</x:v>
      </x:c>
      <x:c r="F645" s="12" t="str">
        <x:v>Mixed business audience</x:v>
      </x:c>
      <x:c r="G645" s="12" t="str">
        <x:v>Established brand or business network; local company scale is not established. Use a mixed-business message.</x:v>
      </x:c>
      <x:c r="H645" s="11" t="n">
        <x:v>1</x:v>
      </x:c>
      <x:c r="I645" s="11" t="n">
        <x:v>2</x:v>
      </x:c>
      <x:c r="J645" s="11" t="n">
        <x:v>2</x:v>
      </x:c>
      <x:c r="K645" s="11" t="n">
        <x:v>0</x:v>
      </x:c>
      <x:c r="L645" s="17" t="n">
        <x:f>SUM(SUMIFS('Costing'!$P$9:$P$492,'Costing'!$A$9:$A$492,"MAIN-152"))</x:f>
        <x:v>40000</x:v>
      </x:c>
      <x:c r="M645" s="17" t="n">
        <x:f>ROUND(L645*'Costing'!$C$4,2)</x:f>
        <x:v>7200</x:v>
      </x:c>
      <x:c r="N645" s="17" t="n">
        <x:f>L645+M645</x:f>
        <x:v>47200</x:v>
      </x:c>
      <x:c r="O645" s="12" t="str">
        <x:v>Chennai</x:v>
      </x:c>
      <x:c r="P645" s="12" t="str">
        <x:v>CORP-0148</x:v>
      </x:c>
      <x:c r="Q645" s="12" t="str">
        <x:v>D4T4 - Celebrus India Pvt Ltd</x:v>
      </x:c>
    </x:row>
    <x:row r="646" ht="48" customHeight="1">
      <x:c r="A646" s="2" t="str">
        <x:v>TEN-F6C3D7E2CE93</x:v>
      </x:c>
      <x:c r="B646" s="12" t="str">
        <x:v>Dairy Craft India Pvt Ltd</x:v>
      </x:c>
      <x:c r="C646" s="12" t="str">
        <x:v>Business / brand</x:v>
      </x:c>
      <x:c r="D646" s="12" t="str">
        <x:v>Trade, consumer &amp; logistics</x:v>
      </x:c>
      <x:c r="E646" s="12" t="str">
        <x:v>Travel, hospitality, food &amp; beverages</x:v>
      </x:c>
      <x:c r="F646" s="12" t="str">
        <x:v>Small-scale prospects</x:v>
      </x:c>
      <x:c r="G646" s="12" t="str">
        <x:v>Trading or consumer-services business; small-scale prospect assumption.</x:v>
      </x:c>
      <x:c r="H646" s="11" t="n">
        <x:v>1</x:v>
      </x:c>
      <x:c r="I646" s="11" t="n">
        <x:v>3</x:v>
      </x:c>
      <x:c r="J646" s="11" t="n">
        <x:v>3</x:v>
      </x:c>
      <x:c r="K646" s="11" t="n">
        <x:v>0</x:v>
      </x:c>
      <x:c r="L646" s="17" t="n">
        <x:f>SUM(SUMIFS('Costing'!$P$9:$P$492,'Costing'!$A$9:$A$492,"MAIN-195"))</x:f>
        <x:v>60000</x:v>
      </x:c>
      <x:c r="M646" s="17" t="n">
        <x:f>ROUND(L646*'Costing'!$C$4,2)</x:f>
        <x:v>10800</x:v>
      </x:c>
      <x:c r="N646" s="17" t="n">
        <x:f>L646+M646</x:f>
        <x:v>70800</x:v>
      </x:c>
      <x:c r="O646" s="12" t="str">
        <x:v>Delhi NCR</x:v>
      </x:c>
      <x:c r="P646" s="12" t="str">
        <x:v>CORP-0191</x:v>
      </x:c>
      <x:c r="Q646" s="12" t="str">
        <x:v>Dairy Craft India Pvt Ltd</x:v>
      </x:c>
    </x:row>
    <x:row r="647" ht="48" customHeight="1">
      <x:c r="A647" s="2" t="str">
        <x:v>TEN-0B724CA91807</x:v>
      </x:c>
      <x:c r="B647" s="12" t="str">
        <x:v>Dalet India Private Limited</x:v>
      </x:c>
      <x:c r="C647" s="12" t="str">
        <x:v>Business / brand</x:v>
      </x:c>
      <x:c r="D647" s="12" t="str">
        <x:v>IT &amp; digital</x:v>
      </x:c>
      <x:c r="E647" s="12" t="str">
        <x:v>Enterprise software &amp; digital engineering</x:v>
      </x:c>
      <x:c r="F647" s="12" t="str">
        <x:v>Mixed business audience</x:v>
      </x:c>
      <x:c r="G647" s="12" t="str">
        <x:v>Established brand or business network; local company scale is not established. Use a mixed-business message.</x:v>
      </x:c>
      <x:c r="H647" s="11" t="n">
        <x:v>1</x:v>
      </x:c>
      <x:c r="I647" s="11" t="n">
        <x:v>2</x:v>
      </x:c>
      <x:c r="J647" s="11" t="n">
        <x:v>2</x:v>
      </x:c>
      <x:c r="K647" s="11" t="n">
        <x:v>0</x:v>
      </x:c>
      <x:c r="L647" s="17" t="n">
        <x:f>SUM(SUMIFS('Costing'!$P$9:$P$492,'Costing'!$A$9:$A$492,"MAIN-150"))</x:f>
        <x:v>40000</x:v>
      </x:c>
      <x:c r="M647" s="17" t="n">
        <x:f>ROUND(L647*'Costing'!$C$4,2)</x:f>
        <x:v>7200</x:v>
      </x:c>
      <x:c r="N647" s="17" t="n">
        <x:f>L647+M647</x:f>
        <x:v>47200</x:v>
      </x:c>
      <x:c r="O647" s="12" t="str">
        <x:v>Chennai</x:v>
      </x:c>
      <x:c r="P647" s="12" t="str">
        <x:v>CORP-0146</x:v>
      </x:c>
      <x:c r="Q647" s="12" t="str">
        <x:v>Dalet India Private Limited</x:v>
      </x:c>
    </x:row>
    <x:row r="648" ht="48" customHeight="1">
      <x:c r="A648" s="2" t="str">
        <x:v>TEN-F244698491CB</x:v>
      </x:c>
      <x:c r="B648" s="12" t="str">
        <x:v>Damco India Pvt Ltd</x:v>
      </x:c>
      <x:c r="C648" s="12" t="str">
        <x:v>Business / brand</x:v>
      </x:c>
      <x:c r="D648" s="12" t="str">
        <x:v>Trade, consumer &amp; logistics</x:v>
      </x:c>
      <x:c r="E648" s="12" t="str">
        <x:v>Logistics, shipping &amp; transport</x:v>
      </x:c>
      <x:c r="F648" s="12" t="str">
        <x:v>Mixed business audience</x:v>
      </x:c>
      <x:c r="G648" s="12" t="str">
        <x:v>Established brand or business network; local company scale is not established. Use a mixed-business message.</x:v>
      </x:c>
      <x:c r="H648" s="11" t="n">
        <x:v>2</x:v>
      </x:c>
      <x:c r="I648" s="11" t="n">
        <x:v>2</x:v>
      </x:c>
      <x:c r="J648" s="11" t="n">
        <x:v>2</x:v>
      </x:c>
      <x:c r="K648" s="11" t="n">
        <x:v>0</x:v>
      </x:c>
      <x:c r="L648" s="17" t="n">
        <x:f>SUM(SUMIFS('Costing'!$P$9:$P$492,'Costing'!$A$9:$A$492,"PARTNER-M334"))</x:f>
        <x:v>80000</x:v>
      </x:c>
      <x:c r="M648" s="17" t="n">
        <x:f>ROUND(L648*'Costing'!$C$4,2)</x:f>
        <x:v>14400</x:v>
      </x:c>
      <x:c r="N648" s="17" t="n">
        <x:f>L648+M648</x:f>
        <x:v>94400</x:v>
      </x:c>
      <x:c r="O648" s="12" t="str">
        <x:v>Chennai</x:v>
      </x:c>
      <x:c r="P648" s="12" t="str">
        <x:v>CORP-0748, CORP-0749</x:v>
      </x:c>
      <x:c r="Q648" s="12" t="str">
        <x:v>Damco India Pvt Ltd</x:v>
      </x:c>
    </x:row>
    <x:row r="649" ht="48" customHeight="1">
      <x:c r="A649" s="2" t="str">
        <x:v>TEN-126B90B3AAF0</x:v>
      </x:c>
      <x:c r="B649" s="12" t="str">
        <x:v>Danube Properties</x:v>
      </x:c>
      <x:c r="C649" s="12" t="str">
        <x:v>Business / brand</x:v>
      </x:c>
      <x:c r="D649" s="12" t="str">
        <x:v>Trade, consumer &amp; logistics</x:v>
      </x:c>
      <x:c r="E649" s="12" t="str">
        <x:v>Real estate, property &amp; construction services</x:v>
      </x:c>
      <x:c r="F649" s="12" t="str">
        <x:v>Mixed business audience</x:v>
      </x:c>
      <x:c r="G649" s="12" t="str">
        <x:v>Established brand or business network; local company scale is not established. Use a mixed-business message.</x:v>
      </x:c>
      <x:c r="H649" s="11" t="n">
        <x:v>3</x:v>
      </x:c>
      <x:c r="I649" s="11" t="n">
        <x:v>3</x:v>
      </x:c>
      <x:c r="J649" s="11" t="n">
        <x:v>3</x:v>
      </x:c>
      <x:c r="K649" s="11" t="n">
        <x:v>0</x:v>
      </x:c>
      <x:c r="L649" s="17" t="n">
        <x:f>SUM(SUMIFS('Costing'!$P$9:$P$492,'Costing'!$A$9:$A$492,"PARTNER-M175"))</x:f>
        <x:v>120000</x:v>
      </x:c>
      <x:c r="M649" s="17" t="n">
        <x:f>ROUND(L649*'Costing'!$C$4,2)</x:f>
        <x:v>21600</x:v>
      </x:c>
      <x:c r="N649" s="17" t="n">
        <x:f>L649+M649</x:f>
        <x:v>141600</x:v>
      </x:c>
      <x:c r="O649" s="12" t="str">
        <x:v>Mumbai</x:v>
      </x:c>
      <x:c r="P649" s="12" t="str">
        <x:v>CORP-0592, CORP-0593, CORP-0594</x:v>
      </x:c>
      <x:c r="Q649" s="12" t="str">
        <x:v>Danube Properties</x:v>
      </x:c>
    </x:row>
    <x:row r="650" ht="48" customHeight="1">
      <x:c r="A650" s="2" t="str">
        <x:v>TEN-7954016EF06C</x:v>
      </x:c>
      <x:c r="B650" s="12" t="str">
        <x:v>Data Minder Infotek Pvt Ltd</x:v>
      </x:c>
      <x:c r="C650" s="12" t="str">
        <x:v>Business / brand</x:v>
      </x:c>
      <x:c r="D650" s="12" t="str">
        <x:v>IT &amp; digital</x:v>
      </x:c>
      <x:c r="E650" s="12" t="str">
        <x:v>Enterprise software &amp; digital engineering</x:v>
      </x:c>
      <x:c r="F650" s="12" t="str">
        <x:v>Small-scale prospects</x:v>
      </x:c>
      <x:c r="G650" s="12" t="str">
        <x:v>Software or technology-services business; small-scale prospect assumption.</x:v>
      </x:c>
      <x:c r="H650" s="11" t="n">
        <x:v>1</x:v>
      </x:c>
      <x:c r="I650" s="11" t="n">
        <x:v>11</x:v>
      </x:c>
      <x:c r="J650" s="11" t="n">
        <x:v>11</x:v>
      </x:c>
      <x:c r="K650" s="11" t="n">
        <x:v>0</x:v>
      </x:c>
      <x:c r="L650" s="17" t="n">
        <x:f>SUM(SUMIFS('Costing'!$P$9:$P$492,'Costing'!$A$9:$A$492,"MAIN-077"))</x:f>
        <x:v>165000</x:v>
      </x:c>
      <x:c r="M650" s="17" t="n">
        <x:f>ROUND(L650*'Costing'!$C$4,2)</x:f>
        <x:v>29700</x:v>
      </x:c>
      <x:c r="N650" s="17" t="n">
        <x:f>L650+M650</x:f>
        <x:v>194700</x:v>
      </x:c>
      <x:c r="O650" s="12" t="str">
        <x:v>Bengaluru</x:v>
      </x:c>
      <x:c r="P650" s="12" t="str">
        <x:v>CORP-0073</x:v>
      </x:c>
      <x:c r="Q650" s="12" t="str">
        <x:v>Data Minder Infotek Pvt Ltd</x:v>
      </x:c>
    </x:row>
    <x:row r="651" ht="48" customHeight="1">
      <x:c r="A651" s="2" t="str">
        <x:v>TEN-B178003E7D85</x:v>
      </x:c>
      <x:c r="B651" s="12" t="str">
        <x:v>Databricks India Pvt Ltd</x:v>
      </x:c>
      <x:c r="C651" s="12" t="str">
        <x:v>Business / brand</x:v>
      </x:c>
      <x:c r="D651" s="12" t="str">
        <x:v>IT &amp; digital</x:v>
      </x:c>
      <x:c r="E651" s="12" t="str">
        <x:v>AI, data &amp; analytics</x:v>
      </x:c>
      <x:c r="F651" s="12" t="str">
        <x:v>Mixed business audience</x:v>
      </x:c>
      <x:c r="G651" s="12" t="str">
        <x:v>Recognisable business context; company-scale evidence remains insufficient for a single size band.</x:v>
      </x:c>
      <x:c r="H651" s="11" t="n">
        <x:v>8</x:v>
      </x:c>
      <x:c r="I651" s="11" t="n">
        <x:v>8</x:v>
      </x:c>
      <x:c r="J651" s="11" t="n">
        <x:v>8</x:v>
      </x:c>
      <x:c r="K651" s="11" t="n">
        <x:v>0</x:v>
      </x:c>
      <x:c r="L651" s="17" t="n">
        <x:f>SUM(SUMIFS('Costing'!$P$9:$P$492,'Costing'!$A$9:$A$492,"PARTNER-M138"))</x:f>
        <x:v>320000</x:v>
      </x:c>
      <x:c r="M651" s="17" t="n">
        <x:f>ROUND(L651*'Costing'!$C$4,2)</x:f>
        <x:v>57600</x:v>
      </x:c>
      <x:c r="N651" s="17" t="n">
        <x:f>L651+M651</x:f>
        <x:v>377600</x:v>
      </x:c>
      <x:c r="O651" s="12" t="str">
        <x:v>Bengaluru</x:v>
      </x:c>
      <x:c r="P651" s="12" t="str">
        <x:v>CORP-0556, CORP-0557, CORP-0558, CORP-0559, CORP-0560, CORP-0561, CORP-0562, CORP-0563</x:v>
      </x:c>
      <x:c r="Q651" s="12" t="str">
        <x:v>Databricks India Pvt Ltd</x:v>
      </x:c>
    </x:row>
    <x:row r="652" ht="48" customHeight="1">
      <x:c r="A652" s="2" t="str">
        <x:v>TEN-CC657A30A7F0</x:v>
      </x:c>
      <x:c r="B652" s="12" t="str">
        <x:v>databytes</x:v>
      </x:c>
      <x:c r="C652" s="12" t="str">
        <x:v>Business / brand</x:v>
      </x:c>
      <x:c r="D652" s="12" t="str">
        <x:v>IT &amp; digital</x:v>
      </x:c>
      <x:c r="E652" s="12" t="str">
        <x:v>Enterprise software &amp; digital engineering</x:v>
      </x:c>
      <x:c r="F652" s="12" t="str">
        <x:v>Small-scale prospects</x:v>
      </x:c>
      <x:c r="G652" s="12" t="str">
        <x:v>Software or technology-services business; small-scale prospect assumption.</x:v>
      </x:c>
      <x:c r="H652" s="11" t="n">
        <x:v>1</x:v>
      </x:c>
      <x:c r="I652" s="11" t="n">
        <x:v>4</x:v>
      </x:c>
      <x:c r="J652" s="11" t="n">
        <x:v>4</x:v>
      </x:c>
      <x:c r="K652" s="11" t="n">
        <x:v>0</x:v>
      </x:c>
      <x:c r="L652" s="17" t="n">
        <x:f>SUM(SUMIFS('Costing'!$P$9:$P$492,'Costing'!$A$9:$A$492,"MAIN-014"))</x:f>
        <x:v>60000</x:v>
      </x:c>
      <x:c r="M652" s="17" t="n">
        <x:f>ROUND(L652*'Costing'!$C$4,2)</x:f>
        <x:v>10800</x:v>
      </x:c>
      <x:c r="N652" s="17" t="n">
        <x:f>L652+M652</x:f>
        <x:v>70800</x:v>
      </x:c>
      <x:c r="O652" s="12" t="str">
        <x:v>Bengaluru</x:v>
      </x:c>
      <x:c r="P652" s="12" t="str">
        <x:v>CORP-0010</x:v>
      </x:c>
      <x:c r="Q652" s="12" t="str">
        <x:v>databytes</x:v>
      </x:c>
    </x:row>
    <x:row r="653" ht="48" customHeight="1">
      <x:c r="A653" s="2" t="str">
        <x:v>TEN-CAC431BD1CA4</x:v>
      </x:c>
      <x:c r="B653" s="12" t="str">
        <x:v>DataCore Software India Pvt Ltd</x:v>
      </x:c>
      <x:c r="C653" s="12" t="str">
        <x:v>Business / brand</x:v>
      </x:c>
      <x:c r="D653" s="12" t="str">
        <x:v>IT &amp; digital</x:v>
      </x:c>
      <x:c r="E653" s="12" t="str">
        <x:v>Enterprise software &amp; digital engineering</x:v>
      </x:c>
      <x:c r="F653" s="12" t="str">
        <x:v>Mixed business audience</x:v>
      </x:c>
      <x:c r="G653" s="12" t="str">
        <x:v>Established brand or business network; local company scale is not established. Use a mixed-business message.</x:v>
      </x:c>
      <x:c r="H653" s="11" t="n">
        <x:v>1</x:v>
      </x:c>
      <x:c r="I653" s="11" t="n">
        <x:v>2</x:v>
      </x:c>
      <x:c r="J653" s="11" t="n">
        <x:v>2</x:v>
      </x:c>
      <x:c r="K653" s="11" t="n">
        <x:v>0</x:v>
      </x:c>
      <x:c r="L653" s="17" t="n">
        <x:f>SUM(SUMIFS('Costing'!$P$9:$P$492,'Costing'!$A$9:$A$492,"MAIN-049"))</x:f>
        <x:v>40000</x:v>
      </x:c>
      <x:c r="M653" s="17" t="n">
        <x:f>ROUND(L653*'Costing'!$C$4,2)</x:f>
        <x:v>7200</x:v>
      </x:c>
      <x:c r="N653" s="17" t="n">
        <x:f>L653+M653</x:f>
        <x:v>47200</x:v>
      </x:c>
      <x:c r="O653" s="12" t="str">
        <x:v>Bengaluru</x:v>
      </x:c>
      <x:c r="P653" s="12" t="str">
        <x:v>CORP-0045</x:v>
      </x:c>
      <x:c r="Q653" s="12" t="str">
        <x:v>DataCore Software India Pvt Ltd</x:v>
      </x:c>
    </x:row>
    <x:row r="654" ht="48" customHeight="1">
      <x:c r="A654" s="2" t="str">
        <x:v>TEN-06B74412C407</x:v>
      </x:c>
      <x:c r="B654" s="12" t="str">
        <x:v>Datafortune Software Solutions Pvt. Ltd</x:v>
      </x:c>
      <x:c r="C654" s="12" t="str">
        <x:v>Business / brand</x:v>
      </x:c>
      <x:c r="D654" s="12" t="str">
        <x:v>IT &amp; digital</x:v>
      </x:c>
      <x:c r="E654" s="12" t="str">
        <x:v>Enterprise software &amp; digital engineering</x:v>
      </x:c>
      <x:c r="F654" s="12" t="str">
        <x:v>Small-scale prospects</x:v>
      </x:c>
      <x:c r="G654" s="12" t="str">
        <x:v>Software or technology-services business; small-scale prospect assumption.</x:v>
      </x:c>
      <x:c r="H654" s="11" t="n">
        <x:v>4</x:v>
      </x:c>
      <x:c r="I654" s="11" t="n">
        <x:v>4</x:v>
      </x:c>
      <x:c r="J654" s="11" t="n">
        <x:v>4</x:v>
      </x:c>
      <x:c r="K654" s="11" t="n">
        <x:v>0</x:v>
      </x:c>
      <x:c r="L654" s="17" t="n">
        <x:f>SUM(SUMIFS('Costing'!$P$9:$P$492,'Costing'!$A$9:$A$492,"PARTNER-M261"))</x:f>
        <x:v>160000</x:v>
      </x:c>
      <x:c r="M654" s="17" t="n">
        <x:f>ROUND(L654*'Costing'!$C$4,2)</x:f>
        <x:v>28800</x:v>
      </x:c>
      <x:c r="N654" s="17" t="n">
        <x:f>L654+M654</x:f>
        <x:v>188800</x:v>
      </x:c>
      <x:c r="O654" s="12" t="str">
        <x:v>Pune</x:v>
      </x:c>
      <x:c r="P654" s="12" t="str">
        <x:v>CORP-0677, CORP-0678, CORP-0679, CORP-0680</x:v>
      </x:c>
      <x:c r="Q654" s="12" t="str">
        <x:v>Datafortune Software Solutions Pvt. Ltd</x:v>
      </x:c>
    </x:row>
    <x:row r="655" ht="48" customHeight="1">
      <x:c r="A655" s="2" t="str">
        <x:v>TEN-DF9748595865</x:v>
      </x:c>
      <x:c r="B655" s="12" t="str">
        <x:v>Datamark Inc</x:v>
      </x:c>
      <x:c r="C655" s="12" t="str">
        <x:v>Business / brand</x:v>
      </x:c>
      <x:c r="D655" s="12" t="str">
        <x:v>IT &amp; digital</x:v>
      </x:c>
      <x:c r="E655" s="12" t="str">
        <x:v>Business process &amp; customer operations</x:v>
      </x:c>
      <x:c r="F655" s="12" t="str">
        <x:v>Mixed business audience</x:v>
      </x:c>
      <x:c r="G655" s="12" t="str">
        <x:v>Established brand or business network; local company scale is not established. Use a mixed-business message.</x:v>
      </x:c>
      <x:c r="H655" s="11" t="n">
        <x:v>3</x:v>
      </x:c>
      <x:c r="I655" s="11" t="n">
        <x:v>3</x:v>
      </x:c>
      <x:c r="J655" s="11" t="n">
        <x:v>3</x:v>
      </x:c>
      <x:c r="K655" s="11" t="n">
        <x:v>0</x:v>
      </x:c>
      <x:c r="L655" s="17" t="n">
        <x:f>SUM(SUMIFS('Costing'!$P$9:$P$492,'Costing'!$A$9:$A$492,"PARTNER-M349"),SUMIFS('Costing'!$P$9:$P$492,'Costing'!$A$9:$A$492,"PARTNER-M350"))</x:f>
        <x:v>120000</x:v>
      </x:c>
      <x:c r="M655" s="17" t="n">
        <x:f>ROUND(L655*'Costing'!$C$4,2)</x:f>
        <x:v>21600</x:v>
      </x:c>
      <x:c r="N655" s="17" t="n">
        <x:f>L655+M655</x:f>
        <x:v>141600</x:v>
      </x:c>
      <x:c r="O655" s="12" t="str">
        <x:v>Chennai</x:v>
      </x:c>
      <x:c r="P655" s="12" t="str">
        <x:v>CORP-0763, CORP-0764, CORP-0765</x:v>
      </x:c>
      <x:c r="Q655" s="12" t="str">
        <x:v>Datamark Inc</x:v>
      </x:c>
    </x:row>
    <x:row r="656" ht="48" customHeight="1">
      <x:c r="A656" s="2" t="str">
        <x:v>TEN-58530B1CAB5C</x:v>
      </x:c>
      <x:c r="B656" s="12" t="str">
        <x:v>Datart Infotech LLP</x:v>
      </x:c>
      <x:c r="C656" s="12" t="str">
        <x:v>Business / brand</x:v>
      </x:c>
      <x:c r="D656" s="12" t="str">
        <x:v>IT &amp; digital</x:v>
      </x:c>
      <x:c r="E656" s="12" t="str">
        <x:v>Enterprise software &amp; digital engineering</x:v>
      </x:c>
      <x:c r="F656" s="12" t="str">
        <x:v>Small-scale prospects</x:v>
      </x:c>
      <x:c r="G656" s="12" t="str">
        <x:v>Software or technology-services business; small-scale prospect assumption.</x:v>
      </x:c>
      <x:c r="H656" s="11" t="n">
        <x:v>4</x:v>
      </x:c>
      <x:c r="I656" s="11" t="n">
        <x:v>4</x:v>
      </x:c>
      <x:c r="J656" s="11" t="n">
        <x:v>4</x:v>
      </x:c>
      <x:c r="K656" s="11" t="n">
        <x:v>0</x:v>
      </x:c>
      <x:c r="L656" s="17" t="n">
        <x:f>SUM(SUMIFS('Costing'!$P$9:$P$492,'Costing'!$A$9:$A$492,"PARTNER-M261"))</x:f>
        <x:v>160000</x:v>
      </x:c>
      <x:c r="M656" s="17" t="n">
        <x:f>ROUND(L656*'Costing'!$C$4,2)</x:f>
        <x:v>28800</x:v>
      </x:c>
      <x:c r="N656" s="17" t="n">
        <x:f>L656+M656</x:f>
        <x:v>188800</x:v>
      </x:c>
      <x:c r="O656" s="12" t="str">
        <x:v>Pune</x:v>
      </x:c>
      <x:c r="P656" s="12" t="str">
        <x:v>CORP-0677, CORP-0678, CORP-0679, CORP-0680</x:v>
      </x:c>
      <x:c r="Q656" s="12" t="str">
        <x:v>Datart Infotech LLP</x:v>
      </x:c>
    </x:row>
    <x:row r="657" ht="48" customHeight="1">
      <x:c r="A657" s="2" t="str">
        <x:v>TEN-01852F0C541F</x:v>
      </x:c>
      <x:c r="B657" s="12" t="str">
        <x:v>Dattam Labs</x:v>
      </x:c>
      <x:c r="C657" s="12" t="str">
        <x:v>Business / brand</x:v>
      </x:c>
      <x:c r="D657" s="12" t="str">
        <x:v>IT &amp; digital</x:v>
      </x:c>
      <x:c r="E657" s="12" t="str">
        <x:v>AI, data &amp; analytics</x:v>
      </x:c>
      <x:c r="F657" s="12" t="str">
        <x:v>Small-scale prospects</x:v>
      </x:c>
      <x:c r="G657" s="12" t="str">
        <x:v>Software or technology-services business; small-scale prospect assumption.</x:v>
      </x:c>
      <x:c r="H657" s="11" t="n">
        <x:v>1</x:v>
      </x:c>
      <x:c r="I657" s="11" t="n">
        <x:v>2</x:v>
      </x:c>
      <x:c r="J657" s="11" t="n">
        <x:v>2</x:v>
      </x:c>
      <x:c r="K657" s="11" t="n">
        <x:v>0</x:v>
      </x:c>
      <x:c r="L657" s="17" t="n">
        <x:f>SUM(SUMIFS('Costing'!$P$9:$P$492,'Costing'!$A$9:$A$492,"MAIN-223"))</x:f>
        <x:v>30000</x:v>
      </x:c>
      <x:c r="M657" s="17" t="n">
        <x:f>ROUND(L657*'Costing'!$C$4,2)</x:f>
        <x:v>5400</x:v>
      </x:c>
      <x:c r="N657" s="17" t="n">
        <x:f>L657+M657</x:f>
        <x:v>35400</x:v>
      </x:c>
      <x:c r="O657" s="12" t="str">
        <x:v>Hyderabad</x:v>
      </x:c>
      <x:c r="P657" s="12" t="str">
        <x:v>CORP-0219</x:v>
      </x:c>
      <x:c r="Q657" s="12" t="str">
        <x:v>Dattam Labs</x:v>
      </x:c>
    </x:row>
    <x:row r="658" ht="48" customHeight="1">
      <x:c r="A658" s="2" t="str">
        <x:v>TEN-28EC12D4E890</x:v>
      </x:c>
      <x:c r="B658" s="12" t="str">
        <x:v>Davinta</x:v>
      </x:c>
      <x:c r="C658" s="12" t="str">
        <x:v>Business / brand</x:v>
      </x:c>
      <x:c r="D658" s="12" t="str">
        <x:v>Finance &amp; insurance</x:v>
      </x:c>
      <x:c r="E658" s="12" t="str">
        <x:v>Banking, credit &amp; financial services</x:v>
      </x:c>
      <x:c r="F658" s="12" t="str">
        <x:v>Medium-scale prospects</x:v>
      </x:c>
      <x:c r="G658" s="12" t="str">
        <x:v>Specialist financial-services business; medium-scale prospect assumption.</x:v>
      </x:c>
      <x:c r="H658" s="11" t="n">
        <x:v>2</x:v>
      </x:c>
      <x:c r="I658" s="11" t="n">
        <x:v>4</x:v>
      </x:c>
      <x:c r="J658" s="11" t="n">
        <x:v>4</x:v>
      </x:c>
      <x:c r="K658" s="11" t="n">
        <x:v>0</x:v>
      </x:c>
      <x:c r="L658" s="17" t="n">
        <x:f>SUM(SUMIFS('Costing'!$P$9:$P$492,'Costing'!$A$9:$A$492,"MAIN-106"),SUMIFS('Costing'!$P$9:$P$492,'Costing'!$A$9:$A$492,"MAIN-100"))</x:f>
        <x:v>60000</x:v>
      </x:c>
      <x:c r="M658" s="17" t="n">
        <x:f>ROUND(L658*'Costing'!$C$4,2)</x:f>
        <x:v>10800</x:v>
      </x:c>
      <x:c r="N658" s="17" t="n">
        <x:f>L658+M658</x:f>
        <x:v>70800</x:v>
      </x:c>
      <x:c r="O658" s="12" t="str">
        <x:v>Bengaluru</x:v>
      </x:c>
      <x:c r="P658" s="12" t="str">
        <x:v>CORP-0096, CORP-0102</x:v>
      </x:c>
      <x:c r="Q658" s="12" t="str">
        <x:v>Davinta</x:v>
      </x:c>
    </x:row>
    <x:row r="659" ht="48" customHeight="1">
      <x:c r="A659" s="2" t="str">
        <x:v>TEN-BE4220A2067C</x:v>
      </x:c>
      <x:c r="B659" s="12" t="str">
        <x:v>Davisware Software Solutions Pvt Ltd</x:v>
      </x:c>
      <x:c r="C659" s="12" t="str">
        <x:v>Business / brand</x:v>
      </x:c>
      <x:c r="D659" s="12" t="str">
        <x:v>IT &amp; digital</x:v>
      </x:c>
      <x:c r="E659" s="12" t="str">
        <x:v>Enterprise software &amp; digital engineering</x:v>
      </x:c>
      <x:c r="F659" s="12" t="str">
        <x:v>Small-scale prospects</x:v>
      </x:c>
      <x:c r="G659" s="12" t="str">
        <x:v>Software or technology-services business; small-scale prospect assumption.</x:v>
      </x:c>
      <x:c r="H659" s="11" t="n">
        <x:v>1</x:v>
      </x:c>
      <x:c r="I659" s="11" t="n">
        <x:v>2</x:v>
      </x:c>
      <x:c r="J659" s="11" t="n">
        <x:v>2</x:v>
      </x:c>
      <x:c r="K659" s="11" t="n">
        <x:v>0</x:v>
      </x:c>
      <x:c r="L659" s="17" t="n">
        <x:f>SUM(SUMIFS('Costing'!$P$9:$P$492,'Costing'!$A$9:$A$492,"MAIN-257"))</x:f>
        <x:v>40000</x:v>
      </x:c>
      <x:c r="M659" s="17" t="n">
        <x:f>ROUND(L659*'Costing'!$C$4,2)</x:f>
        <x:v>7200</x:v>
      </x:c>
      <x:c r="N659" s="17" t="n">
        <x:f>L659+M659</x:f>
        <x:v>47200</x:v>
      </x:c>
      <x:c r="O659" s="12" t="str">
        <x:v>Hyderabad</x:v>
      </x:c>
      <x:c r="P659" s="12" t="str">
        <x:v>CORP-0253</x:v>
      </x:c>
      <x:c r="Q659" s="12" t="str">
        <x:v>Davisware Software Solutions Pvt Ltd</x:v>
      </x:c>
    </x:row>
    <x:row r="660" ht="48" customHeight="1">
      <x:c r="A660" s="2" t="str">
        <x:v>TEN-14394EB753CA</x:v>
      </x:c>
      <x:c r="B660" s="12" t="str">
        <x:v>Daytona System Pvt.Ltd</x:v>
      </x:c>
      <x:c r="C660" s="12" t="str">
        <x:v>Business / brand</x:v>
      </x:c>
      <x:c r="D660" s="12" t="str">
        <x:v>IT &amp; digital</x:v>
      </x:c>
      <x:c r="E660" s="12" t="str">
        <x:v>Enterprise software &amp; digital engineering</x:v>
      </x:c>
      <x:c r="F660" s="12" t="str">
        <x:v>Small-scale prospects</x:v>
      </x:c>
      <x:c r="G660" s="12" t="str">
        <x:v>Software or technology-services business; small-scale prospect assumption.</x:v>
      </x:c>
      <x:c r="H660" s="11" t="n">
        <x:v>1</x:v>
      </x:c>
      <x:c r="I660" s="11" t="n">
        <x:v>1</x:v>
      </x:c>
      <x:c r="J660" s="11" t="n">
        <x:v>1</x:v>
      </x:c>
      <x:c r="K660" s="11" t="n">
        <x:v>0</x:v>
      </x:c>
      <x:c r="L660" s="17" t="n">
        <x:f>SUM(SUMIFS('Costing'!$P$9:$P$492,'Costing'!$A$9:$A$492,"MAIN-071"))</x:f>
        <x:v>15000</x:v>
      </x:c>
      <x:c r="M660" s="17" t="n">
        <x:f>ROUND(L660*'Costing'!$C$4,2)</x:f>
        <x:v>2700</x:v>
      </x:c>
      <x:c r="N660" s="17" t="n">
        <x:f>L660+M660</x:f>
        <x:v>17700</x:v>
      </x:c>
      <x:c r="O660" s="12" t="str">
        <x:v>Bengaluru</x:v>
      </x:c>
      <x:c r="P660" s="12" t="str">
        <x:v>CORP-0067</x:v>
      </x:c>
      <x:c r="Q660" s="12" t="str">
        <x:v>Daytona System Pvt.Ltd</x:v>
      </x:c>
    </x:row>
    <x:row r="661" ht="48" customHeight="1">
      <x:c r="A661" s="2" t="str">
        <x:v>TEN-71B3D21F0CCC</x:v>
      </x:c>
      <x:c r="B661" s="12" t="str">
        <x:v>DAZN SOFTWARE PRIVATE LIMITED</x:v>
      </x:c>
      <x:c r="C661" s="12" t="str">
        <x:v>Business / brand</x:v>
      </x:c>
      <x:c r="D661" s="12" t="str">
        <x:v>IT &amp; digital</x:v>
      </x:c>
      <x:c r="E661" s="12" t="str">
        <x:v>Enterprise software &amp; digital engineering</x:v>
      </x:c>
      <x:c r="F661" s="12" t="str">
        <x:v>Mixed business audience</x:v>
      </x:c>
      <x:c r="G661" s="12" t="str">
        <x:v>Established brand or business network; local company scale is not established. Use a mixed-business message.</x:v>
      </x:c>
      <x:c r="H661" s="11" t="n">
        <x:v>4</x:v>
      </x:c>
      <x:c r="I661" s="11" t="n">
        <x:v>4</x:v>
      </x:c>
      <x:c r="J661" s="11" t="n">
        <x:v>4</x:v>
      </x:c>
      <x:c r="K661" s="11" t="n">
        <x:v>0</x:v>
      </x:c>
      <x:c r="L661" s="17" t="n">
        <x:f>SUM(SUMIFS('Costing'!$P$9:$P$492,'Costing'!$A$9:$A$492,"PARTNER-M308"))</x:f>
        <x:v>160000</x:v>
      </x:c>
      <x:c r="M661" s="17" t="n">
        <x:f>ROUND(L661*'Costing'!$C$4,2)</x:f>
        <x:v>28800</x:v>
      </x:c>
      <x:c r="N661" s="17" t="n">
        <x:f>L661+M661</x:f>
        <x:v>188800</x:v>
      </x:c>
      <x:c r="O661" s="12" t="str">
        <x:v>Hyderabad</x:v>
      </x:c>
      <x:c r="P661" s="12" t="str">
        <x:v>CORP-0723, CORP-0724, CORP-0725, CORP-0726</x:v>
      </x:c>
      <x:c r="Q661" s="12" t="str">
        <x:v>DAZN SOFTWARE PRIVATE LIMITED, DAZN Software Private Limited</x:v>
      </x:c>
    </x:row>
    <x:row r="662" ht="48" customHeight="1">
      <x:c r="A662" s="2" t="str">
        <x:v>TEN-3669A97CEE08</x:v>
      </x:c>
      <x:c r="B662" s="12" t="str">
        <x:v>DBA xcom labs</x:v>
      </x:c>
      <x:c r="C662" s="12" t="str">
        <x:v>Business / brand</x:v>
      </x:c>
      <x:c r="D662" s="12" t="str">
        <x:v>Unresolved</x:v>
      </x:c>
      <x:c r="E662" s="12" t="str">
        <x:v>Business activity not established</x:v>
      </x:c>
      <x:c r="F662" s="12" t="str">
        <x:v>Mixed business audience</x:v>
      </x:c>
      <x:c r="G662" s="12" t="str">
        <x:v>Business activity and company scale are not established from this name.</x:v>
      </x:c>
      <x:c r="H662" s="11" t="n">
        <x:v>9</x:v>
      </x:c>
      <x:c r="I662" s="11" t="n">
        <x:v>9</x:v>
      </x:c>
      <x:c r="J662" s="11" t="n">
        <x:v>9</x:v>
      </x:c>
      <x:c r="K662" s="11" t="n">
        <x:v>0</x:v>
      </x:c>
      <x:c r="L662" s="17" t="n">
        <x:f>SUM(SUMIFS('Costing'!$P$9:$P$492,'Costing'!$A$9:$A$492,"PARTNER-M002"))</x:f>
        <x:v>360000</x:v>
      </x:c>
      <x:c r="M662" s="17" t="n">
        <x:f>ROUND(L662*'Costing'!$C$4,2)</x:f>
        <x:v>64800</x:v>
      </x:c>
      <x:c r="N662" s="17" t="n">
        <x:f>L662+M662</x:f>
        <x:v>424800</x:v>
      </x:c>
      <x:c r="O662" s="12" t="str">
        <x:v>Bengaluru</x:v>
      </x:c>
      <x:c r="P662" s="12" t="str">
        <x:v>CORP-0420, CORP-0421, CORP-0422, CORP-0423, CORP-0424, CORP-0425, CORP-0426, CORP-0427, CORP-0428</x:v>
      </x:c>
      <x:c r="Q662" s="12" t="str">
        <x:v>DBA xcom labs</x:v>
      </x:c>
    </x:row>
    <x:row r="663" ht="49" customHeight="1">
      <x:c r="A663" s="2" t="str">
        <x:v>TEN-102EF275BFD6</x:v>
      </x:c>
      <x:c r="B663" s="12" t="str">
        <x:v>DBS Technology Service India</x:v>
      </x:c>
      <x:c r="C663" s="12" t="str">
        <x:v>Business / brand</x:v>
      </x:c>
      <x:c r="D663" s="12" t="str">
        <x:v>IT &amp; digital</x:v>
      </x:c>
      <x:c r="E663" s="12" t="str">
        <x:v>Enterprise software &amp; digital engineering</x:v>
      </x:c>
      <x:c r="F663" s="12" t="str">
        <x:v>Large enterprise</x:v>
      </x:c>
      <x:c r="G663" s="12" t="str">
        <x:v>DBS Tech India identifies its enterprise-scale engineering role for DBS, a global banking group. Large-enterprise campaign context; no statutory MSME status asserted.</x:v>
      </x:c>
      <x:c r="H663" s="11" t="n">
        <x:v>8</x:v>
      </x:c>
      <x:c r="I663" s="11" t="n">
        <x:v>8</x:v>
      </x:c>
      <x:c r="J663" s="11" t="n">
        <x:v>8</x:v>
      </x:c>
      <x:c r="K663" s="11" t="n">
        <x:v>0</x:v>
      </x:c>
      <x:c r="L663" s="17" t="n">
        <x:f>SUM(SUMIFS('Costing'!$P$9:$P$492,'Costing'!$A$9:$A$492,"PARTNER-M300"))</x:f>
        <x:v>320000</x:v>
      </x:c>
      <x:c r="M663" s="17" t="n">
        <x:f>ROUND(L663*'Costing'!$C$4,2)</x:f>
        <x:v>57600</x:v>
      </x:c>
      <x:c r="N663" s="17" t="n">
        <x:f>L663+M663</x:f>
        <x:v>377600</x:v>
      </x:c>
      <x:c r="O663" s="12" t="str">
        <x:v>Hyderabad</x:v>
      </x:c>
      <x:c r="P663" s="12" t="str">
        <x:v>CORP-0715, CORP-0716, CORP-0717, CORP-0718, CORP-0719, CORP-0720, CORP-0721, CORP-0722</x:v>
      </x:c>
      <x:c r="Q663" s="12" t="str">
        <x:v>DBS Technology Service India</x:v>
      </x:c>
    </x:row>
    <x:row r="664" ht="48" customHeight="1">
      <x:c r="A664" s="2" t="str">
        <x:v>TEN-B3C6A33B50CF</x:v>
      </x:c>
      <x:c r="B664" s="12" t="str">
        <x:v>DE DIETRICH</x:v>
      </x:c>
      <x:c r="C664" s="12" t="str">
        <x:v>Business / brand</x:v>
      </x:c>
      <x:c r="D664" s="12" t="str">
        <x:v>Engineering &amp; manufacturing</x:v>
      </x:c>
      <x:c r="E664" s="12" t="str">
        <x:v>Engineering/manufacturing — specialty unverified</x:v>
      </x:c>
      <x:c r="F664" s="12" t="str">
        <x:v>Mixed business audience</x:v>
      </x:c>
      <x:c r="G664" s="12" t="str">
        <x:v>Recognisable business context; company-scale evidence remains insufficient for a single size band.</x:v>
      </x:c>
      <x:c r="H664" s="11" t="n">
        <x:v>1</x:v>
      </x:c>
      <x:c r="I664" s="11" t="n">
        <x:v>1</x:v>
      </x:c>
      <x:c r="J664" s="11" t="n">
        <x:v>1</x:v>
      </x:c>
      <x:c r="K664" s="11" t="n">
        <x:v>0</x:v>
      </x:c>
      <x:c r="L664" s="17" t="n">
        <x:f>SUM(SUMIFS('Costing'!$P$9:$P$492,'Costing'!$A$9:$A$492,"MAIN-295"))</x:f>
        <x:v>15000</x:v>
      </x:c>
      <x:c r="M664" s="17" t="n">
        <x:f>ROUND(L664*'Costing'!$C$4,2)</x:f>
        <x:v>2700</x:v>
      </x:c>
      <x:c r="N664" s="17" t="n">
        <x:f>L664+M664</x:f>
        <x:v>17700</x:v>
      </x:c>
      <x:c r="O664" s="12" t="str">
        <x:v>Mumbai</x:v>
      </x:c>
      <x:c r="P664" s="12" t="str">
        <x:v>CORP-0291</x:v>
      </x:c>
      <x:c r="Q664" s="12" t="str">
        <x:v>DE DIETRICH</x:v>
      </x:c>
    </x:row>
    <x:row r="665" ht="48" customHeight="1">
      <x:c r="A665" s="2" t="str">
        <x:v>TEN-FECD0178719F</x:v>
      </x:c>
      <x:c r="B665" s="12" t="str">
        <x:v>De Dietrich Process Systems</x:v>
      </x:c>
      <x:c r="C665" s="12" t="str">
        <x:v>Business / brand</x:v>
      </x:c>
      <x:c r="D665" s="12" t="str">
        <x:v>Engineering &amp; manufacturing</x:v>
      </x:c>
      <x:c r="E665" s="12" t="str">
        <x:v>Engineering/manufacturing — specialty unverified</x:v>
      </x:c>
      <x:c r="F665" s="12" t="str">
        <x:v>Mixed business audience</x:v>
      </x:c>
      <x:c r="G665" s="12" t="str">
        <x:v>Recognisable business context; company-scale evidence remains insufficient for a single size band.</x:v>
      </x:c>
      <x:c r="H665" s="11" t="n">
        <x:v>4</x:v>
      </x:c>
      <x:c r="I665" s="11" t="n">
        <x:v>9</x:v>
      </x:c>
      <x:c r="J665" s="11" t="n">
        <x:v>9</x:v>
      </x:c>
      <x:c r="K665" s="11" t="n">
        <x:v>0</x:v>
      </x:c>
      <x:c r="L665" s="17" t="n">
        <x:f>SUM(SUMIFS('Costing'!$P$9:$P$492,'Costing'!$A$9:$A$492,"MAIN-343"),SUMIFS('Costing'!$P$9:$P$492,'Costing'!$A$9:$A$492,"MAIN-344"),SUMIFS('Costing'!$P$9:$P$492,'Costing'!$A$9:$A$492,"MAIN-345"),SUMIFS('Costing'!$P$9:$P$492,'Costing'!$A$9:$A$492,"MAIN-346"))</x:f>
        <x:v>135000</x:v>
      </x:c>
      <x:c r="M665" s="17" t="n">
        <x:f>ROUND(L665*'Costing'!$C$4,2)</x:f>
        <x:v>24300</x:v>
      </x:c>
      <x:c r="N665" s="17" t="n">
        <x:f>L665+M665</x:f>
        <x:v>159300</x:v>
      </x:c>
      <x:c r="O665" s="12" t="str">
        <x:v>Mumbai</x:v>
      </x:c>
      <x:c r="P665" s="12" t="str">
        <x:v>CORP-0339, CORP-0340, CORP-0341, CORP-0342</x:v>
      </x:c>
      <x:c r="Q665" s="12" t="str">
        <x:v>De Dietrich Process Systems</x:v>
      </x:c>
    </x:row>
    <x:row r="666" ht="48" customHeight="1">
      <x:c r="A666" s="2" t="str">
        <x:v>TEN-FC632053B35C</x:v>
      </x:c>
      <x:c r="B666" s="12" t="str">
        <x:v>DealerSocket India Private Limited</x:v>
      </x:c>
      <x:c r="C666" s="12" t="str">
        <x:v>Business / brand</x:v>
      </x:c>
      <x:c r="D666" s="12" t="str">
        <x:v>IT &amp; digital</x:v>
      </x:c>
      <x:c r="E666" s="12" t="str">
        <x:v>Enterprise software &amp; digital engineering</x:v>
      </x:c>
      <x:c r="F666" s="12" t="str">
        <x:v>Mixed business audience</x:v>
      </x:c>
      <x:c r="G666" s="12" t="str">
        <x:v>Established brand or business network; local company scale is not established. Use a mixed-business message.</x:v>
      </x:c>
      <x:c r="H666" s="11" t="n">
        <x:v>5</x:v>
      </x:c>
      <x:c r="I666" s="11" t="n">
        <x:v>5</x:v>
      </x:c>
      <x:c r="J666" s="11" t="n">
        <x:v>5</x:v>
      </x:c>
      <x:c r="K666" s="11" t="n">
        <x:v>0</x:v>
      </x:c>
      <x:c r="L666" s="17" t="n">
        <x:f>SUM(SUMIFS('Costing'!$P$9:$P$492,'Costing'!$A$9:$A$492,"PARTNER-M034"))</x:f>
        <x:v>200000</x:v>
      </x:c>
      <x:c r="M666" s="17" t="n">
        <x:f>ROUND(L666*'Costing'!$C$4,2)</x:f>
        <x:v>36000</x:v>
      </x:c>
      <x:c r="N666" s="17" t="n">
        <x:f>L666+M666</x:f>
        <x:v>236000</x:v>
      </x:c>
      <x:c r="O666" s="12" t="str">
        <x:v>Bengaluru</x:v>
      </x:c>
      <x:c r="P666" s="12" t="str">
        <x:v>CORP-0452, CORP-0453, CORP-0454, CORP-0455, CORP-0456</x:v>
      </x:c>
      <x:c r="Q666" s="12" t="str">
        <x:v>DealerSocket India Private Limited</x:v>
      </x:c>
    </x:row>
    <x:row r="667" ht="48" customHeight="1">
      <x:c r="A667" s="2" t="str">
        <x:v>TEN-EB3A79B604CA</x:v>
      </x:c>
      <x:c r="B667" s="12" t="str">
        <x:v>DEALShare</x:v>
      </x:c>
      <x:c r="C667" s="12" t="str">
        <x:v>Business / brand</x:v>
      </x:c>
      <x:c r="D667" s="12" t="str">
        <x:v>Trade, consumer &amp; logistics</x:v>
      </x:c>
      <x:c r="E667" s="12" t="str">
        <x:v>Retail, consumer products &amp; ecommerce</x:v>
      </x:c>
      <x:c r="F667" s="12" t="str">
        <x:v>Small-scale prospects</x:v>
      </x:c>
      <x:c r="G667" s="12" t="str">
        <x:v>Trading or consumer-services business; small-scale prospect assumption.</x:v>
      </x:c>
      <x:c r="H667" s="11" t="n">
        <x:v>1</x:v>
      </x:c>
      <x:c r="I667" s="11" t="n">
        <x:v>1</x:v>
      </x:c>
      <x:c r="J667" s="11" t="n">
        <x:v>1</x:v>
      </x:c>
      <x:c r="K667" s="11" t="n">
        <x:v>0</x:v>
      </x:c>
      <x:c r="L667" s="17" t="n">
        <x:f>SUM(SUMIFS('Costing'!$P$9:$P$492,'Costing'!$A$9:$A$492,"MAIN-097"))</x:f>
        <x:v>15000</x:v>
      </x:c>
      <x:c r="M667" s="17" t="n">
        <x:f>ROUND(L667*'Costing'!$C$4,2)</x:f>
        <x:v>2700</x:v>
      </x:c>
      <x:c r="N667" s="17" t="n">
        <x:f>L667+M667</x:f>
        <x:v>17700</x:v>
      </x:c>
      <x:c r="O667" s="12" t="str">
        <x:v>Bengaluru</x:v>
      </x:c>
      <x:c r="P667" s="12" t="str">
        <x:v>CORP-0093</x:v>
      </x:c>
      <x:c r="Q667" s="12" t="str">
        <x:v>DEALShare</x:v>
      </x:c>
    </x:row>
    <x:row r="668" ht="48" customHeight="1">
      <x:c r="A668" s="2" t="str">
        <x:v>TEN-58331B396902</x:v>
      </x:c>
      <x:c r="B668" s="12" t="str">
        <x:v>Dealslooter.in</x:v>
      </x:c>
      <x:c r="C668" s="12" t="str">
        <x:v>Business / brand</x:v>
      </x:c>
      <x:c r="D668" s="12" t="str">
        <x:v>Trade, consumer &amp; logistics</x:v>
      </x:c>
      <x:c r="E668" s="12" t="str">
        <x:v>Retail, consumer products &amp; ecommerce</x:v>
      </x:c>
      <x:c r="F668" s="12" t="str">
        <x:v>Small-scale prospects</x:v>
      </x:c>
      <x:c r="G668" s="12" t="str">
        <x:v>Trading or consumer-services business; small-scale prospect assumption.</x:v>
      </x:c>
      <x:c r="H668" s="11" t="n">
        <x:v>3</x:v>
      </x:c>
      <x:c r="I668" s="11" t="n">
        <x:v>3</x:v>
      </x:c>
      <x:c r="J668" s="11" t="n">
        <x:v>3</x:v>
      </x:c>
      <x:c r="K668" s="11" t="n">
        <x:v>0</x:v>
      </x:c>
      <x:c r="L668" s="17" t="n">
        <x:f>SUM(SUMIFS('Costing'!$P$9:$P$492,'Costing'!$A$9:$A$492,"PARTNER-M011"))</x:f>
        <x:v>120000</x:v>
      </x:c>
      <x:c r="M668" s="17" t="n">
        <x:f>ROUND(L668*'Costing'!$C$4,2)</x:f>
        <x:v>21600</x:v>
      </x:c>
      <x:c r="N668" s="17" t="n">
        <x:f>L668+M668</x:f>
        <x:v>141600</x:v>
      </x:c>
      <x:c r="O668" s="12" t="str">
        <x:v>Bengaluru</x:v>
      </x:c>
      <x:c r="P668" s="12" t="str">
        <x:v>CORP-0429, CORP-0430, CORP-0431</x:v>
      </x:c>
      <x:c r="Q668" s="12" t="str">
        <x:v>Dealslooter.in</x:v>
      </x:c>
    </x:row>
    <x:row r="669" ht="48" customHeight="1">
      <x:c r="A669" s="2" t="str">
        <x:v>TEN-E76AB53619A7</x:v>
      </x:c>
      <x:c r="B669" s="12" t="str">
        <x:v>Deevia Software India</x:v>
      </x:c>
      <x:c r="C669" s="12" t="str">
        <x:v>Business / brand</x:v>
      </x:c>
      <x:c r="D669" s="12" t="str">
        <x:v>IT &amp; digital</x:v>
      </x:c>
      <x:c r="E669" s="12" t="str">
        <x:v>Enterprise software &amp; digital engineering</x:v>
      </x:c>
      <x:c r="F669" s="12" t="str">
        <x:v>Small-scale prospects</x:v>
      </x:c>
      <x:c r="G669" s="12" t="str">
        <x:v>Software or technology-services business; small-scale prospect assumption.</x:v>
      </x:c>
      <x:c r="H669" s="11" t="n">
        <x:v>1</x:v>
      </x:c>
      <x:c r="I669" s="11" t="n">
        <x:v>2</x:v>
      </x:c>
      <x:c r="J669" s="11" t="n">
        <x:v>2</x:v>
      </x:c>
      <x:c r="K669" s="11" t="n">
        <x:v>0</x:v>
      </x:c>
      <x:c r="L669" s="17" t="n">
        <x:f>SUM(SUMIFS('Costing'!$P$9:$P$492,'Costing'!$A$9:$A$492,"MAIN-045"))</x:f>
        <x:v>30000</x:v>
      </x:c>
      <x:c r="M669" s="17" t="n">
        <x:f>ROUND(L669*'Costing'!$C$4,2)</x:f>
        <x:v>5400</x:v>
      </x:c>
      <x:c r="N669" s="17" t="n">
        <x:f>L669+M669</x:f>
        <x:v>35400</x:v>
      </x:c>
      <x:c r="O669" s="12" t="str">
        <x:v>Bengaluru</x:v>
      </x:c>
      <x:c r="P669" s="12" t="str">
        <x:v>CORP-0041</x:v>
      </x:c>
      <x:c r="Q669" s="12" t="str">
        <x:v>Deevia Software India</x:v>
      </x:c>
    </x:row>
    <x:row r="670" ht="48" customHeight="1">
      <x:c r="A670" s="2" t="str">
        <x:v>TEN-EFEC1FDBFFA5</x:v>
      </x:c>
      <x:c r="B670" s="12" t="str">
        <x:v>Delex Logiexpress Pvt. Ltd</x:v>
      </x:c>
      <x:c r="C670" s="12" t="str">
        <x:v>Business / brand</x:v>
      </x:c>
      <x:c r="D670" s="12" t="str">
        <x:v>Trade, consumer &amp; logistics</x:v>
      </x:c>
      <x:c r="E670" s="12" t="str">
        <x:v>Logistics, shipping &amp; transport</x:v>
      </x:c>
      <x:c r="F670" s="12" t="str">
        <x:v>Medium-scale prospects</x:v>
      </x:c>
      <x:c r="G670" s="12" t="str">
        <x:v>Specialist logistics or transport business; medium-scale prospect assumption.</x:v>
      </x:c>
      <x:c r="H670" s="11" t="n">
        <x:v>1</x:v>
      </x:c>
      <x:c r="I670" s="11" t="n">
        <x:v>1</x:v>
      </x:c>
      <x:c r="J670" s="11" t="n">
        <x:v>1</x:v>
      </x:c>
      <x:c r="K670" s="11" t="n">
        <x:v>0</x:v>
      </x:c>
      <x:c r="L670" s="17" t="n">
        <x:f>SUM(SUMIFS('Costing'!$P$9:$P$492,'Costing'!$A$9:$A$492,"MAIN-005"))</x:f>
        <x:v>15000</x:v>
      </x:c>
      <x:c r="M670" s="17" t="n">
        <x:f>ROUND(L670*'Costing'!$C$4,2)</x:f>
        <x:v>2700</x:v>
      </x:c>
      <x:c r="N670" s="17" t="n">
        <x:f>L670+M670</x:f>
        <x:v>17700</x:v>
      </x:c>
      <x:c r="O670" s="12" t="str">
        <x:v>Ahmedabad</x:v>
      </x:c>
      <x:c r="P670" s="12" t="str">
        <x:v>CORP-0001</x:v>
      </x:c>
      <x:c r="Q670" s="12" t="str">
        <x:v>Delex Logiexpress Pvt. Ltd</x:v>
      </x:c>
    </x:row>
    <x:row r="671" ht="48" customHeight="1">
      <x:c r="A671" s="2" t="str">
        <x:v>TEN-7C36EE850090</x:v>
      </x:c>
      <x:c r="B671" s="12" t="str">
        <x:v>Delixus Software India Ltd</x:v>
      </x:c>
      <x:c r="C671" s="12" t="str">
        <x:v>Business / brand</x:v>
      </x:c>
      <x:c r="D671" s="12" t="str">
        <x:v>IT &amp; digital</x:v>
      </x:c>
      <x:c r="E671" s="12" t="str">
        <x:v>Enterprise software &amp; digital engineering</x:v>
      </x:c>
      <x:c r="F671" s="12" t="str">
        <x:v>Small-scale prospects</x:v>
      </x:c>
      <x:c r="G671" s="12" t="str">
        <x:v>Software or technology-services business; small-scale prospect assumption.</x:v>
      </x:c>
      <x:c r="H671" s="11" t="n">
        <x:v>1</x:v>
      </x:c>
      <x:c r="I671" s="11" t="n">
        <x:v>5</x:v>
      </x:c>
      <x:c r="J671" s="11" t="n">
        <x:v>5</x:v>
      </x:c>
      <x:c r="K671" s="11" t="n">
        <x:v>0</x:v>
      </x:c>
      <x:c r="L671" s="17" t="n">
        <x:f>SUM(SUMIFS('Costing'!$P$9:$P$492,'Costing'!$A$9:$A$492,"MAIN-025"))</x:f>
        <x:v>75000</x:v>
      </x:c>
      <x:c r="M671" s="17" t="n">
        <x:f>ROUND(L671*'Costing'!$C$4,2)</x:f>
        <x:v>13500</x:v>
      </x:c>
      <x:c r="N671" s="17" t="n">
        <x:f>L671+M671</x:f>
        <x:v>88500</x:v>
      </x:c>
      <x:c r="O671" s="12" t="str">
        <x:v>Bengaluru</x:v>
      </x:c>
      <x:c r="P671" s="12" t="str">
        <x:v>CORP-0021</x:v>
      </x:c>
      <x:c r="Q671" s="12" t="str">
        <x:v>Delixus Software India Ltd</x:v>
      </x:c>
    </x:row>
    <x:row r="672" ht="62" customHeight="1">
      <x:c r="A672" s="2" t="str">
        <x:v>TEN-D0E2ECE166BD</x:v>
      </x:c>
      <x:c r="B672" s="12" t="str">
        <x:v>Dell</x:v>
      </x:c>
      <x:c r="C672" s="12" t="str">
        <x:v>Business / brand</x:v>
      </x:c>
      <x:c r="D672" s="12" t="str">
        <x:v>Engineering &amp; manufacturing</x:v>
      </x:c>
      <x:c r="E672" s="12" t="str">
        <x:v>Semiconductors, electronics &amp; equipment</x:v>
      </x:c>
      <x:c r="F672" s="12" t="str">
        <x:v>Large enterprise</x:v>
      </x:c>
      <x:c r="G672" s="12" t="str">
        <x:v>Dell Technologies' official FY2026 results report USD113.5 billion of annual revenue. Its global hardware, infrastructure and services organisation supports enterprise-brand context for the supplied Dell name.</x:v>
      </x:c>
      <x:c r="H672" s="11" t="n">
        <x:v>13</x:v>
      </x:c>
      <x:c r="I672" s="11" t="n">
        <x:v>13</x:v>
      </x:c>
      <x:c r="J672" s="11" t="n">
        <x:v>13</x:v>
      </x:c>
      <x:c r="K672" s="11" t="n">
        <x:v>0</x:v>
      </x:c>
      <x:c r="L672" s="17" t="n">
        <x:f>SUM(SUMIFS('Costing'!$P$9:$P$492,'Costing'!$A$9:$A$492,"MAIN-135"),SUMIFS('Costing'!$P$9:$P$492,'Costing'!$A$9:$A$492,"PARTNER-M108"))</x:f>
        <x:v>520000</x:v>
      </x:c>
      <x:c r="M672" s="17" t="n">
        <x:f>ROUND(L672*'Costing'!$C$4,2)</x:f>
        <x:v>93600</x:v>
      </x:c>
      <x:c r="N672" s="17" t="n">
        <x:f>L672+M672</x:f>
        <x:v>613600</x:v>
      </x:c>
      <x:c r="O672" s="12" t="str">
        <x:v>Bengaluru</x:v>
      </x:c>
      <x:c r="P672" s="12" t="str">
        <x:v>CORP-0131, CORP-0526, CORP-0527, CORP-0528, CORP-0529, CORP-0530, CORP-0531, CORP-0532, CORP-0533, CORP-0534, CORP-0535, CORP-0536, CORP-0537</x:v>
      </x:c>
      <x:c r="Q672" s="12" t="str">
        <x:v>Dell, DELL</x:v>
      </x:c>
    </x:row>
    <x:row r="673" ht="48" customHeight="1">
      <x:c r="A673" s="2" t="str">
        <x:v>TEN-1B8499B49BB3</x:v>
      </x:c>
      <x:c r="B673" s="12" t="str">
        <x:v>Delliot</x:v>
      </x:c>
      <x:c r="C673" s="12" t="str">
        <x:v>Identity unresolved</x:v>
      </x:c>
      <x:c r="D673" s="12" t="str">
        <x:v>Unresolved</x:v>
      </x:c>
      <x:c r="E673" s="12" t="str">
        <x:v>Business activity not established</x:v>
      </x:c>
      <x:c r="F673" s="12" t="str">
        <x:v>Mixed business audience</x:v>
      </x:c>
      <x:c r="G673" s="12" t="str">
        <x:v>Ambiguous directory record; use the surrounding property audience.</x:v>
      </x:c>
      <x:c r="H673" s="11" t="n">
        <x:v>10</x:v>
      </x:c>
      <x:c r="I673" s="11" t="n">
        <x:v>10</x:v>
      </x:c>
      <x:c r="J673" s="11" t="n">
        <x:v>10</x:v>
      </x:c>
      <x:c r="K673" s="11" t="n">
        <x:v>0</x:v>
      </x:c>
      <x:c r="L673" s="17" t="n">
        <x:f>SUM(SUMIFS('Costing'!$P$9:$P$492,'Costing'!$A$9:$A$492,"PARTNER-M014"))</x:f>
        <x:v>400000</x:v>
      </x:c>
      <x:c r="M673" s="17" t="n">
        <x:f>ROUND(L673*'Costing'!$C$4,2)</x:f>
        <x:v>72000</x:v>
      </x:c>
      <x:c r="N673" s="17" t="n">
        <x:f>L673+M673</x:f>
        <x:v>472000</x:v>
      </x:c>
      <x:c r="O673" s="12" t="str">
        <x:v>Bengaluru</x:v>
      </x:c>
      <x:c r="P673" s="12" t="str">
        <x:v>CORP-0432, CORP-0433, CORP-0434, CORP-0435, CORP-0436, CORP-0437, CORP-0438, CORP-0439, CORP-0440, CORP-0441</x:v>
      </x:c>
      <x:c r="Q673" s="12" t="str">
        <x:v>Delliot</x:v>
      </x:c>
    </x:row>
    <x:row r="674" ht="48" customHeight="1">
      <x:c r="A674" s="2" t="str">
        <x:v>TEN-4860FE88B18A</x:v>
      </x:c>
      <x:c r="B674" s="12" t="str">
        <x:v>Delmonte New Office</x:v>
      </x:c>
      <x:c r="C674" s="12" t="str">
        <x:v>Business / brand</x:v>
      </x:c>
      <x:c r="D674" s="12" t="str">
        <x:v>Trade, consumer &amp; logistics</x:v>
      </x:c>
      <x:c r="E674" s="12" t="str">
        <x:v>Travel, hospitality, food &amp; beverages</x:v>
      </x:c>
      <x:c r="F674" s="12" t="str">
        <x:v>Mixed business audience</x:v>
      </x:c>
      <x:c r="G674" s="12" t="str">
        <x:v>Established brand or business network; local company scale is not established. Use a mixed-business message.</x:v>
      </x:c>
      <x:c r="H674" s="11" t="n">
        <x:v>1</x:v>
      </x:c>
      <x:c r="I674" s="11" t="n">
        <x:v>1</x:v>
      </x:c>
      <x:c r="J674" s="11" t="n">
        <x:v>1</x:v>
      </x:c>
      <x:c r="K674" s="11" t="n">
        <x:v>0</x:v>
      </x:c>
      <x:c r="L674" s="17" t="n">
        <x:f>SUM(SUMIFS('Costing'!$P$9:$P$492,'Costing'!$A$9:$A$492,"MAIN-203"))</x:f>
        <x:v>40000</x:v>
      </x:c>
      <x:c r="M674" s="17" t="n">
        <x:f>ROUND(L674*'Costing'!$C$4,2)</x:f>
        <x:v>7200</x:v>
      </x:c>
      <x:c r="N674" s="17" t="n">
        <x:f>L674+M674</x:f>
        <x:v>47200</x:v>
      </x:c>
      <x:c r="O674" s="12" t="str">
        <x:v>Delhi NCR</x:v>
      </x:c>
      <x:c r="P674" s="12" t="str">
        <x:v>CORP-0199</x:v>
      </x:c>
      <x:c r="Q674" s="12" t="str">
        <x:v>Delmonte New Office</x:v>
      </x:c>
    </x:row>
    <x:row r="675" ht="48" customHeight="1">
      <x:c r="A675" s="2" t="str">
        <x:v>TEN-3E808ECE8227</x:v>
      </x:c>
      <x:c r="B675" s="12" t="str">
        <x:v>Deloitte</x:v>
      </x:c>
      <x:c r="C675" s="12" t="str">
        <x:v>Business / brand</x:v>
      </x:c>
      <x:c r="D675" s="12" t="str">
        <x:v>Professional services</x:v>
      </x:c>
      <x:c r="E675" s="12" t="str">
        <x:v>Accounting, tax &amp; audit</x:v>
      </x:c>
      <x:c r="F675" s="12" t="str">
        <x:v>Large enterprise</x:v>
      </x:c>
      <x:c r="G675" s="12" t="str">
        <x:v>Explicit Deloitte enterprise-family context; see ENTERPRISE_SUPP_002 evidence.</x:v>
      </x:c>
      <x:c r="H675" s="11" t="n">
        <x:v>2</x:v>
      </x:c>
      <x:c r="I675" s="11" t="n">
        <x:v>5</x:v>
      </x:c>
      <x:c r="J675" s="11" t="n">
        <x:v>5</x:v>
      </x:c>
      <x:c r="K675" s="11" t="n">
        <x:v>0</x:v>
      </x:c>
      <x:c r="L675" s="17" t="n">
        <x:f>SUM(SUMIFS('Costing'!$P$9:$P$492,'Costing'!$A$9:$A$492,"MAIN-018"),SUMIFS('Costing'!$P$9:$P$492,'Costing'!$A$9:$A$492,"MAIN-063"))</x:f>
        <x:v>125000</x:v>
      </x:c>
      <x:c r="M675" s="17" t="n">
        <x:f>ROUND(L675*'Costing'!$C$4,2)</x:f>
        <x:v>22500</x:v>
      </x:c>
      <x:c r="N675" s="17" t="n">
        <x:f>L675+M675</x:f>
        <x:v>147500</x:v>
      </x:c>
      <x:c r="O675" s="12" t="str">
        <x:v>Bengaluru</x:v>
      </x:c>
      <x:c r="P675" s="12" t="str">
        <x:v>CORP-0014, CORP-0059</x:v>
      </x:c>
      <x:c r="Q675" s="12" t="str">
        <x:v>Deloitte</x:v>
      </x:c>
    </x:row>
    <x:row r="676" ht="48" customHeight="1">
      <x:c r="A676" s="2" t="str">
        <x:v>TEN-C0693165E3AF</x:v>
      </x:c>
      <x:c r="B676" s="12" t="str">
        <x:v>Deloitte India Pvt Ltd</x:v>
      </x:c>
      <x:c r="C676" s="12" t="str">
        <x:v>Business / brand</x:v>
      </x:c>
      <x:c r="D676" s="12" t="str">
        <x:v>Professional services</x:v>
      </x:c>
      <x:c r="E676" s="12" t="str">
        <x:v>Accounting, tax &amp; audit</x:v>
      </x:c>
      <x:c r="F676" s="12" t="str">
        <x:v>Large enterprise</x:v>
      </x:c>
      <x:c r="G676" s="12" t="str">
        <x:v>Explicit Deloitte enterprise-family context; see ENTERPRISE_SUPP_002 evidence.</x:v>
      </x:c>
      <x:c r="H676" s="11" t="n">
        <x:v>1</x:v>
      </x:c>
      <x:c r="I676" s="11" t="n">
        <x:v>4</x:v>
      </x:c>
      <x:c r="J676" s="11" t="n">
        <x:v>4</x:v>
      </x:c>
      <x:c r="K676" s="11" t="n">
        <x:v>0</x:v>
      </x:c>
      <x:c r="L676" s="17" t="n">
        <x:f>SUM(SUMIFS('Costing'!$P$9:$P$492,'Costing'!$A$9:$A$492,"MAIN-019"))</x:f>
        <x:v>60000</x:v>
      </x:c>
      <x:c r="M676" s="17" t="n">
        <x:f>ROUND(L676*'Costing'!$C$4,2)</x:f>
        <x:v>10800</x:v>
      </x:c>
      <x:c r="N676" s="17" t="n">
        <x:f>L676+M676</x:f>
        <x:v>70800</x:v>
      </x:c>
      <x:c r="O676" s="12" t="str">
        <x:v>Bengaluru</x:v>
      </x:c>
      <x:c r="P676" s="12" t="str">
        <x:v>CORP-0015</x:v>
      </x:c>
      <x:c r="Q676" s="12" t="str">
        <x:v>Deloitte India Pvt Ltd</x:v>
      </x:c>
    </x:row>
    <x:row r="677" ht="48" customHeight="1">
      <x:c r="A677" s="2" t="str">
        <x:v>TEN-21972B078EB5</x:v>
      </x:c>
      <x:c r="B677" s="12" t="str">
        <x:v>Denso International</x:v>
      </x:c>
      <x:c r="C677" s="12" t="str">
        <x:v>Business / brand</x:v>
      </x:c>
      <x:c r="D677" s="12" t="str">
        <x:v>Engineering &amp; manufacturing</x:v>
      </x:c>
      <x:c r="E677" s="12" t="str">
        <x:v>Automotive, mobility &amp; aerospace</x:v>
      </x:c>
      <x:c r="F677" s="12" t="str">
        <x:v>Mixed business audience</x:v>
      </x:c>
      <x:c r="G677" s="12" t="str">
        <x:v>Recognisable business context; company-scale evidence remains insufficient for a single size band.</x:v>
      </x:c>
      <x:c r="H677" s="11" t="n">
        <x:v>9</x:v>
      </x:c>
      <x:c r="I677" s="11" t="n">
        <x:v>9</x:v>
      </x:c>
      <x:c r="J677" s="11" t="n">
        <x:v>9</x:v>
      </x:c>
      <x:c r="K677" s="11" t="n">
        <x:v>0</x:v>
      </x:c>
      <x:c r="L677" s="17" t="n">
        <x:f>SUM(SUMIFS('Costing'!$P$9:$P$492,'Costing'!$A$9:$A$492,"PARTNER-M002"))</x:f>
        <x:v>360000</x:v>
      </x:c>
      <x:c r="M677" s="17" t="n">
        <x:f>ROUND(L677*'Costing'!$C$4,2)</x:f>
        <x:v>64800</x:v>
      </x:c>
      <x:c r="N677" s="17" t="n">
        <x:f>L677+M677</x:f>
        <x:v>424800</x:v>
      </x:c>
      <x:c r="O677" s="12" t="str">
        <x:v>Bengaluru</x:v>
      </x:c>
      <x:c r="P677" s="12" t="str">
        <x:v>CORP-0420, CORP-0421, CORP-0422, CORP-0423, CORP-0424, CORP-0425, CORP-0426, CORP-0427, CORP-0428</x:v>
      </x:c>
      <x:c r="Q677" s="12" t="str">
        <x:v>Denso International</x:v>
      </x:c>
    </x:row>
    <x:row r="678" ht="48" customHeight="1">
      <x:c r="A678" s="2" t="str">
        <x:v>TEN-905DC3BE01C5</x:v>
      </x:c>
      <x:c r="B678" s="12" t="str">
        <x:v>Derma Space</x:v>
      </x:c>
      <x:c r="C678" s="12" t="str">
        <x:v>Business / brand</x:v>
      </x:c>
      <x:c r="D678" s="12" t="str">
        <x:v>Healthcare &amp; life sciences</x:v>
      </x:c>
      <x:c r="E678" s="12" t="str">
        <x:v>Mental health, wellbeing &amp; fitness</x:v>
      </x:c>
      <x:c r="F678" s="12" t="str">
        <x:v>Small-scale prospects</x:v>
      </x:c>
      <x:c r="G678" s="12" t="str">
        <x:v>Healthcare services business; small-scale prospect assumption.</x:v>
      </x:c>
      <x:c r="H678" s="11" t="n">
        <x:v>1</x:v>
      </x:c>
      <x:c r="I678" s="11" t="n">
        <x:v>1</x:v>
      </x:c>
      <x:c r="J678" s="11" t="n">
        <x:v>1</x:v>
      </x:c>
      <x:c r="K678" s="11" t="n">
        <x:v>0</x:v>
      </x:c>
      <x:c r="L678" s="17" t="n">
        <x:f>SUM(SUMIFS('Costing'!$P$9:$P$492,'Costing'!$A$9:$A$492,"MAIN-395"))</x:f>
        <x:v>15000</x:v>
      </x:c>
      <x:c r="M678" s="17" t="n">
        <x:f>ROUND(L678*'Costing'!$C$4,2)</x:f>
        <x:v>2700</x:v>
      </x:c>
      <x:c r="N678" s="17" t="n">
        <x:f>L678+M678</x:f>
        <x:v>17700</x:v>
      </x:c>
      <x:c r="O678" s="12" t="str">
        <x:v>Pune</x:v>
      </x:c>
      <x:c r="P678" s="12" t="str">
        <x:v>CORP-0391</x:v>
      </x:c>
      <x:c r="Q678" s="12" t="str">
        <x:v>Derma Space</x:v>
      </x:c>
    </x:row>
    <x:row r="679" ht="48" customHeight="1">
      <x:c r="A679" s="2" t="str">
        <x:v>TEN-2DF359358C9E</x:v>
      </x:c>
      <x:c r="B679" s="12" t="str">
        <x:v>Deserve Labs</x:v>
      </x:c>
      <x:c r="C679" s="12" t="str">
        <x:v>Business / brand</x:v>
      </x:c>
      <x:c r="D679" s="12" t="str">
        <x:v>Unresolved</x:v>
      </x:c>
      <x:c r="E679" s="12" t="str">
        <x:v>Business activity not established</x:v>
      </x:c>
      <x:c r="F679" s="12" t="str">
        <x:v>Mixed business audience</x:v>
      </x:c>
      <x:c r="G679" s="12" t="str">
        <x:v>Business activity and company scale are not established from this name.</x:v>
      </x:c>
      <x:c r="H679" s="11" t="n">
        <x:v>1</x:v>
      </x:c>
      <x:c r="I679" s="11" t="n">
        <x:v>1</x:v>
      </x:c>
      <x:c r="J679" s="11" t="n">
        <x:v>1</x:v>
      </x:c>
      <x:c r="K679" s="11" t="n">
        <x:v>0</x:v>
      </x:c>
      <x:c r="L679" s="17" t="n">
        <x:f>SUM(SUMIFS('Costing'!$P$9:$P$492,'Costing'!$A$9:$A$492,"MAIN-397"))</x:f>
        <x:v>15000</x:v>
      </x:c>
      <x:c r="M679" s="17" t="n">
        <x:f>ROUND(L679*'Costing'!$C$4,2)</x:f>
        <x:v>2700</x:v>
      </x:c>
      <x:c r="N679" s="17" t="n">
        <x:f>L679+M679</x:f>
        <x:v>17700</x:v>
      </x:c>
      <x:c r="O679" s="12" t="str">
        <x:v>Pune</x:v>
      </x:c>
      <x:c r="P679" s="12" t="str">
        <x:v>CORP-0393</x:v>
      </x:c>
      <x:c r="Q679" s="12" t="str">
        <x:v>Deserve Labs</x:v>
      </x:c>
    </x:row>
    <x:row r="680" ht="48" customHeight="1">
      <x:c r="A680" s="2" t="str">
        <x:v>TEN-C66147931584</x:v>
      </x:c>
      <x:c r="B680" s="12" t="str">
        <x:v>Design Code Interiors &amp; Architects</x:v>
      </x:c>
      <x:c r="C680" s="12" t="str">
        <x:v>Business / brand</x:v>
      </x:c>
      <x:c r="D680" s="12" t="str">
        <x:v>Professional services</x:v>
      </x:c>
      <x:c r="E680" s="12" t="str">
        <x:v>Architecture, interiors &amp; design</x:v>
      </x:c>
      <x:c r="F680" s="12" t="str">
        <x:v>Small-scale prospects</x:v>
      </x:c>
      <x:c r="G680" s="12" t="str">
        <x:v>Professional service, agency or advisory model; small-scale prospect assumption.</x:v>
      </x:c>
      <x:c r="H680" s="11" t="n">
        <x:v>1</x:v>
      </x:c>
      <x:c r="I680" s="11" t="n">
        <x:v>11</x:v>
      </x:c>
      <x:c r="J680" s="11" t="n">
        <x:v>11</x:v>
      </x:c>
      <x:c r="K680" s="11" t="n">
        <x:v>0</x:v>
      </x:c>
      <x:c r="L680" s="17" t="n">
        <x:f>SUM(SUMIFS('Costing'!$P$9:$P$492,'Costing'!$A$9:$A$492,"MAIN-131"))</x:f>
        <x:v>275000</x:v>
      </x:c>
      <x:c r="M680" s="17" t="n">
        <x:f>ROUND(L680*'Costing'!$C$4,2)</x:f>
        <x:v>49500</x:v>
      </x:c>
      <x:c r="N680" s="17" t="n">
        <x:f>L680+M680</x:f>
        <x:v>324500</x:v>
      </x:c>
      <x:c r="O680" s="12" t="str">
        <x:v>Bengaluru</x:v>
      </x:c>
      <x:c r="P680" s="12" t="str">
        <x:v>CORP-0127</x:v>
      </x:c>
      <x:c r="Q680" s="12" t="str">
        <x:v>Design Code Interiors &amp; Architects</x:v>
      </x:c>
    </x:row>
    <x:row r="681" ht="48" customHeight="1">
      <x:c r="A681" s="2" t="str">
        <x:v>TEN-81EC9D699A67</x:v>
      </x:c>
      <x:c r="B681" s="12" t="str">
        <x:v>Design Group (DG)</x:v>
      </x:c>
      <x:c r="C681" s="12" t="str">
        <x:v>Business / brand</x:v>
      </x:c>
      <x:c r="D681" s="12" t="str">
        <x:v>Professional services</x:v>
      </x:c>
      <x:c r="E681" s="12" t="str">
        <x:v>Architecture, interiors &amp; design</x:v>
      </x:c>
      <x:c r="F681" s="12" t="str">
        <x:v>Small-scale prospects</x:v>
      </x:c>
      <x:c r="G681" s="12" t="str">
        <x:v>Professional service, agency or advisory model; small-scale prospect assumption.</x:v>
      </x:c>
      <x:c r="H681" s="11" t="n">
        <x:v>1</x:v>
      </x:c>
      <x:c r="I681" s="11" t="n">
        <x:v>3</x:v>
      </x:c>
      <x:c r="J681" s="11" t="n">
        <x:v>3</x:v>
      </x:c>
      <x:c r="K681" s="11" t="n">
        <x:v>0</x:v>
      </x:c>
      <x:c r="L681" s="17" t="n">
        <x:f>SUM(SUMIFS('Costing'!$P$9:$P$492,'Costing'!$A$9:$A$492,"MAIN-255"))</x:f>
        <x:v>45000</x:v>
      </x:c>
      <x:c r="M681" s="17" t="n">
        <x:f>ROUND(L681*'Costing'!$C$4,2)</x:f>
        <x:v>8100</x:v>
      </x:c>
      <x:c r="N681" s="17" t="n">
        <x:f>L681+M681</x:f>
        <x:v>53100</x:v>
      </x:c>
      <x:c r="O681" s="12" t="str">
        <x:v>Hyderabad</x:v>
      </x:c>
      <x:c r="P681" s="12" t="str">
        <x:v>CORP-0251</x:v>
      </x:c>
      <x:c r="Q681" s="12" t="str">
        <x:v>Design Group (DG)</x:v>
      </x:c>
    </x:row>
    <x:row r="682" ht="48" customHeight="1">
      <x:c r="A682" s="2" t="str">
        <x:v>TEN-D0F5589E5FAE</x:v>
      </x:c>
      <x:c r="B682" s="12" t="str">
        <x:v>Design Webtech</x:v>
      </x:c>
      <x:c r="C682" s="12" t="str">
        <x:v>Business / brand</x:v>
      </x:c>
      <x:c r="D682" s="12" t="str">
        <x:v>IT &amp; digital</x:v>
      </x:c>
      <x:c r="E682" s="12" t="str">
        <x:v>Enterprise software &amp; digital engineering</x:v>
      </x:c>
      <x:c r="F682" s="12" t="str">
        <x:v>Small-scale prospects</x:v>
      </x:c>
      <x:c r="G682" s="12" t="str">
        <x:v>Software or technology-services business; small-scale prospect assumption.</x:v>
      </x:c>
      <x:c r="H682" s="11" t="n">
        <x:v>1</x:v>
      </x:c>
      <x:c r="I682" s="11" t="n">
        <x:v>2</x:v>
      </x:c>
      <x:c r="J682" s="11" t="n">
        <x:v>2</x:v>
      </x:c>
      <x:c r="K682" s="11" t="n">
        <x:v>0</x:v>
      </x:c>
      <x:c r="L682" s="17" t="n">
        <x:f>SUM(SUMIFS('Costing'!$P$9:$P$492,'Costing'!$A$9:$A$492,"MAIN-081"))</x:f>
        <x:v>30000</x:v>
      </x:c>
      <x:c r="M682" s="17" t="n">
        <x:f>ROUND(L682*'Costing'!$C$4,2)</x:f>
        <x:v>5400</x:v>
      </x:c>
      <x:c r="N682" s="17" t="n">
        <x:f>L682+M682</x:f>
        <x:v>35400</x:v>
      </x:c>
      <x:c r="O682" s="12" t="str">
        <x:v>Bengaluru</x:v>
      </x:c>
      <x:c r="P682" s="12" t="str">
        <x:v>CORP-0077</x:v>
      </x:c>
      <x:c r="Q682" s="12" t="str">
        <x:v>Design Webtech</x:v>
      </x:c>
    </x:row>
    <x:row r="683" ht="48" customHeight="1">
      <x:c r="A683" s="2" t="str">
        <x:v>TEN-D7BFD09F399F</x:v>
      </x:c>
      <x:c r="B683" s="12" t="str">
        <x:v>Desire Div</x:v>
      </x:c>
      <x:c r="C683" s="12" t="str">
        <x:v>Business / brand</x:v>
      </x:c>
      <x:c r="D683" s="12" t="str">
        <x:v>IT &amp; digital</x:v>
      </x:c>
      <x:c r="E683" s="12" t="str">
        <x:v>Enterprise software &amp; digital engineering</x:v>
      </x:c>
      <x:c r="F683" s="12" t="str">
        <x:v>Small-scale prospects</x:v>
      </x:c>
      <x:c r="G683" s="12" t="str">
        <x:v>Software or technology-services business; small-scale prospect assumption.</x:v>
      </x:c>
      <x:c r="H683" s="11" t="n">
        <x:v>2</x:v>
      </x:c>
      <x:c r="I683" s="11" t="n">
        <x:v>8</x:v>
      </x:c>
      <x:c r="J683" s="11" t="n">
        <x:v>8</x:v>
      </x:c>
      <x:c r="K683" s="11" t="n">
        <x:v>0</x:v>
      </x:c>
      <x:c r="L683" s="17" t="n">
        <x:f>SUM(SUMIFS('Costing'!$P$9:$P$492,'Costing'!$A$9:$A$492,"MAIN-199"),SUMIFS('Costing'!$P$9:$P$492,'Costing'!$A$9:$A$492,"MAIN-200"))</x:f>
        <x:v>145000</x:v>
      </x:c>
      <x:c r="M683" s="17" t="n">
        <x:f>ROUND(L683*'Costing'!$C$4,2)</x:f>
        <x:v>26100</x:v>
      </x:c>
      <x:c r="N683" s="17" t="n">
        <x:f>L683+M683</x:f>
        <x:v>171100</x:v>
      </x:c>
      <x:c r="O683" s="12" t="str">
        <x:v>Delhi NCR</x:v>
      </x:c>
      <x:c r="P683" s="12" t="str">
        <x:v>CORP-0195, CORP-0196</x:v>
      </x:c>
      <x:c r="Q683" s="12" t="str">
        <x:v>Desire Div</x:v>
      </x:c>
    </x:row>
    <x:row r="684" ht="48" customHeight="1">
      <x:c r="A684" s="2" t="str">
        <x:v>TEN-E57E81EFDBB1</x:v>
      </x:c>
      <x:c r="B684" s="12" t="str">
        <x:v>Deutsche Bank Group</x:v>
      </x:c>
      <x:c r="C684" s="12" t="str">
        <x:v>Business / brand</x:v>
      </x:c>
      <x:c r="D684" s="12" t="str">
        <x:v>Finance &amp; insurance</x:v>
      </x:c>
      <x:c r="E684" s="12" t="str">
        <x:v>Banking &amp; credit</x:v>
      </x:c>
      <x:c r="F684" s="12" t="str">
        <x:v>Large enterprise</x:v>
      </x:c>
      <x:c r="G684" s="12" t="str">
        <x:v>Explicit Deutsche Bank enterprise-family context; see ENTERPRISE_SUPP_041 evidence.</x:v>
      </x:c>
      <x:c r="H684" s="11" t="n">
        <x:v>9</x:v>
      </x:c>
      <x:c r="I684" s="11" t="n">
        <x:v>9</x:v>
      </x:c>
      <x:c r="J684" s="11" t="n">
        <x:v>9</x:v>
      </x:c>
      <x:c r="K684" s="11" t="n">
        <x:v>0</x:v>
      </x:c>
      <x:c r="L684" s="17" t="n">
        <x:f>SUM(SUMIFS('Costing'!$P$9:$P$492,'Costing'!$A$9:$A$492,"PARTNER-M252"))</x:f>
        <x:v>360000</x:v>
      </x:c>
      <x:c r="M684" s="17" t="n">
        <x:f>ROUND(L684*'Costing'!$C$4,2)</x:f>
        <x:v>64800</x:v>
      </x:c>
      <x:c r="N684" s="17" t="n">
        <x:f>L684+M684</x:f>
        <x:v>424800</x:v>
      </x:c>
      <x:c r="O684" s="12" t="str">
        <x:v>Pune</x:v>
      </x:c>
      <x:c r="P684" s="12" t="str">
        <x:v>CORP-0668, CORP-0669, CORP-0670, CORP-0671, CORP-0672, CORP-0673, CORP-0674, CORP-0675, CORP-0676</x:v>
      </x:c>
      <x:c r="Q684" s="12" t="str">
        <x:v>Deutsche Bank Group</x:v>
      </x:c>
    </x:row>
    <x:row r="685" ht="49" customHeight="1">
      <x:c r="A685" s="2" t="str">
        <x:v>TEN-FA8F7E61C064</x:v>
      </x:c>
      <x:c r="B685" s="12" t="str">
        <x:v>Dev Accelerator</x:v>
      </x:c>
      <x:c r="C685" s="12" t="str">
        <x:v>Workspace operator</x:v>
      </x:c>
      <x:c r="D685" s="12" t="str">
        <x:v>Workspace &amp; property operations</x:v>
      </x:c>
      <x:c r="E685" s="12" t="str">
        <x:v>Coworking/workspace operator</x:v>
      </x:c>
      <x:c r="F685" s="12" t="str">
        <x:v>Mixed business audience</x:v>
      </x:c>
      <x:c r="G685" s="12" t="str">
        <x:v>Supplied entry is a shared-workspace operator; the business sizes of occupant companies cannot be derived from the operator name.</x:v>
      </x:c>
      <x:c r="H685" s="11" t="n">
        <x:v>2</x:v>
      </x:c>
      <x:c r="I685" s="11" t="n">
        <x:v>2</x:v>
      </x:c>
      <x:c r="J685" s="11" t="n">
        <x:v>2</x:v>
      </x:c>
      <x:c r="K685" s="11" t="n">
        <x:v>0</x:v>
      </x:c>
      <x:c r="L685" s="17" t="n">
        <x:f>SUM(SUMIFS('Costing'!$P$9:$P$492,'Costing'!$A$9:$A$492,"PARTNER-M241"))</x:f>
        <x:v>80000</x:v>
      </x:c>
      <x:c r="M685" s="17" t="n">
        <x:f>ROUND(L685*'Costing'!$C$4,2)</x:f>
        <x:v>14400</x:v>
      </x:c>
      <x:c r="N685" s="17" t="n">
        <x:f>L685+M685</x:f>
        <x:v>94400</x:v>
      </x:c>
      <x:c r="O685" s="12" t="str">
        <x:v>Mumbai</x:v>
      </x:c>
      <x:c r="P685" s="12" t="str">
        <x:v>CORP-0658, CORP-0659</x:v>
      </x:c>
      <x:c r="Q685" s="12" t="str">
        <x:v>Dev Accelerator</x:v>
      </x:c>
    </x:row>
    <x:row r="686" ht="48" customHeight="1">
      <x:c r="A686" s="2" t="str">
        <x:v>TEN-D5AABFA3A414</x:v>
      </x:c>
      <x:c r="B686" s="12" t="str">
        <x:v>Dexian India Technologies Private Limited</x:v>
      </x:c>
      <x:c r="C686" s="12" t="str">
        <x:v>Business / brand</x:v>
      </x:c>
      <x:c r="D686" s="12" t="str">
        <x:v>IT &amp; digital</x:v>
      </x:c>
      <x:c r="E686" s="12" t="str">
        <x:v>Enterprise software &amp; digital engineering</x:v>
      </x:c>
      <x:c r="F686" s="12" t="str">
        <x:v>Mixed business audience</x:v>
      </x:c>
      <x:c r="G686" s="12" t="str">
        <x:v>Established brand or business network; local company scale is not established. Use a mixed-business message.</x:v>
      </x:c>
      <x:c r="H686" s="11" t="n">
        <x:v>3</x:v>
      </x:c>
      <x:c r="I686" s="11" t="n">
        <x:v>3</x:v>
      </x:c>
      <x:c r="J686" s="11" t="n">
        <x:v>3</x:v>
      </x:c>
      <x:c r="K686" s="11" t="n">
        <x:v>0</x:v>
      </x:c>
      <x:c r="L686" s="17" t="n">
        <x:f>SUM(SUMIFS('Costing'!$P$9:$P$492,'Costing'!$A$9:$A$492,"PARTNER-M166"))</x:f>
        <x:v>120000</x:v>
      </x:c>
      <x:c r="M686" s="17" t="n">
        <x:f>ROUND(L686*'Costing'!$C$4,2)</x:f>
        <x:v>21600</x:v>
      </x:c>
      <x:c r="N686" s="17" t="n">
        <x:f>L686+M686</x:f>
        <x:v>141600</x:v>
      </x:c>
      <x:c r="O686" s="12" t="str">
        <x:v>Bengaluru</x:v>
      </x:c>
      <x:c r="P686" s="12" t="str">
        <x:v>CORP-0584, CORP-0585, CORP-0586</x:v>
      </x:c>
      <x:c r="Q686" s="12" t="str">
        <x:v>Dexian India Technologies Private Limited</x:v>
      </x:c>
    </x:row>
    <x:row r="687" ht="48" customHeight="1">
      <x:c r="A687" s="2" t="str">
        <x:v>TEN-5F3C456982BE</x:v>
      </x:c>
      <x:c r="B687" s="12" t="str">
        <x:v>Dextra India Private Limited</x:v>
      </x:c>
      <x:c r="C687" s="12" t="str">
        <x:v>Business / brand</x:v>
      </x:c>
      <x:c r="D687" s="12" t="str">
        <x:v>Engineering &amp; manufacturing</x:v>
      </x:c>
      <x:c r="E687" s="12" t="str">
        <x:v>Engineering, testing &amp; technical services</x:v>
      </x:c>
      <x:c r="F687" s="12" t="str">
        <x:v>Medium-scale prospects</x:v>
      </x:c>
      <x:c r="G687" s="12" t="str">
        <x:v>Specialist industrial or engineering business; medium-scale prospect assumption.</x:v>
      </x:c>
      <x:c r="H687" s="11" t="n">
        <x:v>2</x:v>
      </x:c>
      <x:c r="I687" s="11" t="n">
        <x:v>2</x:v>
      </x:c>
      <x:c r="J687" s="11" t="n">
        <x:v>2</x:v>
      </x:c>
      <x:c r="K687" s="11" t="n">
        <x:v>0</x:v>
      </x:c>
      <x:c r="L687" s="17" t="n">
        <x:f>SUM(SUMIFS('Costing'!$P$9:$P$492,'Costing'!$A$9:$A$492,"PARTNER-M239"))</x:f>
        <x:v>80000</x:v>
      </x:c>
      <x:c r="M687" s="17" t="n">
        <x:f>ROUND(L687*'Costing'!$C$4,2)</x:f>
        <x:v>14400</x:v>
      </x:c>
      <x:c r="N687" s="17" t="n">
        <x:f>L687+M687</x:f>
        <x:v>94400</x:v>
      </x:c>
      <x:c r="O687" s="12" t="str">
        <x:v>Mumbai</x:v>
      </x:c>
      <x:c r="P687" s="12" t="str">
        <x:v>CORP-0656, CORP-0657</x:v>
      </x:c>
      <x:c r="Q687" s="12" t="str">
        <x:v>Dextra India Private Limited</x:v>
      </x:c>
    </x:row>
    <x:row r="688" ht="49" customHeight="1">
      <x:c r="A688" s="2" t="str">
        <x:v>TEN-FDB92F1E0EDB</x:v>
      </x:c>
      <x:c r="B688" s="12" t="str">
        <x:v>Dezerv</x:v>
      </x:c>
      <x:c r="C688" s="12" t="str">
        <x:v>Business / brand</x:v>
      </x:c>
      <x:c r="D688" s="12" t="str">
        <x:v>Finance &amp; insurance</x:v>
      </x:c>
      <x:c r="E688" s="12" t="str">
        <x:v>Banking, credit &amp; financial services</x:v>
      </x:c>
      <x:c r="F688" s="12" t="str">
        <x:v>Medium-scale prospects</x:v>
      </x:c>
      <x:c r="G688" s="12" t="str">
        <x:v>Specialist financial-services business; medium-scale prospect assumption.</x:v>
      </x:c>
      <x:c r="H688" s="11" t="n">
        <x:v>12</x:v>
      </x:c>
      <x:c r="I688" s="11" t="n">
        <x:v>12</x:v>
      </x:c>
      <x:c r="J688" s="11" t="n">
        <x:v>12</x:v>
      </x:c>
      <x:c r="K688" s="11" t="n">
        <x:v>0</x:v>
      </x:c>
      <x:c r="L688" s="17" t="n">
        <x:f>SUM(SUMIFS('Costing'!$P$9:$P$492,'Costing'!$A$9:$A$492,"PARTNER-M162"),SUMIFS('Costing'!$P$9:$P$492,'Costing'!$A$9:$A$492,"PARTNER-M154"))</x:f>
        <x:v>480000</x:v>
      </x:c>
      <x:c r="M688" s="17" t="n">
        <x:f>ROUND(L688*'Costing'!$C$4,2)</x:f>
        <x:v>86400</x:v>
      </x:c>
      <x:c r="N688" s="17" t="n">
        <x:f>L688+M688</x:f>
        <x:v>566400</x:v>
      </x:c>
      <x:c r="O688" s="12" t="str">
        <x:v>Bengaluru</x:v>
      </x:c>
      <x:c r="P688" s="12" t="str">
        <x:v>CORP-0572, CORP-0573, CORP-0574, CORP-0575, CORP-0576, CORP-0577, CORP-0578, CORP-0579, CORP-0580, CORP-0581, CORP-0582, CORP-0583</x:v>
      </x:c>
      <x:c r="Q688" s="12" t="str">
        <x:v>Dezerv</x:v>
      </x:c>
    </x:row>
    <x:row r="689" ht="48" customHeight="1">
      <x:c r="A689" s="2" t="str">
        <x:v>TEN-34E334A5632D</x:v>
      </x:c>
      <x:c r="B689" s="12" t="str">
        <x:v>Dhani Loans amnd evices</x:v>
      </x:c>
      <x:c r="C689" s="12" t="str">
        <x:v>Business / brand</x:v>
      </x:c>
      <x:c r="D689" s="12" t="str">
        <x:v>Finance &amp; insurance</x:v>
      </x:c>
      <x:c r="E689" s="12" t="str">
        <x:v>Banking &amp; credit</x:v>
      </x:c>
      <x:c r="F689" s="12" t="str">
        <x:v>Mixed business audience</x:v>
      </x:c>
      <x:c r="G689" s="12" t="str">
        <x:v>Established brand or business network; local company scale is not established. Use a mixed-business message.</x:v>
      </x:c>
      <x:c r="H689" s="11" t="n">
        <x:v>1</x:v>
      </x:c>
      <x:c r="I689" s="11" t="n">
        <x:v>2</x:v>
      </x:c>
      <x:c r="J689" s="11" t="n">
        <x:v>2</x:v>
      </x:c>
      <x:c r="K689" s="11" t="n">
        <x:v>0</x:v>
      </x:c>
      <x:c r="L689" s="17" t="n">
        <x:f>SUM(SUMIFS('Costing'!$P$9:$P$492,'Costing'!$A$9:$A$492,"MAIN-304"))</x:f>
        <x:v>30000</x:v>
      </x:c>
      <x:c r="M689" s="17" t="n">
        <x:f>ROUND(L689*'Costing'!$C$4,2)</x:f>
        <x:v>5400</x:v>
      </x:c>
      <x:c r="N689" s="17" t="n">
        <x:f>L689+M689</x:f>
        <x:v>35400</x:v>
      </x:c>
      <x:c r="O689" s="12" t="str">
        <x:v>Mumbai</x:v>
      </x:c>
      <x:c r="P689" s="12" t="str">
        <x:v>CORP-0300</x:v>
      </x:c>
      <x:c r="Q689" s="12" t="str">
        <x:v>Dhani Loans amnd evices</x:v>
      </x:c>
    </x:row>
    <x:row r="690" ht="48" customHeight="1">
      <x:c r="A690" s="2" t="str">
        <x:v>TEN-1E76D28260D9</x:v>
      </x:c>
      <x:c r="B690" s="12" t="str">
        <x:v>Dhruv Food Industry Pvt. Ltd</x:v>
      </x:c>
      <x:c r="C690" s="12" t="str">
        <x:v>Business / brand</x:v>
      </x:c>
      <x:c r="D690" s="12" t="str">
        <x:v>Trade, consumer &amp; logistics</x:v>
      </x:c>
      <x:c r="E690" s="12" t="str">
        <x:v>Travel, hospitality, food &amp; beverages</x:v>
      </x:c>
      <x:c r="F690" s="12" t="str">
        <x:v>Small-scale prospects</x:v>
      </x:c>
      <x:c r="G690" s="12" t="str">
        <x:v>Trading or consumer-services business; small-scale prospect assumption.</x:v>
      </x:c>
      <x:c r="H690" s="11" t="n">
        <x:v>1</x:v>
      </x:c>
      <x:c r="I690" s="11" t="n">
        <x:v>2</x:v>
      </x:c>
      <x:c r="J690" s="11" t="n">
        <x:v>2</x:v>
      </x:c>
      <x:c r="K690" s="11" t="n">
        <x:v>0</x:v>
      </x:c>
      <x:c r="L690" s="17" t="n">
        <x:f>SUM(SUMIFS('Costing'!$P$9:$P$492,'Costing'!$A$9:$A$492,"MAIN-282"))</x:f>
        <x:v>30000</x:v>
      </x:c>
      <x:c r="M690" s="17" t="n">
        <x:f>ROUND(L690*'Costing'!$C$4,2)</x:f>
        <x:v>5400</x:v>
      </x:c>
      <x:c r="N690" s="17" t="n">
        <x:f>L690+M690</x:f>
        <x:v>35400</x:v>
      </x:c>
      <x:c r="O690" s="12" t="str">
        <x:v>Kolkata</x:v>
      </x:c>
      <x:c r="P690" s="12" t="str">
        <x:v>CORP-0278</x:v>
      </x:c>
      <x:c r="Q690" s="12" t="str">
        <x:v>Dhruv Food Industry Pvt. Ltd</x:v>
      </x:c>
    </x:row>
    <x:row r="691" ht="48" customHeight="1">
      <x:c r="A691" s="2" t="str">
        <x:v>TEN-CDB24A62FB69</x:v>
      </x:c>
      <x:c r="B691" s="12" t="str">
        <x:v>Dhruvsoft Services Private Limited</x:v>
      </x:c>
      <x:c r="C691" s="12" t="str">
        <x:v>Business / brand</x:v>
      </x:c>
      <x:c r="D691" s="12" t="str">
        <x:v>IT &amp; digital</x:v>
      </x:c>
      <x:c r="E691" s="12" t="str">
        <x:v>Enterprise software &amp; digital engineering</x:v>
      </x:c>
      <x:c r="F691" s="12" t="str">
        <x:v>Small-scale prospects</x:v>
      </x:c>
      <x:c r="G691" s="12" t="str">
        <x:v>Software or technology-services business; small-scale prospect assumption.</x:v>
      </x:c>
      <x:c r="H691" s="11" t="n">
        <x:v>6</x:v>
      </x:c>
      <x:c r="I691" s="11" t="n">
        <x:v>6</x:v>
      </x:c>
      <x:c r="J691" s="11" t="n">
        <x:v>6</x:v>
      </x:c>
      <x:c r="K691" s="11" t="n">
        <x:v>0</x:v>
      </x:c>
      <x:c r="L691" s="17" t="n">
        <x:f>SUM(SUMIFS('Costing'!$P$9:$P$492,'Costing'!$A$9:$A$492,"PARTNER-M289"))</x:f>
        <x:v>240000</x:v>
      </x:c>
      <x:c r="M691" s="17" t="n">
        <x:f>ROUND(L691*'Costing'!$C$4,2)</x:f>
        <x:v>43200</x:v>
      </x:c>
      <x:c r="N691" s="17" t="n">
        <x:f>L691+M691</x:f>
        <x:v>283200</x:v>
      </x:c>
      <x:c r="O691" s="12" t="str">
        <x:v>Hyderabad</x:v>
      </x:c>
      <x:c r="P691" s="12" t="str">
        <x:v>CORP-0704, CORP-0705, CORP-0706, CORP-0707, CORP-0708, CORP-0709</x:v>
      </x:c>
      <x:c r="Q691" s="12" t="str">
        <x:v>Dhruvsoft Services Private Limited</x:v>
      </x:c>
    </x:row>
    <x:row r="692" ht="75" customHeight="1">
      <x:c r="A692" s="2" t="str">
        <x:v>TEN-737B94C445E5</x:v>
      </x:c>
      <x:c r="B692" s="12" t="str">
        <x:v>Diamond Producers Association Limited</x:v>
      </x:c>
      <x:c r="C692" s="12" t="str">
        <x:v>Public / nonprofit</x:v>
      </x:c>
      <x:c r="D692" s="12" t="str">
        <x:v>Government &amp; nonprofit</x:v>
      </x:c>
      <x:c r="E692" s="12" t="str">
        <x:v>Public, nonprofit or membership organization</x:v>
      </x:c>
      <x:c r="F692" s="12" t="str">
        <x:v>Institutional</x:v>
      </x:c>
      <x:c r="G692" s="12" t="str">
        <x:v>Existing directory identifies an institutional, government, education, membership or nonprofit organisation rather than an ordinary MSME business prospect. This tag describes audience role and does not assert legal tax status.</x:v>
      </x:c>
      <x:c r="H692" s="11" t="n">
        <x:v>3</x:v>
      </x:c>
      <x:c r="I692" s="11" t="n">
        <x:v>3</x:v>
      </x:c>
      <x:c r="J692" s="11" t="n">
        <x:v>3</x:v>
      </x:c>
      <x:c r="K692" s="11" t="n">
        <x:v>0</x:v>
      </x:c>
      <x:c r="L692" s="17" t="n">
        <x:f>SUM(SUMIFS('Costing'!$P$9:$P$492,'Costing'!$A$9:$A$492,"PARTNER-M175"))</x:f>
        <x:v>120000</x:v>
      </x:c>
      <x:c r="M692" s="17" t="n">
        <x:f>ROUND(L692*'Costing'!$C$4,2)</x:f>
        <x:v>21600</x:v>
      </x:c>
      <x:c r="N692" s="17" t="n">
        <x:f>L692+M692</x:f>
        <x:v>141600</x:v>
      </x:c>
      <x:c r="O692" s="12" t="str">
        <x:v>Mumbai</x:v>
      </x:c>
      <x:c r="P692" s="12" t="str">
        <x:v>CORP-0592, CORP-0593, CORP-0594</x:v>
      </x:c>
      <x:c r="Q692" s="12" t="str">
        <x:v>Diamond Producers Association Limited</x:v>
      </x:c>
    </x:row>
    <x:row r="693" ht="48" customHeight="1">
      <x:c r="A693" s="2" t="str">
        <x:v>TEN-3CA8EB0EEB79</x:v>
      </x:c>
      <x:c r="B693" s="12" t="str">
        <x:v>DiamondXE</x:v>
      </x:c>
      <x:c r="C693" s="12" t="str">
        <x:v>Business / brand</x:v>
      </x:c>
      <x:c r="D693" s="12" t="str">
        <x:v>Trade, consumer &amp; logistics</x:v>
      </x:c>
      <x:c r="E693" s="12" t="str">
        <x:v>Retail, consumer products &amp; ecommerce</x:v>
      </x:c>
      <x:c r="F693" s="12" t="str">
        <x:v>Small-scale prospects</x:v>
      </x:c>
      <x:c r="G693" s="12" t="str">
        <x:v>Trading or consumer-services business; small-scale prospect assumption.</x:v>
      </x:c>
      <x:c r="H693" s="11" t="n">
        <x:v>3</x:v>
      </x:c>
      <x:c r="I693" s="11" t="n">
        <x:v>3</x:v>
      </x:c>
      <x:c r="J693" s="11" t="n">
        <x:v>3</x:v>
      </x:c>
      <x:c r="K693" s="11" t="n">
        <x:v>0</x:v>
      </x:c>
      <x:c r="L693" s="17" t="n">
        <x:f>SUM(SUMIFS('Costing'!$P$9:$P$492,'Costing'!$A$9:$A$492,"PARTNER-M175"))</x:f>
        <x:v>120000</x:v>
      </x:c>
      <x:c r="M693" s="17" t="n">
        <x:f>ROUND(L693*'Costing'!$C$4,2)</x:f>
        <x:v>21600</x:v>
      </x:c>
      <x:c r="N693" s="17" t="n">
        <x:f>L693+M693</x:f>
        <x:v>141600</x:v>
      </x:c>
      <x:c r="O693" s="12" t="str">
        <x:v>Mumbai</x:v>
      </x:c>
      <x:c r="P693" s="12" t="str">
        <x:v>CORP-0592, CORP-0593, CORP-0594</x:v>
      </x:c>
      <x:c r="Q693" s="12" t="str">
        <x:v>DiamondXE</x:v>
      </x:c>
    </x:row>
    <x:row r="694" ht="48" customHeight="1">
      <x:c r="A694" s="2" t="str">
        <x:v>TEN-AFC9E379D2B5</x:v>
      </x:c>
      <x:c r="B694" s="12" t="str">
        <x:v>Digicell</x:v>
      </x:c>
      <x:c r="C694" s="12" t="str">
        <x:v>Business / brand</x:v>
      </x:c>
      <x:c r="D694" s="12" t="str">
        <x:v>Unresolved</x:v>
      </x:c>
      <x:c r="E694" s="12" t="str">
        <x:v>Business activity not established</x:v>
      </x:c>
      <x:c r="F694" s="12" t="str">
        <x:v>Mixed business audience</x:v>
      </x:c>
      <x:c r="G694" s="12" t="str">
        <x:v>Business activity and company scale are not established from this name.</x:v>
      </x:c>
      <x:c r="H694" s="11" t="n">
        <x:v>1</x:v>
      </x:c>
      <x:c r="I694" s="11" t="n">
        <x:v>21</x:v>
      </x:c>
      <x:c r="J694" s="11" t="n">
        <x:v>21</x:v>
      </x:c>
      <x:c r="K694" s="11" t="n">
        <x:v>0</x:v>
      </x:c>
      <x:c r="L694" s="17" t="n">
        <x:f>SUM(SUMIFS('Costing'!$P$9:$P$492,'Costing'!$A$9:$A$492,"MAIN-313"))</x:f>
        <x:v>315000</x:v>
      </x:c>
      <x:c r="M694" s="17" t="n">
        <x:f>ROUND(L694*'Costing'!$C$4,2)</x:f>
        <x:v>56700</x:v>
      </x:c>
      <x:c r="N694" s="17" t="n">
        <x:f>L694+M694</x:f>
        <x:v>371700</x:v>
      </x:c>
      <x:c r="O694" s="12" t="str">
        <x:v>Mumbai</x:v>
      </x:c>
      <x:c r="P694" s="12" t="str">
        <x:v>CORP-0309</x:v>
      </x:c>
      <x:c r="Q694" s="12" t="str">
        <x:v>Digicell</x:v>
      </x:c>
    </x:row>
    <x:row r="695" ht="48" customHeight="1">
      <x:c r="A695" s="2" t="str">
        <x:v>TEN-990BC2BC88C9</x:v>
      </x:c>
      <x:c r="B695" s="12" t="str">
        <x:v>DIGILOGIC SYSTEM PVT LTD</x:v>
      </x:c>
      <x:c r="C695" s="12" t="str">
        <x:v>Business / brand</x:v>
      </x:c>
      <x:c r="D695" s="12" t="str">
        <x:v>Engineering &amp; manufacturing</x:v>
      </x:c>
      <x:c r="E695" s="12" t="str">
        <x:v>Engineering, testing &amp; technical services</x:v>
      </x:c>
      <x:c r="F695" s="12" t="str">
        <x:v>Medium-scale prospects</x:v>
      </x:c>
      <x:c r="G695" s="12" t="str">
        <x:v>Specialist industrial or engineering business; medium-scale prospect assumption.</x:v>
      </x:c>
      <x:c r="H695" s="11" t="n">
        <x:v>1</x:v>
      </x:c>
      <x:c r="I695" s="11" t="n">
        <x:v>2</x:v>
      </x:c>
      <x:c r="J695" s="11" t="n">
        <x:v>2</x:v>
      </x:c>
      <x:c r="K695" s="11" t="n">
        <x:v>0</x:v>
      </x:c>
      <x:c r="L695" s="17" t="n">
        <x:f>SUM(SUMIFS('Costing'!$P$9:$P$492,'Costing'!$A$9:$A$492,"MAIN-216"))</x:f>
        <x:v>30000</x:v>
      </x:c>
      <x:c r="M695" s="17" t="n">
        <x:f>ROUND(L695*'Costing'!$C$4,2)</x:f>
        <x:v>5400</x:v>
      </x:c>
      <x:c r="N695" s="17" t="n">
        <x:f>L695+M695</x:f>
        <x:v>35400</x:v>
      </x:c>
      <x:c r="O695" s="12" t="str">
        <x:v>Hyderabad</x:v>
      </x:c>
      <x:c r="P695" s="12" t="str">
        <x:v>CORP-0212</x:v>
      </x:c>
      <x:c r="Q695" s="12" t="str">
        <x:v>DIGILOGIC SYSTEM PVT LTD</x:v>
      </x:c>
    </x:row>
    <x:row r="696" ht="48" customHeight="1">
      <x:c r="A696" s="2" t="str">
        <x:v>TEN-4CC8C2DA7EF5</x:v>
      </x:c>
      <x:c r="B696" s="12" t="str">
        <x:v>DIGIrabbits</x:v>
      </x:c>
      <x:c r="C696" s="12" t="str">
        <x:v>Business / brand</x:v>
      </x:c>
      <x:c r="D696" s="12" t="str">
        <x:v>Unresolved</x:v>
      </x:c>
      <x:c r="E696" s="12" t="str">
        <x:v>Business activity not established</x:v>
      </x:c>
      <x:c r="F696" s="12" t="str">
        <x:v>Mixed business audience</x:v>
      </x:c>
      <x:c r="G696" s="12" t="str">
        <x:v>Business activity and company scale are not established from this name.</x:v>
      </x:c>
      <x:c r="H696" s="11" t="n">
        <x:v>1</x:v>
      </x:c>
      <x:c r="I696" s="11" t="n">
        <x:v>2</x:v>
      </x:c>
      <x:c r="J696" s="11" t="n">
        <x:v>2</x:v>
      </x:c>
      <x:c r="K696" s="11" t="n">
        <x:v>0</x:v>
      </x:c>
      <x:c r="L696" s="17" t="n">
        <x:f>SUM(SUMIFS('Costing'!$P$9:$P$492,'Costing'!$A$9:$A$492,"MAIN-282"))</x:f>
        <x:v>30000</x:v>
      </x:c>
      <x:c r="M696" s="17" t="n">
        <x:f>ROUND(L696*'Costing'!$C$4,2)</x:f>
        <x:v>5400</x:v>
      </x:c>
      <x:c r="N696" s="17" t="n">
        <x:f>L696+M696</x:f>
        <x:v>35400</x:v>
      </x:c>
      <x:c r="O696" s="12" t="str">
        <x:v>Kolkata</x:v>
      </x:c>
      <x:c r="P696" s="12" t="str">
        <x:v>CORP-0278</x:v>
      </x:c>
      <x:c r="Q696" s="12" t="str">
        <x:v>DIGIrabbits</x:v>
      </x:c>
    </x:row>
    <x:row r="697" ht="48" customHeight="1">
      <x:c r="A697" s="2" t="str">
        <x:v>TEN-E36A8E484C91</x:v>
      </x:c>
      <x:c r="B697" s="12" t="str">
        <x:v>Digirealty Technologies</x:v>
      </x:c>
      <x:c r="C697" s="12" t="str">
        <x:v>Business / brand</x:v>
      </x:c>
      <x:c r="D697" s="12" t="str">
        <x:v>Trade, consumer &amp; logistics</x:v>
      </x:c>
      <x:c r="E697" s="12" t="str">
        <x:v>Real estate, property &amp; construction services</x:v>
      </x:c>
      <x:c r="F697" s="12" t="str">
        <x:v>Small-scale prospects</x:v>
      </x:c>
      <x:c r="G697" s="12" t="str">
        <x:v>Trading or consumer-services business; small-scale prospect assumption.</x:v>
      </x:c>
      <x:c r="H697" s="11" t="n">
        <x:v>4</x:v>
      </x:c>
      <x:c r="I697" s="11" t="n">
        <x:v>4</x:v>
      </x:c>
      <x:c r="J697" s="11" t="n">
        <x:v>4</x:v>
      </x:c>
      <x:c r="K697" s="11" t="n">
        <x:v>0</x:v>
      </x:c>
      <x:c r="L697" s="17" t="n">
        <x:f>SUM(SUMIFS('Costing'!$P$9:$P$492,'Costing'!$A$9:$A$492,"PARTNER-M247"))</x:f>
        <x:v>160000</x:v>
      </x:c>
      <x:c r="M697" s="17" t="n">
        <x:f>ROUND(L697*'Costing'!$C$4,2)</x:f>
        <x:v>28800</x:v>
      </x:c>
      <x:c r="N697" s="17" t="n">
        <x:f>L697+M697</x:f>
        <x:v>188800</x:v>
      </x:c>
      <x:c r="O697" s="12" t="str">
        <x:v>Mumbai</x:v>
      </x:c>
      <x:c r="P697" s="12" t="str">
        <x:v>CORP-0664, CORP-0665, CORP-0666, CORP-0667</x:v>
      </x:c>
      <x:c r="Q697" s="12" t="str">
        <x:v>Digirealty Technologies</x:v>
      </x:c>
    </x:row>
    <x:row r="698" ht="48" customHeight="1">
      <x:c r="A698" s="2" t="str">
        <x:v>TEN-AE331F7CF136</x:v>
      </x:c>
      <x:c r="B698" s="12" t="str">
        <x:v>Digirovers Solutions</x:v>
      </x:c>
      <x:c r="C698" s="12" t="str">
        <x:v>Business / brand</x:v>
      </x:c>
      <x:c r="D698" s="12" t="str">
        <x:v>Unresolved</x:v>
      </x:c>
      <x:c r="E698" s="12" t="str">
        <x:v>Business activity not established</x:v>
      </x:c>
      <x:c r="F698" s="12" t="str">
        <x:v>Mixed business audience</x:v>
      </x:c>
      <x:c r="G698" s="12" t="str">
        <x:v>Business activity and company scale are not established from this name.</x:v>
      </x:c>
      <x:c r="H698" s="11" t="n">
        <x:v>1</x:v>
      </x:c>
      <x:c r="I698" s="11" t="n">
        <x:v>2</x:v>
      </x:c>
      <x:c r="J698" s="11" t="n">
        <x:v>2</x:v>
      </x:c>
      <x:c r="K698" s="11" t="n">
        <x:v>0</x:v>
      </x:c>
      <x:c r="L698" s="17" t="n">
        <x:f>SUM(SUMIFS('Costing'!$P$9:$P$492,'Costing'!$A$9:$A$492,"MAIN-031"))</x:f>
        <x:v>30000</x:v>
      </x:c>
      <x:c r="M698" s="17" t="n">
        <x:f>ROUND(L698*'Costing'!$C$4,2)</x:f>
        <x:v>5400</x:v>
      </x:c>
      <x:c r="N698" s="17" t="n">
        <x:f>L698+M698</x:f>
        <x:v>35400</x:v>
      </x:c>
      <x:c r="O698" s="12" t="str">
        <x:v>Bengaluru</x:v>
      </x:c>
      <x:c r="P698" s="12" t="str">
        <x:v>CORP-0027</x:v>
      </x:c>
      <x:c r="Q698" s="12" t="str">
        <x:v>Digirovers Solutions</x:v>
      </x:c>
    </x:row>
    <x:row r="699" ht="48" customHeight="1">
      <x:c r="A699" s="2" t="str">
        <x:v>TEN-95FF34CF19E6</x:v>
      </x:c>
      <x:c r="B699" s="12" t="str">
        <x:v>Digit</x:v>
      </x:c>
      <x:c r="C699" s="12" t="str">
        <x:v>Business / brand</x:v>
      </x:c>
      <x:c r="D699" s="12" t="str">
        <x:v>Finance &amp; insurance</x:v>
      </x:c>
      <x:c r="E699" s="12" t="str">
        <x:v>Banking, credit &amp; financial services</x:v>
      </x:c>
      <x:c r="F699" s="12" t="str">
        <x:v>Mixed business audience</x:v>
      </x:c>
      <x:c r="G699" s="12" t="str">
        <x:v>Established brand or business network; local company scale is not established. Use a mixed-business message.</x:v>
      </x:c>
      <x:c r="H699" s="11" t="n">
        <x:v>1</x:v>
      </x:c>
      <x:c r="I699" s="11" t="n">
        <x:v>3</x:v>
      </x:c>
      <x:c r="J699" s="11" t="n">
        <x:v>3</x:v>
      </x:c>
      <x:c r="K699" s="11" t="n">
        <x:v>0</x:v>
      </x:c>
      <x:c r="L699" s="17" t="n">
        <x:f>SUM(SUMIFS('Costing'!$P$9:$P$492,'Costing'!$A$9:$A$492,"MAIN-222"))</x:f>
        <x:v>45000</x:v>
      </x:c>
      <x:c r="M699" s="17" t="n">
        <x:f>ROUND(L699*'Costing'!$C$4,2)</x:f>
        <x:v>8100</x:v>
      </x:c>
      <x:c r="N699" s="17" t="n">
        <x:f>L699+M699</x:f>
        <x:v>53100</x:v>
      </x:c>
      <x:c r="O699" s="12" t="str">
        <x:v>Hyderabad</x:v>
      </x:c>
      <x:c r="P699" s="12" t="str">
        <x:v>CORP-0218</x:v>
      </x:c>
      <x:c r="Q699" s="12" t="str">
        <x:v>Digit</x:v>
      </x:c>
    </x:row>
    <x:row r="700" ht="48" customHeight="1">
      <x:c r="A700" s="2" t="str">
        <x:v>TEN-DDCD44A7DAAA</x:v>
      </x:c>
      <x:c r="B700" s="12" t="str">
        <x:v>digital Brandlance</x:v>
      </x:c>
      <x:c r="C700" s="12" t="str">
        <x:v>Business / brand</x:v>
      </x:c>
      <x:c r="D700" s="12" t="str">
        <x:v>IT &amp; digital</x:v>
      </x:c>
      <x:c r="E700" s="12" t="str">
        <x:v>Enterprise software &amp; digital engineering</x:v>
      </x:c>
      <x:c r="F700" s="12" t="str">
        <x:v>Small-scale prospects</x:v>
      </x:c>
      <x:c r="G700" s="12" t="str">
        <x:v>Software or technology-services business; small-scale prospect assumption.</x:v>
      </x:c>
      <x:c r="H700" s="11" t="n">
        <x:v>1</x:v>
      </x:c>
      <x:c r="I700" s="11" t="n">
        <x:v>2</x:v>
      </x:c>
      <x:c r="J700" s="11" t="n">
        <x:v>2</x:v>
      </x:c>
      <x:c r="K700" s="11" t="n">
        <x:v>0</x:v>
      </x:c>
      <x:c r="L700" s="17" t="n">
        <x:f>SUM(SUMIFS('Costing'!$P$9:$P$492,'Costing'!$A$9:$A$492,"MAIN-225"))</x:f>
        <x:v>30000</x:v>
      </x:c>
      <x:c r="M700" s="17" t="n">
        <x:f>ROUND(L700*'Costing'!$C$4,2)</x:f>
        <x:v>5400</x:v>
      </x:c>
      <x:c r="N700" s="17" t="n">
        <x:f>L700+M700</x:f>
        <x:v>35400</x:v>
      </x:c>
      <x:c r="O700" s="12" t="str">
        <x:v>Hyderabad</x:v>
      </x:c>
      <x:c r="P700" s="12" t="str">
        <x:v>CORP-0221</x:v>
      </x:c>
      <x:c r="Q700" s="12" t="str">
        <x:v>digital Brandlance</x:v>
      </x:c>
    </x:row>
    <x:row r="701" ht="48" customHeight="1">
      <x:c r="A701" s="2" t="str">
        <x:v>TEN-E443E35E8926</x:v>
      </x:c>
      <x:c r="B701" s="12" t="str">
        <x:v>Digital Vidya</x:v>
      </x:c>
      <x:c r="C701" s="12" t="str">
        <x:v>Business / brand</x:v>
      </x:c>
      <x:c r="D701" s="12" t="str">
        <x:v>Education</x:v>
      </x:c>
      <x:c r="E701" s="12" t="str">
        <x:v>Education, training &amp; childcare</x:v>
      </x:c>
      <x:c r="F701" s="12" t="str">
        <x:v>Small-scale prospects</x:v>
      </x:c>
      <x:c r="G701" s="12" t="str">
        <x:v>Training or education-services business; small-scale prospect assumption.</x:v>
      </x:c>
      <x:c r="H701" s="11" t="n">
        <x:v>1</x:v>
      </x:c>
      <x:c r="I701" s="11" t="n">
        <x:v>4</x:v>
      </x:c>
      <x:c r="J701" s="11" t="n">
        <x:v>4</x:v>
      </x:c>
      <x:c r="K701" s="11" t="n">
        <x:v>0</x:v>
      </x:c>
      <x:c r="L701" s="17" t="n">
        <x:f>SUM(SUMIFS('Costing'!$P$9:$P$492,'Costing'!$A$9:$A$492,"MAIN-352"))</x:f>
        <x:v>80000</x:v>
      </x:c>
      <x:c r="M701" s="17" t="n">
        <x:f>ROUND(L701*'Costing'!$C$4,2)</x:f>
        <x:v>14400</x:v>
      </x:c>
      <x:c r="N701" s="17" t="n">
        <x:f>L701+M701</x:f>
        <x:v>94400</x:v>
      </x:c>
      <x:c r="O701" s="12" t="str">
        <x:v>Mumbai</x:v>
      </x:c>
      <x:c r="P701" s="12" t="str">
        <x:v>CORP-0348</x:v>
      </x:c>
      <x:c r="Q701" s="12" t="str">
        <x:v>Digital Vidya</x:v>
      </x:c>
    </x:row>
    <x:row r="702" ht="48" customHeight="1">
      <x:c r="A702" s="2" t="str">
        <x:v>TEN-6F11DEE58E05</x:v>
      </x:c>
      <x:c r="B702" s="12" t="str">
        <x:v>DigitalTrust Technologies</x:v>
      </x:c>
      <x:c r="C702" s="12" t="str">
        <x:v>Business / brand</x:v>
      </x:c>
      <x:c r="D702" s="12" t="str">
        <x:v>IT &amp; digital</x:v>
      </x:c>
      <x:c r="E702" s="12" t="str">
        <x:v>Enterprise software &amp; digital engineering</x:v>
      </x:c>
      <x:c r="F702" s="12" t="str">
        <x:v>Small-scale prospects</x:v>
      </x:c>
      <x:c r="G702" s="12" t="str">
        <x:v>Software or technology-services business; small-scale prospect assumption.</x:v>
      </x:c>
      <x:c r="H702" s="11" t="n">
        <x:v>1</x:v>
      </x:c>
      <x:c r="I702" s="11" t="n">
        <x:v>2</x:v>
      </x:c>
      <x:c r="J702" s="11" t="n">
        <x:v>2</x:v>
      </x:c>
      <x:c r="K702" s="11" t="n">
        <x:v>0</x:v>
      </x:c>
      <x:c r="L702" s="17" t="n">
        <x:f>SUM(SUMIFS('Costing'!$P$9:$P$492,'Costing'!$A$9:$A$492,"MAIN-251"))</x:f>
        <x:v>40000</x:v>
      </x:c>
      <x:c r="M702" s="17" t="n">
        <x:f>ROUND(L702*'Costing'!$C$4,2)</x:f>
        <x:v>7200</x:v>
      </x:c>
      <x:c r="N702" s="17" t="n">
        <x:f>L702+M702</x:f>
        <x:v>47200</x:v>
      </x:c>
      <x:c r="O702" s="12" t="str">
        <x:v>Hyderabad</x:v>
      </x:c>
      <x:c r="P702" s="12" t="str">
        <x:v>CORP-0247</x:v>
      </x:c>
      <x:c r="Q702" s="12" t="str">
        <x:v>DigitalTrust Technologies</x:v>
      </x:c>
    </x:row>
    <x:row r="703" ht="48" customHeight="1">
      <x:c r="A703" s="2" t="str">
        <x:v>TEN-65F0C1A7EAFF</x:v>
      </x:c>
      <x:c r="B703" s="12" t="str">
        <x:v>Digitas</x:v>
      </x:c>
      <x:c r="C703" s="12" t="str">
        <x:v>Business / brand</x:v>
      </x:c>
      <x:c r="D703" s="12" t="str">
        <x:v>Professional services</x:v>
      </x:c>
      <x:c r="E703" s="12" t="str">
        <x:v>Marketing, media &amp; research services</x:v>
      </x:c>
      <x:c r="F703" s="12" t="str">
        <x:v>Large enterprise</x:v>
      </x:c>
      <x:c r="G703" s="12" t="str">
        <x:v>Explicit Publicis enterprise-family context; see ENTERPRISE_SUPP_027 evidence.</x:v>
      </x:c>
      <x:c r="H703" s="11" t="n">
        <x:v>4</x:v>
      </x:c>
      <x:c r="I703" s="11" t="n">
        <x:v>4</x:v>
      </x:c>
      <x:c r="J703" s="11" t="n">
        <x:v>4</x:v>
      </x:c>
      <x:c r="K703" s="11" t="n">
        <x:v>0</x:v>
      </x:c>
      <x:c r="L703" s="17" t="n">
        <x:f>SUM(SUMIFS('Costing'!$P$9:$P$492,'Costing'!$A$9:$A$492,"PARTNER-M188"))</x:f>
        <x:v>160000</x:v>
      </x:c>
      <x:c r="M703" s="17" t="n">
        <x:f>ROUND(L703*'Costing'!$C$4,2)</x:f>
        <x:v>28800</x:v>
      </x:c>
      <x:c r="N703" s="17" t="n">
        <x:f>L703+M703</x:f>
        <x:v>188800</x:v>
      </x:c>
      <x:c r="O703" s="12" t="str">
        <x:v>Mumbai</x:v>
      </x:c>
      <x:c r="P703" s="12" t="str">
        <x:v>CORP-0605, CORP-0606, CORP-0607, CORP-0608</x:v>
      </x:c>
      <x:c r="Q703" s="12" t="str">
        <x:v>Digitas</x:v>
      </x:c>
    </x:row>
    <x:row r="704" ht="48" customHeight="1">
      <x:c r="A704" s="2" t="str">
        <x:v>TEN-0F34FE7346AD</x:v>
      </x:c>
      <x:c r="B704" s="12" t="str">
        <x:v>Digitide Solutions Limited</x:v>
      </x:c>
      <x:c r="C704" s="12" t="str">
        <x:v>Business / brand</x:v>
      </x:c>
      <x:c r="D704" s="12" t="str">
        <x:v>IT &amp; digital</x:v>
      </x:c>
      <x:c r="E704" s="12" t="str">
        <x:v>Business process &amp; customer operations</x:v>
      </x:c>
      <x:c r="F704" s="12" t="str">
        <x:v>Mixed business audience</x:v>
      </x:c>
      <x:c r="G704" s="12" t="str">
        <x:v>Established brand or business network; local company scale is not established. Use a mixed-business message.</x:v>
      </x:c>
      <x:c r="H704" s="11" t="n">
        <x:v>5</x:v>
      </x:c>
      <x:c r="I704" s="11" t="n">
        <x:v>5</x:v>
      </x:c>
      <x:c r="J704" s="11" t="n">
        <x:v>5</x:v>
      </x:c>
      <x:c r="K704" s="11" t="n">
        <x:v>0</x:v>
      </x:c>
      <x:c r="L704" s="17" t="n">
        <x:f>SUM(SUMIFS('Costing'!$P$9:$P$492,'Costing'!$A$9:$A$492,"PARTNER-M268"))</x:f>
        <x:v>200000</x:v>
      </x:c>
      <x:c r="M704" s="17" t="n">
        <x:f>ROUND(L704*'Costing'!$C$4,2)</x:f>
        <x:v>36000</x:v>
      </x:c>
      <x:c r="N704" s="17" t="n">
        <x:f>L704+M704</x:f>
        <x:v>236000</x:v>
      </x:c>
      <x:c r="O704" s="12" t="str">
        <x:v>Pune</x:v>
      </x:c>
      <x:c r="P704" s="12" t="str">
        <x:v>CORP-0684, CORP-0685, CORP-0686, CORP-0687, CORP-0688</x:v>
      </x:c>
      <x:c r="Q704" s="12" t="str">
        <x:v>Digitide Solutions Limited</x:v>
      </x:c>
    </x:row>
    <x:row r="705" ht="48" customHeight="1">
      <x:c r="A705" s="2" t="str">
        <x:v>TEN-356EE5DC254F</x:v>
      </x:c>
      <x:c r="B705" s="12" t="str">
        <x:v>Digivalet</x:v>
      </x:c>
      <x:c r="C705" s="12" t="str">
        <x:v>Business / brand</x:v>
      </x:c>
      <x:c r="D705" s="12" t="str">
        <x:v>IT &amp; digital</x:v>
      </x:c>
      <x:c r="E705" s="12" t="str">
        <x:v>Enterprise software &amp; digital engineering</x:v>
      </x:c>
      <x:c r="F705" s="12" t="str">
        <x:v>Small-scale prospects</x:v>
      </x:c>
      <x:c r="G705" s="12" t="str">
        <x:v>Software or technology-services business; small-scale prospect assumption.</x:v>
      </x:c>
      <x:c r="H705" s="11" t="n">
        <x:v>1</x:v>
      </x:c>
      <x:c r="I705" s="11" t="n">
        <x:v>1</x:v>
      </x:c>
      <x:c r="J705" s="11" t="n">
        <x:v>1</x:v>
      </x:c>
      <x:c r="K705" s="11" t="n">
        <x:v>0</x:v>
      </x:c>
      <x:c r="L705" s="17" t="n">
        <x:f>SUM(SUMIFS('Costing'!$P$9:$P$492,'Costing'!$A$9:$A$492,"MAIN-266"))</x:f>
        <x:v>20000</x:v>
      </x:c>
      <x:c r="M705" s="17" t="n">
        <x:f>ROUND(L705*'Costing'!$C$4,2)</x:f>
        <x:v>3600</x:v>
      </x:c>
      <x:c r="N705" s="17" t="n">
        <x:f>L705+M705</x:f>
        <x:v>23600</x:v>
      </x:c>
      <x:c r="O705" s="12" t="str">
        <x:v>Indore</x:v>
      </x:c>
      <x:c r="P705" s="12" t="str">
        <x:v>CORP-0262</x:v>
      </x:c>
      <x:c r="Q705" s="12" t="str">
        <x:v>Digivalet</x:v>
      </x:c>
    </x:row>
    <x:row r="706" ht="62" customHeight="1">
      <x:c r="A706" s="2" t="str">
        <x:v>TEN-CF08FCCD9D8B</x:v>
      </x:c>
      <x:c r="B706" s="12" t="str">
        <x:v>Diligent</x:v>
      </x:c>
      <x:c r="C706" s="12" t="str">
        <x:v>Business / brand</x:v>
      </x:c>
      <x:c r="D706" s="12" t="str">
        <x:v>IT &amp; digital</x:v>
      </x:c>
      <x:c r="E706" s="12" t="str">
        <x:v>Technology services — specialty unverified</x:v>
      </x:c>
      <x:c r="F706" s="12" t="str">
        <x:v>Large enterprise</x:v>
      </x:c>
      <x:c r="G706" s="12" t="str">
        <x:v>The official company profile describes more than 2,000 employees and customers across 130 countries. Its global governance-software footprint supports an enterprise-brand override for this reviewed tenant name.</x:v>
      </x:c>
      <x:c r="H706" s="11" t="n">
        <x:v>1</x:v>
      </x:c>
      <x:c r="I706" s="11" t="n">
        <x:v>18</x:v>
      </x:c>
      <x:c r="J706" s="11" t="n">
        <x:v>18</x:v>
      </x:c>
      <x:c r="K706" s="11" t="n">
        <x:v>0</x:v>
      </x:c>
      <x:c r="L706" s="17" t="n">
        <x:f>SUM(SUMIFS('Costing'!$P$9:$P$492,'Costing'!$A$9:$A$492,"MAIN-052"))</x:f>
        <x:v>270000</x:v>
      </x:c>
      <x:c r="M706" s="17" t="n">
        <x:f>ROUND(L706*'Costing'!$C$4,2)</x:f>
        <x:v>48600</x:v>
      </x:c>
      <x:c r="N706" s="17" t="n">
        <x:f>L706+M706</x:f>
        <x:v>318600</x:v>
      </x:c>
      <x:c r="O706" s="12" t="str">
        <x:v>Bengaluru</x:v>
      </x:c>
      <x:c r="P706" s="12" t="str">
        <x:v>CORP-0048</x:v>
      </x:c>
      <x:c r="Q706" s="12" t="str">
        <x:v>Diligent</x:v>
      </x:c>
    </x:row>
    <x:row r="707" ht="48" customHeight="1">
      <x:c r="A707" s="2" t="str">
        <x:v>TEN-2F85BCE94831</x:v>
      </x:c>
      <x:c r="B707" s="12" t="str">
        <x:v>Dimension Data India (formerly Data Craft India)</x:v>
      </x:c>
      <x:c r="C707" s="12" t="str">
        <x:v>Business / brand</x:v>
      </x:c>
      <x:c r="D707" s="12" t="str">
        <x:v>IT &amp; digital</x:v>
      </x:c>
      <x:c r="E707" s="12" t="str">
        <x:v>Enterprise software &amp; digital engineering</x:v>
      </x:c>
      <x:c r="F707" s="12" t="str">
        <x:v>Large enterprise</x:v>
      </x:c>
      <x:c r="G707" s="12" t="str">
        <x:v>Explicit NTT enterprise-family context; see ENTERPRISE_SUPP_008 evidence.</x:v>
      </x:c>
      <x:c r="H707" s="11" t="n">
        <x:v>5</x:v>
      </x:c>
      <x:c r="I707" s="11" t="n">
        <x:v>5</x:v>
      </x:c>
      <x:c r="J707" s="11" t="n">
        <x:v>5</x:v>
      </x:c>
      <x:c r="K707" s="11" t="n">
        <x:v>0</x:v>
      </x:c>
      <x:c r="L707" s="17" t="n">
        <x:f>SUM(SUMIFS('Costing'!$P$9:$P$492,'Costing'!$A$9:$A$492,"PARTNER-M051"))</x:f>
        <x:v>200000</x:v>
      </x:c>
      <x:c r="M707" s="17" t="n">
        <x:f>ROUND(L707*'Costing'!$C$4,2)</x:f>
        <x:v>36000</x:v>
      </x:c>
      <x:c r="N707" s="17" t="n">
        <x:f>L707+M707</x:f>
        <x:v>236000</x:v>
      </x:c>
      <x:c r="O707" s="12" t="str">
        <x:v>Bengaluru</x:v>
      </x:c>
      <x:c r="P707" s="12" t="str">
        <x:v>CORP-0469, CORP-0470, CORP-0471, CORP-0472, CORP-0473</x:v>
      </x:c>
      <x:c r="Q707" s="12" t="str">
        <x:v>Dimension Data India (formerly Data Craft India)</x:v>
      </x:c>
    </x:row>
    <x:row r="708" ht="48" customHeight="1">
      <x:c r="A708" s="2" t="str">
        <x:v>TEN-BDE489F8D79E</x:v>
      </x:c>
      <x:c r="B708" s="12" t="str">
        <x:v>Diplomat Bio-Information Pvt.Ltd</x:v>
      </x:c>
      <x:c r="C708" s="12" t="str">
        <x:v>Business / brand</x:v>
      </x:c>
      <x:c r="D708" s="12" t="str">
        <x:v>Healthcare &amp; life sciences</x:v>
      </x:c>
      <x:c r="E708" s="12" t="str">
        <x:v>Clinical, medical &amp; diagnostic services</x:v>
      </x:c>
      <x:c r="F708" s="12" t="str">
        <x:v>Small-scale prospects</x:v>
      </x:c>
      <x:c r="G708" s="12" t="str">
        <x:v>Healthcare services business; small-scale prospect assumption.</x:v>
      </x:c>
      <x:c r="H708" s="11" t="n">
        <x:v>1</x:v>
      </x:c>
      <x:c r="I708" s="11" t="n">
        <x:v>1</x:v>
      </x:c>
      <x:c r="J708" s="11" t="n">
        <x:v>1</x:v>
      </x:c>
      <x:c r="K708" s="11" t="n">
        <x:v>0</x:v>
      </x:c>
      <x:c r="L708" s="17" t="n">
        <x:f>SUM(SUMIFS('Costing'!$P$9:$P$492,'Costing'!$A$9:$A$492,"MAIN-395"))</x:f>
        <x:v>15000</x:v>
      </x:c>
      <x:c r="M708" s="17" t="n">
        <x:f>ROUND(L708*'Costing'!$C$4,2)</x:f>
        <x:v>2700</x:v>
      </x:c>
      <x:c r="N708" s="17" t="n">
        <x:f>L708+M708</x:f>
        <x:v>17700</x:v>
      </x:c>
      <x:c r="O708" s="12" t="str">
        <x:v>Pune</x:v>
      </x:c>
      <x:c r="P708" s="12" t="str">
        <x:v>CORP-0391</x:v>
      </x:c>
      <x:c r="Q708" s="12" t="str">
        <x:v>Diplomat Bio-Information Pvt.Ltd</x:v>
      </x:c>
    </x:row>
    <x:row r="709" ht="48" customHeight="1">
      <x:c r="A709" s="2" t="str">
        <x:v>TEN-BB5042D9B00B</x:v>
      </x:c>
      <x:c r="B709" s="12" t="str">
        <x:v>Disney Star</x:v>
      </x:c>
      <x:c r="C709" s="12" t="str">
        <x:v>Business / brand</x:v>
      </x:c>
      <x:c r="D709" s="12" t="str">
        <x:v>Trade, consumer &amp; logistics</x:v>
      </x:c>
      <x:c r="E709" s="12" t="str">
        <x:v>Entertainment, media &amp; events</x:v>
      </x:c>
      <x:c r="F709" s="12" t="str">
        <x:v>Mixed business audience</x:v>
      </x:c>
      <x:c r="G709" s="12" t="str">
        <x:v>Recognisable business context; company-scale evidence remains insufficient for a single size band.</x:v>
      </x:c>
      <x:c r="H709" s="11" t="n">
        <x:v>1</x:v>
      </x:c>
      <x:c r="I709" s="11" t="n">
        <x:v>1</x:v>
      </x:c>
      <x:c r="J709" s="11" t="n">
        <x:v>1</x:v>
      </x:c>
      <x:c r="K709" s="11" t="n">
        <x:v>0</x:v>
      </x:c>
      <x:c r="L709" s="17" t="n">
        <x:f>SUM(SUMIFS('Costing'!$P$9:$P$492,'Costing'!$A$9:$A$492,"MAIN-112"))</x:f>
        <x:v>25000</x:v>
      </x:c>
      <x:c r="M709" s="17" t="n">
        <x:f>ROUND(L709*'Costing'!$C$4,2)</x:f>
        <x:v>4500</x:v>
      </x:c>
      <x:c r="N709" s="17" t="n">
        <x:f>L709+M709</x:f>
        <x:v>29500</x:v>
      </x:c>
      <x:c r="O709" s="12" t="str">
        <x:v>Bengaluru</x:v>
      </x:c>
      <x:c r="P709" s="12" t="str">
        <x:v>CORP-0108</x:v>
      </x:c>
      <x:c r="Q709" s="12" t="str">
        <x:v>Disney Star</x:v>
      </x:c>
    </x:row>
    <x:row r="710" ht="48" customHeight="1">
      <x:c r="A710" s="2" t="str">
        <x:v>TEN-897383DD281F</x:v>
      </x:c>
      <x:c r="B710" s="12" t="str">
        <x:v>dispatch track</x:v>
      </x:c>
      <x:c r="C710" s="12" t="str">
        <x:v>Business / brand</x:v>
      </x:c>
      <x:c r="D710" s="12" t="str">
        <x:v>IT &amp; digital</x:v>
      </x:c>
      <x:c r="E710" s="12" t="str">
        <x:v>Enterprise software &amp; digital engineering</x:v>
      </x:c>
      <x:c r="F710" s="12" t="str">
        <x:v>Small-scale prospects</x:v>
      </x:c>
      <x:c r="G710" s="12" t="str">
        <x:v>Software or technology-services business; small-scale prospect assumption.</x:v>
      </x:c>
      <x:c r="H710" s="11" t="n">
        <x:v>1</x:v>
      </x:c>
      <x:c r="I710" s="11" t="n">
        <x:v>3</x:v>
      </x:c>
      <x:c r="J710" s="11" t="n">
        <x:v>3</x:v>
      </x:c>
      <x:c r="K710" s="11" t="n">
        <x:v>0</x:v>
      </x:c>
      <x:c r="L710" s="17" t="n">
        <x:f>SUM(SUMIFS('Costing'!$P$9:$P$492,'Costing'!$A$9:$A$492,"MAIN-217"))</x:f>
        <x:v>45000</x:v>
      </x:c>
      <x:c r="M710" s="17" t="n">
        <x:f>ROUND(L710*'Costing'!$C$4,2)</x:f>
        <x:v>8100</x:v>
      </x:c>
      <x:c r="N710" s="17" t="n">
        <x:f>L710+M710</x:f>
        <x:v>53100</x:v>
      </x:c>
      <x:c r="O710" s="12" t="str">
        <x:v>Hyderabad</x:v>
      </x:c>
      <x:c r="P710" s="12" t="str">
        <x:v>CORP-0213</x:v>
      </x:c>
      <x:c r="Q710" s="12" t="str">
        <x:v>dispatch track</x:v>
      </x:c>
    </x:row>
    <x:row r="711" ht="48" customHeight="1">
      <x:c r="A711" s="2" t="str">
        <x:v>TEN-104332CE4C07</x:v>
      </x:c>
      <x:c r="B711" s="12" t="str">
        <x:v>Divimaxim</x:v>
      </x:c>
      <x:c r="C711" s="12" t="str">
        <x:v>Business / brand</x:v>
      </x:c>
      <x:c r="D711" s="12" t="str">
        <x:v>Unresolved</x:v>
      </x:c>
      <x:c r="E711" s="12" t="str">
        <x:v>Business activity not established</x:v>
      </x:c>
      <x:c r="F711" s="12" t="str">
        <x:v>Mixed business audience</x:v>
      </x:c>
      <x:c r="G711" s="12" t="str">
        <x:v>Business activity and company scale are not established from this name.</x:v>
      </x:c>
      <x:c r="H711" s="11" t="n">
        <x:v>1</x:v>
      </x:c>
      <x:c r="I711" s="11" t="n">
        <x:v>3</x:v>
      </x:c>
      <x:c r="J711" s="11" t="n">
        <x:v>3</x:v>
      </x:c>
      <x:c r="K711" s="11" t="n">
        <x:v>0</x:v>
      </x:c>
      <x:c r="L711" s="17" t="n">
        <x:f>SUM(SUMIFS('Costing'!$P$9:$P$492,'Costing'!$A$9:$A$492,"MAIN-217"))</x:f>
        <x:v>45000</x:v>
      </x:c>
      <x:c r="M711" s="17" t="n">
        <x:f>ROUND(L711*'Costing'!$C$4,2)</x:f>
        <x:v>8100</x:v>
      </x:c>
      <x:c r="N711" s="17" t="n">
        <x:f>L711+M711</x:f>
        <x:v>53100</x:v>
      </x:c>
      <x:c r="O711" s="12" t="str">
        <x:v>Hyderabad</x:v>
      </x:c>
      <x:c r="P711" s="12" t="str">
        <x:v>CORP-0213</x:v>
      </x:c>
      <x:c r="Q711" s="12" t="str">
        <x:v>Divimaxim</x:v>
      </x:c>
    </x:row>
    <x:row r="712" ht="48" customHeight="1">
      <x:c r="A712" s="2" t="str">
        <x:v>TEN-4EF55CFDD5DE</x:v>
      </x:c>
      <x:c r="B712" s="12" t="str">
        <x:v>DkOr Modular Kitchen &amp; Interiors</x:v>
      </x:c>
      <x:c r="C712" s="12" t="str">
        <x:v>Business / brand</x:v>
      </x:c>
      <x:c r="D712" s="12" t="str">
        <x:v>Professional services</x:v>
      </x:c>
      <x:c r="E712" s="12" t="str">
        <x:v>Architecture, interiors &amp; design</x:v>
      </x:c>
      <x:c r="F712" s="12" t="str">
        <x:v>Small-scale prospects</x:v>
      </x:c>
      <x:c r="G712" s="12" t="str">
        <x:v>Professional service, agency or advisory model; small-scale prospect assumption.</x:v>
      </x:c>
      <x:c r="H712" s="11" t="n">
        <x:v>1</x:v>
      </x:c>
      <x:c r="I712" s="11" t="n">
        <x:v>7</x:v>
      </x:c>
      <x:c r="J712" s="11" t="n">
        <x:v>7</x:v>
      </x:c>
      <x:c r="K712" s="11" t="n">
        <x:v>0</x:v>
      </x:c>
      <x:c r="L712" s="17" t="n">
        <x:f>SUM(SUMIFS('Costing'!$P$9:$P$492,'Costing'!$A$9:$A$492,"MAIN-200"))</x:f>
        <x:v>105000</x:v>
      </x:c>
      <x:c r="M712" s="17" t="n">
        <x:f>ROUND(L712*'Costing'!$C$4,2)</x:f>
        <x:v>18900</x:v>
      </x:c>
      <x:c r="N712" s="17" t="n">
        <x:f>L712+M712</x:f>
        <x:v>123900</x:v>
      </x:c>
      <x:c r="O712" s="12" t="str">
        <x:v>Delhi NCR</x:v>
      </x:c>
      <x:c r="P712" s="12" t="str">
        <x:v>CORP-0196</x:v>
      </x:c>
      <x:c r="Q712" s="12" t="str">
        <x:v>DkOr Modular Kitchen &amp; Interiors</x:v>
      </x:c>
    </x:row>
    <x:row r="713" ht="48" customHeight="1">
      <x:c r="A713" s="2" t="str">
        <x:v>TEN-ACD29E20304D</x:v>
      </x:c>
      <x:c r="B713" s="12" t="str">
        <x:v>DLX Reality</x:v>
      </x:c>
      <x:c r="C713" s="12" t="str">
        <x:v>Business / brand</x:v>
      </x:c>
      <x:c r="D713" s="12" t="str">
        <x:v>Trade, consumer &amp; logistics</x:v>
      </x:c>
      <x:c r="E713" s="12" t="str">
        <x:v>Real estate, property &amp; construction services</x:v>
      </x:c>
      <x:c r="F713" s="12" t="str">
        <x:v>Small-scale prospects</x:v>
      </x:c>
      <x:c r="G713" s="12" t="str">
        <x:v>Trading or consumer-services business; small-scale prospect assumption.</x:v>
      </x:c>
      <x:c r="H713" s="11" t="n">
        <x:v>1</x:v>
      </x:c>
      <x:c r="I713" s="11" t="n">
        <x:v>2</x:v>
      </x:c>
      <x:c r="J713" s="11" t="n">
        <x:v>2</x:v>
      </x:c>
      <x:c r="K713" s="11" t="n">
        <x:v>0</x:v>
      </x:c>
      <x:c r="L713" s="17" t="n">
        <x:f>SUM(SUMIFS('Costing'!$P$9:$P$492,'Costing'!$A$9:$A$492,"MAIN-268"))</x:f>
        <x:v>80000</x:v>
      </x:c>
      <x:c r="M713" s="17" t="n">
        <x:f>ROUND(L713*'Costing'!$C$4,2)</x:f>
        <x:v>14400</x:v>
      </x:c>
      <x:c r="N713" s="17" t="n">
        <x:f>L713+M713</x:f>
        <x:v>94400</x:v>
      </x:c>
      <x:c r="O713" s="12" t="str">
        <x:v>Indore</x:v>
      </x:c>
      <x:c r="P713" s="12" t="str">
        <x:v>CORP-0264</x:v>
      </x:c>
      <x:c r="Q713" s="12" t="str">
        <x:v>DLX Reality</x:v>
      </x:c>
    </x:row>
    <x:row r="714" ht="48" customHeight="1">
      <x:c r="A714" s="2" t="str">
        <x:v>TEN-A07443C67004</x:v>
      </x:c>
      <x:c r="B714" s="12" t="str">
        <x:v>Dominos Pizza</x:v>
      </x:c>
      <x:c r="C714" s="12" t="str">
        <x:v>Business / brand</x:v>
      </x:c>
      <x:c r="D714" s="12" t="str">
        <x:v>Trade, consumer &amp; logistics</x:v>
      </x:c>
      <x:c r="E714" s="12" t="str">
        <x:v>Travel, hospitality, food &amp; beverages</x:v>
      </x:c>
      <x:c r="F714" s="12" t="str">
        <x:v>Mixed business audience</x:v>
      </x:c>
      <x:c r="G714" s="12" t="str">
        <x:v>Recognisable business context; company-scale evidence remains insufficient for a single size band.</x:v>
      </x:c>
      <x:c r="H714" s="11" t="n">
        <x:v>1</x:v>
      </x:c>
      <x:c r="I714" s="11" t="n">
        <x:v>4</x:v>
      </x:c>
      <x:c r="J714" s="11" t="n">
        <x:v>4</x:v>
      </x:c>
      <x:c r="K714" s="11" t="n">
        <x:v>0</x:v>
      </x:c>
      <x:c r="L714" s="17" t="n">
        <x:f>SUM(SUMIFS('Costing'!$P$9:$P$492,'Costing'!$A$9:$A$492,"MAIN-355"))</x:f>
        <x:v>100000</x:v>
      </x:c>
      <x:c r="M714" s="17" t="n">
        <x:f>ROUND(L714*'Costing'!$C$4,2)</x:f>
        <x:v>18000</x:v>
      </x:c>
      <x:c r="N714" s="17" t="n">
        <x:f>L714+M714</x:f>
        <x:v>118000</x:v>
      </x:c>
      <x:c r="O714" s="12" t="str">
        <x:v>Mumbai</x:v>
      </x:c>
      <x:c r="P714" s="12" t="str">
        <x:v>CORP-0351</x:v>
      </x:c>
      <x:c r="Q714" s="12" t="str">
        <x:v>Dominos Pizza</x:v>
      </x:c>
    </x:row>
    <x:row r="715" ht="48" customHeight="1">
      <x:c r="A715" s="2" t="str">
        <x:v>TEN-5CC2D9AD4311</x:v>
      </x:c>
      <x:c r="B715" s="12" t="str">
        <x:v>Doorbhai</x:v>
      </x:c>
      <x:c r="C715" s="12" t="str">
        <x:v>Business / brand</x:v>
      </x:c>
      <x:c r="D715" s="12" t="str">
        <x:v>Unresolved</x:v>
      </x:c>
      <x:c r="E715" s="12" t="str">
        <x:v>Business activity not established</x:v>
      </x:c>
      <x:c r="F715" s="12" t="str">
        <x:v>Mixed business audience</x:v>
      </x:c>
      <x:c r="G715" s="12" t="str">
        <x:v>Business activity and company scale are not established from this name.</x:v>
      </x:c>
      <x:c r="H715" s="11" t="n">
        <x:v>1</x:v>
      </x:c>
      <x:c r="I715" s="11" t="n">
        <x:v>5</x:v>
      </x:c>
      <x:c r="J715" s="11" t="n">
        <x:v>5</x:v>
      </x:c>
      <x:c r="K715" s="11" t="n">
        <x:v>0</x:v>
      </x:c>
      <x:c r="L715" s="17" t="n">
        <x:f>SUM(SUMIFS('Costing'!$P$9:$P$492,'Costing'!$A$9:$A$492,"MAIN-167"))</x:f>
        <x:v>200000</x:v>
      </x:c>
      <x:c r="M715" s="17" t="n">
        <x:f>ROUND(L715*'Costing'!$C$4,2)</x:f>
        <x:v>36000</x:v>
      </x:c>
      <x:c r="N715" s="17" t="n">
        <x:f>L715+M715</x:f>
        <x:v>236000</x:v>
      </x:c>
      <x:c r="O715" s="12" t="str">
        <x:v>Delhi NCR</x:v>
      </x:c>
      <x:c r="P715" s="12" t="str">
        <x:v>CORP-0163</x:v>
      </x:c>
      <x:c r="Q715" s="12" t="str">
        <x:v>Doorbhai</x:v>
      </x:c>
    </x:row>
    <x:row r="716" ht="48" customHeight="1">
      <x:c r="A716" s="2" t="str">
        <x:v>TEN-6FA072EC66D1</x:v>
      </x:c>
      <x:c r="B716" s="12" t="str">
        <x:v>DotPe Private Limited</x:v>
      </x:c>
      <x:c r="C716" s="12" t="str">
        <x:v>Business / brand</x:v>
      </x:c>
      <x:c r="D716" s="12" t="str">
        <x:v>IT &amp; digital</x:v>
      </x:c>
      <x:c r="E716" s="12" t="str">
        <x:v>Enterprise software &amp; digital engineering</x:v>
      </x:c>
      <x:c r="F716" s="12" t="str">
        <x:v>Small-scale prospects</x:v>
      </x:c>
      <x:c r="G716" s="12" t="str">
        <x:v>Software or technology-services business; small-scale prospect assumption.</x:v>
      </x:c>
      <x:c r="H716" s="11" t="n">
        <x:v>1</x:v>
      </x:c>
      <x:c r="I716" s="11" t="n">
        <x:v>4</x:v>
      </x:c>
      <x:c r="J716" s="11" t="n">
        <x:v>4</x:v>
      </x:c>
      <x:c r="K716" s="11" t="n">
        <x:v>0</x:v>
      </x:c>
      <x:c r="L716" s="17" t="n">
        <x:f>SUM(SUMIFS('Costing'!$P$9:$P$492,'Costing'!$A$9:$A$492,"MAIN-204"))</x:f>
        <x:v>160000</x:v>
      </x:c>
      <x:c r="M716" s="17" t="n">
        <x:f>ROUND(L716*'Costing'!$C$4,2)</x:f>
        <x:v>28800</x:v>
      </x:c>
      <x:c r="N716" s="17" t="n">
        <x:f>L716+M716</x:f>
        <x:v>188800</x:v>
      </x:c>
      <x:c r="O716" s="12" t="str">
        <x:v>Delhi NCR</x:v>
      </x:c>
      <x:c r="P716" s="12" t="str">
        <x:v>CORP-0200</x:v>
      </x:c>
      <x:c r="Q716" s="12" t="str">
        <x:v>DotPe Private Limited</x:v>
      </x:c>
    </x:row>
    <x:row r="717" ht="49" customHeight="1">
      <x:c r="A717" s="2" t="str">
        <x:v>TEN-4BCFB67D5370</x:v>
      </x:c>
      <x:c r="B717" s="12" t="str">
        <x:v>Dover</x:v>
      </x:c>
      <x:c r="C717" s="12" t="str">
        <x:v>Business / brand</x:v>
      </x:c>
      <x:c r="D717" s="12" t="str">
        <x:v>Engineering &amp; manufacturing</x:v>
      </x:c>
      <x:c r="E717" s="12" t="str">
        <x:v>Engineering/manufacturing — specialty unverified</x:v>
      </x:c>
      <x:c r="F717" s="12" t="str">
        <x:v>Mixed business audience</x:v>
      </x:c>
      <x:c r="G717" s="12" t="str">
        <x:v>Recognisable business context; company-scale evidence remains insufficient for a single size band.</x:v>
      </x:c>
      <x:c r="H717" s="11" t="n">
        <x:v>12</x:v>
      </x:c>
      <x:c r="I717" s="11" t="n">
        <x:v>12</x:v>
      </x:c>
      <x:c r="J717" s="11" t="n">
        <x:v>12</x:v>
      </x:c>
      <x:c r="K717" s="11" t="n">
        <x:v>0</x:v>
      </x:c>
      <x:c r="L717" s="17" t="n">
        <x:f>SUM(SUMIFS('Costing'!$P$9:$P$492,'Costing'!$A$9:$A$492,"PARTNER-M108"))</x:f>
        <x:v>480000</x:v>
      </x:c>
      <x:c r="M717" s="17" t="n">
        <x:f>ROUND(L717*'Costing'!$C$4,2)</x:f>
        <x:v>86400</x:v>
      </x:c>
      <x:c r="N717" s="17" t="n">
        <x:f>L717+M717</x:f>
        <x:v>566400</x:v>
      </x:c>
      <x:c r="O717" s="12" t="str">
        <x:v>Bengaluru</x:v>
      </x:c>
      <x:c r="P717" s="12" t="str">
        <x:v>CORP-0526, CORP-0527, CORP-0528, CORP-0529, CORP-0530, CORP-0531, CORP-0532, CORP-0533, CORP-0534, CORP-0535, CORP-0536, CORP-0537</x:v>
      </x:c>
      <x:c r="Q717" s="12" t="str">
        <x:v>Dover</x:v>
      </x:c>
    </x:row>
    <x:row r="718" ht="48" customHeight="1">
      <x:c r="A718" s="2" t="str">
        <x:v>TEN-8EDB9C45B20E</x:v>
      </x:c>
      <x:c r="B718" s="12" t="str">
        <x:v>Dr. Shetty's Aesthetic</x:v>
      </x:c>
      <x:c r="C718" s="12" t="str">
        <x:v>Business / brand</x:v>
      </x:c>
      <x:c r="D718" s="12" t="str">
        <x:v>Healthcare &amp; life sciences</x:v>
      </x:c>
      <x:c r="E718" s="12" t="str">
        <x:v>Pharmaceuticals, biotechnology &amp; life sciences</x:v>
      </x:c>
      <x:c r="F718" s="12" t="str">
        <x:v>Medium-scale prospects</x:v>
      </x:c>
      <x:c r="G718" s="12" t="str">
        <x:v>Specialist life-sciences business; medium-scale prospect assumption.</x:v>
      </x:c>
      <x:c r="H718" s="11" t="n">
        <x:v>9</x:v>
      </x:c>
      <x:c r="I718" s="11" t="n">
        <x:v>9</x:v>
      </x:c>
      <x:c r="J718" s="11" t="n">
        <x:v>9</x:v>
      </x:c>
      <x:c r="K718" s="11" t="n">
        <x:v>0</x:v>
      </x:c>
      <x:c r="L718" s="17" t="n">
        <x:f>SUM(SUMIFS('Costing'!$P$9:$P$492,'Costing'!$A$9:$A$492,"MAIN-073"),SUMIFS('Costing'!$P$9:$P$492,'Costing'!$A$9:$A$492,"PARTNER-M100"))</x:f>
        <x:v>360000</x:v>
      </x:c>
      <x:c r="M718" s="17" t="n">
        <x:f>ROUND(L718*'Costing'!$C$4,2)</x:f>
        <x:v>64800</x:v>
      </x:c>
      <x:c r="N718" s="17" t="n">
        <x:f>L718+M718</x:f>
        <x:v>424800</x:v>
      </x:c>
      <x:c r="O718" s="12" t="str">
        <x:v>Bengaluru</x:v>
      </x:c>
      <x:c r="P718" s="12" t="str">
        <x:v>CORP-0069, CORP-0518, CORP-0519, CORP-0520, CORP-0521, CORP-0522, CORP-0523, CORP-0524, CORP-0525</x:v>
      </x:c>
      <x:c r="Q718" s="12" t="str">
        <x:v>Dr. Shetty's Aesthetic</x:v>
      </x:c>
    </x:row>
    <x:row r="719" ht="48" customHeight="1">
      <x:c r="A719" s="2" t="str">
        <x:v>TEN-5E97C0064347</x:v>
      </x:c>
      <x:c r="B719" s="12" t="str">
        <x:v>Dream11</x:v>
      </x:c>
      <x:c r="C719" s="12" t="str">
        <x:v>Business / brand</x:v>
      </x:c>
      <x:c r="D719" s="12" t="str">
        <x:v>Trade, consumer &amp; logistics</x:v>
      </x:c>
      <x:c r="E719" s="12" t="str">
        <x:v>Entertainment, media &amp; events</x:v>
      </x:c>
      <x:c r="F719" s="12" t="str">
        <x:v>Mixed business audience</x:v>
      </x:c>
      <x:c r="G719" s="12" t="str">
        <x:v>Established brand or business network; local company scale is not established. Use a mixed-business message.</x:v>
      </x:c>
      <x:c r="H719" s="11" t="n">
        <x:v>1</x:v>
      </x:c>
      <x:c r="I719" s="11" t="n">
        <x:v>2</x:v>
      </x:c>
      <x:c r="J719" s="11" t="n">
        <x:v>2</x:v>
      </x:c>
      <x:c r="K719" s="11" t="n">
        <x:v>0</x:v>
      </x:c>
      <x:c r="L719" s="17" t="n">
        <x:f>SUM(SUMIFS('Costing'!$P$9:$P$492,'Costing'!$A$9:$A$492,"MAIN-325"))</x:f>
        <x:v>80000</x:v>
      </x:c>
      <x:c r="M719" s="17" t="n">
        <x:f>ROUND(L719*'Costing'!$C$4,2)</x:f>
        <x:v>14400</x:v>
      </x:c>
      <x:c r="N719" s="17" t="n">
        <x:f>L719+M719</x:f>
        <x:v>94400</x:v>
      </x:c>
      <x:c r="O719" s="12" t="str">
        <x:v>Mumbai</x:v>
      </x:c>
      <x:c r="P719" s="12" t="str">
        <x:v>CORP-0321</x:v>
      </x:c>
      <x:c r="Q719" s="12" t="str">
        <x:v>Dream11</x:v>
      </x:c>
    </x:row>
    <x:row r="720" ht="48" customHeight="1">
      <x:c r="A720" s="2" t="str">
        <x:v>TEN-EA6BCE5F47CF</x:v>
      </x:c>
      <x:c r="B720" s="12" t="str">
        <x:v>Dresser Rand</x:v>
      </x:c>
      <x:c r="C720" s="12" t="str">
        <x:v>Business / brand</x:v>
      </x:c>
      <x:c r="D720" s="12" t="str">
        <x:v>Engineering &amp; manufacturing</x:v>
      </x:c>
      <x:c r="E720" s="12" t="str">
        <x:v>Chemicals, materials &amp; industrial manufacturing</x:v>
      </x:c>
      <x:c r="F720" s="12" t="str">
        <x:v>Mixed business audience</x:v>
      </x:c>
      <x:c r="G720" s="12" t="str">
        <x:v>Established brand or business network; local company scale is not established. Use a mixed-business message.</x:v>
      </x:c>
      <x:c r="H720" s="11" t="n">
        <x:v>9</x:v>
      </x:c>
      <x:c r="I720" s="11" t="n">
        <x:v>9</x:v>
      </x:c>
      <x:c r="J720" s="11" t="n">
        <x:v>9</x:v>
      </x:c>
      <x:c r="K720" s="11" t="n">
        <x:v>0</x:v>
      </x:c>
      <x:c r="L720" s="17" t="n">
        <x:f>SUM(SUMIFS('Costing'!$P$9:$P$492,'Costing'!$A$9:$A$492,"PARTNER-M252"))</x:f>
        <x:v>360000</x:v>
      </x:c>
      <x:c r="M720" s="17" t="n">
        <x:f>ROUND(L720*'Costing'!$C$4,2)</x:f>
        <x:v>64800</x:v>
      </x:c>
      <x:c r="N720" s="17" t="n">
        <x:f>L720+M720</x:f>
        <x:v>424800</x:v>
      </x:c>
      <x:c r="O720" s="12" t="str">
        <x:v>Pune</x:v>
      </x:c>
      <x:c r="P720" s="12" t="str">
        <x:v>CORP-0668, CORP-0669, CORP-0670, CORP-0671, CORP-0672, CORP-0673, CORP-0674, CORP-0675, CORP-0676</x:v>
      </x:c>
      <x:c r="Q720" s="12" t="str">
        <x:v>Dresser Rand</x:v>
      </x:c>
    </x:row>
    <x:row r="721" ht="48" customHeight="1">
      <x:c r="A721" s="2" t="str">
        <x:v>TEN-D1E9A66243A1</x:v>
      </x:c>
      <x:c r="B721" s="12" t="str">
        <x:v>Drishtee</x:v>
      </x:c>
      <x:c r="C721" s="12" t="str">
        <x:v>Business / brand</x:v>
      </x:c>
      <x:c r="D721" s="12" t="str">
        <x:v>Unresolved</x:v>
      </x:c>
      <x:c r="E721" s="12" t="str">
        <x:v>Business activity not established</x:v>
      </x:c>
      <x:c r="F721" s="12" t="str">
        <x:v>Mixed business audience</x:v>
      </x:c>
      <x:c r="G721" s="12" t="str">
        <x:v>Business activity and company scale are not established from this name.</x:v>
      </x:c>
      <x:c r="H721" s="11" t="n">
        <x:v>1</x:v>
      </x:c>
      <x:c r="I721" s="11" t="n">
        <x:v>3</x:v>
      </x:c>
      <x:c r="J721" s="11" t="n">
        <x:v>3</x:v>
      </x:c>
      <x:c r="K721" s="11" t="n">
        <x:v>0</x:v>
      </x:c>
      <x:c r="L721" s="17" t="n">
        <x:f>SUM(SUMIFS('Costing'!$P$9:$P$492,'Costing'!$A$9:$A$492,"MAIN-366"))</x:f>
        <x:v>45000</x:v>
      </x:c>
      <x:c r="M721" s="17" t="n">
        <x:f>ROUND(L721*'Costing'!$C$4,2)</x:f>
        <x:v>8100</x:v>
      </x:c>
      <x:c r="N721" s="17" t="n">
        <x:f>L721+M721</x:f>
        <x:v>53100</x:v>
      </x:c>
      <x:c r="O721" s="12" t="str">
        <x:v>Delhi NCR</x:v>
      </x:c>
      <x:c r="P721" s="12" t="str">
        <x:v>CORP-0362</x:v>
      </x:c>
      <x:c r="Q721" s="12" t="str">
        <x:v>Drishtee</x:v>
      </x:c>
    </x:row>
    <x:row r="722" ht="48" customHeight="1">
      <x:c r="A722" s="2" t="str">
        <x:v>TEN-4B3033162A43</x:v>
      </x:c>
      <x:c r="B722" s="12" t="str">
        <x:v>Dristee</x:v>
      </x:c>
      <x:c r="C722" s="12" t="str">
        <x:v>Business / brand</x:v>
      </x:c>
      <x:c r="D722" s="12" t="str">
        <x:v>Unresolved</x:v>
      </x:c>
      <x:c r="E722" s="12" t="str">
        <x:v>Business activity not established</x:v>
      </x:c>
      <x:c r="F722" s="12" t="str">
        <x:v>Mixed business audience</x:v>
      </x:c>
      <x:c r="G722" s="12" t="str">
        <x:v>Business activity and company scale are not established from this name.</x:v>
      </x:c>
      <x:c r="H722" s="11" t="n">
        <x:v>1</x:v>
      </x:c>
      <x:c r="I722" s="11" t="n">
        <x:v>1</x:v>
      </x:c>
      <x:c r="J722" s="11" t="n">
        <x:v>1</x:v>
      </x:c>
      <x:c r="K722" s="11" t="n">
        <x:v>0</x:v>
      </x:c>
      <x:c r="L722" s="17" t="n">
        <x:f>SUM(SUMIFS('Costing'!$P$9:$P$492,'Costing'!$A$9:$A$492,"MAIN-173"))</x:f>
        <x:v>15000</x:v>
      </x:c>
      <x:c r="M722" s="17" t="n">
        <x:f>ROUND(L722*'Costing'!$C$4,2)</x:f>
        <x:v>2700</x:v>
      </x:c>
      <x:c r="N722" s="17" t="n">
        <x:f>L722+M722</x:f>
        <x:v>17700</x:v>
      </x:c>
      <x:c r="O722" s="12" t="str">
        <x:v>Delhi NCR</x:v>
      </x:c>
      <x:c r="P722" s="12" t="str">
        <x:v>CORP-0169</x:v>
      </x:c>
      <x:c r="Q722" s="12" t="str">
        <x:v>Dristee</x:v>
      </x:c>
    </x:row>
    <x:row r="723" ht="48" customHeight="1">
      <x:c r="A723" s="2" t="str">
        <x:v>TEN-F29BF3D48178</x:v>
      </x:c>
      <x:c r="B723" s="12" t="str">
        <x:v>Droege Group</x:v>
      </x:c>
      <x:c r="C723" s="12" t="str">
        <x:v>Business / brand</x:v>
      </x:c>
      <x:c r="D723" s="12" t="str">
        <x:v>Unresolved</x:v>
      </x:c>
      <x:c r="E723" s="12" t="str">
        <x:v>Business activity not established</x:v>
      </x:c>
      <x:c r="F723" s="12" t="str">
        <x:v>Mixed business audience</x:v>
      </x:c>
      <x:c r="G723" s="12" t="str">
        <x:v>Business activity and company scale are not established from this name.</x:v>
      </x:c>
      <x:c r="H723" s="11" t="n">
        <x:v>2</x:v>
      </x:c>
      <x:c r="I723" s="11" t="n">
        <x:v>2</x:v>
      </x:c>
      <x:c r="J723" s="11" t="n">
        <x:v>2</x:v>
      </x:c>
      <x:c r="K723" s="11" t="n">
        <x:v>0</x:v>
      </x:c>
      <x:c r="L723" s="17" t="n">
        <x:f>SUM(SUMIFS('Costing'!$P$9:$P$492,'Costing'!$A$9:$A$492,"PARTNER-M241"))</x:f>
        <x:v>80000</x:v>
      </x:c>
      <x:c r="M723" s="17" t="n">
        <x:f>ROUND(L723*'Costing'!$C$4,2)</x:f>
        <x:v>14400</x:v>
      </x:c>
      <x:c r="N723" s="17" t="n">
        <x:f>L723+M723</x:f>
        <x:v>94400</x:v>
      </x:c>
      <x:c r="O723" s="12" t="str">
        <x:v>Mumbai</x:v>
      </x:c>
      <x:c r="P723" s="12" t="str">
        <x:v>CORP-0658, CORP-0659</x:v>
      </x:c>
      <x:c r="Q723" s="12" t="str">
        <x:v>Droege Group</x:v>
      </x:c>
    </x:row>
    <x:row r="724" ht="48" customHeight="1">
      <x:c r="A724" s="2" t="str">
        <x:v>TEN-2B28F04A8B61</x:v>
      </x:c>
      <x:c r="B724" s="12" t="str">
        <x:v>DSB International School</x:v>
      </x:c>
      <x:c r="C724" s="12" t="str">
        <x:v>Business / brand</x:v>
      </x:c>
      <x:c r="D724" s="12" t="str">
        <x:v>Education</x:v>
      </x:c>
      <x:c r="E724" s="12" t="str">
        <x:v>Schools, childcare &amp; higher education</x:v>
      </x:c>
      <x:c r="F724" s="12" t="str">
        <x:v>Mixed business audience</x:v>
      </x:c>
      <x:c r="G724" s="12" t="str">
        <x:v>Established brand or business network; local company scale is not established. Use a mixed-business message.</x:v>
      </x:c>
      <x:c r="H724" s="11" t="n">
        <x:v>4</x:v>
      </x:c>
      <x:c r="I724" s="11" t="n">
        <x:v>4</x:v>
      </x:c>
      <x:c r="J724" s="11" t="n">
        <x:v>4</x:v>
      </x:c>
      <x:c r="K724" s="11" t="n">
        <x:v>0</x:v>
      </x:c>
      <x:c r="L724" s="17" t="n">
        <x:f>SUM(SUMIFS('Costing'!$P$9:$P$492,'Costing'!$A$9:$A$492,"PARTNER-M188"))</x:f>
        <x:v>160000</x:v>
      </x:c>
      <x:c r="M724" s="17" t="n">
        <x:f>ROUND(L724*'Costing'!$C$4,2)</x:f>
        <x:v>28800</x:v>
      </x:c>
      <x:c r="N724" s="17" t="n">
        <x:f>L724+M724</x:f>
        <x:v>188800</x:v>
      </x:c>
      <x:c r="O724" s="12" t="str">
        <x:v>Mumbai</x:v>
      </x:c>
      <x:c r="P724" s="12" t="str">
        <x:v>CORP-0605, CORP-0606, CORP-0607, CORP-0608</x:v>
      </x:c>
      <x:c r="Q724" s="12" t="str">
        <x:v>DSB International School</x:v>
      </x:c>
    </x:row>
    <x:row r="725" ht="48" customHeight="1">
      <x:c r="A725" s="2" t="str">
        <x:v>TEN-1D042210FE01</x:v>
      </x:c>
      <x:c r="B725" s="12" t="str">
        <x:v>DSK Detective Agency Pune</x:v>
      </x:c>
      <x:c r="C725" s="12" t="str">
        <x:v>Business / brand</x:v>
      </x:c>
      <x:c r="D725" s="12" t="str">
        <x:v>Professional services</x:v>
      </x:c>
      <x:c r="E725" s="12" t="str">
        <x:v>Business, marketing &amp; research services</x:v>
      </x:c>
      <x:c r="F725" s="12" t="str">
        <x:v>Small-scale prospects</x:v>
      </x:c>
      <x:c r="G725" s="12" t="str">
        <x:v>Professional service, agency or advisory model; small-scale prospect assumption.</x:v>
      </x:c>
      <x:c r="H725" s="11" t="n">
        <x:v>1</x:v>
      </x:c>
      <x:c r="I725" s="11" t="n">
        <x:v>1</x:v>
      </x:c>
      <x:c r="J725" s="11" t="n">
        <x:v>1</x:v>
      </x:c>
      <x:c r="K725" s="11" t="n">
        <x:v>0</x:v>
      </x:c>
      <x:c r="L725" s="17" t="n">
        <x:f>SUM(SUMIFS('Costing'!$P$9:$P$492,'Costing'!$A$9:$A$492,"MAIN-415"))</x:f>
        <x:v>15000</x:v>
      </x:c>
      <x:c r="M725" s="17" t="n">
        <x:f>ROUND(L725*'Costing'!$C$4,2)</x:f>
        <x:v>2700</x:v>
      </x:c>
      <x:c r="N725" s="17" t="n">
        <x:f>L725+M725</x:f>
        <x:v>17700</x:v>
      </x:c>
      <x:c r="O725" s="12" t="str">
        <x:v>Pune</x:v>
      </x:c>
      <x:c r="P725" s="12" t="str">
        <x:v>CORP-0411</x:v>
      </x:c>
      <x:c r="Q725" s="12" t="str">
        <x:v>DSK Detective Agency Pune</x:v>
      </x:c>
    </x:row>
    <x:row r="726" ht="48" customHeight="1">
      <x:c r="A726" s="2" t="str">
        <x:v>TEN-04A7BF588AF8</x:v>
      </x:c>
      <x:c r="B726" s="12" t="str">
        <x:v>DSM Nutritional Products India PVT</x:v>
      </x:c>
      <x:c r="C726" s="12" t="str">
        <x:v>Business / brand</x:v>
      </x:c>
      <x:c r="D726" s="12" t="str">
        <x:v>Engineering &amp; manufacturing</x:v>
      </x:c>
      <x:c r="E726" s="12" t="str">
        <x:v>Chemicals, materials &amp; industrial manufacturing</x:v>
      </x:c>
      <x:c r="F726" s="12" t="str">
        <x:v>Mixed business audience</x:v>
      </x:c>
      <x:c r="G726" s="12" t="str">
        <x:v>Established brand or business network; local company scale is not established. Use a mixed-business message.</x:v>
      </x:c>
      <x:c r="H726" s="11" t="n">
        <x:v>6</x:v>
      </x:c>
      <x:c r="I726" s="11" t="n">
        <x:v>6</x:v>
      </x:c>
      <x:c r="J726" s="11" t="n">
        <x:v>6</x:v>
      </x:c>
      <x:c r="K726" s="11" t="n">
        <x:v>0</x:v>
      </x:c>
      <x:c r="L726" s="17" t="n">
        <x:f>SUM(SUMIFS('Costing'!$P$9:$P$492,'Costing'!$A$9:$A$492,"PARTNER-M227"))</x:f>
        <x:v>240000</x:v>
      </x:c>
      <x:c r="M726" s="17" t="n">
        <x:f>ROUND(L726*'Costing'!$C$4,2)</x:f>
        <x:v>43200</x:v>
      </x:c>
      <x:c r="N726" s="17" t="n">
        <x:f>L726+M726</x:f>
        <x:v>283200</x:v>
      </x:c>
      <x:c r="O726" s="12" t="str">
        <x:v>Mumbai</x:v>
      </x:c>
      <x:c r="P726" s="12" t="str">
        <x:v>CORP-0644, CORP-0645, CORP-0646, CORP-0647, CORP-0648, CORP-0649</x:v>
      </x:c>
      <x:c r="Q726" s="12" t="str">
        <x:v>DSM Nutritional Products India PVT</x:v>
      </x:c>
    </x:row>
    <x:row r="727" ht="48" customHeight="1">
      <x:c r="A727" s="2" t="str">
        <x:v>TEN-1F166FC93DD9</x:v>
      </x:c>
      <x:c r="B727" s="12" t="str">
        <x:v>DSYNCULTR</x:v>
      </x:c>
      <x:c r="C727" s="12" t="str">
        <x:v>Business / brand</x:v>
      </x:c>
      <x:c r="D727" s="12" t="str">
        <x:v>Unresolved</x:v>
      </x:c>
      <x:c r="E727" s="12" t="str">
        <x:v>Business activity not established</x:v>
      </x:c>
      <x:c r="F727" s="12" t="str">
        <x:v>Mixed business audience</x:v>
      </x:c>
      <x:c r="G727" s="12" t="str">
        <x:v>Business activity and company scale are not established from this name.</x:v>
      </x:c>
      <x:c r="H727" s="11" t="n">
        <x:v>1</x:v>
      </x:c>
      <x:c r="I727" s="11" t="n">
        <x:v>2</x:v>
      </x:c>
      <x:c r="J727" s="11" t="n">
        <x:v>2</x:v>
      </x:c>
      <x:c r="K727" s="11" t="n">
        <x:v>0</x:v>
      </x:c>
      <x:c r="L727" s="17" t="n">
        <x:f>SUM(SUMIFS('Costing'!$P$9:$P$492,'Costing'!$A$9:$A$492,"MAIN-045"))</x:f>
        <x:v>30000</x:v>
      </x:c>
      <x:c r="M727" s="17" t="n">
        <x:f>ROUND(L727*'Costing'!$C$4,2)</x:f>
        <x:v>5400</x:v>
      </x:c>
      <x:c r="N727" s="17" t="n">
        <x:f>L727+M727</x:f>
        <x:v>35400</x:v>
      </x:c>
      <x:c r="O727" s="12" t="str">
        <x:v>Bengaluru</x:v>
      </x:c>
      <x:c r="P727" s="12" t="str">
        <x:v>CORP-0041</x:v>
      </x:c>
      <x:c r="Q727" s="12" t="str">
        <x:v>DSYNCULTR</x:v>
      </x:c>
    </x:row>
    <x:row r="728" ht="48" customHeight="1">
      <x:c r="A728" s="2" t="str">
        <x:v>TEN-D237B55ECC46</x:v>
      </x:c>
      <x:c r="B728" s="12" t="str">
        <x:v>DUCA Industries Pvt Ltd</x:v>
      </x:c>
      <x:c r="C728" s="12" t="str">
        <x:v>Business / brand</x:v>
      </x:c>
      <x:c r="D728" s="12" t="str">
        <x:v>Unresolved</x:v>
      </x:c>
      <x:c r="E728" s="12" t="str">
        <x:v>Business activity not established</x:v>
      </x:c>
      <x:c r="F728" s="12" t="str">
        <x:v>Mixed business audience</x:v>
      </x:c>
      <x:c r="G728" s="12" t="str">
        <x:v>Business activity and company scale are not established from this name.</x:v>
      </x:c>
      <x:c r="H728" s="11" t="n">
        <x:v>1</x:v>
      </x:c>
      <x:c r="I728" s="11" t="n">
        <x:v>5</x:v>
      </x:c>
      <x:c r="J728" s="11" t="n">
        <x:v>5</x:v>
      </x:c>
      <x:c r="K728" s="11" t="n">
        <x:v>0</x:v>
      </x:c>
      <x:c r="L728" s="17" t="n">
        <x:f>SUM(SUMIFS('Costing'!$P$9:$P$492,'Costing'!$A$9:$A$492,"MAIN-287"))</x:f>
        <x:v>75000</x:v>
      </x:c>
      <x:c r="M728" s="17" t="n">
        <x:f>ROUND(L728*'Costing'!$C$4,2)</x:f>
        <x:v>13500</x:v>
      </x:c>
      <x:c r="N728" s="17" t="n">
        <x:f>L728+M728</x:f>
        <x:v>88500</x:v>
      </x:c>
      <x:c r="O728" s="12" t="str">
        <x:v>Kolkata</x:v>
      </x:c>
      <x:c r="P728" s="12" t="str">
        <x:v>CORP-0283</x:v>
      </x:c>
      <x:c r="Q728" s="12" t="str">
        <x:v>DUCA Industries Pvt Ltd</x:v>
      </x:c>
    </x:row>
    <x:row r="729" ht="48" customHeight="1">
      <x:c r="A729" s="2" t="str">
        <x:v>TEN-41DC9788C660</x:v>
      </x:c>
      <x:c r="B729" s="12" t="str">
        <x:v>Dun &amp; Bradstreet</x:v>
      </x:c>
      <x:c r="C729" s="12" t="str">
        <x:v>Business / brand</x:v>
      </x:c>
      <x:c r="D729" s="12" t="str">
        <x:v>Finance &amp; insurance</x:v>
      </x:c>
      <x:c r="E729" s="12" t="str">
        <x:v>Banking, credit &amp; financial services</x:v>
      </x:c>
      <x:c r="F729" s="12" t="str">
        <x:v>Mixed business audience</x:v>
      </x:c>
      <x:c r="G729" s="12" t="str">
        <x:v>Established brand or business network; local company scale is not established. Use a mixed-business message.</x:v>
      </x:c>
      <x:c r="H729" s="11" t="n">
        <x:v>1</x:v>
      </x:c>
      <x:c r="I729" s="11" t="n">
        <x:v>2</x:v>
      </x:c>
      <x:c r="J729" s="11" t="n">
        <x:v>2</x:v>
      </x:c>
      <x:c r="K729" s="11" t="n">
        <x:v>0</x:v>
      </x:c>
      <x:c r="L729" s="17" t="n">
        <x:f>SUM(SUMIFS('Costing'!$P$9:$P$492,'Costing'!$A$9:$A$492,"MAIN-150"))</x:f>
        <x:v>40000</x:v>
      </x:c>
      <x:c r="M729" s="17" t="n">
        <x:f>ROUND(L729*'Costing'!$C$4,2)</x:f>
        <x:v>7200</x:v>
      </x:c>
      <x:c r="N729" s="17" t="n">
        <x:f>L729+M729</x:f>
        <x:v>47200</x:v>
      </x:c>
      <x:c r="O729" s="12" t="str">
        <x:v>Chennai</x:v>
      </x:c>
      <x:c r="P729" s="12" t="str">
        <x:v>CORP-0146</x:v>
      </x:c>
      <x:c r="Q729" s="12" t="str">
        <x:v>Dun &amp; Bradstreet</x:v>
      </x:c>
    </x:row>
    <x:row r="730" ht="48" customHeight="1">
      <x:c r="A730" s="2" t="str">
        <x:v>TEN-ADB237A5DECE</x:v>
      </x:c>
      <x:c r="B730" s="12" t="str">
        <x:v>Dun &amp; Bradstreet Technologies &amp; Data Services Pvt. Ltd</x:v>
      </x:c>
      <x:c r="C730" s="12" t="str">
        <x:v>Business / brand</x:v>
      </x:c>
      <x:c r="D730" s="12" t="str">
        <x:v>Finance &amp; insurance</x:v>
      </x:c>
      <x:c r="E730" s="12" t="str">
        <x:v>Banking, credit &amp; financial services</x:v>
      </x:c>
      <x:c r="F730" s="12" t="str">
        <x:v>Mixed business audience</x:v>
      </x:c>
      <x:c r="G730" s="12" t="str">
        <x:v>Established brand or business network; local company scale is not established. Use a mixed-business message.</x:v>
      </x:c>
      <x:c r="H730" s="11" t="n">
        <x:v>2</x:v>
      </x:c>
      <x:c r="I730" s="11" t="n">
        <x:v>2</x:v>
      </x:c>
      <x:c r="J730" s="11" t="n">
        <x:v>2</x:v>
      </x:c>
      <x:c r="K730" s="11" t="n">
        <x:v>0</x:v>
      </x:c>
      <x:c r="L730" s="17" t="n">
        <x:f>SUM(SUMIFS('Costing'!$P$9:$P$492,'Costing'!$A$9:$A$492,"PARTNER-M347"))</x:f>
        <x:v>80000</x:v>
      </x:c>
      <x:c r="M730" s="17" t="n">
        <x:f>ROUND(L730*'Costing'!$C$4,2)</x:f>
        <x:v>14400</x:v>
      </x:c>
      <x:c r="N730" s="17" t="n">
        <x:f>L730+M730</x:f>
        <x:v>94400</x:v>
      </x:c>
      <x:c r="O730" s="12" t="str">
        <x:v>Chennai</x:v>
      </x:c>
      <x:c r="P730" s="12" t="str">
        <x:v>CORP-0761, CORP-0762</x:v>
      </x:c>
      <x:c r="Q730" s="12" t="str">
        <x:v>Dun &amp; Bradstreet Technologies &amp; Data Services Pvt. Ltd</x:v>
      </x:c>
    </x:row>
    <x:row r="731" ht="48" customHeight="1">
      <x:c r="A731" s="2" t="str">
        <x:v>TEN-B043864B7FFB</x:v>
      </x:c>
      <x:c r="B731" s="12" t="str">
        <x:v>DuPont</x:v>
      </x:c>
      <x:c r="C731" s="12" t="str">
        <x:v>Business / brand</x:v>
      </x:c>
      <x:c r="D731" s="12" t="str">
        <x:v>Engineering &amp; manufacturing</x:v>
      </x:c>
      <x:c r="E731" s="12" t="str">
        <x:v>Engineering/manufacturing — specialty unverified</x:v>
      </x:c>
      <x:c r="F731" s="12" t="str">
        <x:v>Mixed business audience</x:v>
      </x:c>
      <x:c r="G731" s="12" t="str">
        <x:v>Recognisable business context; company-scale evidence remains insufficient for a single size band.</x:v>
      </x:c>
      <x:c r="H731" s="11" t="n">
        <x:v>8</x:v>
      </x:c>
      <x:c r="I731" s="11" t="n">
        <x:v>8</x:v>
      </x:c>
      <x:c r="J731" s="11" t="n">
        <x:v>8</x:v>
      </x:c>
      <x:c r="K731" s="11" t="n">
        <x:v>0</x:v>
      </x:c>
      <x:c r="L731" s="17" t="n">
        <x:f>SUM(SUMIFS('Costing'!$P$9:$P$492,'Costing'!$A$9:$A$492,"PARTNER-M300"))</x:f>
        <x:v>320000</x:v>
      </x:c>
      <x:c r="M731" s="17" t="n">
        <x:f>ROUND(L731*'Costing'!$C$4,2)</x:f>
        <x:v>57600</x:v>
      </x:c>
      <x:c r="N731" s="17" t="n">
        <x:f>L731+M731</x:f>
        <x:v>377600</x:v>
      </x:c>
      <x:c r="O731" s="12" t="str">
        <x:v>Hyderabad</x:v>
      </x:c>
      <x:c r="P731" s="12" t="str">
        <x:v>CORP-0715, CORP-0716, CORP-0717, CORP-0718, CORP-0719, CORP-0720, CORP-0721, CORP-0722</x:v>
      </x:c>
      <x:c r="Q731" s="12" t="str">
        <x:v>DuPont</x:v>
      </x:c>
    </x:row>
    <x:row r="732" ht="48" customHeight="1">
      <x:c r="A732" s="2" t="str">
        <x:v>TEN-50A9D77E82BD</x:v>
      </x:c>
      <x:c r="B732" s="12" t="str">
        <x:v>Durr</x:v>
      </x:c>
      <x:c r="C732" s="12" t="str">
        <x:v>Business / brand</x:v>
      </x:c>
      <x:c r="D732" s="12" t="str">
        <x:v>Engineering &amp; manufacturing</x:v>
      </x:c>
      <x:c r="E732" s="12" t="str">
        <x:v>Chemicals, materials &amp; industrial manufacturing</x:v>
      </x:c>
      <x:c r="F732" s="12" t="str">
        <x:v>Mixed business audience</x:v>
      </x:c>
      <x:c r="G732" s="12" t="str">
        <x:v>Recognisable business context; company-scale evidence remains insufficient for a single size band.</x:v>
      </x:c>
      <x:c r="H732" s="11" t="n">
        <x:v>2</x:v>
      </x:c>
      <x:c r="I732" s="11" t="n">
        <x:v>2</x:v>
      </x:c>
      <x:c r="J732" s="11" t="n">
        <x:v>2</x:v>
      </x:c>
      <x:c r="K732" s="11" t="n">
        <x:v>0</x:v>
      </x:c>
      <x:c r="L732" s="17" t="n">
        <x:f>SUM(SUMIFS('Costing'!$P$9:$P$492,'Costing'!$A$9:$A$492,"PARTNER-M332"))</x:f>
        <x:v>80000</x:v>
      </x:c>
      <x:c r="M732" s="17" t="n">
        <x:f>ROUND(L732*'Costing'!$C$4,2)</x:f>
        <x:v>14400</x:v>
      </x:c>
      <x:c r="N732" s="17" t="n">
        <x:f>L732+M732</x:f>
        <x:v>94400</x:v>
      </x:c>
      <x:c r="O732" s="12" t="str">
        <x:v>Chennai</x:v>
      </x:c>
      <x:c r="P732" s="12" t="str">
        <x:v>CORP-0746, CORP-0747</x:v>
      </x:c>
      <x:c r="Q732" s="12" t="str">
        <x:v>Durr</x:v>
      </x:c>
    </x:row>
    <x:row r="733" ht="48" customHeight="1">
      <x:c r="A733" s="2" t="str">
        <x:v>TEN-2AD84453C261</x:v>
      </x:c>
      <x:c r="B733" s="12" t="str">
        <x:v>Durr India Pvt. Ltd</x:v>
      </x:c>
      <x:c r="C733" s="12" t="str">
        <x:v>Business / brand</x:v>
      </x:c>
      <x:c r="D733" s="12" t="str">
        <x:v>Engineering &amp; manufacturing</x:v>
      </x:c>
      <x:c r="E733" s="12" t="str">
        <x:v>Chemicals, materials &amp; industrial manufacturing</x:v>
      </x:c>
      <x:c r="F733" s="12" t="str">
        <x:v>Mixed business audience</x:v>
      </x:c>
      <x:c r="G733" s="12" t="str">
        <x:v>Established brand or business network; local company scale is not established. Use a mixed-business message.</x:v>
      </x:c>
      <x:c r="H733" s="11" t="n">
        <x:v>2</x:v>
      </x:c>
      <x:c r="I733" s="11" t="n">
        <x:v>4</x:v>
      </x:c>
      <x:c r="J733" s="11" t="n">
        <x:v>4</x:v>
      </x:c>
      <x:c r="K733" s="11" t="n">
        <x:v>0</x:v>
      </x:c>
      <x:c r="L733" s="17" t="n">
        <x:f>SUM(SUMIFS('Costing'!$P$9:$P$492,'Costing'!$A$9:$A$492,"MAIN-156"),SUMIFS('Costing'!$P$9:$P$492,'Costing'!$A$9:$A$492,"MAIN-157"))</x:f>
        <x:v>117500</x:v>
      </x:c>
      <x:c r="M733" s="17" t="n">
        <x:f>ROUND(L733*'Costing'!$C$4,2)</x:f>
        <x:v>21150</x:v>
      </x:c>
      <x:c r="N733" s="17" t="n">
        <x:f>L733+M733</x:f>
        <x:v>138650</x:v>
      </x:c>
      <x:c r="O733" s="12" t="str">
        <x:v>Chennai</x:v>
      </x:c>
      <x:c r="P733" s="12" t="str">
        <x:v>CORP-0152, CORP-0153</x:v>
      </x:c>
      <x:c r="Q733" s="12" t="str">
        <x:v>Durr India Pvt. Ltd</x:v>
      </x:c>
    </x:row>
    <x:row r="734" ht="48" customHeight="1">
      <x:c r="A734" s="2" t="str">
        <x:v>TEN-05E2B0A1B938</x:v>
      </x:c>
      <x:c r="B734" s="12" t="str">
        <x:v>durus consulting</x:v>
      </x:c>
      <x:c r="C734" s="12" t="str">
        <x:v>Business / brand</x:v>
      </x:c>
      <x:c r="D734" s="12" t="str">
        <x:v>Professional services</x:v>
      </x:c>
      <x:c r="E734" s="12" t="str">
        <x:v>Business consulting &amp; advisory</x:v>
      </x:c>
      <x:c r="F734" s="12" t="str">
        <x:v>Small-scale prospects</x:v>
      </x:c>
      <x:c r="G734" s="12" t="str">
        <x:v>Professional service, agency or advisory model; small-scale prospect assumption.</x:v>
      </x:c>
      <x:c r="H734" s="11" t="n">
        <x:v>1</x:v>
      </x:c>
      <x:c r="I734" s="11" t="n">
        <x:v>7</x:v>
      </x:c>
      <x:c r="J734" s="11" t="n">
        <x:v>7</x:v>
      </x:c>
      <x:c r="K734" s="11" t="n">
        <x:v>0</x:v>
      </x:c>
      <x:c r="L734" s="17" t="n">
        <x:f>SUM(SUMIFS('Costing'!$P$9:$P$492,'Costing'!$A$9:$A$492,"MAIN-140"))</x:f>
        <x:v>105000</x:v>
      </x:c>
      <x:c r="M734" s="17" t="n">
        <x:f>ROUND(L734*'Costing'!$C$4,2)</x:f>
        <x:v>18900</x:v>
      </x:c>
      <x:c r="N734" s="17" t="n">
        <x:f>L734+M734</x:f>
        <x:v>123900</x:v>
      </x:c>
      <x:c r="O734" s="12" t="str">
        <x:v>Chennai</x:v>
      </x:c>
      <x:c r="P734" s="12" t="str">
        <x:v>CORP-0136</x:v>
      </x:c>
      <x:c r="Q734" s="12" t="str">
        <x:v>durus consulting</x:v>
      </x:c>
    </x:row>
    <x:row r="735" ht="48" customHeight="1">
      <x:c r="A735" s="2" t="str">
        <x:v>TEN-9E6B337110FE</x:v>
      </x:c>
      <x:c r="B735" s="12" t="str">
        <x:v>DVS</x:v>
      </x:c>
      <x:c r="C735" s="12" t="str">
        <x:v>Business / brand</x:v>
      </x:c>
      <x:c r="D735" s="12" t="str">
        <x:v>Unresolved</x:v>
      </x:c>
      <x:c r="E735" s="12" t="str">
        <x:v>Business activity not established</x:v>
      </x:c>
      <x:c r="F735" s="12" t="str">
        <x:v>Mixed business audience</x:v>
      </x:c>
      <x:c r="G735" s="12" t="str">
        <x:v>Business activity and company scale are not established from this name.</x:v>
      </x:c>
      <x:c r="H735" s="11" t="n">
        <x:v>1</x:v>
      </x:c>
      <x:c r="I735" s="11" t="n">
        <x:v>4</x:v>
      </x:c>
      <x:c r="J735" s="11" t="n">
        <x:v>4</x:v>
      </x:c>
      <x:c r="K735" s="11" t="n">
        <x:v>0</x:v>
      </x:c>
      <x:c r="L735" s="17" t="n">
        <x:f>SUM(SUMIFS('Costing'!$P$9:$P$492,'Costing'!$A$9:$A$492,"MAIN-141"))</x:f>
        <x:v>60000</x:v>
      </x:c>
      <x:c r="M735" s="17" t="n">
        <x:f>ROUND(L735*'Costing'!$C$4,2)</x:f>
        <x:v>10800</x:v>
      </x:c>
      <x:c r="N735" s="17" t="n">
        <x:f>L735+M735</x:f>
        <x:v>70800</x:v>
      </x:c>
      <x:c r="O735" s="12" t="str">
        <x:v>Chennai</x:v>
      </x:c>
      <x:c r="P735" s="12" t="str">
        <x:v>CORP-0137</x:v>
      </x:c>
      <x:c r="Q735" s="12" t="str">
        <x:v>DVS</x:v>
      </x:c>
    </x:row>
    <x:row r="736" ht="48" customHeight="1">
      <x:c r="A736" s="2" t="str">
        <x:v>TEN-2F707C5315A5</x:v>
      </x:c>
      <x:c r="B736" s="12" t="str">
        <x:v>DVS Research and Capital Services Pvt Ltd</x:v>
      </x:c>
      <x:c r="C736" s="12" t="str">
        <x:v>Business / brand</x:v>
      </x:c>
      <x:c r="D736" s="12" t="str">
        <x:v>Finance &amp; insurance</x:v>
      </x:c>
      <x:c r="E736" s="12" t="str">
        <x:v>Investments, securities &amp; wealth</x:v>
      </x:c>
      <x:c r="F736" s="12" t="str">
        <x:v>Medium-scale prospects</x:v>
      </x:c>
      <x:c r="G736" s="12" t="str">
        <x:v>Specialist financial-services business; medium-scale prospect assumption.</x:v>
      </x:c>
      <x:c r="H736" s="11" t="n">
        <x:v>2</x:v>
      </x:c>
      <x:c r="I736" s="11" t="n">
        <x:v>2</x:v>
      </x:c>
      <x:c r="J736" s="11" t="n">
        <x:v>2</x:v>
      </x:c>
      <x:c r="K736" s="11" t="n">
        <x:v>0</x:v>
      </x:c>
      <x:c r="L736" s="17" t="n">
        <x:f>SUM(SUMIFS('Costing'!$P$9:$P$492,'Costing'!$A$9:$A$492,"PARTNER-M340"))</x:f>
        <x:v>80000</x:v>
      </x:c>
      <x:c r="M736" s="17" t="n">
        <x:f>ROUND(L736*'Costing'!$C$4,2)</x:f>
        <x:v>14400</x:v>
      </x:c>
      <x:c r="N736" s="17" t="n">
        <x:f>L736+M736</x:f>
        <x:v>94400</x:v>
      </x:c>
      <x:c r="O736" s="12" t="str">
        <x:v>Chennai</x:v>
      </x:c>
      <x:c r="P736" s="12" t="str">
        <x:v>CORP-0754, CORP-0755</x:v>
      </x:c>
      <x:c r="Q736" s="12" t="str">
        <x:v>DVS Research and Capital Services Pvt Ltd</x:v>
      </x:c>
    </x:row>
    <x:row r="737" ht="48" customHeight="1">
      <x:c r="A737" s="2" t="str">
        <x:v>TEN-43449F44510F</x:v>
      </x:c>
      <x:c r="B737" s="12" t="str">
        <x:v>Dwellfox</x:v>
      </x:c>
      <x:c r="C737" s="12" t="str">
        <x:v>Business / brand</x:v>
      </x:c>
      <x:c r="D737" s="12" t="str">
        <x:v>IT &amp; digital</x:v>
      </x:c>
      <x:c r="E737" s="12" t="str">
        <x:v>Enterprise software &amp; digital engineering</x:v>
      </x:c>
      <x:c r="F737" s="12" t="str">
        <x:v>Small-scale prospects</x:v>
      </x:c>
      <x:c r="G737" s="12" t="str">
        <x:v>Software or technology-services business; small-scale prospect assumption.</x:v>
      </x:c>
      <x:c r="H737" s="11" t="n">
        <x:v>1</x:v>
      </x:c>
      <x:c r="I737" s="11" t="n">
        <x:v>2</x:v>
      </x:c>
      <x:c r="J737" s="11" t="n">
        <x:v>2</x:v>
      </x:c>
      <x:c r="K737" s="11" t="n">
        <x:v>0</x:v>
      </x:c>
      <x:c r="L737" s="17" t="n">
        <x:f>SUM(SUMIFS('Costing'!$P$9:$P$492,'Costing'!$A$9:$A$492,"MAIN-268"))</x:f>
        <x:v>80000</x:v>
      </x:c>
      <x:c r="M737" s="17" t="n">
        <x:f>ROUND(L737*'Costing'!$C$4,2)</x:f>
        <x:v>14400</x:v>
      </x:c>
      <x:c r="N737" s="17" t="n">
        <x:f>L737+M737</x:f>
        <x:v>94400</x:v>
      </x:c>
      <x:c r="O737" s="12" t="str">
        <x:v>Indore</x:v>
      </x:c>
      <x:c r="P737" s="12" t="str">
        <x:v>CORP-0264</x:v>
      </x:c>
      <x:c r="Q737" s="12" t="str">
        <x:v>Dwellfox</x:v>
      </x:c>
    </x:row>
    <x:row r="738" ht="48" customHeight="1">
      <x:c r="A738" s="2" t="str">
        <x:v>TEN-322746B1C9C3</x:v>
      </x:c>
      <x:c r="B738" s="12" t="str">
        <x:v>Dwelling ventures</x:v>
      </x:c>
      <x:c r="C738" s="12" t="str">
        <x:v>Business / brand</x:v>
      </x:c>
      <x:c r="D738" s="12" t="str">
        <x:v>Trade, consumer &amp; logistics</x:v>
      </x:c>
      <x:c r="E738" s="12" t="str">
        <x:v>Real estate, property &amp; construction services</x:v>
      </x:c>
      <x:c r="F738" s="12" t="str">
        <x:v>Small-scale prospects</x:v>
      </x:c>
      <x:c r="G738" s="12" t="str">
        <x:v>Trading or consumer-services business; small-scale prospect assumption.</x:v>
      </x:c>
      <x:c r="H738" s="11" t="n">
        <x:v>1</x:v>
      </x:c>
      <x:c r="I738" s="11" t="n">
        <x:v>2</x:v>
      </x:c>
      <x:c r="J738" s="11" t="n">
        <x:v>2</x:v>
      </x:c>
      <x:c r="K738" s="11" t="n">
        <x:v>0</x:v>
      </x:c>
      <x:c r="L738" s="17" t="n">
        <x:f>SUM(SUMIFS('Costing'!$P$9:$P$492,'Costing'!$A$9:$A$492,"MAIN-081"))</x:f>
        <x:v>30000</x:v>
      </x:c>
      <x:c r="M738" s="17" t="n">
        <x:f>ROUND(L738*'Costing'!$C$4,2)</x:f>
        <x:v>5400</x:v>
      </x:c>
      <x:c r="N738" s="17" t="n">
        <x:f>L738+M738</x:f>
        <x:v>35400</x:v>
      </x:c>
      <x:c r="O738" s="12" t="str">
        <x:v>Bengaluru</x:v>
      </x:c>
      <x:c r="P738" s="12" t="str">
        <x:v>CORP-0077</x:v>
      </x:c>
      <x:c r="Q738" s="12" t="str">
        <x:v>Dwelling ventures</x:v>
      </x:c>
    </x:row>
    <x:row r="739" ht="48" customHeight="1">
      <x:c r="A739" s="2" t="str">
        <x:v>TEN-799B0C7CF86C</x:v>
      </x:c>
      <x:c r="B739" s="12" t="str">
        <x:v>DXC Technology</x:v>
      </x:c>
      <x:c r="C739" s="12" t="str">
        <x:v>Business / brand</x:v>
      </x:c>
      <x:c r="D739" s="12" t="str">
        <x:v>IT &amp; digital</x:v>
      </x:c>
      <x:c r="E739" s="12" t="str">
        <x:v>Technology services — specialty unverified</x:v>
      </x:c>
      <x:c r="F739" s="12" t="str">
        <x:v>Mixed business audience</x:v>
      </x:c>
      <x:c r="G739" s="12" t="str">
        <x:v>Recognisable business context; company-scale evidence remains insufficient for a single size band.</x:v>
      </x:c>
      <x:c r="H739" s="11" t="n">
        <x:v>3</x:v>
      </x:c>
      <x:c r="I739" s="11" t="n">
        <x:v>3</x:v>
      </x:c>
      <x:c r="J739" s="11" t="n">
        <x:v>3</x:v>
      </x:c>
      <x:c r="K739" s="11" t="n">
        <x:v>0</x:v>
      </x:c>
      <x:c r="L739" s="17" t="n">
        <x:f>SUM(SUMIFS('Costing'!$P$9:$P$492,'Costing'!$A$9:$A$492,"PARTNER-M185"))</x:f>
        <x:v>120000</x:v>
      </x:c>
      <x:c r="M739" s="17" t="n">
        <x:f>ROUND(L739*'Costing'!$C$4,2)</x:f>
        <x:v>21600</x:v>
      </x:c>
      <x:c r="N739" s="17" t="n">
        <x:f>L739+M739</x:f>
        <x:v>141600</x:v>
      </x:c>
      <x:c r="O739" s="12" t="str">
        <x:v>Mumbai</x:v>
      </x:c>
      <x:c r="P739" s="12" t="str">
        <x:v>CORP-0602, CORP-0603, CORP-0604</x:v>
      </x:c>
      <x:c r="Q739" s="12" t="str">
        <x:v>DXC Technology</x:v>
      </x:c>
    </x:row>
    <x:row r="740" ht="48" customHeight="1">
      <x:c r="A740" s="2" t="str">
        <x:v>TEN-5EEBF120A5F4</x:v>
      </x:c>
      <x:c r="B740" s="12" t="str">
        <x:v>Dyaus Court</x:v>
      </x:c>
      <x:c r="C740" s="12" t="str">
        <x:v>Identity unresolved</x:v>
      </x:c>
      <x:c r="D740" s="12" t="str">
        <x:v>Unresolved</x:v>
      </x:c>
      <x:c r="E740" s="12" t="str">
        <x:v>Business activity not established</x:v>
      </x:c>
      <x:c r="F740" s="12" t="str">
        <x:v>Mixed business audience</x:v>
      </x:c>
      <x:c r="G740" s="12" t="str">
        <x:v>Ambiguous directory record; use the surrounding property audience.</x:v>
      </x:c>
      <x:c r="H740" s="11" t="n">
        <x:v>1</x:v>
      </x:c>
      <x:c r="I740" s="11" t="n">
        <x:v>2</x:v>
      </x:c>
      <x:c r="J740" s="11" t="n">
        <x:v>2</x:v>
      </x:c>
      <x:c r="K740" s="11" t="n">
        <x:v>0</x:v>
      </x:c>
      <x:c r="L740" s="17" t="n">
        <x:f>SUM(SUMIFS('Costing'!$P$9:$P$492,'Costing'!$A$9:$A$492,"MAIN-137"))</x:f>
        <x:v>30000</x:v>
      </x:c>
      <x:c r="M740" s="17" t="n">
        <x:f>ROUND(L740*'Costing'!$C$4,2)</x:f>
        <x:v>5400</x:v>
      </x:c>
      <x:c r="N740" s="17" t="n">
        <x:f>L740+M740</x:f>
        <x:v>35400</x:v>
      </x:c>
      <x:c r="O740" s="12" t="str">
        <x:v>Bhubaneswar</x:v>
      </x:c>
      <x:c r="P740" s="12" t="str">
        <x:v>CORP-0133</x:v>
      </x:c>
      <x:c r="Q740" s="12" t="str">
        <x:v>Dyaus Court</x:v>
      </x:c>
    </x:row>
    <x:row r="741" ht="48" customHeight="1">
      <x:c r="A741" s="2" t="str">
        <x:v>TEN-11D3882F484B</x:v>
      </x:c>
      <x:c r="B741" s="12" t="str">
        <x:v>Dynami Technologies Pvt.Ltd</x:v>
      </x:c>
      <x:c r="C741" s="12" t="str">
        <x:v>Business / brand</x:v>
      </x:c>
      <x:c r="D741" s="12" t="str">
        <x:v>Unresolved</x:v>
      </x:c>
      <x:c r="E741" s="12" t="str">
        <x:v>Business activity not established</x:v>
      </x:c>
      <x:c r="F741" s="12" t="str">
        <x:v>Mixed business audience</x:v>
      </x:c>
      <x:c r="G741" s="12" t="str">
        <x:v>Business activity and company scale are not established from this name.</x:v>
      </x:c>
      <x:c r="H741" s="11" t="n">
        <x:v>1</x:v>
      </x:c>
      <x:c r="I741" s="11" t="n">
        <x:v>6</x:v>
      </x:c>
      <x:c r="J741" s="11" t="n">
        <x:v>6</x:v>
      </x:c>
      <x:c r="K741" s="11" t="n">
        <x:v>0</x:v>
      </x:c>
      <x:c r="L741" s="17" t="n">
        <x:f>SUM(SUMIFS('Costing'!$P$9:$P$492,'Costing'!$A$9:$A$492,"MAIN-030"))</x:f>
        <x:v>90000</x:v>
      </x:c>
      <x:c r="M741" s="17" t="n">
        <x:f>ROUND(L741*'Costing'!$C$4,2)</x:f>
        <x:v>16200</x:v>
      </x:c>
      <x:c r="N741" s="17" t="n">
        <x:f>L741+M741</x:f>
        <x:v>106200</x:v>
      </x:c>
      <x:c r="O741" s="12" t="str">
        <x:v>Bengaluru</x:v>
      </x:c>
      <x:c r="P741" s="12" t="str">
        <x:v>CORP-0026</x:v>
      </x:c>
      <x:c r="Q741" s="12" t="str">
        <x:v>Dynami Technologies Pvt.Ltd</x:v>
      </x:c>
    </x:row>
    <x:row r="742" ht="48" customHeight="1">
      <x:c r="A742" s="2" t="str">
        <x:v>TEN-313934832607</x:v>
      </x:c>
      <x:c r="B742" s="12" t="str">
        <x:v>dynamic health studio</x:v>
      </x:c>
      <x:c r="C742" s="12" t="str">
        <x:v>Business / brand</x:v>
      </x:c>
      <x:c r="D742" s="12" t="str">
        <x:v>Healthcare &amp; life sciences</x:v>
      </x:c>
      <x:c r="E742" s="12" t="str">
        <x:v>Clinical, medical &amp; diagnostic services</x:v>
      </x:c>
      <x:c r="F742" s="12" t="str">
        <x:v>Small-scale prospects</x:v>
      </x:c>
      <x:c r="G742" s="12" t="str">
        <x:v>Healthcare services business; small-scale prospect assumption.</x:v>
      </x:c>
      <x:c r="H742" s="11" t="n">
        <x:v>1</x:v>
      </x:c>
      <x:c r="I742" s="11" t="n">
        <x:v>1</x:v>
      </x:c>
      <x:c r="J742" s="11" t="n">
        <x:v>1</x:v>
      </x:c>
      <x:c r="K742" s="11" t="n">
        <x:v>0</x:v>
      </x:c>
      <x:c r="L742" s="17" t="n">
        <x:f>SUM(SUMIFS('Costing'!$P$9:$P$492,'Costing'!$A$9:$A$492,"MAIN-415"))</x:f>
        <x:v>15000</x:v>
      </x:c>
      <x:c r="M742" s="17" t="n">
        <x:f>ROUND(L742*'Costing'!$C$4,2)</x:f>
        <x:v>2700</x:v>
      </x:c>
      <x:c r="N742" s="17" t="n">
        <x:f>L742+M742</x:f>
        <x:v>17700</x:v>
      </x:c>
      <x:c r="O742" s="12" t="str">
        <x:v>Pune</x:v>
      </x:c>
      <x:c r="P742" s="12" t="str">
        <x:v>CORP-0411</x:v>
      </x:c>
      <x:c r="Q742" s="12" t="str">
        <x:v>dynamic health studio</x:v>
      </x:c>
    </x:row>
    <x:row r="743" ht="48" customHeight="1">
      <x:c r="A743" s="2" t="str">
        <x:v>TEN-119294CA37A5</x:v>
      </x:c>
      <x:c r="B743" s="12" t="str">
        <x:v>Dynamix dairy</x:v>
      </x:c>
      <x:c r="C743" s="12" t="str">
        <x:v>Business / brand</x:v>
      </x:c>
      <x:c r="D743" s="12" t="str">
        <x:v>Trade, consumer &amp; logistics</x:v>
      </x:c>
      <x:c r="E743" s="12" t="str">
        <x:v>Travel, hospitality, food &amp; beverages</x:v>
      </x:c>
      <x:c r="F743" s="12" t="str">
        <x:v>Mixed business audience</x:v>
      </x:c>
      <x:c r="G743" s="12" t="str">
        <x:v>Established brand or business network; local company scale is not established. Use a mixed-business message.</x:v>
      </x:c>
      <x:c r="H743" s="11" t="n">
        <x:v>2</x:v>
      </x:c>
      <x:c r="I743" s="11" t="n">
        <x:v>2</x:v>
      </x:c>
      <x:c r="J743" s="11" t="n">
        <x:v>2</x:v>
      </x:c>
      <x:c r="K743" s="11" t="n">
        <x:v>0</x:v>
      </x:c>
      <x:c r="L743" s="17" t="n">
        <x:f>SUM(SUMIFS('Costing'!$P$9:$P$492,'Costing'!$A$9:$A$492,"PARTNER-M241"))</x:f>
        <x:v>80000</x:v>
      </x:c>
      <x:c r="M743" s="17" t="n">
        <x:f>ROUND(L743*'Costing'!$C$4,2)</x:f>
        <x:v>14400</x:v>
      </x:c>
      <x:c r="N743" s="17" t="n">
        <x:f>L743+M743</x:f>
        <x:v>94400</x:v>
      </x:c>
      <x:c r="O743" s="12" t="str">
        <x:v>Mumbai</x:v>
      </x:c>
      <x:c r="P743" s="12" t="str">
        <x:v>CORP-0658, CORP-0659</x:v>
      </x:c>
      <x:c r="Q743" s="12" t="str">
        <x:v>Dynamix dairy</x:v>
      </x:c>
    </x:row>
    <x:row r="744" ht="48" customHeight="1">
      <x:c r="A744" s="2" t="str">
        <x:v>TEN-FFCF2D2DD7B5</x:v>
      </x:c>
      <x:c r="B744" s="12" t="str">
        <x:v>Dyneema</x:v>
      </x:c>
      <x:c r="C744" s="12" t="str">
        <x:v>Business / brand</x:v>
      </x:c>
      <x:c r="D744" s="12" t="str">
        <x:v>Engineering &amp; manufacturing</x:v>
      </x:c>
      <x:c r="E744" s="12" t="str">
        <x:v>Chemicals, materials &amp; industrial manufacturing</x:v>
      </x:c>
      <x:c r="F744" s="12" t="str">
        <x:v>Mixed business audience</x:v>
      </x:c>
      <x:c r="G744" s="12" t="str">
        <x:v>Established brand or business network; local company scale is not established. Use a mixed-business message.</x:v>
      </x:c>
      <x:c r="H744" s="11" t="n">
        <x:v>1</x:v>
      </x:c>
      <x:c r="I744" s="11" t="n">
        <x:v>19</x:v>
      </x:c>
      <x:c r="J744" s="11" t="n">
        <x:v>19</x:v>
      </x:c>
      <x:c r="K744" s="11" t="n">
        <x:v>0</x:v>
      </x:c>
      <x:c r="L744" s="17" t="n">
        <x:f>SUM(SUMIFS('Costing'!$P$9:$P$492,'Costing'!$A$9:$A$492,"MAIN-357"))</x:f>
        <x:v>475000</x:v>
      </x:c>
      <x:c r="M744" s="17" t="n">
        <x:f>ROUND(L744*'Costing'!$C$4,2)</x:f>
        <x:v>85500</x:v>
      </x:c>
      <x:c r="N744" s="17" t="n">
        <x:f>L744+M744</x:f>
        <x:v>560500</x:v>
      </x:c>
      <x:c r="O744" s="12" t="str">
        <x:v>Mumbai</x:v>
      </x:c>
      <x:c r="P744" s="12" t="str">
        <x:v>CORP-0353</x:v>
      </x:c>
      <x:c r="Q744" s="12" t="str">
        <x:v>Dyneema</x:v>
      </x:c>
    </x:row>
    <x:row r="745" ht="62" customHeight="1">
      <x:c r="A745" s="2" t="str">
        <x:v>TEN-AC6537F236BF</x:v>
      </x:c>
      <x:c r="B745" s="12" t="str">
        <x:v>E-Axis Immigration Pvt. Ltd</x:v>
      </x:c>
      <x:c r="C745" s="12" t="str">
        <x:v>Business / brand</x:v>
      </x:c>
      <x:c r="D745" s="12" t="str">
        <x:v>Professional services</x:v>
      </x:c>
      <x:c r="E745" s="12" t="str">
        <x:v>Immigration &amp; relocation services</x:v>
      </x:c>
      <x:c r="F745" s="12" t="str">
        <x:v>Mixed business audience</x:v>
      </x:c>
      <x:c r="G745" s="12" t="str">
        <x:v>No current primary firm evidence confirmed for this E-Axis immigration entry. Do not promote a stale directory tenant into a qualified prospect; exact identity and current occupancy require review.</x:v>
      </x:c>
      <x:c r="H745" s="11" t="n">
        <x:v>1</x:v>
      </x:c>
      <x:c r="I745" s="11" t="n">
        <x:v>70</x:v>
      </x:c>
      <x:c r="J745" s="11" t="n">
        <x:v>70</x:v>
      </x:c>
      <x:c r="K745" s="11" t="n">
        <x:v>0</x:v>
      </x:c>
      <x:c r="L745" s="17" t="n">
        <x:f>SUM(SUMIFS('Costing'!$P$9:$P$492,'Costing'!$A$9:$A$492,"MAIN-350"))</x:f>
        <x:v>1050000</x:v>
      </x:c>
      <x:c r="M745" s="17" t="n">
        <x:f>ROUND(L745*'Costing'!$C$4,2)</x:f>
        <x:v>189000</x:v>
      </x:c>
      <x:c r="N745" s="17" t="n">
        <x:f>L745+M745</x:f>
        <x:v>1239000</x:v>
      </x:c>
      <x:c r="O745" s="12" t="str">
        <x:v>Mumbai</x:v>
      </x:c>
      <x:c r="P745" s="12" t="str">
        <x:v>CORP-0346</x:v>
      </x:c>
      <x:c r="Q745" s="12" t="str">
        <x:v>E-Axis Immigration Pvt. Ltd</x:v>
      </x:c>
    </x:row>
    <x:row r="746" ht="48" customHeight="1">
      <x:c r="A746" s="2" t="str">
        <x:v>TEN-BAEEB8F9E40B</x:v>
      </x:c>
      <x:c r="B746" s="12" t="str">
        <x:v>E-Billing Solutions Pvt Ltd</x:v>
      </x:c>
      <x:c r="C746" s="12" t="str">
        <x:v>Business / brand</x:v>
      </x:c>
      <x:c r="D746" s="12" t="str">
        <x:v>IT &amp; digital</x:v>
      </x:c>
      <x:c r="E746" s="12" t="str">
        <x:v>Enterprise software &amp; digital engineering</x:v>
      </x:c>
      <x:c r="F746" s="12" t="str">
        <x:v>Small-scale prospects</x:v>
      </x:c>
      <x:c r="G746" s="12" t="str">
        <x:v>Software or technology-services business; small-scale prospect assumption.</x:v>
      </x:c>
      <x:c r="H746" s="11" t="n">
        <x:v>2</x:v>
      </x:c>
      <x:c r="I746" s="11" t="n">
        <x:v>3</x:v>
      </x:c>
      <x:c r="J746" s="11" t="n">
        <x:v>3</x:v>
      </x:c>
      <x:c r="K746" s="11" t="n">
        <x:v>0</x:v>
      </x:c>
      <x:c r="L746" s="17" t="n">
        <x:f>SUM(SUMIFS('Costing'!$P$9:$P$492,'Costing'!$A$9:$A$492,"MAIN-143"),SUMIFS('Costing'!$P$9:$P$492,'Costing'!$A$9:$A$492,"MAIN-144"))</x:f>
        <x:v>60000</x:v>
      </x:c>
      <x:c r="M746" s="17" t="n">
        <x:f>ROUND(L746*'Costing'!$C$4,2)</x:f>
        <x:v>10800</x:v>
      </x:c>
      <x:c r="N746" s="17" t="n">
        <x:f>L746+M746</x:f>
        <x:v>70800</x:v>
      </x:c>
      <x:c r="O746" s="12" t="str">
        <x:v>Chennai</x:v>
      </x:c>
      <x:c r="P746" s="12" t="str">
        <x:v>CORP-0139, CORP-0140</x:v>
      </x:c>
      <x:c r="Q746" s="12" t="str">
        <x:v>E-Billing Solutions Pvt Ltd</x:v>
      </x:c>
    </x:row>
    <x:row r="747" ht="48" customHeight="1">
      <x:c r="A747" s="2" t="str">
        <x:v>TEN-E73B48F750BE</x:v>
      </x:c>
      <x:c r="B747" s="12" t="str">
        <x:v>Eagle</x:v>
      </x:c>
      <x:c r="C747" s="12" t="str">
        <x:v>Business / brand</x:v>
      </x:c>
      <x:c r="D747" s="12" t="str">
        <x:v>Unresolved</x:v>
      </x:c>
      <x:c r="E747" s="12" t="str">
        <x:v>Business activity not established</x:v>
      </x:c>
      <x:c r="F747" s="12" t="str">
        <x:v>Mixed business audience</x:v>
      </x:c>
      <x:c r="G747" s="12" t="str">
        <x:v>Business activity and company scale are not established from this name.</x:v>
      </x:c>
      <x:c r="H747" s="11" t="n">
        <x:v>1</x:v>
      </x:c>
      <x:c r="I747" s="11" t="n">
        <x:v>2</x:v>
      </x:c>
      <x:c r="J747" s="11" t="n">
        <x:v>2</x:v>
      </x:c>
      <x:c r="K747" s="11" t="n">
        <x:v>0</x:v>
      </x:c>
      <x:c r="L747" s="17" t="n">
        <x:f>SUM(SUMIFS('Costing'!$P$9:$P$492,'Costing'!$A$9:$A$492,"MAIN-268"))</x:f>
        <x:v>80000</x:v>
      </x:c>
      <x:c r="M747" s="17" t="n">
        <x:f>ROUND(L747*'Costing'!$C$4,2)</x:f>
        <x:v>14400</x:v>
      </x:c>
      <x:c r="N747" s="17" t="n">
        <x:f>L747+M747</x:f>
        <x:v>94400</x:v>
      </x:c>
      <x:c r="O747" s="12" t="str">
        <x:v>Indore</x:v>
      </x:c>
      <x:c r="P747" s="12" t="str">
        <x:v>CORP-0264</x:v>
      </x:c>
      <x:c r="Q747" s="12" t="str">
        <x:v>Eagle</x:v>
      </x:c>
    </x:row>
    <x:row r="748" ht="48" customHeight="1">
      <x:c r="A748" s="2" t="str">
        <x:v>TEN-C1483C72A9FF</x:v>
      </x:c>
      <x:c r="B748" s="12" t="str">
        <x:v>Easycom</x:v>
      </x:c>
      <x:c r="C748" s="12" t="str">
        <x:v>Business / brand</x:v>
      </x:c>
      <x:c r="D748" s="12" t="str">
        <x:v>Unresolved</x:v>
      </x:c>
      <x:c r="E748" s="12" t="str">
        <x:v>Business activity not established</x:v>
      </x:c>
      <x:c r="F748" s="12" t="str">
        <x:v>Mixed business audience</x:v>
      </x:c>
      <x:c r="G748" s="12" t="str">
        <x:v>Business activity and company scale are not established from this name.</x:v>
      </x:c>
      <x:c r="H748" s="11" t="n">
        <x:v>1</x:v>
      </x:c>
      <x:c r="I748" s="11" t="n">
        <x:v>1</x:v>
      </x:c>
      <x:c r="J748" s="11" t="n">
        <x:v>1</x:v>
      </x:c>
      <x:c r="K748" s="11" t="n">
        <x:v>0</x:v>
      </x:c>
      <x:c r="L748" s="17" t="n">
        <x:f>SUM(SUMIFS('Costing'!$P$9:$P$492,'Costing'!$A$9:$A$492,"MAIN-270"))</x:f>
        <x:v>20000</x:v>
      </x:c>
      <x:c r="M748" s="17" t="n">
        <x:f>ROUND(L748*'Costing'!$C$4,2)</x:f>
        <x:v>3600</x:v>
      </x:c>
      <x:c r="N748" s="17" t="n">
        <x:f>L748+M748</x:f>
        <x:v>23600</x:v>
      </x:c>
      <x:c r="O748" s="12" t="str">
        <x:v>Indore</x:v>
      </x:c>
      <x:c r="P748" s="12" t="str">
        <x:v>CORP-0266</x:v>
      </x:c>
      <x:c r="Q748" s="12" t="str">
        <x:v>Easycom</x:v>
      </x:c>
    </x:row>
    <x:row r="749" ht="48" customHeight="1">
      <x:c r="A749" s="2" t="str">
        <x:v>TEN-84AFE067D260</x:v>
      </x:c>
      <x:c r="B749" s="12" t="str">
        <x:v>EasyRewardz Software Services</x:v>
      </x:c>
      <x:c r="C749" s="12" t="str">
        <x:v>Business / brand</x:v>
      </x:c>
      <x:c r="D749" s="12" t="str">
        <x:v>IT &amp; digital</x:v>
      </x:c>
      <x:c r="E749" s="12" t="str">
        <x:v>Enterprise software &amp; digital engineering</x:v>
      </x:c>
      <x:c r="F749" s="12" t="str">
        <x:v>Small-scale prospects</x:v>
      </x:c>
      <x:c r="G749" s="12" t="str">
        <x:v>Software or technology-services business; small-scale prospect assumption.</x:v>
      </x:c>
      <x:c r="H749" s="11" t="n">
        <x:v>2</x:v>
      </x:c>
      <x:c r="I749" s="11" t="n">
        <x:v>2</x:v>
      </x:c>
      <x:c r="J749" s="11" t="n">
        <x:v>2</x:v>
      </x:c>
      <x:c r="K749" s="11" t="n">
        <x:v>0</x:v>
      </x:c>
      <x:c r="L749" s="17" t="n">
        <x:f>SUM(SUMIFS('Costing'!$P$9:$P$492,'Costing'!$A$9:$A$492,"PARTNER-M241"))</x:f>
        <x:v>80000</x:v>
      </x:c>
      <x:c r="M749" s="17" t="n">
        <x:f>ROUND(L749*'Costing'!$C$4,2)</x:f>
        <x:v>14400</x:v>
      </x:c>
      <x:c r="N749" s="17" t="n">
        <x:f>L749+M749</x:f>
        <x:v>94400</x:v>
      </x:c>
      <x:c r="O749" s="12" t="str">
        <x:v>Mumbai</x:v>
      </x:c>
      <x:c r="P749" s="12" t="str">
        <x:v>CORP-0658, CORP-0659</x:v>
      </x:c>
      <x:c r="Q749" s="12" t="str">
        <x:v>EasyRewardz Software Services</x:v>
      </x:c>
    </x:row>
    <x:row r="750" ht="48" customHeight="1">
      <x:c r="A750" s="2" t="str">
        <x:v>TEN-B3FD6E87E781</x:v>
      </x:c>
      <x:c r="B750" s="12" t="str">
        <x:v>Eaton Technologies Pvt. Ltd</x:v>
      </x:c>
      <x:c r="C750" s="12" t="str">
        <x:v>Business / brand</x:v>
      </x:c>
      <x:c r="D750" s="12" t="str">
        <x:v>Engineering &amp; manufacturing</x:v>
      </x:c>
      <x:c r="E750" s="12" t="str">
        <x:v>Chemicals, materials &amp; industrial manufacturing</x:v>
      </x:c>
      <x:c r="F750" s="12" t="str">
        <x:v>Mixed business audience</x:v>
      </x:c>
      <x:c r="G750" s="12" t="str">
        <x:v>Recognisable business context; company-scale evidence remains insufficient for a single size band.</x:v>
      </x:c>
      <x:c r="H750" s="11" t="n">
        <x:v>9</x:v>
      </x:c>
      <x:c r="I750" s="11" t="n">
        <x:v>9</x:v>
      </x:c>
      <x:c r="J750" s="11" t="n">
        <x:v>9</x:v>
      </x:c>
      <x:c r="K750" s="11" t="n">
        <x:v>0</x:v>
      </x:c>
      <x:c r="L750" s="17" t="n">
        <x:f>SUM(SUMIFS('Costing'!$P$9:$P$492,'Costing'!$A$9:$A$492,"MAIN-073"),SUMIFS('Costing'!$P$9:$P$492,'Costing'!$A$9:$A$492,"PARTNER-M100"))</x:f>
        <x:v>360000</x:v>
      </x:c>
      <x:c r="M750" s="17" t="n">
        <x:f>ROUND(L750*'Costing'!$C$4,2)</x:f>
        <x:v>64800</x:v>
      </x:c>
      <x:c r="N750" s="17" t="n">
        <x:f>L750+M750</x:f>
        <x:v>424800</x:v>
      </x:c>
      <x:c r="O750" s="12" t="str">
        <x:v>Bengaluru</x:v>
      </x:c>
      <x:c r="P750" s="12" t="str">
        <x:v>CORP-0069, CORP-0518, CORP-0519, CORP-0520, CORP-0521, CORP-0522, CORP-0523, CORP-0524, CORP-0525</x:v>
      </x:c>
      <x:c r="Q750" s="12" t="str">
        <x:v>Eaton Technologies Pvt. Ltd</x:v>
      </x:c>
    </x:row>
    <x:row r="751" ht="48" customHeight="1">
      <x:c r="A751" s="2" t="str">
        <x:v>TEN-39AE983C4636</x:v>
      </x:c>
      <x:c r="B751" s="12" t="str">
        <x:v>Eatsure food court</x:v>
      </x:c>
      <x:c r="C751" s="12" t="str">
        <x:v>Business / brand</x:v>
      </x:c>
      <x:c r="D751" s="12" t="str">
        <x:v>Trade, consumer &amp; logistics</x:v>
      </x:c>
      <x:c r="E751" s="12" t="str">
        <x:v>Travel, hospitality, food &amp; beverages</x:v>
      </x:c>
      <x:c r="F751" s="12" t="str">
        <x:v>Mixed business audience</x:v>
      </x:c>
      <x:c r="G751" s="12" t="str">
        <x:v>Established brand or business network; local company scale is not established. Use a mixed-business message.</x:v>
      </x:c>
      <x:c r="H751" s="11" t="n">
        <x:v>1</x:v>
      </x:c>
      <x:c r="I751" s="11" t="n">
        <x:v>1</x:v>
      </x:c>
      <x:c r="J751" s="11" t="n">
        <x:v>1</x:v>
      </x:c>
      <x:c r="K751" s="11" t="n">
        <x:v>0</x:v>
      </x:c>
      <x:c r="L751" s="17" t="n">
        <x:f>SUM(SUMIFS('Costing'!$P$9:$P$492,'Costing'!$A$9:$A$492,"MAIN-415"))</x:f>
        <x:v>15000</x:v>
      </x:c>
      <x:c r="M751" s="17" t="n">
        <x:f>ROUND(L751*'Costing'!$C$4,2)</x:f>
        <x:v>2700</x:v>
      </x:c>
      <x:c r="N751" s="17" t="n">
        <x:f>L751+M751</x:f>
        <x:v>17700</x:v>
      </x:c>
      <x:c r="O751" s="12" t="str">
        <x:v>Pune</x:v>
      </x:c>
      <x:c r="P751" s="12" t="str">
        <x:v>CORP-0411</x:v>
      </x:c>
      <x:c r="Q751" s="12" t="str">
        <x:v>Eatsure food court</x:v>
      </x:c>
    </x:row>
    <x:row r="752" ht="48" customHeight="1">
      <x:c r="A752" s="2" t="str">
        <x:v>TEN-00B26C576287</x:v>
      </x:c>
      <x:c r="B752" s="12" t="str">
        <x:v>EBARA MACHINERY INDIA PVT. LTD</x:v>
      </x:c>
      <x:c r="C752" s="12" t="str">
        <x:v>Business / brand</x:v>
      </x:c>
      <x:c r="D752" s="12" t="str">
        <x:v>Engineering &amp; manufacturing</x:v>
      </x:c>
      <x:c r="E752" s="12" t="str">
        <x:v>Energy, electrical &amp; industrial systems</x:v>
      </x:c>
      <x:c r="F752" s="12" t="str">
        <x:v>Mixed business audience</x:v>
      </x:c>
      <x:c r="G752" s="12" t="str">
        <x:v>Recognisable business context; company-scale evidence remains insufficient for a single size band.</x:v>
      </x:c>
      <x:c r="H752" s="11" t="n">
        <x:v>4</x:v>
      </x:c>
      <x:c r="I752" s="11" t="n">
        <x:v>4</x:v>
      </x:c>
      <x:c r="J752" s="11" t="n">
        <x:v>4</x:v>
      </x:c>
      <x:c r="K752" s="11" t="n">
        <x:v>0</x:v>
      </x:c>
      <x:c r="L752" s="17" t="n">
        <x:f>SUM(SUMIFS('Costing'!$P$9:$P$492,'Costing'!$A$9:$A$492,"PARTNER-M193"))</x:f>
        <x:v>160000</x:v>
      </x:c>
      <x:c r="M752" s="17" t="n">
        <x:f>ROUND(L752*'Costing'!$C$4,2)</x:f>
        <x:v>28800</x:v>
      </x:c>
      <x:c r="N752" s="17" t="n">
        <x:f>L752+M752</x:f>
        <x:v>188800</x:v>
      </x:c>
      <x:c r="O752" s="12" t="str">
        <x:v>Mumbai</x:v>
      </x:c>
      <x:c r="P752" s="12" t="str">
        <x:v>CORP-0610, CORP-0611, CORP-0612, CORP-0613</x:v>
      </x:c>
      <x:c r="Q752" s="12" t="str">
        <x:v>EBARA MACHINERY INDIA PVT. LTD</x:v>
      </x:c>
    </x:row>
    <x:row r="753" ht="48" customHeight="1">
      <x:c r="A753" s="2" t="str">
        <x:v>TEN-B2C5EC45BFF3</x:v>
      </x:c>
      <x:c r="B753" s="12" t="str">
        <x:v>eBizNET Solutions</x:v>
      </x:c>
      <x:c r="C753" s="12" t="str">
        <x:v>Business / brand</x:v>
      </x:c>
      <x:c r="D753" s="12" t="str">
        <x:v>IT &amp; digital</x:v>
      </x:c>
      <x:c r="E753" s="12" t="str">
        <x:v>Enterprise software &amp; digital engineering</x:v>
      </x:c>
      <x:c r="F753" s="12" t="str">
        <x:v>Small-scale prospects</x:v>
      </x:c>
      <x:c r="G753" s="12" t="str">
        <x:v>Software or technology-services business; small-scale prospect assumption.</x:v>
      </x:c>
      <x:c r="H753" s="11" t="n">
        <x:v>6</x:v>
      </x:c>
      <x:c r="I753" s="11" t="n">
        <x:v>6</x:v>
      </x:c>
      <x:c r="J753" s="11" t="n">
        <x:v>6</x:v>
      </x:c>
      <x:c r="K753" s="11" t="n">
        <x:v>0</x:v>
      </x:c>
      <x:c r="L753" s="17" t="n">
        <x:f>SUM(SUMIFS('Costing'!$P$9:$P$492,'Costing'!$A$9:$A$492,"PARTNER-M289"))</x:f>
        <x:v>240000</x:v>
      </x:c>
      <x:c r="M753" s="17" t="n">
        <x:f>ROUND(L753*'Costing'!$C$4,2)</x:f>
        <x:v>43200</x:v>
      </x:c>
      <x:c r="N753" s="17" t="n">
        <x:f>L753+M753</x:f>
        <x:v>283200</x:v>
      </x:c>
      <x:c r="O753" s="12" t="str">
        <x:v>Hyderabad</x:v>
      </x:c>
      <x:c r="P753" s="12" t="str">
        <x:v>CORP-0704, CORP-0705, CORP-0706, CORP-0707, CORP-0708, CORP-0709</x:v>
      </x:c>
      <x:c r="Q753" s="12" t="str">
        <x:v>eBizNET Solutions</x:v>
      </x:c>
    </x:row>
    <x:row r="754" ht="48" customHeight="1">
      <x:c r="A754" s="2" t="str">
        <x:v>TEN-B9223DF94855</x:v>
      </x:c>
      <x:c r="B754" s="12" t="str">
        <x:v>ECI Telecom</x:v>
      </x:c>
      <x:c r="C754" s="12" t="str">
        <x:v>Business / brand</x:v>
      </x:c>
      <x:c r="D754" s="12" t="str">
        <x:v>IT &amp; digital</x:v>
      </x:c>
      <x:c r="E754" s="12" t="str">
        <x:v>Telecom, networks &amp; connectivity</x:v>
      </x:c>
      <x:c r="F754" s="12" t="str">
        <x:v>Mixed business audience</x:v>
      </x:c>
      <x:c r="G754" s="12" t="str">
        <x:v>Established brand or business network; local company scale is not established. Use a mixed-business message.</x:v>
      </x:c>
      <x:c r="H754" s="11" t="n">
        <x:v>9</x:v>
      </x:c>
      <x:c r="I754" s="11" t="n">
        <x:v>9</x:v>
      </x:c>
      <x:c r="J754" s="11" t="n">
        <x:v>9</x:v>
      </x:c>
      <x:c r="K754" s="11" t="n">
        <x:v>0</x:v>
      </x:c>
      <x:c r="L754" s="17" t="n">
        <x:f>SUM(SUMIFS('Costing'!$P$9:$P$492,'Costing'!$A$9:$A$492,"PARTNER-M002"))</x:f>
        <x:v>360000</x:v>
      </x:c>
      <x:c r="M754" s="17" t="n">
        <x:f>ROUND(L754*'Costing'!$C$4,2)</x:f>
        <x:v>64800</x:v>
      </x:c>
      <x:c r="N754" s="17" t="n">
        <x:f>L754+M754</x:f>
        <x:v>424800</x:v>
      </x:c>
      <x:c r="O754" s="12" t="str">
        <x:v>Bengaluru</x:v>
      </x:c>
      <x:c r="P754" s="12" t="str">
        <x:v>CORP-0420, CORP-0421, CORP-0422, CORP-0423, CORP-0424, CORP-0425, CORP-0426, CORP-0427, CORP-0428</x:v>
      </x:c>
      <x:c r="Q754" s="12" t="str">
        <x:v>ECI Telecom</x:v>
      </x:c>
    </x:row>
    <x:row r="755" ht="48" customHeight="1">
      <x:c r="A755" s="2" t="str">
        <x:v>TEN-787004BAB6D4</x:v>
      </x:c>
      <x:c r="B755" s="12" t="str">
        <x:v>ECI Telecom India Pvt Limited</x:v>
      </x:c>
      <x:c r="C755" s="12" t="str">
        <x:v>Business / brand</x:v>
      </x:c>
      <x:c r="D755" s="12" t="str">
        <x:v>IT &amp; digital</x:v>
      </x:c>
      <x:c r="E755" s="12" t="str">
        <x:v>Telecom, networks &amp; connectivity</x:v>
      </x:c>
      <x:c r="F755" s="12" t="str">
        <x:v>Mixed business audience</x:v>
      </x:c>
      <x:c r="G755" s="12" t="str">
        <x:v>Established brand or business network; local company scale is not established. Use a mixed-business message.</x:v>
      </x:c>
      <x:c r="H755" s="11" t="n">
        <x:v>4</x:v>
      </x:c>
      <x:c r="I755" s="11" t="n">
        <x:v>4</x:v>
      </x:c>
      <x:c r="J755" s="11" t="n">
        <x:v>4</x:v>
      </x:c>
      <x:c r="K755" s="11" t="n">
        <x:v>0</x:v>
      </x:c>
      <x:c r="L755" s="17" t="n">
        <x:f>SUM(SUMIFS('Costing'!$P$9:$P$492,'Costing'!$A$9:$A$492,"PARTNER-M197"))</x:f>
        <x:v>160000</x:v>
      </x:c>
      <x:c r="M755" s="17" t="n">
        <x:f>ROUND(L755*'Costing'!$C$4,2)</x:f>
        <x:v>28800</x:v>
      </x:c>
      <x:c r="N755" s="17" t="n">
        <x:f>L755+M755</x:f>
        <x:v>188800</x:v>
      </x:c>
      <x:c r="O755" s="12" t="str">
        <x:v>Mumbai</x:v>
      </x:c>
      <x:c r="P755" s="12" t="str">
        <x:v>CORP-0614, CORP-0615, CORP-0616, CORP-0617</x:v>
      </x:c>
      <x:c r="Q755" s="12" t="str">
        <x:v>ECI Telecom India Pvt Limited</x:v>
      </x:c>
    </x:row>
    <x:row r="756" ht="48" customHeight="1">
      <x:c r="A756" s="2" t="str">
        <x:v>TEN-A08385AC9A90</x:v>
      </x:c>
      <x:c r="B756" s="12" t="str">
        <x:v>Ecinical</x:v>
      </x:c>
      <x:c r="C756" s="12" t="str">
        <x:v>Business / brand</x:v>
      </x:c>
      <x:c r="D756" s="12" t="str">
        <x:v>Unresolved</x:v>
      </x:c>
      <x:c r="E756" s="12" t="str">
        <x:v>Business activity not established</x:v>
      </x:c>
      <x:c r="F756" s="12" t="str">
        <x:v>Mixed business audience</x:v>
      </x:c>
      <x:c r="G756" s="12" t="str">
        <x:v>Business activity and company scale are not established from this name.</x:v>
      </x:c>
      <x:c r="H756" s="11" t="n">
        <x:v>9</x:v>
      </x:c>
      <x:c r="I756" s="11" t="n">
        <x:v>9</x:v>
      </x:c>
      <x:c r="J756" s="11" t="n">
        <x:v>9</x:v>
      </x:c>
      <x:c r="K756" s="11" t="n">
        <x:v>0</x:v>
      </x:c>
      <x:c r="L756" s="17" t="n">
        <x:f>SUM(SUMIFS('Costing'!$P$9:$P$492,'Costing'!$A$9:$A$492,"PARTNER-M002"))</x:f>
        <x:v>360000</x:v>
      </x:c>
      <x:c r="M756" s="17" t="n">
        <x:f>ROUND(L756*'Costing'!$C$4,2)</x:f>
        <x:v>64800</x:v>
      </x:c>
      <x:c r="N756" s="17" t="n">
        <x:f>L756+M756</x:f>
        <x:v>424800</x:v>
      </x:c>
      <x:c r="O756" s="12" t="str">
        <x:v>Bengaluru</x:v>
      </x:c>
      <x:c r="P756" s="12" t="str">
        <x:v>CORP-0420, CORP-0421, CORP-0422, CORP-0423, CORP-0424, CORP-0425, CORP-0426, CORP-0427, CORP-0428</x:v>
      </x:c>
      <x:c r="Q756" s="12" t="str">
        <x:v>Ecinical</x:v>
      </x:c>
    </x:row>
    <x:row r="757" ht="62" customHeight="1">
      <x:c r="A757" s="2" t="str">
        <x:v>TEN-C004492EC46F</x:v>
      </x:c>
      <x:c r="B757" s="12" t="str">
        <x:v>Eclerx</x:v>
      </x:c>
      <x:c r="C757" s="12" t="str">
        <x:v>Business / brand</x:v>
      </x:c>
      <x:c r="D757" s="12" t="str">
        <x:v>IT &amp; digital</x:v>
      </x:c>
      <x:c r="E757" s="12" t="str">
        <x:v>Business process &amp; customer operations</x:v>
      </x:c>
      <x:c r="F757" s="12" t="str">
        <x:v>Large enterprise</x:v>
      </x:c>
      <x:c r="G757" s="12" t="str">
        <x:v>The official investor FAQ reports approximately 22,000+ employees at March 2026 and a multi-region office and delivery-centre network. This supports an enterprise-scale business-services override.</x:v>
      </x:c>
      <x:c r="H757" s="11" t="n">
        <x:v>1</x:v>
      </x:c>
      <x:c r="I757" s="11" t="n">
        <x:v>12</x:v>
      </x:c>
      <x:c r="J757" s="11" t="n">
        <x:v>12</x:v>
      </x:c>
      <x:c r="K757" s="11" t="n">
        <x:v>0</x:v>
      </x:c>
      <x:c r="L757" s="17" t="n">
        <x:f>SUM(SUMIFS('Costing'!$P$9:$P$492,'Costing'!$A$9:$A$492,"MAIN-337"))</x:f>
        <x:v>390000</x:v>
      </x:c>
      <x:c r="M757" s="17" t="n">
        <x:f>ROUND(L757*'Costing'!$C$4,2)</x:f>
        <x:v>70200</x:v>
      </x:c>
      <x:c r="N757" s="17" t="n">
        <x:f>L757+M757</x:f>
        <x:v>460200</x:v>
      </x:c>
      <x:c r="O757" s="12" t="str">
        <x:v>Mumbai</x:v>
      </x:c>
      <x:c r="P757" s="12" t="str">
        <x:v>CORP-0333</x:v>
      </x:c>
      <x:c r="Q757" s="12" t="str">
        <x:v>Eclerx</x:v>
      </x:c>
    </x:row>
    <x:row r="758" ht="48" customHeight="1">
      <x:c r="A758" s="2" t="str">
        <x:v>TEN-F8D593D0B92D</x:v>
      </x:c>
      <x:c r="B758" s="12" t="str">
        <x:v>eClinicalWorks India Private Limited</x:v>
      </x:c>
      <x:c r="C758" s="12" t="str">
        <x:v>Business / brand</x:v>
      </x:c>
      <x:c r="D758" s="12" t="str">
        <x:v>IT &amp; digital</x:v>
      </x:c>
      <x:c r="E758" s="12" t="str">
        <x:v>Enterprise software &amp; digital engineering</x:v>
      </x:c>
      <x:c r="F758" s="12" t="str">
        <x:v>Mixed business audience</x:v>
      </x:c>
      <x:c r="G758" s="12" t="str">
        <x:v>Established brand or business network; local company scale is not established. Use a mixed-business message.</x:v>
      </x:c>
      <x:c r="H758" s="11" t="n">
        <x:v>6</x:v>
      </x:c>
      <x:c r="I758" s="11" t="n">
        <x:v>6</x:v>
      </x:c>
      <x:c r="J758" s="11" t="n">
        <x:v>6</x:v>
      </x:c>
      <x:c r="K758" s="11" t="n">
        <x:v>0</x:v>
      </x:c>
      <x:c r="L758" s="17" t="n">
        <x:f>SUM(SUMIFS('Costing'!$P$9:$P$492,'Costing'!$A$9:$A$492,"PARTNER-M179"))</x:f>
        <x:v>240000</x:v>
      </x:c>
      <x:c r="M758" s="17" t="n">
        <x:f>ROUND(L758*'Costing'!$C$4,2)</x:f>
        <x:v>43200</x:v>
      </x:c>
      <x:c r="N758" s="17" t="n">
        <x:f>L758+M758</x:f>
        <x:v>283200</x:v>
      </x:c>
      <x:c r="O758" s="12" t="str">
        <x:v>Mumbai</x:v>
      </x:c>
      <x:c r="P758" s="12" t="str">
        <x:v>CORP-0596, CORP-0597, CORP-0598, CORP-0599, CORP-0600, CORP-0601</x:v>
      </x:c>
      <x:c r="Q758" s="12" t="str">
        <x:v>eClinicalWorks India Private Limited</x:v>
      </x:c>
    </x:row>
    <x:row r="759" ht="48" customHeight="1">
      <x:c r="A759" s="2" t="str">
        <x:v>TEN-8F327FC157B7</x:v>
      </x:c>
      <x:c r="B759" s="12" t="str">
        <x:v>EcoEvolve Bio Private Limited</x:v>
      </x:c>
      <x:c r="C759" s="12" t="str">
        <x:v>Business / brand</x:v>
      </x:c>
      <x:c r="D759" s="12" t="str">
        <x:v>Healthcare &amp; life sciences</x:v>
      </x:c>
      <x:c r="E759" s="12" t="str">
        <x:v>Clinical, medical &amp; diagnostic services</x:v>
      </x:c>
      <x:c r="F759" s="12" t="str">
        <x:v>Small-scale prospects</x:v>
      </x:c>
      <x:c r="G759" s="12" t="str">
        <x:v>Healthcare services business; small-scale prospect assumption.</x:v>
      </x:c>
      <x:c r="H759" s="11" t="n">
        <x:v>1</x:v>
      </x:c>
      <x:c r="I759" s="11" t="n">
        <x:v>3</x:v>
      </x:c>
      <x:c r="J759" s="11" t="n">
        <x:v>3</x:v>
      </x:c>
      <x:c r="K759" s="11" t="n">
        <x:v>0</x:v>
      </x:c>
      <x:c r="L759" s="17" t="n">
        <x:f>SUM(SUMIFS('Costing'!$P$9:$P$492,'Costing'!$A$9:$A$492,"MAIN-255"))</x:f>
        <x:v>45000</x:v>
      </x:c>
      <x:c r="M759" s="17" t="n">
        <x:f>ROUND(L759*'Costing'!$C$4,2)</x:f>
        <x:v>8100</x:v>
      </x:c>
      <x:c r="N759" s="17" t="n">
        <x:f>L759+M759</x:f>
        <x:v>53100</x:v>
      </x:c>
      <x:c r="O759" s="12" t="str">
        <x:v>Hyderabad</x:v>
      </x:c>
      <x:c r="P759" s="12" t="str">
        <x:v>CORP-0251</x:v>
      </x:c>
      <x:c r="Q759" s="12" t="str">
        <x:v>EcoEvolve Bio Private Limited</x:v>
      </x:c>
    </x:row>
    <x:row r="760" ht="48" customHeight="1">
      <x:c r="A760" s="2" t="str">
        <x:v>TEN-26B2AD07B562</x:v>
      </x:c>
      <x:c r="B760" s="12" t="str">
        <x:v>Ecofirst Services Limited</x:v>
      </x:c>
      <x:c r="C760" s="12" t="str">
        <x:v>Business / brand</x:v>
      </x:c>
      <x:c r="D760" s="12" t="str">
        <x:v>Unresolved</x:v>
      </x:c>
      <x:c r="E760" s="12" t="str">
        <x:v>Business activity not established</x:v>
      </x:c>
      <x:c r="F760" s="12" t="str">
        <x:v>Mixed business audience</x:v>
      </x:c>
      <x:c r="G760" s="12" t="str">
        <x:v>Business activity and company scale are not established from this name.</x:v>
      </x:c>
      <x:c r="H760" s="11" t="n">
        <x:v>2</x:v>
      </x:c>
      <x:c r="I760" s="11" t="n">
        <x:v>2</x:v>
      </x:c>
      <x:c r="J760" s="11" t="n">
        <x:v>2</x:v>
      </x:c>
      <x:c r="K760" s="11" t="n">
        <x:v>0</x:v>
      </x:c>
      <x:c r="L760" s="17" t="n">
        <x:f>SUM(SUMIFS('Costing'!$P$9:$P$492,'Costing'!$A$9:$A$492,"PARTNER-M201"))</x:f>
        <x:v>80000</x:v>
      </x:c>
      <x:c r="M760" s="17" t="n">
        <x:f>ROUND(L760*'Costing'!$C$4,2)</x:f>
        <x:v>14400</x:v>
      </x:c>
      <x:c r="N760" s="17" t="n">
        <x:f>L760+M760</x:f>
        <x:v>94400</x:v>
      </x:c>
      <x:c r="O760" s="12" t="str">
        <x:v>Mumbai</x:v>
      </x:c>
      <x:c r="P760" s="12" t="str">
        <x:v>CORP-0618, CORP-0619</x:v>
      </x:c>
      <x:c r="Q760" s="12" t="str">
        <x:v>Ecofirst Services Limited</x:v>
      </x:c>
    </x:row>
    <x:row r="761" ht="48" customHeight="1">
      <x:c r="A761" s="2" t="str">
        <x:v>TEN-FF339EB08605</x:v>
      </x:c>
      <x:c r="B761" s="12" t="str">
        <x:v>Econship Tech Pvt. Ltd</x:v>
      </x:c>
      <x:c r="C761" s="12" t="str">
        <x:v>Business / brand</x:v>
      </x:c>
      <x:c r="D761" s="12" t="str">
        <x:v>Trade, consumer &amp; logistics</x:v>
      </x:c>
      <x:c r="E761" s="12" t="str">
        <x:v>Logistics, shipping &amp; transport</x:v>
      </x:c>
      <x:c r="F761" s="12" t="str">
        <x:v>Medium-scale prospects</x:v>
      </x:c>
      <x:c r="G761" s="12" t="str">
        <x:v>Specialist logistics or transport business; medium-scale prospect assumption.</x:v>
      </x:c>
      <x:c r="H761" s="11" t="n">
        <x:v>1</x:v>
      </x:c>
      <x:c r="I761" s="11" t="n">
        <x:v>1</x:v>
      </x:c>
      <x:c r="J761" s="11" t="n">
        <x:v>1</x:v>
      </x:c>
      <x:c r="K761" s="11" t="n">
        <x:v>0</x:v>
      </x:c>
      <x:c r="L761" s="17" t="n">
        <x:f>SUM(SUMIFS('Costing'!$P$9:$P$492,'Costing'!$A$9:$A$492,"MAIN-341"))</x:f>
        <x:v>15000</x:v>
      </x:c>
      <x:c r="M761" s="17" t="n">
        <x:f>ROUND(L761*'Costing'!$C$4,2)</x:f>
        <x:v>2700</x:v>
      </x:c>
      <x:c r="N761" s="17" t="n">
        <x:f>L761+M761</x:f>
        <x:v>17700</x:v>
      </x:c>
      <x:c r="O761" s="12" t="str">
        <x:v>Mumbai</x:v>
      </x:c>
      <x:c r="P761" s="12" t="str">
        <x:v>CORP-0337</x:v>
      </x:c>
      <x:c r="Q761" s="12" t="str">
        <x:v>Econship Tech Pvt. Ltd</x:v>
      </x:c>
    </x:row>
    <x:row r="762" ht="48" customHeight="1">
      <x:c r="A762" s="2" t="str">
        <x:v>TEN-F79F4922D3B3</x:v>
      </x:c>
      <x:c r="B762" s="12" t="str">
        <x:v>Ecosystem Ventures</x:v>
      </x:c>
      <x:c r="C762" s="12" t="str">
        <x:v>Business / brand</x:v>
      </x:c>
      <x:c r="D762" s="12" t="str">
        <x:v>Finance &amp; insurance</x:v>
      </x:c>
      <x:c r="E762" s="12" t="str">
        <x:v>Investments, securities &amp; wealth</x:v>
      </x:c>
      <x:c r="F762" s="12" t="str">
        <x:v>Medium-scale prospects</x:v>
      </x:c>
      <x:c r="G762" s="12" t="str">
        <x:v>Specialist financial-services business; medium-scale prospect assumption.</x:v>
      </x:c>
      <x:c r="H762" s="11" t="n">
        <x:v>1</x:v>
      </x:c>
      <x:c r="I762" s="11" t="n">
        <x:v>2</x:v>
      </x:c>
      <x:c r="J762" s="11" t="n">
        <x:v>2</x:v>
      </x:c>
      <x:c r="K762" s="11" t="n">
        <x:v>0</x:v>
      </x:c>
      <x:c r="L762" s="17" t="n">
        <x:f>SUM(SUMIFS('Costing'!$P$9:$P$492,'Costing'!$A$9:$A$492,"MAIN-268"))</x:f>
        <x:v>80000</x:v>
      </x:c>
      <x:c r="M762" s="17" t="n">
        <x:f>ROUND(L762*'Costing'!$C$4,2)</x:f>
        <x:v>14400</x:v>
      </x:c>
      <x:c r="N762" s="17" t="n">
        <x:f>L762+M762</x:f>
        <x:v>94400</x:v>
      </x:c>
      <x:c r="O762" s="12" t="str">
        <x:v>Indore</x:v>
      </x:c>
      <x:c r="P762" s="12" t="str">
        <x:v>CORP-0264</x:v>
      </x:c>
      <x:c r="Q762" s="12" t="str">
        <x:v>Ecosystem Ventures</x:v>
      </x:c>
    </x:row>
    <x:row r="763" ht="48" customHeight="1">
      <x:c r="A763" s="2" t="str">
        <x:v>TEN-60F97FFFDBBB</x:v>
      </x:c>
      <x:c r="B763" s="12" t="str">
        <x:v>Ecotech Engineering Consultancy Pvt Ltd</x:v>
      </x:c>
      <x:c r="C763" s="12" t="str">
        <x:v>Business / brand</x:v>
      </x:c>
      <x:c r="D763" s="12" t="str">
        <x:v>Engineering &amp; manufacturing</x:v>
      </x:c>
      <x:c r="E763" s="12" t="str">
        <x:v>Engineering, testing &amp; technical services</x:v>
      </x:c>
      <x:c r="F763" s="12" t="str">
        <x:v>Medium-scale prospects</x:v>
      </x:c>
      <x:c r="G763" s="12" t="str">
        <x:v>Specialist industrial or engineering business; medium-scale prospect assumption.</x:v>
      </x:c>
      <x:c r="H763" s="11" t="n">
        <x:v>1</x:v>
      </x:c>
      <x:c r="I763" s="11" t="n">
        <x:v>1</x:v>
      </x:c>
      <x:c r="J763" s="11" t="n">
        <x:v>1</x:v>
      </x:c>
      <x:c r="K763" s="11" t="n">
        <x:v>0</x:v>
      </x:c>
      <x:c r="L763" s="17" t="n">
        <x:f>SUM(SUMIFS('Costing'!$P$9:$P$492,'Costing'!$A$9:$A$492,"MAIN-159"))</x:f>
        <x:v>15000</x:v>
      </x:c>
      <x:c r="M763" s="17" t="n">
        <x:f>ROUND(L763*'Costing'!$C$4,2)</x:f>
        <x:v>2700</x:v>
      </x:c>
      <x:c r="N763" s="17" t="n">
        <x:f>L763+M763</x:f>
        <x:v>17700</x:v>
      </x:c>
      <x:c r="O763" s="12" t="str">
        <x:v>Chennai</x:v>
      </x:c>
      <x:c r="P763" s="12" t="str">
        <x:v>CORP-0155</x:v>
      </x:c>
      <x:c r="Q763" s="12" t="str">
        <x:v>Ecotech Engineering Consultancy Pvt Ltd</x:v>
      </x:c>
    </x:row>
    <x:row r="764" ht="48" customHeight="1">
      <x:c r="A764" s="2" t="str">
        <x:v>TEN-6BE3112897E4</x:v>
      </x:c>
      <x:c r="B764" s="12" t="str">
        <x:v>Edel Tech Pvt. Ltd (SAP descriptor)</x:v>
      </x:c>
      <x:c r="C764" s="12" t="str">
        <x:v>Business / brand</x:v>
      </x:c>
      <x:c r="D764" s="12" t="str">
        <x:v>IT &amp; digital</x:v>
      </x:c>
      <x:c r="E764" s="12" t="str">
        <x:v>Enterprise software &amp; digital engineering</x:v>
      </x:c>
      <x:c r="F764" s="12" t="str">
        <x:v>Small-scale prospects</x:v>
      </x:c>
      <x:c r="G764" s="12" t="str">
        <x:v>Software or technology-services business; small-scale prospect assumption.</x:v>
      </x:c>
      <x:c r="H764" s="11" t="n">
        <x:v>3</x:v>
      </x:c>
      <x:c r="I764" s="11" t="n">
        <x:v>3</x:v>
      </x:c>
      <x:c r="J764" s="11" t="n">
        <x:v>3</x:v>
      </x:c>
      <x:c r="K764" s="11" t="n">
        <x:v>0</x:v>
      </x:c>
      <x:c r="L764" s="17" t="n">
        <x:f>SUM(SUMIFS('Costing'!$P$9:$P$492,'Costing'!$A$9:$A$492,"PARTNER-M265"))</x:f>
        <x:v>120000</x:v>
      </x:c>
      <x:c r="M764" s="17" t="n">
        <x:f>ROUND(L764*'Costing'!$C$4,2)</x:f>
        <x:v>21600</x:v>
      </x:c>
      <x:c r="N764" s="17" t="n">
        <x:f>L764+M764</x:f>
        <x:v>141600</x:v>
      </x:c>
      <x:c r="O764" s="12" t="str">
        <x:v>Pune</x:v>
      </x:c>
      <x:c r="P764" s="12" t="str">
        <x:v>CORP-0681, CORP-0682, CORP-0683</x:v>
      </x:c>
      <x:c r="Q764" s="12" t="str">
        <x:v>Edel Tech Pvt. Ltd (SAP descriptor)</x:v>
      </x:c>
    </x:row>
    <x:row r="765" ht="48" customHeight="1">
      <x:c r="A765" s="2" t="str">
        <x:v>TEN-A1D4A79B9988</x:v>
      </x:c>
      <x:c r="B765" s="12" t="str">
        <x:v>Edelweiss Life Insurance</x:v>
      </x:c>
      <x:c r="C765" s="12" t="str">
        <x:v>Business / brand</x:v>
      </x:c>
      <x:c r="D765" s="12" t="str">
        <x:v>Finance &amp; insurance</x:v>
      </x:c>
      <x:c r="E765" s="12" t="str">
        <x:v>Insurance &amp; insurance services</x:v>
      </x:c>
      <x:c r="F765" s="12" t="str">
        <x:v>Mixed business audience</x:v>
      </x:c>
      <x:c r="G765" s="12" t="str">
        <x:v>Recognisable business context; company-scale evidence remains insufficient for a single size band.</x:v>
      </x:c>
      <x:c r="H765" s="11" t="n">
        <x:v>1</x:v>
      </x:c>
      <x:c r="I765" s="11" t="n">
        <x:v>1</x:v>
      </x:c>
      <x:c r="J765" s="11" t="n">
        <x:v>1</x:v>
      </x:c>
      <x:c r="K765" s="11" t="n">
        <x:v>0</x:v>
      </x:c>
      <x:c r="L765" s="17" t="n">
        <x:f>SUM(SUMIFS('Costing'!$P$9:$P$492,'Costing'!$A$9:$A$492,"MAIN-269"))</x:f>
        <x:v>40000</x:v>
      </x:c>
      <x:c r="M765" s="17" t="n">
        <x:f>ROUND(L765*'Costing'!$C$4,2)</x:f>
        <x:v>7200</x:v>
      </x:c>
      <x:c r="N765" s="17" t="n">
        <x:f>L765+M765</x:f>
        <x:v>47200</x:v>
      </x:c>
      <x:c r="O765" s="12" t="str">
        <x:v>Indore</x:v>
      </x:c>
      <x:c r="P765" s="12" t="str">
        <x:v>CORP-0265</x:v>
      </x:c>
      <x:c r="Q765" s="12" t="str">
        <x:v>Edelweiss Life Insurance</x:v>
      </x:c>
    </x:row>
    <x:row r="766" ht="48" customHeight="1">
      <x:c r="A766" s="2" t="str">
        <x:v>TEN-2C43A4D50743</x:v>
      </x:c>
      <x:c r="B766" s="12" t="str">
        <x:v>Edu Bird</x:v>
      </x:c>
      <x:c r="C766" s="12" t="str">
        <x:v>Business / brand</x:v>
      </x:c>
      <x:c r="D766" s="12" t="str">
        <x:v>Education</x:v>
      </x:c>
      <x:c r="E766" s="12" t="str">
        <x:v>Schools, childcare &amp; higher education</x:v>
      </x:c>
      <x:c r="F766" s="12" t="str">
        <x:v>Small-scale prospects</x:v>
      </x:c>
      <x:c r="G766" s="12" t="str">
        <x:v>Training or education-services business; small-scale prospect assumption.</x:v>
      </x:c>
      <x:c r="H766" s="11" t="n">
        <x:v>1</x:v>
      </x:c>
      <x:c r="I766" s="11" t="n">
        <x:v>2</x:v>
      </x:c>
      <x:c r="J766" s="11" t="n">
        <x:v>2</x:v>
      </x:c>
      <x:c r="K766" s="11" t="n">
        <x:v>0</x:v>
      </x:c>
      <x:c r="L766" s="17" t="n">
        <x:f>SUM(SUMIFS('Costing'!$P$9:$P$492,'Costing'!$A$9:$A$492,"MAIN-277"))</x:f>
        <x:v>30000</x:v>
      </x:c>
      <x:c r="M766" s="17" t="n">
        <x:f>ROUND(L766*'Costing'!$C$4,2)</x:f>
        <x:v>5400</x:v>
      </x:c>
      <x:c r="N766" s="17" t="n">
        <x:f>L766+M766</x:f>
        <x:v>35400</x:v>
      </x:c>
      <x:c r="O766" s="12" t="str">
        <x:v>Kochi</x:v>
      </x:c>
      <x:c r="P766" s="12" t="str">
        <x:v>CORP-0273</x:v>
      </x:c>
      <x:c r="Q766" s="12" t="str">
        <x:v>Edu Bird</x:v>
      </x:c>
    </x:row>
    <x:row r="767" ht="48" customHeight="1">
      <x:c r="A767" s="2" t="str">
        <x:v>TEN-221912755C05</x:v>
      </x:c>
      <x:c r="B767" s="12" t="str">
        <x:v>Edufund</x:v>
      </x:c>
      <x:c r="C767" s="12" t="str">
        <x:v>Business / brand</x:v>
      </x:c>
      <x:c r="D767" s="12" t="str">
        <x:v>Education</x:v>
      </x:c>
      <x:c r="E767" s="12" t="str">
        <x:v>Edtech, training &amp; learning</x:v>
      </x:c>
      <x:c r="F767" s="12" t="str">
        <x:v>Small-scale prospects</x:v>
      </x:c>
      <x:c r="G767" s="12" t="str">
        <x:v>Training or education-services business; small-scale prospect assumption.</x:v>
      </x:c>
      <x:c r="H767" s="11" t="n">
        <x:v>1</x:v>
      </x:c>
      <x:c r="I767" s="11" t="n">
        <x:v>1</x:v>
      </x:c>
      <x:c r="J767" s="11" t="n">
        <x:v>1</x:v>
      </x:c>
      <x:c r="K767" s="11" t="n">
        <x:v>0</x:v>
      </x:c>
      <x:c r="L767" s="17" t="n">
        <x:f>SUM(SUMIFS('Costing'!$P$9:$P$492,'Costing'!$A$9:$A$492,"MAIN-385"))</x:f>
        <x:v>15000</x:v>
      </x:c>
      <x:c r="M767" s="17" t="n">
        <x:f>ROUND(L767*'Costing'!$C$4,2)</x:f>
        <x:v>2700</x:v>
      </x:c>
      <x:c r="N767" s="17" t="n">
        <x:f>L767+M767</x:f>
        <x:v>17700</x:v>
      </x:c>
      <x:c r="O767" s="12" t="str">
        <x:v>Pune</x:v>
      </x:c>
      <x:c r="P767" s="12" t="str">
        <x:v>CORP-0381</x:v>
      </x:c>
      <x:c r="Q767" s="12" t="str">
        <x:v>Edufund</x:v>
      </x:c>
    </x:row>
    <x:row r="768" ht="48" customHeight="1">
      <x:c r="A768" s="2" t="str">
        <x:v>TEN-07032E5E2F11</x:v>
      </x:c>
      <x:c r="B768" s="12" t="str">
        <x:v>EduPristine</x:v>
      </x:c>
      <x:c r="C768" s="12" t="str">
        <x:v>Business / brand</x:v>
      </x:c>
      <x:c r="D768" s="12" t="str">
        <x:v>Education</x:v>
      </x:c>
      <x:c r="E768" s="12" t="str">
        <x:v>Education, training &amp; childcare</x:v>
      </x:c>
      <x:c r="F768" s="12" t="str">
        <x:v>Small-scale prospects</x:v>
      </x:c>
      <x:c r="G768" s="12" t="str">
        <x:v>Training or education-services business; small-scale prospect assumption.</x:v>
      </x:c>
      <x:c r="H768" s="11" t="n">
        <x:v>1</x:v>
      </x:c>
      <x:c r="I768" s="11" t="n">
        <x:v>1</x:v>
      </x:c>
      <x:c r="J768" s="11" t="n">
        <x:v>1</x:v>
      </x:c>
      <x:c r="K768" s="11" t="n">
        <x:v>0</x:v>
      </x:c>
      <x:c r="L768" s="17" t="n">
        <x:f>SUM(SUMIFS('Costing'!$P$9:$P$492,'Costing'!$A$9:$A$492,"MAIN-173"))</x:f>
        <x:v>15000</x:v>
      </x:c>
      <x:c r="M768" s="17" t="n">
        <x:f>ROUND(L768*'Costing'!$C$4,2)</x:f>
        <x:v>2700</x:v>
      </x:c>
      <x:c r="N768" s="17" t="n">
        <x:f>L768+M768</x:f>
        <x:v>17700</x:v>
      </x:c>
      <x:c r="O768" s="12" t="str">
        <x:v>Delhi NCR</x:v>
      </x:c>
      <x:c r="P768" s="12" t="str">
        <x:v>CORP-0169</x:v>
      </x:c>
      <x:c r="Q768" s="12" t="str">
        <x:v>EduPristine</x:v>
      </x:c>
    </x:row>
    <x:row r="769" ht="48" customHeight="1">
      <x:c r="A769" s="2" t="str">
        <x:v>TEN-A8C0A50B8328</x:v>
      </x:c>
      <x:c r="B769" s="12" t="str">
        <x:v>Eduwork International Services Pvt. Ltd</x:v>
      </x:c>
      <x:c r="C769" s="12" t="str">
        <x:v>Business / brand</x:v>
      </x:c>
      <x:c r="D769" s="12" t="str">
        <x:v>Education</x:v>
      </x:c>
      <x:c r="E769" s="12" t="str">
        <x:v>Education, training &amp; childcare</x:v>
      </x:c>
      <x:c r="F769" s="12" t="str">
        <x:v>Small-scale prospects</x:v>
      </x:c>
      <x:c r="G769" s="12" t="str">
        <x:v>Training or education-services business; small-scale prospect assumption.</x:v>
      </x:c>
      <x:c r="H769" s="11" t="n">
        <x:v>1</x:v>
      </x:c>
      <x:c r="I769" s="11" t="n">
        <x:v>17</x:v>
      </x:c>
      <x:c r="J769" s="11" t="n">
        <x:v>17</x:v>
      </x:c>
      <x:c r="K769" s="11" t="n">
        <x:v>0</x:v>
      </x:c>
      <x:c r="L769" s="17" t="n">
        <x:f>SUM(SUMIFS('Costing'!$P$9:$P$492,'Costing'!$A$9:$A$492,"MAIN-353"))</x:f>
        <x:v>425000</x:v>
      </x:c>
      <x:c r="M769" s="17" t="n">
        <x:f>ROUND(L769*'Costing'!$C$4,2)</x:f>
        <x:v>76500</x:v>
      </x:c>
      <x:c r="N769" s="17" t="n">
        <x:f>L769+M769</x:f>
        <x:v>501500</x:v>
      </x:c>
      <x:c r="O769" s="12" t="str">
        <x:v>Mumbai</x:v>
      </x:c>
      <x:c r="P769" s="12" t="str">
        <x:v>CORP-0349</x:v>
      </x:c>
      <x:c r="Q769" s="12" t="str">
        <x:v>Eduwork International Services Pvt. Ltd</x:v>
      </x:c>
    </x:row>
    <x:row r="770" ht="48" customHeight="1">
      <x:c r="A770" s="2" t="str">
        <x:v>TEN-9798C1F06070</x:v>
      </x:c>
      <x:c r="B770" s="12" t="str">
        <x:v>EF informstion systems</x:v>
      </x:c>
      <x:c r="C770" s="12" t="str">
        <x:v>Business / brand</x:v>
      </x:c>
      <x:c r="D770" s="12" t="str">
        <x:v>Unresolved</x:v>
      </x:c>
      <x:c r="E770" s="12" t="str">
        <x:v>Business activity not established</x:v>
      </x:c>
      <x:c r="F770" s="12" t="str">
        <x:v>Mixed business audience</x:v>
      </x:c>
      <x:c r="G770" s="12" t="str">
        <x:v>Business activity and company scale are not established from this name.</x:v>
      </x:c>
      <x:c r="H770" s="11" t="n">
        <x:v>1</x:v>
      </x:c>
      <x:c r="I770" s="11" t="n">
        <x:v>2</x:v>
      </x:c>
      <x:c r="J770" s="11" t="n">
        <x:v>2</x:v>
      </x:c>
      <x:c r="K770" s="11" t="n">
        <x:v>0</x:v>
      </x:c>
      <x:c r="L770" s="17" t="n">
        <x:f>SUM(SUMIFS('Costing'!$P$9:$P$492,'Costing'!$A$9:$A$492,"MAIN-022"))</x:f>
        <x:v>30000</x:v>
      </x:c>
      <x:c r="M770" s="17" t="n">
        <x:f>ROUND(L770*'Costing'!$C$4,2)</x:f>
        <x:v>5400</x:v>
      </x:c>
      <x:c r="N770" s="17" t="n">
        <x:f>L770+M770</x:f>
        <x:v>35400</x:v>
      </x:c>
      <x:c r="O770" s="12" t="str">
        <x:v>Bengaluru</x:v>
      </x:c>
      <x:c r="P770" s="12" t="str">
        <x:v>CORP-0018</x:v>
      </x:c>
      <x:c r="Q770" s="12" t="str">
        <x:v>EF informstion systems</x:v>
      </x:c>
    </x:row>
    <x:row r="771" ht="49" customHeight="1">
      <x:c r="A771" s="2" t="str">
        <x:v>TEN-529DBF20A42C</x:v>
      </x:c>
      <x:c r="B771" s="12" t="str">
        <x:v>EFC Business Center Pvt. Ltd</x:v>
      </x:c>
      <x:c r="C771" s="12" t="str">
        <x:v>Workspace operator</x:v>
      </x:c>
      <x:c r="D771" s="12" t="str">
        <x:v>Workspace &amp; property operations</x:v>
      </x:c>
      <x:c r="E771" s="12" t="str">
        <x:v>Coworking/workspace operator</x:v>
      </x:c>
      <x:c r="F771" s="12" t="str">
        <x:v>Mixed business audience</x:v>
      </x:c>
      <x:c r="G771" s="12" t="str">
        <x:v>Supplied entry is a shared-workspace operator; the business sizes of occupant companies cannot be derived from the operator name.</x:v>
      </x:c>
      <x:c r="H771" s="11" t="n">
        <x:v>4</x:v>
      </x:c>
      <x:c r="I771" s="11" t="n">
        <x:v>4</x:v>
      </x:c>
      <x:c r="J771" s="11" t="n">
        <x:v>4</x:v>
      </x:c>
      <x:c r="K771" s="11" t="n">
        <x:v>0</x:v>
      </x:c>
      <x:c r="L771" s="17" t="n">
        <x:f>SUM(SUMIFS('Costing'!$P$9:$P$492,'Costing'!$A$9:$A$492,"PARTNER-M193"))</x:f>
        <x:v>160000</x:v>
      </x:c>
      <x:c r="M771" s="17" t="n">
        <x:f>ROUND(L771*'Costing'!$C$4,2)</x:f>
        <x:v>28800</x:v>
      </x:c>
      <x:c r="N771" s="17" t="n">
        <x:f>L771+M771</x:f>
        <x:v>188800</x:v>
      </x:c>
      <x:c r="O771" s="12" t="str">
        <x:v>Mumbai</x:v>
      </x:c>
      <x:c r="P771" s="12" t="str">
        <x:v>CORP-0610, CORP-0611, CORP-0612, CORP-0613</x:v>
      </x:c>
      <x:c r="Q771" s="12" t="str">
        <x:v>EFC Business Center Pvt. Ltd</x:v>
      </x:c>
    </x:row>
    <x:row r="772" ht="48" customHeight="1">
      <x:c r="A772" s="2" t="str">
        <x:v>TEN-AAD82B0AF1B8</x:v>
      </x:c>
      <x:c r="B772" s="12" t="str">
        <x:v>EFS Facilities Services</x:v>
      </x:c>
      <x:c r="C772" s="12" t="str">
        <x:v>Business / brand</x:v>
      </x:c>
      <x:c r="D772" s="12" t="str">
        <x:v>Professional services</x:v>
      </x:c>
      <x:c r="E772" s="12" t="str">
        <x:v>Business, marketing &amp; research services</x:v>
      </x:c>
      <x:c r="F772" s="12" t="str">
        <x:v>Mixed business audience</x:v>
      </x:c>
      <x:c r="G772" s="12" t="str">
        <x:v>Established brand or business network; local company scale is not established. Use a mixed-business message.</x:v>
      </x:c>
      <x:c r="H772" s="11" t="n">
        <x:v>4</x:v>
      </x:c>
      <x:c r="I772" s="11" t="n">
        <x:v>4</x:v>
      </x:c>
      <x:c r="J772" s="11" t="n">
        <x:v>4</x:v>
      </x:c>
      <x:c r="K772" s="11" t="n">
        <x:v>0</x:v>
      </x:c>
      <x:c r="L772" s="17" t="n">
        <x:f>SUM(SUMIFS('Costing'!$P$9:$P$492,'Costing'!$A$9:$A$492,"PARTNER-M375"))</x:f>
        <x:v>160000</x:v>
      </x:c>
      <x:c r="M772" s="17" t="n">
        <x:f>ROUND(L772*'Costing'!$C$4,2)</x:f>
        <x:v>28800</x:v>
      </x:c>
      <x:c r="N772" s="17" t="n">
        <x:f>L772+M772</x:f>
        <x:v>188800</x:v>
      </x:c>
      <x:c r="O772" s="12" t="str">
        <x:v>Delhi NCR</x:v>
      </x:c>
      <x:c r="P772" s="12" t="str">
        <x:v>CORP-0788, CORP-0789, CORP-0790, CORP-0791</x:v>
      </x:c>
      <x:c r="Q772" s="12" t="str">
        <x:v>EFS Facilities Services</x:v>
      </x:c>
    </x:row>
    <x:row r="773" ht="48" customHeight="1">
      <x:c r="A773" s="2" t="str">
        <x:v>TEN-B197266D2265</x:v>
      </x:c>
      <x:c r="B773" s="12" t="str">
        <x:v>Egen</x:v>
      </x:c>
      <x:c r="C773" s="12" t="str">
        <x:v>Business / brand</x:v>
      </x:c>
      <x:c r="D773" s="12" t="str">
        <x:v>IT &amp; digital</x:v>
      </x:c>
      <x:c r="E773" s="12" t="str">
        <x:v>AI, data &amp; analytics</x:v>
      </x:c>
      <x:c r="F773" s="12" t="str">
        <x:v>Small-scale prospects</x:v>
      </x:c>
      <x:c r="G773" s="12" t="str">
        <x:v>Software or technology-services business; small-scale prospect assumption.</x:v>
      </x:c>
      <x:c r="H773" s="11" t="n">
        <x:v>1</x:v>
      </x:c>
      <x:c r="I773" s="11" t="n">
        <x:v>2</x:v>
      </x:c>
      <x:c r="J773" s="11" t="n">
        <x:v>2</x:v>
      </x:c>
      <x:c r="K773" s="11" t="n">
        <x:v>0</x:v>
      </x:c>
      <x:c r="L773" s="17" t="n">
        <x:f>SUM(SUMIFS('Costing'!$P$9:$P$492,'Costing'!$A$9:$A$492,"MAIN-256"))</x:f>
        <x:v>80000</x:v>
      </x:c>
      <x:c r="M773" s="17" t="n">
        <x:f>ROUND(L773*'Costing'!$C$4,2)</x:f>
        <x:v>14400</x:v>
      </x:c>
      <x:c r="N773" s="17" t="n">
        <x:f>L773+M773</x:f>
        <x:v>94400</x:v>
      </x:c>
      <x:c r="O773" s="12" t="str">
        <x:v>Hyderabad</x:v>
      </x:c>
      <x:c r="P773" s="12" t="str">
        <x:v>CORP-0252</x:v>
      </x:c>
      <x:c r="Q773" s="12" t="str">
        <x:v>Egen</x:v>
      </x:c>
    </x:row>
    <x:row r="774" ht="62" customHeight="1">
      <x:c r="A774" s="2" t="str">
        <x:v>TEN-AE772C20AADD</x:v>
      </x:c>
      <x:c r="B774" s="12" t="str">
        <x:v>Ehtesham &amp; Co. Chartered Accountants</x:v>
      </x:c>
      <x:c r="C774" s="12" t="str">
        <x:v>Business / brand</x:v>
      </x:c>
      <x:c r="D774" s="12" t="str">
        <x:v>Professional services</x:v>
      </x:c>
      <x:c r="E774" s="12" t="str">
        <x:v>Accounting, tax &amp; audit</x:v>
      </x:c>
      <x:c r="F774" s="12" t="str">
        <x:v>Micro-scale prospects</x:v>
      </x:c>
      <x:c r="G774" s="12" t="str">
        <x:v>Official firm website describes a local Kurla CA office providing accounting, tax and compliance services. Micro-scale is a practice-format inference, not a measured workforce/turnover assertion.</x:v>
      </x:c>
      <x:c r="H774" s="11" t="n">
        <x:v>2</x:v>
      </x:c>
      <x:c r="I774" s="11" t="n">
        <x:v>2</x:v>
      </x:c>
      <x:c r="J774" s="11" t="n">
        <x:v>2</x:v>
      </x:c>
      <x:c r="K774" s="11" t="n">
        <x:v>0</x:v>
      </x:c>
      <x:c r="L774" s="17" t="n">
        <x:f>SUM(SUMIFS('Costing'!$P$9:$P$492,'Costing'!$A$9:$A$492,"PARTNER-M243"))</x:f>
        <x:v>80000</x:v>
      </x:c>
      <x:c r="M774" s="17" t="n">
        <x:f>ROUND(L774*'Costing'!$C$4,2)</x:f>
        <x:v>14400</x:v>
      </x:c>
      <x:c r="N774" s="17" t="n">
        <x:f>L774+M774</x:f>
        <x:v>94400</x:v>
      </x:c>
      <x:c r="O774" s="12" t="str">
        <x:v>Mumbai</x:v>
      </x:c>
      <x:c r="P774" s="12" t="str">
        <x:v>CORP-0660, CORP-0661</x:v>
      </x:c>
      <x:c r="Q774" s="12" t="str">
        <x:v>Ehtesham &amp; Co. Chartered Accountants</x:v>
      </x:c>
    </x:row>
    <x:row r="775" ht="49" customHeight="1">
      <x:c r="A775" s="2" t="str">
        <x:v>TEN-8E96374870CC</x:v>
      </x:c>
      <x:c r="B775" s="12" t="str">
        <x:v>EIKEM SOUTH ASIA PVT LTD</x:v>
      </x:c>
      <x:c r="C775" s="12" t="str">
        <x:v>Business / brand</x:v>
      </x:c>
      <x:c r="D775" s="12" t="str">
        <x:v>Engineering &amp; manufacturing</x:v>
      </x:c>
      <x:c r="E775" s="12" t="str">
        <x:v>Chemicals, materials &amp; industrial manufacturing</x:v>
      </x:c>
      <x:c r="F775" s="12" t="str">
        <x:v>Mixed business audience</x:v>
      </x:c>
      <x:c r="G775" s="12" t="str">
        <x:v>EIKEM may be a typo for Elkem, a global materials business, but the brand identity is unresolved. Do not match by guess or classify a Small manufacturer.</x:v>
      </x:c>
      <x:c r="H775" s="11" t="n">
        <x:v>1</x:v>
      </x:c>
      <x:c r="I775" s="11" t="n">
        <x:v>47</x:v>
      </x:c>
      <x:c r="J775" s="11" t="n">
        <x:v>47</x:v>
      </x:c>
      <x:c r="K775" s="11" t="n">
        <x:v>0</x:v>
      </x:c>
      <x:c r="L775" s="17" t="n">
        <x:f>SUM(SUMIFS('Costing'!$P$9:$P$492,'Costing'!$A$9:$A$492,"MAIN-308"))</x:f>
        <x:v>705000</x:v>
      </x:c>
      <x:c r="M775" s="17" t="n">
        <x:f>ROUND(L775*'Costing'!$C$4,2)</x:f>
        <x:v>126900</x:v>
      </x:c>
      <x:c r="N775" s="17" t="n">
        <x:f>L775+M775</x:f>
        <x:v>831900</x:v>
      </x:c>
      <x:c r="O775" s="12" t="str">
        <x:v>Mumbai</x:v>
      </x:c>
      <x:c r="P775" s="12" t="str">
        <x:v>CORP-0304</x:v>
      </x:c>
      <x:c r="Q775" s="12" t="str">
        <x:v>EIKEM SOUTH ASIA PVT LTD</x:v>
      </x:c>
    </x:row>
    <x:row r="776" ht="75" customHeight="1">
      <x:c r="A776" s="2" t="str">
        <x:v>TEN-EAF4D7735EC1</x:v>
      </x:c>
      <x:c r="B776" s="12" t="str">
        <x:v>einfochips</x:v>
      </x:c>
      <x:c r="C776" s="12" t="str">
        <x:v>Business / brand</x:v>
      </x:c>
      <x:c r="D776" s="12" t="str">
        <x:v>Engineering &amp; manufacturing</x:v>
      </x:c>
      <x:c r="E776" s="12" t="str">
        <x:v>Energy, electrical &amp; industrial systems</x:v>
      </x:c>
      <x:c r="F776" s="12" t="str">
        <x:v>Large enterprise</x:v>
      </x:c>
      <x:c r="G776" s="12" t="str">
        <x:v>The official company profile identifies eInfochips as an Arrow company with products deployed in more than 140 countries. An official recruitment document describes over 2,500 engineers. This supports enterprise engineering-services context.</x:v>
      </x:c>
      <x:c r="H776" s="11" t="n">
        <x:v>11</x:v>
      </x:c>
      <x:c r="I776" s="11" t="n">
        <x:v>20</x:v>
      </x:c>
      <x:c r="J776" s="11" t="n">
        <x:v>20</x:v>
      </x:c>
      <x:c r="K776" s="11" t="n">
        <x:v>0</x:v>
      </x:c>
      <x:c r="L776" s="17" t="n">
        <x:f>SUM(SUMIFS('Costing'!$P$9:$P$492,'Costing'!$A$9:$A$492,"MAIN-140"),SUMIFS('Costing'!$P$9:$P$492,'Costing'!$A$9:$A$492,"MAIN-146"),SUMIFS('Costing'!$P$9:$P$492,'Costing'!$A$9:$A$492,"PARTNER-M252"))</x:f>
        <x:v>625000</x:v>
      </x:c>
      <x:c r="M776" s="17" t="n">
        <x:f>ROUND(L776*'Costing'!$C$4,2)</x:f>
        <x:v>112500</x:v>
      </x:c>
      <x:c r="N776" s="17" t="n">
        <x:f>L776+M776</x:f>
        <x:v>737500</x:v>
      </x:c>
      <x:c r="O776" s="12" t="str">
        <x:v>Chennai, Pune</x:v>
      </x:c>
      <x:c r="P776" s="12" t="str">
        <x:v>CORP-0136, CORP-0142, CORP-0668, CORP-0669, CORP-0670, CORP-0671, CORP-0672, CORP-0673, CORP-0674, CORP-0675, CORP-0676</x:v>
      </x:c>
      <x:c r="Q776" s="12" t="str">
        <x:v>einfochips, eInfochips</x:v>
      </x:c>
    </x:row>
    <x:row r="777" ht="48" customHeight="1">
      <x:c r="A777" s="2" t="str">
        <x:v>TEN-A7907C2DB975</x:v>
      </x:c>
      <x:c r="B777" s="12" t="str">
        <x:v>Einfolge</x:v>
      </x:c>
      <x:c r="C777" s="12" t="str">
        <x:v>Business / brand</x:v>
      </x:c>
      <x:c r="D777" s="12" t="str">
        <x:v>Professional services</x:v>
      </x:c>
      <x:c r="E777" s="12" t="str">
        <x:v>Legal &amp; intellectual property</x:v>
      </x:c>
      <x:c r="F777" s="12" t="str">
        <x:v>Small-scale prospects</x:v>
      </x:c>
      <x:c r="G777" s="12" t="str">
        <x:v>Professional service, agency or advisory model; small-scale prospect assumption.</x:v>
      </x:c>
      <x:c r="H777" s="11" t="n">
        <x:v>9</x:v>
      </x:c>
      <x:c r="I777" s="11" t="n">
        <x:v>9</x:v>
      </x:c>
      <x:c r="J777" s="11" t="n">
        <x:v>9</x:v>
      </x:c>
      <x:c r="K777" s="11" t="n">
        <x:v>0</x:v>
      </x:c>
      <x:c r="L777" s="17" t="n">
        <x:f>SUM(SUMIFS('Costing'!$P$9:$P$492,'Costing'!$A$9:$A$492,"PARTNER-M002"))</x:f>
        <x:v>360000</x:v>
      </x:c>
      <x:c r="M777" s="17" t="n">
        <x:f>ROUND(L777*'Costing'!$C$4,2)</x:f>
        <x:v>64800</x:v>
      </x:c>
      <x:c r="N777" s="17" t="n">
        <x:f>L777+M777</x:f>
        <x:v>424800</x:v>
      </x:c>
      <x:c r="O777" s="12" t="str">
        <x:v>Bengaluru</x:v>
      </x:c>
      <x:c r="P777" s="12" t="str">
        <x:v>CORP-0420, CORP-0421, CORP-0422, CORP-0423, CORP-0424, CORP-0425, CORP-0426, CORP-0427, CORP-0428</x:v>
      </x:c>
      <x:c r="Q777" s="12" t="str">
        <x:v>Einfolge</x:v>
      </x:c>
    </x:row>
    <x:row r="778" ht="48" customHeight="1">
      <x:c r="A778" s="2" t="str">
        <x:v>TEN-C8342EFF5C6C</x:v>
      </x:c>
      <x:c r="B778" s="12" t="str">
        <x:v>EIOQU</x:v>
      </x:c>
      <x:c r="C778" s="12" t="str">
        <x:v>Business / brand</x:v>
      </x:c>
      <x:c r="D778" s="12" t="str">
        <x:v>Unresolved</x:v>
      </x:c>
      <x:c r="E778" s="12" t="str">
        <x:v>Business activity not established</x:v>
      </x:c>
      <x:c r="F778" s="12" t="str">
        <x:v>Mixed business audience</x:v>
      </x:c>
      <x:c r="G778" s="12" t="str">
        <x:v>Business activity and company scale are not established from this name.</x:v>
      </x:c>
      <x:c r="H778" s="11" t="n">
        <x:v>1</x:v>
      </x:c>
      <x:c r="I778" s="11" t="n">
        <x:v>5</x:v>
      </x:c>
      <x:c r="J778" s="11" t="n">
        <x:v>5</x:v>
      </x:c>
      <x:c r="K778" s="11" t="n">
        <x:v>0</x:v>
      </x:c>
      <x:c r="L778" s="17" t="n">
        <x:f>SUM(SUMIFS('Costing'!$P$9:$P$492,'Costing'!$A$9:$A$492,"MAIN-139"))</x:f>
        <x:v>75000</x:v>
      </x:c>
      <x:c r="M778" s="17" t="n">
        <x:f>ROUND(L778*'Costing'!$C$4,2)</x:f>
        <x:v>13500</x:v>
      </x:c>
      <x:c r="N778" s="17" t="n">
        <x:f>L778+M778</x:f>
        <x:v>88500</x:v>
      </x:c>
      <x:c r="O778" s="12" t="str">
        <x:v>Chennai</x:v>
      </x:c>
      <x:c r="P778" s="12" t="str">
        <x:v>CORP-0135</x:v>
      </x:c>
      <x:c r="Q778" s="12" t="str">
        <x:v>EIOQU</x:v>
      </x:c>
    </x:row>
    <x:row r="779" ht="48" customHeight="1">
      <x:c r="A779" s="2" t="str">
        <x:v>TEN-D73ADB1D6681</x:v>
      </x:c>
      <x:c r="B779" s="12" t="str">
        <x:v>Eiosys Private Limited</x:v>
      </x:c>
      <x:c r="C779" s="12" t="str">
        <x:v>Business / brand</x:v>
      </x:c>
      <x:c r="D779" s="12" t="str">
        <x:v>IT &amp; digital</x:v>
      </x:c>
      <x:c r="E779" s="12" t="str">
        <x:v>Enterprise software &amp; digital engineering</x:v>
      </x:c>
      <x:c r="F779" s="12" t="str">
        <x:v>Small-scale prospects</x:v>
      </x:c>
      <x:c r="G779" s="12" t="str">
        <x:v>Software or technology-services business; small-scale prospect assumption.</x:v>
      </x:c>
      <x:c r="H779" s="11" t="n">
        <x:v>1</x:v>
      </x:c>
      <x:c r="I779" s="11" t="n">
        <x:v>17</x:v>
      </x:c>
      <x:c r="J779" s="11" t="n">
        <x:v>17</x:v>
      </x:c>
      <x:c r="K779" s="11" t="n">
        <x:v>0</x:v>
      </x:c>
      <x:c r="L779" s="17" t="n">
        <x:f>SUM(SUMIFS('Costing'!$P$9:$P$492,'Costing'!$A$9:$A$492,"MAIN-353"))</x:f>
        <x:v>425000</x:v>
      </x:c>
      <x:c r="M779" s="17" t="n">
        <x:f>ROUND(L779*'Costing'!$C$4,2)</x:f>
        <x:v>76500</x:v>
      </x:c>
      <x:c r="N779" s="17" t="n">
        <x:f>L779+M779</x:f>
        <x:v>501500</x:v>
      </x:c>
      <x:c r="O779" s="12" t="str">
        <x:v>Mumbai</x:v>
      </x:c>
      <x:c r="P779" s="12" t="str">
        <x:v>CORP-0349</x:v>
      </x:c>
      <x:c r="Q779" s="12" t="str">
        <x:v>Eiosys Private Limited</x:v>
      </x:c>
    </x:row>
    <x:row r="780" ht="48" customHeight="1">
      <x:c r="A780" s="2" t="str">
        <x:v>TEN-7EC7B0FA329F</x:v>
      </x:c>
      <x:c r="B780" s="12" t="str">
        <x:v>EisnerAmper (India) Bengaluru</x:v>
      </x:c>
      <x:c r="C780" s="12" t="str">
        <x:v>Business / brand</x:v>
      </x:c>
      <x:c r="D780" s="12" t="str">
        <x:v>Professional services</x:v>
      </x:c>
      <x:c r="E780" s="12" t="str">
        <x:v>Business consulting &amp; advisory</x:v>
      </x:c>
      <x:c r="F780" s="12" t="str">
        <x:v>Mixed business audience</x:v>
      </x:c>
      <x:c r="G780" s="12" t="str">
        <x:v>Established brand or business network; local company scale is not established. Use a mixed-business message.</x:v>
      </x:c>
      <x:c r="H780" s="11" t="n">
        <x:v>1</x:v>
      </x:c>
      <x:c r="I780" s="11" t="n">
        <x:v>1</x:v>
      </x:c>
      <x:c r="J780" s="11" t="n">
        <x:v>1</x:v>
      </x:c>
      <x:c r="K780" s="11" t="n">
        <x:v>0</x:v>
      </x:c>
      <x:c r="L780" s="17" t="n">
        <x:f>SUM(SUMIFS('Costing'!$P$9:$P$492,'Costing'!$A$9:$A$492,"MAIN-072"))</x:f>
        <x:v>15000</x:v>
      </x:c>
      <x:c r="M780" s="17" t="n">
        <x:f>ROUND(L780*'Costing'!$C$4,2)</x:f>
        <x:v>2700</x:v>
      </x:c>
      <x:c r="N780" s="17" t="n">
        <x:f>L780+M780</x:f>
        <x:v>17700</x:v>
      </x:c>
      <x:c r="O780" s="12" t="str">
        <x:v>Bengaluru</x:v>
      </x:c>
      <x:c r="P780" s="12" t="str">
        <x:v>CORP-0068</x:v>
      </x:c>
      <x:c r="Q780" s="12" t="str">
        <x:v>EisnerAmper (India) Bengaluru</x:v>
      </x:c>
    </x:row>
    <x:row r="781" ht="48" customHeight="1">
      <x:c r="A781" s="2" t="str">
        <x:v>TEN-EAE936FEE92F</x:v>
      </x:c>
      <x:c r="B781" s="12" t="str">
        <x:v>Ejl Tech</x:v>
      </x:c>
      <x:c r="C781" s="12" t="str">
        <x:v>Business / brand</x:v>
      </x:c>
      <x:c r="D781" s="12" t="str">
        <x:v>Unresolved</x:v>
      </x:c>
      <x:c r="E781" s="12" t="str">
        <x:v>Business activity not established</x:v>
      </x:c>
      <x:c r="F781" s="12" t="str">
        <x:v>Mixed business audience</x:v>
      </x:c>
      <x:c r="G781" s="12" t="str">
        <x:v>Business activity and company scale are not established from this name.</x:v>
      </x:c>
      <x:c r="H781" s="11" t="n">
        <x:v>2</x:v>
      </x:c>
      <x:c r="I781" s="11" t="n">
        <x:v>2</x:v>
      </x:c>
      <x:c r="J781" s="11" t="n">
        <x:v>2</x:v>
      </x:c>
      <x:c r="K781" s="11" t="n">
        <x:v>0</x:v>
      </x:c>
      <x:c r="L781" s="17" t="n">
        <x:f>SUM(SUMIFS('Costing'!$P$9:$P$492,'Costing'!$A$9:$A$492,"PARTNER-M065"))</x:f>
        <x:v>80000</x:v>
      </x:c>
      <x:c r="M781" s="17" t="n">
        <x:f>ROUND(L781*'Costing'!$C$4,2)</x:f>
        <x:v>14400</x:v>
      </x:c>
      <x:c r="N781" s="17" t="n">
        <x:f>L781+M781</x:f>
        <x:v>94400</x:v>
      </x:c>
      <x:c r="O781" s="12" t="str">
        <x:v>Bengaluru</x:v>
      </x:c>
      <x:c r="P781" s="12" t="str">
        <x:v>CORP-0483, CORP-0484</x:v>
      </x:c>
      <x:c r="Q781" s="12" t="str">
        <x:v>Ejl Tech</x:v>
      </x:c>
    </x:row>
    <x:row r="782" ht="48" customHeight="1">
      <x:c r="A782" s="2" t="str">
        <x:v>TEN-3792C75A4225</x:v>
      </x:c>
      <x:c r="B782" s="12" t="str">
        <x:v>Ekana</x:v>
      </x:c>
      <x:c r="C782" s="12" t="str">
        <x:v>Business / brand</x:v>
      </x:c>
      <x:c r="D782" s="12" t="str">
        <x:v>Trade, consumer &amp; logistics</x:v>
      </x:c>
      <x:c r="E782" s="12" t="str">
        <x:v>Real estate, property &amp; construction services</x:v>
      </x:c>
      <x:c r="F782" s="12" t="str">
        <x:v>Small-scale prospects</x:v>
      </x:c>
      <x:c r="G782" s="12" t="str">
        <x:v>Trading or consumer-services business; small-scale prospect assumption.</x:v>
      </x:c>
      <x:c r="H782" s="11" t="n">
        <x:v>1</x:v>
      </x:c>
      <x:c r="I782" s="11" t="n">
        <x:v>5</x:v>
      </x:c>
      <x:c r="J782" s="11" t="n">
        <x:v>5</x:v>
      </x:c>
      <x:c r="K782" s="11" t="n">
        <x:v>0</x:v>
      </x:c>
      <x:c r="L782" s="17" t="n">
        <x:f>SUM(SUMIFS('Costing'!$P$9:$P$492,'Costing'!$A$9:$A$492,"MAIN-167"))</x:f>
        <x:v>200000</x:v>
      </x:c>
      <x:c r="M782" s="17" t="n">
        <x:f>ROUND(L782*'Costing'!$C$4,2)</x:f>
        <x:v>36000</x:v>
      </x:c>
      <x:c r="N782" s="17" t="n">
        <x:f>L782+M782</x:f>
        <x:v>236000</x:v>
      </x:c>
      <x:c r="O782" s="12" t="str">
        <x:v>Delhi NCR</x:v>
      </x:c>
      <x:c r="P782" s="12" t="str">
        <x:v>CORP-0163</x:v>
      </x:c>
      <x:c r="Q782" s="12" t="str">
        <x:v>Ekana</x:v>
      </x:c>
    </x:row>
    <x:row r="783" ht="48" customHeight="1">
      <x:c r="A783" s="2" t="str">
        <x:v>TEN-0574A9A166FD</x:v>
      </x:c>
      <x:c r="B783" s="12" t="str">
        <x:v>Elconconnectors Cables Pvt Ltd</x:v>
      </x:c>
      <x:c r="C783" s="12" t="str">
        <x:v>Business / brand</x:v>
      </x:c>
      <x:c r="D783" s="12" t="str">
        <x:v>Engineering &amp; manufacturing</x:v>
      </x:c>
      <x:c r="E783" s="12" t="str">
        <x:v>Chemicals, materials &amp; industrial manufacturing</x:v>
      </x:c>
      <x:c r="F783" s="12" t="str">
        <x:v>Medium-scale prospects</x:v>
      </x:c>
      <x:c r="G783" s="12" t="str">
        <x:v>Specialist industrial or engineering business; medium-scale prospect assumption.</x:v>
      </x:c>
      <x:c r="H783" s="11" t="n">
        <x:v>1</x:v>
      </x:c>
      <x:c r="I783" s="11" t="n">
        <x:v>13</x:v>
      </x:c>
      <x:c r="J783" s="11" t="n">
        <x:v>13</x:v>
      </x:c>
      <x:c r="K783" s="11" t="n">
        <x:v>0</x:v>
      </x:c>
      <x:c r="L783" s="17" t="n">
        <x:f>SUM(SUMIFS('Costing'!$P$9:$P$492,'Costing'!$A$9:$A$492,"MAIN-378"))</x:f>
        <x:v>260000</x:v>
      </x:c>
      <x:c r="M783" s="17" t="n">
        <x:f>ROUND(L783*'Costing'!$C$4,2)</x:f>
        <x:v>46800</x:v>
      </x:c>
      <x:c r="N783" s="17" t="n">
        <x:f>L783+M783</x:f>
        <x:v>306800</x:v>
      </x:c>
      <x:c r="O783" s="12" t="str">
        <x:v>Delhi NCR</x:v>
      </x:c>
      <x:c r="P783" s="12" t="str">
        <x:v>CORP-0374</x:v>
      </x:c>
      <x:c r="Q783" s="12" t="str">
        <x:v>Elconconnectors Cables Pvt Ltd</x:v>
      </x:c>
    </x:row>
    <x:row r="784" ht="48" customHeight="1">
      <x:c r="A784" s="2" t="str">
        <x:v>TEN-20B144369BB5</x:v>
      </x:c>
      <x:c r="B784" s="12" t="str">
        <x:v>Eldeco</x:v>
      </x:c>
      <x:c r="C784" s="12" t="str">
        <x:v>Business / brand</x:v>
      </x:c>
      <x:c r="D784" s="12" t="str">
        <x:v>Trade, consumer &amp; logistics</x:v>
      </x:c>
      <x:c r="E784" s="12" t="str">
        <x:v>Real estate, property &amp; construction services</x:v>
      </x:c>
      <x:c r="F784" s="12" t="str">
        <x:v>Mixed business audience</x:v>
      </x:c>
      <x:c r="G784" s="12" t="str">
        <x:v>Established brand or business network; local company scale is not established. Use a mixed-business message.</x:v>
      </x:c>
      <x:c r="H784" s="11" t="n">
        <x:v>1</x:v>
      </x:c>
      <x:c r="I784" s="11" t="n">
        <x:v>5</x:v>
      </x:c>
      <x:c r="J784" s="11" t="n">
        <x:v>5</x:v>
      </x:c>
      <x:c r="K784" s="11" t="n">
        <x:v>0</x:v>
      </x:c>
      <x:c r="L784" s="17" t="n">
        <x:f>SUM(SUMIFS('Costing'!$P$9:$P$492,'Costing'!$A$9:$A$492,"MAIN-167"))</x:f>
        <x:v>200000</x:v>
      </x:c>
      <x:c r="M784" s="17" t="n">
        <x:f>ROUND(L784*'Costing'!$C$4,2)</x:f>
        <x:v>36000</x:v>
      </x:c>
      <x:c r="N784" s="17" t="n">
        <x:f>L784+M784</x:f>
        <x:v>236000</x:v>
      </x:c>
      <x:c r="O784" s="12" t="str">
        <x:v>Delhi NCR</x:v>
      </x:c>
      <x:c r="P784" s="12" t="str">
        <x:v>CORP-0163</x:v>
      </x:c>
      <x:c r="Q784" s="12" t="str">
        <x:v>Eldeco</x:v>
      </x:c>
    </x:row>
    <x:row r="785" ht="48" customHeight="1">
      <x:c r="A785" s="2" t="str">
        <x:v>TEN-21547F90B021</x:v>
      </x:c>
      <x:c r="B785" s="12" t="str">
        <x:v>ElectRay Technologies Pvt. Ltd</x:v>
      </x:c>
      <x:c r="C785" s="12" t="str">
        <x:v>Business / brand</x:v>
      </x:c>
      <x:c r="D785" s="12" t="str">
        <x:v>Unresolved</x:v>
      </x:c>
      <x:c r="E785" s="12" t="str">
        <x:v>Business activity not established</x:v>
      </x:c>
      <x:c r="F785" s="12" t="str">
        <x:v>Mixed business audience</x:v>
      </x:c>
      <x:c r="G785" s="12" t="str">
        <x:v>Business activity and company scale are not established from this name.</x:v>
      </x:c>
      <x:c r="H785" s="11" t="n">
        <x:v>1</x:v>
      </x:c>
      <x:c r="I785" s="11" t="n">
        <x:v>1</x:v>
      </x:c>
      <x:c r="J785" s="11" t="n">
        <x:v>1</x:v>
      </x:c>
      <x:c r="K785" s="11" t="n">
        <x:v>0</x:v>
      </x:c>
      <x:c r="L785" s="17" t="n">
        <x:f>SUM(SUMIFS('Costing'!$P$9:$P$492,'Costing'!$A$9:$A$492,"MAIN-386"))</x:f>
        <x:v>15000</x:v>
      </x:c>
      <x:c r="M785" s="17" t="n">
        <x:f>ROUND(L785*'Costing'!$C$4,2)</x:f>
        <x:v>2700</x:v>
      </x:c>
      <x:c r="N785" s="17" t="n">
        <x:f>L785+M785</x:f>
        <x:v>17700</x:v>
      </x:c>
      <x:c r="O785" s="12" t="str">
        <x:v>Pune</x:v>
      </x:c>
      <x:c r="P785" s="12" t="str">
        <x:v>CORP-0382</x:v>
      </x:c>
      <x:c r="Q785" s="12" t="str">
        <x:v>ElectRay Technologies Pvt. Ltd</x:v>
      </x:c>
    </x:row>
    <x:row r="786" ht="48" customHeight="1">
      <x:c r="A786" s="2" t="str">
        <x:v>TEN-B769DB8ED13F</x:v>
      </x:c>
      <x:c r="B786" s="12" t="str">
        <x:v>Electric Pe</x:v>
      </x:c>
      <x:c r="C786" s="12" t="str">
        <x:v>Business / brand</x:v>
      </x:c>
      <x:c r="D786" s="12" t="str">
        <x:v>Trade, consumer &amp; logistics</x:v>
      </x:c>
      <x:c r="E786" s="12" t="str">
        <x:v>Retail, consumer products &amp; ecommerce</x:v>
      </x:c>
      <x:c r="F786" s="12" t="str">
        <x:v>Small-scale prospects</x:v>
      </x:c>
      <x:c r="G786" s="12" t="str">
        <x:v>Trading or consumer-services business; small-scale prospect assumption.</x:v>
      </x:c>
      <x:c r="H786" s="11" t="n">
        <x:v>1</x:v>
      </x:c>
      <x:c r="I786" s="11" t="n">
        <x:v>2</x:v>
      </x:c>
      <x:c r="J786" s="11" t="n">
        <x:v>2</x:v>
      </x:c>
      <x:c r="K786" s="11" t="n">
        <x:v>0</x:v>
      </x:c>
      <x:c r="L786" s="17" t="n">
        <x:f>SUM(SUMIFS('Costing'!$P$9:$P$492,'Costing'!$A$9:$A$492,"MAIN-108"))</x:f>
        <x:v>30000</x:v>
      </x:c>
      <x:c r="M786" s="17" t="n">
        <x:f>ROUND(L786*'Costing'!$C$4,2)</x:f>
        <x:v>5400</x:v>
      </x:c>
      <x:c r="N786" s="17" t="n">
        <x:f>L786+M786</x:f>
        <x:v>35400</x:v>
      </x:c>
      <x:c r="O786" s="12" t="str">
        <x:v>Bengaluru</x:v>
      </x:c>
      <x:c r="P786" s="12" t="str">
        <x:v>CORP-0104</x:v>
      </x:c>
      <x:c r="Q786" s="12" t="str">
        <x:v>Electric Pe</x:v>
      </x:c>
    </x:row>
    <x:row r="787" ht="48" customHeight="1">
      <x:c r="A787" s="2" t="str">
        <x:v>TEN-8DAD9A71BA1C</x:v>
      </x:c>
      <x:c r="B787" s="12" t="str">
        <x:v>Electricité de France</x:v>
      </x:c>
      <x:c r="C787" s="12" t="str">
        <x:v>Business / brand</x:v>
      </x:c>
      <x:c r="D787" s="12" t="str">
        <x:v>Engineering &amp; manufacturing</x:v>
      </x:c>
      <x:c r="E787" s="12" t="str">
        <x:v>Chemicals, materials &amp; industrial manufacturing</x:v>
      </x:c>
      <x:c r="F787" s="12" t="str">
        <x:v>Mixed business audience</x:v>
      </x:c>
      <x:c r="G787" s="12" t="str">
        <x:v>Established brand or business network; local company scale is not established. Use a mixed-business message.</x:v>
      </x:c>
      <x:c r="H787" s="11" t="n">
        <x:v>1</x:v>
      </x:c>
      <x:c r="I787" s="11" t="n">
        <x:v>1</x:v>
      </x:c>
      <x:c r="J787" s="11" t="n">
        <x:v>1</x:v>
      </x:c>
      <x:c r="K787" s="11" t="n">
        <x:v>0</x:v>
      </x:c>
      <x:c r="L787" s="17" t="n">
        <x:f>SUM(SUMIFS('Costing'!$P$9:$P$492,'Costing'!$A$9:$A$492,"MAIN-341"))</x:f>
        <x:v>15000</x:v>
      </x:c>
      <x:c r="M787" s="17" t="n">
        <x:f>ROUND(L787*'Costing'!$C$4,2)</x:f>
        <x:v>2700</x:v>
      </x:c>
      <x:c r="N787" s="17" t="n">
        <x:f>L787+M787</x:f>
        <x:v>17700</x:v>
      </x:c>
      <x:c r="O787" s="12" t="str">
        <x:v>Mumbai</x:v>
      </x:c>
      <x:c r="P787" s="12" t="str">
        <x:v>CORP-0337</x:v>
      </x:c>
      <x:c r="Q787" s="12" t="str">
        <x:v>Electricité de France</x:v>
      </x:c>
    </x:row>
    <x:row r="788" ht="48" customHeight="1">
      <x:c r="A788" s="2" t="str">
        <x:v>TEN-6EC3A7285B02</x:v>
      </x:c>
      <x:c r="B788" s="12" t="str">
        <x:v>Electrono Solutions Private Limited</x:v>
      </x:c>
      <x:c r="C788" s="12" t="str">
        <x:v>Business / brand</x:v>
      </x:c>
      <x:c r="D788" s="12" t="str">
        <x:v>Engineering &amp; manufacturing</x:v>
      </x:c>
      <x:c r="E788" s="12" t="str">
        <x:v>Electronics, industrial systems &amp; manufacturing</x:v>
      </x:c>
      <x:c r="F788" s="12" t="str">
        <x:v>Medium-scale prospects</x:v>
      </x:c>
      <x:c r="G788" s="12" t="str">
        <x:v>Specialist industrial or engineering business; medium-scale prospect assumption.</x:v>
      </x:c>
      <x:c r="H788" s="11" t="n">
        <x:v>4</x:v>
      </x:c>
      <x:c r="I788" s="11" t="n">
        <x:v>4</x:v>
      </x:c>
      <x:c r="J788" s="11" t="n">
        <x:v>4</x:v>
      </x:c>
      <x:c r="K788" s="11" t="n">
        <x:v>0</x:v>
      </x:c>
      <x:c r="L788" s="17" t="n">
        <x:f>SUM(SUMIFS('Costing'!$P$9:$P$492,'Costing'!$A$9:$A$492,"PARTNER-M056"))</x:f>
        <x:v>160000</x:v>
      </x:c>
      <x:c r="M788" s="17" t="n">
        <x:f>ROUND(L788*'Costing'!$C$4,2)</x:f>
        <x:v>28800</x:v>
      </x:c>
      <x:c r="N788" s="17" t="n">
        <x:f>L788+M788</x:f>
        <x:v>188800</x:v>
      </x:c>
      <x:c r="O788" s="12" t="str">
        <x:v>Bengaluru</x:v>
      </x:c>
      <x:c r="P788" s="12" t="str">
        <x:v>CORP-0474, CORP-0475, CORP-0476, CORP-0477</x:v>
      </x:c>
      <x:c r="Q788" s="12" t="str">
        <x:v>Electrono Solutions Private Limited</x:v>
      </x:c>
    </x:row>
    <x:row r="789" ht="48" customHeight="1">
      <x:c r="A789" s="2" t="str">
        <x:v>TEN-CCBC3D20E8CE</x:v>
      </x:c>
      <x:c r="B789" s="12" t="str">
        <x:v>Elefo Biotech Private Limited</x:v>
      </x:c>
      <x:c r="C789" s="12" t="str">
        <x:v>Business / brand</x:v>
      </x:c>
      <x:c r="D789" s="12" t="str">
        <x:v>Healthcare &amp; life sciences</x:v>
      </x:c>
      <x:c r="E789" s="12" t="str">
        <x:v>Pharmaceuticals, biotechnology &amp; life sciences</x:v>
      </x:c>
      <x:c r="F789" s="12" t="str">
        <x:v>Medium-scale prospects</x:v>
      </x:c>
      <x:c r="G789" s="12" t="str">
        <x:v>Specialist life-sciences business; medium-scale prospect assumption.</x:v>
      </x:c>
      <x:c r="H789" s="11" t="n">
        <x:v>2</x:v>
      </x:c>
      <x:c r="I789" s="11" t="n">
        <x:v>4</x:v>
      </x:c>
      <x:c r="J789" s="11" t="n">
        <x:v>4</x:v>
      </x:c>
      <x:c r="K789" s="11" t="n">
        <x:v>0</x:v>
      </x:c>
      <x:c r="L789" s="17" t="n">
        <x:f>SUM(SUMIFS('Costing'!$P$9:$P$492,'Costing'!$A$9:$A$492,"MAIN-183"),SUMIFS('Costing'!$P$9:$P$492,'Costing'!$A$9:$A$492,"MAIN-184"))</x:f>
        <x:v>75000</x:v>
      </x:c>
      <x:c r="M789" s="17" t="n">
        <x:f>ROUND(L789*'Costing'!$C$4,2)</x:f>
        <x:v>13500</x:v>
      </x:c>
      <x:c r="N789" s="17" t="n">
        <x:f>L789+M789</x:f>
        <x:v>88500</x:v>
      </x:c>
      <x:c r="O789" s="12" t="str">
        <x:v>Delhi NCR</x:v>
      </x:c>
      <x:c r="P789" s="12" t="str">
        <x:v>CORP-0179, CORP-0180</x:v>
      </x:c>
      <x:c r="Q789" s="12" t="str">
        <x:v>Elefo Biotech Private Limited</x:v>
      </x:c>
    </x:row>
    <x:row r="790" ht="48" customHeight="1">
      <x:c r="A790" s="2" t="str">
        <x:v>TEN-283307F05C7F</x:v>
      </x:c>
      <x:c r="B790" s="12" t="str">
        <x:v>Elemental Realty Pvt Ltd</x:v>
      </x:c>
      <x:c r="C790" s="12" t="str">
        <x:v>Business / brand</x:v>
      </x:c>
      <x:c r="D790" s="12" t="str">
        <x:v>Trade, consumer &amp; logistics</x:v>
      </x:c>
      <x:c r="E790" s="12" t="str">
        <x:v>Real estate, property &amp; construction services</x:v>
      </x:c>
      <x:c r="F790" s="12" t="str">
        <x:v>Small-scale prospects</x:v>
      </x:c>
      <x:c r="G790" s="12" t="str">
        <x:v>Trading or consumer-services business; small-scale prospect assumption.</x:v>
      </x:c>
      <x:c r="H790" s="11" t="n">
        <x:v>1</x:v>
      </x:c>
      <x:c r="I790" s="11" t="n">
        <x:v>4</x:v>
      </x:c>
      <x:c r="J790" s="11" t="n">
        <x:v>4</x:v>
      </x:c>
      <x:c r="K790" s="11" t="n">
        <x:v>0</x:v>
      </x:c>
      <x:c r="L790" s="17" t="n">
        <x:f>SUM(SUMIFS('Costing'!$P$9:$P$492,'Costing'!$A$9:$A$492,"MAIN-230"))</x:f>
        <x:v>80000</x:v>
      </x:c>
      <x:c r="M790" s="17" t="n">
        <x:f>ROUND(L790*'Costing'!$C$4,2)</x:f>
        <x:v>14400</x:v>
      </x:c>
      <x:c r="N790" s="17" t="n">
        <x:f>L790+M790</x:f>
        <x:v>94400</x:v>
      </x:c>
      <x:c r="O790" s="12" t="str">
        <x:v>Hyderabad</x:v>
      </x:c>
      <x:c r="P790" s="12" t="str">
        <x:v>CORP-0226</x:v>
      </x:c>
      <x:c r="Q790" s="12" t="str">
        <x:v>Elemental Realty Pvt Ltd</x:v>
      </x:c>
    </x:row>
    <x:row r="791" ht="48" customHeight="1">
      <x:c r="A791" s="2" t="str">
        <x:v>TEN-D8116CD7573C</x:v>
      </x:c>
      <x:c r="B791" s="12" t="str">
        <x:v>Elevar Venture Partners</x:v>
      </x:c>
      <x:c r="C791" s="12" t="str">
        <x:v>Business / brand</x:v>
      </x:c>
      <x:c r="D791" s="12" t="str">
        <x:v>Finance &amp; insurance</x:v>
      </x:c>
      <x:c r="E791" s="12" t="str">
        <x:v>Investments, securities &amp; wealth</x:v>
      </x:c>
      <x:c r="F791" s="12" t="str">
        <x:v>Medium-scale prospects</x:v>
      </x:c>
      <x:c r="G791" s="12" t="str">
        <x:v>Specialist financial-services business; medium-scale prospect assumption.</x:v>
      </x:c>
      <x:c r="H791" s="11" t="n">
        <x:v>4</x:v>
      </x:c>
      <x:c r="I791" s="11" t="n">
        <x:v>4</x:v>
      </x:c>
      <x:c r="J791" s="11" t="n">
        <x:v>4</x:v>
      </x:c>
      <x:c r="K791" s="11" t="n">
        <x:v>0</x:v>
      </x:c>
      <x:c r="L791" s="17" t="n">
        <x:f>SUM(SUMIFS('Costing'!$P$9:$P$492,'Costing'!$A$9:$A$492,"PARTNER-M093"))</x:f>
        <x:v>160000</x:v>
      </x:c>
      <x:c r="M791" s="17" t="n">
        <x:f>ROUND(L791*'Costing'!$C$4,2)</x:f>
        <x:v>28800</x:v>
      </x:c>
      <x:c r="N791" s="17" t="n">
        <x:f>L791+M791</x:f>
        <x:v>188800</x:v>
      </x:c>
      <x:c r="O791" s="12" t="str">
        <x:v>Bengaluru</x:v>
      </x:c>
      <x:c r="P791" s="12" t="str">
        <x:v>CORP-0511, CORP-0512, CORP-0513, CORP-0514</x:v>
      </x:c>
      <x:c r="Q791" s="12" t="str">
        <x:v>Elevar Venture Partners</x:v>
      </x:c>
    </x:row>
    <x:row r="792" ht="48" customHeight="1">
      <x:c r="A792" s="2" t="str">
        <x:v>TEN-89AA1F9C78E6</x:v>
      </x:c>
      <x:c r="B792" s="12" t="str">
        <x:v>Elite Admission</x:v>
      </x:c>
      <x:c r="C792" s="12" t="str">
        <x:v>Business / brand</x:v>
      </x:c>
      <x:c r="D792" s="12" t="str">
        <x:v>Education</x:v>
      </x:c>
      <x:c r="E792" s="12" t="str">
        <x:v>Education, training &amp; childcare</x:v>
      </x:c>
      <x:c r="F792" s="12" t="str">
        <x:v>Small-scale prospects</x:v>
      </x:c>
      <x:c r="G792" s="12" t="str">
        <x:v>Training or education-services business; small-scale prospect assumption.</x:v>
      </x:c>
      <x:c r="H792" s="11" t="n">
        <x:v>2</x:v>
      </x:c>
      <x:c r="I792" s="11" t="n">
        <x:v>2</x:v>
      </x:c>
      <x:c r="J792" s="11" t="n">
        <x:v>2</x:v>
      </x:c>
      <x:c r="K792" s="11" t="n">
        <x:v>0</x:v>
      </x:c>
      <x:c r="L792" s="17" t="n">
        <x:f>SUM(SUMIFS('Costing'!$P$9:$P$492,'Costing'!$A$9:$A$492,"MAIN-405"),SUMIFS('Costing'!$P$9:$P$492,'Costing'!$A$9:$A$492,"MAIN-406"))</x:f>
        <x:v>30000</x:v>
      </x:c>
      <x:c r="M792" s="17" t="n">
        <x:f>ROUND(L792*'Costing'!$C$4,2)</x:f>
        <x:v>5400</x:v>
      </x:c>
      <x:c r="N792" s="17" t="n">
        <x:f>L792+M792</x:f>
        <x:v>35400</x:v>
      </x:c>
      <x:c r="O792" s="12" t="str">
        <x:v>Pune</x:v>
      </x:c>
      <x:c r="P792" s="12" t="str">
        <x:v>CORP-0401, CORP-0402</x:v>
      </x:c>
      <x:c r="Q792" s="12" t="str">
        <x:v>Elite Admission</x:v>
      </x:c>
    </x:row>
    <x:row r="793" ht="48" customHeight="1">
      <x:c r="A793" s="2" t="str">
        <x:v>TEN-AA989F3D8E31</x:v>
      </x:c>
      <x:c r="B793" s="12" t="str">
        <x:v>Elite tankship</x:v>
      </x:c>
      <x:c r="C793" s="12" t="str">
        <x:v>Business / brand</x:v>
      </x:c>
      <x:c r="D793" s="12" t="str">
        <x:v>Trade, consumer &amp; logistics</x:v>
      </x:c>
      <x:c r="E793" s="12" t="str">
        <x:v>Logistics, shipping &amp; transport</x:v>
      </x:c>
      <x:c r="F793" s="12" t="str">
        <x:v>Medium-scale prospects</x:v>
      </x:c>
      <x:c r="G793" s="12" t="str">
        <x:v>Specialist logistics or transport business; medium-scale prospect assumption.</x:v>
      </x:c>
      <x:c r="H793" s="11" t="n">
        <x:v>1</x:v>
      </x:c>
      <x:c r="I793" s="11" t="n">
        <x:v>1</x:v>
      </x:c>
      <x:c r="J793" s="11" t="n">
        <x:v>1</x:v>
      </x:c>
      <x:c r="K793" s="11" t="n">
        <x:v>0</x:v>
      </x:c>
      <x:c r="L793" s="17" t="n">
        <x:f>SUM(SUMIFS('Costing'!$P$9:$P$492,'Costing'!$A$9:$A$492,"MAIN-379"))</x:f>
        <x:v>15000</x:v>
      </x:c>
      <x:c r="M793" s="17" t="n">
        <x:f>ROUND(L793*'Costing'!$C$4,2)</x:f>
        <x:v>2700</x:v>
      </x:c>
      <x:c r="N793" s="17" t="n">
        <x:f>L793+M793</x:f>
        <x:v>17700</x:v>
      </x:c>
      <x:c r="O793" s="12" t="str">
        <x:v>Pune</x:v>
      </x:c>
      <x:c r="P793" s="12" t="str">
        <x:v>CORP-0375</x:v>
      </x:c>
      <x:c r="Q793" s="12" t="str">
        <x:v>Elite tankship</x:v>
      </x:c>
    </x:row>
    <x:row r="794" ht="48" customHeight="1">
      <x:c r="A794" s="2" t="str">
        <x:v>TEN-33207C8AC7FA</x:v>
      </x:c>
      <x:c r="B794" s="12" t="str">
        <x:v>Ellusion Entertainment</x:v>
      </x:c>
      <x:c r="C794" s="12" t="str">
        <x:v>Business / brand</x:v>
      </x:c>
      <x:c r="D794" s="12" t="str">
        <x:v>Trade, consumer &amp; logistics</x:v>
      </x:c>
      <x:c r="E794" s="12" t="str">
        <x:v>Entertainment, media &amp; events</x:v>
      </x:c>
      <x:c r="F794" s="12" t="str">
        <x:v>Small-scale prospects</x:v>
      </x:c>
      <x:c r="G794" s="12" t="str">
        <x:v>Trading or consumer-services business; small-scale prospect assumption.</x:v>
      </x:c>
      <x:c r="H794" s="11" t="n">
        <x:v>1</x:v>
      </x:c>
      <x:c r="I794" s="11" t="n">
        <x:v>22</x:v>
      </x:c>
      <x:c r="J794" s="11" t="n">
        <x:v>22</x:v>
      </x:c>
      <x:c r="K794" s="11" t="n">
        <x:v>0</x:v>
      </x:c>
      <x:c r="L794" s="17" t="n">
        <x:f>SUM(SUMIFS('Costing'!$P$9:$P$492,'Costing'!$A$9:$A$492,"MAIN-307"))</x:f>
        <x:v>330000</x:v>
      </x:c>
      <x:c r="M794" s="17" t="n">
        <x:f>ROUND(L794*'Costing'!$C$4,2)</x:f>
        <x:v>59400</x:v>
      </x:c>
      <x:c r="N794" s="17" t="n">
        <x:f>L794+M794</x:f>
        <x:v>389400</x:v>
      </x:c>
      <x:c r="O794" s="12" t="str">
        <x:v>Mumbai</x:v>
      </x:c>
      <x:c r="P794" s="12" t="str">
        <x:v>CORP-0303</x:v>
      </x:c>
      <x:c r="Q794" s="12" t="str">
        <x:v>Ellusion Entertainment</x:v>
      </x:c>
    </x:row>
    <x:row r="795" ht="48" customHeight="1">
      <x:c r="A795" s="2" t="str">
        <x:v>TEN-0E1703C24DF3</x:v>
      </x:c>
      <x:c r="B795" s="12" t="str">
        <x:v>Elmirate</x:v>
      </x:c>
      <x:c r="C795" s="12" t="str">
        <x:v>Business / brand</x:v>
      </x:c>
      <x:c r="D795" s="12" t="str">
        <x:v>Unresolved</x:v>
      </x:c>
      <x:c r="E795" s="12" t="str">
        <x:v>Business activity not established</x:v>
      </x:c>
      <x:c r="F795" s="12" t="str">
        <x:v>Mixed business audience</x:v>
      </x:c>
      <x:c r="G795" s="12" t="str">
        <x:v>Business activity and company scale are not established from this name.</x:v>
      </x:c>
      <x:c r="H795" s="11" t="n">
        <x:v>4</x:v>
      </x:c>
      <x:c r="I795" s="11" t="n">
        <x:v>4</x:v>
      </x:c>
      <x:c r="J795" s="11" t="n">
        <x:v>4</x:v>
      </x:c>
      <x:c r="K795" s="11" t="n">
        <x:v>0</x:v>
      </x:c>
      <x:c r="L795" s="17" t="n">
        <x:f>SUM(SUMIFS('Costing'!$P$9:$P$492,'Costing'!$A$9:$A$492,"PARTNER-M273"))</x:f>
        <x:v>160000</x:v>
      </x:c>
      <x:c r="M795" s="17" t="n">
        <x:f>ROUND(L795*'Costing'!$C$4,2)</x:f>
        <x:v>28800</x:v>
      </x:c>
      <x:c r="N795" s="17" t="n">
        <x:f>L795+M795</x:f>
        <x:v>188800</x:v>
      </x:c>
      <x:c r="O795" s="12" t="str">
        <x:v>Pune</x:v>
      </x:c>
      <x:c r="P795" s="12" t="str">
        <x:v>CORP-0689, CORP-0690, CORP-0691, CORP-0692</x:v>
      </x:c>
      <x:c r="Q795" s="12" t="str">
        <x:v>Elmirate</x:v>
      </x:c>
    </x:row>
    <x:row r="796" ht="48" customHeight="1">
      <x:c r="A796" s="2" t="str">
        <x:v>TEN-E88697226669</x:v>
      </x:c>
      <x:c r="B796" s="12" t="str">
        <x:v>Elocity Technologies India Private Limited</x:v>
      </x:c>
      <x:c r="C796" s="12" t="str">
        <x:v>Business / brand</x:v>
      </x:c>
      <x:c r="D796" s="12" t="str">
        <x:v>Unresolved</x:v>
      </x:c>
      <x:c r="E796" s="12" t="str">
        <x:v>Business activity not established</x:v>
      </x:c>
      <x:c r="F796" s="12" t="str">
        <x:v>Mixed business audience</x:v>
      </x:c>
      <x:c r="G796" s="12" t="str">
        <x:v>Business activity and company scale are not established from this name.</x:v>
      </x:c>
      <x:c r="H796" s="11" t="n">
        <x:v>7</x:v>
      </x:c>
      <x:c r="I796" s="11" t="n">
        <x:v>7</x:v>
      </x:c>
      <x:c r="J796" s="11" t="n">
        <x:v>7</x:v>
      </x:c>
      <x:c r="K796" s="11" t="n">
        <x:v>0</x:v>
      </x:c>
      <x:c r="L796" s="17" t="n">
        <x:f>SUM(SUMIFS('Costing'!$P$9:$P$492,'Costing'!$A$9:$A$492,"PARTNER-M027"))</x:f>
        <x:v>280000</x:v>
      </x:c>
      <x:c r="M796" s="17" t="n">
        <x:f>ROUND(L796*'Costing'!$C$4,2)</x:f>
        <x:v>50400</x:v>
      </x:c>
      <x:c r="N796" s="17" t="n">
        <x:f>L796+M796</x:f>
        <x:v>330400</x:v>
      </x:c>
      <x:c r="O796" s="12" t="str">
        <x:v>Bengaluru</x:v>
      </x:c>
      <x:c r="P796" s="12" t="str">
        <x:v>CORP-0445, CORP-0446, CORP-0447, CORP-0448, CORP-0449, CORP-0450, CORP-0451</x:v>
      </x:c>
      <x:c r="Q796" s="12" t="str">
        <x:v>Elocity Technologies India Private Limited</x:v>
      </x:c>
    </x:row>
    <x:row r="797" ht="48" customHeight="1">
      <x:c r="A797" s="2" t="str">
        <x:v>TEN-EE965BC63671</x:v>
      </x:c>
      <x:c r="B797" s="12" t="str">
        <x:v>eMaven Solutions Pvt. Ltd</x:v>
      </x:c>
      <x:c r="C797" s="12" t="str">
        <x:v>Business / brand</x:v>
      </x:c>
      <x:c r="D797" s="12" t="str">
        <x:v>Unresolved</x:v>
      </x:c>
      <x:c r="E797" s="12" t="str">
        <x:v>Business activity not established</x:v>
      </x:c>
      <x:c r="F797" s="12" t="str">
        <x:v>Mixed business audience</x:v>
      </x:c>
      <x:c r="G797" s="12" t="str">
        <x:v>Business activity and company scale are not established from this name.</x:v>
      </x:c>
      <x:c r="H797" s="11" t="n">
        <x:v>10</x:v>
      </x:c>
      <x:c r="I797" s="11" t="n">
        <x:v>10</x:v>
      </x:c>
      <x:c r="J797" s="11" t="n">
        <x:v>10</x:v>
      </x:c>
      <x:c r="K797" s="11" t="n">
        <x:v>0</x:v>
      </x:c>
      <x:c r="L797" s="17" t="n">
        <x:f>SUM(SUMIFS('Costing'!$P$9:$P$492,'Costing'!$A$9:$A$492,"PARTNER-M365"))</x:f>
        <x:v>400000</x:v>
      </x:c>
      <x:c r="M797" s="17" t="n">
        <x:f>ROUND(L797*'Costing'!$C$4,2)</x:f>
        <x:v>72000</x:v>
      </x:c>
      <x:c r="N797" s="17" t="n">
        <x:f>L797+M797</x:f>
        <x:v>472000</x:v>
      </x:c>
      <x:c r="O797" s="12" t="str">
        <x:v>Delhi NCR</x:v>
      </x:c>
      <x:c r="P797" s="12" t="str">
        <x:v>CORP-0778, CORP-0779, CORP-0780, CORP-0781, CORP-0782, CORP-0783, CORP-0784, CORP-0785, CORP-0786, CORP-0787</x:v>
      </x:c>
      <x:c r="Q797" s="12" t="str">
        <x:v>eMaven Solutions Pvt. Ltd</x:v>
      </x:c>
    </x:row>
    <x:row r="798" ht="48" customHeight="1">
      <x:c r="A798" s="2" t="str">
        <x:v>TEN-719F53D2AD92</x:v>
      </x:c>
      <x:c r="B798" s="12" t="str">
        <x:v>EMC- Dell</x:v>
      </x:c>
      <x:c r="C798" s="12" t="str">
        <x:v>Business / brand</x:v>
      </x:c>
      <x:c r="D798" s="12" t="str">
        <x:v>IT &amp; digital</x:v>
      </x:c>
      <x:c r="E798" s="12" t="str">
        <x:v>Technology services — specialty unverified</x:v>
      </x:c>
      <x:c r="F798" s="12" t="str">
        <x:v>Mixed business audience</x:v>
      </x:c>
      <x:c r="G798" s="12" t="str">
        <x:v>Recognisable business context; company-scale evidence remains insufficient for a single size band.</x:v>
      </x:c>
      <x:c r="H798" s="11" t="n">
        <x:v>10</x:v>
      </x:c>
      <x:c r="I798" s="11" t="n">
        <x:v>10</x:v>
      </x:c>
      <x:c r="J798" s="11" t="n">
        <x:v>10</x:v>
      </x:c>
      <x:c r="K798" s="11" t="n">
        <x:v>0</x:v>
      </x:c>
      <x:c r="L798" s="17" t="n">
        <x:f>SUM(SUMIFS('Costing'!$P$9:$P$492,'Costing'!$A$9:$A$492,"PARTNER-M120"))</x:f>
        <x:v>400000</x:v>
      </x:c>
      <x:c r="M798" s="17" t="n">
        <x:f>ROUND(L798*'Costing'!$C$4,2)</x:f>
        <x:v>72000</x:v>
      </x:c>
      <x:c r="N798" s="17" t="n">
        <x:f>L798+M798</x:f>
        <x:v>472000</x:v>
      </x:c>
      <x:c r="O798" s="12" t="str">
        <x:v>Bengaluru</x:v>
      </x:c>
      <x:c r="P798" s="12" t="str">
        <x:v>CORP-0538, CORP-0539, CORP-0540, CORP-0541, CORP-0542, CORP-0543, CORP-0544, CORP-0545, CORP-0546, CORP-0547</x:v>
      </x:c>
      <x:c r="Q798" s="12" t="str">
        <x:v>EMC- Dell</x:v>
      </x:c>
    </x:row>
    <x:row r="799" ht="48" customHeight="1">
      <x:c r="A799" s="2" t="str">
        <x:v>TEN-5A68B9DB37DE</x:v>
      </x:c>
      <x:c r="B799" s="12" t="str">
        <x:v>Emergys India</x:v>
      </x:c>
      <x:c r="C799" s="12" t="str">
        <x:v>Business / brand</x:v>
      </x:c>
      <x:c r="D799" s="12" t="str">
        <x:v>IT &amp; digital</x:v>
      </x:c>
      <x:c r="E799" s="12" t="str">
        <x:v>Enterprise software &amp; digital engineering</x:v>
      </x:c>
      <x:c r="F799" s="12" t="str">
        <x:v>Small-scale prospects</x:v>
      </x:c>
      <x:c r="G799" s="12" t="str">
        <x:v>Software or technology-services business; small-scale prospect assumption.</x:v>
      </x:c>
      <x:c r="H799" s="11" t="n">
        <x:v>1</x:v>
      </x:c>
      <x:c r="I799" s="11" t="n">
        <x:v>1</x:v>
      </x:c>
      <x:c r="J799" s="11" t="n">
        <x:v>1</x:v>
      </x:c>
      <x:c r="K799" s="11" t="n">
        <x:v>0</x:v>
      </x:c>
      <x:c r="L799" s="17" t="n">
        <x:f>SUM(SUMIFS('Costing'!$P$9:$P$492,'Costing'!$A$9:$A$492,"MAIN-159"))</x:f>
        <x:v>15000</x:v>
      </x:c>
      <x:c r="M799" s="17" t="n">
        <x:f>ROUND(L799*'Costing'!$C$4,2)</x:f>
        <x:v>2700</x:v>
      </x:c>
      <x:c r="N799" s="17" t="n">
        <x:f>L799+M799</x:f>
        <x:v>17700</x:v>
      </x:c>
      <x:c r="O799" s="12" t="str">
        <x:v>Chennai</x:v>
      </x:c>
      <x:c r="P799" s="12" t="str">
        <x:v>CORP-0155</x:v>
      </x:c>
      <x:c r="Q799" s="12" t="str">
        <x:v>Emergys India</x:v>
      </x:c>
    </x:row>
    <x:row r="800" ht="48" customHeight="1">
      <x:c r="A800" s="2" t="str">
        <x:v>TEN-A7C7B2FB5107</x:v>
      </x:c>
      <x:c r="B800" s="12" t="str">
        <x:v>Emerson Automation Solutions</x:v>
      </x:c>
      <x:c r="C800" s="12" t="str">
        <x:v>Business / brand</x:v>
      </x:c>
      <x:c r="D800" s="12" t="str">
        <x:v>Engineering &amp; manufacturing</x:v>
      </x:c>
      <x:c r="E800" s="12" t="str">
        <x:v>Energy, electrical &amp; industrial systems</x:v>
      </x:c>
      <x:c r="F800" s="12" t="str">
        <x:v>Mixed business audience</x:v>
      </x:c>
      <x:c r="G800" s="12" t="str">
        <x:v>Recognisable business context; company-scale evidence remains insufficient for a single size band.</x:v>
      </x:c>
      <x:c r="H800" s="11" t="n">
        <x:v>1</x:v>
      </x:c>
      <x:c r="I800" s="11" t="n">
        <x:v>2</x:v>
      </x:c>
      <x:c r="J800" s="11" t="n">
        <x:v>2</x:v>
      </x:c>
      <x:c r="K800" s="11" t="n">
        <x:v>0</x:v>
      </x:c>
      <x:c r="L800" s="17" t="n">
        <x:f>SUM(SUMIFS('Costing'!$P$9:$P$492,'Costing'!$A$9:$A$492,"MAIN-017"))</x:f>
        <x:v>30000</x:v>
      </x:c>
      <x:c r="M800" s="17" t="n">
        <x:f>ROUND(L800*'Costing'!$C$4,2)</x:f>
        <x:v>5400</x:v>
      </x:c>
      <x:c r="N800" s="17" t="n">
        <x:f>L800+M800</x:f>
        <x:v>35400</x:v>
      </x:c>
      <x:c r="O800" s="12" t="str">
        <x:v>Bengaluru</x:v>
      </x:c>
      <x:c r="P800" s="12" t="str">
        <x:v>CORP-0013</x:v>
      </x:c>
      <x:c r="Q800" s="12" t="str">
        <x:v>Emerson Automation Solutions</x:v>
      </x:c>
    </x:row>
    <x:row r="801" ht="48" customHeight="1">
      <x:c r="A801" s="2" t="str">
        <x:v>TEN-2787E6CA3B5E</x:v>
      </x:c>
      <x:c r="B801" s="12" t="str">
        <x:v>Eminence Business Media LLP</x:v>
      </x:c>
      <x:c r="C801" s="12" t="str">
        <x:v>Business / brand</x:v>
      </x:c>
      <x:c r="D801" s="12" t="str">
        <x:v>Trade, consumer &amp; logistics</x:v>
      </x:c>
      <x:c r="E801" s="12" t="str">
        <x:v>Entertainment, media &amp; events</x:v>
      </x:c>
      <x:c r="F801" s="12" t="str">
        <x:v>Small-scale prospects</x:v>
      </x:c>
      <x:c r="G801" s="12" t="str">
        <x:v>Trading or consumer-services business; small-scale prospect assumption.</x:v>
      </x:c>
      <x:c r="H801" s="11" t="n">
        <x:v>1</x:v>
      </x:c>
      <x:c r="I801" s="11" t="n">
        <x:v>1</x:v>
      </x:c>
      <x:c r="J801" s="11" t="n">
        <x:v>1</x:v>
      </x:c>
      <x:c r="K801" s="11" t="n">
        <x:v>0</x:v>
      </x:c>
      <x:c r="L801" s="17" t="n">
        <x:f>SUM(SUMIFS('Costing'!$P$9:$P$492,'Costing'!$A$9:$A$492,"MAIN-263"))</x:f>
        <x:v>25000</x:v>
      </x:c>
      <x:c r="M801" s="17" t="n">
        <x:f>ROUND(L801*'Costing'!$C$4,2)</x:f>
        <x:v>4500</x:v>
      </x:c>
      <x:c r="N801" s="17" t="n">
        <x:f>L801+M801</x:f>
        <x:v>29500</x:v>
      </x:c>
      <x:c r="O801" s="12" t="str">
        <x:v>Hyderabad</x:v>
      </x:c>
      <x:c r="P801" s="12" t="str">
        <x:v>CORP-0259</x:v>
      </x:c>
      <x:c r="Q801" s="12" t="str">
        <x:v>Eminence Business Media LLP</x:v>
      </x:c>
    </x:row>
    <x:row r="802" ht="48" customHeight="1">
      <x:c r="A802" s="2" t="str">
        <x:v>TEN-BA2436BD25A0</x:v>
      </x:c>
      <x:c r="B802" s="12" t="str">
        <x:v>Emirates</x:v>
      </x:c>
      <x:c r="C802" s="12" t="str">
        <x:v>Business / brand</x:v>
      </x:c>
      <x:c r="D802" s="12" t="str">
        <x:v>Trade, consumer &amp; logistics</x:v>
      </x:c>
      <x:c r="E802" s="12" t="str">
        <x:v>Consumer/trade services — specialty unverified</x:v>
      </x:c>
      <x:c r="F802" s="12" t="str">
        <x:v>Mixed business audience</x:v>
      </x:c>
      <x:c r="G802" s="12" t="str">
        <x:v>Recognisable business context; company-scale evidence remains insufficient for a single size band.</x:v>
      </x:c>
      <x:c r="H802" s="11" t="n">
        <x:v>2</x:v>
      </x:c>
      <x:c r="I802" s="11" t="n">
        <x:v>2</x:v>
      </x:c>
      <x:c r="J802" s="11" t="n">
        <x:v>2</x:v>
      </x:c>
      <x:c r="K802" s="11" t="n">
        <x:v>0</x:v>
      </x:c>
      <x:c r="L802" s="17" t="n">
        <x:f>SUM(SUMIFS('Costing'!$P$9:$P$492,'Costing'!$A$9:$A$492,"PARTNER-M338"))</x:f>
        <x:v>80000</x:v>
      </x:c>
      <x:c r="M802" s="17" t="n">
        <x:f>ROUND(L802*'Costing'!$C$4,2)</x:f>
        <x:v>14400</x:v>
      </x:c>
      <x:c r="N802" s="17" t="n">
        <x:f>L802+M802</x:f>
        <x:v>94400</x:v>
      </x:c>
      <x:c r="O802" s="12" t="str">
        <x:v>Chennai</x:v>
      </x:c>
      <x:c r="P802" s="12" t="str">
        <x:v>CORP-0752, CORP-0753</x:v>
      </x:c>
      <x:c r="Q802" s="12" t="str">
        <x:v>Emirates</x:v>
      </x:c>
    </x:row>
    <x:row r="803" ht="48" customHeight="1">
      <x:c r="A803" s="2" t="str">
        <x:v>TEN-11695A472FC1</x:v>
      </x:c>
      <x:c r="B803" s="12" t="str">
        <x:v>EMIRATES NBD Bank P.J.S.C</x:v>
      </x:c>
      <x:c r="C803" s="12" t="str">
        <x:v>Business / brand</x:v>
      </x:c>
      <x:c r="D803" s="12" t="str">
        <x:v>Finance &amp; insurance</x:v>
      </x:c>
      <x:c r="E803" s="12" t="str">
        <x:v>Banking &amp; credit</x:v>
      </x:c>
      <x:c r="F803" s="12" t="str">
        <x:v>Mixed business audience</x:v>
      </x:c>
      <x:c r="G803" s="12" t="str">
        <x:v>Recognisable business context; company-scale evidence remains insufficient for a single size band.</x:v>
      </x:c>
      <x:c r="H803" s="11" t="n">
        <x:v>2</x:v>
      </x:c>
      <x:c r="I803" s="11" t="n">
        <x:v>2</x:v>
      </x:c>
      <x:c r="J803" s="11" t="n">
        <x:v>2</x:v>
      </x:c>
      <x:c r="K803" s="11" t="n">
        <x:v>0</x:v>
      </x:c>
      <x:c r="L803" s="17" t="n">
        <x:f>SUM(SUMIFS('Costing'!$P$9:$P$492,'Costing'!$A$9:$A$492,"PARTNER-M334"))</x:f>
        <x:v>80000</x:v>
      </x:c>
      <x:c r="M803" s="17" t="n">
        <x:f>ROUND(L803*'Costing'!$C$4,2)</x:f>
        <x:v>14400</x:v>
      </x:c>
      <x:c r="N803" s="17" t="n">
        <x:f>L803+M803</x:f>
        <x:v>94400</x:v>
      </x:c>
      <x:c r="O803" s="12" t="str">
        <x:v>Chennai</x:v>
      </x:c>
      <x:c r="P803" s="12" t="str">
        <x:v>CORP-0748, CORP-0749</x:v>
      </x:c>
      <x:c r="Q803" s="12" t="str">
        <x:v>EMIRATES NBD Bank P.J.S.C</x:v>
      </x:c>
    </x:row>
    <x:row r="804" ht="48" customHeight="1">
      <x:c r="A804" s="2" t="str">
        <x:v>TEN-B06027704491</x:v>
      </x:c>
      <x:c r="B804" s="12" t="str">
        <x:v>Empathy Relocations Gurgaon</x:v>
      </x:c>
      <x:c r="C804" s="12" t="str">
        <x:v>Business / brand</x:v>
      </x:c>
      <x:c r="D804" s="12" t="str">
        <x:v>Professional services</x:v>
      </x:c>
      <x:c r="E804" s="12" t="str">
        <x:v>Immigration &amp; relocation services</x:v>
      </x:c>
      <x:c r="F804" s="12" t="str">
        <x:v>Small-scale prospects</x:v>
      </x:c>
      <x:c r="G804" s="12" t="str">
        <x:v>Professional service, agency or advisory model; small-scale prospect assumption.</x:v>
      </x:c>
      <x:c r="H804" s="11" t="n">
        <x:v>1</x:v>
      </x:c>
      <x:c r="I804" s="11" t="n">
        <x:v>3</x:v>
      </x:c>
      <x:c r="J804" s="11" t="n">
        <x:v>3</x:v>
      </x:c>
      <x:c r="K804" s="11" t="n">
        <x:v>0</x:v>
      </x:c>
      <x:c r="L804" s="17" t="n">
        <x:f>SUM(SUMIFS('Costing'!$P$9:$P$492,'Costing'!$A$9:$A$492,"MAIN-195"))</x:f>
        <x:v>60000</x:v>
      </x:c>
      <x:c r="M804" s="17" t="n">
        <x:f>ROUND(L804*'Costing'!$C$4,2)</x:f>
        <x:v>10800</x:v>
      </x:c>
      <x:c r="N804" s="17" t="n">
        <x:f>L804+M804</x:f>
        <x:v>70800</x:v>
      </x:c>
      <x:c r="O804" s="12" t="str">
        <x:v>Delhi NCR</x:v>
      </x:c>
      <x:c r="P804" s="12" t="str">
        <x:v>CORP-0191</x:v>
      </x:c>
      <x:c r="Q804" s="12" t="str">
        <x:v>Empathy Relocations Gurgaon</x:v>
      </x:c>
    </x:row>
    <x:row r="805" ht="48" customHeight="1">
      <x:c r="A805" s="2" t="str">
        <x:v>TEN-3FAD6CDAE2DF</x:v>
      </x:c>
      <x:c r="B805" s="12" t="str">
        <x:v>Energetic AI Pvt.Ltd</x:v>
      </x:c>
      <x:c r="C805" s="12" t="str">
        <x:v>Business / brand</x:v>
      </x:c>
      <x:c r="D805" s="12" t="str">
        <x:v>IT &amp; digital</x:v>
      </x:c>
      <x:c r="E805" s="12" t="str">
        <x:v>AI, data &amp; analytics</x:v>
      </x:c>
      <x:c r="F805" s="12" t="str">
        <x:v>Small-scale prospects</x:v>
      </x:c>
      <x:c r="G805" s="12" t="str">
        <x:v>Software or technology-services business; small-scale prospect assumption.</x:v>
      </x:c>
      <x:c r="H805" s="11" t="n">
        <x:v>1</x:v>
      </x:c>
      <x:c r="I805" s="11" t="n">
        <x:v>6</x:v>
      </x:c>
      <x:c r="J805" s="11" t="n">
        <x:v>6</x:v>
      </x:c>
      <x:c r="K805" s="11" t="n">
        <x:v>0</x:v>
      </x:c>
      <x:c r="L805" s="17" t="n">
        <x:f>SUM(SUMIFS('Costing'!$P$9:$P$492,'Costing'!$A$9:$A$492,"MAIN-030"))</x:f>
        <x:v>90000</x:v>
      </x:c>
      <x:c r="M805" s="17" t="n">
        <x:f>ROUND(L805*'Costing'!$C$4,2)</x:f>
        <x:v>16200</x:v>
      </x:c>
      <x:c r="N805" s="17" t="n">
        <x:f>L805+M805</x:f>
        <x:v>106200</x:v>
      </x:c>
      <x:c r="O805" s="12" t="str">
        <x:v>Bengaluru</x:v>
      </x:c>
      <x:c r="P805" s="12" t="str">
        <x:v>CORP-0026</x:v>
      </x:c>
      <x:c r="Q805" s="12" t="str">
        <x:v>Energetic AI Pvt.Ltd</x:v>
      </x:c>
    </x:row>
    <x:row r="806" ht="48" customHeight="1">
      <x:c r="A806" s="2" t="str">
        <x:v>TEN-38827CAF6040</x:v>
      </x:c>
      <x:c r="B806" s="12" t="str">
        <x:v>Energy Efficiency Services Limited</x:v>
      </x:c>
      <x:c r="C806" s="12" t="str">
        <x:v>Business / brand</x:v>
      </x:c>
      <x:c r="D806" s="12" t="str">
        <x:v>Engineering &amp; manufacturing</x:v>
      </x:c>
      <x:c r="E806" s="12" t="str">
        <x:v>Energy, electrical &amp; industrial systems</x:v>
      </x:c>
      <x:c r="F806" s="12" t="str">
        <x:v>Mixed business audience</x:v>
      </x:c>
      <x:c r="G806" s="12" t="str">
        <x:v>Established brand or business network; local company scale is not established. Use a mixed-business message.</x:v>
      </x:c>
      <x:c r="H806" s="11" t="n">
        <x:v>1</x:v>
      </x:c>
      <x:c r="I806" s="11" t="n">
        <x:v>2</x:v>
      </x:c>
      <x:c r="J806" s="11" t="n">
        <x:v>2</x:v>
      </x:c>
      <x:c r="K806" s="11" t="n">
        <x:v>0</x:v>
      </x:c>
      <x:c r="L806" s="17" t="n">
        <x:f>SUM(SUMIFS('Costing'!$P$9:$P$492,'Costing'!$A$9:$A$492,"MAIN-201"))</x:f>
        <x:v>80000</x:v>
      </x:c>
      <x:c r="M806" s="17" t="n">
        <x:f>ROUND(L806*'Costing'!$C$4,2)</x:f>
        <x:v>14400</x:v>
      </x:c>
      <x:c r="N806" s="17" t="n">
        <x:f>L806+M806</x:f>
        <x:v>94400</x:v>
      </x:c>
      <x:c r="O806" s="12" t="str">
        <x:v>Delhi NCR</x:v>
      </x:c>
      <x:c r="P806" s="12" t="str">
        <x:v>CORP-0197</x:v>
      </x:c>
      <x:c r="Q806" s="12" t="str">
        <x:v>Energy Efficiency Services Limited</x:v>
      </x:c>
    </x:row>
    <x:row r="807" ht="48" customHeight="1">
      <x:c r="A807" s="2" t="str">
        <x:v>TEN-B430C8DE7AA8</x:v>
      </x:c>
      <x:c r="B807" s="12" t="str">
        <x:v>Enivox Services</x:v>
      </x:c>
      <x:c r="C807" s="12" t="str">
        <x:v>Business / brand</x:v>
      </x:c>
      <x:c r="D807" s="12" t="str">
        <x:v>Unresolved</x:v>
      </x:c>
      <x:c r="E807" s="12" t="str">
        <x:v>Business activity not established</x:v>
      </x:c>
      <x:c r="F807" s="12" t="str">
        <x:v>Mixed business audience</x:v>
      </x:c>
      <x:c r="G807" s="12" t="str">
        <x:v>Business activity and company scale are not established from this name.</x:v>
      </x:c>
      <x:c r="H807" s="11" t="n">
        <x:v>1</x:v>
      </x:c>
      <x:c r="I807" s="11" t="n">
        <x:v>2</x:v>
      </x:c>
      <x:c r="J807" s="11" t="n">
        <x:v>2</x:v>
      </x:c>
      <x:c r="K807" s="11" t="n">
        <x:v>0</x:v>
      </x:c>
      <x:c r="L807" s="17" t="n">
        <x:f>SUM(SUMIFS('Costing'!$P$9:$P$492,'Costing'!$A$9:$A$492,"MAIN-212"))</x:f>
        <x:v>30000</x:v>
      </x:c>
      <x:c r="M807" s="17" t="n">
        <x:f>ROUND(L807*'Costing'!$C$4,2)</x:f>
        <x:v>5400</x:v>
      </x:c>
      <x:c r="N807" s="17" t="n">
        <x:f>L807+M807</x:f>
        <x:v>35400</x:v>
      </x:c>
      <x:c r="O807" s="12" t="str">
        <x:v>Delhi NCR</x:v>
      </x:c>
      <x:c r="P807" s="12" t="str">
        <x:v>CORP-0208</x:v>
      </x:c>
      <x:c r="Q807" s="12" t="str">
        <x:v>Enivox Services</x:v>
      </x:c>
    </x:row>
    <x:row r="808" ht="48" customHeight="1">
      <x:c r="A808" s="2" t="str">
        <x:v>TEN-9E0C506903AA</x:v>
      </x:c>
      <x:c r="B808" s="12" t="str">
        <x:v>Enoia Babcock Borsing Pvt Ltd</x:v>
      </x:c>
      <x:c r="C808" s="12" t="str">
        <x:v>Business / brand</x:v>
      </x:c>
      <x:c r="D808" s="12" t="str">
        <x:v>Engineering &amp; manufacturing</x:v>
      </x:c>
      <x:c r="E808" s="12" t="str">
        <x:v>Chemicals, materials &amp; industrial manufacturing</x:v>
      </x:c>
      <x:c r="F808" s="12" t="str">
        <x:v>Medium-scale prospects</x:v>
      </x:c>
      <x:c r="G808" s="12" t="str">
        <x:v>Specialist industrial or engineering business; medium-scale prospect assumption.</x:v>
      </x:c>
      <x:c r="H808" s="11" t="n">
        <x:v>2</x:v>
      </x:c>
      <x:c r="I808" s="11" t="n">
        <x:v>2</x:v>
      </x:c>
      <x:c r="J808" s="11" t="n">
        <x:v>2</x:v>
      </x:c>
      <x:c r="K808" s="11" t="n">
        <x:v>0</x:v>
      </x:c>
      <x:c r="L808" s="17" t="n">
        <x:f>SUM(SUMIFS('Costing'!$P$9:$P$492,'Costing'!$A$9:$A$492,"PARTNER-M338"))</x:f>
        <x:v>80000</x:v>
      </x:c>
      <x:c r="M808" s="17" t="n">
        <x:f>ROUND(L808*'Costing'!$C$4,2)</x:f>
        <x:v>14400</x:v>
      </x:c>
      <x:c r="N808" s="17" t="n">
        <x:f>L808+M808</x:f>
        <x:v>94400</x:v>
      </x:c>
      <x:c r="O808" s="12" t="str">
        <x:v>Chennai</x:v>
      </x:c>
      <x:c r="P808" s="12" t="str">
        <x:v>CORP-0752, CORP-0753</x:v>
      </x:c>
      <x:c r="Q808" s="12" t="str">
        <x:v>Enoia Babcock Borsing Pvt Ltd</x:v>
      </x:c>
    </x:row>
    <x:row r="809" ht="48" customHeight="1">
      <x:c r="A809" s="2" t="str">
        <x:v>TEN-F1431134EFB9</x:v>
      </x:c>
      <x:c r="B809" s="12" t="str">
        <x:v>Enovate IT Outsourcing Pvt Ltd</x:v>
      </x:c>
      <x:c r="C809" s="12" t="str">
        <x:v>Business / brand</x:v>
      </x:c>
      <x:c r="D809" s="12" t="str">
        <x:v>IT &amp; digital</x:v>
      </x:c>
      <x:c r="E809" s="12" t="str">
        <x:v>Enterprise software &amp; digital engineering</x:v>
      </x:c>
      <x:c r="F809" s="12" t="str">
        <x:v>Small-scale prospects</x:v>
      </x:c>
      <x:c r="G809" s="12" t="str">
        <x:v>Software or technology-services business; small-scale prospect assumption.</x:v>
      </x:c>
      <x:c r="H809" s="11" t="n">
        <x:v>1</x:v>
      </x:c>
      <x:c r="I809" s="11" t="n">
        <x:v>1</x:v>
      </x:c>
      <x:c r="J809" s="11" t="n">
        <x:v>1</x:v>
      </x:c>
      <x:c r="K809" s="11" t="n">
        <x:v>0</x:v>
      </x:c>
      <x:c r="L809" s="17" t="n">
        <x:f>SUM(SUMIFS('Costing'!$P$9:$P$492,'Costing'!$A$9:$A$492,"MAIN-386"))</x:f>
        <x:v>15000</x:v>
      </x:c>
      <x:c r="M809" s="17" t="n">
        <x:f>ROUND(L809*'Costing'!$C$4,2)</x:f>
        <x:v>2700</x:v>
      </x:c>
      <x:c r="N809" s="17" t="n">
        <x:f>L809+M809</x:f>
        <x:v>17700</x:v>
      </x:c>
      <x:c r="O809" s="12" t="str">
        <x:v>Pune</x:v>
      </x:c>
      <x:c r="P809" s="12" t="str">
        <x:v>CORP-0382</x:v>
      </x:c>
      <x:c r="Q809" s="12" t="str">
        <x:v>Enovate IT Outsourcing Pvt Ltd</x:v>
      </x:c>
    </x:row>
    <x:row r="810" ht="48" customHeight="1">
      <x:c r="A810" s="2" t="str">
        <x:v>TEN-16CA3200A70E</x:v>
      </x:c>
      <x:c r="B810" s="12" t="str">
        <x:v>Ensculp</x:v>
      </x:c>
      <x:c r="C810" s="12" t="str">
        <x:v>Business / brand</x:v>
      </x:c>
      <x:c r="D810" s="12" t="str">
        <x:v>Unresolved</x:v>
      </x:c>
      <x:c r="E810" s="12" t="str">
        <x:v>Business activity not established</x:v>
      </x:c>
      <x:c r="F810" s="12" t="str">
        <x:v>Mixed business audience</x:v>
      </x:c>
      <x:c r="G810" s="12" t="str">
        <x:v>Business activity and company scale are not established from this name.</x:v>
      </x:c>
      <x:c r="H810" s="11" t="n">
        <x:v>1</x:v>
      </x:c>
      <x:c r="I810" s="11" t="n">
        <x:v>2</x:v>
      </x:c>
      <x:c r="J810" s="11" t="n">
        <x:v>2</x:v>
      </x:c>
      <x:c r="K810" s="11" t="n">
        <x:v>0</x:v>
      </x:c>
      <x:c r="L810" s="17" t="n">
        <x:f>SUM(SUMIFS('Costing'!$P$9:$P$492,'Costing'!$A$9:$A$492,"MAIN-032"))</x:f>
        <x:v>30000</x:v>
      </x:c>
      <x:c r="M810" s="17" t="n">
        <x:f>ROUND(L810*'Costing'!$C$4,2)</x:f>
        <x:v>5400</x:v>
      </x:c>
      <x:c r="N810" s="17" t="n">
        <x:f>L810+M810</x:f>
        <x:v>35400</x:v>
      </x:c>
      <x:c r="O810" s="12" t="str">
        <x:v>Bengaluru</x:v>
      </x:c>
      <x:c r="P810" s="12" t="str">
        <x:v>CORP-0028</x:v>
      </x:c>
      <x:c r="Q810" s="12" t="str">
        <x:v>Ensculp</x:v>
      </x:c>
    </x:row>
    <x:row r="811" ht="48" customHeight="1">
      <x:c r="A811" s="2" t="str">
        <x:v>TEN-18D91AC992E3</x:v>
      </x:c>
      <x:c r="B811" s="12" t="str">
        <x:v>Enser Communications Pvt. Ltd</x:v>
      </x:c>
      <x:c r="C811" s="12" t="str">
        <x:v>Business / brand</x:v>
      </x:c>
      <x:c r="D811" s="12" t="str">
        <x:v>IT &amp; digital</x:v>
      </x:c>
      <x:c r="E811" s="12" t="str">
        <x:v>Telecom, networks &amp; connectivity</x:v>
      </x:c>
      <x:c r="F811" s="12" t="str">
        <x:v>Small-scale prospects</x:v>
      </x:c>
      <x:c r="G811" s="12" t="str">
        <x:v>Software or technology-services business; small-scale prospect assumption.</x:v>
      </x:c>
      <x:c r="H811" s="11" t="n">
        <x:v>4</x:v>
      </x:c>
      <x:c r="I811" s="11" t="n">
        <x:v>4</x:v>
      </x:c>
      <x:c r="J811" s="11" t="n">
        <x:v>4</x:v>
      </x:c>
      <x:c r="K811" s="11" t="n">
        <x:v>0</x:v>
      </x:c>
      <x:c r="L811" s="17" t="n">
        <x:f>SUM(SUMIFS('Costing'!$P$9:$P$492,'Costing'!$A$9:$A$492,"PARTNER-M193"))</x:f>
        <x:v>160000</x:v>
      </x:c>
      <x:c r="M811" s="17" t="n">
        <x:f>ROUND(L811*'Costing'!$C$4,2)</x:f>
        <x:v>28800</x:v>
      </x:c>
      <x:c r="N811" s="17" t="n">
        <x:f>L811+M811</x:f>
        <x:v>188800</x:v>
      </x:c>
      <x:c r="O811" s="12" t="str">
        <x:v>Mumbai</x:v>
      </x:c>
      <x:c r="P811" s="12" t="str">
        <x:v>CORP-0610, CORP-0611, CORP-0612, CORP-0613</x:v>
      </x:c>
      <x:c r="Q811" s="12" t="str">
        <x:v>Enser Communications Pvt. Ltd</x:v>
      </x:c>
    </x:row>
    <x:row r="812" ht="48" customHeight="1">
      <x:c r="A812" s="2" t="str">
        <x:v>TEN-2DE7A99797BE</x:v>
      </x:c>
      <x:c r="B812" s="12" t="str">
        <x:v>Entain India</x:v>
      </x:c>
      <x:c r="C812" s="12" t="str">
        <x:v>Business / brand</x:v>
      </x:c>
      <x:c r="D812" s="12" t="str">
        <x:v>Trade, consumer &amp; logistics</x:v>
      </x:c>
      <x:c r="E812" s="12" t="str">
        <x:v>Entertainment, media &amp; events</x:v>
      </x:c>
      <x:c r="F812" s="12" t="str">
        <x:v>Mixed business audience</x:v>
      </x:c>
      <x:c r="G812" s="12" t="str">
        <x:v>Established brand or business network; local company scale is not established. Use a mixed-business message.</x:v>
      </x:c>
      <x:c r="H812" s="11" t="n">
        <x:v>5</x:v>
      </x:c>
      <x:c r="I812" s="11" t="n">
        <x:v>5</x:v>
      </x:c>
      <x:c r="J812" s="11" t="n">
        <x:v>5</x:v>
      </x:c>
      <x:c r="K812" s="11" t="n">
        <x:v>0</x:v>
      </x:c>
      <x:c r="L812" s="17" t="n">
        <x:f>SUM(SUMIFS('Costing'!$P$9:$P$492,'Costing'!$A$9:$A$492,"PARTNER-M312"))</x:f>
        <x:v>200000</x:v>
      </x:c>
      <x:c r="M812" s="17" t="n">
        <x:f>ROUND(L812*'Costing'!$C$4,2)</x:f>
        <x:v>36000</x:v>
      </x:c>
      <x:c r="N812" s="17" t="n">
        <x:f>L812+M812</x:f>
        <x:v>236000</x:v>
      </x:c>
      <x:c r="O812" s="12" t="str">
        <x:v>Hyderabad</x:v>
      </x:c>
      <x:c r="P812" s="12" t="str">
        <x:v>CORP-0727, CORP-0728, CORP-0729, CORP-0730, CORP-0731</x:v>
      </x:c>
      <x:c r="Q812" s="12" t="str">
        <x:v>Entain India</x:v>
      </x:c>
    </x:row>
    <x:row r="813" ht="48" customHeight="1">
      <x:c r="A813" s="2" t="str">
        <x:v>TEN-07D066428D01</x:v>
      </x:c>
      <x:c r="B813" s="12" t="str">
        <x:v>Entrepreneur First</x:v>
      </x:c>
      <x:c r="C813" s="12" t="str">
        <x:v>Business / brand</x:v>
      </x:c>
      <x:c r="D813" s="12" t="str">
        <x:v>Finance &amp; insurance</x:v>
      </x:c>
      <x:c r="E813" s="12" t="str">
        <x:v>Investments, securities &amp; wealth</x:v>
      </x:c>
      <x:c r="F813" s="12" t="str">
        <x:v>Medium-scale prospects</x:v>
      </x:c>
      <x:c r="G813" s="12" t="str">
        <x:v>Specialist financial-services business; medium-scale prospect assumption.</x:v>
      </x:c>
      <x:c r="H813" s="11" t="n">
        <x:v>1</x:v>
      </x:c>
      <x:c r="I813" s="11" t="n">
        <x:v>2</x:v>
      </x:c>
      <x:c r="J813" s="11" t="n">
        <x:v>2</x:v>
      </x:c>
      <x:c r="K813" s="11" t="n">
        <x:v>0</x:v>
      </x:c>
      <x:c r="L813" s="17" t="n">
        <x:f>SUM(SUMIFS('Costing'!$P$9:$P$492,'Costing'!$A$9:$A$492,"MAIN-096"))</x:f>
        <x:v>30000</x:v>
      </x:c>
      <x:c r="M813" s="17" t="n">
        <x:f>ROUND(L813*'Costing'!$C$4,2)</x:f>
        <x:v>5400</x:v>
      </x:c>
      <x:c r="N813" s="17" t="n">
        <x:f>L813+M813</x:f>
        <x:v>35400</x:v>
      </x:c>
      <x:c r="O813" s="12" t="str">
        <x:v>Bengaluru</x:v>
      </x:c>
      <x:c r="P813" s="12" t="str">
        <x:v>CORP-0092</x:v>
      </x:c>
      <x:c r="Q813" s="12" t="str">
        <x:v>Entrepreneur First</x:v>
      </x:c>
    </x:row>
    <x:row r="814" ht="48" customHeight="1">
      <x:c r="A814" s="2" t="str">
        <x:v>TEN-B40C1F698519</x:v>
      </x:c>
      <x:c r="B814" s="12" t="str">
        <x:v>Envoy Global India Pvt Limited</x:v>
      </x:c>
      <x:c r="C814" s="12" t="str">
        <x:v>Business / brand</x:v>
      </x:c>
      <x:c r="D814" s="12" t="str">
        <x:v>Professional services</x:v>
      </x:c>
      <x:c r="E814" s="12" t="str">
        <x:v>Immigration &amp; relocation services</x:v>
      </x:c>
      <x:c r="F814" s="12" t="str">
        <x:v>Mixed business audience</x:v>
      </x:c>
      <x:c r="G814" s="12" t="str">
        <x:v>Established brand or business network; local company scale is not established. Use a mixed-business message.</x:v>
      </x:c>
      <x:c r="H814" s="11" t="n">
        <x:v>1</x:v>
      </x:c>
      <x:c r="I814" s="11" t="n">
        <x:v>2</x:v>
      </x:c>
      <x:c r="J814" s="11" t="n">
        <x:v>2</x:v>
      </x:c>
      <x:c r="K814" s="11" t="n">
        <x:v>0</x:v>
      </x:c>
      <x:c r="L814" s="17" t="n">
        <x:f>SUM(SUMIFS('Costing'!$P$9:$P$492,'Costing'!$A$9:$A$492,"MAIN-251"))</x:f>
        <x:v>40000</x:v>
      </x:c>
      <x:c r="M814" s="17" t="n">
        <x:f>ROUND(L814*'Costing'!$C$4,2)</x:f>
        <x:v>7200</x:v>
      </x:c>
      <x:c r="N814" s="17" t="n">
        <x:f>L814+M814</x:f>
        <x:v>47200</x:v>
      </x:c>
      <x:c r="O814" s="12" t="str">
        <x:v>Hyderabad</x:v>
      </x:c>
      <x:c r="P814" s="12" t="str">
        <x:v>CORP-0247</x:v>
      </x:c>
      <x:c r="Q814" s="12" t="str">
        <x:v>Envoy Global India Pvt Limited</x:v>
      </x:c>
    </x:row>
    <x:row r="815" ht="48" customHeight="1">
      <x:c r="A815" s="2" t="str">
        <x:v>TEN-4A49FD0B38E1</x:v>
      </x:c>
      <x:c r="B815" s="12" t="str">
        <x:v>Envu India</x:v>
      </x:c>
      <x:c r="C815" s="12" t="str">
        <x:v>Business / brand</x:v>
      </x:c>
      <x:c r="D815" s="12" t="str">
        <x:v>Engineering &amp; manufacturing</x:v>
      </x:c>
      <x:c r="E815" s="12" t="str">
        <x:v>Chemicals, materials &amp; industrial manufacturing</x:v>
      </x:c>
      <x:c r="F815" s="12" t="str">
        <x:v>Mixed business audience</x:v>
      </x:c>
      <x:c r="G815" s="12" t="str">
        <x:v>Established brand or business network; local company scale is not established. Use a mixed-business message.</x:v>
      </x:c>
      <x:c r="H815" s="11" t="n">
        <x:v>1</x:v>
      </x:c>
      <x:c r="I815" s="11" t="n">
        <x:v>12</x:v>
      </x:c>
      <x:c r="J815" s="11" t="n">
        <x:v>12</x:v>
      </x:c>
      <x:c r="K815" s="11" t="n">
        <x:v>0</x:v>
      </x:c>
      <x:c r="L815" s="17" t="n">
        <x:f>SUM(SUMIFS('Costing'!$P$9:$P$492,'Costing'!$A$9:$A$492,"MAIN-362"))</x:f>
        <x:v>300000</x:v>
      </x:c>
      <x:c r="M815" s="17" t="n">
        <x:f>ROUND(L815*'Costing'!$C$4,2)</x:f>
        <x:v>54000</x:v>
      </x:c>
      <x:c r="N815" s="17" t="n">
        <x:f>L815+M815</x:f>
        <x:v>354000</x:v>
      </x:c>
      <x:c r="O815" s="12" t="str">
        <x:v>Mumbai</x:v>
      </x:c>
      <x:c r="P815" s="12" t="str">
        <x:v>CORP-0358</x:v>
      </x:c>
      <x:c r="Q815" s="12" t="str">
        <x:v>Envu India</x:v>
      </x:c>
    </x:row>
    <x:row r="816" ht="48" customHeight="1">
      <x:c r="A816" s="2" t="str">
        <x:v>TEN-BCA50A2419EE</x:v>
      </x:c>
      <x:c r="B816" s="12" t="str">
        <x:v>Enwave Concepts and Consultants</x:v>
      </x:c>
      <x:c r="C816" s="12" t="str">
        <x:v>Business / brand</x:v>
      </x:c>
      <x:c r="D816" s="12" t="str">
        <x:v>Engineering &amp; manufacturing</x:v>
      </x:c>
      <x:c r="E816" s="12" t="str">
        <x:v>Engineering, testing &amp; technical services</x:v>
      </x:c>
      <x:c r="F816" s="12" t="str">
        <x:v>Medium-scale prospects</x:v>
      </x:c>
      <x:c r="G816" s="12" t="str">
        <x:v>Specialist industrial or engineering business; medium-scale prospect assumption.</x:v>
      </x:c>
      <x:c r="H816" s="11" t="n">
        <x:v>1</x:v>
      </x:c>
      <x:c r="I816" s="11" t="n">
        <x:v>9</x:v>
      </x:c>
      <x:c r="J816" s="11" t="n">
        <x:v>9</x:v>
      </x:c>
      <x:c r="K816" s="11" t="n">
        <x:v>0</x:v>
      </x:c>
      <x:c r="L816" s="17" t="n">
        <x:f>SUM(SUMIFS('Costing'!$P$9:$P$492,'Costing'!$A$9:$A$492,"MAIN-262"))</x:f>
        <x:v>225000</x:v>
      </x:c>
      <x:c r="M816" s="17" t="n">
        <x:f>ROUND(L816*'Costing'!$C$4,2)</x:f>
        <x:v>40500</x:v>
      </x:c>
      <x:c r="N816" s="17" t="n">
        <x:f>L816+M816</x:f>
        <x:v>265500</x:v>
      </x:c>
      <x:c r="O816" s="12" t="str">
        <x:v>Hyderabad</x:v>
      </x:c>
      <x:c r="P816" s="12" t="str">
        <x:v>CORP-0258</x:v>
      </x:c>
      <x:c r="Q816" s="12" t="str">
        <x:v>Enwave Concepts and Consultants</x:v>
      </x:c>
    </x:row>
    <x:row r="817" ht="49" customHeight="1">
      <x:c r="A817" s="2" t="str">
        <x:v>TEN-44C551CDCABF</x:v>
      </x:c>
      <x:c r="B817" s="12" t="str">
        <x:v>EPAM Bangalore</x:v>
      </x:c>
      <x:c r="C817" s="12" t="str">
        <x:v>Business / brand</x:v>
      </x:c>
      <x:c r="D817" s="12" t="str">
        <x:v>IT &amp; digital</x:v>
      </x:c>
      <x:c r="E817" s="12" t="str">
        <x:v>Enterprise software &amp; digital engineering</x:v>
      </x:c>
      <x:c r="F817" s="12" t="str">
        <x:v>Large enterprise</x:v>
      </x:c>
      <x:c r="G817" s="12" t="str">
        <x:v>EPAM reports more than 62,000 employees across over 55 countries and regions. Large-enterprise campaign context; no statutory MSME status asserted.</x:v>
      </x:c>
      <x:c r="H817" s="11" t="n">
        <x:v>5</x:v>
      </x:c>
      <x:c r="I817" s="11" t="n">
        <x:v>5</x:v>
      </x:c>
      <x:c r="J817" s="11" t="n">
        <x:v>5</x:v>
      </x:c>
      <x:c r="K817" s="11" t="n">
        <x:v>0</x:v>
      </x:c>
      <x:c r="L817" s="17" t="n">
        <x:f>SUM(SUMIFS('Costing'!$P$9:$P$492,'Costing'!$A$9:$A$492,"PARTNER-M060"))</x:f>
        <x:v>200000</x:v>
      </x:c>
      <x:c r="M817" s="17" t="n">
        <x:f>ROUND(L817*'Costing'!$C$4,2)</x:f>
        <x:v>36000</x:v>
      </x:c>
      <x:c r="N817" s="17" t="n">
        <x:f>L817+M817</x:f>
        <x:v>236000</x:v>
      </x:c>
      <x:c r="O817" s="12" t="str">
        <x:v>Bengaluru</x:v>
      </x:c>
      <x:c r="P817" s="12" t="str">
        <x:v>CORP-0478, CORP-0479, CORP-0480, CORP-0481, CORP-0482</x:v>
      </x:c>
      <x:c r="Q817" s="12" t="str">
        <x:v>EPAM Bangalore</x:v>
      </x:c>
    </x:row>
    <x:row r="818" ht="48" customHeight="1">
      <x:c r="A818" s="2" t="str">
        <x:v>TEN-D33230E775D9</x:v>
      </x:c>
      <x:c r="B818" s="12" t="str">
        <x:v>eParivahan</x:v>
      </x:c>
      <x:c r="C818" s="12" t="str">
        <x:v>Business / brand</x:v>
      </x:c>
      <x:c r="D818" s="12" t="str">
        <x:v>Trade, consumer &amp; logistics</x:v>
      </x:c>
      <x:c r="E818" s="12" t="str">
        <x:v>Logistics, shipping &amp; transport</x:v>
      </x:c>
      <x:c r="F818" s="12" t="str">
        <x:v>Medium-scale prospects</x:v>
      </x:c>
      <x:c r="G818" s="12" t="str">
        <x:v>Specialist logistics or transport business; medium-scale prospect assumption.</x:v>
      </x:c>
      <x:c r="H818" s="11" t="n">
        <x:v>1</x:v>
      </x:c>
      <x:c r="I818" s="11" t="n">
        <x:v>5</x:v>
      </x:c>
      <x:c r="J818" s="11" t="n">
        <x:v>5</x:v>
      </x:c>
      <x:c r="K818" s="11" t="n">
        <x:v>0</x:v>
      </x:c>
      <x:c r="L818" s="17" t="n">
        <x:f>SUM(SUMIFS('Costing'!$P$9:$P$492,'Costing'!$A$9:$A$492,"MAIN-287"))</x:f>
        <x:v>75000</x:v>
      </x:c>
      <x:c r="M818" s="17" t="n">
        <x:f>ROUND(L818*'Costing'!$C$4,2)</x:f>
        <x:v>13500</x:v>
      </x:c>
      <x:c r="N818" s="17" t="n">
        <x:f>L818+M818</x:f>
        <x:v>88500</x:v>
      </x:c>
      <x:c r="O818" s="12" t="str">
        <x:v>Kolkata</x:v>
      </x:c>
      <x:c r="P818" s="12" t="str">
        <x:v>CORP-0283</x:v>
      </x:c>
      <x:c r="Q818" s="12" t="str">
        <x:v>eParivahan</x:v>
      </x:c>
    </x:row>
    <x:row r="819" ht="48" customHeight="1">
      <x:c r="A819" s="2" t="str">
        <x:v>TEN-113BF217B1F3</x:v>
      </x:c>
      <x:c r="B819" s="12" t="str">
        <x:v>Epinomi Training Consulting</x:v>
      </x:c>
      <x:c r="C819" s="12" t="str">
        <x:v>Business / brand</x:v>
      </x:c>
      <x:c r="D819" s="12" t="str">
        <x:v>Professional services</x:v>
      </x:c>
      <x:c r="E819" s="12" t="str">
        <x:v>Business consulting &amp; advisory</x:v>
      </x:c>
      <x:c r="F819" s="12" t="str">
        <x:v>Small-scale prospects</x:v>
      </x:c>
      <x:c r="G819" s="12" t="str">
        <x:v>Professional service, agency or advisory model; small-scale prospect assumption.</x:v>
      </x:c>
      <x:c r="H819" s="11" t="n">
        <x:v>2</x:v>
      </x:c>
      <x:c r="I819" s="11" t="n">
        <x:v>2</x:v>
      </x:c>
      <x:c r="J819" s="11" t="n">
        <x:v>2</x:v>
      </x:c>
      <x:c r="K819" s="11" t="n">
        <x:v>0</x:v>
      </x:c>
      <x:c r="L819" s="17" t="n">
        <x:f>SUM(SUMIFS('Costing'!$P$9:$P$492,'Costing'!$A$9:$A$492,"MAIN-405"),SUMIFS('Costing'!$P$9:$P$492,'Costing'!$A$9:$A$492,"MAIN-406"))</x:f>
        <x:v>30000</x:v>
      </x:c>
      <x:c r="M819" s="17" t="n">
        <x:f>ROUND(L819*'Costing'!$C$4,2)</x:f>
        <x:v>5400</x:v>
      </x:c>
      <x:c r="N819" s="17" t="n">
        <x:f>L819+M819</x:f>
        <x:v>35400</x:v>
      </x:c>
      <x:c r="O819" s="12" t="str">
        <x:v>Pune</x:v>
      </x:c>
      <x:c r="P819" s="12" t="str">
        <x:v>CORP-0401, CORP-0402</x:v>
      </x:c>
      <x:c r="Q819" s="12" t="str">
        <x:v>Epinomi Training Consulting</x:v>
      </x:c>
    </x:row>
    <x:row r="820" ht="48" customHeight="1">
      <x:c r="A820" s="2" t="str">
        <x:v>TEN-77D42BF0BA58</x:v>
      </x:c>
      <x:c r="B820" s="12" t="str">
        <x:v>Epitome Interior</x:v>
      </x:c>
      <x:c r="C820" s="12" t="str">
        <x:v>Business / brand</x:v>
      </x:c>
      <x:c r="D820" s="12" t="str">
        <x:v>Professional services</x:v>
      </x:c>
      <x:c r="E820" s="12" t="str">
        <x:v>Architecture, interiors &amp; design</x:v>
      </x:c>
      <x:c r="F820" s="12" t="str">
        <x:v>Small-scale prospects</x:v>
      </x:c>
      <x:c r="G820" s="12" t="str">
        <x:v>Professional service, agency or advisory model; small-scale prospect assumption.</x:v>
      </x:c>
      <x:c r="H820" s="11" t="n">
        <x:v>1</x:v>
      </x:c>
      <x:c r="I820" s="11" t="n">
        <x:v>1</x:v>
      </x:c>
      <x:c r="J820" s="11" t="n">
        <x:v>1</x:v>
      </x:c>
      <x:c r="K820" s="11" t="n">
        <x:v>0</x:v>
      </x:c>
      <x:c r="L820" s="17" t="n">
        <x:f>SUM(SUMIFS('Costing'!$P$9:$P$492,'Costing'!$A$9:$A$492,"MAIN-290"))</x:f>
        <x:v>40000</x:v>
      </x:c>
      <x:c r="M820" s="17" t="n">
        <x:f>ROUND(L820*'Costing'!$C$4,2)</x:f>
        <x:v>7200</x:v>
      </x:c>
      <x:c r="N820" s="17" t="n">
        <x:f>L820+M820</x:f>
        <x:v>47200</x:v>
      </x:c>
      <x:c r="O820" s="12" t="str">
        <x:v>Lucknow</x:v>
      </x:c>
      <x:c r="P820" s="12" t="str">
        <x:v>CORP-0286</x:v>
      </x:c>
      <x:c r="Q820" s="12" t="str">
        <x:v>Epitome Interior</x:v>
      </x:c>
    </x:row>
    <x:row r="821" ht="48" customHeight="1">
      <x:c r="A821" s="2" t="str">
        <x:v>TEN-EB14258F7152</x:v>
      </x:c>
      <x:c r="B821" s="12" t="str">
        <x:v>ERA CASA PICASSO</x:v>
      </x:c>
      <x:c r="C821" s="12" t="str">
        <x:v>Business / brand</x:v>
      </x:c>
      <x:c r="D821" s="12" t="str">
        <x:v>Unresolved</x:v>
      </x:c>
      <x:c r="E821" s="12" t="str">
        <x:v>Business activity not established</x:v>
      </x:c>
      <x:c r="F821" s="12" t="str">
        <x:v>Mixed business audience</x:v>
      </x:c>
      <x:c r="G821" s="12" t="str">
        <x:v>Business activity and company scale are not established from this name.</x:v>
      </x:c>
      <x:c r="H821" s="11" t="n">
        <x:v>1</x:v>
      </x:c>
      <x:c r="I821" s="11" t="n">
        <x:v>5</x:v>
      </x:c>
      <x:c r="J821" s="11" t="n">
        <x:v>5</x:v>
      </x:c>
      <x:c r="K821" s="11" t="n">
        <x:v>0</x:v>
      </x:c>
      <x:c r="L821" s="17" t="n">
        <x:f>SUM(SUMIFS('Costing'!$P$9:$P$492,'Costing'!$A$9:$A$492,"MAIN-168"))</x:f>
        <x:v>200000</x:v>
      </x:c>
      <x:c r="M821" s="17" t="n">
        <x:f>ROUND(L821*'Costing'!$C$4,2)</x:f>
        <x:v>36000</x:v>
      </x:c>
      <x:c r="N821" s="17" t="n">
        <x:f>L821+M821</x:f>
        <x:v>236000</x:v>
      </x:c>
      <x:c r="O821" s="12" t="str">
        <x:v>Delhi NCR</x:v>
      </x:c>
      <x:c r="P821" s="12" t="str">
        <x:v>CORP-0164</x:v>
      </x:c>
      <x:c r="Q821" s="12" t="str">
        <x:v>ERA CASA PICASSO</x:v>
      </x:c>
    </x:row>
    <x:row r="822" ht="48" customHeight="1">
      <x:c r="A822" s="2" t="str">
        <x:v>TEN-BA5E74923D14</x:v>
      </x:c>
      <x:c r="B822" s="12" t="str">
        <x:v>Ericom Software Systems</x:v>
      </x:c>
      <x:c r="C822" s="12" t="str">
        <x:v>Business / brand</x:v>
      </x:c>
      <x:c r="D822" s="12" t="str">
        <x:v>IT &amp; digital</x:v>
      </x:c>
      <x:c r="E822" s="12" t="str">
        <x:v>Enterprise software &amp; digital engineering</x:v>
      </x:c>
      <x:c r="F822" s="12" t="str">
        <x:v>Small-scale prospects</x:v>
      </x:c>
      <x:c r="G822" s="12" t="str">
        <x:v>Software or technology-services business; small-scale prospect assumption.</x:v>
      </x:c>
      <x:c r="H822" s="11" t="n">
        <x:v>1</x:v>
      </x:c>
      <x:c r="I822" s="11" t="n">
        <x:v>1</x:v>
      </x:c>
      <x:c r="J822" s="11" t="n">
        <x:v>1</x:v>
      </x:c>
      <x:c r="K822" s="11" t="n">
        <x:v>0</x:v>
      </x:c>
      <x:c r="L822" s="17" t="n">
        <x:f>SUM(SUMIFS('Costing'!$P$9:$P$492,'Costing'!$A$9:$A$492,"MAIN-247"))</x:f>
        <x:v>15000</x:v>
      </x:c>
      <x:c r="M822" s="17" t="n">
        <x:f>ROUND(L822*'Costing'!$C$4,2)</x:f>
        <x:v>2700</x:v>
      </x:c>
      <x:c r="N822" s="17" t="n">
        <x:f>L822+M822</x:f>
        <x:v>17700</x:v>
      </x:c>
      <x:c r="O822" s="12" t="str">
        <x:v>Hyderabad</x:v>
      </x:c>
      <x:c r="P822" s="12" t="str">
        <x:v>CORP-0243</x:v>
      </x:c>
      <x:c r="Q822" s="12" t="str">
        <x:v>Ericom Software Systems</x:v>
      </x:c>
    </x:row>
    <x:row r="823" ht="48" customHeight="1">
      <x:c r="A823" s="2" t="str">
        <x:v>TEN-F2ED4886E20F</x:v>
      </x:c>
      <x:c r="B823" s="12" t="str">
        <x:v>Ericsson</x:v>
      </x:c>
      <x:c r="C823" s="12" t="str">
        <x:v>Business / brand</x:v>
      </x:c>
      <x:c r="D823" s="12" t="str">
        <x:v>IT &amp; digital</x:v>
      </x:c>
      <x:c r="E823" s="12" t="str">
        <x:v>Telecom, networks &amp; connectivity</x:v>
      </x:c>
      <x:c r="F823" s="12" t="str">
        <x:v>Large enterprise</x:v>
      </x:c>
      <x:c r="G823" s="12" t="str">
        <x:v>Explicit Ericsson enterprise-family context; see ENTERPRISE_SUPP_009 evidence.</x:v>
      </x:c>
      <x:c r="H823" s="11" t="n">
        <x:v>10</x:v>
      </x:c>
      <x:c r="I823" s="11" t="n">
        <x:v>10</x:v>
      </x:c>
      <x:c r="J823" s="11" t="n">
        <x:v>10</x:v>
      </x:c>
      <x:c r="K823" s="11" t="n">
        <x:v>0</x:v>
      </x:c>
      <x:c r="L823" s="17" t="n">
        <x:f>SUM(SUMIFS('Costing'!$P$9:$P$492,'Costing'!$A$9:$A$492,"PARTNER-M120"))</x:f>
        <x:v>400000</x:v>
      </x:c>
      <x:c r="M823" s="17" t="n">
        <x:f>ROUND(L823*'Costing'!$C$4,2)</x:f>
        <x:v>72000</x:v>
      </x:c>
      <x:c r="N823" s="17" t="n">
        <x:f>L823+M823</x:f>
        <x:v>472000</x:v>
      </x:c>
      <x:c r="O823" s="12" t="str">
        <x:v>Bengaluru</x:v>
      </x:c>
      <x:c r="P823" s="12" t="str">
        <x:v>CORP-0538, CORP-0539, CORP-0540, CORP-0541, CORP-0542, CORP-0543, CORP-0544, CORP-0545, CORP-0546, CORP-0547</x:v>
      </x:c>
      <x:c r="Q823" s="12" t="str">
        <x:v>Ericsson</x:v>
      </x:c>
    </x:row>
    <x:row r="824" ht="48" customHeight="1">
      <x:c r="A824" s="2" t="str">
        <x:v>TEN-9625EE75B676</x:v>
      </x:c>
      <x:c r="B824" s="12" t="str">
        <x:v>Ericsson India Global Services</x:v>
      </x:c>
      <x:c r="C824" s="12" t="str">
        <x:v>Business / brand</x:v>
      </x:c>
      <x:c r="D824" s="12" t="str">
        <x:v>IT &amp; digital</x:v>
      </x:c>
      <x:c r="E824" s="12" t="str">
        <x:v>Telecom, networks &amp; connectivity</x:v>
      </x:c>
      <x:c r="F824" s="12" t="str">
        <x:v>Large enterprise</x:v>
      </x:c>
      <x:c r="G824" s="12" t="str">
        <x:v>Explicit Ericsson enterprise-family context; see ENTERPRISE_SUPP_009 evidence.</x:v>
      </x:c>
      <x:c r="H824" s="11" t="n">
        <x:v>1</x:v>
      </x:c>
      <x:c r="I824" s="11" t="n">
        <x:v>3</x:v>
      </x:c>
      <x:c r="J824" s="11" t="n">
        <x:v>3</x:v>
      </x:c>
      <x:c r="K824" s="11" t="n">
        <x:v>0</x:v>
      </x:c>
      <x:c r="L824" s="17" t="n">
        <x:f>SUM(SUMIFS('Costing'!$P$9:$P$492,'Costing'!$A$9:$A$492,"MAIN-366"))</x:f>
        <x:v>45000</x:v>
      </x:c>
      <x:c r="M824" s="17" t="n">
        <x:f>ROUND(L824*'Costing'!$C$4,2)</x:f>
        <x:v>8100</x:v>
      </x:c>
      <x:c r="N824" s="17" t="n">
        <x:f>L824+M824</x:f>
        <x:v>53100</x:v>
      </x:c>
      <x:c r="O824" s="12" t="str">
        <x:v>Delhi NCR</x:v>
      </x:c>
      <x:c r="P824" s="12" t="str">
        <x:v>CORP-0362</x:v>
      </x:c>
      <x:c r="Q824" s="12" t="str">
        <x:v>Ericsson India Global Services</x:v>
      </x:c>
    </x:row>
    <x:row r="825" ht="48" customHeight="1">
      <x:c r="A825" s="2" t="str">
        <x:v>TEN-7480369513A1</x:v>
      </x:c>
      <x:c r="B825" s="12" t="str">
        <x:v>ernota technogies</x:v>
      </x:c>
      <x:c r="C825" s="12" t="str">
        <x:v>Business / brand</x:v>
      </x:c>
      <x:c r="D825" s="12" t="str">
        <x:v>Unresolved</x:v>
      </x:c>
      <x:c r="E825" s="12" t="str">
        <x:v>Business activity not established</x:v>
      </x:c>
      <x:c r="F825" s="12" t="str">
        <x:v>Mixed business audience</x:v>
      </x:c>
      <x:c r="G825" s="12" t="str">
        <x:v>Business activity and company scale are not established from this name.</x:v>
      </x:c>
      <x:c r="H825" s="11" t="n">
        <x:v>1</x:v>
      </x:c>
      <x:c r="I825" s="11" t="n">
        <x:v>2</x:v>
      </x:c>
      <x:c r="J825" s="11" t="n">
        <x:v>2</x:v>
      </x:c>
      <x:c r="K825" s="11" t="n">
        <x:v>0</x:v>
      </x:c>
      <x:c r="L825" s="17" t="n">
        <x:f>SUM(SUMIFS('Costing'!$P$9:$P$492,'Costing'!$A$9:$A$492,"MAIN-225"))</x:f>
        <x:v>30000</x:v>
      </x:c>
      <x:c r="M825" s="17" t="n">
        <x:f>ROUND(L825*'Costing'!$C$4,2)</x:f>
        <x:v>5400</x:v>
      </x:c>
      <x:c r="N825" s="17" t="n">
        <x:f>L825+M825</x:f>
        <x:v>35400</x:v>
      </x:c>
      <x:c r="O825" s="12" t="str">
        <x:v>Hyderabad</x:v>
      </x:c>
      <x:c r="P825" s="12" t="str">
        <x:v>CORP-0221</x:v>
      </x:c>
      <x:c r="Q825" s="12" t="str">
        <x:v>ernota technogies</x:v>
      </x:c>
    </x:row>
    <x:row r="826" ht="62" customHeight="1">
      <x:c r="A826" s="2" t="str">
        <x:v>TEN-69A068939DEA</x:v>
      </x:c>
      <x:c r="B826" s="12" t="str">
        <x:v>Ernst and Young</x:v>
      </x:c>
      <x:c r="C826" s="12" t="str">
        <x:v>Business / brand</x:v>
      </x:c>
      <x:c r="D826" s="12" t="str">
        <x:v>Professional services</x:v>
      </x:c>
      <x:c r="E826" s="12" t="str">
        <x:v>Accounting, tax &amp; audit</x:v>
      </x:c>
      <x:c r="F826" s="12" t="str">
        <x:v>Large enterprise</x:v>
      </x:c>
      <x:c r="G826" s="12" t="str">
        <x:v>Global professional-services network context; do not treat every accounting/advisory business as Micro.</x:v>
      </x:c>
      <x:c r="H826" s="11" t="n">
        <x:v>19</x:v>
      </x:c>
      <x:c r="I826" s="11" t="n">
        <x:v>19</x:v>
      </x:c>
      <x:c r="J826" s="11" t="n">
        <x:v>19</x:v>
      </x:c>
      <x:c r="K826" s="11" t="n">
        <x:v>0</x:v>
      </x:c>
      <x:c r="L826" s="17" t="n">
        <x:f>SUM(SUMIFS('Costing'!$P$9:$P$492,'Costing'!$A$9:$A$492,"MAIN-011"),SUMIFS('Costing'!$P$9:$P$492,'Costing'!$A$9:$A$492,"PARTNER-M130"),SUMIFS('Costing'!$P$9:$P$492,'Costing'!$A$9:$A$492,"PARTNER-M120"))</x:f>
        <x:v>735000</x:v>
      </x:c>
      <x:c r="M826" s="17" t="n">
        <x:f>ROUND(L826*'Costing'!$C$4,2)</x:f>
        <x:v>132300</x:v>
      </x:c>
      <x:c r="N826" s="17" t="n">
        <x:f>L826+M826</x:f>
        <x:v>867300</x:v>
      </x:c>
      <x:c r="O826" s="12" t="str">
        <x:v>Bengaluru</x:v>
      </x:c>
      <x:c r="P826" s="12" t="str">
        <x:v>CORP-0007, CORP-0538, CORP-0539, CORP-0540, CORP-0541, CORP-0542, CORP-0543, CORP-0544, CORP-0545, CORP-0546, CORP-0547, CORP-0548, CORP-0549, CORP-0550, CORP-0551, CORP-0552, CORP-0553, CORP-0554, CORP-0555</x:v>
      </x:c>
      <x:c r="Q826" s="12" t="str">
        <x:v>Ernst and Young, Ernst &amp; Young, E&amp;Y</x:v>
      </x:c>
    </x:row>
    <x:row r="827" ht="48" customHeight="1">
      <x:c r="A827" s="2" t="str">
        <x:v>TEN-9A22E5ED9042</x:v>
      </x:c>
      <x:c r="B827" s="12" t="str">
        <x:v>Escorts</x:v>
      </x:c>
      <x:c r="C827" s="12" t="str">
        <x:v>Business / brand</x:v>
      </x:c>
      <x:c r="D827" s="12" t="str">
        <x:v>Engineering &amp; manufacturing</x:v>
      </x:c>
      <x:c r="E827" s="12" t="str">
        <x:v>Chemicals, materials &amp; industrial manufacturing</x:v>
      </x:c>
      <x:c r="F827" s="12" t="str">
        <x:v>Mixed business audience</x:v>
      </x:c>
      <x:c r="G827" s="12" t="str">
        <x:v>Established brand or business network; local company scale is not established. Use a mixed-business message.</x:v>
      </x:c>
      <x:c r="H827" s="11" t="n">
        <x:v>1</x:v>
      </x:c>
      <x:c r="I827" s="11" t="n">
        <x:v>2</x:v>
      </x:c>
      <x:c r="J827" s="11" t="n">
        <x:v>2</x:v>
      </x:c>
      <x:c r="K827" s="11" t="n">
        <x:v>0</x:v>
      </x:c>
      <x:c r="L827" s="17" t="n">
        <x:f>SUM(SUMIFS('Costing'!$P$9:$P$492,'Costing'!$A$9:$A$492,"MAIN-268"))</x:f>
        <x:v>80000</x:v>
      </x:c>
      <x:c r="M827" s="17" t="n">
        <x:f>ROUND(L827*'Costing'!$C$4,2)</x:f>
        <x:v>14400</x:v>
      </x:c>
      <x:c r="N827" s="17" t="n">
        <x:f>L827+M827</x:f>
        <x:v>94400</x:v>
      </x:c>
      <x:c r="O827" s="12" t="str">
        <x:v>Indore</x:v>
      </x:c>
      <x:c r="P827" s="12" t="str">
        <x:v>CORP-0264</x:v>
      </x:c>
      <x:c r="Q827" s="12" t="str">
        <x:v>Escorts</x:v>
      </x:c>
    </x:row>
    <x:row r="828" ht="48" customHeight="1">
      <x:c r="A828" s="2" t="str">
        <x:v>TEN-779119155C24</x:v>
      </x:c>
      <x:c r="B828" s="12" t="str">
        <x:v>ESP Softech</x:v>
      </x:c>
      <x:c r="C828" s="12" t="str">
        <x:v>Business / brand</x:v>
      </x:c>
      <x:c r="D828" s="12" t="str">
        <x:v>IT &amp; digital</x:v>
      </x:c>
      <x:c r="E828" s="12" t="str">
        <x:v>Enterprise software &amp; digital engineering</x:v>
      </x:c>
      <x:c r="F828" s="12" t="str">
        <x:v>Small-scale prospects</x:v>
      </x:c>
      <x:c r="G828" s="12" t="str">
        <x:v>Software or technology-services business; small-scale prospect assumption.</x:v>
      </x:c>
      <x:c r="H828" s="11" t="n">
        <x:v>1</x:v>
      </x:c>
      <x:c r="I828" s="11" t="n">
        <x:v>1</x:v>
      </x:c>
      <x:c r="J828" s="11" t="n">
        <x:v>1</x:v>
      </x:c>
      <x:c r="K828" s="11" t="n">
        <x:v>0</x:v>
      </x:c>
      <x:c r="L828" s="17" t="n">
        <x:f>SUM(SUMIFS('Costing'!$P$9:$P$492,'Costing'!$A$9:$A$492,"MAIN-274"))</x:f>
        <x:v>40000</x:v>
      </x:c>
      <x:c r="M828" s="17" t="n">
        <x:f>ROUND(L828*'Costing'!$C$4,2)</x:f>
        <x:v>7200</x:v>
      </x:c>
      <x:c r="N828" s="17" t="n">
        <x:f>L828+M828</x:f>
        <x:v>47200</x:v>
      </x:c>
      <x:c r="O828" s="12" t="str">
        <x:v>Indore</x:v>
      </x:c>
      <x:c r="P828" s="12" t="str">
        <x:v>CORP-0270</x:v>
      </x:c>
      <x:c r="Q828" s="12" t="str">
        <x:v>ESP Softech</x:v>
      </x:c>
    </x:row>
    <x:row r="829" ht="48" customHeight="1">
      <x:c r="A829" s="2" t="str">
        <x:v>TEN-A49AC35AAD06</x:v>
      </x:c>
      <x:c r="B829" s="12" t="str">
        <x:v>Essar UK</x:v>
      </x:c>
      <x:c r="C829" s="12" t="str">
        <x:v>Business / brand</x:v>
      </x:c>
      <x:c r="D829" s="12" t="str">
        <x:v>Engineering &amp; manufacturing</x:v>
      </x:c>
      <x:c r="E829" s="12" t="str">
        <x:v>Chemicals, materials &amp; industrial manufacturing</x:v>
      </x:c>
      <x:c r="F829" s="12" t="str">
        <x:v>Mixed business audience</x:v>
      </x:c>
      <x:c r="G829" s="12" t="str">
        <x:v>Established brand or business network; local company scale is not established. Use a mixed-business message.</x:v>
      </x:c>
      <x:c r="H829" s="11" t="n">
        <x:v>1</x:v>
      </x:c>
      <x:c r="I829" s="11" t="n">
        <x:v>5</x:v>
      </x:c>
      <x:c r="J829" s="11" t="n">
        <x:v>5</x:v>
      </x:c>
      <x:c r="K829" s="11" t="n">
        <x:v>0</x:v>
      </x:c>
      <x:c r="L829" s="17" t="n">
        <x:f>SUM(SUMIFS('Costing'!$P$9:$P$492,'Costing'!$A$9:$A$492,"MAIN-338"))</x:f>
        <x:v>200000</x:v>
      </x:c>
      <x:c r="M829" s="17" t="n">
        <x:f>ROUND(L829*'Costing'!$C$4,2)</x:f>
        <x:v>36000</x:v>
      </x:c>
      <x:c r="N829" s="17" t="n">
        <x:f>L829+M829</x:f>
        <x:v>236000</x:v>
      </x:c>
      <x:c r="O829" s="12" t="str">
        <x:v>Mumbai</x:v>
      </x:c>
      <x:c r="P829" s="12" t="str">
        <x:v>CORP-0334</x:v>
      </x:c>
      <x:c r="Q829" s="12" t="str">
        <x:v>Essar UK</x:v>
      </x:c>
    </x:row>
    <x:row r="830" ht="48" customHeight="1">
      <x:c r="A830" s="2" t="str">
        <x:v>TEN-B8719DBA3547</x:v>
      </x:c>
      <x:c r="B830" s="12" t="str">
        <x:v>Essilor India Pvt.Ltd</x:v>
      </x:c>
      <x:c r="C830" s="12" t="str">
        <x:v>Business / brand</x:v>
      </x:c>
      <x:c r="D830" s="12" t="str">
        <x:v>Healthcare &amp; life sciences</x:v>
      </x:c>
      <x:c r="E830" s="12" t="str">
        <x:v>Clinical, medical &amp; diagnostic services</x:v>
      </x:c>
      <x:c r="F830" s="12" t="str">
        <x:v>Mixed business audience</x:v>
      </x:c>
      <x:c r="G830" s="12" t="str">
        <x:v>Recognisable business context; company-scale evidence remains insufficient for a single size band.</x:v>
      </x:c>
      <x:c r="H830" s="11" t="n">
        <x:v>1</x:v>
      </x:c>
      <x:c r="I830" s="11" t="n">
        <x:v>2</x:v>
      </x:c>
      <x:c r="J830" s="11" t="n">
        <x:v>2</x:v>
      </x:c>
      <x:c r="K830" s="11" t="n">
        <x:v>0</x:v>
      </x:c>
      <x:c r="L830" s="17" t="n">
        <x:f>SUM(SUMIFS('Costing'!$P$9:$P$492,'Costing'!$A$9:$A$492,"MAIN-063"))</x:f>
        <x:v>80000</x:v>
      </x:c>
      <x:c r="M830" s="17" t="n">
        <x:f>ROUND(L830*'Costing'!$C$4,2)</x:f>
        <x:v>14400</x:v>
      </x:c>
      <x:c r="N830" s="17" t="n">
        <x:f>L830+M830</x:f>
        <x:v>94400</x:v>
      </x:c>
      <x:c r="O830" s="12" t="str">
        <x:v>Bengaluru</x:v>
      </x:c>
      <x:c r="P830" s="12" t="str">
        <x:v>CORP-0059</x:v>
      </x:c>
      <x:c r="Q830" s="12" t="str">
        <x:v>Essilor India Pvt.Ltd</x:v>
      </x:c>
    </x:row>
    <x:row r="831" ht="48" customHeight="1">
      <x:c r="A831" s="2" t="str">
        <x:v>TEN-057756A71604</x:v>
      </x:c>
      <x:c r="B831" s="12" t="str">
        <x:v>ETAN Transactional India Pvt.Ltd</x:v>
      </x:c>
      <x:c r="C831" s="12" t="str">
        <x:v>Business / brand</x:v>
      </x:c>
      <x:c r="D831" s="12" t="str">
        <x:v>Unresolved</x:v>
      </x:c>
      <x:c r="E831" s="12" t="str">
        <x:v>Business activity not established</x:v>
      </x:c>
      <x:c r="F831" s="12" t="str">
        <x:v>Mixed business audience</x:v>
      </x:c>
      <x:c r="G831" s="12" t="str">
        <x:v>Business activity and company scale are not established from this name.</x:v>
      </x:c>
      <x:c r="H831" s="11" t="n">
        <x:v>1</x:v>
      </x:c>
      <x:c r="I831" s="11" t="n">
        <x:v>6</x:v>
      </x:c>
      <x:c r="J831" s="11" t="n">
        <x:v>6</x:v>
      </x:c>
      <x:c r="K831" s="11" t="n">
        <x:v>0</x:v>
      </x:c>
      <x:c r="L831" s="17" t="n">
        <x:f>SUM(SUMIFS('Costing'!$P$9:$P$492,'Costing'!$A$9:$A$492,"MAIN-030"))</x:f>
        <x:v>90000</x:v>
      </x:c>
      <x:c r="M831" s="17" t="n">
        <x:f>ROUND(L831*'Costing'!$C$4,2)</x:f>
        <x:v>16200</x:v>
      </x:c>
      <x:c r="N831" s="17" t="n">
        <x:f>L831+M831</x:f>
        <x:v>106200</x:v>
      </x:c>
      <x:c r="O831" s="12" t="str">
        <x:v>Bengaluru</x:v>
      </x:c>
      <x:c r="P831" s="12" t="str">
        <x:v>CORP-0026</x:v>
      </x:c>
      <x:c r="Q831" s="12" t="str">
        <x:v>ETAN Transactional India Pvt.Ltd</x:v>
      </x:c>
    </x:row>
    <x:row r="832" ht="48" customHeight="1">
      <x:c r="A832" s="2" t="str">
        <x:v>TEN-94B8104C6F5F</x:v>
      </x:c>
      <x:c r="B832" s="12" t="str">
        <x:v>ETAP AUTOMATION PVT. LTD</x:v>
      </x:c>
      <x:c r="C832" s="12" t="str">
        <x:v>Business / brand</x:v>
      </x:c>
      <x:c r="D832" s="12" t="str">
        <x:v>Engineering &amp; manufacturing</x:v>
      </x:c>
      <x:c r="E832" s="12" t="str">
        <x:v>Energy, electrical &amp; industrial systems</x:v>
      </x:c>
      <x:c r="F832" s="12" t="str">
        <x:v>Mixed business audience</x:v>
      </x:c>
      <x:c r="G832" s="12" t="str">
        <x:v>Established brand or business network; local company scale is not established. Use a mixed-business message.</x:v>
      </x:c>
      <x:c r="H832" s="11" t="n">
        <x:v>1</x:v>
      </x:c>
      <x:c r="I832" s="11" t="n">
        <x:v>3</x:v>
      </x:c>
      <x:c r="J832" s="11" t="n">
        <x:v>3</x:v>
      </x:c>
      <x:c r="K832" s="11" t="n">
        <x:v>0</x:v>
      </x:c>
      <x:c r="L832" s="17" t="n">
        <x:f>SUM(SUMIFS('Costing'!$P$9:$P$492,'Costing'!$A$9:$A$492,"MAIN-206"))</x:f>
        <x:v>120000</x:v>
      </x:c>
      <x:c r="M832" s="17" t="n">
        <x:f>ROUND(L832*'Costing'!$C$4,2)</x:f>
        <x:v>21600</x:v>
      </x:c>
      <x:c r="N832" s="17" t="n">
        <x:f>L832+M832</x:f>
        <x:v>141600</x:v>
      </x:c>
      <x:c r="O832" s="12" t="str">
        <x:v>Delhi NCR</x:v>
      </x:c>
      <x:c r="P832" s="12" t="str">
        <x:v>CORP-0202</x:v>
      </x:c>
      <x:c r="Q832" s="12" t="str">
        <x:v>ETAP AUTOMATION PVT. LTD</x:v>
      </x:c>
    </x:row>
    <x:row r="833" ht="48" customHeight="1">
      <x:c r="A833" s="2" t="str">
        <x:v>TEN-B290CA83CB50</x:v>
      </x:c>
      <x:c r="B833" s="12" t="str">
        <x:v>ETAS India</x:v>
      </x:c>
      <x:c r="C833" s="12" t="str">
        <x:v>Business / brand</x:v>
      </x:c>
      <x:c r="D833" s="12" t="str">
        <x:v>Engineering &amp; manufacturing</x:v>
      </x:c>
      <x:c r="E833" s="12" t="str">
        <x:v>Chemicals, materials &amp; industrial manufacturing</x:v>
      </x:c>
      <x:c r="F833" s="12" t="str">
        <x:v>Large enterprise</x:v>
      </x:c>
      <x:c r="G833" s="12" t="str">
        <x:v>Explicit Bosch enterprise-family context; see ENTERPRISE_SUPP_005 evidence.</x:v>
      </x:c>
      <x:c r="H833" s="11" t="n">
        <x:v>1</x:v>
      </x:c>
      <x:c r="I833" s="11" t="n">
        <x:v>2</x:v>
      </x:c>
      <x:c r="J833" s="11" t="n">
        <x:v>2</x:v>
      </x:c>
      <x:c r="K833" s="11" t="n">
        <x:v>0</x:v>
      </x:c>
      <x:c r="L833" s="17" t="n">
        <x:f>SUM(SUMIFS('Costing'!$P$9:$P$492,'Costing'!$A$9:$A$492,"MAIN-201"))</x:f>
        <x:v>80000</x:v>
      </x:c>
      <x:c r="M833" s="17" t="n">
        <x:f>ROUND(L833*'Costing'!$C$4,2)</x:f>
        <x:v>14400</x:v>
      </x:c>
      <x:c r="N833" s="17" t="n">
        <x:f>L833+M833</x:f>
        <x:v>94400</x:v>
      </x:c>
      <x:c r="O833" s="12" t="str">
        <x:v>Delhi NCR</x:v>
      </x:c>
      <x:c r="P833" s="12" t="str">
        <x:v>CORP-0197</x:v>
      </x:c>
      <x:c r="Q833" s="12" t="str">
        <x:v>ETAS India</x:v>
      </x:c>
    </x:row>
    <x:row r="834" ht="48" customHeight="1">
      <x:c r="A834" s="2" t="str">
        <x:v>TEN-13D5183E2424</x:v>
      </x:c>
      <x:c r="B834" s="12" t="str">
        <x:v>ETG Digital</x:v>
      </x:c>
      <x:c r="C834" s="12" t="str">
        <x:v>Business / brand</x:v>
      </x:c>
      <x:c r="D834" s="12" t="str">
        <x:v>IT &amp; digital</x:v>
      </x:c>
      <x:c r="E834" s="12" t="str">
        <x:v>Enterprise software &amp; digital engineering</x:v>
      </x:c>
      <x:c r="F834" s="12" t="str">
        <x:v>Small-scale prospects</x:v>
      </x:c>
      <x:c r="G834" s="12" t="str">
        <x:v>Software or technology-services business; small-scale prospect assumption.</x:v>
      </x:c>
      <x:c r="H834" s="11" t="n">
        <x:v>8</x:v>
      </x:c>
      <x:c r="I834" s="11" t="n">
        <x:v>8</x:v>
      </x:c>
      <x:c r="J834" s="11" t="n">
        <x:v>8</x:v>
      </x:c>
      <x:c r="K834" s="11" t="n">
        <x:v>0</x:v>
      </x:c>
      <x:c r="L834" s="17" t="n">
        <x:f>SUM(SUMIFS('Costing'!$P$9:$P$492,'Costing'!$A$9:$A$492,"PARTNER-M300"))</x:f>
        <x:v>320000</x:v>
      </x:c>
      <x:c r="M834" s="17" t="n">
        <x:f>ROUND(L834*'Costing'!$C$4,2)</x:f>
        <x:v>57600</x:v>
      </x:c>
      <x:c r="N834" s="17" t="n">
        <x:f>L834+M834</x:f>
        <x:v>377600</x:v>
      </x:c>
      <x:c r="O834" s="12" t="str">
        <x:v>Hyderabad</x:v>
      </x:c>
      <x:c r="P834" s="12" t="str">
        <x:v>CORP-0715, CORP-0716, CORP-0717, CORP-0718, CORP-0719, CORP-0720, CORP-0721, CORP-0722</x:v>
      </x:c>
      <x:c r="Q834" s="12" t="str">
        <x:v>ETG Digital</x:v>
      </x:c>
    </x:row>
    <x:row r="835" ht="48" customHeight="1">
      <x:c r="A835" s="2" t="str">
        <x:v>TEN-6B2B539857F5</x:v>
      </x:c>
      <x:c r="B835" s="12" t="str">
        <x:v>Ethika Insurance Broking Pvt. Ltd</x:v>
      </x:c>
      <x:c r="C835" s="12" t="str">
        <x:v>Business / brand</x:v>
      </x:c>
      <x:c r="D835" s="12" t="str">
        <x:v>Finance &amp; insurance</x:v>
      </x:c>
      <x:c r="E835" s="12" t="str">
        <x:v>Insurance &amp; insurance services</x:v>
      </x:c>
      <x:c r="F835" s="12" t="str">
        <x:v>Small-scale prospects</x:v>
      </x:c>
      <x:c r="G835" s="12" t="str">
        <x:v>Financial intermediary or advisory business; small-scale prospect assumption.</x:v>
      </x:c>
      <x:c r="H835" s="11" t="n">
        <x:v>2</x:v>
      </x:c>
      <x:c r="I835" s="11" t="n">
        <x:v>21</x:v>
      </x:c>
      <x:c r="J835" s="11" t="n">
        <x:v>21</x:v>
      </x:c>
      <x:c r="K835" s="11" t="n">
        <x:v>0</x:v>
      </x:c>
      <x:c r="L835" s="17" t="n">
        <x:f>SUM(SUMIFS('Costing'!$P$9:$P$492,'Costing'!$A$9:$A$492,"MAIN-316"),SUMIFS('Costing'!$P$9:$P$492,'Costing'!$A$9:$A$492,"MAIN-357"))</x:f>
        <x:v>515000</x:v>
      </x:c>
      <x:c r="M835" s="17" t="n">
        <x:f>ROUND(L835*'Costing'!$C$4,2)</x:f>
        <x:v>92700</x:v>
      </x:c>
      <x:c r="N835" s="17" t="n">
        <x:f>L835+M835</x:f>
        <x:v>607700</x:v>
      </x:c>
      <x:c r="O835" s="12" t="str">
        <x:v>Mumbai</x:v>
      </x:c>
      <x:c r="P835" s="12" t="str">
        <x:v>CORP-0312, CORP-0353</x:v>
      </x:c>
      <x:c r="Q835" s="12" t="str">
        <x:v>Ethika Insurance Broking Pvt. Ltd, Ethika Insurance Broking Pvt Ltd</x:v>
      </x:c>
    </x:row>
    <x:row r="836" ht="48" customHeight="1">
      <x:c r="A836" s="2" t="str">
        <x:v>TEN-95175E23C3CB</x:v>
      </x:c>
      <x:c r="B836" s="12" t="str">
        <x:v>ETHOS</x:v>
      </x:c>
      <x:c r="C836" s="12" t="str">
        <x:v>Business / brand</x:v>
      </x:c>
      <x:c r="D836" s="12" t="str">
        <x:v>Trade, consumer &amp; logistics</x:v>
      </x:c>
      <x:c r="E836" s="12" t="str">
        <x:v>Retail, consumer products &amp; ecommerce</x:v>
      </x:c>
      <x:c r="F836" s="12" t="str">
        <x:v>Small-scale prospects</x:v>
      </x:c>
      <x:c r="G836" s="12" t="str">
        <x:v>Trading or consumer-services business; small-scale prospect assumption.</x:v>
      </x:c>
      <x:c r="H836" s="11" t="n">
        <x:v>1</x:v>
      </x:c>
      <x:c r="I836" s="11" t="n">
        <x:v>2</x:v>
      </x:c>
      <x:c r="J836" s="11" t="n">
        <x:v>2</x:v>
      </x:c>
      <x:c r="K836" s="11" t="n">
        <x:v>0</x:v>
      </x:c>
      <x:c r="L836" s="17" t="n">
        <x:f>SUM(SUMIFS('Costing'!$P$9:$P$492,'Costing'!$A$9:$A$492,"MAIN-108"))</x:f>
        <x:v>30000</x:v>
      </x:c>
      <x:c r="M836" s="17" t="n">
        <x:f>ROUND(L836*'Costing'!$C$4,2)</x:f>
        <x:v>5400</x:v>
      </x:c>
      <x:c r="N836" s="17" t="n">
        <x:f>L836+M836</x:f>
        <x:v>35400</x:v>
      </x:c>
      <x:c r="O836" s="12" t="str">
        <x:v>Bengaluru</x:v>
      </x:c>
      <x:c r="P836" s="12" t="str">
        <x:v>CORP-0104</x:v>
      </x:c>
      <x:c r="Q836" s="12" t="str">
        <x:v>ETHOS</x:v>
      </x:c>
    </x:row>
    <x:row r="837" ht="48" customHeight="1">
      <x:c r="A837" s="2" t="str">
        <x:v>TEN-8144549A7116</x:v>
      </x:c>
      <x:c r="B837" s="12" t="str">
        <x:v>ETP</x:v>
      </x:c>
      <x:c r="C837" s="12" t="str">
        <x:v>Business / brand</x:v>
      </x:c>
      <x:c r="D837" s="12" t="str">
        <x:v>Unresolved</x:v>
      </x:c>
      <x:c r="E837" s="12" t="str">
        <x:v>Business activity not established</x:v>
      </x:c>
      <x:c r="F837" s="12" t="str">
        <x:v>Mixed business audience</x:v>
      </x:c>
      <x:c r="G837" s="12" t="str">
        <x:v>Business activity and company scale are not established from this name.</x:v>
      </x:c>
      <x:c r="H837" s="11" t="n">
        <x:v>1</x:v>
      </x:c>
      <x:c r="I837" s="11" t="n">
        <x:v>1</x:v>
      </x:c>
      <x:c r="J837" s="11" t="n">
        <x:v>1</x:v>
      </x:c>
      <x:c r="K837" s="11" t="n">
        <x:v>0</x:v>
      </x:c>
      <x:c r="L837" s="17" t="n">
        <x:f>SUM(SUMIFS('Costing'!$P$9:$P$492,'Costing'!$A$9:$A$492,"MAIN-385"))</x:f>
        <x:v>15000</x:v>
      </x:c>
      <x:c r="M837" s="17" t="n">
        <x:f>ROUND(L837*'Costing'!$C$4,2)</x:f>
        <x:v>2700</x:v>
      </x:c>
      <x:c r="N837" s="17" t="n">
        <x:f>L837+M837</x:f>
        <x:v>17700</x:v>
      </x:c>
      <x:c r="O837" s="12" t="str">
        <x:v>Pune</x:v>
      </x:c>
      <x:c r="P837" s="12" t="str">
        <x:v>CORP-0381</x:v>
      </x:c>
      <x:c r="Q837" s="12" t="str">
        <x:v>ETP</x:v>
      </x:c>
    </x:row>
    <x:row r="838" ht="48" customHeight="1">
      <x:c r="A838" s="2" t="str">
        <x:v>TEN-0C0D0BCA0825</x:v>
      </x:c>
      <x:c r="B838" s="12" t="str">
        <x:v>Euklid Innovations</x:v>
      </x:c>
      <x:c r="C838" s="12" t="str">
        <x:v>Business / brand</x:v>
      </x:c>
      <x:c r="D838" s="12" t="str">
        <x:v>Unresolved</x:v>
      </x:c>
      <x:c r="E838" s="12" t="str">
        <x:v>Business activity not established</x:v>
      </x:c>
      <x:c r="F838" s="12" t="str">
        <x:v>Mixed business audience</x:v>
      </x:c>
      <x:c r="G838" s="12" t="str">
        <x:v>Business activity and company scale are not established from this name.</x:v>
      </x:c>
      <x:c r="H838" s="11" t="n">
        <x:v>1</x:v>
      </x:c>
      <x:c r="I838" s="11" t="n">
        <x:v>1</x:v>
      </x:c>
      <x:c r="J838" s="11" t="n">
        <x:v>1</x:v>
      </x:c>
      <x:c r="K838" s="11" t="n">
        <x:v>0</x:v>
      </x:c>
      <x:c r="L838" s="17" t="n">
        <x:f>SUM(SUMIFS('Costing'!$P$9:$P$492,'Costing'!$A$9:$A$492,"MAIN-259"))</x:f>
        <x:v>20000</x:v>
      </x:c>
      <x:c r="M838" s="17" t="n">
        <x:f>ROUND(L838*'Costing'!$C$4,2)</x:f>
        <x:v>3600</x:v>
      </x:c>
      <x:c r="N838" s="17" t="n">
        <x:f>L838+M838</x:f>
        <x:v>23600</x:v>
      </x:c>
      <x:c r="O838" s="12" t="str">
        <x:v>Hyderabad</x:v>
      </x:c>
      <x:c r="P838" s="12" t="str">
        <x:v>CORP-0255</x:v>
      </x:c>
      <x:c r="Q838" s="12" t="str">
        <x:v>Euklid Innovations</x:v>
      </x:c>
    </x:row>
    <x:row r="839" ht="48" customHeight="1">
      <x:c r="A839" s="2" t="str">
        <x:v>TEN-35EFAAA811DC</x:v>
      </x:c>
      <x:c r="B839" s="12" t="str">
        <x:v>EURASIAN BUSINESS SERVICES PRIVATE LIMITED</x:v>
      </x:c>
      <x:c r="C839" s="12" t="str">
        <x:v>Business / brand</x:v>
      </x:c>
      <x:c r="D839" s="12" t="str">
        <x:v>Unresolved</x:v>
      </x:c>
      <x:c r="E839" s="12" t="str">
        <x:v>Business activity not established</x:v>
      </x:c>
      <x:c r="F839" s="12" t="str">
        <x:v>Mixed business audience</x:v>
      </x:c>
      <x:c r="G839" s="12" t="str">
        <x:v>Business activity and company scale are not established from this name.</x:v>
      </x:c>
      <x:c r="H839" s="11" t="n">
        <x:v>1</x:v>
      </x:c>
      <x:c r="I839" s="11" t="n">
        <x:v>1</x:v>
      </x:c>
      <x:c r="J839" s="11" t="n">
        <x:v>1</x:v>
      </x:c>
      <x:c r="K839" s="11" t="n">
        <x:v>0</x:v>
      </x:c>
      <x:c r="L839" s="17" t="n">
        <x:f>SUM(SUMIFS('Costing'!$P$9:$P$492,'Costing'!$A$9:$A$492,"MAIN-333"))</x:f>
        <x:v>15000</x:v>
      </x:c>
      <x:c r="M839" s="17" t="n">
        <x:f>ROUND(L839*'Costing'!$C$4,2)</x:f>
        <x:v>2700</x:v>
      </x:c>
      <x:c r="N839" s="17" t="n">
        <x:f>L839+M839</x:f>
        <x:v>17700</x:v>
      </x:c>
      <x:c r="O839" s="12" t="str">
        <x:v>Mumbai</x:v>
      </x:c>
      <x:c r="P839" s="12" t="str">
        <x:v>CORP-0329</x:v>
      </x:c>
      <x:c r="Q839" s="12" t="str">
        <x:v>EURASIAN BUSINESS SERVICES PRIVATE LIMITED</x:v>
      </x:c>
    </x:row>
    <x:row r="840" ht="48" customHeight="1">
      <x:c r="A840" s="2" t="str">
        <x:v>TEN-29F13F64AB10</x:v>
      </x:c>
      <x:c r="B840" s="12" t="str">
        <x:v>Eurofins IT Solutions Pvt Limited</x:v>
      </x:c>
      <x:c r="C840" s="12" t="str">
        <x:v>Business / brand</x:v>
      </x:c>
      <x:c r="D840" s="12" t="str">
        <x:v>IT &amp; digital</x:v>
      </x:c>
      <x:c r="E840" s="12" t="str">
        <x:v>Enterprise software &amp; digital engineering</x:v>
      </x:c>
      <x:c r="F840" s="12" t="str">
        <x:v>Mixed business audience</x:v>
      </x:c>
      <x:c r="G840" s="12" t="str">
        <x:v>Recognisable business context; company-scale evidence remains insufficient for a single size band.</x:v>
      </x:c>
      <x:c r="H840" s="11" t="n">
        <x:v>1</x:v>
      </x:c>
      <x:c r="I840" s="11" t="n">
        <x:v>19</x:v>
      </x:c>
      <x:c r="J840" s="11" t="n">
        <x:v>19</x:v>
      </x:c>
      <x:c r="K840" s="11" t="n">
        <x:v>0</x:v>
      </x:c>
      <x:c r="L840" s="17" t="n">
        <x:f>SUM(SUMIFS('Costing'!$P$9:$P$492,'Costing'!$A$9:$A$492,"MAIN-054"))</x:f>
        <x:v>285000</x:v>
      </x:c>
      <x:c r="M840" s="17" t="n">
        <x:f>ROUND(L840*'Costing'!$C$4,2)</x:f>
        <x:v>51300</x:v>
      </x:c>
      <x:c r="N840" s="17" t="n">
        <x:f>L840+M840</x:f>
        <x:v>336300</x:v>
      </x:c>
      <x:c r="O840" s="12" t="str">
        <x:v>Bengaluru</x:v>
      </x:c>
      <x:c r="P840" s="12" t="str">
        <x:v>CORP-0050</x:v>
      </x:c>
      <x:c r="Q840" s="12" t="str">
        <x:v>Eurofins IT Solutions Pvt Limited</x:v>
      </x:c>
    </x:row>
    <x:row r="841" ht="48" customHeight="1">
      <x:c r="A841" s="2" t="str">
        <x:v>TEN-A53F68861A8C</x:v>
      </x:c>
      <x:c r="B841" s="12" t="str">
        <x:v>EuroLife Health Care Pvt Ltd</x:v>
      </x:c>
      <x:c r="C841" s="12" t="str">
        <x:v>Business / brand</x:v>
      </x:c>
      <x:c r="D841" s="12" t="str">
        <x:v>Healthcare &amp; life sciences</x:v>
      </x:c>
      <x:c r="E841" s="12" t="str">
        <x:v>Clinical, medical &amp; diagnostic services</x:v>
      </x:c>
      <x:c r="F841" s="12" t="str">
        <x:v>Small-scale prospects</x:v>
      </x:c>
      <x:c r="G841" s="12" t="str">
        <x:v>Healthcare services business; small-scale prospect assumption.</x:v>
      </x:c>
      <x:c r="H841" s="11" t="n">
        <x:v>1</x:v>
      </x:c>
      <x:c r="I841" s="11" t="n">
        <x:v>9</x:v>
      </x:c>
      <x:c r="J841" s="11" t="n">
        <x:v>9</x:v>
      </x:c>
      <x:c r="K841" s="11" t="n">
        <x:v>0</x:v>
      </x:c>
      <x:c r="L841" s="17" t="n">
        <x:f>SUM(SUMIFS('Costing'!$P$9:$P$492,'Costing'!$A$9:$A$492,"MAIN-326"))</x:f>
        <x:v>360000</x:v>
      </x:c>
      <x:c r="M841" s="17" t="n">
        <x:f>ROUND(L841*'Costing'!$C$4,2)</x:f>
        <x:v>64800</x:v>
      </x:c>
      <x:c r="N841" s="17" t="n">
        <x:f>L841+M841</x:f>
        <x:v>424800</x:v>
      </x:c>
      <x:c r="O841" s="12" t="str">
        <x:v>Mumbai</x:v>
      </x:c>
      <x:c r="P841" s="12" t="str">
        <x:v>CORP-0322</x:v>
      </x:c>
      <x:c r="Q841" s="12" t="str">
        <x:v>EuroLife Health Care Pvt Ltd</x:v>
      </x:c>
    </x:row>
    <x:row r="842" ht="48" customHeight="1">
      <x:c r="A842" s="2" t="str">
        <x:v>TEN-8D7782804191</x:v>
      </x:c>
      <x:c r="B842" s="12" t="str">
        <x:v>Euronet Services India</x:v>
      </x:c>
      <x:c r="C842" s="12" t="str">
        <x:v>Business / brand</x:v>
      </x:c>
      <x:c r="D842" s="12" t="str">
        <x:v>Finance &amp; insurance</x:v>
      </x:c>
      <x:c r="E842" s="12" t="str">
        <x:v>Financial services — specialty unverified</x:v>
      </x:c>
      <x:c r="F842" s="12" t="str">
        <x:v>Mixed business audience</x:v>
      </x:c>
      <x:c r="G842" s="12" t="str">
        <x:v>Recognisable business context; company-scale evidence remains insufficient for a single size band.</x:v>
      </x:c>
      <x:c r="H842" s="11" t="n">
        <x:v>2</x:v>
      </x:c>
      <x:c r="I842" s="11" t="n">
        <x:v>2</x:v>
      </x:c>
      <x:c r="J842" s="11" t="n">
        <x:v>2</x:v>
      </x:c>
      <x:c r="K842" s="11" t="n">
        <x:v>0</x:v>
      </x:c>
      <x:c r="L842" s="17" t="n">
        <x:f>SUM(SUMIFS('Costing'!$P$9:$P$492,'Costing'!$A$9:$A$492,"MAIN-299"),SUMIFS('Costing'!$P$9:$P$492,'Costing'!$A$9:$A$492,"MAIN-321"))</x:f>
        <x:v>30000</x:v>
      </x:c>
      <x:c r="M842" s="17" t="n">
        <x:f>ROUND(L842*'Costing'!$C$4,2)</x:f>
        <x:v>5400</x:v>
      </x:c>
      <x:c r="N842" s="17" t="n">
        <x:f>L842+M842</x:f>
        <x:v>35400</x:v>
      </x:c>
      <x:c r="O842" s="12" t="str">
        <x:v>Mumbai</x:v>
      </x:c>
      <x:c r="P842" s="12" t="str">
        <x:v>CORP-0295, CORP-0317</x:v>
      </x:c>
      <x:c r="Q842" s="12" t="str">
        <x:v>Euronet Services India</x:v>
      </x:c>
    </x:row>
    <x:row r="843" ht="48" customHeight="1">
      <x:c r="A843" s="2" t="str">
        <x:v>TEN-E916968E4822</x:v>
      </x:c>
      <x:c r="B843" s="12" t="str">
        <x:v>EURONICS INDUSTRIES PRIVATE LIMITED</x:v>
      </x:c>
      <x:c r="C843" s="12" t="str">
        <x:v>Business / brand</x:v>
      </x:c>
      <x:c r="D843" s="12" t="str">
        <x:v>Engineering &amp; manufacturing</x:v>
      </x:c>
      <x:c r="E843" s="12" t="str">
        <x:v>Electronics, industrial systems &amp; manufacturing</x:v>
      </x:c>
      <x:c r="F843" s="12" t="str">
        <x:v>Medium-scale prospects</x:v>
      </x:c>
      <x:c r="G843" s="12" t="str">
        <x:v>Specialist industrial or engineering business; medium-scale prospect assumption.</x:v>
      </x:c>
      <x:c r="H843" s="11" t="n">
        <x:v>1</x:v>
      </x:c>
      <x:c r="I843" s="11" t="n">
        <x:v>6</x:v>
      </x:c>
      <x:c r="J843" s="11" t="n">
        <x:v>6</x:v>
      </x:c>
      <x:c r="K843" s="11" t="n">
        <x:v>0</x:v>
      </x:c>
      <x:c r="L843" s="17" t="n">
        <x:f>SUM(SUMIFS('Costing'!$P$9:$P$492,'Costing'!$A$9:$A$492,"MAIN-373"))</x:f>
        <x:v>240000</x:v>
      </x:c>
      <x:c r="M843" s="17" t="n">
        <x:f>ROUND(L843*'Costing'!$C$4,2)</x:f>
        <x:v>43200</x:v>
      </x:c>
      <x:c r="N843" s="17" t="n">
        <x:f>L843+M843</x:f>
        <x:v>283200</x:v>
      </x:c>
      <x:c r="O843" s="12" t="str">
        <x:v>Delhi NCR</x:v>
      </x:c>
      <x:c r="P843" s="12" t="str">
        <x:v>CORP-0369</x:v>
      </x:c>
      <x:c r="Q843" s="12" t="str">
        <x:v>EURONICS INDUSTRIES PRIVATE LIMITED</x:v>
      </x:c>
    </x:row>
    <x:row r="844" ht="48" customHeight="1">
      <x:c r="A844" s="2" t="str">
        <x:v>TEN-08ED8C16AC6E</x:v>
      </x:c>
      <x:c r="B844" s="12" t="str">
        <x:v>Eveez Office</x:v>
      </x:c>
      <x:c r="C844" s="12" t="str">
        <x:v>Business / brand</x:v>
      </x:c>
      <x:c r="D844" s="12" t="str">
        <x:v>Trade, consumer &amp; logistics</x:v>
      </x:c>
      <x:c r="E844" s="12" t="str">
        <x:v>Logistics, shipping &amp; transport</x:v>
      </x:c>
      <x:c r="F844" s="12" t="str">
        <x:v>Medium-scale prospects</x:v>
      </x:c>
      <x:c r="G844" s="12" t="str">
        <x:v>Specialist logistics or transport business; medium-scale prospect assumption.</x:v>
      </x:c>
      <x:c r="H844" s="11" t="n">
        <x:v>1</x:v>
      </x:c>
      <x:c r="I844" s="11" t="n">
        <x:v>1</x:v>
      </x:c>
      <x:c r="J844" s="11" t="n">
        <x:v>1</x:v>
      </x:c>
      <x:c r="K844" s="11" t="n">
        <x:v>0</x:v>
      </x:c>
      <x:c r="L844" s="17" t="n">
        <x:f>SUM(SUMIFS('Costing'!$P$9:$P$492,'Costing'!$A$9:$A$492,"MAIN-087"))</x:f>
        <x:v>15000</x:v>
      </x:c>
      <x:c r="M844" s="17" t="n">
        <x:f>ROUND(L844*'Costing'!$C$4,2)</x:f>
        <x:v>2700</x:v>
      </x:c>
      <x:c r="N844" s="17" t="n">
        <x:f>L844+M844</x:f>
        <x:v>17700</x:v>
      </x:c>
      <x:c r="O844" s="12" t="str">
        <x:v>Bengaluru</x:v>
      </x:c>
      <x:c r="P844" s="12" t="str">
        <x:v>CORP-0083</x:v>
      </x:c>
      <x:c r="Q844" s="12" t="str">
        <x:v>Eveez Office</x:v>
      </x:c>
    </x:row>
    <x:row r="845" ht="48" customHeight="1">
      <x:c r="A845" s="2" t="str">
        <x:v>TEN-C1185EEF281B</x:v>
      </x:c>
      <x:c r="B845" s="12" t="str">
        <x:v>EverestDX India Pvt Ltd</x:v>
      </x:c>
      <x:c r="C845" s="12" t="str">
        <x:v>Business / brand</x:v>
      </x:c>
      <x:c r="D845" s="12" t="str">
        <x:v>IT &amp; digital</x:v>
      </x:c>
      <x:c r="E845" s="12" t="str">
        <x:v>Enterprise software &amp; digital engineering</x:v>
      </x:c>
      <x:c r="F845" s="12" t="str">
        <x:v>Small-scale prospects</x:v>
      </x:c>
      <x:c r="G845" s="12" t="str">
        <x:v>Software or technology-services business; small-scale prospect assumption.</x:v>
      </x:c>
      <x:c r="H845" s="11" t="n">
        <x:v>6</x:v>
      </x:c>
      <x:c r="I845" s="11" t="n">
        <x:v>6</x:v>
      </x:c>
      <x:c r="J845" s="11" t="n">
        <x:v>6</x:v>
      </x:c>
      <x:c r="K845" s="11" t="n">
        <x:v>0</x:v>
      </x:c>
      <x:c r="L845" s="17" t="n">
        <x:f>SUM(SUMIFS('Costing'!$P$9:$P$492,'Costing'!$A$9:$A$492,"PARTNER-M289"))</x:f>
        <x:v>240000</x:v>
      </x:c>
      <x:c r="M845" s="17" t="n">
        <x:f>ROUND(L845*'Costing'!$C$4,2)</x:f>
        <x:v>43200</x:v>
      </x:c>
      <x:c r="N845" s="17" t="n">
        <x:f>L845+M845</x:f>
        <x:v>283200</x:v>
      </x:c>
      <x:c r="O845" s="12" t="str">
        <x:v>Hyderabad</x:v>
      </x:c>
      <x:c r="P845" s="12" t="str">
        <x:v>CORP-0704, CORP-0705, CORP-0706, CORP-0707, CORP-0708, CORP-0709</x:v>
      </x:c>
      <x:c r="Q845" s="12" t="str">
        <x:v>EverestDX India Pvt Ltd</x:v>
      </x:c>
    </x:row>
    <x:row r="846" ht="48" customHeight="1">
      <x:c r="A846" s="2" t="str">
        <x:v>TEN-1A5E028F30B8</x:v>
      </x:c>
      <x:c r="B846" s="12" t="str">
        <x:v>Everonn Education Limited</x:v>
      </x:c>
      <x:c r="C846" s="12" t="str">
        <x:v>Business / brand</x:v>
      </x:c>
      <x:c r="D846" s="12" t="str">
        <x:v>Education</x:v>
      </x:c>
      <x:c r="E846" s="12" t="str">
        <x:v>Edtech, training &amp; learning</x:v>
      </x:c>
      <x:c r="F846" s="12" t="str">
        <x:v>Mixed business audience</x:v>
      </x:c>
      <x:c r="G846" s="12" t="str">
        <x:v>Established brand or business network; local company scale is not established. Use a mixed-business message.</x:v>
      </x:c>
      <x:c r="H846" s="11" t="n">
        <x:v>1</x:v>
      </x:c>
      <x:c r="I846" s="11" t="n">
        <x:v>1</x:v>
      </x:c>
      <x:c r="J846" s="11" t="n">
        <x:v>1</x:v>
      </x:c>
      <x:c r="K846" s="11" t="n">
        <x:v>0</x:v>
      </x:c>
      <x:c r="L846" s="17" t="n">
        <x:f>SUM(SUMIFS('Costing'!$P$9:$P$492,'Costing'!$A$9:$A$492,"MAIN-159"))</x:f>
        <x:v>15000</x:v>
      </x:c>
      <x:c r="M846" s="17" t="n">
        <x:f>ROUND(L846*'Costing'!$C$4,2)</x:f>
        <x:v>2700</x:v>
      </x:c>
      <x:c r="N846" s="17" t="n">
        <x:f>L846+M846</x:f>
        <x:v>17700</x:v>
      </x:c>
      <x:c r="O846" s="12" t="str">
        <x:v>Chennai</x:v>
      </x:c>
      <x:c r="P846" s="12" t="str">
        <x:v>CORP-0155</x:v>
      </x:c>
      <x:c r="Q846" s="12" t="str">
        <x:v>Everonn Education Limited</x:v>
      </x:c>
    </x:row>
    <x:row r="847" ht="48" customHeight="1">
      <x:c r="A847" s="2" t="str">
        <x:v>TEN-780337EBA367</x:v>
      </x:c>
      <x:c r="B847" s="12" t="str">
        <x:v>EVERSTAR OPTOELECTRONICS PVT. LTD</x:v>
      </x:c>
      <x:c r="C847" s="12" t="str">
        <x:v>Business / brand</x:v>
      </x:c>
      <x:c r="D847" s="12" t="str">
        <x:v>Engineering &amp; manufacturing</x:v>
      </x:c>
      <x:c r="E847" s="12" t="str">
        <x:v>Electronics, industrial systems &amp; manufacturing</x:v>
      </x:c>
      <x:c r="F847" s="12" t="str">
        <x:v>Medium-scale prospects</x:v>
      </x:c>
      <x:c r="G847" s="12" t="str">
        <x:v>Specialist industrial or engineering business; medium-scale prospect assumption.</x:v>
      </x:c>
      <x:c r="H847" s="11" t="n">
        <x:v>2</x:v>
      </x:c>
      <x:c r="I847" s="11" t="n">
        <x:v>2</x:v>
      </x:c>
      <x:c r="J847" s="11" t="n">
        <x:v>2</x:v>
      </x:c>
      <x:c r="K847" s="11" t="n">
        <x:v>0</x:v>
      </x:c>
      <x:c r="L847" s="17" t="n">
        <x:f>SUM(SUMIFS('Costing'!$P$9:$P$492,'Costing'!$A$9:$A$492,"PARTNER-M245"))</x:f>
        <x:v>80000</x:v>
      </x:c>
      <x:c r="M847" s="17" t="n">
        <x:f>ROUND(L847*'Costing'!$C$4,2)</x:f>
        <x:v>14400</x:v>
      </x:c>
      <x:c r="N847" s="17" t="n">
        <x:f>L847+M847</x:f>
        <x:v>94400</x:v>
      </x:c>
      <x:c r="O847" s="12" t="str">
        <x:v>Mumbai</x:v>
      </x:c>
      <x:c r="P847" s="12" t="str">
        <x:v>CORP-0662, CORP-0663</x:v>
      </x:c>
      <x:c r="Q847" s="12" t="str">
        <x:v>EVERSTAR OPTOELECTRONICS PVT. LTD</x:v>
      </x:c>
    </x:row>
    <x:row r="848" ht="48" customHeight="1">
      <x:c r="A848" s="2" t="str">
        <x:v>TEN-D18D18F1C7DA</x:v>
      </x:c>
      <x:c r="B848" s="12" t="str">
        <x:v>Eviden IT Services Private Limited</x:v>
      </x:c>
      <x:c r="C848" s="12" t="str">
        <x:v>Business / brand</x:v>
      </x:c>
      <x:c r="D848" s="12" t="str">
        <x:v>IT &amp; digital</x:v>
      </x:c>
      <x:c r="E848" s="12" t="str">
        <x:v>Enterprise software &amp; digital engineering</x:v>
      </x:c>
      <x:c r="F848" s="12" t="str">
        <x:v>Large enterprise</x:v>
      </x:c>
      <x:c r="G848" s="12" t="str">
        <x:v>Explicit Atos enterprise-family context; see ENTERPRISE_SUPP_021 evidence.</x:v>
      </x:c>
      <x:c r="H848" s="11" t="n">
        <x:v>1</x:v>
      </x:c>
      <x:c r="I848" s="11" t="n">
        <x:v>2</x:v>
      </x:c>
      <x:c r="J848" s="11" t="n">
        <x:v>2</x:v>
      </x:c>
      <x:c r="K848" s="11" t="n">
        <x:v>0</x:v>
      </x:c>
      <x:c r="L848" s="17" t="n">
        <x:f>SUM(SUMIFS('Costing'!$P$9:$P$492,'Costing'!$A$9:$A$492,"MAIN-037"))</x:f>
        <x:v>80000</x:v>
      </x:c>
      <x:c r="M848" s="17" t="n">
        <x:f>ROUND(L848*'Costing'!$C$4,2)</x:f>
        <x:v>14400</x:v>
      </x:c>
      <x:c r="N848" s="17" t="n">
        <x:f>L848+M848</x:f>
        <x:v>94400</x:v>
      </x:c>
      <x:c r="O848" s="12" t="str">
        <x:v>Bengaluru</x:v>
      </x:c>
      <x:c r="P848" s="12" t="str">
        <x:v>CORP-0033</x:v>
      </x:c>
      <x:c r="Q848" s="12" t="str">
        <x:v>Eviden IT Services Private Limited</x:v>
      </x:c>
    </x:row>
    <x:row r="849" ht="48" customHeight="1">
      <x:c r="A849" s="2" t="str">
        <x:v>TEN-85F83B52EA01</x:v>
      </x:c>
      <x:c r="B849" s="12" t="str">
        <x:v>Evo Foods</x:v>
      </x:c>
      <x:c r="C849" s="12" t="str">
        <x:v>Business / brand</x:v>
      </x:c>
      <x:c r="D849" s="12" t="str">
        <x:v>Trade, consumer &amp; logistics</x:v>
      </x:c>
      <x:c r="E849" s="12" t="str">
        <x:v>Travel, hospitality, food &amp; beverages</x:v>
      </x:c>
      <x:c r="F849" s="12" t="str">
        <x:v>Small-scale prospects</x:v>
      </x:c>
      <x:c r="G849" s="12" t="str">
        <x:v>Trading or consumer-services business; small-scale prospect assumption.</x:v>
      </x:c>
      <x:c r="H849" s="11" t="n">
        <x:v>1</x:v>
      </x:c>
      <x:c r="I849" s="11" t="n">
        <x:v>1</x:v>
      </x:c>
      <x:c r="J849" s="11" t="n">
        <x:v>1</x:v>
      </x:c>
      <x:c r="K849" s="11" t="n">
        <x:v>0</x:v>
      </x:c>
      <x:c r="L849" s="17" t="n">
        <x:f>SUM(SUMIFS('Costing'!$P$9:$P$492,'Costing'!$A$9:$A$492,"MAIN-348"))</x:f>
        <x:v>15000</x:v>
      </x:c>
      <x:c r="M849" s="17" t="n">
        <x:f>ROUND(L849*'Costing'!$C$4,2)</x:f>
        <x:v>2700</x:v>
      </x:c>
      <x:c r="N849" s="17" t="n">
        <x:f>L849+M849</x:f>
        <x:v>17700</x:v>
      </x:c>
      <x:c r="O849" s="12" t="str">
        <x:v>Mumbai</x:v>
      </x:c>
      <x:c r="P849" s="12" t="str">
        <x:v>CORP-0344</x:v>
      </x:c>
      <x:c r="Q849" s="12" t="str">
        <x:v>Evo Foods</x:v>
      </x:c>
    </x:row>
    <x:row r="850" ht="48" customHeight="1">
      <x:c r="A850" s="2" t="str">
        <x:v>TEN-3EAF3CE6E89D</x:v>
      </x:c>
      <x:c r="B850" s="12" t="str">
        <x:v>Evolv</x:v>
      </x:c>
      <x:c r="C850" s="12" t="str">
        <x:v>Business / brand</x:v>
      </x:c>
      <x:c r="D850" s="12" t="str">
        <x:v>Unresolved</x:v>
      </x:c>
      <x:c r="E850" s="12" t="str">
        <x:v>Business activity not established</x:v>
      </x:c>
      <x:c r="F850" s="12" t="str">
        <x:v>Mixed business audience</x:v>
      </x:c>
      <x:c r="G850" s="12" t="str">
        <x:v>Business activity and company scale are not established from this name.</x:v>
      </x:c>
      <x:c r="H850" s="11" t="n">
        <x:v>1</x:v>
      </x:c>
      <x:c r="I850" s="11" t="n">
        <x:v>3</x:v>
      </x:c>
      <x:c r="J850" s="11" t="n">
        <x:v>3</x:v>
      </x:c>
      <x:c r="K850" s="11" t="n">
        <x:v>0</x:v>
      </x:c>
      <x:c r="L850" s="17" t="n">
        <x:f>SUM(SUMIFS('Costing'!$P$9:$P$492,'Costing'!$A$9:$A$492,"MAIN-142"))</x:f>
        <x:v>45000</x:v>
      </x:c>
      <x:c r="M850" s="17" t="n">
        <x:f>ROUND(L850*'Costing'!$C$4,2)</x:f>
        <x:v>8100</x:v>
      </x:c>
      <x:c r="N850" s="17" t="n">
        <x:f>L850+M850</x:f>
        <x:v>53100</x:v>
      </x:c>
      <x:c r="O850" s="12" t="str">
        <x:v>Chennai</x:v>
      </x:c>
      <x:c r="P850" s="12" t="str">
        <x:v>CORP-0138</x:v>
      </x:c>
      <x:c r="Q850" s="12" t="str">
        <x:v>Evolv</x:v>
      </x:c>
    </x:row>
    <x:row r="851" ht="48" customHeight="1">
      <x:c r="A851" s="2" t="str">
        <x:v>TEN-9A14611F66A4</x:v>
      </x:c>
      <x:c r="B851" s="12" t="str">
        <x:v>Ewol Now Private Limited</x:v>
      </x:c>
      <x:c r="C851" s="12" t="str">
        <x:v>Business / brand</x:v>
      </x:c>
      <x:c r="D851" s="12" t="str">
        <x:v>Unresolved</x:v>
      </x:c>
      <x:c r="E851" s="12" t="str">
        <x:v>Business activity not established</x:v>
      </x:c>
      <x:c r="F851" s="12" t="str">
        <x:v>Mixed business audience</x:v>
      </x:c>
      <x:c r="G851" s="12" t="str">
        <x:v>Business activity and company scale are not established from this name.</x:v>
      </x:c>
      <x:c r="H851" s="11" t="n">
        <x:v>1</x:v>
      </x:c>
      <x:c r="I851" s="11" t="n">
        <x:v>4</x:v>
      </x:c>
      <x:c r="J851" s="11" t="n">
        <x:v>4</x:v>
      </x:c>
      <x:c r="K851" s="11" t="n">
        <x:v>0</x:v>
      </x:c>
      <x:c r="L851" s="17" t="n">
        <x:f>SUM(SUMIFS('Costing'!$P$9:$P$492,'Costing'!$A$9:$A$492,"MAIN-014"))</x:f>
        <x:v>60000</x:v>
      </x:c>
      <x:c r="M851" s="17" t="n">
        <x:f>ROUND(L851*'Costing'!$C$4,2)</x:f>
        <x:v>10800</x:v>
      </x:c>
      <x:c r="N851" s="17" t="n">
        <x:f>L851+M851</x:f>
        <x:v>70800</x:v>
      </x:c>
      <x:c r="O851" s="12" t="str">
        <x:v>Bengaluru</x:v>
      </x:c>
      <x:c r="P851" s="12" t="str">
        <x:v>CORP-0010</x:v>
      </x:c>
      <x:c r="Q851" s="12" t="str">
        <x:v>Ewol Now Private Limited</x:v>
      </x:c>
    </x:row>
    <x:row r="852" ht="48" customHeight="1">
      <x:c r="A852" s="2" t="str">
        <x:v>TEN-020941631166</x:v>
      </x:c>
      <x:c r="B852" s="12" t="str">
        <x:v>EXA-AG</x:v>
      </x:c>
      <x:c r="C852" s="12" t="str">
        <x:v>Business / brand</x:v>
      </x:c>
      <x:c r="D852" s="12" t="str">
        <x:v>IT &amp; digital</x:v>
      </x:c>
      <x:c r="E852" s="12" t="str">
        <x:v>Enterprise software &amp; digital engineering</x:v>
      </x:c>
      <x:c r="F852" s="12" t="str">
        <x:v>Small-scale prospects</x:v>
      </x:c>
      <x:c r="G852" s="12" t="str">
        <x:v>Software or technology-services business; small-scale prospect assumption.</x:v>
      </x:c>
      <x:c r="H852" s="11" t="n">
        <x:v>9</x:v>
      </x:c>
      <x:c r="I852" s="11" t="n">
        <x:v>9</x:v>
      </x:c>
      <x:c r="J852" s="11" t="n">
        <x:v>9</x:v>
      </x:c>
      <x:c r="K852" s="11" t="n">
        <x:v>0</x:v>
      </x:c>
      <x:c r="L852" s="17" t="n">
        <x:f>SUM(SUMIFS('Costing'!$P$9:$P$492,'Costing'!$A$9:$A$492,"PARTNER-M002"))</x:f>
        <x:v>360000</x:v>
      </x:c>
      <x:c r="M852" s="17" t="n">
        <x:f>ROUND(L852*'Costing'!$C$4,2)</x:f>
        <x:v>64800</x:v>
      </x:c>
      <x:c r="N852" s="17" t="n">
        <x:f>L852+M852</x:f>
        <x:v>424800</x:v>
      </x:c>
      <x:c r="O852" s="12" t="str">
        <x:v>Bengaluru</x:v>
      </x:c>
      <x:c r="P852" s="12" t="str">
        <x:v>CORP-0420, CORP-0421, CORP-0422, CORP-0423, CORP-0424, CORP-0425, CORP-0426, CORP-0427, CORP-0428</x:v>
      </x:c>
      <x:c r="Q852" s="12" t="str">
        <x:v>EXA-AG</x:v>
      </x:c>
    </x:row>
    <x:row r="853" ht="48" customHeight="1">
      <x:c r="A853" s="2" t="str">
        <x:v>TEN-9D1FA6A70A5F</x:v>
      </x:c>
      <x:c r="B853" s="12" t="str">
        <x:v>EXBO group</x:v>
      </x:c>
      <x:c r="C853" s="12" t="str">
        <x:v>Business / brand</x:v>
      </x:c>
      <x:c r="D853" s="12" t="str">
        <x:v>Unresolved</x:v>
      </x:c>
      <x:c r="E853" s="12" t="str">
        <x:v>Business activity not established</x:v>
      </x:c>
      <x:c r="F853" s="12" t="str">
        <x:v>Mixed business audience</x:v>
      </x:c>
      <x:c r="G853" s="12" t="str">
        <x:v>Business activity and company scale are not established from this name.</x:v>
      </x:c>
      <x:c r="H853" s="11" t="n">
        <x:v>2</x:v>
      </x:c>
      <x:c r="I853" s="11" t="n">
        <x:v>3</x:v>
      </x:c>
      <x:c r="J853" s="11" t="n">
        <x:v>3</x:v>
      </x:c>
      <x:c r="K853" s="11" t="n">
        <x:v>0</x:v>
      </x:c>
      <x:c r="L853" s="17" t="n">
        <x:f>SUM(SUMIFS('Costing'!$P$9:$P$492,'Costing'!$A$9:$A$492,"MAIN-284"),SUMIFS('Costing'!$P$9:$P$492,'Costing'!$A$9:$A$492,"MAIN-285"))</x:f>
        <x:v>45000</x:v>
      </x:c>
      <x:c r="M853" s="17" t="n">
        <x:f>ROUND(L853*'Costing'!$C$4,2)</x:f>
        <x:v>8100</x:v>
      </x:c>
      <x:c r="N853" s="17" t="n">
        <x:f>L853+M853</x:f>
        <x:v>53100</x:v>
      </x:c>
      <x:c r="O853" s="12" t="str">
        <x:v>Kolkata</x:v>
      </x:c>
      <x:c r="P853" s="12" t="str">
        <x:v>CORP-0280, CORP-0281</x:v>
      </x:c>
      <x:c r="Q853" s="12" t="str">
        <x:v>EXBO group</x:v>
      </x:c>
    </x:row>
    <x:row r="854" ht="48" customHeight="1">
      <x:c r="A854" s="2" t="str">
        <x:v>TEN-2B02951507EE</x:v>
      </x:c>
      <x:c r="B854" s="12" t="str">
        <x:v>ExcelR</x:v>
      </x:c>
      <x:c r="C854" s="12" t="str">
        <x:v>Business / brand</x:v>
      </x:c>
      <x:c r="D854" s="12" t="str">
        <x:v>Education</x:v>
      </x:c>
      <x:c r="E854" s="12" t="str">
        <x:v>Education, training &amp; childcare</x:v>
      </x:c>
      <x:c r="F854" s="12" t="str">
        <x:v>Small-scale prospects</x:v>
      </x:c>
      <x:c r="G854" s="12" t="str">
        <x:v>Training or education-services business; small-scale prospect assumption.</x:v>
      </x:c>
      <x:c r="H854" s="11" t="n">
        <x:v>6</x:v>
      </x:c>
      <x:c r="I854" s="11" t="n">
        <x:v>6</x:v>
      </x:c>
      <x:c r="J854" s="11" t="n">
        <x:v>6</x:v>
      </x:c>
      <x:c r="K854" s="11" t="n">
        <x:v>0</x:v>
      </x:c>
      <x:c r="L854" s="17" t="n">
        <x:f>SUM(SUMIFS('Costing'!$P$9:$P$492,'Costing'!$A$9:$A$492,"PARTNER-M289"))</x:f>
        <x:v>240000</x:v>
      </x:c>
      <x:c r="M854" s="17" t="n">
        <x:f>ROUND(L854*'Costing'!$C$4,2)</x:f>
        <x:v>43200</x:v>
      </x:c>
      <x:c r="N854" s="17" t="n">
        <x:f>L854+M854</x:f>
        <x:v>283200</x:v>
      </x:c>
      <x:c r="O854" s="12" t="str">
        <x:v>Hyderabad</x:v>
      </x:c>
      <x:c r="P854" s="12" t="str">
        <x:v>CORP-0704, CORP-0705, CORP-0706, CORP-0707, CORP-0708, CORP-0709</x:v>
      </x:c>
      <x:c r="Q854" s="12" t="str">
        <x:v>ExcelR</x:v>
      </x:c>
    </x:row>
    <x:row r="855" ht="75" customHeight="1">
      <x:c r="A855" s="2" t="str">
        <x:v>TEN-61A77647D76D</x:v>
      </x:c>
      <x:c r="B855" s="12" t="str">
        <x:v>Excelra</x:v>
      </x:c>
      <x:c r="C855" s="12" t="str">
        <x:v>Business / brand</x:v>
      </x:c>
      <x:c r="D855" s="12" t="str">
        <x:v>Healthcare &amp; life sciences</x:v>
      </x:c>
      <x:c r="E855" s="12" t="str">
        <x:v>Clinical, medical &amp; diagnostic services</x:v>
      </x:c>
      <x:c r="F855" s="12" t="str">
        <x:v>Large enterprise</x:v>
      </x:c>
      <x:c r="G855" s="12" t="str">
        <x:v>The official company profile reports 1,000 domain experts and a global pharmaceutical partner network. This establishes a substantial scientific-data and informatics operation beyond a generic specialist software or consulting assumption.</x:v>
      </x:c>
      <x:c r="H855" s="11" t="n">
        <x:v>1</x:v>
      </x:c>
      <x:c r="I855" s="11" t="n">
        <x:v>13</x:v>
      </x:c>
      <x:c r="J855" s="11" t="n">
        <x:v>13</x:v>
      </x:c>
      <x:c r="K855" s="11" t="n">
        <x:v>0</x:v>
      </x:c>
      <x:c r="L855" s="17" t="n">
        <x:f>SUM(SUMIFS('Costing'!$P$9:$P$492,'Costing'!$A$9:$A$492,"MAIN-240"))</x:f>
        <x:v>195000</x:v>
      </x:c>
      <x:c r="M855" s="17" t="n">
        <x:f>ROUND(L855*'Costing'!$C$4,2)</x:f>
        <x:v>35100</x:v>
      </x:c>
      <x:c r="N855" s="17" t="n">
        <x:f>L855+M855</x:f>
        <x:v>230100</x:v>
      </x:c>
      <x:c r="O855" s="12" t="str">
        <x:v>Hyderabad</x:v>
      </x:c>
      <x:c r="P855" s="12" t="str">
        <x:v>CORP-0236</x:v>
      </x:c>
      <x:c r="Q855" s="12" t="str">
        <x:v>Excelra</x:v>
      </x:c>
    </x:row>
    <x:row r="856" ht="49" customHeight="1">
      <x:c r="A856" s="2" t="str">
        <x:v>TEN-3416D44D9CA3</x:v>
      </x:c>
      <x:c r="B856" s="12" t="str">
        <x:v>Executive Centre</x:v>
      </x:c>
      <x:c r="C856" s="12" t="str">
        <x:v>Workspace operator</x:v>
      </x:c>
      <x:c r="D856" s="12" t="str">
        <x:v>Workspace &amp; property operations</x:v>
      </x:c>
      <x:c r="E856" s="12" t="str">
        <x:v>Coworking/workspace operator</x:v>
      </x:c>
      <x:c r="F856" s="12" t="str">
        <x:v>Mixed business audience</x:v>
      </x:c>
      <x:c r="G856" s="12" t="str">
        <x:v>Supplied entry is a shared-workspace operator; the business sizes of occupant companies cannot be derived from the operator name.</x:v>
      </x:c>
      <x:c r="H856" s="11" t="n">
        <x:v>2</x:v>
      </x:c>
      <x:c r="I856" s="11" t="n">
        <x:v>2</x:v>
      </x:c>
      <x:c r="J856" s="11" t="n">
        <x:v>2</x:v>
      </x:c>
      <x:c r="K856" s="11" t="n">
        <x:v>0</x:v>
      </x:c>
      <x:c r="L856" s="17" t="n">
        <x:f>SUM(SUMIFS('Costing'!$P$9:$P$492,'Costing'!$A$9:$A$492,"PARTNER-M338"))</x:f>
        <x:v>80000</x:v>
      </x:c>
      <x:c r="M856" s="17" t="n">
        <x:f>ROUND(L856*'Costing'!$C$4,2)</x:f>
        <x:v>14400</x:v>
      </x:c>
      <x:c r="N856" s="17" t="n">
        <x:f>L856+M856</x:f>
        <x:v>94400</x:v>
      </x:c>
      <x:c r="O856" s="12" t="str">
        <x:v>Chennai</x:v>
      </x:c>
      <x:c r="P856" s="12" t="str">
        <x:v>CORP-0752, CORP-0753</x:v>
      </x:c>
      <x:c r="Q856" s="12" t="str">
        <x:v>Executive Centre</x:v>
      </x:c>
    </x:row>
    <x:row r="857" ht="48" customHeight="1">
      <x:c r="A857" s="2" t="str">
        <x:v>TEN-350D5C6F5255</x:v>
      </x:c>
      <x:c r="B857" s="12" t="str">
        <x:v>Exium India Pvt.Ltd</x:v>
      </x:c>
      <x:c r="C857" s="12" t="str">
        <x:v>Business / brand</x:v>
      </x:c>
      <x:c r="D857" s="12" t="str">
        <x:v>IT &amp; digital</x:v>
      </x:c>
      <x:c r="E857" s="12" t="str">
        <x:v>Enterprise software &amp; digital engineering</x:v>
      </x:c>
      <x:c r="F857" s="12" t="str">
        <x:v>Small-scale prospects</x:v>
      </x:c>
      <x:c r="G857" s="12" t="str">
        <x:v>Software or technology-services business; small-scale prospect assumption.</x:v>
      </x:c>
      <x:c r="H857" s="11" t="n">
        <x:v>1</x:v>
      </x:c>
      <x:c r="I857" s="11" t="n">
        <x:v>1</x:v>
      </x:c>
      <x:c r="J857" s="11" t="n">
        <x:v>1</x:v>
      </x:c>
      <x:c r="K857" s="11" t="n">
        <x:v>0</x:v>
      </x:c>
      <x:c r="L857" s="17" t="n">
        <x:f>SUM(SUMIFS('Costing'!$P$9:$P$492,'Costing'!$A$9:$A$492,"MAIN-050"))</x:f>
        <x:v>15000</x:v>
      </x:c>
      <x:c r="M857" s="17" t="n">
        <x:f>ROUND(L857*'Costing'!$C$4,2)</x:f>
        <x:v>2700</x:v>
      </x:c>
      <x:c r="N857" s="17" t="n">
        <x:f>L857+M857</x:f>
        <x:v>17700</x:v>
      </x:c>
      <x:c r="O857" s="12" t="str">
        <x:v>Bengaluru</x:v>
      </x:c>
      <x:c r="P857" s="12" t="str">
        <x:v>CORP-0046</x:v>
      </x:c>
      <x:c r="Q857" s="12" t="str">
        <x:v>Exium India Pvt.Ltd</x:v>
      </x:c>
    </x:row>
    <x:row r="858" ht="48" customHeight="1">
      <x:c r="A858" s="2" t="str">
        <x:v>TEN-B7BEA343B08C</x:v>
      </x:c>
      <x:c r="B858" s="12" t="str">
        <x:v>EXL</x:v>
      </x:c>
      <x:c r="C858" s="12" t="str">
        <x:v>Business / brand</x:v>
      </x:c>
      <x:c r="D858" s="12" t="str">
        <x:v>IT &amp; digital</x:v>
      </x:c>
      <x:c r="E858" s="12" t="str">
        <x:v>Technology services — specialty unverified</x:v>
      </x:c>
      <x:c r="F858" s="12" t="str">
        <x:v>Mixed business audience</x:v>
      </x:c>
      <x:c r="G858" s="12" t="str">
        <x:v>Recognisable business context; company-scale evidence remains insufficient for a single size band.</x:v>
      </x:c>
      <x:c r="H858" s="11" t="n">
        <x:v>9</x:v>
      </x:c>
      <x:c r="I858" s="11" t="n">
        <x:v>9</x:v>
      </x:c>
      <x:c r="J858" s="11" t="n">
        <x:v>9</x:v>
      </x:c>
      <x:c r="K858" s="11" t="n">
        <x:v>0</x:v>
      </x:c>
      <x:c r="L858" s="17" t="n">
        <x:f>SUM(SUMIFS('Costing'!$P$9:$P$492,'Costing'!$A$9:$A$492,"PARTNER-M252"))</x:f>
        <x:v>360000</x:v>
      </x:c>
      <x:c r="M858" s="17" t="n">
        <x:f>ROUND(L858*'Costing'!$C$4,2)</x:f>
        <x:v>64800</x:v>
      </x:c>
      <x:c r="N858" s="17" t="n">
        <x:f>L858+M858</x:f>
        <x:v>424800</x:v>
      </x:c>
      <x:c r="O858" s="12" t="str">
        <x:v>Pune</x:v>
      </x:c>
      <x:c r="P858" s="12" t="str">
        <x:v>CORP-0668, CORP-0669, CORP-0670, CORP-0671, CORP-0672, CORP-0673, CORP-0674, CORP-0675, CORP-0676</x:v>
      </x:c>
      <x:c r="Q858" s="12" t="str">
        <x:v>EXL</x:v>
      </x:c>
    </x:row>
    <x:row r="859" ht="49" customHeight="1">
      <x:c r="A859" s="2" t="str">
        <x:v>TEN-8AD914E76A1E</x:v>
      </x:c>
      <x:c r="B859" s="12" t="str">
        <x:v>Exotel</x:v>
      </x:c>
      <x:c r="C859" s="12" t="str">
        <x:v>Business / brand</x:v>
      </x:c>
      <x:c r="D859" s="12" t="str">
        <x:v>IT &amp; digital</x:v>
      </x:c>
      <x:c r="E859" s="12" t="str">
        <x:v>Cybersecurity &amp; cloud infrastructure</x:v>
      </x:c>
      <x:c r="F859" s="12" t="str">
        <x:v>Small-scale prospects</x:v>
      </x:c>
      <x:c r="G859" s="12" t="str">
        <x:v>Software or technology-services business; small-scale prospect assumption.</x:v>
      </x:c>
      <x:c r="H859" s="11" t="n">
        <x:v>12</x:v>
      </x:c>
      <x:c r="I859" s="11" t="n">
        <x:v>12</x:v>
      </x:c>
      <x:c r="J859" s="11" t="n">
        <x:v>12</x:v>
      </x:c>
      <x:c r="K859" s="11" t="n">
        <x:v>0</x:v>
      </x:c>
      <x:c r="L859" s="17" t="n">
        <x:f>SUM(SUMIFS('Costing'!$P$9:$P$492,'Costing'!$A$9:$A$492,"PARTNER-M162"),SUMIFS('Costing'!$P$9:$P$492,'Costing'!$A$9:$A$492,"PARTNER-M154"))</x:f>
        <x:v>480000</x:v>
      </x:c>
      <x:c r="M859" s="17" t="n">
        <x:f>ROUND(L859*'Costing'!$C$4,2)</x:f>
        <x:v>86400</x:v>
      </x:c>
      <x:c r="N859" s="17" t="n">
        <x:f>L859+M859</x:f>
        <x:v>566400</x:v>
      </x:c>
      <x:c r="O859" s="12" t="str">
        <x:v>Bengaluru</x:v>
      </x:c>
      <x:c r="P859" s="12" t="str">
        <x:v>CORP-0572, CORP-0573, CORP-0574, CORP-0575, CORP-0576, CORP-0577, CORP-0578, CORP-0579, CORP-0580, CORP-0581, CORP-0582, CORP-0583</x:v>
      </x:c>
      <x:c r="Q859" s="12" t="str">
        <x:v>Exotel</x:v>
      </x:c>
    </x:row>
    <x:row r="860" ht="48" customHeight="1">
      <x:c r="A860" s="2" t="str">
        <x:v>TEN-E32A2C3696BC</x:v>
      </x:c>
      <x:c r="B860" s="12" t="str">
        <x:v>Experience Analytics Pvt.Ltd</x:v>
      </x:c>
      <x:c r="C860" s="12" t="str">
        <x:v>Business / brand</x:v>
      </x:c>
      <x:c r="D860" s="12" t="str">
        <x:v>IT &amp; digital</x:v>
      </x:c>
      <x:c r="E860" s="12" t="str">
        <x:v>AI, data &amp; analytics</x:v>
      </x:c>
      <x:c r="F860" s="12" t="str">
        <x:v>Small-scale prospects</x:v>
      </x:c>
      <x:c r="G860" s="12" t="str">
        <x:v>Software or technology-services business; small-scale prospect assumption.</x:v>
      </x:c>
      <x:c r="H860" s="11" t="n">
        <x:v>1</x:v>
      </x:c>
      <x:c r="I860" s="11" t="n">
        <x:v>1</x:v>
      </x:c>
      <x:c r="J860" s="11" t="n">
        <x:v>1</x:v>
      </x:c>
      <x:c r="K860" s="11" t="n">
        <x:v>0</x:v>
      </x:c>
      <x:c r="L860" s="17" t="n">
        <x:f>SUM(SUMIFS('Costing'!$P$9:$P$492,'Costing'!$A$9:$A$492,"MAIN-093"))</x:f>
        <x:v>15000</x:v>
      </x:c>
      <x:c r="M860" s="17" t="n">
        <x:f>ROUND(L860*'Costing'!$C$4,2)</x:f>
        <x:v>2700</x:v>
      </x:c>
      <x:c r="N860" s="17" t="n">
        <x:f>L860+M860</x:f>
        <x:v>17700</x:v>
      </x:c>
      <x:c r="O860" s="12" t="str">
        <x:v>Bengaluru</x:v>
      </x:c>
      <x:c r="P860" s="12" t="str">
        <x:v>CORP-0089</x:v>
      </x:c>
      <x:c r="Q860" s="12" t="str">
        <x:v>Experience Analytics Pvt.Ltd</x:v>
      </x:c>
    </x:row>
    <x:row r="861" ht="48" customHeight="1">
      <x:c r="A861" s="2" t="str">
        <x:v>TEN-9504C9232320</x:v>
      </x:c>
      <x:c r="B861" s="12" t="str">
        <x:v>Experinztrak Pvt.Ltd</x:v>
      </x:c>
      <x:c r="C861" s="12" t="str">
        <x:v>Business / brand</x:v>
      </x:c>
      <x:c r="D861" s="12" t="str">
        <x:v>Unresolved</x:v>
      </x:c>
      <x:c r="E861" s="12" t="str">
        <x:v>Business activity not established</x:v>
      </x:c>
      <x:c r="F861" s="12" t="str">
        <x:v>Mixed business audience</x:v>
      </x:c>
      <x:c r="G861" s="12" t="str">
        <x:v>Business activity and company scale are not established from this name.</x:v>
      </x:c>
      <x:c r="H861" s="11" t="n">
        <x:v>1</x:v>
      </x:c>
      <x:c r="I861" s="11" t="n">
        <x:v>2</x:v>
      </x:c>
      <x:c r="J861" s="11" t="n">
        <x:v>2</x:v>
      </x:c>
      <x:c r="K861" s="11" t="n">
        <x:v>0</x:v>
      </x:c>
      <x:c r="L861" s="17" t="n">
        <x:f>SUM(SUMIFS('Costing'!$P$9:$P$492,'Costing'!$A$9:$A$492,"MAIN-032"))</x:f>
        <x:v>30000</x:v>
      </x:c>
      <x:c r="M861" s="17" t="n">
        <x:f>ROUND(L861*'Costing'!$C$4,2)</x:f>
        <x:v>5400</x:v>
      </x:c>
      <x:c r="N861" s="17" t="n">
        <x:f>L861+M861</x:f>
        <x:v>35400</x:v>
      </x:c>
      <x:c r="O861" s="12" t="str">
        <x:v>Bengaluru</x:v>
      </x:c>
      <x:c r="P861" s="12" t="str">
        <x:v>CORP-0028</x:v>
      </x:c>
      <x:c r="Q861" s="12" t="str">
        <x:v>Experinztrak Pvt.Ltd</x:v>
      </x:c>
    </x:row>
    <x:row r="862" ht="48" customHeight="1">
      <x:c r="A862" s="2" t="str">
        <x:v>TEN-58DF597940A3</x:v>
      </x:c>
      <x:c r="B862" s="12" t="str">
        <x:v>Expert Sources Global Services Pvt Ltd</x:v>
      </x:c>
      <x:c r="C862" s="12" t="str">
        <x:v>Business / brand</x:v>
      </x:c>
      <x:c r="D862" s="12" t="str">
        <x:v>Unresolved</x:v>
      </x:c>
      <x:c r="E862" s="12" t="str">
        <x:v>Business activity not established</x:v>
      </x:c>
      <x:c r="F862" s="12" t="str">
        <x:v>Mixed business audience</x:v>
      </x:c>
      <x:c r="G862" s="12" t="str">
        <x:v>Business activity and company scale are not established from this name.</x:v>
      </x:c>
      <x:c r="H862" s="11" t="n">
        <x:v>1</x:v>
      </x:c>
      <x:c r="I862" s="11" t="n">
        <x:v>6</x:v>
      </x:c>
      <x:c r="J862" s="11" t="n">
        <x:v>6</x:v>
      </x:c>
      <x:c r="K862" s="11" t="n">
        <x:v>0</x:v>
      </x:c>
      <x:c r="L862" s="17" t="n">
        <x:f>SUM(SUMIFS('Costing'!$P$9:$P$492,'Costing'!$A$9:$A$492,"MAIN-312"))</x:f>
        <x:v>90000</x:v>
      </x:c>
      <x:c r="M862" s="17" t="n">
        <x:f>ROUND(L862*'Costing'!$C$4,2)</x:f>
        <x:v>16200</x:v>
      </x:c>
      <x:c r="N862" s="17" t="n">
        <x:f>L862+M862</x:f>
        <x:v>106200</x:v>
      </x:c>
      <x:c r="O862" s="12" t="str">
        <x:v>Mumbai</x:v>
      </x:c>
      <x:c r="P862" s="12" t="str">
        <x:v>CORP-0308</x:v>
      </x:c>
      <x:c r="Q862" s="12" t="str">
        <x:v>Expert Sources Global Services Pvt Ltd</x:v>
      </x:c>
    </x:row>
    <x:row r="863" ht="48" customHeight="1">
      <x:c r="A863" s="2" t="str">
        <x:v>TEN-FB91131C276B</x:v>
      </x:c>
      <x:c r="B863" s="12" t="str">
        <x:v>Extentia Information technology</x:v>
      </x:c>
      <x:c r="C863" s="12" t="str">
        <x:v>Business / brand</x:v>
      </x:c>
      <x:c r="D863" s="12" t="str">
        <x:v>IT &amp; digital</x:v>
      </x:c>
      <x:c r="E863" s="12" t="str">
        <x:v>Enterprise software &amp; digital engineering</x:v>
      </x:c>
      <x:c r="F863" s="12" t="str">
        <x:v>Small-scale prospects</x:v>
      </x:c>
      <x:c r="G863" s="12" t="str">
        <x:v>Software or technology-services business; small-scale prospect assumption.</x:v>
      </x:c>
      <x:c r="H863" s="11" t="n">
        <x:v>1</x:v>
      </x:c>
      <x:c r="I863" s="11" t="n">
        <x:v>8</x:v>
      </x:c>
      <x:c r="J863" s="11" t="n">
        <x:v>8</x:v>
      </x:c>
      <x:c r="K863" s="11" t="n">
        <x:v>0</x:v>
      </x:c>
      <x:c r="L863" s="17" t="n">
        <x:f>SUM(SUMIFS('Costing'!$P$9:$P$492,'Costing'!$A$9:$A$492,"MAIN-009"))</x:f>
        <x:v>120000</x:v>
      </x:c>
      <x:c r="M863" s="17" t="n">
        <x:f>ROUND(L863*'Costing'!$C$4,2)</x:f>
        <x:v>21600</x:v>
      </x:c>
      <x:c r="N863" s="17" t="n">
        <x:f>L863+M863</x:f>
        <x:v>141600</x:v>
      </x:c>
      <x:c r="O863" s="12" t="str">
        <x:v>Bengaluru</x:v>
      </x:c>
      <x:c r="P863" s="12" t="str">
        <x:v>CORP-0005</x:v>
      </x:c>
      <x:c r="Q863" s="12" t="str">
        <x:v>Extentia Information technology</x:v>
      </x:c>
    </x:row>
    <x:row r="864" ht="48" customHeight="1">
      <x:c r="A864" s="2" t="str">
        <x:v>TEN-9A02EA5289C7</x:v>
      </x:c>
      <x:c r="B864" s="12" t="str">
        <x:v>EY GDS</x:v>
      </x:c>
      <x:c r="C864" s="12" t="str">
        <x:v>Business / brand</x:v>
      </x:c>
      <x:c r="D864" s="12" t="str">
        <x:v>Professional services</x:v>
      </x:c>
      <x:c r="E864" s="12" t="str">
        <x:v>Accounting, tax &amp; audit</x:v>
      </x:c>
      <x:c r="F864" s="12" t="str">
        <x:v>Large enterprise</x:v>
      </x:c>
      <x:c r="G864" s="12" t="str">
        <x:v>Explicit EY enterprise-family context; see ENTERPRISE_SUPP_026 evidence.</x:v>
      </x:c>
      <x:c r="H864" s="11" t="n">
        <x:v>2</x:v>
      </x:c>
      <x:c r="I864" s="11" t="n">
        <x:v>6</x:v>
      </x:c>
      <x:c r="J864" s="11" t="n">
        <x:v>6</x:v>
      </x:c>
      <x:c r="K864" s="11" t="n">
        <x:v>0</x:v>
      </x:c>
      <x:c r="L864" s="17" t="n">
        <x:f>SUM(SUMIFS('Costing'!$P$9:$P$492,'Costing'!$A$9:$A$492,"MAIN-153"),SUMIFS('Costing'!$P$9:$P$492,'Costing'!$A$9:$A$492,"MAIN-154"))</x:f>
        <x:v>120000</x:v>
      </x:c>
      <x:c r="M864" s="17" t="n">
        <x:f>ROUND(L864*'Costing'!$C$4,2)</x:f>
        <x:v>21600</x:v>
      </x:c>
      <x:c r="N864" s="17" t="n">
        <x:f>L864+M864</x:f>
        <x:v>141600</x:v>
      </x:c>
      <x:c r="O864" s="12" t="str">
        <x:v>Chennai</x:v>
      </x:c>
      <x:c r="P864" s="12" t="str">
        <x:v>CORP-0149, CORP-0150</x:v>
      </x:c>
      <x:c r="Q864" s="12" t="str">
        <x:v>EY GDS</x:v>
      </x:c>
    </x:row>
    <x:row r="865" ht="48" customHeight="1">
      <x:c r="A865" s="2" t="str">
        <x:v>TEN-9499A1BE2319</x:v>
      </x:c>
      <x:c r="B865" s="12" t="str">
        <x:v>EY Service PVT LTD</x:v>
      </x:c>
      <x:c r="C865" s="12" t="str">
        <x:v>Business / brand</x:v>
      </x:c>
      <x:c r="D865" s="12" t="str">
        <x:v>Professional services</x:v>
      </x:c>
      <x:c r="E865" s="12" t="str">
        <x:v>Accounting, tax &amp; audit</x:v>
      </x:c>
      <x:c r="F865" s="12" t="str">
        <x:v>Large enterprise</x:v>
      </x:c>
      <x:c r="G865" s="12" t="str">
        <x:v>Explicit EY enterprise-family context; see ENTERPRISE_SUPP_026 evidence.</x:v>
      </x:c>
      <x:c r="H865" s="11" t="n">
        <x:v>1</x:v>
      </x:c>
      <x:c r="I865" s="11" t="n">
        <x:v>5</x:v>
      </x:c>
      <x:c r="J865" s="11" t="n">
        <x:v>5</x:v>
      </x:c>
      <x:c r="K865" s="11" t="n">
        <x:v>0</x:v>
      </x:c>
      <x:c r="L865" s="17" t="n">
        <x:f>SUM(SUMIFS('Costing'!$P$9:$P$492,'Costing'!$A$9:$A$492,"MAIN-338"))</x:f>
        <x:v>200000</x:v>
      </x:c>
      <x:c r="M865" s="17" t="n">
        <x:f>ROUND(L865*'Costing'!$C$4,2)</x:f>
        <x:v>36000</x:v>
      </x:c>
      <x:c r="N865" s="17" t="n">
        <x:f>L865+M865</x:f>
        <x:v>236000</x:v>
      </x:c>
      <x:c r="O865" s="12" t="str">
        <x:v>Mumbai</x:v>
      </x:c>
      <x:c r="P865" s="12" t="str">
        <x:v>CORP-0334</x:v>
      </x:c>
      <x:c r="Q865" s="12" t="str">
        <x:v>EY Service PVT LTD</x:v>
      </x:c>
    </x:row>
    <x:row r="866" ht="48" customHeight="1">
      <x:c r="A866" s="2" t="str">
        <x:v>TEN-5C7E939E5259</x:v>
      </x:c>
      <x:c r="B866" s="12" t="str">
        <x:v>Eze Software</x:v>
      </x:c>
      <x:c r="C866" s="12" t="str">
        <x:v>Business / brand</x:v>
      </x:c>
      <x:c r="D866" s="12" t="str">
        <x:v>IT &amp; digital</x:v>
      </x:c>
      <x:c r="E866" s="12" t="str">
        <x:v>Enterprise software &amp; digital engineering</x:v>
      </x:c>
      <x:c r="F866" s="12" t="str">
        <x:v>Mixed business audience</x:v>
      </x:c>
      <x:c r="G866" s="12" t="str">
        <x:v>Established brand or business network; local company scale is not established. Use a mixed-business message.</x:v>
      </x:c>
      <x:c r="H866" s="11" t="n">
        <x:v>8</x:v>
      </x:c>
      <x:c r="I866" s="11" t="n">
        <x:v>8</x:v>
      </x:c>
      <x:c r="J866" s="11" t="n">
        <x:v>8</x:v>
      </x:c>
      <x:c r="K866" s="11" t="n">
        <x:v>0</x:v>
      </x:c>
      <x:c r="L866" s="17" t="n">
        <x:f>SUM(SUMIFS('Costing'!$P$9:$P$492,'Costing'!$A$9:$A$492,"PARTNER-M300"))</x:f>
        <x:v>320000</x:v>
      </x:c>
      <x:c r="M866" s="17" t="n">
        <x:f>ROUND(L866*'Costing'!$C$4,2)</x:f>
        <x:v>57600</x:v>
      </x:c>
      <x:c r="N866" s="17" t="n">
        <x:f>L866+M866</x:f>
        <x:v>377600</x:v>
      </x:c>
      <x:c r="O866" s="12" t="str">
        <x:v>Hyderabad</x:v>
      </x:c>
      <x:c r="P866" s="12" t="str">
        <x:v>CORP-0715, CORP-0716, CORP-0717, CORP-0718, CORP-0719, CORP-0720, CORP-0721, CORP-0722</x:v>
      </x:c>
      <x:c r="Q866" s="12" t="str">
        <x:v>Eze Software</x:v>
      </x:c>
    </x:row>
    <x:row r="867" ht="48" customHeight="1">
      <x:c r="A867" s="2" t="str">
        <x:v>TEN-72B523BE49B1</x:v>
      </x:c>
      <x:c r="B867" s="12" t="str">
        <x:v>FAB Global Business Services</x:v>
      </x:c>
      <x:c r="C867" s="12" t="str">
        <x:v>Business / brand</x:v>
      </x:c>
      <x:c r="D867" s="12" t="str">
        <x:v>Finance &amp; insurance</x:v>
      </x:c>
      <x:c r="E867" s="12" t="str">
        <x:v>Banking, insurance, investments &amp; financial services</x:v>
      </x:c>
      <x:c r="F867" s="12" t="str">
        <x:v>Mixed business audience</x:v>
      </x:c>
      <x:c r="G867" s="12" t="str">
        <x:v>Established brand or business network; local company scale is not established. Use a mixed-business message.</x:v>
      </x:c>
      <x:c r="H867" s="11" t="n">
        <x:v>8</x:v>
      </x:c>
      <x:c r="I867" s="11" t="n">
        <x:v>8</x:v>
      </x:c>
      <x:c r="J867" s="11" t="n">
        <x:v>8</x:v>
      </x:c>
      <x:c r="K867" s="11" t="n">
        <x:v>0</x:v>
      </x:c>
      <x:c r="L867" s="17" t="n">
        <x:f>SUM(SUMIFS('Costing'!$P$9:$P$492,'Costing'!$A$9:$A$492,"PARTNER-M138"))</x:f>
        <x:v>320000</x:v>
      </x:c>
      <x:c r="M867" s="17" t="n">
        <x:f>ROUND(L867*'Costing'!$C$4,2)</x:f>
        <x:v>57600</x:v>
      </x:c>
      <x:c r="N867" s="17" t="n">
        <x:f>L867+M867</x:f>
        <x:v>377600</x:v>
      </x:c>
      <x:c r="O867" s="12" t="str">
        <x:v>Bengaluru</x:v>
      </x:c>
      <x:c r="P867" s="12" t="str">
        <x:v>CORP-0556, CORP-0557, CORP-0558, CORP-0559, CORP-0560, CORP-0561, CORP-0562, CORP-0563</x:v>
      </x:c>
      <x:c r="Q867" s="12" t="str">
        <x:v>FAB Global Business Services</x:v>
      </x:c>
    </x:row>
    <x:row r="868" ht="48" customHeight="1">
      <x:c r="A868" s="2" t="str">
        <x:v>TEN-0690190DD270</x:v>
      </x:c>
      <x:c r="B868" s="12" t="str">
        <x:v>Fabastech</x:v>
      </x:c>
      <x:c r="C868" s="12" t="str">
        <x:v>Business / brand</x:v>
      </x:c>
      <x:c r="D868" s="12" t="str">
        <x:v>Unresolved</x:v>
      </x:c>
      <x:c r="E868" s="12" t="str">
        <x:v>Business activity not established</x:v>
      </x:c>
      <x:c r="F868" s="12" t="str">
        <x:v>Mixed business audience</x:v>
      </x:c>
      <x:c r="G868" s="12" t="str">
        <x:v>Business activity and company scale are not established from this name.</x:v>
      </x:c>
      <x:c r="H868" s="11" t="n">
        <x:v>1</x:v>
      </x:c>
      <x:c r="I868" s="11" t="n">
        <x:v>2</x:v>
      </x:c>
      <x:c r="J868" s="11" t="n">
        <x:v>2</x:v>
      </x:c>
      <x:c r="K868" s="11" t="n">
        <x:v>0</x:v>
      </x:c>
      <x:c r="L868" s="17" t="n">
        <x:f>SUM(SUMIFS('Costing'!$P$9:$P$492,'Costing'!$A$9:$A$492,"MAIN-268"))</x:f>
        <x:v>80000</x:v>
      </x:c>
      <x:c r="M868" s="17" t="n">
        <x:f>ROUND(L868*'Costing'!$C$4,2)</x:f>
        <x:v>14400</x:v>
      </x:c>
      <x:c r="N868" s="17" t="n">
        <x:f>L868+M868</x:f>
        <x:v>94400</x:v>
      </x:c>
      <x:c r="O868" s="12" t="str">
        <x:v>Indore</x:v>
      </x:c>
      <x:c r="P868" s="12" t="str">
        <x:v>CORP-0264</x:v>
      </x:c>
      <x:c r="Q868" s="12" t="str">
        <x:v>Fabastech</x:v>
      </x:c>
    </x:row>
    <x:row r="869" ht="48" customHeight="1">
      <x:c r="A869" s="2" t="str">
        <x:v>TEN-A11F5674D336</x:v>
      </x:c>
      <x:c r="B869" s="12" t="str">
        <x:v>Faber Sindoori Management Services</x:v>
      </x:c>
      <x:c r="C869" s="12" t="str">
        <x:v>Business / brand</x:v>
      </x:c>
      <x:c r="D869" s="12" t="str">
        <x:v>Professional services</x:v>
      </x:c>
      <x:c r="E869" s="12" t="str">
        <x:v>Business consulting &amp; advisory</x:v>
      </x:c>
      <x:c r="F869" s="12" t="str">
        <x:v>Mixed business audience</x:v>
      </x:c>
      <x:c r="G869" s="12" t="str">
        <x:v>Established brand or business network; local company scale is not established. Use a mixed-business message.</x:v>
      </x:c>
      <x:c r="H869" s="11" t="n">
        <x:v>1</x:v>
      </x:c>
      <x:c r="I869" s="11" t="n">
        <x:v>1</x:v>
      </x:c>
      <x:c r="J869" s="11" t="n">
        <x:v>1</x:v>
      </x:c>
      <x:c r="K869" s="11" t="n">
        <x:v>0</x:v>
      </x:c>
      <x:c r="L869" s="17" t="n">
        <x:f>SUM(SUMIFS('Costing'!$P$9:$P$492,'Costing'!$A$9:$A$492,"PARTNER-M331"))</x:f>
        <x:v>40000</x:v>
      </x:c>
      <x:c r="M869" s="17" t="n">
        <x:f>ROUND(L869*'Costing'!$C$4,2)</x:f>
        <x:v>7200</x:v>
      </x:c>
      <x:c r="N869" s="17" t="n">
        <x:f>L869+M869</x:f>
        <x:v>47200</x:v>
      </x:c>
      <x:c r="O869" s="12" t="str">
        <x:v>Chennai</x:v>
      </x:c>
      <x:c r="P869" s="12" t="str">
        <x:v>CORP-0745</x:v>
      </x:c>
      <x:c r="Q869" s="12" t="str">
        <x:v>Faber Sindoori Management Services</x:v>
      </x:c>
    </x:row>
    <x:row r="870" ht="48" customHeight="1">
      <x:c r="A870" s="2" t="str">
        <x:v>TEN-B9974CC73E15</x:v>
      </x:c>
      <x:c r="B870" s="12" t="str">
        <x:v>FabIndia</x:v>
      </x:c>
      <x:c r="C870" s="12" t="str">
        <x:v>Business / brand</x:v>
      </x:c>
      <x:c r="D870" s="12" t="str">
        <x:v>Trade, consumer &amp; logistics</x:v>
      </x:c>
      <x:c r="E870" s="12" t="str">
        <x:v>Consumer/trade services — specialty unverified</x:v>
      </x:c>
      <x:c r="F870" s="12" t="str">
        <x:v>Mixed business audience</x:v>
      </x:c>
      <x:c r="G870" s="12" t="str">
        <x:v>Recognisable business context; company-scale evidence remains insufficient for a single size band.</x:v>
      </x:c>
      <x:c r="H870" s="11" t="n">
        <x:v>1</x:v>
      </x:c>
      <x:c r="I870" s="11" t="n">
        <x:v>2</x:v>
      </x:c>
      <x:c r="J870" s="11" t="n">
        <x:v>2</x:v>
      </x:c>
      <x:c r="K870" s="11" t="n">
        <x:v>0</x:v>
      </x:c>
      <x:c r="L870" s="17" t="n">
        <x:f>SUM(SUMIFS('Costing'!$P$9:$P$492,'Costing'!$A$9:$A$492,"MAIN-268"))</x:f>
        <x:v>80000</x:v>
      </x:c>
      <x:c r="M870" s="17" t="n">
        <x:f>ROUND(L870*'Costing'!$C$4,2)</x:f>
        <x:v>14400</x:v>
      </x:c>
      <x:c r="N870" s="17" t="n">
        <x:f>L870+M870</x:f>
        <x:v>94400</x:v>
      </x:c>
      <x:c r="O870" s="12" t="str">
        <x:v>Indore</x:v>
      </x:c>
      <x:c r="P870" s="12" t="str">
        <x:v>CORP-0264</x:v>
      </x:c>
      <x:c r="Q870" s="12" t="str">
        <x:v>FabIndia</x:v>
      </x:c>
    </x:row>
    <x:row r="871" ht="48" customHeight="1">
      <x:c r="A871" s="2" t="str">
        <x:v>TEN-0B6A8948E21D</x:v>
      </x:c>
      <x:c r="B871" s="12" t="str">
        <x:v>Fabulous Club Pvt.Ltd</x:v>
      </x:c>
      <x:c r="C871" s="12" t="str">
        <x:v>Business / brand</x:v>
      </x:c>
      <x:c r="D871" s="12" t="str">
        <x:v>Unresolved</x:v>
      </x:c>
      <x:c r="E871" s="12" t="str">
        <x:v>Business activity not established</x:v>
      </x:c>
      <x:c r="F871" s="12" t="str">
        <x:v>Mixed business audience</x:v>
      </x:c>
      <x:c r="G871" s="12" t="str">
        <x:v>Business activity and company scale are not established from this name.</x:v>
      </x:c>
      <x:c r="H871" s="11" t="n">
        <x:v>1</x:v>
      </x:c>
      <x:c r="I871" s="11" t="n">
        <x:v>2</x:v>
      </x:c>
      <x:c r="J871" s="11" t="n">
        <x:v>2</x:v>
      </x:c>
      <x:c r="K871" s="11" t="n">
        <x:v>0</x:v>
      </x:c>
      <x:c r="L871" s="17" t="n">
        <x:f>SUM(SUMIFS('Costing'!$P$9:$P$492,'Costing'!$A$9:$A$492,"MAIN-032"))</x:f>
        <x:v>30000</x:v>
      </x:c>
      <x:c r="M871" s="17" t="n">
        <x:f>ROUND(L871*'Costing'!$C$4,2)</x:f>
        <x:v>5400</x:v>
      </x:c>
      <x:c r="N871" s="17" t="n">
        <x:f>L871+M871</x:f>
        <x:v>35400</x:v>
      </x:c>
      <x:c r="O871" s="12" t="str">
        <x:v>Bengaluru</x:v>
      </x:c>
      <x:c r="P871" s="12" t="str">
        <x:v>CORP-0028</x:v>
      </x:c>
      <x:c r="Q871" s="12" t="str">
        <x:v>Fabulous Club Pvt.Ltd</x:v>
      </x:c>
    </x:row>
    <x:row r="872" ht="62" customHeight="1">
      <x:c r="A872" s="2" t="str">
        <x:v>TEN-3D59F7548E1A</x:v>
      </x:c>
      <x:c r="B872" s="12" t="str">
        <x:v>Facebook</x:v>
      </x:c>
      <x:c r="C872" s="12" t="str">
        <x:v>Business / brand</x:v>
      </x:c>
      <x:c r="D872" s="12" t="str">
        <x:v>IT &amp; digital</x:v>
      </x:c>
      <x:c r="E872" s="12" t="str">
        <x:v>Technology services — specialty unverified</x:v>
      </x:c>
      <x:c r="F872" s="12" t="str">
        <x:v>Large enterprise</x:v>
      </x:c>
      <x:c r="G872" s="12" t="str">
        <x:v>Meta's FY2025 results report 78,865 employees at year-end. The supplied Facebook brand is part of this global technology group, so it requires an enterprise override rather than a generic digital-services default.</x:v>
      </x:c>
      <x:c r="H872" s="11" t="n">
        <x:v>1</x:v>
      </x:c>
      <x:c r="I872" s="11" t="n">
        <x:v>21</x:v>
      </x:c>
      <x:c r="J872" s="11" t="n">
        <x:v>21</x:v>
      </x:c>
      <x:c r="K872" s="11" t="n">
        <x:v>0</x:v>
      </x:c>
      <x:c r="L872" s="17" t="n">
        <x:f>SUM(SUMIFS('Costing'!$P$9:$P$492,'Costing'!$A$9:$A$492,"MAIN-253"))</x:f>
        <x:v>840000</x:v>
      </x:c>
      <x:c r="M872" s="17" t="n">
        <x:f>ROUND(L872*'Costing'!$C$4,2)</x:f>
        <x:v>151200</x:v>
      </x:c>
      <x:c r="N872" s="17" t="n">
        <x:f>L872+M872</x:f>
        <x:v>991200</x:v>
      </x:c>
      <x:c r="O872" s="12" t="str">
        <x:v>Hyderabad</x:v>
      </x:c>
      <x:c r="P872" s="12" t="str">
        <x:v>CORP-0249</x:v>
      </x:c>
      <x:c r="Q872" s="12" t="str">
        <x:v>Facebook</x:v>
      </x:c>
    </x:row>
    <x:row r="873" ht="48" customHeight="1">
      <x:c r="A873" s="2" t="str">
        <x:v>TEN-4031B527A5B1</x:v>
      </x:c>
      <x:c r="B873" s="12" t="str">
        <x:v>Factonity Systems Pvt Ltd</x:v>
      </x:c>
      <x:c r="C873" s="12" t="str">
        <x:v>Business / brand</x:v>
      </x:c>
      <x:c r="D873" s="12" t="str">
        <x:v>Unresolved</x:v>
      </x:c>
      <x:c r="E873" s="12" t="str">
        <x:v>Business activity not established</x:v>
      </x:c>
      <x:c r="F873" s="12" t="str">
        <x:v>Mixed business audience</x:v>
      </x:c>
      <x:c r="G873" s="12" t="str">
        <x:v>Business activity and company scale are not established from this name.</x:v>
      </x:c>
      <x:c r="H873" s="11" t="n">
        <x:v>4</x:v>
      </x:c>
      <x:c r="I873" s="11" t="n">
        <x:v>4</x:v>
      </x:c>
      <x:c r="J873" s="11" t="n">
        <x:v>4</x:v>
      </x:c>
      <x:c r="K873" s="11" t="n">
        <x:v>0</x:v>
      </x:c>
      <x:c r="L873" s="17" t="n">
        <x:f>SUM(SUMIFS('Costing'!$P$9:$P$492,'Costing'!$A$9:$A$492,"PARTNER-M056"))</x:f>
        <x:v>160000</x:v>
      </x:c>
      <x:c r="M873" s="17" t="n">
        <x:f>ROUND(L873*'Costing'!$C$4,2)</x:f>
        <x:v>28800</x:v>
      </x:c>
      <x:c r="N873" s="17" t="n">
        <x:f>L873+M873</x:f>
        <x:v>188800</x:v>
      </x:c>
      <x:c r="O873" s="12" t="str">
        <x:v>Bengaluru</x:v>
      </x:c>
      <x:c r="P873" s="12" t="str">
        <x:v>CORP-0474, CORP-0475, CORP-0476, CORP-0477</x:v>
      </x:c>
      <x:c r="Q873" s="12" t="str">
        <x:v>Factonity Systems Pvt Ltd</x:v>
      </x:c>
    </x:row>
    <x:row r="874" ht="48" customHeight="1">
      <x:c r="A874" s="2" t="str">
        <x:v>TEN-148467CBDDAE</x:v>
      </x:c>
      <x:c r="B874" s="12" t="str">
        <x:v>Fairdeal</x:v>
      </x:c>
      <x:c r="C874" s="12" t="str">
        <x:v>Business / brand</x:v>
      </x:c>
      <x:c r="D874" s="12" t="str">
        <x:v>Unresolved</x:v>
      </x:c>
      <x:c r="E874" s="12" t="str">
        <x:v>Business activity not established</x:v>
      </x:c>
      <x:c r="F874" s="12" t="str">
        <x:v>Mixed business audience</x:v>
      </x:c>
      <x:c r="G874" s="12" t="str">
        <x:v>Business activity and company scale are not established from this name.</x:v>
      </x:c>
      <x:c r="H874" s="11" t="n">
        <x:v>1</x:v>
      </x:c>
      <x:c r="I874" s="11" t="n">
        <x:v>2</x:v>
      </x:c>
      <x:c r="J874" s="11" t="n">
        <x:v>2</x:v>
      </x:c>
      <x:c r="K874" s="11" t="n">
        <x:v>0</x:v>
      </x:c>
      <x:c r="L874" s="17" t="n">
        <x:f>SUM(SUMIFS('Costing'!$P$9:$P$492,'Costing'!$A$9:$A$492,"MAIN-268"))</x:f>
        <x:v>80000</x:v>
      </x:c>
      <x:c r="M874" s="17" t="n">
        <x:f>ROUND(L874*'Costing'!$C$4,2)</x:f>
        <x:v>14400</x:v>
      </x:c>
      <x:c r="N874" s="17" t="n">
        <x:f>L874+M874</x:f>
        <x:v>94400</x:v>
      </x:c>
      <x:c r="O874" s="12" t="str">
        <x:v>Indore</x:v>
      </x:c>
      <x:c r="P874" s="12" t="str">
        <x:v>CORP-0264</x:v>
      </x:c>
      <x:c r="Q874" s="12" t="str">
        <x:v>Fairdeal</x:v>
      </x:c>
    </x:row>
    <x:row r="875" ht="48" customHeight="1">
      <x:c r="A875" s="2" t="str">
        <x:v>TEN-0F0CFC68477E</x:v>
      </x:c>
      <x:c r="B875" s="12" t="str">
        <x:v>FAIRDEBT SOLUTIONS PRIVATE LIMITED</x:v>
      </x:c>
      <x:c r="C875" s="12" t="str">
        <x:v>Business / brand</x:v>
      </x:c>
      <x:c r="D875" s="12" t="str">
        <x:v>Finance &amp; insurance</x:v>
      </x:c>
      <x:c r="E875" s="12" t="str">
        <x:v>Banking, credit &amp; financial services</x:v>
      </x:c>
      <x:c r="F875" s="12" t="str">
        <x:v>Medium-scale prospects</x:v>
      </x:c>
      <x:c r="G875" s="12" t="str">
        <x:v>Specialist financial-services business; medium-scale prospect assumption.</x:v>
      </x:c>
      <x:c r="H875" s="11" t="n">
        <x:v>1</x:v>
      </x:c>
      <x:c r="I875" s="11" t="n">
        <x:v>1</x:v>
      </x:c>
      <x:c r="J875" s="11" t="n">
        <x:v>1</x:v>
      </x:c>
      <x:c r="K875" s="11" t="n">
        <x:v>0</x:v>
      </x:c>
      <x:c r="L875" s="17" t="n">
        <x:f>SUM(SUMIFS('Costing'!$P$9:$P$492,'Costing'!$A$9:$A$492,"MAIN-086"))</x:f>
        <x:v>15000</x:v>
      </x:c>
      <x:c r="M875" s="17" t="n">
        <x:f>ROUND(L875*'Costing'!$C$4,2)</x:f>
        <x:v>2700</x:v>
      </x:c>
      <x:c r="N875" s="17" t="n">
        <x:f>L875+M875</x:f>
        <x:v>17700</x:v>
      </x:c>
      <x:c r="O875" s="12" t="str">
        <x:v>Bengaluru</x:v>
      </x:c>
      <x:c r="P875" s="12" t="str">
        <x:v>CORP-0082</x:v>
      </x:c>
      <x:c r="Q875" s="12" t="str">
        <x:v>FAIRDEBT SOLUTIONS PRIVATE LIMITED</x:v>
      </x:c>
    </x:row>
    <x:row r="876" ht="48" customHeight="1">
      <x:c r="A876" s="2" t="str">
        <x:v>TEN-BD95AB918566</x:v>
      </x:c>
      <x:c r="B876" s="12" t="str">
        <x:v>Fambo</x:v>
      </x:c>
      <x:c r="C876" s="12" t="str">
        <x:v>Business / brand</x:v>
      </x:c>
      <x:c r="D876" s="12" t="str">
        <x:v>Trade, consumer &amp; logistics</x:v>
      </x:c>
      <x:c r="E876" s="12" t="str">
        <x:v>Travel, hospitality, food &amp; beverages</x:v>
      </x:c>
      <x:c r="F876" s="12" t="str">
        <x:v>Small-scale prospects</x:v>
      </x:c>
      <x:c r="G876" s="12" t="str">
        <x:v>Trading or consumer-services business; small-scale prospect assumption.</x:v>
      </x:c>
      <x:c r="H876" s="11" t="n">
        <x:v>5</x:v>
      </x:c>
      <x:c r="I876" s="11" t="n">
        <x:v>5</x:v>
      </x:c>
      <x:c r="J876" s="11" t="n">
        <x:v>5</x:v>
      </x:c>
      <x:c r="K876" s="11" t="n">
        <x:v>0</x:v>
      </x:c>
      <x:c r="L876" s="17" t="n">
        <x:f>SUM(SUMIFS('Costing'!$P$9:$P$492,'Costing'!$A$9:$A$492,"PARTNER-M384"))</x:f>
        <x:v>200000</x:v>
      </x:c>
      <x:c r="M876" s="17" t="n">
        <x:f>ROUND(L876*'Costing'!$C$4,2)</x:f>
        <x:v>36000</x:v>
      </x:c>
      <x:c r="N876" s="17" t="n">
        <x:f>L876+M876</x:f>
        <x:v>236000</x:v>
      </x:c>
      <x:c r="O876" s="12" t="str">
        <x:v>Delhi NCR</x:v>
      </x:c>
      <x:c r="P876" s="12" t="str">
        <x:v>CORP-0797, CORP-0798, CORP-0799, CORP-0800, CORP-0801</x:v>
      </x:c>
      <x:c r="Q876" s="12" t="str">
        <x:v>Fambo</x:v>
      </x:c>
    </x:row>
    <x:row r="877" ht="48" customHeight="1">
      <x:c r="A877" s="2" t="str">
        <x:v>TEN-E7ECD96DD676</x:v>
      </x:c>
      <x:c r="B877" s="12" t="str">
        <x:v>Fampay Solutions Pvt.Ltd</x:v>
      </x:c>
      <x:c r="C877" s="12" t="str">
        <x:v>Business / brand</x:v>
      </x:c>
      <x:c r="D877" s="12" t="str">
        <x:v>Finance &amp; insurance</x:v>
      </x:c>
      <x:c r="E877" s="12" t="str">
        <x:v>Payments &amp; financial technology</x:v>
      </x:c>
      <x:c r="F877" s="12" t="str">
        <x:v>Medium-scale prospects</x:v>
      </x:c>
      <x:c r="G877" s="12" t="str">
        <x:v>Specialist financial-services business; medium-scale prospect assumption.</x:v>
      </x:c>
      <x:c r="H877" s="11" t="n">
        <x:v>1</x:v>
      </x:c>
      <x:c r="I877" s="11" t="n">
        <x:v>1</x:v>
      </x:c>
      <x:c r="J877" s="11" t="n">
        <x:v>1</x:v>
      </x:c>
      <x:c r="K877" s="11" t="n">
        <x:v>0</x:v>
      </x:c>
      <x:c r="L877" s="17" t="n">
        <x:f>SUM(SUMIFS('Costing'!$P$9:$P$492,'Costing'!$A$9:$A$492,"MAIN-071"))</x:f>
        <x:v>15000</x:v>
      </x:c>
      <x:c r="M877" s="17" t="n">
        <x:f>ROUND(L877*'Costing'!$C$4,2)</x:f>
        <x:v>2700</x:v>
      </x:c>
      <x:c r="N877" s="17" t="n">
        <x:f>L877+M877</x:f>
        <x:v>17700</x:v>
      </x:c>
      <x:c r="O877" s="12" t="str">
        <x:v>Bengaluru</x:v>
      </x:c>
      <x:c r="P877" s="12" t="str">
        <x:v>CORP-0067</x:v>
      </x:c>
      <x:c r="Q877" s="12" t="str">
        <x:v>Fampay Solutions Pvt.Ltd</x:v>
      </x:c>
    </x:row>
    <x:row r="878" ht="48" customHeight="1">
      <x:c r="A878" s="2" t="str">
        <x:v>TEN-9C192EC7E759</x:v>
      </x:c>
      <x:c r="B878" s="12" t="str">
        <x:v>Farmer counsil of bharth</x:v>
      </x:c>
      <x:c r="C878" s="12" t="str">
        <x:v>Public / nonprofit</x:v>
      </x:c>
      <x:c r="D878" s="12" t="str">
        <x:v>Government &amp; nonprofit</x:v>
      </x:c>
      <x:c r="E878" s="12" t="str">
        <x:v>Public, nonprofit or membership organization</x:v>
      </x:c>
      <x:c r="F878" s="12" t="str">
        <x:v>Institutional</x:v>
      </x:c>
      <x:c r="G878" s="12" t="str">
        <x:v>Public, education or membership organisation context.</x:v>
      </x:c>
      <x:c r="H878" s="11" t="n">
        <x:v>1</x:v>
      </x:c>
      <x:c r="I878" s="11" t="n">
        <x:v>1</x:v>
      </x:c>
      <x:c r="J878" s="11" t="n">
        <x:v>1</x:v>
      </x:c>
      <x:c r="K878" s="11" t="n">
        <x:v>0</x:v>
      </x:c>
      <x:c r="L878" s="17" t="n">
        <x:f>SUM(SUMIFS('Costing'!$P$9:$P$492,'Costing'!$A$9:$A$492,"MAIN-333"))</x:f>
        <x:v>15000</x:v>
      </x:c>
      <x:c r="M878" s="17" t="n">
        <x:f>ROUND(L878*'Costing'!$C$4,2)</x:f>
        <x:v>2700</x:v>
      </x:c>
      <x:c r="N878" s="17" t="n">
        <x:f>L878+M878</x:f>
        <x:v>17700</x:v>
      </x:c>
      <x:c r="O878" s="12" t="str">
        <x:v>Mumbai</x:v>
      </x:c>
      <x:c r="P878" s="12" t="str">
        <x:v>CORP-0329</x:v>
      </x:c>
      <x:c r="Q878" s="12" t="str">
        <x:v>Farmer counsil of bharth</x:v>
      </x:c>
    </x:row>
    <x:row r="879" ht="62" customHeight="1">
      <x:c r="A879" s="2" t="str">
        <x:v>TEN-F36C3561BBA5</x:v>
      </x:c>
      <x:c r="B879" s="12" t="str">
        <x:v>Farzi Cafe</x:v>
      </x:c>
      <x:c r="C879" s="12" t="str">
        <x:v>Business / brand</x:v>
      </x:c>
      <x:c r="D879" s="12" t="str">
        <x:v>Trade, consumer &amp; logistics</x:v>
      </x:c>
      <x:c r="E879" s="12" t="str">
        <x:v>Travel, hospitality, food &amp; beverages</x:v>
      </x:c>
      <x:c r="F879" s="12" t="str">
        <x:v>Mixed business audience</x:v>
      </x:c>
      <x:c r="G879" s="12" t="str">
        <x:v>Restaurant-brand context is established, but the inventory name does not identify whether the local operator is a franchise or the wider group. A micro-business assumption is not used.</x:v>
      </x:c>
      <x:c r="H879" s="11" t="n">
        <x:v>1</x:v>
      </x:c>
      <x:c r="I879" s="11" t="n">
        <x:v>2</x:v>
      </x:c>
      <x:c r="J879" s="11" t="n">
        <x:v>2</x:v>
      </x:c>
      <x:c r="K879" s="11" t="n">
        <x:v>0</x:v>
      </x:c>
      <x:c r="L879" s="17" t="n">
        <x:f>SUM(SUMIFS('Costing'!$P$9:$P$492,'Costing'!$A$9:$A$492,"MAIN-268"))</x:f>
        <x:v>80000</x:v>
      </x:c>
      <x:c r="M879" s="17" t="n">
        <x:f>ROUND(L879*'Costing'!$C$4,2)</x:f>
        <x:v>14400</x:v>
      </x:c>
      <x:c r="N879" s="17" t="n">
        <x:f>L879+M879</x:f>
        <x:v>94400</x:v>
      </x:c>
      <x:c r="O879" s="12" t="str">
        <x:v>Indore</x:v>
      </x:c>
      <x:c r="P879" s="12" t="str">
        <x:v>CORP-0264</x:v>
      </x:c>
      <x:c r="Q879" s="12" t="str">
        <x:v>Farzi Cafe</x:v>
      </x:c>
    </x:row>
    <x:row r="880" ht="48" customHeight="1">
      <x:c r="A880" s="2" t="str">
        <x:v>TEN-3F5468F56323</x:v>
      </x:c>
      <x:c r="B880" s="12" t="str">
        <x:v>Fastenal</x:v>
      </x:c>
      <x:c r="C880" s="12" t="str">
        <x:v>Business / brand</x:v>
      </x:c>
      <x:c r="D880" s="12" t="str">
        <x:v>Engineering &amp; manufacturing</x:v>
      </x:c>
      <x:c r="E880" s="12" t="str">
        <x:v>Chemicals, materials &amp; industrial manufacturing</x:v>
      </x:c>
      <x:c r="F880" s="12" t="str">
        <x:v>Mixed business audience</x:v>
      </x:c>
      <x:c r="G880" s="12" t="str">
        <x:v>Established brand or business network; local company scale is not established. Use a mixed-business message.</x:v>
      </x:c>
      <x:c r="H880" s="11" t="n">
        <x:v>5</x:v>
      </x:c>
      <x:c r="I880" s="11" t="n">
        <x:v>5</x:v>
      </x:c>
      <x:c r="J880" s="11" t="n">
        <x:v>5</x:v>
      </x:c>
      <x:c r="K880" s="11" t="n">
        <x:v>0</x:v>
      </x:c>
      <x:c r="L880" s="17" t="n">
        <x:f>SUM(SUMIFS('Costing'!$P$9:$P$492,'Costing'!$A$9:$A$492,"PARTNER-M060"))</x:f>
        <x:v>200000</x:v>
      </x:c>
      <x:c r="M880" s="17" t="n">
        <x:f>ROUND(L880*'Costing'!$C$4,2)</x:f>
        <x:v>36000</x:v>
      </x:c>
      <x:c r="N880" s="17" t="n">
        <x:f>L880+M880</x:f>
        <x:v>236000</x:v>
      </x:c>
      <x:c r="O880" s="12" t="str">
        <x:v>Bengaluru</x:v>
      </x:c>
      <x:c r="P880" s="12" t="str">
        <x:v>CORP-0478, CORP-0479, CORP-0480, CORP-0481, CORP-0482</x:v>
      </x:c>
      <x:c r="Q880" s="12" t="str">
        <x:v>Fastenal</x:v>
      </x:c>
    </x:row>
    <x:row r="881" ht="48" customHeight="1">
      <x:c r="A881" s="2" t="str">
        <x:v>TEN-847162D496C7</x:v>
      </x:c>
      <x:c r="B881" s="12" t="str">
        <x:v>fastloanservice</x:v>
      </x:c>
      <x:c r="C881" s="12" t="str">
        <x:v>Identity unresolved</x:v>
      </x:c>
      <x:c r="D881" s="12" t="str">
        <x:v>Unresolved</x:v>
      </x:c>
      <x:c r="E881" s="12" t="str">
        <x:v>Business activity not established</x:v>
      </x:c>
      <x:c r="F881" s="12" t="str">
        <x:v>Mixed business audience</x:v>
      </x:c>
      <x:c r="G881" s="12" t="str">
        <x:v>Ambiguous directory record; use the surrounding property audience.</x:v>
      </x:c>
      <x:c r="H881" s="11" t="n">
        <x:v>3</x:v>
      </x:c>
      <x:c r="I881" s="11" t="n">
        <x:v>3</x:v>
      </x:c>
      <x:c r="J881" s="11" t="n">
        <x:v>3</x:v>
      </x:c>
      <x:c r="K881" s="11" t="n">
        <x:v>0</x:v>
      </x:c>
      <x:c r="L881" s="17" t="n">
        <x:f>SUM(SUMIFS('Costing'!$P$9:$P$492,'Costing'!$A$9:$A$492,"PARTNER-M175"))</x:f>
        <x:v>120000</x:v>
      </x:c>
      <x:c r="M881" s="17" t="n">
        <x:f>ROUND(L881*'Costing'!$C$4,2)</x:f>
        <x:v>21600</x:v>
      </x:c>
      <x:c r="N881" s="17" t="n">
        <x:f>L881+M881</x:f>
        <x:v>141600</x:v>
      </x:c>
      <x:c r="O881" s="12" t="str">
        <x:v>Mumbai</x:v>
      </x:c>
      <x:c r="P881" s="12" t="str">
        <x:v>CORP-0592, CORP-0593, CORP-0594</x:v>
      </x:c>
      <x:c r="Q881" s="12" t="str">
        <x:v>fastloanservice</x:v>
      </x:c>
    </x:row>
    <x:row r="882" ht="48" customHeight="1">
      <x:c r="A882" s="2" t="str">
        <x:v>TEN-44D64AA6DF29</x:v>
      </x:c>
      <x:c r="B882" s="12" t="str">
        <x:v>FC Fettle Crave</x:v>
      </x:c>
      <x:c r="C882" s="12" t="str">
        <x:v>Business / brand</x:v>
      </x:c>
      <x:c r="D882" s="12" t="str">
        <x:v>Trade, consumer &amp; logistics</x:v>
      </x:c>
      <x:c r="E882" s="12" t="str">
        <x:v>Travel, hospitality, food &amp; beverages</x:v>
      </x:c>
      <x:c r="F882" s="12" t="str">
        <x:v>Small-scale prospects</x:v>
      </x:c>
      <x:c r="G882" s="12" t="str">
        <x:v>Trading or consumer-services business; small-scale prospect assumption.</x:v>
      </x:c>
      <x:c r="H882" s="11" t="n">
        <x:v>2</x:v>
      </x:c>
      <x:c r="I882" s="11" t="n">
        <x:v>4</x:v>
      </x:c>
      <x:c r="J882" s="11" t="n">
        <x:v>4</x:v>
      </x:c>
      <x:c r="K882" s="11" t="n">
        <x:v>0</x:v>
      </x:c>
      <x:c r="L882" s="17" t="n">
        <x:f>SUM(SUMIFS('Costing'!$P$9:$P$492,'Costing'!$A$9:$A$492,"MAIN-183"),SUMIFS('Costing'!$P$9:$P$492,'Costing'!$A$9:$A$492,"MAIN-184"))</x:f>
        <x:v>75000</x:v>
      </x:c>
      <x:c r="M882" s="17" t="n">
        <x:f>ROUND(L882*'Costing'!$C$4,2)</x:f>
        <x:v>13500</x:v>
      </x:c>
      <x:c r="N882" s="17" t="n">
        <x:f>L882+M882</x:f>
        <x:v>88500</x:v>
      </x:c>
      <x:c r="O882" s="12" t="str">
        <x:v>Delhi NCR</x:v>
      </x:c>
      <x:c r="P882" s="12" t="str">
        <x:v>CORP-0179, CORP-0180</x:v>
      </x:c>
      <x:c r="Q882" s="12" t="str">
        <x:v>FC Fettle Crave</x:v>
      </x:c>
    </x:row>
    <x:row r="883" ht="48" customHeight="1">
      <x:c r="A883" s="2" t="str">
        <x:v>TEN-F558F36CF55C</x:v>
      </x:c>
      <x:c r="B883" s="12" t="str">
        <x:v>FCM travel PVt ltd</x:v>
      </x:c>
      <x:c r="C883" s="12" t="str">
        <x:v>Business / brand</x:v>
      </x:c>
      <x:c r="D883" s="12" t="str">
        <x:v>Trade, consumer &amp; logistics</x:v>
      </x:c>
      <x:c r="E883" s="12" t="str">
        <x:v>Travel, hospitality, food &amp; beverages</x:v>
      </x:c>
      <x:c r="F883" s="12" t="str">
        <x:v>Mixed business audience</x:v>
      </x:c>
      <x:c r="G883" s="12" t="str">
        <x:v>Established brand or business network; local company scale is not established. Use a mixed-business message.</x:v>
      </x:c>
      <x:c r="H883" s="11" t="n">
        <x:v>1</x:v>
      </x:c>
      <x:c r="I883" s="11" t="n">
        <x:v>2</x:v>
      </x:c>
      <x:c r="J883" s="11" t="n">
        <x:v>2</x:v>
      </x:c>
      <x:c r="K883" s="11" t="n">
        <x:v>0</x:v>
      </x:c>
      <x:c r="L883" s="17" t="n">
        <x:f>SUM(SUMIFS('Costing'!$P$9:$P$492,'Costing'!$A$9:$A$492,"MAIN-304"))</x:f>
        <x:v>30000</x:v>
      </x:c>
      <x:c r="M883" s="17" t="n">
        <x:f>ROUND(L883*'Costing'!$C$4,2)</x:f>
        <x:v>5400</x:v>
      </x:c>
      <x:c r="N883" s="17" t="n">
        <x:f>L883+M883</x:f>
        <x:v>35400</x:v>
      </x:c>
      <x:c r="O883" s="12" t="str">
        <x:v>Mumbai</x:v>
      </x:c>
      <x:c r="P883" s="12" t="str">
        <x:v>CORP-0300</x:v>
      </x:c>
      <x:c r="Q883" s="12" t="str">
        <x:v>FCM travel PVt ltd</x:v>
      </x:c>
    </x:row>
    <x:row r="884" ht="48" customHeight="1">
      <x:c r="A884" s="2" t="str">
        <x:v>TEN-F0FE959E9D6B</x:v>
      </x:c>
      <x:c r="B884" s="12" t="str">
        <x:v>Fcm Travel Solutions India Pvt Ltd</x:v>
      </x:c>
      <x:c r="C884" s="12" t="str">
        <x:v>Business / brand</x:v>
      </x:c>
      <x:c r="D884" s="12" t="str">
        <x:v>Trade, consumer &amp; logistics</x:v>
      </x:c>
      <x:c r="E884" s="12" t="str">
        <x:v>Travel, hospitality, food &amp; beverages</x:v>
      </x:c>
      <x:c r="F884" s="12" t="str">
        <x:v>Mixed business audience</x:v>
      </x:c>
      <x:c r="G884" s="12" t="str">
        <x:v>Established brand or business network; local company scale is not established. Use a mixed-business message.</x:v>
      </x:c>
      <x:c r="H884" s="11" t="n">
        <x:v>2</x:v>
      </x:c>
      <x:c r="I884" s="11" t="n">
        <x:v>5</x:v>
      </x:c>
      <x:c r="J884" s="11" t="n">
        <x:v>5</x:v>
      </x:c>
      <x:c r="K884" s="11" t="n">
        <x:v>0</x:v>
      </x:c>
      <x:c r="L884" s="17" t="n">
        <x:f>SUM(SUMIFS('Costing'!$P$9:$P$492,'Costing'!$A$9:$A$492,"MAIN-048"),SUMIFS('Costing'!$P$9:$P$492,'Costing'!$A$9:$A$492,"MAIN-049"))</x:f>
        <x:v>100000</x:v>
      </x:c>
      <x:c r="M884" s="17" t="n">
        <x:f>ROUND(L884*'Costing'!$C$4,2)</x:f>
        <x:v>18000</x:v>
      </x:c>
      <x:c r="N884" s="17" t="n">
        <x:f>L884+M884</x:f>
        <x:v>118000</x:v>
      </x:c>
      <x:c r="O884" s="12" t="str">
        <x:v>Bengaluru</x:v>
      </x:c>
      <x:c r="P884" s="12" t="str">
        <x:v>CORP-0044, CORP-0045</x:v>
      </x:c>
      <x:c r="Q884" s="12" t="str">
        <x:v>Fcm Travel Solutions India Pvt Ltd</x:v>
      </x:c>
    </x:row>
    <x:row r="885" ht="49" customHeight="1">
      <x:c r="A885" s="2" t="str">
        <x:v>TEN-484C6092587B</x:v>
      </x:c>
      <x:c r="B885" s="12" t="str">
        <x:v>Feathertouch Daycare</x:v>
      </x:c>
      <x:c r="C885" s="12" t="str">
        <x:v>Business / brand</x:v>
      </x:c>
      <x:c r="D885" s="12" t="str">
        <x:v>Education</x:v>
      </x:c>
      <x:c r="E885" s="12" t="str">
        <x:v>Schools, childcare &amp; higher education</x:v>
      </x:c>
      <x:c r="F885" s="12" t="str">
        <x:v>Medium-scale prospects</x:v>
      </x:c>
      <x:c r="G885" s="12" t="str">
        <x:v>Company-controlled profile self-reports 51–200 employees and a multi-city daycare network. Medium-scale is an indicative operating-audience estimate.</x:v>
      </x:c>
      <x:c r="H885" s="11" t="n">
        <x:v>8</x:v>
      </x:c>
      <x:c r="I885" s="11" t="n">
        <x:v>8</x:v>
      </x:c>
      <x:c r="J885" s="11" t="n">
        <x:v>8</x:v>
      </x:c>
      <x:c r="K885" s="11" t="n">
        <x:v>0</x:v>
      </x:c>
      <x:c r="L885" s="17" t="n">
        <x:f>SUM(SUMIFS('Costing'!$P$9:$P$492,'Costing'!$A$9:$A$492,"PARTNER-M138"))</x:f>
        <x:v>320000</x:v>
      </x:c>
      <x:c r="M885" s="17" t="n">
        <x:f>ROUND(L885*'Costing'!$C$4,2)</x:f>
        <x:v>57600</x:v>
      </x:c>
      <x:c r="N885" s="17" t="n">
        <x:f>L885+M885</x:f>
        <x:v>377600</x:v>
      </x:c>
      <x:c r="O885" s="12" t="str">
        <x:v>Bengaluru</x:v>
      </x:c>
      <x:c r="P885" s="12" t="str">
        <x:v>CORP-0556, CORP-0557, CORP-0558, CORP-0559, CORP-0560, CORP-0561, CORP-0562, CORP-0563</x:v>
      </x:c>
      <x:c r="Q885" s="12" t="str">
        <x:v>Feathertouch Daycare</x:v>
      </x:c>
    </x:row>
    <x:row r="886" ht="48" customHeight="1">
      <x:c r="A886" s="2" t="str">
        <x:v>TEN-8282A9D2DF02</x:v>
      </x:c>
      <x:c r="B886" s="12" t="str">
        <x:v>FEBROL LIFT INDIA PRIVATE LIMITED</x:v>
      </x:c>
      <x:c r="C886" s="12" t="str">
        <x:v>Business / brand</x:v>
      </x:c>
      <x:c r="D886" s="12" t="str">
        <x:v>Engineering &amp; manufacturing</x:v>
      </x:c>
      <x:c r="E886" s="12" t="str">
        <x:v>Electronics, industrial systems &amp; manufacturing</x:v>
      </x:c>
      <x:c r="F886" s="12" t="str">
        <x:v>Medium-scale prospects</x:v>
      </x:c>
      <x:c r="G886" s="12" t="str">
        <x:v>Specialist industrial or engineering business; medium-scale prospect assumption.</x:v>
      </x:c>
      <x:c r="H886" s="11" t="n">
        <x:v>1</x:v>
      </x:c>
      <x:c r="I886" s="11" t="n">
        <x:v>7</x:v>
      </x:c>
      <x:c r="J886" s="11" t="n">
        <x:v>7</x:v>
      </x:c>
      <x:c r="K886" s="11" t="n">
        <x:v>0</x:v>
      </x:c>
      <x:c r="L886" s="17" t="n">
        <x:f>SUM(SUMIFS('Costing'!$P$9:$P$492,'Costing'!$A$9:$A$492,"MAIN-200"))</x:f>
        <x:v>105000</x:v>
      </x:c>
      <x:c r="M886" s="17" t="n">
        <x:f>ROUND(L886*'Costing'!$C$4,2)</x:f>
        <x:v>18900</x:v>
      </x:c>
      <x:c r="N886" s="17" t="n">
        <x:f>L886+M886</x:f>
        <x:v>123900</x:v>
      </x:c>
      <x:c r="O886" s="12" t="str">
        <x:v>Delhi NCR</x:v>
      </x:c>
      <x:c r="P886" s="12" t="str">
        <x:v>CORP-0196</x:v>
      </x:c>
      <x:c r="Q886" s="12" t="str">
        <x:v>FEBROL LIFT INDIA PRIVATE LIMITED</x:v>
      </x:c>
    </x:row>
    <x:row r="887" ht="48" customHeight="1">
      <x:c r="A887" s="2" t="str">
        <x:v>TEN-4D017C35F549</x:v>
      </x:c>
      <x:c r="B887" s="12" t="str">
        <x:v>Feel at Home</x:v>
      </x:c>
      <x:c r="C887" s="12" t="str">
        <x:v>Business / brand</x:v>
      </x:c>
      <x:c r="D887" s="12" t="str">
        <x:v>Unresolved</x:v>
      </x:c>
      <x:c r="E887" s="12" t="str">
        <x:v>Business activity not established</x:v>
      </x:c>
      <x:c r="F887" s="12" t="str">
        <x:v>Mixed business audience</x:v>
      </x:c>
      <x:c r="G887" s="12" t="str">
        <x:v>Business activity and company scale are not established from this name.</x:v>
      </x:c>
      <x:c r="H887" s="11" t="n">
        <x:v>1</x:v>
      </x:c>
      <x:c r="I887" s="11" t="n">
        <x:v>1</x:v>
      </x:c>
      <x:c r="J887" s="11" t="n">
        <x:v>1</x:v>
      </x:c>
      <x:c r="K887" s="11" t="n">
        <x:v>0</x:v>
      </x:c>
      <x:c r="L887" s="17" t="n">
        <x:f>SUM(SUMIFS('Costing'!$P$9:$P$492,'Costing'!$A$9:$A$492,"MAIN-035"))</x:f>
        <x:v>15000</x:v>
      </x:c>
      <x:c r="M887" s="17" t="n">
        <x:f>ROUND(L887*'Costing'!$C$4,2)</x:f>
        <x:v>2700</x:v>
      </x:c>
      <x:c r="N887" s="17" t="n">
        <x:f>L887+M887</x:f>
        <x:v>17700</x:v>
      </x:c>
      <x:c r="O887" s="12" t="str">
        <x:v>Bengaluru</x:v>
      </x:c>
      <x:c r="P887" s="12" t="str">
        <x:v>CORP-0031</x:v>
      </x:c>
      <x:c r="Q887" s="12" t="str">
        <x:v>Feel at Home</x:v>
      </x:c>
    </x:row>
    <x:row r="888" ht="48" customHeight="1">
      <x:c r="A888" s="2" t="str">
        <x:v>TEN-2772569204D6</x:v>
      </x:c>
      <x:c r="B888" s="12" t="str">
        <x:v>Felabaility HR Solutions</x:v>
      </x:c>
      <x:c r="C888" s="12" t="str">
        <x:v>Business / brand</x:v>
      </x:c>
      <x:c r="D888" s="12" t="str">
        <x:v>Professional services</x:v>
      </x:c>
      <x:c r="E888" s="12" t="str">
        <x:v>Recruitment, HR &amp; staffing</x:v>
      </x:c>
      <x:c r="F888" s="12" t="str">
        <x:v>Small-scale prospects</x:v>
      </x:c>
      <x:c r="G888" s="12" t="str">
        <x:v>Professional service, agency or advisory model; small-scale prospect assumption.</x:v>
      </x:c>
      <x:c r="H888" s="11" t="n">
        <x:v>1</x:v>
      </x:c>
      <x:c r="I888" s="11" t="n">
        <x:v>1</x:v>
      </x:c>
      <x:c r="J888" s="11" t="n">
        <x:v>1</x:v>
      </x:c>
      <x:c r="K888" s="11" t="n">
        <x:v>0</x:v>
      </x:c>
      <x:c r="L888" s="17" t="n">
        <x:f>SUM(SUMIFS('Costing'!$P$9:$P$492,'Costing'!$A$9:$A$492,"MAIN-323"))</x:f>
        <x:v>15000</x:v>
      </x:c>
      <x:c r="M888" s="17" t="n">
        <x:f>ROUND(L888*'Costing'!$C$4,2)</x:f>
        <x:v>2700</x:v>
      </x:c>
      <x:c r="N888" s="17" t="n">
        <x:f>L888+M888</x:f>
        <x:v>17700</x:v>
      </x:c>
      <x:c r="O888" s="12" t="str">
        <x:v>Mumbai</x:v>
      </x:c>
      <x:c r="P888" s="12" t="str">
        <x:v>CORP-0319</x:v>
      </x:c>
      <x:c r="Q888" s="12" t="str">
        <x:v>Felabaility HR Solutions</x:v>
      </x:c>
    </x:row>
    <x:row r="889" ht="48" customHeight="1">
      <x:c r="A889" s="2" t="str">
        <x:v>TEN-841072F668E0</x:v>
      </x:c>
      <x:c r="B889" s="12" t="str">
        <x:v>Felix Advisory Private Limited</x:v>
      </x:c>
      <x:c r="C889" s="12" t="str">
        <x:v>Business / brand</x:v>
      </x:c>
      <x:c r="D889" s="12" t="str">
        <x:v>Professional services</x:v>
      </x:c>
      <x:c r="E889" s="12" t="str">
        <x:v>Business consulting &amp; advisory</x:v>
      </x:c>
      <x:c r="F889" s="12" t="str">
        <x:v>Small-scale prospects</x:v>
      </x:c>
      <x:c r="G889" s="12" t="str">
        <x:v>Professional service, agency or advisory model; small-scale prospect assumption.</x:v>
      </x:c>
      <x:c r="H889" s="11" t="n">
        <x:v>1</x:v>
      </x:c>
      <x:c r="I889" s="11" t="n">
        <x:v>4</x:v>
      </x:c>
      <x:c r="J889" s="11" t="n">
        <x:v>4</x:v>
      </x:c>
      <x:c r="K889" s="11" t="n">
        <x:v>0</x:v>
      </x:c>
      <x:c r="L889" s="17" t="n">
        <x:f>SUM(SUMIFS('Costing'!$P$9:$P$492,'Costing'!$A$9:$A$492,"MAIN-361"))</x:f>
        <x:v>100000</x:v>
      </x:c>
      <x:c r="M889" s="17" t="n">
        <x:f>ROUND(L889*'Costing'!$C$4,2)</x:f>
        <x:v>18000</x:v>
      </x:c>
      <x:c r="N889" s="17" t="n">
        <x:f>L889+M889</x:f>
        <x:v>118000</x:v>
      </x:c>
      <x:c r="O889" s="12" t="str">
        <x:v>Mumbai</x:v>
      </x:c>
      <x:c r="P889" s="12" t="str">
        <x:v>CORP-0357</x:v>
      </x:c>
      <x:c r="Q889" s="12" t="str">
        <x:v>Felix Advisory Private Limited</x:v>
      </x:c>
    </x:row>
    <x:row r="890" ht="48" customHeight="1">
      <x:c r="A890" s="2" t="str">
        <x:v>TEN-E622BF93922B</x:v>
      </x:c>
      <x:c r="B890" s="12" t="str">
        <x:v>Fever 104 FM</x:v>
      </x:c>
      <x:c r="C890" s="12" t="str">
        <x:v>Business / brand</x:v>
      </x:c>
      <x:c r="D890" s="12" t="str">
        <x:v>Trade, consumer &amp; logistics</x:v>
      </x:c>
      <x:c r="E890" s="12" t="str">
        <x:v>Consumer/trade services — specialty unverified</x:v>
      </x:c>
      <x:c r="F890" s="12" t="str">
        <x:v>Mixed business audience</x:v>
      </x:c>
      <x:c r="G890" s="12" t="str">
        <x:v>Recognisable business context; company-scale evidence remains insufficient for a single size band.</x:v>
      </x:c>
      <x:c r="H890" s="11" t="n">
        <x:v>1</x:v>
      </x:c>
      <x:c r="I890" s="11" t="n">
        <x:v>9</x:v>
      </x:c>
      <x:c r="J890" s="11" t="n">
        <x:v>9</x:v>
      </x:c>
      <x:c r="K890" s="11" t="n">
        <x:v>0</x:v>
      </x:c>
      <x:c r="L890" s="17" t="n">
        <x:f>SUM(SUMIFS('Costing'!$P$9:$P$492,'Costing'!$A$9:$A$492,"MAIN-326"))</x:f>
        <x:v>360000</x:v>
      </x:c>
      <x:c r="M890" s="17" t="n">
        <x:f>ROUND(L890*'Costing'!$C$4,2)</x:f>
        <x:v>64800</x:v>
      </x:c>
      <x:c r="N890" s="17" t="n">
        <x:f>L890+M890</x:f>
        <x:v>424800</x:v>
      </x:c>
      <x:c r="O890" s="12" t="str">
        <x:v>Mumbai</x:v>
      </x:c>
      <x:c r="P890" s="12" t="str">
        <x:v>CORP-0322</x:v>
      </x:c>
      <x:c r="Q890" s="12" t="str">
        <x:v>Fever 104 FM</x:v>
      </x:c>
    </x:row>
    <x:row r="891" ht="48" customHeight="1">
      <x:c r="A891" s="2" t="str">
        <x:v>TEN-674252DF0AE9</x:v>
      </x:c>
      <x:c r="B891" s="12" t="str">
        <x:v>Fibbir</x:v>
      </x:c>
      <x:c r="C891" s="12" t="str">
        <x:v>Business / brand</x:v>
      </x:c>
      <x:c r="D891" s="12" t="str">
        <x:v>Unresolved</x:v>
      </x:c>
      <x:c r="E891" s="12" t="str">
        <x:v>Business activity not established</x:v>
      </x:c>
      <x:c r="F891" s="12" t="str">
        <x:v>Mixed business audience</x:v>
      </x:c>
      <x:c r="G891" s="12" t="str">
        <x:v>Business activity and company scale are not established from this name.</x:v>
      </x:c>
      <x:c r="H891" s="11" t="n">
        <x:v>1</x:v>
      </x:c>
      <x:c r="I891" s="11" t="n">
        <x:v>2</x:v>
      </x:c>
      <x:c r="J891" s="11" t="n">
        <x:v>2</x:v>
      </x:c>
      <x:c r="K891" s="11" t="n">
        <x:v>0</x:v>
      </x:c>
      <x:c r="L891" s="17" t="n">
        <x:f>SUM(SUMIFS('Costing'!$P$9:$P$492,'Costing'!$A$9:$A$492,"MAIN-095"))</x:f>
        <x:v>30000</x:v>
      </x:c>
      <x:c r="M891" s="17" t="n">
        <x:f>ROUND(L891*'Costing'!$C$4,2)</x:f>
        <x:v>5400</x:v>
      </x:c>
      <x:c r="N891" s="17" t="n">
        <x:f>L891+M891</x:f>
        <x:v>35400</x:v>
      </x:c>
      <x:c r="O891" s="12" t="str">
        <x:v>Bengaluru</x:v>
      </x:c>
      <x:c r="P891" s="12" t="str">
        <x:v>CORP-0091</x:v>
      </x:c>
      <x:c r="Q891" s="12" t="str">
        <x:v>Fibbir</x:v>
      </x:c>
    </x:row>
    <x:row r="892" ht="48" customHeight="1">
      <x:c r="A892" s="2" t="str">
        <x:v>TEN-BE37BBF098BB</x:v>
      </x:c>
      <x:c r="B892" s="12" t="str">
        <x:v>Fico</x:v>
      </x:c>
      <x:c r="C892" s="12" t="str">
        <x:v>Business / brand</x:v>
      </x:c>
      <x:c r="D892" s="12" t="str">
        <x:v>IT &amp; digital</x:v>
      </x:c>
      <x:c r="E892" s="12" t="str">
        <x:v>Technology services — specialty unverified</x:v>
      </x:c>
      <x:c r="F892" s="12" t="str">
        <x:v>Mixed business audience</x:v>
      </x:c>
      <x:c r="G892" s="12" t="str">
        <x:v>Recognisable business context; company-scale evidence remains insufficient for a single size band.</x:v>
      </x:c>
      <x:c r="H892" s="11" t="n">
        <x:v>9</x:v>
      </x:c>
      <x:c r="I892" s="11" t="n">
        <x:v>9</x:v>
      </x:c>
      <x:c r="J892" s="11" t="n">
        <x:v>9</x:v>
      </x:c>
      <x:c r="K892" s="11" t="n">
        <x:v>0</x:v>
      </x:c>
      <x:c r="L892" s="17" t="n">
        <x:f>SUM(SUMIFS('Costing'!$P$9:$P$492,'Costing'!$A$9:$A$492,"PARTNER-M252"))</x:f>
        <x:v>360000</x:v>
      </x:c>
      <x:c r="M892" s="17" t="n">
        <x:f>ROUND(L892*'Costing'!$C$4,2)</x:f>
        <x:v>64800</x:v>
      </x:c>
      <x:c r="N892" s="17" t="n">
        <x:f>L892+M892</x:f>
        <x:v>424800</x:v>
      </x:c>
      <x:c r="O892" s="12" t="str">
        <x:v>Pune</x:v>
      </x:c>
      <x:c r="P892" s="12" t="str">
        <x:v>CORP-0668, CORP-0669, CORP-0670, CORP-0671, CORP-0672, CORP-0673, CORP-0674, CORP-0675, CORP-0676</x:v>
      </x:c>
      <x:c r="Q892" s="12" t="str">
        <x:v>Fico</x:v>
      </x:c>
    </x:row>
    <x:row r="893" ht="48" customHeight="1">
      <x:c r="A893" s="2" t="str">
        <x:v>TEN-F611BEAB4643</x:v>
      </x:c>
      <x:c r="B893" s="12" t="str">
        <x:v>Fidelity</x:v>
      </x:c>
      <x:c r="C893" s="12" t="str">
        <x:v>Business / brand</x:v>
      </x:c>
      <x:c r="D893" s="12" t="str">
        <x:v>Finance &amp; insurance</x:v>
      </x:c>
      <x:c r="E893" s="12" t="str">
        <x:v>Investments, securities &amp; wealth</x:v>
      </x:c>
      <x:c r="F893" s="12" t="str">
        <x:v>Mixed business audience</x:v>
      </x:c>
      <x:c r="G893" s="12" t="str">
        <x:v>Recognisable business context; company-scale evidence remains insufficient for a single size band.</x:v>
      </x:c>
      <x:c r="H893" s="11" t="n">
        <x:v>5</x:v>
      </x:c>
      <x:c r="I893" s="11" t="n">
        <x:v>5</x:v>
      </x:c>
      <x:c r="J893" s="11" t="n">
        <x:v>5</x:v>
      </x:c>
      <x:c r="K893" s="11" t="n">
        <x:v>0</x:v>
      </x:c>
      <x:c r="L893" s="17" t="n">
        <x:f>SUM(SUMIFS('Costing'!$P$9:$P$492,'Costing'!$A$9:$A$492,"PARTNER-M051"))</x:f>
        <x:v>200000</x:v>
      </x:c>
      <x:c r="M893" s="17" t="n">
        <x:f>ROUND(L893*'Costing'!$C$4,2)</x:f>
        <x:v>36000</x:v>
      </x:c>
      <x:c r="N893" s="17" t="n">
        <x:f>L893+M893</x:f>
        <x:v>236000</x:v>
      </x:c>
      <x:c r="O893" s="12" t="str">
        <x:v>Bengaluru</x:v>
      </x:c>
      <x:c r="P893" s="12" t="str">
        <x:v>CORP-0469, CORP-0470, CORP-0471, CORP-0472, CORP-0473</x:v>
      </x:c>
      <x:c r="Q893" s="12" t="str">
        <x:v>Fidelity</x:v>
      </x:c>
    </x:row>
    <x:row r="894" ht="48" customHeight="1">
      <x:c r="A894" s="2" t="str">
        <x:v>TEN-394B4E545B9B</x:v>
      </x:c>
      <x:c r="B894" s="12" t="str">
        <x:v>Fidelity National Financial</x:v>
      </x:c>
      <x:c r="C894" s="12" t="str">
        <x:v>Business / brand</x:v>
      </x:c>
      <x:c r="D894" s="12" t="str">
        <x:v>Finance &amp; insurance</x:v>
      </x:c>
      <x:c r="E894" s="12" t="str">
        <x:v>Investments, securities &amp; wealth</x:v>
      </x:c>
      <x:c r="F894" s="12" t="str">
        <x:v>Mixed business audience</x:v>
      </x:c>
      <x:c r="G894" s="12" t="str">
        <x:v>Recognisable business context; company-scale evidence remains insufficient for a single size band.</x:v>
      </x:c>
      <x:c r="H894" s="11" t="n">
        <x:v>6</x:v>
      </x:c>
      <x:c r="I894" s="11" t="n">
        <x:v>6</x:v>
      </x:c>
      <x:c r="J894" s="11" t="n">
        <x:v>6</x:v>
      </x:c>
      <x:c r="K894" s="11" t="n">
        <x:v>0</x:v>
      </x:c>
      <x:c r="L894" s="17" t="n">
        <x:f>SUM(SUMIFS('Costing'!$P$9:$P$492,'Costing'!$A$9:$A$492,"PARTNER-M072"))</x:f>
        <x:v>240000</x:v>
      </x:c>
      <x:c r="M894" s="17" t="n">
        <x:f>ROUND(L894*'Costing'!$C$4,2)</x:f>
        <x:v>43200</x:v>
      </x:c>
      <x:c r="N894" s="17" t="n">
        <x:f>L894+M894</x:f>
        <x:v>283200</x:v>
      </x:c>
      <x:c r="O894" s="12" t="str">
        <x:v>Bengaluru</x:v>
      </x:c>
      <x:c r="P894" s="12" t="str">
        <x:v>CORP-0490, CORP-0491, CORP-0492, CORP-0493, CORP-0494, CORP-0495</x:v>
      </x:c>
      <x:c r="Q894" s="12" t="str">
        <x:v>Fidelity National Financial</x:v>
      </x:c>
    </x:row>
    <x:row r="895" ht="48" customHeight="1">
      <x:c r="A895" s="2" t="str">
        <x:v>TEN-BE5131973D4C</x:v>
      </x:c>
      <x:c r="B895" s="12" t="str">
        <x:v>FIGmd (India) Pvt. Ltd</x:v>
      </x:c>
      <x:c r="C895" s="12" t="str">
        <x:v>Business / brand</x:v>
      </x:c>
      <x:c r="D895" s="12" t="str">
        <x:v>IT &amp; digital</x:v>
      </x:c>
      <x:c r="E895" s="12" t="str">
        <x:v>Enterprise software &amp; digital engineering</x:v>
      </x:c>
      <x:c r="F895" s="12" t="str">
        <x:v>Mixed business audience</x:v>
      </x:c>
      <x:c r="G895" s="12" t="str">
        <x:v>Established brand or business network; local company scale is not established. Use a mixed-business message.</x:v>
      </x:c>
      <x:c r="H895" s="11" t="n">
        <x:v>3</x:v>
      </x:c>
      <x:c r="I895" s="11" t="n">
        <x:v>3</x:v>
      </x:c>
      <x:c r="J895" s="11" t="n">
        <x:v>3</x:v>
      </x:c>
      <x:c r="K895" s="11" t="n">
        <x:v>0</x:v>
      </x:c>
      <x:c r="L895" s="17" t="n">
        <x:f>SUM(SUMIFS('Costing'!$P$9:$P$492,'Costing'!$A$9:$A$492,"PARTNER-M265"))</x:f>
        <x:v>120000</x:v>
      </x:c>
      <x:c r="M895" s="17" t="n">
        <x:f>ROUND(L895*'Costing'!$C$4,2)</x:f>
        <x:v>21600</x:v>
      </x:c>
      <x:c r="N895" s="17" t="n">
        <x:f>L895+M895</x:f>
        <x:v>141600</x:v>
      </x:c>
      <x:c r="O895" s="12" t="str">
        <x:v>Pune</x:v>
      </x:c>
      <x:c r="P895" s="12" t="str">
        <x:v>CORP-0681, CORP-0682, CORP-0683</x:v>
      </x:c>
      <x:c r="Q895" s="12" t="str">
        <x:v>FIGmd (India) Pvt. Ltd</x:v>
      </x:c>
    </x:row>
    <x:row r="896" ht="48" customHeight="1">
      <x:c r="A896" s="2" t="str">
        <x:v>TEN-9181FE4A83A6</x:v>
      </x:c>
      <x:c r="B896" s="12" t="str">
        <x:v>Financial Software &amp; Systems Pvt Ltd</x:v>
      </x:c>
      <x:c r="C896" s="12" t="str">
        <x:v>Business / brand</x:v>
      </x:c>
      <x:c r="D896" s="12" t="str">
        <x:v>Finance &amp; insurance</x:v>
      </x:c>
      <x:c r="E896" s="12" t="str">
        <x:v>Banking, credit &amp; financial services</x:v>
      </x:c>
      <x:c r="F896" s="12" t="str">
        <x:v>Mixed business audience</x:v>
      </x:c>
      <x:c r="G896" s="12" t="str">
        <x:v>Established brand or business network; local company scale is not established. Use a mixed-business message.</x:v>
      </x:c>
      <x:c r="H896" s="11" t="n">
        <x:v>1</x:v>
      </x:c>
      <x:c r="I896" s="11" t="n">
        <x:v>1</x:v>
      </x:c>
      <x:c r="J896" s="11" t="n">
        <x:v>1</x:v>
      </x:c>
      <x:c r="K896" s="11" t="n">
        <x:v>0</x:v>
      </x:c>
      <x:c r="L896" s="17" t="n">
        <x:f>SUM(SUMIFS('Costing'!$P$9:$P$492,'Costing'!$A$9:$A$492,"MAIN-319"))</x:f>
        <x:v>15000</x:v>
      </x:c>
      <x:c r="M896" s="17" t="n">
        <x:f>ROUND(L896*'Costing'!$C$4,2)</x:f>
        <x:v>2700</x:v>
      </x:c>
      <x:c r="N896" s="17" t="n">
        <x:f>L896+M896</x:f>
        <x:v>17700</x:v>
      </x:c>
      <x:c r="O896" s="12" t="str">
        <x:v>Mumbai</x:v>
      </x:c>
      <x:c r="P896" s="12" t="str">
        <x:v>CORP-0315</x:v>
      </x:c>
      <x:c r="Q896" s="12" t="str">
        <x:v>Financial Software &amp; Systems Pvt Ltd</x:v>
      </x:c>
    </x:row>
    <x:row r="897" ht="48" customHeight="1">
      <x:c r="A897" s="2" t="str">
        <x:v>TEN-371295751A36</x:v>
      </x:c>
      <x:c r="B897" s="12" t="str">
        <x:v>Fincrux Technologies</x:v>
      </x:c>
      <x:c r="C897" s="12" t="str">
        <x:v>Business / brand</x:v>
      </x:c>
      <x:c r="D897" s="12" t="str">
        <x:v>Unresolved</x:v>
      </x:c>
      <x:c r="E897" s="12" t="str">
        <x:v>Business activity not established</x:v>
      </x:c>
      <x:c r="F897" s="12" t="str">
        <x:v>Mixed business audience</x:v>
      </x:c>
      <x:c r="G897" s="12" t="str">
        <x:v>Business activity and company scale are not established from this name.</x:v>
      </x:c>
      <x:c r="H897" s="11" t="n">
        <x:v>2</x:v>
      </x:c>
      <x:c r="I897" s="11" t="n">
        <x:v>2</x:v>
      </x:c>
      <x:c r="J897" s="11" t="n">
        <x:v>2</x:v>
      </x:c>
      <x:c r="K897" s="11" t="n">
        <x:v>0</x:v>
      </x:c>
      <x:c r="L897" s="17" t="n">
        <x:f>SUM(SUMIFS('Costing'!$P$9:$P$492,'Costing'!$A$9:$A$492,"PARTNER-M239"))</x:f>
        <x:v>80000</x:v>
      </x:c>
      <x:c r="M897" s="17" t="n">
        <x:f>ROUND(L897*'Costing'!$C$4,2)</x:f>
        <x:v>14400</x:v>
      </x:c>
      <x:c r="N897" s="17" t="n">
        <x:f>L897+M897</x:f>
        <x:v>94400</x:v>
      </x:c>
      <x:c r="O897" s="12" t="str">
        <x:v>Mumbai</x:v>
      </x:c>
      <x:c r="P897" s="12" t="str">
        <x:v>CORP-0656, CORP-0657</x:v>
      </x:c>
      <x:c r="Q897" s="12" t="str">
        <x:v>Fincrux Technologies</x:v>
      </x:c>
    </x:row>
    <x:row r="898" ht="48" customHeight="1">
      <x:c r="A898" s="2" t="str">
        <x:v>TEN-EDB7F8479A70</x:v>
      </x:c>
      <x:c r="B898" s="12" t="str">
        <x:v>Findem technologies India Pvt ltd</x:v>
      </x:c>
      <x:c r="C898" s="12" t="str">
        <x:v>Business / brand</x:v>
      </x:c>
      <x:c r="D898" s="12" t="str">
        <x:v>Professional services</x:v>
      </x:c>
      <x:c r="E898" s="12" t="str">
        <x:v>Research, marketing &amp; professional services</x:v>
      </x:c>
      <x:c r="F898" s="12" t="str">
        <x:v>Small-scale prospects</x:v>
      </x:c>
      <x:c r="G898" s="12" t="str">
        <x:v>Professional service, agency or advisory model; small-scale prospect assumption.</x:v>
      </x:c>
      <x:c r="H898" s="11" t="n">
        <x:v>1</x:v>
      </x:c>
      <x:c r="I898" s="11" t="n">
        <x:v>1</x:v>
      </x:c>
      <x:c r="J898" s="11" t="n">
        <x:v>1</x:v>
      </x:c>
      <x:c r="K898" s="11" t="n">
        <x:v>0</x:v>
      </x:c>
      <x:c r="L898" s="17" t="n">
        <x:f>SUM(SUMIFS('Costing'!$P$9:$P$492,'Costing'!$A$9:$A$492,"MAIN-028"))</x:f>
        <x:v>15000</x:v>
      </x:c>
      <x:c r="M898" s="17" t="n">
        <x:f>ROUND(L898*'Costing'!$C$4,2)</x:f>
        <x:v>2700</x:v>
      </x:c>
      <x:c r="N898" s="17" t="n">
        <x:f>L898+M898</x:f>
        <x:v>17700</x:v>
      </x:c>
      <x:c r="O898" s="12" t="str">
        <x:v>Bengaluru</x:v>
      </x:c>
      <x:c r="P898" s="12" t="str">
        <x:v>CORP-0024</x:v>
      </x:c>
      <x:c r="Q898" s="12" t="str">
        <x:v>Findem technologies India Pvt ltd</x:v>
      </x:c>
    </x:row>
    <x:row r="899" ht="48" customHeight="1">
      <x:c r="A899" s="2" t="str">
        <x:v>TEN-65C07372CD3C</x:v>
      </x:c>
      <x:c r="B899" s="12" t="str">
        <x:v>Finesse informition system</x:v>
      </x:c>
      <x:c r="C899" s="12" t="str">
        <x:v>Business / brand</x:v>
      </x:c>
      <x:c r="D899" s="12" t="str">
        <x:v>Unresolved</x:v>
      </x:c>
      <x:c r="E899" s="12" t="str">
        <x:v>Business activity not established</x:v>
      </x:c>
      <x:c r="F899" s="12" t="str">
        <x:v>Mixed business audience</x:v>
      </x:c>
      <x:c r="G899" s="12" t="str">
        <x:v>Business activity and company scale are not established from this name.</x:v>
      </x:c>
      <x:c r="H899" s="11" t="n">
        <x:v>1</x:v>
      </x:c>
      <x:c r="I899" s="11" t="n">
        <x:v>3</x:v>
      </x:c>
      <x:c r="J899" s="11" t="n">
        <x:v>3</x:v>
      </x:c>
      <x:c r="K899" s="11" t="n">
        <x:v>0</x:v>
      </x:c>
      <x:c r="L899" s="17" t="n">
        <x:f>SUM(SUMIFS('Costing'!$P$9:$P$492,'Costing'!$A$9:$A$492,"MAIN-292"))</x:f>
        <x:v>120000</x:v>
      </x:c>
      <x:c r="M899" s="17" t="n">
        <x:f>ROUND(L899*'Costing'!$C$4,2)</x:f>
        <x:v>21600</x:v>
      </x:c>
      <x:c r="N899" s="17" t="n">
        <x:f>L899+M899</x:f>
        <x:v>141600</x:v>
      </x:c>
      <x:c r="O899" s="12" t="str">
        <x:v>Lucknow</x:v>
      </x:c>
      <x:c r="P899" s="12" t="str">
        <x:v>CORP-0288</x:v>
      </x:c>
      <x:c r="Q899" s="12" t="str">
        <x:v>Finesse informition system</x:v>
      </x:c>
    </x:row>
    <x:row r="900" ht="48" customHeight="1">
      <x:c r="A900" s="2" t="str">
        <x:v>TEN-E9167BFA6167</x:v>
      </x:c>
      <x:c r="B900" s="12" t="str">
        <x:v>Finicity</x:v>
      </x:c>
      <x:c r="C900" s="12" t="str">
        <x:v>Business / brand</x:v>
      </x:c>
      <x:c r="D900" s="12" t="str">
        <x:v>Finance &amp; insurance</x:v>
      </x:c>
      <x:c r="E900" s="12" t="str">
        <x:v>Financial services — specialty unverified</x:v>
      </x:c>
      <x:c r="F900" s="12" t="str">
        <x:v>Mixed business audience</x:v>
      </x:c>
      <x:c r="G900" s="12" t="str">
        <x:v>Recognisable business context; company-scale evidence remains insufficient for a single size band.</x:v>
      </x:c>
      <x:c r="H900" s="11" t="n">
        <x:v>1</x:v>
      </x:c>
      <x:c r="I900" s="11" t="n">
        <x:v>5</x:v>
      </x:c>
      <x:c r="J900" s="11" t="n">
        <x:v>5</x:v>
      </x:c>
      <x:c r="K900" s="11" t="n">
        <x:v>0</x:v>
      </x:c>
      <x:c r="L900" s="17" t="n">
        <x:f>SUM(SUMIFS('Costing'!$P$9:$P$492,'Costing'!$A$9:$A$492,"MAIN-338"))</x:f>
        <x:v>200000</x:v>
      </x:c>
      <x:c r="M900" s="17" t="n">
        <x:f>ROUND(L900*'Costing'!$C$4,2)</x:f>
        <x:v>36000</x:v>
      </x:c>
      <x:c r="N900" s="17" t="n">
        <x:f>L900+M900</x:f>
        <x:v>236000</x:v>
      </x:c>
      <x:c r="O900" s="12" t="str">
        <x:v>Mumbai</x:v>
      </x:c>
      <x:c r="P900" s="12" t="str">
        <x:v>CORP-0334</x:v>
      </x:c>
      <x:c r="Q900" s="12" t="str">
        <x:v>Finicity</x:v>
      </x:c>
    </x:row>
    <x:row r="901" ht="48" customHeight="1">
      <x:c r="A901" s="2" t="str">
        <x:v>TEN-93516E9B2EB3</x:v>
      </x:c>
      <x:c r="B901" s="12" t="str">
        <x:v>Finknit</x:v>
      </x:c>
      <x:c r="C901" s="12" t="str">
        <x:v>Business / brand</x:v>
      </x:c>
      <x:c r="D901" s="12" t="str">
        <x:v>Unresolved</x:v>
      </x:c>
      <x:c r="E901" s="12" t="str">
        <x:v>Business activity not established</x:v>
      </x:c>
      <x:c r="F901" s="12" t="str">
        <x:v>Mixed business audience</x:v>
      </x:c>
      <x:c r="G901" s="12" t="str">
        <x:v>Business activity and company scale are not established from this name.</x:v>
      </x:c>
      <x:c r="H901" s="11" t="n">
        <x:v>1</x:v>
      </x:c>
      <x:c r="I901" s="11" t="n">
        <x:v>1</x:v>
      </x:c>
      <x:c r="J901" s="11" t="n">
        <x:v>1</x:v>
      </x:c>
      <x:c r="K901" s="11" t="n">
        <x:v>0</x:v>
      </x:c>
      <x:c r="L901" s="17" t="n">
        <x:f>SUM(SUMIFS('Costing'!$P$9:$P$492,'Costing'!$A$9:$A$492,"MAIN-266"))</x:f>
        <x:v>20000</x:v>
      </x:c>
      <x:c r="M901" s="17" t="n">
        <x:f>ROUND(L901*'Costing'!$C$4,2)</x:f>
        <x:v>3600</x:v>
      </x:c>
      <x:c r="N901" s="17" t="n">
        <x:f>L901+M901</x:f>
        <x:v>23600</x:v>
      </x:c>
      <x:c r="O901" s="12" t="str">
        <x:v>Indore</x:v>
      </x:c>
      <x:c r="P901" s="12" t="str">
        <x:v>CORP-0262</x:v>
      </x:c>
      <x:c r="Q901" s="12" t="str">
        <x:v>Finknit</x:v>
      </x:c>
    </x:row>
    <x:row r="902" ht="75" customHeight="1">
      <x:c r="A902" s="2" t="str">
        <x:v>TEN-FF33B1F9D92F</x:v>
      </x:c>
      <x:c r="B902" s="12" t="str">
        <x:v>FinMen Advisors Pvt Ltd</x:v>
      </x:c>
      <x:c r="C902" s="12" t="str">
        <x:v>Business / brand</x:v>
      </x:c>
      <x:c r="D902" s="12" t="str">
        <x:v>Finance &amp; insurance</x:v>
      </x:c>
      <x:c r="E902" s="12" t="str">
        <x:v>Financial services — specialty unverified</x:v>
      </x:c>
      <x:c r="F902" s="12" t="str">
        <x:v>Medium-scale prospects</x:v>
      </x:c>
      <x:c r="G902" s="12" t="str">
        <x:v>Indicative specialist advisory organization. An official article reports more than 80 professionals across finance and credit-advisory disciplines, giving a concrete organization-level basis for the Medium-scale audience label.</x:v>
      </x:c>
      <x:c r="H902" s="11" t="n">
        <x:v>1</x:v>
      </x:c>
      <x:c r="I902" s="11" t="n">
        <x:v>70</x:v>
      </x:c>
      <x:c r="J902" s="11" t="n">
        <x:v>70</x:v>
      </x:c>
      <x:c r="K902" s="11" t="n">
        <x:v>0</x:v>
      </x:c>
      <x:c r="L902" s="17" t="n">
        <x:f>SUM(SUMIFS('Costing'!$P$9:$P$492,'Costing'!$A$9:$A$492,"MAIN-350"))</x:f>
        <x:v>1050000</x:v>
      </x:c>
      <x:c r="M902" s="17" t="n">
        <x:f>ROUND(L902*'Costing'!$C$4,2)</x:f>
        <x:v>189000</x:v>
      </x:c>
      <x:c r="N902" s="17" t="n">
        <x:f>L902+M902</x:f>
        <x:v>1239000</x:v>
      </x:c>
      <x:c r="O902" s="12" t="str">
        <x:v>Mumbai</x:v>
      </x:c>
      <x:c r="P902" s="12" t="str">
        <x:v>CORP-0346</x:v>
      </x:c>
      <x:c r="Q902" s="12" t="str">
        <x:v>FinMen Advisors Pvt Ltd</x:v>
      </x:c>
    </x:row>
    <x:row r="903" ht="48" customHeight="1">
      <x:c r="A903" s="2" t="str">
        <x:v>TEN-713806984796</x:v>
      </x:c>
      <x:c r="B903" s="12" t="str">
        <x:v>Finsec Law Advisors</x:v>
      </x:c>
      <x:c r="C903" s="12" t="str">
        <x:v>Business / brand</x:v>
      </x:c>
      <x:c r="D903" s="12" t="str">
        <x:v>Professional services</x:v>
      </x:c>
      <x:c r="E903" s="12" t="str">
        <x:v>Business consulting &amp; advisory</x:v>
      </x:c>
      <x:c r="F903" s="12" t="str">
        <x:v>Small-scale prospects</x:v>
      </x:c>
      <x:c r="G903" s="12" t="str">
        <x:v>Professional service, agency or advisory model; small-scale prospect assumption.</x:v>
      </x:c>
      <x:c r="H903" s="11" t="n">
        <x:v>3</x:v>
      </x:c>
      <x:c r="I903" s="11" t="n">
        <x:v>3</x:v>
      </x:c>
      <x:c r="J903" s="11" t="n">
        <x:v>3</x:v>
      </x:c>
      <x:c r="K903" s="11" t="n">
        <x:v>0</x:v>
      </x:c>
      <x:c r="L903" s="17" t="n">
        <x:f>SUM(SUMIFS('Costing'!$P$9:$P$492,'Costing'!$A$9:$A$492,"PARTNER-M175"))</x:f>
        <x:v>120000</x:v>
      </x:c>
      <x:c r="M903" s="17" t="n">
        <x:f>ROUND(L903*'Costing'!$C$4,2)</x:f>
        <x:v>21600</x:v>
      </x:c>
      <x:c r="N903" s="17" t="n">
        <x:f>L903+M903</x:f>
        <x:v>141600</x:v>
      </x:c>
      <x:c r="O903" s="12" t="str">
        <x:v>Mumbai</x:v>
      </x:c>
      <x:c r="P903" s="12" t="str">
        <x:v>CORP-0592, CORP-0593, CORP-0594</x:v>
      </x:c>
      <x:c r="Q903" s="12" t="str">
        <x:v>Finsec Law Advisors</x:v>
      </x:c>
    </x:row>
    <x:row r="904" ht="48" customHeight="1">
      <x:c r="A904" s="2" t="str">
        <x:v>TEN-4AE3A2A36DB1</x:v>
      </x:c>
      <x:c r="B904" s="12" t="str">
        <x:v>Fint Solutions</x:v>
      </x:c>
      <x:c r="C904" s="12" t="str">
        <x:v>Business / brand</x:v>
      </x:c>
      <x:c r="D904" s="12" t="str">
        <x:v>IT &amp; digital</x:v>
      </x:c>
      <x:c r="E904" s="12" t="str">
        <x:v>Enterprise software &amp; digital engineering</x:v>
      </x:c>
      <x:c r="F904" s="12" t="str">
        <x:v>Small-scale prospects</x:v>
      </x:c>
      <x:c r="G904" s="12" t="str">
        <x:v>Software or technology-services business; small-scale prospect assumption.</x:v>
      </x:c>
      <x:c r="H904" s="11" t="n">
        <x:v>7</x:v>
      </x:c>
      <x:c r="I904" s="11" t="n">
        <x:v>11</x:v>
      </x:c>
      <x:c r="J904" s="11" t="n">
        <x:v>11</x:v>
      </x:c>
      <x:c r="K904" s="11" t="n">
        <x:v>0</x:v>
      </x:c>
      <x:c r="L904" s="17" t="n">
        <x:f>SUM(SUMIFS('Costing'!$P$9:$P$492,'Costing'!$A$9:$A$492,"MAIN-258"),SUMIFS('Costing'!$P$9:$P$492,'Costing'!$A$9:$A$492,"PARTNER-M289"))</x:f>
        <x:v>440000</x:v>
      </x:c>
      <x:c r="M904" s="17" t="n">
        <x:f>ROUND(L904*'Costing'!$C$4,2)</x:f>
        <x:v>79200</x:v>
      </x:c>
      <x:c r="N904" s="17" t="n">
        <x:f>L904+M904</x:f>
        <x:v>519200</x:v>
      </x:c>
      <x:c r="O904" s="12" t="str">
        <x:v>Hyderabad</x:v>
      </x:c>
      <x:c r="P904" s="12" t="str">
        <x:v>CORP-0254, CORP-0704, CORP-0705, CORP-0706, CORP-0707, CORP-0708, CORP-0709</x:v>
      </x:c>
      <x:c r="Q904" s="12" t="str">
        <x:v>Fint Solutions</x:v>
      </x:c>
    </x:row>
    <x:row r="905" ht="48" customHeight="1">
      <x:c r="A905" s="2" t="str">
        <x:v>TEN-B44EF163E1EE</x:v>
      </x:c>
      <x:c r="B905" s="12" t="str">
        <x:v>Finzoom investment advisors pvt ltd</x:v>
      </x:c>
      <x:c r="C905" s="12" t="str">
        <x:v>Business / brand</x:v>
      </x:c>
      <x:c r="D905" s="12" t="str">
        <x:v>Finance &amp; insurance</x:v>
      </x:c>
      <x:c r="E905" s="12" t="str">
        <x:v>Investments, securities &amp; wealth</x:v>
      </x:c>
      <x:c r="F905" s="12" t="str">
        <x:v>Small-scale prospects</x:v>
      </x:c>
      <x:c r="G905" s="12" t="str">
        <x:v>Financial intermediary or advisory business; small-scale prospect assumption.</x:v>
      </x:c>
      <x:c r="H905" s="11" t="n">
        <x:v>1</x:v>
      </x:c>
      <x:c r="I905" s="11" t="n">
        <x:v>2</x:v>
      </x:c>
      <x:c r="J905" s="11" t="n">
        <x:v>2</x:v>
      </x:c>
      <x:c r="K905" s="11" t="n">
        <x:v>0</x:v>
      </x:c>
      <x:c r="L905" s="17" t="n">
        <x:f>SUM(SUMIFS('Costing'!$P$9:$P$492,'Costing'!$A$9:$A$492,"MAIN-181"))</x:f>
        <x:v>30000</x:v>
      </x:c>
      <x:c r="M905" s="17" t="n">
        <x:f>ROUND(L905*'Costing'!$C$4,2)</x:f>
        <x:v>5400</x:v>
      </x:c>
      <x:c r="N905" s="17" t="n">
        <x:f>L905+M905</x:f>
        <x:v>35400</x:v>
      </x:c>
      <x:c r="O905" s="12" t="str">
        <x:v>Delhi NCR</x:v>
      </x:c>
      <x:c r="P905" s="12" t="str">
        <x:v>CORP-0177</x:v>
      </x:c>
      <x:c r="Q905" s="12" t="str">
        <x:v>Finzoom investment advisors pvt ltd</x:v>
      </x:c>
    </x:row>
    <x:row r="906" ht="48" customHeight="1">
      <x:c r="A906" s="2" t="str">
        <x:v>TEN-D04CE1F77A17</x:v>
      </x:c>
      <x:c r="B906" s="12" t="str">
        <x:v>Fiorano</x:v>
      </x:c>
      <x:c r="C906" s="12" t="str">
        <x:v>Business / brand</x:v>
      </x:c>
      <x:c r="D906" s="12" t="str">
        <x:v>IT &amp; digital</x:v>
      </x:c>
      <x:c r="E906" s="12" t="str">
        <x:v>Enterprise software &amp; digital engineering</x:v>
      </x:c>
      <x:c r="F906" s="12" t="str">
        <x:v>Small-scale prospects</x:v>
      </x:c>
      <x:c r="G906" s="12" t="str">
        <x:v>Software or technology-services business; small-scale prospect assumption.</x:v>
      </x:c>
      <x:c r="H906" s="11" t="n">
        <x:v>9</x:v>
      </x:c>
      <x:c r="I906" s="11" t="n">
        <x:v>9</x:v>
      </x:c>
      <x:c r="J906" s="11" t="n">
        <x:v>9</x:v>
      </x:c>
      <x:c r="K906" s="11" t="n">
        <x:v>0</x:v>
      </x:c>
      <x:c r="L906" s="17" t="n">
        <x:f>SUM(SUMIFS('Costing'!$P$9:$P$492,'Costing'!$A$9:$A$492,"PARTNER-M002"))</x:f>
        <x:v>360000</x:v>
      </x:c>
      <x:c r="M906" s="17" t="n">
        <x:f>ROUND(L906*'Costing'!$C$4,2)</x:f>
        <x:v>64800</x:v>
      </x:c>
      <x:c r="N906" s="17" t="n">
        <x:f>L906+M906</x:f>
        <x:v>424800</x:v>
      </x:c>
      <x:c r="O906" s="12" t="str">
        <x:v>Bengaluru</x:v>
      </x:c>
      <x:c r="P906" s="12" t="str">
        <x:v>CORP-0420, CORP-0421, CORP-0422, CORP-0423, CORP-0424, CORP-0425, CORP-0426, CORP-0427, CORP-0428</x:v>
      </x:c>
      <x:c r="Q906" s="12" t="str">
        <x:v>Fiorano, Florano</x:v>
      </x:c>
    </x:row>
    <x:row r="907" ht="48" customHeight="1">
      <x:c r="A907" s="2" t="str">
        <x:v>TEN-93CA6984E0A1</x:v>
      </x:c>
      <x:c r="B907" s="12" t="str">
        <x:v>FIRMSAP Rentals LLP</x:v>
      </x:c>
      <x:c r="C907" s="12" t="str">
        <x:v>Business / brand</x:v>
      </x:c>
      <x:c r="D907" s="12" t="str">
        <x:v>Unresolved</x:v>
      </x:c>
      <x:c r="E907" s="12" t="str">
        <x:v>Business activity not established</x:v>
      </x:c>
      <x:c r="F907" s="12" t="str">
        <x:v>Mixed business audience</x:v>
      </x:c>
      <x:c r="G907" s="12" t="str">
        <x:v>Business activity and company scale are not established from this name.</x:v>
      </x:c>
      <x:c r="H907" s="11" t="n">
        <x:v>1</x:v>
      </x:c>
      <x:c r="I907" s="11" t="n">
        <x:v>6</x:v>
      </x:c>
      <x:c r="J907" s="11" t="n">
        <x:v>6</x:v>
      </x:c>
      <x:c r="K907" s="11" t="n">
        <x:v>0</x:v>
      </x:c>
      <x:c r="L907" s="17" t="n">
        <x:f>SUM(SUMIFS('Costing'!$P$9:$P$492,'Costing'!$A$9:$A$492,"MAIN-030"))</x:f>
        <x:v>90000</x:v>
      </x:c>
      <x:c r="M907" s="17" t="n">
        <x:f>ROUND(L907*'Costing'!$C$4,2)</x:f>
        <x:v>16200</x:v>
      </x:c>
      <x:c r="N907" s="17" t="n">
        <x:f>L907+M907</x:f>
        <x:v>106200</x:v>
      </x:c>
      <x:c r="O907" s="12" t="str">
        <x:v>Bengaluru</x:v>
      </x:c>
      <x:c r="P907" s="12" t="str">
        <x:v>CORP-0026</x:v>
      </x:c>
      <x:c r="Q907" s="12" t="str">
        <x:v>FIRMSAP Rentals LLP</x:v>
      </x:c>
    </x:row>
    <x:row r="908" ht="48" customHeight="1">
      <x:c r="A908" s="2" t="str">
        <x:v>TEN-6F273F8143F0</x:v>
      </x:c>
      <x:c r="B908" s="12" t="str">
        <x:v>First Advantage</x:v>
      </x:c>
      <x:c r="C908" s="12" t="str">
        <x:v>Business / brand</x:v>
      </x:c>
      <x:c r="D908" s="12" t="str">
        <x:v>Professional services</x:v>
      </x:c>
      <x:c r="E908" s="12" t="str">
        <x:v>Professional services — specialty unverified</x:v>
      </x:c>
      <x:c r="F908" s="12" t="str">
        <x:v>Mixed business audience</x:v>
      </x:c>
      <x:c r="G908" s="12" t="str">
        <x:v>Recognisable business context; company-scale evidence remains insufficient for a single size band.</x:v>
      </x:c>
      <x:c r="H908" s="11" t="n">
        <x:v>9</x:v>
      </x:c>
      <x:c r="I908" s="11" t="n">
        <x:v>9</x:v>
      </x:c>
      <x:c r="J908" s="11" t="n">
        <x:v>9</x:v>
      </x:c>
      <x:c r="K908" s="11" t="n">
        <x:v>0</x:v>
      </x:c>
      <x:c r="L908" s="17" t="n">
        <x:f>SUM(SUMIFS('Costing'!$P$9:$P$492,'Costing'!$A$9:$A$492,"PARTNER-M002"))</x:f>
        <x:v>360000</x:v>
      </x:c>
      <x:c r="M908" s="17" t="n">
        <x:f>ROUND(L908*'Costing'!$C$4,2)</x:f>
        <x:v>64800</x:v>
      </x:c>
      <x:c r="N908" s="17" t="n">
        <x:f>L908+M908</x:f>
        <x:v>424800</x:v>
      </x:c>
      <x:c r="O908" s="12" t="str">
        <x:v>Bengaluru</x:v>
      </x:c>
      <x:c r="P908" s="12" t="str">
        <x:v>CORP-0420, CORP-0421, CORP-0422, CORP-0423, CORP-0424, CORP-0425, CORP-0426, CORP-0427, CORP-0428</x:v>
      </x:c>
      <x:c r="Q908" s="12" t="str">
        <x:v>First Advantage</x:v>
      </x:c>
    </x:row>
    <x:row r="909" ht="48" customHeight="1">
      <x:c r="A909" s="2" t="str">
        <x:v>TEN-A9B3E7D54A8C</x:v>
      </x:c>
      <x:c r="B909" s="12" t="str">
        <x:v>First advantage Global</x:v>
      </x:c>
      <x:c r="C909" s="12" t="str">
        <x:v>Business / brand</x:v>
      </x:c>
      <x:c r="D909" s="12" t="str">
        <x:v>Professional services</x:v>
      </x:c>
      <x:c r="E909" s="12" t="str">
        <x:v>Professional services — specialty unverified</x:v>
      </x:c>
      <x:c r="F909" s="12" t="str">
        <x:v>Mixed business audience</x:v>
      </x:c>
      <x:c r="G909" s="12" t="str">
        <x:v>Recognisable business context; company-scale evidence remains insufficient for a single size band.</x:v>
      </x:c>
      <x:c r="H909" s="11" t="n">
        <x:v>9</x:v>
      </x:c>
      <x:c r="I909" s="11" t="n">
        <x:v>9</x:v>
      </x:c>
      <x:c r="J909" s="11" t="n">
        <x:v>9</x:v>
      </x:c>
      <x:c r="K909" s="11" t="n">
        <x:v>0</x:v>
      </x:c>
      <x:c r="L909" s="17" t="n">
        <x:f>SUM(SUMIFS('Costing'!$P$9:$P$492,'Costing'!$A$9:$A$492,"PARTNER-M002"))</x:f>
        <x:v>360000</x:v>
      </x:c>
      <x:c r="M909" s="17" t="n">
        <x:f>ROUND(L909*'Costing'!$C$4,2)</x:f>
        <x:v>64800</x:v>
      </x:c>
      <x:c r="N909" s="17" t="n">
        <x:f>L909+M909</x:f>
        <x:v>424800</x:v>
      </x:c>
      <x:c r="O909" s="12" t="str">
        <x:v>Bengaluru</x:v>
      </x:c>
      <x:c r="P909" s="12" t="str">
        <x:v>CORP-0420, CORP-0421, CORP-0422, CORP-0423, CORP-0424, CORP-0425, CORP-0426, CORP-0427, CORP-0428</x:v>
      </x:c>
      <x:c r="Q909" s="12" t="str">
        <x:v>First advantage Global, First Advantage Global</x:v>
      </x:c>
    </x:row>
    <x:row r="910" ht="48" customHeight="1">
      <x:c r="A910" s="2" t="str">
        <x:v>TEN-287C67E28C61</x:v>
      </x:c>
      <x:c r="B910" s="12" t="str">
        <x:v>First Brands Group India-Horizon Global</x:v>
      </x:c>
      <x:c r="C910" s="12" t="str">
        <x:v>Business / brand</x:v>
      </x:c>
      <x:c r="D910" s="12" t="str">
        <x:v>Engineering &amp; manufacturing</x:v>
      </x:c>
      <x:c r="E910" s="12" t="str">
        <x:v>Automotive, mobility &amp; aerospace</x:v>
      </x:c>
      <x:c r="F910" s="12" t="str">
        <x:v>Mixed business audience</x:v>
      </x:c>
      <x:c r="G910" s="12" t="str">
        <x:v>Established brand or business network; local company scale is not established. Use a mixed-business message.</x:v>
      </x:c>
      <x:c r="H910" s="11" t="n">
        <x:v>4</x:v>
      </x:c>
      <x:c r="I910" s="11" t="n">
        <x:v>4</x:v>
      </x:c>
      <x:c r="J910" s="11" t="n">
        <x:v>4</x:v>
      </x:c>
      <x:c r="K910" s="11" t="n">
        <x:v>0</x:v>
      </x:c>
      <x:c r="L910" s="17" t="n">
        <x:f>SUM(SUMIFS('Costing'!$P$9:$P$492,'Costing'!$A$9:$A$492,"PARTNER-M193"))</x:f>
        <x:v>160000</x:v>
      </x:c>
      <x:c r="M910" s="17" t="n">
        <x:f>ROUND(L910*'Costing'!$C$4,2)</x:f>
        <x:v>28800</x:v>
      </x:c>
      <x:c r="N910" s="17" t="n">
        <x:f>L910+M910</x:f>
        <x:v>188800</x:v>
      </x:c>
      <x:c r="O910" s="12" t="str">
        <x:v>Mumbai</x:v>
      </x:c>
      <x:c r="P910" s="12" t="str">
        <x:v>CORP-0610, CORP-0611, CORP-0612, CORP-0613</x:v>
      </x:c>
      <x:c r="Q910" s="12" t="str">
        <x:v>First Brands Group India-Horizon Global</x:v>
      </x:c>
    </x:row>
    <x:row r="911" ht="48" customHeight="1">
      <x:c r="A911" s="2" t="str">
        <x:v>TEN-D6C19C7AF47E</x:v>
      </x:c>
      <x:c r="B911" s="12" t="str">
        <x:v>First Pass Semiconductors</x:v>
      </x:c>
      <x:c r="C911" s="12" t="str">
        <x:v>Business / brand</x:v>
      </x:c>
      <x:c r="D911" s="12" t="str">
        <x:v>Engineering &amp; manufacturing</x:v>
      </x:c>
      <x:c r="E911" s="12" t="str">
        <x:v>Semiconductors, electronics &amp; equipment</x:v>
      </x:c>
      <x:c r="F911" s="12" t="str">
        <x:v>Medium-scale prospects</x:v>
      </x:c>
      <x:c r="G911" s="12" t="str">
        <x:v>Specialist industrial or engineering business; medium-scale prospect assumption.</x:v>
      </x:c>
      <x:c r="H911" s="11" t="n">
        <x:v>3</x:v>
      </x:c>
      <x:c r="I911" s="11" t="n">
        <x:v>3</x:v>
      </x:c>
      <x:c r="J911" s="11" t="n">
        <x:v>3</x:v>
      </x:c>
      <x:c r="K911" s="11" t="n">
        <x:v>0</x:v>
      </x:c>
      <x:c r="L911" s="17" t="n">
        <x:f>SUM(SUMIFS('Costing'!$P$9:$P$492,'Costing'!$A$9:$A$492,"PARTNER-M166"))</x:f>
        <x:v>120000</x:v>
      </x:c>
      <x:c r="M911" s="17" t="n">
        <x:f>ROUND(L911*'Costing'!$C$4,2)</x:f>
        <x:v>21600</x:v>
      </x:c>
      <x:c r="N911" s="17" t="n">
        <x:f>L911+M911</x:f>
        <x:v>141600</x:v>
      </x:c>
      <x:c r="O911" s="12" t="str">
        <x:v>Bengaluru</x:v>
      </x:c>
      <x:c r="P911" s="12" t="str">
        <x:v>CORP-0584, CORP-0585, CORP-0586</x:v>
      </x:c>
      <x:c r="Q911" s="12" t="str">
        <x:v>First Pass Semiconductors</x:v>
      </x:c>
    </x:row>
    <x:row r="912" ht="48" customHeight="1">
      <x:c r="A912" s="2" t="str">
        <x:v>TEN-147B40FF1F46</x:v>
      </x:c>
      <x:c r="B912" s="12" t="str">
        <x:v>First Tek Services Pvt Ltd</x:v>
      </x:c>
      <x:c r="C912" s="12" t="str">
        <x:v>Business / brand</x:v>
      </x:c>
      <x:c r="D912" s="12" t="str">
        <x:v>IT &amp; digital</x:v>
      </x:c>
      <x:c r="E912" s="12" t="str">
        <x:v>Enterprise software &amp; digital engineering</x:v>
      </x:c>
      <x:c r="F912" s="12" t="str">
        <x:v>Small-scale prospects</x:v>
      </x:c>
      <x:c r="G912" s="12" t="str">
        <x:v>Software or technology-services business; small-scale prospect assumption.</x:v>
      </x:c>
      <x:c r="H912" s="11" t="n">
        <x:v>6</x:v>
      </x:c>
      <x:c r="I912" s="11" t="n">
        <x:v>6</x:v>
      </x:c>
      <x:c r="J912" s="11" t="n">
        <x:v>6</x:v>
      </x:c>
      <x:c r="K912" s="11" t="n">
        <x:v>0</x:v>
      </x:c>
      <x:c r="L912" s="17" t="n">
        <x:f>SUM(SUMIFS('Costing'!$P$9:$P$492,'Costing'!$A$9:$A$492,"PARTNER-M289"))</x:f>
        <x:v>240000</x:v>
      </x:c>
      <x:c r="M912" s="17" t="n">
        <x:f>ROUND(L912*'Costing'!$C$4,2)</x:f>
        <x:v>43200</x:v>
      </x:c>
      <x:c r="N912" s="17" t="n">
        <x:f>L912+M912</x:f>
        <x:v>283200</x:v>
      </x:c>
      <x:c r="O912" s="12" t="str">
        <x:v>Hyderabad</x:v>
      </x:c>
      <x:c r="P912" s="12" t="str">
        <x:v>CORP-0704, CORP-0705, CORP-0706, CORP-0707, CORP-0708, CORP-0709</x:v>
      </x:c>
      <x:c r="Q912" s="12" t="str">
        <x:v>First Tek Services Pvt Ltd</x:v>
      </x:c>
    </x:row>
    <x:row r="913" ht="48" customHeight="1">
      <x:c r="A913" s="2" t="str">
        <x:v>TEN-2E0773AD6B19</x:v>
      </x:c>
      <x:c r="B913" s="12" t="str">
        <x:v>Fisdom</x:v>
      </x:c>
      <x:c r="C913" s="12" t="str">
        <x:v>Business / brand</x:v>
      </x:c>
      <x:c r="D913" s="12" t="str">
        <x:v>Finance &amp; insurance</x:v>
      </x:c>
      <x:c r="E913" s="12" t="str">
        <x:v>Banking, credit &amp; financial services</x:v>
      </x:c>
      <x:c r="F913" s="12" t="str">
        <x:v>Medium-scale prospects</x:v>
      </x:c>
      <x:c r="G913" s="12" t="str">
        <x:v>Specialist financial-services business; medium-scale prospect assumption.</x:v>
      </x:c>
      <x:c r="H913" s="11" t="n">
        <x:v>1</x:v>
      </x:c>
      <x:c r="I913" s="11" t="n">
        <x:v>2</x:v>
      </x:c>
      <x:c r="J913" s="11" t="n">
        <x:v>2</x:v>
      </x:c>
      <x:c r="K913" s="11" t="n">
        <x:v>0</x:v>
      </x:c>
      <x:c r="L913" s="17" t="n">
        <x:f>SUM(SUMIFS('Costing'!$P$9:$P$492,'Costing'!$A$9:$A$492,"MAIN-283"))</x:f>
        <x:v>30000</x:v>
      </x:c>
      <x:c r="M913" s="17" t="n">
        <x:f>ROUND(L913*'Costing'!$C$4,2)</x:f>
        <x:v>5400</x:v>
      </x:c>
      <x:c r="N913" s="17" t="n">
        <x:f>L913+M913</x:f>
        <x:v>35400</x:v>
      </x:c>
      <x:c r="O913" s="12" t="str">
        <x:v>Kolkata</x:v>
      </x:c>
      <x:c r="P913" s="12" t="str">
        <x:v>CORP-0279</x:v>
      </x:c>
      <x:c r="Q913" s="12" t="str">
        <x:v>Fisdom</x:v>
      </x:c>
    </x:row>
    <x:row r="914" ht="48" customHeight="1">
      <x:c r="A914" s="2" t="str">
        <x:v>TEN-942AB959209B</x:v>
      </x:c>
      <x:c r="B914" s="12" t="str">
        <x:v>Five fingers innovative solutions</x:v>
      </x:c>
      <x:c r="C914" s="12" t="str">
        <x:v>Business / brand</x:v>
      </x:c>
      <x:c r="D914" s="12" t="str">
        <x:v>Unresolved</x:v>
      </x:c>
      <x:c r="E914" s="12" t="str">
        <x:v>Business activity not established</x:v>
      </x:c>
      <x:c r="F914" s="12" t="str">
        <x:v>Mixed business audience</x:v>
      </x:c>
      <x:c r="G914" s="12" t="str">
        <x:v>Business activity and company scale are not established from this name.</x:v>
      </x:c>
      <x:c r="H914" s="11" t="n">
        <x:v>1</x:v>
      </x:c>
      <x:c r="I914" s="11" t="n">
        <x:v>4</x:v>
      </x:c>
      <x:c r="J914" s="11" t="n">
        <x:v>4</x:v>
      </x:c>
      <x:c r="K914" s="11" t="n">
        <x:v>0</x:v>
      </x:c>
      <x:c r="L914" s="17" t="n">
        <x:f>SUM(SUMIFS('Costing'!$P$9:$P$492,'Costing'!$A$9:$A$492,"MAIN-226"))</x:f>
        <x:v>60000</x:v>
      </x:c>
      <x:c r="M914" s="17" t="n">
        <x:f>ROUND(L914*'Costing'!$C$4,2)</x:f>
        <x:v>10800</x:v>
      </x:c>
      <x:c r="N914" s="17" t="n">
        <x:f>L914+M914</x:f>
        <x:v>70800</x:v>
      </x:c>
      <x:c r="O914" s="12" t="str">
        <x:v>Hyderabad</x:v>
      </x:c>
      <x:c r="P914" s="12" t="str">
        <x:v>CORP-0222</x:v>
      </x:c>
      <x:c r="Q914" s="12" t="str">
        <x:v>Five fingers innovative solutions</x:v>
      </x:c>
    </x:row>
    <x:row r="915" ht="48" customHeight="1">
      <x:c r="A915" s="2" t="str">
        <x:v>TEN-8EFC3B922572</x:v>
      </x:c>
      <x:c r="B915" s="12" t="str">
        <x:v>Flagship Biotech International Private Limited</x:v>
      </x:c>
      <x:c r="C915" s="12" t="str">
        <x:v>Business / brand</x:v>
      </x:c>
      <x:c r="D915" s="12" t="str">
        <x:v>Healthcare &amp; life sciences</x:v>
      </x:c>
      <x:c r="E915" s="12" t="str">
        <x:v>Pharmaceuticals, biotechnology &amp; life sciences</x:v>
      </x:c>
      <x:c r="F915" s="12" t="str">
        <x:v>Medium-scale prospects</x:v>
      </x:c>
      <x:c r="G915" s="12" t="str">
        <x:v>Specialist life-sciences business; medium-scale prospect assumption.</x:v>
      </x:c>
      <x:c r="H915" s="11" t="n">
        <x:v>10</x:v>
      </x:c>
      <x:c r="I915" s="11" t="n">
        <x:v>10</x:v>
      </x:c>
      <x:c r="J915" s="11" t="n">
        <x:v>10</x:v>
      </x:c>
      <x:c r="K915" s="11" t="n">
        <x:v>0</x:v>
      </x:c>
      <x:c r="L915" s="17" t="n">
        <x:f>SUM(SUMIFS('Costing'!$P$9:$P$492,'Costing'!$A$9:$A$492,"PARTNER-M205"))</x:f>
        <x:v>400000</x:v>
      </x:c>
      <x:c r="M915" s="17" t="n">
        <x:f>ROUND(L915*'Costing'!$C$4,2)</x:f>
        <x:v>72000</x:v>
      </x:c>
      <x:c r="N915" s="17" t="n">
        <x:f>L915+M915</x:f>
        <x:v>472000</x:v>
      </x:c>
      <x:c r="O915" s="12" t="str">
        <x:v>Mumbai</x:v>
      </x:c>
      <x:c r="P915" s="12" t="str">
        <x:v>CORP-0622, CORP-0623, CORP-0624, CORP-0625, CORP-0626, CORP-0627, CORP-0628, CORP-0629, CORP-0630, CORP-0631</x:v>
      </x:c>
      <x:c r="Q915" s="12" t="str">
        <x:v>Flagship Biotech International Private Limited</x:v>
      </x:c>
    </x:row>
    <x:row r="916" ht="48" customHeight="1">
      <x:c r="A916" s="2" t="str">
        <x:v>TEN-7925879E314A</x:v>
      </x:c>
      <x:c r="B916" s="12" t="str">
        <x:v>Flexiloans Teachnologies Pvt Ltd</x:v>
      </x:c>
      <x:c r="C916" s="12" t="str">
        <x:v>Business / brand</x:v>
      </x:c>
      <x:c r="D916" s="12" t="str">
        <x:v>Finance &amp; insurance</x:v>
      </x:c>
      <x:c r="E916" s="12" t="str">
        <x:v>Banking, insurance, investments &amp; financial services</x:v>
      </x:c>
      <x:c r="F916" s="12" t="str">
        <x:v>Medium-scale prospects</x:v>
      </x:c>
      <x:c r="G916" s="12" t="str">
        <x:v>Specialist financial-services business; medium-scale prospect assumption.</x:v>
      </x:c>
      <x:c r="H916" s="11" t="n">
        <x:v>1</x:v>
      </x:c>
      <x:c r="I916" s="11" t="n">
        <x:v>8</x:v>
      </x:c>
      <x:c r="J916" s="11" t="n">
        <x:v>8</x:v>
      </x:c>
      <x:c r="K916" s="11" t="n">
        <x:v>0</x:v>
      </x:c>
      <x:c r="L916" s="17" t="n">
        <x:f>SUM(SUMIFS('Costing'!$P$9:$P$492,'Costing'!$A$9:$A$492,"MAIN-327"))</x:f>
        <x:v>320000</x:v>
      </x:c>
      <x:c r="M916" s="17" t="n">
        <x:f>ROUND(L916*'Costing'!$C$4,2)</x:f>
        <x:v>57600</x:v>
      </x:c>
      <x:c r="N916" s="17" t="n">
        <x:f>L916+M916</x:f>
        <x:v>377600</x:v>
      </x:c>
      <x:c r="O916" s="12" t="str">
        <x:v>Mumbai</x:v>
      </x:c>
      <x:c r="P916" s="12" t="str">
        <x:v>CORP-0323</x:v>
      </x:c>
      <x:c r="Q916" s="12" t="str">
        <x:v>Flexiloans Teachnologies Pvt Ltd</x:v>
      </x:c>
    </x:row>
    <x:row r="917" ht="48" customHeight="1">
      <x:c r="A917" s="2" t="str">
        <x:v>TEN-EE47961584F5</x:v>
      </x:c>
      <x:c r="B917" s="12" t="str">
        <x:v>Flexiloans Technologies Pvt. Ltd</x:v>
      </x:c>
      <x:c r="C917" s="12" t="str">
        <x:v>Business / brand</x:v>
      </x:c>
      <x:c r="D917" s="12" t="str">
        <x:v>Finance &amp; insurance</x:v>
      </x:c>
      <x:c r="E917" s="12" t="str">
        <x:v>Banking, insurance, investments &amp; financial services</x:v>
      </x:c>
      <x:c r="F917" s="12" t="str">
        <x:v>Medium-scale prospects</x:v>
      </x:c>
      <x:c r="G917" s="12" t="str">
        <x:v>Specialist financial-services business; medium-scale prospect assumption.</x:v>
      </x:c>
      <x:c r="H917" s="11" t="n">
        <x:v>1</x:v>
      </x:c>
      <x:c r="I917" s="11" t="n">
        <x:v>1</x:v>
      </x:c>
      <x:c r="J917" s="11" t="n">
        <x:v>1</x:v>
      </x:c>
      <x:c r="K917" s="11" t="n">
        <x:v>0</x:v>
      </x:c>
      <x:c r="L917" s="17" t="n">
        <x:f>SUM(SUMIFS('Costing'!$P$9:$P$492,'Costing'!$A$9:$A$492,"MAIN-331"))</x:f>
        <x:v>15000</x:v>
      </x:c>
      <x:c r="M917" s="17" t="n">
        <x:f>ROUND(L917*'Costing'!$C$4,2)</x:f>
        <x:v>2700</x:v>
      </x:c>
      <x:c r="N917" s="17" t="n">
        <x:f>L917+M917</x:f>
        <x:v>17700</x:v>
      </x:c>
      <x:c r="O917" s="12" t="str">
        <x:v>Mumbai</x:v>
      </x:c>
      <x:c r="P917" s="12" t="str">
        <x:v>CORP-0327</x:v>
      </x:c>
      <x:c r="Q917" s="12" t="str">
        <x:v>Flexiloans Technologies Pvt. Ltd</x:v>
      </x:c>
    </x:row>
    <x:row r="918" ht="48" customHeight="1">
      <x:c r="A918" s="2" t="str">
        <x:v>TEN-A7F7AF8EB3A5</x:v>
      </x:c>
      <x:c r="B918" s="12" t="str">
        <x:v>Flicker projects Pvt. Ltd</x:v>
      </x:c>
      <x:c r="C918" s="12" t="str">
        <x:v>Business / brand</x:v>
      </x:c>
      <x:c r="D918" s="12" t="str">
        <x:v>Unresolved</x:v>
      </x:c>
      <x:c r="E918" s="12" t="str">
        <x:v>Business activity not established</x:v>
      </x:c>
      <x:c r="F918" s="12" t="str">
        <x:v>Mixed business audience</x:v>
      </x:c>
      <x:c r="G918" s="12" t="str">
        <x:v>Business activity and company scale are not established from this name.</x:v>
      </x:c>
      <x:c r="H918" s="11" t="n">
        <x:v>9</x:v>
      </x:c>
      <x:c r="I918" s="11" t="n">
        <x:v>9</x:v>
      </x:c>
      <x:c r="J918" s="11" t="n">
        <x:v>9</x:v>
      </x:c>
      <x:c r="K918" s="11" t="n">
        <x:v>0</x:v>
      </x:c>
      <x:c r="L918" s="17" t="n">
        <x:f>SUM(SUMIFS('Costing'!$P$9:$P$492,'Costing'!$A$9:$A$492,"MAIN-073"),SUMIFS('Costing'!$P$9:$P$492,'Costing'!$A$9:$A$492,"PARTNER-M100"))</x:f>
        <x:v>360000</x:v>
      </x:c>
      <x:c r="M918" s="17" t="n">
        <x:f>ROUND(L918*'Costing'!$C$4,2)</x:f>
        <x:v>64800</x:v>
      </x:c>
      <x:c r="N918" s="17" t="n">
        <x:f>L918+M918</x:f>
        <x:v>424800</x:v>
      </x:c>
      <x:c r="O918" s="12" t="str">
        <x:v>Bengaluru</x:v>
      </x:c>
      <x:c r="P918" s="12" t="str">
        <x:v>CORP-0069, CORP-0518, CORP-0519, CORP-0520, CORP-0521, CORP-0522, CORP-0523, CORP-0524, CORP-0525</x:v>
      </x:c>
      <x:c r="Q918" s="12" t="str">
        <x:v>Flicker projects Pvt. Ltd</x:v>
      </x:c>
    </x:row>
    <x:row r="919" ht="48" customHeight="1">
      <x:c r="A919" s="2" t="str">
        <x:v>TEN-B477D484C9C9</x:v>
      </x:c>
      <x:c r="B919" s="12" t="str">
        <x:v>Flightraja Travels (Via.com)</x:v>
      </x:c>
      <x:c r="C919" s="12" t="str">
        <x:v>Business / brand</x:v>
      </x:c>
      <x:c r="D919" s="12" t="str">
        <x:v>Trade, consumer &amp; logistics</x:v>
      </x:c>
      <x:c r="E919" s="12" t="str">
        <x:v>Travel, hospitality, food &amp; beverages</x:v>
      </x:c>
      <x:c r="F919" s="12" t="str">
        <x:v>Mixed business audience</x:v>
      </x:c>
      <x:c r="G919" s="12" t="str">
        <x:v>Established brand or business network; local company scale is not established. Use a mixed-business message.</x:v>
      </x:c>
      <x:c r="H919" s="11" t="n">
        <x:v>5</x:v>
      </x:c>
      <x:c r="I919" s="11" t="n">
        <x:v>5</x:v>
      </x:c>
      <x:c r="J919" s="11" t="n">
        <x:v>5</x:v>
      </x:c>
      <x:c r="K919" s="11" t="n">
        <x:v>0</x:v>
      </x:c>
      <x:c r="L919" s="17" t="n">
        <x:f>SUM(SUMIFS('Costing'!$P$9:$P$492,'Costing'!$A$9:$A$492,"PARTNER-M051"))</x:f>
        <x:v>200000</x:v>
      </x:c>
      <x:c r="M919" s="17" t="n">
        <x:f>ROUND(L919*'Costing'!$C$4,2)</x:f>
        <x:v>36000</x:v>
      </x:c>
      <x:c r="N919" s="17" t="n">
        <x:f>L919+M919</x:f>
        <x:v>236000</x:v>
      </x:c>
      <x:c r="O919" s="12" t="str">
        <x:v>Bengaluru</x:v>
      </x:c>
      <x:c r="P919" s="12" t="str">
        <x:v>CORP-0469, CORP-0470, CORP-0471, CORP-0472, CORP-0473</x:v>
      </x:c>
      <x:c r="Q919" s="12" t="str">
        <x:v>Flightraja Travels (Via.com)</x:v>
      </x:c>
    </x:row>
    <x:row r="920" ht="48" customHeight="1">
      <x:c r="A920" s="2" t="str">
        <x:v>TEN-4E8C67D62118</x:v>
      </x:c>
      <x:c r="B920" s="12" t="str">
        <x:v>FLipkart</x:v>
      </x:c>
      <x:c r="C920" s="12" t="str">
        <x:v>Business / brand</x:v>
      </x:c>
      <x:c r="D920" s="12" t="str">
        <x:v>Trade, consumer &amp; logistics</x:v>
      </x:c>
      <x:c r="E920" s="12" t="str">
        <x:v>Retail, consumer products &amp; ecommerce</x:v>
      </x:c>
      <x:c r="F920" s="12" t="str">
        <x:v>Mixed business audience</x:v>
      </x:c>
      <x:c r="G920" s="12" t="str">
        <x:v>Recognisable business context; company-scale evidence remains insufficient for a single size band.</x:v>
      </x:c>
      <x:c r="H920" s="11" t="n">
        <x:v>1</x:v>
      </x:c>
      <x:c r="I920" s="11" t="n">
        <x:v>1</x:v>
      </x:c>
      <x:c r="J920" s="11" t="n">
        <x:v>1</x:v>
      </x:c>
      <x:c r="K920" s="11" t="n">
        <x:v>0</x:v>
      </x:c>
      <x:c r="L920" s="17" t="n">
        <x:f>SUM(SUMIFS('Costing'!$P$9:$P$492,'Costing'!$A$9:$A$492,"MAIN-303"))</x:f>
        <x:v>15000</x:v>
      </x:c>
      <x:c r="M920" s="17" t="n">
        <x:f>ROUND(L920*'Costing'!$C$4,2)</x:f>
        <x:v>2700</x:v>
      </x:c>
      <x:c r="N920" s="17" t="n">
        <x:f>L920+M920</x:f>
        <x:v>17700</x:v>
      </x:c>
      <x:c r="O920" s="12" t="str">
        <x:v>Mumbai</x:v>
      </x:c>
      <x:c r="P920" s="12" t="str">
        <x:v>CORP-0299</x:v>
      </x:c>
      <x:c r="Q920" s="12" t="str">
        <x:v>FLipkart</x:v>
      </x:c>
    </x:row>
    <x:row r="921" ht="48" customHeight="1">
      <x:c r="A921" s="2" t="str">
        <x:v>TEN-FECD2DA15F6C</x:v>
      </x:c>
      <x:c r="B921" s="12" t="str">
        <x:v>Flowserve Global Technology &amp; Engineering Center (GTEC)</x:v>
      </x:c>
      <x:c r="C921" s="12" t="str">
        <x:v>Business / brand</x:v>
      </x:c>
      <x:c r="D921" s="12" t="str">
        <x:v>Engineering &amp; manufacturing</x:v>
      </x:c>
      <x:c r="E921" s="12" t="str">
        <x:v>Energy, electrical &amp; industrial systems</x:v>
      </x:c>
      <x:c r="F921" s="12" t="str">
        <x:v>Mixed business audience</x:v>
      </x:c>
      <x:c r="G921" s="12" t="str">
        <x:v>Recognisable business context; company-scale evidence remains insufficient for a single size band.</x:v>
      </x:c>
      <x:c r="H921" s="11" t="n">
        <x:v>8</x:v>
      </x:c>
      <x:c r="I921" s="11" t="n">
        <x:v>9</x:v>
      </x:c>
      <x:c r="J921" s="11" t="n">
        <x:v>9</x:v>
      </x:c>
      <x:c r="K921" s="11" t="n">
        <x:v>0</x:v>
      </x:c>
      <x:c r="L921" s="17" t="n">
        <x:f>SUM(SUMIFS('Costing'!$P$9:$P$492,'Costing'!$A$9:$A$492,"MAIN-017"),SUMIFS('Costing'!$P$9:$P$492,'Costing'!$A$9:$A$492,"PARTNER-M027"))</x:f>
        <x:v>310000</x:v>
      </x:c>
      <x:c r="M921" s="17" t="n">
        <x:f>ROUND(L921*'Costing'!$C$4,2)</x:f>
        <x:v>55800</x:v>
      </x:c>
      <x:c r="N921" s="17" t="n">
        <x:f>L921+M921</x:f>
        <x:v>365800</x:v>
      </x:c>
      <x:c r="O921" s="12" t="str">
        <x:v>Bengaluru</x:v>
      </x:c>
      <x:c r="P921" s="12" t="str">
        <x:v>CORP-0013, CORP-0445, CORP-0446, CORP-0447, CORP-0448, CORP-0449, CORP-0450, CORP-0451</x:v>
      </x:c>
      <x:c r="Q921" s="12" t="str">
        <x:v>Flowserve Global Technology &amp; Engineering Center (GTEC)</x:v>
      </x:c>
    </x:row>
    <x:row r="922" ht="48" customHeight="1">
      <x:c r="A922" s="2" t="str">
        <x:v>TEN-3F096CC5D9DD</x:v>
      </x:c>
      <x:c r="B922" s="12" t="str">
        <x:v>Fluidi5 Technologies Pvt.Ltd</x:v>
      </x:c>
      <x:c r="C922" s="12" t="str">
        <x:v>Business / brand</x:v>
      </x:c>
      <x:c r="D922" s="12" t="str">
        <x:v>Unresolved</x:v>
      </x:c>
      <x:c r="E922" s="12" t="str">
        <x:v>Business activity not established</x:v>
      </x:c>
      <x:c r="F922" s="12" t="str">
        <x:v>Mixed business audience</x:v>
      </x:c>
      <x:c r="G922" s="12" t="str">
        <x:v>Business activity and company scale are not established from this name.</x:v>
      </x:c>
      <x:c r="H922" s="11" t="n">
        <x:v>1</x:v>
      </x:c>
      <x:c r="I922" s="11" t="n">
        <x:v>1</x:v>
      </x:c>
      <x:c r="J922" s="11" t="n">
        <x:v>1</x:v>
      </x:c>
      <x:c r="K922" s="11" t="n">
        <x:v>0</x:v>
      </x:c>
      <x:c r="L922" s="17" t="n">
        <x:f>SUM(SUMIFS('Costing'!$P$9:$P$492,'Costing'!$A$9:$A$492,"MAIN-071"))</x:f>
        <x:v>15000</x:v>
      </x:c>
      <x:c r="M922" s="17" t="n">
        <x:f>ROUND(L922*'Costing'!$C$4,2)</x:f>
        <x:v>2700</x:v>
      </x:c>
      <x:c r="N922" s="17" t="n">
        <x:f>L922+M922</x:f>
        <x:v>17700</x:v>
      </x:c>
      <x:c r="O922" s="12" t="str">
        <x:v>Bengaluru</x:v>
      </x:c>
      <x:c r="P922" s="12" t="str">
        <x:v>CORP-0067</x:v>
      </x:c>
      <x:c r="Q922" s="12" t="str">
        <x:v>Fluidi5 Technologies Pvt.Ltd</x:v>
      </x:c>
    </x:row>
    <x:row r="923" ht="48" customHeight="1">
      <x:c r="A923" s="2" t="str">
        <x:v>TEN-6790EB887573</x:v>
      </x:c>
      <x:c r="B923" s="12" t="str">
        <x:v>Fluxon Apps</x:v>
      </x:c>
      <x:c r="C923" s="12" t="str">
        <x:v>Business / brand</x:v>
      </x:c>
      <x:c r="D923" s="12" t="str">
        <x:v>IT &amp; digital</x:v>
      </x:c>
      <x:c r="E923" s="12" t="str">
        <x:v>Enterprise software &amp; digital engineering</x:v>
      </x:c>
      <x:c r="F923" s="12" t="str">
        <x:v>Small-scale prospects</x:v>
      </x:c>
      <x:c r="G923" s="12" t="str">
        <x:v>Software or technology-services business; small-scale prospect assumption.</x:v>
      </x:c>
      <x:c r="H923" s="11" t="n">
        <x:v>1</x:v>
      </x:c>
      <x:c r="I923" s="11" t="n">
        <x:v>5</x:v>
      </x:c>
      <x:c r="J923" s="11" t="n">
        <x:v>5</x:v>
      </x:c>
      <x:c r="K923" s="11" t="n">
        <x:v>0</x:v>
      </x:c>
      <x:c r="L923" s="17" t="n">
        <x:f>SUM(SUMIFS('Costing'!$P$9:$P$492,'Costing'!$A$9:$A$492,"MAIN-258"))</x:f>
        <x:v>200000</x:v>
      </x:c>
      <x:c r="M923" s="17" t="n">
        <x:f>ROUND(L923*'Costing'!$C$4,2)</x:f>
        <x:v>36000</x:v>
      </x:c>
      <x:c r="N923" s="17" t="n">
        <x:f>L923+M923</x:f>
        <x:v>236000</x:v>
      </x:c>
      <x:c r="O923" s="12" t="str">
        <x:v>Hyderabad</x:v>
      </x:c>
      <x:c r="P923" s="12" t="str">
        <x:v>CORP-0254</x:v>
      </x:c>
      <x:c r="Q923" s="12" t="str">
        <x:v>Fluxon Apps</x:v>
      </x:c>
    </x:row>
    <x:row r="924" ht="48" customHeight="1">
      <x:c r="A924" s="2" t="str">
        <x:v>TEN-DBD359CDEA8A</x:v>
      </x:c>
      <x:c r="B924" s="12" t="str">
        <x:v>Fly Hub Travel Pvt Ltd</x:v>
      </x:c>
      <x:c r="C924" s="12" t="str">
        <x:v>Business / brand</x:v>
      </x:c>
      <x:c r="D924" s="12" t="str">
        <x:v>Trade, consumer &amp; logistics</x:v>
      </x:c>
      <x:c r="E924" s="12" t="str">
        <x:v>Travel, hospitality, food &amp; beverages</x:v>
      </x:c>
      <x:c r="F924" s="12" t="str">
        <x:v>Small-scale prospects</x:v>
      </x:c>
      <x:c r="G924" s="12" t="str">
        <x:v>Trading or consumer-services business; small-scale prospect assumption.</x:v>
      </x:c>
      <x:c r="H924" s="11" t="n">
        <x:v>2</x:v>
      </x:c>
      <x:c r="I924" s="11" t="n">
        <x:v>5</x:v>
      </x:c>
      <x:c r="J924" s="11" t="n">
        <x:v>5</x:v>
      </x:c>
      <x:c r="K924" s="11" t="n">
        <x:v>0</x:v>
      </x:c>
      <x:c r="L924" s="17" t="n">
        <x:f>SUM(SUMIFS('Costing'!$P$9:$P$492,'Costing'!$A$9:$A$492,"MAIN-082"),SUMIFS('Costing'!$P$9:$P$492,'Costing'!$A$9:$A$492,"MAIN-083"))</x:f>
        <x:v>137500</x:v>
      </x:c>
      <x:c r="M924" s="17" t="n">
        <x:f>ROUND(L924*'Costing'!$C$4,2)</x:f>
        <x:v>24750</x:v>
      </x:c>
      <x:c r="N924" s="17" t="n">
        <x:f>L924+M924</x:f>
        <x:v>162250</x:v>
      </x:c>
      <x:c r="O924" s="12" t="str">
        <x:v>Bengaluru</x:v>
      </x:c>
      <x:c r="P924" s="12" t="str">
        <x:v>CORP-0078, CORP-0079</x:v>
      </x:c>
      <x:c r="Q924" s="12" t="str">
        <x:v>Fly Hub Travel Pvt Ltd</x:v>
      </x:c>
    </x:row>
    <x:row r="925" ht="48" customHeight="1">
      <x:c r="A925" s="2" t="str">
        <x:v>TEN-6CAD670EAED5</x:v>
      </x:c>
      <x:c r="B925" s="12" t="str">
        <x:v>Flylines India Visa Consultancy Service</x:v>
      </x:c>
      <x:c r="C925" s="12" t="str">
        <x:v>Business / brand</x:v>
      </x:c>
      <x:c r="D925" s="12" t="str">
        <x:v>Professional services</x:v>
      </x:c>
      <x:c r="E925" s="12" t="str">
        <x:v>Immigration &amp; relocation services</x:v>
      </x:c>
      <x:c r="F925" s="12" t="str">
        <x:v>Small-scale prospects</x:v>
      </x:c>
      <x:c r="G925" s="12" t="str">
        <x:v>Professional service, agency or advisory model; small-scale prospect assumption.</x:v>
      </x:c>
      <x:c r="H925" s="11" t="n">
        <x:v>1</x:v>
      </x:c>
      <x:c r="I925" s="11" t="n">
        <x:v>1</x:v>
      </x:c>
      <x:c r="J925" s="11" t="n">
        <x:v>1</x:v>
      </x:c>
      <x:c r="K925" s="11" t="n">
        <x:v>0</x:v>
      </x:c>
      <x:c r="L925" s="17" t="n">
        <x:f>SUM(SUMIFS('Costing'!$P$9:$P$492,'Costing'!$A$9:$A$492,"MAIN-263"))</x:f>
        <x:v>25000</x:v>
      </x:c>
      <x:c r="M925" s="17" t="n">
        <x:f>ROUND(L925*'Costing'!$C$4,2)</x:f>
        <x:v>4500</x:v>
      </x:c>
      <x:c r="N925" s="17" t="n">
        <x:f>L925+M925</x:f>
        <x:v>29500</x:v>
      </x:c>
      <x:c r="O925" s="12" t="str">
        <x:v>Hyderabad</x:v>
      </x:c>
      <x:c r="P925" s="12" t="str">
        <x:v>CORP-0259</x:v>
      </x:c>
      <x:c r="Q925" s="12" t="str">
        <x:v>Flylines India Visa Consultancy Service</x:v>
      </x:c>
    </x:row>
    <x:row r="926" ht="48" customHeight="1">
      <x:c r="A926" s="2" t="str">
        <x:v>TEN-97B1AE253744</x:v>
      </x:c>
      <x:c r="B926" s="12" t="str">
        <x:v>FNF India</x:v>
      </x:c>
      <x:c r="C926" s="12" t="str">
        <x:v>Business / brand</x:v>
      </x:c>
      <x:c r="D926" s="12" t="str">
        <x:v>Finance &amp; insurance</x:v>
      </x:c>
      <x:c r="E926" s="12" t="str">
        <x:v>Financial services — specialty unverified</x:v>
      </x:c>
      <x:c r="F926" s="12" t="str">
        <x:v>Mixed business audience</x:v>
      </x:c>
      <x:c r="G926" s="12" t="str">
        <x:v>Recognisable business context; company-scale evidence remains insufficient for a single size band.</x:v>
      </x:c>
      <x:c r="H926" s="11" t="n">
        <x:v>6</x:v>
      </x:c>
      <x:c r="I926" s="11" t="n">
        <x:v>6</x:v>
      </x:c>
      <x:c r="J926" s="11" t="n">
        <x:v>6</x:v>
      </x:c>
      <x:c r="K926" s="11" t="n">
        <x:v>0</x:v>
      </x:c>
      <x:c r="L926" s="17" t="n">
        <x:f>SUM(SUMIFS('Costing'!$P$9:$P$492,'Costing'!$A$9:$A$492,"PARTNER-M072"))</x:f>
        <x:v>240000</x:v>
      </x:c>
      <x:c r="M926" s="17" t="n">
        <x:f>ROUND(L926*'Costing'!$C$4,2)</x:f>
        <x:v>43200</x:v>
      </x:c>
      <x:c r="N926" s="17" t="n">
        <x:f>L926+M926</x:f>
        <x:v>283200</x:v>
      </x:c>
      <x:c r="O926" s="12" t="str">
        <x:v>Bengaluru</x:v>
      </x:c>
      <x:c r="P926" s="12" t="str">
        <x:v>CORP-0490, CORP-0491, CORP-0492, CORP-0493, CORP-0494, CORP-0495</x:v>
      </x:c>
      <x:c r="Q926" s="12" t="str">
        <x:v>FNF India</x:v>
      </x:c>
    </x:row>
    <x:row r="927" ht="48" customHeight="1">
      <x:c r="A927" s="2" t="str">
        <x:v>TEN-B6783969BC07</x:v>
      </x:c>
      <x:c r="B927" s="12" t="str">
        <x:v>Forcepoint</x:v>
      </x:c>
      <x:c r="C927" s="12" t="str">
        <x:v>Business / brand</x:v>
      </x:c>
      <x:c r="D927" s="12" t="str">
        <x:v>IT &amp; digital</x:v>
      </x:c>
      <x:c r="E927" s="12" t="str">
        <x:v>Cybersecurity &amp; cloud infrastructure</x:v>
      </x:c>
      <x:c r="F927" s="12" t="str">
        <x:v>Mixed business audience</x:v>
      </x:c>
      <x:c r="G927" s="12" t="str">
        <x:v>Recognisable business context; company-scale evidence remains insufficient for a single size band.</x:v>
      </x:c>
      <x:c r="H927" s="11" t="n">
        <x:v>3</x:v>
      </x:c>
      <x:c r="I927" s="11" t="n">
        <x:v>3</x:v>
      </x:c>
      <x:c r="J927" s="11" t="n">
        <x:v>3</x:v>
      </x:c>
      <x:c r="K927" s="11" t="n">
        <x:v>0</x:v>
      </x:c>
      <x:c r="L927" s="17" t="n">
        <x:f>SUM(SUMIFS('Costing'!$P$9:$P$492,'Costing'!$A$9:$A$492,"PARTNER-M097"))</x:f>
        <x:v>120000</x:v>
      </x:c>
      <x:c r="M927" s="17" t="n">
        <x:f>ROUND(L927*'Costing'!$C$4,2)</x:f>
        <x:v>21600</x:v>
      </x:c>
      <x:c r="N927" s="17" t="n">
        <x:f>L927+M927</x:f>
        <x:v>141600</x:v>
      </x:c>
      <x:c r="O927" s="12" t="str">
        <x:v>Bengaluru</x:v>
      </x:c>
      <x:c r="P927" s="12" t="str">
        <x:v>CORP-0515, CORP-0516, CORP-0517</x:v>
      </x:c>
      <x:c r="Q927" s="12" t="str">
        <x:v>Forcepoint</x:v>
      </x:c>
    </x:row>
    <x:row r="928" ht="48" customHeight="1">
      <x:c r="A928" s="2" t="str">
        <x:v>TEN-A5525ED3A856</x:v>
      </x:c>
      <x:c r="B928" s="12" t="str">
        <x:v>Forth Fortuner</x:v>
      </x:c>
      <x:c r="C928" s="12" t="str">
        <x:v>Business / brand</x:v>
      </x:c>
      <x:c r="D928" s="12" t="str">
        <x:v>Unresolved</x:v>
      </x:c>
      <x:c r="E928" s="12" t="str">
        <x:v>Business activity not established</x:v>
      </x:c>
      <x:c r="F928" s="12" t="str">
        <x:v>Mixed business audience</x:v>
      </x:c>
      <x:c r="G928" s="12" t="str">
        <x:v>Business activity and company scale are not established from this name.</x:v>
      </x:c>
      <x:c r="H928" s="11" t="n">
        <x:v>1</x:v>
      </x:c>
      <x:c r="I928" s="11" t="n">
        <x:v>1</x:v>
      </x:c>
      <x:c r="J928" s="11" t="n">
        <x:v>1</x:v>
      </x:c>
      <x:c r="K928" s="11" t="n">
        <x:v>0</x:v>
      </x:c>
      <x:c r="L928" s="17" t="n">
        <x:f>SUM(SUMIFS('Costing'!$P$9:$P$492,'Costing'!$A$9:$A$492,"MAIN-033"))</x:f>
        <x:v>15000</x:v>
      </x:c>
      <x:c r="M928" s="17" t="n">
        <x:f>ROUND(L928*'Costing'!$C$4,2)</x:f>
        <x:v>2700</x:v>
      </x:c>
      <x:c r="N928" s="17" t="n">
        <x:f>L928+M928</x:f>
        <x:v>17700</x:v>
      </x:c>
      <x:c r="O928" s="12" t="str">
        <x:v>Bengaluru</x:v>
      </x:c>
      <x:c r="P928" s="12" t="str">
        <x:v>CORP-0029</x:v>
      </x:c>
      <x:c r="Q928" s="12" t="str">
        <x:v>Forth Fortuner</x:v>
      </x:c>
    </x:row>
    <x:row r="929" ht="48" customHeight="1">
      <x:c r="A929" s="2" t="str">
        <x:v>TEN-83D4208E08C1</x:v>
      </x:c>
      <x:c r="B929" s="12" t="str">
        <x:v>Fortis Links LLP</x:v>
      </x:c>
      <x:c r="C929" s="12" t="str">
        <x:v>Business / brand</x:v>
      </x:c>
      <x:c r="D929" s="12" t="str">
        <x:v>Unresolved</x:v>
      </x:c>
      <x:c r="E929" s="12" t="str">
        <x:v>Business activity not established</x:v>
      </x:c>
      <x:c r="F929" s="12" t="str">
        <x:v>Mixed business audience</x:v>
      </x:c>
      <x:c r="G929" s="12" t="str">
        <x:v>Recognisable business context; company-scale evidence remains insufficient for a single size band.</x:v>
      </x:c>
      <x:c r="H929" s="11" t="n">
        <x:v>1</x:v>
      </x:c>
      <x:c r="I929" s="11" t="n">
        <x:v>2</x:v>
      </x:c>
      <x:c r="J929" s="11" t="n">
        <x:v>2</x:v>
      </x:c>
      <x:c r="K929" s="11" t="n">
        <x:v>0</x:v>
      </x:c>
      <x:c r="L929" s="17" t="n">
        <x:f>SUM(SUMIFS('Costing'!$P$9:$P$492,'Costing'!$A$9:$A$492,"MAIN-389"))</x:f>
        <x:v>30000</x:v>
      </x:c>
      <x:c r="M929" s="17" t="n">
        <x:f>ROUND(L929*'Costing'!$C$4,2)</x:f>
        <x:v>5400</x:v>
      </x:c>
      <x:c r="N929" s="17" t="n">
        <x:f>L929+M929</x:f>
        <x:v>35400</x:v>
      </x:c>
      <x:c r="O929" s="12" t="str">
        <x:v>Pune</x:v>
      </x:c>
      <x:c r="P929" s="12" t="str">
        <x:v>CORP-0385</x:v>
      </x:c>
      <x:c r="Q929" s="12" t="str">
        <x:v>Fortis Links LLP</x:v>
      </x:c>
    </x:row>
    <x:row r="930" ht="48" customHeight="1">
      <x:c r="A930" s="2" t="str">
        <x:v>TEN-50F0697A25EA</x:v>
      </x:c>
      <x:c r="B930" s="12" t="str">
        <x:v>Fortrea</x:v>
      </x:c>
      <x:c r="C930" s="12" t="str">
        <x:v>Business / brand</x:v>
      </x:c>
      <x:c r="D930" s="12" t="str">
        <x:v>Healthcare &amp; life sciences</x:v>
      </x:c>
      <x:c r="E930" s="12" t="str">
        <x:v>Clinical, medical &amp; diagnostic services</x:v>
      </x:c>
      <x:c r="F930" s="12" t="str">
        <x:v>Mixed business audience</x:v>
      </x:c>
      <x:c r="G930" s="12" t="str">
        <x:v>Recognisable business context; company-scale evidence remains insufficient for a single size band.</x:v>
      </x:c>
      <x:c r="H930" s="11" t="n">
        <x:v>1</x:v>
      </x:c>
      <x:c r="I930" s="11" t="n">
        <x:v>2</x:v>
      </x:c>
      <x:c r="J930" s="11" t="n">
        <x:v>2</x:v>
      </x:c>
      <x:c r="K930" s="11" t="n">
        <x:v>0</x:v>
      </x:c>
      <x:c r="L930" s="17" t="n">
        <x:f>SUM(SUMIFS('Costing'!$P$9:$P$492,'Costing'!$A$9:$A$492,"MAIN-316"))</x:f>
        <x:v>40000</x:v>
      </x:c>
      <x:c r="M930" s="17" t="n">
        <x:f>ROUND(L930*'Costing'!$C$4,2)</x:f>
        <x:v>7200</x:v>
      </x:c>
      <x:c r="N930" s="17" t="n">
        <x:f>L930+M930</x:f>
        <x:v>47200</x:v>
      </x:c>
      <x:c r="O930" s="12" t="str">
        <x:v>Mumbai</x:v>
      </x:c>
      <x:c r="P930" s="12" t="str">
        <x:v>CORP-0312</x:v>
      </x:c>
      <x:c r="Q930" s="12" t="str">
        <x:v>Fortrea</x:v>
      </x:c>
    </x:row>
    <x:row r="931" ht="48" customHeight="1">
      <x:c r="A931" s="2" t="str">
        <x:v>TEN-5CBF5F7BE7A6</x:v>
      </x:c>
      <x:c r="B931" s="12" t="str">
        <x:v>Foscher Pvt.Ltd</x:v>
      </x:c>
      <x:c r="C931" s="12" t="str">
        <x:v>Business / brand</x:v>
      </x:c>
      <x:c r="D931" s="12" t="str">
        <x:v>Unresolved</x:v>
      </x:c>
      <x:c r="E931" s="12" t="str">
        <x:v>Business activity not established</x:v>
      </x:c>
      <x:c r="F931" s="12" t="str">
        <x:v>Mixed business audience</x:v>
      </x:c>
      <x:c r="G931" s="12" t="str">
        <x:v>Business activity and company scale are not established from this name.</x:v>
      </x:c>
      <x:c r="H931" s="11" t="n">
        <x:v>1</x:v>
      </x:c>
      <x:c r="I931" s="11" t="n">
        <x:v>1</x:v>
      </x:c>
      <x:c r="J931" s="11" t="n">
        <x:v>1</x:v>
      </x:c>
      <x:c r="K931" s="11" t="n">
        <x:v>0</x:v>
      </x:c>
      <x:c r="L931" s="17" t="n">
        <x:f>SUM(SUMIFS('Costing'!$P$9:$P$492,'Costing'!$A$9:$A$492,"MAIN-050"))</x:f>
        <x:v>15000</x:v>
      </x:c>
      <x:c r="M931" s="17" t="n">
        <x:f>ROUND(L931*'Costing'!$C$4,2)</x:f>
        <x:v>2700</x:v>
      </x:c>
      <x:c r="N931" s="17" t="n">
        <x:f>L931+M931</x:f>
        <x:v>17700</x:v>
      </x:c>
      <x:c r="O931" s="12" t="str">
        <x:v>Bengaluru</x:v>
      </x:c>
      <x:c r="P931" s="12" t="str">
        <x:v>CORP-0046</x:v>
      </x:c>
      <x:c r="Q931" s="12" t="str">
        <x:v>Foscher Pvt.Ltd</x:v>
      </x:c>
    </x:row>
    <x:row r="932" ht="48" customHeight="1">
      <x:c r="A932" s="2" t="str">
        <x:v>TEN-9F6FEAE43949</x:v>
      </x:c>
      <x:c r="B932" s="12" t="str">
        <x:v>Fossil India Pvt Ltd</x:v>
      </x:c>
      <x:c r="C932" s="12" t="str">
        <x:v>Business / brand</x:v>
      </x:c>
      <x:c r="D932" s="12" t="str">
        <x:v>Trade, consumer &amp; logistics</x:v>
      </x:c>
      <x:c r="E932" s="12" t="str">
        <x:v>Retail, consumer products &amp; ecommerce</x:v>
      </x:c>
      <x:c r="F932" s="12" t="str">
        <x:v>Mixed business audience</x:v>
      </x:c>
      <x:c r="G932" s="12" t="str">
        <x:v>Established brand or business network; local company scale is not established. Use a mixed-business message.</x:v>
      </x:c>
      <x:c r="H932" s="11" t="n">
        <x:v>4</x:v>
      </x:c>
      <x:c r="I932" s="11" t="n">
        <x:v>4</x:v>
      </x:c>
      <x:c r="J932" s="11" t="n">
        <x:v>4</x:v>
      </x:c>
      <x:c r="K932" s="11" t="n">
        <x:v>0</x:v>
      </x:c>
      <x:c r="L932" s="17" t="n">
        <x:f>SUM(SUMIFS('Costing'!$P$9:$P$492,'Costing'!$A$9:$A$492,"PARTNER-M235"))</x:f>
        <x:v>160000</x:v>
      </x:c>
      <x:c r="M932" s="17" t="n">
        <x:f>ROUND(L932*'Costing'!$C$4,2)</x:f>
        <x:v>28800</x:v>
      </x:c>
      <x:c r="N932" s="17" t="n">
        <x:f>L932+M932</x:f>
        <x:v>188800</x:v>
      </x:c>
      <x:c r="O932" s="12" t="str">
        <x:v>Mumbai</x:v>
      </x:c>
      <x:c r="P932" s="12" t="str">
        <x:v>CORP-0652, CORP-0653, CORP-0654, CORP-0655</x:v>
      </x:c>
      <x:c r="Q932" s="12" t="str">
        <x:v>Fossil India Pvt Ltd</x:v>
      </x:c>
    </x:row>
    <x:row r="933" ht="48" customHeight="1">
      <x:c r="A933" s="2" t="str">
        <x:v>TEN-99FA68C349B3</x:v>
      </x:c>
      <x:c r="B933" s="12" t="str">
        <x:v>FourNxt Technologies</x:v>
      </x:c>
      <x:c r="C933" s="12" t="str">
        <x:v>Business / brand</x:v>
      </x:c>
      <x:c r="D933" s="12" t="str">
        <x:v>Unresolved</x:v>
      </x:c>
      <x:c r="E933" s="12" t="str">
        <x:v>Business activity not established</x:v>
      </x:c>
      <x:c r="F933" s="12" t="str">
        <x:v>Mixed business audience</x:v>
      </x:c>
      <x:c r="G933" s="12" t="str">
        <x:v>Business activity and company scale are not established from this name.</x:v>
      </x:c>
      <x:c r="H933" s="11" t="n">
        <x:v>1</x:v>
      </x:c>
      <x:c r="I933" s="11" t="n">
        <x:v>5</x:v>
      </x:c>
      <x:c r="J933" s="11" t="n">
        <x:v>5</x:v>
      </x:c>
      <x:c r="K933" s="11" t="n">
        <x:v>0</x:v>
      </x:c>
      <x:c r="L933" s="17" t="n">
        <x:f>SUM(SUMIFS('Costing'!$P$9:$P$492,'Costing'!$A$9:$A$492,"MAIN-127"))</x:f>
        <x:v>125000</x:v>
      </x:c>
      <x:c r="M933" s="17" t="n">
        <x:f>ROUND(L933*'Costing'!$C$4,2)</x:f>
        <x:v>22500</x:v>
      </x:c>
      <x:c r="N933" s="17" t="n">
        <x:f>L933+M933</x:f>
        <x:v>147500</x:v>
      </x:c>
      <x:c r="O933" s="12" t="str">
        <x:v>Bengaluru</x:v>
      </x:c>
      <x:c r="P933" s="12" t="str">
        <x:v>CORP-0123</x:v>
      </x:c>
      <x:c r="Q933" s="12" t="str">
        <x:v>FourNxt Technologies</x:v>
      </x:c>
    </x:row>
    <x:row r="934" ht="48" customHeight="1">
      <x:c r="A934" s="2" t="str">
        <x:v>TEN-7E0E7F63D0E5</x:v>
      </x:c>
      <x:c r="B934" s="12" t="str">
        <x:v>FP Tech Science Pvt. Ltd</x:v>
      </x:c>
      <x:c r="C934" s="12" t="str">
        <x:v>Business / brand</x:v>
      </x:c>
      <x:c r="D934" s="12" t="str">
        <x:v>Unresolved</x:v>
      </x:c>
      <x:c r="E934" s="12" t="str">
        <x:v>Business activity not established</x:v>
      </x:c>
      <x:c r="F934" s="12" t="str">
        <x:v>Mixed business audience</x:v>
      </x:c>
      <x:c r="G934" s="12" t="str">
        <x:v>Business activity and company scale are not established from this name.</x:v>
      </x:c>
      <x:c r="H934" s="11" t="n">
        <x:v>5</x:v>
      </x:c>
      <x:c r="I934" s="11" t="n">
        <x:v>5</x:v>
      </x:c>
      <x:c r="J934" s="11" t="n">
        <x:v>5</x:v>
      </x:c>
      <x:c r="K934" s="11" t="n">
        <x:v>0</x:v>
      </x:c>
      <x:c r="L934" s="17" t="n">
        <x:f>SUM(SUMIFS('Costing'!$P$9:$P$492,'Costing'!$A$9:$A$492,"PARTNER-M060"))</x:f>
        <x:v>200000</x:v>
      </x:c>
      <x:c r="M934" s="17" t="n">
        <x:f>ROUND(L934*'Costing'!$C$4,2)</x:f>
        <x:v>36000</x:v>
      </x:c>
      <x:c r="N934" s="17" t="n">
        <x:f>L934+M934</x:f>
        <x:v>236000</x:v>
      </x:c>
      <x:c r="O934" s="12" t="str">
        <x:v>Bengaluru</x:v>
      </x:c>
      <x:c r="P934" s="12" t="str">
        <x:v>CORP-0478, CORP-0479, CORP-0480, CORP-0481, CORP-0482</x:v>
      </x:c>
      <x:c r="Q934" s="12" t="str">
        <x:v>FP Tech Science Pvt. Ltd</x:v>
      </x:c>
    </x:row>
    <x:row r="935" ht="48" customHeight="1">
      <x:c r="A935" s="2" t="str">
        <x:v>TEN-5E4D9D0A79B0</x:v>
      </x:c>
      <x:c r="B935" s="12" t="str">
        <x:v>FPT Automotive India</x:v>
      </x:c>
      <x:c r="C935" s="12" t="str">
        <x:v>Business / brand</x:v>
      </x:c>
      <x:c r="D935" s="12" t="str">
        <x:v>Engineering &amp; manufacturing</x:v>
      </x:c>
      <x:c r="E935" s="12" t="str">
        <x:v>Automotive, mobility &amp; aerospace</x:v>
      </x:c>
      <x:c r="F935" s="12" t="str">
        <x:v>Mixed business audience</x:v>
      </x:c>
      <x:c r="G935" s="12" t="str">
        <x:v>Established brand or business network; local company scale is not established. Use a mixed-business message.</x:v>
      </x:c>
      <x:c r="H935" s="11" t="n">
        <x:v>1</x:v>
      </x:c>
      <x:c r="I935" s="11" t="n">
        <x:v>4</x:v>
      </x:c>
      <x:c r="J935" s="11" t="n">
        <x:v>4</x:v>
      </x:c>
      <x:c r="K935" s="11" t="n">
        <x:v>0</x:v>
      </x:c>
      <x:c r="L935" s="17" t="n">
        <x:f>SUM(SUMIFS('Costing'!$P$9:$P$492,'Costing'!$A$9:$A$492,"MAIN-381"))</x:f>
        <x:v>80000</x:v>
      </x:c>
      <x:c r="M935" s="17" t="n">
        <x:f>ROUND(L935*'Costing'!$C$4,2)</x:f>
        <x:v>14400</x:v>
      </x:c>
      <x:c r="N935" s="17" t="n">
        <x:f>L935+M935</x:f>
        <x:v>94400</x:v>
      </x:c>
      <x:c r="O935" s="12" t="str">
        <x:v>Pune</x:v>
      </x:c>
      <x:c r="P935" s="12" t="str">
        <x:v>CORP-0377</x:v>
      </x:c>
      <x:c r="Q935" s="12" t="str">
        <x:v>FPT Automotive India</x:v>
      </x:c>
    </x:row>
    <x:row r="936" ht="48" customHeight="1">
      <x:c r="A936" s="2" t="str">
        <x:v>TEN-EA1792C21111</x:v>
      </x:c>
      <x:c r="B936" s="12" t="str">
        <x:v>Fractal Investments Pvt Ltd</x:v>
      </x:c>
      <x:c r="C936" s="12" t="str">
        <x:v>Business / brand</x:v>
      </x:c>
      <x:c r="D936" s="12" t="str">
        <x:v>Finance &amp; insurance</x:v>
      </x:c>
      <x:c r="E936" s="12" t="str">
        <x:v>Investments, securities &amp; wealth</x:v>
      </x:c>
      <x:c r="F936" s="12" t="str">
        <x:v>Medium-scale prospects</x:v>
      </x:c>
      <x:c r="G936" s="12" t="str">
        <x:v>Specialist financial-services business; medium-scale prospect assumption.</x:v>
      </x:c>
      <x:c r="H936" s="11" t="n">
        <x:v>1</x:v>
      </x:c>
      <x:c r="I936" s="11" t="n">
        <x:v>1</x:v>
      </x:c>
      <x:c r="J936" s="11" t="n">
        <x:v>1</x:v>
      </x:c>
      <x:c r="K936" s="11" t="n">
        <x:v>0</x:v>
      </x:c>
      <x:c r="L936" s="17" t="n">
        <x:f>SUM(SUMIFS('Costing'!$P$9:$P$492,'Costing'!$A$9:$A$492,"MAIN-323"))</x:f>
        <x:v>15000</x:v>
      </x:c>
      <x:c r="M936" s="17" t="n">
        <x:f>ROUND(L936*'Costing'!$C$4,2)</x:f>
        <x:v>2700</x:v>
      </x:c>
      <x:c r="N936" s="17" t="n">
        <x:f>L936+M936</x:f>
        <x:v>17700</x:v>
      </x:c>
      <x:c r="O936" s="12" t="str">
        <x:v>Mumbai</x:v>
      </x:c>
      <x:c r="P936" s="12" t="str">
        <x:v>CORP-0319</x:v>
      </x:c>
      <x:c r="Q936" s="12" t="str">
        <x:v>Fractal Investments Pvt Ltd</x:v>
      </x:c>
    </x:row>
    <x:row r="937" ht="48" customHeight="1">
      <x:c r="A937" s="2" t="str">
        <x:v>TEN-D74F5318167A</x:v>
      </x:c>
      <x:c r="B937" s="12" t="str">
        <x:v>Framsikt Technologies Pvt Ltd</x:v>
      </x:c>
      <x:c r="C937" s="12" t="str">
        <x:v>Business / brand</x:v>
      </x:c>
      <x:c r="D937" s="12" t="str">
        <x:v>Unresolved</x:v>
      </x:c>
      <x:c r="E937" s="12" t="str">
        <x:v>Business activity not established</x:v>
      </x:c>
      <x:c r="F937" s="12" t="str">
        <x:v>Mixed business audience</x:v>
      </x:c>
      <x:c r="G937" s="12" t="str">
        <x:v>Business activity and company scale are not established from this name.</x:v>
      </x:c>
      <x:c r="H937" s="11" t="n">
        <x:v>1</x:v>
      </x:c>
      <x:c r="I937" s="11" t="n">
        <x:v>11</x:v>
      </x:c>
      <x:c r="J937" s="11" t="n">
        <x:v>11</x:v>
      </x:c>
      <x:c r="K937" s="11" t="n">
        <x:v>0</x:v>
      </x:c>
      <x:c r="L937" s="17" t="n">
        <x:f>SUM(SUMIFS('Costing'!$P$9:$P$492,'Costing'!$A$9:$A$492,"MAIN-131"))</x:f>
        <x:v>275000</x:v>
      </x:c>
      <x:c r="M937" s="17" t="n">
        <x:f>ROUND(L937*'Costing'!$C$4,2)</x:f>
        <x:v>49500</x:v>
      </x:c>
      <x:c r="N937" s="17" t="n">
        <x:f>L937+M937</x:f>
        <x:v>324500</x:v>
      </x:c>
      <x:c r="O937" s="12" t="str">
        <x:v>Bengaluru</x:v>
      </x:c>
      <x:c r="P937" s="12" t="str">
        <x:v>CORP-0127</x:v>
      </x:c>
      <x:c r="Q937" s="12" t="str">
        <x:v>Framsikt Technologies Pvt Ltd</x:v>
      </x:c>
    </x:row>
    <x:row r="938" ht="48" customHeight="1">
      <x:c r="A938" s="2" t="str">
        <x:v>TEN-A4280C2C5D86</x:v>
      </x:c>
      <x:c r="B938" s="12" t="str">
        <x:v>Freedom Surgical</x:v>
      </x:c>
      <x:c r="C938" s="12" t="str">
        <x:v>Business / brand</x:v>
      </x:c>
      <x:c r="D938" s="12" t="str">
        <x:v>Healthcare &amp; life sciences</x:v>
      </x:c>
      <x:c r="E938" s="12" t="str">
        <x:v>Clinical, medical &amp; diagnostic services</x:v>
      </x:c>
      <x:c r="F938" s="12" t="str">
        <x:v>Small-scale prospects</x:v>
      </x:c>
      <x:c r="G938" s="12" t="str">
        <x:v>Healthcare services business; small-scale prospect assumption.</x:v>
      </x:c>
      <x:c r="H938" s="11" t="n">
        <x:v>1</x:v>
      </x:c>
      <x:c r="I938" s="11" t="n">
        <x:v>22</x:v>
      </x:c>
      <x:c r="J938" s="11" t="n">
        <x:v>22</x:v>
      </x:c>
      <x:c r="K938" s="11" t="n">
        <x:v>0</x:v>
      </x:c>
      <x:c r="L938" s="17" t="n">
        <x:f>SUM(SUMIFS('Costing'!$P$9:$P$492,'Costing'!$A$9:$A$492,"MAIN-260"))</x:f>
        <x:v>715000</x:v>
      </x:c>
      <x:c r="M938" s="17" t="n">
        <x:f>ROUND(L938*'Costing'!$C$4,2)</x:f>
        <x:v>128700</x:v>
      </x:c>
      <x:c r="N938" s="17" t="n">
        <x:f>L938+M938</x:f>
        <x:v>843700</x:v>
      </x:c>
      <x:c r="O938" s="12" t="str">
        <x:v>Hyderabad</x:v>
      </x:c>
      <x:c r="P938" s="12" t="str">
        <x:v>CORP-0256</x:v>
      </x:c>
      <x:c r="Q938" s="12" t="str">
        <x:v>Freedom Surgical</x:v>
      </x:c>
    </x:row>
    <x:row r="939" ht="48" customHeight="1">
      <x:c r="A939" s="2" t="str">
        <x:v>TEN-E833260CE7B6</x:v>
      </x:c>
      <x:c r="B939" s="12" t="str">
        <x:v>Freight Systems</x:v>
      </x:c>
      <x:c r="C939" s="12" t="str">
        <x:v>Business / brand</x:v>
      </x:c>
      <x:c r="D939" s="12" t="str">
        <x:v>Trade, consumer &amp; logistics</x:v>
      </x:c>
      <x:c r="E939" s="12" t="str">
        <x:v>Consumer/trade services — specialty unverified</x:v>
      </x:c>
      <x:c r="F939" s="12" t="str">
        <x:v>Small-scale prospects</x:v>
      </x:c>
      <x:c r="G939" s="12" t="str">
        <x:v>Trading or consumer-services business; small-scale prospect assumption.</x:v>
      </x:c>
      <x:c r="H939" s="11" t="n">
        <x:v>1</x:v>
      </x:c>
      <x:c r="I939" s="11" t="n">
        <x:v>2</x:v>
      </x:c>
      <x:c r="J939" s="11" t="n">
        <x:v>2</x:v>
      </x:c>
      <x:c r="K939" s="11" t="n">
        <x:v>0</x:v>
      </x:c>
      <x:c r="L939" s="17" t="n">
        <x:f>SUM(SUMIFS('Costing'!$P$9:$P$492,'Costing'!$A$9:$A$492,"MAIN-152"))</x:f>
        <x:v>40000</x:v>
      </x:c>
      <x:c r="M939" s="17" t="n">
        <x:f>ROUND(L939*'Costing'!$C$4,2)</x:f>
        <x:v>7200</x:v>
      </x:c>
      <x:c r="N939" s="17" t="n">
        <x:f>L939+M939</x:f>
        <x:v>47200</x:v>
      </x:c>
      <x:c r="O939" s="12" t="str">
        <x:v>Chennai</x:v>
      </x:c>
      <x:c r="P939" s="12" t="str">
        <x:v>CORP-0148</x:v>
      </x:c>
      <x:c r="Q939" s="12" t="str">
        <x:v>Freight Systems, Frieght Systems</x:v>
      </x:c>
    </x:row>
    <x:row r="940" ht="88" customHeight="1">
      <x:c r="A940" s="2" t="str">
        <x:v>TEN-B783B550E2C6</x:v>
      </x:c>
      <x:c r="B940" s="12" t="str">
        <x:v>FREIGHT SYSTEMS (I) PVT. LTD</x:v>
      </x:c>
      <x:c r="C940" s="12" t="str">
        <x:v>Business / brand</x:v>
      </x:c>
      <x:c r="D940" s="12" t="str">
        <x:v>Trade, consumer &amp; logistics</x:v>
      </x:c>
      <x:c r="E940" s="12" t="str">
        <x:v>Logistics, shipping &amp; transport</x:v>
      </x:c>
      <x:c r="F940" s="12" t="str">
        <x:v>Mixed business audience</x:v>
      </x:c>
      <x:c r="G940" s="12" t="str">
        <x:v>Freight Systems has international logistics operations, but the accessible 2016 company-hosted press item describes roughly 200 staff at ONE Mumbai branch. It cannot establish enterprise-wide current size; prioritize large-enterprise exception research before assigning Medium logistics default.</x:v>
      </x:c>
      <x:c r="H940" s="11" t="n">
        <x:v>1</x:v>
      </x:c>
      <x:c r="I940" s="11" t="n">
        <x:v>70</x:v>
      </x:c>
      <x:c r="J940" s="11" t="n">
        <x:v>70</x:v>
      </x:c>
      <x:c r="K940" s="11" t="n">
        <x:v>0</x:v>
      </x:c>
      <x:c r="L940" s="17" t="n">
        <x:f>SUM(SUMIFS('Costing'!$P$9:$P$492,'Costing'!$A$9:$A$492,"MAIN-350"))</x:f>
        <x:v>1050000</x:v>
      </x:c>
      <x:c r="M940" s="17" t="n">
        <x:f>ROUND(L940*'Costing'!$C$4,2)</x:f>
        <x:v>189000</x:v>
      </x:c>
      <x:c r="N940" s="17" t="n">
        <x:f>L940+M940</x:f>
        <x:v>1239000</x:v>
      </x:c>
      <x:c r="O940" s="12" t="str">
        <x:v>Mumbai</x:v>
      </x:c>
      <x:c r="P940" s="12" t="str">
        <x:v>CORP-0346</x:v>
      </x:c>
      <x:c r="Q940" s="12" t="str">
        <x:v>FREIGHT SYSTEMS (I) PVT. LTD</x:v>
      </x:c>
    </x:row>
    <x:row r="941" ht="48" customHeight="1">
      <x:c r="A941" s="2" t="str">
        <x:v>TEN-F0694C6E2DE4</x:v>
      </x:c>
      <x:c r="B941" s="12" t="str">
        <x:v>Freight Systems Limited</x:v>
      </x:c>
      <x:c r="C941" s="12" t="str">
        <x:v>Business / brand</x:v>
      </x:c>
      <x:c r="D941" s="12" t="str">
        <x:v>Trade, consumer &amp; logistics</x:v>
      </x:c>
      <x:c r="E941" s="12" t="str">
        <x:v>Logistics, shipping &amp; transport</x:v>
      </x:c>
      <x:c r="F941" s="12" t="str">
        <x:v>Medium-scale prospects</x:v>
      </x:c>
      <x:c r="G941" s="12" t="str">
        <x:v>Specialist logistics or transport business; medium-scale prospect assumption.</x:v>
      </x:c>
      <x:c r="H941" s="11" t="n">
        <x:v>1</x:v>
      </x:c>
      <x:c r="I941" s="11" t="n">
        <x:v>4</x:v>
      </x:c>
      <x:c r="J941" s="11" t="n">
        <x:v>4</x:v>
      </x:c>
      <x:c r="K941" s="11" t="n">
        <x:v>0</x:v>
      </x:c>
      <x:c r="L941" s="17" t="n">
        <x:f>SUM(SUMIFS('Costing'!$P$9:$P$492,'Costing'!$A$9:$A$492,"MAIN-148"))</x:f>
        <x:v>80000</x:v>
      </x:c>
      <x:c r="M941" s="17" t="n">
        <x:f>ROUND(L941*'Costing'!$C$4,2)</x:f>
        <x:v>14400</x:v>
      </x:c>
      <x:c r="N941" s="17" t="n">
        <x:f>L941+M941</x:f>
        <x:v>94400</x:v>
      </x:c>
      <x:c r="O941" s="12" t="str">
        <x:v>Chennai</x:v>
      </x:c>
      <x:c r="P941" s="12" t="str">
        <x:v>CORP-0144</x:v>
      </x:c>
      <x:c r="Q941" s="12" t="str">
        <x:v>Freight Systems Limited</x:v>
      </x:c>
    </x:row>
    <x:row r="942" ht="48" customHeight="1">
      <x:c r="A942" s="2" t="str">
        <x:v>TEN-B67D6F69AB3E</x:v>
      </x:c>
      <x:c r="B942" s="12" t="str">
        <x:v>Fresh for Health</x:v>
      </x:c>
      <x:c r="C942" s="12" t="str">
        <x:v>Business / brand</x:v>
      </x:c>
      <x:c r="D942" s="12" t="str">
        <x:v>Healthcare &amp; life sciences</x:v>
      </x:c>
      <x:c r="E942" s="12" t="str">
        <x:v>Clinical, medical &amp; diagnostic services</x:v>
      </x:c>
      <x:c r="F942" s="12" t="str">
        <x:v>Small-scale prospects</x:v>
      </x:c>
      <x:c r="G942" s="12" t="str">
        <x:v>Healthcare services business; small-scale prospect assumption.</x:v>
      </x:c>
      <x:c r="H942" s="11" t="n">
        <x:v>4</x:v>
      </x:c>
      <x:c r="I942" s="11" t="n">
        <x:v>4</x:v>
      </x:c>
      <x:c r="J942" s="11" t="n">
        <x:v>4</x:v>
      </x:c>
      <x:c r="K942" s="11" t="n">
        <x:v>0</x:v>
      </x:c>
      <x:c r="L942" s="17" t="n">
        <x:f>SUM(SUMIFS('Costing'!$P$9:$P$492,'Costing'!$A$9:$A$492,"PARTNER-M197"))</x:f>
        <x:v>160000</x:v>
      </x:c>
      <x:c r="M942" s="17" t="n">
        <x:f>ROUND(L942*'Costing'!$C$4,2)</x:f>
        <x:v>28800</x:v>
      </x:c>
      <x:c r="N942" s="17" t="n">
        <x:f>L942+M942</x:f>
        <x:v>188800</x:v>
      </x:c>
      <x:c r="O942" s="12" t="str">
        <x:v>Mumbai</x:v>
      </x:c>
      <x:c r="P942" s="12" t="str">
        <x:v>CORP-0614, CORP-0615, CORP-0616, CORP-0617</x:v>
      </x:c>
      <x:c r="Q942" s="12" t="str">
        <x:v>Fresh for Health</x:v>
      </x:c>
    </x:row>
    <x:row r="943" ht="48" customHeight="1">
      <x:c r="A943" s="2" t="str">
        <x:v>TEN-8320B886DB16</x:v>
      </x:c>
      <x:c r="B943" s="12" t="str">
        <x:v>frnd</x:v>
      </x:c>
      <x:c r="C943" s="12" t="str">
        <x:v>Business / brand</x:v>
      </x:c>
      <x:c r="D943" s="12" t="str">
        <x:v>Trade, consumer &amp; logistics</x:v>
      </x:c>
      <x:c r="E943" s="12" t="str">
        <x:v>Entertainment, media &amp; events</x:v>
      </x:c>
      <x:c r="F943" s="12" t="str">
        <x:v>Small-scale prospects</x:v>
      </x:c>
      <x:c r="G943" s="12" t="str">
        <x:v>Trading or consumer-services business; small-scale prospect assumption.</x:v>
      </x:c>
      <x:c r="H943" s="11" t="n">
        <x:v>1</x:v>
      </x:c>
      <x:c r="I943" s="11" t="n">
        <x:v>2</x:v>
      </x:c>
      <x:c r="J943" s="11" t="n">
        <x:v>2</x:v>
      </x:c>
      <x:c r="K943" s="11" t="n">
        <x:v>0</x:v>
      </x:c>
      <x:c r="L943" s="17" t="n">
        <x:f>SUM(SUMIFS('Costing'!$P$9:$P$492,'Costing'!$A$9:$A$492,"MAIN-108"))</x:f>
        <x:v>30000</x:v>
      </x:c>
      <x:c r="M943" s="17" t="n">
        <x:f>ROUND(L943*'Costing'!$C$4,2)</x:f>
        <x:v>5400</x:v>
      </x:c>
      <x:c r="N943" s="17" t="n">
        <x:f>L943+M943</x:f>
        <x:v>35400</x:v>
      </x:c>
      <x:c r="O943" s="12" t="str">
        <x:v>Bengaluru</x:v>
      </x:c>
      <x:c r="P943" s="12" t="str">
        <x:v>CORP-0104</x:v>
      </x:c>
      <x:c r="Q943" s="12" t="str">
        <x:v>frnd</x:v>
      </x:c>
    </x:row>
    <x:row r="944" ht="48" customHeight="1">
      <x:c r="A944" s="2" t="str">
        <x:v>TEN-38773D0009A0</x:v>
      </x:c>
      <x:c r="B944" s="12" t="str">
        <x:v>Frog Design Studio</x:v>
      </x:c>
      <x:c r="C944" s="12" t="str">
        <x:v>Business / brand</x:v>
      </x:c>
      <x:c r="D944" s="12" t="str">
        <x:v>Professional services</x:v>
      </x:c>
      <x:c r="E944" s="12" t="str">
        <x:v>Architecture, interiors &amp; design</x:v>
      </x:c>
      <x:c r="F944" s="12" t="str">
        <x:v>Mixed business audience</x:v>
      </x:c>
      <x:c r="G944" s="12" t="str">
        <x:v>Established brand or business network; local company scale is not established. Use a mixed-business message.</x:v>
      </x:c>
      <x:c r="H944" s="11" t="n">
        <x:v>10</x:v>
      </x:c>
      <x:c r="I944" s="11" t="n">
        <x:v>10</x:v>
      </x:c>
      <x:c r="J944" s="11" t="n">
        <x:v>10</x:v>
      </x:c>
      <x:c r="K944" s="11" t="n">
        <x:v>0</x:v>
      </x:c>
      <x:c r="L944" s="17" t="n">
        <x:f>SUM(SUMIFS('Costing'!$P$9:$P$492,'Costing'!$A$9:$A$492,"PARTNER-M014"))</x:f>
        <x:v>400000</x:v>
      </x:c>
      <x:c r="M944" s="17" t="n">
        <x:f>ROUND(L944*'Costing'!$C$4,2)</x:f>
        <x:v>72000</x:v>
      </x:c>
      <x:c r="N944" s="17" t="n">
        <x:f>L944+M944</x:f>
        <x:v>472000</x:v>
      </x:c>
      <x:c r="O944" s="12" t="str">
        <x:v>Bengaluru</x:v>
      </x:c>
      <x:c r="P944" s="12" t="str">
        <x:v>CORP-0432, CORP-0433, CORP-0434, CORP-0435, CORP-0436, CORP-0437, CORP-0438, CORP-0439, CORP-0440, CORP-0441</x:v>
      </x:c>
      <x:c r="Q944" s="12" t="str">
        <x:v>Frog Design Studio</x:v>
      </x:c>
    </x:row>
    <x:row r="945" ht="49" customHeight="1">
      <x:c r="A945" s="2" t="str">
        <x:v>TEN-661026F81014</x:v>
      </x:c>
      <x:c r="B945" s="12" t="str">
        <x:v>Frost and Sullivan India Pvt. Ltd</x:v>
      </x:c>
      <x:c r="C945" s="12" t="str">
        <x:v>Business / brand</x:v>
      </x:c>
      <x:c r="D945" s="12" t="str">
        <x:v>Professional services</x:v>
      </x:c>
      <x:c r="E945" s="12" t="str">
        <x:v>Business, marketing &amp; research services</x:v>
      </x:c>
      <x:c r="F945" s="12" t="str">
        <x:v>Mixed business audience</x:v>
      </x:c>
      <x:c r="G945" s="12" t="str">
        <x:v>Recognisable business context; company-scale evidence remains insufficient for a single size band.</x:v>
      </x:c>
      <x:c r="H945" s="11" t="n">
        <x:v>11</x:v>
      </x:c>
      <x:c r="I945" s="11" t="n">
        <x:v>11</x:v>
      </x:c>
      <x:c r="J945" s="11" t="n">
        <x:v>11</x:v>
      </x:c>
      <x:c r="K945" s="11" t="n">
        <x:v>0</x:v>
      </x:c>
      <x:c r="L945" s="17" t="n">
        <x:f>SUM(SUMIFS('Costing'!$P$9:$P$492,'Costing'!$A$9:$A$492,"PARTNER-M082"))</x:f>
        <x:v>440000</x:v>
      </x:c>
      <x:c r="M945" s="17" t="n">
        <x:f>ROUND(L945*'Costing'!$C$4,2)</x:f>
        <x:v>79200</x:v>
      </x:c>
      <x:c r="N945" s="17" t="n">
        <x:f>L945+M945</x:f>
        <x:v>519200</x:v>
      </x:c>
      <x:c r="O945" s="12" t="str">
        <x:v>Bengaluru</x:v>
      </x:c>
      <x:c r="P945" s="12" t="str">
        <x:v>CORP-0500, CORP-0501, CORP-0502, CORP-0503, CORP-0504, CORP-0505, CORP-0506, CORP-0507, CORP-0508, CORP-0509, CORP-0510</x:v>
      </x:c>
      <x:c r="Q945" s="12" t="str">
        <x:v>Frost and Sullivan India Pvt. Ltd</x:v>
      </x:c>
    </x:row>
    <x:row r="946" ht="48" customHeight="1">
      <x:c r="A946" s="2" t="str">
        <x:v>TEN-CF31BC52344C</x:v>
      </x:c>
      <x:c r="B946" s="12" t="str">
        <x:v>FTC Solar India Pvt Ltd</x:v>
      </x:c>
      <x:c r="C946" s="12" t="str">
        <x:v>Business / brand</x:v>
      </x:c>
      <x:c r="D946" s="12" t="str">
        <x:v>Engineering &amp; manufacturing</x:v>
      </x:c>
      <x:c r="E946" s="12" t="str">
        <x:v>Energy, electrical &amp; industrial systems</x:v>
      </x:c>
      <x:c r="F946" s="12" t="str">
        <x:v>Mixed business audience</x:v>
      </x:c>
      <x:c r="G946" s="12" t="str">
        <x:v>Established brand or business network; local company scale is not established. Use a mixed-business message.</x:v>
      </x:c>
      <x:c r="H946" s="11" t="n">
        <x:v>2</x:v>
      </x:c>
      <x:c r="I946" s="11" t="n">
        <x:v>6</x:v>
      </x:c>
      <x:c r="J946" s="11" t="n">
        <x:v>6</x:v>
      </x:c>
      <x:c r="K946" s="11" t="n">
        <x:v>0</x:v>
      </x:c>
      <x:c r="L946" s="17" t="n">
        <x:f>SUM(SUMIFS('Costing'!$P$9:$P$492,'Costing'!$A$9:$A$492,"MAIN-153"),SUMIFS('Costing'!$P$9:$P$492,'Costing'!$A$9:$A$492,"MAIN-154"))</x:f>
        <x:v>120000</x:v>
      </x:c>
      <x:c r="M946" s="17" t="n">
        <x:f>ROUND(L946*'Costing'!$C$4,2)</x:f>
        <x:v>21600</x:v>
      </x:c>
      <x:c r="N946" s="17" t="n">
        <x:f>L946+M946</x:f>
        <x:v>141600</x:v>
      </x:c>
      <x:c r="O946" s="12" t="str">
        <x:v>Chennai</x:v>
      </x:c>
      <x:c r="P946" s="12" t="str">
        <x:v>CORP-0149, CORP-0150</x:v>
      </x:c>
      <x:c r="Q946" s="12" t="str">
        <x:v>FTC Solar India Pvt Ltd</x:v>
      </x:c>
    </x:row>
    <x:row r="947" ht="49" customHeight="1">
      <x:c r="A947" s="2" t="str">
        <x:v>TEN-560846A98A9B</x:v>
      </x:c>
      <x:c r="B947" s="12" t="str">
        <x:v>FTI Consulting</x:v>
      </x:c>
      <x:c r="C947" s="12" t="str">
        <x:v>Business / brand</x:v>
      </x:c>
      <x:c r="D947" s="12" t="str">
        <x:v>Professional services</x:v>
      </x:c>
      <x:c r="E947" s="12" t="str">
        <x:v>Business consulting &amp; advisory</x:v>
      </x:c>
      <x:c r="F947" s="12" t="str">
        <x:v>Large enterprise</x:v>
      </x:c>
      <x:c r="G947" s="12" t="str">
        <x:v>FTI Consulting reports more than 8,100 employees across 32 countries and territories. Large-enterprise campaign context; no statutory MSME status asserted.</x:v>
      </x:c>
      <x:c r="H947" s="11" t="n">
        <x:v>4</x:v>
      </x:c>
      <x:c r="I947" s="11" t="n">
        <x:v>4</x:v>
      </x:c>
      <x:c r="J947" s="11" t="n">
        <x:v>4</x:v>
      </x:c>
      <x:c r="K947" s="11" t="n">
        <x:v>0</x:v>
      </x:c>
      <x:c r="L947" s="17" t="n">
        <x:f>SUM(SUMIFS('Costing'!$P$9:$P$492,'Costing'!$A$9:$A$492,"PARTNER-M171"))</x:f>
        <x:v>160000</x:v>
      </x:c>
      <x:c r="M947" s="17" t="n">
        <x:f>ROUND(L947*'Costing'!$C$4,2)</x:f>
        <x:v>28800</x:v>
      </x:c>
      <x:c r="N947" s="17" t="n">
        <x:f>L947+M947</x:f>
        <x:v>188800</x:v>
      </x:c>
      <x:c r="O947" s="12" t="str">
        <x:v>Mumbai</x:v>
      </x:c>
      <x:c r="P947" s="12" t="str">
        <x:v>CORP-0588, CORP-0589, CORP-0590, CORP-0591</x:v>
      </x:c>
      <x:c r="Q947" s="12" t="str">
        <x:v>FTI Consulting</x:v>
      </x:c>
    </x:row>
    <x:row r="948" ht="48" customHeight="1">
      <x:c r="A948" s="2" t="str">
        <x:v>TEN-1B2AB90246EE</x:v>
      </x:c>
      <x:c r="B948" s="12" t="str">
        <x:v>Fubeus Technology Pvt. Ltd</x:v>
      </x:c>
      <x:c r="C948" s="12" t="str">
        <x:v>Business / brand</x:v>
      </x:c>
      <x:c r="D948" s="12" t="str">
        <x:v>Unresolved</x:v>
      </x:c>
      <x:c r="E948" s="12" t="str">
        <x:v>Business activity not established</x:v>
      </x:c>
      <x:c r="F948" s="12" t="str">
        <x:v>Mixed business audience</x:v>
      </x:c>
      <x:c r="G948" s="12" t="str">
        <x:v>Business activity and company scale are not established from this name.</x:v>
      </x:c>
      <x:c r="H948" s="11" t="n">
        <x:v>1</x:v>
      </x:c>
      <x:c r="I948" s="11" t="n">
        <x:v>1</x:v>
      </x:c>
      <x:c r="J948" s="11" t="n">
        <x:v>1</x:v>
      </x:c>
      <x:c r="K948" s="11" t="n">
        <x:v>0</x:v>
      </x:c>
      <x:c r="L948" s="17" t="n">
        <x:f>SUM(SUMIFS('Costing'!$P$9:$P$492,'Costing'!$A$9:$A$492,"MAIN-011"))</x:f>
        <x:v>15000</x:v>
      </x:c>
      <x:c r="M948" s="17" t="n">
        <x:f>ROUND(L948*'Costing'!$C$4,2)</x:f>
        <x:v>2700</x:v>
      </x:c>
      <x:c r="N948" s="17" t="n">
        <x:f>L948+M948</x:f>
        <x:v>17700</x:v>
      </x:c>
      <x:c r="O948" s="12" t="str">
        <x:v>Bengaluru</x:v>
      </x:c>
      <x:c r="P948" s="12" t="str">
        <x:v>CORP-0007</x:v>
      </x:c>
      <x:c r="Q948" s="12" t="str">
        <x:v>Fubeus Technology Pvt. Ltd</x:v>
      </x:c>
    </x:row>
    <x:row r="949" ht="75" customHeight="1">
      <x:c r="A949" s="2" t="str">
        <x:v>TEN-80AE4E40F9CD</x:v>
      </x:c>
      <x:c r="B949" s="12" t="str">
        <x:v>Fugensys</x:v>
      </x:c>
      <x:c r="C949" s="12" t="str">
        <x:v>Business / brand</x:v>
      </x:c>
      <x:c r="D949" s="12" t="str">
        <x:v>Unresolved</x:v>
      </x:c>
      <x:c r="E949" s="12" t="str">
        <x:v>Business activity not established</x:v>
      </x:c>
      <x:c r="F949" s="12" t="str">
        <x:v>Small-scale prospects</x:v>
      </x:c>
      <x:c r="G949" s="12" t="str">
        <x:v>Indicative specialist web/app service-business audience. Its company page publishes web/CMS/app services and two Bengaluru office contacts, consistent with a specialist delivery-team estimate. A quantitative size band is not verified.</x:v>
      </x:c>
      <x:c r="H949" s="11" t="n">
        <x:v>1</x:v>
      </x:c>
      <x:c r="I949" s="11" t="n">
        <x:v>1</x:v>
      </x:c>
      <x:c r="J949" s="11" t="n">
        <x:v>1</x:v>
      </x:c>
      <x:c r="K949" s="11" t="n">
        <x:v>0</x:v>
      </x:c>
      <x:c r="L949" s="17" t="n">
        <x:f>SUM(SUMIFS('Costing'!$P$9:$P$492,'Costing'!$A$9:$A$492,"MAIN-010"))</x:f>
        <x:v>15000</x:v>
      </x:c>
      <x:c r="M949" s="17" t="n">
        <x:f>ROUND(L949*'Costing'!$C$4,2)</x:f>
        <x:v>2700</x:v>
      </x:c>
      <x:c r="N949" s="17" t="n">
        <x:f>L949+M949</x:f>
        <x:v>17700</x:v>
      </x:c>
      <x:c r="O949" s="12" t="str">
        <x:v>Bengaluru</x:v>
      </x:c>
      <x:c r="P949" s="12" t="str">
        <x:v>CORP-0006</x:v>
      </x:c>
      <x:c r="Q949" s="12" t="str">
        <x:v>Fugensys</x:v>
      </x:c>
    </x:row>
    <x:row r="950" ht="48" customHeight="1">
      <x:c r="A950" s="2" t="str">
        <x:v>TEN-247E64B2726D</x:v>
      </x:c>
      <x:c r="B950" s="12" t="str">
        <x:v>Fuji Film</x:v>
      </x:c>
      <x:c r="C950" s="12" t="str">
        <x:v>Business / brand</x:v>
      </x:c>
      <x:c r="D950" s="12" t="str">
        <x:v>Trade, consumer &amp; logistics</x:v>
      </x:c>
      <x:c r="E950" s="12" t="str">
        <x:v>Entertainment, media &amp; events</x:v>
      </x:c>
      <x:c r="F950" s="12" t="str">
        <x:v>Mixed business audience</x:v>
      </x:c>
      <x:c r="G950" s="12" t="str">
        <x:v>Established brand or business network; local company scale is not established. Use a mixed-business message.</x:v>
      </x:c>
      <x:c r="H950" s="11" t="n">
        <x:v>2</x:v>
      </x:c>
      <x:c r="I950" s="11" t="n">
        <x:v>2</x:v>
      </x:c>
      <x:c r="J950" s="11" t="n">
        <x:v>2</x:v>
      </x:c>
      <x:c r="K950" s="11" t="n">
        <x:v>0</x:v>
      </x:c>
      <x:c r="L950" s="17" t="n">
        <x:f>SUM(SUMIFS('Costing'!$P$9:$P$492,'Costing'!$A$9:$A$492,"PARTNER-M338"))</x:f>
        <x:v>80000</x:v>
      </x:c>
      <x:c r="M950" s="17" t="n">
        <x:f>ROUND(L950*'Costing'!$C$4,2)</x:f>
        <x:v>14400</x:v>
      </x:c>
      <x:c r="N950" s="17" t="n">
        <x:f>L950+M950</x:f>
        <x:v>94400</x:v>
      </x:c>
      <x:c r="O950" s="12" t="str">
        <x:v>Chennai</x:v>
      </x:c>
      <x:c r="P950" s="12" t="str">
        <x:v>CORP-0752, CORP-0753</x:v>
      </x:c>
      <x:c r="Q950" s="12" t="str">
        <x:v>Fuji Film</x:v>
      </x:c>
    </x:row>
    <x:row r="951" ht="48" customHeight="1">
      <x:c r="A951" s="2" t="str">
        <x:v>TEN-A92CF6031CF8</x:v>
      </x:c>
      <x:c r="B951" s="12" t="str">
        <x:v>FUJIFILM Sonosite India Pvt Ltd</x:v>
      </x:c>
      <x:c r="C951" s="12" t="str">
        <x:v>Business / brand</x:v>
      </x:c>
      <x:c r="D951" s="12" t="str">
        <x:v>Healthcare &amp; life sciences</x:v>
      </x:c>
      <x:c r="E951" s="12" t="str">
        <x:v>Healthcare/life sciences — specialty unverified</x:v>
      </x:c>
      <x:c r="F951" s="12" t="str">
        <x:v>Mixed business audience</x:v>
      </x:c>
      <x:c r="G951" s="12" t="str">
        <x:v>Recognisable business context; company-scale evidence remains insufficient for a single size band.</x:v>
      </x:c>
      <x:c r="H951" s="11" t="n">
        <x:v>1</x:v>
      </x:c>
      <x:c r="I951" s="11" t="n">
        <x:v>3</x:v>
      </x:c>
      <x:c r="J951" s="11" t="n">
        <x:v>3</x:v>
      </x:c>
      <x:c r="K951" s="11" t="n">
        <x:v>0</x:v>
      </x:c>
      <x:c r="L951" s="17" t="n">
        <x:f>SUM(SUMIFS('Costing'!$P$9:$P$492,'Costing'!$A$9:$A$492,"MAIN-206"))</x:f>
        <x:v>120000</x:v>
      </x:c>
      <x:c r="M951" s="17" t="n">
        <x:f>ROUND(L951*'Costing'!$C$4,2)</x:f>
        <x:v>21600</x:v>
      </x:c>
      <x:c r="N951" s="17" t="n">
        <x:f>L951+M951</x:f>
        <x:v>141600</x:v>
      </x:c>
      <x:c r="O951" s="12" t="str">
        <x:v>Delhi NCR</x:v>
      </x:c>
      <x:c r="P951" s="12" t="str">
        <x:v>CORP-0202</x:v>
      </x:c>
      <x:c r="Q951" s="12" t="str">
        <x:v>FUJIFILM Sonosite India Pvt Ltd</x:v>
      </x:c>
    </x:row>
    <x:row r="952" ht="48" customHeight="1">
      <x:c r="A952" s="2" t="str">
        <x:v>TEN-9B946333183D</x:v>
      </x:c>
      <x:c r="B952" s="12" t="str">
        <x:v>Fujitec India</x:v>
      </x:c>
      <x:c r="C952" s="12" t="str">
        <x:v>Business / brand</x:v>
      </x:c>
      <x:c r="D952" s="12" t="str">
        <x:v>Engineering &amp; manufacturing</x:v>
      </x:c>
      <x:c r="E952" s="12" t="str">
        <x:v>Chemicals, materials &amp; industrial manufacturing</x:v>
      </x:c>
      <x:c r="F952" s="12" t="str">
        <x:v>Mixed business audience</x:v>
      </x:c>
      <x:c r="G952" s="12" t="str">
        <x:v>Established brand or business network; local company scale is not established. Use a mixed-business message.</x:v>
      </x:c>
      <x:c r="H952" s="11" t="n">
        <x:v>2</x:v>
      </x:c>
      <x:c r="I952" s="11" t="n">
        <x:v>2</x:v>
      </x:c>
      <x:c r="J952" s="11" t="n">
        <x:v>2</x:v>
      </x:c>
      <x:c r="K952" s="11" t="n">
        <x:v>0</x:v>
      </x:c>
      <x:c r="L952" s="17" t="n">
        <x:f>SUM(SUMIFS('Costing'!$P$9:$P$492,'Costing'!$A$9:$A$492,"PARTNER-M241"))</x:f>
        <x:v>80000</x:v>
      </x:c>
      <x:c r="M952" s="17" t="n">
        <x:f>ROUND(L952*'Costing'!$C$4,2)</x:f>
        <x:v>14400</x:v>
      </x:c>
      <x:c r="N952" s="17" t="n">
        <x:f>L952+M952</x:f>
        <x:v>94400</x:v>
      </x:c>
      <x:c r="O952" s="12" t="str">
        <x:v>Mumbai</x:v>
      </x:c>
      <x:c r="P952" s="12" t="str">
        <x:v>CORP-0658, CORP-0659</x:v>
      </x:c>
      <x:c r="Q952" s="12" t="str">
        <x:v>Fujitec India</x:v>
      </x:c>
    </x:row>
    <x:row r="953" ht="48" customHeight="1">
      <x:c r="A953" s="2" t="str">
        <x:v>TEN-55B93C4E3B87</x:v>
      </x:c>
      <x:c r="B953" s="12" t="str">
        <x:v>Fulcrum ALM Solutions</x:v>
      </x:c>
      <x:c r="C953" s="12" t="str">
        <x:v>Business / brand</x:v>
      </x:c>
      <x:c r="D953" s="12" t="str">
        <x:v>Unresolved</x:v>
      </x:c>
      <x:c r="E953" s="12" t="str">
        <x:v>Business activity not established</x:v>
      </x:c>
      <x:c r="F953" s="12" t="str">
        <x:v>Mixed business audience</x:v>
      </x:c>
      <x:c r="G953" s="12" t="str">
        <x:v>Business activity and company scale are not established from this name.</x:v>
      </x:c>
      <x:c r="H953" s="11" t="n">
        <x:v>1</x:v>
      </x:c>
      <x:c r="I953" s="11" t="n">
        <x:v>1</x:v>
      </x:c>
      <x:c r="J953" s="11" t="n">
        <x:v>1</x:v>
      </x:c>
      <x:c r="K953" s="11" t="n">
        <x:v>0</x:v>
      </x:c>
      <x:c r="L953" s="17" t="n">
        <x:f>SUM(SUMIFS('Costing'!$P$9:$P$492,'Costing'!$A$9:$A$492,"MAIN-208"))</x:f>
        <x:v>40000</x:v>
      </x:c>
      <x:c r="M953" s="17" t="n">
        <x:f>ROUND(L953*'Costing'!$C$4,2)</x:f>
        <x:v>7200</x:v>
      </x:c>
      <x:c r="N953" s="17" t="n">
        <x:f>L953+M953</x:f>
        <x:v>47200</x:v>
      </x:c>
      <x:c r="O953" s="12" t="str">
        <x:v>Delhi NCR</x:v>
      </x:c>
      <x:c r="P953" s="12" t="str">
        <x:v>CORP-0204</x:v>
      </x:c>
      <x:c r="Q953" s="12" t="str">
        <x:v>Fulcrum ALM Solutions</x:v>
      </x:c>
    </x:row>
    <x:row r="954" ht="48" customHeight="1">
      <x:c r="A954" s="2" t="str">
        <x:v>TEN-55F53741C757</x:v>
      </x:c>
      <x:c r="B954" s="12" t="str">
        <x:v>Fund insights investment</x:v>
      </x:c>
      <x:c r="C954" s="12" t="str">
        <x:v>Business / brand</x:v>
      </x:c>
      <x:c r="D954" s="12" t="str">
        <x:v>Finance &amp; insurance</x:v>
      </x:c>
      <x:c r="E954" s="12" t="str">
        <x:v>Investments, securities &amp; wealth</x:v>
      </x:c>
      <x:c r="F954" s="12" t="str">
        <x:v>Medium-scale prospects</x:v>
      </x:c>
      <x:c r="G954" s="12" t="str">
        <x:v>Specialist financial-services business; medium-scale prospect assumption.</x:v>
      </x:c>
      <x:c r="H954" s="11" t="n">
        <x:v>1</x:v>
      </x:c>
      <x:c r="I954" s="11" t="n">
        <x:v>3</x:v>
      </x:c>
      <x:c r="J954" s="11" t="n">
        <x:v>3</x:v>
      </x:c>
      <x:c r="K954" s="11" t="n">
        <x:v>0</x:v>
      </x:c>
      <x:c r="L954" s="17" t="n">
        <x:f>SUM(SUMIFS('Costing'!$P$9:$P$492,'Costing'!$A$9:$A$492,"MAIN-221"))</x:f>
        <x:v>45000</x:v>
      </x:c>
      <x:c r="M954" s="17" t="n">
        <x:f>ROUND(L954*'Costing'!$C$4,2)</x:f>
        <x:v>8100</x:v>
      </x:c>
      <x:c r="N954" s="17" t="n">
        <x:f>L954+M954</x:f>
        <x:v>53100</x:v>
      </x:c>
      <x:c r="O954" s="12" t="str">
        <x:v>Hyderabad</x:v>
      </x:c>
      <x:c r="P954" s="12" t="str">
        <x:v>CORP-0217</x:v>
      </x:c>
      <x:c r="Q954" s="12" t="str">
        <x:v>Fund insights investment</x:v>
      </x:c>
    </x:row>
    <x:row r="955" ht="48" customHeight="1">
      <x:c r="A955" s="2" t="str">
        <x:v>TEN-F245DCACA3B9</x:v>
      </x:c>
      <x:c r="B955" s="12" t="str">
        <x:v>Fund Insiight Investment</x:v>
      </x:c>
      <x:c r="C955" s="12" t="str">
        <x:v>Business / brand</x:v>
      </x:c>
      <x:c r="D955" s="12" t="str">
        <x:v>Finance &amp; insurance</x:v>
      </x:c>
      <x:c r="E955" s="12" t="str">
        <x:v>Investments, securities &amp; wealth</x:v>
      </x:c>
      <x:c r="F955" s="12" t="str">
        <x:v>Medium-scale prospects</x:v>
      </x:c>
      <x:c r="G955" s="12" t="str">
        <x:v>Specialist financial-services business; medium-scale prospect assumption.</x:v>
      </x:c>
      <x:c r="H955" s="11" t="n">
        <x:v>1</x:v>
      </x:c>
      <x:c r="I955" s="11" t="n">
        <x:v>2</x:v>
      </x:c>
      <x:c r="J955" s="11" t="n">
        <x:v>2</x:v>
      </x:c>
      <x:c r="K955" s="11" t="n">
        <x:v>0</x:v>
      </x:c>
      <x:c r="L955" s="17" t="n">
        <x:f>SUM(SUMIFS('Costing'!$P$9:$P$492,'Costing'!$A$9:$A$492,"MAIN-219"))</x:f>
        <x:v>30000</x:v>
      </x:c>
      <x:c r="M955" s="17" t="n">
        <x:f>ROUND(L955*'Costing'!$C$4,2)</x:f>
        <x:v>5400</x:v>
      </x:c>
      <x:c r="N955" s="17" t="n">
        <x:f>L955+M955</x:f>
        <x:v>35400</x:v>
      </x:c>
      <x:c r="O955" s="12" t="str">
        <x:v>Hyderabad</x:v>
      </x:c>
      <x:c r="P955" s="12" t="str">
        <x:v>CORP-0215</x:v>
      </x:c>
      <x:c r="Q955" s="12" t="str">
        <x:v>Fund Insiight Investment</x:v>
      </x:c>
    </x:row>
    <x:row r="956" ht="48" customHeight="1">
      <x:c r="A956" s="2" t="str">
        <x:v>TEN-849CC660E855</x:v>
      </x:c>
      <x:c r="B956" s="12" t="str">
        <x:v>Furrl Linkederp</x:v>
      </x:c>
      <x:c r="C956" s="12" t="str">
        <x:v>Identity unresolved</x:v>
      </x:c>
      <x:c r="D956" s="12" t="str">
        <x:v>Unresolved</x:v>
      </x:c>
      <x:c r="E956" s="12" t="str">
        <x:v>Business activity not established</x:v>
      </x:c>
      <x:c r="F956" s="12" t="str">
        <x:v>Mixed business audience</x:v>
      </x:c>
      <x:c r="G956" s="12" t="str">
        <x:v>Ambiguous directory record; use the surrounding property audience.</x:v>
      </x:c>
      <x:c r="H956" s="11" t="n">
        <x:v>1</x:v>
      </x:c>
      <x:c r="I956" s="11" t="n">
        <x:v>2</x:v>
      </x:c>
      <x:c r="J956" s="11" t="n">
        <x:v>2</x:v>
      </x:c>
      <x:c r="K956" s="11" t="n">
        <x:v>0</x:v>
      </x:c>
      <x:c r="L956" s="17" t="n">
        <x:f>SUM(SUMIFS('Costing'!$P$9:$P$492,'Costing'!$A$9:$A$492,"MAIN-109"))</x:f>
        <x:v>30000</x:v>
      </x:c>
      <x:c r="M956" s="17" t="n">
        <x:f>ROUND(L956*'Costing'!$C$4,2)</x:f>
        <x:v>5400</x:v>
      </x:c>
      <x:c r="N956" s="17" t="n">
        <x:f>L956+M956</x:f>
        <x:v>35400</x:v>
      </x:c>
      <x:c r="O956" s="12" t="str">
        <x:v>Bengaluru</x:v>
      </x:c>
      <x:c r="P956" s="12" t="str">
        <x:v>CORP-0105</x:v>
      </x:c>
      <x:c r="Q956" s="12" t="str">
        <x:v>Furrl Linkederp</x:v>
      </x:c>
    </x:row>
    <x:row r="957" ht="48" customHeight="1">
      <x:c r="A957" s="2" t="str">
        <x:v>TEN-F5D36C673CEA</x:v>
      </x:c>
      <x:c r="B957" s="12" t="str">
        <x:v>Fusion</x:v>
      </x:c>
      <x:c r="C957" s="12" t="str">
        <x:v>Business / brand</x:v>
      </x:c>
      <x:c r="D957" s="12" t="str">
        <x:v>Unresolved</x:v>
      </x:c>
      <x:c r="E957" s="12" t="str">
        <x:v>Business activity not established</x:v>
      </x:c>
      <x:c r="F957" s="12" t="str">
        <x:v>Mixed business audience</x:v>
      </x:c>
      <x:c r="G957" s="12" t="str">
        <x:v>Business activity and company scale are not established from this name.</x:v>
      </x:c>
      <x:c r="H957" s="11" t="n">
        <x:v>1</x:v>
      </x:c>
      <x:c r="I957" s="11" t="n">
        <x:v>2</x:v>
      </x:c>
      <x:c r="J957" s="11" t="n">
        <x:v>2</x:v>
      </x:c>
      <x:c r="K957" s="11" t="n">
        <x:v>0</x:v>
      </x:c>
      <x:c r="L957" s="17" t="n">
        <x:f>SUM(SUMIFS('Costing'!$P$9:$P$492,'Costing'!$A$9:$A$492,"MAIN-268"))</x:f>
        <x:v>80000</x:v>
      </x:c>
      <x:c r="M957" s="17" t="n">
        <x:f>ROUND(L957*'Costing'!$C$4,2)</x:f>
        <x:v>14400</x:v>
      </x:c>
      <x:c r="N957" s="17" t="n">
        <x:f>L957+M957</x:f>
        <x:v>94400</x:v>
      </x:c>
      <x:c r="O957" s="12" t="str">
        <x:v>Indore</x:v>
      </x:c>
      <x:c r="P957" s="12" t="str">
        <x:v>CORP-0264</x:v>
      </x:c>
      <x:c r="Q957" s="12" t="str">
        <x:v>Fusion</x:v>
      </x:c>
    </x:row>
    <x:row r="958" ht="48" customHeight="1">
      <x:c r="A958" s="2" t="str">
        <x:v>TEN-2286F252C42A</x:v>
      </x:c>
      <x:c r="B958" s="12" t="str">
        <x:v>Futluz Technologies</x:v>
      </x:c>
      <x:c r="C958" s="12" t="str">
        <x:v>Business / brand</x:v>
      </x:c>
      <x:c r="D958" s="12" t="str">
        <x:v>Unresolved</x:v>
      </x:c>
      <x:c r="E958" s="12" t="str">
        <x:v>Business activity not established</x:v>
      </x:c>
      <x:c r="F958" s="12" t="str">
        <x:v>Mixed business audience</x:v>
      </x:c>
      <x:c r="G958" s="12" t="str">
        <x:v>Business activity and company scale are not established from this name.</x:v>
      </x:c>
      <x:c r="H958" s="11" t="n">
        <x:v>1</x:v>
      </x:c>
      <x:c r="I958" s="11" t="n">
        <x:v>4</x:v>
      </x:c>
      <x:c r="J958" s="11" t="n">
        <x:v>4</x:v>
      </x:c>
      <x:c r="K958" s="11" t="n">
        <x:v>0</x:v>
      </x:c>
      <x:c r="L958" s="17" t="n">
        <x:f>SUM(SUMIFS('Costing'!$P$9:$P$492,'Costing'!$A$9:$A$492,"MAIN-264"))</x:f>
        <x:v>100000</x:v>
      </x:c>
      <x:c r="M958" s="17" t="n">
        <x:f>ROUND(L958*'Costing'!$C$4,2)</x:f>
        <x:v>18000</x:v>
      </x:c>
      <x:c r="N958" s="17" t="n">
        <x:f>L958+M958</x:f>
        <x:v>118000</x:v>
      </x:c>
      <x:c r="O958" s="12" t="str">
        <x:v>Hyderabad</x:v>
      </x:c>
      <x:c r="P958" s="12" t="str">
        <x:v>CORP-0260</x:v>
      </x:c>
      <x:c r="Q958" s="12" t="str">
        <x:v>Futluz Technologies</x:v>
      </x:c>
    </x:row>
    <x:row r="959" ht="48" customHeight="1">
      <x:c r="A959" s="2" t="str">
        <x:v>TEN-ECADA1AE0F98</x:v>
      </x:c>
      <x:c r="B959" s="12" t="str">
        <x:v>Future hook</x:v>
      </x:c>
      <x:c r="C959" s="12" t="str">
        <x:v>Business / brand</x:v>
      </x:c>
      <x:c r="D959" s="12" t="str">
        <x:v>Unresolved</x:v>
      </x:c>
      <x:c r="E959" s="12" t="str">
        <x:v>Business activity not established</x:v>
      </x:c>
      <x:c r="F959" s="12" t="str">
        <x:v>Mixed business audience</x:v>
      </x:c>
      <x:c r="G959" s="12" t="str">
        <x:v>Business activity and company scale are not established from this name.</x:v>
      </x:c>
      <x:c r="H959" s="11" t="n">
        <x:v>1</x:v>
      </x:c>
      <x:c r="I959" s="11" t="n">
        <x:v>8</x:v>
      </x:c>
      <x:c r="J959" s="11" t="n">
        <x:v>8</x:v>
      </x:c>
      <x:c r="K959" s="11" t="n">
        <x:v>0</x:v>
      </x:c>
      <x:c r="L959" s="17" t="n">
        <x:f>SUM(SUMIFS('Costing'!$P$9:$P$492,'Costing'!$A$9:$A$492,"MAIN-009"))</x:f>
        <x:v>120000</x:v>
      </x:c>
      <x:c r="M959" s="17" t="n">
        <x:f>ROUND(L959*'Costing'!$C$4,2)</x:f>
        <x:v>21600</x:v>
      </x:c>
      <x:c r="N959" s="17" t="n">
        <x:f>L959+M959</x:f>
        <x:v>141600</x:v>
      </x:c>
      <x:c r="O959" s="12" t="str">
        <x:v>Bengaluru</x:v>
      </x:c>
      <x:c r="P959" s="12" t="str">
        <x:v>CORP-0005</x:v>
      </x:c>
      <x:c r="Q959" s="12" t="str">
        <x:v>Future hook</x:v>
      </x:c>
    </x:row>
    <x:row r="960" ht="48" customHeight="1">
      <x:c r="A960" s="2" t="str">
        <x:v>TEN-EFED65BEBA09</x:v>
      </x:c>
      <x:c r="B960" s="12" t="str">
        <x:v>Future Pipe</x:v>
      </x:c>
      <x:c r="C960" s="12" t="str">
        <x:v>Business / brand</x:v>
      </x:c>
      <x:c r="D960" s="12" t="str">
        <x:v>Engineering &amp; manufacturing</x:v>
      </x:c>
      <x:c r="E960" s="12" t="str">
        <x:v>Chemicals, materials &amp; industrial manufacturing</x:v>
      </x:c>
      <x:c r="F960" s="12" t="str">
        <x:v>Medium-scale prospects</x:v>
      </x:c>
      <x:c r="G960" s="12" t="str">
        <x:v>Specialist industrial or engineering business; medium-scale prospect assumption.</x:v>
      </x:c>
      <x:c r="H960" s="11" t="n">
        <x:v>2</x:v>
      </x:c>
      <x:c r="I960" s="11" t="n">
        <x:v>2</x:v>
      </x:c>
      <x:c r="J960" s="11" t="n">
        <x:v>2</x:v>
      </x:c>
      <x:c r="K960" s="11" t="n">
        <x:v>0</x:v>
      </x:c>
      <x:c r="L960" s="17" t="n">
        <x:f>SUM(SUMIFS('Costing'!$P$9:$P$492,'Costing'!$A$9:$A$492,"PARTNER-M338"))</x:f>
        <x:v>80000</x:v>
      </x:c>
      <x:c r="M960" s="17" t="n">
        <x:f>ROUND(L960*'Costing'!$C$4,2)</x:f>
        <x:v>14400</x:v>
      </x:c>
      <x:c r="N960" s="17" t="n">
        <x:f>L960+M960</x:f>
        <x:v>94400</x:v>
      </x:c>
      <x:c r="O960" s="12" t="str">
        <x:v>Chennai</x:v>
      </x:c>
      <x:c r="P960" s="12" t="str">
        <x:v>CORP-0752, CORP-0753</x:v>
      </x:c>
      <x:c r="Q960" s="12" t="str">
        <x:v>Future Pipe</x:v>
      </x:c>
    </x:row>
    <x:row r="961" ht="48" customHeight="1">
      <x:c r="A961" s="2" t="str">
        <x:v>TEN-49F1F88DBFE4</x:v>
      </x:c>
      <x:c r="B961" s="12" t="str">
        <x:v>Futures First Info Services</x:v>
      </x:c>
      <x:c r="C961" s="12" t="str">
        <x:v>Business / brand</x:v>
      </x:c>
      <x:c r="D961" s="12" t="str">
        <x:v>IT &amp; digital</x:v>
      </x:c>
      <x:c r="E961" s="12" t="str">
        <x:v>Enterprise software &amp; digital engineering</x:v>
      </x:c>
      <x:c r="F961" s="12" t="str">
        <x:v>Mixed business audience</x:v>
      </x:c>
      <x:c r="G961" s="12" t="str">
        <x:v>Established brand or business network; local company scale is not established. Use a mixed-business message.</x:v>
      </x:c>
      <x:c r="H961" s="11" t="n">
        <x:v>10</x:v>
      </x:c>
      <x:c r="I961" s="11" t="n">
        <x:v>10</x:v>
      </x:c>
      <x:c r="J961" s="11" t="n">
        <x:v>10</x:v>
      </x:c>
      <x:c r="K961" s="11" t="n">
        <x:v>0</x:v>
      </x:c>
      <x:c r="L961" s="17" t="n">
        <x:f>SUM(SUMIFS('Costing'!$P$9:$P$492,'Costing'!$A$9:$A$492,"PARTNER-M014"))</x:f>
        <x:v>400000</x:v>
      </x:c>
      <x:c r="M961" s="17" t="n">
        <x:f>ROUND(L961*'Costing'!$C$4,2)</x:f>
        <x:v>72000</x:v>
      </x:c>
      <x:c r="N961" s="17" t="n">
        <x:f>L961+M961</x:f>
        <x:v>472000</x:v>
      </x:c>
      <x:c r="O961" s="12" t="str">
        <x:v>Bengaluru</x:v>
      </x:c>
      <x:c r="P961" s="12" t="str">
        <x:v>CORP-0432, CORP-0433, CORP-0434, CORP-0435, CORP-0436, CORP-0437, CORP-0438, CORP-0439, CORP-0440, CORP-0441</x:v>
      </x:c>
      <x:c r="Q961" s="12" t="str">
        <x:v>Futures First Info Services</x:v>
      </x:c>
    </x:row>
    <x:row r="962" ht="48" customHeight="1">
      <x:c r="A962" s="2" t="str">
        <x:v>TEN-2D6976ADE238</x:v>
      </x:c>
      <x:c r="B962" s="12" t="str">
        <x:v>Futures First Info Services Pvt. Ltd</x:v>
      </x:c>
      <x:c r="C962" s="12" t="str">
        <x:v>Business / brand</x:v>
      </x:c>
      <x:c r="D962" s="12" t="str">
        <x:v>IT &amp; digital</x:v>
      </x:c>
      <x:c r="E962" s="12" t="str">
        <x:v>Enterprise software &amp; digital engineering</x:v>
      </x:c>
      <x:c r="F962" s="12" t="str">
        <x:v>Mixed business audience</x:v>
      </x:c>
      <x:c r="G962" s="12" t="str">
        <x:v>Established brand or business network; local company scale is not established. Use a mixed-business message.</x:v>
      </x:c>
      <x:c r="H962" s="11" t="n">
        <x:v>1</x:v>
      </x:c>
      <x:c r="I962" s="11" t="n">
        <x:v>4</x:v>
      </x:c>
      <x:c r="J962" s="11" t="n">
        <x:v>4</x:v>
      </x:c>
      <x:c r="K962" s="11" t="n">
        <x:v>0</x:v>
      </x:c>
      <x:c r="L962" s="17" t="n">
        <x:f>SUM(SUMIFS('Costing'!$P$9:$P$492,'Costing'!$A$9:$A$492,"MAIN-019"))</x:f>
        <x:v>60000</x:v>
      </x:c>
      <x:c r="M962" s="17" t="n">
        <x:f>ROUND(L962*'Costing'!$C$4,2)</x:f>
        <x:v>10800</x:v>
      </x:c>
      <x:c r="N962" s="17" t="n">
        <x:f>L962+M962</x:f>
        <x:v>70800</x:v>
      </x:c>
      <x:c r="O962" s="12" t="str">
        <x:v>Bengaluru</x:v>
      </x:c>
      <x:c r="P962" s="12" t="str">
        <x:v>CORP-0015</x:v>
      </x:c>
      <x:c r="Q962" s="12" t="str">
        <x:v>Futures First Info Services Pvt. Ltd</x:v>
      </x:c>
    </x:row>
    <x:row r="963" ht="48" customHeight="1">
      <x:c r="A963" s="2" t="str">
        <x:v>TEN-99DC3C2D940B</x:v>
      </x:c>
      <x:c r="B963" s="12" t="str">
        <x:v>FutureTech Business Solutions</x:v>
      </x:c>
      <x:c r="C963" s="12" t="str">
        <x:v>Business / brand</x:v>
      </x:c>
      <x:c r="D963" s="12" t="str">
        <x:v>Unresolved</x:v>
      </x:c>
      <x:c r="E963" s="12" t="str">
        <x:v>Business activity not established</x:v>
      </x:c>
      <x:c r="F963" s="12" t="str">
        <x:v>Mixed business audience</x:v>
      </x:c>
      <x:c r="G963" s="12" t="str">
        <x:v>Business activity and company scale are not established from this name.</x:v>
      </x:c>
      <x:c r="H963" s="11" t="n">
        <x:v>7</x:v>
      </x:c>
      <x:c r="I963" s="11" t="n">
        <x:v>7</x:v>
      </x:c>
      <x:c r="J963" s="11" t="n">
        <x:v>7</x:v>
      </x:c>
      <x:c r="K963" s="11" t="n">
        <x:v>0</x:v>
      </x:c>
      <x:c r="L963" s="17" t="n">
        <x:f>SUM(SUMIFS('Costing'!$P$9:$P$492,'Costing'!$A$9:$A$492,"PARTNER-M317"))</x:f>
        <x:v>280000</x:v>
      </x:c>
      <x:c r="M963" s="17" t="n">
        <x:f>ROUND(L963*'Costing'!$C$4,2)</x:f>
        <x:v>50400</x:v>
      </x:c>
      <x:c r="N963" s="17" t="n">
        <x:f>L963+M963</x:f>
        <x:v>330400</x:v>
      </x:c>
      <x:c r="O963" s="12" t="str">
        <x:v>Hyderabad</x:v>
      </x:c>
      <x:c r="P963" s="12" t="str">
        <x:v>CORP-0732, CORP-0733, CORP-0734, CORP-0735, CORP-0736, CORP-0737, CORP-0738</x:v>
      </x:c>
      <x:c r="Q963" s="12" t="str">
        <x:v>FutureTech Business Solutions</x:v>
      </x:c>
    </x:row>
    <x:row r="964" ht="48" customHeight="1">
      <x:c r="A964" s="2" t="str">
        <x:v>TEN-2A2AD6E644C7</x:v>
      </x:c>
      <x:c r="B964" s="12" t="str">
        <x:v>FYND</x:v>
      </x:c>
      <x:c r="C964" s="12" t="str">
        <x:v>Business / brand</x:v>
      </x:c>
      <x:c r="D964" s="12" t="str">
        <x:v>Trade, consumer &amp; logistics</x:v>
      </x:c>
      <x:c r="E964" s="12" t="str">
        <x:v>Retail, consumer products &amp; ecommerce</x:v>
      </x:c>
      <x:c r="F964" s="12" t="str">
        <x:v>Small-scale prospects</x:v>
      </x:c>
      <x:c r="G964" s="12" t="str">
        <x:v>Trading or consumer-services business; small-scale prospect assumption.</x:v>
      </x:c>
      <x:c r="H964" s="11" t="n">
        <x:v>1</x:v>
      </x:c>
      <x:c r="I964" s="11" t="n">
        <x:v>4</x:v>
      </x:c>
      <x:c r="J964" s="11" t="n">
        <x:v>4</x:v>
      </x:c>
      <x:c r="K964" s="11" t="n">
        <x:v>0</x:v>
      </x:c>
      <x:c r="L964" s="17" t="n">
        <x:f>SUM(SUMIFS('Costing'!$P$9:$P$492,'Costing'!$A$9:$A$492,"MAIN-360"))</x:f>
        <x:v>100000</x:v>
      </x:c>
      <x:c r="M964" s="17" t="n">
        <x:f>ROUND(L964*'Costing'!$C$4,2)</x:f>
        <x:v>18000</x:v>
      </x:c>
      <x:c r="N964" s="17" t="n">
        <x:f>L964+M964</x:f>
        <x:v>118000</x:v>
      </x:c>
      <x:c r="O964" s="12" t="str">
        <x:v>Mumbai</x:v>
      </x:c>
      <x:c r="P964" s="12" t="str">
        <x:v>CORP-0356</x:v>
      </x:c>
      <x:c r="Q964" s="12" t="str">
        <x:v>FYND</x:v>
      </x:c>
    </x:row>
    <x:row r="965" ht="48" customHeight="1">
      <x:c r="A965" s="2" t="str">
        <x:v>TEN-5AC89DBAD1DE</x:v>
      </x:c>
      <x:c r="B965" s="12" t="str">
        <x:v>G.O.A.T Brand Labs</x:v>
      </x:c>
      <x:c r="C965" s="12" t="str">
        <x:v>Business / brand</x:v>
      </x:c>
      <x:c r="D965" s="12" t="str">
        <x:v>Trade, consumer &amp; logistics</x:v>
      </x:c>
      <x:c r="E965" s="12" t="str">
        <x:v>Retail, consumer products &amp; ecommerce</x:v>
      </x:c>
      <x:c r="F965" s="12" t="str">
        <x:v>Small-scale prospects</x:v>
      </x:c>
      <x:c r="G965" s="12" t="str">
        <x:v>Trading or consumer-services business; small-scale prospect assumption.</x:v>
      </x:c>
      <x:c r="H965" s="11" t="n">
        <x:v>1</x:v>
      </x:c>
      <x:c r="I965" s="11" t="n">
        <x:v>2</x:v>
      </x:c>
      <x:c r="J965" s="11" t="n">
        <x:v>2</x:v>
      </x:c>
      <x:c r="K965" s="11" t="n">
        <x:v>0</x:v>
      </x:c>
      <x:c r="L965" s="17" t="n">
        <x:f>SUM(SUMIFS('Costing'!$P$9:$P$492,'Costing'!$A$9:$A$492,"MAIN-110"))</x:f>
        <x:v>30000</x:v>
      </x:c>
      <x:c r="M965" s="17" t="n">
        <x:f>ROUND(L965*'Costing'!$C$4,2)</x:f>
        <x:v>5400</x:v>
      </x:c>
      <x:c r="N965" s="17" t="n">
        <x:f>L965+M965</x:f>
        <x:v>35400</x:v>
      </x:c>
      <x:c r="O965" s="12" t="str">
        <x:v>Bengaluru</x:v>
      </x:c>
      <x:c r="P965" s="12" t="str">
        <x:v>CORP-0106</x:v>
      </x:c>
      <x:c r="Q965" s="12" t="str">
        <x:v>G.O.A.T Brand Labs</x:v>
      </x:c>
    </x:row>
    <x:row r="966" ht="48" customHeight="1">
      <x:c r="A966" s="2" t="str">
        <x:v>TEN-7D3893B5DA94</x:v>
      </x:c>
      <x:c r="B966" s="12" t="str">
        <x:v>G4K Solutions Pvt. Ltd</x:v>
      </x:c>
      <x:c r="C966" s="12" t="str">
        <x:v>Business / brand</x:v>
      </x:c>
      <x:c r="D966" s="12" t="str">
        <x:v>Unresolved</x:v>
      </x:c>
      <x:c r="E966" s="12" t="str">
        <x:v>Business activity not established</x:v>
      </x:c>
      <x:c r="F966" s="12" t="str">
        <x:v>Mixed business audience</x:v>
      </x:c>
      <x:c r="G966" s="12" t="str">
        <x:v>Business activity and company scale are not established from this name.</x:v>
      </x:c>
      <x:c r="H966" s="11" t="n">
        <x:v>10</x:v>
      </x:c>
      <x:c r="I966" s="11" t="n">
        <x:v>10</x:v>
      </x:c>
      <x:c r="J966" s="11" t="n">
        <x:v>10</x:v>
      </x:c>
      <x:c r="K966" s="11" t="n">
        <x:v>0</x:v>
      </x:c>
      <x:c r="L966" s="17" t="n">
        <x:f>SUM(SUMIFS('Costing'!$P$9:$P$492,'Costing'!$A$9:$A$492,"PARTNER-M205"))</x:f>
        <x:v>400000</x:v>
      </x:c>
      <x:c r="M966" s="17" t="n">
        <x:f>ROUND(L966*'Costing'!$C$4,2)</x:f>
        <x:v>72000</x:v>
      </x:c>
      <x:c r="N966" s="17" t="n">
        <x:f>L966+M966</x:f>
        <x:v>472000</x:v>
      </x:c>
      <x:c r="O966" s="12" t="str">
        <x:v>Mumbai</x:v>
      </x:c>
      <x:c r="P966" s="12" t="str">
        <x:v>CORP-0622, CORP-0623, CORP-0624, CORP-0625, CORP-0626, CORP-0627, CORP-0628, CORP-0629, CORP-0630, CORP-0631</x:v>
      </x:c>
      <x:c r="Q966" s="12" t="str">
        <x:v>G4K Solutions Pvt. Ltd</x:v>
      </x:c>
    </x:row>
    <x:row r="967" ht="48" customHeight="1">
      <x:c r="A967" s="2" t="str">
        <x:v>TEN-63E44AFB32E5</x:v>
      </x:c>
      <x:c r="B967" s="12" t="str">
        <x:v>Gaea Technologies</x:v>
      </x:c>
      <x:c r="C967" s="12" t="str">
        <x:v>Business / brand</x:v>
      </x:c>
      <x:c r="D967" s="12" t="str">
        <x:v>Unresolved</x:v>
      </x:c>
      <x:c r="E967" s="12" t="str">
        <x:v>Business activity not established</x:v>
      </x:c>
      <x:c r="F967" s="12" t="str">
        <x:v>Mixed business audience</x:v>
      </x:c>
      <x:c r="G967" s="12" t="str">
        <x:v>Business activity and company scale are not established from this name.</x:v>
      </x:c>
      <x:c r="H967" s="11" t="n">
        <x:v>5</x:v>
      </x:c>
      <x:c r="I967" s="11" t="n">
        <x:v>5</x:v>
      </x:c>
      <x:c r="J967" s="11" t="n">
        <x:v>5</x:v>
      </x:c>
      <x:c r="K967" s="11" t="n">
        <x:v>0</x:v>
      </x:c>
      <x:c r="L967" s="17" t="n">
        <x:f>SUM(SUMIFS('Costing'!$P$9:$P$492,'Costing'!$A$9:$A$492,"PARTNER-M051"))</x:f>
        <x:v>200000</x:v>
      </x:c>
      <x:c r="M967" s="17" t="n">
        <x:f>ROUND(L967*'Costing'!$C$4,2)</x:f>
        <x:v>36000</x:v>
      </x:c>
      <x:c r="N967" s="17" t="n">
        <x:f>L967+M967</x:f>
        <x:v>236000</x:v>
      </x:c>
      <x:c r="O967" s="12" t="str">
        <x:v>Bengaluru</x:v>
      </x:c>
      <x:c r="P967" s="12" t="str">
        <x:v>CORP-0469, CORP-0470, CORP-0471, CORP-0472, CORP-0473</x:v>
      </x:c>
      <x:c r="Q967" s="12" t="str">
        <x:v>Gaea Technologies</x:v>
      </x:c>
    </x:row>
    <x:row r="968" ht="48" customHeight="1">
      <x:c r="A968" s="2" t="str">
        <x:v>TEN-EA1A932C99A1</x:v>
      </x:c>
      <x:c r="B968" s="12" t="str">
        <x:v>Gagstek Solutions Private Limited</x:v>
      </x:c>
      <x:c r="C968" s="12" t="str">
        <x:v>Business / brand</x:v>
      </x:c>
      <x:c r="D968" s="12" t="str">
        <x:v>Unresolved</x:v>
      </x:c>
      <x:c r="E968" s="12" t="str">
        <x:v>Business activity not established</x:v>
      </x:c>
      <x:c r="F968" s="12" t="str">
        <x:v>Mixed business audience</x:v>
      </x:c>
      <x:c r="G968" s="12" t="str">
        <x:v>Business activity and company scale are not established from this name.</x:v>
      </x:c>
      <x:c r="H968" s="11" t="n">
        <x:v>4</x:v>
      </x:c>
      <x:c r="I968" s="11" t="n">
        <x:v>4</x:v>
      </x:c>
      <x:c r="J968" s="11" t="n">
        <x:v>4</x:v>
      </x:c>
      <x:c r="K968" s="11" t="n">
        <x:v>0</x:v>
      </x:c>
      <x:c r="L968" s="17" t="n">
        <x:f>SUM(SUMIFS('Costing'!$P$9:$P$492,'Costing'!$A$9:$A$492,"PARTNER-M261"))</x:f>
        <x:v>160000</x:v>
      </x:c>
      <x:c r="M968" s="17" t="n">
        <x:f>ROUND(L968*'Costing'!$C$4,2)</x:f>
        <x:v>28800</x:v>
      </x:c>
      <x:c r="N968" s="17" t="n">
        <x:f>L968+M968</x:f>
        <x:v>188800</x:v>
      </x:c>
      <x:c r="O968" s="12" t="str">
        <x:v>Pune</x:v>
      </x:c>
      <x:c r="P968" s="12" t="str">
        <x:v>CORP-0677, CORP-0678, CORP-0679, CORP-0680</x:v>
      </x:c>
      <x:c r="Q968" s="12" t="str">
        <x:v>Gagstek Solutions Private Limited</x:v>
      </x:c>
    </x:row>
    <x:row r="969" ht="48" customHeight="1">
      <x:c r="A969" s="2" t="str">
        <x:v>TEN-622192EE7D1F</x:v>
      </x:c>
      <x:c r="B969" s="12" t="str">
        <x:v>Gainwell Commosales Pvt Lt</x:v>
      </x:c>
      <x:c r="C969" s="12" t="str">
        <x:v>Business / brand</x:v>
      </x:c>
      <x:c r="D969" s="12" t="str">
        <x:v>Trade, consumer &amp; logistics</x:v>
      </x:c>
      <x:c r="E969" s="12" t="str">
        <x:v>Retail, consumer products &amp; ecommerce</x:v>
      </x:c>
      <x:c r="F969" s="12" t="str">
        <x:v>Small-scale prospects</x:v>
      </x:c>
      <x:c r="G969" s="12" t="str">
        <x:v>Trading or consumer-services business; small-scale prospect assumption.</x:v>
      </x:c>
      <x:c r="H969" s="11" t="n">
        <x:v>1</x:v>
      </x:c>
      <x:c r="I969" s="11" t="n">
        <x:v>8</x:v>
      </x:c>
      <x:c r="J969" s="11" t="n">
        <x:v>8</x:v>
      </x:c>
      <x:c r="K969" s="11" t="n">
        <x:v>0</x:v>
      </x:c>
      <x:c r="L969" s="17" t="n">
        <x:f>SUM(SUMIFS('Costing'!$P$9:$P$492,'Costing'!$A$9:$A$492,"MAIN-286"))</x:f>
        <x:v>120000</x:v>
      </x:c>
      <x:c r="M969" s="17" t="n">
        <x:f>ROUND(L969*'Costing'!$C$4,2)</x:f>
        <x:v>21600</x:v>
      </x:c>
      <x:c r="N969" s="17" t="n">
        <x:f>L969+M969</x:f>
        <x:v>141600</x:v>
      </x:c>
      <x:c r="O969" s="12" t="str">
        <x:v>Kolkata</x:v>
      </x:c>
      <x:c r="P969" s="12" t="str">
        <x:v>CORP-0282</x:v>
      </x:c>
      <x:c r="Q969" s="12" t="str">
        <x:v>Gainwell Commosales Pvt Lt</x:v>
      </x:c>
    </x:row>
    <x:row r="970" ht="48" customHeight="1">
      <x:c r="A970" s="2" t="str">
        <x:v>TEN-A88487AEFC99</x:v>
      </x:c>
      <x:c r="B970" s="12" t="str">
        <x:v>Galax</x:v>
      </x:c>
      <x:c r="C970" s="12" t="str">
        <x:v>Business / brand</x:v>
      </x:c>
      <x:c r="D970" s="12" t="str">
        <x:v>Unresolved</x:v>
      </x:c>
      <x:c r="E970" s="12" t="str">
        <x:v>Business activity not established</x:v>
      </x:c>
      <x:c r="F970" s="12" t="str">
        <x:v>Mixed business audience</x:v>
      </x:c>
      <x:c r="G970" s="12" t="str">
        <x:v>Business activity and company scale are not established from this name.</x:v>
      </x:c>
      <x:c r="H970" s="11" t="n">
        <x:v>9</x:v>
      </x:c>
      <x:c r="I970" s="11" t="n">
        <x:v>9</x:v>
      </x:c>
      <x:c r="J970" s="11" t="n">
        <x:v>9</x:v>
      </x:c>
      <x:c r="K970" s="11" t="n">
        <x:v>0</x:v>
      </x:c>
      <x:c r="L970" s="17" t="n">
        <x:f>SUM(SUMIFS('Costing'!$P$9:$P$492,'Costing'!$A$9:$A$492,"PARTNER-M002"))</x:f>
        <x:v>360000</x:v>
      </x:c>
      <x:c r="M970" s="17" t="n">
        <x:f>ROUND(L970*'Costing'!$C$4,2)</x:f>
        <x:v>64800</x:v>
      </x:c>
      <x:c r="N970" s="17" t="n">
        <x:f>L970+M970</x:f>
        <x:v>424800</x:v>
      </x:c>
      <x:c r="O970" s="12" t="str">
        <x:v>Bengaluru</x:v>
      </x:c>
      <x:c r="P970" s="12" t="str">
        <x:v>CORP-0420, CORP-0421, CORP-0422, CORP-0423, CORP-0424, CORP-0425, CORP-0426, CORP-0427, CORP-0428</x:v>
      </x:c>
      <x:c r="Q970" s="12" t="str">
        <x:v>Galax</x:v>
      </x:c>
    </x:row>
    <x:row r="971" ht="48" customHeight="1">
      <x:c r="A971" s="2" t="str">
        <x:v>TEN-2417E5B2BCE7</x:v>
      </x:c>
      <x:c r="B971" s="12" t="str">
        <x:v>Galax E Solutions</x:v>
      </x:c>
      <x:c r="C971" s="12" t="str">
        <x:v>Business / brand</x:v>
      </x:c>
      <x:c r="D971" s="12" t="str">
        <x:v>IT &amp; digital</x:v>
      </x:c>
      <x:c r="E971" s="12" t="str">
        <x:v>Enterprise software &amp; digital engineering</x:v>
      </x:c>
      <x:c r="F971" s="12" t="str">
        <x:v>Mixed business audience</x:v>
      </x:c>
      <x:c r="G971" s="12" t="str">
        <x:v>Established brand or business network; local company scale is not established. Use a mixed-business message.</x:v>
      </x:c>
      <x:c r="H971" s="11" t="n">
        <x:v>9</x:v>
      </x:c>
      <x:c r="I971" s="11" t="n">
        <x:v>9</x:v>
      </x:c>
      <x:c r="J971" s="11" t="n">
        <x:v>9</x:v>
      </x:c>
      <x:c r="K971" s="11" t="n">
        <x:v>0</x:v>
      </x:c>
      <x:c r="L971" s="17" t="n">
        <x:f>SUM(SUMIFS('Costing'!$P$9:$P$492,'Costing'!$A$9:$A$492,"PARTNER-M002"))</x:f>
        <x:v>360000</x:v>
      </x:c>
      <x:c r="M971" s="17" t="n">
        <x:f>ROUND(L971*'Costing'!$C$4,2)</x:f>
        <x:v>64800</x:v>
      </x:c>
      <x:c r="N971" s="17" t="n">
        <x:f>L971+M971</x:f>
        <x:v>424800</x:v>
      </x:c>
      <x:c r="O971" s="12" t="str">
        <x:v>Bengaluru</x:v>
      </x:c>
      <x:c r="P971" s="12" t="str">
        <x:v>CORP-0420, CORP-0421, CORP-0422, CORP-0423, CORP-0424, CORP-0425, CORP-0426, CORP-0427, CORP-0428</x:v>
      </x:c>
      <x:c r="Q971" s="12" t="str">
        <x:v>Galax E Solutions</x:v>
      </x:c>
    </x:row>
    <x:row r="972" ht="48" customHeight="1">
      <x:c r="A972" s="2" t="str">
        <x:v>TEN-B5C691D27CD7</x:v>
      </x:c>
      <x:c r="B972" s="12" t="str">
        <x:v>Galaxe Solutions</x:v>
      </x:c>
      <x:c r="C972" s="12" t="str">
        <x:v>Business / brand</x:v>
      </x:c>
      <x:c r="D972" s="12" t="str">
        <x:v>IT &amp; digital</x:v>
      </x:c>
      <x:c r="E972" s="12" t="str">
        <x:v>Enterprise software &amp; digital engineering</x:v>
      </x:c>
      <x:c r="F972" s="12" t="str">
        <x:v>Mixed business audience</x:v>
      </x:c>
      <x:c r="G972" s="12" t="str">
        <x:v>Established brand or business network; local company scale is not established. Use a mixed-business message.</x:v>
      </x:c>
      <x:c r="H972" s="11" t="n">
        <x:v>8</x:v>
      </x:c>
      <x:c r="I972" s="11" t="n">
        <x:v>8</x:v>
      </x:c>
      <x:c r="J972" s="11" t="n">
        <x:v>8</x:v>
      </x:c>
      <x:c r="K972" s="11" t="n">
        <x:v>0</x:v>
      </x:c>
      <x:c r="L972" s="17" t="n">
        <x:f>SUM(SUMIFS('Costing'!$P$9:$P$492,'Costing'!$A$9:$A$492,"PARTNER-M011"),SUMIFS('Costing'!$P$9:$P$492,'Costing'!$A$9:$A$492,"PARTNER-M295"))</x:f>
        <x:v>320000</x:v>
      </x:c>
      <x:c r="M972" s="17" t="n">
        <x:f>ROUND(L972*'Costing'!$C$4,2)</x:f>
        <x:v>57600</x:v>
      </x:c>
      <x:c r="N972" s="17" t="n">
        <x:f>L972+M972</x:f>
        <x:v>377600</x:v>
      </x:c>
      <x:c r="O972" s="12" t="str">
        <x:v>Bengaluru, Hyderabad</x:v>
      </x:c>
      <x:c r="P972" s="12" t="str">
        <x:v>CORP-0429, CORP-0430, CORP-0431, CORP-0710, CORP-0711, CORP-0712, CORP-0713, CORP-0714</x:v>
      </x:c>
      <x:c r="Q972" s="12" t="str">
        <x:v>Galaxe Solutions</x:v>
      </x:c>
    </x:row>
    <x:row r="973" ht="48" customHeight="1">
      <x:c r="A973" s="2" t="str">
        <x:v>TEN-C9015464958C</x:v>
      </x:c>
      <x:c r="B973" s="12" t="str">
        <x:v>galleria</x:v>
      </x:c>
      <x:c r="C973" s="12" t="str">
        <x:v>Business / brand</x:v>
      </x:c>
      <x:c r="D973" s="12" t="str">
        <x:v>Unresolved</x:v>
      </x:c>
      <x:c r="E973" s="12" t="str">
        <x:v>Business activity not established</x:v>
      </x:c>
      <x:c r="F973" s="12" t="str">
        <x:v>Mixed business audience</x:v>
      </x:c>
      <x:c r="G973" s="12" t="str">
        <x:v>Business activity and company scale are not established from this name.</x:v>
      </x:c>
      <x:c r="H973" s="11" t="n">
        <x:v>1</x:v>
      </x:c>
      <x:c r="I973" s="11" t="n">
        <x:v>2</x:v>
      </x:c>
      <x:c r="J973" s="11" t="n">
        <x:v>2</x:v>
      </x:c>
      <x:c r="K973" s="11" t="n">
        <x:v>0</x:v>
      </x:c>
      <x:c r="L973" s="17" t="n">
        <x:f>SUM(SUMIFS('Costing'!$P$9:$P$492,'Costing'!$A$9:$A$492,"MAIN-100"))</x:f>
        <x:v>30000</x:v>
      </x:c>
      <x:c r="M973" s="17" t="n">
        <x:f>ROUND(L973*'Costing'!$C$4,2)</x:f>
        <x:v>5400</x:v>
      </x:c>
      <x:c r="N973" s="17" t="n">
        <x:f>L973+M973</x:f>
        <x:v>35400</x:v>
      </x:c>
      <x:c r="O973" s="12" t="str">
        <x:v>Bengaluru</x:v>
      </x:c>
      <x:c r="P973" s="12" t="str">
        <x:v>CORP-0096</x:v>
      </x:c>
      <x:c r="Q973" s="12" t="str">
        <x:v>galleria</x:v>
      </x:c>
    </x:row>
    <x:row r="974" ht="48" customHeight="1">
      <x:c r="A974" s="2" t="str">
        <x:v>TEN-7DCE55C572CC</x:v>
      </x:c>
      <x:c r="B974" s="12" t="str">
        <x:v>GAMMA Process Hub India Ltd</x:v>
      </x:c>
      <x:c r="C974" s="12" t="str">
        <x:v>Business / brand</x:v>
      </x:c>
      <x:c r="D974" s="12" t="str">
        <x:v>Unresolved</x:v>
      </x:c>
      <x:c r="E974" s="12" t="str">
        <x:v>Business activity not established</x:v>
      </x:c>
      <x:c r="F974" s="12" t="str">
        <x:v>Mixed business audience</x:v>
      </x:c>
      <x:c r="G974" s="12" t="str">
        <x:v>Business activity and company scale are not established from this name.</x:v>
      </x:c>
      <x:c r="H974" s="11" t="n">
        <x:v>3</x:v>
      </x:c>
      <x:c r="I974" s="11" t="n">
        <x:v>3</x:v>
      </x:c>
      <x:c r="J974" s="11" t="n">
        <x:v>3</x:v>
      </x:c>
      <x:c r="K974" s="11" t="n">
        <x:v>0</x:v>
      </x:c>
      <x:c r="L974" s="17" t="n">
        <x:f>SUM(SUMIFS('Costing'!$P$9:$P$492,'Costing'!$A$9:$A$492,"PARTNER-M349"),SUMIFS('Costing'!$P$9:$P$492,'Costing'!$A$9:$A$492,"PARTNER-M350"))</x:f>
        <x:v>120000</x:v>
      </x:c>
      <x:c r="M974" s="17" t="n">
        <x:f>ROUND(L974*'Costing'!$C$4,2)</x:f>
        <x:v>21600</x:v>
      </x:c>
      <x:c r="N974" s="17" t="n">
        <x:f>L974+M974</x:f>
        <x:v>141600</x:v>
      </x:c>
      <x:c r="O974" s="12" t="str">
        <x:v>Chennai</x:v>
      </x:c>
      <x:c r="P974" s="12" t="str">
        <x:v>CORP-0763, CORP-0764, CORP-0765</x:v>
      </x:c>
      <x:c r="Q974" s="12" t="str">
        <x:v>GAMMA Process Hub India Ltd, GAMMA PROCESS HUB INDIA LTD</x:v>
      </x:c>
    </x:row>
    <x:row r="975" ht="48" customHeight="1">
      <x:c r="A975" s="2" t="str">
        <x:v>TEN-912570EAC05D</x:v>
      </x:c>
      <x:c r="B975" s="12" t="str">
        <x:v>Gamut Analytics Private Limited</x:v>
      </x:c>
      <x:c r="C975" s="12" t="str">
        <x:v>Business / brand</x:v>
      </x:c>
      <x:c r="D975" s="12" t="str">
        <x:v>IT &amp; digital</x:v>
      </x:c>
      <x:c r="E975" s="12" t="str">
        <x:v>AI, data &amp; analytics</x:v>
      </x:c>
      <x:c r="F975" s="12" t="str">
        <x:v>Small-scale prospects</x:v>
      </x:c>
      <x:c r="G975" s="12" t="str">
        <x:v>Software or technology-services business; small-scale prospect assumption.</x:v>
      </x:c>
      <x:c r="H975" s="11" t="n">
        <x:v>1</x:v>
      </x:c>
      <x:c r="I975" s="11" t="n">
        <x:v>1</x:v>
      </x:c>
      <x:c r="J975" s="11" t="n">
        <x:v>1</x:v>
      </x:c>
      <x:c r="K975" s="11" t="n">
        <x:v>0</x:v>
      </x:c>
      <x:c r="L975" s="17" t="n">
        <x:f>SUM(SUMIFS('Costing'!$P$9:$P$492,'Costing'!$A$9:$A$492,"MAIN-068"))</x:f>
        <x:v>15000</x:v>
      </x:c>
      <x:c r="M975" s="17" t="n">
        <x:f>ROUND(L975*'Costing'!$C$4,2)</x:f>
        <x:v>2700</x:v>
      </x:c>
      <x:c r="N975" s="17" t="n">
        <x:f>L975+M975</x:f>
        <x:v>17700</x:v>
      </x:c>
      <x:c r="O975" s="12" t="str">
        <x:v>Bengaluru</x:v>
      </x:c>
      <x:c r="P975" s="12" t="str">
        <x:v>CORP-0064</x:v>
      </x:c>
      <x:c r="Q975" s="12" t="str">
        <x:v>Gamut Analytics Private Limited</x:v>
      </x:c>
    </x:row>
    <x:row r="976" ht="48" customHeight="1">
      <x:c r="A976" s="2" t="str">
        <x:v>TEN-CCF2DC9DADF3</x:v>
      </x:c>
      <x:c r="B976" s="12" t="str">
        <x:v>Gartner India Research and Advisory Services Pvt. Ltd</x:v>
      </x:c>
      <x:c r="C976" s="12" t="str">
        <x:v>Business / brand</x:v>
      </x:c>
      <x:c r="D976" s="12" t="str">
        <x:v>Professional services</x:v>
      </x:c>
      <x:c r="E976" s="12" t="str">
        <x:v>Business, marketing &amp; research services</x:v>
      </x:c>
      <x:c r="F976" s="12" t="str">
        <x:v>Mixed business audience</x:v>
      </x:c>
      <x:c r="G976" s="12" t="str">
        <x:v>Recognisable business context; company-scale evidence remains insufficient for a single size band.</x:v>
      </x:c>
      <x:c r="H976" s="11" t="n">
        <x:v>8</x:v>
      </x:c>
      <x:c r="I976" s="11" t="n">
        <x:v>8</x:v>
      </x:c>
      <x:c r="J976" s="11" t="n">
        <x:v>8</x:v>
      </x:c>
      <x:c r="K976" s="11" t="n">
        <x:v>0</x:v>
      </x:c>
      <x:c r="L976" s="17" t="n">
        <x:f>SUM(SUMIFS('Costing'!$P$9:$P$492,'Costing'!$A$9:$A$492,"PARTNER-M067"),SUMIFS('Costing'!$P$9:$P$492,'Costing'!$A$9:$A$492,"PARTNER-M034"))</x:f>
        <x:v>320000</x:v>
      </x:c>
      <x:c r="M976" s="17" t="n">
        <x:f>ROUND(L976*'Costing'!$C$4,2)</x:f>
        <x:v>57600</x:v>
      </x:c>
      <x:c r="N976" s="17" t="n">
        <x:f>L976+M976</x:f>
        <x:v>377600</x:v>
      </x:c>
      <x:c r="O976" s="12" t="str">
        <x:v>Bengaluru</x:v>
      </x:c>
      <x:c r="P976" s="12" t="str">
        <x:v>CORP-0452, CORP-0453, CORP-0454, CORP-0455, CORP-0456, CORP-0485, CORP-0486, CORP-0487</x:v>
      </x:c>
      <x:c r="Q976" s="12" t="str">
        <x:v>Gartner India Research and Advisory Services Pvt. Ltd</x:v>
      </x:c>
    </x:row>
    <x:row r="977" ht="48" customHeight="1">
      <x:c r="A977" s="2" t="str">
        <x:v>TEN-BFB7EE93F259</x:v>
      </x:c>
      <x:c r="B977" s="12" t="str">
        <x:v>GBP I Healthcare Services Private Limited</x:v>
      </x:c>
      <x:c r="C977" s="12" t="str">
        <x:v>Business / brand</x:v>
      </x:c>
      <x:c r="D977" s="12" t="str">
        <x:v>Healthcare &amp; life sciences</x:v>
      </x:c>
      <x:c r="E977" s="12" t="str">
        <x:v>Clinical, medical &amp; diagnostic services</x:v>
      </x:c>
      <x:c r="F977" s="12" t="str">
        <x:v>Small-scale prospects</x:v>
      </x:c>
      <x:c r="G977" s="12" t="str">
        <x:v>Healthcare services business; small-scale prospect assumption.</x:v>
      </x:c>
      <x:c r="H977" s="11" t="n">
        <x:v>1</x:v>
      </x:c>
      <x:c r="I977" s="11" t="n">
        <x:v>3</x:v>
      </x:c>
      <x:c r="J977" s="11" t="n">
        <x:v>3</x:v>
      </x:c>
      <x:c r="K977" s="11" t="n">
        <x:v>0</x:v>
      </x:c>
      <x:c r="L977" s="17" t="n">
        <x:f>SUM(SUMIFS('Costing'!$P$9:$P$492,'Costing'!$A$9:$A$492,"MAIN-206"))</x:f>
        <x:v>120000</x:v>
      </x:c>
      <x:c r="M977" s="17" t="n">
        <x:f>ROUND(L977*'Costing'!$C$4,2)</x:f>
        <x:v>21600</x:v>
      </x:c>
      <x:c r="N977" s="17" t="n">
        <x:f>L977+M977</x:f>
        <x:v>141600</x:v>
      </x:c>
      <x:c r="O977" s="12" t="str">
        <x:v>Delhi NCR</x:v>
      </x:c>
      <x:c r="P977" s="12" t="str">
        <x:v>CORP-0202</x:v>
      </x:c>
      <x:c r="Q977" s="12" t="str">
        <x:v>GBP I Healthcare Services Private Limited</x:v>
      </x:c>
    </x:row>
    <x:row r="978" ht="49" customHeight="1">
      <x:c r="A978" s="2" t="str">
        <x:v>TEN-228285280116</x:v>
      </x:c>
      <x:c r="B978" s="12" t="str">
        <x:v>GD Goenka La Petite Montessori PreSchool</x:v>
      </x:c>
      <x:c r="C978" s="12" t="str">
        <x:v>Business / brand</x:v>
      </x:c>
      <x:c r="D978" s="12" t="str">
        <x:v>Education</x:v>
      </x:c>
      <x:c r="E978" s="12" t="str">
        <x:v>Schools, childcare &amp; higher education</x:v>
      </x:c>
      <x:c r="F978" s="12" t="str">
        <x:v>Institutional</x:v>
      </x:c>
      <x:c r="G978" s="12" t="str">
        <x:v>Education-institution audience within a preschool franchise network. Local franchise operator size is not established.</x:v>
      </x:c>
      <x:c r="H978" s="11" t="n">
        <x:v>1</x:v>
      </x:c>
      <x:c r="I978" s="11" t="n">
        <x:v>1</x:v>
      </x:c>
      <x:c r="J978" s="11" t="n">
        <x:v>1</x:v>
      </x:c>
      <x:c r="K978" s="11" t="n">
        <x:v>0</x:v>
      </x:c>
      <x:c r="L978" s="17" t="n">
        <x:f>SUM(SUMIFS('Costing'!$P$9:$P$492,'Costing'!$A$9:$A$492,"MAIN-254"))</x:f>
        <x:v>15000</x:v>
      </x:c>
      <x:c r="M978" s="17" t="n">
        <x:f>ROUND(L978*'Costing'!$C$4,2)</x:f>
        <x:v>2700</x:v>
      </x:c>
      <x:c r="N978" s="17" t="n">
        <x:f>L978+M978</x:f>
        <x:v>17700</x:v>
      </x:c>
      <x:c r="O978" s="12" t="str">
        <x:v>Hyderabad</x:v>
      </x:c>
      <x:c r="P978" s="12" t="str">
        <x:v>CORP-0250</x:v>
      </x:c>
      <x:c r="Q978" s="12" t="str">
        <x:v>GD Goenka La Petite Montessori PreSchool</x:v>
      </x:c>
    </x:row>
    <x:row r="979" ht="48" customHeight="1">
      <x:c r="A979" s="2" t="str">
        <x:v>TEN-56026A5BCEFA</x:v>
      </x:c>
      <x:c r="B979" s="12" t="str">
        <x:v>GDFS Wealth</x:v>
      </x:c>
      <x:c r="C979" s="12" t="str">
        <x:v>Business / brand</x:v>
      </x:c>
      <x:c r="D979" s="12" t="str">
        <x:v>Finance &amp; insurance</x:v>
      </x:c>
      <x:c r="E979" s="12" t="str">
        <x:v>Investments, securities &amp; wealth</x:v>
      </x:c>
      <x:c r="F979" s="12" t="str">
        <x:v>Medium-scale prospects</x:v>
      </x:c>
      <x:c r="G979" s="12" t="str">
        <x:v>Specialist financial-services business; medium-scale prospect assumption.</x:v>
      </x:c>
      <x:c r="H979" s="11" t="n">
        <x:v>1</x:v>
      </x:c>
      <x:c r="I979" s="11" t="n">
        <x:v>1</x:v>
      </x:c>
      <x:c r="J979" s="11" t="n">
        <x:v>1</x:v>
      </x:c>
      <x:c r="K979" s="11" t="n">
        <x:v>0</x:v>
      </x:c>
      <x:c r="L979" s="17" t="n">
        <x:f>SUM(SUMIFS('Costing'!$P$9:$P$492,'Costing'!$A$9:$A$492,"MAIN-319"))</x:f>
        <x:v>15000</x:v>
      </x:c>
      <x:c r="M979" s="17" t="n">
        <x:f>ROUND(L979*'Costing'!$C$4,2)</x:f>
        <x:v>2700</x:v>
      </x:c>
      <x:c r="N979" s="17" t="n">
        <x:f>L979+M979</x:f>
        <x:v>17700</x:v>
      </x:c>
      <x:c r="O979" s="12" t="str">
        <x:v>Mumbai</x:v>
      </x:c>
      <x:c r="P979" s="12" t="str">
        <x:v>CORP-0315</x:v>
      </x:c>
      <x:c r="Q979" s="12" t="str">
        <x:v>GDFS Wealth</x:v>
      </x:c>
    </x:row>
    <x:row r="980" ht="48" customHeight="1">
      <x:c r="A980" s="2" t="str">
        <x:v>TEN-985483497785</x:v>
      </x:c>
      <x:c r="B980" s="12" t="str">
        <x:v>GE Healthcare</x:v>
      </x:c>
      <x:c r="C980" s="12" t="str">
        <x:v>Business / brand</x:v>
      </x:c>
      <x:c r="D980" s="12" t="str">
        <x:v>Healthcare &amp; life sciences</x:v>
      </x:c>
      <x:c r="E980" s="12" t="str">
        <x:v>Clinical, medical &amp; diagnostic services</x:v>
      </x:c>
      <x:c r="F980" s="12" t="str">
        <x:v>Mixed business audience</x:v>
      </x:c>
      <x:c r="G980" s="12" t="str">
        <x:v>Recognisable business context; company-scale evidence remains insufficient for a single size band.</x:v>
      </x:c>
      <x:c r="H980" s="11" t="n">
        <x:v>7</x:v>
      </x:c>
      <x:c r="I980" s="11" t="n">
        <x:v>7</x:v>
      </x:c>
      <x:c r="J980" s="11" t="n">
        <x:v>7</x:v>
      </x:c>
      <x:c r="K980" s="11" t="n">
        <x:v>0</x:v>
      </x:c>
      <x:c r="L980" s="17" t="n">
        <x:f>SUM(SUMIFS('Costing'!$P$9:$P$492,'Costing'!$A$9:$A$492,"PARTNER-M027"))</x:f>
        <x:v>280000</x:v>
      </x:c>
      <x:c r="M980" s="17" t="n">
        <x:f>ROUND(L980*'Costing'!$C$4,2)</x:f>
        <x:v>50400</x:v>
      </x:c>
      <x:c r="N980" s="17" t="n">
        <x:f>L980+M980</x:f>
        <x:v>330400</x:v>
      </x:c>
      <x:c r="O980" s="12" t="str">
        <x:v>Bengaluru</x:v>
      </x:c>
      <x:c r="P980" s="12" t="str">
        <x:v>CORP-0445, CORP-0446, CORP-0447, CORP-0448, CORP-0449, CORP-0450, CORP-0451</x:v>
      </x:c>
      <x:c r="Q980" s="12" t="str">
        <x:v>GE Healthcare</x:v>
      </x:c>
    </x:row>
    <x:row r="981" ht="48" customHeight="1">
      <x:c r="A981" s="2" t="str">
        <x:v>TEN-5BBB79904634</x:v>
      </x:c>
      <x:c r="B981" s="12" t="str">
        <x:v>GEBBS Healthcare Solutions Pvt Ltd</x:v>
      </x:c>
      <x:c r="C981" s="12" t="str">
        <x:v>Business / brand</x:v>
      </x:c>
      <x:c r="D981" s="12" t="str">
        <x:v>Healthcare &amp; life sciences</x:v>
      </x:c>
      <x:c r="E981" s="12" t="str">
        <x:v>Clinical, medical &amp; diagnostic services</x:v>
      </x:c>
      <x:c r="F981" s="12" t="str">
        <x:v>Mixed business audience</x:v>
      </x:c>
      <x:c r="G981" s="12" t="str">
        <x:v>Established brand or business network; local company scale is not established. Use a mixed-business message.</x:v>
      </x:c>
      <x:c r="H981" s="11" t="n">
        <x:v>1</x:v>
      </x:c>
      <x:c r="I981" s="11" t="n">
        <x:v>1</x:v>
      </x:c>
      <x:c r="J981" s="11" t="n">
        <x:v>1</x:v>
      </x:c>
      <x:c r="K981" s="11" t="n">
        <x:v>0</x:v>
      </x:c>
      <x:c r="L981" s="17" t="n">
        <x:f>SUM(SUMIFS('Costing'!$P$9:$P$492,'Costing'!$A$9:$A$492,"MAIN-297"))</x:f>
        <x:v>15000</x:v>
      </x:c>
      <x:c r="M981" s="17" t="n">
        <x:f>ROUND(L981*'Costing'!$C$4,2)</x:f>
        <x:v>2700</x:v>
      </x:c>
      <x:c r="N981" s="17" t="n">
        <x:f>L981+M981</x:f>
        <x:v>17700</x:v>
      </x:c>
      <x:c r="O981" s="12" t="str">
        <x:v>Mumbai</x:v>
      </x:c>
      <x:c r="P981" s="12" t="str">
        <x:v>CORP-0293</x:v>
      </x:c>
      <x:c r="Q981" s="12" t="str">
        <x:v>GEBBS Healthcare Solutions Pvt Ltd</x:v>
      </x:c>
    </x:row>
    <x:row r="982" ht="48" customHeight="1">
      <x:c r="A982" s="2" t="str">
        <x:v>TEN-83D1C43212E5</x:v>
      </x:c>
      <x:c r="B982" s="12" t="str">
        <x:v>GEMSWORTH INFRA LLP</x:v>
      </x:c>
      <x:c r="C982" s="12" t="str">
        <x:v>Business / brand</x:v>
      </x:c>
      <x:c r="D982" s="12" t="str">
        <x:v>Engineering &amp; manufacturing</x:v>
      </x:c>
      <x:c r="E982" s="12" t="str">
        <x:v>Engineering/manufacturing — specialty unverified</x:v>
      </x:c>
      <x:c r="F982" s="12" t="str">
        <x:v>Medium-scale prospects</x:v>
      </x:c>
      <x:c r="G982" s="12" t="str">
        <x:v>Specialist industrial or engineering business; medium-scale prospect assumption.</x:v>
      </x:c>
      <x:c r="H982" s="11" t="n">
        <x:v>1</x:v>
      </x:c>
      <x:c r="I982" s="11" t="n">
        <x:v>3</x:v>
      </x:c>
      <x:c r="J982" s="11" t="n">
        <x:v>3</x:v>
      </x:c>
      <x:c r="K982" s="11" t="n">
        <x:v>0</x:v>
      </x:c>
      <x:c r="L982" s="17" t="n">
        <x:f>SUM(SUMIFS('Costing'!$P$9:$P$492,'Costing'!$A$9:$A$492,"MAIN-075"))</x:f>
        <x:v>45000</x:v>
      </x:c>
      <x:c r="M982" s="17" t="n">
        <x:f>ROUND(L982*'Costing'!$C$4,2)</x:f>
        <x:v>8100</x:v>
      </x:c>
      <x:c r="N982" s="17" t="n">
        <x:f>L982+M982</x:f>
        <x:v>53100</x:v>
      </x:c>
      <x:c r="O982" s="12" t="str">
        <x:v>Bengaluru</x:v>
      </x:c>
      <x:c r="P982" s="12" t="str">
        <x:v>CORP-0071</x:v>
      </x:c>
      <x:c r="Q982" s="12" t="str">
        <x:v>GEMSWORTH INFRA LLP</x:v>
      </x:c>
    </x:row>
    <x:row r="983" ht="48" customHeight="1">
      <x:c r="A983" s="2" t="str">
        <x:v>TEN-A57526B5D973</x:v>
      </x:c>
      <x:c r="B983" s="12" t="str">
        <x:v>General Motors</x:v>
      </x:c>
      <x:c r="C983" s="12" t="str">
        <x:v>Business / brand</x:v>
      </x:c>
      <x:c r="D983" s="12" t="str">
        <x:v>Engineering &amp; manufacturing</x:v>
      </x:c>
      <x:c r="E983" s="12" t="str">
        <x:v>Automotive, mobility &amp; aerospace</x:v>
      </x:c>
      <x:c r="F983" s="12" t="str">
        <x:v>Mixed business audience</x:v>
      </x:c>
      <x:c r="G983" s="12" t="str">
        <x:v>Recognisable business context; company-scale evidence remains insufficient for a single size band.</x:v>
      </x:c>
      <x:c r="H983" s="11" t="n">
        <x:v>9</x:v>
      </x:c>
      <x:c r="I983" s="11" t="n">
        <x:v>9</x:v>
      </x:c>
      <x:c r="J983" s="11" t="n">
        <x:v>9</x:v>
      </x:c>
      <x:c r="K983" s="11" t="n">
        <x:v>0</x:v>
      </x:c>
      <x:c r="L983" s="17" t="n">
        <x:f>SUM(SUMIFS('Costing'!$P$9:$P$492,'Costing'!$A$9:$A$492,"PARTNER-M002"))</x:f>
        <x:v>360000</x:v>
      </x:c>
      <x:c r="M983" s="17" t="n">
        <x:f>ROUND(L983*'Costing'!$C$4,2)</x:f>
        <x:v>64800</x:v>
      </x:c>
      <x:c r="N983" s="17" t="n">
        <x:f>L983+M983</x:f>
        <x:v>424800</x:v>
      </x:c>
      <x:c r="O983" s="12" t="str">
        <x:v>Bengaluru</x:v>
      </x:c>
      <x:c r="P983" s="12" t="str">
        <x:v>CORP-0420, CORP-0421, CORP-0422, CORP-0423, CORP-0424, CORP-0425, CORP-0426, CORP-0427, CORP-0428</x:v>
      </x:c>
      <x:c r="Q983" s="12" t="str">
        <x:v>General Motors, General Notors</x:v>
      </x:c>
    </x:row>
    <x:row r="984" ht="48" customHeight="1">
      <x:c r="A984" s="2" t="str">
        <x:v>TEN-31F8B6C7A65B</x:v>
      </x:c>
      <x:c r="B984" s="12" t="str">
        <x:v>Genisys Group</x:v>
      </x:c>
      <x:c r="C984" s="12" t="str">
        <x:v>Business / brand</x:v>
      </x:c>
      <x:c r="D984" s="12" t="str">
        <x:v>IT &amp; digital</x:v>
      </x:c>
      <x:c r="E984" s="12" t="str">
        <x:v>Technology services — specialty unverified</x:v>
      </x:c>
      <x:c r="F984" s="12" t="str">
        <x:v>Mixed business audience</x:v>
      </x:c>
      <x:c r="G984" s="12" t="str">
        <x:v>Recognisable business context; company-scale evidence remains insufficient for a single size band.</x:v>
      </x:c>
      <x:c r="H984" s="11" t="n">
        <x:v>7</x:v>
      </x:c>
      <x:c r="I984" s="11" t="n">
        <x:v>7</x:v>
      </x:c>
      <x:c r="J984" s="11" t="n">
        <x:v>7</x:v>
      </x:c>
      <x:c r="K984" s="11" t="n">
        <x:v>0</x:v>
      </x:c>
      <x:c r="L984" s="17" t="n">
        <x:f>SUM(SUMIFS('Costing'!$P$9:$P$492,'Costing'!$A$9:$A$492,"PARTNER-M027"))</x:f>
        <x:v>280000</x:v>
      </x:c>
      <x:c r="M984" s="17" t="n">
        <x:f>ROUND(L984*'Costing'!$C$4,2)</x:f>
        <x:v>50400</x:v>
      </x:c>
      <x:c r="N984" s="17" t="n">
        <x:f>L984+M984</x:f>
        <x:v>330400</x:v>
      </x:c>
      <x:c r="O984" s="12" t="str">
        <x:v>Bengaluru</x:v>
      </x:c>
      <x:c r="P984" s="12" t="str">
        <x:v>CORP-0445, CORP-0446, CORP-0447, CORP-0448, CORP-0449, CORP-0450, CORP-0451</x:v>
      </x:c>
      <x:c r="Q984" s="12" t="str">
        <x:v>Genisys Group</x:v>
      </x:c>
    </x:row>
    <x:row r="985" ht="48" customHeight="1">
      <x:c r="A985" s="2" t="str">
        <x:v>TEN-91CD363A290C</x:v>
      </x:c>
      <x:c r="B985" s="12" t="str">
        <x:v>Genpact Tomso Solution Ltd</x:v>
      </x:c>
      <x:c r="C985" s="12" t="str">
        <x:v>Business / brand</x:v>
      </x:c>
      <x:c r="D985" s="12" t="str">
        <x:v>IT &amp; digital</x:v>
      </x:c>
      <x:c r="E985" s="12" t="str">
        <x:v>Business process &amp; customer operations</x:v>
      </x:c>
      <x:c r="F985" s="12" t="str">
        <x:v>Mixed business audience</x:v>
      </x:c>
      <x:c r="G985" s="12" t="str">
        <x:v>Recognisable business context; company-scale evidence remains insufficient for a single size band.</x:v>
      </x:c>
      <x:c r="H985" s="11" t="n">
        <x:v>1</x:v>
      </x:c>
      <x:c r="I985" s="11" t="n">
        <x:v>8</x:v>
      </x:c>
      <x:c r="J985" s="11" t="n">
        <x:v>8</x:v>
      </x:c>
      <x:c r="K985" s="11" t="n">
        <x:v>0</x:v>
      </x:c>
      <x:c r="L985" s="17" t="n">
        <x:f>SUM(SUMIFS('Costing'!$P$9:$P$492,'Costing'!$A$9:$A$492,"MAIN-286"))</x:f>
        <x:v>120000</x:v>
      </x:c>
      <x:c r="M985" s="17" t="n">
        <x:f>ROUND(L985*'Costing'!$C$4,2)</x:f>
        <x:v>21600</x:v>
      </x:c>
      <x:c r="N985" s="17" t="n">
        <x:f>L985+M985</x:f>
        <x:v>141600</x:v>
      </x:c>
      <x:c r="O985" s="12" t="str">
        <x:v>Kolkata</x:v>
      </x:c>
      <x:c r="P985" s="12" t="str">
        <x:v>CORP-0282</x:v>
      </x:c>
      <x:c r="Q985" s="12" t="str">
        <x:v>Genpact Tomso Solution Ltd</x:v>
      </x:c>
    </x:row>
    <x:row r="986" ht="48" customHeight="1">
      <x:c r="A986" s="2" t="str">
        <x:v>TEN-B921575579A8</x:v>
      </x:c>
      <x:c r="B986" s="12" t="str">
        <x:v>GEP</x:v>
      </x:c>
      <x:c r="C986" s="12" t="str">
        <x:v>Business / brand</x:v>
      </x:c>
      <x:c r="D986" s="12" t="str">
        <x:v>IT &amp; digital</x:v>
      </x:c>
      <x:c r="E986" s="12" t="str">
        <x:v>Enterprise software &amp; digital engineering</x:v>
      </x:c>
      <x:c r="F986" s="12" t="str">
        <x:v>Mixed business audience</x:v>
      </x:c>
      <x:c r="G986" s="12" t="str">
        <x:v>Established brand or business network; local company scale is not established. Use a mixed-business message.</x:v>
      </x:c>
      <x:c r="H986" s="11" t="n">
        <x:v>1</x:v>
      </x:c>
      <x:c r="I986" s="11" t="n">
        <x:v>5</x:v>
      </x:c>
      <x:c r="J986" s="11" t="n">
        <x:v>5</x:v>
      </x:c>
      <x:c r="K986" s="11" t="n">
        <x:v>0</x:v>
      </x:c>
      <x:c r="L986" s="17" t="n">
        <x:f>SUM(SUMIFS('Costing'!$P$9:$P$492,'Costing'!$A$9:$A$492,"MAIN-338"))</x:f>
        <x:v>200000</x:v>
      </x:c>
      <x:c r="M986" s="17" t="n">
        <x:f>ROUND(L986*'Costing'!$C$4,2)</x:f>
        <x:v>36000</x:v>
      </x:c>
      <x:c r="N986" s="17" t="n">
        <x:f>L986+M986</x:f>
        <x:v>236000</x:v>
      </x:c>
      <x:c r="O986" s="12" t="str">
        <x:v>Mumbai</x:v>
      </x:c>
      <x:c r="P986" s="12" t="str">
        <x:v>CORP-0334</x:v>
      </x:c>
      <x:c r="Q986" s="12" t="str">
        <x:v>GEP</x:v>
      </x:c>
    </x:row>
    <x:row r="987" ht="75" customHeight="1">
      <x:c r="A987" s="2" t="str">
        <x:v>TEN-6CF5FB813A56</x:v>
      </x:c>
      <x:c r="B987" s="12" t="str">
        <x:v>German Consulate General</x:v>
      </x:c>
      <x:c r="C987" s="12" t="str">
        <x:v>Public / nonprofit</x:v>
      </x:c>
      <x:c r="D987" s="12" t="str">
        <x:v>Government &amp; nonprofit</x:v>
      </x:c>
      <x:c r="E987" s="12" t="str">
        <x:v>Public, nonprofit or membership organization</x:v>
      </x:c>
      <x:c r="F987" s="12" t="str">
        <x:v>Institutional</x:v>
      </x:c>
      <x:c r="G987" s="12" t="str">
        <x:v>Existing directory identifies an institutional, government, education, membership or nonprofit organisation rather than an ordinary MSME business prospect. This tag describes audience role and does not assert legal tax status.</x:v>
      </x:c>
      <x:c r="H987" s="11" t="n">
        <x:v>9</x:v>
      </x:c>
      <x:c r="I987" s="11" t="n">
        <x:v>9</x:v>
      </x:c>
      <x:c r="J987" s="11" t="n">
        <x:v>9</x:v>
      </x:c>
      <x:c r="K987" s="11" t="n">
        <x:v>0</x:v>
      </x:c>
      <x:c r="L987" s="17" t="n">
        <x:f>SUM(SUMIFS('Costing'!$P$9:$P$492,'Costing'!$A$9:$A$492,"MAIN-073"),SUMIFS('Costing'!$P$9:$P$492,'Costing'!$A$9:$A$492,"PARTNER-M100"))</x:f>
        <x:v>360000</x:v>
      </x:c>
      <x:c r="M987" s="17" t="n">
        <x:f>ROUND(L987*'Costing'!$C$4,2)</x:f>
        <x:v>64800</x:v>
      </x:c>
      <x:c r="N987" s="17" t="n">
        <x:f>L987+M987</x:f>
        <x:v>424800</x:v>
      </x:c>
      <x:c r="O987" s="12" t="str">
        <x:v>Bengaluru</x:v>
      </x:c>
      <x:c r="P987" s="12" t="str">
        <x:v>CORP-0069, CORP-0518, CORP-0519, CORP-0520, CORP-0521, CORP-0522, CORP-0523, CORP-0524, CORP-0525</x:v>
      </x:c>
      <x:c r="Q987" s="12" t="str">
        <x:v>German Consulate General</x:v>
      </x:c>
    </x:row>
    <x:row r="988" ht="62" customHeight="1">
      <x:c r="A988" s="2" t="str">
        <x:v>TEN-90BDBD8E6D14</x:v>
      </x:c>
      <x:c r="B988" s="12" t="str">
        <x:v>GHCL Limited</x:v>
      </x:c>
      <x:c r="C988" s="12" t="str">
        <x:v>Business / brand</x:v>
      </x:c>
      <x:c r="D988" s="12" t="str">
        <x:v>Engineering &amp; manufacturing</x:v>
      </x:c>
      <x:c r="E988" s="12" t="str">
        <x:v>Electronics, industrial systems &amp; manufacturing</x:v>
      </x:c>
      <x:c r="F988" s="12" t="str">
        <x:v>Large enterprise</x:v>
      </x:c>
      <x:c r="G988" s="12" t="str">
        <x:v>The official profile reports turnover of Rs3,144 crore and 1.2 million tonnes per annum of soda-ash capacity, supported by a mining and manufacturing network. This supports enterprise-scale industrial audience context.</x:v>
      </x:c>
      <x:c r="H988" s="11" t="n">
        <x:v>1</x:v>
      </x:c>
      <x:c r="I988" s="11" t="n">
        <x:v>22</x:v>
      </x:c>
      <x:c r="J988" s="11" t="n">
        <x:v>22</x:v>
      </x:c>
      <x:c r="K988" s="11" t="n">
        <x:v>0</x:v>
      </x:c>
      <x:c r="L988" s="17" t="n">
        <x:f>SUM(SUMIFS('Costing'!$P$9:$P$492,'Costing'!$A$9:$A$492,"MAIN-307"))</x:f>
        <x:v>330000</x:v>
      </x:c>
      <x:c r="M988" s="17" t="n">
        <x:f>ROUND(L988*'Costing'!$C$4,2)</x:f>
        <x:v>59400</x:v>
      </x:c>
      <x:c r="N988" s="17" t="n">
        <x:f>L988+M988</x:f>
        <x:v>389400</x:v>
      </x:c>
      <x:c r="O988" s="12" t="str">
        <x:v>Mumbai</x:v>
      </x:c>
      <x:c r="P988" s="12" t="str">
        <x:v>CORP-0303</x:v>
      </x:c>
      <x:c r="Q988" s="12" t="str">
        <x:v>GHCL Limited</x:v>
      </x:c>
    </x:row>
    <x:row r="989" ht="48" customHeight="1">
      <x:c r="A989" s="2" t="str">
        <x:v>TEN-C0BC2A1F1E0F</x:v>
      </x:c>
      <x:c r="B989" s="12" t="str">
        <x:v>Gibbs</x:v>
      </x:c>
      <x:c r="C989" s="12" t="str">
        <x:v>Business / brand</x:v>
      </x:c>
      <x:c r="D989" s="12" t="str">
        <x:v>Unresolved</x:v>
      </x:c>
      <x:c r="E989" s="12" t="str">
        <x:v>Business activity not established</x:v>
      </x:c>
      <x:c r="F989" s="12" t="str">
        <x:v>Mixed business audience</x:v>
      </x:c>
      <x:c r="G989" s="12" t="str">
        <x:v>Business activity and company scale are not established from this name.</x:v>
      </x:c>
      <x:c r="H989" s="11" t="n">
        <x:v>1</x:v>
      </x:c>
      <x:c r="I989" s="11" t="n">
        <x:v>39</x:v>
      </x:c>
      <x:c r="J989" s="11" t="n">
        <x:v>39</x:v>
      </x:c>
      <x:c r="K989" s="11" t="n">
        <x:v>0</x:v>
      </x:c>
      <x:c r="L989" s="17" t="n">
        <x:f>SUM(SUMIFS('Costing'!$P$9:$P$492,'Costing'!$A$9:$A$492,"MAIN-294"))</x:f>
        <x:v>585000</x:v>
      </x:c>
      <x:c r="M989" s="17" t="n">
        <x:f>ROUND(L989*'Costing'!$C$4,2)</x:f>
        <x:v>105300</x:v>
      </x:c>
      <x:c r="N989" s="17" t="n">
        <x:f>L989+M989</x:f>
        <x:v>690300</x:v>
      </x:c>
      <x:c r="O989" s="12" t="str">
        <x:v>Mumbai</x:v>
      </x:c>
      <x:c r="P989" s="12" t="str">
        <x:v>CORP-0290</x:v>
      </x:c>
      <x:c r="Q989" s="12" t="str">
        <x:v>Gibbs</x:v>
      </x:c>
    </x:row>
    <x:row r="990" ht="48" customHeight="1">
      <x:c r="A990" s="2" t="str">
        <x:v>TEN-F93408F90DB3</x:v>
      </x:c>
      <x:c r="B990" s="12" t="str">
        <x:v>GIC HOUSING FINANCE LTD</x:v>
      </x:c>
      <x:c r="C990" s="12" t="str">
        <x:v>Business / brand</x:v>
      </x:c>
      <x:c r="D990" s="12" t="str">
        <x:v>Finance &amp; insurance</x:v>
      </x:c>
      <x:c r="E990" s="12" t="str">
        <x:v>Banking &amp; credit</x:v>
      </x:c>
      <x:c r="F990" s="12" t="str">
        <x:v>Mixed business audience</x:v>
      </x:c>
      <x:c r="G990" s="12" t="str">
        <x:v>Recognisable business context; company-scale evidence remains insufficient for a single size band.</x:v>
      </x:c>
      <x:c r="H990" s="11" t="n">
        <x:v>1</x:v>
      </x:c>
      <x:c r="I990" s="11" t="n">
        <x:v>6</x:v>
      </x:c>
      <x:c r="J990" s="11" t="n">
        <x:v>6</x:v>
      </x:c>
      <x:c r="K990" s="11" t="n">
        <x:v>0</x:v>
      </x:c>
      <x:c r="L990" s="17" t="n">
        <x:f>SUM(SUMIFS('Costing'!$P$9:$P$492,'Costing'!$A$9:$A$492,"MAIN-194"))</x:f>
        <x:v>240000</x:v>
      </x:c>
      <x:c r="M990" s="17" t="n">
        <x:f>ROUND(L990*'Costing'!$C$4,2)</x:f>
        <x:v>43200</x:v>
      </x:c>
      <x:c r="N990" s="17" t="n">
        <x:f>L990+M990</x:f>
        <x:v>283200</x:v>
      </x:c>
      <x:c r="O990" s="12" t="str">
        <x:v>Delhi NCR</x:v>
      </x:c>
      <x:c r="P990" s="12" t="str">
        <x:v>CORP-0190</x:v>
      </x:c>
      <x:c r="Q990" s="12" t="str">
        <x:v>GIC HOUSING FINANCE LTD</x:v>
      </x:c>
    </x:row>
    <x:row r="991" ht="48" customHeight="1">
      <x:c r="A991" s="2" t="str">
        <x:v>TEN-A82F7A1C6BEE</x:v>
      </x:c>
      <x:c r="B991" s="12" t="str">
        <x:v>Gigamon</x:v>
      </x:c>
      <x:c r="C991" s="12" t="str">
        <x:v>Business / brand</x:v>
      </x:c>
      <x:c r="D991" s="12" t="str">
        <x:v>IT &amp; digital</x:v>
      </x:c>
      <x:c r="E991" s="12" t="str">
        <x:v>Enterprise software &amp; digital engineering</x:v>
      </x:c>
      <x:c r="F991" s="12" t="str">
        <x:v>Mixed business audience</x:v>
      </x:c>
      <x:c r="G991" s="12" t="str">
        <x:v>Established brand or business network; local company scale is not established. Use a mixed-business message.</x:v>
      </x:c>
      <x:c r="H991" s="11" t="n">
        <x:v>2</x:v>
      </x:c>
      <x:c r="I991" s="11" t="n">
        <x:v>2</x:v>
      </x:c>
      <x:c r="J991" s="11" t="n">
        <x:v>2</x:v>
      </x:c>
      <x:c r="K991" s="11" t="n">
        <x:v>0</x:v>
      </x:c>
      <x:c r="L991" s="17" t="n">
        <x:f>SUM(SUMIFS('Costing'!$P$9:$P$492,'Costing'!$A$9:$A$492,"PARTNER-M332"))</x:f>
        <x:v>80000</x:v>
      </x:c>
      <x:c r="M991" s="17" t="n">
        <x:f>ROUND(L991*'Costing'!$C$4,2)</x:f>
        <x:v>14400</x:v>
      </x:c>
      <x:c r="N991" s="17" t="n">
        <x:f>L991+M991</x:f>
        <x:v>94400</x:v>
      </x:c>
      <x:c r="O991" s="12" t="str">
        <x:v>Chennai</x:v>
      </x:c>
      <x:c r="P991" s="12" t="str">
        <x:v>CORP-0746, CORP-0747</x:v>
      </x:c>
      <x:c r="Q991" s="12" t="str">
        <x:v>Gigamon</x:v>
      </x:c>
    </x:row>
    <x:row r="992" ht="48" customHeight="1">
      <x:c r="A992" s="2" t="str">
        <x:v>TEN-21B547D50FFF</x:v>
      </x:c>
      <x:c r="B992" s="12" t="str">
        <x:v>GIGO</x:v>
      </x:c>
      <x:c r="C992" s="12" t="str">
        <x:v>Business / brand</x:v>
      </x:c>
      <x:c r="D992" s="12" t="str">
        <x:v>Unresolved</x:v>
      </x:c>
      <x:c r="E992" s="12" t="str">
        <x:v>Business activity not established</x:v>
      </x:c>
      <x:c r="F992" s="12" t="str">
        <x:v>Mixed business audience</x:v>
      </x:c>
      <x:c r="G992" s="12" t="str">
        <x:v>Business activity and company scale are not established from this name.</x:v>
      </x:c>
      <x:c r="H992" s="11" t="n">
        <x:v>1</x:v>
      </x:c>
      <x:c r="I992" s="11" t="n">
        <x:v>1</x:v>
      </x:c>
      <x:c r="J992" s="11" t="n">
        <x:v>1</x:v>
      </x:c>
      <x:c r="K992" s="11" t="n">
        <x:v>0</x:v>
      </x:c>
      <x:c r="L992" s="17" t="n">
        <x:f>SUM(SUMIFS('Costing'!$P$9:$P$492,'Costing'!$A$9:$A$492,"MAIN-270"))</x:f>
        <x:v>20000</x:v>
      </x:c>
      <x:c r="M992" s="17" t="n">
        <x:f>ROUND(L992*'Costing'!$C$4,2)</x:f>
        <x:v>3600</x:v>
      </x:c>
      <x:c r="N992" s="17" t="n">
        <x:f>L992+M992</x:f>
        <x:v>23600</x:v>
      </x:c>
      <x:c r="O992" s="12" t="str">
        <x:v>Indore</x:v>
      </x:c>
      <x:c r="P992" s="12" t="str">
        <x:v>CORP-0266</x:v>
      </x:c>
      <x:c r="Q992" s="12" t="str">
        <x:v>GIGO</x:v>
      </x:c>
    </x:row>
    <x:row r="993" ht="48" customHeight="1">
      <x:c r="A993" s="2" t="str">
        <x:v>TEN-A96613F3E4DD</x:v>
      </x:c>
      <x:c r="B993" s="12" t="str">
        <x:v>Giveplease</x:v>
      </x:c>
      <x:c r="C993" s="12" t="str">
        <x:v>Business / brand</x:v>
      </x:c>
      <x:c r="D993" s="12" t="str">
        <x:v>Unresolved</x:v>
      </x:c>
      <x:c r="E993" s="12" t="str">
        <x:v>Business activity not established</x:v>
      </x:c>
      <x:c r="F993" s="12" t="str">
        <x:v>Mixed business audience</x:v>
      </x:c>
      <x:c r="G993" s="12" t="str">
        <x:v>Business activity and company scale are not established from this name.</x:v>
      </x:c>
      <x:c r="H993" s="11" t="n">
        <x:v>1</x:v>
      </x:c>
      <x:c r="I993" s="11" t="n">
        <x:v>1</x:v>
      </x:c>
      <x:c r="J993" s="11" t="n">
        <x:v>1</x:v>
      </x:c>
      <x:c r="K993" s="11" t="n">
        <x:v>0</x:v>
      </x:c>
      <x:c r="L993" s="17" t="n">
        <x:f>SUM(SUMIFS('Costing'!$P$9:$P$492,'Costing'!$A$9:$A$492,"MAIN-385"))</x:f>
        <x:v>15000</x:v>
      </x:c>
      <x:c r="M993" s="17" t="n">
        <x:f>ROUND(L993*'Costing'!$C$4,2)</x:f>
        <x:v>2700</x:v>
      </x:c>
      <x:c r="N993" s="17" t="n">
        <x:f>L993+M993</x:f>
        <x:v>17700</x:v>
      </x:c>
      <x:c r="O993" s="12" t="str">
        <x:v>Pune</x:v>
      </x:c>
      <x:c r="P993" s="12" t="str">
        <x:v>CORP-0381</x:v>
      </x:c>
      <x:c r="Q993" s="12" t="str">
        <x:v>Giveplease</x:v>
      </x:c>
    </x:row>
    <x:row r="994" ht="48" customHeight="1">
      <x:c r="A994" s="2" t="str">
        <x:v>TEN-E776A0709093</x:v>
      </x:c>
      <x:c r="B994" s="12" t="str">
        <x:v>Glance</x:v>
      </x:c>
      <x:c r="C994" s="12" t="str">
        <x:v>Business / brand</x:v>
      </x:c>
      <x:c r="D994" s="12" t="str">
        <x:v>Trade, consumer &amp; logistics</x:v>
      </x:c>
      <x:c r="E994" s="12" t="str">
        <x:v>Entertainment, media &amp; events</x:v>
      </x:c>
      <x:c r="F994" s="12" t="str">
        <x:v>Mixed business audience</x:v>
      </x:c>
      <x:c r="G994" s="12" t="str">
        <x:v>Established brand or business network; local company scale is not established. Use a mixed-business message.</x:v>
      </x:c>
      <x:c r="H994" s="11" t="n">
        <x:v>3</x:v>
      </x:c>
      <x:c r="I994" s="11" t="n">
        <x:v>3</x:v>
      </x:c>
      <x:c r="J994" s="11" t="n">
        <x:v>3</x:v>
      </x:c>
      <x:c r="K994" s="11" t="n">
        <x:v>0</x:v>
      </x:c>
      <x:c r="L994" s="17" t="n">
        <x:f>SUM(SUMIFS('Costing'!$P$9:$P$492,'Costing'!$A$9:$A$492,"PARTNER-M067"))</x:f>
        <x:v>120000</x:v>
      </x:c>
      <x:c r="M994" s="17" t="n">
        <x:f>ROUND(L994*'Costing'!$C$4,2)</x:f>
        <x:v>21600</x:v>
      </x:c>
      <x:c r="N994" s="17" t="n">
        <x:f>L994+M994</x:f>
        <x:v>141600</x:v>
      </x:c>
      <x:c r="O994" s="12" t="str">
        <x:v>Bengaluru</x:v>
      </x:c>
      <x:c r="P994" s="12" t="str">
        <x:v>CORP-0485, CORP-0486, CORP-0487</x:v>
      </x:c>
      <x:c r="Q994" s="12" t="str">
        <x:v>Glance</x:v>
      </x:c>
    </x:row>
    <x:row r="995" ht="48" customHeight="1">
      <x:c r="A995" s="2" t="str">
        <x:v>TEN-1A9BDE0C8985</x:v>
      </x:c>
      <x:c r="B995" s="12" t="str">
        <x:v>Glander International Bunkering Pvt Ltd</x:v>
      </x:c>
      <x:c r="C995" s="12" t="str">
        <x:v>Business / brand</x:v>
      </x:c>
      <x:c r="D995" s="12" t="str">
        <x:v>Trade, consumer &amp; logistics</x:v>
      </x:c>
      <x:c r="E995" s="12" t="str">
        <x:v>Logistics, shipping &amp; transport</x:v>
      </x:c>
      <x:c r="F995" s="12" t="str">
        <x:v>Mixed business audience</x:v>
      </x:c>
      <x:c r="G995" s="12" t="str">
        <x:v>Established brand or business network; local company scale is not established. Use a mixed-business message.</x:v>
      </x:c>
      <x:c r="H995" s="11" t="n">
        <x:v>1</x:v>
      </x:c>
      <x:c r="I995" s="11" t="n">
        <x:v>2</x:v>
      </x:c>
      <x:c r="J995" s="11" t="n">
        <x:v>2</x:v>
      </x:c>
      <x:c r="K995" s="11" t="n">
        <x:v>0</x:v>
      </x:c>
      <x:c r="L995" s="17" t="n">
        <x:f>SUM(SUMIFS('Costing'!$P$9:$P$492,'Costing'!$A$9:$A$492,"MAIN-325"))</x:f>
        <x:v>80000</x:v>
      </x:c>
      <x:c r="M995" s="17" t="n">
        <x:f>ROUND(L995*'Costing'!$C$4,2)</x:f>
        <x:v>14400</x:v>
      </x:c>
      <x:c r="N995" s="17" t="n">
        <x:f>L995+M995</x:f>
        <x:v>94400</x:v>
      </x:c>
      <x:c r="O995" s="12" t="str">
        <x:v>Mumbai</x:v>
      </x:c>
      <x:c r="P995" s="12" t="str">
        <x:v>CORP-0321</x:v>
      </x:c>
      <x:c r="Q995" s="12" t="str">
        <x:v>Glander International Bunkering Pvt Ltd</x:v>
      </x:c>
    </x:row>
    <x:row r="996" ht="48" customHeight="1">
      <x:c r="A996" s="2" t="str">
        <x:v>TEN-1060001425BF</x:v>
      </x:c>
      <x:c r="B996" s="12" t="str">
        <x:v>Glass free life</x:v>
      </x:c>
      <x:c r="C996" s="12" t="str">
        <x:v>Business / brand</x:v>
      </x:c>
      <x:c r="D996" s="12" t="str">
        <x:v>Unresolved</x:v>
      </x:c>
      <x:c r="E996" s="12" t="str">
        <x:v>Business activity not established</x:v>
      </x:c>
      <x:c r="F996" s="12" t="str">
        <x:v>Mixed business audience</x:v>
      </x:c>
      <x:c r="G996" s="12" t="str">
        <x:v>Business activity and company scale are not established from this name.</x:v>
      </x:c>
      <x:c r="H996" s="11" t="n">
        <x:v>1</x:v>
      </x:c>
      <x:c r="I996" s="11" t="n">
        <x:v>3</x:v>
      </x:c>
      <x:c r="J996" s="11" t="n">
        <x:v>3</x:v>
      </x:c>
      <x:c r="K996" s="11" t="n">
        <x:v>0</x:v>
      </x:c>
      <x:c r="L996" s="17" t="n">
        <x:f>SUM(SUMIFS('Costing'!$P$9:$P$492,'Costing'!$A$9:$A$492,"MAIN-218"))</x:f>
        <x:v>45000</x:v>
      </x:c>
      <x:c r="M996" s="17" t="n">
        <x:f>ROUND(L996*'Costing'!$C$4,2)</x:f>
        <x:v>8100</x:v>
      </x:c>
      <x:c r="N996" s="17" t="n">
        <x:f>L996+M996</x:f>
        <x:v>53100</x:v>
      </x:c>
      <x:c r="O996" s="12" t="str">
        <x:v>Hyderabad</x:v>
      </x:c>
      <x:c r="P996" s="12" t="str">
        <x:v>CORP-0214</x:v>
      </x:c>
      <x:c r="Q996" s="12" t="str">
        <x:v>Glass free life</x:v>
      </x:c>
    </x:row>
    <x:row r="997" ht="48" customHeight="1">
      <x:c r="A997" s="2" t="str">
        <x:v>TEN-C8796D894F18</x:v>
      </x:c>
      <x:c r="B997" s="12" t="str">
        <x:v>Glaxo Smith Kline Limited</x:v>
      </x:c>
      <x:c r="C997" s="12" t="str">
        <x:v>Business / brand</x:v>
      </x:c>
      <x:c r="D997" s="12" t="str">
        <x:v>Healthcare &amp; life sciences</x:v>
      </x:c>
      <x:c r="E997" s="12" t="str">
        <x:v>Pharmaceuticals, biotechnology &amp; life sciences</x:v>
      </x:c>
      <x:c r="F997" s="12" t="str">
        <x:v>Mixed business audience</x:v>
      </x:c>
      <x:c r="G997" s="12" t="str">
        <x:v>Recognisable business context; company-scale evidence remains insufficient for a single size band.</x:v>
      </x:c>
      <x:c r="H997" s="11" t="n">
        <x:v>2</x:v>
      </x:c>
      <x:c r="I997" s="11" t="n">
        <x:v>2</x:v>
      </x:c>
      <x:c r="J997" s="11" t="n">
        <x:v>2</x:v>
      </x:c>
      <x:c r="K997" s="11" t="n">
        <x:v>0</x:v>
      </x:c>
      <x:c r="L997" s="17" t="n">
        <x:f>SUM(SUMIFS('Costing'!$P$9:$P$492,'Costing'!$A$9:$A$492,"PARTNER-M233"))</x:f>
        <x:v>80000</x:v>
      </x:c>
      <x:c r="M997" s="17" t="n">
        <x:f>ROUND(L997*'Costing'!$C$4,2)</x:f>
        <x:v>14400</x:v>
      </x:c>
      <x:c r="N997" s="17" t="n">
        <x:f>L997+M997</x:f>
        <x:v>94400</x:v>
      </x:c>
      <x:c r="O997" s="12" t="str">
        <x:v>Mumbai</x:v>
      </x:c>
      <x:c r="P997" s="12" t="str">
        <x:v>CORP-0650, CORP-0651</x:v>
      </x:c>
      <x:c r="Q997" s="12" t="str">
        <x:v>Glaxo Smith Kline Limited</x:v>
      </x:c>
    </x:row>
    <x:row r="998" ht="48" customHeight="1">
      <x:c r="A998" s="2" t="str">
        <x:v>TEN-34185282371F</x:v>
      </x:c>
      <x:c r="B998" s="12" t="str">
        <x:v>Glenburn</x:v>
      </x:c>
      <x:c r="C998" s="12" t="str">
        <x:v>Business / brand</x:v>
      </x:c>
      <x:c r="D998" s="12" t="str">
        <x:v>Unresolved</x:v>
      </x:c>
      <x:c r="E998" s="12" t="str">
        <x:v>Business activity not established</x:v>
      </x:c>
      <x:c r="F998" s="12" t="str">
        <x:v>Mixed business audience</x:v>
      </x:c>
      <x:c r="G998" s="12" t="str">
        <x:v>Business activity and company scale are not established from this name.</x:v>
      </x:c>
      <x:c r="H998" s="11" t="n">
        <x:v>9</x:v>
      </x:c>
      <x:c r="I998" s="11" t="n">
        <x:v>9</x:v>
      </x:c>
      <x:c r="J998" s="11" t="n">
        <x:v>9</x:v>
      </x:c>
      <x:c r="K998" s="11" t="n">
        <x:v>0</x:v>
      </x:c>
      <x:c r="L998" s="17" t="n">
        <x:f>SUM(SUMIFS('Costing'!$P$9:$P$492,'Costing'!$A$9:$A$492,"PARTNER-M002"))</x:f>
        <x:v>360000</x:v>
      </x:c>
      <x:c r="M998" s="17" t="n">
        <x:f>ROUND(L998*'Costing'!$C$4,2)</x:f>
        <x:v>64800</x:v>
      </x:c>
      <x:c r="N998" s="17" t="n">
        <x:f>L998+M998</x:f>
        <x:v>424800</x:v>
      </x:c>
      <x:c r="O998" s="12" t="str">
        <x:v>Bengaluru</x:v>
      </x:c>
      <x:c r="P998" s="12" t="str">
        <x:v>CORP-0420, CORP-0421, CORP-0422, CORP-0423, CORP-0424, CORP-0425, CORP-0426, CORP-0427, CORP-0428</x:v>
      </x:c>
      <x:c r="Q998" s="12" t="str">
        <x:v>Glenburn</x:v>
      </x:c>
    </x:row>
    <x:row r="999" ht="48" customHeight="1">
      <x:c r="A999" s="2" t="str">
        <x:v>TEN-6A6E8AC4729D</x:v>
      </x:c>
      <x:c r="B999" s="12" t="str">
        <x:v>Glencore Information Services Pvt Ltd</x:v>
      </x:c>
      <x:c r="C999" s="12" t="str">
        <x:v>Business / brand</x:v>
      </x:c>
      <x:c r="D999" s="12" t="str">
        <x:v>Unresolved</x:v>
      </x:c>
      <x:c r="E999" s="12" t="str">
        <x:v>Business activity not established</x:v>
      </x:c>
      <x:c r="F999" s="12" t="str">
        <x:v>Mixed business audience</x:v>
      </x:c>
      <x:c r="G999" s="12" t="str">
        <x:v>Business activity and company scale are not established from this name.</x:v>
      </x:c>
      <x:c r="H999" s="11" t="n">
        <x:v>6</x:v>
      </x:c>
      <x:c r="I999" s="11" t="n">
        <x:v>6</x:v>
      </x:c>
      <x:c r="J999" s="11" t="n">
        <x:v>6</x:v>
      </x:c>
      <x:c r="K999" s="11" t="n">
        <x:v>0</x:v>
      </x:c>
      <x:c r="L999" s="17" t="n">
        <x:f>SUM(SUMIFS('Costing'!$P$9:$P$492,'Costing'!$A$9:$A$492,"PARTNER-M325"))</x:f>
        <x:v>240000</x:v>
      </x:c>
      <x:c r="M999" s="17" t="n">
        <x:f>ROUND(L999*'Costing'!$C$4,2)</x:f>
        <x:v>43200</x:v>
      </x:c>
      <x:c r="N999" s="17" t="n">
        <x:f>L999+M999</x:f>
        <x:v>283200</x:v>
      </x:c>
      <x:c r="O999" s="12" t="str">
        <x:v>Chennai</x:v>
      </x:c>
      <x:c r="P999" s="12" t="str">
        <x:v>CORP-0739, CORP-0740, CORP-0741, CORP-0742, CORP-0743, CORP-0744</x:v>
      </x:c>
      <x:c r="Q999" s="12" t="str">
        <x:v>Glencore Information Services Pvt Ltd</x:v>
      </x:c>
    </x:row>
    <x:row r="1000" ht="48" customHeight="1">
      <x:c r="A1000" s="2" t="str">
        <x:v>TEN-AA97FBCCF197</x:v>
      </x:c>
      <x:c r="B1000" s="12" t="str">
        <x:v>Gleneagles hospitals</x:v>
      </x:c>
      <x:c r="C1000" s="12" t="str">
        <x:v>Business / brand</x:v>
      </x:c>
      <x:c r="D1000" s="12" t="str">
        <x:v>Healthcare &amp; life sciences</x:v>
      </x:c>
      <x:c r="E1000" s="12" t="str">
        <x:v>Clinical, medical &amp; diagnostic services</x:v>
      </x:c>
      <x:c r="F1000" s="12" t="str">
        <x:v>Mixed business audience</x:v>
      </x:c>
      <x:c r="G1000" s="12" t="str">
        <x:v>Recognisable business context; company-scale evidence remains insufficient for a single size band.</x:v>
      </x:c>
      <x:c r="H1000" s="11" t="n">
        <x:v>1</x:v>
      </x:c>
      <x:c r="I1000" s="11" t="n">
        <x:v>2</x:v>
      </x:c>
      <x:c r="J1000" s="11" t="n">
        <x:v>2</x:v>
      </x:c>
      <x:c r="K1000" s="11" t="n">
        <x:v>0</x:v>
      </x:c>
      <x:c r="L1000" s="17" t="n">
        <x:f>SUM(SUMIFS('Costing'!$P$9:$P$492,'Costing'!$A$9:$A$492,"MAIN-225"))</x:f>
        <x:v>30000</x:v>
      </x:c>
      <x:c r="M1000" s="17" t="n">
        <x:f>ROUND(L1000*'Costing'!$C$4,2)</x:f>
        <x:v>5400</x:v>
      </x:c>
      <x:c r="N1000" s="17" t="n">
        <x:f>L1000+M1000</x:f>
        <x:v>35400</x:v>
      </x:c>
      <x:c r="O1000" s="12" t="str">
        <x:v>Hyderabad</x:v>
      </x:c>
      <x:c r="P1000" s="12" t="str">
        <x:v>CORP-0221</x:v>
      </x:c>
      <x:c r="Q1000" s="12" t="str">
        <x:v>Gleneagles hospitals</x:v>
      </x:c>
    </x:row>
    <x:row r="1001" ht="48" customHeight="1">
      <x:c r="A1001" s="2" t="str">
        <x:v>TEN-AAD0329B77D6</x:v>
      </x:c>
      <x:c r="B1001" s="12" t="str">
        <x:v>Glide Insurance Broking Services</x:v>
      </x:c>
      <x:c r="C1001" s="12" t="str">
        <x:v>Business / brand</x:v>
      </x:c>
      <x:c r="D1001" s="12" t="str">
        <x:v>Finance &amp; insurance</x:v>
      </x:c>
      <x:c r="E1001" s="12" t="str">
        <x:v>Insurance &amp; insurance services</x:v>
      </x:c>
      <x:c r="F1001" s="12" t="str">
        <x:v>Small-scale prospects</x:v>
      </x:c>
      <x:c r="G1001" s="12" t="str">
        <x:v>Financial intermediary or advisory business; small-scale prospect assumption.</x:v>
      </x:c>
      <x:c r="H1001" s="11" t="n">
        <x:v>7</x:v>
      </x:c>
      <x:c r="I1001" s="11" t="n">
        <x:v>7</x:v>
      </x:c>
      <x:c r="J1001" s="11" t="n">
        <x:v>7</x:v>
      </x:c>
      <x:c r="K1001" s="11" t="n">
        <x:v>0</x:v>
      </x:c>
      <x:c r="L1001" s="17" t="n">
        <x:f>SUM(SUMIFS('Costing'!$P$9:$P$492,'Costing'!$A$9:$A$492,"PARTNER-M317"))</x:f>
        <x:v>280000</x:v>
      </x:c>
      <x:c r="M1001" s="17" t="n">
        <x:f>ROUND(L1001*'Costing'!$C$4,2)</x:f>
        <x:v>50400</x:v>
      </x:c>
      <x:c r="N1001" s="17" t="n">
        <x:f>L1001+M1001</x:f>
        <x:v>330400</x:v>
      </x:c>
      <x:c r="O1001" s="12" t="str">
        <x:v>Hyderabad</x:v>
      </x:c>
      <x:c r="P1001" s="12" t="str">
        <x:v>CORP-0732, CORP-0733, CORP-0734, CORP-0735, CORP-0736, CORP-0737, CORP-0738</x:v>
      </x:c>
      <x:c r="Q1001" s="12" t="str">
        <x:v>Glide Insurance Broking Services</x:v>
      </x:c>
    </x:row>
    <x:row r="1002" ht="48" customHeight="1">
      <x:c r="A1002" s="2" t="str">
        <x:v>TEN-A15C13F2DAF4</x:v>
      </x:c>
      <x:c r="B1002" s="12" t="str">
        <x:v>GLIMPSFIVE</x:v>
      </x:c>
      <x:c r="C1002" s="12" t="str">
        <x:v>Business / brand</x:v>
      </x:c>
      <x:c r="D1002" s="12" t="str">
        <x:v>Unresolved</x:v>
      </x:c>
      <x:c r="E1002" s="12" t="str">
        <x:v>Business activity not established</x:v>
      </x:c>
      <x:c r="F1002" s="12" t="str">
        <x:v>Mixed business audience</x:v>
      </x:c>
      <x:c r="G1002" s="12" t="str">
        <x:v>Business activity and company scale are not established from this name.</x:v>
      </x:c>
      <x:c r="H1002" s="11" t="n">
        <x:v>1</x:v>
      </x:c>
      <x:c r="I1002" s="11" t="n">
        <x:v>1</x:v>
      </x:c>
      <x:c r="J1002" s="11" t="n">
        <x:v>1</x:v>
      </x:c>
      <x:c r="K1002" s="11" t="n">
        <x:v>0</x:v>
      </x:c>
      <x:c r="L1002" s="17" t="n">
        <x:f>SUM(SUMIFS('Costing'!$P$9:$P$492,'Costing'!$A$9:$A$492,"MAIN-385"))</x:f>
        <x:v>15000</x:v>
      </x:c>
      <x:c r="M1002" s="17" t="n">
        <x:f>ROUND(L1002*'Costing'!$C$4,2)</x:f>
        <x:v>2700</x:v>
      </x:c>
      <x:c r="N1002" s="17" t="n">
        <x:f>L1002+M1002</x:f>
        <x:v>17700</x:v>
      </x:c>
      <x:c r="O1002" s="12" t="str">
        <x:v>Pune</x:v>
      </x:c>
      <x:c r="P1002" s="12" t="str">
        <x:v>CORP-0381</x:v>
      </x:c>
      <x:c r="Q1002" s="12" t="str">
        <x:v>GLIMPSFIVE</x:v>
      </x:c>
    </x:row>
    <x:row r="1003" ht="48" customHeight="1">
      <x:c r="A1003" s="2" t="str">
        <x:v>TEN-6C678B9A5EE4</x:v>
      </x:c>
      <x:c r="B1003" s="12" t="str">
        <x:v>Global Edge</x:v>
      </x:c>
      <x:c r="C1003" s="12" t="str">
        <x:v>Business / brand</x:v>
      </x:c>
      <x:c r="D1003" s="12" t="str">
        <x:v>IT &amp; digital</x:v>
      </x:c>
      <x:c r="E1003" s="12" t="str">
        <x:v>Enterprise software &amp; digital engineering</x:v>
      </x:c>
      <x:c r="F1003" s="12" t="str">
        <x:v>Small-scale prospects</x:v>
      </x:c>
      <x:c r="G1003" s="12" t="str">
        <x:v>Software or technology-services business; small-scale prospect assumption.</x:v>
      </x:c>
      <x:c r="H1003" s="11" t="n">
        <x:v>1</x:v>
      </x:c>
      <x:c r="I1003" s="11" t="n">
        <x:v>21</x:v>
      </x:c>
      <x:c r="J1003" s="11" t="n">
        <x:v>21</x:v>
      </x:c>
      <x:c r="K1003" s="11" t="n">
        <x:v>0</x:v>
      </x:c>
      <x:c r="L1003" s="17" t="n">
        <x:f>SUM(SUMIFS('Costing'!$P$9:$P$492,'Costing'!$A$9:$A$492,"MAIN-253"))</x:f>
        <x:v>840000</x:v>
      </x:c>
      <x:c r="M1003" s="17" t="n">
        <x:f>ROUND(L1003*'Costing'!$C$4,2)</x:f>
        <x:v>151200</x:v>
      </x:c>
      <x:c r="N1003" s="17" t="n">
        <x:f>L1003+M1003</x:f>
        <x:v>991200</x:v>
      </x:c>
      <x:c r="O1003" s="12" t="str">
        <x:v>Hyderabad</x:v>
      </x:c>
      <x:c r="P1003" s="12" t="str">
        <x:v>CORP-0249</x:v>
      </x:c>
      <x:c r="Q1003" s="12" t="str">
        <x:v>Global Edge</x:v>
      </x:c>
    </x:row>
    <x:row r="1004" ht="48" customHeight="1">
      <x:c r="A1004" s="2" t="str">
        <x:v>TEN-4FECE7E10BAF</x:v>
      </x:c>
      <x:c r="B1004" s="12" t="str">
        <x:v>Global Exim Consultancy</x:v>
      </x:c>
      <x:c r="C1004" s="12" t="str">
        <x:v>Business / brand</x:v>
      </x:c>
      <x:c r="D1004" s="12" t="str">
        <x:v>Professional services</x:v>
      </x:c>
      <x:c r="E1004" s="12" t="str">
        <x:v>Business consulting &amp; advisory</x:v>
      </x:c>
      <x:c r="F1004" s="12" t="str">
        <x:v>Small-scale prospects</x:v>
      </x:c>
      <x:c r="G1004" s="12" t="str">
        <x:v>Professional service, agency or advisory model; small-scale prospect assumption.</x:v>
      </x:c>
      <x:c r="H1004" s="11" t="n">
        <x:v>1</x:v>
      </x:c>
      <x:c r="I1004" s="11" t="n">
        <x:v>2</x:v>
      </x:c>
      <x:c r="J1004" s="11" t="n">
        <x:v>2</x:v>
      </x:c>
      <x:c r="K1004" s="11" t="n">
        <x:v>0</x:v>
      </x:c>
      <x:c r="L1004" s="17" t="n">
        <x:f>SUM(SUMIFS('Costing'!$P$9:$P$492,'Costing'!$A$9:$A$492,"MAIN-267"))</x:f>
        <x:v>40000</x:v>
      </x:c>
      <x:c r="M1004" s="17" t="n">
        <x:f>ROUND(L1004*'Costing'!$C$4,2)</x:f>
        <x:v>7200</x:v>
      </x:c>
      <x:c r="N1004" s="17" t="n">
        <x:f>L1004+M1004</x:f>
        <x:v>47200</x:v>
      </x:c>
      <x:c r="O1004" s="12" t="str">
        <x:v>Indore</x:v>
      </x:c>
      <x:c r="P1004" s="12" t="str">
        <x:v>CORP-0263</x:v>
      </x:c>
      <x:c r="Q1004" s="12" t="str">
        <x:v>Global Exim Consultancy</x:v>
      </x:c>
    </x:row>
    <x:row r="1005" ht="48" customHeight="1">
      <x:c r="A1005" s="2" t="str">
        <x:v>TEN-1582793ECA86</x:v>
      </x:c>
      <x:c r="B1005" s="12" t="str">
        <x:v>Global Lifestyle Interior</x:v>
      </x:c>
      <x:c r="C1005" s="12" t="str">
        <x:v>Business / brand</x:v>
      </x:c>
      <x:c r="D1005" s="12" t="str">
        <x:v>Professional services</x:v>
      </x:c>
      <x:c r="E1005" s="12" t="str">
        <x:v>Architecture, interiors &amp; design</x:v>
      </x:c>
      <x:c r="F1005" s="12" t="str">
        <x:v>Small-scale prospects</x:v>
      </x:c>
      <x:c r="G1005" s="12" t="str">
        <x:v>Professional service, agency or advisory model; small-scale prospect assumption.</x:v>
      </x:c>
      <x:c r="H1005" s="11" t="n">
        <x:v>1</x:v>
      </x:c>
      <x:c r="I1005" s="11" t="n">
        <x:v>4</x:v>
      </x:c>
      <x:c r="J1005" s="11" t="n">
        <x:v>4</x:v>
      </x:c>
      <x:c r="K1005" s="11" t="n">
        <x:v>0</x:v>
      </x:c>
      <x:c r="L1005" s="17" t="n">
        <x:f>SUM(SUMIFS('Costing'!$P$9:$P$492,'Costing'!$A$9:$A$492,"MAIN-146"))</x:f>
        <x:v>160000</x:v>
      </x:c>
      <x:c r="M1005" s="17" t="n">
        <x:f>ROUND(L1005*'Costing'!$C$4,2)</x:f>
        <x:v>28800</x:v>
      </x:c>
      <x:c r="N1005" s="17" t="n">
        <x:f>L1005+M1005</x:f>
        <x:v>188800</x:v>
      </x:c>
      <x:c r="O1005" s="12" t="str">
        <x:v>Chennai</x:v>
      </x:c>
      <x:c r="P1005" s="12" t="str">
        <x:v>CORP-0142</x:v>
      </x:c>
      <x:c r="Q1005" s="12" t="str">
        <x:v>Global Lifestyle Interior</x:v>
      </x:c>
    </x:row>
    <x:row r="1006" ht="48" customHeight="1">
      <x:c r="A1006" s="2" t="str">
        <x:v>TEN-47679F81BEB4</x:v>
      </x:c>
      <x:c r="B1006" s="12" t="str">
        <x:v>GlobalFoundries</x:v>
      </x:c>
      <x:c r="C1006" s="12" t="str">
        <x:v>Business / brand</x:v>
      </x:c>
      <x:c r="D1006" s="12" t="str">
        <x:v>Engineering &amp; manufacturing</x:v>
      </x:c>
      <x:c r="E1006" s="12" t="str">
        <x:v>Semiconductors, electronics &amp; equipment</x:v>
      </x:c>
      <x:c r="F1006" s="12" t="str">
        <x:v>Mixed business audience</x:v>
      </x:c>
      <x:c r="G1006" s="12" t="str">
        <x:v>Recognisable business context; company-scale evidence remains insufficient for a single size band.</x:v>
      </x:c>
      <x:c r="H1006" s="11" t="n">
        <x:v>5</x:v>
      </x:c>
      <x:c r="I1006" s="11" t="n">
        <x:v>5</x:v>
      </x:c>
      <x:c r="J1006" s="11" t="n">
        <x:v>5</x:v>
      </x:c>
      <x:c r="K1006" s="11" t="n">
        <x:v>0</x:v>
      </x:c>
      <x:c r="L1006" s="17" t="n">
        <x:f>SUM(SUMIFS('Costing'!$P$9:$P$492,'Costing'!$A$9:$A$492,"PARTNER-M051"))</x:f>
        <x:v>200000</x:v>
      </x:c>
      <x:c r="M1006" s="17" t="n">
        <x:f>ROUND(L1006*'Costing'!$C$4,2)</x:f>
        <x:v>36000</x:v>
      </x:c>
      <x:c r="N1006" s="17" t="n">
        <x:f>L1006+M1006</x:f>
        <x:v>236000</x:v>
      </x:c>
      <x:c r="O1006" s="12" t="str">
        <x:v>Bengaluru</x:v>
      </x:c>
      <x:c r="P1006" s="12" t="str">
        <x:v>CORP-0469, CORP-0470, CORP-0471, CORP-0472, CORP-0473</x:v>
      </x:c>
      <x:c r="Q1006" s="12" t="str">
        <x:v>GlobalFoundries</x:v>
      </x:c>
    </x:row>
    <x:row r="1007" ht="48" customHeight="1">
      <x:c r="A1007" s="2" t="str">
        <x:v>TEN-0DC405922287</x:v>
      </x:c>
      <x:c r="B1007" s="12" t="str">
        <x:v>GlobalLogic India Private Limited</x:v>
      </x:c>
      <x:c r="C1007" s="12" t="str">
        <x:v>Business / brand</x:v>
      </x:c>
      <x:c r="D1007" s="12" t="str">
        <x:v>IT &amp; digital</x:v>
      </x:c>
      <x:c r="E1007" s="12" t="str">
        <x:v>Technology services — specialty unverified</x:v>
      </x:c>
      <x:c r="F1007" s="12" t="str">
        <x:v>Mixed business audience</x:v>
      </x:c>
      <x:c r="G1007" s="12" t="str">
        <x:v>Recognisable business context; company-scale evidence remains insufficient for a single size band.</x:v>
      </x:c>
      <x:c r="H1007" s="11" t="n">
        <x:v>2</x:v>
      </x:c>
      <x:c r="I1007" s="11" t="n">
        <x:v>6</x:v>
      </x:c>
      <x:c r="J1007" s="11" t="n">
        <x:v>6</x:v>
      </x:c>
      <x:c r="K1007" s="11" t="n">
        <x:v>0</x:v>
      </x:c>
      <x:c r="L1007" s="17" t="n">
        <x:f>SUM(SUMIFS('Costing'!$P$9:$P$492,'Costing'!$A$9:$A$492,"MAIN-046"),SUMIFS('Costing'!$P$9:$P$492,'Costing'!$A$9:$A$492,"MAIN-047"))</x:f>
        <x:v>120000</x:v>
      </x:c>
      <x:c r="M1007" s="17" t="n">
        <x:f>ROUND(L1007*'Costing'!$C$4,2)</x:f>
        <x:v>21600</x:v>
      </x:c>
      <x:c r="N1007" s="17" t="n">
        <x:f>L1007+M1007</x:f>
        <x:v>141600</x:v>
      </x:c>
      <x:c r="O1007" s="12" t="str">
        <x:v>Bengaluru</x:v>
      </x:c>
      <x:c r="P1007" s="12" t="str">
        <x:v>CORP-0042, CORP-0043</x:v>
      </x:c>
      <x:c r="Q1007" s="12" t="str">
        <x:v>GlobalLogic India Private Limited</x:v>
      </x:c>
    </x:row>
    <x:row r="1008" ht="48" customHeight="1">
      <x:c r="A1008" s="2" t="str">
        <x:v>TEN-866EA055BD61</x:v>
      </x:c>
      <x:c r="B1008" s="12" t="str">
        <x:v>GlobalLogic Technologies</x:v>
      </x:c>
      <x:c r="C1008" s="12" t="str">
        <x:v>Business / brand</x:v>
      </x:c>
      <x:c r="D1008" s="12" t="str">
        <x:v>IT &amp; digital</x:v>
      </x:c>
      <x:c r="E1008" s="12" t="str">
        <x:v>Technology services — specialty unverified</x:v>
      </x:c>
      <x:c r="F1008" s="12" t="str">
        <x:v>Mixed business audience</x:v>
      </x:c>
      <x:c r="G1008" s="12" t="str">
        <x:v>Recognisable business context; company-scale evidence remains insufficient for a single size band.</x:v>
      </x:c>
      <x:c r="H1008" s="11" t="n">
        <x:v>8</x:v>
      </x:c>
      <x:c r="I1008" s="11" t="n">
        <x:v>8</x:v>
      </x:c>
      <x:c r="J1008" s="11" t="n">
        <x:v>8</x:v>
      </x:c>
      <x:c r="K1008" s="11" t="n">
        <x:v>0</x:v>
      </x:c>
      <x:c r="L1008" s="17" t="n">
        <x:f>SUM(SUMIFS('Costing'!$P$9:$P$492,'Costing'!$A$9:$A$492,"PARTNER-M300"))</x:f>
        <x:v>320000</x:v>
      </x:c>
      <x:c r="M1008" s="17" t="n">
        <x:f>ROUND(L1008*'Costing'!$C$4,2)</x:f>
        <x:v>57600</x:v>
      </x:c>
      <x:c r="N1008" s="17" t="n">
        <x:f>L1008+M1008</x:f>
        <x:v>377600</x:v>
      </x:c>
      <x:c r="O1008" s="12" t="str">
        <x:v>Hyderabad</x:v>
      </x:c>
      <x:c r="P1008" s="12" t="str">
        <x:v>CORP-0715, CORP-0716, CORP-0717, CORP-0718, CORP-0719, CORP-0720, CORP-0721, CORP-0722</x:v>
      </x:c>
      <x:c r="Q1008" s="12" t="str">
        <x:v>GlobalLogic Technologies, Global Logic Technologies</x:v>
      </x:c>
    </x:row>
    <x:row r="1009" ht="48" customHeight="1">
      <x:c r="A1009" s="2" t="str">
        <x:v>TEN-A9A1855F9C7F</x:v>
      </x:c>
      <x:c r="B1009" s="12" t="str">
        <x:v>Globant</x:v>
      </x:c>
      <x:c r="C1009" s="12" t="str">
        <x:v>Business / brand</x:v>
      </x:c>
      <x:c r="D1009" s="12" t="str">
        <x:v>IT &amp; digital</x:v>
      </x:c>
      <x:c r="E1009" s="12" t="str">
        <x:v>Technology services — specialty unverified</x:v>
      </x:c>
      <x:c r="F1009" s="12" t="str">
        <x:v>Mixed business audience</x:v>
      </x:c>
      <x:c r="G1009" s="12" t="str">
        <x:v>Recognisable business context; company-scale evidence remains insufficient for a single size band.</x:v>
      </x:c>
      <x:c r="H1009" s="11" t="n">
        <x:v>9</x:v>
      </x:c>
      <x:c r="I1009" s="11" t="n">
        <x:v>9</x:v>
      </x:c>
      <x:c r="J1009" s="11" t="n">
        <x:v>9</x:v>
      </x:c>
      <x:c r="K1009" s="11" t="n">
        <x:v>0</x:v>
      </x:c>
      <x:c r="L1009" s="17" t="n">
        <x:f>SUM(SUMIFS('Costing'!$P$9:$P$492,'Costing'!$A$9:$A$492,"PARTNER-M002"))</x:f>
        <x:v>360000</x:v>
      </x:c>
      <x:c r="M1009" s="17" t="n">
        <x:f>ROUND(L1009*'Costing'!$C$4,2)</x:f>
        <x:v>64800</x:v>
      </x:c>
      <x:c r="N1009" s="17" t="n">
        <x:f>L1009+M1009</x:f>
        <x:v>424800</x:v>
      </x:c>
      <x:c r="O1009" s="12" t="str">
        <x:v>Bengaluru</x:v>
      </x:c>
      <x:c r="P1009" s="12" t="str">
        <x:v>CORP-0420, CORP-0421, CORP-0422, CORP-0423, CORP-0424, CORP-0425, CORP-0426, CORP-0427, CORP-0428</x:v>
      </x:c>
      <x:c r="Q1009" s="12" t="str">
        <x:v>Globant</x:v>
      </x:c>
    </x:row>
    <x:row r="1010" ht="48" customHeight="1">
      <x:c r="A1010" s="2" t="str">
        <x:v>TEN-9A2067692E3A</x:v>
      </x:c>
      <x:c r="B1010" s="12" t="str">
        <x:v>GLOBE UP</x:v>
      </x:c>
      <x:c r="C1010" s="12" t="str">
        <x:v>Business / brand</x:v>
      </x:c>
      <x:c r="D1010" s="12" t="str">
        <x:v>Unresolved</x:v>
      </x:c>
      <x:c r="E1010" s="12" t="str">
        <x:v>Business activity not established</x:v>
      </x:c>
      <x:c r="F1010" s="12" t="str">
        <x:v>Mixed business audience</x:v>
      </x:c>
      <x:c r="G1010" s="12" t="str">
        <x:v>Business activity and company scale are not established from this name.</x:v>
      </x:c>
      <x:c r="H1010" s="11" t="n">
        <x:v>1</x:v>
      </x:c>
      <x:c r="I1010" s="11" t="n">
        <x:v>12</x:v>
      </x:c>
      <x:c r="J1010" s="11" t="n">
        <x:v>12</x:v>
      </x:c>
      <x:c r="K1010" s="11" t="n">
        <x:v>0</x:v>
      </x:c>
      <x:c r="L1010" s="17" t="n">
        <x:f>SUM(SUMIFS('Costing'!$P$9:$P$492,'Costing'!$A$9:$A$492,"MAIN-337"))</x:f>
        <x:v>390000</x:v>
      </x:c>
      <x:c r="M1010" s="17" t="n">
        <x:f>ROUND(L1010*'Costing'!$C$4,2)</x:f>
        <x:v>70200</x:v>
      </x:c>
      <x:c r="N1010" s="17" t="n">
        <x:f>L1010+M1010</x:f>
        <x:v>460200</x:v>
      </x:c>
      <x:c r="O1010" s="12" t="str">
        <x:v>Mumbai</x:v>
      </x:c>
      <x:c r="P1010" s="12" t="str">
        <x:v>CORP-0333</x:v>
      </x:c>
      <x:c r="Q1010" s="12" t="str">
        <x:v>GLOBE UP</x:v>
      </x:c>
    </x:row>
    <x:row r="1011" ht="48" customHeight="1">
      <x:c r="A1011" s="2" t="str">
        <x:v>TEN-E357B05EB429</x:v>
      </x:c>
      <x:c r="B1011" s="12" t="str">
        <x:v>GlobeSecure Technologies Ltd</x:v>
      </x:c>
      <x:c r="C1011" s="12" t="str">
        <x:v>Business / brand</x:v>
      </x:c>
      <x:c r="D1011" s="12" t="str">
        <x:v>Unresolved</x:v>
      </x:c>
      <x:c r="E1011" s="12" t="str">
        <x:v>Business activity not established</x:v>
      </x:c>
      <x:c r="F1011" s="12" t="str">
        <x:v>Mixed business audience</x:v>
      </x:c>
      <x:c r="G1011" s="12" t="str">
        <x:v>Business activity and company scale are not established from this name.</x:v>
      </x:c>
      <x:c r="H1011" s="11" t="n">
        <x:v>4</x:v>
      </x:c>
      <x:c r="I1011" s="11" t="n">
        <x:v>4</x:v>
      </x:c>
      <x:c r="J1011" s="11" t="n">
        <x:v>4</x:v>
      </x:c>
      <x:c r="K1011" s="11" t="n">
        <x:v>0</x:v>
      </x:c>
      <x:c r="L1011" s="17" t="n">
        <x:f>SUM(SUMIFS('Costing'!$P$9:$P$492,'Costing'!$A$9:$A$492,"PARTNER-M235"))</x:f>
        <x:v>160000</x:v>
      </x:c>
      <x:c r="M1011" s="17" t="n">
        <x:f>ROUND(L1011*'Costing'!$C$4,2)</x:f>
        <x:v>28800</x:v>
      </x:c>
      <x:c r="N1011" s="17" t="n">
        <x:f>L1011+M1011</x:f>
        <x:v>188800</x:v>
      </x:c>
      <x:c r="O1011" s="12" t="str">
        <x:v>Mumbai</x:v>
      </x:c>
      <x:c r="P1011" s="12" t="str">
        <x:v>CORP-0652, CORP-0653, CORP-0654, CORP-0655</x:v>
      </x:c>
      <x:c r="Q1011" s="12" t="str">
        <x:v>GlobeSecure Technologies Ltd</x:v>
      </x:c>
    </x:row>
    <x:row r="1012" ht="48" customHeight="1">
      <x:c r="A1012" s="2" t="str">
        <x:v>TEN-CC59F257497B</x:v>
      </x:c>
      <x:c r="B1012" s="12" t="str">
        <x:v>Glossaread Technologies Pvt Ltd</x:v>
      </x:c>
      <x:c r="C1012" s="12" t="str">
        <x:v>Business / brand</x:v>
      </x:c>
      <x:c r="D1012" s="12" t="str">
        <x:v>Education</x:v>
      </x:c>
      <x:c r="E1012" s="12" t="str">
        <x:v>Edtech, training &amp; learning</x:v>
      </x:c>
      <x:c r="F1012" s="12" t="str">
        <x:v>Small-scale prospects</x:v>
      </x:c>
      <x:c r="G1012" s="12" t="str">
        <x:v>Training or education-services business; small-scale prospect assumption.</x:v>
      </x:c>
      <x:c r="H1012" s="11" t="n">
        <x:v>1</x:v>
      </x:c>
      <x:c r="I1012" s="11" t="n">
        <x:v>1</x:v>
      </x:c>
      <x:c r="J1012" s="11" t="n">
        <x:v>1</x:v>
      </x:c>
      <x:c r="K1012" s="11" t="n">
        <x:v>0</x:v>
      </x:c>
      <x:c r="L1012" s="17" t="n">
        <x:f>SUM(SUMIFS('Costing'!$P$9:$P$492,'Costing'!$A$9:$A$492,"MAIN-028"))</x:f>
        <x:v>15000</x:v>
      </x:c>
      <x:c r="M1012" s="17" t="n">
        <x:f>ROUND(L1012*'Costing'!$C$4,2)</x:f>
        <x:v>2700</x:v>
      </x:c>
      <x:c r="N1012" s="17" t="n">
        <x:f>L1012+M1012</x:f>
        <x:v>17700</x:v>
      </x:c>
      <x:c r="O1012" s="12" t="str">
        <x:v>Bengaluru</x:v>
      </x:c>
      <x:c r="P1012" s="12" t="str">
        <x:v>CORP-0024</x:v>
      </x:c>
      <x:c r="Q1012" s="12" t="str">
        <x:v>Glossaread Technologies Pvt Ltd</x:v>
      </x:c>
    </x:row>
    <x:row r="1013" ht="48" customHeight="1">
      <x:c r="A1013" s="2" t="str">
        <x:v>TEN-34415AA2B02E</x:v>
      </x:c>
      <x:c r="B1013" s="12" t="str">
        <x:v>GM Modular Pvt Ltd</x:v>
      </x:c>
      <x:c r="C1013" s="12" t="str">
        <x:v>Business / brand</x:v>
      </x:c>
      <x:c r="D1013" s="12" t="str">
        <x:v>Engineering &amp; manufacturing</x:v>
      </x:c>
      <x:c r="E1013" s="12" t="str">
        <x:v>Electronics, industrial systems &amp; manufacturing</x:v>
      </x:c>
      <x:c r="F1013" s="12" t="str">
        <x:v>Mixed business audience</x:v>
      </x:c>
      <x:c r="G1013" s="12" t="str">
        <x:v>Established brand or business network; local company scale is not established. Use a mixed-business message.</x:v>
      </x:c>
      <x:c r="H1013" s="11" t="n">
        <x:v>2</x:v>
      </x:c>
      <x:c r="I1013" s="11" t="n">
        <x:v>2</x:v>
      </x:c>
      <x:c r="J1013" s="11" t="n">
        <x:v>2</x:v>
      </x:c>
      <x:c r="K1013" s="11" t="n">
        <x:v>0</x:v>
      </x:c>
      <x:c r="L1013" s="17" t="n">
        <x:f>SUM(SUMIFS('Costing'!$P$9:$P$492,'Costing'!$A$9:$A$492,"PARTNER-M334"))</x:f>
        <x:v>80000</x:v>
      </x:c>
      <x:c r="M1013" s="17" t="n">
        <x:f>ROUND(L1013*'Costing'!$C$4,2)</x:f>
        <x:v>14400</x:v>
      </x:c>
      <x:c r="N1013" s="17" t="n">
        <x:f>L1013+M1013</x:f>
        <x:v>94400</x:v>
      </x:c>
      <x:c r="O1013" s="12" t="str">
        <x:v>Chennai</x:v>
      </x:c>
      <x:c r="P1013" s="12" t="str">
        <x:v>CORP-0748, CORP-0749</x:v>
      </x:c>
      <x:c r="Q1013" s="12" t="str">
        <x:v>GM Modular Pvt Ltd</x:v>
      </x:c>
    </x:row>
    <x:row r="1014" ht="48" customHeight="1">
      <x:c r="A1014" s="2" t="str">
        <x:v>TEN-762CB01FB1C2</x:v>
      </x:c>
      <x:c r="B1014" s="12" t="str">
        <x:v>GMM Pfaudler</x:v>
      </x:c>
      <x:c r="C1014" s="12" t="str">
        <x:v>Business / brand</x:v>
      </x:c>
      <x:c r="D1014" s="12" t="str">
        <x:v>Engineering &amp; manufacturing</x:v>
      </x:c>
      <x:c r="E1014" s="12" t="str">
        <x:v>Engineering/manufacturing — specialty unverified</x:v>
      </x:c>
      <x:c r="F1014" s="12" t="str">
        <x:v>Mixed business audience</x:v>
      </x:c>
      <x:c r="G1014" s="12" t="str">
        <x:v>Recognisable business context; company-scale evidence remains insufficient for a single size band.</x:v>
      </x:c>
      <x:c r="H1014" s="11" t="n">
        <x:v>1</x:v>
      </x:c>
      <x:c r="I1014" s="11" t="n">
        <x:v>1</x:v>
      </x:c>
      <x:c r="J1014" s="11" t="n">
        <x:v>1</x:v>
      </x:c>
      <x:c r="K1014" s="11" t="n">
        <x:v>0</x:v>
      </x:c>
      <x:c r="L1014" s="17" t="n">
        <x:f>SUM(SUMIFS('Costing'!$P$9:$P$492,'Costing'!$A$9:$A$492,"MAIN-306"))</x:f>
        <x:v>15000</x:v>
      </x:c>
      <x:c r="M1014" s="17" t="n">
        <x:f>ROUND(L1014*'Costing'!$C$4,2)</x:f>
        <x:v>2700</x:v>
      </x:c>
      <x:c r="N1014" s="17" t="n">
        <x:f>L1014+M1014</x:f>
        <x:v>17700</x:v>
      </x:c>
      <x:c r="O1014" s="12" t="str">
        <x:v>Mumbai</x:v>
      </x:c>
      <x:c r="P1014" s="12" t="str">
        <x:v>CORP-0302</x:v>
      </x:c>
      <x:c r="Q1014" s="12" t="str">
        <x:v>GMM Pfaudler</x:v>
      </x:c>
    </x:row>
    <x:row r="1015" ht="48" customHeight="1">
      <x:c r="A1015" s="2" t="str">
        <x:v>TEN-8D05759FFE00</x:v>
      </x:c>
      <x:c r="B1015" s="12" t="str">
        <x:v>GoAir Training Centre Kaledonia</x:v>
      </x:c>
      <x:c r="C1015" s="12" t="str">
        <x:v>Business / brand</x:v>
      </x:c>
      <x:c r="D1015" s="12" t="str">
        <x:v>Trade, consumer &amp; logistics</x:v>
      </x:c>
      <x:c r="E1015" s="12" t="str">
        <x:v>Consumer/trade services — specialty unverified</x:v>
      </x:c>
      <x:c r="F1015" s="12" t="str">
        <x:v>Mixed business audience</x:v>
      </x:c>
      <x:c r="G1015" s="12" t="str">
        <x:v>Recognisable business context; company-scale evidence remains insufficient for a single size band.</x:v>
      </x:c>
      <x:c r="H1015" s="11" t="n">
        <x:v>1</x:v>
      </x:c>
      <x:c r="I1015" s="11" t="n">
        <x:v>2</x:v>
      </x:c>
      <x:c r="J1015" s="11" t="n">
        <x:v>2</x:v>
      </x:c>
      <x:c r="K1015" s="11" t="n">
        <x:v>0</x:v>
      </x:c>
      <x:c r="L1015" s="17" t="n">
        <x:f>SUM(SUMIFS('Costing'!$P$9:$P$492,'Costing'!$A$9:$A$492,"MAIN-318"))</x:f>
        <x:v>30000</x:v>
      </x:c>
      <x:c r="M1015" s="17" t="n">
        <x:f>ROUND(L1015*'Costing'!$C$4,2)</x:f>
        <x:v>5400</x:v>
      </x:c>
      <x:c r="N1015" s="17" t="n">
        <x:f>L1015+M1015</x:f>
        <x:v>35400</x:v>
      </x:c>
      <x:c r="O1015" s="12" t="str">
        <x:v>Mumbai</x:v>
      </x:c>
      <x:c r="P1015" s="12" t="str">
        <x:v>CORP-0314</x:v>
      </x:c>
      <x:c r="Q1015" s="12" t="str">
        <x:v>GoAir Training Centre Kaledonia</x:v>
      </x:c>
    </x:row>
    <x:row r="1016" ht="48" customHeight="1">
      <x:c r="A1016" s="2" t="str">
        <x:v>TEN-A462520BC920</x:v>
      </x:c>
      <x:c r="B1016" s="12" t="str">
        <x:v>GODREJ INFOTECH</x:v>
      </x:c>
      <x:c r="C1016" s="12" t="str">
        <x:v>Business / brand</x:v>
      </x:c>
      <x:c r="D1016" s="12" t="str">
        <x:v>IT &amp; digital</x:v>
      </x:c>
      <x:c r="E1016" s="12" t="str">
        <x:v>Enterprise software &amp; digital engineering</x:v>
      </x:c>
      <x:c r="F1016" s="12" t="str">
        <x:v>Mixed business audience</x:v>
      </x:c>
      <x:c r="G1016" s="12" t="str">
        <x:v>Recognisable business context; company-scale evidence remains insufficient for a single size band.</x:v>
      </x:c>
      <x:c r="H1016" s="11" t="n">
        <x:v>3</x:v>
      </x:c>
      <x:c r="I1016" s="11" t="n">
        <x:v>7</x:v>
      </x:c>
      <x:c r="J1016" s="11" t="n">
        <x:v>7</x:v>
      </x:c>
      <x:c r="K1016" s="11" t="n">
        <x:v>0</x:v>
      </x:c>
      <x:c r="L1016" s="17" t="n">
        <x:f>SUM(SUMIFS('Costing'!$P$9:$P$492,'Costing'!$A$9:$A$492,"MAIN-163"),SUMIFS('Costing'!$P$9:$P$492,'Costing'!$A$9:$A$492,"MAIN-164"),SUMIFS('Costing'!$P$9:$P$492,'Costing'!$A$9:$A$492,"MAIN-180"))</x:f>
        <x:v>105000</x:v>
      </x:c>
      <x:c r="M1016" s="17" t="n">
        <x:f>ROUND(L1016*'Costing'!$C$4,2)</x:f>
        <x:v>18900</x:v>
      </x:c>
      <x:c r="N1016" s="17" t="n">
        <x:f>L1016+M1016</x:f>
        <x:v>123900</x:v>
      </x:c>
      <x:c r="O1016" s="12" t="str">
        <x:v>Delhi NCR</x:v>
      </x:c>
      <x:c r="P1016" s="12" t="str">
        <x:v>CORP-0159, CORP-0160, CORP-0176</x:v>
      </x:c>
      <x:c r="Q1016" s="12" t="str">
        <x:v>GODREJ INFOTECH, Godrej infotech</x:v>
      </x:c>
    </x:row>
    <x:row r="1017" ht="48" customHeight="1">
      <x:c r="A1017" s="2" t="str">
        <x:v>TEN-1ABCE44EA9E8</x:v>
      </x:c>
      <x:c r="B1017" s="12" t="str">
        <x:v>Godrej Koerber Supply Chain Limited</x:v>
      </x:c>
      <x:c r="C1017" s="12" t="str">
        <x:v>Business / brand</x:v>
      </x:c>
      <x:c r="D1017" s="12" t="str">
        <x:v>Trade, consumer &amp; logistics</x:v>
      </x:c>
      <x:c r="E1017" s="12" t="str">
        <x:v>Logistics, shipping &amp; transport</x:v>
      </x:c>
      <x:c r="F1017" s="12" t="str">
        <x:v>Mixed business audience</x:v>
      </x:c>
      <x:c r="G1017" s="12" t="str">
        <x:v>Recognisable business context; company-scale evidence remains insufficient for a single size band.</x:v>
      </x:c>
      <x:c r="H1017" s="11" t="n">
        <x:v>4</x:v>
      </x:c>
      <x:c r="I1017" s="11" t="n">
        <x:v>4</x:v>
      </x:c>
      <x:c r="J1017" s="11" t="n">
        <x:v>4</x:v>
      </x:c>
      <x:c r="K1017" s="11" t="n">
        <x:v>0</x:v>
      </x:c>
      <x:c r="L1017" s="17" t="n">
        <x:f>SUM(SUMIFS('Costing'!$P$9:$P$492,'Costing'!$A$9:$A$492,"PARTNER-M197"))</x:f>
        <x:v>160000</x:v>
      </x:c>
      <x:c r="M1017" s="17" t="n">
        <x:f>ROUND(L1017*'Costing'!$C$4,2)</x:f>
        <x:v>28800</x:v>
      </x:c>
      <x:c r="N1017" s="17" t="n">
        <x:f>L1017+M1017</x:f>
        <x:v>188800</x:v>
      </x:c>
      <x:c r="O1017" s="12" t="str">
        <x:v>Mumbai</x:v>
      </x:c>
      <x:c r="P1017" s="12" t="str">
        <x:v>CORP-0614, CORP-0615, CORP-0616, CORP-0617</x:v>
      </x:c>
      <x:c r="Q1017" s="12" t="str">
        <x:v>Godrej Koerber Supply Chain Limited</x:v>
      </x:c>
    </x:row>
    <x:row r="1018" ht="49" customHeight="1">
      <x:c r="A1018" s="2" t="str">
        <x:v>TEN-4F6598371E30</x:v>
      </x:c>
      <x:c r="B1018" s="12" t="str">
        <x:v>Godrej Properties</x:v>
      </x:c>
      <x:c r="C1018" s="12" t="str">
        <x:v>Business / brand</x:v>
      </x:c>
      <x:c r="D1018" s="12" t="str">
        <x:v>Trade, consumer &amp; logistics</x:v>
      </x:c>
      <x:c r="E1018" s="12" t="str">
        <x:v>Real estate, property &amp; construction services</x:v>
      </x:c>
      <x:c r="F1018" s="12" t="str">
        <x:v>Mixed business audience</x:v>
      </x:c>
      <x:c r="G1018" s="12" t="str">
        <x:v>Recognisable business context; company-scale evidence remains insufficient for a single size band.</x:v>
      </x:c>
      <x:c r="H1018" s="11" t="n">
        <x:v>11</x:v>
      </x:c>
      <x:c r="I1018" s="11" t="n">
        <x:v>11</x:v>
      </x:c>
      <x:c r="J1018" s="11" t="n">
        <x:v>11</x:v>
      </x:c>
      <x:c r="K1018" s="11" t="n">
        <x:v>0</x:v>
      </x:c>
      <x:c r="L1018" s="17" t="n">
        <x:f>SUM(SUMIFS('Costing'!$P$9:$P$492,'Costing'!$A$9:$A$492,"PARTNER-M082"))</x:f>
        <x:v>440000</x:v>
      </x:c>
      <x:c r="M1018" s="17" t="n">
        <x:f>ROUND(L1018*'Costing'!$C$4,2)</x:f>
        <x:v>79200</x:v>
      </x:c>
      <x:c r="N1018" s="17" t="n">
        <x:f>L1018+M1018</x:f>
        <x:v>519200</x:v>
      </x:c>
      <x:c r="O1018" s="12" t="str">
        <x:v>Bengaluru</x:v>
      </x:c>
      <x:c r="P1018" s="12" t="str">
        <x:v>CORP-0500, CORP-0501, CORP-0502, CORP-0503, CORP-0504, CORP-0505, CORP-0506, CORP-0507, CORP-0508, CORP-0509, CORP-0510</x:v>
      </x:c>
      <x:c r="Q1018" s="12" t="str">
        <x:v>Godrej Properties</x:v>
      </x:c>
    </x:row>
    <x:row r="1019" ht="48" customHeight="1">
      <x:c r="A1019" s="2" t="str">
        <x:v>TEN-5FED48060BC2</x:v>
      </x:c>
      <x:c r="B1019" s="12" t="str">
        <x:v>goelQ</x:v>
      </x:c>
      <x:c r="C1019" s="12" t="str">
        <x:v>Business / brand</x:v>
      </x:c>
      <x:c r="D1019" s="12" t="str">
        <x:v>Unresolved</x:v>
      </x:c>
      <x:c r="E1019" s="12" t="str">
        <x:v>Business activity not established</x:v>
      </x:c>
      <x:c r="F1019" s="12" t="str">
        <x:v>Mixed business audience</x:v>
      </x:c>
      <x:c r="G1019" s="12" t="str">
        <x:v>Business activity and company scale are not established from this name.</x:v>
      </x:c>
      <x:c r="H1019" s="11" t="n">
        <x:v>1</x:v>
      </x:c>
      <x:c r="I1019" s="11" t="n">
        <x:v>2</x:v>
      </x:c>
      <x:c r="J1019" s="11" t="n">
        <x:v>2</x:v>
      </x:c>
      <x:c r="K1019" s="11" t="n">
        <x:v>0</x:v>
      </x:c>
      <x:c r="L1019" s="17" t="n">
        <x:f>SUM(SUMIFS('Costing'!$P$9:$P$492,'Costing'!$A$9:$A$492,"MAIN-100"))</x:f>
        <x:v>30000</x:v>
      </x:c>
      <x:c r="M1019" s="17" t="n">
        <x:f>ROUND(L1019*'Costing'!$C$4,2)</x:f>
        <x:v>5400</x:v>
      </x:c>
      <x:c r="N1019" s="17" t="n">
        <x:f>L1019+M1019</x:f>
        <x:v>35400</x:v>
      </x:c>
      <x:c r="O1019" s="12" t="str">
        <x:v>Bengaluru</x:v>
      </x:c>
      <x:c r="P1019" s="12" t="str">
        <x:v>CORP-0096</x:v>
      </x:c>
      <x:c r="Q1019" s="12" t="str">
        <x:v>goelQ</x:v>
      </x:c>
    </x:row>
    <x:row r="1020" ht="48" customHeight="1">
      <x:c r="A1020" s="2" t="str">
        <x:v>TEN-351CB482AEA2</x:v>
      </x:c>
      <x:c r="B1020" s="12" t="str">
        <x:v>Gofusion</x:v>
      </x:c>
      <x:c r="C1020" s="12" t="str">
        <x:v>Business / brand</x:v>
      </x:c>
      <x:c r="D1020" s="12" t="str">
        <x:v>Unresolved</x:v>
      </x:c>
      <x:c r="E1020" s="12" t="str">
        <x:v>Business activity not established</x:v>
      </x:c>
      <x:c r="F1020" s="12" t="str">
        <x:v>Mixed business audience</x:v>
      </x:c>
      <x:c r="G1020" s="12" t="str">
        <x:v>Business activity and company scale are not established from this name.</x:v>
      </x:c>
      <x:c r="H1020" s="11" t="n">
        <x:v>5</x:v>
      </x:c>
      <x:c r="I1020" s="11" t="n">
        <x:v>5</x:v>
      </x:c>
      <x:c r="J1020" s="11" t="n">
        <x:v>5</x:v>
      </x:c>
      <x:c r="K1020" s="11" t="n">
        <x:v>0</x:v>
      </x:c>
      <x:c r="L1020" s="17" t="n">
        <x:f>SUM(SUMIFS('Costing'!$P$9:$P$492,'Costing'!$A$9:$A$492,"PARTNER-M384"))</x:f>
        <x:v>200000</x:v>
      </x:c>
      <x:c r="M1020" s="17" t="n">
        <x:f>ROUND(L1020*'Costing'!$C$4,2)</x:f>
        <x:v>36000</x:v>
      </x:c>
      <x:c r="N1020" s="17" t="n">
        <x:f>L1020+M1020</x:f>
        <x:v>236000</x:v>
      </x:c>
      <x:c r="O1020" s="12" t="str">
        <x:v>Delhi NCR</x:v>
      </x:c>
      <x:c r="P1020" s="12" t="str">
        <x:v>CORP-0797, CORP-0798, CORP-0799, CORP-0800, CORP-0801</x:v>
      </x:c>
      <x:c r="Q1020" s="12" t="str">
        <x:v>Gofusion</x:v>
      </x:c>
    </x:row>
    <x:row r="1021" ht="48" customHeight="1">
      <x:c r="A1021" s="2" t="str">
        <x:v>TEN-627EA7935C00</x:v>
      </x:c>
      <x:c r="B1021" s="12" t="str">
        <x:v>Goindia Advisors</x:v>
      </x:c>
      <x:c r="C1021" s="12" t="str">
        <x:v>Business / brand</x:v>
      </x:c>
      <x:c r="D1021" s="12" t="str">
        <x:v>Professional services</x:v>
      </x:c>
      <x:c r="E1021" s="12" t="str">
        <x:v>Business consulting &amp; advisory</x:v>
      </x:c>
      <x:c r="F1021" s="12" t="str">
        <x:v>Small-scale prospects</x:v>
      </x:c>
      <x:c r="G1021" s="12" t="str">
        <x:v>Professional service, agency or advisory model; small-scale prospect assumption.</x:v>
      </x:c>
      <x:c r="H1021" s="11" t="n">
        <x:v>1</x:v>
      </x:c>
      <x:c r="I1021" s="11" t="n">
        <x:v>1</x:v>
      </x:c>
      <x:c r="J1021" s="11" t="n">
        <x:v>1</x:v>
      </x:c>
      <x:c r="K1021" s="11" t="n">
        <x:v>0</x:v>
      </x:c>
      <x:c r="L1021" s="17" t="n">
        <x:f>SUM(SUMIFS('Costing'!$P$9:$P$492,'Costing'!$A$9:$A$492,"MAIN-323"))</x:f>
        <x:v>15000</x:v>
      </x:c>
      <x:c r="M1021" s="17" t="n">
        <x:f>ROUND(L1021*'Costing'!$C$4,2)</x:f>
        <x:v>2700</x:v>
      </x:c>
      <x:c r="N1021" s="17" t="n">
        <x:f>L1021+M1021</x:f>
        <x:v>17700</x:v>
      </x:c>
      <x:c r="O1021" s="12" t="str">
        <x:v>Mumbai</x:v>
      </x:c>
      <x:c r="P1021" s="12" t="str">
        <x:v>CORP-0319</x:v>
      </x:c>
      <x:c r="Q1021" s="12" t="str">
        <x:v>Goindia Advisors</x:v>
      </x:c>
    </x:row>
    <x:row r="1022" ht="48" customHeight="1">
      <x:c r="A1022" s="2" t="str">
        <x:v>TEN-8811A6E72E7C</x:v>
      </x:c>
      <x:c r="B1022" s="12" t="str">
        <x:v>Golden Ratio Consulting Private Limited</x:v>
      </x:c>
      <x:c r="C1022" s="12" t="str">
        <x:v>Business / brand</x:v>
      </x:c>
      <x:c r="D1022" s="12" t="str">
        <x:v>Professional services</x:v>
      </x:c>
      <x:c r="E1022" s="12" t="str">
        <x:v>Business consulting &amp; advisory</x:v>
      </x:c>
      <x:c r="F1022" s="12" t="str">
        <x:v>Small-scale prospects</x:v>
      </x:c>
      <x:c r="G1022" s="12" t="str">
        <x:v>Professional service, agency or advisory model; small-scale prospect assumption.</x:v>
      </x:c>
      <x:c r="H1022" s="11" t="n">
        <x:v>1</x:v>
      </x:c>
      <x:c r="I1022" s="11" t="n">
        <x:v>1</x:v>
      </x:c>
      <x:c r="J1022" s="11" t="n">
        <x:v>1</x:v>
      </x:c>
      <x:c r="K1022" s="11" t="n">
        <x:v>0</x:v>
      </x:c>
      <x:c r="L1022" s="17" t="n">
        <x:f>SUM(SUMIFS('Costing'!$P$9:$P$492,'Costing'!$A$9:$A$492,"MAIN-409"))</x:f>
        <x:v>15000</x:v>
      </x:c>
      <x:c r="M1022" s="17" t="n">
        <x:f>ROUND(L1022*'Costing'!$C$4,2)</x:f>
        <x:v>2700</x:v>
      </x:c>
      <x:c r="N1022" s="17" t="n">
        <x:f>L1022+M1022</x:f>
        <x:v>17700</x:v>
      </x:c>
      <x:c r="O1022" s="12" t="str">
        <x:v>Pune</x:v>
      </x:c>
      <x:c r="P1022" s="12" t="str">
        <x:v>CORP-0405</x:v>
      </x:c>
      <x:c r="Q1022" s="12" t="str">
        <x:v>Golden Ratio Consulting Private Limited</x:v>
      </x:c>
    </x:row>
    <x:row r="1023" ht="48" customHeight="1">
      <x:c r="A1023" s="2" t="str">
        <x:v>TEN-7105A46CB4C2</x:v>
      </x:c>
      <x:c r="B1023" s="12" t="str">
        <x:v>Goldman Sachs</x:v>
      </x:c>
      <x:c r="C1023" s="12" t="str">
        <x:v>Business / brand</x:v>
      </x:c>
      <x:c r="D1023" s="12" t="str">
        <x:v>Finance &amp; insurance</x:v>
      </x:c>
      <x:c r="E1023" s="12" t="str">
        <x:v>Investments, securities &amp; wealth</x:v>
      </x:c>
      <x:c r="F1023" s="12" t="str">
        <x:v>Mixed business audience</x:v>
      </x:c>
      <x:c r="G1023" s="12" t="str">
        <x:v>Recognisable business context; company-scale evidence remains insufficient for a single size band.</x:v>
      </x:c>
      <x:c r="H1023" s="11" t="n">
        <x:v>1</x:v>
      </x:c>
      <x:c r="I1023" s="11" t="n">
        <x:v>1</x:v>
      </x:c>
      <x:c r="J1023" s="11" t="n">
        <x:v>1</x:v>
      </x:c>
      <x:c r="K1023" s="11" t="n">
        <x:v>0</x:v>
      </x:c>
      <x:c r="L1023" s="17" t="n">
        <x:f>SUM(SUMIFS('Costing'!$P$9:$P$492,'Costing'!$A$9:$A$492,"MAIN-112"))</x:f>
        <x:v>25000</x:v>
      </x:c>
      <x:c r="M1023" s="17" t="n">
        <x:f>ROUND(L1023*'Costing'!$C$4,2)</x:f>
        <x:v>4500</x:v>
      </x:c>
      <x:c r="N1023" s="17" t="n">
        <x:f>L1023+M1023</x:f>
        <x:v>29500</x:v>
      </x:c>
      <x:c r="O1023" s="12" t="str">
        <x:v>Bengaluru</x:v>
      </x:c>
      <x:c r="P1023" s="12" t="str">
        <x:v>CORP-0108</x:v>
      </x:c>
      <x:c r="Q1023" s="12" t="str">
        <x:v>Goldman Sachs</x:v>
      </x:c>
    </x:row>
    <x:row r="1024" ht="48" customHeight="1">
      <x:c r="A1024" s="2" t="str">
        <x:v>TEN-C2614279D52E</x:v>
      </x:c>
      <x:c r="B1024" s="12" t="str">
        <x:v>Goldstone Technologies Limited</x:v>
      </x:c>
      <x:c r="C1024" s="12" t="str">
        <x:v>Business / brand</x:v>
      </x:c>
      <x:c r="D1024" s="12" t="str">
        <x:v>IT &amp; digital</x:v>
      </x:c>
      <x:c r="E1024" s="12" t="str">
        <x:v>Enterprise software &amp; digital engineering</x:v>
      </x:c>
      <x:c r="F1024" s="12" t="str">
        <x:v>Mixed business audience</x:v>
      </x:c>
      <x:c r="G1024" s="12" t="str">
        <x:v>Established brand or business network; local company scale is not established. Use a mixed-business message.</x:v>
      </x:c>
      <x:c r="H1024" s="11" t="n">
        <x:v>1</x:v>
      </x:c>
      <x:c r="I1024" s="11" t="n">
        <x:v>1</x:v>
      </x:c>
      <x:c r="J1024" s="11" t="n">
        <x:v>1</x:v>
      </x:c>
      <x:c r="K1024" s="11" t="n">
        <x:v>0</x:v>
      </x:c>
      <x:c r="L1024" s="17" t="n">
        <x:f>SUM(SUMIFS('Costing'!$P$9:$P$492,'Costing'!$A$9:$A$492,"MAIN-028"))</x:f>
        <x:v>15000</x:v>
      </x:c>
      <x:c r="M1024" s="17" t="n">
        <x:f>ROUND(L1024*'Costing'!$C$4,2)</x:f>
        <x:v>2700</x:v>
      </x:c>
      <x:c r="N1024" s="17" t="n">
        <x:f>L1024+M1024</x:f>
        <x:v>17700</x:v>
      </x:c>
      <x:c r="O1024" s="12" t="str">
        <x:v>Bengaluru</x:v>
      </x:c>
      <x:c r="P1024" s="12" t="str">
        <x:v>CORP-0024</x:v>
      </x:c>
      <x:c r="Q1024" s="12" t="str">
        <x:v>Goldstone Technologies Limited</x:v>
      </x:c>
    </x:row>
    <x:row r="1025" ht="48" customHeight="1">
      <x:c r="A1025" s="2" t="str">
        <x:v>TEN-47B2D9943B23</x:v>
      </x:c>
      <x:c r="B1025" s="12" t="str">
        <x:v>Goodwill</x:v>
      </x:c>
      <x:c r="C1025" s="12" t="str">
        <x:v>Business / brand</x:v>
      </x:c>
      <x:c r="D1025" s="12" t="str">
        <x:v>Unresolved</x:v>
      </x:c>
      <x:c r="E1025" s="12" t="str">
        <x:v>Business activity not established</x:v>
      </x:c>
      <x:c r="F1025" s="12" t="str">
        <x:v>Mixed business audience</x:v>
      </x:c>
      <x:c r="G1025" s="12" t="str">
        <x:v>Business activity and company scale are not established from this name.</x:v>
      </x:c>
      <x:c r="H1025" s="11" t="n">
        <x:v>1</x:v>
      </x:c>
      <x:c r="I1025" s="11" t="n">
        <x:v>1</x:v>
      </x:c>
      <x:c r="J1025" s="11" t="n">
        <x:v>1</x:v>
      </x:c>
      <x:c r="K1025" s="11" t="n">
        <x:v>0</x:v>
      </x:c>
      <x:c r="L1025" s="17" t="n">
        <x:f>SUM(SUMIFS('Costing'!$P$9:$P$492,'Costing'!$A$9:$A$492,"MAIN-270"))</x:f>
        <x:v>20000</x:v>
      </x:c>
      <x:c r="M1025" s="17" t="n">
        <x:f>ROUND(L1025*'Costing'!$C$4,2)</x:f>
        <x:v>3600</x:v>
      </x:c>
      <x:c r="N1025" s="17" t="n">
        <x:f>L1025+M1025</x:f>
        <x:v>23600</x:v>
      </x:c>
      <x:c r="O1025" s="12" t="str">
        <x:v>Indore</x:v>
      </x:c>
      <x:c r="P1025" s="12" t="str">
        <x:v>CORP-0266</x:v>
      </x:c>
      <x:c r="Q1025" s="12" t="str">
        <x:v>Goodwill</x:v>
      </x:c>
    </x:row>
    <x:row r="1026" ht="49" customHeight="1">
      <x:c r="A1026" s="2" t="str">
        <x:v>TEN-D77A75DAFFAB</x:v>
      </x:c>
      <x:c r="B1026" s="12" t="str">
        <x:v>goodworks</x:v>
      </x:c>
      <x:c r="C1026" s="12" t="str">
        <x:v>Workspace operator</x:v>
      </x:c>
      <x:c r="D1026" s="12" t="str">
        <x:v>Workspace &amp; property operations</x:v>
      </x:c>
      <x:c r="E1026" s="12" t="str">
        <x:v>Coworking/workspace operator</x:v>
      </x:c>
      <x:c r="F1026" s="12" t="str">
        <x:v>Mixed business audience</x:v>
      </x:c>
      <x:c r="G1026" s="12" t="str">
        <x:v>Supplied entry is a shared-workspace operator; the business sizes of occupant companies cannot be derived from the operator name.</x:v>
      </x:c>
      <x:c r="H1026" s="11" t="n">
        <x:v>1</x:v>
      </x:c>
      <x:c r="I1026" s="11" t="n">
        <x:v>8</x:v>
      </x:c>
      <x:c r="J1026" s="11" t="n">
        <x:v>8</x:v>
      </x:c>
      <x:c r="K1026" s="11" t="n">
        <x:v>0</x:v>
      </x:c>
      <x:c r="L1026" s="17" t="n">
        <x:f>SUM(SUMIFS('Costing'!$P$9:$P$492,'Costing'!$A$9:$A$492,"MAIN-009"))</x:f>
        <x:v>120000</x:v>
      </x:c>
      <x:c r="M1026" s="17" t="n">
        <x:f>ROUND(L1026*'Costing'!$C$4,2)</x:f>
        <x:v>21600</x:v>
      </x:c>
      <x:c r="N1026" s="17" t="n">
        <x:f>L1026+M1026</x:f>
        <x:v>141600</x:v>
      </x:c>
      <x:c r="O1026" s="12" t="str">
        <x:v>Bengaluru</x:v>
      </x:c>
      <x:c r="P1026" s="12" t="str">
        <x:v>CORP-0005</x:v>
      </x:c>
      <x:c r="Q1026" s="12" t="str">
        <x:v>goodworks</x:v>
      </x:c>
    </x:row>
    <x:row r="1027" ht="62" customHeight="1">
      <x:c r="A1027" s="2" t="str">
        <x:v>TEN-BBDEFA2950F4</x:v>
      </x:c>
      <x:c r="B1027" s="12" t="str">
        <x:v>Google</x:v>
      </x:c>
      <x:c r="C1027" s="12" t="str">
        <x:v>Business / brand</x:v>
      </x:c>
      <x:c r="D1027" s="12" t="str">
        <x:v>IT &amp; digital</x:v>
      </x:c>
      <x:c r="E1027" s="12" t="str">
        <x:v>Technology services — specialty unverified</x:v>
      </x:c>
      <x:c r="F1027" s="12" t="str">
        <x:v>Large enterprise</x:v>
      </x:c>
      <x:c r="G1027" s="12" t="str">
        <x:v>Official global technology-company profile; Google CGW is only a brand-context inference, not a legal-entity determination.</x:v>
      </x:c>
      <x:c r="H1027" s="11" t="n">
        <x:v>18</x:v>
      </x:c>
      <x:c r="I1027" s="11" t="n">
        <x:v>18</x:v>
      </x:c>
      <x:c r="J1027" s="11" t="n">
        <x:v>18</x:v>
      </x:c>
      <x:c r="K1027" s="11" t="n">
        <x:v>0</x:v>
      </x:c>
      <x:c r="L1027" s="17" t="n">
        <x:f>SUM(SUMIFS('Costing'!$P$9:$P$492,'Costing'!$A$9:$A$492,"PARTNER-M130"),SUMIFS('Costing'!$P$9:$P$492,'Costing'!$A$9:$A$492,"PARTNER-M120"))</x:f>
        <x:v>720000</x:v>
      </x:c>
      <x:c r="M1027" s="17" t="n">
        <x:f>ROUND(L1027*'Costing'!$C$4,2)</x:f>
        <x:v>129600</x:v>
      </x:c>
      <x:c r="N1027" s="17" t="n">
        <x:f>L1027+M1027</x:f>
        <x:v>849600</x:v>
      </x:c>
      <x:c r="O1027" s="12" t="str">
        <x:v>Bengaluru</x:v>
      </x:c>
      <x:c r="P1027" s="12" t="str">
        <x:v>CORP-0538, CORP-0539, CORP-0540, CORP-0541, CORP-0542, CORP-0543, CORP-0544, CORP-0545, CORP-0546, CORP-0547, CORP-0548, CORP-0549, CORP-0550, CORP-0551, CORP-0552, CORP-0553, CORP-0554, CORP-0555</x:v>
      </x:c>
      <x:c r="Q1027" s="12" t="str">
        <x:v>Google</x:v>
      </x:c>
    </x:row>
    <x:row r="1028" ht="49" customHeight="1">
      <x:c r="A1028" s="2" t="str">
        <x:v>TEN-D26EFCBBB5D9</x:v>
      </x:c>
      <x:c r="B1028" s="12" t="str">
        <x:v>Google CGW</x:v>
      </x:c>
      <x:c r="C1028" s="12" t="str">
        <x:v>Business / brand</x:v>
      </x:c>
      <x:c r="D1028" s="12" t="str">
        <x:v>IT &amp; digital</x:v>
      </x:c>
      <x:c r="E1028" s="12" t="str">
        <x:v>Technology services — specialty unverified</x:v>
      </x:c>
      <x:c r="F1028" s="12" t="str">
        <x:v>Large enterprise</x:v>
      </x:c>
      <x:c r="G1028" s="12" t="str">
        <x:v>Official global technology-company profile; Google CGW is only a brand-context inference, not a legal-entity determination.</x:v>
      </x:c>
      <x:c r="H1028" s="11" t="n">
        <x:v>5</x:v>
      </x:c>
      <x:c r="I1028" s="11" t="n">
        <x:v>5</x:v>
      </x:c>
      <x:c r="J1028" s="11" t="n">
        <x:v>5</x:v>
      </x:c>
      <x:c r="K1028" s="11" t="n">
        <x:v>0</x:v>
      </x:c>
      <x:c r="L1028" s="17" t="n">
        <x:f>SUM(SUMIFS('Costing'!$P$9:$P$492,'Costing'!$A$9:$A$492,"PARTNER-M295"))</x:f>
        <x:v>200000</x:v>
      </x:c>
      <x:c r="M1028" s="17" t="n">
        <x:f>ROUND(L1028*'Costing'!$C$4,2)</x:f>
        <x:v>36000</x:v>
      </x:c>
      <x:c r="N1028" s="17" t="n">
        <x:f>L1028+M1028</x:f>
        <x:v>236000</x:v>
      </x:c>
      <x:c r="O1028" s="12" t="str">
        <x:v>Hyderabad</x:v>
      </x:c>
      <x:c r="P1028" s="12" t="str">
        <x:v>CORP-0710, CORP-0711, CORP-0712, CORP-0713, CORP-0714</x:v>
      </x:c>
      <x:c r="Q1028" s="12" t="str">
        <x:v>Google CGW</x:v>
      </x:c>
    </x:row>
    <x:row r="1029" ht="48" customHeight="1">
      <x:c r="A1029" s="2" t="str">
        <x:v>TEN-C9C6B572276E</x:v>
      </x:c>
      <x:c r="B1029" s="12" t="str">
        <x:v>GoSats</x:v>
      </x:c>
      <x:c r="C1029" s="12" t="str">
        <x:v>Business / brand</x:v>
      </x:c>
      <x:c r="D1029" s="12" t="str">
        <x:v>IT &amp; digital</x:v>
      </x:c>
      <x:c r="E1029" s="12" t="str">
        <x:v>Enterprise software &amp; digital engineering</x:v>
      </x:c>
      <x:c r="F1029" s="12" t="str">
        <x:v>Small-scale prospects</x:v>
      </x:c>
      <x:c r="G1029" s="12" t="str">
        <x:v>Software or technology-services business; small-scale prospect assumption.</x:v>
      </x:c>
      <x:c r="H1029" s="11" t="n">
        <x:v>1</x:v>
      </x:c>
      <x:c r="I1029" s="11" t="n">
        <x:v>4</x:v>
      </x:c>
      <x:c r="J1029" s="11" t="n">
        <x:v>4</x:v>
      </x:c>
      <x:c r="K1029" s="11" t="n">
        <x:v>0</x:v>
      </x:c>
      <x:c r="L1029" s="17" t="n">
        <x:f>SUM(SUMIFS('Costing'!$P$9:$P$492,'Costing'!$A$9:$A$492,"MAIN-121"))</x:f>
        <x:v>100000</x:v>
      </x:c>
      <x:c r="M1029" s="17" t="n">
        <x:f>ROUND(L1029*'Costing'!$C$4,2)</x:f>
        <x:v>18000</x:v>
      </x:c>
      <x:c r="N1029" s="17" t="n">
        <x:f>L1029+M1029</x:f>
        <x:v>118000</x:v>
      </x:c>
      <x:c r="O1029" s="12" t="str">
        <x:v>Bengaluru</x:v>
      </x:c>
      <x:c r="P1029" s="12" t="str">
        <x:v>CORP-0117</x:v>
      </x:c>
      <x:c r="Q1029" s="12" t="str">
        <x:v>GoSats</x:v>
      </x:c>
    </x:row>
    <x:row r="1030" ht="48" customHeight="1">
      <x:c r="A1030" s="2" t="str">
        <x:v>TEN-017ED77F31FC</x:v>
      </x:c>
      <x:c r="B1030" s="12" t="str">
        <x:v>Gozoop group</x:v>
      </x:c>
      <x:c r="C1030" s="12" t="str">
        <x:v>Business / brand</x:v>
      </x:c>
      <x:c r="D1030" s="12" t="str">
        <x:v>Professional services</x:v>
      </x:c>
      <x:c r="E1030" s="12" t="str">
        <x:v>Research, marketing &amp; professional services</x:v>
      </x:c>
      <x:c r="F1030" s="12" t="str">
        <x:v>Small-scale prospects</x:v>
      </x:c>
      <x:c r="G1030" s="12" t="str">
        <x:v>Professional service, agency or advisory model; small-scale prospect assumption.</x:v>
      </x:c>
      <x:c r="H1030" s="11" t="n">
        <x:v>1</x:v>
      </x:c>
      <x:c r="I1030" s="11" t="n">
        <x:v>2</x:v>
      </x:c>
      <x:c r="J1030" s="11" t="n">
        <x:v>2</x:v>
      </x:c>
      <x:c r="K1030" s="11" t="n">
        <x:v>0</x:v>
      </x:c>
      <x:c r="L1030" s="17" t="n">
        <x:f>SUM(SUMIFS('Costing'!$P$9:$P$492,'Costing'!$A$9:$A$492,"MAIN-304"))</x:f>
        <x:v>30000</x:v>
      </x:c>
      <x:c r="M1030" s="17" t="n">
        <x:f>ROUND(L1030*'Costing'!$C$4,2)</x:f>
        <x:v>5400</x:v>
      </x:c>
      <x:c r="N1030" s="17" t="n">
        <x:f>L1030+M1030</x:f>
        <x:v>35400</x:v>
      </x:c>
      <x:c r="O1030" s="12" t="str">
        <x:v>Mumbai</x:v>
      </x:c>
      <x:c r="P1030" s="12" t="str">
        <x:v>CORP-0300</x:v>
      </x:c>
      <x:c r="Q1030" s="12" t="str">
        <x:v>Gozoop group</x:v>
      </x:c>
    </x:row>
    <x:row r="1031" ht="48" customHeight="1">
      <x:c r="A1031" s="2" t="str">
        <x:v>TEN-2C4019B762AB</x:v>
      </x:c>
      <x:c r="B1031" s="12" t="str">
        <x:v>Gr. Impactguru technology ventures Pvt. LTD</x:v>
      </x:c>
      <x:c r="C1031" s="12" t="str">
        <x:v>Business / brand</x:v>
      </x:c>
      <x:c r="D1031" s="12" t="str">
        <x:v>Unresolved</x:v>
      </x:c>
      <x:c r="E1031" s="12" t="str">
        <x:v>Business activity not established</x:v>
      </x:c>
      <x:c r="F1031" s="12" t="str">
        <x:v>Mixed business audience</x:v>
      </x:c>
      <x:c r="G1031" s="12" t="str">
        <x:v>Business activity and company scale are not established from this name.</x:v>
      </x:c>
      <x:c r="H1031" s="11" t="n">
        <x:v>1</x:v>
      </x:c>
      <x:c r="I1031" s="11" t="n">
        <x:v>2</x:v>
      </x:c>
      <x:c r="J1031" s="11" t="n">
        <x:v>2</x:v>
      </x:c>
      <x:c r="K1031" s="11" t="n">
        <x:v>0</x:v>
      </x:c>
      <x:c r="L1031" s="17" t="n">
        <x:f>SUM(SUMIFS('Costing'!$P$9:$P$492,'Costing'!$A$9:$A$492,"MAIN-305"))</x:f>
        <x:v>30000</x:v>
      </x:c>
      <x:c r="M1031" s="17" t="n">
        <x:f>ROUND(L1031*'Costing'!$C$4,2)</x:f>
        <x:v>5400</x:v>
      </x:c>
      <x:c r="N1031" s="17" t="n">
        <x:f>L1031+M1031</x:f>
        <x:v>35400</x:v>
      </x:c>
      <x:c r="O1031" s="12" t="str">
        <x:v>Mumbai</x:v>
      </x:c>
      <x:c r="P1031" s="12" t="str">
        <x:v>CORP-0301</x:v>
      </x:c>
      <x:c r="Q1031" s="12" t="str">
        <x:v>Gr. Impactguru technology ventures Pvt. LTD</x:v>
      </x:c>
    </x:row>
    <x:row r="1032" ht="48" customHeight="1">
      <x:c r="A1032" s="2" t="str">
        <x:v>TEN-78522B7571D3</x:v>
      </x:c>
      <x:c r="B1032" s="12" t="str">
        <x:v>Grab Greco LLP</x:v>
      </x:c>
      <x:c r="C1032" s="12" t="str">
        <x:v>Business / brand</x:v>
      </x:c>
      <x:c r="D1032" s="12" t="str">
        <x:v>Unresolved</x:v>
      </x:c>
      <x:c r="E1032" s="12" t="str">
        <x:v>Business activity not established</x:v>
      </x:c>
      <x:c r="F1032" s="12" t="str">
        <x:v>Mixed business audience</x:v>
      </x:c>
      <x:c r="G1032" s="12" t="str">
        <x:v>Business activity and company scale are not established from this name.</x:v>
      </x:c>
      <x:c r="H1032" s="11" t="n">
        <x:v>10</x:v>
      </x:c>
      <x:c r="I1032" s="11" t="n">
        <x:v>10</x:v>
      </x:c>
      <x:c r="J1032" s="11" t="n">
        <x:v>10</x:v>
      </x:c>
      <x:c r="K1032" s="11" t="n">
        <x:v>0</x:v>
      </x:c>
      <x:c r="L1032" s="17" t="n">
        <x:f>SUM(SUMIFS('Costing'!$P$9:$P$492,'Costing'!$A$9:$A$492,"PARTNER-M014"))</x:f>
        <x:v>400000</x:v>
      </x:c>
      <x:c r="M1032" s="17" t="n">
        <x:f>ROUND(L1032*'Costing'!$C$4,2)</x:f>
        <x:v>72000</x:v>
      </x:c>
      <x:c r="N1032" s="17" t="n">
        <x:f>L1032+M1032</x:f>
        <x:v>472000</x:v>
      </x:c>
      <x:c r="O1032" s="12" t="str">
        <x:v>Bengaluru</x:v>
      </x:c>
      <x:c r="P1032" s="12" t="str">
        <x:v>CORP-0432, CORP-0433, CORP-0434, CORP-0435, CORP-0436, CORP-0437, CORP-0438, CORP-0439, CORP-0440, CORP-0441</x:v>
      </x:c>
      <x:c r="Q1032" s="12" t="str">
        <x:v>Grab Greco LLP</x:v>
      </x:c>
    </x:row>
    <x:row r="1033" ht="49" customHeight="1">
      <x:c r="A1033" s="2" t="str">
        <x:v>TEN-A8130969F4B5</x:v>
      </x:c>
      <x:c r="B1033" s="12" t="str">
        <x:v>Grab Space</x:v>
      </x:c>
      <x:c r="C1033" s="12" t="str">
        <x:v>Workspace operator</x:v>
      </x:c>
      <x:c r="D1033" s="12" t="str">
        <x:v>Workspace &amp; property operations</x:v>
      </x:c>
      <x:c r="E1033" s="12" t="str">
        <x:v>Coworking/workspace operator</x:v>
      </x:c>
      <x:c r="F1033" s="12" t="str">
        <x:v>Mixed business audience</x:v>
      </x:c>
      <x:c r="G1033" s="12" t="str">
        <x:v>Supplied entry is a shared-workspace operator; the business sizes of occupant companies cannot be derived from the operator name.</x:v>
      </x:c>
      <x:c r="H1033" s="11" t="n">
        <x:v>1</x:v>
      </x:c>
      <x:c r="I1033" s="11" t="n">
        <x:v>1</x:v>
      </x:c>
      <x:c r="J1033" s="11" t="n">
        <x:v>1</x:v>
      </x:c>
      <x:c r="K1033" s="11" t="n">
        <x:v>0</x:v>
      </x:c>
      <x:c r="L1033" s="17" t="n">
        <x:f>SUM(SUMIFS('Costing'!$P$9:$P$492,'Costing'!$A$9:$A$492,"MAIN-270"))</x:f>
        <x:v>20000</x:v>
      </x:c>
      <x:c r="M1033" s="17" t="n">
        <x:f>ROUND(L1033*'Costing'!$C$4,2)</x:f>
        <x:v>3600</x:v>
      </x:c>
      <x:c r="N1033" s="17" t="n">
        <x:f>L1033+M1033</x:f>
        <x:v>23600</x:v>
      </x:c>
      <x:c r="O1033" s="12" t="str">
        <x:v>Indore</x:v>
      </x:c>
      <x:c r="P1033" s="12" t="str">
        <x:v>CORP-0266</x:v>
      </x:c>
      <x:c r="Q1033" s="12" t="str">
        <x:v>Grab Space</x:v>
      </x:c>
    </x:row>
    <x:row r="1034" ht="48" customHeight="1">
      <x:c r="A1034" s="2" t="str">
        <x:v>TEN-EC9203AA35AB</x:v>
      </x:c>
      <x:c r="B1034" s="12" t="str">
        <x:v>Gramic</x:v>
      </x:c>
      <x:c r="C1034" s="12" t="str">
        <x:v>Business / brand</x:v>
      </x:c>
      <x:c r="D1034" s="12" t="str">
        <x:v>Unresolved</x:v>
      </x:c>
      <x:c r="E1034" s="12" t="str">
        <x:v>Business activity not established</x:v>
      </x:c>
      <x:c r="F1034" s="12" t="str">
        <x:v>Mixed business audience</x:v>
      </x:c>
      <x:c r="G1034" s="12" t="str">
        <x:v>Business activity and company scale are not established from this name.</x:v>
      </x:c>
      <x:c r="H1034" s="11" t="n">
        <x:v>1</x:v>
      </x:c>
      <x:c r="I1034" s="11" t="n">
        <x:v>2</x:v>
      </x:c>
      <x:c r="J1034" s="11" t="n">
        <x:v>2</x:v>
      </x:c>
      <x:c r="K1034" s="11" t="n">
        <x:v>0</x:v>
      </x:c>
      <x:c r="L1034" s="17" t="n">
        <x:f>SUM(SUMIFS('Costing'!$P$9:$P$492,'Costing'!$A$9:$A$492,"MAIN-288"))</x:f>
        <x:v>40000</x:v>
      </x:c>
      <x:c r="M1034" s="17" t="n">
        <x:f>ROUND(L1034*'Costing'!$C$4,2)</x:f>
        <x:v>7200</x:v>
      </x:c>
      <x:c r="N1034" s="17" t="n">
        <x:f>L1034+M1034</x:f>
        <x:v>47200</x:v>
      </x:c>
      <x:c r="O1034" s="12" t="str">
        <x:v>Lucknow</x:v>
      </x:c>
      <x:c r="P1034" s="12" t="str">
        <x:v>CORP-0284</x:v>
      </x:c>
      <x:c r="Q1034" s="12" t="str">
        <x:v>Gramic</x:v>
      </x:c>
    </x:row>
    <x:row r="1035" ht="75" customHeight="1">
      <x:c r="A1035" s="2" t="str">
        <x:v>TEN-E5E23A26CD36</x:v>
      </x:c>
      <x:c r="B1035" s="12" t="str">
        <x:v>Grant Thornton</x:v>
      </x:c>
      <x:c r="C1035" s="12" t="str">
        <x:v>Business / brand</x:v>
      </x:c>
      <x:c r="D1035" s="12" t="str">
        <x:v>Professional services</x:v>
      </x:c>
      <x:c r="E1035" s="12" t="str">
        <x:v>Professional services — specialty unverified</x:v>
      </x:c>
      <x:c r="F1035" s="12" t="str">
        <x:v>Large enterprise</x:v>
      </x:c>
      <x:c r="G1035" s="12" t="str">
        <x:v>Grant Thornton's official FY2025 release reports a global network of about 80,000 people and USD8.5 billion in revenue. This supports national/global professional-network enterprise context rather than a local-accountancy Micro default.</x:v>
      </x:c>
      <x:c r="H1035" s="11" t="n">
        <x:v>12</x:v>
      </x:c>
      <x:c r="I1035" s="11" t="n">
        <x:v>12</x:v>
      </x:c>
      <x:c r="J1035" s="11" t="n">
        <x:v>12</x:v>
      </x:c>
      <x:c r="K1035" s="11" t="n">
        <x:v>0</x:v>
      </x:c>
      <x:c r="L1035" s="17" t="n">
        <x:f>SUM(SUMIFS('Costing'!$P$9:$P$492,'Costing'!$A$9:$A$492,"PARTNER-M108"))</x:f>
        <x:v>480000</x:v>
      </x:c>
      <x:c r="M1035" s="17" t="n">
        <x:f>ROUND(L1035*'Costing'!$C$4,2)</x:f>
        <x:v>86400</x:v>
      </x:c>
      <x:c r="N1035" s="17" t="n">
        <x:f>L1035+M1035</x:f>
        <x:v>566400</x:v>
      </x:c>
      <x:c r="O1035" s="12" t="str">
        <x:v>Bengaluru</x:v>
      </x:c>
      <x:c r="P1035" s="12" t="str">
        <x:v>CORP-0526, CORP-0527, CORP-0528, CORP-0529, CORP-0530, CORP-0531, CORP-0532, CORP-0533, CORP-0534, CORP-0535, CORP-0536, CORP-0537</x:v>
      </x:c>
      <x:c r="Q1035" s="12" t="str">
        <x:v>Grant Thornton, Grant Thronton</x:v>
      </x:c>
    </x:row>
    <x:row r="1036" ht="48" customHeight="1">
      <x:c r="A1036" s="2" t="str">
        <x:v>TEN-6B8E94322C2D</x:v>
      </x:c>
      <x:c r="B1036" s="12" t="str">
        <x:v>Grant Thornton INDUS</x:v>
      </x:c>
      <x:c r="C1036" s="12" t="str">
        <x:v>Business / brand</x:v>
      </x:c>
      <x:c r="D1036" s="12" t="str">
        <x:v>Professional services</x:v>
      </x:c>
      <x:c r="E1036" s="12" t="str">
        <x:v>Accounting, tax &amp; audit</x:v>
      </x:c>
      <x:c r="F1036" s="12" t="str">
        <x:v>Mixed business audience</x:v>
      </x:c>
      <x:c r="G1036" s="12" t="str">
        <x:v>Recognisable business context; company-scale evidence remains insufficient for a single size band.</x:v>
      </x:c>
      <x:c r="H1036" s="11" t="n">
        <x:v>1</x:v>
      </x:c>
      <x:c r="I1036" s="11" t="n">
        <x:v>2</x:v>
      </x:c>
      <x:c r="J1036" s="11" t="n">
        <x:v>2</x:v>
      </x:c>
      <x:c r="K1036" s="11" t="n">
        <x:v>0</x:v>
      </x:c>
      <x:c r="L1036" s="17" t="n">
        <x:f>SUM(SUMIFS('Costing'!$P$9:$P$492,'Costing'!$A$9:$A$492,"MAIN-280"))</x:f>
        <x:v>30000</x:v>
      </x:c>
      <x:c r="M1036" s="17" t="n">
        <x:f>ROUND(L1036*'Costing'!$C$4,2)</x:f>
        <x:v>5400</x:v>
      </x:c>
      <x:c r="N1036" s="17" t="n">
        <x:f>L1036+M1036</x:f>
        <x:v>35400</x:v>
      </x:c>
      <x:c r="O1036" s="12" t="str">
        <x:v>Kolkata</x:v>
      </x:c>
      <x:c r="P1036" s="12" t="str">
        <x:v>CORP-0276</x:v>
      </x:c>
      <x:c r="Q1036" s="12" t="str">
        <x:v>Grant Thornton INDUS</x:v>
      </x:c>
    </x:row>
    <x:row r="1037" ht="48" customHeight="1">
      <x:c r="A1037" s="2" t="str">
        <x:v>TEN-BBE9B7C570D7</x:v>
      </x:c>
      <x:c r="B1037" s="12" t="str">
        <x:v>Graphica Printing Store</x:v>
      </x:c>
      <x:c r="C1037" s="12" t="str">
        <x:v>Business / brand</x:v>
      </x:c>
      <x:c r="D1037" s="12" t="str">
        <x:v>Unresolved</x:v>
      </x:c>
      <x:c r="E1037" s="12" t="str">
        <x:v>Business activity not established</x:v>
      </x:c>
      <x:c r="F1037" s="12" t="str">
        <x:v>Mixed business audience</x:v>
      </x:c>
      <x:c r="G1037" s="12" t="str">
        <x:v>Business activity and company scale are not established from this name.</x:v>
      </x:c>
      <x:c r="H1037" s="11" t="n">
        <x:v>2</x:v>
      </x:c>
      <x:c r="I1037" s="11" t="n">
        <x:v>4</x:v>
      </x:c>
      <x:c r="J1037" s="11" t="n">
        <x:v>4</x:v>
      </x:c>
      <x:c r="K1037" s="11" t="n">
        <x:v>0</x:v>
      </x:c>
      <x:c r="L1037" s="17" t="n">
        <x:f>SUM(SUMIFS('Costing'!$P$9:$P$492,'Costing'!$A$9:$A$492,"MAIN-183"),SUMIFS('Costing'!$P$9:$P$492,'Costing'!$A$9:$A$492,"MAIN-184"))</x:f>
        <x:v>75000</x:v>
      </x:c>
      <x:c r="M1037" s="17" t="n">
        <x:f>ROUND(L1037*'Costing'!$C$4,2)</x:f>
        <x:v>13500</x:v>
      </x:c>
      <x:c r="N1037" s="17" t="n">
        <x:f>L1037+M1037</x:f>
        <x:v>88500</x:v>
      </x:c>
      <x:c r="O1037" s="12" t="str">
        <x:v>Delhi NCR</x:v>
      </x:c>
      <x:c r="P1037" s="12" t="str">
        <x:v>CORP-0179, CORP-0180</x:v>
      </x:c>
      <x:c r="Q1037" s="12" t="str">
        <x:v>Graphica Printing Store</x:v>
      </x:c>
    </x:row>
    <x:row r="1038" ht="75" customHeight="1">
      <x:c r="A1038" s="2" t="str">
        <x:v>TEN-D30D32A3CC13</x:v>
      </x:c>
      <x:c r="B1038" s="12" t="str">
        <x:v>Great Lakes Institute of Management</x:v>
      </x:c>
      <x:c r="C1038" s="12" t="str">
        <x:v>Public / nonprofit</x:v>
      </x:c>
      <x:c r="D1038" s="12" t="str">
        <x:v>Education</x:v>
      </x:c>
      <x:c r="E1038" s="12" t="str">
        <x:v>Education/learning — specialty unverified</x:v>
      </x:c>
      <x:c r="F1038" s="12" t="str">
        <x:v>Institutional</x:v>
      </x:c>
      <x:c r="G1038" s="12" t="str">
        <x:v>Existing directory identifies an institutional, government, education, membership or nonprofit organisation rather than an ordinary MSME business prospect. This tag describes audience role and does not assert legal tax status.</x:v>
      </x:c>
      <x:c r="H1038" s="11" t="n">
        <x:v>5</x:v>
      </x:c>
      <x:c r="I1038" s="11" t="n">
        <x:v>5</x:v>
      </x:c>
      <x:c r="J1038" s="11" t="n">
        <x:v>5</x:v>
      </x:c>
      <x:c r="K1038" s="11" t="n">
        <x:v>0</x:v>
      </x:c>
      <x:c r="L1038" s="17" t="n">
        <x:f>SUM(SUMIFS('Costing'!$P$9:$P$492,'Costing'!$A$9:$A$492,"PARTNER-M342"))</x:f>
        <x:v>200000</x:v>
      </x:c>
      <x:c r="M1038" s="17" t="n">
        <x:f>ROUND(L1038*'Costing'!$C$4,2)</x:f>
        <x:v>36000</x:v>
      </x:c>
      <x:c r="N1038" s="17" t="n">
        <x:f>L1038+M1038</x:f>
        <x:v>236000</x:v>
      </x:c>
      <x:c r="O1038" s="12" t="str">
        <x:v>Chennai</x:v>
      </x:c>
      <x:c r="P1038" s="12" t="str">
        <x:v>CORP-0756, CORP-0757, CORP-0758, CORP-0759, CORP-0760</x:v>
      </x:c>
      <x:c r="Q1038" s="12" t="str">
        <x:v>Great Lakes Institute of Management</x:v>
      </x:c>
    </x:row>
    <x:row r="1039" ht="48" customHeight="1">
      <x:c r="A1039" s="2" t="str">
        <x:v>TEN-1E8C28665D38</x:v>
      </x:c>
      <x:c r="B1039" s="12" t="str">
        <x:v>Greater Goods</x:v>
      </x:c>
      <x:c r="C1039" s="12" t="str">
        <x:v>Business / brand</x:v>
      </x:c>
      <x:c r="D1039" s="12" t="str">
        <x:v>Unresolved</x:v>
      </x:c>
      <x:c r="E1039" s="12" t="str">
        <x:v>Business activity not established</x:v>
      </x:c>
      <x:c r="F1039" s="12" t="str">
        <x:v>Mixed business audience</x:v>
      </x:c>
      <x:c r="G1039" s="12" t="str">
        <x:v>Business activity and company scale are not established from this name.</x:v>
      </x:c>
      <x:c r="H1039" s="11" t="n">
        <x:v>2</x:v>
      </x:c>
      <x:c r="I1039" s="11" t="n">
        <x:v>3</x:v>
      </x:c>
      <x:c r="J1039" s="11" t="n">
        <x:v>3</x:v>
      </x:c>
      <x:c r="K1039" s="11" t="n">
        <x:v>0</x:v>
      </x:c>
      <x:c r="L1039" s="17" t="n">
        <x:f>SUM(SUMIFS('Costing'!$P$9:$P$492,'Costing'!$A$9:$A$492,"MAIN-143"),SUMIFS('Costing'!$P$9:$P$492,'Costing'!$A$9:$A$492,"MAIN-144"))</x:f>
        <x:v>60000</x:v>
      </x:c>
      <x:c r="M1039" s="17" t="n">
        <x:f>ROUND(L1039*'Costing'!$C$4,2)</x:f>
        <x:v>10800</x:v>
      </x:c>
      <x:c r="N1039" s="17" t="n">
        <x:f>L1039+M1039</x:f>
        <x:v>70800</x:v>
      </x:c>
      <x:c r="O1039" s="12" t="str">
        <x:v>Chennai</x:v>
      </x:c>
      <x:c r="P1039" s="12" t="str">
        <x:v>CORP-0139, CORP-0140</x:v>
      </x:c>
      <x:c r="Q1039" s="12" t="str">
        <x:v>Greater Goods</x:v>
      </x:c>
    </x:row>
    <x:row r="1040" ht="48" customHeight="1">
      <x:c r="A1040" s="2" t="str">
        <x:v>TEN-5763FDBE162D</x:v>
      </x:c>
      <x:c r="B1040" s="12" t="str">
        <x:v>GREEN ECO TECH NXT</x:v>
      </x:c>
      <x:c r="C1040" s="12" t="str">
        <x:v>Business / brand</x:v>
      </x:c>
      <x:c r="D1040" s="12" t="str">
        <x:v>Unresolved</x:v>
      </x:c>
      <x:c r="E1040" s="12" t="str">
        <x:v>Business activity not established</x:v>
      </x:c>
      <x:c r="F1040" s="12" t="str">
        <x:v>Mixed business audience</x:v>
      </x:c>
      <x:c r="G1040" s="12" t="str">
        <x:v>Business activity and company scale are not established from this name.</x:v>
      </x:c>
      <x:c r="H1040" s="11" t="n">
        <x:v>4</x:v>
      </x:c>
      <x:c r="I1040" s="11" t="n">
        <x:v>4</x:v>
      </x:c>
      <x:c r="J1040" s="11" t="n">
        <x:v>4</x:v>
      </x:c>
      <x:c r="K1040" s="11" t="n">
        <x:v>0</x:v>
      </x:c>
      <x:c r="L1040" s="17" t="n">
        <x:f>SUM(SUMIFS('Costing'!$P$9:$P$492,'Costing'!$A$9:$A$492,"PARTNER-M197"))</x:f>
        <x:v>160000</x:v>
      </x:c>
      <x:c r="M1040" s="17" t="n">
        <x:f>ROUND(L1040*'Costing'!$C$4,2)</x:f>
        <x:v>28800</x:v>
      </x:c>
      <x:c r="N1040" s="17" t="n">
        <x:f>L1040+M1040</x:f>
        <x:v>188800</x:v>
      </x:c>
      <x:c r="O1040" s="12" t="str">
        <x:v>Mumbai</x:v>
      </x:c>
      <x:c r="P1040" s="12" t="str">
        <x:v>CORP-0614, CORP-0615, CORP-0616, CORP-0617</x:v>
      </x:c>
      <x:c r="Q1040" s="12" t="str">
        <x:v>GREEN ECO TECH NXT</x:v>
      </x:c>
    </x:row>
    <x:row r="1041" ht="48" customHeight="1">
      <x:c r="A1041" s="2" t="str">
        <x:v>TEN-354BBA9D3C26</x:v>
      </x:c>
      <x:c r="B1041" s="12" t="str">
        <x:v>Greenply Industries</x:v>
      </x:c>
      <x:c r="C1041" s="12" t="str">
        <x:v>Business / brand</x:v>
      </x:c>
      <x:c r="D1041" s="12" t="str">
        <x:v>Engineering &amp; manufacturing</x:v>
      </x:c>
      <x:c r="E1041" s="12" t="str">
        <x:v>Electronics, industrial systems &amp; manufacturing</x:v>
      </x:c>
      <x:c r="F1041" s="12" t="str">
        <x:v>Mixed business audience</x:v>
      </x:c>
      <x:c r="G1041" s="12" t="str">
        <x:v>Established brand or business network; local company scale is not established. Use a mixed-business message.</x:v>
      </x:c>
      <x:c r="H1041" s="11" t="n">
        <x:v>2</x:v>
      </x:c>
      <x:c r="I1041" s="11" t="n">
        <x:v>2</x:v>
      </x:c>
      <x:c r="J1041" s="11" t="n">
        <x:v>2</x:v>
      </x:c>
      <x:c r="K1041" s="11" t="n">
        <x:v>0</x:v>
      </x:c>
      <x:c r="L1041" s="17" t="n">
        <x:f>SUM(SUMIFS('Costing'!$P$9:$P$492,'Costing'!$A$9:$A$492,"PARTNER-M241"))</x:f>
        <x:v>80000</x:v>
      </x:c>
      <x:c r="M1041" s="17" t="n">
        <x:f>ROUND(L1041*'Costing'!$C$4,2)</x:f>
        <x:v>14400</x:v>
      </x:c>
      <x:c r="N1041" s="17" t="n">
        <x:f>L1041+M1041</x:f>
        <x:v>94400</x:v>
      </x:c>
      <x:c r="O1041" s="12" t="str">
        <x:v>Mumbai</x:v>
      </x:c>
      <x:c r="P1041" s="12" t="str">
        <x:v>CORP-0658, CORP-0659</x:v>
      </x:c>
      <x:c r="Q1041" s="12" t="str">
        <x:v>Greenply Industries</x:v>
      </x:c>
    </x:row>
    <x:row r="1042" ht="48" customHeight="1">
      <x:c r="A1042" s="2" t="str">
        <x:v>TEN-4AF50FD6663E</x:v>
      </x:c>
      <x:c r="B1042" s="12" t="str">
        <x:v>Grey And White HR Consultants Private Limited</x:v>
      </x:c>
      <x:c r="C1042" s="12" t="str">
        <x:v>Business / brand</x:v>
      </x:c>
      <x:c r="D1042" s="12" t="str">
        <x:v>Professional services</x:v>
      </x:c>
      <x:c r="E1042" s="12" t="str">
        <x:v>Recruitment, HR &amp; staffing</x:v>
      </x:c>
      <x:c r="F1042" s="12" t="str">
        <x:v>Small-scale prospects</x:v>
      </x:c>
      <x:c r="G1042" s="12" t="str">
        <x:v>Professional service, agency or advisory model; small-scale prospect assumption.</x:v>
      </x:c>
      <x:c r="H1042" s="11" t="n">
        <x:v>2</x:v>
      </x:c>
      <x:c r="I1042" s="11" t="n">
        <x:v>2</x:v>
      </x:c>
      <x:c r="J1042" s="11" t="n">
        <x:v>2</x:v>
      </x:c>
      <x:c r="K1042" s="11" t="n">
        <x:v>0</x:v>
      </x:c>
      <x:c r="L1042" s="17" t="n">
        <x:f>SUM(SUMIFS('Costing'!$P$9:$P$492,'Costing'!$A$9:$A$492,"PARTNER-M245"))</x:f>
        <x:v>80000</x:v>
      </x:c>
      <x:c r="M1042" s="17" t="n">
        <x:f>ROUND(L1042*'Costing'!$C$4,2)</x:f>
        <x:v>14400</x:v>
      </x:c>
      <x:c r="N1042" s="17" t="n">
        <x:f>L1042+M1042</x:f>
        <x:v>94400</x:v>
      </x:c>
      <x:c r="O1042" s="12" t="str">
        <x:v>Mumbai</x:v>
      </x:c>
      <x:c r="P1042" s="12" t="str">
        <x:v>CORP-0662, CORP-0663</x:v>
      </x:c>
      <x:c r="Q1042" s="12" t="str">
        <x:v>Grey And White HR Consultants Private Limited</x:v>
      </x:c>
    </x:row>
    <x:row r="1043" ht="48" customHeight="1">
      <x:c r="A1043" s="2" t="str">
        <x:v>TEN-C0F32A457876</x:v>
      </x:c>
      <x:c r="B1043" s="12" t="str">
        <x:v>Greytix</x:v>
      </x:c>
      <x:c r="C1043" s="12" t="str">
        <x:v>Business / brand</x:v>
      </x:c>
      <x:c r="D1043" s="12" t="str">
        <x:v>Unresolved</x:v>
      </x:c>
      <x:c r="E1043" s="12" t="str">
        <x:v>Business activity not established</x:v>
      </x:c>
      <x:c r="F1043" s="12" t="str">
        <x:v>Mixed business audience</x:v>
      </x:c>
      <x:c r="G1043" s="12" t="str">
        <x:v>Business activity and company scale are not established from this name.</x:v>
      </x:c>
      <x:c r="H1043" s="11" t="n">
        <x:v>1</x:v>
      </x:c>
      <x:c r="I1043" s="11" t="n">
        <x:v>21</x:v>
      </x:c>
      <x:c r="J1043" s="11" t="n">
        <x:v>21</x:v>
      </x:c>
      <x:c r="K1043" s="11" t="n">
        <x:v>0</x:v>
      </x:c>
      <x:c r="L1043" s="17" t="n">
        <x:f>SUM(SUMIFS('Costing'!$P$9:$P$492,'Costing'!$A$9:$A$492,"MAIN-313"))</x:f>
        <x:v>315000</x:v>
      </x:c>
      <x:c r="M1043" s="17" t="n">
        <x:f>ROUND(L1043*'Costing'!$C$4,2)</x:f>
        <x:v>56700</x:v>
      </x:c>
      <x:c r="N1043" s="17" t="n">
        <x:f>L1043+M1043</x:f>
        <x:v>371700</x:v>
      </x:c>
      <x:c r="O1043" s="12" t="str">
        <x:v>Mumbai</x:v>
      </x:c>
      <x:c r="P1043" s="12" t="str">
        <x:v>CORP-0309</x:v>
      </x:c>
      <x:c r="Q1043" s="12" t="str">
        <x:v>Greytix</x:v>
      </x:c>
    </x:row>
    <x:row r="1044" ht="48" customHeight="1">
      <x:c r="A1044" s="2" t="str">
        <x:v>TEN-D113F5BCE96F</x:v>
      </x:c>
      <x:c r="B1044" s="12" t="str">
        <x:v>GRIHUM</x:v>
      </x:c>
      <x:c r="C1044" s="12" t="str">
        <x:v>Business / brand</x:v>
      </x:c>
      <x:c r="D1044" s="12" t="str">
        <x:v>Finance &amp; insurance</x:v>
      </x:c>
      <x:c r="E1044" s="12" t="str">
        <x:v>Financial services — specialty unverified</x:v>
      </x:c>
      <x:c r="F1044" s="12" t="str">
        <x:v>Mixed business audience</x:v>
      </x:c>
      <x:c r="G1044" s="12" t="str">
        <x:v>Recognisable business context; company-scale evidence remains insufficient for a single size band.</x:v>
      </x:c>
      <x:c r="H1044" s="11" t="n">
        <x:v>1</x:v>
      </x:c>
      <x:c r="I1044" s="11" t="n">
        <x:v>2</x:v>
      </x:c>
      <x:c r="J1044" s="11" t="n">
        <x:v>2</x:v>
      </x:c>
      <x:c r="K1044" s="11" t="n">
        <x:v>0</x:v>
      </x:c>
      <x:c r="L1044" s="17" t="n">
        <x:f>SUM(SUMIFS('Costing'!$P$9:$P$492,'Costing'!$A$9:$A$492,"MAIN-271"))</x:f>
        <x:v>40000</x:v>
      </x:c>
      <x:c r="M1044" s="17" t="n">
        <x:f>ROUND(L1044*'Costing'!$C$4,2)</x:f>
        <x:v>7200</x:v>
      </x:c>
      <x:c r="N1044" s="17" t="n">
        <x:f>L1044+M1044</x:f>
        <x:v>47200</x:v>
      </x:c>
      <x:c r="O1044" s="12" t="str">
        <x:v>Indore</x:v>
      </x:c>
      <x:c r="P1044" s="12" t="str">
        <x:v>CORP-0267</x:v>
      </x:c>
      <x:c r="Q1044" s="12" t="str">
        <x:v>GRIHUM</x:v>
      </x:c>
    </x:row>
    <x:row r="1045" ht="48" customHeight="1">
      <x:c r="A1045" s="2" t="str">
        <x:v>TEN-51276467ED49</x:v>
      </x:c>
      <x:c r="B1045" s="12" t="str">
        <x:v>GroundZero</x:v>
      </x:c>
      <x:c r="C1045" s="12" t="str">
        <x:v>Business / brand</x:v>
      </x:c>
      <x:c r="D1045" s="12" t="str">
        <x:v>Unresolved</x:v>
      </x:c>
      <x:c r="E1045" s="12" t="str">
        <x:v>Business activity not established</x:v>
      </x:c>
      <x:c r="F1045" s="12" t="str">
        <x:v>Mixed business audience</x:v>
      </x:c>
      <x:c r="G1045" s="12" t="str">
        <x:v>Business activity and company scale are not established from this name.</x:v>
      </x:c>
      <x:c r="H1045" s="11" t="n">
        <x:v>1</x:v>
      </x:c>
      <x:c r="I1045" s="11" t="n">
        <x:v>3</x:v>
      </x:c>
      <x:c r="J1045" s="11" t="n">
        <x:v>3</x:v>
      </x:c>
      <x:c r="K1045" s="11" t="n">
        <x:v>0</x:v>
      </x:c>
      <x:c r="L1045" s="17" t="n">
        <x:f>SUM(SUMIFS('Costing'!$P$9:$P$492,'Costing'!$A$9:$A$492,"MAIN-227"))</x:f>
        <x:v>45000</x:v>
      </x:c>
      <x:c r="M1045" s="17" t="n">
        <x:f>ROUND(L1045*'Costing'!$C$4,2)</x:f>
        <x:v>8100</x:v>
      </x:c>
      <x:c r="N1045" s="17" t="n">
        <x:f>L1045+M1045</x:f>
        <x:v>53100</x:v>
      </x:c>
      <x:c r="O1045" s="12" t="str">
        <x:v>Hyderabad</x:v>
      </x:c>
      <x:c r="P1045" s="12" t="str">
        <x:v>CORP-0223</x:v>
      </x:c>
      <x:c r="Q1045" s="12" t="str">
        <x:v>GroundZero</x:v>
      </x:c>
    </x:row>
    <x:row r="1046" ht="48" customHeight="1">
      <x:c r="A1046" s="2" t="str">
        <x:v>TEN-8ADB9CA624D1</x:v>
      </x:c>
      <x:c r="B1046" s="12" t="str">
        <x:v>Group M</x:v>
      </x:c>
      <x:c r="C1046" s="12" t="str">
        <x:v>Business / brand</x:v>
      </x:c>
      <x:c r="D1046" s="12" t="str">
        <x:v>Professional services</x:v>
      </x:c>
      <x:c r="E1046" s="12" t="str">
        <x:v>Professional services — specialty unverified</x:v>
      </x:c>
      <x:c r="F1046" s="12" t="str">
        <x:v>Mixed business audience</x:v>
      </x:c>
      <x:c r="G1046" s="12" t="str">
        <x:v>Recognisable business context; company-scale evidence remains insufficient for a single size band.</x:v>
      </x:c>
      <x:c r="H1046" s="11" t="n">
        <x:v>1</x:v>
      </x:c>
      <x:c r="I1046" s="11" t="n">
        <x:v>2</x:v>
      </x:c>
      <x:c r="J1046" s="11" t="n">
        <x:v>2</x:v>
      </x:c>
      <x:c r="K1046" s="11" t="n">
        <x:v>0</x:v>
      </x:c>
      <x:c r="L1046" s="17" t="n">
        <x:f>SUM(SUMIFS('Costing'!$P$9:$P$492,'Costing'!$A$9:$A$492,"MAIN-158"))</x:f>
        <x:v>40000</x:v>
      </x:c>
      <x:c r="M1046" s="17" t="n">
        <x:f>ROUND(L1046*'Costing'!$C$4,2)</x:f>
        <x:v>7200</x:v>
      </x:c>
      <x:c r="N1046" s="17" t="n">
        <x:f>L1046+M1046</x:f>
        <x:v>47200</x:v>
      </x:c>
      <x:c r="O1046" s="12" t="str">
        <x:v>Chennai</x:v>
      </x:c>
      <x:c r="P1046" s="12" t="str">
        <x:v>CORP-0154</x:v>
      </x:c>
      <x:c r="Q1046" s="12" t="str">
        <x:v>Group M</x:v>
      </x:c>
    </x:row>
    <x:row r="1047" ht="49" customHeight="1">
      <x:c r="A1047" s="2" t="str">
        <x:v>TEN-48FEE15EC13F</x:v>
      </x:c>
      <x:c r="B1047" s="12" t="str">
        <x:v>Growth Corner Advisor Pvt. Ltd</x:v>
      </x:c>
      <x:c r="C1047" s="12" t="str">
        <x:v>Business / brand</x:v>
      </x:c>
      <x:c r="D1047" s="12" t="str">
        <x:v>Professional services</x:v>
      </x:c>
      <x:c r="E1047" s="12" t="str">
        <x:v>Professional services — specialty unverified</x:v>
      </x:c>
      <x:c r="F1047" s="12" t="str">
        <x:v>Mixed business audience</x:v>
      </x:c>
      <x:c r="G1047" s="12" t="str">
        <x:v>Growth Corner Advisor name does not establish actual firm footprint or exact legal identity; avoid size from generic advisory suffix.</x:v>
      </x:c>
      <x:c r="H1047" s="11" t="n">
        <x:v>1</x:v>
      </x:c>
      <x:c r="I1047" s="11" t="n">
        <x:v>70</x:v>
      </x:c>
      <x:c r="J1047" s="11" t="n">
        <x:v>70</x:v>
      </x:c>
      <x:c r="K1047" s="11" t="n">
        <x:v>0</x:v>
      </x:c>
      <x:c r="L1047" s="17" t="n">
        <x:f>SUM(SUMIFS('Costing'!$P$9:$P$492,'Costing'!$A$9:$A$492,"MAIN-350"))</x:f>
        <x:v>1050000</x:v>
      </x:c>
      <x:c r="M1047" s="17" t="n">
        <x:f>ROUND(L1047*'Costing'!$C$4,2)</x:f>
        <x:v>189000</x:v>
      </x:c>
      <x:c r="N1047" s="17" t="n">
        <x:f>L1047+M1047</x:f>
        <x:v>1239000</x:v>
      </x:c>
      <x:c r="O1047" s="12" t="str">
        <x:v>Mumbai</x:v>
      </x:c>
      <x:c r="P1047" s="12" t="str">
        <x:v>CORP-0346</x:v>
      </x:c>
      <x:c r="Q1047" s="12" t="str">
        <x:v>Growth Corner Advisor Pvt. Ltd</x:v>
      </x:c>
    </x:row>
    <x:row r="1048" ht="48" customHeight="1">
      <x:c r="A1048" s="2" t="str">
        <x:v>TEN-FC16200FF43D</x:v>
      </x:c>
      <x:c r="B1048" s="12" t="str">
        <x:v>Growthschool</x:v>
      </x:c>
      <x:c r="C1048" s="12" t="str">
        <x:v>Business / brand</x:v>
      </x:c>
      <x:c r="D1048" s="12" t="str">
        <x:v>Education</x:v>
      </x:c>
      <x:c r="E1048" s="12" t="str">
        <x:v>Schools, childcare &amp; higher education</x:v>
      </x:c>
      <x:c r="F1048" s="12" t="str">
        <x:v>Small-scale prospects</x:v>
      </x:c>
      <x:c r="G1048" s="12" t="str">
        <x:v>Training or education-services business; small-scale prospect assumption.</x:v>
      </x:c>
      <x:c r="H1048" s="11" t="n">
        <x:v>1</x:v>
      </x:c>
      <x:c r="I1048" s="11" t="n">
        <x:v>2</x:v>
      </x:c>
      <x:c r="J1048" s="11" t="n">
        <x:v>2</x:v>
      </x:c>
      <x:c r="K1048" s="11" t="n">
        <x:v>0</x:v>
      </x:c>
      <x:c r="L1048" s="17" t="n">
        <x:f>SUM(SUMIFS('Costing'!$P$9:$P$492,'Costing'!$A$9:$A$492,"MAIN-098"))</x:f>
        <x:v>30000</x:v>
      </x:c>
      <x:c r="M1048" s="17" t="n">
        <x:f>ROUND(L1048*'Costing'!$C$4,2)</x:f>
        <x:v>5400</x:v>
      </x:c>
      <x:c r="N1048" s="17" t="n">
        <x:f>L1048+M1048</x:f>
        <x:v>35400</x:v>
      </x:c>
      <x:c r="O1048" s="12" t="str">
        <x:v>Bengaluru</x:v>
      </x:c>
      <x:c r="P1048" s="12" t="str">
        <x:v>CORP-0094</x:v>
      </x:c>
      <x:c r="Q1048" s="12" t="str">
        <x:v>Growthschool</x:v>
      </x:c>
    </x:row>
    <x:row r="1049" ht="48" customHeight="1">
      <x:c r="A1049" s="2" t="str">
        <x:v>TEN-834434DB6B68</x:v>
      </x:c>
      <x:c r="B1049" s="12" t="str">
        <x:v>Gryphon Academy Pvt. Ltd</x:v>
      </x:c>
      <x:c r="C1049" s="12" t="str">
        <x:v>Business / brand</x:v>
      </x:c>
      <x:c r="D1049" s="12" t="str">
        <x:v>Education</x:v>
      </x:c>
      <x:c r="E1049" s="12" t="str">
        <x:v>Schools, childcare &amp; higher education</x:v>
      </x:c>
      <x:c r="F1049" s="12" t="str">
        <x:v>Small-scale prospects</x:v>
      </x:c>
      <x:c r="G1049" s="12" t="str">
        <x:v>Training or education-services business; small-scale prospect assumption.</x:v>
      </x:c>
      <x:c r="H1049" s="11" t="n">
        <x:v>2</x:v>
      </x:c>
      <x:c r="I1049" s="11" t="n">
        <x:v>2</x:v>
      </x:c>
      <x:c r="J1049" s="11" t="n">
        <x:v>2</x:v>
      </x:c>
      <x:c r="K1049" s="11" t="n">
        <x:v>0</x:v>
      </x:c>
      <x:c r="L1049" s="17" t="n">
        <x:f>SUM(SUMIFS('Costing'!$P$9:$P$492,'Costing'!$A$9:$A$492,"MAIN-405"),SUMIFS('Costing'!$P$9:$P$492,'Costing'!$A$9:$A$492,"MAIN-406"))</x:f>
        <x:v>30000</x:v>
      </x:c>
      <x:c r="M1049" s="17" t="n">
        <x:f>ROUND(L1049*'Costing'!$C$4,2)</x:f>
        <x:v>5400</x:v>
      </x:c>
      <x:c r="N1049" s="17" t="n">
        <x:f>L1049+M1049</x:f>
        <x:v>35400</x:v>
      </x:c>
      <x:c r="O1049" s="12" t="str">
        <x:v>Pune</x:v>
      </x:c>
      <x:c r="P1049" s="12" t="str">
        <x:v>CORP-0401, CORP-0402</x:v>
      </x:c>
      <x:c r="Q1049" s="12" t="str">
        <x:v>Gryphon Academy Pvt. Ltd</x:v>
      </x:c>
    </x:row>
    <x:row r="1050" ht="48" customHeight="1">
      <x:c r="A1050" s="2" t="str">
        <x:v>TEN-1E6EA169C908</x:v>
      </x:c>
      <x:c r="B1050" s="12" t="str">
        <x:v>GSK Global Capability Centre</x:v>
      </x:c>
      <x:c r="C1050" s="12" t="str">
        <x:v>Business / brand</x:v>
      </x:c>
      <x:c r="D1050" s="12" t="str">
        <x:v>Healthcare &amp; life sciences</x:v>
      </x:c>
      <x:c r="E1050" s="12" t="str">
        <x:v>Clinical, pharmaceutical &amp; health services</x:v>
      </x:c>
      <x:c r="F1050" s="12" t="str">
        <x:v>Mixed business audience</x:v>
      </x:c>
      <x:c r="G1050" s="12" t="str">
        <x:v>Established brand or business network; local company scale is not established. Use a mixed-business message.</x:v>
      </x:c>
      <x:c r="H1050" s="11" t="n">
        <x:v>8</x:v>
      </x:c>
      <x:c r="I1050" s="11" t="n">
        <x:v>8</x:v>
      </x:c>
      <x:c r="J1050" s="11" t="n">
        <x:v>8</x:v>
      </x:c>
      <x:c r="K1050" s="11" t="n">
        <x:v>0</x:v>
      </x:c>
      <x:c r="L1050" s="17" t="n">
        <x:f>SUM(SUMIFS('Costing'!$P$9:$P$492,'Costing'!$A$9:$A$492,"PARTNER-M138"))</x:f>
        <x:v>320000</x:v>
      </x:c>
      <x:c r="M1050" s="17" t="n">
        <x:f>ROUND(L1050*'Costing'!$C$4,2)</x:f>
        <x:v>57600</x:v>
      </x:c>
      <x:c r="N1050" s="17" t="n">
        <x:f>L1050+M1050</x:f>
        <x:v>377600</x:v>
      </x:c>
      <x:c r="O1050" s="12" t="str">
        <x:v>Bengaluru</x:v>
      </x:c>
      <x:c r="P1050" s="12" t="str">
        <x:v>CORP-0556, CORP-0557, CORP-0558, CORP-0559, CORP-0560, CORP-0561, CORP-0562, CORP-0563</x:v>
      </x:c>
      <x:c r="Q1050" s="12" t="str">
        <x:v>GSK Global Capability Centre</x:v>
      </x:c>
    </x:row>
    <x:row r="1051" ht="48" customHeight="1">
      <x:c r="A1051" s="2" t="str">
        <x:v>TEN-F9B7C2EA54C9</x:v>
      </x:c>
      <x:c r="B1051" s="12" t="str">
        <x:v>GSN Games</x:v>
      </x:c>
      <x:c r="C1051" s="12" t="str">
        <x:v>Business / brand</x:v>
      </x:c>
      <x:c r="D1051" s="12" t="str">
        <x:v>Trade, consumer &amp; logistics</x:v>
      </x:c>
      <x:c r="E1051" s="12" t="str">
        <x:v>Entertainment, media &amp; events</x:v>
      </x:c>
      <x:c r="F1051" s="12" t="str">
        <x:v>Mixed business audience</x:v>
      </x:c>
      <x:c r="G1051" s="12" t="str">
        <x:v>Established brand or business network; local company scale is not established. Use a mixed-business message.</x:v>
      </x:c>
      <x:c r="H1051" s="11" t="n">
        <x:v>5</x:v>
      </x:c>
      <x:c r="I1051" s="11" t="n">
        <x:v>5</x:v>
      </x:c>
      <x:c r="J1051" s="11" t="n">
        <x:v>5</x:v>
      </x:c>
      <x:c r="K1051" s="11" t="n">
        <x:v>0</x:v>
      </x:c>
      <x:c r="L1051" s="17" t="n">
        <x:f>SUM(SUMIFS('Costing'!$P$9:$P$492,'Costing'!$A$9:$A$492,"PARTNER-M060"))</x:f>
        <x:v>200000</x:v>
      </x:c>
      <x:c r="M1051" s="17" t="n">
        <x:f>ROUND(L1051*'Costing'!$C$4,2)</x:f>
        <x:v>36000</x:v>
      </x:c>
      <x:c r="N1051" s="17" t="n">
        <x:f>L1051+M1051</x:f>
        <x:v>236000</x:v>
      </x:c>
      <x:c r="O1051" s="12" t="str">
        <x:v>Bengaluru</x:v>
      </x:c>
      <x:c r="P1051" s="12" t="str">
        <x:v>CORP-0478, CORP-0479, CORP-0480, CORP-0481, CORP-0482</x:v>
      </x:c>
      <x:c r="Q1051" s="12" t="str">
        <x:v>GSN Games</x:v>
      </x:c>
    </x:row>
    <x:row r="1052" ht="48" customHeight="1">
      <x:c r="A1052" s="2" t="str">
        <x:v>TEN-BB34EFA42885</x:v>
      </x:c>
      <x:c r="B1052" s="12" t="str">
        <x:v>Gsource Technologies</x:v>
      </x:c>
      <x:c r="C1052" s="12" t="str">
        <x:v>Business / brand</x:v>
      </x:c>
      <x:c r="D1052" s="12" t="str">
        <x:v>Unresolved</x:v>
      </x:c>
      <x:c r="E1052" s="12" t="str">
        <x:v>Business activity not established</x:v>
      </x:c>
      <x:c r="F1052" s="12" t="str">
        <x:v>Mixed business audience</x:v>
      </x:c>
      <x:c r="G1052" s="12" t="str">
        <x:v>Business activity and company scale are not established from this name.</x:v>
      </x:c>
      <x:c r="H1052" s="11" t="n">
        <x:v>4</x:v>
      </x:c>
      <x:c r="I1052" s="11" t="n">
        <x:v>4</x:v>
      </x:c>
      <x:c r="J1052" s="11" t="n">
        <x:v>4</x:v>
      </x:c>
      <x:c r="K1052" s="11" t="n">
        <x:v>0</x:v>
      </x:c>
      <x:c r="L1052" s="17" t="n">
        <x:f>SUM(SUMIFS('Costing'!$P$9:$P$492,'Costing'!$A$9:$A$492,"PARTNER-M273"))</x:f>
        <x:v>160000</x:v>
      </x:c>
      <x:c r="M1052" s="17" t="n">
        <x:f>ROUND(L1052*'Costing'!$C$4,2)</x:f>
        <x:v>28800</x:v>
      </x:c>
      <x:c r="N1052" s="17" t="n">
        <x:f>L1052+M1052</x:f>
        <x:v>188800</x:v>
      </x:c>
      <x:c r="O1052" s="12" t="str">
        <x:v>Pune</x:v>
      </x:c>
      <x:c r="P1052" s="12" t="str">
        <x:v>CORP-0689, CORP-0690, CORP-0691, CORP-0692</x:v>
      </x:c>
      <x:c r="Q1052" s="12" t="str">
        <x:v>Gsource Technologies</x:v>
      </x:c>
    </x:row>
    <x:row r="1053" ht="48" customHeight="1">
      <x:c r="A1053" s="2" t="str">
        <x:v>TEN-0A2E2E688479</x:v>
      </x:c>
      <x:c r="B1053" s="12" t="str">
        <x:v>GTL</x:v>
      </x:c>
      <x:c r="C1053" s="12" t="str">
        <x:v>Business / brand</x:v>
      </x:c>
      <x:c r="D1053" s="12" t="str">
        <x:v>Unresolved</x:v>
      </x:c>
      <x:c r="E1053" s="12" t="str">
        <x:v>Business activity not established</x:v>
      </x:c>
      <x:c r="F1053" s="12" t="str">
        <x:v>Mixed business audience</x:v>
      </x:c>
      <x:c r="G1053" s="12" t="str">
        <x:v>Business activity and company scale are not established from this name.</x:v>
      </x:c>
      <x:c r="H1053" s="11" t="n">
        <x:v>1</x:v>
      </x:c>
      <x:c r="I1053" s="11" t="n">
        <x:v>2</x:v>
      </x:c>
      <x:c r="J1053" s="11" t="n">
        <x:v>2</x:v>
      </x:c>
      <x:c r="K1053" s="11" t="n">
        <x:v>0</x:v>
      </x:c>
      <x:c r="L1053" s="17" t="n">
        <x:f>SUM(SUMIFS('Costing'!$P$9:$P$492,'Costing'!$A$9:$A$492,"MAIN-288"))</x:f>
        <x:v>40000</x:v>
      </x:c>
      <x:c r="M1053" s="17" t="n">
        <x:f>ROUND(L1053*'Costing'!$C$4,2)</x:f>
        <x:v>7200</x:v>
      </x:c>
      <x:c r="N1053" s="17" t="n">
        <x:f>L1053+M1053</x:f>
        <x:v>47200</x:v>
      </x:c>
      <x:c r="O1053" s="12" t="str">
        <x:v>Lucknow</x:v>
      </x:c>
      <x:c r="P1053" s="12" t="str">
        <x:v>CORP-0284</x:v>
      </x:c>
      <x:c r="Q1053" s="12" t="str">
        <x:v>GTL</x:v>
      </x:c>
    </x:row>
    <x:row r="1054" ht="48" customHeight="1">
      <x:c r="A1054" s="2" t="str">
        <x:v>TEN-4DB63E5149AB</x:v>
      </x:c>
      <x:c r="B1054" s="12" t="str">
        <x:v>GTS Infratech</x:v>
      </x:c>
      <x:c r="C1054" s="12" t="str">
        <x:v>Business / brand</x:v>
      </x:c>
      <x:c r="D1054" s="12" t="str">
        <x:v>Trade, consumer &amp; logistics</x:v>
      </x:c>
      <x:c r="E1054" s="12" t="str">
        <x:v>Real estate, property &amp; construction services</x:v>
      </x:c>
      <x:c r="F1054" s="12" t="str">
        <x:v>Small-scale prospects</x:v>
      </x:c>
      <x:c r="G1054" s="12" t="str">
        <x:v>Trading or consumer-services business; small-scale prospect assumption.</x:v>
      </x:c>
      <x:c r="H1054" s="11" t="n">
        <x:v>1</x:v>
      </x:c>
      <x:c r="I1054" s="11" t="n">
        <x:v>2</x:v>
      </x:c>
      <x:c r="J1054" s="11" t="n">
        <x:v>2</x:v>
      </x:c>
      <x:c r="K1054" s="11" t="n">
        <x:v>0</x:v>
      </x:c>
      <x:c r="L1054" s="17" t="n">
        <x:f>SUM(SUMIFS('Costing'!$P$9:$P$492,'Costing'!$A$9:$A$492,"MAIN-288"))</x:f>
        <x:v>40000</x:v>
      </x:c>
      <x:c r="M1054" s="17" t="n">
        <x:f>ROUND(L1054*'Costing'!$C$4,2)</x:f>
        <x:v>7200</x:v>
      </x:c>
      <x:c r="N1054" s="17" t="n">
        <x:f>L1054+M1054</x:f>
        <x:v>47200</x:v>
      </x:c>
      <x:c r="O1054" s="12" t="str">
        <x:v>Lucknow</x:v>
      </x:c>
      <x:c r="P1054" s="12" t="str">
        <x:v>CORP-0284</x:v>
      </x:c>
      <x:c r="Q1054" s="12" t="str">
        <x:v>GTS Infratech</x:v>
      </x:c>
    </x:row>
    <x:row r="1055" ht="48" customHeight="1">
      <x:c r="A1055" s="2" t="str">
        <x:v>TEN-DF3CFF77814A</x:v>
      </x:c>
      <x:c r="B1055" s="12" t="str">
        <x:v>GTS technosoft pvt ltd</x:v>
      </x:c>
      <x:c r="C1055" s="12" t="str">
        <x:v>Business / brand</x:v>
      </x:c>
      <x:c r="D1055" s="12" t="str">
        <x:v>Unresolved</x:v>
      </x:c>
      <x:c r="E1055" s="12" t="str">
        <x:v>Business activity not established</x:v>
      </x:c>
      <x:c r="F1055" s="12" t="str">
        <x:v>Mixed business audience</x:v>
      </x:c>
      <x:c r="G1055" s="12" t="str">
        <x:v>Business activity and company scale are not established from this name.</x:v>
      </x:c>
      <x:c r="H1055" s="11" t="n">
        <x:v>1</x:v>
      </x:c>
      <x:c r="I1055" s="11" t="n">
        <x:v>1</x:v>
      </x:c>
      <x:c r="J1055" s="11" t="n">
        <x:v>1</x:v>
      </x:c>
      <x:c r="K1055" s="11" t="n">
        <x:v>0</x:v>
      </x:c>
      <x:c r="L1055" s="17" t="n">
        <x:f>SUM(SUMIFS('Costing'!$P$9:$P$492,'Costing'!$A$9:$A$492,"MAIN-415"))</x:f>
        <x:v>15000</x:v>
      </x:c>
      <x:c r="M1055" s="17" t="n">
        <x:f>ROUND(L1055*'Costing'!$C$4,2)</x:f>
        <x:v>2700</x:v>
      </x:c>
      <x:c r="N1055" s="17" t="n">
        <x:f>L1055+M1055</x:f>
        <x:v>17700</x:v>
      </x:c>
      <x:c r="O1055" s="12" t="str">
        <x:v>Pune</x:v>
      </x:c>
      <x:c r="P1055" s="12" t="str">
        <x:v>CORP-0411</x:v>
      </x:c>
      <x:c r="Q1055" s="12" t="str">
        <x:v>GTS technosoft pvt ltd</x:v>
      </x:c>
    </x:row>
    <x:row r="1056" ht="48" customHeight="1">
      <x:c r="A1056" s="2" t="str">
        <x:v>TEN-1368D08A6983</x:v>
      </x:c>
      <x:c r="B1056" s="12" t="str">
        <x:v>Guidewire Software Solutions India Pvt Ltd</x:v>
      </x:c>
      <x:c r="C1056" s="12" t="str">
        <x:v>Business / brand</x:v>
      </x:c>
      <x:c r="D1056" s="12" t="str">
        <x:v>IT &amp; digital</x:v>
      </x:c>
      <x:c r="E1056" s="12" t="str">
        <x:v>Enterprise software &amp; digital engineering</x:v>
      </x:c>
      <x:c r="F1056" s="12" t="str">
        <x:v>Large enterprise</x:v>
      </x:c>
      <x:c r="G1056" s="12" t="str">
        <x:v>Explicit Guidewire enterprise-family context; see ENTERPRISE_SUPP_033 evidence.</x:v>
      </x:c>
      <x:c r="H1056" s="11" t="n">
        <x:v>1</x:v>
      </x:c>
      <x:c r="I1056" s="11" t="n">
        <x:v>1</x:v>
      </x:c>
      <x:c r="J1056" s="11" t="n">
        <x:v>1</x:v>
      </x:c>
      <x:c r="K1056" s="11" t="n">
        <x:v>0</x:v>
      </x:c>
      <x:c r="L1056" s="17" t="n">
        <x:f>SUM(SUMIFS('Costing'!$P$9:$P$492,'Costing'!$A$9:$A$492,"MAIN-072"))</x:f>
        <x:v>15000</x:v>
      </x:c>
      <x:c r="M1056" s="17" t="n">
        <x:f>ROUND(L1056*'Costing'!$C$4,2)</x:f>
        <x:v>2700</x:v>
      </x:c>
      <x:c r="N1056" s="17" t="n">
        <x:f>L1056+M1056</x:f>
        <x:v>17700</x:v>
      </x:c>
      <x:c r="O1056" s="12" t="str">
        <x:v>Bengaluru</x:v>
      </x:c>
      <x:c r="P1056" s="12" t="str">
        <x:v>CORP-0068</x:v>
      </x:c>
      <x:c r="Q1056" s="12" t="str">
        <x:v>Guidewire Software Solutions India Pvt Ltd</x:v>
      </x:c>
    </x:row>
    <x:row r="1057" ht="48" customHeight="1">
      <x:c r="A1057" s="2" t="str">
        <x:v>TEN-BC00765320D0</x:v>
      </x:c>
      <x:c r="B1057" s="12" t="str">
        <x:v>Guidewire Software Solutions Pvt Ltd</x:v>
      </x:c>
      <x:c r="C1057" s="12" t="str">
        <x:v>Business / brand</x:v>
      </x:c>
      <x:c r="D1057" s="12" t="str">
        <x:v>IT &amp; digital</x:v>
      </x:c>
      <x:c r="E1057" s="12" t="str">
        <x:v>Enterprise software &amp; digital engineering</x:v>
      </x:c>
      <x:c r="F1057" s="12" t="str">
        <x:v>Large enterprise</x:v>
      </x:c>
      <x:c r="G1057" s="12" t="str">
        <x:v>Explicit Guidewire enterprise-family context; see ENTERPRISE_SUPP_033 evidence.</x:v>
      </x:c>
      <x:c r="H1057" s="11" t="n">
        <x:v>1</x:v>
      </x:c>
      <x:c r="I1057" s="11" t="n">
        <x:v>5</x:v>
      </x:c>
      <x:c r="J1057" s="11" t="n">
        <x:v>5</x:v>
      </x:c>
      <x:c r="K1057" s="11" t="n">
        <x:v>0</x:v>
      </x:c>
      <x:c r="L1057" s="17" t="n">
        <x:f>SUM(SUMIFS('Costing'!$P$9:$P$492,'Costing'!$A$9:$A$492,"MAIN-062"))</x:f>
        <x:v>200000</x:v>
      </x:c>
      <x:c r="M1057" s="17" t="n">
        <x:f>ROUND(L1057*'Costing'!$C$4,2)</x:f>
        <x:v>36000</x:v>
      </x:c>
      <x:c r="N1057" s="17" t="n">
        <x:f>L1057+M1057</x:f>
        <x:v>236000</x:v>
      </x:c>
      <x:c r="O1057" s="12" t="str">
        <x:v>Bengaluru</x:v>
      </x:c>
      <x:c r="P1057" s="12" t="str">
        <x:v>CORP-0058</x:v>
      </x:c>
      <x:c r="Q1057" s="12" t="str">
        <x:v>Guidewire Software Solutions Pvt Ltd</x:v>
      </x:c>
    </x:row>
    <x:row r="1058" ht="48" customHeight="1">
      <x:c r="A1058" s="2" t="str">
        <x:v>TEN-9366394BE9A7</x:v>
      </x:c>
      <x:c r="B1058" s="12" t="str">
        <x:v>Guru krupa grp</x:v>
      </x:c>
      <x:c r="C1058" s="12" t="str">
        <x:v>Business / brand</x:v>
      </x:c>
      <x:c r="D1058" s="12" t="str">
        <x:v>Unresolved</x:v>
      </x:c>
      <x:c r="E1058" s="12" t="str">
        <x:v>Business activity not established</x:v>
      </x:c>
      <x:c r="F1058" s="12" t="str">
        <x:v>Mixed business audience</x:v>
      </x:c>
      <x:c r="G1058" s="12" t="str">
        <x:v>Business activity and company scale are not established from this name.</x:v>
      </x:c>
      <x:c r="H1058" s="11" t="n">
        <x:v>1</x:v>
      </x:c>
      <x:c r="I1058" s="11" t="n">
        <x:v>39</x:v>
      </x:c>
      <x:c r="J1058" s="11" t="n">
        <x:v>39</x:v>
      </x:c>
      <x:c r="K1058" s="11" t="n">
        <x:v>0</x:v>
      </x:c>
      <x:c r="L1058" s="17" t="n">
        <x:f>SUM(SUMIFS('Costing'!$P$9:$P$492,'Costing'!$A$9:$A$492,"MAIN-351"))</x:f>
        <x:v>585000</x:v>
      </x:c>
      <x:c r="M1058" s="17" t="n">
        <x:f>ROUND(L1058*'Costing'!$C$4,2)</x:f>
        <x:v>105300</x:v>
      </x:c>
      <x:c r="N1058" s="17" t="n">
        <x:f>L1058+M1058</x:f>
        <x:v>690300</x:v>
      </x:c>
      <x:c r="O1058" s="12" t="str">
        <x:v>Mumbai</x:v>
      </x:c>
      <x:c r="P1058" s="12" t="str">
        <x:v>CORP-0347</x:v>
      </x:c>
      <x:c r="Q1058" s="12" t="str">
        <x:v>Guru krupa grp</x:v>
      </x:c>
    </x:row>
    <x:row r="1059" ht="48" customHeight="1">
      <x:c r="A1059" s="2" t="str">
        <x:v>TEN-908D8D983772</x:v>
      </x:c>
      <x:c r="B1059" s="12" t="str">
        <x:v>GWESOFT LLP</x:v>
      </x:c>
      <x:c r="C1059" s="12" t="str">
        <x:v>Business / brand</x:v>
      </x:c>
      <x:c r="D1059" s="12" t="str">
        <x:v>IT &amp; digital</x:v>
      </x:c>
      <x:c r="E1059" s="12" t="str">
        <x:v>Enterprise software &amp; digital engineering</x:v>
      </x:c>
      <x:c r="F1059" s="12" t="str">
        <x:v>Small-scale prospects</x:v>
      </x:c>
      <x:c r="G1059" s="12" t="str">
        <x:v>Software or technology-services business; small-scale prospect assumption.</x:v>
      </x:c>
      <x:c r="H1059" s="11" t="n">
        <x:v>1</x:v>
      </x:c>
      <x:c r="I1059" s="11" t="n">
        <x:v>4</x:v>
      </x:c>
      <x:c r="J1059" s="11" t="n">
        <x:v>4</x:v>
      </x:c>
      <x:c r="K1059" s="11" t="n">
        <x:v>0</x:v>
      </x:c>
      <x:c r="L1059" s="17" t="n">
        <x:f>SUM(SUMIFS('Costing'!$P$9:$P$492,'Costing'!$A$9:$A$492,"MAIN-421"))</x:f>
        <x:v>100000</x:v>
      </x:c>
      <x:c r="M1059" s="17" t="n">
        <x:f>ROUND(L1059*'Costing'!$C$4,2)</x:f>
        <x:v>18000</x:v>
      </x:c>
      <x:c r="N1059" s="17" t="n">
        <x:f>L1059+M1059</x:f>
        <x:v>118000</x:v>
      </x:c>
      <x:c r="O1059" s="12" t="str">
        <x:v>Pune</x:v>
      </x:c>
      <x:c r="P1059" s="12" t="str">
        <x:v>CORP-0417</x:v>
      </x:c>
      <x:c r="Q1059" s="12" t="str">
        <x:v>GWESOFT LLP</x:v>
      </x:c>
    </x:row>
    <x:row r="1060" ht="48" customHeight="1">
      <x:c r="A1060" s="2" t="str">
        <x:v>TEN-06DF4DFB01BE</x:v>
      </x:c>
      <x:c r="B1060" s="12" t="str">
        <x:v>Gyansys Infotech</x:v>
      </x:c>
      <x:c r="C1060" s="12" t="str">
        <x:v>Business / brand</x:v>
      </x:c>
      <x:c r="D1060" s="12" t="str">
        <x:v>IT &amp; digital</x:v>
      </x:c>
      <x:c r="E1060" s="12" t="str">
        <x:v>Enterprise software &amp; digital engineering</x:v>
      </x:c>
      <x:c r="F1060" s="12" t="str">
        <x:v>Small-scale prospects</x:v>
      </x:c>
      <x:c r="G1060" s="12" t="str">
        <x:v>Software or technology-services business; small-scale prospect assumption.</x:v>
      </x:c>
      <x:c r="H1060" s="11" t="n">
        <x:v>9</x:v>
      </x:c>
      <x:c r="I1060" s="11" t="n">
        <x:v>9</x:v>
      </x:c>
      <x:c r="J1060" s="11" t="n">
        <x:v>9</x:v>
      </x:c>
      <x:c r="K1060" s="11" t="n">
        <x:v>0</x:v>
      </x:c>
      <x:c r="L1060" s="17" t="n">
        <x:f>SUM(SUMIFS('Costing'!$P$9:$P$492,'Costing'!$A$9:$A$492,"PARTNER-M002"))</x:f>
        <x:v>360000</x:v>
      </x:c>
      <x:c r="M1060" s="17" t="n">
        <x:f>ROUND(L1060*'Costing'!$C$4,2)</x:f>
        <x:v>64800</x:v>
      </x:c>
      <x:c r="N1060" s="17" t="n">
        <x:f>L1060+M1060</x:f>
        <x:v>424800</x:v>
      </x:c>
      <x:c r="O1060" s="12" t="str">
        <x:v>Bengaluru</x:v>
      </x:c>
      <x:c r="P1060" s="12" t="str">
        <x:v>CORP-0420, CORP-0421, CORP-0422, CORP-0423, CORP-0424, CORP-0425, CORP-0426, CORP-0427, CORP-0428</x:v>
      </x:c>
      <x:c r="Q1060" s="12" t="str">
        <x:v>Gyansys Infotech</x:v>
      </x:c>
    </x:row>
    <x:row r="1061" ht="48" customHeight="1">
      <x:c r="A1061" s="2" t="str">
        <x:v>TEN-8DA2C436460E</x:v>
      </x:c>
      <x:c r="B1061" s="12" t="str">
        <x:v>Gymoryx</x:v>
      </x:c>
      <x:c r="C1061" s="12" t="str">
        <x:v>Business / brand</x:v>
      </x:c>
      <x:c r="D1061" s="12" t="str">
        <x:v>Healthcare &amp; life sciences</x:v>
      </x:c>
      <x:c r="E1061" s="12" t="str">
        <x:v>Mental health, wellbeing &amp; fitness</x:v>
      </x:c>
      <x:c r="F1061" s="12" t="str">
        <x:v>Small-scale prospects</x:v>
      </x:c>
      <x:c r="G1061" s="12" t="str">
        <x:v>Healthcare services business; small-scale prospect assumption.</x:v>
      </x:c>
      <x:c r="H1061" s="11" t="n">
        <x:v>1</x:v>
      </x:c>
      <x:c r="I1061" s="11" t="n">
        <x:v>8</x:v>
      </x:c>
      <x:c r="J1061" s="11" t="n">
        <x:v>8</x:v>
      </x:c>
      <x:c r="K1061" s="11" t="n">
        <x:v>0</x:v>
      </x:c>
      <x:c r="L1061" s="17" t="n">
        <x:f>SUM(SUMIFS('Costing'!$P$9:$P$492,'Costing'!$A$9:$A$492,"MAIN-059"))</x:f>
        <x:v>120000</x:v>
      </x:c>
      <x:c r="M1061" s="17" t="n">
        <x:f>ROUND(L1061*'Costing'!$C$4,2)</x:f>
        <x:v>21600</x:v>
      </x:c>
      <x:c r="N1061" s="17" t="n">
        <x:f>L1061+M1061</x:f>
        <x:v>141600</x:v>
      </x:c>
      <x:c r="O1061" s="12" t="str">
        <x:v>Bengaluru</x:v>
      </x:c>
      <x:c r="P1061" s="12" t="str">
        <x:v>CORP-0055</x:v>
      </x:c>
      <x:c r="Q1061" s="12" t="str">
        <x:v>Gymoryx</x:v>
      </x:c>
    </x:row>
    <x:row r="1062" ht="48" customHeight="1">
      <x:c r="A1062" s="2" t="str">
        <x:v>TEN-E6CED8408C37</x:v>
      </x:c>
      <x:c r="B1062" s="12" t="str">
        <x:v>H&amp;R Johnson</x:v>
      </x:c>
      <x:c r="C1062" s="12" t="str">
        <x:v>Business / brand</x:v>
      </x:c>
      <x:c r="D1062" s="12" t="str">
        <x:v>Engineering &amp; manufacturing</x:v>
      </x:c>
      <x:c r="E1062" s="12" t="str">
        <x:v>Electronics, industrial systems &amp; manufacturing</x:v>
      </x:c>
      <x:c r="F1062" s="12" t="str">
        <x:v>Mixed business audience</x:v>
      </x:c>
      <x:c r="G1062" s="12" t="str">
        <x:v>Established brand or business network; local company scale is not established. Use a mixed-business message.</x:v>
      </x:c>
      <x:c r="H1062" s="11" t="n">
        <x:v>6</x:v>
      </x:c>
      <x:c r="I1062" s="11" t="n">
        <x:v>6</x:v>
      </x:c>
      <x:c r="J1062" s="11" t="n">
        <x:v>6</x:v>
      </x:c>
      <x:c r="K1062" s="11" t="n">
        <x:v>0</x:v>
      </x:c>
      <x:c r="L1062" s="17" t="n">
        <x:f>SUM(SUMIFS('Costing'!$P$9:$P$492,'Costing'!$A$9:$A$492,"PARTNER-M227"))</x:f>
        <x:v>240000</x:v>
      </x:c>
      <x:c r="M1062" s="17" t="n">
        <x:f>ROUND(L1062*'Costing'!$C$4,2)</x:f>
        <x:v>43200</x:v>
      </x:c>
      <x:c r="N1062" s="17" t="n">
        <x:f>L1062+M1062</x:f>
        <x:v>283200</x:v>
      </x:c>
      <x:c r="O1062" s="12" t="str">
        <x:v>Mumbai</x:v>
      </x:c>
      <x:c r="P1062" s="12" t="str">
        <x:v>CORP-0644, CORP-0645, CORP-0646, CORP-0647, CORP-0648, CORP-0649</x:v>
      </x:c>
      <x:c r="Q1062" s="12" t="str">
        <x:v>H&amp;R Johnson</x:v>
      </x:c>
    </x:row>
    <x:row r="1063" ht="48" customHeight="1">
      <x:c r="A1063" s="2" t="str">
        <x:v>TEN-9ADA93CCAD10</x:v>
      </x:c>
      <x:c r="B1063" s="12" t="str">
        <x:v>Habibs</x:v>
      </x:c>
      <x:c r="C1063" s="12" t="str">
        <x:v>Business / brand</x:v>
      </x:c>
      <x:c r="D1063" s="12" t="str">
        <x:v>Trade, consumer &amp; logistics</x:v>
      </x:c>
      <x:c r="E1063" s="12" t="str">
        <x:v>Retail, consumer products &amp; ecommerce</x:v>
      </x:c>
      <x:c r="F1063" s="12" t="str">
        <x:v>Mixed business audience</x:v>
      </x:c>
      <x:c r="G1063" s="12" t="str">
        <x:v>Established brand or business network; local company scale is not established. Use a mixed-business message.</x:v>
      </x:c>
      <x:c r="H1063" s="11" t="n">
        <x:v>1</x:v>
      </x:c>
      <x:c r="I1063" s="11" t="n">
        <x:v>1</x:v>
      </x:c>
      <x:c r="J1063" s="11" t="n">
        <x:v>1</x:v>
      </x:c>
      <x:c r="K1063" s="11" t="n">
        <x:v>0</x:v>
      </x:c>
      <x:c r="L1063" s="17" t="n">
        <x:f>SUM(SUMIFS('Costing'!$P$9:$P$492,'Costing'!$A$9:$A$492,"MAIN-390"))</x:f>
        <x:v>15000</x:v>
      </x:c>
      <x:c r="M1063" s="17" t="n">
        <x:f>ROUND(L1063*'Costing'!$C$4,2)</x:f>
        <x:v>2700</x:v>
      </x:c>
      <x:c r="N1063" s="17" t="n">
        <x:f>L1063+M1063</x:f>
        <x:v>17700</x:v>
      </x:c>
      <x:c r="O1063" s="12" t="str">
        <x:v>Pune</x:v>
      </x:c>
      <x:c r="P1063" s="12" t="str">
        <x:v>CORP-0386</x:v>
      </x:c>
      <x:c r="Q1063" s="12" t="str">
        <x:v>Habibs</x:v>
      </x:c>
    </x:row>
    <x:row r="1064" ht="48" customHeight="1">
      <x:c r="A1064" s="2" t="str">
        <x:v>TEN-FB464099276C</x:v>
      </x:c>
      <x:c r="B1064" s="12" t="str">
        <x:v>Hajana Technologies</x:v>
      </x:c>
      <x:c r="C1064" s="12" t="str">
        <x:v>Business / brand</x:v>
      </x:c>
      <x:c r="D1064" s="12" t="str">
        <x:v>Unresolved</x:v>
      </x:c>
      <x:c r="E1064" s="12" t="str">
        <x:v>Business activity not established</x:v>
      </x:c>
      <x:c r="F1064" s="12" t="str">
        <x:v>Mixed business audience</x:v>
      </x:c>
      <x:c r="G1064" s="12" t="str">
        <x:v>Business activity and company scale are not established from this name.</x:v>
      </x:c>
      <x:c r="H1064" s="11" t="n">
        <x:v>1</x:v>
      </x:c>
      <x:c r="I1064" s="11" t="n">
        <x:v>4</x:v>
      </x:c>
      <x:c r="J1064" s="11" t="n">
        <x:v>4</x:v>
      </x:c>
      <x:c r="K1064" s="11" t="n">
        <x:v>0</x:v>
      </x:c>
      <x:c r="L1064" s="17" t="n">
        <x:f>SUM(SUMIFS('Costing'!$P$9:$P$492,'Costing'!$A$9:$A$492,"MAIN-124"))</x:f>
        <x:v>100000</x:v>
      </x:c>
      <x:c r="M1064" s="17" t="n">
        <x:f>ROUND(L1064*'Costing'!$C$4,2)</x:f>
        <x:v>18000</x:v>
      </x:c>
      <x:c r="N1064" s="17" t="n">
        <x:f>L1064+M1064</x:f>
        <x:v>118000</x:v>
      </x:c>
      <x:c r="O1064" s="12" t="str">
        <x:v>Bengaluru</x:v>
      </x:c>
      <x:c r="P1064" s="12" t="str">
        <x:v>CORP-0120</x:v>
      </x:c>
      <x:c r="Q1064" s="12" t="str">
        <x:v>Hajana Technologies</x:v>
      </x:c>
    </x:row>
    <x:row r="1065" ht="48" customHeight="1">
      <x:c r="A1065" s="2" t="str">
        <x:v>TEN-C15D33DD1E40</x:v>
      </x:c>
      <x:c r="B1065" s="12" t="str">
        <x:v>Hal Offshore Ltd</x:v>
      </x:c>
      <x:c r="C1065" s="12" t="str">
        <x:v>Business / brand</x:v>
      </x:c>
      <x:c r="D1065" s="12" t="str">
        <x:v>Trade, consumer &amp; logistics</x:v>
      </x:c>
      <x:c r="E1065" s="12" t="str">
        <x:v>Logistics, shipping &amp; transport</x:v>
      </x:c>
      <x:c r="F1065" s="12" t="str">
        <x:v>Mixed business audience</x:v>
      </x:c>
      <x:c r="G1065" s="12" t="str">
        <x:v>Established brand or business network; local company scale is not established. Use a mixed-business message.</x:v>
      </x:c>
      <x:c r="H1065" s="11" t="n">
        <x:v>4</x:v>
      </x:c>
      <x:c r="I1065" s="11" t="n">
        <x:v>4</x:v>
      </x:c>
      <x:c r="J1065" s="11" t="n">
        <x:v>4</x:v>
      </x:c>
      <x:c r="K1065" s="11" t="n">
        <x:v>0</x:v>
      </x:c>
      <x:c r="L1065" s="17" t="n">
        <x:f>SUM(SUMIFS('Costing'!$P$9:$P$492,'Costing'!$A$9:$A$492,"PARTNER-M235"))</x:f>
        <x:v>160000</x:v>
      </x:c>
      <x:c r="M1065" s="17" t="n">
        <x:f>ROUND(L1065*'Costing'!$C$4,2)</x:f>
        <x:v>28800</x:v>
      </x:c>
      <x:c r="N1065" s="17" t="n">
        <x:f>L1065+M1065</x:f>
        <x:v>188800</x:v>
      </x:c>
      <x:c r="O1065" s="12" t="str">
        <x:v>Mumbai</x:v>
      </x:c>
      <x:c r="P1065" s="12" t="str">
        <x:v>CORP-0652, CORP-0653, CORP-0654, CORP-0655</x:v>
      </x:c>
      <x:c r="Q1065" s="12" t="str">
        <x:v>Hal Offshore Ltd</x:v>
      </x:c>
    </x:row>
    <x:row r="1066" ht="48" customHeight="1">
      <x:c r="A1066" s="2" t="str">
        <x:v>TEN-E03A5ACF6E58</x:v>
      </x:c>
      <x:c r="B1066" s="12" t="str">
        <x:v>Haldirams</x:v>
      </x:c>
      <x:c r="C1066" s="12" t="str">
        <x:v>Business / brand</x:v>
      </x:c>
      <x:c r="D1066" s="12" t="str">
        <x:v>Trade, consumer &amp; logistics</x:v>
      </x:c>
      <x:c r="E1066" s="12" t="str">
        <x:v>Consumer/trade services — specialty unverified</x:v>
      </x:c>
      <x:c r="F1066" s="12" t="str">
        <x:v>Mixed business audience</x:v>
      </x:c>
      <x:c r="G1066" s="12" t="str">
        <x:v>Recognisable business context; company-scale evidence remains insufficient for a single size band.</x:v>
      </x:c>
      <x:c r="H1066" s="11" t="n">
        <x:v>1</x:v>
      </x:c>
      <x:c r="I1066" s="11" t="n">
        <x:v>1</x:v>
      </x:c>
      <x:c r="J1066" s="11" t="n">
        <x:v>1</x:v>
      </x:c>
      <x:c r="K1066" s="11" t="n">
        <x:v>0</x:v>
      </x:c>
      <x:c r="L1066" s="17" t="n">
        <x:f>SUM(SUMIFS('Costing'!$P$9:$P$492,'Costing'!$A$9:$A$492,"MAIN-379"))</x:f>
        <x:v>15000</x:v>
      </x:c>
      <x:c r="M1066" s="17" t="n">
        <x:f>ROUND(L1066*'Costing'!$C$4,2)</x:f>
        <x:v>2700</x:v>
      </x:c>
      <x:c r="N1066" s="17" t="n">
        <x:f>L1066+M1066</x:f>
        <x:v>17700</x:v>
      </x:c>
      <x:c r="O1066" s="12" t="str">
        <x:v>Pune</x:v>
      </x:c>
      <x:c r="P1066" s="12" t="str">
        <x:v>CORP-0375</x:v>
      </x:c>
      <x:c r="Q1066" s="12" t="str">
        <x:v>Haldirams</x:v>
      </x:c>
    </x:row>
    <x:row r="1067" ht="49" customHeight="1">
      <x:c r="A1067" s="2" t="str">
        <x:v>TEN-0170851682E7</x:v>
      </x:c>
      <x:c r="B1067" s="12" t="str">
        <x:v>Halewood Laboratories Pvt. Ltd</x:v>
      </x:c>
      <x:c r="C1067" s="12" t="str">
        <x:v>Business / brand</x:v>
      </x:c>
      <x:c r="D1067" s="12" t="str">
        <x:v>Healthcare &amp; life sciences</x:v>
      </x:c>
      <x:c r="E1067" s="12" t="str">
        <x:v>Clinical, pharmaceutical &amp; health services</x:v>
      </x:c>
      <x:c r="F1067" s="12" t="str">
        <x:v>Medium-scale prospects</x:v>
      </x:c>
      <x:c r="G1067" s="12" t="str">
        <x:v>Official site reports 250+ team size, manufacturing divisions and exports to over 40 countries; lists its Summit Business Bay Mumbai office.</x:v>
      </x:c>
      <x:c r="H1067" s="11" t="n">
        <x:v>1</x:v>
      </x:c>
      <x:c r="I1067" s="11" t="n">
        <x:v>70</x:v>
      </x:c>
      <x:c r="J1067" s="11" t="n">
        <x:v>70</x:v>
      </x:c>
      <x:c r="K1067" s="11" t="n">
        <x:v>0</x:v>
      </x:c>
      <x:c r="L1067" s="17" t="n">
        <x:f>SUM(SUMIFS('Costing'!$P$9:$P$492,'Costing'!$A$9:$A$492,"MAIN-350"))</x:f>
        <x:v>1050000</x:v>
      </x:c>
      <x:c r="M1067" s="17" t="n">
        <x:f>ROUND(L1067*'Costing'!$C$4,2)</x:f>
        <x:v>189000</x:v>
      </x:c>
      <x:c r="N1067" s="17" t="n">
        <x:f>L1067+M1067</x:f>
        <x:v>1239000</x:v>
      </x:c>
      <x:c r="O1067" s="12" t="str">
        <x:v>Mumbai</x:v>
      </x:c>
      <x:c r="P1067" s="12" t="str">
        <x:v>CORP-0346</x:v>
      </x:c>
      <x:c r="Q1067" s="12" t="str">
        <x:v>Halewood Laboratories Pvt. Ltd</x:v>
      </x:c>
    </x:row>
    <x:row r="1068" ht="48" customHeight="1">
      <x:c r="A1068" s="2" t="str">
        <x:v>TEN-6D42C4AA277D</x:v>
      </x:c>
      <x:c r="B1068" s="12" t="str">
        <x:v>Hammer Events</x:v>
      </x:c>
      <x:c r="C1068" s="12" t="str">
        <x:v>Business / brand</x:v>
      </x:c>
      <x:c r="D1068" s="12" t="str">
        <x:v>Trade, consumer &amp; logistics</x:v>
      </x:c>
      <x:c r="E1068" s="12" t="str">
        <x:v>Entertainment, media &amp; events</x:v>
      </x:c>
      <x:c r="F1068" s="12" t="str">
        <x:v>Small-scale prospects</x:v>
      </x:c>
      <x:c r="G1068" s="12" t="str">
        <x:v>Trading or consumer-services business; small-scale prospect assumption.</x:v>
      </x:c>
      <x:c r="H1068" s="11" t="n">
        <x:v>1</x:v>
      </x:c>
      <x:c r="I1068" s="11" t="n">
        <x:v>2</x:v>
      </x:c>
      <x:c r="J1068" s="11" t="n">
        <x:v>2</x:v>
      </x:c>
      <x:c r="K1068" s="11" t="n">
        <x:v>0</x:v>
      </x:c>
      <x:c r="L1068" s="17" t="n">
        <x:f>SUM(SUMIFS('Costing'!$P$9:$P$492,'Costing'!$A$9:$A$492,"MAIN-267"))</x:f>
        <x:v>40000</x:v>
      </x:c>
      <x:c r="M1068" s="17" t="n">
        <x:f>ROUND(L1068*'Costing'!$C$4,2)</x:f>
        <x:v>7200</x:v>
      </x:c>
      <x:c r="N1068" s="17" t="n">
        <x:f>L1068+M1068</x:f>
        <x:v>47200</x:v>
      </x:c>
      <x:c r="O1068" s="12" t="str">
        <x:v>Indore</x:v>
      </x:c>
      <x:c r="P1068" s="12" t="str">
        <x:v>CORP-0263</x:v>
      </x:c>
      <x:c r="Q1068" s="12" t="str">
        <x:v>Hammer Events</x:v>
      </x:c>
    </x:row>
    <x:row r="1069" ht="48" customHeight="1">
      <x:c r="A1069" s="2" t="str">
        <x:v>TEN-6E8D723B53AA</x:v>
      </x:c>
      <x:c r="B1069" s="12" t="str">
        <x:v>Hanbaz India</x:v>
      </x:c>
      <x:c r="C1069" s="12" t="str">
        <x:v>Business / brand</x:v>
      </x:c>
      <x:c r="D1069" s="12" t="str">
        <x:v>Unresolved</x:v>
      </x:c>
      <x:c r="E1069" s="12" t="str">
        <x:v>Business activity not established</x:v>
      </x:c>
      <x:c r="F1069" s="12" t="str">
        <x:v>Mixed business audience</x:v>
      </x:c>
      <x:c r="G1069" s="12" t="str">
        <x:v>Business activity and company scale are not established from this name.</x:v>
      </x:c>
      <x:c r="H1069" s="11" t="n">
        <x:v>1</x:v>
      </x:c>
      <x:c r="I1069" s="11" t="n">
        <x:v>2</x:v>
      </x:c>
      <x:c r="J1069" s="11" t="n">
        <x:v>2</x:v>
      </x:c>
      <x:c r="K1069" s="11" t="n">
        <x:v>0</x:v>
      </x:c>
      <x:c r="L1069" s="17" t="n">
        <x:f>SUM(SUMIFS('Costing'!$P$9:$P$492,'Costing'!$A$9:$A$492,"MAIN-081"))</x:f>
        <x:v>30000</x:v>
      </x:c>
      <x:c r="M1069" s="17" t="n">
        <x:f>ROUND(L1069*'Costing'!$C$4,2)</x:f>
        <x:v>5400</x:v>
      </x:c>
      <x:c r="N1069" s="17" t="n">
        <x:f>L1069+M1069</x:f>
        <x:v>35400</x:v>
      </x:c>
      <x:c r="O1069" s="12" t="str">
        <x:v>Bengaluru</x:v>
      </x:c>
      <x:c r="P1069" s="12" t="str">
        <x:v>CORP-0077</x:v>
      </x:c>
      <x:c r="Q1069" s="12" t="str">
        <x:v>Hanbaz India</x:v>
      </x:c>
    </x:row>
    <x:row r="1070" ht="48" customHeight="1">
      <x:c r="A1070" s="2" t="str">
        <x:v>TEN-46B4959BDEE0</x:v>
      </x:c>
      <x:c r="B1070" s="12" t="str">
        <x:v>Hansa Cequity</x:v>
      </x:c>
      <x:c r="C1070" s="12" t="str">
        <x:v>Business / brand</x:v>
      </x:c>
      <x:c r="D1070" s="12" t="str">
        <x:v>Professional services</x:v>
      </x:c>
      <x:c r="E1070" s="12" t="str">
        <x:v>Marketing, media &amp; research services</x:v>
      </x:c>
      <x:c r="F1070" s="12" t="str">
        <x:v>Mixed business audience</x:v>
      </x:c>
      <x:c r="G1070" s="12" t="str">
        <x:v>Established brand or business network; local company scale is not established. Use a mixed-business message.</x:v>
      </x:c>
      <x:c r="H1070" s="11" t="n">
        <x:v>2</x:v>
      </x:c>
      <x:c r="I1070" s="11" t="n">
        <x:v>2</x:v>
      </x:c>
      <x:c r="J1070" s="11" t="n">
        <x:v>2</x:v>
      </x:c>
      <x:c r="K1070" s="11" t="n">
        <x:v>0</x:v>
      </x:c>
      <x:c r="L1070" s="17" t="n">
        <x:f>SUM(SUMIFS('Costing'!$P$9:$P$492,'Costing'!$A$9:$A$492,"PARTNER-M243"))</x:f>
        <x:v>80000</x:v>
      </x:c>
      <x:c r="M1070" s="17" t="n">
        <x:f>ROUND(L1070*'Costing'!$C$4,2)</x:f>
        <x:v>14400</x:v>
      </x:c>
      <x:c r="N1070" s="17" t="n">
        <x:f>L1070+M1070</x:f>
        <x:v>94400</x:v>
      </x:c>
      <x:c r="O1070" s="12" t="str">
        <x:v>Mumbai</x:v>
      </x:c>
      <x:c r="P1070" s="12" t="str">
        <x:v>CORP-0660, CORP-0661</x:v>
      </x:c>
      <x:c r="Q1070" s="12" t="str">
        <x:v>Hansa Cequity</x:v>
      </x:c>
    </x:row>
    <x:row r="1071" ht="48" customHeight="1">
      <x:c r="A1071" s="2" t="str">
        <x:v>TEN-294E778CB1A4</x:v>
      </x:c>
      <x:c r="B1071" s="12" t="str">
        <x:v>Happiness Plans</x:v>
      </x:c>
      <x:c r="C1071" s="12" t="str">
        <x:v>Business / brand</x:v>
      </x:c>
      <x:c r="D1071" s="12" t="str">
        <x:v>Unresolved</x:v>
      </x:c>
      <x:c r="E1071" s="12" t="str">
        <x:v>Business activity not established</x:v>
      </x:c>
      <x:c r="F1071" s="12" t="str">
        <x:v>Mixed business audience</x:v>
      </x:c>
      <x:c r="G1071" s="12" t="str">
        <x:v>Business activity and company scale are not established from this name.</x:v>
      </x:c>
      <x:c r="H1071" s="11" t="n">
        <x:v>1</x:v>
      </x:c>
      <x:c r="I1071" s="11" t="n">
        <x:v>2</x:v>
      </x:c>
      <x:c r="J1071" s="11" t="n">
        <x:v>2</x:v>
      </x:c>
      <x:c r="K1071" s="11" t="n">
        <x:v>0</x:v>
      </x:c>
      <x:c r="L1071" s="17" t="n">
        <x:f>SUM(SUMIFS('Costing'!$P$9:$P$492,'Costing'!$A$9:$A$492,"MAIN-268"))</x:f>
        <x:v>80000</x:v>
      </x:c>
      <x:c r="M1071" s="17" t="n">
        <x:f>ROUND(L1071*'Costing'!$C$4,2)</x:f>
        <x:v>14400</x:v>
      </x:c>
      <x:c r="N1071" s="17" t="n">
        <x:f>L1071+M1071</x:f>
        <x:v>94400</x:v>
      </x:c>
      <x:c r="O1071" s="12" t="str">
        <x:v>Indore</x:v>
      </x:c>
      <x:c r="P1071" s="12" t="str">
        <x:v>CORP-0264</x:v>
      </x:c>
      <x:c r="Q1071" s="12" t="str">
        <x:v>Happiness Plans</x:v>
      </x:c>
    </x:row>
    <x:row r="1072" ht="48" customHeight="1">
      <x:c r="A1072" s="2" t="str">
        <x:v>TEN-AFB51487B347</x:v>
      </x:c>
      <x:c r="B1072" s="12" t="str">
        <x:v>Happy Visitor Esoutions</x:v>
      </x:c>
      <x:c r="C1072" s="12" t="str">
        <x:v>Business / brand</x:v>
      </x:c>
      <x:c r="D1072" s="12" t="str">
        <x:v>Unresolved</x:v>
      </x:c>
      <x:c r="E1072" s="12" t="str">
        <x:v>Business activity not established</x:v>
      </x:c>
      <x:c r="F1072" s="12" t="str">
        <x:v>Mixed business audience</x:v>
      </x:c>
      <x:c r="G1072" s="12" t="str">
        <x:v>Business activity and company scale are not established from this name.</x:v>
      </x:c>
      <x:c r="H1072" s="11" t="n">
        <x:v>9</x:v>
      </x:c>
      <x:c r="I1072" s="11" t="n">
        <x:v>9</x:v>
      </x:c>
      <x:c r="J1072" s="11" t="n">
        <x:v>9</x:v>
      </x:c>
      <x:c r="K1072" s="11" t="n">
        <x:v>0</x:v>
      </x:c>
      <x:c r="L1072" s="17" t="n">
        <x:f>SUM(SUMIFS('Costing'!$P$9:$P$492,'Costing'!$A$9:$A$492,"PARTNER-M002"))</x:f>
        <x:v>360000</x:v>
      </x:c>
      <x:c r="M1072" s="17" t="n">
        <x:f>ROUND(L1072*'Costing'!$C$4,2)</x:f>
        <x:v>64800</x:v>
      </x:c>
      <x:c r="N1072" s="17" t="n">
        <x:f>L1072+M1072</x:f>
        <x:v>424800</x:v>
      </x:c>
      <x:c r="O1072" s="12" t="str">
        <x:v>Bengaluru</x:v>
      </x:c>
      <x:c r="P1072" s="12" t="str">
        <x:v>CORP-0420, CORP-0421, CORP-0422, CORP-0423, CORP-0424, CORP-0425, CORP-0426, CORP-0427, CORP-0428</x:v>
      </x:c>
      <x:c r="Q1072" s="12" t="str">
        <x:v>Happy Visitor Esoutions</x:v>
      </x:c>
    </x:row>
    <x:row r="1073" ht="48" customHeight="1">
      <x:c r="A1073" s="2" t="str">
        <x:v>TEN-F1446726068A</x:v>
      </x:c>
      <x:c r="B1073" s="12" t="str">
        <x:v>Happy Weddings</x:v>
      </x:c>
      <x:c r="C1073" s="12" t="str">
        <x:v>Business / brand</x:v>
      </x:c>
      <x:c r="D1073" s="12" t="str">
        <x:v>Trade, consumer &amp; logistics</x:v>
      </x:c>
      <x:c r="E1073" s="12" t="str">
        <x:v>Entertainment, media &amp; events</x:v>
      </x:c>
      <x:c r="F1073" s="12" t="str">
        <x:v>Small-scale prospects</x:v>
      </x:c>
      <x:c r="G1073" s="12" t="str">
        <x:v>Trading or consumer-services business; small-scale prospect assumption.</x:v>
      </x:c>
      <x:c r="H1073" s="11" t="n">
        <x:v>1</x:v>
      </x:c>
      <x:c r="I1073" s="11" t="n">
        <x:v>2</x:v>
      </x:c>
      <x:c r="J1073" s="11" t="n">
        <x:v>2</x:v>
      </x:c>
      <x:c r="K1073" s="11" t="n">
        <x:v>0</x:v>
      </x:c>
      <x:c r="L1073" s="17" t="n">
        <x:f>SUM(SUMIFS('Costing'!$P$9:$P$492,'Costing'!$A$9:$A$492,"MAIN-268"))</x:f>
        <x:v>80000</x:v>
      </x:c>
      <x:c r="M1073" s="17" t="n">
        <x:f>ROUND(L1073*'Costing'!$C$4,2)</x:f>
        <x:v>14400</x:v>
      </x:c>
      <x:c r="N1073" s="17" t="n">
        <x:f>L1073+M1073</x:f>
        <x:v>94400</x:v>
      </x:c>
      <x:c r="O1073" s="12" t="str">
        <x:v>Indore</x:v>
      </x:c>
      <x:c r="P1073" s="12" t="str">
        <x:v>CORP-0264</x:v>
      </x:c>
      <x:c r="Q1073" s="12" t="str">
        <x:v>Happy Weddings</x:v>
      </x:c>
    </x:row>
    <x:row r="1074" ht="48" customHeight="1">
      <x:c r="A1074" s="2" t="str">
        <x:v>TEN-D4CA40CB2DE3</x:v>
      </x:c>
      <x:c r="B1074" s="12" t="str">
        <x:v>Harish caters</x:v>
      </x:c>
      <x:c r="C1074" s="12" t="str">
        <x:v>Business / brand</x:v>
      </x:c>
      <x:c r="D1074" s="12" t="str">
        <x:v>Trade, consumer &amp; logistics</x:v>
      </x:c>
      <x:c r="E1074" s="12" t="str">
        <x:v>Travel, hospitality, food &amp; beverages</x:v>
      </x:c>
      <x:c r="F1074" s="12" t="str">
        <x:v>Small-scale prospects</x:v>
      </x:c>
      <x:c r="G1074" s="12" t="str">
        <x:v>Trading or consumer-services business; small-scale prospect assumption.</x:v>
      </x:c>
      <x:c r="H1074" s="11" t="n">
        <x:v>1</x:v>
      </x:c>
      <x:c r="I1074" s="11" t="n">
        <x:v>6</x:v>
      </x:c>
      <x:c r="J1074" s="11" t="n">
        <x:v>6</x:v>
      </x:c>
      <x:c r="K1074" s="11" t="n">
        <x:v>0</x:v>
      </x:c>
      <x:c r="L1074" s="17" t="n">
        <x:f>SUM(SUMIFS('Costing'!$P$9:$P$492,'Costing'!$A$9:$A$492,"MAIN-320"))</x:f>
        <x:v>90000</x:v>
      </x:c>
      <x:c r="M1074" s="17" t="n">
        <x:f>ROUND(L1074*'Costing'!$C$4,2)</x:f>
        <x:v>16200</x:v>
      </x:c>
      <x:c r="N1074" s="17" t="n">
        <x:f>L1074+M1074</x:f>
        <x:v>106200</x:v>
      </x:c>
      <x:c r="O1074" s="12" t="str">
        <x:v>Mumbai</x:v>
      </x:c>
      <x:c r="P1074" s="12" t="str">
        <x:v>CORP-0316</x:v>
      </x:c>
      <x:c r="Q1074" s="12" t="str">
        <x:v>Harish caters</x:v>
      </x:c>
    </x:row>
    <x:row r="1075" ht="48" customHeight="1">
      <x:c r="A1075" s="2" t="str">
        <x:v>TEN-EA7C003B3B0A</x:v>
      </x:c>
      <x:c r="B1075" s="12" t="str">
        <x:v>Harman</x:v>
      </x:c>
      <x:c r="C1075" s="12" t="str">
        <x:v>Business / brand</x:v>
      </x:c>
      <x:c r="D1075" s="12" t="str">
        <x:v>Engineering &amp; manufacturing</x:v>
      </x:c>
      <x:c r="E1075" s="12" t="str">
        <x:v>Engineering/manufacturing — specialty unverified</x:v>
      </x:c>
      <x:c r="F1075" s="12" t="str">
        <x:v>Mixed business audience</x:v>
      </x:c>
      <x:c r="G1075" s="12" t="str">
        <x:v>Recognisable business context; company-scale evidence remains insufficient for a single size band.</x:v>
      </x:c>
      <x:c r="H1075" s="11" t="n">
        <x:v>5</x:v>
      </x:c>
      <x:c r="I1075" s="11" t="n">
        <x:v>5</x:v>
      </x:c>
      <x:c r="J1075" s="11" t="n">
        <x:v>5</x:v>
      </x:c>
      <x:c r="K1075" s="11" t="n">
        <x:v>0</x:v>
      </x:c>
      <x:c r="L1075" s="17" t="n">
        <x:f>SUM(SUMIFS('Costing'!$P$9:$P$492,'Costing'!$A$9:$A$492,"PARTNER-M268"))</x:f>
        <x:v>200000</x:v>
      </x:c>
      <x:c r="M1075" s="17" t="n">
        <x:f>ROUND(L1075*'Costing'!$C$4,2)</x:f>
        <x:v>36000</x:v>
      </x:c>
      <x:c r="N1075" s="17" t="n">
        <x:f>L1075+M1075</x:f>
        <x:v>236000</x:v>
      </x:c>
      <x:c r="O1075" s="12" t="str">
        <x:v>Pune</x:v>
      </x:c>
      <x:c r="P1075" s="12" t="str">
        <x:v>CORP-0684, CORP-0685, CORP-0686, CORP-0687, CORP-0688</x:v>
      </x:c>
      <x:c r="Q1075" s="12" t="str">
        <x:v>Harman</x:v>
      </x:c>
    </x:row>
    <x:row r="1076" ht="48" customHeight="1">
      <x:c r="A1076" s="2" t="str">
        <x:v>TEN-00C839FED430</x:v>
      </x:c>
      <x:c r="B1076" s="12" t="str">
        <x:v>Hash Overseas</x:v>
      </x:c>
      <x:c r="C1076" s="12" t="str">
        <x:v>Business / brand</x:v>
      </x:c>
      <x:c r="D1076" s="12" t="str">
        <x:v>Professional services</x:v>
      </x:c>
      <x:c r="E1076" s="12" t="str">
        <x:v>Research, marketing &amp; professional services</x:v>
      </x:c>
      <x:c r="F1076" s="12" t="str">
        <x:v>Small-scale prospects</x:v>
      </x:c>
      <x:c r="G1076" s="12" t="str">
        <x:v>Professional service, agency or advisory model; small-scale prospect assumption.</x:v>
      </x:c>
      <x:c r="H1076" s="11" t="n">
        <x:v>1</x:v>
      </x:c>
      <x:c r="I1076" s="11" t="n">
        <x:v>2</x:v>
      </x:c>
      <x:c r="J1076" s="11" t="n">
        <x:v>2</x:v>
      </x:c>
      <x:c r="K1076" s="11" t="n">
        <x:v>0</x:v>
      </x:c>
      <x:c r="L1076" s="17" t="n">
        <x:f>SUM(SUMIFS('Costing'!$P$9:$P$492,'Costing'!$A$9:$A$492,"MAIN-225"))</x:f>
        <x:v>30000</x:v>
      </x:c>
      <x:c r="M1076" s="17" t="n">
        <x:f>ROUND(L1076*'Costing'!$C$4,2)</x:f>
        <x:v>5400</x:v>
      </x:c>
      <x:c r="N1076" s="17" t="n">
        <x:f>L1076+M1076</x:f>
        <x:v>35400</x:v>
      </x:c>
      <x:c r="O1076" s="12" t="str">
        <x:v>Hyderabad</x:v>
      </x:c>
      <x:c r="P1076" s="12" t="str">
        <x:v>CORP-0221</x:v>
      </x:c>
      <x:c r="Q1076" s="12" t="str">
        <x:v>Hash Overseas</x:v>
      </x:c>
    </x:row>
    <x:row r="1077" ht="48" customHeight="1">
      <x:c r="A1077" s="2" t="str">
        <x:v>TEN-321230932C5B</x:v>
      </x:c>
      <x:c r="B1077" s="12" t="str">
        <x:v>HashStudioz Technologies PVT. LTD</x:v>
      </x:c>
      <x:c r="C1077" s="12" t="str">
        <x:v>Business / brand</x:v>
      </x:c>
      <x:c r="D1077" s="12" t="str">
        <x:v>IT &amp; digital</x:v>
      </x:c>
      <x:c r="E1077" s="12" t="str">
        <x:v>Enterprise software &amp; digital engineering</x:v>
      </x:c>
      <x:c r="F1077" s="12" t="str">
        <x:v>Small-scale prospects</x:v>
      </x:c>
      <x:c r="G1077" s="12" t="str">
        <x:v>Software or technology-services business; small-scale prospect assumption.</x:v>
      </x:c>
      <x:c r="H1077" s="11" t="n">
        <x:v>2</x:v>
      </x:c>
      <x:c r="I1077" s="11" t="n">
        <x:v>6</x:v>
      </x:c>
      <x:c r="J1077" s="11" t="n">
        <x:v>6</x:v>
      </x:c>
      <x:c r="K1077" s="11" t="n">
        <x:v>0</x:v>
      </x:c>
      <x:c r="L1077" s="17" t="n">
        <x:f>SUM(SUMIFS('Costing'!$P$9:$P$492,'Costing'!$A$9:$A$492,"MAIN-374"),SUMIFS('Costing'!$P$9:$P$492,'Costing'!$A$9:$A$492,"MAIN-375"))</x:f>
        <x:v>140000</x:v>
      </x:c>
      <x:c r="M1077" s="17" t="n">
        <x:f>ROUND(L1077*'Costing'!$C$4,2)</x:f>
        <x:v>25200</x:v>
      </x:c>
      <x:c r="N1077" s="17" t="n">
        <x:f>L1077+M1077</x:f>
        <x:v>165200</x:v>
      </x:c>
      <x:c r="O1077" s="12" t="str">
        <x:v>Delhi NCR</x:v>
      </x:c>
      <x:c r="P1077" s="12" t="str">
        <x:v>CORP-0370, CORP-0371</x:v>
      </x:c>
      <x:c r="Q1077" s="12" t="str">
        <x:v>HashStudioz Technologies PVT. LTD</x:v>
      </x:c>
    </x:row>
    <x:row r="1078" ht="48" customHeight="1">
      <x:c r="A1078" s="2" t="str">
        <x:v>TEN-628E4C3127EB</x:v>
      </x:c>
      <x:c r="B1078" s="12" t="str">
        <x:v>HATHORITY</x:v>
      </x:c>
      <x:c r="C1078" s="12" t="str">
        <x:v>Business / brand</x:v>
      </x:c>
      <x:c r="D1078" s="12" t="str">
        <x:v>IT &amp; digital</x:v>
      </x:c>
      <x:c r="E1078" s="12" t="str">
        <x:v>Enterprise software &amp; digital engineering</x:v>
      </x:c>
      <x:c r="F1078" s="12" t="str">
        <x:v>Small-scale prospects</x:v>
      </x:c>
      <x:c r="G1078" s="12" t="str">
        <x:v>Software or technology-services business; small-scale prospect assumption.</x:v>
      </x:c>
      <x:c r="H1078" s="11" t="n">
        <x:v>1</x:v>
      </x:c>
      <x:c r="I1078" s="11" t="n">
        <x:v>8</x:v>
      </x:c>
      <x:c r="J1078" s="11" t="n">
        <x:v>8</x:v>
      </x:c>
      <x:c r="K1078" s="11" t="n">
        <x:v>0</x:v>
      </x:c>
      <x:c r="L1078" s="17" t="n">
        <x:f>SUM(SUMIFS('Costing'!$P$9:$P$492,'Costing'!$A$9:$A$492,"MAIN-215"))</x:f>
        <x:v>120000</x:v>
      </x:c>
      <x:c r="M1078" s="17" t="n">
        <x:f>ROUND(L1078*'Costing'!$C$4,2)</x:f>
        <x:v>21600</x:v>
      </x:c>
      <x:c r="N1078" s="17" t="n">
        <x:f>L1078+M1078</x:f>
        <x:v>141600</x:v>
      </x:c>
      <x:c r="O1078" s="12" t="str">
        <x:v>Hyderabad</x:v>
      </x:c>
      <x:c r="P1078" s="12" t="str">
        <x:v>CORP-0211</x:v>
      </x:c>
      <x:c r="Q1078" s="12" t="str">
        <x:v>HATHORITY</x:v>
      </x:c>
    </x:row>
    <x:row r="1079" ht="48" customHeight="1">
      <x:c r="A1079" s="2" t="str">
        <x:v>TEN-5BA92BB8BE69</x:v>
      </x:c>
      <x:c r="B1079" s="12" t="str">
        <x:v>Hathway head office</x:v>
      </x:c>
      <x:c r="C1079" s="12" t="str">
        <x:v>Business / brand</x:v>
      </x:c>
      <x:c r="D1079" s="12" t="str">
        <x:v>IT &amp; digital</x:v>
      </x:c>
      <x:c r="E1079" s="12" t="str">
        <x:v>Telecom, networks &amp; connectivity</x:v>
      </x:c>
      <x:c r="F1079" s="12" t="str">
        <x:v>Mixed business audience</x:v>
      </x:c>
      <x:c r="G1079" s="12" t="str">
        <x:v>Established brand or business network; local company scale is not established. Use a mixed-business message.</x:v>
      </x:c>
      <x:c r="H1079" s="11" t="n">
        <x:v>6</x:v>
      </x:c>
      <x:c r="I1079" s="11" t="n">
        <x:v>6</x:v>
      </x:c>
      <x:c r="J1079" s="11" t="n">
        <x:v>6</x:v>
      </x:c>
      <x:c r="K1079" s="11" t="n">
        <x:v>0</x:v>
      </x:c>
      <x:c r="L1079" s="17" t="n">
        <x:f>SUM(SUMIFS('Costing'!$P$9:$P$492,'Costing'!$A$9:$A$492,"PARTNER-M227"))</x:f>
        <x:v>240000</x:v>
      </x:c>
      <x:c r="M1079" s="17" t="n">
        <x:f>ROUND(L1079*'Costing'!$C$4,2)</x:f>
        <x:v>43200</x:v>
      </x:c>
      <x:c r="N1079" s="17" t="n">
        <x:f>L1079+M1079</x:f>
        <x:v>283200</x:v>
      </x:c>
      <x:c r="O1079" s="12" t="str">
        <x:v>Mumbai</x:v>
      </x:c>
      <x:c r="P1079" s="12" t="str">
        <x:v>CORP-0644, CORP-0645, CORP-0646, CORP-0647, CORP-0648, CORP-0649</x:v>
      </x:c>
      <x:c r="Q1079" s="12" t="str">
        <x:v>Hathway head office</x:v>
      </x:c>
    </x:row>
    <x:row r="1080" ht="48" customHeight="1">
      <x:c r="A1080" s="2" t="str">
        <x:v>TEN-C548E6EFB312</x:v>
      </x:c>
      <x:c r="B1080" s="12" t="str">
        <x:v>Havells</x:v>
      </x:c>
      <x:c r="C1080" s="12" t="str">
        <x:v>Business / brand</x:v>
      </x:c>
      <x:c r="D1080" s="12" t="str">
        <x:v>Engineering &amp; manufacturing</x:v>
      </x:c>
      <x:c r="E1080" s="12" t="str">
        <x:v>Engineering/manufacturing — specialty unverified</x:v>
      </x:c>
      <x:c r="F1080" s="12" t="str">
        <x:v>Mixed business audience</x:v>
      </x:c>
      <x:c r="G1080" s="12" t="str">
        <x:v>Recognisable business context; company-scale evidence remains insufficient for a single size band.</x:v>
      </x:c>
      <x:c r="H1080" s="11" t="n">
        <x:v>1</x:v>
      </x:c>
      <x:c r="I1080" s="11" t="n">
        <x:v>1</x:v>
      </x:c>
      <x:c r="J1080" s="11" t="n">
        <x:v>1</x:v>
      </x:c>
      <x:c r="K1080" s="11" t="n">
        <x:v>0</x:v>
      </x:c>
      <x:c r="L1080" s="17" t="n">
        <x:f>SUM(SUMIFS('Costing'!$P$9:$P$492,'Costing'!$A$9:$A$492,"MAIN-274"))</x:f>
        <x:v>40000</x:v>
      </x:c>
      <x:c r="M1080" s="17" t="n">
        <x:f>ROUND(L1080*'Costing'!$C$4,2)</x:f>
        <x:v>7200</x:v>
      </x:c>
      <x:c r="N1080" s="17" t="n">
        <x:f>L1080+M1080</x:f>
        <x:v>47200</x:v>
      </x:c>
      <x:c r="O1080" s="12" t="str">
        <x:v>Indore</x:v>
      </x:c>
      <x:c r="P1080" s="12" t="str">
        <x:v>CORP-0270</x:v>
      </x:c>
      <x:c r="Q1080" s="12" t="str">
        <x:v>Havells</x:v>
      </x:c>
    </x:row>
    <x:row r="1081" ht="48" customHeight="1">
      <x:c r="A1081" s="2" t="str">
        <x:v>TEN-37C0A4119F06</x:v>
      </x:c>
      <x:c r="B1081" s="12" t="str">
        <x:v>Haya Foreign Money Exchange</x:v>
      </x:c>
      <x:c r="C1081" s="12" t="str">
        <x:v>Business / brand</x:v>
      </x:c>
      <x:c r="D1081" s="12" t="str">
        <x:v>Finance &amp; insurance</x:v>
      </x:c>
      <x:c r="E1081" s="12" t="str">
        <x:v>Banking, insurance, investments &amp; financial services</x:v>
      </x:c>
      <x:c r="F1081" s="12" t="str">
        <x:v>Medium-scale prospects</x:v>
      </x:c>
      <x:c r="G1081" s="12" t="str">
        <x:v>Specialist financial-services business; medium-scale prospect assumption.</x:v>
      </x:c>
      <x:c r="H1081" s="11" t="n">
        <x:v>1</x:v>
      </x:c>
      <x:c r="I1081" s="11" t="n">
        <x:v>4</x:v>
      </x:c>
      <x:c r="J1081" s="11" t="n">
        <x:v>4</x:v>
      </x:c>
      <x:c r="K1081" s="11" t="n">
        <x:v>0</x:v>
      </x:c>
      <x:c r="L1081" s="17" t="n">
        <x:f>SUM(SUMIFS('Costing'!$P$9:$P$492,'Costing'!$A$9:$A$492,"MAIN-130"))</x:f>
        <x:v>100000</x:v>
      </x:c>
      <x:c r="M1081" s="17" t="n">
        <x:f>ROUND(L1081*'Costing'!$C$4,2)</x:f>
        <x:v>18000</x:v>
      </x:c>
      <x:c r="N1081" s="17" t="n">
        <x:f>L1081+M1081</x:f>
        <x:v>118000</x:v>
      </x:c>
      <x:c r="O1081" s="12" t="str">
        <x:v>Bengaluru</x:v>
      </x:c>
      <x:c r="P1081" s="12" t="str">
        <x:v>CORP-0126</x:v>
      </x:c>
      <x:c r="Q1081" s="12" t="str">
        <x:v>Haya Foreign Money Exchange</x:v>
      </x:c>
    </x:row>
    <x:row r="1082" ht="49" customHeight="1">
      <x:c r="A1082" s="2" t="str">
        <x:v>TEN-ACFE8450840B</x:v>
      </x:c>
      <x:c r="B1082" s="12" t="str">
        <x:v>HCL</x:v>
      </x:c>
      <x:c r="C1082" s="12" t="str">
        <x:v>Business / brand</x:v>
      </x:c>
      <x:c r="D1082" s="12" t="str">
        <x:v>IT &amp; digital</x:v>
      </x:c>
      <x:c r="E1082" s="12" t="str">
        <x:v>Technology services — specialty unverified</x:v>
      </x:c>
      <x:c r="F1082" s="12" t="str">
        <x:v>Large enterprise</x:v>
      </x:c>
      <x:c r="G1082" s="12" t="str">
        <x:v>Official HCLTech profile reports 223K+ people across 60 countries. Bare HCL is a group-context inference; exact Indian entity is not adjudicated.</x:v>
      </x:c>
      <x:c r="H1082" s="11" t="n">
        <x:v>12</x:v>
      </x:c>
      <x:c r="I1082" s="11" t="n">
        <x:v>12</x:v>
      </x:c>
      <x:c r="J1082" s="11" t="n">
        <x:v>12</x:v>
      </x:c>
      <x:c r="K1082" s="11" t="n">
        <x:v>0</x:v>
      </x:c>
      <x:c r="L1082" s="17" t="n">
        <x:f>SUM(SUMIFS('Costing'!$P$9:$P$492,'Costing'!$A$9:$A$492,"PARTNER-M011"),SUMIFS('Costing'!$P$9:$P$492,'Costing'!$A$9:$A$492,"PARTNER-M252"))</x:f>
        <x:v>480000</x:v>
      </x:c>
      <x:c r="M1082" s="17" t="n">
        <x:f>ROUND(L1082*'Costing'!$C$4,2)</x:f>
        <x:v>86400</x:v>
      </x:c>
      <x:c r="N1082" s="17" t="n">
        <x:f>L1082+M1082</x:f>
        <x:v>566400</x:v>
      </x:c>
      <x:c r="O1082" s="12" t="str">
        <x:v>Bengaluru, Pune</x:v>
      </x:c>
      <x:c r="P1082" s="12" t="str">
        <x:v>CORP-0429, CORP-0430, CORP-0431, CORP-0668, CORP-0669, CORP-0670, CORP-0671, CORP-0672, CORP-0673, CORP-0674, CORP-0675, CORP-0676</x:v>
      </x:c>
      <x:c r="Q1082" s="12" t="str">
        <x:v>HCL</x:v>
      </x:c>
    </x:row>
    <x:row r="1083" ht="48" customHeight="1">
      <x:c r="A1083" s="2" t="str">
        <x:v>TEN-876678C243D4</x:v>
      </x:c>
      <x:c r="B1083" s="12" t="str">
        <x:v>Hcl Info system</x:v>
      </x:c>
      <x:c r="C1083" s="12" t="str">
        <x:v>Business / brand</x:v>
      </x:c>
      <x:c r="D1083" s="12" t="str">
        <x:v>IT &amp; digital</x:v>
      </x:c>
      <x:c r="E1083" s="12" t="str">
        <x:v>Technology services — specialty unverified</x:v>
      </x:c>
      <x:c r="F1083" s="12" t="str">
        <x:v>Mixed business audience</x:v>
      </x:c>
      <x:c r="G1083" s="12" t="str">
        <x:v>Established brand or business network; local company scale is not established. Use a mixed-business message.</x:v>
      </x:c>
      <x:c r="H1083" s="11" t="n">
        <x:v>2</x:v>
      </x:c>
      <x:c r="I1083" s="11" t="n">
        <x:v>2</x:v>
      </x:c>
      <x:c r="J1083" s="11" t="n">
        <x:v>2</x:v>
      </x:c>
      <x:c r="K1083" s="11" t="n">
        <x:v>0</x:v>
      </x:c>
      <x:c r="L1083" s="17" t="n">
        <x:f>SUM(SUMIFS('Costing'!$P$9:$P$492,'Costing'!$A$9:$A$492,"PARTNER-M070"))</x:f>
        <x:v>80000</x:v>
      </x:c>
      <x:c r="M1083" s="17" t="n">
        <x:f>ROUND(L1083*'Costing'!$C$4,2)</x:f>
        <x:v>14400</x:v>
      </x:c>
      <x:c r="N1083" s="17" t="n">
        <x:f>L1083+M1083</x:f>
        <x:v>94400</x:v>
      </x:c>
      <x:c r="O1083" s="12" t="str">
        <x:v>Bengaluru</x:v>
      </x:c>
      <x:c r="P1083" s="12" t="str">
        <x:v>CORP-0488, CORP-0489</x:v>
      </x:c>
      <x:c r="Q1083" s="12" t="str">
        <x:v>Hcl Info system</x:v>
      </x:c>
    </x:row>
    <x:row r="1084" ht="49" customHeight="1">
      <x:c r="A1084" s="2" t="str">
        <x:v>TEN-42E8408652E5</x:v>
      </x:c>
      <x:c r="B1084" s="12" t="str">
        <x:v>HCL Technologies</x:v>
      </x:c>
      <x:c r="C1084" s="12" t="str">
        <x:v>Business / brand</x:v>
      </x:c>
      <x:c r="D1084" s="12" t="str">
        <x:v>IT &amp; digital</x:v>
      </x:c>
      <x:c r="E1084" s="12" t="str">
        <x:v>Technology services — specialty unverified</x:v>
      </x:c>
      <x:c r="F1084" s="12" t="str">
        <x:v>Large enterprise</x:v>
      </x:c>
      <x:c r="G1084" s="12" t="str">
        <x:v>Official HCLTech profile reports 223K+ people across 60 countries. Bare HCL is a group-context inference; exact Indian entity is not adjudicated.</x:v>
      </x:c>
      <x:c r="H1084" s="11" t="n">
        <x:v>5</x:v>
      </x:c>
      <x:c r="I1084" s="11" t="n">
        <x:v>5</x:v>
      </x:c>
      <x:c r="J1084" s="11" t="n">
        <x:v>5</x:v>
      </x:c>
      <x:c r="K1084" s="11" t="n">
        <x:v>0</x:v>
      </x:c>
      <x:c r="L1084" s="17" t="n">
        <x:f>SUM(SUMIFS('Costing'!$P$9:$P$492,'Costing'!$A$9:$A$492,"PARTNER-M051"))</x:f>
        <x:v>200000</x:v>
      </x:c>
      <x:c r="M1084" s="17" t="n">
        <x:f>ROUND(L1084*'Costing'!$C$4,2)</x:f>
        <x:v>36000</x:v>
      </x:c>
      <x:c r="N1084" s="17" t="n">
        <x:f>L1084+M1084</x:f>
        <x:v>236000</x:v>
      </x:c>
      <x:c r="O1084" s="12" t="str">
        <x:v>Bengaluru</x:v>
      </x:c>
      <x:c r="P1084" s="12" t="str">
        <x:v>CORP-0469, CORP-0470, CORP-0471, CORP-0472, CORP-0473</x:v>
      </x:c>
      <x:c r="Q1084" s="12" t="str">
        <x:v>HCL Technologies</x:v>
      </x:c>
    </x:row>
    <x:row r="1085" ht="49" customHeight="1">
      <x:c r="A1085" s="2" t="str">
        <x:v>TEN-E6F146354586</x:v>
      </x:c>
      <x:c r="B1085" s="12" t="str">
        <x:v>HCLTech</x:v>
      </x:c>
      <x:c r="C1085" s="12" t="str">
        <x:v>Business / brand</x:v>
      </x:c>
      <x:c r="D1085" s="12" t="str">
        <x:v>IT &amp; digital</x:v>
      </x:c>
      <x:c r="E1085" s="12" t="str">
        <x:v>Technology services — specialty unverified</x:v>
      </x:c>
      <x:c r="F1085" s="12" t="str">
        <x:v>Large enterprise</x:v>
      </x:c>
      <x:c r="G1085" s="12" t="str">
        <x:v>Official HCLTech profile reports 223K+ people across 60 countries. Bare HCL is a group-context inference; exact Indian entity is not adjudicated.</x:v>
      </x:c>
      <x:c r="H1085" s="11" t="n">
        <x:v>1</x:v>
      </x:c>
      <x:c r="I1085" s="11" t="n">
        <x:v>2</x:v>
      </x:c>
      <x:c r="J1085" s="11" t="n">
        <x:v>2</x:v>
      </x:c>
      <x:c r="K1085" s="11" t="n">
        <x:v>0</x:v>
      </x:c>
      <x:c r="L1085" s="17" t="n">
        <x:f>SUM(SUMIFS('Costing'!$P$9:$P$492,'Costing'!$A$9:$A$492,"MAIN-138"))</x:f>
        <x:v>40000</x:v>
      </x:c>
      <x:c r="M1085" s="17" t="n">
        <x:f>ROUND(L1085*'Costing'!$C$4,2)</x:f>
        <x:v>7200</x:v>
      </x:c>
      <x:c r="N1085" s="17" t="n">
        <x:f>L1085+M1085</x:f>
        <x:v>47200</x:v>
      </x:c>
      <x:c r="O1085" s="12" t="str">
        <x:v>Chennai</x:v>
      </x:c>
      <x:c r="P1085" s="12" t="str">
        <x:v>CORP-0134</x:v>
      </x:c>
      <x:c r="Q1085" s="12" t="str">
        <x:v>HCLTech</x:v>
      </x:c>
    </x:row>
    <x:row r="1086" ht="48" customHeight="1">
      <x:c r="A1086" s="2" t="str">
        <x:v>TEN-B023B39C07DC</x:v>
      </x:c>
      <x:c r="B1086" s="12" t="str">
        <x:v>HDFC</x:v>
      </x:c>
      <x:c r="C1086" s="12" t="str">
        <x:v>Business / brand</x:v>
      </x:c>
      <x:c r="D1086" s="12" t="str">
        <x:v>Finance &amp; insurance</x:v>
      </x:c>
      <x:c r="E1086" s="12" t="str">
        <x:v>Banking &amp; credit</x:v>
      </x:c>
      <x:c r="F1086" s="12" t="str">
        <x:v>Large enterprise</x:v>
      </x:c>
      <x:c r="G1086" s="12" t="str">
        <x:v>Major nationwide banking group context. Bare HDFC remains a group label rather than a resolved legal entity.</x:v>
      </x:c>
      <x:c r="H1086" s="11" t="n">
        <x:v>3</x:v>
      </x:c>
      <x:c r="I1086" s="11" t="n">
        <x:v>28</x:v>
      </x:c>
      <x:c r="J1086" s="11" t="n">
        <x:v>28</x:v>
      </x:c>
      <x:c r="K1086" s="11" t="n">
        <x:v>0</x:v>
      </x:c>
      <x:c r="L1086" s="17" t="n">
        <x:f>SUM(SUMIFS('Costing'!$P$9:$P$492,'Costing'!$A$9:$A$492,"MAIN-238"),SUMIFS('Costing'!$P$9:$P$492,'Costing'!$A$9:$A$492,"MAIN-239"),SUMIFS('Costing'!$P$9:$P$492,'Costing'!$A$9:$A$492,"MAIN-338"))</x:f>
        <x:v>605000</x:v>
      </x:c>
      <x:c r="M1086" s="17" t="n">
        <x:f>ROUND(L1086*'Costing'!$C$4,2)</x:f>
        <x:v>108900</x:v>
      </x:c>
      <x:c r="N1086" s="17" t="n">
        <x:f>L1086+M1086</x:f>
        <x:v>713900</x:v>
      </x:c>
      <x:c r="O1086" s="12" t="str">
        <x:v>Hyderabad, Mumbai</x:v>
      </x:c>
      <x:c r="P1086" s="12" t="str">
        <x:v>CORP-0234, CORP-0235, CORP-0334</x:v>
      </x:c>
      <x:c r="Q1086" s="12" t="str">
        <x:v>HDFC</x:v>
      </x:c>
    </x:row>
    <x:row r="1087" ht="48" customHeight="1">
      <x:c r="A1087" s="2" t="str">
        <x:v>TEN-F43D0727CFB6</x:v>
      </x:c>
      <x:c r="B1087" s="12" t="str">
        <x:v>HDFC Bank</x:v>
      </x:c>
      <x:c r="C1087" s="12" t="str">
        <x:v>Business / brand</x:v>
      </x:c>
      <x:c r="D1087" s="12" t="str">
        <x:v>Finance &amp; insurance</x:v>
      </x:c>
      <x:c r="E1087" s="12" t="str">
        <x:v>Banking &amp; credit</x:v>
      </x:c>
      <x:c r="F1087" s="12" t="str">
        <x:v>Large enterprise</x:v>
      </x:c>
      <x:c r="G1087" s="12" t="str">
        <x:v>Major nationwide banking group context. Bare HDFC remains a group label rather than a resolved legal entity.</x:v>
      </x:c>
      <x:c r="H1087" s="11" t="n">
        <x:v>6</x:v>
      </x:c>
      <x:c r="I1087" s="11" t="n">
        <x:v>11</x:v>
      </x:c>
      <x:c r="J1087" s="11" t="n">
        <x:v>11</x:v>
      </x:c>
      <x:c r="K1087" s="11" t="n">
        <x:v>0</x:v>
      </x:c>
      <x:c r="L1087" s="17" t="n">
        <x:f>SUM(SUMIFS('Costing'!$P$9:$P$492,'Costing'!$A$9:$A$492,"MAIN-060"),SUMIFS('Costing'!$P$9:$P$492,'Costing'!$A$9:$A$492,"PARTNER-M379"))</x:f>
        <x:v>440000</x:v>
      </x:c>
      <x:c r="M1087" s="17" t="n">
        <x:f>ROUND(L1087*'Costing'!$C$4,2)</x:f>
        <x:v>79200</x:v>
      </x:c>
      <x:c r="N1087" s="17" t="n">
        <x:f>L1087+M1087</x:f>
        <x:v>519200</x:v>
      </x:c>
      <x:c r="O1087" s="12" t="str">
        <x:v>Bengaluru, Delhi NCR</x:v>
      </x:c>
      <x:c r="P1087" s="12" t="str">
        <x:v>CORP-0056, CORP-0792, CORP-0793, CORP-0794, CORP-0795, CORP-0796</x:v>
      </x:c>
      <x:c r="Q1087" s="12" t="str">
        <x:v>HDFC Bank</x:v>
      </x:c>
    </x:row>
    <x:row r="1088" ht="48" customHeight="1">
      <x:c r="A1088" s="2" t="str">
        <x:v>TEN-4390DF4D2AFF</x:v>
      </x:c>
      <x:c r="B1088" s="12" t="str">
        <x:v>HDFC Life</x:v>
      </x:c>
      <x:c r="C1088" s="12" t="str">
        <x:v>Business / brand</x:v>
      </x:c>
      <x:c r="D1088" s="12" t="str">
        <x:v>Finance &amp; insurance</x:v>
      </x:c>
      <x:c r="E1088" s="12" t="str">
        <x:v>Banking &amp; credit</x:v>
      </x:c>
      <x:c r="F1088" s="12" t="str">
        <x:v>Large enterprise</x:v>
      </x:c>
      <x:c r="G1088" s="12" t="str">
        <x:v>Official national life-insurance company profile; large-enterprise planning exception.</x:v>
      </x:c>
      <x:c r="H1088" s="11" t="n">
        <x:v>2</x:v>
      </x:c>
      <x:c r="I1088" s="11" t="n">
        <x:v>5</x:v>
      </x:c>
      <x:c r="J1088" s="11" t="n">
        <x:v>5</x:v>
      </x:c>
      <x:c r="K1088" s="11" t="n">
        <x:v>0</x:v>
      </x:c>
      <x:c r="L1088" s="17" t="n">
        <x:f>SUM(SUMIFS('Costing'!$P$9:$P$492,'Costing'!$A$9:$A$492,"MAIN-276"),SUMIFS('Costing'!$P$9:$P$492,'Costing'!$A$9:$A$492,"MAIN-291"))</x:f>
        <x:v>180000</x:v>
      </x:c>
      <x:c r="M1088" s="17" t="n">
        <x:f>ROUND(L1088*'Costing'!$C$4,2)</x:f>
        <x:v>32400</x:v>
      </x:c>
      <x:c r="N1088" s="17" t="n">
        <x:f>L1088+M1088</x:f>
        <x:v>212400</x:v>
      </x:c>
      <x:c r="O1088" s="12" t="str">
        <x:v>Indore, Lucknow</x:v>
      </x:c>
      <x:c r="P1088" s="12" t="str">
        <x:v>CORP-0272, CORP-0287</x:v>
      </x:c>
      <x:c r="Q1088" s="12" t="str">
        <x:v>HDFC Life</x:v>
      </x:c>
    </x:row>
    <x:row r="1089" ht="75" customHeight="1">
      <x:c r="A1089" s="2" t="str">
        <x:v>TEN-35F8EBAADD16</x:v>
      </x:c>
      <x:c r="B1089" s="12" t="str">
        <x:v>Headstart Network Foundation</x:v>
      </x:c>
      <x:c r="C1089" s="12" t="str">
        <x:v>Public / nonprofit</x:v>
      </x:c>
      <x:c r="D1089" s="12" t="str">
        <x:v>Government &amp; nonprofit</x:v>
      </x:c>
      <x:c r="E1089" s="12" t="str">
        <x:v>Public, nonprofit or membership organization</x:v>
      </x:c>
      <x:c r="F1089" s="12" t="str">
        <x:v>Institutional</x:v>
      </x:c>
      <x:c r="G1089" s="12" t="str">
        <x:v>Existing directory identifies an institutional, government, education, membership or nonprofit organisation rather than an ordinary MSME business prospect. This tag describes audience role and does not assert legal tax status.</x:v>
      </x:c>
      <x:c r="H1089" s="11" t="n">
        <x:v>1</x:v>
      </x:c>
      <x:c r="I1089" s="11" t="n">
        <x:v>3</x:v>
      </x:c>
      <x:c r="J1089" s="11" t="n">
        <x:v>3</x:v>
      </x:c>
      <x:c r="K1089" s="11" t="n">
        <x:v>0</x:v>
      </x:c>
      <x:c r="L1089" s="17" t="n">
        <x:f>SUM(SUMIFS('Costing'!$P$9:$P$492,'Costing'!$A$9:$A$492,"MAIN-227"))</x:f>
        <x:v>45000</x:v>
      </x:c>
      <x:c r="M1089" s="17" t="n">
        <x:f>ROUND(L1089*'Costing'!$C$4,2)</x:f>
        <x:v>8100</x:v>
      </x:c>
      <x:c r="N1089" s="17" t="n">
        <x:f>L1089+M1089</x:f>
        <x:v>53100</x:v>
      </x:c>
      <x:c r="O1089" s="12" t="str">
        <x:v>Hyderabad</x:v>
      </x:c>
      <x:c r="P1089" s="12" t="str">
        <x:v>CORP-0223</x:v>
      </x:c>
      <x:c r="Q1089" s="12" t="str">
        <x:v>Headstart Network Foundation</x:v>
      </x:c>
    </x:row>
    <x:row r="1090" ht="48" customHeight="1">
      <x:c r="A1090" s="2" t="str">
        <x:v>TEN-DA77AD889F5F</x:v>
      </x:c>
      <x:c r="B1090" s="12" t="str">
        <x:v>Healthcubed India Private Limited</x:v>
      </x:c>
      <x:c r="C1090" s="12" t="str">
        <x:v>Business / brand</x:v>
      </x:c>
      <x:c r="D1090" s="12" t="str">
        <x:v>Healthcare &amp; life sciences</x:v>
      </x:c>
      <x:c r="E1090" s="12" t="str">
        <x:v>Clinical, medical &amp; diagnostic services</x:v>
      </x:c>
      <x:c r="F1090" s="12" t="str">
        <x:v>Small-scale prospects</x:v>
      </x:c>
      <x:c r="G1090" s="12" t="str">
        <x:v>Healthcare services business; small-scale prospect assumption.</x:v>
      </x:c>
      <x:c r="H1090" s="11" t="n">
        <x:v>1</x:v>
      </x:c>
      <x:c r="I1090" s="11" t="n">
        <x:v>2</x:v>
      </x:c>
      <x:c r="J1090" s="11" t="n">
        <x:v>2</x:v>
      </x:c>
      <x:c r="K1090" s="11" t="n">
        <x:v>0</x:v>
      </x:c>
      <x:c r="L1090" s="17" t="n">
        <x:f>SUM(SUMIFS('Costing'!$P$9:$P$492,'Costing'!$A$9:$A$492,"MAIN-067"))</x:f>
        <x:v>30000</x:v>
      </x:c>
      <x:c r="M1090" s="17" t="n">
        <x:f>ROUND(L1090*'Costing'!$C$4,2)</x:f>
        <x:v>5400</x:v>
      </x:c>
      <x:c r="N1090" s="17" t="n">
        <x:f>L1090+M1090</x:f>
        <x:v>35400</x:v>
      </x:c>
      <x:c r="O1090" s="12" t="str">
        <x:v>Bengaluru</x:v>
      </x:c>
      <x:c r="P1090" s="12" t="str">
        <x:v>CORP-0063</x:v>
      </x:c>
      <x:c r="Q1090" s="12" t="str">
        <x:v>Healthcubed India Private Limited</x:v>
      </x:c>
    </x:row>
    <x:row r="1091" ht="48" customHeight="1">
      <x:c r="A1091" s="2" t="str">
        <x:v>TEN-C2A223C25123</x:v>
      </x:c>
      <x:c r="B1091" s="12" t="str">
        <x:v>Healthshiop wellness pvt ltd</x:v>
      </x:c>
      <x:c r="C1091" s="12" t="str">
        <x:v>Business / brand</x:v>
      </x:c>
      <x:c r="D1091" s="12" t="str">
        <x:v>Healthcare &amp; life sciences</x:v>
      </x:c>
      <x:c r="E1091" s="12" t="str">
        <x:v>Clinical, medical &amp; diagnostic services</x:v>
      </x:c>
      <x:c r="F1091" s="12" t="str">
        <x:v>Small-scale prospects</x:v>
      </x:c>
      <x:c r="G1091" s="12" t="str">
        <x:v>Healthcare services business; small-scale prospect assumption.</x:v>
      </x:c>
      <x:c r="H1091" s="11" t="n">
        <x:v>1</x:v>
      </x:c>
      <x:c r="I1091" s="11" t="n">
        <x:v>2</x:v>
      </x:c>
      <x:c r="J1091" s="11" t="n">
        <x:v>2</x:v>
      </x:c>
      <x:c r="K1091" s="11" t="n">
        <x:v>0</x:v>
      </x:c>
      <x:c r="L1091" s="17" t="n">
        <x:f>SUM(SUMIFS('Costing'!$P$9:$P$492,'Costing'!$A$9:$A$492,"MAIN-081"))</x:f>
        <x:v>30000</x:v>
      </x:c>
      <x:c r="M1091" s="17" t="n">
        <x:f>ROUND(L1091*'Costing'!$C$4,2)</x:f>
        <x:v>5400</x:v>
      </x:c>
      <x:c r="N1091" s="17" t="n">
        <x:f>L1091+M1091</x:f>
        <x:v>35400</x:v>
      </x:c>
      <x:c r="O1091" s="12" t="str">
        <x:v>Bengaluru</x:v>
      </x:c>
      <x:c r="P1091" s="12" t="str">
        <x:v>CORP-0077</x:v>
      </x:c>
      <x:c r="Q1091" s="12" t="str">
        <x:v>Healthshiop wellness pvt ltd</x:v>
      </x:c>
    </x:row>
    <x:row r="1092" ht="48" customHeight="1">
      <x:c r="A1092" s="2" t="str">
        <x:v>TEN-C42E337B9F49</x:v>
      </x:c>
      <x:c r="B1092" s="12" t="str">
        <x:v>Helius Technologies</x:v>
      </x:c>
      <x:c r="C1092" s="12" t="str">
        <x:v>Business / brand</x:v>
      </x:c>
      <x:c r="D1092" s="12" t="str">
        <x:v>IT &amp; digital</x:v>
      </x:c>
      <x:c r="E1092" s="12" t="str">
        <x:v>Enterprise software &amp; digital engineering</x:v>
      </x:c>
      <x:c r="F1092" s="12" t="str">
        <x:v>Small-scale prospects</x:v>
      </x:c>
      <x:c r="G1092" s="12" t="str">
        <x:v>Software or technology-services business; small-scale prospect assumption.</x:v>
      </x:c>
      <x:c r="H1092" s="11" t="n">
        <x:v>8</x:v>
      </x:c>
      <x:c r="I1092" s="11" t="n">
        <x:v>8</x:v>
      </x:c>
      <x:c r="J1092" s="11" t="n">
        <x:v>8</x:v>
      </x:c>
      <x:c r="K1092" s="11" t="n">
        <x:v>0</x:v>
      </x:c>
      <x:c r="L1092" s="17" t="n">
        <x:f>SUM(SUMIFS('Costing'!$P$9:$P$492,'Costing'!$A$9:$A$492,"PARTNER-M300"))</x:f>
        <x:v>320000</x:v>
      </x:c>
      <x:c r="M1092" s="17" t="n">
        <x:f>ROUND(L1092*'Costing'!$C$4,2)</x:f>
        <x:v>57600</x:v>
      </x:c>
      <x:c r="N1092" s="17" t="n">
        <x:f>L1092+M1092</x:f>
        <x:v>377600</x:v>
      </x:c>
      <x:c r="O1092" s="12" t="str">
        <x:v>Hyderabad</x:v>
      </x:c>
      <x:c r="P1092" s="12" t="str">
        <x:v>CORP-0715, CORP-0716, CORP-0717, CORP-0718, CORP-0719, CORP-0720, CORP-0721, CORP-0722</x:v>
      </x:c>
      <x:c r="Q1092" s="12" t="str">
        <x:v>Helius Technologies</x:v>
      </x:c>
    </x:row>
    <x:row r="1093" ht="48" customHeight="1">
      <x:c r="A1093" s="2" t="str">
        <x:v>TEN-110C38B1F574</x:v>
      </x:c>
      <x:c r="B1093" s="12" t="str">
        <x:v>Hella India automotivepvt.ltd</x:v>
      </x:c>
      <x:c r="C1093" s="12" t="str">
        <x:v>Business / brand</x:v>
      </x:c>
      <x:c r="D1093" s="12" t="str">
        <x:v>Engineering &amp; manufacturing</x:v>
      </x:c>
      <x:c r="E1093" s="12" t="str">
        <x:v>Automotive, mobility &amp; aerospace</x:v>
      </x:c>
      <x:c r="F1093" s="12" t="str">
        <x:v>Mixed business audience</x:v>
      </x:c>
      <x:c r="G1093" s="12" t="str">
        <x:v>Recognisable business context; company-scale evidence remains insufficient for a single size band.</x:v>
      </x:c>
      <x:c r="H1093" s="11" t="n">
        <x:v>1</x:v>
      </x:c>
      <x:c r="I1093" s="11" t="n">
        <x:v>2</x:v>
      </x:c>
      <x:c r="J1093" s="11" t="n">
        <x:v>2</x:v>
      </x:c>
      <x:c r="K1093" s="11" t="n">
        <x:v>0</x:v>
      </x:c>
      <x:c r="L1093" s="17" t="n">
        <x:f>SUM(SUMIFS('Costing'!$P$9:$P$492,'Costing'!$A$9:$A$492,"MAIN-392"))</x:f>
        <x:v>24000</x:v>
      </x:c>
      <x:c r="M1093" s="17" t="n">
        <x:f>ROUND(L1093*'Costing'!$C$4,2)</x:f>
        <x:v>4320</x:v>
      </x:c>
      <x:c r="N1093" s="17" t="n">
        <x:f>L1093+M1093</x:f>
        <x:v>28320</x:v>
      </x:c>
      <x:c r="O1093" s="12" t="str">
        <x:v>Pune</x:v>
      </x:c>
      <x:c r="P1093" s="12" t="str">
        <x:v>CORP-0388</x:v>
      </x:c>
      <x:c r="Q1093" s="12" t="str">
        <x:v>Hella India automotivepvt.ltd</x:v>
      </x:c>
    </x:row>
    <x:row r="1094" ht="48" customHeight="1">
      <x:c r="A1094" s="2" t="str">
        <x:v>TEN-9A16AFDC257F</x:v>
      </x:c>
      <x:c r="B1094" s="12" t="str">
        <x:v>Herbal Chakra Private Limited</x:v>
      </x:c>
      <x:c r="C1094" s="12" t="str">
        <x:v>Business / brand</x:v>
      </x:c>
      <x:c r="D1094" s="12" t="str">
        <x:v>Healthcare &amp; life sciences</x:v>
      </x:c>
      <x:c r="E1094" s="12" t="str">
        <x:v>Clinical, pharmaceutical &amp; health services</x:v>
      </x:c>
      <x:c r="F1094" s="12" t="str">
        <x:v>Medium-scale prospects</x:v>
      </x:c>
      <x:c r="G1094" s="12" t="str">
        <x:v>Specialist life-sciences business; medium-scale prospect assumption.</x:v>
      </x:c>
      <x:c r="H1094" s="11" t="n">
        <x:v>10</x:v>
      </x:c>
      <x:c r="I1094" s="11" t="n">
        <x:v>10</x:v>
      </x:c>
      <x:c r="J1094" s="11" t="n">
        <x:v>10</x:v>
      </x:c>
      <x:c r="K1094" s="11" t="n">
        <x:v>0</x:v>
      </x:c>
      <x:c r="L1094" s="17" t="n">
        <x:f>SUM(SUMIFS('Costing'!$P$9:$P$492,'Costing'!$A$9:$A$492,"PARTNER-M365"))</x:f>
        <x:v>400000</x:v>
      </x:c>
      <x:c r="M1094" s="17" t="n">
        <x:f>ROUND(L1094*'Costing'!$C$4,2)</x:f>
        <x:v>72000</x:v>
      </x:c>
      <x:c r="N1094" s="17" t="n">
        <x:f>L1094+M1094</x:f>
        <x:v>472000</x:v>
      </x:c>
      <x:c r="O1094" s="12" t="str">
        <x:v>Delhi NCR</x:v>
      </x:c>
      <x:c r="P1094" s="12" t="str">
        <x:v>CORP-0778, CORP-0779, CORP-0780, CORP-0781, CORP-0782, CORP-0783, CORP-0784, CORP-0785, CORP-0786, CORP-0787</x:v>
      </x:c>
      <x:c r="Q1094" s="12" t="str">
        <x:v>Herbal Chakra Private Limited</x:v>
      </x:c>
    </x:row>
    <x:row r="1095" ht="48" customHeight="1">
      <x:c r="A1095" s="2" t="str">
        <x:v>TEN-53B505C1CAE2</x:v>
      </x:c>
      <x:c r="B1095" s="12" t="str">
        <x:v>Herbalife International India Pvt Ltd</x:v>
      </x:c>
      <x:c r="C1095" s="12" t="str">
        <x:v>Business / brand</x:v>
      </x:c>
      <x:c r="D1095" s="12" t="str">
        <x:v>Healthcare &amp; life sciences</x:v>
      </x:c>
      <x:c r="E1095" s="12" t="str">
        <x:v>Clinical, pharmaceutical &amp; health services</x:v>
      </x:c>
      <x:c r="F1095" s="12" t="str">
        <x:v>Mixed business audience</x:v>
      </x:c>
      <x:c r="G1095" s="12" t="str">
        <x:v>Established brand or business network; local company scale is not established. Use a mixed-business message.</x:v>
      </x:c>
      <x:c r="H1095" s="11" t="n">
        <x:v>7</x:v>
      </x:c>
      <x:c r="I1095" s="11" t="n">
        <x:v>7</x:v>
      </x:c>
      <x:c r="J1095" s="11" t="n">
        <x:v>7</x:v>
      </x:c>
      <x:c r="K1095" s="11" t="n">
        <x:v>0</x:v>
      </x:c>
      <x:c r="L1095" s="17" t="n">
        <x:f>SUM(SUMIFS('Costing'!$P$9:$P$492,'Costing'!$A$9:$A$492,"PARTNER-M027"))</x:f>
        <x:v>280000</x:v>
      </x:c>
      <x:c r="M1095" s="17" t="n">
        <x:f>ROUND(L1095*'Costing'!$C$4,2)</x:f>
        <x:v>50400</x:v>
      </x:c>
      <x:c r="N1095" s="17" t="n">
        <x:f>L1095+M1095</x:f>
        <x:v>330400</x:v>
      </x:c>
      <x:c r="O1095" s="12" t="str">
        <x:v>Bengaluru</x:v>
      </x:c>
      <x:c r="P1095" s="12" t="str">
        <x:v>CORP-0445, CORP-0446, CORP-0447, CORP-0448, CORP-0449, CORP-0450, CORP-0451</x:v>
      </x:c>
      <x:c r="Q1095" s="12" t="str">
        <x:v>Herbalife International India Pvt Ltd</x:v>
      </x:c>
    </x:row>
    <x:row r="1096" ht="48" customHeight="1">
      <x:c r="A1096" s="2" t="str">
        <x:v>TEN-972F82E4DD0E</x:v>
      </x:c>
      <x:c r="B1096" s="12" t="str">
        <x:v>Here Solutions</x:v>
      </x:c>
      <x:c r="C1096" s="12" t="str">
        <x:v>Business / brand</x:v>
      </x:c>
      <x:c r="D1096" s="12" t="str">
        <x:v>Unresolved</x:v>
      </x:c>
      <x:c r="E1096" s="12" t="str">
        <x:v>Business activity not established</x:v>
      </x:c>
      <x:c r="F1096" s="12" t="str">
        <x:v>Mixed business audience</x:v>
      </x:c>
      <x:c r="G1096" s="12" t="str">
        <x:v>Business activity and company scale are not established from this name.</x:v>
      </x:c>
      <x:c r="H1096" s="11" t="n">
        <x:v>1</x:v>
      </x:c>
      <x:c r="I1096" s="11" t="n">
        <x:v>5</x:v>
      </x:c>
      <x:c r="J1096" s="11" t="n">
        <x:v>5</x:v>
      </x:c>
      <x:c r="K1096" s="11" t="n">
        <x:v>0</x:v>
      </x:c>
      <x:c r="L1096" s="17" t="n">
        <x:f>SUM(SUMIFS('Costing'!$P$9:$P$492,'Costing'!$A$9:$A$492,"MAIN-338"))</x:f>
        <x:v>200000</x:v>
      </x:c>
      <x:c r="M1096" s="17" t="n">
        <x:f>ROUND(L1096*'Costing'!$C$4,2)</x:f>
        <x:v>36000</x:v>
      </x:c>
      <x:c r="N1096" s="17" t="n">
        <x:f>L1096+M1096</x:f>
        <x:v>236000</x:v>
      </x:c>
      <x:c r="O1096" s="12" t="str">
        <x:v>Mumbai</x:v>
      </x:c>
      <x:c r="P1096" s="12" t="str">
        <x:v>CORP-0334</x:v>
      </x:c>
      <x:c r="Q1096" s="12" t="str">
        <x:v>Here Solutions</x:v>
      </x:c>
    </x:row>
    <x:row r="1097" ht="48" customHeight="1">
      <x:c r="A1097" s="2" t="str">
        <x:v>TEN-EBC4D1888A03</x:v>
      </x:c>
      <x:c r="B1097" s="12" t="str">
        <x:v>Here Solutions India Pvt. Ltd</x:v>
      </x:c>
      <x:c r="C1097" s="12" t="str">
        <x:v>Business / brand</x:v>
      </x:c>
      <x:c r="D1097" s="12" t="str">
        <x:v>Unresolved</x:v>
      </x:c>
      <x:c r="E1097" s="12" t="str">
        <x:v>Business activity not established</x:v>
      </x:c>
      <x:c r="F1097" s="12" t="str">
        <x:v>Mixed business audience</x:v>
      </x:c>
      <x:c r="G1097" s="12" t="str">
        <x:v>Business activity and company scale are not established from this name.</x:v>
      </x:c>
      <x:c r="H1097" s="11" t="n">
        <x:v>3</x:v>
      </x:c>
      <x:c r="I1097" s="11" t="n">
        <x:v>3</x:v>
      </x:c>
      <x:c r="J1097" s="11" t="n">
        <x:v>3</x:v>
      </x:c>
      <x:c r="K1097" s="11" t="n">
        <x:v>0</x:v>
      </x:c>
      <x:c r="L1097" s="17" t="n">
        <x:f>SUM(SUMIFS('Costing'!$P$9:$P$492,'Costing'!$A$9:$A$492,"PARTNER-M067"))</x:f>
        <x:v>120000</x:v>
      </x:c>
      <x:c r="M1097" s="17" t="n">
        <x:f>ROUND(L1097*'Costing'!$C$4,2)</x:f>
        <x:v>21600</x:v>
      </x:c>
      <x:c r="N1097" s="17" t="n">
        <x:f>L1097+M1097</x:f>
        <x:v>141600</x:v>
      </x:c>
      <x:c r="O1097" s="12" t="str">
        <x:v>Bengaluru</x:v>
      </x:c>
      <x:c r="P1097" s="12" t="str">
        <x:v>CORP-0485, CORP-0486, CORP-0487</x:v>
      </x:c>
      <x:c r="Q1097" s="12" t="str">
        <x:v>Here Solutions India Pvt. Ltd</x:v>
      </x:c>
    </x:row>
    <x:row r="1098" ht="48" customHeight="1">
      <x:c r="A1098" s="2" t="str">
        <x:v>TEN-C90BC7E0B9D7</x:v>
      </x:c>
      <x:c r="B1098" s="12" t="str">
        <x:v>Heritage fresh</x:v>
      </x:c>
      <x:c r="C1098" s="12" t="str">
        <x:v>Business / brand</x:v>
      </x:c>
      <x:c r="D1098" s="12" t="str">
        <x:v>Trade, consumer &amp; logistics</x:v>
      </x:c>
      <x:c r="E1098" s="12" t="str">
        <x:v>Retail, consumer products &amp; ecommerce</x:v>
      </x:c>
      <x:c r="F1098" s="12" t="str">
        <x:v>Mixed business audience</x:v>
      </x:c>
      <x:c r="G1098" s="12" t="str">
        <x:v>Established brand or business network; local company scale is not established. Use a mixed-business message.</x:v>
      </x:c>
      <x:c r="H1098" s="11" t="n">
        <x:v>1</x:v>
      </x:c>
      <x:c r="I1098" s="11" t="n">
        <x:v>2</x:v>
      </x:c>
      <x:c r="J1098" s="11" t="n">
        <x:v>2</x:v>
      </x:c>
      <x:c r="K1098" s="11" t="n">
        <x:v>0</x:v>
      </x:c>
      <x:c r="L1098" s="17" t="n">
        <x:f>SUM(SUMIFS('Costing'!$P$9:$P$492,'Costing'!$A$9:$A$492,"MAIN-243"))</x:f>
        <x:v>40000</x:v>
      </x:c>
      <x:c r="M1098" s="17" t="n">
        <x:f>ROUND(L1098*'Costing'!$C$4,2)</x:f>
        <x:v>7200</x:v>
      </x:c>
      <x:c r="N1098" s="17" t="n">
        <x:f>L1098+M1098</x:f>
        <x:v>47200</x:v>
      </x:c>
      <x:c r="O1098" s="12" t="str">
        <x:v>Hyderabad</x:v>
      </x:c>
      <x:c r="P1098" s="12" t="str">
        <x:v>CORP-0239</x:v>
      </x:c>
      <x:c r="Q1098" s="12" t="str">
        <x:v>Heritage fresh</x:v>
      </x:c>
    </x:row>
    <x:row r="1099" ht="48" customHeight="1">
      <x:c r="A1099" s="2" t="str">
        <x:v>TEN-AE6C79D10F1F</x:v>
      </x:c>
      <x:c r="B1099" s="12" t="str">
        <x:v>HERO</x:v>
      </x:c>
      <x:c r="C1099" s="12" t="str">
        <x:v>Business / brand</x:v>
      </x:c>
      <x:c r="D1099" s="12" t="str">
        <x:v>Engineering &amp; manufacturing</x:v>
      </x:c>
      <x:c r="E1099" s="12" t="str">
        <x:v>Electronics, industrial systems &amp; manufacturing</x:v>
      </x:c>
      <x:c r="F1099" s="12" t="str">
        <x:v>Mixed business audience</x:v>
      </x:c>
      <x:c r="G1099" s="12" t="str">
        <x:v>Established brand or business network; local company scale is not established. Use a mixed-business message.</x:v>
      </x:c>
      <x:c r="H1099" s="11" t="n">
        <x:v>1</x:v>
      </x:c>
      <x:c r="I1099" s="11" t="n">
        <x:v>1</x:v>
      </x:c>
      <x:c r="J1099" s="11" t="n">
        <x:v>1</x:v>
      </x:c>
      <x:c r="K1099" s="11" t="n">
        <x:v>0</x:v>
      </x:c>
      <x:c r="L1099" s="17" t="n">
        <x:f>SUM(SUMIFS('Costing'!$P$9:$P$492,'Costing'!$A$9:$A$492,"MAIN-272"))</x:f>
        <x:v>20000</x:v>
      </x:c>
      <x:c r="M1099" s="17" t="n">
        <x:f>ROUND(L1099*'Costing'!$C$4,2)</x:f>
        <x:v>3600</x:v>
      </x:c>
      <x:c r="N1099" s="17" t="n">
        <x:f>L1099+M1099</x:f>
        <x:v>23600</x:v>
      </x:c>
      <x:c r="O1099" s="12" t="str">
        <x:v>Indore</x:v>
      </x:c>
      <x:c r="P1099" s="12" t="str">
        <x:v>CORP-0268</x:v>
      </x:c>
      <x:c r="Q1099" s="12" t="str">
        <x:v>HERO</x:v>
      </x:c>
    </x:row>
    <x:row r="1100" ht="48" customHeight="1">
      <x:c r="A1100" s="2" t="str">
        <x:v>TEN-621D5603203C</x:v>
      </x:c>
      <x:c r="B1100" s="12" t="str">
        <x:v>Heurtey Petrochem India Private Limited</x:v>
      </x:c>
      <x:c r="C1100" s="12" t="str">
        <x:v>Business / brand</x:v>
      </x:c>
      <x:c r="D1100" s="12" t="str">
        <x:v>Engineering &amp; manufacturing</x:v>
      </x:c>
      <x:c r="E1100" s="12" t="str">
        <x:v>Electronics, industrial systems &amp; manufacturing</x:v>
      </x:c>
      <x:c r="F1100" s="12" t="str">
        <x:v>Mixed business audience</x:v>
      </x:c>
      <x:c r="G1100" s="12" t="str">
        <x:v>Established brand or business network; local company scale is not established. Use a mixed-business message.</x:v>
      </x:c>
      <x:c r="H1100" s="11" t="n">
        <x:v>6</x:v>
      </x:c>
      <x:c r="I1100" s="11" t="n">
        <x:v>6</x:v>
      </x:c>
      <x:c r="J1100" s="11" t="n">
        <x:v>6</x:v>
      </x:c>
      <x:c r="K1100" s="11" t="n">
        <x:v>0</x:v>
      </x:c>
      <x:c r="L1100" s="17" t="n">
        <x:f>SUM(SUMIFS('Costing'!$P$9:$P$492,'Costing'!$A$9:$A$492,"PARTNER-M179"))</x:f>
        <x:v>240000</x:v>
      </x:c>
      <x:c r="M1100" s="17" t="n">
        <x:f>ROUND(L1100*'Costing'!$C$4,2)</x:f>
        <x:v>43200</x:v>
      </x:c>
      <x:c r="N1100" s="17" t="n">
        <x:f>L1100+M1100</x:f>
        <x:v>283200</x:v>
      </x:c>
      <x:c r="O1100" s="12" t="str">
        <x:v>Mumbai</x:v>
      </x:c>
      <x:c r="P1100" s="12" t="str">
        <x:v>CORP-0596, CORP-0597, CORP-0598, CORP-0599, CORP-0600, CORP-0601</x:v>
      </x:c>
      <x:c r="Q1100" s="12" t="str">
        <x:v>Heurtey Petrochem India Private Limited</x:v>
      </x:c>
    </x:row>
    <x:row r="1101" ht="48" customHeight="1">
      <x:c r="A1101" s="2" t="str">
        <x:v>TEN-AF1817801D9F</x:v>
      </x:c>
      <x:c r="B1101" s="12" t="str">
        <x:v>Hewlett Packard Enterprise (Global eBusiness Operation Pvt Ltd)</x:v>
      </x:c>
      <x:c r="C1101" s="12" t="str">
        <x:v>Business / brand</x:v>
      </x:c>
      <x:c r="D1101" s="12" t="str">
        <x:v>Engineering &amp; manufacturing</x:v>
      </x:c>
      <x:c r="E1101" s="12" t="str">
        <x:v>Semiconductors, electronics &amp; equipment</x:v>
      </x:c>
      <x:c r="F1101" s="12" t="str">
        <x:v>Large enterprise</x:v>
      </x:c>
      <x:c r="G1101" s="12" t="str">
        <x:v>Explicit HPE enterprise-family context; see ENTERPRISE_SUPP_037 evidence.</x:v>
      </x:c>
      <x:c r="H1101" s="11" t="n">
        <x:v>2</x:v>
      </x:c>
      <x:c r="I1101" s="11" t="n">
        <x:v>2</x:v>
      </x:c>
      <x:c r="J1101" s="11" t="n">
        <x:v>2</x:v>
      </x:c>
      <x:c r="K1101" s="11" t="n">
        <x:v>0</x:v>
      </x:c>
      <x:c r="L1101" s="17" t="n">
        <x:f>SUM(SUMIFS('Costing'!$P$9:$P$492,'Costing'!$A$9:$A$492,"PARTNER-M334"))</x:f>
        <x:v>80000</x:v>
      </x:c>
      <x:c r="M1101" s="17" t="n">
        <x:f>ROUND(L1101*'Costing'!$C$4,2)</x:f>
        <x:v>14400</x:v>
      </x:c>
      <x:c r="N1101" s="17" t="n">
        <x:f>L1101+M1101</x:f>
        <x:v>94400</x:v>
      </x:c>
      <x:c r="O1101" s="12" t="str">
        <x:v>Chennai</x:v>
      </x:c>
      <x:c r="P1101" s="12" t="str">
        <x:v>CORP-0748, CORP-0749</x:v>
      </x:c>
      <x:c r="Q1101" s="12" t="str">
        <x:v>Hewlett Packard Enterprise (Global eBusiness Operation Pvt Ltd)</x:v>
      </x:c>
    </x:row>
    <x:row r="1102" ht="62" customHeight="1">
      <x:c r="A1102" s="2" t="str">
        <x:v>TEN-849229AF9AC7</x:v>
      </x:c>
      <x:c r="B1102" s="12" t="str">
        <x:v>Hexaware Technologies Limited</x:v>
      </x:c>
      <x:c r="C1102" s="12" t="str">
        <x:v>Business / brand</x:v>
      </x:c>
      <x:c r="D1102" s="12" t="str">
        <x:v>IT &amp; digital</x:v>
      </x:c>
      <x:c r="E1102" s="12" t="str">
        <x:v>Enterprise software &amp; digital engineering</x:v>
      </x:c>
      <x:c r="F1102" s="12" t="str">
        <x:v>Large enterprise</x:v>
      </x:c>
      <x:c r="G1102" s="12" t="str">
        <x:v>Listed technology-services enterprise with multiple delivery centres in its official 2025 annual report. Large-enterprise campaign context; no statutory MSME status asserted.</x:v>
      </x:c>
      <x:c r="H1102" s="11" t="n">
        <x:v>7</x:v>
      </x:c>
      <x:c r="I1102" s="11" t="n">
        <x:v>7</x:v>
      </x:c>
      <x:c r="J1102" s="11" t="n">
        <x:v>7</x:v>
      </x:c>
      <x:c r="K1102" s="11" t="n">
        <x:v>0</x:v>
      </x:c>
      <x:c r="L1102" s="17" t="n">
        <x:f>SUM(SUMIFS('Costing'!$P$9:$P$492,'Costing'!$A$9:$A$492,"PARTNER-M027"))</x:f>
        <x:v>280000</x:v>
      </x:c>
      <x:c r="M1102" s="17" t="n">
        <x:f>ROUND(L1102*'Costing'!$C$4,2)</x:f>
        <x:v>50400</x:v>
      </x:c>
      <x:c r="N1102" s="17" t="n">
        <x:f>L1102+M1102</x:f>
        <x:v>330400</x:v>
      </x:c>
      <x:c r="O1102" s="12" t="str">
        <x:v>Bengaluru</x:v>
      </x:c>
      <x:c r="P1102" s="12" t="str">
        <x:v>CORP-0445, CORP-0446, CORP-0447, CORP-0448, CORP-0449, CORP-0450, CORP-0451</x:v>
      </x:c>
      <x:c r="Q1102" s="12" t="str">
        <x:v>Hexaware Technologies Limited</x:v>
      </x:c>
    </x:row>
    <x:row r="1103" ht="48" customHeight="1">
      <x:c r="A1103" s="2" t="str">
        <x:v>TEN-D80C916AEFE7</x:v>
      </x:c>
      <x:c r="B1103" s="12" t="str">
        <x:v>Hexxarch</x:v>
      </x:c>
      <x:c r="C1103" s="12" t="str">
        <x:v>Business / brand</x:v>
      </x:c>
      <x:c r="D1103" s="12" t="str">
        <x:v>Unresolved</x:v>
      </x:c>
      <x:c r="E1103" s="12" t="str">
        <x:v>Business activity not established</x:v>
      </x:c>
      <x:c r="F1103" s="12" t="str">
        <x:v>Mixed business audience</x:v>
      </x:c>
      <x:c r="G1103" s="12" t="str">
        <x:v>Business activity and company scale are not established from this name.</x:v>
      </x:c>
      <x:c r="H1103" s="11" t="n">
        <x:v>1</x:v>
      </x:c>
      <x:c r="I1103" s="11" t="n">
        <x:v>2</x:v>
      </x:c>
      <x:c r="J1103" s="11" t="n">
        <x:v>2</x:v>
      </x:c>
      <x:c r="K1103" s="11" t="n">
        <x:v>0</x:v>
      </x:c>
      <x:c r="L1103" s="17" t="n">
        <x:f>SUM(SUMIFS('Costing'!$P$9:$P$492,'Costing'!$A$9:$A$492,"MAIN-277"))</x:f>
        <x:v>30000</x:v>
      </x:c>
      <x:c r="M1103" s="17" t="n">
        <x:f>ROUND(L1103*'Costing'!$C$4,2)</x:f>
        <x:v>5400</x:v>
      </x:c>
      <x:c r="N1103" s="17" t="n">
        <x:f>L1103+M1103</x:f>
        <x:v>35400</x:v>
      </x:c>
      <x:c r="O1103" s="12" t="str">
        <x:v>Kochi</x:v>
      </x:c>
      <x:c r="P1103" s="12" t="str">
        <x:v>CORP-0273</x:v>
      </x:c>
      <x:c r="Q1103" s="12" t="str">
        <x:v>Hexxarch</x:v>
      </x:c>
    </x:row>
    <x:row r="1104" ht="48" customHeight="1">
      <x:c r="A1104" s="2" t="str">
        <x:v>TEN-4818ADBE7A3E</x:v>
      </x:c>
      <x:c r="B1104" s="12" t="str">
        <x:v>HGS</x:v>
      </x:c>
      <x:c r="C1104" s="12" t="str">
        <x:v>Business / brand</x:v>
      </x:c>
      <x:c r="D1104" s="12" t="str">
        <x:v>IT &amp; digital</x:v>
      </x:c>
      <x:c r="E1104" s="12" t="str">
        <x:v>Business process &amp; customer operations</x:v>
      </x:c>
      <x:c r="F1104" s="12" t="str">
        <x:v>Mixed business audience</x:v>
      </x:c>
      <x:c r="G1104" s="12" t="str">
        <x:v>Established brand or business network; local company scale is not established. Use a mixed-business message.</x:v>
      </x:c>
      <x:c r="H1104" s="11" t="n">
        <x:v>3</x:v>
      </x:c>
      <x:c r="I1104" s="11" t="n">
        <x:v>3</x:v>
      </x:c>
      <x:c r="J1104" s="11" t="n">
        <x:v>3</x:v>
      </x:c>
      <x:c r="K1104" s="11" t="n">
        <x:v>0</x:v>
      </x:c>
      <x:c r="L1104" s="17" t="n">
        <x:f>SUM(SUMIFS('Costing'!$P$9:$P$492,'Costing'!$A$9:$A$492,"PARTNER-M175"))</x:f>
        <x:v>120000</x:v>
      </x:c>
      <x:c r="M1104" s="17" t="n">
        <x:f>ROUND(L1104*'Costing'!$C$4,2)</x:f>
        <x:v>21600</x:v>
      </x:c>
      <x:c r="N1104" s="17" t="n">
        <x:f>L1104+M1104</x:f>
        <x:v>141600</x:v>
      </x:c>
      <x:c r="O1104" s="12" t="str">
        <x:v>Mumbai</x:v>
      </x:c>
      <x:c r="P1104" s="12" t="str">
        <x:v>CORP-0592, CORP-0593, CORP-0594</x:v>
      </x:c>
      <x:c r="Q1104" s="12" t="str">
        <x:v>HGS</x:v>
      </x:c>
    </x:row>
    <x:row r="1105" ht="75" customHeight="1">
      <x:c r="A1105" s="2" t="str">
        <x:v>TEN-272D2169C38E</x:v>
      </x:c>
      <x:c r="B1105" s="12" t="str">
        <x:v>Hi5 Youth Foundation</x:v>
      </x:c>
      <x:c r="C1105" s="12" t="str">
        <x:v>Public / nonprofit</x:v>
      </x:c>
      <x:c r="D1105" s="12" t="str">
        <x:v>Government &amp; nonprofit</x:v>
      </x:c>
      <x:c r="E1105" s="12" t="str">
        <x:v>Public, nonprofit or membership organization</x:v>
      </x:c>
      <x:c r="F1105" s="12" t="str">
        <x:v>Institutional</x:v>
      </x:c>
      <x:c r="G1105" s="12" t="str">
        <x:v>Existing directory identifies an institutional, government, education, membership or nonprofit organisation rather than an ordinary MSME business prospect. This tag describes audience role and does not assert legal tax status.</x:v>
      </x:c>
      <x:c r="H1105" s="11" t="n">
        <x:v>6</x:v>
      </x:c>
      <x:c r="I1105" s="11" t="n">
        <x:v>6</x:v>
      </x:c>
      <x:c r="J1105" s="11" t="n">
        <x:v>6</x:v>
      </x:c>
      <x:c r="K1105" s="11" t="n">
        <x:v>0</x:v>
      </x:c>
      <x:c r="L1105" s="17" t="n">
        <x:f>SUM(SUMIFS('Costing'!$P$9:$P$492,'Costing'!$A$9:$A$492,"PARTNER-M179"))</x:f>
        <x:v>240000</x:v>
      </x:c>
      <x:c r="M1105" s="17" t="n">
        <x:f>ROUND(L1105*'Costing'!$C$4,2)</x:f>
        <x:v>43200</x:v>
      </x:c>
      <x:c r="N1105" s="17" t="n">
        <x:f>L1105+M1105</x:f>
        <x:v>283200</x:v>
      </x:c>
      <x:c r="O1105" s="12" t="str">
        <x:v>Mumbai</x:v>
      </x:c>
      <x:c r="P1105" s="12" t="str">
        <x:v>CORP-0596, CORP-0597, CORP-0598, CORP-0599, CORP-0600, CORP-0601</x:v>
      </x:c>
      <x:c r="Q1105" s="12" t="str">
        <x:v>Hi5 Youth Foundation</x:v>
      </x:c>
    </x:row>
    <x:row r="1106" ht="48" customHeight="1">
      <x:c r="A1106" s="2" t="str">
        <x:v>TEN-2B128031063A</x:v>
      </x:c>
      <x:c r="B1106" s="12" t="str">
        <x:v>Highspot</x:v>
      </x:c>
      <x:c r="C1106" s="12" t="str">
        <x:v>Business / brand</x:v>
      </x:c>
      <x:c r="D1106" s="12" t="str">
        <x:v>IT &amp; digital</x:v>
      </x:c>
      <x:c r="E1106" s="12" t="str">
        <x:v>Enterprise software &amp; digital engineering</x:v>
      </x:c>
      <x:c r="F1106" s="12" t="str">
        <x:v>Mixed business audience</x:v>
      </x:c>
      <x:c r="G1106" s="12" t="str">
        <x:v>Established brand or business network; local company scale is not established. Use a mixed-business message.</x:v>
      </x:c>
      <x:c r="H1106" s="11" t="n">
        <x:v>1</x:v>
      </x:c>
      <x:c r="I1106" s="11" t="n">
        <x:v>1</x:v>
      </x:c>
      <x:c r="J1106" s="11" t="n">
        <x:v>1</x:v>
      </x:c>
      <x:c r="K1106" s="11" t="n">
        <x:v>0</x:v>
      </x:c>
      <x:c r="L1106" s="17" t="n">
        <x:f>SUM(SUMIFS('Costing'!$P$9:$P$492,'Costing'!$A$9:$A$492,"MAIN-259"))</x:f>
        <x:v>20000</x:v>
      </x:c>
      <x:c r="M1106" s="17" t="n">
        <x:f>ROUND(L1106*'Costing'!$C$4,2)</x:f>
        <x:v>3600</x:v>
      </x:c>
      <x:c r="N1106" s="17" t="n">
        <x:f>L1106+M1106</x:f>
        <x:v>23600</x:v>
      </x:c>
      <x:c r="O1106" s="12" t="str">
        <x:v>Hyderabad</x:v>
      </x:c>
      <x:c r="P1106" s="12" t="str">
        <x:v>CORP-0255</x:v>
      </x:c>
      <x:c r="Q1106" s="12" t="str">
        <x:v>Highspot</x:v>
      </x:c>
    </x:row>
    <x:row r="1107" ht="48" customHeight="1">
      <x:c r="A1107" s="2" t="str">
        <x:v>TEN-BDA2979FE4F0</x:v>
      </x:c>
      <x:c r="B1107" s="12" t="str">
        <x:v>Hightee Hotels Private Limited</x:v>
      </x:c>
      <x:c r="C1107" s="12" t="str">
        <x:v>Business / brand</x:v>
      </x:c>
      <x:c r="D1107" s="12" t="str">
        <x:v>Trade, consumer &amp; logistics</x:v>
      </x:c>
      <x:c r="E1107" s="12" t="str">
        <x:v>Travel, hospitality, food &amp; beverages</x:v>
      </x:c>
      <x:c r="F1107" s="12" t="str">
        <x:v>Small-scale prospects</x:v>
      </x:c>
      <x:c r="G1107" s="12" t="str">
        <x:v>Trading or consumer-services business; small-scale prospect assumption.</x:v>
      </x:c>
      <x:c r="H1107" s="11" t="n">
        <x:v>1</x:v>
      </x:c>
      <x:c r="I1107" s="11" t="n">
        <x:v>2</x:v>
      </x:c>
      <x:c r="J1107" s="11" t="n">
        <x:v>2</x:v>
      </x:c>
      <x:c r="K1107" s="11" t="n">
        <x:v>0</x:v>
      </x:c>
      <x:c r="L1107" s="17" t="n">
        <x:f>SUM(SUMIFS('Costing'!$P$9:$P$492,'Costing'!$A$9:$A$492,"MAIN-273"))</x:f>
        <x:v>40000</x:v>
      </x:c>
      <x:c r="M1107" s="17" t="n">
        <x:f>ROUND(L1107*'Costing'!$C$4,2)</x:f>
        <x:v>7200</x:v>
      </x:c>
      <x:c r="N1107" s="17" t="n">
        <x:f>L1107+M1107</x:f>
        <x:v>47200</x:v>
      </x:c>
      <x:c r="O1107" s="12" t="str">
        <x:v>Indore</x:v>
      </x:c>
      <x:c r="P1107" s="12" t="str">
        <x:v>CORP-0269</x:v>
      </x:c>
      <x:c r="Q1107" s="12" t="str">
        <x:v>Hightee Hotels Private Limited</x:v>
      </x:c>
    </x:row>
    <x:row r="1108" ht="48" customHeight="1">
      <x:c r="A1108" s="2" t="str">
        <x:v>TEN-17FB8DB6E637</x:v>
      </x:c>
      <x:c r="B1108" s="12" t="str">
        <x:v>HikeOn Technologies Private Limited</x:v>
      </x:c>
      <x:c r="C1108" s="12" t="str">
        <x:v>Business / brand</x:v>
      </x:c>
      <x:c r="D1108" s="12" t="str">
        <x:v>IT &amp; digital</x:v>
      </x:c>
      <x:c r="E1108" s="12" t="str">
        <x:v>Enterprise software &amp; digital engineering</x:v>
      </x:c>
      <x:c r="F1108" s="12" t="str">
        <x:v>Small-scale prospects</x:v>
      </x:c>
      <x:c r="G1108" s="12" t="str">
        <x:v>Software or technology-services business; small-scale prospect assumption.</x:v>
      </x:c>
      <x:c r="H1108" s="11" t="n">
        <x:v>1</x:v>
      </x:c>
      <x:c r="I1108" s="11" t="n">
        <x:v>5</x:v>
      </x:c>
      <x:c r="J1108" s="11" t="n">
        <x:v>5</x:v>
      </x:c>
      <x:c r="K1108" s="11" t="n">
        <x:v>0</x:v>
      </x:c>
      <x:c r="L1108" s="17" t="n">
        <x:f>SUM(SUMIFS('Costing'!$P$9:$P$492,'Costing'!$A$9:$A$492,"MAIN-127"))</x:f>
        <x:v>125000</x:v>
      </x:c>
      <x:c r="M1108" s="17" t="n">
        <x:f>ROUND(L1108*'Costing'!$C$4,2)</x:f>
        <x:v>22500</x:v>
      </x:c>
      <x:c r="N1108" s="17" t="n">
        <x:f>L1108+M1108</x:f>
        <x:v>147500</x:v>
      </x:c>
      <x:c r="O1108" s="12" t="str">
        <x:v>Bengaluru</x:v>
      </x:c>
      <x:c r="P1108" s="12" t="str">
        <x:v>CORP-0123</x:v>
      </x:c>
      <x:c r="Q1108" s="12" t="str">
        <x:v>HikeOn Technologies Private Limited</x:v>
      </x:c>
    </x:row>
    <x:row r="1109" ht="48" customHeight="1">
      <x:c r="A1109" s="2" t="str">
        <x:v>TEN-F405EA0EE2B7</x:v>
      </x:c>
      <x:c r="B1109" s="12" t="str">
        <x:v>Hill and Bach Lifestyle</x:v>
      </x:c>
      <x:c r="C1109" s="12" t="str">
        <x:v>Business / brand</x:v>
      </x:c>
      <x:c r="D1109" s="12" t="str">
        <x:v>Trade, consumer &amp; logistics</x:v>
      </x:c>
      <x:c r="E1109" s="12" t="str">
        <x:v>Retail, consumer products &amp; ecommerce</x:v>
      </x:c>
      <x:c r="F1109" s="12" t="str">
        <x:v>Small-scale prospects</x:v>
      </x:c>
      <x:c r="G1109" s="12" t="str">
        <x:v>Trading or consumer-services business; small-scale prospect assumption.</x:v>
      </x:c>
      <x:c r="H1109" s="11" t="n">
        <x:v>1</x:v>
      </x:c>
      <x:c r="I1109" s="11" t="n">
        <x:v>2</x:v>
      </x:c>
      <x:c r="J1109" s="11" t="n">
        <x:v>2</x:v>
      </x:c>
      <x:c r="K1109" s="11" t="n">
        <x:v>0</x:v>
      </x:c>
      <x:c r="L1109" s="17" t="n">
        <x:f>SUM(SUMIFS('Costing'!$P$9:$P$492,'Costing'!$A$9:$A$492,"MAIN-032"))</x:f>
        <x:v>30000</x:v>
      </x:c>
      <x:c r="M1109" s="17" t="n">
        <x:f>ROUND(L1109*'Costing'!$C$4,2)</x:f>
        <x:v>5400</x:v>
      </x:c>
      <x:c r="N1109" s="17" t="n">
        <x:f>L1109+M1109</x:f>
        <x:v>35400</x:v>
      </x:c>
      <x:c r="O1109" s="12" t="str">
        <x:v>Bengaluru</x:v>
      </x:c>
      <x:c r="P1109" s="12" t="str">
        <x:v>CORP-0028</x:v>
      </x:c>
      <x:c r="Q1109" s="12" t="str">
        <x:v>Hill and Bach Lifestyle</x:v>
      </x:c>
    </x:row>
    <x:row r="1110" ht="48" customHeight="1">
      <x:c r="A1110" s="2" t="str">
        <x:v>TEN-5CAEBC2A73C0</x:v>
      </x:c>
      <x:c r="B1110" s="12" t="str">
        <x:v>Hind Terminals Private Limited</x:v>
      </x:c>
      <x:c r="C1110" s="12" t="str">
        <x:v>Business / brand</x:v>
      </x:c>
      <x:c r="D1110" s="12" t="str">
        <x:v>Trade, consumer &amp; logistics</x:v>
      </x:c>
      <x:c r="E1110" s="12" t="str">
        <x:v>Consumer/trade services — specialty unverified</x:v>
      </x:c>
      <x:c r="F1110" s="12" t="str">
        <x:v>Mixed business audience</x:v>
      </x:c>
      <x:c r="G1110" s="12" t="str">
        <x:v>Recognisable business context; company-scale evidence remains insufficient for a single size band.</x:v>
      </x:c>
      <x:c r="H1110" s="11" t="n">
        <x:v>4</x:v>
      </x:c>
      <x:c r="I1110" s="11" t="n">
        <x:v>4</x:v>
      </x:c>
      <x:c r="J1110" s="11" t="n">
        <x:v>4</x:v>
      </x:c>
      <x:c r="K1110" s="11" t="n">
        <x:v>0</x:v>
      </x:c>
      <x:c r="L1110" s="17" t="n">
        <x:f>SUM(SUMIFS('Costing'!$P$9:$P$492,'Costing'!$A$9:$A$492,"PARTNER-M235"))</x:f>
        <x:v>160000</x:v>
      </x:c>
      <x:c r="M1110" s="17" t="n">
        <x:f>ROUND(L1110*'Costing'!$C$4,2)</x:f>
        <x:v>28800</x:v>
      </x:c>
      <x:c r="N1110" s="17" t="n">
        <x:f>L1110+M1110</x:f>
        <x:v>188800</x:v>
      </x:c>
      <x:c r="O1110" s="12" t="str">
        <x:v>Mumbai</x:v>
      </x:c>
      <x:c r="P1110" s="12" t="str">
        <x:v>CORP-0652, CORP-0653, CORP-0654, CORP-0655</x:v>
      </x:c>
      <x:c r="Q1110" s="12" t="str">
        <x:v>Hind Terminals Private Limited</x:v>
      </x:c>
    </x:row>
    <x:row r="1111" ht="48" customHeight="1">
      <x:c r="A1111" s="2" t="str">
        <x:v>TEN-961C7963E78A</x:v>
      </x:c>
      <x:c r="B1111" s="12" t="str">
        <x:v>Hinduja Tech Limited</x:v>
      </x:c>
      <x:c r="C1111" s="12" t="str">
        <x:v>Business / brand</x:v>
      </x:c>
      <x:c r="D1111" s="12" t="str">
        <x:v>Unresolved</x:v>
      </x:c>
      <x:c r="E1111" s="12" t="str">
        <x:v>Business activity not established</x:v>
      </x:c>
      <x:c r="F1111" s="12" t="str">
        <x:v>Mixed business audience</x:v>
      </x:c>
      <x:c r="G1111" s="12" t="str">
        <x:v>Business activity and company scale are not established from this name.</x:v>
      </x:c>
      <x:c r="H1111" s="11" t="n">
        <x:v>5</x:v>
      </x:c>
      <x:c r="I1111" s="11" t="n">
        <x:v>5</x:v>
      </x:c>
      <x:c r="J1111" s="11" t="n">
        <x:v>5</x:v>
      </x:c>
      <x:c r="K1111" s="11" t="n">
        <x:v>0</x:v>
      </x:c>
      <x:c r="L1111" s="17" t="n">
        <x:f>SUM(SUMIFS('Costing'!$P$9:$P$492,'Costing'!$A$9:$A$492,"PARTNER-M268"))</x:f>
        <x:v>200000</x:v>
      </x:c>
      <x:c r="M1111" s="17" t="n">
        <x:f>ROUND(L1111*'Costing'!$C$4,2)</x:f>
        <x:v>36000</x:v>
      </x:c>
      <x:c r="N1111" s="17" t="n">
        <x:f>L1111+M1111</x:f>
        <x:v>236000</x:v>
      </x:c>
      <x:c r="O1111" s="12" t="str">
        <x:v>Pune</x:v>
      </x:c>
      <x:c r="P1111" s="12" t="str">
        <x:v>CORP-0684, CORP-0685, CORP-0686, CORP-0687, CORP-0688</x:v>
      </x:c>
      <x:c r="Q1111" s="12" t="str">
        <x:v>Hinduja Tech Limited</x:v>
      </x:c>
    </x:row>
    <x:row r="1112" ht="48" customHeight="1">
      <x:c r="A1112" s="2" t="str">
        <x:v>TEN-27D7FC7285CF</x:v>
      </x:c>
      <x:c r="B1112" s="12" t="str">
        <x:v>Hindustan Times Radio Station (Radio One)</x:v>
      </x:c>
      <x:c r="C1112" s="12" t="str">
        <x:v>Business / brand</x:v>
      </x:c>
      <x:c r="D1112" s="12" t="str">
        <x:v>Trade, consumer &amp; logistics</x:v>
      </x:c>
      <x:c r="E1112" s="12" t="str">
        <x:v>Entertainment, media &amp; events</x:v>
      </x:c>
      <x:c r="F1112" s="12" t="str">
        <x:v>Mixed business audience</x:v>
      </x:c>
      <x:c r="G1112" s="12" t="str">
        <x:v>Recognisable business context; company-scale evidence remains insufficient for a single size band.</x:v>
      </x:c>
      <x:c r="H1112" s="11" t="n">
        <x:v>2</x:v>
      </x:c>
      <x:c r="I1112" s="11" t="n">
        <x:v>2</x:v>
      </x:c>
      <x:c r="J1112" s="11" t="n">
        <x:v>2</x:v>
      </x:c>
      <x:c r="K1112" s="11" t="n">
        <x:v>0</x:v>
      </x:c>
      <x:c r="L1112" s="17" t="n">
        <x:f>SUM(SUMIFS('Costing'!$P$9:$P$492,'Costing'!$A$9:$A$492,"PARTNER-M241"))</x:f>
        <x:v>80000</x:v>
      </x:c>
      <x:c r="M1112" s="17" t="n">
        <x:f>ROUND(L1112*'Costing'!$C$4,2)</x:f>
        <x:v>14400</x:v>
      </x:c>
      <x:c r="N1112" s="17" t="n">
        <x:f>L1112+M1112</x:f>
        <x:v>94400</x:v>
      </x:c>
      <x:c r="O1112" s="12" t="str">
        <x:v>Mumbai</x:v>
      </x:c>
      <x:c r="P1112" s="12" t="str">
        <x:v>CORP-0658, CORP-0659</x:v>
      </x:c>
      <x:c r="Q1112" s="12" t="str">
        <x:v>Hindustan Times Radio Station (Radio One)</x:v>
      </x:c>
    </x:row>
    <x:row r="1113" ht="48" customHeight="1">
      <x:c r="A1113" s="2" t="str">
        <x:v>TEN-9987FF0A3CAC</x:v>
      </x:c>
      <x:c r="B1113" s="12" t="str">
        <x:v>Hindustan Unilever (UniOps business unit)</x:v>
      </x:c>
      <x:c r="C1113" s="12" t="str">
        <x:v>Business / brand</x:v>
      </x:c>
      <x:c r="D1113" s="12" t="str">
        <x:v>Trade, consumer &amp; logistics</x:v>
      </x:c>
      <x:c r="E1113" s="12" t="str">
        <x:v>Retail, consumer products &amp; ecommerce</x:v>
      </x:c>
      <x:c r="F1113" s="12" t="str">
        <x:v>Large enterprise</x:v>
      </x:c>
      <x:c r="G1113" s="12" t="str">
        <x:v>Explicit Unilever enterprise-family context; see ENTERPRISE_SUPP_018 evidence.</x:v>
      </x:c>
      <x:c r="H1113" s="11" t="n">
        <x:v>7</x:v>
      </x:c>
      <x:c r="I1113" s="11" t="n">
        <x:v>7</x:v>
      </x:c>
      <x:c r="J1113" s="11" t="n">
        <x:v>7</x:v>
      </x:c>
      <x:c r="K1113" s="11" t="n">
        <x:v>0</x:v>
      </x:c>
      <x:c r="L1113" s="17" t="n">
        <x:f>SUM(SUMIFS('Costing'!$P$9:$P$492,'Costing'!$A$9:$A$492,"PARTNER-M027"))</x:f>
        <x:v>280000</x:v>
      </x:c>
      <x:c r="M1113" s="17" t="n">
        <x:f>ROUND(L1113*'Costing'!$C$4,2)</x:f>
        <x:v>50400</x:v>
      </x:c>
      <x:c r="N1113" s="17" t="n">
        <x:f>L1113+M1113</x:f>
        <x:v>330400</x:v>
      </x:c>
      <x:c r="O1113" s="12" t="str">
        <x:v>Bengaluru</x:v>
      </x:c>
      <x:c r="P1113" s="12" t="str">
        <x:v>CORP-0445, CORP-0446, CORP-0447, CORP-0448, CORP-0449, CORP-0450, CORP-0451</x:v>
      </x:c>
      <x:c r="Q1113" s="12" t="str">
        <x:v>Hindustan Unilever (UniOps business unit)</x:v>
      </x:c>
    </x:row>
    <x:row r="1114" ht="48" customHeight="1">
      <x:c r="A1114" s="2" t="str">
        <x:v>TEN-AE69DE673F61</x:v>
      </x:c>
      <x:c r="B1114" s="12" t="str">
        <x:v>Hiraco</x:v>
      </x:c>
      <x:c r="C1114" s="12" t="str">
        <x:v>Business / brand</x:v>
      </x:c>
      <x:c r="D1114" s="12" t="str">
        <x:v>Unresolved</x:v>
      </x:c>
      <x:c r="E1114" s="12" t="str">
        <x:v>Business activity not established</x:v>
      </x:c>
      <x:c r="F1114" s="12" t="str">
        <x:v>Mixed business audience</x:v>
      </x:c>
      <x:c r="G1114" s="12" t="str">
        <x:v>Business activity and company scale are not established from this name.</x:v>
      </x:c>
      <x:c r="H1114" s="11" t="n">
        <x:v>3</x:v>
      </x:c>
      <x:c r="I1114" s="11" t="n">
        <x:v>3</x:v>
      </x:c>
      <x:c r="J1114" s="11" t="n">
        <x:v>3</x:v>
      </x:c>
      <x:c r="K1114" s="11" t="n">
        <x:v>0</x:v>
      </x:c>
      <x:c r="L1114" s="17" t="n">
        <x:f>SUM(SUMIFS('Costing'!$P$9:$P$492,'Costing'!$A$9:$A$492,"PARTNER-M175"))</x:f>
        <x:v>120000</x:v>
      </x:c>
      <x:c r="M1114" s="17" t="n">
        <x:f>ROUND(L1114*'Costing'!$C$4,2)</x:f>
        <x:v>21600</x:v>
      </x:c>
      <x:c r="N1114" s="17" t="n">
        <x:f>L1114+M1114</x:f>
        <x:v>141600</x:v>
      </x:c>
      <x:c r="O1114" s="12" t="str">
        <x:v>Mumbai</x:v>
      </x:c>
      <x:c r="P1114" s="12" t="str">
        <x:v>CORP-0592, CORP-0593, CORP-0594</x:v>
      </x:c>
      <x:c r="Q1114" s="12" t="str">
        <x:v>Hiraco</x:v>
      </x:c>
    </x:row>
    <x:row r="1115" ht="48" customHeight="1">
      <x:c r="A1115" s="2" t="str">
        <x:v>TEN-09D0F443DA94</x:v>
      </x:c>
      <x:c r="B1115" s="12" t="str">
        <x:v>Hire Indians Infotech Pvt Ltd</x:v>
      </x:c>
      <x:c r="C1115" s="12" t="str">
        <x:v>Business / brand</x:v>
      </x:c>
      <x:c r="D1115" s="12" t="str">
        <x:v>IT &amp; digital</x:v>
      </x:c>
      <x:c r="E1115" s="12" t="str">
        <x:v>Enterprise software &amp; digital engineering</x:v>
      </x:c>
      <x:c r="F1115" s="12" t="str">
        <x:v>Small-scale prospects</x:v>
      </x:c>
      <x:c r="G1115" s="12" t="str">
        <x:v>Software or technology-services business; small-scale prospect assumption.</x:v>
      </x:c>
      <x:c r="H1115" s="11" t="n">
        <x:v>2</x:v>
      </x:c>
      <x:c r="I1115" s="11" t="n">
        <x:v>6</x:v>
      </x:c>
      <x:c r="J1115" s="11" t="n">
        <x:v>6</x:v>
      </x:c>
      <x:c r="K1115" s="11" t="n">
        <x:v>0</x:v>
      </x:c>
      <x:c r="L1115" s="17" t="n">
        <x:f>SUM(SUMIFS('Costing'!$P$9:$P$492,'Costing'!$A$9:$A$492,"MAIN-374"),SUMIFS('Costing'!$P$9:$P$492,'Costing'!$A$9:$A$492,"MAIN-375"))</x:f>
        <x:v>140000</x:v>
      </x:c>
      <x:c r="M1115" s="17" t="n">
        <x:f>ROUND(L1115*'Costing'!$C$4,2)</x:f>
        <x:v>25200</x:v>
      </x:c>
      <x:c r="N1115" s="17" t="n">
        <x:f>L1115+M1115</x:f>
        <x:v>165200</x:v>
      </x:c>
      <x:c r="O1115" s="12" t="str">
        <x:v>Delhi NCR</x:v>
      </x:c>
      <x:c r="P1115" s="12" t="str">
        <x:v>CORP-0370, CORP-0371</x:v>
      </x:c>
      <x:c r="Q1115" s="12" t="str">
        <x:v>Hire Indians Infotech Pvt Ltd</x:v>
      </x:c>
    </x:row>
    <x:row r="1116" ht="48" customHeight="1">
      <x:c r="A1116" s="2" t="str">
        <x:v>TEN-D820F7EB8DD2</x:v>
      </x:c>
      <x:c r="B1116" s="12" t="str">
        <x:v>Hireright</x:v>
      </x:c>
      <x:c r="C1116" s="12" t="str">
        <x:v>Business / brand</x:v>
      </x:c>
      <x:c r="D1116" s="12" t="str">
        <x:v>Professional services</x:v>
      </x:c>
      <x:c r="E1116" s="12" t="str">
        <x:v>Professional services — specialty unverified</x:v>
      </x:c>
      <x:c r="F1116" s="12" t="str">
        <x:v>Mixed business audience</x:v>
      </x:c>
      <x:c r="G1116" s="12" t="str">
        <x:v>Recognisable business context; company-scale evidence remains insufficient for a single size band.</x:v>
      </x:c>
      <x:c r="H1116" s="11" t="n">
        <x:v>9</x:v>
      </x:c>
      <x:c r="I1116" s="11" t="n">
        <x:v>9</x:v>
      </x:c>
      <x:c r="J1116" s="11" t="n">
        <x:v>9</x:v>
      </x:c>
      <x:c r="K1116" s="11" t="n">
        <x:v>0</x:v>
      </x:c>
      <x:c r="L1116" s="17" t="n">
        <x:f>SUM(SUMIFS('Costing'!$P$9:$P$492,'Costing'!$A$9:$A$492,"PARTNER-M002"))</x:f>
        <x:v>360000</x:v>
      </x:c>
      <x:c r="M1116" s="17" t="n">
        <x:f>ROUND(L1116*'Costing'!$C$4,2)</x:f>
        <x:v>64800</x:v>
      </x:c>
      <x:c r="N1116" s="17" t="n">
        <x:f>L1116+M1116</x:f>
        <x:v>424800</x:v>
      </x:c>
      <x:c r="O1116" s="12" t="str">
        <x:v>Bengaluru</x:v>
      </x:c>
      <x:c r="P1116" s="12" t="str">
        <x:v>CORP-0420, CORP-0421, CORP-0422, CORP-0423, CORP-0424, CORP-0425, CORP-0426, CORP-0427, CORP-0428</x:v>
      </x:c>
      <x:c r="Q1116" s="12" t="str">
        <x:v>Hireright</x:v>
      </x:c>
    </x:row>
    <x:row r="1117" ht="48" customHeight="1">
      <x:c r="A1117" s="2" t="str">
        <x:v>TEN-D957E432757E</x:v>
      </x:c>
      <x:c r="B1117" s="12" t="str">
        <x:v>Hiring hunt solutions pvt ltd</x:v>
      </x:c>
      <x:c r="C1117" s="12" t="str">
        <x:v>Business / brand</x:v>
      </x:c>
      <x:c r="D1117" s="12" t="str">
        <x:v>Professional services</x:v>
      </x:c>
      <x:c r="E1117" s="12" t="str">
        <x:v>Recruitment, HR &amp; staffing</x:v>
      </x:c>
      <x:c r="F1117" s="12" t="str">
        <x:v>Small-scale prospects</x:v>
      </x:c>
      <x:c r="G1117" s="12" t="str">
        <x:v>Professional service, agency or advisory model; small-scale prospect assumption.</x:v>
      </x:c>
      <x:c r="H1117" s="11" t="n">
        <x:v>1</x:v>
      </x:c>
      <x:c r="I1117" s="11" t="n">
        <x:v>1</x:v>
      </x:c>
      <x:c r="J1117" s="11" t="n">
        <x:v>1</x:v>
      </x:c>
      <x:c r="K1117" s="11" t="n">
        <x:v>0</x:v>
      </x:c>
      <x:c r="L1117" s="17" t="n">
        <x:f>SUM(SUMIFS('Costing'!$P$9:$P$492,'Costing'!$A$9:$A$492,"MAIN-066"))</x:f>
        <x:v>15000</x:v>
      </x:c>
      <x:c r="M1117" s="17" t="n">
        <x:f>ROUND(L1117*'Costing'!$C$4,2)</x:f>
        <x:v>2700</x:v>
      </x:c>
      <x:c r="N1117" s="17" t="n">
        <x:f>L1117+M1117</x:f>
        <x:v>17700</x:v>
      </x:c>
      <x:c r="O1117" s="12" t="str">
        <x:v>Bengaluru</x:v>
      </x:c>
      <x:c r="P1117" s="12" t="str">
        <x:v>CORP-0062</x:v>
      </x:c>
      <x:c r="Q1117" s="12" t="str">
        <x:v>Hiring hunt solutions pvt ltd</x:v>
      </x:c>
    </x:row>
    <x:row r="1118" ht="48" customHeight="1">
      <x:c r="A1118" s="2" t="str">
        <x:v>TEN-028810317654</x:v>
      </x:c>
      <x:c r="B1118" s="12" t="str">
        <x:v>Hitachi Consulting</x:v>
      </x:c>
      <x:c r="C1118" s="12" t="str">
        <x:v>Business / brand</x:v>
      </x:c>
      <x:c r="D1118" s="12" t="str">
        <x:v>IT &amp; digital</x:v>
      </x:c>
      <x:c r="E1118" s="12" t="str">
        <x:v>Enterprise software &amp; digital engineering</x:v>
      </x:c>
      <x:c r="F1118" s="12" t="str">
        <x:v>Mixed business audience</x:v>
      </x:c>
      <x:c r="G1118" s="12" t="str">
        <x:v>Recognisable business context; company-scale evidence remains insufficient for a single size band.</x:v>
      </x:c>
      <x:c r="H1118" s="11" t="n">
        <x:v>9</x:v>
      </x:c>
      <x:c r="I1118" s="11" t="n">
        <x:v>9</x:v>
      </x:c>
      <x:c r="J1118" s="11" t="n">
        <x:v>9</x:v>
      </x:c>
      <x:c r="K1118" s="11" t="n">
        <x:v>0</x:v>
      </x:c>
      <x:c r="L1118" s="17" t="n">
        <x:f>SUM(SUMIFS('Costing'!$P$9:$P$492,'Costing'!$A$9:$A$492,"PARTNER-M252"))</x:f>
        <x:v>360000</x:v>
      </x:c>
      <x:c r="M1118" s="17" t="n">
        <x:f>ROUND(L1118*'Costing'!$C$4,2)</x:f>
        <x:v>64800</x:v>
      </x:c>
      <x:c r="N1118" s="17" t="n">
        <x:f>L1118+M1118</x:f>
        <x:v>424800</x:v>
      </x:c>
      <x:c r="O1118" s="12" t="str">
        <x:v>Pune</x:v>
      </x:c>
      <x:c r="P1118" s="12" t="str">
        <x:v>CORP-0668, CORP-0669, CORP-0670, CORP-0671, CORP-0672, CORP-0673, CORP-0674, CORP-0675, CORP-0676</x:v>
      </x:c>
      <x:c r="Q1118" s="12" t="str">
        <x:v>Hitachi Consulting</x:v>
      </x:c>
    </x:row>
    <x:row r="1119" ht="62" customHeight="1">
      <x:c r="A1119" s="2" t="str">
        <x:v>TEN-7DB74F996F50</x:v>
      </x:c>
      <x:c r="B1119" s="12" t="str">
        <x:v>Hitachi Rail STS Bangalore</x:v>
      </x:c>
      <x:c r="C1119" s="12" t="str">
        <x:v>Business / brand</x:v>
      </x:c>
      <x:c r="D1119" s="12" t="str">
        <x:v>Engineering &amp; manufacturing</x:v>
      </x:c>
      <x:c r="E1119" s="12" t="str">
        <x:v>Engineering/manufacturing — specialty unverified</x:v>
      </x:c>
      <x:c r="F1119" s="12" t="str">
        <x:v>Large enterprise</x:v>
      </x:c>
      <x:c r="G1119" s="12" t="str">
        <x:v>Hitachi Rail reports over 24,000 employees in more than 50 countries. Its official ESG report explicitly includes Hitachi Rail STS India in the group, supporting enterprise-group context for the Bangalore tenant wording.</x:v>
      </x:c>
      <x:c r="H1119" s="11" t="n">
        <x:v>12</x:v>
      </x:c>
      <x:c r="I1119" s="11" t="n">
        <x:v>12</x:v>
      </x:c>
      <x:c r="J1119" s="11" t="n">
        <x:v>12</x:v>
      </x:c>
      <x:c r="K1119" s="11" t="n">
        <x:v>0</x:v>
      </x:c>
      <x:c r="L1119" s="17" t="n">
        <x:f>SUM(SUMIFS('Costing'!$P$9:$P$492,'Costing'!$A$9:$A$492,"PARTNER-M162"),SUMIFS('Costing'!$P$9:$P$492,'Costing'!$A$9:$A$492,"PARTNER-M154"))</x:f>
        <x:v>480000</x:v>
      </x:c>
      <x:c r="M1119" s="17" t="n">
        <x:f>ROUND(L1119*'Costing'!$C$4,2)</x:f>
        <x:v>86400</x:v>
      </x:c>
      <x:c r="N1119" s="17" t="n">
        <x:f>L1119+M1119</x:f>
        <x:v>566400</x:v>
      </x:c>
      <x:c r="O1119" s="12" t="str">
        <x:v>Bengaluru</x:v>
      </x:c>
      <x:c r="P1119" s="12" t="str">
        <x:v>CORP-0572, CORP-0573, CORP-0574, CORP-0575, CORP-0576, CORP-0577, CORP-0578, CORP-0579, CORP-0580, CORP-0581, CORP-0582, CORP-0583</x:v>
      </x:c>
      <x:c r="Q1119" s="12" t="str">
        <x:v>Hitachi Rail STS Bangalore</x:v>
      </x:c>
    </x:row>
    <x:row r="1120" ht="48" customHeight="1">
      <x:c r="A1120" s="2" t="str">
        <x:v>TEN-CBFFDC2663B6</x:v>
      </x:c>
      <x:c r="B1120" s="12" t="str">
        <x:v>HK Capital</x:v>
      </x:c>
      <x:c r="C1120" s="12" t="str">
        <x:v>Business / brand</x:v>
      </x:c>
      <x:c r="D1120" s="12" t="str">
        <x:v>Finance &amp; insurance</x:v>
      </x:c>
      <x:c r="E1120" s="12" t="str">
        <x:v>Investments, securities &amp; wealth</x:v>
      </x:c>
      <x:c r="F1120" s="12" t="str">
        <x:v>Medium-scale prospects</x:v>
      </x:c>
      <x:c r="G1120" s="12" t="str">
        <x:v>Specialist financial-services business; medium-scale prospect assumption.</x:v>
      </x:c>
      <x:c r="H1120" s="11" t="n">
        <x:v>3</x:v>
      </x:c>
      <x:c r="I1120" s="11" t="n">
        <x:v>3</x:v>
      </x:c>
      <x:c r="J1120" s="11" t="n">
        <x:v>3</x:v>
      </x:c>
      <x:c r="K1120" s="11" t="n">
        <x:v>0</x:v>
      </x:c>
      <x:c r="L1120" s="17" t="n">
        <x:f>SUM(SUMIFS('Costing'!$P$9:$P$492,'Costing'!$A$9:$A$492,"PARTNER-M175"))</x:f>
        <x:v>120000</x:v>
      </x:c>
      <x:c r="M1120" s="17" t="n">
        <x:f>ROUND(L1120*'Costing'!$C$4,2)</x:f>
        <x:v>21600</x:v>
      </x:c>
      <x:c r="N1120" s="17" t="n">
        <x:f>L1120+M1120</x:f>
        <x:v>141600</x:v>
      </x:c>
      <x:c r="O1120" s="12" t="str">
        <x:v>Mumbai</x:v>
      </x:c>
      <x:c r="P1120" s="12" t="str">
        <x:v>CORP-0592, CORP-0593, CORP-0594</x:v>
      </x:c>
      <x:c r="Q1120" s="12" t="str">
        <x:v>HK Capital</x:v>
      </x:c>
    </x:row>
    <x:row r="1121" ht="48" customHeight="1">
      <x:c r="A1121" s="2" t="str">
        <x:v>TEN-ECB57128BCE9</x:v>
      </x:c>
      <x:c r="B1121" s="12" t="str">
        <x:v>HM Prasanth Cpmapny Pvt Ltd</x:v>
      </x:c>
      <x:c r="C1121" s="12" t="str">
        <x:v>Business / brand</x:v>
      </x:c>
      <x:c r="D1121" s="12" t="str">
        <x:v>Unresolved</x:v>
      </x:c>
      <x:c r="E1121" s="12" t="str">
        <x:v>Business activity not established</x:v>
      </x:c>
      <x:c r="F1121" s="12" t="str">
        <x:v>Mixed business audience</x:v>
      </x:c>
      <x:c r="G1121" s="12" t="str">
        <x:v>Business activity and company scale are not established from this name.</x:v>
      </x:c>
      <x:c r="H1121" s="11" t="n">
        <x:v>1</x:v>
      </x:c>
      <x:c r="I1121" s="11" t="n">
        <x:v>5</x:v>
      </x:c>
      <x:c r="J1121" s="11" t="n">
        <x:v>5</x:v>
      </x:c>
      <x:c r="K1121" s="11" t="n">
        <x:v>0</x:v>
      </x:c>
      <x:c r="L1121" s="17" t="n">
        <x:f>SUM(SUMIFS('Costing'!$P$9:$P$492,'Costing'!$A$9:$A$492,"MAIN-062"))</x:f>
        <x:v>200000</x:v>
      </x:c>
      <x:c r="M1121" s="17" t="n">
        <x:f>ROUND(L1121*'Costing'!$C$4,2)</x:f>
        <x:v>36000</x:v>
      </x:c>
      <x:c r="N1121" s="17" t="n">
        <x:f>L1121+M1121</x:f>
        <x:v>236000</x:v>
      </x:c>
      <x:c r="O1121" s="12" t="str">
        <x:v>Bengaluru</x:v>
      </x:c>
      <x:c r="P1121" s="12" t="str">
        <x:v>CORP-0058</x:v>
      </x:c>
      <x:c r="Q1121" s="12" t="str">
        <x:v>HM Prasanth Cpmapny Pvt Ltd</x:v>
      </x:c>
    </x:row>
    <x:row r="1122" ht="48" customHeight="1">
      <x:c r="A1122" s="2" t="str">
        <x:v>TEN-92CBFF4101A3</x:v>
      </x:c>
      <x:c r="B1122" s="12" t="str">
        <x:v>Home and Solution</x:v>
      </x:c>
      <x:c r="C1122" s="12" t="str">
        <x:v>Business / brand</x:v>
      </x:c>
      <x:c r="D1122" s="12" t="str">
        <x:v>Unresolved</x:v>
      </x:c>
      <x:c r="E1122" s="12" t="str">
        <x:v>Business activity not established</x:v>
      </x:c>
      <x:c r="F1122" s="12" t="str">
        <x:v>Mixed business audience</x:v>
      </x:c>
      <x:c r="G1122" s="12" t="str">
        <x:v>Business activity and company scale are not established from this name.</x:v>
      </x:c>
      <x:c r="H1122" s="11" t="n">
        <x:v>1</x:v>
      </x:c>
      <x:c r="I1122" s="11" t="n">
        <x:v>2</x:v>
      </x:c>
      <x:c r="J1122" s="11" t="n">
        <x:v>2</x:v>
      </x:c>
      <x:c r="K1122" s="11" t="n">
        <x:v>0</x:v>
      </x:c>
      <x:c r="L1122" s="17" t="n">
        <x:f>SUM(SUMIFS('Costing'!$P$9:$P$492,'Costing'!$A$9:$A$492,"MAIN-282"))</x:f>
        <x:v>30000</x:v>
      </x:c>
      <x:c r="M1122" s="17" t="n">
        <x:f>ROUND(L1122*'Costing'!$C$4,2)</x:f>
        <x:v>5400</x:v>
      </x:c>
      <x:c r="N1122" s="17" t="n">
        <x:f>L1122+M1122</x:f>
        <x:v>35400</x:v>
      </x:c>
      <x:c r="O1122" s="12" t="str">
        <x:v>Kolkata</x:v>
      </x:c>
      <x:c r="P1122" s="12" t="str">
        <x:v>CORP-0278</x:v>
      </x:c>
      <x:c r="Q1122" s="12" t="str">
        <x:v>Home and Solution</x:v>
      </x:c>
    </x:row>
    <x:row r="1123" ht="48" customHeight="1">
      <x:c r="A1123" s="2" t="str">
        <x:v>TEN-F0434252015E</x:v>
      </x:c>
      <x:c r="B1123" s="12" t="str">
        <x:v>Home First</x:v>
      </x:c>
      <x:c r="C1123" s="12" t="str">
        <x:v>Business / brand</x:v>
      </x:c>
      <x:c r="D1123" s="12" t="str">
        <x:v>Finance &amp; insurance</x:v>
      </x:c>
      <x:c r="E1123" s="12" t="str">
        <x:v>Financial services — specialty unverified</x:v>
      </x:c>
      <x:c r="F1123" s="12" t="str">
        <x:v>Mixed business audience</x:v>
      </x:c>
      <x:c r="G1123" s="12" t="str">
        <x:v>Recognisable business context; company-scale evidence remains insufficient for a single size band.</x:v>
      </x:c>
      <x:c r="H1123" s="11" t="n">
        <x:v>1</x:v>
      </x:c>
      <x:c r="I1123" s="11" t="n">
        <x:v>2</x:v>
      </x:c>
      <x:c r="J1123" s="11" t="n">
        <x:v>2</x:v>
      </x:c>
      <x:c r="K1123" s="11" t="n">
        <x:v>0</x:v>
      </x:c>
      <x:c r="L1123" s="17" t="n">
        <x:f>SUM(SUMIFS('Costing'!$P$9:$P$492,'Costing'!$A$9:$A$492,"MAIN-271"))</x:f>
        <x:v>40000</x:v>
      </x:c>
      <x:c r="M1123" s="17" t="n">
        <x:f>ROUND(L1123*'Costing'!$C$4,2)</x:f>
        <x:v>7200</x:v>
      </x:c>
      <x:c r="N1123" s="17" t="n">
        <x:f>L1123+M1123</x:f>
        <x:v>47200</x:v>
      </x:c>
      <x:c r="O1123" s="12" t="str">
        <x:v>Indore</x:v>
      </x:c>
      <x:c r="P1123" s="12" t="str">
        <x:v>CORP-0267</x:v>
      </x:c>
      <x:c r="Q1123" s="12" t="str">
        <x:v>Home First</x:v>
      </x:c>
    </x:row>
    <x:row r="1124" ht="48" customHeight="1">
      <x:c r="A1124" s="2" t="str">
        <x:v>TEN-48EAF2D3C920</x:v>
      </x:c>
      <x:c r="B1124" s="12" t="str">
        <x:v>Homeseek Realtors</x:v>
      </x:c>
      <x:c r="C1124" s="12" t="str">
        <x:v>Business / brand</x:v>
      </x:c>
      <x:c r="D1124" s="12" t="str">
        <x:v>Trade, consumer &amp; logistics</x:v>
      </x:c>
      <x:c r="E1124" s="12" t="str">
        <x:v>Real estate, property &amp; construction services</x:v>
      </x:c>
      <x:c r="F1124" s="12" t="str">
        <x:v>Small-scale prospects</x:v>
      </x:c>
      <x:c r="G1124" s="12" t="str">
        <x:v>Trading or consumer-services business; small-scale prospect assumption.</x:v>
      </x:c>
      <x:c r="H1124" s="11" t="n">
        <x:v>2</x:v>
      </x:c>
      <x:c r="I1124" s="11" t="n">
        <x:v>4</x:v>
      </x:c>
      <x:c r="J1124" s="11" t="n">
        <x:v>4</x:v>
      </x:c>
      <x:c r="K1124" s="11" t="n">
        <x:v>0</x:v>
      </x:c>
      <x:c r="L1124" s="17" t="n">
        <x:f>SUM(SUMIFS('Costing'!$P$9:$P$492,'Costing'!$A$9:$A$492,"MAIN-183"),SUMIFS('Costing'!$P$9:$P$492,'Costing'!$A$9:$A$492,"MAIN-184"))</x:f>
        <x:v>75000</x:v>
      </x:c>
      <x:c r="M1124" s="17" t="n">
        <x:f>ROUND(L1124*'Costing'!$C$4,2)</x:f>
        <x:v>13500</x:v>
      </x:c>
      <x:c r="N1124" s="17" t="n">
        <x:f>L1124+M1124</x:f>
        <x:v>88500</x:v>
      </x:c>
      <x:c r="O1124" s="12" t="str">
        <x:v>Delhi NCR</x:v>
      </x:c>
      <x:c r="P1124" s="12" t="str">
        <x:v>CORP-0179, CORP-0180</x:v>
      </x:c>
      <x:c r="Q1124" s="12" t="str">
        <x:v>Homeseek Realtors</x:v>
      </x:c>
    </x:row>
    <x:row r="1125" ht="48" customHeight="1">
      <x:c r="A1125" s="2" t="str">
        <x:v>TEN-0E45FC6E55A1</x:v>
      </x:c>
      <x:c r="B1125" s="12" t="str">
        <x:v>Honda R&amp;D (India) Private Limited</x:v>
      </x:c>
      <x:c r="C1125" s="12" t="str">
        <x:v>Business / brand</x:v>
      </x:c>
      <x:c r="D1125" s="12" t="str">
        <x:v>Engineering &amp; manufacturing</x:v>
      </x:c>
      <x:c r="E1125" s="12" t="str">
        <x:v>Automotive, mobility &amp; aerospace</x:v>
      </x:c>
      <x:c r="F1125" s="12" t="str">
        <x:v>Mixed business audience</x:v>
      </x:c>
      <x:c r="G1125" s="12" t="str">
        <x:v>Recognisable business context; company-scale evidence remains insufficient for a single size band.</x:v>
      </x:c>
      <x:c r="H1125" s="11" t="n">
        <x:v>1</x:v>
      </x:c>
      <x:c r="I1125" s="11" t="n">
        <x:v>1</x:v>
      </x:c>
      <x:c r="J1125" s="11" t="n">
        <x:v>1</x:v>
      </x:c>
      <x:c r="K1125" s="11" t="n">
        <x:v>0</x:v>
      </x:c>
      <x:c r="L1125" s="17" t="n">
        <x:f>SUM(SUMIFS('Costing'!$P$9:$P$492,'Costing'!$A$9:$A$492,"MAIN-020"))</x:f>
        <x:v>15000</x:v>
      </x:c>
      <x:c r="M1125" s="17" t="n">
        <x:f>ROUND(L1125*'Costing'!$C$4,2)</x:f>
        <x:v>2700</x:v>
      </x:c>
      <x:c r="N1125" s="17" t="n">
        <x:f>L1125+M1125</x:f>
        <x:v>17700</x:v>
      </x:c>
      <x:c r="O1125" s="12" t="str">
        <x:v>Bengaluru</x:v>
      </x:c>
      <x:c r="P1125" s="12" t="str">
        <x:v>CORP-0016</x:v>
      </x:c>
      <x:c r="Q1125" s="12" t="str">
        <x:v>Honda R&amp;D (India) Private Limited</x:v>
      </x:c>
    </x:row>
    <x:row r="1126" ht="48" customHeight="1">
      <x:c r="A1126" s="2" t="str">
        <x:v>TEN-69933A2A2C74</x:v>
      </x:c>
      <x:c r="B1126" s="12" t="str">
        <x:v>Honey bees</x:v>
      </x:c>
      <x:c r="C1126" s="12" t="str">
        <x:v>Business / brand</x:v>
      </x:c>
      <x:c r="D1126" s="12" t="str">
        <x:v>Unresolved</x:v>
      </x:c>
      <x:c r="E1126" s="12" t="str">
        <x:v>Business activity not established</x:v>
      </x:c>
      <x:c r="F1126" s="12" t="str">
        <x:v>Mixed business audience</x:v>
      </x:c>
      <x:c r="G1126" s="12" t="str">
        <x:v>Business activity and company scale are not established from this name.</x:v>
      </x:c>
      <x:c r="H1126" s="11" t="n">
        <x:v>1</x:v>
      </x:c>
      <x:c r="I1126" s="11" t="n">
        <x:v>13</x:v>
      </x:c>
      <x:c r="J1126" s="11" t="n">
        <x:v>13</x:v>
      </x:c>
      <x:c r="K1126" s="11" t="n">
        <x:v>0</x:v>
      </x:c>
      <x:c r="L1126" s="17" t="n">
        <x:f>SUM(SUMIFS('Costing'!$P$9:$P$492,'Costing'!$A$9:$A$492,"MAIN-240"))</x:f>
        <x:v>195000</x:v>
      </x:c>
      <x:c r="M1126" s="17" t="n">
        <x:f>ROUND(L1126*'Costing'!$C$4,2)</x:f>
        <x:v>35100</x:v>
      </x:c>
      <x:c r="N1126" s="17" t="n">
        <x:f>L1126+M1126</x:f>
        <x:v>230100</x:v>
      </x:c>
      <x:c r="O1126" s="12" t="str">
        <x:v>Hyderabad</x:v>
      </x:c>
      <x:c r="P1126" s="12" t="str">
        <x:v>CORP-0236</x:v>
      </x:c>
      <x:c r="Q1126" s="12" t="str">
        <x:v>Honey bees</x:v>
      </x:c>
    </x:row>
    <x:row r="1127" ht="48" customHeight="1">
      <x:c r="A1127" s="2" t="str">
        <x:v>TEN-83D267F2D2BA</x:v>
      </x:c>
      <x:c r="B1127" s="12" t="str">
        <x:v>Honeywell Automation</x:v>
      </x:c>
      <x:c r="C1127" s="12" t="str">
        <x:v>Business / brand</x:v>
      </x:c>
      <x:c r="D1127" s="12" t="str">
        <x:v>Engineering &amp; manufacturing</x:v>
      </x:c>
      <x:c r="E1127" s="12" t="str">
        <x:v>Energy, electrical &amp; industrial systems</x:v>
      </x:c>
      <x:c r="F1127" s="12" t="str">
        <x:v>Large enterprise</x:v>
      </x:c>
      <x:c r="G1127" s="12" t="str">
        <x:v>Explicit Honeywell enterprise-family context; see ENTERPRISE_SUPP_019 evidence.</x:v>
      </x:c>
      <x:c r="H1127" s="11" t="n">
        <x:v>4</x:v>
      </x:c>
      <x:c r="I1127" s="11" t="n">
        <x:v>4</x:v>
      </x:c>
      <x:c r="J1127" s="11" t="n">
        <x:v>4</x:v>
      </x:c>
      <x:c r="K1127" s="11" t="n">
        <x:v>0</x:v>
      </x:c>
      <x:c r="L1127" s="17" t="n">
        <x:f>SUM(SUMIFS('Costing'!$P$9:$P$492,'Costing'!$A$9:$A$492,"PARTNER-M197"))</x:f>
        <x:v>160000</x:v>
      </x:c>
      <x:c r="M1127" s="17" t="n">
        <x:f>ROUND(L1127*'Costing'!$C$4,2)</x:f>
        <x:v>28800</x:v>
      </x:c>
      <x:c r="N1127" s="17" t="n">
        <x:f>L1127+M1127</x:f>
        <x:v>188800</x:v>
      </x:c>
      <x:c r="O1127" s="12" t="str">
        <x:v>Mumbai</x:v>
      </x:c>
      <x:c r="P1127" s="12" t="str">
        <x:v>CORP-0614, CORP-0615, CORP-0616, CORP-0617</x:v>
      </x:c>
      <x:c r="Q1127" s="12" t="str">
        <x:v>Honeywell Automation</x:v>
      </x:c>
    </x:row>
    <x:row r="1128" ht="48" customHeight="1">
      <x:c r="A1128" s="2" t="str">
        <x:v>TEN-7AA45DEA8180</x:v>
      </x:c>
      <x:c r="B1128" s="12" t="str">
        <x:v>Honeywell Automation India Ltd</x:v>
      </x:c>
      <x:c r="C1128" s="12" t="str">
        <x:v>Business / brand</x:v>
      </x:c>
      <x:c r="D1128" s="12" t="str">
        <x:v>Engineering &amp; manufacturing</x:v>
      </x:c>
      <x:c r="E1128" s="12" t="str">
        <x:v>Energy, electrical &amp; industrial systems</x:v>
      </x:c>
      <x:c r="F1128" s="12" t="str">
        <x:v>Large enterprise</x:v>
      </x:c>
      <x:c r="G1128" s="12" t="str">
        <x:v>Explicit Honeywell enterprise-family context; see ENTERPRISE_SUPP_019 evidence.</x:v>
      </x:c>
      <x:c r="H1128" s="11" t="n">
        <x:v>4</x:v>
      </x:c>
      <x:c r="I1128" s="11" t="n">
        <x:v>4</x:v>
      </x:c>
      <x:c r="J1128" s="11" t="n">
        <x:v>4</x:v>
      </x:c>
      <x:c r="K1128" s="11" t="n">
        <x:v>0</x:v>
      </x:c>
      <x:c r="L1128" s="17" t="n">
        <x:f>SUM(SUMIFS('Costing'!$P$9:$P$492,'Costing'!$A$9:$A$492,"PARTNER-M261"))</x:f>
        <x:v>160000</x:v>
      </x:c>
      <x:c r="M1128" s="17" t="n">
        <x:f>ROUND(L1128*'Costing'!$C$4,2)</x:f>
        <x:v>28800</x:v>
      </x:c>
      <x:c r="N1128" s="17" t="n">
        <x:f>L1128+M1128</x:f>
        <x:v>188800</x:v>
      </x:c>
      <x:c r="O1128" s="12" t="str">
        <x:v>Pune</x:v>
      </x:c>
      <x:c r="P1128" s="12" t="str">
        <x:v>CORP-0677, CORP-0678, CORP-0679, CORP-0680</x:v>
      </x:c>
      <x:c r="Q1128" s="12" t="str">
        <x:v>Honeywell Automation India Ltd</x:v>
      </x:c>
    </x:row>
    <x:row r="1129" ht="48" customHeight="1">
      <x:c r="A1129" s="2" t="str">
        <x:v>TEN-C852B4C0C245</x:v>
      </x:c>
      <x:c r="B1129" s="12" t="str">
        <x:v>HONO (SequelOne Solutions Pvt.Ltd, India)</x:v>
      </x:c>
      <x:c r="C1129" s="12" t="str">
        <x:v>Business / brand</x:v>
      </x:c>
      <x:c r="D1129" s="12" t="str">
        <x:v>IT &amp; digital</x:v>
      </x:c>
      <x:c r="E1129" s="12" t="str">
        <x:v>Enterprise software &amp; digital engineering</x:v>
      </x:c>
      <x:c r="F1129" s="12" t="str">
        <x:v>Small-scale prospects</x:v>
      </x:c>
      <x:c r="G1129" s="12" t="str">
        <x:v>Software or technology-services business; small-scale prospect assumption.</x:v>
      </x:c>
      <x:c r="H1129" s="11" t="n">
        <x:v>1</x:v>
      </x:c>
      <x:c r="I1129" s="11" t="n">
        <x:v>5</x:v>
      </x:c>
      <x:c r="J1129" s="11" t="n">
        <x:v>5</x:v>
      </x:c>
      <x:c r="K1129" s="11" t="n">
        <x:v>0</x:v>
      </x:c>
      <x:c r="L1129" s="17" t="n">
        <x:f>SUM(SUMIFS('Costing'!$P$9:$P$492,'Costing'!$A$9:$A$492,"MAIN-168"))</x:f>
        <x:v>200000</x:v>
      </x:c>
      <x:c r="M1129" s="17" t="n">
        <x:f>ROUND(L1129*'Costing'!$C$4,2)</x:f>
        <x:v>36000</x:v>
      </x:c>
      <x:c r="N1129" s="17" t="n">
        <x:f>L1129+M1129</x:f>
        <x:v>236000</x:v>
      </x:c>
      <x:c r="O1129" s="12" t="str">
        <x:v>Delhi NCR</x:v>
      </x:c>
      <x:c r="P1129" s="12" t="str">
        <x:v>CORP-0164</x:v>
      </x:c>
      <x:c r="Q1129" s="12" t="str">
        <x:v>HONO (SequelOne Solutions Pvt.Ltd, India)</x:v>
      </x:c>
    </x:row>
    <x:row r="1130" ht="48" customHeight="1">
      <x:c r="A1130" s="2" t="str">
        <x:v>TEN-FC8A936BC45B</x:v>
      </x:c>
      <x:c r="B1130" s="12" t="str">
        <x:v>hoonartek</x:v>
      </x:c>
      <x:c r="C1130" s="12" t="str">
        <x:v>Business / brand</x:v>
      </x:c>
      <x:c r="D1130" s="12" t="str">
        <x:v>IT &amp; digital</x:v>
      </x:c>
      <x:c r="E1130" s="12" t="str">
        <x:v>Enterprise software &amp; digital engineering</x:v>
      </x:c>
      <x:c r="F1130" s="12" t="str">
        <x:v>Small-scale prospects</x:v>
      </x:c>
      <x:c r="G1130" s="12" t="str">
        <x:v>Software or technology-services business; small-scale prospect assumption.</x:v>
      </x:c>
      <x:c r="H1130" s="11" t="n">
        <x:v>3</x:v>
      </x:c>
      <x:c r="I1130" s="11" t="n">
        <x:v>3</x:v>
      </x:c>
      <x:c r="J1130" s="11" t="n">
        <x:v>3</x:v>
      </x:c>
      <x:c r="K1130" s="11" t="n">
        <x:v>0</x:v>
      </x:c>
      <x:c r="L1130" s="17" t="n">
        <x:f>SUM(SUMIFS('Costing'!$P$9:$P$492,'Costing'!$A$9:$A$492,"PARTNER-M175"))</x:f>
        <x:v>120000</x:v>
      </x:c>
      <x:c r="M1130" s="17" t="n">
        <x:f>ROUND(L1130*'Costing'!$C$4,2)</x:f>
        <x:v>21600</x:v>
      </x:c>
      <x:c r="N1130" s="17" t="n">
        <x:f>L1130+M1130</x:f>
        <x:v>141600</x:v>
      </x:c>
      <x:c r="O1130" s="12" t="str">
        <x:v>Mumbai</x:v>
      </x:c>
      <x:c r="P1130" s="12" t="str">
        <x:v>CORP-0592, CORP-0593, CORP-0594</x:v>
      </x:c>
      <x:c r="Q1130" s="12" t="str">
        <x:v>hoonartek</x:v>
      </x:c>
    </x:row>
    <x:row r="1131" ht="48" customHeight="1">
      <x:c r="A1131" s="2" t="str">
        <x:v>TEN-D67021B8B470</x:v>
      </x:c>
      <x:c r="B1131" s="12" t="str">
        <x:v>Host Analytics</x:v>
      </x:c>
      <x:c r="C1131" s="12" t="str">
        <x:v>Business / brand</x:v>
      </x:c>
      <x:c r="D1131" s="12" t="str">
        <x:v>IT &amp; digital</x:v>
      </x:c>
      <x:c r="E1131" s="12" t="str">
        <x:v>AI, data &amp; analytics</x:v>
      </x:c>
      <x:c r="F1131" s="12" t="str">
        <x:v>Mixed business audience</x:v>
      </x:c>
      <x:c r="G1131" s="12" t="str">
        <x:v>Established brand or business network; local company scale is not established. Use a mixed-business message.</x:v>
      </x:c>
      <x:c r="H1131" s="11" t="n">
        <x:v>6</x:v>
      </x:c>
      <x:c r="I1131" s="11" t="n">
        <x:v>6</x:v>
      </x:c>
      <x:c r="J1131" s="11" t="n">
        <x:v>6</x:v>
      </x:c>
      <x:c r="K1131" s="11" t="n">
        <x:v>0</x:v>
      </x:c>
      <x:c r="L1131" s="17" t="n">
        <x:f>SUM(SUMIFS('Costing'!$P$9:$P$492,'Costing'!$A$9:$A$492,"PARTNER-M283"))</x:f>
        <x:v>240000</x:v>
      </x:c>
      <x:c r="M1131" s="17" t="n">
        <x:f>ROUND(L1131*'Costing'!$C$4,2)</x:f>
        <x:v>43200</x:v>
      </x:c>
      <x:c r="N1131" s="17" t="n">
        <x:f>L1131+M1131</x:f>
        <x:v>283200</x:v>
      </x:c>
      <x:c r="O1131" s="12" t="str">
        <x:v>Hyderabad</x:v>
      </x:c>
      <x:c r="P1131" s="12" t="str">
        <x:v>CORP-0698, CORP-0699, CORP-0700, CORP-0701, CORP-0702, CORP-0703</x:v>
      </x:c>
      <x:c r="Q1131" s="12" t="str">
        <x:v>Host Analytics</x:v>
      </x:c>
    </x:row>
    <x:row r="1132" ht="48" customHeight="1">
      <x:c r="A1132" s="2" t="str">
        <x:v>TEN-EDA2DFE8C935</x:v>
      </x:c>
      <x:c r="B1132" s="12" t="str">
        <x:v>Hotstar</x:v>
      </x:c>
      <x:c r="C1132" s="12" t="str">
        <x:v>Business / brand</x:v>
      </x:c>
      <x:c r="D1132" s="12" t="str">
        <x:v>Trade, consumer &amp; logistics</x:v>
      </x:c>
      <x:c r="E1132" s="12" t="str">
        <x:v>Entertainment, media &amp; events</x:v>
      </x:c>
      <x:c r="F1132" s="12" t="str">
        <x:v>Mixed business audience</x:v>
      </x:c>
      <x:c r="G1132" s="12" t="str">
        <x:v>Recognisable business context; company-scale evidence remains insufficient for a single size band.</x:v>
      </x:c>
      <x:c r="H1132" s="11" t="n">
        <x:v>5</x:v>
      </x:c>
      <x:c r="I1132" s="11" t="n">
        <x:v>5</x:v>
      </x:c>
      <x:c r="J1132" s="11" t="n">
        <x:v>5</x:v>
      </x:c>
      <x:c r="K1132" s="11" t="n">
        <x:v>0</x:v>
      </x:c>
      <x:c r="L1132" s="17" t="n">
        <x:f>SUM(SUMIFS('Costing'!$P$9:$P$492,'Costing'!$A$9:$A$492,"MAIN-112"),SUMIFS('Costing'!$P$9:$P$492,'Costing'!$A$9:$A$492,"PARTNER-M188"))</x:f>
        <x:v>185000</x:v>
      </x:c>
      <x:c r="M1132" s="17" t="n">
        <x:f>ROUND(L1132*'Costing'!$C$4,2)</x:f>
        <x:v>33300</x:v>
      </x:c>
      <x:c r="N1132" s="17" t="n">
        <x:f>L1132+M1132</x:f>
        <x:v>218300</x:v>
      </x:c>
      <x:c r="O1132" s="12" t="str">
        <x:v>Bengaluru, Mumbai</x:v>
      </x:c>
      <x:c r="P1132" s="12" t="str">
        <x:v>CORP-0108, CORP-0605, CORP-0606, CORP-0607, CORP-0608</x:v>
      </x:c>
      <x:c r="Q1132" s="12" t="str">
        <x:v>Hotstar</x:v>
      </x:c>
    </x:row>
    <x:row r="1133" ht="48" customHeight="1">
      <x:c r="A1133" s="2" t="str">
        <x:v>TEN-958DC8F886EA</x:v>
      </x:c>
      <x:c r="B1133" s="12" t="str">
        <x:v>House Of Diagnostics</x:v>
      </x:c>
      <x:c r="C1133" s="12" t="str">
        <x:v>Business / brand</x:v>
      </x:c>
      <x:c r="D1133" s="12" t="str">
        <x:v>Healthcare &amp; life sciences</x:v>
      </x:c>
      <x:c r="E1133" s="12" t="str">
        <x:v>Clinical, medical &amp; diagnostic services</x:v>
      </x:c>
      <x:c r="F1133" s="12" t="str">
        <x:v>Small-scale prospects</x:v>
      </x:c>
      <x:c r="G1133" s="12" t="str">
        <x:v>Healthcare services business; small-scale prospect assumption.</x:v>
      </x:c>
      <x:c r="H1133" s="11" t="n">
        <x:v>1</x:v>
      </x:c>
      <x:c r="I1133" s="11" t="n">
        <x:v>13</x:v>
      </x:c>
      <x:c r="J1133" s="11" t="n">
        <x:v>13</x:v>
      </x:c>
      <x:c r="K1133" s="11" t="n">
        <x:v>0</x:v>
      </x:c>
      <x:c r="L1133" s="17" t="n">
        <x:f>SUM(SUMIFS('Costing'!$P$9:$P$492,'Costing'!$A$9:$A$492,"MAIN-378"))</x:f>
        <x:v>260000</x:v>
      </x:c>
      <x:c r="M1133" s="17" t="n">
        <x:f>ROUND(L1133*'Costing'!$C$4,2)</x:f>
        <x:v>46800</x:v>
      </x:c>
      <x:c r="N1133" s="17" t="n">
        <x:f>L1133+M1133</x:f>
        <x:v>306800</x:v>
      </x:c>
      <x:c r="O1133" s="12" t="str">
        <x:v>Delhi NCR</x:v>
      </x:c>
      <x:c r="P1133" s="12" t="str">
        <x:v>CORP-0374</x:v>
      </x:c>
      <x:c r="Q1133" s="12" t="str">
        <x:v>House Of Diagnostics</x:v>
      </x:c>
    </x:row>
    <x:row r="1134" ht="48" customHeight="1">
      <x:c r="A1134" s="2" t="str">
        <x:v>TEN-F48B6B2935C5</x:v>
      </x:c>
      <x:c r="B1134" s="12" t="str">
        <x:v>Housiey</x:v>
      </x:c>
      <x:c r="C1134" s="12" t="str">
        <x:v>Business / brand</x:v>
      </x:c>
      <x:c r="D1134" s="12" t="str">
        <x:v>Trade, consumer &amp; logistics</x:v>
      </x:c>
      <x:c r="E1134" s="12" t="str">
        <x:v>Real estate, property &amp; construction services</x:v>
      </x:c>
      <x:c r="F1134" s="12" t="str">
        <x:v>Small-scale prospects</x:v>
      </x:c>
      <x:c r="G1134" s="12" t="str">
        <x:v>Trading or consumer-services business; small-scale prospect assumption.</x:v>
      </x:c>
      <x:c r="H1134" s="11" t="n">
        <x:v>1</x:v>
      </x:c>
      <x:c r="I1134" s="11" t="n">
        <x:v>3</x:v>
      </x:c>
      <x:c r="J1134" s="11" t="n">
        <x:v>3</x:v>
      </x:c>
      <x:c r="K1134" s="11" t="n">
        <x:v>0</x:v>
      </x:c>
      <x:c r="L1134" s="17" t="n">
        <x:f>SUM(SUMIFS('Costing'!$P$9:$P$492,'Costing'!$A$9:$A$492,"MAIN-422"))</x:f>
        <x:v>45000</x:v>
      </x:c>
      <x:c r="M1134" s="17" t="n">
        <x:f>ROUND(L1134*'Costing'!$C$4,2)</x:f>
        <x:v>8100</x:v>
      </x:c>
      <x:c r="N1134" s="17" t="n">
        <x:f>L1134+M1134</x:f>
        <x:v>53100</x:v>
      </x:c>
      <x:c r="O1134" s="12" t="str">
        <x:v>Pune</x:v>
      </x:c>
      <x:c r="P1134" s="12" t="str">
        <x:v>CORP-0418</x:v>
      </x:c>
      <x:c r="Q1134" s="12" t="str">
        <x:v>Housiey</x:v>
      </x:c>
    </x:row>
    <x:row r="1135" ht="48" customHeight="1">
      <x:c r="A1135" s="2" t="str">
        <x:v>TEN-6B83683277A9</x:v>
      </x:c>
      <x:c r="B1135" s="12" t="str">
        <x:v>Houzekey Consulting</x:v>
      </x:c>
      <x:c r="C1135" s="12" t="str">
        <x:v>Business / brand</x:v>
      </x:c>
      <x:c r="D1135" s="12" t="str">
        <x:v>Professional services</x:v>
      </x:c>
      <x:c r="E1135" s="12" t="str">
        <x:v>Business consulting &amp; advisory</x:v>
      </x:c>
      <x:c r="F1135" s="12" t="str">
        <x:v>Small-scale prospects</x:v>
      </x:c>
      <x:c r="G1135" s="12" t="str">
        <x:v>Professional service, agency or advisory model; small-scale prospect assumption.</x:v>
      </x:c>
      <x:c r="H1135" s="11" t="n">
        <x:v>7</x:v>
      </x:c>
      <x:c r="I1135" s="11" t="n">
        <x:v>7</x:v>
      </x:c>
      <x:c r="J1135" s="11" t="n">
        <x:v>7</x:v>
      </x:c>
      <x:c r="K1135" s="11" t="n">
        <x:v>0</x:v>
      </x:c>
      <x:c r="L1135" s="17" t="n">
        <x:f>SUM(SUMIFS('Costing'!$P$9:$P$492,'Costing'!$A$9:$A$492,"PARTNER-M317"))</x:f>
        <x:v>280000</x:v>
      </x:c>
      <x:c r="M1135" s="17" t="n">
        <x:f>ROUND(L1135*'Costing'!$C$4,2)</x:f>
        <x:v>50400</x:v>
      </x:c>
      <x:c r="N1135" s="17" t="n">
        <x:f>L1135+M1135</x:f>
        <x:v>330400</x:v>
      </x:c>
      <x:c r="O1135" s="12" t="str">
        <x:v>Hyderabad</x:v>
      </x:c>
      <x:c r="P1135" s="12" t="str">
        <x:v>CORP-0732, CORP-0733, CORP-0734, CORP-0735, CORP-0736, CORP-0737, CORP-0738</x:v>
      </x:c>
      <x:c r="Q1135" s="12" t="str">
        <x:v>Houzekey Consulting</x:v>
      </x:c>
    </x:row>
    <x:row r="1136" ht="48" customHeight="1">
      <x:c r="A1136" s="2" t="str">
        <x:v>TEN-93969D193161</x:v>
      </x:c>
      <x:c r="B1136" s="12" t="str">
        <x:v>Hp</x:v>
      </x:c>
      <x:c r="C1136" s="12" t="str">
        <x:v>Business / brand</x:v>
      </x:c>
      <x:c r="D1136" s="12" t="str">
        <x:v>Engineering &amp; manufacturing</x:v>
      </x:c>
      <x:c r="E1136" s="12" t="str">
        <x:v>Semiconductors, electronics &amp; equipment</x:v>
      </x:c>
      <x:c r="F1136" s="12" t="str">
        <x:v>Mixed business audience</x:v>
      </x:c>
      <x:c r="G1136" s="12" t="str">
        <x:v>Recognisable business context; company-scale evidence remains insufficient for a single size band.</x:v>
      </x:c>
      <x:c r="H1136" s="11" t="n">
        <x:v>9</x:v>
      </x:c>
      <x:c r="I1136" s="11" t="n">
        <x:v>9</x:v>
      </x:c>
      <x:c r="J1136" s="11" t="n">
        <x:v>9</x:v>
      </x:c>
      <x:c r="K1136" s="11" t="n">
        <x:v>0</x:v>
      </x:c>
      <x:c r="L1136" s="17" t="n">
        <x:f>SUM(SUMIFS('Costing'!$P$9:$P$492,'Costing'!$A$9:$A$492,"MAIN-390"),SUMIFS('Costing'!$P$9:$P$492,'Costing'!$A$9:$A$492,"PARTNER-M334"),SUMIFS('Costing'!$P$9:$P$492,'Costing'!$A$9:$A$492,"PARTNER-M283"))</x:f>
        <x:v>335000</x:v>
      </x:c>
      <x:c r="M1136" s="17" t="n">
        <x:f>ROUND(L1136*'Costing'!$C$4,2)</x:f>
        <x:v>60300</x:v>
      </x:c>
      <x:c r="N1136" s="17" t="n">
        <x:f>L1136+M1136</x:f>
        <x:v>395300</x:v>
      </x:c>
      <x:c r="O1136" s="12" t="str">
        <x:v>Pune, Hyderabad, Chennai</x:v>
      </x:c>
      <x:c r="P1136" s="12" t="str">
        <x:v>CORP-0386, CORP-0698, CORP-0699, CORP-0700, CORP-0701, CORP-0702, CORP-0703, CORP-0748, CORP-0749</x:v>
      </x:c>
      <x:c r="Q1136" s="12" t="str">
        <x:v>Hp, HP</x:v>
      </x:c>
    </x:row>
    <x:row r="1137" ht="48" customHeight="1">
      <x:c r="A1137" s="2" t="str">
        <x:v>TEN-B90FFE81C61A</x:v>
      </x:c>
      <x:c r="B1137" s="12" t="str">
        <x:v>HRH NEXT SERVICES PVT LTD</x:v>
      </x:c>
      <x:c r="C1137" s="12" t="str">
        <x:v>Business / brand</x:v>
      </x:c>
      <x:c r="D1137" s="12" t="str">
        <x:v>Unresolved</x:v>
      </x:c>
      <x:c r="E1137" s="12" t="str">
        <x:v>Business activity not established</x:v>
      </x:c>
      <x:c r="F1137" s="12" t="str">
        <x:v>Mixed business audience</x:v>
      </x:c>
      <x:c r="G1137" s="12" t="str">
        <x:v>Business activity and company scale are not established from this name.</x:v>
      </x:c>
      <x:c r="H1137" s="11" t="n">
        <x:v>1</x:v>
      </x:c>
      <x:c r="I1137" s="11" t="n">
        <x:v>2</x:v>
      </x:c>
      <x:c r="J1137" s="11" t="n">
        <x:v>2</x:v>
      </x:c>
      <x:c r="K1137" s="11" t="n">
        <x:v>0</x:v>
      </x:c>
      <x:c r="L1137" s="17" t="n">
        <x:f>SUM(SUMIFS('Costing'!$P$9:$P$492,'Costing'!$A$9:$A$492,"MAIN-216"))</x:f>
        <x:v>30000</x:v>
      </x:c>
      <x:c r="M1137" s="17" t="n">
        <x:f>ROUND(L1137*'Costing'!$C$4,2)</x:f>
        <x:v>5400</x:v>
      </x:c>
      <x:c r="N1137" s="17" t="n">
        <x:f>L1137+M1137</x:f>
        <x:v>35400</x:v>
      </x:c>
      <x:c r="O1137" s="12" t="str">
        <x:v>Hyderabad</x:v>
      </x:c>
      <x:c r="P1137" s="12" t="str">
        <x:v>CORP-0212</x:v>
      </x:c>
      <x:c r="Q1137" s="12" t="str">
        <x:v>HRH NEXT SERVICES PVT LTD</x:v>
      </x:c>
    </x:row>
    <x:row r="1138" ht="48" customHeight="1">
      <x:c r="A1138" s="2" t="str">
        <x:v>TEN-CE749E840DCA</x:v>
      </x:c>
      <x:c r="B1138" s="12" t="str">
        <x:v>HSBC</x:v>
      </x:c>
      <x:c r="C1138" s="12" t="str">
        <x:v>Business / brand</x:v>
      </x:c>
      <x:c r="D1138" s="12" t="str">
        <x:v>Finance &amp; insurance</x:v>
      </x:c>
      <x:c r="E1138" s="12" t="str">
        <x:v>Banking &amp; credit</x:v>
      </x:c>
      <x:c r="F1138" s="12" t="str">
        <x:v>Large enterprise</x:v>
      </x:c>
      <x:c r="G1138" s="12" t="str">
        <x:v>Official international banking-group profile; large enterprise context.</x:v>
      </x:c>
      <x:c r="H1138" s="11" t="n">
        <x:v>1</x:v>
      </x:c>
      <x:c r="I1138" s="11" t="n">
        <x:v>21</x:v>
      </x:c>
      <x:c r="J1138" s="11" t="n">
        <x:v>21</x:v>
      </x:c>
      <x:c r="K1138" s="11" t="n">
        <x:v>0</x:v>
      </x:c>
      <x:c r="L1138" s="17" t="n">
        <x:f>SUM(SUMIFS('Costing'!$P$9:$P$492,'Costing'!$A$9:$A$492,"MAIN-253"))</x:f>
        <x:v>840000</x:v>
      </x:c>
      <x:c r="M1138" s="17" t="n">
        <x:f>ROUND(L1138*'Costing'!$C$4,2)</x:f>
        <x:v>151200</x:v>
      </x:c>
      <x:c r="N1138" s="17" t="n">
        <x:f>L1138+M1138</x:f>
        <x:v>991200</x:v>
      </x:c>
      <x:c r="O1138" s="12" t="str">
        <x:v>Hyderabad</x:v>
      </x:c>
      <x:c r="P1138" s="12" t="str">
        <x:v>CORP-0249</x:v>
      </x:c>
      <x:c r="Q1138" s="12" t="str">
        <x:v>HSBC</x:v>
      </x:c>
    </x:row>
    <x:row r="1139" ht="48" customHeight="1">
      <x:c r="A1139" s="2" t="str">
        <x:v>TEN-59AD12AAE07D</x:v>
      </x:c>
      <x:c r="B1139" s="12" t="str">
        <x:v>HTC Global Services India (Cibersites)</x:v>
      </x:c>
      <x:c r="C1139" s="12" t="str">
        <x:v>Business / brand</x:v>
      </x:c>
      <x:c r="D1139" s="12" t="str">
        <x:v>IT &amp; digital</x:v>
      </x:c>
      <x:c r="E1139" s="12" t="str">
        <x:v>Enterprise software &amp; digital engineering</x:v>
      </x:c>
      <x:c r="F1139" s="12" t="str">
        <x:v>Mixed business audience</x:v>
      </x:c>
      <x:c r="G1139" s="12" t="str">
        <x:v>Established brand or business network; local company scale is not established. Use a mixed-business message.</x:v>
      </x:c>
      <x:c r="H1139" s="11" t="n">
        <x:v>2</x:v>
      </x:c>
      <x:c r="I1139" s="11" t="n">
        <x:v>2</x:v>
      </x:c>
      <x:c r="J1139" s="11" t="n">
        <x:v>2</x:v>
      </x:c>
      <x:c r="K1139" s="11" t="n">
        <x:v>0</x:v>
      </x:c>
      <x:c r="L1139" s="17" t="n">
        <x:f>SUM(SUMIFS('Costing'!$P$9:$P$492,'Costing'!$A$9:$A$492,"PARTNER-M241"))</x:f>
        <x:v>80000</x:v>
      </x:c>
      <x:c r="M1139" s="17" t="n">
        <x:f>ROUND(L1139*'Costing'!$C$4,2)</x:f>
        <x:v>14400</x:v>
      </x:c>
      <x:c r="N1139" s="17" t="n">
        <x:f>L1139+M1139</x:f>
        <x:v>94400</x:v>
      </x:c>
      <x:c r="O1139" s="12" t="str">
        <x:v>Mumbai</x:v>
      </x:c>
      <x:c r="P1139" s="12" t="str">
        <x:v>CORP-0658, CORP-0659</x:v>
      </x:c>
      <x:c r="Q1139" s="12" t="str">
        <x:v>HTC Global Services India (Cibersites)</x:v>
      </x:c>
    </x:row>
    <x:row r="1140" ht="48" customHeight="1">
      <x:c r="A1140" s="2" t="str">
        <x:v>TEN-59F47C57E3E6</x:v>
      </x:c>
      <x:c r="B1140" s="12" t="str">
        <x:v>HTL Logistics</x:v>
      </x:c>
      <x:c r="C1140" s="12" t="str">
        <x:v>Business / brand</x:v>
      </x:c>
      <x:c r="D1140" s="12" t="str">
        <x:v>Trade, consumer &amp; logistics</x:v>
      </x:c>
      <x:c r="E1140" s="12" t="str">
        <x:v>Logistics, shipping &amp; transport</x:v>
      </x:c>
      <x:c r="F1140" s="12" t="str">
        <x:v>Medium-scale prospects</x:v>
      </x:c>
      <x:c r="G1140" s="12" t="str">
        <x:v>Specialist logistics or transport business; medium-scale prospect assumption.</x:v>
      </x:c>
      <x:c r="H1140" s="11" t="n">
        <x:v>1</x:v>
      </x:c>
      <x:c r="I1140" s="11" t="n">
        <x:v>5</x:v>
      </x:c>
      <x:c r="J1140" s="11" t="n">
        <x:v>5</x:v>
      </x:c>
      <x:c r="K1140" s="11" t="n">
        <x:v>0</x:v>
      </x:c>
      <x:c r="L1140" s="17" t="n">
        <x:f>SUM(SUMIFS('Costing'!$P$9:$P$492,'Costing'!$A$9:$A$492,"MAIN-139"))</x:f>
        <x:v>75000</x:v>
      </x:c>
      <x:c r="M1140" s="17" t="n">
        <x:f>ROUND(L1140*'Costing'!$C$4,2)</x:f>
        <x:v>13500</x:v>
      </x:c>
      <x:c r="N1140" s="17" t="n">
        <x:f>L1140+M1140</x:f>
        <x:v>88500</x:v>
      </x:c>
      <x:c r="O1140" s="12" t="str">
        <x:v>Chennai</x:v>
      </x:c>
      <x:c r="P1140" s="12" t="str">
        <x:v>CORP-0135</x:v>
      </x:c>
      <x:c r="Q1140" s="12" t="str">
        <x:v>HTL Logistics</x:v>
      </x:c>
    </x:row>
    <x:row r="1141" ht="48" customHeight="1">
      <x:c r="A1141" s="2" t="str">
        <x:v>TEN-954E3B0AC1F9</x:v>
      </x:c>
      <x:c r="B1141" s="12" t="str">
        <x:v>Huddl Enterprise Communication Pvt Ltd</x:v>
      </x:c>
      <x:c r="C1141" s="12" t="str">
        <x:v>Business / brand</x:v>
      </x:c>
      <x:c r="D1141" s="12" t="str">
        <x:v>IT &amp; digital</x:v>
      </x:c>
      <x:c r="E1141" s="12" t="str">
        <x:v>Telecom, networks &amp; connectivity</x:v>
      </x:c>
      <x:c r="F1141" s="12" t="str">
        <x:v>Small-scale prospects</x:v>
      </x:c>
      <x:c r="G1141" s="12" t="str">
        <x:v>Software or technology-services business; small-scale prospect assumption.</x:v>
      </x:c>
      <x:c r="H1141" s="11" t="n">
        <x:v>5</x:v>
      </x:c>
      <x:c r="I1141" s="11" t="n">
        <x:v>5</x:v>
      </x:c>
      <x:c r="J1141" s="11" t="n">
        <x:v>5</x:v>
      </x:c>
      <x:c r="K1141" s="11" t="n">
        <x:v>0</x:v>
      </x:c>
      <x:c r="L1141" s="17" t="n">
        <x:f>SUM(SUMIFS('Costing'!$P$9:$P$492,'Costing'!$A$9:$A$492,"PARTNER-M295"))</x:f>
        <x:v>200000</x:v>
      </x:c>
      <x:c r="M1141" s="17" t="n">
        <x:f>ROUND(L1141*'Costing'!$C$4,2)</x:f>
        <x:v>36000</x:v>
      </x:c>
      <x:c r="N1141" s="17" t="n">
        <x:f>L1141+M1141</x:f>
        <x:v>236000</x:v>
      </x:c>
      <x:c r="O1141" s="12" t="str">
        <x:v>Hyderabad</x:v>
      </x:c>
      <x:c r="P1141" s="12" t="str">
        <x:v>CORP-0710, CORP-0711, CORP-0712, CORP-0713, CORP-0714</x:v>
      </x:c>
      <x:c r="Q1141" s="12" t="str">
        <x:v>Huddl Enterprise Communication Pvt Ltd</x:v>
      </x:c>
    </x:row>
    <x:row r="1142" ht="48" customHeight="1">
      <x:c r="A1142" s="2" t="str">
        <x:v>TEN-861283AE7D6D</x:v>
      </x:c>
      <x:c r="B1142" s="12" t="str">
        <x:v>hudl</x:v>
      </x:c>
      <x:c r="C1142" s="12" t="str">
        <x:v>Business / brand</x:v>
      </x:c>
      <x:c r="D1142" s="12" t="str">
        <x:v>Trade, consumer &amp; logistics</x:v>
      </x:c>
      <x:c r="E1142" s="12" t="str">
        <x:v>Entertainment, media &amp; events</x:v>
      </x:c>
      <x:c r="F1142" s="12" t="str">
        <x:v>Mixed business audience</x:v>
      </x:c>
      <x:c r="G1142" s="12" t="str">
        <x:v>Established brand or business network; local company scale is not established. Use a mixed-business message.</x:v>
      </x:c>
      <x:c r="H1142" s="11" t="n">
        <x:v>1</x:v>
      </x:c>
      <x:c r="I1142" s="11" t="n">
        <x:v>1</x:v>
      </x:c>
      <x:c r="J1142" s="11" t="n">
        <x:v>1</x:v>
      </x:c>
      <x:c r="K1142" s="11" t="n">
        <x:v>0</x:v>
      </x:c>
      <x:c r="L1142" s="17" t="n">
        <x:f>SUM(SUMIFS('Costing'!$P$9:$P$492,'Costing'!$A$9:$A$492,"MAIN-300"))</x:f>
        <x:v>15000</x:v>
      </x:c>
      <x:c r="M1142" s="17" t="n">
        <x:f>ROUND(L1142*'Costing'!$C$4,2)</x:f>
        <x:v>2700</x:v>
      </x:c>
      <x:c r="N1142" s="17" t="n">
        <x:f>L1142+M1142</x:f>
        <x:v>17700</x:v>
      </x:c>
      <x:c r="O1142" s="12" t="str">
        <x:v>Mumbai</x:v>
      </x:c>
      <x:c r="P1142" s="12" t="str">
        <x:v>CORP-0296</x:v>
      </x:c>
      <x:c r="Q1142" s="12" t="str">
        <x:v>hudl</x:v>
      </x:c>
    </x:row>
    <x:row r="1143" ht="48" customHeight="1">
      <x:c r="A1143" s="2" t="str">
        <x:v>TEN-89BC704C61F9</x:v>
      </x:c>
      <x:c r="B1143" s="12" t="str">
        <x:v>HUE Touch Technologies Pvt Ltd</x:v>
      </x:c>
      <x:c r="C1143" s="12" t="str">
        <x:v>Business / brand</x:v>
      </x:c>
      <x:c r="D1143" s="12" t="str">
        <x:v>Unresolved</x:v>
      </x:c>
      <x:c r="E1143" s="12" t="str">
        <x:v>Business activity not established</x:v>
      </x:c>
      <x:c r="F1143" s="12" t="str">
        <x:v>Mixed business audience</x:v>
      </x:c>
      <x:c r="G1143" s="12" t="str">
        <x:v>Business activity and company scale are not established from this name.</x:v>
      </x:c>
      <x:c r="H1143" s="11" t="n">
        <x:v>1</x:v>
      </x:c>
      <x:c r="I1143" s="11" t="n">
        <x:v>1</x:v>
      </x:c>
      <x:c r="J1143" s="11" t="n">
        <x:v>1</x:v>
      </x:c>
      <x:c r="K1143" s="11" t="n">
        <x:v>0</x:v>
      </x:c>
      <x:c r="L1143" s="17" t="n">
        <x:f>SUM(SUMIFS('Costing'!$P$9:$P$492,'Costing'!$A$9:$A$492,"MAIN-159"))</x:f>
        <x:v>15000</x:v>
      </x:c>
      <x:c r="M1143" s="17" t="n">
        <x:f>ROUND(L1143*'Costing'!$C$4,2)</x:f>
        <x:v>2700</x:v>
      </x:c>
      <x:c r="N1143" s="17" t="n">
        <x:f>L1143+M1143</x:f>
        <x:v>17700</x:v>
      </x:c>
      <x:c r="O1143" s="12" t="str">
        <x:v>Chennai</x:v>
      </x:c>
      <x:c r="P1143" s="12" t="str">
        <x:v>CORP-0155</x:v>
      </x:c>
      <x:c r="Q1143" s="12" t="str">
        <x:v>HUE Touch Technologies Pvt Ltd</x:v>
      </x:c>
    </x:row>
    <x:row r="1144" ht="48" customHeight="1">
      <x:c r="A1144" s="2" t="str">
        <x:v>TEN-CA79984DBED3</x:v>
      </x:c>
      <x:c r="B1144" s="12" t="str">
        <x:v>Huron Eurasia India Private Limited</x:v>
      </x:c>
      <x:c r="C1144" s="12" t="str">
        <x:v>Business / brand</x:v>
      </x:c>
      <x:c r="D1144" s="12" t="str">
        <x:v>Professional services</x:v>
      </x:c>
      <x:c r="E1144" s="12" t="str">
        <x:v>Research, marketing &amp; professional services</x:v>
      </x:c>
      <x:c r="F1144" s="12" t="str">
        <x:v>Mixed business audience</x:v>
      </x:c>
      <x:c r="G1144" s="12" t="str">
        <x:v>Established brand or business network; local company scale is not established. Use a mixed-business message.</x:v>
      </x:c>
      <x:c r="H1144" s="11" t="n">
        <x:v>5</x:v>
      </x:c>
      <x:c r="I1144" s="11" t="n">
        <x:v>5</x:v>
      </x:c>
      <x:c r="J1144" s="11" t="n">
        <x:v>5</x:v>
      </x:c>
      <x:c r="K1144" s="11" t="n">
        <x:v>0</x:v>
      </x:c>
      <x:c r="L1144" s="17" t="n">
        <x:f>SUM(SUMIFS('Costing'!$P$9:$P$492,'Costing'!$A$9:$A$492,"PARTNER-M060"))</x:f>
        <x:v>200000</x:v>
      </x:c>
      <x:c r="M1144" s="17" t="n">
        <x:f>ROUND(L1144*'Costing'!$C$4,2)</x:f>
        <x:v>36000</x:v>
      </x:c>
      <x:c r="N1144" s="17" t="n">
        <x:f>L1144+M1144</x:f>
        <x:v>236000</x:v>
      </x:c>
      <x:c r="O1144" s="12" t="str">
        <x:v>Bengaluru</x:v>
      </x:c>
      <x:c r="P1144" s="12" t="str">
        <x:v>CORP-0478, CORP-0479, CORP-0480, CORP-0481, CORP-0482</x:v>
      </x:c>
      <x:c r="Q1144" s="12" t="str">
        <x:v>Huron Eurasia India Private Limited</x:v>
      </x:c>
    </x:row>
    <x:row r="1145" ht="48" customHeight="1">
      <x:c r="A1145" s="2" t="str">
        <x:v>TEN-79FC67E012A7</x:v>
      </x:c>
      <x:c r="B1145" s="12" t="str">
        <x:v>Husys</x:v>
      </x:c>
      <x:c r="C1145" s="12" t="str">
        <x:v>Business / brand</x:v>
      </x:c>
      <x:c r="D1145" s="12" t="str">
        <x:v>Professional services</x:v>
      </x:c>
      <x:c r="E1145" s="12" t="str">
        <x:v>Recruitment, HR &amp; staffing</x:v>
      </x:c>
      <x:c r="F1145" s="12" t="str">
        <x:v>Small-scale prospects</x:v>
      </x:c>
      <x:c r="G1145" s="12" t="str">
        <x:v>Professional service, agency or advisory model; small-scale prospect assumption.</x:v>
      </x:c>
      <x:c r="H1145" s="11" t="n">
        <x:v>1</x:v>
      </x:c>
      <x:c r="I1145" s="11" t="n">
        <x:v>1</x:v>
      </x:c>
      <x:c r="J1145" s="11" t="n">
        <x:v>1</x:v>
      </x:c>
      <x:c r="K1145" s="11" t="n">
        <x:v>0</x:v>
      </x:c>
      <x:c r="L1145" s="17" t="n">
        <x:f>SUM(SUMIFS('Costing'!$P$9:$P$492,'Costing'!$A$9:$A$492,"MAIN-089"))</x:f>
        <x:v>15000</x:v>
      </x:c>
      <x:c r="M1145" s="17" t="n">
        <x:f>ROUND(L1145*'Costing'!$C$4,2)</x:f>
        <x:v>2700</x:v>
      </x:c>
      <x:c r="N1145" s="17" t="n">
        <x:f>L1145+M1145</x:f>
        <x:v>17700</x:v>
      </x:c>
      <x:c r="O1145" s="12" t="str">
        <x:v>Bengaluru</x:v>
      </x:c>
      <x:c r="P1145" s="12" t="str">
        <x:v>CORP-0085</x:v>
      </x:c>
      <x:c r="Q1145" s="12" t="str">
        <x:v>Husys</x:v>
      </x:c>
    </x:row>
    <x:row r="1146" ht="48" customHeight="1">
      <x:c r="A1146" s="2" t="str">
        <x:v>TEN-0F0BA7A72DF3</x:v>
      </x:c>
      <x:c r="B1146" s="12" t="str">
        <x:v>HYBRID 360FIT</x:v>
      </x:c>
      <x:c r="C1146" s="12" t="str">
        <x:v>Business / brand</x:v>
      </x:c>
      <x:c r="D1146" s="12" t="str">
        <x:v>Unresolved</x:v>
      </x:c>
      <x:c r="E1146" s="12" t="str">
        <x:v>Business activity not established</x:v>
      </x:c>
      <x:c r="F1146" s="12" t="str">
        <x:v>Mixed business audience</x:v>
      </x:c>
      <x:c r="G1146" s="12" t="str">
        <x:v>Business activity and company scale are not established from this name.</x:v>
      </x:c>
      <x:c r="H1146" s="11" t="n">
        <x:v>1</x:v>
      </x:c>
      <x:c r="I1146" s="11" t="n">
        <x:v>10</x:v>
      </x:c>
      <x:c r="J1146" s="11" t="n">
        <x:v>10</x:v>
      </x:c>
      <x:c r="K1146" s="11" t="n">
        <x:v>0</x:v>
      </x:c>
      <x:c r="L1146" s="17" t="n">
        <x:f>SUM(SUMIFS('Costing'!$P$9:$P$492,'Costing'!$A$9:$A$492,"MAIN-349"))</x:f>
        <x:v>150000</x:v>
      </x:c>
      <x:c r="M1146" s="17" t="n">
        <x:f>ROUND(L1146*'Costing'!$C$4,2)</x:f>
        <x:v>27000</x:v>
      </x:c>
      <x:c r="N1146" s="17" t="n">
        <x:f>L1146+M1146</x:f>
        <x:v>177000</x:v>
      </x:c>
      <x:c r="O1146" s="12" t="str">
        <x:v>Mumbai</x:v>
      </x:c>
      <x:c r="P1146" s="12" t="str">
        <x:v>CORP-0345</x:v>
      </x:c>
      <x:c r="Q1146" s="12" t="str">
        <x:v>HYBRID 360FIT</x:v>
      </x:c>
    </x:row>
    <x:row r="1147" ht="48" customHeight="1">
      <x:c r="A1147" s="2" t="str">
        <x:v>TEN-3D1C706BE54D</x:v>
      </x:c>
      <x:c r="B1147" s="12" t="str">
        <x:v>Hyosung</x:v>
      </x:c>
      <x:c r="C1147" s="12" t="str">
        <x:v>Business / brand</x:v>
      </x:c>
      <x:c r="D1147" s="12" t="str">
        <x:v>Engineering &amp; manufacturing</x:v>
      </x:c>
      <x:c r="E1147" s="12" t="str">
        <x:v>Electronics, industrial systems &amp; manufacturing</x:v>
      </x:c>
      <x:c r="F1147" s="12" t="str">
        <x:v>Mixed business audience</x:v>
      </x:c>
      <x:c r="G1147" s="12" t="str">
        <x:v>Established brand or business network; local company scale is not established. Use a mixed-business message.</x:v>
      </x:c>
      <x:c r="H1147" s="11" t="n">
        <x:v>2</x:v>
      </x:c>
      <x:c r="I1147" s="11" t="n">
        <x:v>2</x:v>
      </x:c>
      <x:c r="J1147" s="11" t="n">
        <x:v>2</x:v>
      </x:c>
      <x:c r="K1147" s="11" t="n">
        <x:v>0</x:v>
      </x:c>
      <x:c r="L1147" s="17" t="n">
        <x:f>SUM(SUMIFS('Costing'!$P$9:$P$492,'Costing'!$A$9:$A$492,"PARTNER-M338"))</x:f>
        <x:v>80000</x:v>
      </x:c>
      <x:c r="M1147" s="17" t="n">
        <x:f>ROUND(L1147*'Costing'!$C$4,2)</x:f>
        <x:v>14400</x:v>
      </x:c>
      <x:c r="N1147" s="17" t="n">
        <x:f>L1147+M1147</x:f>
        <x:v>94400</x:v>
      </x:c>
      <x:c r="O1147" s="12" t="str">
        <x:v>Chennai</x:v>
      </x:c>
      <x:c r="P1147" s="12" t="str">
        <x:v>CORP-0752, CORP-0753</x:v>
      </x:c>
      <x:c r="Q1147" s="12" t="str">
        <x:v>Hyosung</x:v>
      </x:c>
    </x:row>
    <x:row r="1148" ht="48" customHeight="1">
      <x:c r="A1148" s="2" t="str">
        <x:v>TEN-F626E376EF5E</x:v>
      </x:c>
      <x:c r="B1148" s="12" t="str">
        <x:v>Hyosung T &amp; D India Pvt. Ltd</x:v>
      </x:c>
      <x:c r="C1148" s="12" t="str">
        <x:v>Business / brand</x:v>
      </x:c>
      <x:c r="D1148" s="12" t="str">
        <x:v>Engineering &amp; manufacturing</x:v>
      </x:c>
      <x:c r="E1148" s="12" t="str">
        <x:v>Electronics, industrial systems &amp; manufacturing</x:v>
      </x:c>
      <x:c r="F1148" s="12" t="str">
        <x:v>Mixed business audience</x:v>
      </x:c>
      <x:c r="G1148" s="12" t="str">
        <x:v>Established brand or business network; local company scale is not established. Use a mixed-business message.</x:v>
      </x:c>
      <x:c r="H1148" s="11" t="n">
        <x:v>1</x:v>
      </x:c>
      <x:c r="I1148" s="11" t="n">
        <x:v>4</x:v>
      </x:c>
      <x:c r="J1148" s="11" t="n">
        <x:v>4</x:v>
      </x:c>
      <x:c r="K1148" s="11" t="n">
        <x:v>0</x:v>
      </x:c>
      <x:c r="L1148" s="17" t="n">
        <x:f>SUM(SUMIFS('Costing'!$P$9:$P$492,'Costing'!$A$9:$A$492,"MAIN-383"))</x:f>
        <x:v>80000</x:v>
      </x:c>
      <x:c r="M1148" s="17" t="n">
        <x:f>ROUND(L1148*'Costing'!$C$4,2)</x:f>
        <x:v>14400</x:v>
      </x:c>
      <x:c r="N1148" s="17" t="n">
        <x:f>L1148+M1148</x:f>
        <x:v>94400</x:v>
      </x:c>
      <x:c r="O1148" s="12" t="str">
        <x:v>Pune</x:v>
      </x:c>
      <x:c r="P1148" s="12" t="str">
        <x:v>CORP-0379</x:v>
      </x:c>
      <x:c r="Q1148" s="12" t="str">
        <x:v>Hyosung T &amp; D India Pvt. Ltd</x:v>
      </x:c>
    </x:row>
    <x:row r="1149" ht="48" customHeight="1">
      <x:c r="A1149" s="2" t="str">
        <x:v>TEN-9B83D7804FE5</x:v>
      </x:c>
      <x:c r="B1149" s="12" t="str">
        <x:v>Hyperplay tech pvt ld</x:v>
      </x:c>
      <x:c r="C1149" s="12" t="str">
        <x:v>Business / brand</x:v>
      </x:c>
      <x:c r="D1149" s="12" t="str">
        <x:v>Unresolved</x:v>
      </x:c>
      <x:c r="E1149" s="12" t="str">
        <x:v>Business activity not established</x:v>
      </x:c>
      <x:c r="F1149" s="12" t="str">
        <x:v>Mixed business audience</x:v>
      </x:c>
      <x:c r="G1149" s="12" t="str">
        <x:v>Business activity and company scale are not established from this name.</x:v>
      </x:c>
      <x:c r="H1149" s="11" t="n">
        <x:v>1</x:v>
      </x:c>
      <x:c r="I1149" s="11" t="n">
        <x:v>2</x:v>
      </x:c>
      <x:c r="J1149" s="11" t="n">
        <x:v>2</x:v>
      </x:c>
      <x:c r="K1149" s="11" t="n">
        <x:v>0</x:v>
      </x:c>
      <x:c r="L1149" s="17" t="n">
        <x:f>SUM(SUMIFS('Costing'!$P$9:$P$492,'Costing'!$A$9:$A$492,"MAIN-081"))</x:f>
        <x:v>30000</x:v>
      </x:c>
      <x:c r="M1149" s="17" t="n">
        <x:f>ROUND(L1149*'Costing'!$C$4,2)</x:f>
        <x:v>5400</x:v>
      </x:c>
      <x:c r="N1149" s="17" t="n">
        <x:f>L1149+M1149</x:f>
        <x:v>35400</x:v>
      </x:c>
      <x:c r="O1149" s="12" t="str">
        <x:v>Bengaluru</x:v>
      </x:c>
      <x:c r="P1149" s="12" t="str">
        <x:v>CORP-0077</x:v>
      </x:c>
      <x:c r="Q1149" s="12" t="str">
        <x:v>Hyperplay tech pvt ld</x:v>
      </x:c>
    </x:row>
    <x:row r="1150" ht="48" customHeight="1">
      <x:c r="A1150" s="2" t="str">
        <x:v>TEN-904E6EA13879</x:v>
      </x:c>
      <x:c r="B1150" s="12" t="str">
        <x:v>Hyperqube Ionic Pvt.Ltd</x:v>
      </x:c>
      <x:c r="C1150" s="12" t="str">
        <x:v>Business / brand</x:v>
      </x:c>
      <x:c r="D1150" s="12" t="str">
        <x:v>Unresolved</x:v>
      </x:c>
      <x:c r="E1150" s="12" t="str">
        <x:v>Business activity not established</x:v>
      </x:c>
      <x:c r="F1150" s="12" t="str">
        <x:v>Mixed business audience</x:v>
      </x:c>
      <x:c r="G1150" s="12" t="str">
        <x:v>Business activity and company scale are not established from this name.</x:v>
      </x:c>
      <x:c r="H1150" s="11" t="n">
        <x:v>1</x:v>
      </x:c>
      <x:c r="I1150" s="11" t="n">
        <x:v>3</x:v>
      </x:c>
      <x:c r="J1150" s="11" t="n">
        <x:v>3</x:v>
      </x:c>
      <x:c r="K1150" s="11" t="n">
        <x:v>0</x:v>
      </x:c>
      <x:c r="L1150" s="17" t="n">
        <x:f>SUM(SUMIFS('Costing'!$P$9:$P$492,'Costing'!$A$9:$A$492,"MAIN-172"))</x:f>
        <x:v>45000</x:v>
      </x:c>
      <x:c r="M1150" s="17" t="n">
        <x:f>ROUND(L1150*'Costing'!$C$4,2)</x:f>
        <x:v>8100</x:v>
      </x:c>
      <x:c r="N1150" s="17" t="n">
        <x:f>L1150+M1150</x:f>
        <x:v>53100</x:v>
      </x:c>
      <x:c r="O1150" s="12" t="str">
        <x:v>Delhi NCR</x:v>
      </x:c>
      <x:c r="P1150" s="12" t="str">
        <x:v>CORP-0168</x:v>
      </x:c>
      <x:c r="Q1150" s="12" t="str">
        <x:v>Hyperqube Ionic Pvt.Ltd</x:v>
      </x:c>
    </x:row>
    <x:row r="1151" ht="48" customHeight="1">
      <x:c r="A1151" s="2" t="str">
        <x:v>TEN-B02D68728E8B</x:v>
      </x:c>
      <x:c r="B1151" s="12" t="str">
        <x:v>Hyperverge</x:v>
      </x:c>
      <x:c r="C1151" s="12" t="str">
        <x:v>Business / brand</x:v>
      </x:c>
      <x:c r="D1151" s="12" t="str">
        <x:v>IT &amp; digital</x:v>
      </x:c>
      <x:c r="E1151" s="12" t="str">
        <x:v>AI, data &amp; analytics</x:v>
      </x:c>
      <x:c r="F1151" s="12" t="str">
        <x:v>Small-scale prospects</x:v>
      </x:c>
      <x:c r="G1151" s="12" t="str">
        <x:v>Software or technology-services business; small-scale prospect assumption.</x:v>
      </x:c>
      <x:c r="H1151" s="11" t="n">
        <x:v>1</x:v>
      </x:c>
      <x:c r="I1151" s="11" t="n">
        <x:v>2</x:v>
      </x:c>
      <x:c r="J1151" s="11" t="n">
        <x:v>2</x:v>
      </x:c>
      <x:c r="K1151" s="11" t="n">
        <x:v>0</x:v>
      </x:c>
      <x:c r="L1151" s="17" t="n">
        <x:f>SUM(SUMIFS('Costing'!$P$9:$P$492,'Costing'!$A$9:$A$492,"MAIN-096"))</x:f>
        <x:v>30000</x:v>
      </x:c>
      <x:c r="M1151" s="17" t="n">
        <x:f>ROUND(L1151*'Costing'!$C$4,2)</x:f>
        <x:v>5400</x:v>
      </x:c>
      <x:c r="N1151" s="17" t="n">
        <x:f>L1151+M1151</x:f>
        <x:v>35400</x:v>
      </x:c>
      <x:c r="O1151" s="12" t="str">
        <x:v>Bengaluru</x:v>
      </x:c>
      <x:c r="P1151" s="12" t="str">
        <x:v>CORP-0092</x:v>
      </x:c>
      <x:c r="Q1151" s="12" t="str">
        <x:v>Hyperverge</x:v>
      </x:c>
    </x:row>
    <x:row r="1152" ht="48" customHeight="1">
      <x:c r="A1152" s="2" t="str">
        <x:v>TEN-E0E2154DC268</x:v>
      </x:c>
      <x:c r="B1152" s="12" t="str">
        <x:v>HYUNDAI AutoEver India Pvt. Ltd</x:v>
      </x:c>
      <x:c r="C1152" s="12" t="str">
        <x:v>Business / brand</x:v>
      </x:c>
      <x:c r="D1152" s="12" t="str">
        <x:v>IT &amp; digital</x:v>
      </x:c>
      <x:c r="E1152" s="12" t="str">
        <x:v>Enterprise software &amp; digital engineering</x:v>
      </x:c>
      <x:c r="F1152" s="12" t="str">
        <x:v>Mixed business audience</x:v>
      </x:c>
      <x:c r="G1152" s="12" t="str">
        <x:v>Recognisable business context; company-scale evidence remains insufficient for a single size band.</x:v>
      </x:c>
      <x:c r="H1152" s="11" t="n">
        <x:v>1</x:v>
      </x:c>
      <x:c r="I1152" s="11" t="n">
        <x:v>2</x:v>
      </x:c>
      <x:c r="J1152" s="11" t="n">
        <x:v>2</x:v>
      </x:c>
      <x:c r="K1152" s="11" t="n">
        <x:v>0</x:v>
      </x:c>
      <x:c r="L1152" s="17" t="n">
        <x:f>SUM(SUMIFS('Costing'!$P$9:$P$492,'Costing'!$A$9:$A$492,"MAIN-149"))</x:f>
        <x:v>40000</x:v>
      </x:c>
      <x:c r="M1152" s="17" t="n">
        <x:f>ROUND(L1152*'Costing'!$C$4,2)</x:f>
        <x:v>7200</x:v>
      </x:c>
      <x:c r="N1152" s="17" t="n">
        <x:f>L1152+M1152</x:f>
        <x:v>47200</x:v>
      </x:c>
      <x:c r="O1152" s="12" t="str">
        <x:v>Chennai</x:v>
      </x:c>
      <x:c r="P1152" s="12" t="str">
        <x:v>CORP-0145</x:v>
      </x:c>
      <x:c r="Q1152" s="12" t="str">
        <x:v>HYUNDAI AutoEver India Pvt. Ltd</x:v>
      </x:c>
    </x:row>
    <x:row r="1153" ht="48" customHeight="1">
      <x:c r="A1153" s="2" t="str">
        <x:v>TEN-CB23CDD2295E</x:v>
      </x:c>
      <x:c r="B1153" s="12" t="str">
        <x:v>Hyundai Motor India</x:v>
      </x:c>
      <x:c r="C1153" s="12" t="str">
        <x:v>Business / brand</x:v>
      </x:c>
      <x:c r="D1153" s="12" t="str">
        <x:v>Engineering &amp; manufacturing</x:v>
      </x:c>
      <x:c r="E1153" s="12" t="str">
        <x:v>Automotive, mobility &amp; aerospace</x:v>
      </x:c>
      <x:c r="F1153" s="12" t="str">
        <x:v>Mixed business audience</x:v>
      </x:c>
      <x:c r="G1153" s="12" t="str">
        <x:v>Recognisable business context; company-scale evidence remains insufficient for a single size band.</x:v>
      </x:c>
      <x:c r="H1153" s="11" t="n">
        <x:v>1</x:v>
      </x:c>
      <x:c r="I1153" s="11" t="n">
        <x:v>2</x:v>
      </x:c>
      <x:c r="J1153" s="11" t="n">
        <x:v>2</x:v>
      </x:c>
      <x:c r="K1153" s="11" t="n">
        <x:v>0</x:v>
      </x:c>
      <x:c r="L1153" s="17" t="n">
        <x:f>SUM(SUMIFS('Costing'!$P$9:$P$492,'Costing'!$A$9:$A$492,"MAIN-114"))</x:f>
        <x:v>50000</x:v>
      </x:c>
      <x:c r="M1153" s="17" t="n">
        <x:f>ROUND(L1153*'Costing'!$C$4,2)</x:f>
        <x:v>9000</x:v>
      </x:c>
      <x:c r="N1153" s="17" t="n">
        <x:f>L1153+M1153</x:f>
        <x:v>59000</x:v>
      </x:c>
      <x:c r="O1153" s="12" t="str">
        <x:v>Bengaluru</x:v>
      </x:c>
      <x:c r="P1153" s="12" t="str">
        <x:v>CORP-0110</x:v>
      </x:c>
      <x:c r="Q1153" s="12" t="str">
        <x:v>Hyundai Motor India</x:v>
      </x:c>
    </x:row>
    <x:row r="1154" ht="48" customHeight="1">
      <x:c r="A1154" s="2" t="str">
        <x:v>TEN-977F6DCD151C</x:v>
      </x:c>
      <x:c r="B1154" s="12" t="str">
        <x:v>I Software Operation Pvt Ltd</x:v>
      </x:c>
      <x:c r="C1154" s="12" t="str">
        <x:v>Business / brand</x:v>
      </x:c>
      <x:c r="D1154" s="12" t="str">
        <x:v>IT &amp; digital</x:v>
      </x:c>
      <x:c r="E1154" s="12" t="str">
        <x:v>Enterprise software &amp; digital engineering</x:v>
      </x:c>
      <x:c r="F1154" s="12" t="str">
        <x:v>Small-scale prospects</x:v>
      </x:c>
      <x:c r="G1154" s="12" t="str">
        <x:v>Software or technology-services business; small-scale prospect assumption.</x:v>
      </x:c>
      <x:c r="H1154" s="11" t="n">
        <x:v>2</x:v>
      </x:c>
      <x:c r="I1154" s="11" t="n">
        <x:v>2</x:v>
      </x:c>
      <x:c r="J1154" s="11" t="n">
        <x:v>2</x:v>
      </x:c>
      <x:c r="K1154" s="11" t="n">
        <x:v>0</x:v>
      </x:c>
      <x:c r="L1154" s="17" t="n">
        <x:f>SUM(SUMIFS('Costing'!$P$9:$P$492,'Costing'!$A$9:$A$492,"PARTNER-M334"))</x:f>
        <x:v>80000</x:v>
      </x:c>
      <x:c r="M1154" s="17" t="n">
        <x:f>ROUND(L1154*'Costing'!$C$4,2)</x:f>
        <x:v>14400</x:v>
      </x:c>
      <x:c r="N1154" s="17" t="n">
        <x:f>L1154+M1154</x:f>
        <x:v>94400</x:v>
      </x:c>
      <x:c r="O1154" s="12" t="str">
        <x:v>Chennai</x:v>
      </x:c>
      <x:c r="P1154" s="12" t="str">
        <x:v>CORP-0748, CORP-0749</x:v>
      </x:c>
      <x:c r="Q1154" s="12" t="str">
        <x:v>I Software Operation Pvt Ltd</x:v>
      </x:c>
    </x:row>
    <x:row r="1155" ht="48" customHeight="1">
      <x:c r="A1155" s="2" t="str">
        <x:v>TEN-76D9D5E81093</x:v>
      </x:c>
      <x:c r="B1155" s="12" t="str">
        <x:v>i venus</x:v>
      </x:c>
      <x:c r="C1155" s="12" t="str">
        <x:v>Business / brand</x:v>
      </x:c>
      <x:c r="D1155" s="12" t="str">
        <x:v>Trade, consumer &amp; logistics</x:v>
      </x:c>
      <x:c r="E1155" s="12" t="str">
        <x:v>Retail, consumer products &amp; ecommerce</x:v>
      </x:c>
      <x:c r="F1155" s="12" t="str">
        <x:v>Small-scale prospects</x:v>
      </x:c>
      <x:c r="G1155" s="12" t="str">
        <x:v>Trading or consumer-services business; small-scale prospect assumption.</x:v>
      </x:c>
      <x:c r="H1155" s="11" t="n">
        <x:v>1</x:v>
      </x:c>
      <x:c r="I1155" s="11" t="n">
        <x:v>1</x:v>
      </x:c>
      <x:c r="J1155" s="11" t="n">
        <x:v>1</x:v>
      </x:c>
      <x:c r="K1155" s="11" t="n">
        <x:v>0</x:v>
      </x:c>
      <x:c r="L1155" s="17" t="n">
        <x:f>SUM(SUMIFS('Costing'!$P$9:$P$492,'Costing'!$A$9:$A$492,"MAIN-390"))</x:f>
        <x:v>15000</x:v>
      </x:c>
      <x:c r="M1155" s="17" t="n">
        <x:f>ROUND(L1155*'Costing'!$C$4,2)</x:f>
        <x:v>2700</x:v>
      </x:c>
      <x:c r="N1155" s="17" t="n">
        <x:f>L1155+M1155</x:f>
        <x:v>17700</x:v>
      </x:c>
      <x:c r="O1155" s="12" t="str">
        <x:v>Pune</x:v>
      </x:c>
      <x:c r="P1155" s="12" t="str">
        <x:v>CORP-0386</x:v>
      </x:c>
      <x:c r="Q1155" s="12" t="str">
        <x:v>i venus</x:v>
      </x:c>
    </x:row>
    <x:row r="1156" ht="48" customHeight="1">
      <x:c r="A1156" s="2" t="str">
        <x:v>TEN-60C01465DD42</x:v>
      </x:c>
      <x:c r="B1156" s="12" t="str">
        <x:v>I-Roomz India Private Limited</x:v>
      </x:c>
      <x:c r="C1156" s="12" t="str">
        <x:v>Business / brand</x:v>
      </x:c>
      <x:c r="D1156" s="12" t="str">
        <x:v>Trade, consumer &amp; logistics</x:v>
      </x:c>
      <x:c r="E1156" s="12" t="str">
        <x:v>Travel, hospitality, food &amp; beverages</x:v>
      </x:c>
      <x:c r="F1156" s="12" t="str">
        <x:v>Small-scale prospects</x:v>
      </x:c>
      <x:c r="G1156" s="12" t="str">
        <x:v>Trading or consumer-services business; small-scale prospect assumption.</x:v>
      </x:c>
      <x:c r="H1156" s="11" t="n">
        <x:v>1</x:v>
      </x:c>
      <x:c r="I1156" s="11" t="n">
        <x:v>1</x:v>
      </x:c>
      <x:c r="J1156" s="11" t="n">
        <x:v>1</x:v>
      </x:c>
      <x:c r="K1156" s="11" t="n">
        <x:v>0</x:v>
      </x:c>
      <x:c r="L1156" s="17" t="n">
        <x:f>SUM(SUMIFS('Costing'!$P$9:$P$492,'Costing'!$A$9:$A$492,"MAIN-071"))</x:f>
        <x:v>15000</x:v>
      </x:c>
      <x:c r="M1156" s="17" t="n">
        <x:f>ROUND(L1156*'Costing'!$C$4,2)</x:f>
        <x:v>2700</x:v>
      </x:c>
      <x:c r="N1156" s="17" t="n">
        <x:f>L1156+M1156</x:f>
        <x:v>17700</x:v>
      </x:c>
      <x:c r="O1156" s="12" t="str">
        <x:v>Bengaluru</x:v>
      </x:c>
      <x:c r="P1156" s="12" t="str">
        <x:v>CORP-0067</x:v>
      </x:c>
      <x:c r="Q1156" s="12" t="str">
        <x:v>I-Roomz India Private Limited</x:v>
      </x:c>
    </x:row>
    <x:row r="1157" ht="48" customHeight="1">
      <x:c r="A1157" s="2" t="str">
        <x:v>TEN-6726DCA55EB6</x:v>
      </x:c>
      <x:c r="B1157" s="12" t="str">
        <x:v>i4 Global Information Technologies Ltd</x:v>
      </x:c>
      <x:c r="C1157" s="12" t="str">
        <x:v>Business / brand</x:v>
      </x:c>
      <x:c r="D1157" s="12" t="str">
        <x:v>IT &amp; digital</x:v>
      </x:c>
      <x:c r="E1157" s="12" t="str">
        <x:v>Enterprise software &amp; digital engineering</x:v>
      </x:c>
      <x:c r="F1157" s="12" t="str">
        <x:v>Small-scale prospects</x:v>
      </x:c>
      <x:c r="G1157" s="12" t="str">
        <x:v>Software or technology-services business; small-scale prospect assumption.</x:v>
      </x:c>
      <x:c r="H1157" s="11" t="n">
        <x:v>5</x:v>
      </x:c>
      <x:c r="I1157" s="11" t="n">
        <x:v>5</x:v>
      </x:c>
      <x:c r="J1157" s="11" t="n">
        <x:v>5</x:v>
      </x:c>
      <x:c r="K1157" s="11" t="n">
        <x:v>0</x:v>
      </x:c>
      <x:c r="L1157" s="17" t="n">
        <x:f>SUM(SUMIFS('Costing'!$P$9:$P$492,'Costing'!$A$9:$A$492,"PARTNER-M051"))</x:f>
        <x:v>200000</x:v>
      </x:c>
      <x:c r="M1157" s="17" t="n">
        <x:f>ROUND(L1157*'Costing'!$C$4,2)</x:f>
        <x:v>36000</x:v>
      </x:c>
      <x:c r="N1157" s="17" t="n">
        <x:f>L1157+M1157</x:f>
        <x:v>236000</x:v>
      </x:c>
      <x:c r="O1157" s="12" t="str">
        <x:v>Bengaluru</x:v>
      </x:c>
      <x:c r="P1157" s="12" t="str">
        <x:v>CORP-0469, CORP-0470, CORP-0471, CORP-0472, CORP-0473</x:v>
      </x:c>
      <x:c r="Q1157" s="12" t="str">
        <x:v>i4 Global Information Technologies Ltd</x:v>
      </x:c>
    </x:row>
    <x:row r="1158" ht="48" customHeight="1">
      <x:c r="A1158" s="2" t="str">
        <x:v>TEN-41D71312C5C1</x:v>
      </x:c>
      <x:c r="B1158" s="12" t="str">
        <x:v>IAMPOS</x:v>
      </x:c>
      <x:c r="C1158" s="12" t="str">
        <x:v>Business / brand</x:v>
      </x:c>
      <x:c r="D1158" s="12" t="str">
        <x:v>Unresolved</x:v>
      </x:c>
      <x:c r="E1158" s="12" t="str">
        <x:v>Business activity not established</x:v>
      </x:c>
      <x:c r="F1158" s="12" t="str">
        <x:v>Mixed business audience</x:v>
      </x:c>
      <x:c r="G1158" s="12" t="str">
        <x:v>Business activity and company scale are not established from this name.</x:v>
      </x:c>
      <x:c r="H1158" s="11" t="n">
        <x:v>1</x:v>
      </x:c>
      <x:c r="I1158" s="11" t="n">
        <x:v>1</x:v>
      </x:c>
      <x:c r="J1158" s="11" t="n">
        <x:v>1</x:v>
      </x:c>
      <x:c r="K1158" s="11" t="n">
        <x:v>0</x:v>
      </x:c>
      <x:c r="L1158" s="17" t="n">
        <x:f>SUM(SUMIFS('Costing'!$P$9:$P$492,'Costing'!$A$9:$A$492,"MAIN-385"))</x:f>
        <x:v>15000</x:v>
      </x:c>
      <x:c r="M1158" s="17" t="n">
        <x:f>ROUND(L1158*'Costing'!$C$4,2)</x:f>
        <x:v>2700</x:v>
      </x:c>
      <x:c r="N1158" s="17" t="n">
        <x:f>L1158+M1158</x:f>
        <x:v>17700</x:v>
      </x:c>
      <x:c r="O1158" s="12" t="str">
        <x:v>Pune</x:v>
      </x:c>
      <x:c r="P1158" s="12" t="str">
        <x:v>CORP-0381</x:v>
      </x:c>
      <x:c r="Q1158" s="12" t="str">
        <x:v>IAMPOS</x:v>
      </x:c>
    </x:row>
    <x:row r="1159" ht="48" customHeight="1">
      <x:c r="A1159" s="2" t="str">
        <x:v>TEN-D117446EF669</x:v>
      </x:c>
      <x:c r="B1159" s="12" t="str">
        <x:v>iAppSys Technologies</x:v>
      </x:c>
      <x:c r="C1159" s="12" t="str">
        <x:v>Business / brand</x:v>
      </x:c>
      <x:c r="D1159" s="12" t="str">
        <x:v>IT &amp; digital</x:v>
      </x:c>
      <x:c r="E1159" s="12" t="str">
        <x:v>Enterprise software &amp; digital engineering</x:v>
      </x:c>
      <x:c r="F1159" s="12" t="str">
        <x:v>Small-scale prospects</x:v>
      </x:c>
      <x:c r="G1159" s="12" t="str">
        <x:v>Software or technology-services business; small-scale prospect assumption.</x:v>
      </x:c>
      <x:c r="H1159" s="11" t="n">
        <x:v>1</x:v>
      </x:c>
      <x:c r="I1159" s="11" t="n">
        <x:v>1</x:v>
      </x:c>
      <x:c r="J1159" s="11" t="n">
        <x:v>1</x:v>
      </x:c>
      <x:c r="K1159" s="11" t="n">
        <x:v>0</x:v>
      </x:c>
      <x:c r="L1159" s="17" t="n">
        <x:f>SUM(SUMIFS('Costing'!$P$9:$P$492,'Costing'!$A$9:$A$492,"MAIN-250"))</x:f>
        <x:v>15000</x:v>
      </x:c>
      <x:c r="M1159" s="17" t="n">
        <x:f>ROUND(L1159*'Costing'!$C$4,2)</x:f>
        <x:v>2700</x:v>
      </x:c>
      <x:c r="N1159" s="17" t="n">
        <x:f>L1159+M1159</x:f>
        <x:v>17700</x:v>
      </x:c>
      <x:c r="O1159" s="12" t="str">
        <x:v>Hyderabad</x:v>
      </x:c>
      <x:c r="P1159" s="12" t="str">
        <x:v>CORP-0246</x:v>
      </x:c>
      <x:c r="Q1159" s="12" t="str">
        <x:v>iAppSys Technologies</x:v>
      </x:c>
    </x:row>
    <x:row r="1160" ht="48" customHeight="1">
      <x:c r="A1160" s="2" t="str">
        <x:v>TEN-59A3B078B07D</x:v>
      </x:c>
      <x:c r="B1160" s="12" t="str">
        <x:v>IBA InfoTech Pvt. Ltd</x:v>
      </x:c>
      <x:c r="C1160" s="12" t="str">
        <x:v>Business / brand</x:v>
      </x:c>
      <x:c r="D1160" s="12" t="str">
        <x:v>IT &amp; digital</x:v>
      </x:c>
      <x:c r="E1160" s="12" t="str">
        <x:v>Enterprise software &amp; digital engineering</x:v>
      </x:c>
      <x:c r="F1160" s="12" t="str">
        <x:v>Small-scale prospects</x:v>
      </x:c>
      <x:c r="G1160" s="12" t="str">
        <x:v>Software or technology-services business; small-scale prospect assumption.</x:v>
      </x:c>
      <x:c r="H1160" s="11" t="n">
        <x:v>1</x:v>
      </x:c>
      <x:c r="I1160" s="11" t="n">
        <x:v>15</x:v>
      </x:c>
      <x:c r="J1160" s="11" t="n">
        <x:v>15</x:v>
      </x:c>
      <x:c r="K1160" s="11" t="n">
        <x:v>0</x:v>
      </x:c>
      <x:c r="L1160" s="17" t="n">
        <x:f>SUM(SUMIFS('Costing'!$P$9:$P$492,'Costing'!$A$9:$A$492,"MAIN-169"))</x:f>
        <x:v>300000</x:v>
      </x:c>
      <x:c r="M1160" s="17" t="n">
        <x:f>ROUND(L1160*'Costing'!$C$4,2)</x:f>
        <x:v>54000</x:v>
      </x:c>
      <x:c r="N1160" s="17" t="n">
        <x:f>L1160+M1160</x:f>
        <x:v>354000</x:v>
      </x:c>
      <x:c r="O1160" s="12" t="str">
        <x:v>Delhi NCR</x:v>
      </x:c>
      <x:c r="P1160" s="12" t="str">
        <x:v>CORP-0165</x:v>
      </x:c>
      <x:c r="Q1160" s="12" t="str">
        <x:v>IBA InfoTech Pvt. Ltd</x:v>
      </x:c>
    </x:row>
    <x:row r="1161" ht="48" customHeight="1">
      <x:c r="A1161" s="2" t="str">
        <x:v>TEN-4E97CF101F1F</x:v>
      </x:c>
      <x:c r="B1161" s="12" t="str">
        <x:v>IBERIA SKIN BRANDS INDIA PVT. LTD</x:v>
      </x:c>
      <x:c r="C1161" s="12" t="str">
        <x:v>Business / brand</x:v>
      </x:c>
      <x:c r="D1161" s="12" t="str">
        <x:v>Healthcare &amp; life sciences</x:v>
      </x:c>
      <x:c r="E1161" s="12" t="str">
        <x:v>Clinical, pharmaceutical &amp; health services</x:v>
      </x:c>
      <x:c r="F1161" s="12" t="str">
        <x:v>Medium-scale prospects</x:v>
      </x:c>
      <x:c r="G1161" s="12" t="str">
        <x:v>Specialist life-sciences business; medium-scale prospect assumption.</x:v>
      </x:c>
      <x:c r="H1161" s="11" t="n">
        <x:v>1</x:v>
      </x:c>
      <x:c r="I1161" s="11" t="n">
        <x:v>3</x:v>
      </x:c>
      <x:c r="J1161" s="11" t="n">
        <x:v>3</x:v>
      </x:c>
      <x:c r="K1161" s="11" t="n">
        <x:v>0</x:v>
      </x:c>
      <x:c r="L1161" s="17" t="n">
        <x:f>SUM(SUMIFS('Costing'!$P$9:$P$492,'Costing'!$A$9:$A$492,"MAIN-206"))</x:f>
        <x:v>120000</x:v>
      </x:c>
      <x:c r="M1161" s="17" t="n">
        <x:f>ROUND(L1161*'Costing'!$C$4,2)</x:f>
        <x:v>21600</x:v>
      </x:c>
      <x:c r="N1161" s="17" t="n">
        <x:f>L1161+M1161</x:f>
        <x:v>141600</x:v>
      </x:c>
      <x:c r="O1161" s="12" t="str">
        <x:v>Delhi NCR</x:v>
      </x:c>
      <x:c r="P1161" s="12" t="str">
        <x:v>CORP-0202</x:v>
      </x:c>
      <x:c r="Q1161" s="12" t="str">
        <x:v>IBERIA SKIN BRANDS INDIA PVT. LTD</x:v>
      </x:c>
    </x:row>
    <x:row r="1162" ht="49" customHeight="1">
      <x:c r="A1162" s="2" t="str">
        <x:v>TEN-916A98F0FA2A</x:v>
      </x:c>
      <x:c r="B1162" s="12" t="str">
        <x:v>IBM</x:v>
      </x:c>
      <x:c r="C1162" s="12" t="str">
        <x:v>Business / brand</x:v>
      </x:c>
      <x:c r="D1162" s="12" t="str">
        <x:v>IT &amp; digital</x:v>
      </x:c>
      <x:c r="E1162" s="12" t="str">
        <x:v>Technology services — specialty unverified</x:v>
      </x:c>
      <x:c r="F1162" s="12" t="str">
        <x:v>Large enterprise</x:v>
      </x:c>
      <x:c r="G1162" s="12" t="str">
        <x:v>Official global technology and consulting company profile supports enterprise-group context.</x:v>
      </x:c>
      <x:c r="H1162" s="11" t="n">
        <x:v>16</x:v>
      </x:c>
      <x:c r="I1162" s="11" t="n">
        <x:v>47</x:v>
      </x:c>
      <x:c r="J1162" s="11" t="n">
        <x:v>47</x:v>
      </x:c>
      <x:c r="K1162" s="11" t="n">
        <x:v>0</x:v>
      </x:c>
      <x:c r="L1162" s="17" t="n">
        <x:f>SUM(SUMIFS('Costing'!$P$9:$P$492,'Costing'!$A$9:$A$492,"MAIN-253"),SUMIFS('Costing'!$P$9:$P$492,'Costing'!$A$9:$A$492,"MAIN-337"),SUMIFS('Costing'!$P$9:$P$492,'Costing'!$A$9:$A$492,"PARTNER-M002"),SUMIFS('Costing'!$P$9:$P$492,'Costing'!$A$9:$A$492,"PARTNER-M342"))</x:f>
        <x:v>1790000</x:v>
      </x:c>
      <x:c r="M1162" s="17" t="n">
        <x:f>ROUND(L1162*'Costing'!$C$4,2)</x:f>
        <x:v>322200</x:v>
      </x:c>
      <x:c r="N1162" s="17" t="n">
        <x:f>L1162+M1162</x:f>
        <x:v>2112200</x:v>
      </x:c>
      <x:c r="O1162" s="12" t="str">
        <x:v>Hyderabad, Mumbai, Bengaluru, Chennai</x:v>
      </x:c>
      <x:c r="P1162" s="12" t="str">
        <x:v>CORP-0249, CORP-0333, CORP-0420, CORP-0421, CORP-0422, CORP-0423, CORP-0424, CORP-0425, CORP-0426, CORP-0427, CORP-0428, CORP-0756, CORP-0757, CORP-0758, CORP-0759, CORP-0760</x:v>
      </x:c>
      <x:c r="Q1162" s="12" t="str">
        <x:v>IBM</x:v>
      </x:c>
    </x:row>
    <x:row r="1163" ht="48" customHeight="1">
      <x:c r="A1163" s="2" t="str">
        <x:v>TEN-D3D424C3C181</x:v>
      </x:c>
      <x:c r="B1163" s="12" t="str">
        <x:v>IBM India Pvt. Ltd</x:v>
      </x:c>
      <x:c r="C1163" s="12" t="str">
        <x:v>Business / brand</x:v>
      </x:c>
      <x:c r="D1163" s="12" t="str">
        <x:v>IT &amp; digital</x:v>
      </x:c>
      <x:c r="E1163" s="12" t="str">
        <x:v>Enterprise software &amp; digital engineering</x:v>
      </x:c>
      <x:c r="F1163" s="12" t="str">
        <x:v>Large enterprise</x:v>
      </x:c>
      <x:c r="G1163" s="12" t="str">
        <x:v>Official global technology and consulting company profile supports enterprise-group context.</x:v>
      </x:c>
      <x:c r="H1163" s="11" t="n">
        <x:v>6</x:v>
      </x:c>
      <x:c r="I1163" s="11" t="n">
        <x:v>6</x:v>
      </x:c>
      <x:c r="J1163" s="11" t="n">
        <x:v>6</x:v>
      </x:c>
      <x:c r="K1163" s="11" t="n">
        <x:v>0</x:v>
      </x:c>
      <x:c r="L1163" s="17" t="n">
        <x:f>SUM(SUMIFS('Costing'!$P$9:$P$492,'Costing'!$A$9:$A$492,"MAIN-263"),SUMIFS('Costing'!$P$9:$P$492,'Costing'!$A$9:$A$492,"PARTNER-M051"))</x:f>
        <x:v>225000</x:v>
      </x:c>
      <x:c r="M1163" s="17" t="n">
        <x:f>ROUND(L1163*'Costing'!$C$4,2)</x:f>
        <x:v>40500</x:v>
      </x:c>
      <x:c r="N1163" s="17" t="n">
        <x:f>L1163+M1163</x:f>
        <x:v>265500</x:v>
      </x:c>
      <x:c r="O1163" s="12" t="str">
        <x:v>Hyderabad, Bengaluru</x:v>
      </x:c>
      <x:c r="P1163" s="12" t="str">
        <x:v>CORP-0259, CORP-0469, CORP-0470, CORP-0471, CORP-0472, CORP-0473</x:v>
      </x:c>
      <x:c r="Q1163" s="12" t="str">
        <x:v>IBM India Pvt. Ltd</x:v>
      </x:c>
    </x:row>
    <x:row r="1164" ht="48" customHeight="1">
      <x:c r="A1164" s="2" t="str">
        <x:v>TEN-735468BC79FE</x:v>
      </x:c>
      <x:c r="B1164" s="12" t="str">
        <x:v>IBOB SCS - SF INTERNATIONAL</x:v>
      </x:c>
      <x:c r="C1164" s="12" t="str">
        <x:v>Business / brand</x:v>
      </x:c>
      <x:c r="D1164" s="12" t="str">
        <x:v>Trade, consumer &amp; logistics</x:v>
      </x:c>
      <x:c r="E1164" s="12" t="str">
        <x:v>Logistics, shipping &amp; transport</x:v>
      </x:c>
      <x:c r="F1164" s="12" t="str">
        <x:v>Mixed business audience</x:v>
      </x:c>
      <x:c r="G1164" s="12" t="str">
        <x:v>Established brand or business network; local company scale is not established. Use a mixed-business message.</x:v>
      </x:c>
      <x:c r="H1164" s="11" t="n">
        <x:v>2</x:v>
      </x:c>
      <x:c r="I1164" s="11" t="n">
        <x:v>6</x:v>
      </x:c>
      <x:c r="J1164" s="11" t="n">
        <x:v>6</x:v>
      </x:c>
      <x:c r="K1164" s="11" t="n">
        <x:v>0</x:v>
      </x:c>
      <x:c r="L1164" s="17" t="n">
        <x:f>SUM(SUMIFS('Costing'!$P$9:$P$492,'Costing'!$A$9:$A$492,"MAIN-153"),SUMIFS('Costing'!$P$9:$P$492,'Costing'!$A$9:$A$492,"MAIN-154"))</x:f>
        <x:v>120000</x:v>
      </x:c>
      <x:c r="M1164" s="17" t="n">
        <x:f>ROUND(L1164*'Costing'!$C$4,2)</x:f>
        <x:v>21600</x:v>
      </x:c>
      <x:c r="N1164" s="17" t="n">
        <x:f>L1164+M1164</x:f>
        <x:v>141600</x:v>
      </x:c>
      <x:c r="O1164" s="12" t="str">
        <x:v>Chennai</x:v>
      </x:c>
      <x:c r="P1164" s="12" t="str">
        <x:v>CORP-0149, CORP-0150</x:v>
      </x:c>
      <x:c r="Q1164" s="12" t="str">
        <x:v>IBOB SCS - SF INTERNATIONAL</x:v>
      </x:c>
    </x:row>
    <x:row r="1165" ht="48" customHeight="1">
      <x:c r="A1165" s="2" t="str">
        <x:v>TEN-F975ADEAF864</x:v>
      </x:c>
      <x:c r="B1165" s="12" t="str">
        <x:v>IBS Software</x:v>
      </x:c>
      <x:c r="C1165" s="12" t="str">
        <x:v>Business / brand</x:v>
      </x:c>
      <x:c r="D1165" s="12" t="str">
        <x:v>IT &amp; digital</x:v>
      </x:c>
      <x:c r="E1165" s="12" t="str">
        <x:v>Enterprise software &amp; digital engineering</x:v>
      </x:c>
      <x:c r="F1165" s="12" t="str">
        <x:v>Mixed business audience</x:v>
      </x:c>
      <x:c r="G1165" s="12" t="str">
        <x:v>Established brand or business network; local company scale is not established. Use a mixed-business message.</x:v>
      </x:c>
      <x:c r="H1165" s="11" t="n">
        <x:v>1</x:v>
      </x:c>
      <x:c r="I1165" s="11" t="n">
        <x:v>1</x:v>
      </x:c>
      <x:c r="J1165" s="11" t="n">
        <x:v>1</x:v>
      </x:c>
      <x:c r="K1165" s="11" t="n">
        <x:v>0</x:v>
      </x:c>
      <x:c r="L1165" s="17" t="n">
        <x:f>SUM(SUMIFS('Costing'!$P$9:$P$492,'Costing'!$A$9:$A$492,"MAIN-160"))</x:f>
        <x:v>15000</x:v>
      </x:c>
      <x:c r="M1165" s="17" t="n">
        <x:f>ROUND(L1165*'Costing'!$C$4,2)</x:f>
        <x:v>2700</x:v>
      </x:c>
      <x:c r="N1165" s="17" t="n">
        <x:f>L1165+M1165</x:f>
        <x:v>17700</x:v>
      </x:c>
      <x:c r="O1165" s="12" t="str">
        <x:v>Chennai</x:v>
      </x:c>
      <x:c r="P1165" s="12" t="str">
        <x:v>CORP-0156</x:v>
      </x:c>
      <x:c r="Q1165" s="12" t="str">
        <x:v>IBS Software</x:v>
      </x:c>
    </x:row>
    <x:row r="1166" ht="48" customHeight="1">
      <x:c r="A1166" s="2" t="str">
        <x:v>TEN-8BD2EBE42538</x:v>
      </x:c>
      <x:c r="B1166" s="12" t="str">
        <x:v>IBS software Private Limited</x:v>
      </x:c>
      <x:c r="C1166" s="12" t="str">
        <x:v>Business / brand</x:v>
      </x:c>
      <x:c r="D1166" s="12" t="str">
        <x:v>IT &amp; digital</x:v>
      </x:c>
      <x:c r="E1166" s="12" t="str">
        <x:v>Enterprise software &amp; digital engineering</x:v>
      </x:c>
      <x:c r="F1166" s="12" t="str">
        <x:v>Mixed business audience</x:v>
      </x:c>
      <x:c r="G1166" s="12" t="str">
        <x:v>Established brand or business network; local company scale is not established. Use a mixed-business message.</x:v>
      </x:c>
      <x:c r="H1166" s="11" t="n">
        <x:v>1</x:v>
      </x:c>
      <x:c r="I1166" s="11" t="n">
        <x:v>2</x:v>
      </x:c>
      <x:c r="J1166" s="11" t="n">
        <x:v>2</x:v>
      </x:c>
      <x:c r="K1166" s="11" t="n">
        <x:v>0</x:v>
      </x:c>
      <x:c r="L1166" s="17" t="n">
        <x:f>SUM(SUMIFS('Costing'!$P$9:$P$492,'Costing'!$A$9:$A$492,"MAIN-150"))</x:f>
        <x:v>40000</x:v>
      </x:c>
      <x:c r="M1166" s="17" t="n">
        <x:f>ROUND(L1166*'Costing'!$C$4,2)</x:f>
        <x:v>7200</x:v>
      </x:c>
      <x:c r="N1166" s="17" t="n">
        <x:f>L1166+M1166</x:f>
        <x:v>47200</x:v>
      </x:c>
      <x:c r="O1166" s="12" t="str">
        <x:v>Chennai</x:v>
      </x:c>
      <x:c r="P1166" s="12" t="str">
        <x:v>CORP-0146</x:v>
      </x:c>
      <x:c r="Q1166" s="12" t="str">
        <x:v>IBS software Private Limited</x:v>
      </x:c>
    </x:row>
    <x:row r="1167" ht="48" customHeight="1">
      <x:c r="A1167" s="2" t="str">
        <x:v>TEN-82F0EBFD4F57</x:v>
      </x:c>
      <x:c r="B1167" s="12" t="str">
        <x:v>ICBC</x:v>
      </x:c>
      <x:c r="C1167" s="12" t="str">
        <x:v>Business / brand</x:v>
      </x:c>
      <x:c r="D1167" s="12" t="str">
        <x:v>Finance &amp; insurance</x:v>
      </x:c>
      <x:c r="E1167" s="12" t="str">
        <x:v>Financial services — specialty unverified</x:v>
      </x:c>
      <x:c r="F1167" s="12" t="str">
        <x:v>Mixed business audience</x:v>
      </x:c>
      <x:c r="G1167" s="12" t="str">
        <x:v>Recognisable business context; company-scale evidence remains insufficient for a single size band.</x:v>
      </x:c>
      <x:c r="H1167" s="11" t="n">
        <x:v>1</x:v>
      </x:c>
      <x:c r="I1167" s="11" t="n">
        <x:v>2</x:v>
      </x:c>
      <x:c r="J1167" s="11" t="n">
        <x:v>2</x:v>
      </x:c>
      <x:c r="K1167" s="11" t="n">
        <x:v>0</x:v>
      </x:c>
      <x:c r="L1167" s="17" t="n">
        <x:f>SUM(SUMIFS('Costing'!$P$9:$P$492,'Costing'!$A$9:$A$492,"MAIN-325"))</x:f>
        <x:v>80000</x:v>
      </x:c>
      <x:c r="M1167" s="17" t="n">
        <x:f>ROUND(L1167*'Costing'!$C$4,2)</x:f>
        <x:v>14400</x:v>
      </x:c>
      <x:c r="N1167" s="17" t="n">
        <x:f>L1167+M1167</x:f>
        <x:v>94400</x:v>
      </x:c>
      <x:c r="O1167" s="12" t="str">
        <x:v>Mumbai</x:v>
      </x:c>
      <x:c r="P1167" s="12" t="str">
        <x:v>CORP-0321</x:v>
      </x:c>
      <x:c r="Q1167" s="12" t="str">
        <x:v>ICBC</x:v>
      </x:c>
    </x:row>
    <x:row r="1168" ht="49" customHeight="1">
      <x:c r="A1168" s="2" t="str">
        <x:v>TEN-BEE4F75D30E5</x:v>
      </x:c>
      <x:c r="B1168" s="12" t="str">
        <x:v>ICICI Bank</x:v>
      </x:c>
      <x:c r="C1168" s="12" t="str">
        <x:v>Business / brand</x:v>
      </x:c>
      <x:c r="D1168" s="12" t="str">
        <x:v>Finance &amp; insurance</x:v>
      </x:c>
      <x:c r="E1168" s="12" t="str">
        <x:v>Banking &amp; credit</x:v>
      </x:c>
      <x:c r="F1168" s="12" t="str">
        <x:v>Large enterprise</x:v>
      </x:c>
      <x:c r="G1168" s="12" t="str">
        <x:v>Explicit ICICI enterprise-family context; see ENTERPRISE_SUPP_010 evidence.</x:v>
      </x:c>
      <x:c r="H1168" s="11" t="n">
        <x:v>11</x:v>
      </x:c>
      <x:c r="I1168" s="11" t="n">
        <x:v>11</x:v>
      </x:c>
      <x:c r="J1168" s="11" t="n">
        <x:v>11</x:v>
      </x:c>
      <x:c r="K1168" s="11" t="n">
        <x:v>0</x:v>
      </x:c>
      <x:c r="L1168" s="17" t="n">
        <x:f>SUM(SUMIFS('Costing'!$P$9:$P$492,'Costing'!$A$9:$A$492,"PARTNER-M027"),SUMIFS('Costing'!$P$9:$P$492,'Costing'!$A$9:$A$492,"PARTNER-M247"))</x:f>
        <x:v>440000</x:v>
      </x:c>
      <x:c r="M1168" s="17" t="n">
        <x:f>ROUND(L1168*'Costing'!$C$4,2)</x:f>
        <x:v>79200</x:v>
      </x:c>
      <x:c r="N1168" s="17" t="n">
        <x:f>L1168+M1168</x:f>
        <x:v>519200</x:v>
      </x:c>
      <x:c r="O1168" s="12" t="str">
        <x:v>Bengaluru, Mumbai</x:v>
      </x:c>
      <x:c r="P1168" s="12" t="str">
        <x:v>CORP-0445, CORP-0446, CORP-0447, CORP-0448, CORP-0449, CORP-0450, CORP-0451, CORP-0664, CORP-0665, CORP-0666, CORP-0667</x:v>
      </x:c>
      <x:c r="Q1168" s="12" t="str">
        <x:v>ICICI Bank</x:v>
      </x:c>
    </x:row>
    <x:row r="1169" ht="48" customHeight="1">
      <x:c r="A1169" s="2" t="str">
        <x:v>TEN-57408D93A706</x:v>
      </x:c>
      <x:c r="B1169" s="12" t="str">
        <x:v>ICICI Bank Ltd</x:v>
      </x:c>
      <x:c r="C1169" s="12" t="str">
        <x:v>Business / brand</x:v>
      </x:c>
      <x:c r="D1169" s="12" t="str">
        <x:v>Finance &amp; insurance</x:v>
      </x:c>
      <x:c r="E1169" s="12" t="str">
        <x:v>Banking &amp; credit</x:v>
      </x:c>
      <x:c r="F1169" s="12" t="str">
        <x:v>Large enterprise</x:v>
      </x:c>
      <x:c r="G1169" s="12" t="str">
        <x:v>Explicit ICICI enterprise-family context; see ENTERPRISE_SUPP_010 evidence.</x:v>
      </x:c>
      <x:c r="H1169" s="11" t="n">
        <x:v>1</x:v>
      </x:c>
      <x:c r="I1169" s="11" t="n">
        <x:v>2</x:v>
      </x:c>
      <x:c r="J1169" s="11" t="n">
        <x:v>2</x:v>
      </x:c>
      <x:c r="K1169" s="11" t="n">
        <x:v>0</x:v>
      </x:c>
      <x:c r="L1169" s="17" t="n">
        <x:f>SUM(SUMIFS('Costing'!$P$9:$P$492,'Costing'!$A$9:$A$492,"MAIN-081"))</x:f>
        <x:v>30000</x:v>
      </x:c>
      <x:c r="M1169" s="17" t="n">
        <x:f>ROUND(L1169*'Costing'!$C$4,2)</x:f>
        <x:v>5400</x:v>
      </x:c>
      <x:c r="N1169" s="17" t="n">
        <x:f>L1169+M1169</x:f>
        <x:v>35400</x:v>
      </x:c>
      <x:c r="O1169" s="12" t="str">
        <x:v>Bengaluru</x:v>
      </x:c>
      <x:c r="P1169" s="12" t="str">
        <x:v>CORP-0077</x:v>
      </x:c>
      <x:c r="Q1169" s="12" t="str">
        <x:v>ICICI Bank Ltd</x:v>
      </x:c>
    </x:row>
    <x:row r="1170" ht="48" customHeight="1">
      <x:c r="A1170" s="2" t="str">
        <x:v>TEN-597730F8975C</x:v>
      </x:c>
      <x:c r="B1170" s="12" t="str">
        <x:v>ICICI Lombard</x:v>
      </x:c>
      <x:c r="C1170" s="12" t="str">
        <x:v>Business / brand</x:v>
      </x:c>
      <x:c r="D1170" s="12" t="str">
        <x:v>Finance &amp; insurance</x:v>
      </x:c>
      <x:c r="E1170" s="12" t="str">
        <x:v>Insurance &amp; insurance services</x:v>
      </x:c>
      <x:c r="F1170" s="12" t="str">
        <x:v>Large enterprise</x:v>
      </x:c>
      <x:c r="G1170" s="12" t="str">
        <x:v>Explicit ICICI enterprise-family context; see ENTERPRISE_SUPP_010 evidence.</x:v>
      </x:c>
      <x:c r="H1170" s="11" t="n">
        <x:v>1</x:v>
      </x:c>
      <x:c r="I1170" s="11" t="n">
        <x:v>5</x:v>
      </x:c>
      <x:c r="J1170" s="11" t="n">
        <x:v>5</x:v>
      </x:c>
      <x:c r="K1170" s="11" t="n">
        <x:v>0</x:v>
      </x:c>
      <x:c r="L1170" s="17" t="n">
        <x:f>SUM(SUMIFS('Costing'!$P$9:$P$492,'Costing'!$A$9:$A$492,"MAIN-167"))</x:f>
        <x:v>200000</x:v>
      </x:c>
      <x:c r="M1170" s="17" t="n">
        <x:f>ROUND(L1170*'Costing'!$C$4,2)</x:f>
        <x:v>36000</x:v>
      </x:c>
      <x:c r="N1170" s="17" t="n">
        <x:f>L1170+M1170</x:f>
        <x:v>236000</x:v>
      </x:c>
      <x:c r="O1170" s="12" t="str">
        <x:v>Delhi NCR</x:v>
      </x:c>
      <x:c r="P1170" s="12" t="str">
        <x:v>CORP-0163</x:v>
      </x:c>
      <x:c r="Q1170" s="12" t="str">
        <x:v>ICICI Lombard</x:v>
      </x:c>
    </x:row>
    <x:row r="1171" ht="48" customHeight="1">
      <x:c r="A1171" s="2" t="str">
        <x:v>TEN-C2D4B446A44C</x:v>
      </x:c>
      <x:c r="B1171" s="12" t="str">
        <x:v>ICON</x:v>
      </x:c>
      <x:c r="C1171" s="12" t="str">
        <x:v>Business / brand</x:v>
      </x:c>
      <x:c r="D1171" s="12" t="str">
        <x:v>Unresolved</x:v>
      </x:c>
      <x:c r="E1171" s="12" t="str">
        <x:v>Business activity not established</x:v>
      </x:c>
      <x:c r="F1171" s="12" t="str">
        <x:v>Mixed business audience</x:v>
      </x:c>
      <x:c r="G1171" s="12" t="str">
        <x:v>Business activity and company scale are not established from this name.</x:v>
      </x:c>
      <x:c r="H1171" s="11" t="n">
        <x:v>1</x:v>
      </x:c>
      <x:c r="I1171" s="11" t="n">
        <x:v>1</x:v>
      </x:c>
      <x:c r="J1171" s="11" t="n">
        <x:v>1</x:v>
      </x:c>
      <x:c r="K1171" s="11" t="n">
        <x:v>0</x:v>
      </x:c>
      <x:c r="L1171" s="17" t="n">
        <x:f>SUM(SUMIFS('Costing'!$P$9:$P$492,'Costing'!$A$9:$A$492,"MAIN-015"))</x:f>
        <x:v>15000</x:v>
      </x:c>
      <x:c r="M1171" s="17" t="n">
        <x:f>ROUND(L1171*'Costing'!$C$4,2)</x:f>
        <x:v>2700</x:v>
      </x:c>
      <x:c r="N1171" s="17" t="n">
        <x:f>L1171+M1171</x:f>
        <x:v>17700</x:v>
      </x:c>
      <x:c r="O1171" s="12" t="str">
        <x:v>Bengaluru</x:v>
      </x:c>
      <x:c r="P1171" s="12" t="str">
        <x:v>CORP-0011</x:v>
      </x:c>
      <x:c r="Q1171" s="12" t="str">
        <x:v>ICON</x:v>
      </x:c>
    </x:row>
    <x:row r="1172" ht="49" customHeight="1">
      <x:c r="A1172" s="2" t="str">
        <x:v>TEN-08E64C0D11C6</x:v>
      </x:c>
      <x:c r="B1172" s="12" t="str">
        <x:v>Icon Clinical Research</x:v>
      </x:c>
      <x:c r="C1172" s="12" t="str">
        <x:v>Business / brand</x:v>
      </x:c>
      <x:c r="D1172" s="12" t="str">
        <x:v>Healthcare &amp; life sciences</x:v>
      </x:c>
      <x:c r="E1172" s="12" t="str">
        <x:v>Clinical, medical &amp; diagnostic services</x:v>
      </x:c>
      <x:c r="F1172" s="12" t="str">
        <x:v>Mixed business audience</x:v>
      </x:c>
      <x:c r="G1172" s="12" t="str">
        <x:v>Recognisable business context; company-scale evidence remains insufficient for a single size band.</x:v>
      </x:c>
      <x:c r="H1172" s="11" t="n">
        <x:v>11</x:v>
      </x:c>
      <x:c r="I1172" s="11" t="n">
        <x:v>11</x:v>
      </x:c>
      <x:c r="J1172" s="11" t="n">
        <x:v>11</x:v>
      </x:c>
      <x:c r="K1172" s="11" t="n">
        <x:v>0</x:v>
      </x:c>
      <x:c r="L1172" s="17" t="n">
        <x:f>SUM(SUMIFS('Costing'!$P$9:$P$492,'Costing'!$A$9:$A$492,"PARTNER-M082"))</x:f>
        <x:v>440000</x:v>
      </x:c>
      <x:c r="M1172" s="17" t="n">
        <x:f>ROUND(L1172*'Costing'!$C$4,2)</x:f>
        <x:v>79200</x:v>
      </x:c>
      <x:c r="N1172" s="17" t="n">
        <x:f>L1172+M1172</x:f>
        <x:v>519200</x:v>
      </x:c>
      <x:c r="O1172" s="12" t="str">
        <x:v>Bengaluru</x:v>
      </x:c>
      <x:c r="P1172" s="12" t="str">
        <x:v>CORP-0500, CORP-0501, CORP-0502, CORP-0503, CORP-0504, CORP-0505, CORP-0506, CORP-0507, CORP-0508, CORP-0509, CORP-0510</x:v>
      </x:c>
      <x:c r="Q1172" s="12" t="str">
        <x:v>Icon Clinical Research</x:v>
      </x:c>
    </x:row>
    <x:row r="1173" ht="48" customHeight="1">
      <x:c r="A1173" s="2" t="str">
        <x:v>TEN-BC193D0D7F42</x:v>
      </x:c>
      <x:c r="B1173" s="12" t="str">
        <x:v>Iconic Family saloon</x:v>
      </x:c>
      <x:c r="C1173" s="12" t="str">
        <x:v>Business / brand</x:v>
      </x:c>
      <x:c r="D1173" s="12" t="str">
        <x:v>Trade, consumer &amp; logistics</x:v>
      </x:c>
      <x:c r="E1173" s="12" t="str">
        <x:v>Retail, consumer products &amp; ecommerce</x:v>
      </x:c>
      <x:c r="F1173" s="12" t="str">
        <x:v>Small-scale prospects</x:v>
      </x:c>
      <x:c r="G1173" s="12" t="str">
        <x:v>Trading or consumer-services business; small-scale prospect assumption.</x:v>
      </x:c>
      <x:c r="H1173" s="11" t="n">
        <x:v>1</x:v>
      </x:c>
      <x:c r="I1173" s="11" t="n">
        <x:v>39</x:v>
      </x:c>
      <x:c r="J1173" s="11" t="n">
        <x:v>39</x:v>
      </x:c>
      <x:c r="K1173" s="11" t="n">
        <x:v>0</x:v>
      </x:c>
      <x:c r="L1173" s="17" t="n">
        <x:f>SUM(SUMIFS('Costing'!$P$9:$P$492,'Costing'!$A$9:$A$492,"MAIN-294"))</x:f>
        <x:v>585000</x:v>
      </x:c>
      <x:c r="M1173" s="17" t="n">
        <x:f>ROUND(L1173*'Costing'!$C$4,2)</x:f>
        <x:v>105300</x:v>
      </x:c>
      <x:c r="N1173" s="17" t="n">
        <x:f>L1173+M1173</x:f>
        <x:v>690300</x:v>
      </x:c>
      <x:c r="O1173" s="12" t="str">
        <x:v>Mumbai</x:v>
      </x:c>
      <x:c r="P1173" s="12" t="str">
        <x:v>CORP-0290</x:v>
      </x:c>
      <x:c r="Q1173" s="12" t="str">
        <x:v>Iconic Family saloon</x:v>
      </x:c>
    </x:row>
    <x:row r="1174" ht="48" customHeight="1">
      <x:c r="A1174" s="2" t="str">
        <x:v>TEN-F1CCD67C8E7F</x:v>
      </x:c>
      <x:c r="B1174" s="12" t="str">
        <x:v>IcruxSystem Pvt. Ltd</x:v>
      </x:c>
      <x:c r="C1174" s="12" t="str">
        <x:v>Business / brand</x:v>
      </x:c>
      <x:c r="D1174" s="12" t="str">
        <x:v>Unresolved</x:v>
      </x:c>
      <x:c r="E1174" s="12" t="str">
        <x:v>Business activity not established</x:v>
      </x:c>
      <x:c r="F1174" s="12" t="str">
        <x:v>Mixed business audience</x:v>
      </x:c>
      <x:c r="G1174" s="12" t="str">
        <x:v>Business activity and company scale are not established from this name.</x:v>
      </x:c>
      <x:c r="H1174" s="11" t="n">
        <x:v>10</x:v>
      </x:c>
      <x:c r="I1174" s="11" t="n">
        <x:v>10</x:v>
      </x:c>
      <x:c r="J1174" s="11" t="n">
        <x:v>10</x:v>
      </x:c>
      <x:c r="K1174" s="11" t="n">
        <x:v>0</x:v>
      </x:c>
      <x:c r="L1174" s="17" t="n">
        <x:f>SUM(SUMIFS('Costing'!$P$9:$P$492,'Costing'!$A$9:$A$492,"PARTNER-M205"))</x:f>
        <x:v>400000</x:v>
      </x:c>
      <x:c r="M1174" s="17" t="n">
        <x:f>ROUND(L1174*'Costing'!$C$4,2)</x:f>
        <x:v>72000</x:v>
      </x:c>
      <x:c r="N1174" s="17" t="n">
        <x:f>L1174+M1174</x:f>
        <x:v>472000</x:v>
      </x:c>
      <x:c r="O1174" s="12" t="str">
        <x:v>Mumbai</x:v>
      </x:c>
      <x:c r="P1174" s="12" t="str">
        <x:v>CORP-0622, CORP-0623, CORP-0624, CORP-0625, CORP-0626, CORP-0627, CORP-0628, CORP-0629, CORP-0630, CORP-0631</x:v>
      </x:c>
      <x:c r="Q1174" s="12" t="str">
        <x:v>IcruxSystem Pvt. Ltd</x:v>
      </x:c>
    </x:row>
    <x:row r="1175" ht="48" customHeight="1">
      <x:c r="A1175" s="2" t="str">
        <x:v>TEN-CCF988B40B7F</x:v>
      </x:c>
      <x:c r="B1175" s="12" t="str">
        <x:v>Idea Entity Tech Solutions</x:v>
      </x:c>
      <x:c r="C1175" s="12" t="str">
        <x:v>Business / brand</x:v>
      </x:c>
      <x:c r="D1175" s="12" t="str">
        <x:v>IT &amp; digital</x:v>
      </x:c>
      <x:c r="E1175" s="12" t="str">
        <x:v>Enterprise software &amp; digital engineering</x:v>
      </x:c>
      <x:c r="F1175" s="12" t="str">
        <x:v>Small-scale prospects</x:v>
      </x:c>
      <x:c r="G1175" s="12" t="str">
        <x:v>Software or technology-services business; small-scale prospect assumption.</x:v>
      </x:c>
      <x:c r="H1175" s="11" t="n">
        <x:v>8</x:v>
      </x:c>
      <x:c r="I1175" s="11" t="n">
        <x:v>8</x:v>
      </x:c>
      <x:c r="J1175" s="11" t="n">
        <x:v>8</x:v>
      </x:c>
      <x:c r="K1175" s="11" t="n">
        <x:v>0</x:v>
      </x:c>
      <x:c r="L1175" s="17" t="n">
        <x:f>SUM(SUMIFS('Costing'!$P$9:$P$492,'Costing'!$A$9:$A$492,"PARTNER-M300"))</x:f>
        <x:v>320000</x:v>
      </x:c>
      <x:c r="M1175" s="17" t="n">
        <x:f>ROUND(L1175*'Costing'!$C$4,2)</x:f>
        <x:v>57600</x:v>
      </x:c>
      <x:c r="N1175" s="17" t="n">
        <x:f>L1175+M1175</x:f>
        <x:v>377600</x:v>
      </x:c>
      <x:c r="O1175" s="12" t="str">
        <x:v>Hyderabad</x:v>
      </x:c>
      <x:c r="P1175" s="12" t="str">
        <x:v>CORP-0715, CORP-0716, CORP-0717, CORP-0718, CORP-0719, CORP-0720, CORP-0721, CORP-0722</x:v>
      </x:c>
      <x:c r="Q1175" s="12" t="str">
        <x:v>Idea Entity Tech Solutions</x:v>
      </x:c>
    </x:row>
    <x:row r="1176" ht="48" customHeight="1">
      <x:c r="A1176" s="2" t="str">
        <x:v>TEN-1F2DC6C58E3F</x:v>
      </x:c>
      <x:c r="B1176" s="12" t="str">
        <x:v>Ideeya Technologies</x:v>
      </x:c>
      <x:c r="C1176" s="12" t="str">
        <x:v>Business / brand</x:v>
      </x:c>
      <x:c r="D1176" s="12" t="str">
        <x:v>Unresolved</x:v>
      </x:c>
      <x:c r="E1176" s="12" t="str">
        <x:v>Business activity not established</x:v>
      </x:c>
      <x:c r="F1176" s="12" t="str">
        <x:v>Mixed business audience</x:v>
      </x:c>
      <x:c r="G1176" s="12" t="str">
        <x:v>Business activity and company scale are not established from this name.</x:v>
      </x:c>
      <x:c r="H1176" s="11" t="n">
        <x:v>1</x:v>
      </x:c>
      <x:c r="I1176" s="11" t="n">
        <x:v>3</x:v>
      </x:c>
      <x:c r="J1176" s="11" t="n">
        <x:v>3</x:v>
      </x:c>
      <x:c r="K1176" s="11" t="n">
        <x:v>0</x:v>
      </x:c>
      <x:c r="L1176" s="17" t="n">
        <x:f>SUM(SUMIFS('Costing'!$P$9:$P$492,'Costing'!$A$9:$A$492,"MAIN-359"))</x:f>
        <x:v>75000</x:v>
      </x:c>
      <x:c r="M1176" s="17" t="n">
        <x:f>ROUND(L1176*'Costing'!$C$4,2)</x:f>
        <x:v>13500</x:v>
      </x:c>
      <x:c r="N1176" s="17" t="n">
        <x:f>L1176+M1176</x:f>
        <x:v>88500</x:v>
      </x:c>
      <x:c r="O1176" s="12" t="str">
        <x:v>Mumbai</x:v>
      </x:c>
      <x:c r="P1176" s="12" t="str">
        <x:v>CORP-0355</x:v>
      </x:c>
      <x:c r="Q1176" s="12" t="str">
        <x:v>Ideeya Technologies</x:v>
      </x:c>
    </x:row>
    <x:row r="1177" ht="48" customHeight="1">
      <x:c r="A1177" s="2" t="str">
        <x:v>TEN-AA432FAD821D</x:v>
      </x:c>
      <x:c r="B1177" s="12" t="str">
        <x:v>IDFC</x:v>
      </x:c>
      <x:c r="C1177" s="12" t="str">
        <x:v>Business / brand</x:v>
      </x:c>
      <x:c r="D1177" s="12" t="str">
        <x:v>Finance &amp; insurance</x:v>
      </x:c>
      <x:c r="E1177" s="12" t="str">
        <x:v>Banking, credit &amp; financial services</x:v>
      </x:c>
      <x:c r="F1177" s="12" t="str">
        <x:v>Mixed business audience</x:v>
      </x:c>
      <x:c r="G1177" s="12" t="str">
        <x:v>Recognisable business context; company-scale evidence remains insufficient for a single size band.</x:v>
      </x:c>
      <x:c r="H1177" s="11" t="n">
        <x:v>1</x:v>
      </x:c>
      <x:c r="I1177" s="11" t="n">
        <x:v>5</x:v>
      </x:c>
      <x:c r="J1177" s="11" t="n">
        <x:v>5</x:v>
      </x:c>
      <x:c r="K1177" s="11" t="n">
        <x:v>0</x:v>
      </x:c>
      <x:c r="L1177" s="17" t="n">
        <x:f>SUM(SUMIFS('Costing'!$P$9:$P$492,'Costing'!$A$9:$A$492,"MAIN-338"))</x:f>
        <x:v>200000</x:v>
      </x:c>
      <x:c r="M1177" s="17" t="n">
        <x:f>ROUND(L1177*'Costing'!$C$4,2)</x:f>
        <x:v>36000</x:v>
      </x:c>
      <x:c r="N1177" s="17" t="n">
        <x:f>L1177+M1177</x:f>
        <x:v>236000</x:v>
      </x:c>
      <x:c r="O1177" s="12" t="str">
        <x:v>Mumbai</x:v>
      </x:c>
      <x:c r="P1177" s="12" t="str">
        <x:v>CORP-0334</x:v>
      </x:c>
      <x:c r="Q1177" s="12" t="str">
        <x:v>IDFC</x:v>
      </x:c>
    </x:row>
    <x:row r="1178" ht="48" customHeight="1">
      <x:c r="A1178" s="2" t="str">
        <x:v>TEN-A9E3F127D53F</x:v>
      </x:c>
      <x:c r="B1178" s="12" t="str">
        <x:v>IDFC First Bank</x:v>
      </x:c>
      <x:c r="C1178" s="12" t="str">
        <x:v>Business / brand</x:v>
      </x:c>
      <x:c r="D1178" s="12" t="str">
        <x:v>Finance &amp; insurance</x:v>
      </x:c>
      <x:c r="E1178" s="12" t="str">
        <x:v>Banking &amp; credit</x:v>
      </x:c>
      <x:c r="F1178" s="12" t="str">
        <x:v>Large enterprise</x:v>
      </x:c>
      <x:c r="G1178" s="12" t="str">
        <x:v>Explicit IDFC FIRST Bank enterprise-family context; see ENTERPRISE_SUPP_016 evidence.</x:v>
      </x:c>
      <x:c r="H1178" s="11" t="n">
        <x:v>3</x:v>
      </x:c>
      <x:c r="I1178" s="11" t="n">
        <x:v>11</x:v>
      </x:c>
      <x:c r="J1178" s="11" t="n">
        <x:v>11</x:v>
      </x:c>
      <x:c r="K1178" s="11" t="n">
        <x:v>0</x:v>
      </x:c>
      <x:c r="L1178" s="17" t="n">
        <x:f>SUM(SUMIFS('Costing'!$P$9:$P$492,'Costing'!$A$9:$A$492,"MAIN-269"),SUMIFS('Costing'!$P$9:$P$492,'Costing'!$A$9:$A$492,"MAIN-271"),SUMIFS('Costing'!$P$9:$P$492,'Costing'!$A$9:$A$492,"MAIN-327"))</x:f>
        <x:v>400000</x:v>
      </x:c>
      <x:c r="M1178" s="17" t="n">
        <x:f>ROUND(L1178*'Costing'!$C$4,2)</x:f>
        <x:v>72000</x:v>
      </x:c>
      <x:c r="N1178" s="17" t="n">
        <x:f>L1178+M1178</x:f>
        <x:v>472000</x:v>
      </x:c>
      <x:c r="O1178" s="12" t="str">
        <x:v>Indore, Mumbai</x:v>
      </x:c>
      <x:c r="P1178" s="12" t="str">
        <x:v>CORP-0265, CORP-0267, CORP-0323</x:v>
      </x:c>
      <x:c r="Q1178" s="12" t="str">
        <x:v>IDFC First Bank, IDFC First bank</x:v>
      </x:c>
    </x:row>
    <x:row r="1179" ht="48" customHeight="1">
      <x:c r="A1179" s="2" t="str">
        <x:v>TEN-EA0570A92324</x:v>
      </x:c>
      <x:c r="B1179" s="12" t="str">
        <x:v>Idiotic Media</x:v>
      </x:c>
      <x:c r="C1179" s="12" t="str">
        <x:v>Business / brand</x:v>
      </x:c>
      <x:c r="D1179" s="12" t="str">
        <x:v>Trade, consumer &amp; logistics</x:v>
      </x:c>
      <x:c r="E1179" s="12" t="str">
        <x:v>Entertainment, media &amp; events</x:v>
      </x:c>
      <x:c r="F1179" s="12" t="str">
        <x:v>Small-scale prospects</x:v>
      </x:c>
      <x:c r="G1179" s="12" t="str">
        <x:v>Trading or consumer-services business; small-scale prospect assumption.</x:v>
      </x:c>
      <x:c r="H1179" s="11" t="n">
        <x:v>1</x:v>
      </x:c>
      <x:c r="I1179" s="11" t="n">
        <x:v>2</x:v>
      </x:c>
      <x:c r="J1179" s="11" t="n">
        <x:v>2</x:v>
      </x:c>
      <x:c r="K1179" s="11" t="n">
        <x:v>0</x:v>
      </x:c>
      <x:c r="L1179" s="17" t="n">
        <x:f>SUM(SUMIFS('Costing'!$P$9:$P$492,'Costing'!$A$9:$A$492,"MAIN-212"))</x:f>
        <x:v>30000</x:v>
      </x:c>
      <x:c r="M1179" s="17" t="n">
        <x:f>ROUND(L1179*'Costing'!$C$4,2)</x:f>
        <x:v>5400</x:v>
      </x:c>
      <x:c r="N1179" s="17" t="n">
        <x:f>L1179+M1179</x:f>
        <x:v>35400</x:v>
      </x:c>
      <x:c r="O1179" s="12" t="str">
        <x:v>Delhi NCR</x:v>
      </x:c>
      <x:c r="P1179" s="12" t="str">
        <x:v>CORP-0208</x:v>
      </x:c>
      <x:c r="Q1179" s="12" t="str">
        <x:v>Idiotic Media</x:v>
      </x:c>
    </x:row>
    <x:row r="1180" ht="48" customHeight="1">
      <x:c r="A1180" s="2" t="str">
        <x:v>TEN-5393AAF00CE1</x:v>
      </x:c>
      <x:c r="B1180" s="12" t="str">
        <x:v>Idolize</x:v>
      </x:c>
      <x:c r="C1180" s="12" t="str">
        <x:v>Business / brand</x:v>
      </x:c>
      <x:c r="D1180" s="12" t="str">
        <x:v>Unresolved</x:v>
      </x:c>
      <x:c r="E1180" s="12" t="str">
        <x:v>Business activity not established</x:v>
      </x:c>
      <x:c r="F1180" s="12" t="str">
        <x:v>Mixed business audience</x:v>
      </x:c>
      <x:c r="G1180" s="12" t="str">
        <x:v>Business activity and company scale are not established from this name.</x:v>
      </x:c>
      <x:c r="H1180" s="11" t="n">
        <x:v>1</x:v>
      </x:c>
      <x:c r="I1180" s="11" t="n">
        <x:v>2</x:v>
      </x:c>
      <x:c r="J1180" s="11" t="n">
        <x:v>2</x:v>
      </x:c>
      <x:c r="K1180" s="11" t="n">
        <x:v>0</x:v>
      </x:c>
      <x:c r="L1180" s="17" t="n">
        <x:f>SUM(SUMIFS('Costing'!$P$9:$P$492,'Costing'!$A$9:$A$492,"MAIN-298"))</x:f>
        <x:v>30000</x:v>
      </x:c>
      <x:c r="M1180" s="17" t="n">
        <x:f>ROUND(L1180*'Costing'!$C$4,2)</x:f>
        <x:v>5400</x:v>
      </x:c>
      <x:c r="N1180" s="17" t="n">
        <x:f>L1180+M1180</x:f>
        <x:v>35400</x:v>
      </x:c>
      <x:c r="O1180" s="12" t="str">
        <x:v>Mumbai</x:v>
      </x:c>
      <x:c r="P1180" s="12" t="str">
        <x:v>CORP-0294</x:v>
      </x:c>
      <x:c r="Q1180" s="12" t="str">
        <x:v>Idolize</x:v>
      </x:c>
    </x:row>
    <x:row r="1181" ht="48" customHeight="1">
      <x:c r="A1181" s="2" t="str">
        <x:v>TEN-4B0E7517D5F2</x:v>
      </x:c>
      <x:c r="B1181" s="12" t="str">
        <x:v>ienergizer IT Serviece Pvt.Ltd</x:v>
      </x:c>
      <x:c r="C1181" s="12" t="str">
        <x:v>Business / brand</x:v>
      </x:c>
      <x:c r="D1181" s="12" t="str">
        <x:v>IT &amp; digital</x:v>
      </x:c>
      <x:c r="E1181" s="12" t="str">
        <x:v>Enterprise software &amp; digital engineering</x:v>
      </x:c>
      <x:c r="F1181" s="12" t="str">
        <x:v>Mixed business audience</x:v>
      </x:c>
      <x:c r="G1181" s="12" t="str">
        <x:v>Established brand or business network; local company scale is not established. Use a mixed-business message.</x:v>
      </x:c>
      <x:c r="H1181" s="11" t="n">
        <x:v>1</x:v>
      </x:c>
      <x:c r="I1181" s="11" t="n">
        <x:v>6</x:v>
      </x:c>
      <x:c r="J1181" s="11" t="n">
        <x:v>6</x:v>
      </x:c>
      <x:c r="K1181" s="11" t="n">
        <x:v>0</x:v>
      </x:c>
      <x:c r="L1181" s="17" t="n">
        <x:f>SUM(SUMIFS('Costing'!$P$9:$P$492,'Costing'!$A$9:$A$492,"MAIN-027"))</x:f>
        <x:v>90000</x:v>
      </x:c>
      <x:c r="M1181" s="17" t="n">
        <x:f>ROUND(L1181*'Costing'!$C$4,2)</x:f>
        <x:v>16200</x:v>
      </x:c>
      <x:c r="N1181" s="17" t="n">
        <x:f>L1181+M1181</x:f>
        <x:v>106200</x:v>
      </x:c>
      <x:c r="O1181" s="12" t="str">
        <x:v>Bengaluru</x:v>
      </x:c>
      <x:c r="P1181" s="12" t="str">
        <x:v>CORP-0023</x:v>
      </x:c>
      <x:c r="Q1181" s="12" t="str">
        <x:v>ienergizer IT Serviece Pvt.Ltd</x:v>
      </x:c>
    </x:row>
    <x:row r="1182" ht="48" customHeight="1">
      <x:c r="A1182" s="2" t="str">
        <x:v>TEN-7374F6DDD227</x:v>
      </x:c>
      <x:c r="B1182" s="12" t="str">
        <x:v>IFC Ventures</x:v>
      </x:c>
      <x:c r="C1182" s="12" t="str">
        <x:v>Business / brand</x:v>
      </x:c>
      <x:c r="D1182" s="12" t="str">
        <x:v>Finance &amp; insurance</x:v>
      </x:c>
      <x:c r="E1182" s="12" t="str">
        <x:v>Banking, insurance, investments &amp; financial services</x:v>
      </x:c>
      <x:c r="F1182" s="12" t="str">
        <x:v>Medium-scale prospects</x:v>
      </x:c>
      <x:c r="G1182" s="12" t="str">
        <x:v>Specialist financial-services business; medium-scale prospect assumption.</x:v>
      </x:c>
      <x:c r="H1182" s="11" t="n">
        <x:v>3</x:v>
      </x:c>
      <x:c r="I1182" s="11" t="n">
        <x:v>3</x:v>
      </x:c>
      <x:c r="J1182" s="11" t="n">
        <x:v>3</x:v>
      </x:c>
      <x:c r="K1182" s="11" t="n">
        <x:v>0</x:v>
      </x:c>
      <x:c r="L1182" s="17" t="n">
        <x:f>SUM(SUMIFS('Costing'!$P$9:$P$492,'Costing'!$A$9:$A$492,"PARTNER-M175"))</x:f>
        <x:v>120000</x:v>
      </x:c>
      <x:c r="M1182" s="17" t="n">
        <x:f>ROUND(L1182*'Costing'!$C$4,2)</x:f>
        <x:v>21600</x:v>
      </x:c>
      <x:c r="N1182" s="17" t="n">
        <x:f>L1182+M1182</x:f>
        <x:v>141600</x:v>
      </x:c>
      <x:c r="O1182" s="12" t="str">
        <x:v>Mumbai</x:v>
      </x:c>
      <x:c r="P1182" s="12" t="str">
        <x:v>CORP-0592, CORP-0593, CORP-0594</x:v>
      </x:c>
      <x:c r="Q1182" s="12" t="str">
        <x:v>IFC Ventures</x:v>
      </x:c>
    </x:row>
    <x:row r="1183" ht="48" customHeight="1">
      <x:c r="A1183" s="2" t="str">
        <x:v>TEN-5723C6F86E45</x:v>
      </x:c>
      <x:c r="B1183" s="12" t="str">
        <x:v>Ifflair consulting private limited</x:v>
      </x:c>
      <x:c r="C1183" s="12" t="str">
        <x:v>Business / brand</x:v>
      </x:c>
      <x:c r="D1183" s="12" t="str">
        <x:v>Professional services</x:v>
      </x:c>
      <x:c r="E1183" s="12" t="str">
        <x:v>Business consulting &amp; advisory</x:v>
      </x:c>
      <x:c r="F1183" s="12" t="str">
        <x:v>Small-scale prospects</x:v>
      </x:c>
      <x:c r="G1183" s="12" t="str">
        <x:v>Professional service, agency or advisory model; small-scale prospect assumption.</x:v>
      </x:c>
      <x:c r="H1183" s="11" t="n">
        <x:v>1</x:v>
      </x:c>
      <x:c r="I1183" s="11" t="n">
        <x:v>1</x:v>
      </x:c>
      <x:c r="J1183" s="11" t="n">
        <x:v>1</x:v>
      </x:c>
      <x:c r="K1183" s="11" t="n">
        <x:v>0</x:v>
      </x:c>
      <x:c r="L1183" s="17" t="n">
        <x:f>SUM(SUMIFS('Costing'!$P$9:$P$492,'Costing'!$A$9:$A$492,"MAIN-175"))</x:f>
        <x:v>15000</x:v>
      </x:c>
      <x:c r="M1183" s="17" t="n">
        <x:f>ROUND(L1183*'Costing'!$C$4,2)</x:f>
        <x:v>2700</x:v>
      </x:c>
      <x:c r="N1183" s="17" t="n">
        <x:f>L1183+M1183</x:f>
        <x:v>17700</x:v>
      </x:c>
      <x:c r="O1183" s="12" t="str">
        <x:v>Delhi NCR</x:v>
      </x:c>
      <x:c r="P1183" s="12" t="str">
        <x:v>CORP-0171</x:v>
      </x:c>
      <x:c r="Q1183" s="12" t="str">
        <x:v>Ifflair consulting private limited</x:v>
      </x:c>
    </x:row>
    <x:row r="1184" ht="48" customHeight="1">
      <x:c r="A1184" s="2" t="str">
        <x:v>TEN-7A405702E4CC</x:v>
      </x:c>
      <x:c r="B1184" s="12" t="str">
        <x:v>iFixit Apple Service Centre</x:v>
      </x:c>
      <x:c r="C1184" s="12" t="str">
        <x:v>Business / brand</x:v>
      </x:c>
      <x:c r="D1184" s="12" t="str">
        <x:v>Trade, consumer &amp; logistics</x:v>
      </x:c>
      <x:c r="E1184" s="12" t="str">
        <x:v>Retail, consumer products &amp; ecommerce</x:v>
      </x:c>
      <x:c r="F1184" s="12" t="str">
        <x:v>Small-scale prospects</x:v>
      </x:c>
      <x:c r="G1184" s="12" t="str">
        <x:v>Trading or consumer-services business; small-scale prospect assumption.</x:v>
      </x:c>
      <x:c r="H1184" s="11" t="n">
        <x:v>1</x:v>
      </x:c>
      <x:c r="I1184" s="11" t="n">
        <x:v>3</x:v>
      </x:c>
      <x:c r="J1184" s="11" t="n">
        <x:v>3</x:v>
      </x:c>
      <x:c r="K1184" s="11" t="n">
        <x:v>0</x:v>
      </x:c>
      <x:c r="L1184" s="17" t="n">
        <x:f>SUM(SUMIFS('Costing'!$P$9:$P$492,'Costing'!$A$9:$A$492,"MAIN-206"))</x:f>
        <x:v>120000</x:v>
      </x:c>
      <x:c r="M1184" s="17" t="n">
        <x:f>ROUND(L1184*'Costing'!$C$4,2)</x:f>
        <x:v>21600</x:v>
      </x:c>
      <x:c r="N1184" s="17" t="n">
        <x:f>L1184+M1184</x:f>
        <x:v>141600</x:v>
      </x:c>
      <x:c r="O1184" s="12" t="str">
        <x:v>Delhi NCR</x:v>
      </x:c>
      <x:c r="P1184" s="12" t="str">
        <x:v>CORP-0202</x:v>
      </x:c>
      <x:c r="Q1184" s="12" t="str">
        <x:v>iFixit Apple Service Centre</x:v>
      </x:c>
    </x:row>
    <x:row r="1185" ht="48" customHeight="1">
      <x:c r="A1185" s="2" t="str">
        <x:v>TEN-AF4588398C1D</x:v>
      </x:c>
      <x:c r="B1185" s="12" t="str">
        <x:v>Ifortis Worldwide</x:v>
      </x:c>
      <x:c r="C1185" s="12" t="str">
        <x:v>Business / brand</x:v>
      </x:c>
      <x:c r="D1185" s="12" t="str">
        <x:v>Unresolved</x:v>
      </x:c>
      <x:c r="E1185" s="12" t="str">
        <x:v>Business activity not established</x:v>
      </x:c>
      <x:c r="F1185" s="12" t="str">
        <x:v>Mixed business audience</x:v>
      </x:c>
      <x:c r="G1185" s="12" t="str">
        <x:v>Business activity and company scale are not established from this name.</x:v>
      </x:c>
      <x:c r="H1185" s="11" t="n">
        <x:v>2</x:v>
      </x:c>
      <x:c r="I1185" s="11" t="n">
        <x:v>2</x:v>
      </x:c>
      <x:c r="J1185" s="11" t="n">
        <x:v>2</x:v>
      </x:c>
      <x:c r="K1185" s="11" t="n">
        <x:v>0</x:v>
      </x:c>
      <x:c r="L1185" s="17" t="n">
        <x:f>SUM(SUMIFS('Costing'!$P$9:$P$492,'Costing'!$A$9:$A$492,"PARTNER-M065"))</x:f>
        <x:v>80000</x:v>
      </x:c>
      <x:c r="M1185" s="17" t="n">
        <x:f>ROUND(L1185*'Costing'!$C$4,2)</x:f>
        <x:v>14400</x:v>
      </x:c>
      <x:c r="N1185" s="17" t="n">
        <x:f>L1185+M1185</x:f>
        <x:v>94400</x:v>
      </x:c>
      <x:c r="O1185" s="12" t="str">
        <x:v>Bengaluru</x:v>
      </x:c>
      <x:c r="P1185" s="12" t="str">
        <x:v>CORP-0483, CORP-0484</x:v>
      </x:c>
      <x:c r="Q1185" s="12" t="str">
        <x:v>Ifortis Worldwide</x:v>
      </x:c>
    </x:row>
    <x:row r="1186" ht="48" customHeight="1">
      <x:c r="A1186" s="2" t="str">
        <x:v>TEN-1F792F557E35</x:v>
      </x:c>
      <x:c r="B1186" s="12" t="str">
        <x:v>IGP.com</x:v>
      </x:c>
      <x:c r="C1186" s="12" t="str">
        <x:v>Business / brand</x:v>
      </x:c>
      <x:c r="D1186" s="12" t="str">
        <x:v>Trade, consumer &amp; logistics</x:v>
      </x:c>
      <x:c r="E1186" s="12" t="str">
        <x:v>Retail, consumer products &amp; ecommerce</x:v>
      </x:c>
      <x:c r="F1186" s="12" t="str">
        <x:v>Mixed business audience</x:v>
      </x:c>
      <x:c r="G1186" s="12" t="str">
        <x:v>Established brand or business network; local company scale is not established. Use a mixed-business message.</x:v>
      </x:c>
      <x:c r="H1186" s="11" t="n">
        <x:v>6</x:v>
      </x:c>
      <x:c r="I1186" s="11" t="n">
        <x:v>6</x:v>
      </x:c>
      <x:c r="J1186" s="11" t="n">
        <x:v>6</x:v>
      </x:c>
      <x:c r="K1186" s="11" t="n">
        <x:v>0</x:v>
      </x:c>
      <x:c r="L1186" s="17" t="n">
        <x:f>SUM(SUMIFS('Costing'!$P$9:$P$492,'Costing'!$A$9:$A$492,"PARTNER-M179"))</x:f>
        <x:v>240000</x:v>
      </x:c>
      <x:c r="M1186" s="17" t="n">
        <x:f>ROUND(L1186*'Costing'!$C$4,2)</x:f>
        <x:v>43200</x:v>
      </x:c>
      <x:c r="N1186" s="17" t="n">
        <x:f>L1186+M1186</x:f>
        <x:v>283200</x:v>
      </x:c>
      <x:c r="O1186" s="12" t="str">
        <x:v>Mumbai</x:v>
      </x:c>
      <x:c r="P1186" s="12" t="str">
        <x:v>CORP-0596, CORP-0597, CORP-0598, CORP-0599, CORP-0600, CORP-0601</x:v>
      </x:c>
      <x:c r="Q1186" s="12" t="str">
        <x:v>IGP.com</x:v>
      </x:c>
    </x:row>
    <x:row r="1187" ht="49" customHeight="1">
      <x:c r="A1187" s="2" t="str">
        <x:v>TEN-534169F77A0F</x:v>
      </x:c>
      <x:c r="B1187" s="12" t="str">
        <x:v>iKeva Business Centre</x:v>
      </x:c>
      <x:c r="C1187" s="12" t="str">
        <x:v>Workspace operator</x:v>
      </x:c>
      <x:c r="D1187" s="12" t="str">
        <x:v>Workspace &amp; property operations</x:v>
      </x:c>
      <x:c r="E1187" s="12" t="str">
        <x:v>Coworking/workspace operator</x:v>
      </x:c>
      <x:c r="F1187" s="12" t="str">
        <x:v>Mixed business audience</x:v>
      </x:c>
      <x:c r="G1187" s="12" t="str">
        <x:v>Supplied entry is a shared-workspace operator; the business sizes of occupant companies cannot be derived from the operator name.</x:v>
      </x:c>
      <x:c r="H1187" s="11" t="n">
        <x:v>6</x:v>
      </x:c>
      <x:c r="I1187" s="11" t="n">
        <x:v>6</x:v>
      </x:c>
      <x:c r="J1187" s="11" t="n">
        <x:v>6</x:v>
      </x:c>
      <x:c r="K1187" s="11" t="n">
        <x:v>0</x:v>
      </x:c>
      <x:c r="L1187" s="17" t="n">
        <x:f>SUM(SUMIFS('Costing'!$P$9:$P$492,'Costing'!$A$9:$A$492,"PARTNER-M072"))</x:f>
        <x:v>240000</x:v>
      </x:c>
      <x:c r="M1187" s="17" t="n">
        <x:f>ROUND(L1187*'Costing'!$C$4,2)</x:f>
        <x:v>43200</x:v>
      </x:c>
      <x:c r="N1187" s="17" t="n">
        <x:f>L1187+M1187</x:f>
        <x:v>283200</x:v>
      </x:c>
      <x:c r="O1187" s="12" t="str">
        <x:v>Bengaluru</x:v>
      </x:c>
      <x:c r="P1187" s="12" t="str">
        <x:v>CORP-0490, CORP-0491, CORP-0492, CORP-0493, CORP-0494, CORP-0495</x:v>
      </x:c>
      <x:c r="Q1187" s="12" t="str">
        <x:v>iKeva Business Centre</x:v>
      </x:c>
    </x:row>
    <x:row r="1188" ht="62" customHeight="1">
      <x:c r="A1188" s="2" t="str">
        <x:v>TEN-1E631D09DAD4</x:v>
      </x:c>
      <x:c r="B1188" s="12" t="str">
        <x:v>IKS Health Pvt. Ltd</x:v>
      </x:c>
      <x:c r="C1188" s="12" t="str">
        <x:v>Business / brand</x:v>
      </x:c>
      <x:c r="D1188" s="12" t="str">
        <x:v>Healthcare &amp; life sciences</x:v>
      </x:c>
      <x:c r="E1188" s="12" t="str">
        <x:v>Clinical, medical &amp; diagnostic services</x:v>
      </x:c>
      <x:c r="F1188" s="12" t="str">
        <x:v>Large enterprise</x:v>
      </x:c>
      <x:c r="G1188" s="12" t="str">
        <x:v>The company profile reports a global team of 12,889 people, including clinical and technology specialists, serving over 600 clients. This supports enterprise-group audience scale for the supplied IKS Health tenant brand.</x:v>
      </x:c>
      <x:c r="H1188" s="11" t="n">
        <x:v>1</x:v>
      </x:c>
      <x:c r="I1188" s="11" t="n">
        <x:v>13</x:v>
      </x:c>
      <x:c r="J1188" s="11" t="n">
        <x:v>13</x:v>
      </x:c>
      <x:c r="K1188" s="11" t="n">
        <x:v>0</x:v>
      </x:c>
      <x:c r="L1188" s="17" t="n">
        <x:f>SUM(SUMIFS('Costing'!$P$9:$P$492,'Costing'!$A$9:$A$492,"MAIN-240"))</x:f>
        <x:v>195000</x:v>
      </x:c>
      <x:c r="M1188" s="17" t="n">
        <x:f>ROUND(L1188*'Costing'!$C$4,2)</x:f>
        <x:v>35100</x:v>
      </x:c>
      <x:c r="N1188" s="17" t="n">
        <x:f>L1188+M1188</x:f>
        <x:v>230100</x:v>
      </x:c>
      <x:c r="O1188" s="12" t="str">
        <x:v>Hyderabad</x:v>
      </x:c>
      <x:c r="P1188" s="12" t="str">
        <x:v>CORP-0236</x:v>
      </x:c>
      <x:c r="Q1188" s="12" t="str">
        <x:v>IKS Health Pvt. Ltd</x:v>
      </x:c>
    </x:row>
    <x:row r="1189" ht="48" customHeight="1">
      <x:c r="A1189" s="2" t="str">
        <x:v>TEN-36C8EBC108EE</x:v>
      </x:c>
      <x:c r="B1189" s="12" t="str">
        <x:v>Ilahui</x:v>
      </x:c>
      <x:c r="C1189" s="12" t="str">
        <x:v>Business / brand</x:v>
      </x:c>
      <x:c r="D1189" s="12" t="str">
        <x:v>Trade, consumer &amp; logistics</x:v>
      </x:c>
      <x:c r="E1189" s="12" t="str">
        <x:v>Retail, consumer products &amp; ecommerce</x:v>
      </x:c>
      <x:c r="F1189" s="12" t="str">
        <x:v>Small-scale prospects</x:v>
      </x:c>
      <x:c r="G1189" s="12" t="str">
        <x:v>Trading or consumer-services business; small-scale prospect assumption.</x:v>
      </x:c>
      <x:c r="H1189" s="11" t="n">
        <x:v>1</x:v>
      </x:c>
      <x:c r="I1189" s="11" t="n">
        <x:v>4</x:v>
      </x:c>
      <x:c r="J1189" s="11" t="n">
        <x:v>4</x:v>
      </x:c>
      <x:c r="K1189" s="11" t="n">
        <x:v>0</x:v>
      </x:c>
      <x:c r="L1189" s="17" t="n">
        <x:f>SUM(SUMIFS('Costing'!$P$9:$P$492,'Costing'!$A$9:$A$492,"MAIN-130"))</x:f>
        <x:v>100000</x:v>
      </x:c>
      <x:c r="M1189" s="17" t="n">
        <x:f>ROUND(L1189*'Costing'!$C$4,2)</x:f>
        <x:v>18000</x:v>
      </x:c>
      <x:c r="N1189" s="17" t="n">
        <x:f>L1189+M1189</x:f>
        <x:v>118000</x:v>
      </x:c>
      <x:c r="O1189" s="12" t="str">
        <x:v>Bengaluru</x:v>
      </x:c>
      <x:c r="P1189" s="12" t="str">
        <x:v>CORP-0126</x:v>
      </x:c>
      <x:c r="Q1189" s="12" t="str">
        <x:v>Ilahui</x:v>
      </x:c>
    </x:row>
    <x:row r="1190" ht="48" customHeight="1">
      <x:c r="A1190" s="2" t="str">
        <x:v>TEN-EF6C0A3D2A0E</x:v>
      </x:c>
      <x:c r="B1190" s="12" t="str">
        <x:v>Ilead</x:v>
      </x:c>
      <x:c r="C1190" s="12" t="str">
        <x:v>Business / brand</x:v>
      </x:c>
      <x:c r="D1190" s="12" t="str">
        <x:v>Unresolved</x:v>
      </x:c>
      <x:c r="E1190" s="12" t="str">
        <x:v>Business activity not established</x:v>
      </x:c>
      <x:c r="F1190" s="12" t="str">
        <x:v>Mixed business audience</x:v>
      </x:c>
      <x:c r="G1190" s="12" t="str">
        <x:v>Business activity and company scale are not established from this name.</x:v>
      </x:c>
      <x:c r="H1190" s="11" t="n">
        <x:v>1</x:v>
      </x:c>
      <x:c r="I1190" s="11" t="n">
        <x:v>2</x:v>
      </x:c>
      <x:c r="J1190" s="11" t="n">
        <x:v>2</x:v>
      </x:c>
      <x:c r="K1190" s="11" t="n">
        <x:v>0</x:v>
      </x:c>
      <x:c r="L1190" s="17" t="n">
        <x:f>SUM(SUMIFS('Costing'!$P$9:$P$492,'Costing'!$A$9:$A$492,"MAIN-268"))</x:f>
        <x:v>80000</x:v>
      </x:c>
      <x:c r="M1190" s="17" t="n">
        <x:f>ROUND(L1190*'Costing'!$C$4,2)</x:f>
        <x:v>14400</x:v>
      </x:c>
      <x:c r="N1190" s="17" t="n">
        <x:f>L1190+M1190</x:f>
        <x:v>94400</x:v>
      </x:c>
      <x:c r="O1190" s="12" t="str">
        <x:v>Indore</x:v>
      </x:c>
      <x:c r="P1190" s="12" t="str">
        <x:v>CORP-0264</x:v>
      </x:c>
      <x:c r="Q1190" s="12" t="str">
        <x:v>Ilead</x:v>
      </x:c>
    </x:row>
    <x:row r="1191" ht="48" customHeight="1">
      <x:c r="A1191" s="2" t="str">
        <x:v>TEN-1D4C6B5EB3AF</x:v>
      </x:c>
      <x:c r="B1191" s="12" t="str">
        <x:v>Ilink Digital</x:v>
      </x:c>
      <x:c r="C1191" s="12" t="str">
        <x:v>Business / brand</x:v>
      </x:c>
      <x:c r="D1191" s="12" t="str">
        <x:v>IT &amp; digital</x:v>
      </x:c>
      <x:c r="E1191" s="12" t="str">
        <x:v>Enterprise software &amp; digital engineering</x:v>
      </x:c>
      <x:c r="F1191" s="12" t="str">
        <x:v>Small-scale prospects</x:v>
      </x:c>
      <x:c r="G1191" s="12" t="str">
        <x:v>Software or technology-services business; small-scale prospect assumption.</x:v>
      </x:c>
      <x:c r="H1191" s="11" t="n">
        <x:v>2</x:v>
      </x:c>
      <x:c r="I1191" s="11" t="n">
        <x:v>3</x:v>
      </x:c>
      <x:c r="J1191" s="11" t="n">
        <x:v>3</x:v>
      </x:c>
      <x:c r="K1191" s="11" t="n">
        <x:v>0</x:v>
      </x:c>
      <x:c r="L1191" s="17" t="n">
        <x:f>SUM(SUMIFS('Costing'!$P$9:$P$492,'Costing'!$A$9:$A$492,"MAIN-150"),SUMIFS('Costing'!$P$9:$P$492,'Costing'!$A$9:$A$492,"MAIN-160"))</x:f>
        <x:v>55000</x:v>
      </x:c>
      <x:c r="M1191" s="17" t="n">
        <x:f>ROUND(L1191*'Costing'!$C$4,2)</x:f>
        <x:v>9900</x:v>
      </x:c>
      <x:c r="N1191" s="17" t="n">
        <x:f>L1191+M1191</x:f>
        <x:v>64900</x:v>
      </x:c>
      <x:c r="O1191" s="12" t="str">
        <x:v>Chennai</x:v>
      </x:c>
      <x:c r="P1191" s="12" t="str">
        <x:v>CORP-0146, CORP-0156</x:v>
      </x:c>
      <x:c r="Q1191" s="12" t="str">
        <x:v>Ilink Digital, iLink Digital</x:v>
      </x:c>
    </x:row>
    <x:row r="1192" ht="48" customHeight="1">
      <x:c r="A1192" s="2" t="str">
        <x:v>TEN-C1340F89DF88</x:v>
      </x:c>
      <x:c r="B1192" s="12" t="str">
        <x:v>Illumina Solution Center</x:v>
      </x:c>
      <x:c r="C1192" s="12" t="str">
        <x:v>Business / brand</x:v>
      </x:c>
      <x:c r="D1192" s="12" t="str">
        <x:v>Healthcare &amp; life sciences</x:v>
      </x:c>
      <x:c r="E1192" s="12" t="str">
        <x:v>Clinical, medical &amp; diagnostic services</x:v>
      </x:c>
      <x:c r="F1192" s="12" t="str">
        <x:v>Mixed business audience</x:v>
      </x:c>
      <x:c r="G1192" s="12" t="str">
        <x:v>Recognisable business context; company-scale evidence remains insufficient for a single size band.</x:v>
      </x:c>
      <x:c r="H1192" s="11" t="n">
        <x:v>1</x:v>
      </x:c>
      <x:c r="I1192" s="11" t="n">
        <x:v>2</x:v>
      </x:c>
      <x:c r="J1192" s="11" t="n">
        <x:v>2</x:v>
      </x:c>
      <x:c r="K1192" s="11" t="n">
        <x:v>0</x:v>
      </x:c>
      <x:c r="L1192" s="17" t="n">
        <x:f>SUM(SUMIFS('Costing'!$P$9:$P$492,'Costing'!$A$9:$A$492,"MAIN-114"))</x:f>
        <x:v>50000</x:v>
      </x:c>
      <x:c r="M1192" s="17" t="n">
        <x:f>ROUND(L1192*'Costing'!$C$4,2)</x:f>
        <x:v>9000</x:v>
      </x:c>
      <x:c r="N1192" s="17" t="n">
        <x:f>L1192+M1192</x:f>
        <x:v>59000</x:v>
      </x:c>
      <x:c r="O1192" s="12" t="str">
        <x:v>Bengaluru</x:v>
      </x:c>
      <x:c r="P1192" s="12" t="str">
        <x:v>CORP-0110</x:v>
      </x:c>
      <x:c r="Q1192" s="12" t="str">
        <x:v>Illumina Solution Center</x:v>
      </x:c>
    </x:row>
    <x:row r="1193" ht="48" customHeight="1">
      <x:c r="A1193" s="2" t="str">
        <x:v>TEN-8D2FC7FF868A</x:v>
      </x:c>
      <x:c r="B1193" s="12" t="str">
        <x:v>IM solutions</x:v>
      </x:c>
      <x:c r="C1193" s="12" t="str">
        <x:v>Business / brand</x:v>
      </x:c>
      <x:c r="D1193" s="12" t="str">
        <x:v>Unresolved</x:v>
      </x:c>
      <x:c r="E1193" s="12" t="str">
        <x:v>Business activity not established</x:v>
      </x:c>
      <x:c r="F1193" s="12" t="str">
        <x:v>Mixed business audience</x:v>
      </x:c>
      <x:c r="G1193" s="12" t="str">
        <x:v>Business activity and company scale are not established from this name.</x:v>
      </x:c>
      <x:c r="H1193" s="11" t="n">
        <x:v>1</x:v>
      </x:c>
      <x:c r="I1193" s="11" t="n">
        <x:v>2</x:v>
      </x:c>
      <x:c r="J1193" s="11" t="n">
        <x:v>2</x:v>
      </x:c>
      <x:c r="K1193" s="11" t="n">
        <x:v>0</x:v>
      </x:c>
      <x:c r="L1193" s="17" t="n">
        <x:f>SUM(SUMIFS('Costing'!$P$9:$P$492,'Costing'!$A$9:$A$492,"MAIN-045"))</x:f>
        <x:v>30000</x:v>
      </x:c>
      <x:c r="M1193" s="17" t="n">
        <x:f>ROUND(L1193*'Costing'!$C$4,2)</x:f>
        <x:v>5400</x:v>
      </x:c>
      <x:c r="N1193" s="17" t="n">
        <x:f>L1193+M1193</x:f>
        <x:v>35400</x:v>
      </x:c>
      <x:c r="O1193" s="12" t="str">
        <x:v>Bengaluru</x:v>
      </x:c>
      <x:c r="P1193" s="12" t="str">
        <x:v>CORP-0041</x:v>
      </x:c>
      <x:c r="Q1193" s="12" t="str">
        <x:v>IM solutions</x:v>
      </x:c>
    </x:row>
    <x:row r="1194" ht="48" customHeight="1">
      <x:c r="A1194" s="2" t="str">
        <x:v>TEN-A678093949D3</x:v>
      </x:c>
      <x:c r="B1194" s="12" t="str">
        <x:v>Imarticus Learning Mumbai</x:v>
      </x:c>
      <x:c r="C1194" s="12" t="str">
        <x:v>Business / brand</x:v>
      </x:c>
      <x:c r="D1194" s="12" t="str">
        <x:v>Education</x:v>
      </x:c>
      <x:c r="E1194" s="12" t="str">
        <x:v>Edtech, training &amp; learning</x:v>
      </x:c>
      <x:c r="F1194" s="12" t="str">
        <x:v>Mixed business audience</x:v>
      </x:c>
      <x:c r="G1194" s="12" t="str">
        <x:v>Established brand or business network; local company scale is not established. Use a mixed-business message.</x:v>
      </x:c>
      <x:c r="H1194" s="11" t="n">
        <x:v>1</x:v>
      </x:c>
      <x:c r="I1194" s="11" t="n">
        <x:v>2</x:v>
      </x:c>
      <x:c r="J1194" s="11" t="n">
        <x:v>2</x:v>
      </x:c>
      <x:c r="K1194" s="11" t="n">
        <x:v>0</x:v>
      </x:c>
      <x:c r="L1194" s="17" t="n">
        <x:f>SUM(SUMIFS('Costing'!$P$9:$P$492,'Costing'!$A$9:$A$492,"MAIN-318"))</x:f>
        <x:v>30000</x:v>
      </x:c>
      <x:c r="M1194" s="17" t="n">
        <x:f>ROUND(L1194*'Costing'!$C$4,2)</x:f>
        <x:v>5400</x:v>
      </x:c>
      <x:c r="N1194" s="17" t="n">
        <x:f>L1194+M1194</x:f>
        <x:v>35400</x:v>
      </x:c>
      <x:c r="O1194" s="12" t="str">
        <x:v>Mumbai</x:v>
      </x:c>
      <x:c r="P1194" s="12" t="str">
        <x:v>CORP-0314</x:v>
      </x:c>
      <x:c r="Q1194" s="12" t="str">
        <x:v>Imarticus Learning Mumbai</x:v>
      </x:c>
    </x:row>
    <x:row r="1195" ht="48" customHeight="1">
      <x:c r="A1195" s="2" t="str">
        <x:v>TEN-3DDDC2C575B6</x:v>
      </x:c>
      <x:c r="B1195" s="12" t="str">
        <x:v>imentor</x:v>
      </x:c>
      <x:c r="C1195" s="12" t="str">
        <x:v>Business / brand</x:v>
      </x:c>
      <x:c r="D1195" s="12" t="str">
        <x:v>Unresolved</x:v>
      </x:c>
      <x:c r="E1195" s="12" t="str">
        <x:v>Business activity not established</x:v>
      </x:c>
      <x:c r="F1195" s="12" t="str">
        <x:v>Mixed business audience</x:v>
      </x:c>
      <x:c r="G1195" s="12" t="str">
        <x:v>Business activity and company scale are not established from this name.</x:v>
      </x:c>
      <x:c r="H1195" s="11" t="n">
        <x:v>1</x:v>
      </x:c>
      <x:c r="I1195" s="11" t="n">
        <x:v>3</x:v>
      </x:c>
      <x:c r="J1195" s="11" t="n">
        <x:v>3</x:v>
      </x:c>
      <x:c r="K1195" s="11" t="n">
        <x:v>0</x:v>
      </x:c>
      <x:c r="L1195" s="17" t="n">
        <x:f>SUM(SUMIFS('Costing'!$P$9:$P$492,'Costing'!$A$9:$A$492,"MAIN-180"))</x:f>
        <x:v>45000</x:v>
      </x:c>
      <x:c r="M1195" s="17" t="n">
        <x:f>ROUND(L1195*'Costing'!$C$4,2)</x:f>
        <x:v>8100</x:v>
      </x:c>
      <x:c r="N1195" s="17" t="n">
        <x:f>L1195+M1195</x:f>
        <x:v>53100</x:v>
      </x:c>
      <x:c r="O1195" s="12" t="str">
        <x:v>Delhi NCR</x:v>
      </x:c>
      <x:c r="P1195" s="12" t="str">
        <x:v>CORP-0176</x:v>
      </x:c>
      <x:c r="Q1195" s="12" t="str">
        <x:v>imentor</x:v>
      </x:c>
    </x:row>
    <x:row r="1196" ht="48" customHeight="1">
      <x:c r="A1196" s="2" t="str">
        <x:v>TEN-26965549D9A4</x:v>
      </x:c>
      <x:c r="B1196" s="12" t="str">
        <x:v>Immidart Technologies</x:v>
      </x:c>
      <x:c r="C1196" s="12" t="str">
        <x:v>Business / brand</x:v>
      </x:c>
      <x:c r="D1196" s="12" t="str">
        <x:v>IT &amp; digital</x:v>
      </x:c>
      <x:c r="E1196" s="12" t="str">
        <x:v>Enterprise software &amp; digital engineering</x:v>
      </x:c>
      <x:c r="F1196" s="12" t="str">
        <x:v>Small-scale prospects</x:v>
      </x:c>
      <x:c r="G1196" s="12" t="str">
        <x:v>Software or technology-services business; small-scale prospect assumption.</x:v>
      </x:c>
      <x:c r="H1196" s="11" t="n">
        <x:v>1</x:v>
      </x:c>
      <x:c r="I1196" s="11" t="n">
        <x:v>2</x:v>
      </x:c>
      <x:c r="J1196" s="11" t="n">
        <x:v>2</x:v>
      </x:c>
      <x:c r="K1196" s="11" t="n">
        <x:v>0</x:v>
      </x:c>
      <x:c r="L1196" s="17" t="n">
        <x:f>SUM(SUMIFS('Costing'!$P$9:$P$492,'Costing'!$A$9:$A$492,"MAIN-044"))</x:f>
        <x:v>40000</x:v>
      </x:c>
      <x:c r="M1196" s="17" t="n">
        <x:f>ROUND(L1196*'Costing'!$C$4,2)</x:f>
        <x:v>7200</x:v>
      </x:c>
      <x:c r="N1196" s="17" t="n">
        <x:f>L1196+M1196</x:f>
        <x:v>47200</x:v>
      </x:c>
      <x:c r="O1196" s="12" t="str">
        <x:v>Bengaluru</x:v>
      </x:c>
      <x:c r="P1196" s="12" t="str">
        <x:v>CORP-0040</x:v>
      </x:c>
      <x:c r="Q1196" s="12" t="str">
        <x:v>Immidart Technologies</x:v>
      </x:c>
    </x:row>
    <x:row r="1197" ht="48" customHeight="1">
      <x:c r="A1197" s="2" t="str">
        <x:v>TEN-93C4CDB211E2</x:v>
      </x:c>
      <x:c r="B1197" s="12" t="str">
        <x:v>Impact Analytics</x:v>
      </x:c>
      <x:c r="C1197" s="12" t="str">
        <x:v>Business / brand</x:v>
      </x:c>
      <x:c r="D1197" s="12" t="str">
        <x:v>IT &amp; digital</x:v>
      </x:c>
      <x:c r="E1197" s="12" t="str">
        <x:v>AI, data &amp; analytics</x:v>
      </x:c>
      <x:c r="F1197" s="12" t="str">
        <x:v>Small-scale prospects</x:v>
      </x:c>
      <x:c r="G1197" s="12" t="str">
        <x:v>Software or technology-services business; small-scale prospect assumption.</x:v>
      </x:c>
      <x:c r="H1197" s="11" t="n">
        <x:v>5</x:v>
      </x:c>
      <x:c r="I1197" s="11" t="n">
        <x:v>5</x:v>
      </x:c>
      <x:c r="J1197" s="11" t="n">
        <x:v>5</x:v>
      </x:c>
      <x:c r="K1197" s="11" t="n">
        <x:v>0</x:v>
      </x:c>
      <x:c r="L1197" s="17" t="n">
        <x:f>SUM(SUMIFS('Costing'!$P$9:$P$492,'Costing'!$A$9:$A$492,"PARTNER-M060"))</x:f>
        <x:v>200000</x:v>
      </x:c>
      <x:c r="M1197" s="17" t="n">
        <x:f>ROUND(L1197*'Costing'!$C$4,2)</x:f>
        <x:v>36000</x:v>
      </x:c>
      <x:c r="N1197" s="17" t="n">
        <x:f>L1197+M1197</x:f>
        <x:v>236000</x:v>
      </x:c>
      <x:c r="O1197" s="12" t="str">
        <x:v>Bengaluru</x:v>
      </x:c>
      <x:c r="P1197" s="12" t="str">
        <x:v>CORP-0478, CORP-0479, CORP-0480, CORP-0481, CORP-0482</x:v>
      </x:c>
      <x:c r="Q1197" s="12" t="str">
        <x:v>Impact Analytics</x:v>
      </x:c>
    </x:row>
    <x:row r="1198" ht="48" customHeight="1">
      <x:c r="A1198" s="2" t="str">
        <x:v>TEN-930A6627E874</x:v>
      </x:c>
      <x:c r="B1198" s="12" t="str">
        <x:v>Impaxt Guru Technology ventures</x:v>
      </x:c>
      <x:c r="C1198" s="12" t="str">
        <x:v>Business / brand</x:v>
      </x:c>
      <x:c r="D1198" s="12" t="str">
        <x:v>Unresolved</x:v>
      </x:c>
      <x:c r="E1198" s="12" t="str">
        <x:v>Business activity not established</x:v>
      </x:c>
      <x:c r="F1198" s="12" t="str">
        <x:v>Mixed business audience</x:v>
      </x:c>
      <x:c r="G1198" s="12" t="str">
        <x:v>Business activity and company scale are not established from this name.</x:v>
      </x:c>
      <x:c r="H1198" s="11" t="n">
        <x:v>1</x:v>
      </x:c>
      <x:c r="I1198" s="11" t="n">
        <x:v>2</x:v>
      </x:c>
      <x:c r="J1198" s="11" t="n">
        <x:v>2</x:v>
      </x:c>
      <x:c r="K1198" s="11" t="n">
        <x:v>0</x:v>
      </x:c>
      <x:c r="L1198" s="17" t="n">
        <x:f>SUM(SUMIFS('Costing'!$P$9:$P$492,'Costing'!$A$9:$A$492,"MAIN-305"))</x:f>
        <x:v>30000</x:v>
      </x:c>
      <x:c r="M1198" s="17" t="n">
        <x:f>ROUND(L1198*'Costing'!$C$4,2)</x:f>
        <x:v>5400</x:v>
      </x:c>
      <x:c r="N1198" s="17" t="n">
        <x:f>L1198+M1198</x:f>
        <x:v>35400</x:v>
      </x:c>
      <x:c r="O1198" s="12" t="str">
        <x:v>Mumbai</x:v>
      </x:c>
      <x:c r="P1198" s="12" t="str">
        <x:v>CORP-0301</x:v>
      </x:c>
      <x:c r="Q1198" s="12" t="str">
        <x:v>Impaxt Guru Technology ventures</x:v>
      </x:c>
    </x:row>
    <x:row r="1199" ht="48" customHeight="1">
      <x:c r="A1199" s="2" t="str">
        <x:v>TEN-098B8FDAE5BB</x:v>
      </x:c>
      <x:c r="B1199" s="12" t="str">
        <x:v>Impexsoft Solutions</x:v>
      </x:c>
      <x:c r="C1199" s="12" t="str">
        <x:v>Business / brand</x:v>
      </x:c>
      <x:c r="D1199" s="12" t="str">
        <x:v>IT &amp; digital</x:v>
      </x:c>
      <x:c r="E1199" s="12" t="str">
        <x:v>Enterprise software &amp; digital engineering</x:v>
      </x:c>
      <x:c r="F1199" s="12" t="str">
        <x:v>Small-scale prospects</x:v>
      </x:c>
      <x:c r="G1199" s="12" t="str">
        <x:v>Software or technology-services business; small-scale prospect assumption.</x:v>
      </x:c>
      <x:c r="H1199" s="11" t="n">
        <x:v>3</x:v>
      </x:c>
      <x:c r="I1199" s="11" t="n">
        <x:v>3</x:v>
      </x:c>
      <x:c r="J1199" s="11" t="n">
        <x:v>3</x:v>
      </x:c>
      <x:c r="K1199" s="11" t="n">
        <x:v>0</x:v>
      </x:c>
      <x:c r="L1199" s="17" t="n">
        <x:f>SUM(SUMIFS('Costing'!$P$9:$P$492,'Costing'!$A$9:$A$492,"PARTNER-M265"))</x:f>
        <x:v>120000</x:v>
      </x:c>
      <x:c r="M1199" s="17" t="n">
        <x:f>ROUND(L1199*'Costing'!$C$4,2)</x:f>
        <x:v>21600</x:v>
      </x:c>
      <x:c r="N1199" s="17" t="n">
        <x:f>L1199+M1199</x:f>
        <x:v>141600</x:v>
      </x:c>
      <x:c r="O1199" s="12" t="str">
        <x:v>Pune</x:v>
      </x:c>
      <x:c r="P1199" s="12" t="str">
        <x:v>CORP-0681, CORP-0682, CORP-0683</x:v>
      </x:c>
      <x:c r="Q1199" s="12" t="str">
        <x:v>Impexsoft Solutions</x:v>
      </x:c>
    </x:row>
    <x:row r="1200" ht="48" customHeight="1">
      <x:c r="A1200" s="2" t="str">
        <x:v>TEN-C6E3A023B2FA</x:v>
      </x:c>
      <x:c r="B1200" s="12" t="str">
        <x:v>ImStrong</x:v>
      </x:c>
      <x:c r="C1200" s="12" t="str">
        <x:v>Business / brand</x:v>
      </x:c>
      <x:c r="D1200" s="12" t="str">
        <x:v>Unresolved</x:v>
      </x:c>
      <x:c r="E1200" s="12" t="str">
        <x:v>Business activity not established</x:v>
      </x:c>
      <x:c r="F1200" s="12" t="str">
        <x:v>Mixed business audience</x:v>
      </x:c>
      <x:c r="G1200" s="12" t="str">
        <x:v>Business activity and company scale are not established from this name.</x:v>
      </x:c>
      <x:c r="H1200" s="11" t="n">
        <x:v>1</x:v>
      </x:c>
      <x:c r="I1200" s="11" t="n">
        <x:v>8</x:v>
      </x:c>
      <x:c r="J1200" s="11" t="n">
        <x:v>8</x:v>
      </x:c>
      <x:c r="K1200" s="11" t="n">
        <x:v>0</x:v>
      </x:c>
      <x:c r="L1200" s="17" t="n">
        <x:f>SUM(SUMIFS('Costing'!$P$9:$P$492,'Costing'!$A$9:$A$492,"MAIN-009"))</x:f>
        <x:v>120000</x:v>
      </x:c>
      <x:c r="M1200" s="17" t="n">
        <x:f>ROUND(L1200*'Costing'!$C$4,2)</x:f>
        <x:v>21600</x:v>
      </x:c>
      <x:c r="N1200" s="17" t="n">
        <x:f>L1200+M1200</x:f>
        <x:v>141600</x:v>
      </x:c>
      <x:c r="O1200" s="12" t="str">
        <x:v>Bengaluru</x:v>
      </x:c>
      <x:c r="P1200" s="12" t="str">
        <x:v>CORP-0005</x:v>
      </x:c>
      <x:c r="Q1200" s="12" t="str">
        <x:v>ImStrong</x:v>
      </x:c>
    </x:row>
    <x:row r="1201" ht="75" customHeight="1">
      <x:c r="A1201" s="2" t="str">
        <x:v>TEN-8743108309E5</x:v>
      </x:c>
      <x:c r="B1201" s="12" t="str">
        <x:v>Inbounderz</x:v>
      </x:c>
      <x:c r="C1201" s="12" t="str">
        <x:v>Business / brand</x:v>
      </x:c>
      <x:c r="D1201" s="12" t="str">
        <x:v>Professional services</x:v>
      </x:c>
      <x:c r="E1201" s="12" t="str">
        <x:v>Marketing, media &amp; research services</x:v>
      </x:c>
      <x:c r="F1201" s="12" t="str">
        <x:v>Small-scale prospects</x:v>
      </x:c>
      <x:c r="G1201" s="12" t="str">
        <x:v>Indicative digital/production-agency audience. The company describes an in-house creative, technical and media-production capability. The Small-scale label is a specialist-agency model estimate, with the profile evidence explicitly dated 2024.</x:v>
      </x:c>
      <x:c r="H1201" s="11" t="n">
        <x:v>1</x:v>
      </x:c>
      <x:c r="I1201" s="11" t="n">
        <x:v>2</x:v>
      </x:c>
      <x:c r="J1201" s="11" t="n">
        <x:v>2</x:v>
      </x:c>
      <x:c r="K1201" s="11" t="n">
        <x:v>0</x:v>
      </x:c>
      <x:c r="L1201" s="17" t="n">
        <x:f>SUM(SUMIFS('Costing'!$P$9:$P$492,'Costing'!$A$9:$A$492,"MAIN-277"))</x:f>
        <x:v>30000</x:v>
      </x:c>
      <x:c r="M1201" s="17" t="n">
        <x:f>ROUND(L1201*'Costing'!$C$4,2)</x:f>
        <x:v>5400</x:v>
      </x:c>
      <x:c r="N1201" s="17" t="n">
        <x:f>L1201+M1201</x:f>
        <x:v>35400</x:v>
      </x:c>
      <x:c r="O1201" s="12" t="str">
        <x:v>Kochi</x:v>
      </x:c>
      <x:c r="P1201" s="12" t="str">
        <x:v>CORP-0273</x:v>
      </x:c>
      <x:c r="Q1201" s="12" t="str">
        <x:v>Inbounderz</x:v>
      </x:c>
    </x:row>
    <x:row r="1202" ht="48" customHeight="1">
      <x:c r="A1202" s="2" t="str">
        <x:v>TEN-7D924CB86824</x:v>
      </x:c>
      <x:c r="B1202" s="12" t="str">
        <x:v>Inchcape Shipping Services</x:v>
      </x:c>
      <x:c r="C1202" s="12" t="str">
        <x:v>Business / brand</x:v>
      </x:c>
      <x:c r="D1202" s="12" t="str">
        <x:v>Trade, consumer &amp; logistics</x:v>
      </x:c>
      <x:c r="E1202" s="12" t="str">
        <x:v>Logistics, shipping &amp; transport</x:v>
      </x:c>
      <x:c r="F1202" s="12" t="str">
        <x:v>Mixed business audience</x:v>
      </x:c>
      <x:c r="G1202" s="12" t="str">
        <x:v>Established brand or business network; local company scale is not established. Use a mixed-business message.</x:v>
      </x:c>
      <x:c r="H1202" s="11" t="n">
        <x:v>2</x:v>
      </x:c>
      <x:c r="I1202" s="11" t="n">
        <x:v>2</x:v>
      </x:c>
      <x:c r="J1202" s="11" t="n">
        <x:v>2</x:v>
      </x:c>
      <x:c r="K1202" s="11" t="n">
        <x:v>0</x:v>
      </x:c>
      <x:c r="L1202" s="17" t="n">
        <x:f>SUM(SUMIFS('Costing'!$P$9:$P$492,'Costing'!$A$9:$A$492,"PARTNER-M201"))</x:f>
        <x:v>80000</x:v>
      </x:c>
      <x:c r="M1202" s="17" t="n">
        <x:f>ROUND(L1202*'Costing'!$C$4,2)</x:f>
        <x:v>14400</x:v>
      </x:c>
      <x:c r="N1202" s="17" t="n">
        <x:f>L1202+M1202</x:f>
        <x:v>94400</x:v>
      </x:c>
      <x:c r="O1202" s="12" t="str">
        <x:v>Mumbai</x:v>
      </x:c>
      <x:c r="P1202" s="12" t="str">
        <x:v>CORP-0618, CORP-0619</x:v>
      </x:c>
      <x:c r="Q1202" s="12" t="str">
        <x:v>Inchcape Shipping Services</x:v>
      </x:c>
    </x:row>
    <x:row r="1203" ht="48" customHeight="1">
      <x:c r="A1203" s="2" t="str">
        <x:v>TEN-EA021C6E19D8</x:v>
      </x:c>
      <x:c r="B1203" s="12" t="str">
        <x:v>InCred</x:v>
      </x:c>
      <x:c r="C1203" s="12" t="str">
        <x:v>Business / brand</x:v>
      </x:c>
      <x:c r="D1203" s="12" t="str">
        <x:v>Finance &amp; insurance</x:v>
      </x:c>
      <x:c r="E1203" s="12" t="str">
        <x:v>Investments, securities &amp; wealth</x:v>
      </x:c>
      <x:c r="F1203" s="12" t="str">
        <x:v>Mixed business audience</x:v>
      </x:c>
      <x:c r="G1203" s="12" t="str">
        <x:v>Recognisable business context; company-scale evidence remains insufficient for a single size band.</x:v>
      </x:c>
      <x:c r="H1203" s="11" t="n">
        <x:v>1</x:v>
      </x:c>
      <x:c r="I1203" s="11" t="n">
        <x:v>1</x:v>
      </x:c>
      <x:c r="J1203" s="11" t="n">
        <x:v>1</x:v>
      </x:c>
      <x:c r="K1203" s="11" t="n">
        <x:v>0</x:v>
      </x:c>
      <x:c r="L1203" s="17" t="n">
        <x:f>SUM(SUMIFS('Costing'!$P$9:$P$492,'Costing'!$A$9:$A$492,"MAIN-269"))</x:f>
        <x:v>40000</x:v>
      </x:c>
      <x:c r="M1203" s="17" t="n">
        <x:f>ROUND(L1203*'Costing'!$C$4,2)</x:f>
        <x:v>7200</x:v>
      </x:c>
      <x:c r="N1203" s="17" t="n">
        <x:f>L1203+M1203</x:f>
        <x:v>47200</x:v>
      </x:c>
      <x:c r="O1203" s="12" t="str">
        <x:v>Indore</x:v>
      </x:c>
      <x:c r="P1203" s="12" t="str">
        <x:v>CORP-0265</x:v>
      </x:c>
      <x:c r="Q1203" s="12" t="str">
        <x:v>InCred</x:v>
      </x:c>
    </x:row>
    <x:row r="1204" ht="48" customHeight="1">
      <x:c r="A1204" s="2" t="str">
        <x:v>TEN-7833F51548E5</x:v>
      </x:c>
      <x:c r="B1204" s="12" t="str">
        <x:v>Incred Capital</x:v>
      </x:c>
      <x:c r="C1204" s="12" t="str">
        <x:v>Business / brand</x:v>
      </x:c>
      <x:c r="D1204" s="12" t="str">
        <x:v>Finance &amp; insurance</x:v>
      </x:c>
      <x:c r="E1204" s="12" t="str">
        <x:v>Investments, securities &amp; wealth</x:v>
      </x:c>
      <x:c r="F1204" s="12" t="str">
        <x:v>Mixed business audience</x:v>
      </x:c>
      <x:c r="G1204" s="12" t="str">
        <x:v>Recognisable business context; company-scale evidence remains insufficient for a single size band.</x:v>
      </x:c>
      <x:c r="H1204" s="11" t="n">
        <x:v>3</x:v>
      </x:c>
      <x:c r="I1204" s="11" t="n">
        <x:v>3</x:v>
      </x:c>
      <x:c r="J1204" s="11" t="n">
        <x:v>3</x:v>
      </x:c>
      <x:c r="K1204" s="11" t="n">
        <x:v>0</x:v>
      </x:c>
      <x:c r="L1204" s="17" t="n">
        <x:f>SUM(SUMIFS('Costing'!$P$9:$P$492,'Costing'!$A$9:$A$492,"PARTNER-M175"))</x:f>
        <x:v>120000</x:v>
      </x:c>
      <x:c r="M1204" s="17" t="n">
        <x:f>ROUND(L1204*'Costing'!$C$4,2)</x:f>
        <x:v>21600</x:v>
      </x:c>
      <x:c r="N1204" s="17" t="n">
        <x:f>L1204+M1204</x:f>
        <x:v>141600</x:v>
      </x:c>
      <x:c r="O1204" s="12" t="str">
        <x:v>Mumbai</x:v>
      </x:c>
      <x:c r="P1204" s="12" t="str">
        <x:v>CORP-0592, CORP-0593, CORP-0594</x:v>
      </x:c>
      <x:c r="Q1204" s="12" t="str">
        <x:v>Incred Capital</x:v>
      </x:c>
    </x:row>
    <x:row r="1205" ht="48" customHeight="1">
      <x:c r="A1205" s="2" t="str">
        <x:v>TEN-BE234565AEEE</x:v>
      </x:c>
      <x:c r="B1205" s="12" t="str">
        <x:v>Incred Financial</x:v>
      </x:c>
      <x:c r="C1205" s="12" t="str">
        <x:v>Business / brand</x:v>
      </x:c>
      <x:c r="D1205" s="12" t="str">
        <x:v>Finance &amp; insurance</x:v>
      </x:c>
      <x:c r="E1205" s="12" t="str">
        <x:v>Financial services — specialty unverified</x:v>
      </x:c>
      <x:c r="F1205" s="12" t="str">
        <x:v>Mixed business audience</x:v>
      </x:c>
      <x:c r="G1205" s="12" t="str">
        <x:v>Recognisable business context; company-scale evidence remains insufficient for a single size band.</x:v>
      </x:c>
      <x:c r="H1205" s="11" t="n">
        <x:v>9</x:v>
      </x:c>
      <x:c r="I1205" s="11" t="n">
        <x:v>9</x:v>
      </x:c>
      <x:c r="J1205" s="11" t="n">
        <x:v>9</x:v>
      </x:c>
      <x:c r="K1205" s="11" t="n">
        <x:v>0</x:v>
      </x:c>
      <x:c r="L1205" s="17" t="n">
        <x:f>SUM(SUMIFS('Costing'!$P$9:$P$492,'Costing'!$A$9:$A$492,"PARTNER-M002"))</x:f>
        <x:v>360000</x:v>
      </x:c>
      <x:c r="M1205" s="17" t="n">
        <x:f>ROUND(L1205*'Costing'!$C$4,2)</x:f>
        <x:v>64800</x:v>
      </x:c>
      <x:c r="N1205" s="17" t="n">
        <x:f>L1205+M1205</x:f>
        <x:v>424800</x:v>
      </x:c>
      <x:c r="O1205" s="12" t="str">
        <x:v>Bengaluru</x:v>
      </x:c>
      <x:c r="P1205" s="12" t="str">
        <x:v>CORP-0420, CORP-0421, CORP-0422, CORP-0423, CORP-0424, CORP-0425, CORP-0426, CORP-0427, CORP-0428</x:v>
      </x:c>
      <x:c r="Q1205" s="12" t="str">
        <x:v>Incred Financial</x:v>
      </x:c>
    </x:row>
    <x:row r="1206" ht="49" customHeight="1">
      <x:c r="A1206" s="2" t="str">
        <x:v>TEN-5231E575AC27</x:v>
      </x:c>
      <x:c r="B1206" s="12" t="str">
        <x:v>Incuspaze</x:v>
      </x:c>
      <x:c r="C1206" s="12" t="str">
        <x:v>Workspace operator</x:v>
      </x:c>
      <x:c r="D1206" s="12" t="str">
        <x:v>Workspace &amp; property operations</x:v>
      </x:c>
      <x:c r="E1206" s="12" t="str">
        <x:v>Coworking/workspace operator</x:v>
      </x:c>
      <x:c r="F1206" s="12" t="str">
        <x:v>Mixed business audience</x:v>
      </x:c>
      <x:c r="G1206" s="12" t="str">
        <x:v>Supplied entry is a shared-workspace operator; the business sizes of occupant companies cannot be derived from the operator name.</x:v>
      </x:c>
      <x:c r="H1206" s="11" t="n">
        <x:v>1</x:v>
      </x:c>
      <x:c r="I1206" s="11" t="n">
        <x:v>2</x:v>
      </x:c>
      <x:c r="J1206" s="11" t="n">
        <x:v>2</x:v>
      </x:c>
      <x:c r="K1206" s="11" t="n">
        <x:v>0</x:v>
      </x:c>
      <x:c r="L1206" s="17" t="n">
        <x:f>SUM(SUMIFS('Costing'!$P$9:$P$492,'Costing'!$A$9:$A$492,"MAIN-207"))</x:f>
        <x:v>80000</x:v>
      </x:c>
      <x:c r="M1206" s="17" t="n">
        <x:f>ROUND(L1206*'Costing'!$C$4,2)</x:f>
        <x:v>14400</x:v>
      </x:c>
      <x:c r="N1206" s="17" t="n">
        <x:f>L1206+M1206</x:f>
        <x:v>94400</x:v>
      </x:c>
      <x:c r="O1206" s="12" t="str">
        <x:v>Delhi NCR</x:v>
      </x:c>
      <x:c r="P1206" s="12" t="str">
        <x:v>CORP-0203</x:v>
      </x:c>
      <x:c r="Q1206" s="12" t="str">
        <x:v>Incuspaze</x:v>
      </x:c>
    </x:row>
    <x:row r="1207" ht="48" customHeight="1">
      <x:c r="A1207" s="2" t="str">
        <x:v>TEN-6BCAF693F975</x:v>
      </x:c>
      <x:c r="B1207" s="12" t="str">
        <x:v>Indana Hotels &amp; Resorts</x:v>
      </x:c>
      <x:c r="C1207" s="12" t="str">
        <x:v>Business / brand</x:v>
      </x:c>
      <x:c r="D1207" s="12" t="str">
        <x:v>Trade, consumer &amp; logistics</x:v>
      </x:c>
      <x:c r="E1207" s="12" t="str">
        <x:v>Travel, hospitality, food &amp; beverages</x:v>
      </x:c>
      <x:c r="F1207" s="12" t="str">
        <x:v>Small-scale prospects</x:v>
      </x:c>
      <x:c r="G1207" s="12" t="str">
        <x:v>Trading or consumer-services business; small-scale prospect assumption.</x:v>
      </x:c>
      <x:c r="H1207" s="11" t="n">
        <x:v>4</x:v>
      </x:c>
      <x:c r="I1207" s="11" t="n">
        <x:v>4</x:v>
      </x:c>
      <x:c r="J1207" s="11" t="n">
        <x:v>4</x:v>
      </x:c>
      <x:c r="K1207" s="11" t="n">
        <x:v>0</x:v>
      </x:c>
      <x:c r="L1207" s="17" t="n">
        <x:f>SUM(SUMIFS('Costing'!$P$9:$P$492,'Costing'!$A$9:$A$492,"PARTNER-M247"))</x:f>
        <x:v>160000</x:v>
      </x:c>
      <x:c r="M1207" s="17" t="n">
        <x:f>ROUND(L1207*'Costing'!$C$4,2)</x:f>
        <x:v>28800</x:v>
      </x:c>
      <x:c r="N1207" s="17" t="n">
        <x:f>L1207+M1207</x:f>
        <x:v>188800</x:v>
      </x:c>
      <x:c r="O1207" s="12" t="str">
        <x:v>Mumbai</x:v>
      </x:c>
      <x:c r="P1207" s="12" t="str">
        <x:v>CORP-0664, CORP-0665, CORP-0666, CORP-0667</x:v>
      </x:c>
      <x:c r="Q1207" s="12" t="str">
        <x:v>Indana Hotels &amp; Resorts</x:v>
      </x:c>
    </x:row>
    <x:row r="1208" ht="49" customHeight="1">
      <x:c r="A1208" s="2" t="str">
        <x:v>TEN-DEE80628077C</x:v>
      </x:c>
      <x:c r="B1208" s="12" t="str">
        <x:v>Indeed.co.in</x:v>
      </x:c>
      <x:c r="C1208" s="12" t="str">
        <x:v>Business / brand</x:v>
      </x:c>
      <x:c r="D1208" s="12" t="str">
        <x:v>Professional services</x:v>
      </x:c>
      <x:c r="E1208" s="12" t="str">
        <x:v>Research, marketing &amp; professional services</x:v>
      </x:c>
      <x:c r="F1208" s="12" t="str">
        <x:v>Mixed business audience</x:v>
      </x:c>
      <x:c r="G1208" s="12" t="str">
        <x:v>Established brand or business network; local company scale is not established. Use a mixed-business message.</x:v>
      </x:c>
      <x:c r="H1208" s="11" t="n">
        <x:v>11</x:v>
      </x:c>
      <x:c r="I1208" s="11" t="n">
        <x:v>11</x:v>
      </x:c>
      <x:c r="J1208" s="11" t="n">
        <x:v>11</x:v>
      </x:c>
      <x:c r="K1208" s="11" t="n">
        <x:v>0</x:v>
      </x:c>
      <x:c r="L1208" s="17" t="n">
        <x:f>SUM(SUMIFS('Costing'!$P$9:$P$492,'Costing'!$A$9:$A$492,"PARTNER-M082"))</x:f>
        <x:v>440000</x:v>
      </x:c>
      <x:c r="M1208" s="17" t="n">
        <x:f>ROUND(L1208*'Costing'!$C$4,2)</x:f>
        <x:v>79200</x:v>
      </x:c>
      <x:c r="N1208" s="17" t="n">
        <x:f>L1208+M1208</x:f>
        <x:v>519200</x:v>
      </x:c>
      <x:c r="O1208" s="12" t="str">
        <x:v>Bengaluru</x:v>
      </x:c>
      <x:c r="P1208" s="12" t="str">
        <x:v>CORP-0500, CORP-0501, CORP-0502, CORP-0503, CORP-0504, CORP-0505, CORP-0506, CORP-0507, CORP-0508, CORP-0509, CORP-0510</x:v>
      </x:c>
      <x:c r="Q1208" s="12" t="str">
        <x:v>Indeed.co.in</x:v>
      </x:c>
    </x:row>
    <x:row r="1209" ht="48" customHeight="1">
      <x:c r="A1209" s="2" t="str">
        <x:v>TEN-0A68AD38CEB3</x:v>
      </x:c>
      <x:c r="B1209" s="12" t="str">
        <x:v>Indegene Lifesystems</x:v>
      </x:c>
      <x:c r="C1209" s="12" t="str">
        <x:v>Business / brand</x:v>
      </x:c>
      <x:c r="D1209" s="12" t="str">
        <x:v>Healthcare &amp; life sciences</x:v>
      </x:c>
      <x:c r="E1209" s="12" t="str">
        <x:v>Clinical, pharmaceutical &amp; health services</x:v>
      </x:c>
      <x:c r="F1209" s="12" t="str">
        <x:v>Mixed business audience</x:v>
      </x:c>
      <x:c r="G1209" s="12" t="str">
        <x:v>Established brand or business network; local company scale is not established. Use a mixed-business message.</x:v>
      </x:c>
      <x:c r="H1209" s="11" t="n">
        <x:v>5</x:v>
      </x:c>
      <x:c r="I1209" s="11" t="n">
        <x:v>5</x:v>
      </x:c>
      <x:c r="J1209" s="11" t="n">
        <x:v>5</x:v>
      </x:c>
      <x:c r="K1209" s="11" t="n">
        <x:v>0</x:v>
      </x:c>
      <x:c r="L1209" s="17" t="n">
        <x:f>SUM(SUMIFS('Costing'!$P$9:$P$492,'Costing'!$A$9:$A$492,"PARTNER-M051"))</x:f>
        <x:v>200000</x:v>
      </x:c>
      <x:c r="M1209" s="17" t="n">
        <x:f>ROUND(L1209*'Costing'!$C$4,2)</x:f>
        <x:v>36000</x:v>
      </x:c>
      <x:c r="N1209" s="17" t="n">
        <x:f>L1209+M1209</x:f>
        <x:v>236000</x:v>
      </x:c>
      <x:c r="O1209" s="12" t="str">
        <x:v>Bengaluru</x:v>
      </x:c>
      <x:c r="P1209" s="12" t="str">
        <x:v>CORP-0469, CORP-0470, CORP-0471, CORP-0472, CORP-0473</x:v>
      </x:c>
      <x:c r="Q1209" s="12" t="str">
        <x:v>Indegene Lifesystems</x:v>
      </x:c>
    </x:row>
    <x:row r="1210" ht="48" customHeight="1">
      <x:c r="A1210" s="2" t="str">
        <x:v>TEN-C27FF66117D5</x:v>
      </x:c>
      <x:c r="B1210" s="12" t="str">
        <x:v>Index Lithigraphy</x:v>
      </x:c>
      <x:c r="C1210" s="12" t="str">
        <x:v>Business / brand</x:v>
      </x:c>
      <x:c r="D1210" s="12" t="str">
        <x:v>Engineering &amp; manufacturing</x:v>
      </x:c>
      <x:c r="E1210" s="12" t="str">
        <x:v>Electronics, industrial systems &amp; manufacturing</x:v>
      </x:c>
      <x:c r="F1210" s="12" t="str">
        <x:v>Medium-scale prospects</x:v>
      </x:c>
      <x:c r="G1210" s="12" t="str">
        <x:v>Specialist industrial or engineering business; medium-scale prospect assumption.</x:v>
      </x:c>
      <x:c r="H1210" s="11" t="n">
        <x:v>9</x:v>
      </x:c>
      <x:c r="I1210" s="11" t="n">
        <x:v>9</x:v>
      </x:c>
      <x:c r="J1210" s="11" t="n">
        <x:v>9</x:v>
      </x:c>
      <x:c r="K1210" s="11" t="n">
        <x:v>0</x:v>
      </x:c>
      <x:c r="L1210" s="17" t="n">
        <x:f>SUM(SUMIFS('Costing'!$P$9:$P$492,'Costing'!$A$9:$A$492,"PARTNER-M002"))</x:f>
        <x:v>360000</x:v>
      </x:c>
      <x:c r="M1210" s="17" t="n">
        <x:f>ROUND(L1210*'Costing'!$C$4,2)</x:f>
        <x:v>64800</x:v>
      </x:c>
      <x:c r="N1210" s="17" t="n">
        <x:f>L1210+M1210</x:f>
        <x:v>424800</x:v>
      </x:c>
      <x:c r="O1210" s="12" t="str">
        <x:v>Bengaluru</x:v>
      </x:c>
      <x:c r="P1210" s="12" t="str">
        <x:v>CORP-0420, CORP-0421, CORP-0422, CORP-0423, CORP-0424, CORP-0425, CORP-0426, CORP-0427, CORP-0428</x:v>
      </x:c>
      <x:c r="Q1210" s="12" t="str">
        <x:v>Index Lithigraphy</x:v>
      </x:c>
    </x:row>
    <x:row r="1211" ht="49" customHeight="1">
      <x:c r="A1211" s="2" t="str">
        <x:v>TEN-5186376CE032</x:v>
      </x:c>
      <x:c r="B1211" s="12" t="str">
        <x:v>India Accelerator</x:v>
      </x:c>
      <x:c r="C1211" s="12" t="str">
        <x:v>Workspace operator</x:v>
      </x:c>
      <x:c r="D1211" s="12" t="str">
        <x:v>Workspace &amp; property operations</x:v>
      </x:c>
      <x:c r="E1211" s="12" t="str">
        <x:v>Coworking/workspace operator</x:v>
      </x:c>
      <x:c r="F1211" s="12" t="str">
        <x:v>Mixed business audience</x:v>
      </x:c>
      <x:c r="G1211" s="12" t="str">
        <x:v>Supplied entry is a shared-workspace operator; the business sizes of occupant companies cannot be derived from the operator name.</x:v>
      </x:c>
      <x:c r="H1211" s="11" t="n">
        <x:v>2</x:v>
      </x:c>
      <x:c r="I1211" s="11" t="n">
        <x:v>4</x:v>
      </x:c>
      <x:c r="J1211" s="11" t="n">
        <x:v>4</x:v>
      </x:c>
      <x:c r="K1211" s="11" t="n">
        <x:v>0</x:v>
      </x:c>
      <x:c r="L1211" s="17" t="n">
        <x:f>SUM(SUMIFS('Costing'!$P$9:$P$492,'Costing'!$A$9:$A$492,"MAIN-192"),SUMIFS('Costing'!$P$9:$P$492,'Costing'!$A$9:$A$492,"MAIN-193"))</x:f>
        <x:v>85000</x:v>
      </x:c>
      <x:c r="M1211" s="17" t="n">
        <x:f>ROUND(L1211*'Costing'!$C$4,2)</x:f>
        <x:v>15300</x:v>
      </x:c>
      <x:c r="N1211" s="17" t="n">
        <x:f>L1211+M1211</x:f>
        <x:v>100300</x:v>
      </x:c>
      <x:c r="O1211" s="12" t="str">
        <x:v>Delhi NCR</x:v>
      </x:c>
      <x:c r="P1211" s="12" t="str">
        <x:v>CORP-0188, CORP-0189</x:v>
      </x:c>
      <x:c r="Q1211" s="12" t="str">
        <x:v>India Accelerator</x:v>
      </x:c>
    </x:row>
    <x:row r="1212" ht="48" customHeight="1">
      <x:c r="A1212" s="2" t="str">
        <x:v>TEN-E1C13B3EF2E0</x:v>
      </x:c>
      <x:c r="B1212" s="12" t="str">
        <x:v>India Bonds</x:v>
      </x:c>
      <x:c r="C1212" s="12" t="str">
        <x:v>Business / brand</x:v>
      </x:c>
      <x:c r="D1212" s="12" t="str">
        <x:v>Finance &amp; insurance</x:v>
      </x:c>
      <x:c r="E1212" s="12" t="str">
        <x:v>Banking, insurance, investments &amp; financial services</x:v>
      </x:c>
      <x:c r="F1212" s="12" t="str">
        <x:v>Medium-scale prospects</x:v>
      </x:c>
      <x:c r="G1212" s="12" t="str">
        <x:v>Specialist financial-services business; medium-scale prospect assumption.</x:v>
      </x:c>
      <x:c r="H1212" s="11" t="n">
        <x:v>6</x:v>
      </x:c>
      <x:c r="I1212" s="11" t="n">
        <x:v>6</x:v>
      </x:c>
      <x:c r="J1212" s="11" t="n">
        <x:v>6</x:v>
      </x:c>
      <x:c r="K1212" s="11" t="n">
        <x:v>0</x:v>
      </x:c>
      <x:c r="L1212" s="17" t="n">
        <x:f>SUM(SUMIFS('Costing'!$P$9:$P$492,'Costing'!$A$9:$A$492,"PARTNER-M227"))</x:f>
        <x:v>240000</x:v>
      </x:c>
      <x:c r="M1212" s="17" t="n">
        <x:f>ROUND(L1212*'Costing'!$C$4,2)</x:f>
        <x:v>43200</x:v>
      </x:c>
      <x:c r="N1212" s="17" t="n">
        <x:f>L1212+M1212</x:f>
        <x:v>283200</x:v>
      </x:c>
      <x:c r="O1212" s="12" t="str">
        <x:v>Mumbai</x:v>
      </x:c>
      <x:c r="P1212" s="12" t="str">
        <x:v>CORP-0644, CORP-0645, CORP-0646, CORP-0647, CORP-0648, CORP-0649</x:v>
      </x:c>
      <x:c r="Q1212" s="12" t="str">
        <x:v>India Bonds</x:v>
      </x:c>
    </x:row>
    <x:row r="1213" ht="48" customHeight="1">
      <x:c r="A1213" s="2" t="str">
        <x:v>TEN-CCAF93725C39</x:v>
      </x:c>
      <x:c r="B1213" s="12" t="str">
        <x:v>India Document Solutions Private Ltd</x:v>
      </x:c>
      <x:c r="C1213" s="12" t="str">
        <x:v>Business / brand</x:v>
      </x:c>
      <x:c r="D1213" s="12" t="str">
        <x:v>Unresolved</x:v>
      </x:c>
      <x:c r="E1213" s="12" t="str">
        <x:v>Business activity not established</x:v>
      </x:c>
      <x:c r="F1213" s="12" t="str">
        <x:v>Mixed business audience</x:v>
      </x:c>
      <x:c r="G1213" s="12" t="str">
        <x:v>Business activity and company scale are not established from this name.</x:v>
      </x:c>
      <x:c r="H1213" s="11" t="n">
        <x:v>7</x:v>
      </x:c>
      <x:c r="I1213" s="11" t="n">
        <x:v>7</x:v>
      </x:c>
      <x:c r="J1213" s="11" t="n">
        <x:v>7</x:v>
      </x:c>
      <x:c r="K1213" s="11" t="n">
        <x:v>0</x:v>
      </x:c>
      <x:c r="L1213" s="17" t="n">
        <x:f>SUM(SUMIFS('Costing'!$P$9:$P$492,'Costing'!$A$9:$A$492,"PARTNER-M027"))</x:f>
        <x:v>280000</x:v>
      </x:c>
      <x:c r="M1213" s="17" t="n">
        <x:f>ROUND(L1213*'Costing'!$C$4,2)</x:f>
        <x:v>50400</x:v>
      </x:c>
      <x:c r="N1213" s="17" t="n">
        <x:f>L1213+M1213</x:f>
        <x:v>330400</x:v>
      </x:c>
      <x:c r="O1213" s="12" t="str">
        <x:v>Bengaluru</x:v>
      </x:c>
      <x:c r="P1213" s="12" t="str">
        <x:v>CORP-0445, CORP-0446, CORP-0447, CORP-0448, CORP-0449, CORP-0450, CORP-0451</x:v>
      </x:c>
      <x:c r="Q1213" s="12" t="str">
        <x:v>India Document Solutions Private Ltd</x:v>
      </x:c>
    </x:row>
    <x:row r="1214" ht="48" customHeight="1">
      <x:c r="A1214" s="2" t="str">
        <x:v>TEN-199013F9C68B</x:v>
      </x:c>
      <x:c r="B1214" s="12" t="str">
        <x:v>India News</x:v>
      </x:c>
      <x:c r="C1214" s="12" t="str">
        <x:v>Business / brand</x:v>
      </x:c>
      <x:c r="D1214" s="12" t="str">
        <x:v>Trade, consumer &amp; logistics</x:v>
      </x:c>
      <x:c r="E1214" s="12" t="str">
        <x:v>Entertainment, media &amp; events</x:v>
      </x:c>
      <x:c r="F1214" s="12" t="str">
        <x:v>Mixed business audience</x:v>
      </x:c>
      <x:c r="G1214" s="12" t="str">
        <x:v>Established brand or business network; local company scale is not established. Use a mixed-business message.</x:v>
      </x:c>
      <x:c r="H1214" s="11" t="n">
        <x:v>1</x:v>
      </x:c>
      <x:c r="I1214" s="11" t="n">
        <x:v>2</x:v>
      </x:c>
      <x:c r="J1214" s="11" t="n">
        <x:v>2</x:v>
      </x:c>
      <x:c r="K1214" s="11" t="n">
        <x:v>0</x:v>
      </x:c>
      <x:c r="L1214" s="17" t="n">
        <x:f>SUM(SUMIFS('Costing'!$P$9:$P$492,'Costing'!$A$9:$A$492,"MAIN-288"))</x:f>
        <x:v>40000</x:v>
      </x:c>
      <x:c r="M1214" s="17" t="n">
        <x:f>ROUND(L1214*'Costing'!$C$4,2)</x:f>
        <x:v>7200</x:v>
      </x:c>
      <x:c r="N1214" s="17" t="n">
        <x:f>L1214+M1214</x:f>
        <x:v>47200</x:v>
      </x:c>
      <x:c r="O1214" s="12" t="str">
        <x:v>Lucknow</x:v>
      </x:c>
      <x:c r="P1214" s="12" t="str">
        <x:v>CORP-0284</x:v>
      </x:c>
      <x:c r="Q1214" s="12" t="str">
        <x:v>India News</x:v>
      </x:c>
    </x:row>
    <x:row r="1215" ht="48" customHeight="1">
      <x:c r="A1215" s="2" t="str">
        <x:v>TEN-7D43CDC02A4B</x:v>
      </x:c>
      <x:c r="B1215" s="12" t="str">
        <x:v>Indian Commodity Exchange Ltd</x:v>
      </x:c>
      <x:c r="C1215" s="12" t="str">
        <x:v>Business / brand</x:v>
      </x:c>
      <x:c r="D1215" s="12" t="str">
        <x:v>Finance &amp; insurance</x:v>
      </x:c>
      <x:c r="E1215" s="12" t="str">
        <x:v>Banking, insurance, investments &amp; financial services</x:v>
      </x:c>
      <x:c r="F1215" s="12" t="str">
        <x:v>Medium-scale prospects</x:v>
      </x:c>
      <x:c r="G1215" s="12" t="str">
        <x:v>Specialist financial-services business; medium-scale prospect assumption.</x:v>
      </x:c>
      <x:c r="H1215" s="11" t="n">
        <x:v>4</x:v>
      </x:c>
      <x:c r="I1215" s="11" t="n">
        <x:v>4</x:v>
      </x:c>
      <x:c r="J1215" s="11" t="n">
        <x:v>4</x:v>
      </x:c>
      <x:c r="K1215" s="11" t="n">
        <x:v>0</x:v>
      </x:c>
      <x:c r="L1215" s="17" t="n">
        <x:f>SUM(SUMIFS('Costing'!$P$9:$P$492,'Costing'!$A$9:$A$492,"PARTNER-M197"))</x:f>
        <x:v>160000</x:v>
      </x:c>
      <x:c r="M1215" s="17" t="n">
        <x:f>ROUND(L1215*'Costing'!$C$4,2)</x:f>
        <x:v>28800</x:v>
      </x:c>
      <x:c r="N1215" s="17" t="n">
        <x:f>L1215+M1215</x:f>
        <x:v>188800</x:v>
      </x:c>
      <x:c r="O1215" s="12" t="str">
        <x:v>Mumbai</x:v>
      </x:c>
      <x:c r="P1215" s="12" t="str">
        <x:v>CORP-0614, CORP-0615, CORP-0616, CORP-0617</x:v>
      </x:c>
      <x:c r="Q1215" s="12" t="str">
        <x:v>Indian Commodity Exchange Ltd</x:v>
      </x:c>
    </x:row>
    <x:row r="1216" ht="48" customHeight="1">
      <x:c r="A1216" s="2" t="str">
        <x:v>TEN-DB7C8ADDD504</x:v>
      </x:c>
      <x:c r="B1216" s="12" t="str">
        <x:v>Indian Energy Exchange</x:v>
      </x:c>
      <x:c r="C1216" s="12" t="str">
        <x:v>Business / brand</x:v>
      </x:c>
      <x:c r="D1216" s="12" t="str">
        <x:v>Finance &amp; insurance</x:v>
      </x:c>
      <x:c r="E1216" s="12" t="str">
        <x:v>Banking, credit &amp; financial services</x:v>
      </x:c>
      <x:c r="F1216" s="12" t="str">
        <x:v>Mixed business audience</x:v>
      </x:c>
      <x:c r="G1216" s="12" t="str">
        <x:v>Established brand or business network; local company scale is not established. Use a mixed-business message.</x:v>
      </x:c>
      <x:c r="H1216" s="11" t="n">
        <x:v>4</x:v>
      </x:c>
      <x:c r="I1216" s="11" t="n">
        <x:v>4</x:v>
      </x:c>
      <x:c r="J1216" s="11" t="n">
        <x:v>4</x:v>
      </x:c>
      <x:c r="K1216" s="11" t="n">
        <x:v>0</x:v>
      </x:c>
      <x:c r="L1216" s="17" t="n">
        <x:f>SUM(SUMIFS('Costing'!$P$9:$P$492,'Costing'!$A$9:$A$492,"PARTNER-M235"))</x:f>
        <x:v>160000</x:v>
      </x:c>
      <x:c r="M1216" s="17" t="n">
        <x:f>ROUND(L1216*'Costing'!$C$4,2)</x:f>
        <x:v>28800</x:v>
      </x:c>
      <x:c r="N1216" s="17" t="n">
        <x:f>L1216+M1216</x:f>
        <x:v>188800</x:v>
      </x:c>
      <x:c r="O1216" s="12" t="str">
        <x:v>Mumbai</x:v>
      </x:c>
      <x:c r="P1216" s="12" t="str">
        <x:v>CORP-0652, CORP-0653, CORP-0654, CORP-0655</x:v>
      </x:c>
      <x:c r="Q1216" s="12" t="str">
        <x:v>Indian Energy Exchange</x:v>
      </x:c>
    </x:row>
    <x:row r="1217" ht="48" customHeight="1">
      <x:c r="A1217" s="2" t="str">
        <x:v>TEN-F17F1636FFB9</x:v>
      </x:c>
      <x:c r="B1217" s="12" t="str">
        <x:v>Indian Explosives Pvt Ltd (Orica)</x:v>
      </x:c>
      <x:c r="C1217" s="12" t="str">
        <x:v>Business / brand</x:v>
      </x:c>
      <x:c r="D1217" s="12" t="str">
        <x:v>Engineering &amp; manufacturing</x:v>
      </x:c>
      <x:c r="E1217" s="12" t="str">
        <x:v>Chemicals, materials &amp; industrial manufacturing</x:v>
      </x:c>
      <x:c r="F1217" s="12" t="str">
        <x:v>Mixed business audience</x:v>
      </x:c>
      <x:c r="G1217" s="12" t="str">
        <x:v>Established brand or business network; local company scale is not established. Use a mixed-business message.</x:v>
      </x:c>
      <x:c r="H1217" s="11" t="n">
        <x:v>1</x:v>
      </x:c>
      <x:c r="I1217" s="11" t="n">
        <x:v>4</x:v>
      </x:c>
      <x:c r="J1217" s="11" t="n">
        <x:v>4</x:v>
      </x:c>
      <x:c r="K1217" s="11" t="n">
        <x:v>0</x:v>
      </x:c>
      <x:c r="L1217" s="17" t="n">
        <x:f>SUM(SUMIFS('Costing'!$P$9:$P$492,'Costing'!$A$9:$A$492,"MAIN-265"))</x:f>
        <x:v>100000</x:v>
      </x:c>
      <x:c r="M1217" s="17" t="n">
        <x:f>ROUND(L1217*'Costing'!$C$4,2)</x:f>
        <x:v>18000</x:v>
      </x:c>
      <x:c r="N1217" s="17" t="n">
        <x:f>L1217+M1217</x:f>
        <x:v>118000</x:v>
      </x:c>
      <x:c r="O1217" s="12" t="str">
        <x:v>Hyderabad</x:v>
      </x:c>
      <x:c r="P1217" s="12" t="str">
        <x:v>CORP-0261</x:v>
      </x:c>
      <x:c r="Q1217" s="12" t="str">
        <x:v>Indian Explosives Pvt Ltd (Orica)</x:v>
      </x:c>
    </x:row>
    <x:row r="1218" ht="48" customHeight="1">
      <x:c r="A1218" s="2" t="str">
        <x:v>TEN-A95540D918DF</x:v>
      </x:c>
      <x:c r="B1218" s="12" t="str">
        <x:v>Indian hotels company pvt ltd</x:v>
      </x:c>
      <x:c r="C1218" s="12" t="str">
        <x:v>Business / brand</x:v>
      </x:c>
      <x:c r="D1218" s="12" t="str">
        <x:v>Trade, consumer &amp; logistics</x:v>
      </x:c>
      <x:c r="E1218" s="12" t="str">
        <x:v>Travel, hospitality, food &amp; beverages</x:v>
      </x:c>
      <x:c r="F1218" s="12" t="str">
        <x:v>Large enterprise</x:v>
      </x:c>
      <x:c r="G1218" s="12" t="str">
        <x:v>Explicit Tata enterprise-family context; see ENTERPRISE_SUPP_006 evidence.</x:v>
      </x:c>
      <x:c r="H1218" s="11" t="n">
        <x:v>1</x:v>
      </x:c>
      <x:c r="I1218" s="11" t="n">
        <x:v>1</x:v>
      </x:c>
      <x:c r="J1218" s="11" t="n">
        <x:v>1</x:v>
      </x:c>
      <x:c r="K1218" s="11" t="n">
        <x:v>0</x:v>
      </x:c>
      <x:c r="L1218" s="17" t="n">
        <x:f>SUM(SUMIFS('Costing'!$P$9:$P$492,'Costing'!$A$9:$A$492,"MAIN-354"))</x:f>
        <x:v>25000</x:v>
      </x:c>
      <x:c r="M1218" s="17" t="n">
        <x:f>ROUND(L1218*'Costing'!$C$4,2)</x:f>
        <x:v>4500</x:v>
      </x:c>
      <x:c r="N1218" s="17" t="n">
        <x:f>L1218+M1218</x:f>
        <x:v>29500</x:v>
      </x:c>
      <x:c r="O1218" s="12" t="str">
        <x:v>Mumbai</x:v>
      </x:c>
      <x:c r="P1218" s="12" t="str">
        <x:v>CORP-0350</x:v>
      </x:c>
      <x:c r="Q1218" s="12" t="str">
        <x:v>Indian hotels company pvt ltd</x:v>
      </x:c>
    </x:row>
    <x:row r="1219" ht="48" customHeight="1">
      <x:c r="A1219" s="2" t="str">
        <x:v>TEN-56FA58CE1FC6</x:v>
      </x:c>
      <x:c r="B1219" s="12" t="str">
        <x:v>Indian Register of Shipping</x:v>
      </x:c>
      <x:c r="C1219" s="12" t="str">
        <x:v>Business / brand</x:v>
      </x:c>
      <x:c r="D1219" s="12" t="str">
        <x:v>Trade, consumer &amp; logistics</x:v>
      </x:c>
      <x:c r="E1219" s="12" t="str">
        <x:v>Logistics, shipping &amp; transport</x:v>
      </x:c>
      <x:c r="F1219" s="12" t="str">
        <x:v>Mixed business audience</x:v>
      </x:c>
      <x:c r="G1219" s="12" t="str">
        <x:v>Established brand or business network; local company scale is not established. Use a mixed-business message.</x:v>
      </x:c>
      <x:c r="H1219" s="11" t="n">
        <x:v>1</x:v>
      </x:c>
      <x:c r="I1219" s="11" t="n">
        <x:v>2</x:v>
      </x:c>
      <x:c r="J1219" s="11" t="n">
        <x:v>2</x:v>
      </x:c>
      <x:c r="K1219" s="11" t="n">
        <x:v>0</x:v>
      </x:c>
      <x:c r="L1219" s="17" t="n">
        <x:f>SUM(SUMIFS('Costing'!$P$9:$P$492,'Costing'!$A$9:$A$492,"MAIN-407"))</x:f>
        <x:v>30000</x:v>
      </x:c>
      <x:c r="M1219" s="17" t="n">
        <x:f>ROUND(L1219*'Costing'!$C$4,2)</x:f>
        <x:v>5400</x:v>
      </x:c>
      <x:c r="N1219" s="17" t="n">
        <x:f>L1219+M1219</x:f>
        <x:v>35400</x:v>
      </x:c>
      <x:c r="O1219" s="12" t="str">
        <x:v>Pune</x:v>
      </x:c>
      <x:c r="P1219" s="12" t="str">
        <x:v>CORP-0403</x:v>
      </x:c>
      <x:c r="Q1219" s="12" t="str">
        <x:v>Indian Register of Shipping</x:v>
      </x:c>
    </x:row>
    <x:row r="1220" ht="48" customHeight="1">
      <x:c r="A1220" s="2" t="str">
        <x:v>TEN-442159F9AF42</x:v>
      </x:c>
      <x:c r="B1220" s="12" t="str">
        <x:v>indid</x:v>
      </x:c>
      <x:c r="C1220" s="12" t="str">
        <x:v>Business / brand</x:v>
      </x:c>
      <x:c r="D1220" s="12" t="str">
        <x:v>Unresolved</x:v>
      </x:c>
      <x:c r="E1220" s="12" t="str">
        <x:v>Business activity not established</x:v>
      </x:c>
      <x:c r="F1220" s="12" t="str">
        <x:v>Mixed business audience</x:v>
      </x:c>
      <x:c r="G1220" s="12" t="str">
        <x:v>Business activity and company scale are not established from this name.</x:v>
      </x:c>
      <x:c r="H1220" s="11" t="n">
        <x:v>1</x:v>
      </x:c>
      <x:c r="I1220" s="11" t="n">
        <x:v>2</x:v>
      </x:c>
      <x:c r="J1220" s="11" t="n">
        <x:v>2</x:v>
      </x:c>
      <x:c r="K1220" s="11" t="n">
        <x:v>0</x:v>
      </x:c>
      <x:c r="L1220" s="17" t="n">
        <x:f>SUM(SUMIFS('Costing'!$P$9:$P$492,'Costing'!$A$9:$A$492,"MAIN-110"))</x:f>
        <x:v>30000</x:v>
      </x:c>
      <x:c r="M1220" s="17" t="n">
        <x:f>ROUND(L1220*'Costing'!$C$4,2)</x:f>
        <x:v>5400</x:v>
      </x:c>
      <x:c r="N1220" s="17" t="n">
        <x:f>L1220+M1220</x:f>
        <x:v>35400</x:v>
      </x:c>
      <x:c r="O1220" s="12" t="str">
        <x:v>Bengaluru</x:v>
      </x:c>
      <x:c r="P1220" s="12" t="str">
        <x:v>CORP-0106</x:v>
      </x:c>
      <x:c r="Q1220" s="12" t="str">
        <x:v>indid</x:v>
      </x:c>
    </x:row>
    <x:row r="1221" ht="48" customHeight="1">
      <x:c r="A1221" s="2" t="str">
        <x:v>TEN-93355E9D939C</x:v>
      </x:c>
      <x:c r="B1221" s="12" t="str">
        <x:v>Indie Radiation Private Limited</x:v>
      </x:c>
      <x:c r="C1221" s="12" t="str">
        <x:v>Business / brand</x:v>
      </x:c>
      <x:c r="D1221" s="12" t="str">
        <x:v>Unresolved</x:v>
      </x:c>
      <x:c r="E1221" s="12" t="str">
        <x:v>Business activity not established</x:v>
      </x:c>
      <x:c r="F1221" s="12" t="str">
        <x:v>Mixed business audience</x:v>
      </x:c>
      <x:c r="G1221" s="12" t="str">
        <x:v>Business activity and company scale are not established from this name.</x:v>
      </x:c>
      <x:c r="H1221" s="11" t="n">
        <x:v>1</x:v>
      </x:c>
      <x:c r="I1221" s="11" t="n">
        <x:v>3</x:v>
      </x:c>
      <x:c r="J1221" s="11" t="n">
        <x:v>3</x:v>
      </x:c>
      <x:c r="K1221" s="11" t="n">
        <x:v>0</x:v>
      </x:c>
      <x:c r="L1221" s="17" t="n">
        <x:f>SUM(SUMIFS('Costing'!$P$9:$P$492,'Costing'!$A$9:$A$492,"MAIN-359"))</x:f>
        <x:v>75000</x:v>
      </x:c>
      <x:c r="M1221" s="17" t="n">
        <x:f>ROUND(L1221*'Costing'!$C$4,2)</x:f>
        <x:v>13500</x:v>
      </x:c>
      <x:c r="N1221" s="17" t="n">
        <x:f>L1221+M1221</x:f>
        <x:v>88500</x:v>
      </x:c>
      <x:c r="O1221" s="12" t="str">
        <x:v>Mumbai</x:v>
      </x:c>
      <x:c r="P1221" s="12" t="str">
        <x:v>CORP-0355</x:v>
      </x:c>
      <x:c r="Q1221" s="12" t="str">
        <x:v>Indie Radiation Private Limited</x:v>
      </x:c>
    </x:row>
    <x:row r="1222" ht="48" customHeight="1">
      <x:c r="A1222" s="2" t="str">
        <x:v>TEN-A296D95DED54</x:v>
      </x:c>
      <x:c r="B1222" s="12" t="str">
        <x:v>IndigoEdge</x:v>
      </x:c>
      <x:c r="C1222" s="12" t="str">
        <x:v>Business / brand</x:v>
      </x:c>
      <x:c r="D1222" s="12" t="str">
        <x:v>Finance &amp; insurance</x:v>
      </x:c>
      <x:c r="E1222" s="12" t="str">
        <x:v>Investments, securities &amp; wealth</x:v>
      </x:c>
      <x:c r="F1222" s="12" t="str">
        <x:v>Medium-scale prospects</x:v>
      </x:c>
      <x:c r="G1222" s="12" t="str">
        <x:v>Specialist financial-services business; medium-scale prospect assumption.</x:v>
      </x:c>
      <x:c r="H1222" s="11" t="n">
        <x:v>1</x:v>
      </x:c>
      <x:c r="I1222" s="11" t="n">
        <x:v>7</x:v>
      </x:c>
      <x:c r="J1222" s="11" t="n">
        <x:v>7</x:v>
      </x:c>
      <x:c r="K1222" s="11" t="n">
        <x:v>0</x:v>
      </x:c>
      <x:c r="L1222" s="17" t="n">
        <x:f>SUM(SUMIFS('Costing'!$P$9:$P$492,'Costing'!$A$9:$A$492,"MAIN-129"))</x:f>
        <x:v>175000</x:v>
      </x:c>
      <x:c r="M1222" s="17" t="n">
        <x:f>ROUND(L1222*'Costing'!$C$4,2)</x:f>
        <x:v>31500</x:v>
      </x:c>
      <x:c r="N1222" s="17" t="n">
        <x:f>L1222+M1222</x:f>
        <x:v>206500</x:v>
      </x:c>
      <x:c r="O1222" s="12" t="str">
        <x:v>Bengaluru</x:v>
      </x:c>
      <x:c r="P1222" s="12" t="str">
        <x:v>CORP-0125</x:v>
      </x:c>
      <x:c r="Q1222" s="12" t="str">
        <x:v>IndigoEdge</x:v>
      </x:c>
    </x:row>
    <x:row r="1223" ht="49" customHeight="1">
      <x:c r="A1223" s="2" t="str">
        <x:v>TEN-15EFD5F168D9</x:v>
      </x:c>
      <x:c r="B1223" s="12" t="str">
        <x:v>IndiQube Innovent Spaces Pvt. Ltd</x:v>
      </x:c>
      <x:c r="C1223" s="12" t="str">
        <x:v>Workspace operator</x:v>
      </x:c>
      <x:c r="D1223" s="12" t="str">
        <x:v>Workspace &amp; property operations</x:v>
      </x:c>
      <x:c r="E1223" s="12" t="str">
        <x:v>Coworking/workspace operator</x:v>
      </x:c>
      <x:c r="F1223" s="12" t="str">
        <x:v>Mixed business audience</x:v>
      </x:c>
      <x:c r="G1223" s="12" t="str">
        <x:v>Supplied entry is a shared-workspace operator; the business sizes of occupant companies cannot be derived from the operator name.</x:v>
      </x:c>
      <x:c r="H1223" s="11" t="n">
        <x:v>11</x:v>
      </x:c>
      <x:c r="I1223" s="11" t="n">
        <x:v>11</x:v>
      </x:c>
      <x:c r="J1223" s="11" t="n">
        <x:v>11</x:v>
      </x:c>
      <x:c r="K1223" s="11" t="n">
        <x:v>0</x:v>
      </x:c>
      <x:c r="L1223" s="17" t="n">
        <x:f>SUM(SUMIFS('Costing'!$P$9:$P$492,'Costing'!$A$9:$A$492,"PARTNER-M082"))</x:f>
        <x:v>440000</x:v>
      </x:c>
      <x:c r="M1223" s="17" t="n">
        <x:f>ROUND(L1223*'Costing'!$C$4,2)</x:f>
        <x:v>79200</x:v>
      </x:c>
      <x:c r="N1223" s="17" t="n">
        <x:f>L1223+M1223</x:f>
        <x:v>519200</x:v>
      </x:c>
      <x:c r="O1223" s="12" t="str">
        <x:v>Bengaluru</x:v>
      </x:c>
      <x:c r="P1223" s="12" t="str">
        <x:v>CORP-0500, CORP-0501, CORP-0502, CORP-0503, CORP-0504, CORP-0505, CORP-0506, CORP-0507, CORP-0508, CORP-0509, CORP-0510</x:v>
      </x:c>
      <x:c r="Q1223" s="12" t="str">
        <x:v>IndiQube Innovent Spaces Pvt. Ltd</x:v>
      </x:c>
    </x:row>
    <x:row r="1224" ht="48" customHeight="1">
      <x:c r="A1224" s="2" t="str">
        <x:v>TEN-F14290F59852</x:v>
      </x:c>
      <x:c r="B1224" s="12" t="str">
        <x:v>Inditrade Capital</x:v>
      </x:c>
      <x:c r="C1224" s="12" t="str">
        <x:v>Business / brand</x:v>
      </x:c>
      <x:c r="D1224" s="12" t="str">
        <x:v>Finance &amp; insurance</x:v>
      </x:c>
      <x:c r="E1224" s="12" t="str">
        <x:v>Investments, securities &amp; wealth</x:v>
      </x:c>
      <x:c r="F1224" s="12" t="str">
        <x:v>Mixed business audience</x:v>
      </x:c>
      <x:c r="G1224" s="12" t="str">
        <x:v>Established brand or business network; local company scale is not established. Use a mixed-business message.</x:v>
      </x:c>
      <x:c r="H1224" s="11" t="n">
        <x:v>1</x:v>
      </x:c>
      <x:c r="I1224" s="11" t="n">
        <x:v>1</x:v>
      </x:c>
      <x:c r="J1224" s="11" t="n">
        <x:v>1</x:v>
      </x:c>
      <x:c r="K1224" s="11" t="n">
        <x:v>0</x:v>
      </x:c>
      <x:c r="L1224" s="17" t="n">
        <x:f>SUM(SUMIFS('Costing'!$P$9:$P$492,'Costing'!$A$9:$A$492,"MAIN-391"))</x:f>
        <x:v>15000</x:v>
      </x:c>
      <x:c r="M1224" s="17" t="n">
        <x:f>ROUND(L1224*'Costing'!$C$4,2)</x:f>
        <x:v>2700</x:v>
      </x:c>
      <x:c r="N1224" s="17" t="n">
        <x:f>L1224+M1224</x:f>
        <x:v>17700</x:v>
      </x:c>
      <x:c r="O1224" s="12" t="str">
        <x:v>Pune</x:v>
      </x:c>
      <x:c r="P1224" s="12" t="str">
        <x:v>CORP-0387</x:v>
      </x:c>
      <x:c r="Q1224" s="12" t="str">
        <x:v>Inditrade Capital</x:v>
      </x:c>
    </x:row>
    <x:row r="1225" ht="48" customHeight="1">
      <x:c r="A1225" s="2" t="str">
        <x:v>TEN-ED4013670945</x:v>
      </x:c>
      <x:c r="B1225" s="12" t="str">
        <x:v>INDmoney pvt ltd</x:v>
      </x:c>
      <x:c r="C1225" s="12" t="str">
        <x:v>Business / brand</x:v>
      </x:c>
      <x:c r="D1225" s="12" t="str">
        <x:v>Finance &amp; insurance</x:v>
      </x:c>
      <x:c r="E1225" s="12" t="str">
        <x:v>Banking, insurance, investments &amp; financial services</x:v>
      </x:c>
      <x:c r="F1225" s="12" t="str">
        <x:v>Medium-scale prospects</x:v>
      </x:c>
      <x:c r="G1225" s="12" t="str">
        <x:v>Specialist financial-services business; medium-scale prospect assumption.</x:v>
      </x:c>
      <x:c r="H1225" s="11" t="n">
        <x:v>1</x:v>
      </x:c>
      <x:c r="I1225" s="11" t="n">
        <x:v>2</x:v>
      </x:c>
      <x:c r="J1225" s="11" t="n">
        <x:v>2</x:v>
      </x:c>
      <x:c r="K1225" s="11" t="n">
        <x:v>0</x:v>
      </x:c>
      <x:c r="L1225" s="17" t="n">
        <x:f>SUM(SUMIFS('Costing'!$P$9:$P$492,'Costing'!$A$9:$A$492,"MAIN-181"))</x:f>
        <x:v>30000</x:v>
      </x:c>
      <x:c r="M1225" s="17" t="n">
        <x:f>ROUND(L1225*'Costing'!$C$4,2)</x:f>
        <x:v>5400</x:v>
      </x:c>
      <x:c r="N1225" s="17" t="n">
        <x:f>L1225+M1225</x:f>
        <x:v>35400</x:v>
      </x:c>
      <x:c r="O1225" s="12" t="str">
        <x:v>Delhi NCR</x:v>
      </x:c>
      <x:c r="P1225" s="12" t="str">
        <x:v>CORP-0177</x:v>
      </x:c>
      <x:c r="Q1225" s="12" t="str">
        <x:v>INDmoney pvt ltd</x:v>
      </x:c>
    </x:row>
    <x:row r="1226" ht="48" customHeight="1">
      <x:c r="A1226" s="2" t="str">
        <x:v>TEN-BCB13DC1344E</x:v>
      </x:c>
      <x:c r="B1226" s="12" t="str">
        <x:v>INDOFIL INDUSTRIES LTD</x:v>
      </x:c>
      <x:c r="C1226" s="12" t="str">
        <x:v>Business / brand</x:v>
      </x:c>
      <x:c r="D1226" s="12" t="str">
        <x:v>Engineering &amp; manufacturing</x:v>
      </x:c>
      <x:c r="E1226" s="12" t="str">
        <x:v>Engineering/manufacturing — specialty unverified</x:v>
      </x:c>
      <x:c r="F1226" s="12" t="str">
        <x:v>Mixed business audience</x:v>
      </x:c>
      <x:c r="G1226" s="12" t="str">
        <x:v>Recognisable business context; company-scale evidence remains insufficient for a single size band.</x:v>
      </x:c>
      <x:c r="H1226" s="11" t="n">
        <x:v>1</x:v>
      </x:c>
      <x:c r="I1226" s="11" t="n">
        <x:v>2</x:v>
      </x:c>
      <x:c r="J1226" s="11" t="n">
        <x:v>2</x:v>
      </x:c>
      <x:c r="K1226" s="11" t="n">
        <x:v>0</x:v>
      </x:c>
      <x:c r="L1226" s="17" t="n">
        <x:f>SUM(SUMIFS('Costing'!$P$9:$P$492,'Costing'!$A$9:$A$492,"MAIN-216"))</x:f>
        <x:v>30000</x:v>
      </x:c>
      <x:c r="M1226" s="17" t="n">
        <x:f>ROUND(L1226*'Costing'!$C$4,2)</x:f>
        <x:v>5400</x:v>
      </x:c>
      <x:c r="N1226" s="17" t="n">
        <x:f>L1226+M1226</x:f>
        <x:v>35400</x:v>
      </x:c>
      <x:c r="O1226" s="12" t="str">
        <x:v>Hyderabad</x:v>
      </x:c>
      <x:c r="P1226" s="12" t="str">
        <x:v>CORP-0212</x:v>
      </x:c>
      <x:c r="Q1226" s="12" t="str">
        <x:v>INDOFIL INDUSTRIES LTD</x:v>
      </x:c>
    </x:row>
    <x:row r="1227" ht="48" customHeight="1">
      <x:c r="A1227" s="2" t="str">
        <x:v>TEN-CFE74AB3F5EB</x:v>
      </x:c>
      <x:c r="B1227" s="12" t="str">
        <x:v>Indospace Development Management Pvt Ltd</x:v>
      </x:c>
      <x:c r="C1227" s="12" t="str">
        <x:v>Business / brand</x:v>
      </x:c>
      <x:c r="D1227" s="12" t="str">
        <x:v>Trade, consumer &amp; logistics</x:v>
      </x:c>
      <x:c r="E1227" s="12" t="str">
        <x:v>Real estate, property &amp; construction services</x:v>
      </x:c>
      <x:c r="F1227" s="12" t="str">
        <x:v>Mixed business audience</x:v>
      </x:c>
      <x:c r="G1227" s="12" t="str">
        <x:v>Established brand or business network; local company scale is not established. Use a mixed-business message.</x:v>
      </x:c>
      <x:c r="H1227" s="11" t="n">
        <x:v>1</x:v>
      </x:c>
      <x:c r="I1227" s="11" t="n">
        <x:v>8</x:v>
      </x:c>
      <x:c r="J1227" s="11" t="n">
        <x:v>8</x:v>
      </x:c>
      <x:c r="K1227" s="11" t="n">
        <x:v>0</x:v>
      </x:c>
      <x:c r="L1227" s="17" t="n">
        <x:f>SUM(SUMIFS('Costing'!$P$9:$P$492,'Costing'!$A$9:$A$492,"MAIN-327"))</x:f>
        <x:v>320000</x:v>
      </x:c>
      <x:c r="M1227" s="17" t="n">
        <x:f>ROUND(L1227*'Costing'!$C$4,2)</x:f>
        <x:v>57600</x:v>
      </x:c>
      <x:c r="N1227" s="17" t="n">
        <x:f>L1227+M1227</x:f>
        <x:v>377600</x:v>
      </x:c>
      <x:c r="O1227" s="12" t="str">
        <x:v>Mumbai</x:v>
      </x:c>
      <x:c r="P1227" s="12" t="str">
        <x:v>CORP-0323</x:v>
      </x:c>
      <x:c r="Q1227" s="12" t="str">
        <x:v>Indospace Development Management Pvt Ltd</x:v>
      </x:c>
    </x:row>
    <x:row r="1228" ht="48" customHeight="1">
      <x:c r="A1228" s="2" t="str">
        <x:v>TEN-A50B9A607896</x:v>
      </x:c>
      <x:c r="B1228" s="12" t="str">
        <x:v>Indr</x:v>
      </x:c>
      <x:c r="C1228" s="12" t="str">
        <x:v>Business / brand</x:v>
      </x:c>
      <x:c r="D1228" s="12" t="str">
        <x:v>Unresolved</x:v>
      </x:c>
      <x:c r="E1228" s="12" t="str">
        <x:v>Business activity not established</x:v>
      </x:c>
      <x:c r="F1228" s="12" t="str">
        <x:v>Mixed business audience</x:v>
      </x:c>
      <x:c r="G1228" s="12" t="str">
        <x:v>Business activity and company scale are not established from this name.</x:v>
      </x:c>
      <x:c r="H1228" s="11" t="n">
        <x:v>1</x:v>
      </x:c>
      <x:c r="I1228" s="11" t="n">
        <x:v>1</x:v>
      </x:c>
      <x:c r="J1228" s="11" t="n">
        <x:v>1</x:v>
      </x:c>
      <x:c r="K1228" s="11" t="n">
        <x:v>0</x:v>
      </x:c>
      <x:c r="L1228" s="17" t="n">
        <x:f>SUM(SUMIFS('Costing'!$P$9:$P$492,'Costing'!$A$9:$A$492,"MAIN-266"))</x:f>
        <x:v>20000</x:v>
      </x:c>
      <x:c r="M1228" s="17" t="n">
        <x:f>ROUND(L1228*'Costing'!$C$4,2)</x:f>
        <x:v>3600</x:v>
      </x:c>
      <x:c r="N1228" s="17" t="n">
        <x:f>L1228+M1228</x:f>
        <x:v>23600</x:v>
      </x:c>
      <x:c r="O1228" s="12" t="str">
        <x:v>Indore</x:v>
      </x:c>
      <x:c r="P1228" s="12" t="str">
        <x:v>CORP-0262</x:v>
      </x:c>
      <x:c r="Q1228" s="12" t="str">
        <x:v>Indr</x:v>
      </x:c>
    </x:row>
    <x:row r="1229" ht="48" customHeight="1">
      <x:c r="A1229" s="2" t="str">
        <x:v>TEN-2DA96B231E19</x:v>
      </x:c>
      <x:c r="B1229" s="12" t="str">
        <x:v>Indra IVF</x:v>
      </x:c>
      <x:c r="C1229" s="12" t="str">
        <x:v>Business / brand</x:v>
      </x:c>
      <x:c r="D1229" s="12" t="str">
        <x:v>Healthcare &amp; life sciences</x:v>
      </x:c>
      <x:c r="E1229" s="12" t="str">
        <x:v>Clinical, medical &amp; diagnostic services</x:v>
      </x:c>
      <x:c r="F1229" s="12" t="str">
        <x:v>Mixed business audience</x:v>
      </x:c>
      <x:c r="G1229" s="12" t="str">
        <x:v>Recognisable business context; company-scale evidence remains insufficient for a single size band.</x:v>
      </x:c>
      <x:c r="H1229" s="11" t="n">
        <x:v>1</x:v>
      </x:c>
      <x:c r="I1229" s="11" t="n">
        <x:v>1</x:v>
      </x:c>
      <x:c r="J1229" s="11" t="n">
        <x:v>1</x:v>
      </x:c>
      <x:c r="K1229" s="11" t="n">
        <x:v>0</x:v>
      </x:c>
      <x:c r="L1229" s="17" t="n">
        <x:f>SUM(SUMIFS('Costing'!$P$9:$P$492,'Costing'!$A$9:$A$492,"MAIN-276"))</x:f>
        <x:v>20000</x:v>
      </x:c>
      <x:c r="M1229" s="17" t="n">
        <x:f>ROUND(L1229*'Costing'!$C$4,2)</x:f>
        <x:v>3600</x:v>
      </x:c>
      <x:c r="N1229" s="17" t="n">
        <x:f>L1229+M1229</x:f>
        <x:v>23600</x:v>
      </x:c>
      <x:c r="O1229" s="12" t="str">
        <x:v>Indore</x:v>
      </x:c>
      <x:c r="P1229" s="12" t="str">
        <x:v>CORP-0272</x:v>
      </x:c>
      <x:c r="Q1229" s="12" t="str">
        <x:v>Indra IVF</x:v>
      </x:c>
    </x:row>
    <x:row r="1230" ht="48" customHeight="1">
      <x:c r="A1230" s="2" t="str">
        <x:v>TEN-0D6EE04B36F3</x:v>
      </x:c>
      <x:c r="B1230" s="12" t="str">
        <x:v>Indriyn Data analytics</x:v>
      </x:c>
      <x:c r="C1230" s="12" t="str">
        <x:v>Business / brand</x:v>
      </x:c>
      <x:c r="D1230" s="12" t="str">
        <x:v>IT &amp; digital</x:v>
      </x:c>
      <x:c r="E1230" s="12" t="str">
        <x:v>AI, data &amp; analytics</x:v>
      </x:c>
      <x:c r="F1230" s="12" t="str">
        <x:v>Small-scale prospects</x:v>
      </x:c>
      <x:c r="G1230" s="12" t="str">
        <x:v>Software or technology-services business; small-scale prospect assumption.</x:v>
      </x:c>
      <x:c r="H1230" s="11" t="n">
        <x:v>1</x:v>
      </x:c>
      <x:c r="I1230" s="11" t="n">
        <x:v>4</x:v>
      </x:c>
      <x:c r="J1230" s="11" t="n">
        <x:v>4</x:v>
      </x:c>
      <x:c r="K1230" s="11" t="n">
        <x:v>0</x:v>
      </x:c>
      <x:c r="L1230" s="17" t="n">
        <x:f>SUM(SUMIFS('Costing'!$P$9:$P$492,'Costing'!$A$9:$A$492,"MAIN-226"))</x:f>
        <x:v>60000</x:v>
      </x:c>
      <x:c r="M1230" s="17" t="n">
        <x:f>ROUND(L1230*'Costing'!$C$4,2)</x:f>
        <x:v>10800</x:v>
      </x:c>
      <x:c r="N1230" s="17" t="n">
        <x:f>L1230+M1230</x:f>
        <x:v>70800</x:v>
      </x:c>
      <x:c r="O1230" s="12" t="str">
        <x:v>Hyderabad</x:v>
      </x:c>
      <x:c r="P1230" s="12" t="str">
        <x:v>CORP-0222</x:v>
      </x:c>
      <x:c r="Q1230" s="12" t="str">
        <x:v>Indriyn Data analytics</x:v>
      </x:c>
    </x:row>
    <x:row r="1231" ht="48" customHeight="1">
      <x:c r="A1231" s="2" t="str">
        <x:v>TEN-3D7313DBDA83</x:v>
      </x:c>
      <x:c r="B1231" s="12" t="str">
        <x:v>INDU</x:v>
      </x:c>
      <x:c r="C1231" s="12" t="str">
        <x:v>Business / brand</x:v>
      </x:c>
      <x:c r="D1231" s="12" t="str">
        <x:v>Unresolved</x:v>
      </x:c>
      <x:c r="E1231" s="12" t="str">
        <x:v>Business activity not established</x:v>
      </x:c>
      <x:c r="F1231" s="12" t="str">
        <x:v>Mixed business audience</x:v>
      </x:c>
      <x:c r="G1231" s="12" t="str">
        <x:v>Business activity and company scale are not established from this name.</x:v>
      </x:c>
      <x:c r="H1231" s="11" t="n">
        <x:v>1</x:v>
      </x:c>
      <x:c r="I1231" s="11" t="n">
        <x:v>1</x:v>
      </x:c>
      <x:c r="J1231" s="11" t="n">
        <x:v>1</x:v>
      </x:c>
      <x:c r="K1231" s="11" t="n">
        <x:v>0</x:v>
      </x:c>
      <x:c r="L1231" s="17" t="n">
        <x:f>SUM(SUMIFS('Costing'!$P$9:$P$492,'Costing'!$A$9:$A$492,"MAIN-269"))</x:f>
        <x:v>40000</x:v>
      </x:c>
      <x:c r="M1231" s="17" t="n">
        <x:f>ROUND(L1231*'Costing'!$C$4,2)</x:f>
        <x:v>7200</x:v>
      </x:c>
      <x:c r="N1231" s="17" t="n">
        <x:f>L1231+M1231</x:f>
        <x:v>47200</x:v>
      </x:c>
      <x:c r="O1231" s="12" t="str">
        <x:v>Indore</x:v>
      </x:c>
      <x:c r="P1231" s="12" t="str">
        <x:v>CORP-0265</x:v>
      </x:c>
      <x:c r="Q1231" s="12" t="str">
        <x:v>INDU</x:v>
      </x:c>
    </x:row>
    <x:row r="1232" ht="48" customHeight="1">
      <x:c r="A1232" s="2" t="str">
        <x:v>TEN-C270FFA2797F</x:v>
      </x:c>
      <x:c r="B1232" s="12" t="str">
        <x:v>Indus towers ltd</x:v>
      </x:c>
      <x:c r="C1232" s="12" t="str">
        <x:v>Business / brand</x:v>
      </x:c>
      <x:c r="D1232" s="12" t="str">
        <x:v>Engineering &amp; manufacturing</x:v>
      </x:c>
      <x:c r="E1232" s="12" t="str">
        <x:v>Electronics, industrial systems &amp; manufacturing</x:v>
      </x:c>
      <x:c r="F1232" s="12" t="str">
        <x:v>Mixed business audience</x:v>
      </x:c>
      <x:c r="G1232" s="12" t="str">
        <x:v>Established brand or business network; local company scale is not established. Use a mixed-business message.</x:v>
      </x:c>
      <x:c r="H1232" s="11" t="n">
        <x:v>1</x:v>
      </x:c>
      <x:c r="I1232" s="11" t="n">
        <x:v>2</x:v>
      </x:c>
      <x:c r="J1232" s="11" t="n">
        <x:v>2</x:v>
      </x:c>
      <x:c r="K1232" s="11" t="n">
        <x:v>0</x:v>
      </x:c>
      <x:c r="L1232" s="17" t="n">
        <x:f>SUM(SUMIFS('Costing'!$P$9:$P$492,'Costing'!$A$9:$A$492,"MAIN-304"))</x:f>
        <x:v>30000</x:v>
      </x:c>
      <x:c r="M1232" s="17" t="n">
        <x:f>ROUND(L1232*'Costing'!$C$4,2)</x:f>
        <x:v>5400</x:v>
      </x:c>
      <x:c r="N1232" s="17" t="n">
        <x:f>L1232+M1232</x:f>
        <x:v>35400</x:v>
      </x:c>
      <x:c r="O1232" s="12" t="str">
        <x:v>Mumbai</x:v>
      </x:c>
      <x:c r="P1232" s="12" t="str">
        <x:v>CORP-0300</x:v>
      </x:c>
      <x:c r="Q1232" s="12" t="str">
        <x:v>Indus towers ltd</x:v>
      </x:c>
    </x:row>
    <x:row r="1233" ht="48" customHeight="1">
      <x:c r="A1233" s="2" t="str">
        <x:v>TEN-36B6546CB786</x:v>
      </x:c>
      <x:c r="B1233" s="12" t="str">
        <x:v>Indusind bank Corporate office</x:v>
      </x:c>
      <x:c r="C1233" s="12" t="str">
        <x:v>Business / brand</x:v>
      </x:c>
      <x:c r="D1233" s="12" t="str">
        <x:v>Finance &amp; insurance</x:v>
      </x:c>
      <x:c r="E1233" s="12" t="str">
        <x:v>Banking &amp; credit</x:v>
      </x:c>
      <x:c r="F1233" s="12" t="str">
        <x:v>Large enterprise</x:v>
      </x:c>
      <x:c r="G1233" s="12" t="str">
        <x:v>Explicit IndusInd Bank enterprise-family context; see ENTERPRISE_SUPP_015 evidence.</x:v>
      </x:c>
      <x:c r="H1233" s="11" t="n">
        <x:v>1</x:v>
      </x:c>
      <x:c r="I1233" s="11" t="n">
        <x:v>8</x:v>
      </x:c>
      <x:c r="J1233" s="11" t="n">
        <x:v>8</x:v>
      </x:c>
      <x:c r="K1233" s="11" t="n">
        <x:v>0</x:v>
      </x:c>
      <x:c r="L1233" s="17" t="n">
        <x:f>SUM(SUMIFS('Costing'!$P$9:$P$492,'Costing'!$A$9:$A$492,"MAIN-327"))</x:f>
        <x:v>320000</x:v>
      </x:c>
      <x:c r="M1233" s="17" t="n">
        <x:f>ROUND(L1233*'Costing'!$C$4,2)</x:f>
        <x:v>57600</x:v>
      </x:c>
      <x:c r="N1233" s="17" t="n">
        <x:f>L1233+M1233</x:f>
        <x:v>377600</x:v>
      </x:c>
      <x:c r="O1233" s="12" t="str">
        <x:v>Mumbai</x:v>
      </x:c>
      <x:c r="P1233" s="12" t="str">
        <x:v>CORP-0323</x:v>
      </x:c>
      <x:c r="Q1233" s="12" t="str">
        <x:v>Indusind bank Corporate office</x:v>
      </x:c>
    </x:row>
    <x:row r="1234" ht="48" customHeight="1">
      <x:c r="A1234" s="2" t="str">
        <x:v>TEN-05C3EA2B409C</x:v>
      </x:c>
      <x:c r="B1234" s="12" t="str">
        <x:v>IndusViva HealthSciences Pvt. Ltd</x:v>
      </x:c>
      <x:c r="C1234" s="12" t="str">
        <x:v>Business / brand</x:v>
      </x:c>
      <x:c r="D1234" s="12" t="str">
        <x:v>Healthcare &amp; life sciences</x:v>
      </x:c>
      <x:c r="E1234" s="12" t="str">
        <x:v>Clinical, medical &amp; diagnostic services</x:v>
      </x:c>
      <x:c r="F1234" s="12" t="str">
        <x:v>Small-scale prospects</x:v>
      </x:c>
      <x:c r="G1234" s="12" t="str">
        <x:v>Healthcare services business; small-scale prospect assumption.</x:v>
      </x:c>
      <x:c r="H1234" s="11" t="n">
        <x:v>9</x:v>
      </x:c>
      <x:c r="I1234" s="11" t="n">
        <x:v>9</x:v>
      </x:c>
      <x:c r="J1234" s="11" t="n">
        <x:v>9</x:v>
      </x:c>
      <x:c r="K1234" s="11" t="n">
        <x:v>0</x:v>
      </x:c>
      <x:c r="L1234" s="17" t="n">
        <x:f>SUM(SUMIFS('Costing'!$P$9:$P$492,'Costing'!$A$9:$A$492,"MAIN-073"),SUMIFS('Costing'!$P$9:$P$492,'Costing'!$A$9:$A$492,"PARTNER-M100"))</x:f>
        <x:v>360000</x:v>
      </x:c>
      <x:c r="M1234" s="17" t="n">
        <x:f>ROUND(L1234*'Costing'!$C$4,2)</x:f>
        <x:v>64800</x:v>
      </x:c>
      <x:c r="N1234" s="17" t="n">
        <x:f>L1234+M1234</x:f>
        <x:v>424800</x:v>
      </x:c>
      <x:c r="O1234" s="12" t="str">
        <x:v>Bengaluru</x:v>
      </x:c>
      <x:c r="P1234" s="12" t="str">
        <x:v>CORP-0069, CORP-0518, CORP-0519, CORP-0520, CORP-0521, CORP-0522, CORP-0523, CORP-0524, CORP-0525</x:v>
      </x:c>
      <x:c r="Q1234" s="12" t="str">
        <x:v>IndusViva HealthSciences Pvt. Ltd</x:v>
      </x:c>
    </x:row>
    <x:row r="1235" ht="48" customHeight="1">
      <x:c r="A1235" s="2" t="str">
        <x:v>TEN-545B2057211C</x:v>
      </x:c>
      <x:c r="B1235" s="12" t="str">
        <x:v>INDXX Capital Management Pvt. Ltd</x:v>
      </x:c>
      <x:c r="C1235" s="12" t="str">
        <x:v>Business / brand</x:v>
      </x:c>
      <x:c r="D1235" s="12" t="str">
        <x:v>Finance &amp; insurance</x:v>
      </x:c>
      <x:c r="E1235" s="12" t="str">
        <x:v>Investments, securities &amp; wealth</x:v>
      </x:c>
      <x:c r="F1235" s="12" t="str">
        <x:v>Medium-scale prospects</x:v>
      </x:c>
      <x:c r="G1235" s="12" t="str">
        <x:v>Specialist financial-services business; medium-scale prospect assumption.</x:v>
      </x:c>
      <x:c r="H1235" s="11" t="n">
        <x:v>1</x:v>
      </x:c>
      <x:c r="I1235" s="11" t="n">
        <x:v>4</x:v>
      </x:c>
      <x:c r="J1235" s="11" t="n">
        <x:v>4</x:v>
      </x:c>
      <x:c r="K1235" s="11" t="n">
        <x:v>0</x:v>
      </x:c>
      <x:c r="L1235" s="17" t="n">
        <x:f>SUM(SUMIFS('Costing'!$P$9:$P$492,'Costing'!$A$9:$A$492,"MAIN-202"))</x:f>
        <x:v>160000</x:v>
      </x:c>
      <x:c r="M1235" s="17" t="n">
        <x:f>ROUND(L1235*'Costing'!$C$4,2)</x:f>
        <x:v>28800</x:v>
      </x:c>
      <x:c r="N1235" s="17" t="n">
        <x:f>L1235+M1235</x:f>
        <x:v>188800</x:v>
      </x:c>
      <x:c r="O1235" s="12" t="str">
        <x:v>Delhi NCR</x:v>
      </x:c>
      <x:c r="P1235" s="12" t="str">
        <x:v>CORP-0198</x:v>
      </x:c>
      <x:c r="Q1235" s="12" t="str">
        <x:v>INDXX Capital Management Pvt. Ltd</x:v>
      </x:c>
    </x:row>
    <x:row r="1236" ht="48" customHeight="1">
      <x:c r="A1236" s="2" t="str">
        <x:v>TEN-547E42BBB09E</x:v>
      </x:c>
      <x:c r="B1236" s="12" t="str">
        <x:v>Inferrix Greentech Private Limited</x:v>
      </x:c>
      <x:c r="C1236" s="12" t="str">
        <x:v>Business / brand</x:v>
      </x:c>
      <x:c r="D1236" s="12" t="str">
        <x:v>Unresolved</x:v>
      </x:c>
      <x:c r="E1236" s="12" t="str">
        <x:v>Business activity not established</x:v>
      </x:c>
      <x:c r="F1236" s="12" t="str">
        <x:v>Mixed business audience</x:v>
      </x:c>
      <x:c r="G1236" s="12" t="str">
        <x:v>Business activity and company scale are not established from this name.</x:v>
      </x:c>
      <x:c r="H1236" s="11" t="n">
        <x:v>1</x:v>
      </x:c>
      <x:c r="I1236" s="11" t="n">
        <x:v>15</x:v>
      </x:c>
      <x:c r="J1236" s="11" t="n">
        <x:v>15</x:v>
      </x:c>
      <x:c r="K1236" s="11" t="n">
        <x:v>0</x:v>
      </x:c>
      <x:c r="L1236" s="17" t="n">
        <x:f>SUM(SUMIFS('Costing'!$P$9:$P$492,'Costing'!$A$9:$A$492,"MAIN-169"))</x:f>
        <x:v>300000</x:v>
      </x:c>
      <x:c r="M1236" s="17" t="n">
        <x:f>ROUND(L1236*'Costing'!$C$4,2)</x:f>
        <x:v>54000</x:v>
      </x:c>
      <x:c r="N1236" s="17" t="n">
        <x:f>L1236+M1236</x:f>
        <x:v>354000</x:v>
      </x:c>
      <x:c r="O1236" s="12" t="str">
        <x:v>Delhi NCR</x:v>
      </x:c>
      <x:c r="P1236" s="12" t="str">
        <x:v>CORP-0165</x:v>
      </x:c>
      <x:c r="Q1236" s="12" t="str">
        <x:v>Inferrix Greentech Private Limited</x:v>
      </x:c>
    </x:row>
    <x:row r="1237" ht="49" customHeight="1">
      <x:c r="A1237" s="2" t="str">
        <x:v>TEN-FEED58DAA315</x:v>
      </x:c>
      <x:c r="B1237" s="12" t="str">
        <x:v>Infineon</x:v>
      </x:c>
      <x:c r="C1237" s="12" t="str">
        <x:v>Business / brand</x:v>
      </x:c>
      <x:c r="D1237" s="12" t="str">
        <x:v>Engineering &amp; manufacturing</x:v>
      </x:c>
      <x:c r="E1237" s="12" t="str">
        <x:v>Semiconductors, electronics &amp; equipment</x:v>
      </x:c>
      <x:c r="F1237" s="12" t="str">
        <x:v>Large enterprise</x:v>
      </x:c>
      <x:c r="G1237" s="12" t="str">
        <x:v>Infineon reports approximately 57,000 employees worldwide and EUR14.7 billion in FY2025 revenue. This supports enterprise-scale semiconductor-company context.</x:v>
      </x:c>
      <x:c r="H1237" s="11" t="n">
        <x:v>12</x:v>
      </x:c>
      <x:c r="I1237" s="11" t="n">
        <x:v>12</x:v>
      </x:c>
      <x:c r="J1237" s="11" t="n">
        <x:v>12</x:v>
      </x:c>
      <x:c r="K1237" s="11" t="n">
        <x:v>0</x:v>
      </x:c>
      <x:c r="L1237" s="17" t="n">
        <x:f>SUM(SUMIFS('Costing'!$P$9:$P$492,'Costing'!$A$9:$A$492,"PARTNER-M108"))</x:f>
        <x:v>480000</x:v>
      </x:c>
      <x:c r="M1237" s="17" t="n">
        <x:f>ROUND(L1237*'Costing'!$C$4,2)</x:f>
        <x:v>86400</x:v>
      </x:c>
      <x:c r="N1237" s="17" t="n">
        <x:f>L1237+M1237</x:f>
        <x:v>566400</x:v>
      </x:c>
      <x:c r="O1237" s="12" t="str">
        <x:v>Bengaluru</x:v>
      </x:c>
      <x:c r="P1237" s="12" t="str">
        <x:v>CORP-0526, CORP-0527, CORP-0528, CORP-0529, CORP-0530, CORP-0531, CORP-0532, CORP-0533, CORP-0534, CORP-0535, CORP-0536, CORP-0537</x:v>
      </x:c>
      <x:c r="Q1237" s="12" t="str">
        <x:v>Infineon</x:v>
      </x:c>
    </x:row>
    <x:row r="1238" ht="49" customHeight="1">
      <x:c r="A1238" s="2" t="str">
        <x:v>TEN-6F67A144F472</x:v>
      </x:c>
      <x:c r="B1238" s="12" t="str">
        <x:v>Infinera India</x:v>
      </x:c>
      <x:c r="C1238" s="12" t="str">
        <x:v>Business / brand</x:v>
      </x:c>
      <x:c r="D1238" s="12" t="str">
        <x:v>IT &amp; digital</x:v>
      </x:c>
      <x:c r="E1238" s="12" t="str">
        <x:v>Technology services — specialty unverified</x:v>
      </x:c>
      <x:c r="F1238" s="12" t="str">
        <x:v>Mixed business audience</x:v>
      </x:c>
      <x:c r="G1238" s="12" t="str">
        <x:v>Recognisable business context; company-scale evidence remains insufficient for a single size band.</x:v>
      </x:c>
      <x:c r="H1238" s="11" t="n">
        <x:v>11</x:v>
      </x:c>
      <x:c r="I1238" s="11" t="n">
        <x:v>11</x:v>
      </x:c>
      <x:c r="J1238" s="11" t="n">
        <x:v>11</x:v>
      </x:c>
      <x:c r="K1238" s="11" t="n">
        <x:v>0</x:v>
      </x:c>
      <x:c r="L1238" s="17" t="n">
        <x:f>SUM(SUMIFS('Costing'!$P$9:$P$492,'Costing'!$A$9:$A$492,"PARTNER-M082"))</x:f>
        <x:v>440000</x:v>
      </x:c>
      <x:c r="M1238" s="17" t="n">
        <x:f>ROUND(L1238*'Costing'!$C$4,2)</x:f>
        <x:v>79200</x:v>
      </x:c>
      <x:c r="N1238" s="17" t="n">
        <x:f>L1238+M1238</x:f>
        <x:v>519200</x:v>
      </x:c>
      <x:c r="O1238" s="12" t="str">
        <x:v>Bengaluru</x:v>
      </x:c>
      <x:c r="P1238" s="12" t="str">
        <x:v>CORP-0500, CORP-0501, CORP-0502, CORP-0503, CORP-0504, CORP-0505, CORP-0506, CORP-0507, CORP-0508, CORP-0509, CORP-0510</x:v>
      </x:c>
      <x:c r="Q1238" s="12" t="str">
        <x:v>Infinera India</x:v>
      </x:c>
    </x:row>
    <x:row r="1239" ht="48" customHeight="1">
      <x:c r="A1239" s="2" t="str">
        <x:v>TEN-DE58C1C49DEE</x:v>
      </x:c>
      <x:c r="B1239" s="12" t="str">
        <x:v>Infinite Science Technologies</x:v>
      </x:c>
      <x:c r="C1239" s="12" t="str">
        <x:v>Business / brand</x:v>
      </x:c>
      <x:c r="D1239" s="12" t="str">
        <x:v>Unresolved</x:v>
      </x:c>
      <x:c r="E1239" s="12" t="str">
        <x:v>Business activity not established</x:v>
      </x:c>
      <x:c r="F1239" s="12" t="str">
        <x:v>Mixed business audience</x:v>
      </x:c>
      <x:c r="G1239" s="12" t="str">
        <x:v>Business activity and company scale are not established from this name.</x:v>
      </x:c>
      <x:c r="H1239" s="11" t="n">
        <x:v>3</x:v>
      </x:c>
      <x:c r="I1239" s="11" t="n">
        <x:v>3</x:v>
      </x:c>
      <x:c r="J1239" s="11" t="n">
        <x:v>3</x:v>
      </x:c>
      <x:c r="K1239" s="11" t="n">
        <x:v>0</x:v>
      </x:c>
      <x:c r="L1239" s="17" t="n">
        <x:f>SUM(SUMIFS('Costing'!$P$9:$P$492,'Costing'!$A$9:$A$492,"PARTNER-M265"))</x:f>
        <x:v>120000</x:v>
      </x:c>
      <x:c r="M1239" s="17" t="n">
        <x:f>ROUND(L1239*'Costing'!$C$4,2)</x:f>
        <x:v>21600</x:v>
      </x:c>
      <x:c r="N1239" s="17" t="n">
        <x:f>L1239+M1239</x:f>
        <x:v>141600</x:v>
      </x:c>
      <x:c r="O1239" s="12" t="str">
        <x:v>Pune</x:v>
      </x:c>
      <x:c r="P1239" s="12" t="str">
        <x:v>CORP-0681, CORP-0682, CORP-0683</x:v>
      </x:c>
      <x:c r="Q1239" s="12" t="str">
        <x:v>Infinite Science Technologies</x:v>
      </x:c>
    </x:row>
    <x:row r="1240" ht="48" customHeight="1">
      <x:c r="A1240" s="2" t="str">
        <x:v>TEN-B7562CCFBAFA</x:v>
      </x:c>
      <x:c r="B1240" s="12" t="str">
        <x:v>Infinity Research</x:v>
      </x:c>
      <x:c r="C1240" s="12" t="str">
        <x:v>Business / brand</x:v>
      </x:c>
      <x:c r="D1240" s="12" t="str">
        <x:v>Professional services</x:v>
      </x:c>
      <x:c r="E1240" s="12" t="str">
        <x:v>Research, marketing &amp; professional services</x:v>
      </x:c>
      <x:c r="F1240" s="12" t="str">
        <x:v>Small-scale prospects</x:v>
      </x:c>
      <x:c r="G1240" s="12" t="str">
        <x:v>Professional service, agency or advisory model; small-scale prospect assumption.</x:v>
      </x:c>
      <x:c r="H1240" s="11" t="n">
        <x:v>1</x:v>
      </x:c>
      <x:c r="I1240" s="11" t="n">
        <x:v>2</x:v>
      </x:c>
      <x:c r="J1240" s="11" t="n">
        <x:v>2</x:v>
      </x:c>
      <x:c r="K1240" s="11" t="n">
        <x:v>0</x:v>
      </x:c>
      <x:c r="L1240" s="17" t="n">
        <x:f>SUM(SUMIFS('Costing'!$P$9:$P$492,'Costing'!$A$9:$A$492,"MAIN-069"))</x:f>
        <x:v>30000</x:v>
      </x:c>
      <x:c r="M1240" s="17" t="n">
        <x:f>ROUND(L1240*'Costing'!$C$4,2)</x:f>
        <x:v>5400</x:v>
      </x:c>
      <x:c r="N1240" s="17" t="n">
        <x:f>L1240+M1240</x:f>
        <x:v>35400</x:v>
      </x:c>
      <x:c r="O1240" s="12" t="str">
        <x:v>Bengaluru</x:v>
      </x:c>
      <x:c r="P1240" s="12" t="str">
        <x:v>CORP-0065</x:v>
      </x:c>
      <x:c r="Q1240" s="12" t="str">
        <x:v>Infinity Research</x:v>
      </x:c>
    </x:row>
    <x:row r="1241" ht="48" customHeight="1">
      <x:c r="A1241" s="2" t="str">
        <x:v>TEN-3C79F72B4753</x:v>
      </x:c>
      <x:c r="B1241" s="12" t="str">
        <x:v>Infinx</x:v>
      </x:c>
      <x:c r="C1241" s="12" t="str">
        <x:v>Business / brand</x:v>
      </x:c>
      <x:c r="D1241" s="12" t="str">
        <x:v>IT &amp; digital</x:v>
      </x:c>
      <x:c r="E1241" s="12" t="str">
        <x:v>Business process &amp; customer operations</x:v>
      </x:c>
      <x:c r="F1241" s="12" t="str">
        <x:v>Mixed business audience</x:v>
      </x:c>
      <x:c r="G1241" s="12" t="str">
        <x:v>Established brand or business network; local company scale is not established. Use a mixed-business message.</x:v>
      </x:c>
      <x:c r="H1241" s="11" t="n">
        <x:v>1</x:v>
      </x:c>
      <x:c r="I1241" s="11" t="n">
        <x:v>1</x:v>
      </x:c>
      <x:c r="J1241" s="11" t="n">
        <x:v>1</x:v>
      </x:c>
      <x:c r="K1241" s="11" t="n">
        <x:v>0</x:v>
      </x:c>
      <x:c r="L1241" s="17" t="n">
        <x:f>SUM(SUMIFS('Costing'!$P$9:$P$492,'Costing'!$A$9:$A$492,"MAIN-341"))</x:f>
        <x:v>15000</x:v>
      </x:c>
      <x:c r="M1241" s="17" t="n">
        <x:f>ROUND(L1241*'Costing'!$C$4,2)</x:f>
        <x:v>2700</x:v>
      </x:c>
      <x:c r="N1241" s="17" t="n">
        <x:f>L1241+M1241</x:f>
        <x:v>17700</x:v>
      </x:c>
      <x:c r="O1241" s="12" t="str">
        <x:v>Mumbai</x:v>
      </x:c>
      <x:c r="P1241" s="12" t="str">
        <x:v>CORP-0337</x:v>
      </x:c>
      <x:c r="Q1241" s="12" t="str">
        <x:v>Infinx</x:v>
      </x:c>
    </x:row>
    <x:row r="1242" ht="48" customHeight="1">
      <x:c r="A1242" s="2" t="str">
        <x:v>TEN-86EBE5471EA0</x:v>
      </x:c>
      <x:c r="B1242" s="12" t="str">
        <x:v>Infiot</x:v>
      </x:c>
      <x:c r="C1242" s="12" t="str">
        <x:v>Business / brand</x:v>
      </x:c>
      <x:c r="D1242" s="12" t="str">
        <x:v>IT &amp; digital</x:v>
      </x:c>
      <x:c r="E1242" s="12" t="str">
        <x:v>Enterprise software &amp; digital engineering</x:v>
      </x:c>
      <x:c r="F1242" s="12" t="str">
        <x:v>Small-scale prospects</x:v>
      </x:c>
      <x:c r="G1242" s="12" t="str">
        <x:v>Software or technology-services business; small-scale prospect assumption.</x:v>
      </x:c>
      <x:c r="H1242" s="11" t="n">
        <x:v>2</x:v>
      </x:c>
      <x:c r="I1242" s="11" t="n">
        <x:v>6</x:v>
      </x:c>
      <x:c r="J1242" s="11" t="n">
        <x:v>6</x:v>
      </x:c>
      <x:c r="K1242" s="11" t="n">
        <x:v>0</x:v>
      </x:c>
      <x:c r="L1242" s="17" t="n">
        <x:f>SUM(SUMIFS('Costing'!$P$9:$P$492,'Costing'!$A$9:$A$492,"MAIN-153"),SUMIFS('Costing'!$P$9:$P$492,'Costing'!$A$9:$A$492,"MAIN-154"))</x:f>
        <x:v>120000</x:v>
      </x:c>
      <x:c r="M1242" s="17" t="n">
        <x:f>ROUND(L1242*'Costing'!$C$4,2)</x:f>
        <x:v>21600</x:v>
      </x:c>
      <x:c r="N1242" s="17" t="n">
        <x:f>L1242+M1242</x:f>
        <x:v>141600</x:v>
      </x:c>
      <x:c r="O1242" s="12" t="str">
        <x:v>Chennai</x:v>
      </x:c>
      <x:c r="P1242" s="12" t="str">
        <x:v>CORP-0149, CORP-0150</x:v>
      </x:c>
      <x:c r="Q1242" s="12" t="str">
        <x:v>Infiot</x:v>
      </x:c>
    </x:row>
    <x:row r="1243" ht="48" customHeight="1">
      <x:c r="A1243" s="2" t="str">
        <x:v>TEN-526477BACCAC</x:v>
      </x:c>
      <x:c r="B1243" s="12" t="str">
        <x:v>INFIRAY SOFTWARE</x:v>
      </x:c>
      <x:c r="C1243" s="12" t="str">
        <x:v>Business / brand</x:v>
      </x:c>
      <x:c r="D1243" s="12" t="str">
        <x:v>IT &amp; digital</x:v>
      </x:c>
      <x:c r="E1243" s="12" t="str">
        <x:v>Enterprise software &amp; digital engineering</x:v>
      </x:c>
      <x:c r="F1243" s="12" t="str">
        <x:v>Small-scale prospects</x:v>
      </x:c>
      <x:c r="G1243" s="12" t="str">
        <x:v>Software or technology-services business; small-scale prospect assumption.</x:v>
      </x:c>
      <x:c r="H1243" s="11" t="n">
        <x:v>1</x:v>
      </x:c>
      <x:c r="I1243" s="11" t="n">
        <x:v>2</x:v>
      </x:c>
      <x:c r="J1243" s="11" t="n">
        <x:v>2</x:v>
      </x:c>
      <x:c r="K1243" s="11" t="n">
        <x:v>0</x:v>
      </x:c>
      <x:c r="L1243" s="17" t="n">
        <x:f>SUM(SUMIFS('Costing'!$P$9:$P$492,'Costing'!$A$9:$A$492,"MAIN-244"))</x:f>
        <x:v>30000</x:v>
      </x:c>
      <x:c r="M1243" s="17" t="n">
        <x:f>ROUND(L1243*'Costing'!$C$4,2)</x:f>
        <x:v>5400</x:v>
      </x:c>
      <x:c r="N1243" s="17" t="n">
        <x:f>L1243+M1243</x:f>
        <x:v>35400</x:v>
      </x:c>
      <x:c r="O1243" s="12" t="str">
        <x:v>Hyderabad</x:v>
      </x:c>
      <x:c r="P1243" s="12" t="str">
        <x:v>CORP-0240</x:v>
      </x:c>
      <x:c r="Q1243" s="12" t="str">
        <x:v>INFIRAY SOFTWARE</x:v>
      </x:c>
    </x:row>
    <x:row r="1244" ht="48" customHeight="1">
      <x:c r="A1244" s="2" t="str">
        <x:v>TEN-845294EF5247</x:v>
      </x:c>
      <x:c r="B1244" s="12" t="str">
        <x:v>Info Edge (India) Ltd. — Jeevansathi</x:v>
      </x:c>
      <x:c r="C1244" s="12" t="str">
        <x:v>Business / brand</x:v>
      </x:c>
      <x:c r="D1244" s="12" t="str">
        <x:v>Trade, consumer &amp; logistics</x:v>
      </x:c>
      <x:c r="E1244" s="12" t="str">
        <x:v>Retail, consumer products &amp; ecommerce</x:v>
      </x:c>
      <x:c r="F1244" s="12" t="str">
        <x:v>Mixed business audience</x:v>
      </x:c>
      <x:c r="G1244" s="12" t="str">
        <x:v>Established brand or business network; local company scale is not established. Use a mixed-business message.</x:v>
      </x:c>
      <x:c r="H1244" s="11" t="n">
        <x:v>1</x:v>
      </x:c>
      <x:c r="I1244" s="11" t="n">
        <x:v>2</x:v>
      </x:c>
      <x:c r="J1244" s="11" t="n">
        <x:v>2</x:v>
      </x:c>
      <x:c r="K1244" s="11" t="n">
        <x:v>0</x:v>
      </x:c>
      <x:c r="L1244" s="17" t="n">
        <x:f>SUM(SUMIFS('Costing'!$P$9:$P$492,'Costing'!$A$9:$A$492,"MAIN-376"))</x:f>
        <x:v>40000</x:v>
      </x:c>
      <x:c r="M1244" s="17" t="n">
        <x:f>ROUND(L1244*'Costing'!$C$4,2)</x:f>
        <x:v>7200</x:v>
      </x:c>
      <x:c r="N1244" s="17" t="n">
        <x:f>L1244+M1244</x:f>
        <x:v>47200</x:v>
      </x:c>
      <x:c r="O1244" s="12" t="str">
        <x:v>Delhi NCR</x:v>
      </x:c>
      <x:c r="P1244" s="12" t="str">
        <x:v>CORP-0372</x:v>
      </x:c>
      <x:c r="Q1244" s="12" t="str">
        <x:v>Info Edge (India) Ltd. — Jeevansathi</x:v>
      </x:c>
    </x:row>
    <x:row r="1245" ht="48" customHeight="1">
      <x:c r="A1245" s="2" t="str">
        <x:v>TEN-EE2DF17770F8</x:v>
      </x:c>
      <x:c r="B1245" s="12" t="str">
        <x:v>Info It Solutions Private Limited</x:v>
      </x:c>
      <x:c r="C1245" s="12" t="str">
        <x:v>Business / brand</x:v>
      </x:c>
      <x:c r="D1245" s="12" t="str">
        <x:v>IT &amp; digital</x:v>
      </x:c>
      <x:c r="E1245" s="12" t="str">
        <x:v>Enterprise software &amp; digital engineering</x:v>
      </x:c>
      <x:c r="F1245" s="12" t="str">
        <x:v>Small-scale prospects</x:v>
      </x:c>
      <x:c r="G1245" s="12" t="str">
        <x:v>Software or technology-services business; small-scale prospect assumption.</x:v>
      </x:c>
      <x:c r="H1245" s="11" t="n">
        <x:v>1</x:v>
      </x:c>
      <x:c r="I1245" s="11" t="n">
        <x:v>4</x:v>
      </x:c>
      <x:c r="J1245" s="11" t="n">
        <x:v>4</x:v>
      </x:c>
      <x:c r="K1245" s="11" t="n">
        <x:v>0</x:v>
      </x:c>
      <x:c r="L1245" s="17" t="n">
        <x:f>SUM(SUMIFS('Costing'!$P$9:$P$492,'Costing'!$A$9:$A$492,"MAIN-265"))</x:f>
        <x:v>100000</x:v>
      </x:c>
      <x:c r="M1245" s="17" t="n">
        <x:f>ROUND(L1245*'Costing'!$C$4,2)</x:f>
        <x:v>18000</x:v>
      </x:c>
      <x:c r="N1245" s="17" t="n">
        <x:f>L1245+M1245</x:f>
        <x:v>118000</x:v>
      </x:c>
      <x:c r="O1245" s="12" t="str">
        <x:v>Hyderabad</x:v>
      </x:c>
      <x:c r="P1245" s="12" t="str">
        <x:v>CORP-0261</x:v>
      </x:c>
      <x:c r="Q1245" s="12" t="str">
        <x:v>Info It Solutions Private Limited</x:v>
      </x:c>
    </x:row>
    <x:row r="1246" ht="48" customHeight="1">
      <x:c r="A1246" s="2" t="str">
        <x:v>TEN-278F9A56272F</x:v>
      </x:c>
      <x:c r="B1246" s="12" t="str">
        <x:v>Info School SAS Training Centre</x:v>
      </x:c>
      <x:c r="C1246" s="12" t="str">
        <x:v>Business / brand</x:v>
      </x:c>
      <x:c r="D1246" s="12" t="str">
        <x:v>Education</x:v>
      </x:c>
      <x:c r="E1246" s="12" t="str">
        <x:v>Schools, childcare &amp; higher education</x:v>
      </x:c>
      <x:c r="F1246" s="12" t="str">
        <x:v>Small-scale prospects</x:v>
      </x:c>
      <x:c r="G1246" s="12" t="str">
        <x:v>Training or education-services business; small-scale prospect assumption.</x:v>
      </x:c>
      <x:c r="H1246" s="11" t="n">
        <x:v>1</x:v>
      </x:c>
      <x:c r="I1246" s="11" t="n">
        <x:v>6</x:v>
      </x:c>
      <x:c r="J1246" s="11" t="n">
        <x:v>6</x:v>
      </x:c>
      <x:c r="K1246" s="11" t="n">
        <x:v>0</x:v>
      </x:c>
      <x:c r="L1246" s="17" t="n">
        <x:f>SUM(SUMIFS('Costing'!$P$9:$P$492,'Costing'!$A$9:$A$492,"MAIN-023"))</x:f>
        <x:v>90000</x:v>
      </x:c>
      <x:c r="M1246" s="17" t="n">
        <x:f>ROUND(L1246*'Costing'!$C$4,2)</x:f>
        <x:v>16200</x:v>
      </x:c>
      <x:c r="N1246" s="17" t="n">
        <x:f>L1246+M1246</x:f>
        <x:v>106200</x:v>
      </x:c>
      <x:c r="O1246" s="12" t="str">
        <x:v>Bengaluru</x:v>
      </x:c>
      <x:c r="P1246" s="12" t="str">
        <x:v>CORP-0019</x:v>
      </x:c>
      <x:c r="Q1246" s="12" t="str">
        <x:v>Info School SAS Training Centre</x:v>
      </x:c>
    </x:row>
    <x:row r="1247" ht="48" customHeight="1">
      <x:c r="A1247" s="2" t="str">
        <x:v>TEN-1D0B501C3EE3</x:v>
      </x:c>
      <x:c r="B1247" s="12" t="str">
        <x:v>Info Services Digitech India</x:v>
      </x:c>
      <x:c r="C1247" s="12" t="str">
        <x:v>Business / brand</x:v>
      </x:c>
      <x:c r="D1247" s="12" t="str">
        <x:v>Unresolved</x:v>
      </x:c>
      <x:c r="E1247" s="12" t="str">
        <x:v>Business activity not established</x:v>
      </x:c>
      <x:c r="F1247" s="12" t="str">
        <x:v>Mixed business audience</x:v>
      </x:c>
      <x:c r="G1247" s="12" t="str">
        <x:v>Business activity and company scale are not established from this name.</x:v>
      </x:c>
      <x:c r="H1247" s="11" t="n">
        <x:v>1</x:v>
      </x:c>
      <x:c r="I1247" s="11" t="n">
        <x:v>4</x:v>
      </x:c>
      <x:c r="J1247" s="11" t="n">
        <x:v>4</x:v>
      </x:c>
      <x:c r="K1247" s="11" t="n">
        <x:v>0</x:v>
      </x:c>
      <x:c r="L1247" s="17" t="n">
        <x:f>SUM(SUMIFS('Costing'!$P$9:$P$492,'Costing'!$A$9:$A$492,"MAIN-230"))</x:f>
        <x:v>80000</x:v>
      </x:c>
      <x:c r="M1247" s="17" t="n">
        <x:f>ROUND(L1247*'Costing'!$C$4,2)</x:f>
        <x:v>14400</x:v>
      </x:c>
      <x:c r="N1247" s="17" t="n">
        <x:f>L1247+M1247</x:f>
        <x:v>94400</x:v>
      </x:c>
      <x:c r="O1247" s="12" t="str">
        <x:v>Hyderabad</x:v>
      </x:c>
      <x:c r="P1247" s="12" t="str">
        <x:v>CORP-0226</x:v>
      </x:c>
      <x:c r="Q1247" s="12" t="str">
        <x:v>Info Services Digitech India</x:v>
      </x:c>
    </x:row>
    <x:row r="1248" ht="48" customHeight="1">
      <x:c r="A1248" s="2" t="str">
        <x:v>TEN-CF8B634D45D8</x:v>
      </x:c>
      <x:c r="B1248" s="12" t="str">
        <x:v>Infobell IT Solutions Pvt Ltd</x:v>
      </x:c>
      <x:c r="C1248" s="12" t="str">
        <x:v>Business / brand</x:v>
      </x:c>
      <x:c r="D1248" s="12" t="str">
        <x:v>IT &amp; digital</x:v>
      </x:c>
      <x:c r="E1248" s="12" t="str">
        <x:v>Enterprise software &amp; digital engineering</x:v>
      </x:c>
      <x:c r="F1248" s="12" t="str">
        <x:v>Small-scale prospects</x:v>
      </x:c>
      <x:c r="G1248" s="12" t="str">
        <x:v>Software or technology-services business; small-scale prospect assumption.</x:v>
      </x:c>
      <x:c r="H1248" s="11" t="n">
        <x:v>2</x:v>
      </x:c>
      <x:c r="I1248" s="11" t="n">
        <x:v>5</x:v>
      </x:c>
      <x:c r="J1248" s="11" t="n">
        <x:v>5</x:v>
      </x:c>
      <x:c r="K1248" s="11" t="n">
        <x:v>0</x:v>
      </x:c>
      <x:c r="L1248" s="17" t="n">
        <x:f>SUM(SUMIFS('Costing'!$P$9:$P$492,'Costing'!$A$9:$A$492,"MAIN-085"),SUMIFS('Costing'!$P$9:$P$492,'Costing'!$A$9:$A$492,"MAIN-092"))</x:f>
        <x:v>100000</x:v>
      </x:c>
      <x:c r="M1248" s="17" t="n">
        <x:f>ROUND(L1248*'Costing'!$C$4,2)</x:f>
        <x:v>18000</x:v>
      </x:c>
      <x:c r="N1248" s="17" t="n">
        <x:f>L1248+M1248</x:f>
        <x:v>118000</x:v>
      </x:c>
      <x:c r="O1248" s="12" t="str">
        <x:v>Bengaluru</x:v>
      </x:c>
      <x:c r="P1248" s="12" t="str">
        <x:v>CORP-0081, CORP-0088</x:v>
      </x:c>
      <x:c r="Q1248" s="12" t="str">
        <x:v>Infobell IT Solutions Pvt Ltd</x:v>
      </x:c>
    </x:row>
    <x:row r="1249" ht="48" customHeight="1">
      <x:c r="A1249" s="2" t="str">
        <x:v>TEN-E2657581FE46</x:v>
      </x:c>
      <x:c r="B1249" s="12" t="str">
        <x:v>Infobip</x:v>
      </x:c>
      <x:c r="C1249" s="12" t="str">
        <x:v>Business / brand</x:v>
      </x:c>
      <x:c r="D1249" s="12" t="str">
        <x:v>Unresolved</x:v>
      </x:c>
      <x:c r="E1249" s="12" t="str">
        <x:v>Business activity not established</x:v>
      </x:c>
      <x:c r="F1249" s="12" t="str">
        <x:v>Mixed business audience</x:v>
      </x:c>
      <x:c r="G1249" s="12" t="str">
        <x:v>Business activity and company scale are not established from this name.</x:v>
      </x:c>
      <x:c r="H1249" s="11" t="n">
        <x:v>10</x:v>
      </x:c>
      <x:c r="I1249" s="11" t="n">
        <x:v>10</x:v>
      </x:c>
      <x:c r="J1249" s="11" t="n">
        <x:v>10</x:v>
      </x:c>
      <x:c r="K1249" s="11" t="n">
        <x:v>0</x:v>
      </x:c>
      <x:c r="L1249" s="17" t="n">
        <x:f>SUM(SUMIFS('Costing'!$P$9:$P$492,'Costing'!$A$9:$A$492,"PARTNER-M365"))</x:f>
        <x:v>400000</x:v>
      </x:c>
      <x:c r="M1249" s="17" t="n">
        <x:f>ROUND(L1249*'Costing'!$C$4,2)</x:f>
        <x:v>72000</x:v>
      </x:c>
      <x:c r="N1249" s="17" t="n">
        <x:f>L1249+M1249</x:f>
        <x:v>472000</x:v>
      </x:c>
      <x:c r="O1249" s="12" t="str">
        <x:v>Delhi NCR</x:v>
      </x:c>
      <x:c r="P1249" s="12" t="str">
        <x:v>CORP-0778, CORP-0779, CORP-0780, CORP-0781, CORP-0782, CORP-0783, CORP-0784, CORP-0785, CORP-0786, CORP-0787</x:v>
      </x:c>
      <x:c r="Q1249" s="12" t="str">
        <x:v>Infobip</x:v>
      </x:c>
    </x:row>
    <x:row r="1250" ht="48" customHeight="1">
      <x:c r="A1250" s="2" t="str">
        <x:v>TEN-DFC9AF331452</x:v>
      </x:c>
      <x:c r="B1250" s="12" t="str">
        <x:v>Infokrafts Data Consultancy Services</x:v>
      </x:c>
      <x:c r="C1250" s="12" t="str">
        <x:v>Business / brand</x:v>
      </x:c>
      <x:c r="D1250" s="12" t="str">
        <x:v>Professional services</x:v>
      </x:c>
      <x:c r="E1250" s="12" t="str">
        <x:v>Business consulting &amp; advisory</x:v>
      </x:c>
      <x:c r="F1250" s="12" t="str">
        <x:v>Small-scale prospects</x:v>
      </x:c>
      <x:c r="G1250" s="12" t="str">
        <x:v>Professional service, agency or advisory model; small-scale prospect assumption.</x:v>
      </x:c>
      <x:c r="H1250" s="11" t="n">
        <x:v>4</x:v>
      </x:c>
      <x:c r="I1250" s="11" t="n">
        <x:v>4</x:v>
      </x:c>
      <x:c r="J1250" s="11" t="n">
        <x:v>4</x:v>
      </x:c>
      <x:c r="K1250" s="11" t="n">
        <x:v>0</x:v>
      </x:c>
      <x:c r="L1250" s="17" t="n">
        <x:f>SUM(SUMIFS('Costing'!$P$9:$P$492,'Costing'!$A$9:$A$492,"PARTNER-M235"))</x:f>
        <x:v>160000</x:v>
      </x:c>
      <x:c r="M1250" s="17" t="n">
        <x:f>ROUND(L1250*'Costing'!$C$4,2)</x:f>
        <x:v>28800</x:v>
      </x:c>
      <x:c r="N1250" s="17" t="n">
        <x:f>L1250+M1250</x:f>
        <x:v>188800</x:v>
      </x:c>
      <x:c r="O1250" s="12" t="str">
        <x:v>Mumbai</x:v>
      </x:c>
      <x:c r="P1250" s="12" t="str">
        <x:v>CORP-0652, CORP-0653, CORP-0654, CORP-0655</x:v>
      </x:c>
      <x:c r="Q1250" s="12" t="str">
        <x:v>Infokrafts Data Consultancy Services</x:v>
      </x:c>
    </x:row>
    <x:row r="1251" ht="48" customHeight="1">
      <x:c r="A1251" s="2" t="str">
        <x:v>TEN-9CBC7082FF4F</x:v>
      </x:c>
      <x:c r="B1251" s="12" t="str">
        <x:v>Infollion Research Services</x:v>
      </x:c>
      <x:c r="C1251" s="12" t="str">
        <x:v>Business / brand</x:v>
      </x:c>
      <x:c r="D1251" s="12" t="str">
        <x:v>Professional services</x:v>
      </x:c>
      <x:c r="E1251" s="12" t="str">
        <x:v>Research, marketing &amp; professional services</x:v>
      </x:c>
      <x:c r="F1251" s="12" t="str">
        <x:v>Small-scale prospects</x:v>
      </x:c>
      <x:c r="G1251" s="12" t="str">
        <x:v>Professional service, agency or advisory model; small-scale prospect assumption.</x:v>
      </x:c>
      <x:c r="H1251" s="11" t="n">
        <x:v>1</x:v>
      </x:c>
      <x:c r="I1251" s="11" t="n">
        <x:v>4</x:v>
      </x:c>
      <x:c r="J1251" s="11" t="n">
        <x:v>4</x:v>
      </x:c>
      <x:c r="K1251" s="11" t="n">
        <x:v>0</x:v>
      </x:c>
      <x:c r="L1251" s="17" t="n">
        <x:f>SUM(SUMIFS('Costing'!$P$9:$P$492,'Costing'!$A$9:$A$492,"MAIN-204"))</x:f>
        <x:v>160000</x:v>
      </x:c>
      <x:c r="M1251" s="17" t="n">
        <x:f>ROUND(L1251*'Costing'!$C$4,2)</x:f>
        <x:v>28800</x:v>
      </x:c>
      <x:c r="N1251" s="17" t="n">
        <x:f>L1251+M1251</x:f>
        <x:v>188800</x:v>
      </x:c>
      <x:c r="O1251" s="12" t="str">
        <x:v>Delhi NCR</x:v>
      </x:c>
      <x:c r="P1251" s="12" t="str">
        <x:v>CORP-0200</x:v>
      </x:c>
      <x:c r="Q1251" s="12" t="str">
        <x:v>Infollion Research Services</x:v>
      </x:c>
    </x:row>
    <x:row r="1252" ht="48" customHeight="1">
      <x:c r="A1252" s="2" t="str">
        <x:v>TEN-933A19328F9C</x:v>
      </x:c>
      <x:c r="B1252" s="12" t="str">
        <x:v>Infoplus Technologies</x:v>
      </x:c>
      <x:c r="C1252" s="12" t="str">
        <x:v>Business / brand</x:v>
      </x:c>
      <x:c r="D1252" s="12" t="str">
        <x:v>IT &amp; digital</x:v>
      </x:c>
      <x:c r="E1252" s="12" t="str">
        <x:v>Enterprise software &amp; digital engineering</x:v>
      </x:c>
      <x:c r="F1252" s="12" t="str">
        <x:v>Small-scale prospects</x:v>
      </x:c>
      <x:c r="G1252" s="12" t="str">
        <x:v>Software or technology-services business; small-scale prospect assumption.</x:v>
      </x:c>
      <x:c r="H1252" s="11" t="n">
        <x:v>1</x:v>
      </x:c>
      <x:c r="I1252" s="11" t="n">
        <x:v>1</x:v>
      </x:c>
      <x:c r="J1252" s="11" t="n">
        <x:v>1</x:v>
      </x:c>
      <x:c r="K1252" s="11" t="n">
        <x:v>0</x:v>
      </x:c>
      <x:c r="L1252" s="17" t="n">
        <x:f>SUM(SUMIFS('Costing'!$P$9:$P$492,'Costing'!$A$9:$A$492,"MAIN-159"))</x:f>
        <x:v>15000</x:v>
      </x:c>
      <x:c r="M1252" s="17" t="n">
        <x:f>ROUND(L1252*'Costing'!$C$4,2)</x:f>
        <x:v>2700</x:v>
      </x:c>
      <x:c r="N1252" s="17" t="n">
        <x:f>L1252+M1252</x:f>
        <x:v>17700</x:v>
      </x:c>
      <x:c r="O1252" s="12" t="str">
        <x:v>Chennai</x:v>
      </x:c>
      <x:c r="P1252" s="12" t="str">
        <x:v>CORP-0155</x:v>
      </x:c>
      <x:c r="Q1252" s="12" t="str">
        <x:v>Infoplus Technologies</x:v>
      </x:c>
    </x:row>
    <x:row r="1253" ht="62" customHeight="1">
      <x:c r="A1253" s="2" t="str">
        <x:v>TEN-31FF403A64D8</x:v>
      </x:c>
      <x:c r="B1253" s="12" t="str">
        <x:v>Informatica</x:v>
      </x:c>
      <x:c r="C1253" s="12" t="str">
        <x:v>Business / brand</x:v>
      </x:c>
      <x:c r="D1253" s="12" t="str">
        <x:v>IT &amp; digital</x:v>
      </x:c>
      <x:c r="E1253" s="12" t="str">
        <x:v>Technology services — specialty unverified</x:v>
      </x:c>
      <x:c r="F1253" s="12" t="str">
        <x:v>Large enterprise</x:v>
      </x:c>
      <x:c r="G1253" s="12" t="str">
        <x:v>The official corporate fact sheet reports over 5,000 employees and more than USD1.6 billion in annual revenue. This supports enterprise-scale software-company context, without treating a local office as the whole company.</x:v>
      </x:c>
      <x:c r="H1253" s="11" t="n">
        <x:v>12</x:v>
      </x:c>
      <x:c r="I1253" s="11" t="n">
        <x:v>12</x:v>
      </x:c>
      <x:c r="J1253" s="11" t="n">
        <x:v>12</x:v>
      </x:c>
      <x:c r="K1253" s="11" t="n">
        <x:v>0</x:v>
      </x:c>
      <x:c r="L1253" s="17" t="n">
        <x:f>SUM(SUMIFS('Costing'!$P$9:$P$492,'Costing'!$A$9:$A$492,"PARTNER-M108"))</x:f>
        <x:v>480000</x:v>
      </x:c>
      <x:c r="M1253" s="17" t="n">
        <x:f>ROUND(L1253*'Costing'!$C$4,2)</x:f>
        <x:v>86400</x:v>
      </x:c>
      <x:c r="N1253" s="17" t="n">
        <x:f>L1253+M1253</x:f>
        <x:v>566400</x:v>
      </x:c>
      <x:c r="O1253" s="12" t="str">
        <x:v>Bengaluru</x:v>
      </x:c>
      <x:c r="P1253" s="12" t="str">
        <x:v>CORP-0526, CORP-0527, CORP-0528, CORP-0529, CORP-0530, CORP-0531, CORP-0532, CORP-0533, CORP-0534, CORP-0535, CORP-0536, CORP-0537</x:v>
      </x:c>
      <x:c r="Q1253" s="12" t="str">
        <x:v>Informatica</x:v>
      </x:c>
    </x:row>
    <x:row r="1254" ht="48" customHeight="1">
      <x:c r="A1254" s="2" t="str">
        <x:v>TEN-60EAFC738403</x:v>
      </x:c>
      <x:c r="B1254" s="12" t="str">
        <x:v>INFORMATICS INDIA PVT LTD</x:v>
      </x:c>
      <x:c r="C1254" s="12" t="str">
        <x:v>Business / brand</x:v>
      </x:c>
      <x:c r="D1254" s="12" t="str">
        <x:v>Unresolved</x:v>
      </x:c>
      <x:c r="E1254" s="12" t="str">
        <x:v>Business activity not established</x:v>
      </x:c>
      <x:c r="F1254" s="12" t="str">
        <x:v>Mixed business audience</x:v>
      </x:c>
      <x:c r="G1254" s="12" t="str">
        <x:v>Business activity and company scale are not established from this name.</x:v>
      </x:c>
      <x:c r="H1254" s="11" t="n">
        <x:v>1</x:v>
      </x:c>
      <x:c r="I1254" s="11" t="n">
        <x:v>2</x:v>
      </x:c>
      <x:c r="J1254" s="11" t="n">
        <x:v>2</x:v>
      </x:c>
      <x:c r="K1254" s="11" t="n">
        <x:v>0</x:v>
      </x:c>
      <x:c r="L1254" s="17" t="n">
        <x:f>SUM(SUMIFS('Costing'!$P$9:$P$492,'Costing'!$A$9:$A$492,"MAIN-216"))</x:f>
        <x:v>30000</x:v>
      </x:c>
      <x:c r="M1254" s="17" t="n">
        <x:f>ROUND(L1254*'Costing'!$C$4,2)</x:f>
        <x:v>5400</x:v>
      </x:c>
      <x:c r="N1254" s="17" t="n">
        <x:f>L1254+M1254</x:f>
        <x:v>35400</x:v>
      </x:c>
      <x:c r="O1254" s="12" t="str">
        <x:v>Hyderabad</x:v>
      </x:c>
      <x:c r="P1254" s="12" t="str">
        <x:v>CORP-0212</x:v>
      </x:c>
      <x:c r="Q1254" s="12" t="str">
        <x:v>INFORMATICS INDIA PVT LTD</x:v>
      </x:c>
    </x:row>
    <x:row r="1255" ht="48" customHeight="1">
      <x:c r="A1255" s="2" t="str">
        <x:v>TEN-11AE440BBF7C</x:v>
      </x:c>
      <x:c r="B1255" s="12" t="str">
        <x:v>Infosys Limited</x:v>
      </x:c>
      <x:c r="C1255" s="12" t="str">
        <x:v>Business / brand</x:v>
      </x:c>
      <x:c r="D1255" s="12" t="str">
        <x:v>IT &amp; digital</x:v>
      </x:c>
      <x:c r="E1255" s="12" t="str">
        <x:v>Technology services — specialty unverified</x:v>
      </x:c>
      <x:c r="F1255" s="12" t="str">
        <x:v>Large enterprise</x:v>
      </x:c>
      <x:c r="G1255" s="12" t="str">
        <x:v>Explicit Infosys enterprise-family context; see ENTERPRISE_SUPP_001 evidence.</x:v>
      </x:c>
      <x:c r="H1255" s="11" t="n">
        <x:v>7</x:v>
      </x:c>
      <x:c r="I1255" s="11" t="n">
        <x:v>7</x:v>
      </x:c>
      <x:c r="J1255" s="11" t="n">
        <x:v>7</x:v>
      </x:c>
      <x:c r="K1255" s="11" t="n">
        <x:v>0</x:v>
      </x:c>
      <x:c r="L1255" s="17" t="n">
        <x:f>SUM(SUMIFS('Costing'!$P$9:$P$492,'Costing'!$A$9:$A$492,"PARTNER-M358"))</x:f>
        <x:v>280000</x:v>
      </x:c>
      <x:c r="M1255" s="17" t="n">
        <x:f>ROUND(L1255*'Costing'!$C$4,2)</x:f>
        <x:v>50400</x:v>
      </x:c>
      <x:c r="N1255" s="17" t="n">
        <x:f>L1255+M1255</x:f>
        <x:v>330400</x:v>
      </x:c>
      <x:c r="O1255" s="12" t="str">
        <x:v>Delhi NCR</x:v>
      </x:c>
      <x:c r="P1255" s="12" t="str">
        <x:v>CORP-0771, CORP-0772, CORP-0773, CORP-0774, CORP-0775, CORP-0776, CORP-0777</x:v>
      </x:c>
      <x:c r="Q1255" s="12" t="str">
        <x:v>Infosys Limited</x:v>
      </x:c>
    </x:row>
    <x:row r="1256" ht="48" customHeight="1">
      <x:c r="A1256" s="2" t="str">
        <x:v>TEN-AAA30F61EE87</x:v>
      </x:c>
      <x:c r="B1256" s="12" t="str">
        <x:v>Infosys Technologies</x:v>
      </x:c>
      <x:c r="C1256" s="12" t="str">
        <x:v>Business / brand</x:v>
      </x:c>
      <x:c r="D1256" s="12" t="str">
        <x:v>IT &amp; digital</x:v>
      </x:c>
      <x:c r="E1256" s="12" t="str">
        <x:v>Technology services — specialty unverified</x:v>
      </x:c>
      <x:c r="F1256" s="12" t="str">
        <x:v>Large enterprise</x:v>
      </x:c>
      <x:c r="G1256" s="12" t="str">
        <x:v>Explicit Infosys enterprise-family context; see ENTERPRISE_SUPP_001 evidence.</x:v>
      </x:c>
      <x:c r="H1256" s="11" t="n">
        <x:v>6</x:v>
      </x:c>
      <x:c r="I1256" s="11" t="n">
        <x:v>6</x:v>
      </x:c>
      <x:c r="J1256" s="11" t="n">
        <x:v>6</x:v>
      </x:c>
      <x:c r="K1256" s="11" t="n">
        <x:v>0</x:v>
      </x:c>
      <x:c r="L1256" s="17" t="n">
        <x:f>SUM(SUMIFS('Costing'!$P$9:$P$492,'Costing'!$A$9:$A$492,"PARTNER-M289"))</x:f>
        <x:v>240000</x:v>
      </x:c>
      <x:c r="M1256" s="17" t="n">
        <x:f>ROUND(L1256*'Costing'!$C$4,2)</x:f>
        <x:v>43200</x:v>
      </x:c>
      <x:c r="N1256" s="17" t="n">
        <x:f>L1256+M1256</x:f>
        <x:v>283200</x:v>
      </x:c>
      <x:c r="O1256" s="12" t="str">
        <x:v>Hyderabad</x:v>
      </x:c>
      <x:c r="P1256" s="12" t="str">
        <x:v>CORP-0704, CORP-0705, CORP-0706, CORP-0707, CORP-0708, CORP-0709</x:v>
      </x:c>
      <x:c r="Q1256" s="12" t="str">
        <x:v>Infosys Technologies</x:v>
      </x:c>
    </x:row>
    <x:row r="1257" ht="48" customHeight="1">
      <x:c r="A1257" s="2" t="str">
        <x:v>TEN-678FB4E04FCE</x:v>
      </x:c>
      <x:c r="B1257" s="12" t="str">
        <x:v>Infosys Technologies Limited</x:v>
      </x:c>
      <x:c r="C1257" s="12" t="str">
        <x:v>Business / brand</x:v>
      </x:c>
      <x:c r="D1257" s="12" t="str">
        <x:v>IT &amp; digital</x:v>
      </x:c>
      <x:c r="E1257" s="12" t="str">
        <x:v>Technology services — specialty unverified</x:v>
      </x:c>
      <x:c r="F1257" s="12" t="str">
        <x:v>Large enterprise</x:v>
      </x:c>
      <x:c r="G1257" s="12" t="str">
        <x:v>Explicit Infosys enterprise-family context; see ENTERPRISE_SUPP_001 evidence.</x:v>
      </x:c>
      <x:c r="H1257" s="11" t="n">
        <x:v>2</x:v>
      </x:c>
      <x:c r="I1257" s="11" t="n">
        <x:v>2</x:v>
      </x:c>
      <x:c r="J1257" s="11" t="n">
        <x:v>2</x:v>
      </x:c>
      <x:c r="K1257" s="11" t="n">
        <x:v>0</x:v>
      </x:c>
      <x:c r="L1257" s="17" t="n">
        <x:f>SUM(SUMIFS('Costing'!$P$9:$P$492,'Costing'!$A$9:$A$492,"PARTNER-M065"))</x:f>
        <x:v>80000</x:v>
      </x:c>
      <x:c r="M1257" s="17" t="n">
        <x:f>ROUND(L1257*'Costing'!$C$4,2)</x:f>
        <x:v>14400</x:v>
      </x:c>
      <x:c r="N1257" s="17" t="n">
        <x:f>L1257+M1257</x:f>
        <x:v>94400</x:v>
      </x:c>
      <x:c r="O1257" s="12" t="str">
        <x:v>Bengaluru</x:v>
      </x:c>
      <x:c r="P1257" s="12" t="str">
        <x:v>CORP-0483, CORP-0484</x:v>
      </x:c>
      <x:c r="Q1257" s="12" t="str">
        <x:v>Infosys Technologies Limited</x:v>
      </x:c>
    </x:row>
    <x:row r="1258" ht="48" customHeight="1">
      <x:c r="A1258" s="2" t="str">
        <x:v>TEN-A4AB520E8F5F</x:v>
      </x:c>
      <x:c r="B1258" s="12" t="str">
        <x:v>Infotech global ltd india</x:v>
      </x:c>
      <x:c r="C1258" s="12" t="str">
        <x:v>Business / brand</x:v>
      </x:c>
      <x:c r="D1258" s="12" t="str">
        <x:v>IT &amp; digital</x:v>
      </x:c>
      <x:c r="E1258" s="12" t="str">
        <x:v>Enterprise software &amp; digital engineering</x:v>
      </x:c>
      <x:c r="F1258" s="12" t="str">
        <x:v>Small-scale prospects</x:v>
      </x:c>
      <x:c r="G1258" s="12" t="str">
        <x:v>Software or technology-services business; small-scale prospect assumption.</x:v>
      </x:c>
      <x:c r="H1258" s="11" t="n">
        <x:v>1</x:v>
      </x:c>
      <x:c r="I1258" s="11" t="n">
        <x:v>1</x:v>
      </x:c>
      <x:c r="J1258" s="11" t="n">
        <x:v>1</x:v>
      </x:c>
      <x:c r="K1258" s="11" t="n">
        <x:v>0</x:v>
      </x:c>
      <x:c r="L1258" s="17" t="n">
        <x:f>SUM(SUMIFS('Costing'!$P$9:$P$492,'Costing'!$A$9:$A$492,"MAIN-246"))</x:f>
        <x:v>20000</x:v>
      </x:c>
      <x:c r="M1258" s="17" t="n">
        <x:f>ROUND(L1258*'Costing'!$C$4,2)</x:f>
        <x:v>3600</x:v>
      </x:c>
      <x:c r="N1258" s="17" t="n">
        <x:f>L1258+M1258</x:f>
        <x:v>23600</x:v>
      </x:c>
      <x:c r="O1258" s="12" t="str">
        <x:v>Hyderabad</x:v>
      </x:c>
      <x:c r="P1258" s="12" t="str">
        <x:v>CORP-0242</x:v>
      </x:c>
      <x:c r="Q1258" s="12" t="str">
        <x:v>Infotech global ltd india</x:v>
      </x:c>
    </x:row>
    <x:row r="1259" ht="48" customHeight="1">
      <x:c r="A1259" s="2" t="str">
        <x:v>TEN-356AAB6A94F0</x:v>
      </x:c>
      <x:c r="B1259" s="12" t="str">
        <x:v>Infovision</x:v>
      </x:c>
      <x:c r="C1259" s="12" t="str">
        <x:v>Business / brand</x:v>
      </x:c>
      <x:c r="D1259" s="12" t="str">
        <x:v>IT &amp; digital</x:v>
      </x:c>
      <x:c r="E1259" s="12" t="str">
        <x:v>Enterprise software &amp; digital engineering</x:v>
      </x:c>
      <x:c r="F1259" s="12" t="str">
        <x:v>Small-scale prospects</x:v>
      </x:c>
      <x:c r="G1259" s="12" t="str">
        <x:v>Software or technology-services business; small-scale prospect assumption.</x:v>
      </x:c>
      <x:c r="H1259" s="11" t="n">
        <x:v>9</x:v>
      </x:c>
      <x:c r="I1259" s="11" t="n">
        <x:v>9</x:v>
      </x:c>
      <x:c r="J1259" s="11" t="n">
        <x:v>9</x:v>
      </x:c>
      <x:c r="K1259" s="11" t="n">
        <x:v>0</x:v>
      </x:c>
      <x:c r="L1259" s="17" t="n">
        <x:f>SUM(SUMIFS('Costing'!$P$9:$P$492,'Costing'!$A$9:$A$492,"PARTNER-M002"))</x:f>
        <x:v>360000</x:v>
      </x:c>
      <x:c r="M1259" s="17" t="n">
        <x:f>ROUND(L1259*'Costing'!$C$4,2)</x:f>
        <x:v>64800</x:v>
      </x:c>
      <x:c r="N1259" s="17" t="n">
        <x:f>L1259+M1259</x:f>
        <x:v>424800</x:v>
      </x:c>
      <x:c r="O1259" s="12" t="str">
        <x:v>Bengaluru</x:v>
      </x:c>
      <x:c r="P1259" s="12" t="str">
        <x:v>CORP-0420, CORP-0421, CORP-0422, CORP-0423, CORP-0424, CORP-0425, CORP-0426, CORP-0427, CORP-0428</x:v>
      </x:c>
      <x:c r="Q1259" s="12" t="str">
        <x:v>Infovision</x:v>
      </x:c>
    </x:row>
    <x:row r="1260" ht="48" customHeight="1">
      <x:c r="A1260" s="2" t="str">
        <x:v>TEN-E8C5F0A15362</x:v>
      </x:c>
      <x:c r="B1260" s="12" t="str">
        <x:v>Infovity India Pvt. Ltd</x:v>
      </x:c>
      <x:c r="C1260" s="12" t="str">
        <x:v>Business / brand</x:v>
      </x:c>
      <x:c r="D1260" s="12" t="str">
        <x:v>IT &amp; digital</x:v>
      </x:c>
      <x:c r="E1260" s="12" t="str">
        <x:v>Enterprise software &amp; digital engineering</x:v>
      </x:c>
      <x:c r="F1260" s="12" t="str">
        <x:v>Small-scale prospects</x:v>
      </x:c>
      <x:c r="G1260" s="12" t="str">
        <x:v>Software or technology-services business; small-scale prospect assumption.</x:v>
      </x:c>
      <x:c r="H1260" s="11" t="n">
        <x:v>5</x:v>
      </x:c>
      <x:c r="I1260" s="11" t="n">
        <x:v>5</x:v>
      </x:c>
      <x:c r="J1260" s="11" t="n">
        <x:v>5</x:v>
      </x:c>
      <x:c r="K1260" s="11" t="n">
        <x:v>0</x:v>
      </x:c>
      <x:c r="L1260" s="17" t="n">
        <x:f>SUM(SUMIFS('Costing'!$P$9:$P$492,'Costing'!$A$9:$A$492,"PARTNER-M295"))</x:f>
        <x:v>200000</x:v>
      </x:c>
      <x:c r="M1260" s="17" t="n">
        <x:f>ROUND(L1260*'Costing'!$C$4,2)</x:f>
        <x:v>36000</x:v>
      </x:c>
      <x:c r="N1260" s="17" t="n">
        <x:f>L1260+M1260</x:f>
        <x:v>236000</x:v>
      </x:c>
      <x:c r="O1260" s="12" t="str">
        <x:v>Hyderabad</x:v>
      </x:c>
      <x:c r="P1260" s="12" t="str">
        <x:v>CORP-0710, CORP-0711, CORP-0712, CORP-0713, CORP-0714</x:v>
      </x:c>
      <x:c r="Q1260" s="12" t="str">
        <x:v>Infovity India Pvt. Ltd</x:v>
      </x:c>
    </x:row>
    <x:row r="1261" ht="48" customHeight="1">
      <x:c r="A1261" s="2" t="str">
        <x:v>TEN-F0BA5FA690D0</x:v>
      </x:c>
      <x:c r="B1261" s="12" t="str">
        <x:v>Infrabeat</x:v>
      </x:c>
      <x:c r="C1261" s="12" t="str">
        <x:v>Business / brand</x:v>
      </x:c>
      <x:c r="D1261" s="12" t="str">
        <x:v>IT &amp; digital</x:v>
      </x:c>
      <x:c r="E1261" s="12" t="str">
        <x:v>Enterprise software &amp; digital engineering</x:v>
      </x:c>
      <x:c r="F1261" s="12" t="str">
        <x:v>Small-scale prospects</x:v>
      </x:c>
      <x:c r="G1261" s="12" t="str">
        <x:v>Software or technology-services business; small-scale prospect assumption.</x:v>
      </x:c>
      <x:c r="H1261" s="11" t="n">
        <x:v>1</x:v>
      </x:c>
      <x:c r="I1261" s="11" t="n">
        <x:v>2</x:v>
      </x:c>
      <x:c r="J1261" s="11" t="n">
        <x:v>2</x:v>
      </x:c>
      <x:c r="K1261" s="11" t="n">
        <x:v>0</x:v>
      </x:c>
      <x:c r="L1261" s="17" t="n">
        <x:f>SUM(SUMIFS('Costing'!$P$9:$P$492,'Costing'!$A$9:$A$492,"MAIN-088"))</x:f>
        <x:v>30000</x:v>
      </x:c>
      <x:c r="M1261" s="17" t="n">
        <x:f>ROUND(L1261*'Costing'!$C$4,2)</x:f>
        <x:v>5400</x:v>
      </x:c>
      <x:c r="N1261" s="17" t="n">
        <x:f>L1261+M1261</x:f>
        <x:v>35400</x:v>
      </x:c>
      <x:c r="O1261" s="12" t="str">
        <x:v>Bengaluru</x:v>
      </x:c>
      <x:c r="P1261" s="12" t="str">
        <x:v>CORP-0084</x:v>
      </x:c>
      <x:c r="Q1261" s="12" t="str">
        <x:v>Infrabeat</x:v>
      </x:c>
    </x:row>
    <x:row r="1262" ht="48" customHeight="1">
      <x:c r="A1262" s="2" t="str">
        <x:v>TEN-A9A905D2D15D</x:v>
      </x:c>
      <x:c r="B1262" s="12" t="str">
        <x:v>Inframax Engineers</x:v>
      </x:c>
      <x:c r="C1262" s="12" t="str">
        <x:v>Business / brand</x:v>
      </x:c>
      <x:c r="D1262" s="12" t="str">
        <x:v>Engineering &amp; manufacturing</x:v>
      </x:c>
      <x:c r="E1262" s="12" t="str">
        <x:v>Energy, electrical &amp; industrial systems</x:v>
      </x:c>
      <x:c r="F1262" s="12" t="str">
        <x:v>Medium-scale prospects</x:v>
      </x:c>
      <x:c r="G1262" s="12" t="str">
        <x:v>Specialist industrial or engineering business; medium-scale prospect assumption.</x:v>
      </x:c>
      <x:c r="H1262" s="11" t="n">
        <x:v>4</x:v>
      </x:c>
      <x:c r="I1262" s="11" t="n">
        <x:v>4</x:v>
      </x:c>
      <x:c r="J1262" s="11" t="n">
        <x:v>4</x:v>
      </x:c>
      <x:c r="K1262" s="11" t="n">
        <x:v>0</x:v>
      </x:c>
      <x:c r="L1262" s="17" t="n">
        <x:f>SUM(SUMIFS('Costing'!$P$9:$P$492,'Costing'!$A$9:$A$492,"PARTNER-M235"))</x:f>
        <x:v>160000</x:v>
      </x:c>
      <x:c r="M1262" s="17" t="n">
        <x:f>ROUND(L1262*'Costing'!$C$4,2)</x:f>
        <x:v>28800</x:v>
      </x:c>
      <x:c r="N1262" s="17" t="n">
        <x:f>L1262+M1262</x:f>
        <x:v>188800</x:v>
      </x:c>
      <x:c r="O1262" s="12" t="str">
        <x:v>Mumbai</x:v>
      </x:c>
      <x:c r="P1262" s="12" t="str">
        <x:v>CORP-0652, CORP-0653, CORP-0654, CORP-0655</x:v>
      </x:c>
      <x:c r="Q1262" s="12" t="str">
        <x:v>Inframax Engineers</x:v>
      </x:c>
    </x:row>
    <x:row r="1263" ht="48" customHeight="1">
      <x:c r="A1263" s="2" t="str">
        <x:v>TEN-F4B98DC0EA7C</x:v>
      </x:c>
      <x:c r="B1263" s="12" t="str">
        <x:v>Infrasoft (Kiya.ai)</x:v>
      </x:c>
      <x:c r="C1263" s="12" t="str">
        <x:v>Business / brand</x:v>
      </x:c>
      <x:c r="D1263" s="12" t="str">
        <x:v>IT &amp; digital</x:v>
      </x:c>
      <x:c r="E1263" s="12" t="str">
        <x:v>AI, data &amp; analytics</x:v>
      </x:c>
      <x:c r="F1263" s="12" t="str">
        <x:v>Mixed business audience</x:v>
      </x:c>
      <x:c r="G1263" s="12" t="str">
        <x:v>Established brand or business network; local company scale is not established. Use a mixed-business message.</x:v>
      </x:c>
      <x:c r="H1263" s="11" t="n">
        <x:v>1</x:v>
      </x:c>
      <x:c r="I1263" s="11" t="n">
        <x:v>5</x:v>
      </x:c>
      <x:c r="J1263" s="11" t="n">
        <x:v>5</x:v>
      </x:c>
      <x:c r="K1263" s="11" t="n">
        <x:v>0</x:v>
      </x:c>
      <x:c r="L1263" s="17" t="n">
        <x:f>SUM(SUMIFS('Costing'!$P$9:$P$492,'Costing'!$A$9:$A$492,"MAIN-338"))</x:f>
        <x:v>200000</x:v>
      </x:c>
      <x:c r="M1263" s="17" t="n">
        <x:f>ROUND(L1263*'Costing'!$C$4,2)</x:f>
        <x:v>36000</x:v>
      </x:c>
      <x:c r="N1263" s="17" t="n">
        <x:f>L1263+M1263</x:f>
        <x:v>236000</x:v>
      </x:c>
      <x:c r="O1263" s="12" t="str">
        <x:v>Mumbai</x:v>
      </x:c>
      <x:c r="P1263" s="12" t="str">
        <x:v>CORP-0334</x:v>
      </x:c>
      <x:c r="Q1263" s="12" t="str">
        <x:v>Infrasoft (Kiya.ai)</x:v>
      </x:c>
    </x:row>
    <x:row r="1264" ht="48" customHeight="1">
      <x:c r="A1264" s="2" t="str">
        <x:v>TEN-7F563D349816</x:v>
      </x:c>
      <x:c r="B1264" s="12" t="str">
        <x:v>InfraStack Labs Technologies Pvt Ltd</x:v>
      </x:c>
      <x:c r="C1264" s="12" t="str">
        <x:v>Business / brand</x:v>
      </x:c>
      <x:c r="D1264" s="12" t="str">
        <x:v>IT &amp; digital</x:v>
      </x:c>
      <x:c r="E1264" s="12" t="str">
        <x:v>Enterprise software &amp; digital engineering</x:v>
      </x:c>
      <x:c r="F1264" s="12" t="str">
        <x:v>Small-scale prospects</x:v>
      </x:c>
      <x:c r="G1264" s="12" t="str">
        <x:v>Software or technology-services business; small-scale prospect assumption.</x:v>
      </x:c>
      <x:c r="H1264" s="11" t="n">
        <x:v>1</x:v>
      </x:c>
      <x:c r="I1264" s="11" t="n">
        <x:v>8</x:v>
      </x:c>
      <x:c r="J1264" s="11" t="n">
        <x:v>8</x:v>
      </x:c>
      <x:c r="K1264" s="11" t="n">
        <x:v>0</x:v>
      </x:c>
      <x:c r="L1264" s="17" t="n">
        <x:f>SUM(SUMIFS('Costing'!$P$9:$P$492,'Costing'!$A$9:$A$492,"MAIN-059"))</x:f>
        <x:v>120000</x:v>
      </x:c>
      <x:c r="M1264" s="17" t="n">
        <x:f>ROUND(L1264*'Costing'!$C$4,2)</x:f>
        <x:v>21600</x:v>
      </x:c>
      <x:c r="N1264" s="17" t="n">
        <x:f>L1264+M1264</x:f>
        <x:v>141600</x:v>
      </x:c>
      <x:c r="O1264" s="12" t="str">
        <x:v>Bengaluru</x:v>
      </x:c>
      <x:c r="P1264" s="12" t="str">
        <x:v>CORP-0055</x:v>
      </x:c>
      <x:c r="Q1264" s="12" t="str">
        <x:v>InfraStack Labs Technologies Pvt Ltd</x:v>
      </x:c>
    </x:row>
    <x:row r="1265" ht="48" customHeight="1">
      <x:c r="A1265" s="2" t="str">
        <x:v>TEN-B46369E6981D</x:v>
      </x:c>
      <x:c r="B1265" s="12" t="str">
        <x:v>Infurnia Technologies</x:v>
      </x:c>
      <x:c r="C1265" s="12" t="str">
        <x:v>Business / brand</x:v>
      </x:c>
      <x:c r="D1265" s="12" t="str">
        <x:v>IT &amp; digital</x:v>
      </x:c>
      <x:c r="E1265" s="12" t="str">
        <x:v>Enterprise software &amp; digital engineering</x:v>
      </x:c>
      <x:c r="F1265" s="12" t="str">
        <x:v>Small-scale prospects</x:v>
      </x:c>
      <x:c r="G1265" s="12" t="str">
        <x:v>Software or technology-services business; small-scale prospect assumption.</x:v>
      </x:c>
      <x:c r="H1265" s="11" t="n">
        <x:v>1</x:v>
      </x:c>
      <x:c r="I1265" s="11" t="n">
        <x:v>4</x:v>
      </x:c>
      <x:c r="J1265" s="11" t="n">
        <x:v>4</x:v>
      </x:c>
      <x:c r="K1265" s="11" t="n">
        <x:v>0</x:v>
      </x:c>
      <x:c r="L1265" s="17" t="n">
        <x:f>SUM(SUMIFS('Costing'!$P$9:$P$492,'Costing'!$A$9:$A$492,"MAIN-121"))</x:f>
        <x:v>100000</x:v>
      </x:c>
      <x:c r="M1265" s="17" t="n">
        <x:f>ROUND(L1265*'Costing'!$C$4,2)</x:f>
        <x:v>18000</x:v>
      </x:c>
      <x:c r="N1265" s="17" t="n">
        <x:f>L1265+M1265</x:f>
        <x:v>118000</x:v>
      </x:c>
      <x:c r="O1265" s="12" t="str">
        <x:v>Bengaluru</x:v>
      </x:c>
      <x:c r="P1265" s="12" t="str">
        <x:v>CORP-0117</x:v>
      </x:c>
      <x:c r="Q1265" s="12" t="str">
        <x:v>Infurnia Technologies</x:v>
      </x:c>
    </x:row>
    <x:row r="1266" ht="48" customHeight="1">
      <x:c r="A1266" s="2" t="str">
        <x:v>TEN-4F3101461825</x:v>
      </x:c>
      <x:c r="B1266" s="12" t="str">
        <x:v>Infuse Spa at Four Seasons Hotel Bengaluru at Embassy</x:v>
      </x:c>
      <x:c r="C1266" s="12" t="str">
        <x:v>Business / brand</x:v>
      </x:c>
      <x:c r="D1266" s="12" t="str">
        <x:v>Trade, consumer &amp; logistics</x:v>
      </x:c>
      <x:c r="E1266" s="12" t="str">
        <x:v>Travel, hospitality, food &amp; beverages</x:v>
      </x:c>
      <x:c r="F1266" s="12" t="str">
        <x:v>Mixed business audience</x:v>
      </x:c>
      <x:c r="G1266" s="12" t="str">
        <x:v>Established brand or business network; local company scale is not established. Use a mixed-business message.</x:v>
      </x:c>
      <x:c r="H1266" s="11" t="n">
        <x:v>1</x:v>
      </x:c>
      <x:c r="I1266" s="11" t="n">
        <x:v>2</x:v>
      </x:c>
      <x:c r="J1266" s="11" t="n">
        <x:v>2</x:v>
      </x:c>
      <x:c r="K1266" s="11" t="n">
        <x:v>0</x:v>
      </x:c>
      <x:c r="L1266" s="17" t="n">
        <x:f>SUM(SUMIFS('Costing'!$P$9:$P$492,'Costing'!$A$9:$A$492,"MAIN-114"))</x:f>
        <x:v>50000</x:v>
      </x:c>
      <x:c r="M1266" s="17" t="n">
        <x:f>ROUND(L1266*'Costing'!$C$4,2)</x:f>
        <x:v>9000</x:v>
      </x:c>
      <x:c r="N1266" s="17" t="n">
        <x:f>L1266+M1266</x:f>
        <x:v>59000</x:v>
      </x:c>
      <x:c r="O1266" s="12" t="str">
        <x:v>Bengaluru</x:v>
      </x:c>
      <x:c r="P1266" s="12" t="str">
        <x:v>CORP-0110</x:v>
      </x:c>
      <x:c r="Q1266" s="12" t="str">
        <x:v>Infuse Spa at Four Seasons Hotel Bengaluru at Embassy</x:v>
      </x:c>
    </x:row>
    <x:row r="1267" ht="48" customHeight="1">
      <x:c r="A1267" s="2" t="str">
        <x:v>TEN-C8FC51571F17</x:v>
      </x:c>
      <x:c r="B1267" s="12" t="str">
        <x:v>Ingenero Technologies (I) Pvt. Ltd</x:v>
      </x:c>
      <x:c r="C1267" s="12" t="str">
        <x:v>Business / brand</x:v>
      </x:c>
      <x:c r="D1267" s="12" t="str">
        <x:v>Engineering &amp; manufacturing</x:v>
      </x:c>
      <x:c r="E1267" s="12" t="str">
        <x:v>Engineering, testing &amp; technical services</x:v>
      </x:c>
      <x:c r="F1267" s="12" t="str">
        <x:v>Medium-scale prospects</x:v>
      </x:c>
      <x:c r="G1267" s="12" t="str">
        <x:v>Specialist industrial or engineering business; medium-scale prospect assumption.</x:v>
      </x:c>
      <x:c r="H1267" s="11" t="n">
        <x:v>2</x:v>
      </x:c>
      <x:c r="I1267" s="11" t="n">
        <x:v>2</x:v>
      </x:c>
      <x:c r="J1267" s="11" t="n">
        <x:v>2</x:v>
      </x:c>
      <x:c r="K1267" s="11" t="n">
        <x:v>0</x:v>
      </x:c>
      <x:c r="L1267" s="17" t="n">
        <x:f>SUM(SUMIFS('Costing'!$P$9:$P$492,'Costing'!$A$9:$A$492,"MAIN-299"),SUMIFS('Costing'!$P$9:$P$492,'Costing'!$A$9:$A$492,"MAIN-321"))</x:f>
        <x:v>30000</x:v>
      </x:c>
      <x:c r="M1267" s="17" t="n">
        <x:f>ROUND(L1267*'Costing'!$C$4,2)</x:f>
        <x:v>5400</x:v>
      </x:c>
      <x:c r="N1267" s="17" t="n">
        <x:f>L1267+M1267</x:f>
        <x:v>35400</x:v>
      </x:c>
      <x:c r="O1267" s="12" t="str">
        <x:v>Mumbai</x:v>
      </x:c>
      <x:c r="P1267" s="12" t="str">
        <x:v>CORP-0295, CORP-0317</x:v>
      </x:c>
      <x:c r="Q1267" s="12" t="str">
        <x:v>Ingenero Technologies (I) Pvt. Ltd</x:v>
      </x:c>
    </x:row>
    <x:row r="1268" ht="48" customHeight="1">
      <x:c r="A1268" s="2" t="str">
        <x:v>TEN-A0548562CF88</x:v>
      </x:c>
      <x:c r="B1268" s="12" t="str">
        <x:v>Ingersoll Rand</x:v>
      </x:c>
      <x:c r="C1268" s="12" t="str">
        <x:v>Business / brand</x:v>
      </x:c>
      <x:c r="D1268" s="12" t="str">
        <x:v>Engineering &amp; manufacturing</x:v>
      </x:c>
      <x:c r="E1268" s="12" t="str">
        <x:v>Energy, electrical &amp; industrial systems</x:v>
      </x:c>
      <x:c r="F1268" s="12" t="str">
        <x:v>Mixed business audience</x:v>
      </x:c>
      <x:c r="G1268" s="12" t="str">
        <x:v>Recognisable business context; company-scale evidence remains insufficient for a single size band.</x:v>
      </x:c>
      <x:c r="H1268" s="11" t="n">
        <x:v>2</x:v>
      </x:c>
      <x:c r="I1268" s="11" t="n">
        <x:v>3</x:v>
      </x:c>
      <x:c r="J1268" s="11" t="n">
        <x:v>3</x:v>
      </x:c>
      <x:c r="K1268" s="11" t="n">
        <x:v>0</x:v>
      </x:c>
      <x:c r="L1268" s="17" t="n">
        <x:f>SUM(SUMIFS('Costing'!$P$9:$P$492,'Costing'!$A$9:$A$492,"MAIN-143"),SUMIFS('Costing'!$P$9:$P$492,'Costing'!$A$9:$A$492,"MAIN-144"))</x:f>
        <x:v>60000</x:v>
      </x:c>
      <x:c r="M1268" s="17" t="n">
        <x:f>ROUND(L1268*'Costing'!$C$4,2)</x:f>
        <x:v>10800</x:v>
      </x:c>
      <x:c r="N1268" s="17" t="n">
        <x:f>L1268+M1268</x:f>
        <x:v>70800</x:v>
      </x:c>
      <x:c r="O1268" s="12" t="str">
        <x:v>Chennai</x:v>
      </x:c>
      <x:c r="P1268" s="12" t="str">
        <x:v>CORP-0139, CORP-0140</x:v>
      </x:c>
      <x:c r="Q1268" s="12" t="str">
        <x:v>Ingersoll Rand</x:v>
      </x:c>
    </x:row>
    <x:row r="1269" ht="48" customHeight="1">
      <x:c r="A1269" s="2" t="str">
        <x:v>TEN-5DB1442E6DC0</x:v>
      </x:c>
      <x:c r="B1269" s="12" t="str">
        <x:v>INITIA</x:v>
      </x:c>
      <x:c r="C1269" s="12" t="str">
        <x:v>Business / brand</x:v>
      </x:c>
      <x:c r="D1269" s="12" t="str">
        <x:v>Unresolved</x:v>
      </x:c>
      <x:c r="E1269" s="12" t="str">
        <x:v>Business activity not established</x:v>
      </x:c>
      <x:c r="F1269" s="12" t="str">
        <x:v>Mixed business audience</x:v>
      </x:c>
      <x:c r="G1269" s="12" t="str">
        <x:v>Business activity and company scale are not established from this name.</x:v>
      </x:c>
      <x:c r="H1269" s="11" t="n">
        <x:v>5</x:v>
      </x:c>
      <x:c r="I1269" s="11" t="n">
        <x:v>5</x:v>
      </x:c>
      <x:c r="J1269" s="11" t="n">
        <x:v>5</x:v>
      </x:c>
      <x:c r="K1269" s="11" t="n">
        <x:v>0</x:v>
      </x:c>
      <x:c r="L1269" s="17" t="n">
        <x:f>SUM(SUMIFS('Costing'!$P$9:$P$492,'Costing'!$A$9:$A$492,"PARTNER-M268"))</x:f>
        <x:v>200000</x:v>
      </x:c>
      <x:c r="M1269" s="17" t="n">
        <x:f>ROUND(L1269*'Costing'!$C$4,2)</x:f>
        <x:v>36000</x:v>
      </x:c>
      <x:c r="N1269" s="17" t="n">
        <x:f>L1269+M1269</x:f>
        <x:v>236000</x:v>
      </x:c>
      <x:c r="O1269" s="12" t="str">
        <x:v>Pune</x:v>
      </x:c>
      <x:c r="P1269" s="12" t="str">
        <x:v>CORP-0684, CORP-0685, CORP-0686, CORP-0687, CORP-0688</x:v>
      </x:c>
      <x:c r="Q1269" s="12" t="str">
        <x:v>INITIA</x:v>
      </x:c>
    </x:row>
    <x:row r="1270" ht="48" customHeight="1">
      <x:c r="A1270" s="2" t="str">
        <x:v>TEN-4637D767B45C</x:v>
      </x:c>
      <x:c r="B1270" s="12" t="str">
        <x:v>INLIVING</x:v>
      </x:c>
      <x:c r="C1270" s="12" t="str">
        <x:v>Business / brand</x:v>
      </x:c>
      <x:c r="D1270" s="12" t="str">
        <x:v>Trade, consumer &amp; logistics</x:v>
      </x:c>
      <x:c r="E1270" s="12" t="str">
        <x:v>Retail, consumer products &amp; ecommerce</x:v>
      </x:c>
      <x:c r="F1270" s="12" t="str">
        <x:v>Small-scale prospects</x:v>
      </x:c>
      <x:c r="G1270" s="12" t="str">
        <x:v>Trading or consumer-services business; small-scale prospect assumption.</x:v>
      </x:c>
      <x:c r="H1270" s="11" t="n">
        <x:v>10</x:v>
      </x:c>
      <x:c r="I1270" s="11" t="n">
        <x:v>10</x:v>
      </x:c>
      <x:c r="J1270" s="11" t="n">
        <x:v>10</x:v>
      </x:c>
      <x:c r="K1270" s="11" t="n">
        <x:v>0</x:v>
      </x:c>
      <x:c r="L1270" s="17" t="n">
        <x:f>SUM(SUMIFS('Costing'!$P$9:$P$492,'Costing'!$A$9:$A$492,"PARTNER-M365"))</x:f>
        <x:v>400000</x:v>
      </x:c>
      <x:c r="M1270" s="17" t="n">
        <x:f>ROUND(L1270*'Costing'!$C$4,2)</x:f>
        <x:v>72000</x:v>
      </x:c>
      <x:c r="N1270" s="17" t="n">
        <x:f>L1270+M1270</x:f>
        <x:v>472000</x:v>
      </x:c>
      <x:c r="O1270" s="12" t="str">
        <x:v>Delhi NCR</x:v>
      </x:c>
      <x:c r="P1270" s="12" t="str">
        <x:v>CORP-0778, CORP-0779, CORP-0780, CORP-0781, CORP-0782, CORP-0783, CORP-0784, CORP-0785, CORP-0786, CORP-0787</x:v>
      </x:c>
      <x:c r="Q1270" s="12" t="str">
        <x:v>INLIVING</x:v>
      </x:c>
    </x:row>
    <x:row r="1271" ht="48" customHeight="1">
      <x:c r="A1271" s="2" t="str">
        <x:v>TEN-917A9EA35D91</x:v>
      </x:c>
      <x:c r="B1271" s="12" t="str">
        <x:v>InMobi Technology Services Pvt. Ltd</x:v>
      </x:c>
      <x:c r="C1271" s="12" t="str">
        <x:v>Business / brand</x:v>
      </x:c>
      <x:c r="D1271" s="12" t="str">
        <x:v>IT &amp; digital</x:v>
      </x:c>
      <x:c r="E1271" s="12" t="str">
        <x:v>Enterprise software &amp; digital engineering</x:v>
      </x:c>
      <x:c r="F1271" s="12" t="str">
        <x:v>Mixed business audience</x:v>
      </x:c>
      <x:c r="G1271" s="12" t="str">
        <x:v>Established brand or business network; local company scale is not established. Use a mixed-business message.</x:v>
      </x:c>
      <x:c r="H1271" s="11" t="n">
        <x:v>3</x:v>
      </x:c>
      <x:c r="I1271" s="11" t="n">
        <x:v>3</x:v>
      </x:c>
      <x:c r="J1271" s="11" t="n">
        <x:v>3</x:v>
      </x:c>
      <x:c r="K1271" s="11" t="n">
        <x:v>0</x:v>
      </x:c>
      <x:c r="L1271" s="17" t="n">
        <x:f>SUM(SUMIFS('Costing'!$P$9:$P$492,'Costing'!$A$9:$A$492,"PARTNER-M067"))</x:f>
        <x:v>120000</x:v>
      </x:c>
      <x:c r="M1271" s="17" t="n">
        <x:f>ROUND(L1271*'Costing'!$C$4,2)</x:f>
        <x:v>21600</x:v>
      </x:c>
      <x:c r="N1271" s="17" t="n">
        <x:f>L1271+M1271</x:f>
        <x:v>141600</x:v>
      </x:c>
      <x:c r="O1271" s="12" t="str">
        <x:v>Bengaluru</x:v>
      </x:c>
      <x:c r="P1271" s="12" t="str">
        <x:v>CORP-0485, CORP-0486, CORP-0487</x:v>
      </x:c>
      <x:c r="Q1271" s="12" t="str">
        <x:v>InMobi Technology Services Pvt. Ltd</x:v>
      </x:c>
    </x:row>
    <x:row r="1272" ht="48" customHeight="1">
      <x:c r="A1272" s="2" t="str">
        <x:v>TEN-D817CF92B660</x:v>
      </x:c>
      <x:c r="B1272" s="12" t="str">
        <x:v>Innoactive</x:v>
      </x:c>
      <x:c r="C1272" s="12" t="str">
        <x:v>Business / brand</x:v>
      </x:c>
      <x:c r="D1272" s="12" t="str">
        <x:v>Unresolved</x:v>
      </x:c>
      <x:c r="E1272" s="12" t="str">
        <x:v>Business activity not established</x:v>
      </x:c>
      <x:c r="F1272" s="12" t="str">
        <x:v>Mixed business audience</x:v>
      </x:c>
      <x:c r="G1272" s="12" t="str">
        <x:v>Business activity and company scale are not established from this name.</x:v>
      </x:c>
      <x:c r="H1272" s="11" t="n">
        <x:v>9</x:v>
      </x:c>
      <x:c r="I1272" s="11" t="n">
        <x:v>9</x:v>
      </x:c>
      <x:c r="J1272" s="11" t="n">
        <x:v>9</x:v>
      </x:c>
      <x:c r="K1272" s="11" t="n">
        <x:v>0</x:v>
      </x:c>
      <x:c r="L1272" s="17" t="n">
        <x:f>SUM(SUMIFS('Costing'!$P$9:$P$492,'Costing'!$A$9:$A$492,"PARTNER-M002"))</x:f>
        <x:v>360000</x:v>
      </x:c>
      <x:c r="M1272" s="17" t="n">
        <x:f>ROUND(L1272*'Costing'!$C$4,2)</x:f>
        <x:v>64800</x:v>
      </x:c>
      <x:c r="N1272" s="17" t="n">
        <x:f>L1272+M1272</x:f>
        <x:v>424800</x:v>
      </x:c>
      <x:c r="O1272" s="12" t="str">
        <x:v>Bengaluru</x:v>
      </x:c>
      <x:c r="P1272" s="12" t="str">
        <x:v>CORP-0420, CORP-0421, CORP-0422, CORP-0423, CORP-0424, CORP-0425, CORP-0426, CORP-0427, CORP-0428</x:v>
      </x:c>
      <x:c r="Q1272" s="12" t="str">
        <x:v>Innoactive</x:v>
      </x:c>
    </x:row>
    <x:row r="1273" ht="48" customHeight="1">
      <x:c r="A1273" s="2" t="str">
        <x:v>TEN-A5F3E9F1C9E5</x:v>
      </x:c>
      <x:c r="B1273" s="12" t="str">
        <x:v>InnoCore Digital</x:v>
      </x:c>
      <x:c r="C1273" s="12" t="str">
        <x:v>Business / brand</x:v>
      </x:c>
      <x:c r="D1273" s="12" t="str">
        <x:v>IT &amp; digital</x:v>
      </x:c>
      <x:c r="E1273" s="12" t="str">
        <x:v>Enterprise software &amp; digital engineering</x:v>
      </x:c>
      <x:c r="F1273" s="12" t="str">
        <x:v>Small-scale prospects</x:v>
      </x:c>
      <x:c r="G1273" s="12" t="str">
        <x:v>Software or technology-services business; small-scale prospect assumption.</x:v>
      </x:c>
      <x:c r="H1273" s="11" t="n">
        <x:v>7</x:v>
      </x:c>
      <x:c r="I1273" s="11" t="n">
        <x:v>7</x:v>
      </x:c>
      <x:c r="J1273" s="11" t="n">
        <x:v>7</x:v>
      </x:c>
      <x:c r="K1273" s="11" t="n">
        <x:v>0</x:v>
      </x:c>
      <x:c r="L1273" s="17" t="n">
        <x:f>SUM(SUMIFS('Costing'!$P$9:$P$492,'Costing'!$A$9:$A$492,"PARTNER-M317"))</x:f>
        <x:v>280000</x:v>
      </x:c>
      <x:c r="M1273" s="17" t="n">
        <x:f>ROUND(L1273*'Costing'!$C$4,2)</x:f>
        <x:v>50400</x:v>
      </x:c>
      <x:c r="N1273" s="17" t="n">
        <x:f>L1273+M1273</x:f>
        <x:v>330400</x:v>
      </x:c>
      <x:c r="O1273" s="12" t="str">
        <x:v>Hyderabad</x:v>
      </x:c>
      <x:c r="P1273" s="12" t="str">
        <x:v>CORP-0732, CORP-0733, CORP-0734, CORP-0735, CORP-0736, CORP-0737, CORP-0738</x:v>
      </x:c>
      <x:c r="Q1273" s="12" t="str">
        <x:v>InnoCore Digital</x:v>
      </x:c>
    </x:row>
    <x:row r="1274" ht="48" customHeight="1">
      <x:c r="A1274" s="2" t="str">
        <x:v>TEN-FCE68113EA76</x:v>
      </x:c>
      <x:c r="B1274" s="12" t="str">
        <x:v>Innominds Software</x:v>
      </x:c>
      <x:c r="C1274" s="12" t="str">
        <x:v>Business / brand</x:v>
      </x:c>
      <x:c r="D1274" s="12" t="str">
        <x:v>IT &amp; digital</x:v>
      </x:c>
      <x:c r="E1274" s="12" t="str">
        <x:v>Enterprise software &amp; digital engineering</x:v>
      </x:c>
      <x:c r="F1274" s="12" t="str">
        <x:v>Mixed business audience</x:v>
      </x:c>
      <x:c r="G1274" s="12" t="str">
        <x:v>Established brand or business network; local company scale is not established. Use a mixed-business message.</x:v>
      </x:c>
      <x:c r="H1274" s="11" t="n">
        <x:v>8</x:v>
      </x:c>
      <x:c r="I1274" s="11" t="n">
        <x:v>8</x:v>
      </x:c>
      <x:c r="J1274" s="11" t="n">
        <x:v>8</x:v>
      </x:c>
      <x:c r="K1274" s="11" t="n">
        <x:v>0</x:v>
      </x:c>
      <x:c r="L1274" s="17" t="n">
        <x:f>SUM(SUMIFS('Costing'!$P$9:$P$492,'Costing'!$A$9:$A$492,"PARTNER-M300"))</x:f>
        <x:v>320000</x:v>
      </x:c>
      <x:c r="M1274" s="17" t="n">
        <x:f>ROUND(L1274*'Costing'!$C$4,2)</x:f>
        <x:v>57600</x:v>
      </x:c>
      <x:c r="N1274" s="17" t="n">
        <x:f>L1274+M1274</x:f>
        <x:v>377600</x:v>
      </x:c>
      <x:c r="O1274" s="12" t="str">
        <x:v>Hyderabad</x:v>
      </x:c>
      <x:c r="P1274" s="12" t="str">
        <x:v>CORP-0715, CORP-0716, CORP-0717, CORP-0718, CORP-0719, CORP-0720, CORP-0721, CORP-0722</x:v>
      </x:c>
      <x:c r="Q1274" s="12" t="str">
        <x:v>Innominds Software</x:v>
      </x:c>
    </x:row>
    <x:row r="1275" ht="75" customHeight="1">
      <x:c r="A1275" s="2" t="str">
        <x:v>TEN-48EF4A7809DE</x:v>
      </x:c>
      <x:c r="B1275" s="12" t="str">
        <x:v>Innova Solutions</x:v>
      </x:c>
      <x:c r="C1275" s="12" t="str">
        <x:v>Business / brand</x:v>
      </x:c>
      <x:c r="D1275" s="12" t="str">
        <x:v>IT &amp; digital</x:v>
      </x:c>
      <x:c r="E1275" s="12" t="str">
        <x:v>Enterprise software &amp; digital engineering</x:v>
      </x:c>
      <x:c r="F1275" s="12" t="str">
        <x:v>Large enterprise</x:v>
      </x:c>
      <x:c r="G1275" s="12" t="str">
        <x:v>The company launch announcement describes approximately 50,000 professionals worldwide and a business approaching USD3 billion in annual revenue. A 2025 official brochure repeats that scale; this is an established global delivery group.</x:v>
      </x:c>
      <x:c r="H1275" s="11" t="n">
        <x:v>1</x:v>
      </x:c>
      <x:c r="I1275" s="11" t="n">
        <x:v>21</x:v>
      </x:c>
      <x:c r="J1275" s="11" t="n">
        <x:v>21</x:v>
      </x:c>
      <x:c r="K1275" s="11" t="n">
        <x:v>0</x:v>
      </x:c>
      <x:c r="L1275" s="17" t="n">
        <x:f>SUM(SUMIFS('Costing'!$P$9:$P$492,'Costing'!$A$9:$A$492,"MAIN-232"))</x:f>
        <x:v>315000</x:v>
      </x:c>
      <x:c r="M1275" s="17" t="n">
        <x:f>ROUND(L1275*'Costing'!$C$4,2)</x:f>
        <x:v>56700</x:v>
      </x:c>
      <x:c r="N1275" s="17" t="n">
        <x:f>L1275+M1275</x:f>
        <x:v>371700</x:v>
      </x:c>
      <x:c r="O1275" s="12" t="str">
        <x:v>Hyderabad</x:v>
      </x:c>
      <x:c r="P1275" s="12" t="str">
        <x:v>CORP-0228</x:v>
      </x:c>
      <x:c r="Q1275" s="12" t="str">
        <x:v>Innova Solutions</x:v>
      </x:c>
    </x:row>
    <x:row r="1276" ht="48" customHeight="1">
      <x:c r="A1276" s="2" t="str">
        <x:v>TEN-A3315D1C95D3</x:v>
      </x:c>
      <x:c r="B1276" s="12" t="str">
        <x:v>Innovate</x:v>
      </x:c>
      <x:c r="C1276" s="12" t="str">
        <x:v>Business / brand</x:v>
      </x:c>
      <x:c r="D1276" s="12" t="str">
        <x:v>Unresolved</x:v>
      </x:c>
      <x:c r="E1276" s="12" t="str">
        <x:v>Business activity not established</x:v>
      </x:c>
      <x:c r="F1276" s="12" t="str">
        <x:v>Mixed business audience</x:v>
      </x:c>
      <x:c r="G1276" s="12" t="str">
        <x:v>Business activity and company scale are not established from this name.</x:v>
      </x:c>
      <x:c r="H1276" s="11" t="n">
        <x:v>1</x:v>
      </x:c>
      <x:c r="I1276" s="11" t="n">
        <x:v>1</x:v>
      </x:c>
      <x:c r="J1276" s="11" t="n">
        <x:v>1</x:v>
      </x:c>
      <x:c r="K1276" s="11" t="n">
        <x:v>0</x:v>
      </x:c>
      <x:c r="L1276" s="17" t="n">
        <x:f>SUM(SUMIFS('Costing'!$P$9:$P$492,'Costing'!$A$9:$A$492,"MAIN-161"))</x:f>
        <x:v>15000</x:v>
      </x:c>
      <x:c r="M1276" s="17" t="n">
        <x:f>ROUND(L1276*'Costing'!$C$4,2)</x:f>
        <x:v>2700</x:v>
      </x:c>
      <x:c r="N1276" s="17" t="n">
        <x:f>L1276+M1276</x:f>
        <x:v>17700</x:v>
      </x:c>
      <x:c r="O1276" s="12" t="str">
        <x:v>Chennai</x:v>
      </x:c>
      <x:c r="P1276" s="12" t="str">
        <x:v>CORP-0157</x:v>
      </x:c>
      <x:c r="Q1276" s="12" t="str">
        <x:v>Innovate</x:v>
      </x:c>
    </x:row>
    <x:row r="1277" ht="48" customHeight="1">
      <x:c r="A1277" s="2" t="str">
        <x:v>TEN-E1CBD9AE574D</x:v>
      </x:c>
      <x:c r="B1277" s="12" t="str">
        <x:v>INNOVATIONS PVT LTD</x:v>
      </x:c>
      <x:c r="C1277" s="12" t="str">
        <x:v>Identity unresolved</x:v>
      </x:c>
      <x:c r="D1277" s="12" t="str">
        <x:v>Unresolved</x:v>
      </x:c>
      <x:c r="E1277" s="12" t="str">
        <x:v>Business activity not established</x:v>
      </x:c>
      <x:c r="F1277" s="12" t="str">
        <x:v>Mixed business audience</x:v>
      </x:c>
      <x:c r="G1277" s="12" t="str">
        <x:v>Ambiguous directory record; use the surrounding property audience.</x:v>
      </x:c>
      <x:c r="H1277" s="11" t="n">
        <x:v>1</x:v>
      </x:c>
      <x:c r="I1277" s="11" t="n">
        <x:v>2</x:v>
      </x:c>
      <x:c r="J1277" s="11" t="n">
        <x:v>2</x:v>
      </x:c>
      <x:c r="K1277" s="11" t="n">
        <x:v>0</x:v>
      </x:c>
      <x:c r="L1277" s="17" t="n">
        <x:f>SUM(SUMIFS('Costing'!$P$9:$P$492,'Costing'!$A$9:$A$492,"MAIN-216"))</x:f>
        <x:v>30000</x:v>
      </x:c>
      <x:c r="M1277" s="17" t="n">
        <x:f>ROUND(L1277*'Costing'!$C$4,2)</x:f>
        <x:v>5400</x:v>
      </x:c>
      <x:c r="N1277" s="17" t="n">
        <x:f>L1277+M1277</x:f>
        <x:v>35400</x:v>
      </x:c>
      <x:c r="O1277" s="12" t="str">
        <x:v>Hyderabad</x:v>
      </x:c>
      <x:c r="P1277" s="12" t="str">
        <x:v>CORP-0212</x:v>
      </x:c>
      <x:c r="Q1277" s="12" t="str">
        <x:v>INNOVATIONS PVT LTD</x:v>
      </x:c>
    </x:row>
    <x:row r="1278" ht="48" customHeight="1">
      <x:c r="A1278" s="2" t="str">
        <x:v>TEN-62CD49329E56</x:v>
      </x:c>
      <x:c r="B1278" s="12" t="str">
        <x:v>Inogic</x:v>
      </x:c>
      <x:c r="C1278" s="12" t="str">
        <x:v>Business / brand</x:v>
      </x:c>
      <x:c r="D1278" s="12" t="str">
        <x:v>IT &amp; digital</x:v>
      </x:c>
      <x:c r="E1278" s="12" t="str">
        <x:v>Enterprise software &amp; digital engineering</x:v>
      </x:c>
      <x:c r="F1278" s="12" t="str">
        <x:v>Small-scale prospects</x:v>
      </x:c>
      <x:c r="G1278" s="12" t="str">
        <x:v>Software or technology-services business; small-scale prospect assumption.</x:v>
      </x:c>
      <x:c r="H1278" s="11" t="n">
        <x:v>1</x:v>
      </x:c>
      <x:c r="I1278" s="11" t="n">
        <x:v>21</x:v>
      </x:c>
      <x:c r="J1278" s="11" t="n">
        <x:v>21</x:v>
      </x:c>
      <x:c r="K1278" s="11" t="n">
        <x:v>0</x:v>
      </x:c>
      <x:c r="L1278" s="17" t="n">
        <x:f>SUM(SUMIFS('Costing'!$P$9:$P$492,'Costing'!$A$9:$A$492,"MAIN-313"))</x:f>
        <x:v>315000</x:v>
      </x:c>
      <x:c r="M1278" s="17" t="n">
        <x:f>ROUND(L1278*'Costing'!$C$4,2)</x:f>
        <x:v>56700</x:v>
      </x:c>
      <x:c r="N1278" s="17" t="n">
        <x:f>L1278+M1278</x:f>
        <x:v>371700</x:v>
      </x:c>
      <x:c r="O1278" s="12" t="str">
        <x:v>Mumbai</x:v>
      </x:c>
      <x:c r="P1278" s="12" t="str">
        <x:v>CORP-0309</x:v>
      </x:c>
      <x:c r="Q1278" s="12" t="str">
        <x:v>Inogic</x:v>
      </x:c>
    </x:row>
    <x:row r="1279" ht="48" customHeight="1">
      <x:c r="A1279" s="2" t="str">
        <x:v>TEN-97720ABA5A0C</x:v>
      </x:c>
      <x:c r="B1279" s="12" t="str">
        <x:v>Insemi Technology</x:v>
      </x:c>
      <x:c r="C1279" s="12" t="str">
        <x:v>Business / brand</x:v>
      </x:c>
      <x:c r="D1279" s="12" t="str">
        <x:v>Engineering &amp; manufacturing</x:v>
      </x:c>
      <x:c r="E1279" s="12" t="str">
        <x:v>Electronics, industrial systems &amp; manufacturing</x:v>
      </x:c>
      <x:c r="F1279" s="12" t="str">
        <x:v>Mixed business audience</x:v>
      </x:c>
      <x:c r="G1279" s="12" t="str">
        <x:v>Established brand or business network; local company scale is not established. Use a mixed-business message.</x:v>
      </x:c>
      <x:c r="H1279" s="11" t="n">
        <x:v>9</x:v>
      </x:c>
      <x:c r="I1279" s="11" t="n">
        <x:v>9</x:v>
      </x:c>
      <x:c r="J1279" s="11" t="n">
        <x:v>9</x:v>
      </x:c>
      <x:c r="K1279" s="11" t="n">
        <x:v>0</x:v>
      </x:c>
      <x:c r="L1279" s="17" t="n">
        <x:f>SUM(SUMIFS('Costing'!$P$9:$P$492,'Costing'!$A$9:$A$492,"PARTNER-M002"))</x:f>
        <x:v>360000</x:v>
      </x:c>
      <x:c r="M1279" s="17" t="n">
        <x:f>ROUND(L1279*'Costing'!$C$4,2)</x:f>
        <x:v>64800</x:v>
      </x:c>
      <x:c r="N1279" s="17" t="n">
        <x:f>L1279+M1279</x:f>
        <x:v>424800</x:v>
      </x:c>
      <x:c r="O1279" s="12" t="str">
        <x:v>Bengaluru</x:v>
      </x:c>
      <x:c r="P1279" s="12" t="str">
        <x:v>CORP-0420, CORP-0421, CORP-0422, CORP-0423, CORP-0424, CORP-0425, CORP-0426, CORP-0427, CORP-0428</x:v>
      </x:c>
      <x:c r="Q1279" s="12" t="str">
        <x:v>Insemi Technology</x:v>
      </x:c>
    </x:row>
    <x:row r="1280" ht="48" customHeight="1">
      <x:c r="A1280" s="2" t="str">
        <x:v>TEN-671EB40229E4</x:v>
      </x:c>
      <x:c r="B1280" s="12" t="str">
        <x:v>Insights Opinion</x:v>
      </x:c>
      <x:c r="C1280" s="12" t="str">
        <x:v>Business / brand</x:v>
      </x:c>
      <x:c r="D1280" s="12" t="str">
        <x:v>Professional services</x:v>
      </x:c>
      <x:c r="E1280" s="12" t="str">
        <x:v>Marketing, media &amp; research services</x:v>
      </x:c>
      <x:c r="F1280" s="12" t="str">
        <x:v>Small-scale prospects</x:v>
      </x:c>
      <x:c r="G1280" s="12" t="str">
        <x:v>Professional service, agency or advisory model; small-scale prospect assumption.</x:v>
      </x:c>
      <x:c r="H1280" s="11" t="n">
        <x:v>1</x:v>
      </x:c>
      <x:c r="I1280" s="11" t="n">
        <x:v>2</x:v>
      </x:c>
      <x:c r="J1280" s="11" t="n">
        <x:v>2</x:v>
      </x:c>
      <x:c r="K1280" s="11" t="n">
        <x:v>0</x:v>
      </x:c>
      <x:c r="L1280" s="17" t="n">
        <x:f>SUM(SUMIFS('Costing'!$P$9:$P$492,'Costing'!$A$9:$A$492,"MAIN-367"))</x:f>
        <x:v>30000</x:v>
      </x:c>
      <x:c r="M1280" s="17" t="n">
        <x:f>ROUND(L1280*'Costing'!$C$4,2)</x:f>
        <x:v>5400</x:v>
      </x:c>
      <x:c r="N1280" s="17" t="n">
        <x:f>L1280+M1280</x:f>
        <x:v>35400</x:v>
      </x:c>
      <x:c r="O1280" s="12" t="str">
        <x:v>Delhi NCR</x:v>
      </x:c>
      <x:c r="P1280" s="12" t="str">
        <x:v>CORP-0363</x:v>
      </x:c>
      <x:c r="Q1280" s="12" t="str">
        <x:v>Insights Opinion</x:v>
      </x:c>
    </x:row>
    <x:row r="1281" ht="48" customHeight="1">
      <x:c r="A1281" s="2" t="str">
        <x:v>TEN-953F723DD17A</x:v>
      </x:c>
      <x:c r="B1281" s="12" t="str">
        <x:v>Insmagro Global Solutions Pvt Ltd</x:v>
      </x:c>
      <x:c r="C1281" s="12" t="str">
        <x:v>Business / brand</x:v>
      </x:c>
      <x:c r="D1281" s="12" t="str">
        <x:v>Unresolved</x:v>
      </x:c>
      <x:c r="E1281" s="12" t="str">
        <x:v>Business activity not established</x:v>
      </x:c>
      <x:c r="F1281" s="12" t="str">
        <x:v>Mixed business audience</x:v>
      </x:c>
      <x:c r="G1281" s="12" t="str">
        <x:v>Business activity and company scale are not established from this name.</x:v>
      </x:c>
      <x:c r="H1281" s="11" t="n">
        <x:v>5</x:v>
      </x:c>
      <x:c r="I1281" s="11" t="n">
        <x:v>5</x:v>
      </x:c>
      <x:c r="J1281" s="11" t="n">
        <x:v>5</x:v>
      </x:c>
      <x:c r="K1281" s="11" t="n">
        <x:v>0</x:v>
      </x:c>
      <x:c r="L1281" s="17" t="n">
        <x:f>SUM(SUMIFS('Costing'!$P$9:$P$492,'Costing'!$A$9:$A$492,"PARTNER-M342"))</x:f>
        <x:v>200000</x:v>
      </x:c>
      <x:c r="M1281" s="17" t="n">
        <x:f>ROUND(L1281*'Costing'!$C$4,2)</x:f>
        <x:v>36000</x:v>
      </x:c>
      <x:c r="N1281" s="17" t="n">
        <x:f>L1281+M1281</x:f>
        <x:v>236000</x:v>
      </x:c>
      <x:c r="O1281" s="12" t="str">
        <x:v>Chennai</x:v>
      </x:c>
      <x:c r="P1281" s="12" t="str">
        <x:v>CORP-0756, CORP-0757, CORP-0758, CORP-0759, CORP-0760</x:v>
      </x:c>
      <x:c r="Q1281" s="12" t="str">
        <x:v>Insmagro Global Solutions Pvt Ltd</x:v>
      </x:c>
    </x:row>
    <x:row r="1282" ht="48" customHeight="1">
      <x:c r="A1282" s="2" t="str">
        <x:v>TEN-C042D03D597E</x:v>
      </x:c>
      <x:c r="B1282" s="12" t="str">
        <x:v>Inspirage Software Consulting Pvt. Ltd</x:v>
      </x:c>
      <x:c r="C1282" s="12" t="str">
        <x:v>Business / brand</x:v>
      </x:c>
      <x:c r="D1282" s="12" t="str">
        <x:v>IT &amp; digital</x:v>
      </x:c>
      <x:c r="E1282" s="12" t="str">
        <x:v>Enterprise software &amp; digital engineering</x:v>
      </x:c>
      <x:c r="F1282" s="12" t="str">
        <x:v>Mixed business audience</x:v>
      </x:c>
      <x:c r="G1282" s="12" t="str">
        <x:v>Established brand or business network; local company scale is not established. Use a mixed-business message.</x:v>
      </x:c>
      <x:c r="H1282" s="11" t="n">
        <x:v>5</x:v>
      </x:c>
      <x:c r="I1282" s="11" t="n">
        <x:v>5</x:v>
      </x:c>
      <x:c r="J1282" s="11" t="n">
        <x:v>5</x:v>
      </x:c>
      <x:c r="K1282" s="11" t="n">
        <x:v>0</x:v>
      </x:c>
      <x:c r="L1282" s="17" t="n">
        <x:f>SUM(SUMIFS('Costing'!$P$9:$P$492,'Costing'!$A$9:$A$492,"PARTNER-M034"))</x:f>
        <x:v>200000</x:v>
      </x:c>
      <x:c r="M1282" s="17" t="n">
        <x:f>ROUND(L1282*'Costing'!$C$4,2)</x:f>
        <x:v>36000</x:v>
      </x:c>
      <x:c r="N1282" s="17" t="n">
        <x:f>L1282+M1282</x:f>
        <x:v>236000</x:v>
      </x:c>
      <x:c r="O1282" s="12" t="str">
        <x:v>Bengaluru</x:v>
      </x:c>
      <x:c r="P1282" s="12" t="str">
        <x:v>CORP-0452, CORP-0453, CORP-0454, CORP-0455, CORP-0456</x:v>
      </x:c>
      <x:c r="Q1282" s="12" t="str">
        <x:v>Inspirage Software Consulting Pvt. Ltd</x:v>
      </x:c>
    </x:row>
    <x:row r="1283" ht="49" customHeight="1">
      <x:c r="A1283" s="2" t="str">
        <x:v>TEN-4817EBAEA4B9</x:v>
      </x:c>
      <x:c r="B1283" s="12" t="str">
        <x:v>Inspire Cospaces</x:v>
      </x:c>
      <x:c r="C1283" s="12" t="str">
        <x:v>Workspace operator</x:v>
      </x:c>
      <x:c r="D1283" s="12" t="str">
        <x:v>Workspace &amp; property operations</x:v>
      </x:c>
      <x:c r="E1283" s="12" t="str">
        <x:v>Coworking/workspace operator</x:v>
      </x:c>
      <x:c r="F1283" s="12" t="str">
        <x:v>Mixed business audience</x:v>
      </x:c>
      <x:c r="G1283" s="12" t="str">
        <x:v>Supplied entry is a shared-workspace operator; the business sizes of occupant companies cannot be derived from the operator name.</x:v>
      </x:c>
      <x:c r="H1283" s="11" t="n">
        <x:v>1</x:v>
      </x:c>
      <x:c r="I1283" s="11" t="n">
        <x:v>1</x:v>
      </x:c>
      <x:c r="J1283" s="11" t="n">
        <x:v>1</x:v>
      </x:c>
      <x:c r="K1283" s="11" t="n">
        <x:v>0</x:v>
      </x:c>
      <x:c r="L1283" s="17" t="n">
        <x:f>SUM(SUMIFS('Costing'!$P$9:$P$492,'Costing'!$A$9:$A$492,"MAIN-341"))</x:f>
        <x:v>15000</x:v>
      </x:c>
      <x:c r="M1283" s="17" t="n">
        <x:f>ROUND(L1283*'Costing'!$C$4,2)</x:f>
        <x:v>2700</x:v>
      </x:c>
      <x:c r="N1283" s="17" t="n">
        <x:f>L1283+M1283</x:f>
        <x:v>17700</x:v>
      </x:c>
      <x:c r="O1283" s="12" t="str">
        <x:v>Mumbai</x:v>
      </x:c>
      <x:c r="P1283" s="12" t="str">
        <x:v>CORP-0337</x:v>
      </x:c>
      <x:c r="Q1283" s="12" t="str">
        <x:v>Inspire Cospaces</x:v>
      </x:c>
    </x:row>
    <x:row r="1284" ht="48" customHeight="1">
      <x:c r="A1284" s="2" t="str">
        <x:v>TEN-CE4BF0FAF396</x:v>
      </x:c>
      <x:c r="B1284" s="12" t="str">
        <x:v>Instabase India Private Ltd</x:v>
      </x:c>
      <x:c r="C1284" s="12" t="str">
        <x:v>Business / brand</x:v>
      </x:c>
      <x:c r="D1284" s="12" t="str">
        <x:v>IT &amp; digital</x:v>
      </x:c>
      <x:c r="E1284" s="12" t="str">
        <x:v>Enterprise software &amp; digital engineering</x:v>
      </x:c>
      <x:c r="F1284" s="12" t="str">
        <x:v>Mixed business audience</x:v>
      </x:c>
      <x:c r="G1284" s="12" t="str">
        <x:v>Established brand or business network; local company scale is not established. Use a mixed-business message.</x:v>
      </x:c>
      <x:c r="H1284" s="11" t="n">
        <x:v>1</x:v>
      </x:c>
      <x:c r="I1284" s="11" t="n">
        <x:v>7</x:v>
      </x:c>
      <x:c r="J1284" s="11" t="n">
        <x:v>7</x:v>
      </x:c>
      <x:c r="K1284" s="11" t="n">
        <x:v>0</x:v>
      </x:c>
      <x:c r="L1284" s="17" t="n">
        <x:f>SUM(SUMIFS('Costing'!$P$9:$P$492,'Costing'!$A$9:$A$492,"MAIN-116"))</x:f>
        <x:v>175000</x:v>
      </x:c>
      <x:c r="M1284" s="17" t="n">
        <x:f>ROUND(L1284*'Costing'!$C$4,2)</x:f>
        <x:v>31500</x:v>
      </x:c>
      <x:c r="N1284" s="17" t="n">
        <x:f>L1284+M1284</x:f>
        <x:v>206500</x:v>
      </x:c>
      <x:c r="O1284" s="12" t="str">
        <x:v>Bengaluru</x:v>
      </x:c>
      <x:c r="P1284" s="12" t="str">
        <x:v>CORP-0112</x:v>
      </x:c>
      <x:c r="Q1284" s="12" t="str">
        <x:v>Instabase India Private Ltd</x:v>
      </x:c>
    </x:row>
    <x:row r="1285" ht="48" customHeight="1">
      <x:c r="A1285" s="2" t="str">
        <x:v>TEN-02E5BF6EE24C</x:v>
      </x:c>
      <x:c r="B1285" s="12" t="str">
        <x:v>Instadeal</x:v>
      </x:c>
      <x:c r="C1285" s="12" t="str">
        <x:v>Business / brand</x:v>
      </x:c>
      <x:c r="D1285" s="12" t="str">
        <x:v>Trade, consumer &amp; logistics</x:v>
      </x:c>
      <x:c r="E1285" s="12" t="str">
        <x:v>Real estate, property &amp; construction services</x:v>
      </x:c>
      <x:c r="F1285" s="12" t="str">
        <x:v>Small-scale prospects</x:v>
      </x:c>
      <x:c r="G1285" s="12" t="str">
        <x:v>Trading or consumer-services business; small-scale prospect assumption.</x:v>
      </x:c>
      <x:c r="H1285" s="11" t="n">
        <x:v>1</x:v>
      </x:c>
      <x:c r="I1285" s="11" t="n">
        <x:v>13</x:v>
      </x:c>
      <x:c r="J1285" s="11" t="n">
        <x:v>13</x:v>
      </x:c>
      <x:c r="K1285" s="11" t="n">
        <x:v>0</x:v>
      </x:c>
      <x:c r="L1285" s="17" t="n">
        <x:f>SUM(SUMIFS('Costing'!$P$9:$P$492,'Costing'!$A$9:$A$492,"MAIN-378"))</x:f>
        <x:v>260000</x:v>
      </x:c>
      <x:c r="M1285" s="17" t="n">
        <x:f>ROUND(L1285*'Costing'!$C$4,2)</x:f>
        <x:v>46800</x:v>
      </x:c>
      <x:c r="N1285" s="17" t="n">
        <x:f>L1285+M1285</x:f>
        <x:v>306800</x:v>
      </x:c>
      <x:c r="O1285" s="12" t="str">
        <x:v>Delhi NCR</x:v>
      </x:c>
      <x:c r="P1285" s="12" t="str">
        <x:v>CORP-0374</x:v>
      </x:c>
      <x:c r="Q1285" s="12" t="str">
        <x:v>Instadeal</x:v>
      </x:c>
    </x:row>
    <x:row r="1286" ht="48" customHeight="1">
      <x:c r="A1286" s="2" t="str">
        <x:v>TEN-CD1E3E30F0DB</x:v>
      </x:c>
      <x:c r="B1286" s="12" t="str">
        <x:v>Install 365</x:v>
      </x:c>
      <x:c r="C1286" s="12" t="str">
        <x:v>Business / brand</x:v>
      </x:c>
      <x:c r="D1286" s="12" t="str">
        <x:v>Unresolved</x:v>
      </x:c>
      <x:c r="E1286" s="12" t="str">
        <x:v>Business activity not established</x:v>
      </x:c>
      <x:c r="F1286" s="12" t="str">
        <x:v>Mixed business audience</x:v>
      </x:c>
      <x:c r="G1286" s="12" t="str">
        <x:v>Business activity and company scale are not established from this name.</x:v>
      </x:c>
      <x:c r="H1286" s="11" t="n">
        <x:v>1</x:v>
      </x:c>
      <x:c r="I1286" s="11" t="n">
        <x:v>5</x:v>
      </x:c>
      <x:c r="J1286" s="11" t="n">
        <x:v>5</x:v>
      </x:c>
      <x:c r="K1286" s="11" t="n">
        <x:v>0</x:v>
      </x:c>
      <x:c r="L1286" s="17" t="n">
        <x:f>SUM(SUMIFS('Costing'!$P$9:$P$492,'Costing'!$A$9:$A$492,"MAIN-025"))</x:f>
        <x:v>75000</x:v>
      </x:c>
      <x:c r="M1286" s="17" t="n">
        <x:f>ROUND(L1286*'Costing'!$C$4,2)</x:f>
        <x:v>13500</x:v>
      </x:c>
      <x:c r="N1286" s="17" t="n">
        <x:f>L1286+M1286</x:f>
        <x:v>88500</x:v>
      </x:c>
      <x:c r="O1286" s="12" t="str">
        <x:v>Bengaluru</x:v>
      </x:c>
      <x:c r="P1286" s="12" t="str">
        <x:v>CORP-0021</x:v>
      </x:c>
      <x:c r="Q1286" s="12" t="str">
        <x:v>Install 365</x:v>
      </x:c>
    </x:row>
    <x:row r="1287" ht="48" customHeight="1">
      <x:c r="A1287" s="2" t="str">
        <x:v>TEN-F95B60BD0C88</x:v>
      </x:c>
      <x:c r="B1287" s="12" t="str">
        <x:v>InstaVC</x:v>
      </x:c>
      <x:c r="C1287" s="12" t="str">
        <x:v>Business / brand</x:v>
      </x:c>
      <x:c r="D1287" s="12" t="str">
        <x:v>IT &amp; digital</x:v>
      </x:c>
      <x:c r="E1287" s="12" t="str">
        <x:v>Enterprise software &amp; digital engineering</x:v>
      </x:c>
      <x:c r="F1287" s="12" t="str">
        <x:v>Small-scale prospects</x:v>
      </x:c>
      <x:c r="G1287" s="12" t="str">
        <x:v>Software or technology-services business; small-scale prospect assumption.</x:v>
      </x:c>
      <x:c r="H1287" s="11" t="n">
        <x:v>6</x:v>
      </x:c>
      <x:c r="I1287" s="11" t="n">
        <x:v>6</x:v>
      </x:c>
      <x:c r="J1287" s="11" t="n">
        <x:v>6</x:v>
      </x:c>
      <x:c r="K1287" s="11" t="n">
        <x:v>0</x:v>
      </x:c>
      <x:c r="L1287" s="17" t="n">
        <x:f>SUM(SUMIFS('Costing'!$P$9:$P$492,'Costing'!$A$9:$A$492,"PARTNER-M289"))</x:f>
        <x:v>240000</x:v>
      </x:c>
      <x:c r="M1287" s="17" t="n">
        <x:f>ROUND(L1287*'Costing'!$C$4,2)</x:f>
        <x:v>43200</x:v>
      </x:c>
      <x:c r="N1287" s="17" t="n">
        <x:f>L1287+M1287</x:f>
        <x:v>283200</x:v>
      </x:c>
      <x:c r="O1287" s="12" t="str">
        <x:v>Hyderabad</x:v>
      </x:c>
      <x:c r="P1287" s="12" t="str">
        <x:v>CORP-0704, CORP-0705, CORP-0706, CORP-0707, CORP-0708, CORP-0709</x:v>
      </x:c>
      <x:c r="Q1287" s="12" t="str">
        <x:v>InstaVC</x:v>
      </x:c>
    </x:row>
    <x:row r="1288" ht="48" customHeight="1">
      <x:c r="A1288" s="2" t="str">
        <x:v>TEN-1E664D2C3EAB</x:v>
      </x:c>
      <x:c r="B1288" s="12" t="str">
        <x:v>Instawork India</x:v>
      </x:c>
      <x:c r="C1288" s="12" t="str">
        <x:v>Business / brand</x:v>
      </x:c>
      <x:c r="D1288" s="12" t="str">
        <x:v>Professional services</x:v>
      </x:c>
      <x:c r="E1288" s="12" t="str">
        <x:v>Research, marketing &amp; professional services</x:v>
      </x:c>
      <x:c r="F1288" s="12" t="str">
        <x:v>Mixed business audience</x:v>
      </x:c>
      <x:c r="G1288" s="12" t="str">
        <x:v>Established brand or business network; local company scale is not established. Use a mixed-business message.</x:v>
      </x:c>
      <x:c r="H1288" s="11" t="n">
        <x:v>1</x:v>
      </x:c>
      <x:c r="I1288" s="11" t="n">
        <x:v>5</x:v>
      </x:c>
      <x:c r="J1288" s="11" t="n">
        <x:v>5</x:v>
      </x:c>
      <x:c r="K1288" s="11" t="n">
        <x:v>0</x:v>
      </x:c>
      <x:c r="L1288" s="17" t="n">
        <x:f>SUM(SUMIFS('Costing'!$P$9:$P$492,'Costing'!$A$9:$A$492,"MAIN-119"))</x:f>
        <x:v>125000</x:v>
      </x:c>
      <x:c r="M1288" s="17" t="n">
        <x:f>ROUND(L1288*'Costing'!$C$4,2)</x:f>
        <x:v>22500</x:v>
      </x:c>
      <x:c r="N1288" s="17" t="n">
        <x:f>L1288+M1288</x:f>
        <x:v>147500</x:v>
      </x:c>
      <x:c r="O1288" s="12" t="str">
        <x:v>Bengaluru</x:v>
      </x:c>
      <x:c r="P1288" s="12" t="str">
        <x:v>CORP-0115</x:v>
      </x:c>
      <x:c r="Q1288" s="12" t="str">
        <x:v>Instawork India</x:v>
      </x:c>
    </x:row>
    <x:row r="1289" ht="48" customHeight="1">
      <x:c r="A1289" s="2" t="str">
        <x:v>TEN-CDDAE2627D47</x:v>
      </x:c>
      <x:c r="B1289" s="12" t="str">
        <x:v>Institute Bio informatis</x:v>
      </x:c>
      <x:c r="C1289" s="12" t="str">
        <x:v>Business / brand</x:v>
      </x:c>
      <x:c r="D1289" s="12" t="str">
        <x:v>Education</x:v>
      </x:c>
      <x:c r="E1289" s="12" t="str">
        <x:v>Education, training &amp; childcare</x:v>
      </x:c>
      <x:c r="F1289" s="12" t="str">
        <x:v>Small-scale prospects</x:v>
      </x:c>
      <x:c r="G1289" s="12" t="str">
        <x:v>Training or education-services business; small-scale prospect assumption.</x:v>
      </x:c>
      <x:c r="H1289" s="11" t="n">
        <x:v>9</x:v>
      </x:c>
      <x:c r="I1289" s="11" t="n">
        <x:v>9</x:v>
      </x:c>
      <x:c r="J1289" s="11" t="n">
        <x:v>9</x:v>
      </x:c>
      <x:c r="K1289" s="11" t="n">
        <x:v>0</x:v>
      </x:c>
      <x:c r="L1289" s="17" t="n">
        <x:f>SUM(SUMIFS('Costing'!$P$9:$P$492,'Costing'!$A$9:$A$492,"PARTNER-M002"))</x:f>
        <x:v>360000</x:v>
      </x:c>
      <x:c r="M1289" s="17" t="n">
        <x:f>ROUND(L1289*'Costing'!$C$4,2)</x:f>
        <x:v>64800</x:v>
      </x:c>
      <x:c r="N1289" s="17" t="n">
        <x:f>L1289+M1289</x:f>
        <x:v>424800</x:v>
      </x:c>
      <x:c r="O1289" s="12" t="str">
        <x:v>Bengaluru</x:v>
      </x:c>
      <x:c r="P1289" s="12" t="str">
        <x:v>CORP-0420, CORP-0421, CORP-0422, CORP-0423, CORP-0424, CORP-0425, CORP-0426, CORP-0427, CORP-0428</x:v>
      </x:c>
      <x:c r="Q1289" s="12" t="str">
        <x:v>Institute Bio informatis</x:v>
      </x:c>
    </x:row>
    <x:row r="1290" ht="48" customHeight="1">
      <x:c r="A1290" s="2" t="str">
        <x:v>TEN-442034601B25</x:v>
      </x:c>
      <x:c r="B1290" s="12" t="str">
        <x:v>Insuremile</x:v>
      </x:c>
      <x:c r="C1290" s="12" t="str">
        <x:v>Business / brand</x:v>
      </x:c>
      <x:c r="D1290" s="12" t="str">
        <x:v>Finance &amp; insurance</x:v>
      </x:c>
      <x:c r="E1290" s="12" t="str">
        <x:v>Banking, insurance, investments &amp; financial services</x:v>
      </x:c>
      <x:c r="F1290" s="12" t="str">
        <x:v>Medium-scale prospects</x:v>
      </x:c>
      <x:c r="G1290" s="12" t="str">
        <x:v>Specialist financial-services business; medium-scale prospect assumption.</x:v>
      </x:c>
      <x:c r="H1290" s="11" t="n">
        <x:v>1</x:v>
      </x:c>
      <x:c r="I1290" s="11" t="n">
        <x:v>2</x:v>
      </x:c>
      <x:c r="J1290" s="11" t="n">
        <x:v>2</x:v>
      </x:c>
      <x:c r="K1290" s="11" t="n">
        <x:v>0</x:v>
      </x:c>
      <x:c r="L1290" s="17" t="n">
        <x:f>SUM(SUMIFS('Costing'!$P$9:$P$492,'Costing'!$A$9:$A$492,"MAIN-031"))</x:f>
        <x:v>30000</x:v>
      </x:c>
      <x:c r="M1290" s="17" t="n">
        <x:f>ROUND(L1290*'Costing'!$C$4,2)</x:f>
        <x:v>5400</x:v>
      </x:c>
      <x:c r="N1290" s="17" t="n">
        <x:f>L1290+M1290</x:f>
        <x:v>35400</x:v>
      </x:c>
      <x:c r="O1290" s="12" t="str">
        <x:v>Bengaluru</x:v>
      </x:c>
      <x:c r="P1290" s="12" t="str">
        <x:v>CORP-0027</x:v>
      </x:c>
      <x:c r="Q1290" s="12" t="str">
        <x:v>Insuremile</x:v>
      </x:c>
    </x:row>
    <x:row r="1291" ht="48" customHeight="1">
      <x:c r="A1291" s="2" t="str">
        <x:v>TEN-DF9DEDCFAC33</x:v>
      </x:c>
      <x:c r="B1291" s="12" t="str">
        <x:v>Integra Magna</x:v>
      </x:c>
      <x:c r="C1291" s="12" t="str">
        <x:v>Business / brand</x:v>
      </x:c>
      <x:c r="D1291" s="12" t="str">
        <x:v>Professional services</x:v>
      </x:c>
      <x:c r="E1291" s="12" t="str">
        <x:v>Architecture, interiors &amp; design</x:v>
      </x:c>
      <x:c r="F1291" s="12" t="str">
        <x:v>Small-scale prospects</x:v>
      </x:c>
      <x:c r="G1291" s="12" t="str">
        <x:v>Professional service, agency or advisory model; small-scale prospect assumption.</x:v>
      </x:c>
      <x:c r="H1291" s="11" t="n">
        <x:v>1</x:v>
      </x:c>
      <x:c r="I1291" s="11" t="n">
        <x:v>1</x:v>
      </x:c>
      <x:c r="J1291" s="11" t="n">
        <x:v>1</x:v>
      </x:c>
      <x:c r="K1291" s="11" t="n">
        <x:v>0</x:v>
      </x:c>
      <x:c r="L1291" s="17" t="n">
        <x:f>SUM(SUMIFS('Costing'!$P$9:$P$492,'Costing'!$A$9:$A$492,"MAIN-274"))</x:f>
        <x:v>40000</x:v>
      </x:c>
      <x:c r="M1291" s="17" t="n">
        <x:f>ROUND(L1291*'Costing'!$C$4,2)</x:f>
        <x:v>7200</x:v>
      </x:c>
      <x:c r="N1291" s="17" t="n">
        <x:f>L1291+M1291</x:f>
        <x:v>47200</x:v>
      </x:c>
      <x:c r="O1291" s="12" t="str">
        <x:v>Indore</x:v>
      </x:c>
      <x:c r="P1291" s="12" t="str">
        <x:v>CORP-0270</x:v>
      </x:c>
      <x:c r="Q1291" s="12" t="str">
        <x:v>Integra Magna</x:v>
      </x:c>
    </x:row>
    <x:row r="1292" ht="48" customHeight="1">
      <x:c r="A1292" s="2" t="str">
        <x:v>TEN-2A6BCCCC6FFB</x:v>
      </x:c>
      <x:c r="B1292" s="12" t="str">
        <x:v>Intelenet Global zservices Pvt Ltd</x:v>
      </x:c>
      <x:c r="C1292" s="12" t="str">
        <x:v>Business / brand</x:v>
      </x:c>
      <x:c r="D1292" s="12" t="str">
        <x:v>IT &amp; digital</x:v>
      </x:c>
      <x:c r="E1292" s="12" t="str">
        <x:v>Business process &amp; customer operations</x:v>
      </x:c>
      <x:c r="F1292" s="12" t="str">
        <x:v>Mixed business audience</x:v>
      </x:c>
      <x:c r="G1292" s="12" t="str">
        <x:v>Established brand or business network; local company scale is not established. Use a mixed-business message.</x:v>
      </x:c>
      <x:c r="H1292" s="11" t="n">
        <x:v>1</x:v>
      </x:c>
      <x:c r="I1292" s="11" t="n">
        <x:v>8</x:v>
      </x:c>
      <x:c r="J1292" s="11" t="n">
        <x:v>8</x:v>
      </x:c>
      <x:c r="K1292" s="11" t="n">
        <x:v>0</x:v>
      </x:c>
      <x:c r="L1292" s="17" t="n">
        <x:f>SUM(SUMIFS('Costing'!$P$9:$P$492,'Costing'!$A$9:$A$492,"MAIN-059"))</x:f>
        <x:v>120000</x:v>
      </x:c>
      <x:c r="M1292" s="17" t="n">
        <x:f>ROUND(L1292*'Costing'!$C$4,2)</x:f>
        <x:v>21600</x:v>
      </x:c>
      <x:c r="N1292" s="17" t="n">
        <x:f>L1292+M1292</x:f>
        <x:v>141600</x:v>
      </x:c>
      <x:c r="O1292" s="12" t="str">
        <x:v>Bengaluru</x:v>
      </x:c>
      <x:c r="P1292" s="12" t="str">
        <x:v>CORP-0055</x:v>
      </x:c>
      <x:c r="Q1292" s="12" t="str">
        <x:v>Intelenet Global zservices Pvt Ltd</x:v>
      </x:c>
    </x:row>
    <x:row r="1293" ht="48" customHeight="1">
      <x:c r="A1293" s="2" t="str">
        <x:v>TEN-718B3BA4D288</x:v>
      </x:c>
      <x:c r="B1293" s="12" t="str">
        <x:v>Intellect</x:v>
      </x:c>
      <x:c r="C1293" s="12" t="str">
        <x:v>Business / brand</x:v>
      </x:c>
      <x:c r="D1293" s="12" t="str">
        <x:v>Unresolved</x:v>
      </x:c>
      <x:c r="E1293" s="12" t="str">
        <x:v>Business activity not established</x:v>
      </x:c>
      <x:c r="F1293" s="12" t="str">
        <x:v>Mixed business audience</x:v>
      </x:c>
      <x:c r="G1293" s="12" t="str">
        <x:v>Business activity and company scale are not established from this name.</x:v>
      </x:c>
      <x:c r="H1293" s="11" t="n">
        <x:v>1</x:v>
      </x:c>
      <x:c r="I1293" s="11" t="n">
        <x:v>1</x:v>
      </x:c>
      <x:c r="J1293" s="11" t="n">
        <x:v>1</x:v>
      </x:c>
      <x:c r="K1293" s="11" t="n">
        <x:v>0</x:v>
      </x:c>
      <x:c r="L1293" s="17" t="n">
        <x:f>SUM(SUMIFS('Costing'!$P$9:$P$492,'Costing'!$A$9:$A$492,"MAIN-270"))</x:f>
        <x:v>20000</x:v>
      </x:c>
      <x:c r="M1293" s="17" t="n">
        <x:f>ROUND(L1293*'Costing'!$C$4,2)</x:f>
        <x:v>3600</x:v>
      </x:c>
      <x:c r="N1293" s="17" t="n">
        <x:f>L1293+M1293</x:f>
        <x:v>23600</x:v>
      </x:c>
      <x:c r="O1293" s="12" t="str">
        <x:v>Indore</x:v>
      </x:c>
      <x:c r="P1293" s="12" t="str">
        <x:v>CORP-0266</x:v>
      </x:c>
      <x:c r="Q1293" s="12" t="str">
        <x:v>Intellect</x:v>
      </x:c>
    </x:row>
    <x:row r="1294" ht="48" customHeight="1">
      <x:c r="A1294" s="2" t="str">
        <x:v>TEN-AAEEDBF5BC96</x:v>
      </x:c>
      <x:c r="B1294" s="12" t="str">
        <x:v>Intellect select Pvt</x:v>
      </x:c>
      <x:c r="C1294" s="12" t="str">
        <x:v>Business / brand</x:v>
      </x:c>
      <x:c r="D1294" s="12" t="str">
        <x:v>Unresolved</x:v>
      </x:c>
      <x:c r="E1294" s="12" t="str">
        <x:v>Business activity not established</x:v>
      </x:c>
      <x:c r="F1294" s="12" t="str">
        <x:v>Mixed business audience</x:v>
      </x:c>
      <x:c r="G1294" s="12" t="str">
        <x:v>Business activity and company scale are not established from this name.</x:v>
      </x:c>
      <x:c r="H1294" s="11" t="n">
        <x:v>1</x:v>
      </x:c>
      <x:c r="I1294" s="11" t="n">
        <x:v>2</x:v>
      </x:c>
      <x:c r="J1294" s="11" t="n">
        <x:v>2</x:v>
      </x:c>
      <x:c r="K1294" s="11" t="n">
        <x:v>0</x:v>
      </x:c>
      <x:c r="L1294" s="17" t="n">
        <x:f>SUM(SUMIFS('Costing'!$P$9:$P$492,'Costing'!$A$9:$A$492,"MAIN-133"))</x:f>
        <x:v>30000</x:v>
      </x:c>
      <x:c r="M1294" s="17" t="n">
        <x:f>ROUND(L1294*'Costing'!$C$4,2)</x:f>
        <x:v>5400</x:v>
      </x:c>
      <x:c r="N1294" s="17" t="n">
        <x:f>L1294+M1294</x:f>
        <x:v>35400</x:v>
      </x:c>
      <x:c r="O1294" s="12" t="str">
        <x:v>Bengaluru</x:v>
      </x:c>
      <x:c r="P1294" s="12" t="str">
        <x:v>CORP-0129</x:v>
      </x:c>
      <x:c r="Q1294" s="12" t="str">
        <x:v>Intellect select Pvt</x:v>
      </x:c>
    </x:row>
    <x:row r="1295" ht="48" customHeight="1">
      <x:c r="A1295" s="2" t="str">
        <x:v>TEN-EDB7D88FB7D1</x:v>
      </x:c>
      <x:c r="B1295" s="12" t="str">
        <x:v>IntelliSmart</x:v>
      </x:c>
      <x:c r="C1295" s="12" t="str">
        <x:v>Business / brand</x:v>
      </x:c>
      <x:c r="D1295" s="12" t="str">
        <x:v>Engineering &amp; manufacturing</x:v>
      </x:c>
      <x:c r="E1295" s="12" t="str">
        <x:v>Electronics, industrial systems &amp; manufacturing</x:v>
      </x:c>
      <x:c r="F1295" s="12" t="str">
        <x:v>Mixed business audience</x:v>
      </x:c>
      <x:c r="G1295" s="12" t="str">
        <x:v>Established brand or business network; local company scale is not established. Use a mixed-business message.</x:v>
      </x:c>
      <x:c r="H1295" s="11" t="n">
        <x:v>1</x:v>
      </x:c>
      <x:c r="I1295" s="11" t="n">
        <x:v>2</x:v>
      </x:c>
      <x:c r="J1295" s="11" t="n">
        <x:v>2</x:v>
      </x:c>
      <x:c r="K1295" s="11" t="n">
        <x:v>0</x:v>
      </x:c>
      <x:c r="L1295" s="17" t="n">
        <x:f>SUM(SUMIFS('Costing'!$P$9:$P$492,'Costing'!$A$9:$A$492,"MAIN-201"))</x:f>
        <x:v>80000</x:v>
      </x:c>
      <x:c r="M1295" s="17" t="n">
        <x:f>ROUND(L1295*'Costing'!$C$4,2)</x:f>
        <x:v>14400</x:v>
      </x:c>
      <x:c r="N1295" s="17" t="n">
        <x:f>L1295+M1295</x:f>
        <x:v>94400</x:v>
      </x:c>
      <x:c r="O1295" s="12" t="str">
        <x:v>Delhi NCR</x:v>
      </x:c>
      <x:c r="P1295" s="12" t="str">
        <x:v>CORP-0197</x:v>
      </x:c>
      <x:c r="Q1295" s="12" t="str">
        <x:v>IntelliSmart</x:v>
      </x:c>
    </x:row>
    <x:row r="1296" ht="48" customHeight="1">
      <x:c r="A1296" s="2" t="str">
        <x:v>TEN-70570D313277</x:v>
      </x:c>
      <x:c r="B1296" s="12" t="str">
        <x:v>Interactive Brokers India Pvt. Ltd</x:v>
      </x:c>
      <x:c r="C1296" s="12" t="str">
        <x:v>Business / brand</x:v>
      </x:c>
      <x:c r="D1296" s="12" t="str">
        <x:v>Finance &amp; insurance</x:v>
      </x:c>
      <x:c r="E1296" s="12" t="str">
        <x:v>Investments, securities &amp; wealth</x:v>
      </x:c>
      <x:c r="F1296" s="12" t="str">
        <x:v>Mixed business audience</x:v>
      </x:c>
      <x:c r="G1296" s="12" t="str">
        <x:v>Established brand or business network; local company scale is not established. Use a mixed-business message.</x:v>
      </x:c>
      <x:c r="H1296" s="11" t="n">
        <x:v>1</x:v>
      </x:c>
      <x:c r="I1296" s="11" t="n">
        <x:v>4</x:v>
      </x:c>
      <x:c r="J1296" s="11" t="n">
        <x:v>4</x:v>
      </x:c>
      <x:c r="K1296" s="11" t="n">
        <x:v>0</x:v>
      </x:c>
      <x:c r="L1296" s="17" t="n">
        <x:f>SUM(SUMIFS('Costing'!$P$9:$P$492,'Costing'!$A$9:$A$492,"MAIN-352"))</x:f>
        <x:v>80000</x:v>
      </x:c>
      <x:c r="M1296" s="17" t="n">
        <x:f>ROUND(L1296*'Costing'!$C$4,2)</x:f>
        <x:v>14400</x:v>
      </x:c>
      <x:c r="N1296" s="17" t="n">
        <x:f>L1296+M1296</x:f>
        <x:v>94400</x:v>
      </x:c>
      <x:c r="O1296" s="12" t="str">
        <x:v>Mumbai</x:v>
      </x:c>
      <x:c r="P1296" s="12" t="str">
        <x:v>CORP-0348</x:v>
      </x:c>
      <x:c r="Q1296" s="12" t="str">
        <x:v>Interactive Brokers India Pvt. Ltd</x:v>
      </x:c>
    </x:row>
    <x:row r="1297" ht="48" customHeight="1">
      <x:c r="A1297" s="2" t="str">
        <x:v>TEN-B5F3F71440ED</x:v>
      </x:c>
      <x:c r="B1297" s="12" t="str">
        <x:v>Interise Project Management</x:v>
      </x:c>
      <x:c r="C1297" s="12" t="str">
        <x:v>Business / brand</x:v>
      </x:c>
      <x:c r="D1297" s="12" t="str">
        <x:v>Trade, consumer &amp; logistics</x:v>
      </x:c>
      <x:c r="E1297" s="12" t="str">
        <x:v>Real estate, property &amp; construction services</x:v>
      </x:c>
      <x:c r="F1297" s="12" t="str">
        <x:v>Small-scale prospects</x:v>
      </x:c>
      <x:c r="G1297" s="12" t="str">
        <x:v>Trading or consumer-services business; small-scale prospect assumption.</x:v>
      </x:c>
      <x:c r="H1297" s="11" t="n">
        <x:v>1</x:v>
      </x:c>
      <x:c r="I1297" s="11" t="n">
        <x:v>1</x:v>
      </x:c>
      <x:c r="J1297" s="11" t="n">
        <x:v>1</x:v>
      </x:c>
      <x:c r="K1297" s="11" t="n">
        <x:v>0</x:v>
      </x:c>
      <x:c r="L1297" s="17" t="n">
        <x:f>SUM(SUMIFS('Costing'!$P$9:$P$492,'Costing'!$A$9:$A$492,"MAIN-161"))</x:f>
        <x:v>15000</x:v>
      </x:c>
      <x:c r="M1297" s="17" t="n">
        <x:f>ROUND(L1297*'Costing'!$C$4,2)</x:f>
        <x:v>2700</x:v>
      </x:c>
      <x:c r="N1297" s="17" t="n">
        <x:f>L1297+M1297</x:f>
        <x:v>17700</x:v>
      </x:c>
      <x:c r="O1297" s="12" t="str">
        <x:v>Chennai</x:v>
      </x:c>
      <x:c r="P1297" s="12" t="str">
        <x:v>CORP-0157</x:v>
      </x:c>
      <x:c r="Q1297" s="12" t="str">
        <x:v>Interise Project Management</x:v>
      </x:c>
    </x:row>
    <x:row r="1298" ht="48" customHeight="1">
      <x:c r="A1298" s="2" t="str">
        <x:v>TEN-57FA1C55CCF8</x:v>
      </x:c>
      <x:c r="B1298" s="12" t="str">
        <x:v>International Asset Reconstruction Company</x:v>
      </x:c>
      <x:c r="C1298" s="12" t="str">
        <x:v>Business / brand</x:v>
      </x:c>
      <x:c r="D1298" s="12" t="str">
        <x:v>Finance &amp; insurance</x:v>
      </x:c>
      <x:c r="E1298" s="12" t="str">
        <x:v>Banking, insurance, investments &amp; financial services</x:v>
      </x:c>
      <x:c r="F1298" s="12" t="str">
        <x:v>Medium-scale prospects</x:v>
      </x:c>
      <x:c r="G1298" s="12" t="str">
        <x:v>Specialist financial-services business; medium-scale prospect assumption.</x:v>
      </x:c>
      <x:c r="H1298" s="11" t="n">
        <x:v>4</x:v>
      </x:c>
      <x:c r="I1298" s="11" t="n">
        <x:v>4</x:v>
      </x:c>
      <x:c r="J1298" s="11" t="n">
        <x:v>4</x:v>
      </x:c>
      <x:c r="K1298" s="11" t="n">
        <x:v>0</x:v>
      </x:c>
      <x:c r="L1298" s="17" t="n">
        <x:f>SUM(SUMIFS('Costing'!$P$9:$P$492,'Costing'!$A$9:$A$492,"PARTNER-M235"))</x:f>
        <x:v>160000</x:v>
      </x:c>
      <x:c r="M1298" s="17" t="n">
        <x:f>ROUND(L1298*'Costing'!$C$4,2)</x:f>
        <x:v>28800</x:v>
      </x:c>
      <x:c r="N1298" s="17" t="n">
        <x:f>L1298+M1298</x:f>
        <x:v>188800</x:v>
      </x:c>
      <x:c r="O1298" s="12" t="str">
        <x:v>Mumbai</x:v>
      </x:c>
      <x:c r="P1298" s="12" t="str">
        <x:v>CORP-0652, CORP-0653, CORP-0654, CORP-0655</x:v>
      </x:c>
      <x:c r="Q1298" s="12" t="str">
        <x:v>International Asset Reconstruction Company</x:v>
      </x:c>
    </x:row>
    <x:row r="1299" ht="48" customHeight="1">
      <x:c r="A1299" s="2" t="str">
        <x:v>TEN-682BFBE623F3</x:v>
      </x:c>
      <x:c r="B1299" s="12" t="str">
        <x:v>International Gemological Institute</x:v>
      </x:c>
      <x:c r="C1299" s="12" t="str">
        <x:v>Business / brand</x:v>
      </x:c>
      <x:c r="D1299" s="12" t="str">
        <x:v>Engineering &amp; manufacturing</x:v>
      </x:c>
      <x:c r="E1299" s="12" t="str">
        <x:v>Engineering, testing &amp; technical services</x:v>
      </x:c>
      <x:c r="F1299" s="12" t="str">
        <x:v>Mixed business audience</x:v>
      </x:c>
      <x:c r="G1299" s="12" t="str">
        <x:v>Established brand or business network; local company scale is not established. Use a mixed-business message.</x:v>
      </x:c>
      <x:c r="H1299" s="11" t="n">
        <x:v>3</x:v>
      </x:c>
      <x:c r="I1299" s="11" t="n">
        <x:v>3</x:v>
      </x:c>
      <x:c r="J1299" s="11" t="n">
        <x:v>3</x:v>
      </x:c>
      <x:c r="K1299" s="11" t="n">
        <x:v>0</x:v>
      </x:c>
      <x:c r="L1299" s="17" t="n">
        <x:f>SUM(SUMIFS('Costing'!$P$9:$P$492,'Costing'!$A$9:$A$492,"PARTNER-M175"))</x:f>
        <x:v>120000</x:v>
      </x:c>
      <x:c r="M1299" s="17" t="n">
        <x:f>ROUND(L1299*'Costing'!$C$4,2)</x:f>
        <x:v>21600</x:v>
      </x:c>
      <x:c r="N1299" s="17" t="n">
        <x:f>L1299+M1299</x:f>
        <x:v>141600</x:v>
      </x:c>
      <x:c r="O1299" s="12" t="str">
        <x:v>Mumbai</x:v>
      </x:c>
      <x:c r="P1299" s="12" t="str">
        <x:v>CORP-0592, CORP-0593, CORP-0594</x:v>
      </x:c>
      <x:c r="Q1299" s="12" t="str">
        <x:v>International Gemological Institute</x:v>
      </x:c>
    </x:row>
    <x:row r="1300" ht="48" customHeight="1">
      <x:c r="A1300" s="2" t="str">
        <x:v>TEN-ED4F2BE1879B</x:v>
      </x:c>
      <x:c r="B1300" s="12" t="str">
        <x:v>InterProducTec Virtual Labs Pvt. Ltd</x:v>
      </x:c>
      <x:c r="C1300" s="12" t="str">
        <x:v>Business / brand</x:v>
      </x:c>
      <x:c r="D1300" s="12" t="str">
        <x:v>Unresolved</x:v>
      </x:c>
      <x:c r="E1300" s="12" t="str">
        <x:v>Business activity not established</x:v>
      </x:c>
      <x:c r="F1300" s="12" t="str">
        <x:v>Mixed business audience</x:v>
      </x:c>
      <x:c r="G1300" s="12" t="str">
        <x:v>Business activity and company scale are not established from this name.</x:v>
      </x:c>
      <x:c r="H1300" s="11" t="n">
        <x:v>4</x:v>
      </x:c>
      <x:c r="I1300" s="11" t="n">
        <x:v>4</x:v>
      </x:c>
      <x:c r="J1300" s="11" t="n">
        <x:v>4</x:v>
      </x:c>
      <x:c r="K1300" s="11" t="n">
        <x:v>0</x:v>
      </x:c>
      <x:c r="L1300" s="17" t="n">
        <x:f>SUM(SUMIFS('Costing'!$P$9:$P$492,'Costing'!$A$9:$A$492,"PARTNER-M201"),SUMIFS('Costing'!$P$9:$P$492,'Costing'!$A$9:$A$492,"PARTNER-M203"))</x:f>
        <x:v>160000</x:v>
      </x:c>
      <x:c r="M1300" s="17" t="n">
        <x:f>ROUND(L1300*'Costing'!$C$4,2)</x:f>
        <x:v>28800</x:v>
      </x:c>
      <x:c r="N1300" s="17" t="n">
        <x:f>L1300+M1300</x:f>
        <x:v>188800</x:v>
      </x:c>
      <x:c r="O1300" s="12" t="str">
        <x:v>Mumbai</x:v>
      </x:c>
      <x:c r="P1300" s="12" t="str">
        <x:v>CORP-0618, CORP-0619, CORP-0620, CORP-0621</x:v>
      </x:c>
      <x:c r="Q1300" s="12" t="str">
        <x:v>InterProducTec Virtual Labs Pvt. Ltd</x:v>
      </x:c>
    </x:row>
    <x:row r="1301" ht="48" customHeight="1">
      <x:c r="A1301" s="2" t="str">
        <x:v>TEN-950FC4DC0333</x:v>
      </x:c>
      <x:c r="B1301" s="12" t="str">
        <x:v>Intertek India</x:v>
      </x:c>
      <x:c r="C1301" s="12" t="str">
        <x:v>Business / brand</x:v>
      </x:c>
      <x:c r="D1301" s="12" t="str">
        <x:v>Professional services</x:v>
      </x:c>
      <x:c r="E1301" s="12" t="str">
        <x:v>Professional services — specialty unverified</x:v>
      </x:c>
      <x:c r="F1301" s="12" t="str">
        <x:v>Mixed business audience</x:v>
      </x:c>
      <x:c r="G1301" s="12" t="str">
        <x:v>Recognisable business context; company-scale evidence remains insufficient for a single size band.</x:v>
      </x:c>
      <x:c r="H1301" s="11" t="n">
        <x:v>1</x:v>
      </x:c>
      <x:c r="I1301" s="11" t="n">
        <x:v>1</x:v>
      </x:c>
      <x:c r="J1301" s="11" t="n">
        <x:v>1</x:v>
      </x:c>
      <x:c r="K1301" s="11" t="n">
        <x:v>0</x:v>
      </x:c>
      <x:c r="L1301" s="17" t="n">
        <x:f>SUM(SUMIFS('Costing'!$P$9:$P$492,'Costing'!$A$9:$A$492,"MAIN-348"))</x:f>
        <x:v>15000</x:v>
      </x:c>
      <x:c r="M1301" s="17" t="n">
        <x:f>ROUND(L1301*'Costing'!$C$4,2)</x:f>
        <x:v>2700</x:v>
      </x:c>
      <x:c r="N1301" s="17" t="n">
        <x:f>L1301+M1301</x:f>
        <x:v>17700</x:v>
      </x:c>
      <x:c r="O1301" s="12" t="str">
        <x:v>Mumbai</x:v>
      </x:c>
      <x:c r="P1301" s="12" t="str">
        <x:v>CORP-0344</x:v>
      </x:c>
      <x:c r="Q1301" s="12" t="str">
        <x:v>Intertek India</x:v>
      </x:c>
    </x:row>
    <x:row r="1302" ht="48" customHeight="1">
      <x:c r="A1302" s="2" t="str">
        <x:v>TEN-FE21BDC7D5BD</x:v>
      </x:c>
      <x:c r="B1302" s="12" t="str">
        <x:v>Intervue</x:v>
      </x:c>
      <x:c r="C1302" s="12" t="str">
        <x:v>Business / brand</x:v>
      </x:c>
      <x:c r="D1302" s="12" t="str">
        <x:v>IT &amp; digital</x:v>
      </x:c>
      <x:c r="E1302" s="12" t="str">
        <x:v>Enterprise software &amp; digital engineering</x:v>
      </x:c>
      <x:c r="F1302" s="12" t="str">
        <x:v>Small-scale prospects</x:v>
      </x:c>
      <x:c r="G1302" s="12" t="str">
        <x:v>Software or technology-services business; small-scale prospect assumption.</x:v>
      </x:c>
      <x:c r="H1302" s="11" t="n">
        <x:v>1</x:v>
      </x:c>
      <x:c r="I1302" s="11" t="n">
        <x:v>2</x:v>
      </x:c>
      <x:c r="J1302" s="11" t="n">
        <x:v>2</x:v>
      </x:c>
      <x:c r="K1302" s="11" t="n">
        <x:v>0</x:v>
      </x:c>
      <x:c r="L1302" s="17" t="n">
        <x:f>SUM(SUMIFS('Costing'!$P$9:$P$492,'Costing'!$A$9:$A$492,"MAIN-108"))</x:f>
        <x:v>30000</x:v>
      </x:c>
      <x:c r="M1302" s="17" t="n">
        <x:f>ROUND(L1302*'Costing'!$C$4,2)</x:f>
        <x:v>5400</x:v>
      </x:c>
      <x:c r="N1302" s="17" t="n">
        <x:f>L1302+M1302</x:f>
        <x:v>35400</x:v>
      </x:c>
      <x:c r="O1302" s="12" t="str">
        <x:v>Bengaluru</x:v>
      </x:c>
      <x:c r="P1302" s="12" t="str">
        <x:v>CORP-0104</x:v>
      </x:c>
      <x:c r="Q1302" s="12" t="str">
        <x:v>Intervue</x:v>
      </x:c>
    </x:row>
    <x:row r="1303" ht="48" customHeight="1">
      <x:c r="A1303" s="2" t="str">
        <x:v>TEN-E381AEDD9876</x:v>
      </x:c>
      <x:c r="B1303" s="12" t="str">
        <x:v>Into Education India private limited</x:v>
      </x:c>
      <x:c r="C1303" s="12" t="str">
        <x:v>Business / brand</x:v>
      </x:c>
      <x:c r="D1303" s="12" t="str">
        <x:v>Education</x:v>
      </x:c>
      <x:c r="E1303" s="12" t="str">
        <x:v>Edtech, training &amp; learning</x:v>
      </x:c>
      <x:c r="F1303" s="12" t="str">
        <x:v>Small-scale prospects</x:v>
      </x:c>
      <x:c r="G1303" s="12" t="str">
        <x:v>Training or education-services business; small-scale prospect assumption.</x:v>
      </x:c>
      <x:c r="H1303" s="11" t="n">
        <x:v>1</x:v>
      </x:c>
      <x:c r="I1303" s="11" t="n">
        <x:v>4</x:v>
      </x:c>
      <x:c r="J1303" s="11" t="n">
        <x:v>4</x:v>
      </x:c>
      <x:c r="K1303" s="11" t="n">
        <x:v>0</x:v>
      </x:c>
      <x:c r="L1303" s="17" t="n">
        <x:f>SUM(SUMIFS('Costing'!$P$9:$P$492,'Costing'!$A$9:$A$492,"MAIN-121"))</x:f>
        <x:v>100000</x:v>
      </x:c>
      <x:c r="M1303" s="17" t="n">
        <x:f>ROUND(L1303*'Costing'!$C$4,2)</x:f>
        <x:v>18000</x:v>
      </x:c>
      <x:c r="N1303" s="17" t="n">
        <x:f>L1303+M1303</x:f>
        <x:v>118000</x:v>
      </x:c>
      <x:c r="O1303" s="12" t="str">
        <x:v>Bengaluru</x:v>
      </x:c>
      <x:c r="P1303" s="12" t="str">
        <x:v>CORP-0117</x:v>
      </x:c>
      <x:c r="Q1303" s="12" t="str">
        <x:v>Into Education India private limited</x:v>
      </x:c>
    </x:row>
    <x:row r="1304" ht="48" customHeight="1">
      <x:c r="A1304" s="2" t="str">
        <x:v>TEN-1264CA38DECB</x:v>
      </x:c>
      <x:c r="B1304" s="12" t="str">
        <x:v>Invas Technologies</x:v>
      </x:c>
      <x:c r="C1304" s="12" t="str">
        <x:v>Business / brand</x:v>
      </x:c>
      <x:c r="D1304" s="12" t="str">
        <x:v>Unresolved</x:v>
      </x:c>
      <x:c r="E1304" s="12" t="str">
        <x:v>Business activity not established</x:v>
      </x:c>
      <x:c r="F1304" s="12" t="str">
        <x:v>Mixed business audience</x:v>
      </x:c>
      <x:c r="G1304" s="12" t="str">
        <x:v>Business activity and company scale are not established from this name.</x:v>
      </x:c>
      <x:c r="H1304" s="11" t="n">
        <x:v>1</x:v>
      </x:c>
      <x:c r="I1304" s="11" t="n">
        <x:v>5</x:v>
      </x:c>
      <x:c r="J1304" s="11" t="n">
        <x:v>5</x:v>
      </x:c>
      <x:c r="K1304" s="11" t="n">
        <x:v>0</x:v>
      </x:c>
      <x:c r="L1304" s="17" t="n">
        <x:f>SUM(SUMIFS('Costing'!$P$9:$P$492,'Costing'!$A$9:$A$492,"MAIN-139"))</x:f>
        <x:v>75000</x:v>
      </x:c>
      <x:c r="M1304" s="17" t="n">
        <x:f>ROUND(L1304*'Costing'!$C$4,2)</x:f>
        <x:v>13500</x:v>
      </x:c>
      <x:c r="N1304" s="17" t="n">
        <x:f>L1304+M1304</x:f>
        <x:v>88500</x:v>
      </x:c>
      <x:c r="O1304" s="12" t="str">
        <x:v>Chennai</x:v>
      </x:c>
      <x:c r="P1304" s="12" t="str">
        <x:v>CORP-0135</x:v>
      </x:c>
      <x:c r="Q1304" s="12" t="str">
        <x:v>Invas Technologies</x:v>
      </x:c>
    </x:row>
    <x:row r="1305" ht="48" customHeight="1">
      <x:c r="A1305" s="2" t="str">
        <x:v>TEN-804B19934A31</x:v>
      </x:c>
      <x:c r="B1305" s="12" t="str">
        <x:v>Invecas Inc</x:v>
      </x:c>
      <x:c r="C1305" s="12" t="str">
        <x:v>Business / brand</x:v>
      </x:c>
      <x:c r="D1305" s="12" t="str">
        <x:v>Engineering &amp; manufacturing</x:v>
      </x:c>
      <x:c r="E1305" s="12" t="str">
        <x:v>Electronics, industrial systems &amp; manufacturing</x:v>
      </x:c>
      <x:c r="F1305" s="12" t="str">
        <x:v>Medium-scale prospects</x:v>
      </x:c>
      <x:c r="G1305" s="12" t="str">
        <x:v>Specialist industrial or engineering business; medium-scale prospect assumption.</x:v>
      </x:c>
      <x:c r="H1305" s="11" t="n">
        <x:v>5</x:v>
      </x:c>
      <x:c r="I1305" s="11" t="n">
        <x:v>5</x:v>
      </x:c>
      <x:c r="J1305" s="11" t="n">
        <x:v>5</x:v>
      </x:c>
      <x:c r="K1305" s="11" t="n">
        <x:v>0</x:v>
      </x:c>
      <x:c r="L1305" s="17" t="n">
        <x:f>SUM(SUMIFS('Costing'!$P$9:$P$492,'Costing'!$A$9:$A$492,"PARTNER-M051"))</x:f>
        <x:v>200000</x:v>
      </x:c>
      <x:c r="M1305" s="17" t="n">
        <x:f>ROUND(L1305*'Costing'!$C$4,2)</x:f>
        <x:v>36000</x:v>
      </x:c>
      <x:c r="N1305" s="17" t="n">
        <x:f>L1305+M1305</x:f>
        <x:v>236000</x:v>
      </x:c>
      <x:c r="O1305" s="12" t="str">
        <x:v>Bengaluru</x:v>
      </x:c>
      <x:c r="P1305" s="12" t="str">
        <x:v>CORP-0469, CORP-0470, CORP-0471, CORP-0472, CORP-0473</x:v>
      </x:c>
      <x:c r="Q1305" s="12" t="str">
        <x:v>Invecas Inc</x:v>
      </x:c>
    </x:row>
    <x:row r="1306" ht="48" customHeight="1">
      <x:c r="A1306" s="2" t="str">
        <x:v>TEN-81B89869EA5E</x:v>
      </x:c>
      <x:c r="B1306" s="12" t="str">
        <x:v>Invenio Business Solutions Pvt Ltd</x:v>
      </x:c>
      <x:c r="C1306" s="12" t="str">
        <x:v>Business / brand</x:v>
      </x:c>
      <x:c r="D1306" s="12" t="str">
        <x:v>IT &amp; digital</x:v>
      </x:c>
      <x:c r="E1306" s="12" t="str">
        <x:v>Enterprise software &amp; digital engineering</x:v>
      </x:c>
      <x:c r="F1306" s="12" t="str">
        <x:v>Mixed business audience</x:v>
      </x:c>
      <x:c r="G1306" s="12" t="str">
        <x:v>Established brand or business network; local company scale is not established. Use a mixed-business message.</x:v>
      </x:c>
      <x:c r="H1306" s="11" t="n">
        <x:v>1</x:v>
      </x:c>
      <x:c r="I1306" s="11" t="n">
        <x:v>1</x:v>
      </x:c>
      <x:c r="J1306" s="11" t="n">
        <x:v>1</x:v>
      </x:c>
      <x:c r="K1306" s="11" t="n">
        <x:v>0</x:v>
      </x:c>
      <x:c r="L1306" s="17" t="n">
        <x:f>SUM(SUMIFS('Costing'!$P$9:$P$492,'Costing'!$A$9:$A$492,"MAIN-254"))</x:f>
        <x:v>15000</x:v>
      </x:c>
      <x:c r="M1306" s="17" t="n">
        <x:f>ROUND(L1306*'Costing'!$C$4,2)</x:f>
        <x:v>2700</x:v>
      </x:c>
      <x:c r="N1306" s="17" t="n">
        <x:f>L1306+M1306</x:f>
        <x:v>17700</x:v>
      </x:c>
      <x:c r="O1306" s="12" t="str">
        <x:v>Hyderabad</x:v>
      </x:c>
      <x:c r="P1306" s="12" t="str">
        <x:v>CORP-0250</x:v>
      </x:c>
      <x:c r="Q1306" s="12" t="str">
        <x:v>Invenio Business Solutions Pvt Ltd</x:v>
      </x:c>
    </x:row>
    <x:row r="1307" ht="48" customHeight="1">
      <x:c r="A1307" s="2" t="str">
        <x:v>TEN-E8EEF6D2EC99</x:v>
      </x:c>
      <x:c r="B1307" s="12" t="str">
        <x:v>Invensys</x:v>
      </x:c>
      <x:c r="C1307" s="12" t="str">
        <x:v>Business / brand</x:v>
      </x:c>
      <x:c r="D1307" s="12" t="str">
        <x:v>Engineering &amp; manufacturing</x:v>
      </x:c>
      <x:c r="E1307" s="12" t="str">
        <x:v>Electronics, industrial systems &amp; manufacturing</x:v>
      </x:c>
      <x:c r="F1307" s="12" t="str">
        <x:v>Mixed business audience</x:v>
      </x:c>
      <x:c r="G1307" s="12" t="str">
        <x:v>Established brand or business network; local company scale is not established. Use a mixed-business message.</x:v>
      </x:c>
      <x:c r="H1307" s="11" t="n">
        <x:v>6</x:v>
      </x:c>
      <x:c r="I1307" s="11" t="n">
        <x:v>6</x:v>
      </x:c>
      <x:c r="J1307" s="11" t="n">
        <x:v>6</x:v>
      </x:c>
      <x:c r="K1307" s="11" t="n">
        <x:v>0</x:v>
      </x:c>
      <x:c r="L1307" s="17" t="n">
        <x:f>SUM(SUMIFS('Costing'!$P$9:$P$492,'Costing'!$A$9:$A$492,"PARTNER-M283"))</x:f>
        <x:v>240000</x:v>
      </x:c>
      <x:c r="M1307" s="17" t="n">
        <x:f>ROUND(L1307*'Costing'!$C$4,2)</x:f>
        <x:v>43200</x:v>
      </x:c>
      <x:c r="N1307" s="17" t="n">
        <x:f>L1307+M1307</x:f>
        <x:v>283200</x:v>
      </x:c>
      <x:c r="O1307" s="12" t="str">
        <x:v>Hyderabad</x:v>
      </x:c>
      <x:c r="P1307" s="12" t="str">
        <x:v>CORP-0698, CORP-0699, CORP-0700, CORP-0701, CORP-0702, CORP-0703</x:v>
      </x:c>
      <x:c r="Q1307" s="12" t="str">
        <x:v>Invensys</x:v>
      </x:c>
    </x:row>
    <x:row r="1308" ht="48" customHeight="1">
      <x:c r="A1308" s="2" t="str">
        <x:v>TEN-BA46922C1A73</x:v>
      </x:c>
      <x:c r="B1308" s="12" t="str">
        <x:v>Inventive Health</x:v>
      </x:c>
      <x:c r="C1308" s="12" t="str">
        <x:v>Business / brand</x:v>
      </x:c>
      <x:c r="D1308" s="12" t="str">
        <x:v>Healthcare &amp; life sciences</x:v>
      </x:c>
      <x:c r="E1308" s="12" t="str">
        <x:v>Clinical, medical &amp; diagnostic services</x:v>
      </x:c>
      <x:c r="F1308" s="12" t="str">
        <x:v>Mixed business audience</x:v>
      </x:c>
      <x:c r="G1308" s="12" t="str">
        <x:v>Established brand or business network; local company scale is not established. Use a mixed-business message.</x:v>
      </x:c>
      <x:c r="H1308" s="11" t="n">
        <x:v>1</x:v>
      </x:c>
      <x:c r="I1308" s="11" t="n">
        <x:v>2</x:v>
      </x:c>
      <x:c r="J1308" s="11" t="n">
        <x:v>2</x:v>
      </x:c>
      <x:c r="K1308" s="11" t="n">
        <x:v>0</x:v>
      </x:c>
      <x:c r="L1308" s="17" t="n">
        <x:f>SUM(SUMIFS('Costing'!$P$9:$P$492,'Costing'!$A$9:$A$492,"MAIN-413"))</x:f>
        <x:v>80000</x:v>
      </x:c>
      <x:c r="M1308" s="17" t="n">
        <x:f>ROUND(L1308*'Costing'!$C$4,2)</x:f>
        <x:v>14400</x:v>
      </x:c>
      <x:c r="N1308" s="17" t="n">
        <x:f>L1308+M1308</x:f>
        <x:v>94400</x:v>
      </x:c>
      <x:c r="O1308" s="12" t="str">
        <x:v>Pune</x:v>
      </x:c>
      <x:c r="P1308" s="12" t="str">
        <x:v>CORP-0409</x:v>
      </x:c>
      <x:c r="Q1308" s="12" t="str">
        <x:v>Inventive Health</x:v>
      </x:c>
    </x:row>
    <x:row r="1309" ht="48" customHeight="1">
      <x:c r="A1309" s="2" t="str">
        <x:v>TEN-795C2469C0AB</x:v>
      </x:c>
      <x:c r="B1309" s="12" t="str">
        <x:v>Inverness India</x:v>
      </x:c>
      <x:c r="C1309" s="12" t="str">
        <x:v>Business / brand</x:v>
      </x:c>
      <x:c r="D1309" s="12" t="str">
        <x:v>Unresolved</x:v>
      </x:c>
      <x:c r="E1309" s="12" t="str">
        <x:v>Business activity not established</x:v>
      </x:c>
      <x:c r="F1309" s="12" t="str">
        <x:v>Mixed business audience</x:v>
      </x:c>
      <x:c r="G1309" s="12" t="str">
        <x:v>Business activity and company scale are not established from this name.</x:v>
      </x:c>
      <x:c r="H1309" s="11" t="n">
        <x:v>3</x:v>
      </x:c>
      <x:c r="I1309" s="11" t="n">
        <x:v>3</x:v>
      </x:c>
      <x:c r="J1309" s="11" t="n">
        <x:v>3</x:v>
      </x:c>
      <x:c r="K1309" s="11" t="n">
        <x:v>0</x:v>
      </x:c>
      <x:c r="L1309" s="17" t="n">
        <x:f>SUM(SUMIFS('Costing'!$P$9:$P$492,'Costing'!$A$9:$A$492,"PARTNER-M175"))</x:f>
        <x:v>120000</x:v>
      </x:c>
      <x:c r="M1309" s="17" t="n">
        <x:f>ROUND(L1309*'Costing'!$C$4,2)</x:f>
        <x:v>21600</x:v>
      </x:c>
      <x:c r="N1309" s="17" t="n">
        <x:f>L1309+M1309</x:f>
        <x:v>141600</x:v>
      </x:c>
      <x:c r="O1309" s="12" t="str">
        <x:v>Mumbai</x:v>
      </x:c>
      <x:c r="P1309" s="12" t="str">
        <x:v>CORP-0592, CORP-0593, CORP-0594</x:v>
      </x:c>
      <x:c r="Q1309" s="12" t="str">
        <x:v>Inverness India</x:v>
      </x:c>
    </x:row>
    <x:row r="1310" ht="48" customHeight="1">
      <x:c r="A1310" s="2" t="str">
        <x:v>TEN-64653706431C</x:v>
      </x:c>
      <x:c r="B1310" s="12" t="str">
        <x:v>Invest Plus Realty: Build Your Dreams</x:v>
      </x:c>
      <x:c r="C1310" s="12" t="str">
        <x:v>Business / brand</x:v>
      </x:c>
      <x:c r="D1310" s="12" t="str">
        <x:v>Trade, consumer &amp; logistics</x:v>
      </x:c>
      <x:c r="E1310" s="12" t="str">
        <x:v>Real estate, property &amp; construction services</x:v>
      </x:c>
      <x:c r="F1310" s="12" t="str">
        <x:v>Small-scale prospects</x:v>
      </x:c>
      <x:c r="G1310" s="12" t="str">
        <x:v>Trading or consumer-services business; small-scale prospect assumption.</x:v>
      </x:c>
      <x:c r="H1310" s="11" t="n">
        <x:v>1</x:v>
      </x:c>
      <x:c r="I1310" s="11" t="n">
        <x:v>5</x:v>
      </x:c>
      <x:c r="J1310" s="11" t="n">
        <x:v>5</x:v>
      </x:c>
      <x:c r="K1310" s="11" t="n">
        <x:v>0</x:v>
      </x:c>
      <x:c r="L1310" s="17" t="n">
        <x:f>SUM(SUMIFS('Costing'!$P$9:$P$492,'Costing'!$A$9:$A$492,"MAIN-168"))</x:f>
        <x:v>200000</x:v>
      </x:c>
      <x:c r="M1310" s="17" t="n">
        <x:f>ROUND(L1310*'Costing'!$C$4,2)</x:f>
        <x:v>36000</x:v>
      </x:c>
      <x:c r="N1310" s="17" t="n">
        <x:f>L1310+M1310</x:f>
        <x:v>236000</x:v>
      </x:c>
      <x:c r="O1310" s="12" t="str">
        <x:v>Delhi NCR</x:v>
      </x:c>
      <x:c r="P1310" s="12" t="str">
        <x:v>CORP-0164</x:v>
      </x:c>
      <x:c r="Q1310" s="12" t="str">
        <x:v>Invest Plus Realty: Build Your Dreams</x:v>
      </x:c>
    </x:row>
    <x:row r="1311" ht="48" customHeight="1">
      <x:c r="A1311" s="2" t="str">
        <x:v>TEN-77F50C34503B</x:v>
      </x:c>
      <x:c r="B1311" s="12" t="str">
        <x:v>Investstocks</x:v>
      </x:c>
      <x:c r="C1311" s="12" t="str">
        <x:v>Business / brand</x:v>
      </x:c>
      <x:c r="D1311" s="12" t="str">
        <x:v>Finance &amp; insurance</x:v>
      </x:c>
      <x:c r="E1311" s="12" t="str">
        <x:v>Investments, securities &amp; wealth</x:v>
      </x:c>
      <x:c r="F1311" s="12" t="str">
        <x:v>Medium-scale prospects</x:v>
      </x:c>
      <x:c r="G1311" s="12" t="str">
        <x:v>Specialist financial-services business; medium-scale prospect assumption.</x:v>
      </x:c>
      <x:c r="H1311" s="11" t="n">
        <x:v>3</x:v>
      </x:c>
      <x:c r="I1311" s="11" t="n">
        <x:v>3</x:v>
      </x:c>
      <x:c r="J1311" s="11" t="n">
        <x:v>3</x:v>
      </x:c>
      <x:c r="K1311" s="11" t="n">
        <x:v>0</x:v>
      </x:c>
      <x:c r="L1311" s="17" t="n">
        <x:f>SUM(SUMIFS('Costing'!$P$9:$P$492,'Costing'!$A$9:$A$492,"PARTNER-M265"))</x:f>
        <x:v>120000</x:v>
      </x:c>
      <x:c r="M1311" s="17" t="n">
        <x:f>ROUND(L1311*'Costing'!$C$4,2)</x:f>
        <x:v>21600</x:v>
      </x:c>
      <x:c r="N1311" s="17" t="n">
        <x:f>L1311+M1311</x:f>
        <x:v>141600</x:v>
      </x:c>
      <x:c r="O1311" s="12" t="str">
        <x:v>Pune</x:v>
      </x:c>
      <x:c r="P1311" s="12" t="str">
        <x:v>CORP-0681, CORP-0682, CORP-0683</x:v>
      </x:c>
      <x:c r="Q1311" s="12" t="str">
        <x:v>Investstocks</x:v>
      </x:c>
    </x:row>
    <x:row r="1312" ht="48" customHeight="1">
      <x:c r="A1312" s="2" t="str">
        <x:v>TEN-81BA36E7B3F1</x:v>
      </x:c>
      <x:c r="B1312" s="12" t="str">
        <x:v>INVOTRIX TECHNOLOGIES</x:v>
      </x:c>
      <x:c r="C1312" s="12" t="str">
        <x:v>Business / brand</x:v>
      </x:c>
      <x:c r="D1312" s="12" t="str">
        <x:v>Unresolved</x:v>
      </x:c>
      <x:c r="E1312" s="12" t="str">
        <x:v>Business activity not established</x:v>
      </x:c>
      <x:c r="F1312" s="12" t="str">
        <x:v>Mixed business audience</x:v>
      </x:c>
      <x:c r="G1312" s="12" t="str">
        <x:v>Business activity and company scale are not established from this name.</x:v>
      </x:c>
      <x:c r="H1312" s="11" t="n">
        <x:v>1</x:v>
      </x:c>
      <x:c r="I1312" s="11" t="n">
        <x:v>1</x:v>
      </x:c>
      <x:c r="J1312" s="11" t="n">
        <x:v>1</x:v>
      </x:c>
      <x:c r="K1312" s="11" t="n">
        <x:v>0</x:v>
      </x:c>
      <x:c r="L1312" s="17" t="n">
        <x:f>SUM(SUMIFS('Costing'!$P$9:$P$492,'Costing'!$A$9:$A$492,"MAIN-011"))</x:f>
        <x:v>15000</x:v>
      </x:c>
      <x:c r="M1312" s="17" t="n">
        <x:f>ROUND(L1312*'Costing'!$C$4,2)</x:f>
        <x:v>2700</x:v>
      </x:c>
      <x:c r="N1312" s="17" t="n">
        <x:f>L1312+M1312</x:f>
        <x:v>17700</x:v>
      </x:c>
      <x:c r="O1312" s="12" t="str">
        <x:v>Bengaluru</x:v>
      </x:c>
      <x:c r="P1312" s="12" t="str">
        <x:v>CORP-0007</x:v>
      </x:c>
      <x:c r="Q1312" s="12" t="str">
        <x:v>INVOTRIX TECHNOLOGIES</x:v>
      </x:c>
    </x:row>
    <x:row r="1313" ht="75" customHeight="1">
      <x:c r="A1313" s="2" t="str">
        <x:v>TEN-33247E76C552</x:v>
      </x:c>
      <x:c r="B1313" s="12" t="str">
        <x:v>Inwizards</x:v>
      </x:c>
      <x:c r="C1313" s="12" t="str">
        <x:v>Business / brand</x:v>
      </x:c>
      <x:c r="D1313" s="12" t="str">
        <x:v>IT &amp; digital</x:v>
      </x:c>
      <x:c r="E1313" s="12" t="str">
        <x:v>Enterprise software &amp; digital engineering</x:v>
      </x:c>
      <x:c r="F1313" s="12" t="str">
        <x:v>Medium-scale prospects</x:v>
      </x:c>
      <x:c r="G1313" s="12" t="str">
        <x:v>Indicative international specialist software-delivery organization. A dated official article describes teams in the US, UAE and India and longstanding software development activity. Medium-scale is an operational-model inference, not a measured or statutory class.</x:v>
      </x:c>
      <x:c r="H1313" s="11" t="n">
        <x:v>1</x:v>
      </x:c>
      <x:c r="I1313" s="11" t="n">
        <x:v>1</x:v>
      </x:c>
      <x:c r="J1313" s="11" t="n">
        <x:v>1</x:v>
      </x:c>
      <x:c r="K1313" s="11" t="n">
        <x:v>0</x:v>
      </x:c>
      <x:c r="L1313" s="17" t="n">
        <x:f>SUM(SUMIFS('Costing'!$P$9:$P$492,'Costing'!$A$9:$A$492,"MAIN-266"))</x:f>
        <x:v>20000</x:v>
      </x:c>
      <x:c r="M1313" s="17" t="n">
        <x:f>ROUND(L1313*'Costing'!$C$4,2)</x:f>
        <x:v>3600</x:v>
      </x:c>
      <x:c r="N1313" s="17" t="n">
        <x:f>L1313+M1313</x:f>
        <x:v>23600</x:v>
      </x:c>
      <x:c r="O1313" s="12" t="str">
        <x:v>Indore</x:v>
      </x:c>
      <x:c r="P1313" s="12" t="str">
        <x:v>CORP-0262</x:v>
      </x:c>
      <x:c r="Q1313" s="12" t="str">
        <x:v>Inwizards</x:v>
      </x:c>
    </x:row>
    <x:row r="1314" ht="48" customHeight="1">
      <x:c r="A1314" s="2" t="str">
        <x:v>TEN-518A857F7FE9</x:v>
      </x:c>
      <x:c r="B1314" s="12" t="str">
        <x:v>Ionline ventures pvt ltd</x:v>
      </x:c>
      <x:c r="C1314" s="12" t="str">
        <x:v>Business / brand</x:v>
      </x:c>
      <x:c r="D1314" s="12" t="str">
        <x:v>Unresolved</x:v>
      </x:c>
      <x:c r="E1314" s="12" t="str">
        <x:v>Business activity not established</x:v>
      </x:c>
      <x:c r="F1314" s="12" t="str">
        <x:v>Mixed business audience</x:v>
      </x:c>
      <x:c r="G1314" s="12" t="str">
        <x:v>Business activity and company scale are not established from this name.</x:v>
      </x:c>
      <x:c r="H1314" s="11" t="n">
        <x:v>1</x:v>
      </x:c>
      <x:c r="I1314" s="11" t="n">
        <x:v>1</x:v>
      </x:c>
      <x:c r="J1314" s="11" t="n">
        <x:v>1</x:v>
      </x:c>
      <x:c r="K1314" s="11" t="n">
        <x:v>0</x:v>
      </x:c>
      <x:c r="L1314" s="17" t="n">
        <x:f>SUM(SUMIFS('Costing'!$P$9:$P$492,'Costing'!$A$9:$A$492,"MAIN-175"))</x:f>
        <x:v>15000</x:v>
      </x:c>
      <x:c r="M1314" s="17" t="n">
        <x:f>ROUND(L1314*'Costing'!$C$4,2)</x:f>
        <x:v>2700</x:v>
      </x:c>
      <x:c r="N1314" s="17" t="n">
        <x:f>L1314+M1314</x:f>
        <x:v>17700</x:v>
      </x:c>
      <x:c r="O1314" s="12" t="str">
        <x:v>Delhi NCR</x:v>
      </x:c>
      <x:c r="P1314" s="12" t="str">
        <x:v>CORP-0171</x:v>
      </x:c>
      <x:c r="Q1314" s="12" t="str">
        <x:v>Ionline ventures pvt ltd</x:v>
      </x:c>
    </x:row>
    <x:row r="1315" ht="49" customHeight="1">
      <x:c r="A1315" s="2" t="str">
        <x:v>TEN-67064F8C6165</x:v>
      </x:c>
      <x:c r="B1315" s="12" t="str">
        <x:v>iPass India</x:v>
      </x:c>
      <x:c r="C1315" s="12" t="str">
        <x:v>Business / brand</x:v>
      </x:c>
      <x:c r="D1315" s="12" t="str">
        <x:v>IT &amp; digital</x:v>
      </x:c>
      <x:c r="E1315" s="12" t="str">
        <x:v>Enterprise software &amp; digital engineering</x:v>
      </x:c>
      <x:c r="F1315" s="12" t="str">
        <x:v>Mixed business audience</x:v>
      </x:c>
      <x:c r="G1315" s="12" t="str">
        <x:v>Established brand or business network; local company scale is not established. Use a mixed-business message.</x:v>
      </x:c>
      <x:c r="H1315" s="11" t="n">
        <x:v>11</x:v>
      </x:c>
      <x:c r="I1315" s="11" t="n">
        <x:v>11</x:v>
      </x:c>
      <x:c r="J1315" s="11" t="n">
        <x:v>11</x:v>
      </x:c>
      <x:c r="K1315" s="11" t="n">
        <x:v>0</x:v>
      </x:c>
      <x:c r="L1315" s="17" t="n">
        <x:f>SUM(SUMIFS('Costing'!$P$9:$P$492,'Costing'!$A$9:$A$492,"PARTNER-M082"))</x:f>
        <x:v>440000</x:v>
      </x:c>
      <x:c r="M1315" s="17" t="n">
        <x:f>ROUND(L1315*'Costing'!$C$4,2)</x:f>
        <x:v>79200</x:v>
      </x:c>
      <x:c r="N1315" s="17" t="n">
        <x:f>L1315+M1315</x:f>
        <x:v>519200</x:v>
      </x:c>
      <x:c r="O1315" s="12" t="str">
        <x:v>Bengaluru</x:v>
      </x:c>
      <x:c r="P1315" s="12" t="str">
        <x:v>CORP-0500, CORP-0501, CORP-0502, CORP-0503, CORP-0504, CORP-0505, CORP-0506, CORP-0507, CORP-0508, CORP-0509, CORP-0510</x:v>
      </x:c>
      <x:c r="Q1315" s="12" t="str">
        <x:v>iPass India</x:v>
      </x:c>
    </x:row>
    <x:row r="1316" ht="49" customHeight="1">
      <x:c r="A1316" s="2" t="str">
        <x:v>TEN-A186C4689964</x:v>
      </x:c>
      <x:c r="B1316" s="12" t="str">
        <x:v>IPpro Services India LLP</x:v>
      </x:c>
      <x:c r="C1316" s="12" t="str">
        <x:v>Business / brand</x:v>
      </x:c>
      <x:c r="D1316" s="12" t="str">
        <x:v>Professional services</x:v>
      </x:c>
      <x:c r="E1316" s="12" t="str">
        <x:v>Research, marketing &amp; professional services</x:v>
      </x:c>
      <x:c r="F1316" s="12" t="str">
        <x:v>Small-scale prospects</x:v>
      </x:c>
      <x:c r="G1316" s="12" t="str">
        <x:v>Professional service, agency or advisory model; small-scale prospect assumption.</x:v>
      </x:c>
      <x:c r="H1316" s="11" t="n">
        <x:v>11</x:v>
      </x:c>
      <x:c r="I1316" s="11" t="n">
        <x:v>11</x:v>
      </x:c>
      <x:c r="J1316" s="11" t="n">
        <x:v>11</x:v>
      </x:c>
      <x:c r="K1316" s="11" t="n">
        <x:v>0</x:v>
      </x:c>
      <x:c r="L1316" s="17" t="n">
        <x:f>SUM(SUMIFS('Costing'!$P$9:$P$492,'Costing'!$A$9:$A$492,"PARTNER-M082"))</x:f>
        <x:v>440000</x:v>
      </x:c>
      <x:c r="M1316" s="17" t="n">
        <x:f>ROUND(L1316*'Costing'!$C$4,2)</x:f>
        <x:v>79200</x:v>
      </x:c>
      <x:c r="N1316" s="17" t="n">
        <x:f>L1316+M1316</x:f>
        <x:v>519200</x:v>
      </x:c>
      <x:c r="O1316" s="12" t="str">
        <x:v>Bengaluru</x:v>
      </x:c>
      <x:c r="P1316" s="12" t="str">
        <x:v>CORP-0500, CORP-0501, CORP-0502, CORP-0503, CORP-0504, CORP-0505, CORP-0506, CORP-0507, CORP-0508, CORP-0509, CORP-0510</x:v>
      </x:c>
      <x:c r="Q1316" s="12" t="str">
        <x:v>IPpro Services India LLP</x:v>
      </x:c>
    </x:row>
    <x:row r="1317" ht="48" customHeight="1">
      <x:c r="A1317" s="2" t="str">
        <x:v>TEN-B6D604AAAE8B</x:v>
      </x:c>
      <x:c r="B1317" s="12" t="str">
        <x:v>IPS BOUNCER WEDDING EVENT MANAGEMENT</x:v>
      </x:c>
      <x:c r="C1317" s="12" t="str">
        <x:v>Business / brand</x:v>
      </x:c>
      <x:c r="D1317" s="12" t="str">
        <x:v>Trade, consumer &amp; logistics</x:v>
      </x:c>
      <x:c r="E1317" s="12" t="str">
        <x:v>Entertainment, media &amp; events</x:v>
      </x:c>
      <x:c r="F1317" s="12" t="str">
        <x:v>Small-scale prospects</x:v>
      </x:c>
      <x:c r="G1317" s="12" t="str">
        <x:v>Trading or consumer-services business; small-scale prospect assumption.</x:v>
      </x:c>
      <x:c r="H1317" s="11" t="n">
        <x:v>10</x:v>
      </x:c>
      <x:c r="I1317" s="11" t="n">
        <x:v>10</x:v>
      </x:c>
      <x:c r="J1317" s="11" t="n">
        <x:v>10</x:v>
      </x:c>
      <x:c r="K1317" s="11" t="n">
        <x:v>0</x:v>
      </x:c>
      <x:c r="L1317" s="17" t="n">
        <x:f>SUM(SUMIFS('Costing'!$P$9:$P$492,'Costing'!$A$9:$A$492,"PARTNER-M365"))</x:f>
        <x:v>400000</x:v>
      </x:c>
      <x:c r="M1317" s="17" t="n">
        <x:f>ROUND(L1317*'Costing'!$C$4,2)</x:f>
        <x:v>72000</x:v>
      </x:c>
      <x:c r="N1317" s="17" t="n">
        <x:f>L1317+M1317</x:f>
        <x:v>472000</x:v>
      </x:c>
      <x:c r="O1317" s="12" t="str">
        <x:v>Delhi NCR</x:v>
      </x:c>
      <x:c r="P1317" s="12" t="str">
        <x:v>CORP-0778, CORP-0779, CORP-0780, CORP-0781, CORP-0782, CORP-0783, CORP-0784, CORP-0785, CORP-0786, CORP-0787</x:v>
      </x:c>
      <x:c r="Q1317" s="12" t="str">
        <x:v>IPS BOUNCER WEDDING EVENT MANAGEMENT</x:v>
      </x:c>
    </x:row>
    <x:row r="1318" ht="48" customHeight="1">
      <x:c r="A1318" s="2" t="str">
        <x:v>TEN-17B1E60B57B8</x:v>
      </x:c>
      <x:c r="B1318" s="12" t="str">
        <x:v>IPsoft Global Services</x:v>
      </x:c>
      <x:c r="C1318" s="12" t="str">
        <x:v>Business / brand</x:v>
      </x:c>
      <x:c r="D1318" s="12" t="str">
        <x:v>IT &amp; digital</x:v>
      </x:c>
      <x:c r="E1318" s="12" t="str">
        <x:v>Enterprise software &amp; digital engineering</x:v>
      </x:c>
      <x:c r="F1318" s="12" t="str">
        <x:v>Mixed business audience</x:v>
      </x:c>
      <x:c r="G1318" s="12" t="str">
        <x:v>Established brand or business network; local company scale is not established. Use a mixed-business message.</x:v>
      </x:c>
      <x:c r="H1318" s="11" t="n">
        <x:v>3</x:v>
      </x:c>
      <x:c r="I1318" s="11" t="n">
        <x:v>3</x:v>
      </x:c>
      <x:c r="J1318" s="11" t="n">
        <x:v>3</x:v>
      </x:c>
      <x:c r="K1318" s="11" t="n">
        <x:v>0</x:v>
      </x:c>
      <x:c r="L1318" s="17" t="n">
        <x:f>SUM(SUMIFS('Costing'!$P$9:$P$492,'Costing'!$A$9:$A$492,"PARTNER-M011"))</x:f>
        <x:v>120000</x:v>
      </x:c>
      <x:c r="M1318" s="17" t="n">
        <x:f>ROUND(L1318*'Costing'!$C$4,2)</x:f>
        <x:v>21600</x:v>
      </x:c>
      <x:c r="N1318" s="17" t="n">
        <x:f>L1318+M1318</x:f>
        <x:v>141600</x:v>
      </x:c>
      <x:c r="O1318" s="12" t="str">
        <x:v>Bengaluru</x:v>
      </x:c>
      <x:c r="P1318" s="12" t="str">
        <x:v>CORP-0429, CORP-0430, CORP-0431</x:v>
      </x:c>
      <x:c r="Q1318" s="12" t="str">
        <x:v>IPsoft Global Services</x:v>
      </x:c>
    </x:row>
    <x:row r="1319" ht="48" customHeight="1">
      <x:c r="A1319" s="2" t="str">
        <x:v>TEN-220688A64425</x:v>
      </x:c>
      <x:c r="B1319" s="12" t="str">
        <x:v>Ipsos DSC</x:v>
      </x:c>
      <x:c r="C1319" s="12" t="str">
        <x:v>Business / brand</x:v>
      </x:c>
      <x:c r="D1319" s="12" t="str">
        <x:v>Professional services</x:v>
      </x:c>
      <x:c r="E1319" s="12" t="str">
        <x:v>Marketing, media &amp; research services</x:v>
      </x:c>
      <x:c r="F1319" s="12" t="str">
        <x:v>Mixed business audience</x:v>
      </x:c>
      <x:c r="G1319" s="12" t="str">
        <x:v>Recognisable business context; company-scale evidence remains insufficient for a single size band.</x:v>
      </x:c>
      <x:c r="H1319" s="11" t="n">
        <x:v>1</x:v>
      </x:c>
      <x:c r="I1319" s="11" t="n">
        <x:v>1</x:v>
      </x:c>
      <x:c r="J1319" s="11" t="n">
        <x:v>1</x:v>
      </x:c>
      <x:c r="K1319" s="11" t="n">
        <x:v>0</x:v>
      </x:c>
      <x:c r="L1319" s="17" t="n">
        <x:f>SUM(SUMIFS('Costing'!$P$9:$P$492,'Costing'!$A$9:$A$492,"MAIN-321"))</x:f>
        <x:v>15000</x:v>
      </x:c>
      <x:c r="M1319" s="17" t="n">
        <x:f>ROUND(L1319*'Costing'!$C$4,2)</x:f>
        <x:v>2700</x:v>
      </x:c>
      <x:c r="N1319" s="17" t="n">
        <x:f>L1319+M1319</x:f>
        <x:v>17700</x:v>
      </x:c>
      <x:c r="O1319" s="12" t="str">
        <x:v>Mumbai</x:v>
      </x:c>
      <x:c r="P1319" s="12" t="str">
        <x:v>CORP-0317</x:v>
      </x:c>
      <x:c r="Q1319" s="12" t="str">
        <x:v>Ipsos DSC</x:v>
      </x:c>
    </x:row>
    <x:row r="1320" ht="48" customHeight="1">
      <x:c r="A1320" s="2" t="str">
        <x:v>TEN-51CFE7F8A5FA</x:v>
      </x:c>
      <x:c r="B1320" s="12" t="str">
        <x:v>Iquadrant Projects Pvt.Ltd</x:v>
      </x:c>
      <x:c r="C1320" s="12" t="str">
        <x:v>Business / brand</x:v>
      </x:c>
      <x:c r="D1320" s="12" t="str">
        <x:v>Unresolved</x:v>
      </x:c>
      <x:c r="E1320" s="12" t="str">
        <x:v>Business activity not established</x:v>
      </x:c>
      <x:c r="F1320" s="12" t="str">
        <x:v>Mixed business audience</x:v>
      </x:c>
      <x:c r="G1320" s="12" t="str">
        <x:v>Business activity and company scale are not established from this name.</x:v>
      </x:c>
      <x:c r="H1320" s="11" t="n">
        <x:v>1</x:v>
      </x:c>
      <x:c r="I1320" s="11" t="n">
        <x:v>2</x:v>
      </x:c>
      <x:c r="J1320" s="11" t="n">
        <x:v>2</x:v>
      </x:c>
      <x:c r="K1320" s="11" t="n">
        <x:v>0</x:v>
      </x:c>
      <x:c r="L1320" s="17" t="n">
        <x:f>SUM(SUMIFS('Costing'!$P$9:$P$492,'Costing'!$A$9:$A$492,"MAIN-032"))</x:f>
        <x:v>30000</x:v>
      </x:c>
      <x:c r="M1320" s="17" t="n">
        <x:f>ROUND(L1320*'Costing'!$C$4,2)</x:f>
        <x:v>5400</x:v>
      </x:c>
      <x:c r="N1320" s="17" t="n">
        <x:f>L1320+M1320</x:f>
        <x:v>35400</x:v>
      </x:c>
      <x:c r="O1320" s="12" t="str">
        <x:v>Bengaluru</x:v>
      </x:c>
      <x:c r="P1320" s="12" t="str">
        <x:v>CORP-0028</x:v>
      </x:c>
      <x:c r="Q1320" s="12" t="str">
        <x:v>Iquadrant Projects Pvt.Ltd</x:v>
      </x:c>
    </x:row>
    <x:row r="1321" ht="48" customHeight="1">
      <x:c r="A1321" s="2" t="str">
        <x:v>TEN-E4737DBE1BA9</x:v>
      </x:c>
      <x:c r="B1321" s="12" t="str">
        <x:v>IQVIA</x:v>
      </x:c>
      <x:c r="C1321" s="12" t="str">
        <x:v>Business / brand</x:v>
      </x:c>
      <x:c r="D1321" s="12" t="str">
        <x:v>Healthcare &amp; life sciences</x:v>
      </x:c>
      <x:c r="E1321" s="12" t="str">
        <x:v>Clinical, medical &amp; diagnostic services</x:v>
      </x:c>
      <x:c r="F1321" s="12" t="str">
        <x:v>Mixed business audience</x:v>
      </x:c>
      <x:c r="G1321" s="12" t="str">
        <x:v>Recognisable business context; company-scale evidence remains insufficient for a single size band.</x:v>
      </x:c>
      <x:c r="H1321" s="11" t="n">
        <x:v>6</x:v>
      </x:c>
      <x:c r="I1321" s="11" t="n">
        <x:v>6</x:v>
      </x:c>
      <x:c r="J1321" s="11" t="n">
        <x:v>6</x:v>
      </x:c>
      <x:c r="K1321" s="11" t="n">
        <x:v>0</x:v>
      </x:c>
      <x:c r="L1321" s="17" t="n">
        <x:f>SUM(SUMIFS('Costing'!$P$9:$P$492,'Costing'!$A$9:$A$492,"PARTNER-M067"),SUMIFS('Costing'!$P$9:$P$492,'Costing'!$A$9:$A$492,"PARTNER-M185"))</x:f>
        <x:v>240000</x:v>
      </x:c>
      <x:c r="M1321" s="17" t="n">
        <x:f>ROUND(L1321*'Costing'!$C$4,2)</x:f>
        <x:v>43200</x:v>
      </x:c>
      <x:c r="N1321" s="17" t="n">
        <x:f>L1321+M1321</x:f>
        <x:v>283200</x:v>
      </x:c>
      <x:c r="O1321" s="12" t="str">
        <x:v>Bengaluru, Mumbai</x:v>
      </x:c>
      <x:c r="P1321" s="12" t="str">
        <x:v>CORP-0485, CORP-0486, CORP-0487, CORP-0602, CORP-0603, CORP-0604</x:v>
      </x:c>
      <x:c r="Q1321" s="12" t="str">
        <x:v>IQVIA</x:v>
      </x:c>
    </x:row>
    <x:row r="1322" ht="48" customHeight="1">
      <x:c r="A1322" s="2" t="str">
        <x:v>TEN-F6797F6E5637</x:v>
      </x:c>
      <x:c r="B1322" s="12" t="str">
        <x:v>iRich</x:v>
      </x:c>
      <x:c r="C1322" s="12" t="str">
        <x:v>Business / brand</x:v>
      </x:c>
      <x:c r="D1322" s="12" t="str">
        <x:v>Unresolved</x:v>
      </x:c>
      <x:c r="E1322" s="12" t="str">
        <x:v>Business activity not established</x:v>
      </x:c>
      <x:c r="F1322" s="12" t="str">
        <x:v>Mixed business audience</x:v>
      </x:c>
      <x:c r="G1322" s="12" t="str">
        <x:v>Business activity and company scale are not established from this name.</x:v>
      </x:c>
      <x:c r="H1322" s="11" t="n">
        <x:v>2</x:v>
      </x:c>
      <x:c r="I1322" s="11" t="n">
        <x:v>5</x:v>
      </x:c>
      <x:c r="J1322" s="11" t="n">
        <x:v>5</x:v>
      </x:c>
      <x:c r="K1322" s="11" t="n">
        <x:v>0</x:v>
      </x:c>
      <x:c r="L1322" s="17" t="n">
        <x:f>SUM(SUMIFS('Costing'!$P$9:$P$492,'Costing'!$A$9:$A$492,"MAIN-219"),SUMIFS('Costing'!$P$9:$P$492,'Costing'!$A$9:$A$492,"MAIN-221"))</x:f>
        <x:v>75000</x:v>
      </x:c>
      <x:c r="M1322" s="17" t="n">
        <x:f>ROUND(L1322*'Costing'!$C$4,2)</x:f>
        <x:v>13500</x:v>
      </x:c>
      <x:c r="N1322" s="17" t="n">
        <x:f>L1322+M1322</x:f>
        <x:v>88500</x:v>
      </x:c>
      <x:c r="O1322" s="12" t="str">
        <x:v>Hyderabad</x:v>
      </x:c>
      <x:c r="P1322" s="12" t="str">
        <x:v>CORP-0215, CORP-0217</x:v>
      </x:c>
      <x:c r="Q1322" s="12" t="str">
        <x:v>iRich, Irich</x:v>
      </x:c>
    </x:row>
    <x:row r="1323" ht="48" customHeight="1">
      <x:c r="A1323" s="2" t="str">
        <x:v>TEN-65F96528B346</x:v>
      </x:c>
      <x:c r="B1323" s="12" t="str">
        <x:v>Iron Mountain</x:v>
      </x:c>
      <x:c r="C1323" s="12" t="str">
        <x:v>Business / brand</x:v>
      </x:c>
      <x:c r="D1323" s="12" t="str">
        <x:v>Trade, consumer &amp; logistics</x:v>
      </x:c>
      <x:c r="E1323" s="12" t="str">
        <x:v>Consumer/trade services — specialty unverified</x:v>
      </x:c>
      <x:c r="F1323" s="12" t="str">
        <x:v>Large enterprise</x:v>
      </x:c>
      <x:c r="G1323" s="12" t="str">
        <x:v>Explicit Iron Mountain enterprise-family context; see ENTERPRISE_SUPP_035 evidence.</x:v>
      </x:c>
      <x:c r="H1323" s="11" t="n">
        <x:v>10</x:v>
      </x:c>
      <x:c r="I1323" s="11" t="n">
        <x:v>10</x:v>
      </x:c>
      <x:c r="J1323" s="11" t="n">
        <x:v>10</x:v>
      </x:c>
      <x:c r="K1323" s="11" t="n">
        <x:v>0</x:v>
      </x:c>
      <x:c r="L1323" s="17" t="n">
        <x:f>SUM(SUMIFS('Costing'!$P$9:$P$492,'Costing'!$A$9:$A$492,"PARTNER-M120"))</x:f>
        <x:v>400000</x:v>
      </x:c>
      <x:c r="M1323" s="17" t="n">
        <x:f>ROUND(L1323*'Costing'!$C$4,2)</x:f>
        <x:v>72000</x:v>
      </x:c>
      <x:c r="N1323" s="17" t="n">
        <x:f>L1323+M1323</x:f>
        <x:v>472000</x:v>
      </x:c>
      <x:c r="O1323" s="12" t="str">
        <x:v>Bengaluru</x:v>
      </x:c>
      <x:c r="P1323" s="12" t="str">
        <x:v>CORP-0538, CORP-0539, CORP-0540, CORP-0541, CORP-0542, CORP-0543, CORP-0544, CORP-0545, CORP-0546, CORP-0547</x:v>
      </x:c>
      <x:c r="Q1323" s="12" t="str">
        <x:v>Iron Mountain</x:v>
      </x:c>
    </x:row>
    <x:row r="1324" ht="48" customHeight="1">
      <x:c r="A1324" s="2" t="str">
        <x:v>TEN-0446C1106A93</x:v>
      </x:c>
      <x:c r="B1324" s="12" t="str">
        <x:v>Iron Mountain INDIA Pvt Ltd</x:v>
      </x:c>
      <x:c r="C1324" s="12" t="str">
        <x:v>Business / brand</x:v>
      </x:c>
      <x:c r="D1324" s="12" t="str">
        <x:v>Trade, consumer &amp; logistics</x:v>
      </x:c>
      <x:c r="E1324" s="12" t="str">
        <x:v>Consumer/trade services — specialty unverified</x:v>
      </x:c>
      <x:c r="F1324" s="12" t="str">
        <x:v>Large enterprise</x:v>
      </x:c>
      <x:c r="G1324" s="12" t="str">
        <x:v>Explicit Iron Mountain enterprise-family context; see ENTERPRISE_SUPP_035 evidence.</x:v>
      </x:c>
      <x:c r="H1324" s="11" t="n">
        <x:v>1</x:v>
      </x:c>
      <x:c r="I1324" s="11" t="n">
        <x:v>4</x:v>
      </x:c>
      <x:c r="J1324" s="11" t="n">
        <x:v>4</x:v>
      </x:c>
      <x:c r="K1324" s="11" t="n">
        <x:v>0</x:v>
      </x:c>
      <x:c r="L1324" s="17" t="n">
        <x:f>SUM(SUMIFS('Costing'!$P$9:$P$492,'Costing'!$A$9:$A$492,"MAIN-352"))</x:f>
        <x:v>80000</x:v>
      </x:c>
      <x:c r="M1324" s="17" t="n">
        <x:f>ROUND(L1324*'Costing'!$C$4,2)</x:f>
        <x:v>14400</x:v>
      </x:c>
      <x:c r="N1324" s="17" t="n">
        <x:f>L1324+M1324</x:f>
        <x:v>94400</x:v>
      </x:c>
      <x:c r="O1324" s="12" t="str">
        <x:v>Mumbai</x:v>
      </x:c>
      <x:c r="P1324" s="12" t="str">
        <x:v>CORP-0348</x:v>
      </x:c>
      <x:c r="Q1324" s="12" t="str">
        <x:v>Iron Mountain INDIA Pvt Ltd</x:v>
      </x:c>
    </x:row>
    <x:row r="1325" ht="48" customHeight="1">
      <x:c r="A1325" s="2" t="str">
        <x:v>TEN-CE5F67CFFACA</x:v>
      </x:c>
      <x:c r="B1325" s="12" t="str">
        <x:v>ISG</x:v>
      </x:c>
      <x:c r="C1325" s="12" t="str">
        <x:v>Business / brand</x:v>
      </x:c>
      <x:c r="D1325" s="12" t="str">
        <x:v>Unresolved</x:v>
      </x:c>
      <x:c r="E1325" s="12" t="str">
        <x:v>Business activity not established</x:v>
      </x:c>
      <x:c r="F1325" s="12" t="str">
        <x:v>Mixed business audience</x:v>
      </x:c>
      <x:c r="G1325" s="12" t="str">
        <x:v>Business activity and company scale are not established from this name.</x:v>
      </x:c>
      <x:c r="H1325" s="11" t="n">
        <x:v>1</x:v>
      </x:c>
      <x:c r="I1325" s="11" t="n">
        <x:v>4</x:v>
      </x:c>
      <x:c r="J1325" s="11" t="n">
        <x:v>4</x:v>
      </x:c>
      <x:c r="K1325" s="11" t="n">
        <x:v>0</x:v>
      </x:c>
      <x:c r="L1325" s="17" t="n">
        <x:f>SUM(SUMIFS('Costing'!$P$9:$P$492,'Costing'!$A$9:$A$492,"MAIN-016"))</x:f>
        <x:v>60000</x:v>
      </x:c>
      <x:c r="M1325" s="17" t="n">
        <x:f>ROUND(L1325*'Costing'!$C$4,2)</x:f>
        <x:v>10800</x:v>
      </x:c>
      <x:c r="N1325" s="17" t="n">
        <x:f>L1325+M1325</x:f>
        <x:v>70800</x:v>
      </x:c>
      <x:c r="O1325" s="12" t="str">
        <x:v>Bengaluru</x:v>
      </x:c>
      <x:c r="P1325" s="12" t="str">
        <x:v>CORP-0012</x:v>
      </x:c>
      <x:c r="Q1325" s="12" t="str">
        <x:v>ISG</x:v>
      </x:c>
    </x:row>
    <x:row r="1326" ht="48" customHeight="1">
      <x:c r="A1326" s="2" t="str">
        <x:v>TEN-A21333F9DEE9</x:v>
      </x:c>
      <x:c r="B1326" s="12" t="str">
        <x:v>Ishani Finserv Private Limited</x:v>
      </x:c>
      <x:c r="C1326" s="12" t="str">
        <x:v>Business / brand</x:v>
      </x:c>
      <x:c r="D1326" s="12" t="str">
        <x:v>Finance &amp; insurance</x:v>
      </x:c>
      <x:c r="E1326" s="12" t="str">
        <x:v>Insurance &amp; insurance services</x:v>
      </x:c>
      <x:c r="F1326" s="12" t="str">
        <x:v>Medium-scale prospects</x:v>
      </x:c>
      <x:c r="G1326" s="12" t="str">
        <x:v>Specialist financial-services business; medium-scale prospect assumption.</x:v>
      </x:c>
      <x:c r="H1326" s="11" t="n">
        <x:v>1</x:v>
      </x:c>
      <x:c r="I1326" s="11" t="n">
        <x:v>2</x:v>
      </x:c>
      <x:c r="J1326" s="11" t="n">
        <x:v>2</x:v>
      </x:c>
      <x:c r="K1326" s="11" t="n">
        <x:v>0</x:v>
      </x:c>
      <x:c r="L1326" s="17" t="n">
        <x:f>SUM(SUMIFS('Costing'!$P$9:$P$492,'Costing'!$A$9:$A$492,"MAIN-273"))</x:f>
        <x:v>40000</x:v>
      </x:c>
      <x:c r="M1326" s="17" t="n">
        <x:f>ROUND(L1326*'Costing'!$C$4,2)</x:f>
        <x:v>7200</x:v>
      </x:c>
      <x:c r="N1326" s="17" t="n">
        <x:f>L1326+M1326</x:f>
        <x:v>47200</x:v>
      </x:c>
      <x:c r="O1326" s="12" t="str">
        <x:v>Indore</x:v>
      </x:c>
      <x:c r="P1326" s="12" t="str">
        <x:v>CORP-0269</x:v>
      </x:c>
      <x:c r="Q1326" s="12" t="str">
        <x:v>Ishani Finserv Private Limited</x:v>
      </x:c>
    </x:row>
    <x:row r="1327" ht="48" customHeight="1">
      <x:c r="A1327" s="2" t="str">
        <x:v>TEN-4CC101225BFC</x:v>
      </x:c>
      <x:c r="B1327" s="12" t="str">
        <x:v>ISM EDUTECH PVT LTD</x:v>
      </x:c>
      <x:c r="C1327" s="12" t="str">
        <x:v>Business / brand</x:v>
      </x:c>
      <x:c r="D1327" s="12" t="str">
        <x:v>Professional services</x:v>
      </x:c>
      <x:c r="E1327" s="12" t="str">
        <x:v>Research, marketing &amp; professional services</x:v>
      </x:c>
      <x:c r="F1327" s="12" t="str">
        <x:v>Small-scale prospects</x:v>
      </x:c>
      <x:c r="G1327" s="12" t="str">
        <x:v>Professional service, agency or advisory model; small-scale prospect assumption.</x:v>
      </x:c>
      <x:c r="H1327" s="11" t="n">
        <x:v>1</x:v>
      </x:c>
      <x:c r="I1327" s="11" t="n">
        <x:v>3</x:v>
      </x:c>
      <x:c r="J1327" s="11" t="n">
        <x:v>3</x:v>
      </x:c>
      <x:c r="K1327" s="11" t="n">
        <x:v>0</x:v>
      </x:c>
      <x:c r="L1327" s="17" t="n">
        <x:f>SUM(SUMIFS('Costing'!$P$9:$P$492,'Costing'!$A$9:$A$492,"MAIN-206"))</x:f>
        <x:v>120000</x:v>
      </x:c>
      <x:c r="M1327" s="17" t="n">
        <x:f>ROUND(L1327*'Costing'!$C$4,2)</x:f>
        <x:v>21600</x:v>
      </x:c>
      <x:c r="N1327" s="17" t="n">
        <x:f>L1327+M1327</x:f>
        <x:v>141600</x:v>
      </x:c>
      <x:c r="O1327" s="12" t="str">
        <x:v>Delhi NCR</x:v>
      </x:c>
      <x:c r="P1327" s="12" t="str">
        <x:v>CORP-0202</x:v>
      </x:c>
      <x:c r="Q1327" s="12" t="str">
        <x:v>ISM EDUTECH PVT LTD</x:v>
      </x:c>
    </x:row>
    <x:row r="1328" ht="48" customHeight="1">
      <x:c r="A1328" s="2" t="str">
        <x:v>TEN-6FBA7BE7F62E</x:v>
      </x:c>
      <x:c r="B1328" s="12" t="str">
        <x:v>iSource Global Solutions</x:v>
      </x:c>
      <x:c r="C1328" s="12" t="str">
        <x:v>Business / brand</x:v>
      </x:c>
      <x:c r="D1328" s="12" t="str">
        <x:v>Unresolved</x:v>
      </x:c>
      <x:c r="E1328" s="12" t="str">
        <x:v>Business activity not established</x:v>
      </x:c>
      <x:c r="F1328" s="12" t="str">
        <x:v>Mixed business audience</x:v>
      </x:c>
      <x:c r="G1328" s="12" t="str">
        <x:v>Business activity and company scale are not established from this name.</x:v>
      </x:c>
      <x:c r="H1328" s="11" t="n">
        <x:v>5</x:v>
      </x:c>
      <x:c r="I1328" s="11" t="n">
        <x:v>5</x:v>
      </x:c>
      <x:c r="J1328" s="11" t="n">
        <x:v>5</x:v>
      </x:c>
      <x:c r="K1328" s="11" t="n">
        <x:v>0</x:v>
      </x:c>
      <x:c r="L1328" s="17" t="n">
        <x:f>SUM(SUMIFS('Costing'!$P$9:$P$492,'Costing'!$A$9:$A$492,"PARTNER-M295"))</x:f>
        <x:v>200000</x:v>
      </x:c>
      <x:c r="M1328" s="17" t="n">
        <x:f>ROUND(L1328*'Costing'!$C$4,2)</x:f>
        <x:v>36000</x:v>
      </x:c>
      <x:c r="N1328" s="17" t="n">
        <x:f>L1328+M1328</x:f>
        <x:v>236000</x:v>
      </x:c>
      <x:c r="O1328" s="12" t="str">
        <x:v>Hyderabad</x:v>
      </x:c>
      <x:c r="P1328" s="12" t="str">
        <x:v>CORP-0710, CORP-0711, CORP-0712, CORP-0713, CORP-0714</x:v>
      </x:c>
      <x:c r="Q1328" s="12" t="str">
        <x:v>iSource Global Solutions</x:v>
      </x:c>
    </x:row>
    <x:row r="1329" ht="48" customHeight="1">
      <x:c r="A1329" s="2" t="str">
        <x:v>TEN-6CBA95EE1BC0</x:v>
      </x:c>
      <x:c r="B1329" s="12" t="str">
        <x:v>iSpace Software Solutions India Pvt Ltd</x:v>
      </x:c>
      <x:c r="C1329" s="12" t="str">
        <x:v>Business / brand</x:v>
      </x:c>
      <x:c r="D1329" s="12" t="str">
        <x:v>IT &amp; digital</x:v>
      </x:c>
      <x:c r="E1329" s="12" t="str">
        <x:v>Enterprise software &amp; digital engineering</x:v>
      </x:c>
      <x:c r="F1329" s="12" t="str">
        <x:v>Small-scale prospects</x:v>
      </x:c>
      <x:c r="G1329" s="12" t="str">
        <x:v>Software or technology-services business; small-scale prospect assumption.</x:v>
      </x:c>
      <x:c r="H1329" s="11" t="n">
        <x:v>5</x:v>
      </x:c>
      <x:c r="I1329" s="11" t="n">
        <x:v>5</x:v>
      </x:c>
      <x:c r="J1329" s="11" t="n">
        <x:v>5</x:v>
      </x:c>
      <x:c r="K1329" s="11" t="n">
        <x:v>0</x:v>
      </x:c>
      <x:c r="L1329" s="17" t="n">
        <x:f>SUM(SUMIFS('Costing'!$P$9:$P$492,'Costing'!$A$9:$A$492,"PARTNER-M295"))</x:f>
        <x:v>200000</x:v>
      </x:c>
      <x:c r="M1329" s="17" t="n">
        <x:f>ROUND(L1329*'Costing'!$C$4,2)</x:f>
        <x:v>36000</x:v>
      </x:c>
      <x:c r="N1329" s="17" t="n">
        <x:f>L1329+M1329</x:f>
        <x:v>236000</x:v>
      </x:c>
      <x:c r="O1329" s="12" t="str">
        <x:v>Hyderabad</x:v>
      </x:c>
      <x:c r="P1329" s="12" t="str">
        <x:v>CORP-0710, CORP-0711, CORP-0712, CORP-0713, CORP-0714</x:v>
      </x:c>
      <x:c r="Q1329" s="12" t="str">
        <x:v>iSpace Software Solutions India Pvt Ltd</x:v>
      </x:c>
    </x:row>
    <x:row r="1330" ht="48" customHeight="1">
      <x:c r="A1330" s="2" t="str">
        <x:v>TEN-C40F3464BCD7</x:v>
      </x:c>
      <x:c r="B1330" s="12" t="str">
        <x:v>ISR Designs</x:v>
      </x:c>
      <x:c r="C1330" s="12" t="str">
        <x:v>Business / brand</x:v>
      </x:c>
      <x:c r="D1330" s="12" t="str">
        <x:v>Unresolved</x:v>
      </x:c>
      <x:c r="E1330" s="12" t="str">
        <x:v>Business activity not established</x:v>
      </x:c>
      <x:c r="F1330" s="12" t="str">
        <x:v>Mixed business audience</x:v>
      </x:c>
      <x:c r="G1330" s="12" t="str">
        <x:v>Business activity and company scale are not established from this name.</x:v>
      </x:c>
      <x:c r="H1330" s="11" t="n">
        <x:v>1</x:v>
      </x:c>
      <x:c r="I1330" s="11" t="n">
        <x:v>1</x:v>
      </x:c>
      <x:c r="J1330" s="11" t="n">
        <x:v>1</x:v>
      </x:c>
      <x:c r="K1330" s="11" t="n">
        <x:v>0</x:v>
      </x:c>
      <x:c r="L1330" s="17" t="n">
        <x:f>SUM(SUMIFS('Costing'!$P$9:$P$492,'Costing'!$A$9:$A$492,"MAIN-093"))</x:f>
        <x:v>15000</x:v>
      </x:c>
      <x:c r="M1330" s="17" t="n">
        <x:f>ROUND(L1330*'Costing'!$C$4,2)</x:f>
        <x:v>2700</x:v>
      </x:c>
      <x:c r="N1330" s="17" t="n">
        <x:f>L1330+M1330</x:f>
        <x:v>17700</x:v>
      </x:c>
      <x:c r="O1330" s="12" t="str">
        <x:v>Bengaluru</x:v>
      </x:c>
      <x:c r="P1330" s="12" t="str">
        <x:v>CORP-0089</x:v>
      </x:c>
      <x:c r="Q1330" s="12" t="str">
        <x:v>ISR Designs</x:v>
      </x:c>
    </x:row>
    <x:row r="1331" ht="48" customHeight="1">
      <x:c r="A1331" s="2" t="str">
        <x:v>TEN-4856E7F0424C</x:v>
      </x:c>
      <x:c r="B1331" s="12" t="str">
        <x:v>ISS Global Forwarding India</x:v>
      </x:c>
      <x:c r="C1331" s="12" t="str">
        <x:v>Business / brand</x:v>
      </x:c>
      <x:c r="D1331" s="12" t="str">
        <x:v>Trade, consumer &amp; logistics</x:v>
      </x:c>
      <x:c r="E1331" s="12" t="str">
        <x:v>Logistics, shipping &amp; transport</x:v>
      </x:c>
      <x:c r="F1331" s="12" t="str">
        <x:v>Mixed business audience</x:v>
      </x:c>
      <x:c r="G1331" s="12" t="str">
        <x:v>Established brand or business network; local company scale is not established. Use a mixed-business message.</x:v>
      </x:c>
      <x:c r="H1331" s="11" t="n">
        <x:v>4</x:v>
      </x:c>
      <x:c r="I1331" s="11" t="n">
        <x:v>4</x:v>
      </x:c>
      <x:c r="J1331" s="11" t="n">
        <x:v>4</x:v>
      </x:c>
      <x:c r="K1331" s="11" t="n">
        <x:v>0</x:v>
      </x:c>
      <x:c r="L1331" s="17" t="n">
        <x:f>SUM(SUMIFS('Costing'!$P$9:$P$492,'Costing'!$A$9:$A$492,"PARTNER-M197"))</x:f>
        <x:v>160000</x:v>
      </x:c>
      <x:c r="M1331" s="17" t="n">
        <x:f>ROUND(L1331*'Costing'!$C$4,2)</x:f>
        <x:v>28800</x:v>
      </x:c>
      <x:c r="N1331" s="17" t="n">
        <x:f>L1331+M1331</x:f>
        <x:v>188800</x:v>
      </x:c>
      <x:c r="O1331" s="12" t="str">
        <x:v>Mumbai</x:v>
      </x:c>
      <x:c r="P1331" s="12" t="str">
        <x:v>CORP-0614, CORP-0615, CORP-0616, CORP-0617</x:v>
      </x:c>
      <x:c r="Q1331" s="12" t="str">
        <x:v>ISS Global Forwarding India</x:v>
      </x:c>
    </x:row>
    <x:row r="1332" ht="48" customHeight="1">
      <x:c r="A1332" s="2" t="str">
        <x:v>TEN-433FFE8165A6</x:v>
      </x:c>
      <x:c r="B1332" s="12" t="str">
        <x:v>ITC Infotech</x:v>
      </x:c>
      <x:c r="C1332" s="12" t="str">
        <x:v>Business / brand</x:v>
      </x:c>
      <x:c r="D1332" s="12" t="str">
        <x:v>IT &amp; digital</x:v>
      </x:c>
      <x:c r="E1332" s="12" t="str">
        <x:v>Enterprise software &amp; digital engineering</x:v>
      </x:c>
      <x:c r="F1332" s="12" t="str">
        <x:v>Mixed business audience</x:v>
      </x:c>
      <x:c r="G1332" s="12" t="str">
        <x:v>Recognisable business context; company-scale evidence remains insufficient for a single size band.</x:v>
      </x:c>
      <x:c r="H1332" s="11" t="n">
        <x:v>1</x:v>
      </x:c>
      <x:c r="I1332" s="11" t="n">
        <x:v>4</x:v>
      </x:c>
      <x:c r="J1332" s="11" t="n">
        <x:v>4</x:v>
      </x:c>
      <x:c r="K1332" s="11" t="n">
        <x:v>0</x:v>
      </x:c>
      <x:c r="L1332" s="17" t="n">
        <x:f>SUM(SUMIFS('Costing'!$P$9:$P$492,'Costing'!$A$9:$A$492,"MAIN-403"))</x:f>
        <x:v>80000</x:v>
      </x:c>
      <x:c r="M1332" s="17" t="n">
        <x:f>ROUND(L1332*'Costing'!$C$4,2)</x:f>
        <x:v>14400</x:v>
      </x:c>
      <x:c r="N1332" s="17" t="n">
        <x:f>L1332+M1332</x:f>
        <x:v>94400</x:v>
      </x:c>
      <x:c r="O1332" s="12" t="str">
        <x:v>Pune</x:v>
      </x:c>
      <x:c r="P1332" s="12" t="str">
        <x:v>CORP-0399</x:v>
      </x:c>
      <x:c r="Q1332" s="12" t="str">
        <x:v>ITC Infotech</x:v>
      </x:c>
    </x:row>
    <x:row r="1333" ht="48" customHeight="1">
      <x:c r="A1333" s="2" t="str">
        <x:v>TEN-8C7EAEEF1D2A</x:v>
      </x:c>
      <x:c r="B1333" s="12" t="str">
        <x:v>ITC Ltd</x:v>
      </x:c>
      <x:c r="C1333" s="12" t="str">
        <x:v>Business / brand</x:v>
      </x:c>
      <x:c r="D1333" s="12" t="str">
        <x:v>Trade, consumer &amp; logistics</x:v>
      </x:c>
      <x:c r="E1333" s="12" t="str">
        <x:v>Consumer/trade services — specialty unverified</x:v>
      </x:c>
      <x:c r="F1333" s="12" t="str">
        <x:v>Mixed business audience</x:v>
      </x:c>
      <x:c r="G1333" s="12" t="str">
        <x:v>Recognisable business context; company-scale evidence remains insufficient for a single size band.</x:v>
      </x:c>
      <x:c r="H1333" s="11" t="n">
        <x:v>4</x:v>
      </x:c>
      <x:c r="I1333" s="11" t="n">
        <x:v>4</x:v>
      </x:c>
      <x:c r="J1333" s="11" t="n">
        <x:v>4</x:v>
      </x:c>
      <x:c r="K1333" s="11" t="n">
        <x:v>0</x:v>
      </x:c>
      <x:c r="L1333" s="17" t="n">
        <x:f>SUM(SUMIFS('Costing'!$P$9:$P$492,'Costing'!$A$9:$A$492,"PARTNER-M261"))</x:f>
        <x:v>160000</x:v>
      </x:c>
      <x:c r="M1333" s="17" t="n">
        <x:f>ROUND(L1333*'Costing'!$C$4,2)</x:f>
        <x:v>28800</x:v>
      </x:c>
      <x:c r="N1333" s="17" t="n">
        <x:f>L1333+M1333</x:f>
        <x:v>188800</x:v>
      </x:c>
      <x:c r="O1333" s="12" t="str">
        <x:v>Pune</x:v>
      </x:c>
      <x:c r="P1333" s="12" t="str">
        <x:v>CORP-0677, CORP-0678, CORP-0679, CORP-0680</x:v>
      </x:c>
      <x:c r="Q1333" s="12" t="str">
        <x:v>ITC Ltd</x:v>
      </x:c>
    </x:row>
    <x:row r="1334" ht="48" customHeight="1">
      <x:c r="A1334" s="2" t="str">
        <x:v>TEN-387C19F5DB1C</x:v>
      </x:c>
      <x:c r="B1334" s="12" t="str">
        <x:v>ITGeeks</x:v>
      </x:c>
      <x:c r="C1334" s="12" t="str">
        <x:v>Business / brand</x:v>
      </x:c>
      <x:c r="D1334" s="12" t="str">
        <x:v>IT &amp; digital</x:v>
      </x:c>
      <x:c r="E1334" s="12" t="str">
        <x:v>Enterprise software &amp; digital engineering</x:v>
      </x:c>
      <x:c r="F1334" s="12" t="str">
        <x:v>Small-scale prospects</x:v>
      </x:c>
      <x:c r="G1334" s="12" t="str">
        <x:v>Software or technology-services business; small-scale prospect assumption.</x:v>
      </x:c>
      <x:c r="H1334" s="11" t="n">
        <x:v>1</x:v>
      </x:c>
      <x:c r="I1334" s="11" t="n">
        <x:v>1</x:v>
      </x:c>
      <x:c r="J1334" s="11" t="n">
        <x:v>1</x:v>
      </x:c>
      <x:c r="K1334" s="11" t="n">
        <x:v>0</x:v>
      </x:c>
      <x:c r="L1334" s="17" t="n">
        <x:f>SUM(SUMIFS('Costing'!$P$9:$P$492,'Costing'!$A$9:$A$492,"MAIN-270"))</x:f>
        <x:v>20000</x:v>
      </x:c>
      <x:c r="M1334" s="17" t="n">
        <x:f>ROUND(L1334*'Costing'!$C$4,2)</x:f>
        <x:v>3600</x:v>
      </x:c>
      <x:c r="N1334" s="17" t="n">
        <x:f>L1334+M1334</x:f>
        <x:v>23600</x:v>
      </x:c>
      <x:c r="O1334" s="12" t="str">
        <x:v>Indore</x:v>
      </x:c>
      <x:c r="P1334" s="12" t="str">
        <x:v>CORP-0266</x:v>
      </x:c>
      <x:c r="Q1334" s="12" t="str">
        <x:v>ITGeeks</x:v>
      </x:c>
    </x:row>
    <x:row r="1335" ht="48" customHeight="1">
      <x:c r="A1335" s="2" t="str">
        <x:v>TEN-F0BE48C951D0</x:v>
      </x:c>
      <x:c r="B1335" s="12" t="str">
        <x:v>ITHENA Technologies Pvt. Ltd</x:v>
      </x:c>
      <x:c r="C1335" s="12" t="str">
        <x:v>Business / brand</x:v>
      </x:c>
      <x:c r="D1335" s="12" t="str">
        <x:v>IT &amp; digital</x:v>
      </x:c>
      <x:c r="E1335" s="12" t="str">
        <x:v>Enterprise software &amp; digital engineering</x:v>
      </x:c>
      <x:c r="F1335" s="12" t="str">
        <x:v>Small-scale prospects</x:v>
      </x:c>
      <x:c r="G1335" s="12" t="str">
        <x:v>Software or technology-services business; small-scale prospect assumption.</x:v>
      </x:c>
      <x:c r="H1335" s="11" t="n">
        <x:v>1</x:v>
      </x:c>
      <x:c r="I1335" s="11" t="n">
        <x:v>3</x:v>
      </x:c>
      <x:c r="J1335" s="11" t="n">
        <x:v>3</x:v>
      </x:c>
      <x:c r="K1335" s="11" t="n">
        <x:v>0</x:v>
      </x:c>
      <x:c r="L1335" s="17" t="n">
        <x:f>SUM(SUMIFS('Costing'!$P$9:$P$492,'Costing'!$A$9:$A$492,"MAIN-414"))</x:f>
        <x:v>60000</x:v>
      </x:c>
      <x:c r="M1335" s="17" t="n">
        <x:f>ROUND(L1335*'Costing'!$C$4,2)</x:f>
        <x:v>10800</x:v>
      </x:c>
      <x:c r="N1335" s="17" t="n">
        <x:f>L1335+M1335</x:f>
        <x:v>70800</x:v>
      </x:c>
      <x:c r="O1335" s="12" t="str">
        <x:v>Pune</x:v>
      </x:c>
      <x:c r="P1335" s="12" t="str">
        <x:v>CORP-0410</x:v>
      </x:c>
      <x:c r="Q1335" s="12" t="str">
        <x:v>ITHENA Technologies Pvt. Ltd</x:v>
      </x:c>
    </x:row>
    <x:row r="1336" ht="48" customHeight="1">
      <x:c r="A1336" s="2" t="str">
        <x:v>TEN-172CBFFE5C71</x:v>
      </x:c>
      <x:c r="B1336" s="12" t="str">
        <x:v>ITO ELECTRONICS INDIA PVT. LTD</x:v>
      </x:c>
      <x:c r="C1336" s="12" t="str">
        <x:v>Business / brand</x:v>
      </x:c>
      <x:c r="D1336" s="12" t="str">
        <x:v>Engineering &amp; manufacturing</x:v>
      </x:c>
      <x:c r="E1336" s="12" t="str">
        <x:v>Semiconductors, electronics &amp; equipment</x:v>
      </x:c>
      <x:c r="F1336" s="12" t="str">
        <x:v>Medium-scale prospects</x:v>
      </x:c>
      <x:c r="G1336" s="12" t="str">
        <x:v>Specialist industrial or engineering business; medium-scale prospect assumption.</x:v>
      </x:c>
      <x:c r="H1336" s="11" t="n">
        <x:v>1</x:v>
      </x:c>
      <x:c r="I1336" s="11" t="n">
        <x:v>6</x:v>
      </x:c>
      <x:c r="J1336" s="11" t="n">
        <x:v>6</x:v>
      </x:c>
      <x:c r="K1336" s="11" t="n">
        <x:v>0</x:v>
      </x:c>
      <x:c r="L1336" s="17" t="n">
        <x:f>SUM(SUMIFS('Costing'!$P$9:$P$492,'Costing'!$A$9:$A$492,"MAIN-194"))</x:f>
        <x:v>240000</x:v>
      </x:c>
      <x:c r="M1336" s="17" t="n">
        <x:f>ROUND(L1336*'Costing'!$C$4,2)</x:f>
        <x:v>43200</x:v>
      </x:c>
      <x:c r="N1336" s="17" t="n">
        <x:f>L1336+M1336</x:f>
        <x:v>283200</x:v>
      </x:c>
      <x:c r="O1336" s="12" t="str">
        <x:v>Delhi NCR</x:v>
      </x:c>
      <x:c r="P1336" s="12" t="str">
        <x:v>CORP-0190</x:v>
      </x:c>
      <x:c r="Q1336" s="12" t="str">
        <x:v>ITO ELECTRONICS INDIA PVT. LTD</x:v>
      </x:c>
    </x:row>
    <x:row r="1337" ht="48" customHeight="1">
      <x:c r="A1337" s="2" t="str">
        <x:v>TEN-D297BBA735FE</x:v>
      </x:c>
      <x:c r="B1337" s="12" t="str">
        <x:v>iTroni Technology</x:v>
      </x:c>
      <x:c r="C1337" s="12" t="str">
        <x:v>Business / brand</x:v>
      </x:c>
      <x:c r="D1337" s="12" t="str">
        <x:v>Unresolved</x:v>
      </x:c>
      <x:c r="E1337" s="12" t="str">
        <x:v>Business activity not established</x:v>
      </x:c>
      <x:c r="F1337" s="12" t="str">
        <x:v>Mixed business audience</x:v>
      </x:c>
      <x:c r="G1337" s="12" t="str">
        <x:v>Business activity and company scale are not established from this name.</x:v>
      </x:c>
      <x:c r="H1337" s="11" t="n">
        <x:v>1</x:v>
      </x:c>
      <x:c r="I1337" s="11" t="n">
        <x:v>6</x:v>
      </x:c>
      <x:c r="J1337" s="11" t="n">
        <x:v>6</x:v>
      </x:c>
      <x:c r="K1337" s="11" t="n">
        <x:v>0</x:v>
      </x:c>
      <x:c r="L1337" s="17" t="n">
        <x:f>SUM(SUMIFS('Costing'!$P$9:$P$492,'Costing'!$A$9:$A$492,"MAIN-060"))</x:f>
        <x:v>240000</x:v>
      </x:c>
      <x:c r="M1337" s="17" t="n">
        <x:f>ROUND(L1337*'Costing'!$C$4,2)</x:f>
        <x:v>43200</x:v>
      </x:c>
      <x:c r="N1337" s="17" t="n">
        <x:f>L1337+M1337</x:f>
        <x:v>283200</x:v>
      </x:c>
      <x:c r="O1337" s="12" t="str">
        <x:v>Bengaluru</x:v>
      </x:c>
      <x:c r="P1337" s="12" t="str">
        <x:v>CORP-0056</x:v>
      </x:c>
      <x:c r="Q1337" s="12" t="str">
        <x:v>iTroni Technology</x:v>
      </x:c>
    </x:row>
    <x:row r="1338" ht="48" customHeight="1">
      <x:c r="A1338" s="2" t="str">
        <x:v>TEN-52DEDECEAB90</x:v>
      </x:c>
      <x:c r="B1338" s="12" t="str">
        <x:v>Itssa</x:v>
      </x:c>
      <x:c r="C1338" s="12" t="str">
        <x:v>Business / brand</x:v>
      </x:c>
      <x:c r="D1338" s="12" t="str">
        <x:v>Unresolved</x:v>
      </x:c>
      <x:c r="E1338" s="12" t="str">
        <x:v>Business activity not established</x:v>
      </x:c>
      <x:c r="F1338" s="12" t="str">
        <x:v>Mixed business audience</x:v>
      </x:c>
      <x:c r="G1338" s="12" t="str">
        <x:v>Business activity and company scale are not established from this name.</x:v>
      </x:c>
      <x:c r="H1338" s="11" t="n">
        <x:v>1</x:v>
      </x:c>
      <x:c r="I1338" s="11" t="n">
        <x:v>4</x:v>
      </x:c>
      <x:c r="J1338" s="11" t="n">
        <x:v>4</x:v>
      </x:c>
      <x:c r="K1338" s="11" t="n">
        <x:v>0</x:v>
      </x:c>
      <x:c r="L1338" s="17" t="n">
        <x:f>SUM(SUMIFS('Costing'!$P$9:$P$492,'Costing'!$A$9:$A$492,"MAIN-014"))</x:f>
        <x:v>60000</x:v>
      </x:c>
      <x:c r="M1338" s="17" t="n">
        <x:f>ROUND(L1338*'Costing'!$C$4,2)</x:f>
        <x:v>10800</x:v>
      </x:c>
      <x:c r="N1338" s="17" t="n">
        <x:f>L1338+M1338</x:f>
        <x:v>70800</x:v>
      </x:c>
      <x:c r="O1338" s="12" t="str">
        <x:v>Bengaluru</x:v>
      </x:c>
      <x:c r="P1338" s="12" t="str">
        <x:v>CORP-0010</x:v>
      </x:c>
      <x:c r="Q1338" s="12" t="str">
        <x:v>Itssa</x:v>
      </x:c>
    </x:row>
    <x:row r="1339" ht="48" customHeight="1">
      <x:c r="A1339" s="2" t="str">
        <x:v>TEN-999743C47BE0</x:v>
      </x:c>
      <x:c r="B1339" s="12" t="str">
        <x:v>ITW Consulting Pvt Ltd</x:v>
      </x:c>
      <x:c r="C1339" s="12" t="str">
        <x:v>Business / brand</x:v>
      </x:c>
      <x:c r="D1339" s="12" t="str">
        <x:v>Professional services</x:v>
      </x:c>
      <x:c r="E1339" s="12" t="str">
        <x:v>Business consulting &amp; advisory</x:v>
      </x:c>
      <x:c r="F1339" s="12" t="str">
        <x:v>Mixed business audience</x:v>
      </x:c>
      <x:c r="G1339" s="12" t="str">
        <x:v>Established brand or business network; local company scale is not established. Use a mixed-business message.</x:v>
      </x:c>
      <x:c r="H1339" s="11" t="n">
        <x:v>1</x:v>
      </x:c>
      <x:c r="I1339" s="11" t="n">
        <x:v>8</x:v>
      </x:c>
      <x:c r="J1339" s="11" t="n">
        <x:v>8</x:v>
      </x:c>
      <x:c r="K1339" s="11" t="n">
        <x:v>0</x:v>
      </x:c>
      <x:c r="L1339" s="17" t="n">
        <x:f>SUM(SUMIFS('Costing'!$P$9:$P$492,'Costing'!$A$9:$A$492,"MAIN-356"))</x:f>
        <x:v>200000</x:v>
      </x:c>
      <x:c r="M1339" s="17" t="n">
        <x:f>ROUND(L1339*'Costing'!$C$4,2)</x:f>
        <x:v>36000</x:v>
      </x:c>
      <x:c r="N1339" s="17" t="n">
        <x:f>L1339+M1339</x:f>
        <x:v>236000</x:v>
      </x:c>
      <x:c r="O1339" s="12" t="str">
        <x:v>Mumbai</x:v>
      </x:c>
      <x:c r="P1339" s="12" t="str">
        <x:v>CORP-0352</x:v>
      </x:c>
      <x:c r="Q1339" s="12" t="str">
        <x:v>ITW Consulting Pvt Ltd</x:v>
      </x:c>
    </x:row>
    <x:row r="1340" ht="48" customHeight="1">
      <x:c r="A1340" s="2" t="str">
        <x:v>TEN-CFD92216CFD8</x:v>
      </x:c>
      <x:c r="B1340" s="12" t="str">
        <x:v>Itya TV</x:v>
      </x:c>
      <x:c r="C1340" s="12" t="str">
        <x:v>Business / brand</x:v>
      </x:c>
      <x:c r="D1340" s="12" t="str">
        <x:v>Trade, consumer &amp; logistics</x:v>
      </x:c>
      <x:c r="E1340" s="12" t="str">
        <x:v>Entertainment, media &amp; events</x:v>
      </x:c>
      <x:c r="F1340" s="12" t="str">
        <x:v>Small-scale prospects</x:v>
      </x:c>
      <x:c r="G1340" s="12" t="str">
        <x:v>Trading or consumer-services business; small-scale prospect assumption.</x:v>
      </x:c>
      <x:c r="H1340" s="11" t="n">
        <x:v>1</x:v>
      </x:c>
      <x:c r="I1340" s="11" t="n">
        <x:v>2</x:v>
      </x:c>
      <x:c r="J1340" s="11" t="n">
        <x:v>2</x:v>
      </x:c>
      <x:c r="K1340" s="11" t="n">
        <x:v>0</x:v>
      </x:c>
      <x:c r="L1340" s="17" t="n">
        <x:f>SUM(SUMIFS('Costing'!$P$9:$P$492,'Costing'!$A$9:$A$492,"MAIN-237"))</x:f>
        <x:v>80000</x:v>
      </x:c>
      <x:c r="M1340" s="17" t="n">
        <x:f>ROUND(L1340*'Costing'!$C$4,2)</x:f>
        <x:v>14400</x:v>
      </x:c>
      <x:c r="N1340" s="17" t="n">
        <x:f>L1340+M1340</x:f>
        <x:v>94400</x:v>
      </x:c>
      <x:c r="O1340" s="12" t="str">
        <x:v>Hyderabad</x:v>
      </x:c>
      <x:c r="P1340" s="12" t="str">
        <x:v>CORP-0233</x:v>
      </x:c>
      <x:c r="Q1340" s="12" t="str">
        <x:v>Itya TV</x:v>
      </x:c>
    </x:row>
    <x:row r="1341" ht="49" customHeight="1">
      <x:c r="A1341" s="2" t="str">
        <x:v>TEN-60A539DE7BB0</x:v>
      </x:c>
      <x:c r="B1341" s="12" t="str">
        <x:v>Ivanti</x:v>
      </x:c>
      <x:c r="C1341" s="12" t="str">
        <x:v>Business / brand</x:v>
      </x:c>
      <x:c r="D1341" s="12" t="str">
        <x:v>IT &amp; digital</x:v>
      </x:c>
      <x:c r="E1341" s="12" t="str">
        <x:v>Enterprise software &amp; digital engineering</x:v>
      </x:c>
      <x:c r="F1341" s="12" t="str">
        <x:v>Large enterprise</x:v>
      </x:c>
      <x:c r="G1341" s="12" t="str">
        <x:v>Ivanti's official careers page reports nearly 3,000 employees in 25 countries. This supports enterprise-scale software-company context.</x:v>
      </x:c>
      <x:c r="H1341" s="11" t="n">
        <x:v>12</x:v>
      </x:c>
      <x:c r="I1341" s="11" t="n">
        <x:v>12</x:v>
      </x:c>
      <x:c r="J1341" s="11" t="n">
        <x:v>12</x:v>
      </x:c>
      <x:c r="K1341" s="11" t="n">
        <x:v>0</x:v>
      </x:c>
      <x:c r="L1341" s="17" t="n">
        <x:f>SUM(SUMIFS('Costing'!$P$9:$P$492,'Costing'!$A$9:$A$492,"PARTNER-M108"))</x:f>
        <x:v>480000</x:v>
      </x:c>
      <x:c r="M1341" s="17" t="n">
        <x:f>ROUND(L1341*'Costing'!$C$4,2)</x:f>
        <x:v>86400</x:v>
      </x:c>
      <x:c r="N1341" s="17" t="n">
        <x:f>L1341+M1341</x:f>
        <x:v>566400</x:v>
      </x:c>
      <x:c r="O1341" s="12" t="str">
        <x:v>Bengaluru</x:v>
      </x:c>
      <x:c r="P1341" s="12" t="str">
        <x:v>CORP-0526, CORP-0527, CORP-0528, CORP-0529, CORP-0530, CORP-0531, CORP-0532, CORP-0533, CORP-0534, CORP-0535, CORP-0536, CORP-0537</x:v>
      </x:c>
      <x:c r="Q1341" s="12" t="str">
        <x:v>Ivanti</x:v>
      </x:c>
    </x:row>
    <x:row r="1342" ht="48" customHeight="1">
      <x:c r="A1342" s="2" t="str">
        <x:v>TEN-E3C920552F7B</x:v>
      </x:c>
      <x:c r="B1342" s="12" t="str">
        <x:v>iVlentor</x:v>
      </x:c>
      <x:c r="C1342" s="12" t="str">
        <x:v>Business / brand</x:v>
      </x:c>
      <x:c r="D1342" s="12" t="str">
        <x:v>Unresolved</x:v>
      </x:c>
      <x:c r="E1342" s="12" t="str">
        <x:v>Business activity not established</x:v>
      </x:c>
      <x:c r="F1342" s="12" t="str">
        <x:v>Mixed business audience</x:v>
      </x:c>
      <x:c r="G1342" s="12" t="str">
        <x:v>Business activity and company scale are not established from this name.</x:v>
      </x:c>
      <x:c r="H1342" s="11" t="n">
        <x:v>2</x:v>
      </x:c>
      <x:c r="I1342" s="11" t="n">
        <x:v>4</x:v>
      </x:c>
      <x:c r="J1342" s="11" t="n">
        <x:v>4</x:v>
      </x:c>
      <x:c r="K1342" s="11" t="n">
        <x:v>0</x:v>
      </x:c>
      <x:c r="L1342" s="17" t="n">
        <x:f>SUM(SUMIFS('Costing'!$P$9:$P$492,'Costing'!$A$9:$A$492,"MAIN-163"),SUMIFS('Costing'!$P$9:$P$492,'Costing'!$A$9:$A$492,"MAIN-164"))</x:f>
        <x:v>60000</x:v>
      </x:c>
      <x:c r="M1342" s="17" t="n">
        <x:f>ROUND(L1342*'Costing'!$C$4,2)</x:f>
        <x:v>10800</x:v>
      </x:c>
      <x:c r="N1342" s="17" t="n">
        <x:f>L1342+M1342</x:f>
        <x:v>70800</x:v>
      </x:c>
      <x:c r="O1342" s="12" t="str">
        <x:v>Delhi NCR</x:v>
      </x:c>
      <x:c r="P1342" s="12" t="str">
        <x:v>CORP-0159, CORP-0160</x:v>
      </x:c>
      <x:c r="Q1342" s="12" t="str">
        <x:v>iVlentor</x:v>
      </x:c>
    </x:row>
    <x:row r="1343" ht="48" customHeight="1">
      <x:c r="A1343" s="2" t="str">
        <x:v>TEN-C679DA09E353</x:v>
      </x:c>
      <x:c r="B1343" s="12" t="str">
        <x:v>IVORY</x:v>
      </x:c>
      <x:c r="C1343" s="12" t="str">
        <x:v>Business / brand</x:v>
      </x:c>
      <x:c r="D1343" s="12" t="str">
        <x:v>Unresolved</x:v>
      </x:c>
      <x:c r="E1343" s="12" t="str">
        <x:v>Business activity not established</x:v>
      </x:c>
      <x:c r="F1343" s="12" t="str">
        <x:v>Mixed business audience</x:v>
      </x:c>
      <x:c r="G1343" s="12" t="str">
        <x:v>Business activity and company scale are not established from this name.</x:v>
      </x:c>
      <x:c r="H1343" s="11" t="n">
        <x:v>1</x:v>
      </x:c>
      <x:c r="I1343" s="11" t="n">
        <x:v>1</x:v>
      </x:c>
      <x:c r="J1343" s="11" t="n">
        <x:v>1</x:v>
      </x:c>
      <x:c r="K1343" s="11" t="n">
        <x:v>0</x:v>
      </x:c>
      <x:c r="L1343" s="17" t="n">
        <x:f>SUM(SUMIFS('Costing'!$P$9:$P$492,'Costing'!$A$9:$A$492,"MAIN-395"))</x:f>
        <x:v>15000</x:v>
      </x:c>
      <x:c r="M1343" s="17" t="n">
        <x:f>ROUND(L1343*'Costing'!$C$4,2)</x:f>
        <x:v>2700</x:v>
      </x:c>
      <x:c r="N1343" s="17" t="n">
        <x:f>L1343+M1343</x:f>
        <x:v>17700</x:v>
      </x:c>
      <x:c r="O1343" s="12" t="str">
        <x:v>Pune</x:v>
      </x:c>
      <x:c r="P1343" s="12" t="str">
        <x:v>CORP-0391</x:v>
      </x:c>
      <x:c r="Q1343" s="12" t="str">
        <x:v>IVORY</x:v>
      </x:c>
    </x:row>
    <x:row r="1344" ht="48" customHeight="1">
      <x:c r="A1344" s="2" t="str">
        <x:v>TEN-2167B7AB9B82</x:v>
      </x:c>
      <x:c r="B1344" s="12" t="str">
        <x:v>Ivy Comptech Meenakshi</x:v>
      </x:c>
      <x:c r="C1344" s="12" t="str">
        <x:v>Business / brand</x:v>
      </x:c>
      <x:c r="D1344" s="12" t="str">
        <x:v>IT &amp; digital</x:v>
      </x:c>
      <x:c r="E1344" s="12" t="str">
        <x:v>Enterprise software &amp; digital engineering</x:v>
      </x:c>
      <x:c r="F1344" s="12" t="str">
        <x:v>Mixed business audience</x:v>
      </x:c>
      <x:c r="G1344" s="12" t="str">
        <x:v>Established brand or business network; local company scale is not established. Use a mixed-business message.</x:v>
      </x:c>
      <x:c r="H1344" s="11" t="n">
        <x:v>1</x:v>
      </x:c>
      <x:c r="I1344" s="11" t="n">
        <x:v>2</x:v>
      </x:c>
      <x:c r="J1344" s="11" t="n">
        <x:v>2</x:v>
      </x:c>
      <x:c r="K1344" s="11" t="n">
        <x:v>0</x:v>
      </x:c>
      <x:c r="L1344" s="17" t="n">
        <x:f>SUM(SUMIFS('Costing'!$P$9:$P$492,'Costing'!$A$9:$A$492,"MAIN-237"))</x:f>
        <x:v>80000</x:v>
      </x:c>
      <x:c r="M1344" s="17" t="n">
        <x:f>ROUND(L1344*'Costing'!$C$4,2)</x:f>
        <x:v>14400</x:v>
      </x:c>
      <x:c r="N1344" s="17" t="n">
        <x:f>L1344+M1344</x:f>
        <x:v>94400</x:v>
      </x:c>
      <x:c r="O1344" s="12" t="str">
        <x:v>Hyderabad</x:v>
      </x:c>
      <x:c r="P1344" s="12" t="str">
        <x:v>CORP-0233</x:v>
      </x:c>
      <x:c r="Q1344" s="12" t="str">
        <x:v>Ivy Comptech Meenakshi</x:v>
      </x:c>
    </x:row>
    <x:row r="1345" ht="48" customHeight="1">
      <x:c r="A1345" s="2" t="str">
        <x:v>TEN-A0C3E5D27CA4</x:v>
      </x:c>
      <x:c r="B1345" s="12" t="str">
        <x:v>IVY groups</x:v>
      </x:c>
      <x:c r="C1345" s="12" t="str">
        <x:v>Business / brand</x:v>
      </x:c>
      <x:c r="D1345" s="12" t="str">
        <x:v>Unresolved</x:v>
      </x:c>
      <x:c r="E1345" s="12" t="str">
        <x:v>Business activity not established</x:v>
      </x:c>
      <x:c r="F1345" s="12" t="str">
        <x:v>Mixed business audience</x:v>
      </x:c>
      <x:c r="G1345" s="12" t="str">
        <x:v>Business activity and company scale are not established from this name.</x:v>
      </x:c>
      <x:c r="H1345" s="11" t="n">
        <x:v>2</x:v>
      </x:c>
      <x:c r="I1345" s="11" t="n">
        <x:v>23</x:v>
      </x:c>
      <x:c r="J1345" s="11" t="n">
        <x:v>23</x:v>
      </x:c>
      <x:c r="K1345" s="11" t="n">
        <x:v>0</x:v>
      </x:c>
      <x:c r="L1345" s="17" t="n">
        <x:f>SUM(SUMIFS('Costing'!$P$9:$P$492,'Costing'!$A$9:$A$492,"MAIN-238"),SUMIFS('Costing'!$P$9:$P$492,'Costing'!$A$9:$A$492,"MAIN-239"))</x:f>
        <x:v>405000</x:v>
      </x:c>
      <x:c r="M1345" s="17" t="n">
        <x:f>ROUND(L1345*'Costing'!$C$4,2)</x:f>
        <x:v>72900</x:v>
      </x:c>
      <x:c r="N1345" s="17" t="n">
        <x:f>L1345+M1345</x:f>
        <x:v>477900</x:v>
      </x:c>
      <x:c r="O1345" s="12" t="str">
        <x:v>Hyderabad</x:v>
      </x:c>
      <x:c r="P1345" s="12" t="str">
        <x:v>CORP-0234, CORP-0235</x:v>
      </x:c>
      <x:c r="Q1345" s="12" t="str">
        <x:v>IVY groups</x:v>
      </x:c>
    </x:row>
    <x:row r="1346" ht="48" customHeight="1">
      <x:c r="A1346" s="2" t="str">
        <x:v>TEN-FC6EA90A7528</x:v>
      </x:c>
      <x:c r="B1346" s="12" t="str">
        <x:v>IVY Mobility Solutions Ltd</x:v>
      </x:c>
      <x:c r="C1346" s="12" t="str">
        <x:v>Business / brand</x:v>
      </x:c>
      <x:c r="D1346" s="12" t="str">
        <x:v>IT &amp; digital</x:v>
      </x:c>
      <x:c r="E1346" s="12" t="str">
        <x:v>Enterprise software &amp; digital engineering</x:v>
      </x:c>
      <x:c r="F1346" s="12" t="str">
        <x:v>Small-scale prospects</x:v>
      </x:c>
      <x:c r="G1346" s="12" t="str">
        <x:v>Software or technology-services business; small-scale prospect assumption.</x:v>
      </x:c>
      <x:c r="H1346" s="11" t="n">
        <x:v>2</x:v>
      </x:c>
      <x:c r="I1346" s="11" t="n">
        <x:v>2</x:v>
      </x:c>
      <x:c r="J1346" s="11" t="n">
        <x:v>2</x:v>
      </x:c>
      <x:c r="K1346" s="11" t="n">
        <x:v>0</x:v>
      </x:c>
      <x:c r="L1346" s="17" t="n">
        <x:f>SUM(SUMIFS('Costing'!$P$9:$P$492,'Costing'!$A$9:$A$492,"PARTNER-M347"))</x:f>
        <x:v>80000</x:v>
      </x:c>
      <x:c r="M1346" s="17" t="n">
        <x:f>ROUND(L1346*'Costing'!$C$4,2)</x:f>
        <x:v>14400</x:v>
      </x:c>
      <x:c r="N1346" s="17" t="n">
        <x:f>L1346+M1346</x:f>
        <x:v>94400</x:v>
      </x:c>
      <x:c r="O1346" s="12" t="str">
        <x:v>Chennai</x:v>
      </x:c>
      <x:c r="P1346" s="12" t="str">
        <x:v>CORP-0761, CORP-0762</x:v>
      </x:c>
      <x:c r="Q1346" s="12" t="str">
        <x:v>IVY Mobility Solutions Ltd</x:v>
      </x:c>
    </x:row>
    <x:row r="1347" ht="48" customHeight="1">
      <x:c r="A1347" s="2" t="str">
        <x:v>TEN-F54AB844242B</x:v>
      </x:c>
      <x:c r="B1347" s="12" t="str">
        <x:v>Ixoraa</x:v>
      </x:c>
      <x:c r="C1347" s="12" t="str">
        <x:v>Business / brand</x:v>
      </x:c>
      <x:c r="D1347" s="12" t="str">
        <x:v>Unresolved</x:v>
      </x:c>
      <x:c r="E1347" s="12" t="str">
        <x:v>Business activity not established</x:v>
      </x:c>
      <x:c r="F1347" s="12" t="str">
        <x:v>Mixed business audience</x:v>
      </x:c>
      <x:c r="G1347" s="12" t="str">
        <x:v>Business activity and company scale are not established from this name.</x:v>
      </x:c>
      <x:c r="H1347" s="11" t="n">
        <x:v>2</x:v>
      </x:c>
      <x:c r="I1347" s="11" t="n">
        <x:v>3</x:v>
      </x:c>
      <x:c r="J1347" s="11" t="n">
        <x:v>3</x:v>
      </x:c>
      <x:c r="K1347" s="11" t="n">
        <x:v>0</x:v>
      </x:c>
      <x:c r="L1347" s="17" t="n">
        <x:f>SUM(SUMIFS('Costing'!$P$9:$P$492,'Costing'!$A$9:$A$492,"MAIN-284"),SUMIFS('Costing'!$P$9:$P$492,'Costing'!$A$9:$A$492,"MAIN-285"))</x:f>
        <x:v>45000</x:v>
      </x:c>
      <x:c r="M1347" s="17" t="n">
        <x:f>ROUND(L1347*'Costing'!$C$4,2)</x:f>
        <x:v>8100</x:v>
      </x:c>
      <x:c r="N1347" s="17" t="n">
        <x:f>L1347+M1347</x:f>
        <x:v>53100</x:v>
      </x:c>
      <x:c r="O1347" s="12" t="str">
        <x:v>Kolkata</x:v>
      </x:c>
      <x:c r="P1347" s="12" t="str">
        <x:v>CORP-0280, CORP-0281</x:v>
      </x:c>
      <x:c r="Q1347" s="12" t="str">
        <x:v>Ixoraa</x:v>
      </x:c>
    </x:row>
    <x:row r="1348" ht="48" customHeight="1">
      <x:c r="A1348" s="2" t="str">
        <x:v>TEN-7382C89C2DDF</x:v>
      </x:c>
      <x:c r="B1348" s="12" t="str">
        <x:v>J K Enterprises</x:v>
      </x:c>
      <x:c r="C1348" s="12" t="str">
        <x:v>Business / brand</x:v>
      </x:c>
      <x:c r="D1348" s="12" t="str">
        <x:v>Unresolved</x:v>
      </x:c>
      <x:c r="E1348" s="12" t="str">
        <x:v>Business activity not established</x:v>
      </x:c>
      <x:c r="F1348" s="12" t="str">
        <x:v>Mixed business audience</x:v>
      </x:c>
      <x:c r="G1348" s="12" t="str">
        <x:v>Business activity and company scale are not established from this name.</x:v>
      </x:c>
      <x:c r="H1348" s="11" t="n">
        <x:v>1</x:v>
      </x:c>
      <x:c r="I1348" s="11" t="n">
        <x:v>4</x:v>
      </x:c>
      <x:c r="J1348" s="11" t="n">
        <x:v>4</x:v>
      </x:c>
      <x:c r="K1348" s="11" t="n">
        <x:v>0</x:v>
      </x:c>
      <x:c r="L1348" s="17" t="n">
        <x:f>SUM(SUMIFS('Costing'!$P$9:$P$492,'Costing'!$A$9:$A$492,"MAIN-153"))</x:f>
        <x:v>80000</x:v>
      </x:c>
      <x:c r="M1348" s="17" t="n">
        <x:f>ROUND(L1348*'Costing'!$C$4,2)</x:f>
        <x:v>14400</x:v>
      </x:c>
      <x:c r="N1348" s="17" t="n">
        <x:f>L1348+M1348</x:f>
        <x:v>94400</x:v>
      </x:c>
      <x:c r="O1348" s="12" t="str">
        <x:v>Chennai</x:v>
      </x:c>
      <x:c r="P1348" s="12" t="str">
        <x:v>CORP-0149</x:v>
      </x:c>
      <x:c r="Q1348" s="12" t="str">
        <x:v>J K Enterprises</x:v>
      </x:c>
    </x:row>
    <x:row r="1349" ht="62" customHeight="1">
      <x:c r="A1349" s="2" t="str">
        <x:v>TEN-8217BB19EBF1</x:v>
      </x:c>
      <x:c r="B1349" s="12" t="str">
        <x:v>J.P. Morgan</x:v>
      </x:c>
      <x:c r="C1349" s="12" t="str">
        <x:v>Business / brand</x:v>
      </x:c>
      <x:c r="D1349" s="12" t="str">
        <x:v>Finance &amp; insurance</x:v>
      </x:c>
      <x:c r="E1349" s="12" t="str">
        <x:v>Financial services — specialty unverified</x:v>
      </x:c>
      <x:c r="F1349" s="12" t="str">
        <x:v>Large enterprise</x:v>
      </x:c>
      <x:c r="G1349" s="12" t="str">
        <x:v>Official global banking and financial-services group profile; exact legal records remain separate.</x:v>
      </x:c>
      <x:c r="H1349" s="11" t="n">
        <x:v>18</x:v>
      </x:c>
      <x:c r="I1349" s="11" t="n">
        <x:v>19</x:v>
      </x:c>
      <x:c r="J1349" s="11" t="n">
        <x:v>19</x:v>
      </x:c>
      <x:c r="K1349" s="11" t="n">
        <x:v>0</x:v>
      </x:c>
      <x:c r="L1349" s="17" t="n">
        <x:f>SUM(SUMIFS('Costing'!$P$9:$P$492,'Costing'!$A$9:$A$492,"MAIN-293"),SUMIFS('Costing'!$P$9:$P$492,'Costing'!$A$9:$A$492,"MAIN-336"),SUMIFS('Costing'!$P$9:$P$492,'Costing'!$A$9:$A$492,"PARTNER-M039"),SUMIFS('Costing'!$P$9:$P$492,'Costing'!$A$9:$A$492,"PARTNER-M014"))</x:f>
        <x:v>760000</x:v>
      </x:c>
      <x:c r="M1349" s="17" t="n">
        <x:f>ROUND(L1349*'Costing'!$C$4,2)</x:f>
        <x:v>136800</x:v>
      </x:c>
      <x:c r="N1349" s="17" t="n">
        <x:f>L1349+M1349</x:f>
        <x:v>896800</x:v>
      </x:c>
      <x:c r="O1349" s="12" t="str">
        <x:v>Mumbai, Bengaluru</x:v>
      </x:c>
      <x:c r="P1349" s="12" t="str">
        <x:v>CORP-0289, CORP-0332, CORP-0432, CORP-0433, CORP-0434, CORP-0435, CORP-0436, CORP-0437, CORP-0438, CORP-0439, CORP-0440, CORP-0441, CORP-0457, CORP-0458, CORP-0459, CORP-0460, CORP-0461, CORP-0462</x:v>
      </x:c>
      <x:c r="Q1349" s="12" t="str">
        <x:v>J.P. Morgan, JP Morgan</x:v>
      </x:c>
    </x:row>
    <x:row r="1350" ht="48" customHeight="1">
      <x:c r="A1350" s="2" t="str">
        <x:v>TEN-EF8161E9BFF2</x:v>
      </x:c>
      <x:c r="B1350" s="12" t="str">
        <x:v>Jacobs Solutions India Pvt. Ltd</x:v>
      </x:c>
      <x:c r="C1350" s="12" t="str">
        <x:v>Business / brand</x:v>
      </x:c>
      <x:c r="D1350" s="12" t="str">
        <x:v>Engineering &amp; manufacturing</x:v>
      </x:c>
      <x:c r="E1350" s="12" t="str">
        <x:v>Engineering/manufacturing — specialty unverified</x:v>
      </x:c>
      <x:c r="F1350" s="12" t="str">
        <x:v>Mixed business audience</x:v>
      </x:c>
      <x:c r="G1350" s="12" t="str">
        <x:v>Recognisable business context; company-scale evidence remains insufficient for a single size band.</x:v>
      </x:c>
      <x:c r="H1350" s="11" t="n">
        <x:v>4</x:v>
      </x:c>
      <x:c r="I1350" s="11" t="n">
        <x:v>4</x:v>
      </x:c>
      <x:c r="J1350" s="11" t="n">
        <x:v>4</x:v>
      </x:c>
      <x:c r="K1350" s="11" t="n">
        <x:v>0</x:v>
      </x:c>
      <x:c r="L1350" s="17" t="n">
        <x:f>SUM(SUMIFS('Costing'!$P$9:$P$492,'Costing'!$A$9:$A$492,"PARTNER-M193"))</x:f>
        <x:v>160000</x:v>
      </x:c>
      <x:c r="M1350" s="17" t="n">
        <x:f>ROUND(L1350*'Costing'!$C$4,2)</x:f>
        <x:v>28800</x:v>
      </x:c>
      <x:c r="N1350" s="17" t="n">
        <x:f>L1350+M1350</x:f>
        <x:v>188800</x:v>
      </x:c>
      <x:c r="O1350" s="12" t="str">
        <x:v>Mumbai</x:v>
      </x:c>
      <x:c r="P1350" s="12" t="str">
        <x:v>CORP-0610, CORP-0611, CORP-0612, CORP-0613</x:v>
      </x:c>
      <x:c r="Q1350" s="12" t="str">
        <x:v>Jacobs Solutions India Pvt. Ltd</x:v>
      </x:c>
    </x:row>
    <x:row r="1351" ht="48" customHeight="1">
      <x:c r="A1351" s="2" t="str">
        <x:v>TEN-F6941EA19143</x:v>
      </x:c>
      <x:c r="B1351" s="12" t="str">
        <x:v>Jade Global</x:v>
      </x:c>
      <x:c r="C1351" s="12" t="str">
        <x:v>Business / brand</x:v>
      </x:c>
      <x:c r="D1351" s="12" t="str">
        <x:v>IT &amp; digital</x:v>
      </x:c>
      <x:c r="E1351" s="12" t="str">
        <x:v>Enterprise software &amp; digital engineering</x:v>
      </x:c>
      <x:c r="F1351" s="12" t="str">
        <x:v>Mixed business audience</x:v>
      </x:c>
      <x:c r="G1351" s="12" t="str">
        <x:v>Established brand or business network; local company scale is not established. Use a mixed-business message.</x:v>
      </x:c>
      <x:c r="H1351" s="11" t="n">
        <x:v>1</x:v>
      </x:c>
      <x:c r="I1351" s="11" t="n">
        <x:v>2</x:v>
      </x:c>
      <x:c r="J1351" s="11" t="n">
        <x:v>2</x:v>
      </x:c>
      <x:c r="K1351" s="11" t="n">
        <x:v>0</x:v>
      </x:c>
      <x:c r="L1351" s="17" t="n">
        <x:f>SUM(SUMIFS('Costing'!$P$9:$P$492,'Costing'!$A$9:$A$492,"MAIN-283"))</x:f>
        <x:v>30000</x:v>
      </x:c>
      <x:c r="M1351" s="17" t="n">
        <x:f>ROUND(L1351*'Costing'!$C$4,2)</x:f>
        <x:v>5400</x:v>
      </x:c>
      <x:c r="N1351" s="17" t="n">
        <x:f>L1351+M1351</x:f>
        <x:v>35400</x:v>
      </x:c>
      <x:c r="O1351" s="12" t="str">
        <x:v>Kolkata</x:v>
      </x:c>
      <x:c r="P1351" s="12" t="str">
        <x:v>CORP-0279</x:v>
      </x:c>
      <x:c r="Q1351" s="12" t="str">
        <x:v>Jade Global</x:v>
      </x:c>
    </x:row>
    <x:row r="1352" ht="48" customHeight="1">
      <x:c r="A1352" s="2" t="str">
        <x:v>TEN-B94381F67943</x:v>
      </x:c>
      <x:c r="B1352" s="12" t="str">
        <x:v>Jade Global Software Pvt</x:v>
      </x:c>
      <x:c r="C1352" s="12" t="str">
        <x:v>Business / brand</x:v>
      </x:c>
      <x:c r="D1352" s="12" t="str">
        <x:v>IT &amp; digital</x:v>
      </x:c>
      <x:c r="E1352" s="12" t="str">
        <x:v>Enterprise software &amp; digital engineering</x:v>
      </x:c>
      <x:c r="F1352" s="12" t="str">
        <x:v>Mixed business audience</x:v>
      </x:c>
      <x:c r="G1352" s="12" t="str">
        <x:v>Established brand or business network; local company scale is not established. Use a mixed-business message.</x:v>
      </x:c>
      <x:c r="H1352" s="11" t="n">
        <x:v>4</x:v>
      </x:c>
      <x:c r="I1352" s="11" t="n">
        <x:v>4</x:v>
      </x:c>
      <x:c r="J1352" s="11" t="n">
        <x:v>4</x:v>
      </x:c>
      <x:c r="K1352" s="11" t="n">
        <x:v>0</x:v>
      </x:c>
      <x:c r="L1352" s="17" t="n">
        <x:f>SUM(SUMIFS('Costing'!$P$9:$P$492,'Costing'!$A$9:$A$492,"PARTNER-M273"))</x:f>
        <x:v>160000</x:v>
      </x:c>
      <x:c r="M1352" s="17" t="n">
        <x:f>ROUND(L1352*'Costing'!$C$4,2)</x:f>
        <x:v>28800</x:v>
      </x:c>
      <x:c r="N1352" s="17" t="n">
        <x:f>L1352+M1352</x:f>
        <x:v>188800</x:v>
      </x:c>
      <x:c r="O1352" s="12" t="str">
        <x:v>Pune</x:v>
      </x:c>
      <x:c r="P1352" s="12" t="str">
        <x:v>CORP-0689, CORP-0690, CORP-0691, CORP-0692</x:v>
      </x:c>
      <x:c r="Q1352" s="12" t="str">
        <x:v>Jade Global Software Pvt</x:v>
      </x:c>
    </x:row>
    <x:row r="1353" ht="48" customHeight="1">
      <x:c r="A1353" s="2" t="str">
        <x:v>TEN-32D5FF7368CA</x:v>
      </x:c>
      <x:c r="B1353" s="12" t="str">
        <x:v>Jade Global Software Pvt. Ltd</x:v>
      </x:c>
      <x:c r="C1353" s="12" t="str">
        <x:v>Business / brand</x:v>
      </x:c>
      <x:c r="D1353" s="12" t="str">
        <x:v>IT &amp; digital</x:v>
      </x:c>
      <x:c r="E1353" s="12" t="str">
        <x:v>Enterprise software &amp; digital engineering</x:v>
      </x:c>
      <x:c r="F1353" s="12" t="str">
        <x:v>Mixed business audience</x:v>
      </x:c>
      <x:c r="G1353" s="12" t="str">
        <x:v>Established brand or business network; local company scale is not established. Use a mixed-business message.</x:v>
      </x:c>
      <x:c r="H1353" s="11" t="n">
        <x:v>6</x:v>
      </x:c>
      <x:c r="I1353" s="11" t="n">
        <x:v>9</x:v>
      </x:c>
      <x:c r="J1353" s="11" t="n">
        <x:v>9</x:v>
      </x:c>
      <x:c r="K1353" s="11" t="n">
        <x:v>0</x:v>
      </x:c>
      <x:c r="L1353" s="17" t="n">
        <x:f>SUM(SUMIFS('Costing'!$P$9:$P$492,'Costing'!$A$9:$A$492,"MAIN-403"),SUMIFS('Costing'!$P$9:$P$492,'Costing'!$A$9:$A$492,"PARTNER-M312"))</x:f>
        <x:v>280000</x:v>
      </x:c>
      <x:c r="M1353" s="17" t="n">
        <x:f>ROUND(L1353*'Costing'!$C$4,2)</x:f>
        <x:v>50400</x:v>
      </x:c>
      <x:c r="N1353" s="17" t="n">
        <x:f>L1353+M1353</x:f>
        <x:v>330400</x:v>
      </x:c>
      <x:c r="O1353" s="12" t="str">
        <x:v>Pune, Hyderabad</x:v>
      </x:c>
      <x:c r="P1353" s="12" t="str">
        <x:v>CORP-0399, CORP-0727, CORP-0728, CORP-0729, CORP-0730, CORP-0731</x:v>
      </x:c>
      <x:c r="Q1353" s="12" t="str">
        <x:v>Jade Global Software Pvt. Ltd, Jade Global Software Pvt Ltd</x:v>
      </x:c>
    </x:row>
    <x:row r="1354" ht="48" customHeight="1">
      <x:c r="A1354" s="2" t="str">
        <x:v>TEN-F5DB59F358F0</x:v>
      </x:c>
      <x:c r="B1354" s="12" t="str">
        <x:v>JadeBlue</x:v>
      </x:c>
      <x:c r="C1354" s="12" t="str">
        <x:v>Business / brand</x:v>
      </x:c>
      <x:c r="D1354" s="12" t="str">
        <x:v>Trade, consumer &amp; logistics</x:v>
      </x:c>
      <x:c r="E1354" s="12" t="str">
        <x:v>Retail, consumer products &amp; ecommerce</x:v>
      </x:c>
      <x:c r="F1354" s="12" t="str">
        <x:v>Mixed business audience</x:v>
      </x:c>
      <x:c r="G1354" s="12" t="str">
        <x:v>Established brand or business network; local company scale is not established. Use a mixed-business message.</x:v>
      </x:c>
      <x:c r="H1354" s="11" t="n">
        <x:v>1</x:v>
      </x:c>
      <x:c r="I1354" s="11" t="n">
        <x:v>1</x:v>
      </x:c>
      <x:c r="J1354" s="11" t="n">
        <x:v>1</x:v>
      </x:c>
      <x:c r="K1354" s="11" t="n">
        <x:v>0</x:v>
      </x:c>
      <x:c r="L1354" s="17" t="n">
        <x:f>SUM(SUMIFS('Costing'!$P$9:$P$492,'Costing'!$A$9:$A$492,"MAIN-275"))</x:f>
        <x:v>40000</x:v>
      </x:c>
      <x:c r="M1354" s="17" t="n">
        <x:f>ROUND(L1354*'Costing'!$C$4,2)</x:f>
        <x:v>7200</x:v>
      </x:c>
      <x:c r="N1354" s="17" t="n">
        <x:f>L1354+M1354</x:f>
        <x:v>47200</x:v>
      </x:c>
      <x:c r="O1354" s="12" t="str">
        <x:v>Indore</x:v>
      </x:c>
      <x:c r="P1354" s="12" t="str">
        <x:v>CORP-0271</x:v>
      </x:c>
      <x:c r="Q1354" s="12" t="str">
        <x:v>JadeBlue</x:v>
      </x:c>
    </x:row>
    <x:row r="1355" ht="75" customHeight="1">
      <x:c r="A1355" s="2" t="str">
        <x:v>TEN-ADF3ECE39127</x:v>
      </x:c>
      <x:c r="B1355" s="12" t="str">
        <x:v>Jaimin Shah &amp; Associates</x:v>
      </x:c>
      <x:c r="C1355" s="12" t="str">
        <x:v>Business / brand</x:v>
      </x:c>
      <x:c r="D1355" s="12" t="str">
        <x:v>Professional services</x:v>
      </x:c>
      <x:c r="E1355" s="12" t="str">
        <x:v>Accounting, tax &amp; audit</x:v>
      </x:c>
      <x:c r="F1355" s="12" t="str">
        <x:v>Micro-scale prospects</x:v>
      </x:c>
      <x:c r="G1355" s="12" t="str">
        <x:v>Indicative owner-led professional-practice audience. The official firm page describes a proprietorship started by CA Jaimin B. Shah and two local offices in Ahmedabad/Dehgam. The Micro-scale label reflects the practice model; no numeric workforce band is established.</x:v>
      </x:c>
      <x:c r="H1355" s="11" t="n">
        <x:v>1</x:v>
      </x:c>
      <x:c r="I1355" s="11" t="n">
        <x:v>2</x:v>
      </x:c>
      <x:c r="J1355" s="11" t="n">
        <x:v>2</x:v>
      </x:c>
      <x:c r="K1355" s="11" t="n">
        <x:v>0</x:v>
      </x:c>
      <x:c r="L1355" s="17" t="n">
        <x:f>SUM(SUMIFS('Costing'!$P$9:$P$492,'Costing'!$A$9:$A$492,"MAIN-007"))</x:f>
        <x:v>30000</x:v>
      </x:c>
      <x:c r="M1355" s="17" t="n">
        <x:f>ROUND(L1355*'Costing'!$C$4,2)</x:f>
        <x:v>5400</x:v>
      </x:c>
      <x:c r="N1355" s="17" t="n">
        <x:f>L1355+M1355</x:f>
        <x:v>35400</x:v>
      </x:c>
      <x:c r="O1355" s="12" t="str">
        <x:v>Ahmedabad</x:v>
      </x:c>
      <x:c r="P1355" s="12" t="str">
        <x:v>CORP-0003</x:v>
      </x:c>
      <x:c r="Q1355" s="12" t="str">
        <x:v>Jaimin Shah &amp; Associates</x:v>
      </x:c>
    </x:row>
    <x:row r="1356" ht="48" customHeight="1">
      <x:c r="A1356" s="2" t="str">
        <x:v>TEN-521F2A24ED8E</x:v>
      </x:c>
      <x:c r="B1356" s="12" t="str">
        <x:v>Jain Pravin &amp; Associates</x:v>
      </x:c>
      <x:c r="C1356" s="12" t="str">
        <x:v>Business / brand</x:v>
      </x:c>
      <x:c r="D1356" s="12" t="str">
        <x:v>Unresolved</x:v>
      </x:c>
      <x:c r="E1356" s="12" t="str">
        <x:v>Business activity not established</x:v>
      </x:c>
      <x:c r="F1356" s="12" t="str">
        <x:v>Mixed business audience</x:v>
      </x:c>
      <x:c r="G1356" s="12" t="str">
        <x:v>Business activity and company scale are not established from this name.</x:v>
      </x:c>
      <x:c r="H1356" s="11" t="n">
        <x:v>1</x:v>
      </x:c>
      <x:c r="I1356" s="11" t="n">
        <x:v>2</x:v>
      </x:c>
      <x:c r="J1356" s="11" t="n">
        <x:v>2</x:v>
      </x:c>
      <x:c r="K1356" s="11" t="n">
        <x:v>0</x:v>
      </x:c>
      <x:c r="L1356" s="17" t="n">
        <x:f>SUM(SUMIFS('Costing'!$P$9:$P$492,'Costing'!$A$9:$A$492,"MAIN-268"))</x:f>
        <x:v>80000</x:v>
      </x:c>
      <x:c r="M1356" s="17" t="n">
        <x:f>ROUND(L1356*'Costing'!$C$4,2)</x:f>
        <x:v>14400</x:v>
      </x:c>
      <x:c r="N1356" s="17" t="n">
        <x:f>L1356+M1356</x:f>
        <x:v>94400</x:v>
      </x:c>
      <x:c r="O1356" s="12" t="str">
        <x:v>Indore</x:v>
      </x:c>
      <x:c r="P1356" s="12" t="str">
        <x:v>CORP-0264</x:v>
      </x:c>
      <x:c r="Q1356" s="12" t="str">
        <x:v>Jain Pravin &amp; Associates</x:v>
      </x:c>
    </x:row>
    <x:row r="1357" ht="48" customHeight="1">
      <x:c r="A1357" s="2" t="str">
        <x:v>TEN-752C9AB593B6</x:v>
      </x:c>
      <x:c r="B1357" s="12" t="str">
        <x:v>Janizga Spa</x:v>
      </x:c>
      <x:c r="C1357" s="12" t="str">
        <x:v>Business / brand</x:v>
      </x:c>
      <x:c r="D1357" s="12" t="str">
        <x:v>Trade, consumer &amp; logistics</x:v>
      </x:c>
      <x:c r="E1357" s="12" t="str">
        <x:v>Retail, consumer products &amp; ecommerce</x:v>
      </x:c>
      <x:c r="F1357" s="12" t="str">
        <x:v>Small-scale prospects</x:v>
      </x:c>
      <x:c r="G1357" s="12" t="str">
        <x:v>Trading or consumer-services business; small-scale prospect assumption.</x:v>
      </x:c>
      <x:c r="H1357" s="11" t="n">
        <x:v>1</x:v>
      </x:c>
      <x:c r="I1357" s="11" t="n">
        <x:v>2</x:v>
      </x:c>
      <x:c r="J1357" s="11" t="n">
        <x:v>2</x:v>
      </x:c>
      <x:c r="K1357" s="11" t="n">
        <x:v>0</x:v>
      </x:c>
      <x:c r="L1357" s="17" t="n">
        <x:f>SUM(SUMIFS('Costing'!$P$9:$P$492,'Costing'!$A$9:$A$492,"MAIN-419"))</x:f>
        <x:v>50000</x:v>
      </x:c>
      <x:c r="M1357" s="17" t="n">
        <x:f>ROUND(L1357*'Costing'!$C$4,2)</x:f>
        <x:v>9000</x:v>
      </x:c>
      <x:c r="N1357" s="17" t="n">
        <x:f>L1357+M1357</x:f>
        <x:v>59000</x:v>
      </x:c>
      <x:c r="O1357" s="12" t="str">
        <x:v>Pune</x:v>
      </x:c>
      <x:c r="P1357" s="12" t="str">
        <x:v>CORP-0415</x:v>
      </x:c>
      <x:c r="Q1357" s="12" t="str">
        <x:v>Janizga Spa</x:v>
      </x:c>
    </x:row>
    <x:row r="1358" ht="48" customHeight="1">
      <x:c r="A1358" s="2" t="str">
        <x:v>TEN-342144404B2C</x:v>
      </x:c>
      <x:c r="B1358" s="12" t="str">
        <x:v>JC Ventures</x:v>
      </x:c>
      <x:c r="C1358" s="12" t="str">
        <x:v>Business / brand</x:v>
      </x:c>
      <x:c r="D1358" s="12" t="str">
        <x:v>Unresolved</x:v>
      </x:c>
      <x:c r="E1358" s="12" t="str">
        <x:v>Business activity not established</x:v>
      </x:c>
      <x:c r="F1358" s="12" t="str">
        <x:v>Mixed business audience</x:v>
      </x:c>
      <x:c r="G1358" s="12" t="str">
        <x:v>Business activity and company scale are not established from this name.</x:v>
      </x:c>
      <x:c r="H1358" s="11" t="n">
        <x:v>1</x:v>
      </x:c>
      <x:c r="I1358" s="11" t="n">
        <x:v>1</x:v>
      </x:c>
      <x:c r="J1358" s="11" t="n">
        <x:v>1</x:v>
      </x:c>
      <x:c r="K1358" s="11" t="n">
        <x:v>0</x:v>
      </x:c>
      <x:c r="L1358" s="17" t="n">
        <x:f>SUM(SUMIFS('Costing'!$P$9:$P$492,'Costing'!$A$9:$A$492,"MAIN-275"))</x:f>
        <x:v>40000</x:v>
      </x:c>
      <x:c r="M1358" s="17" t="n">
        <x:f>ROUND(L1358*'Costing'!$C$4,2)</x:f>
        <x:v>7200</x:v>
      </x:c>
      <x:c r="N1358" s="17" t="n">
        <x:f>L1358+M1358</x:f>
        <x:v>47200</x:v>
      </x:c>
      <x:c r="O1358" s="12" t="str">
        <x:v>Indore</x:v>
      </x:c>
      <x:c r="P1358" s="12" t="str">
        <x:v>CORP-0271</x:v>
      </x:c>
      <x:c r="Q1358" s="12" t="str">
        <x:v>JC Ventures</x:v>
      </x:c>
    </x:row>
    <x:row r="1359" ht="49" customHeight="1">
      <x:c r="A1359" s="2" t="str">
        <x:v>TEN-A9F65BF11B3A</x:v>
      </x:c>
      <x:c r="B1359" s="12" t="str">
        <x:v>JCPenney</x:v>
      </x:c>
      <x:c r="C1359" s="12" t="str">
        <x:v>Business / brand</x:v>
      </x:c>
      <x:c r="D1359" s="12" t="str">
        <x:v>Trade, consumer &amp; logistics</x:v>
      </x:c>
      <x:c r="E1359" s="12" t="str">
        <x:v>Retail, consumer products &amp; ecommerce</x:v>
      </x:c>
      <x:c r="F1359" s="12" t="str">
        <x:v>Large enterprise</x:v>
      </x:c>
      <x:c r="G1359" s="12" t="str">
        <x:v>JCPenney describes a nationwide retail chain with more than 50,000 associates worldwide. Large-enterprise campaign context; no statutory MSME status asserted.</x:v>
      </x:c>
      <x:c r="H1359" s="11" t="n">
        <x:v>5</x:v>
      </x:c>
      <x:c r="I1359" s="11" t="n">
        <x:v>5</x:v>
      </x:c>
      <x:c r="J1359" s="11" t="n">
        <x:v>5</x:v>
      </x:c>
      <x:c r="K1359" s="11" t="n">
        <x:v>0</x:v>
      </x:c>
      <x:c r="L1359" s="17" t="n">
        <x:f>SUM(SUMIFS('Costing'!$P$9:$P$492,'Costing'!$A$9:$A$492,"PARTNER-M051"))</x:f>
        <x:v>200000</x:v>
      </x:c>
      <x:c r="M1359" s="17" t="n">
        <x:f>ROUND(L1359*'Costing'!$C$4,2)</x:f>
        <x:v>36000</x:v>
      </x:c>
      <x:c r="N1359" s="17" t="n">
        <x:f>L1359+M1359</x:f>
        <x:v>236000</x:v>
      </x:c>
      <x:c r="O1359" s="12" t="str">
        <x:v>Bengaluru</x:v>
      </x:c>
      <x:c r="P1359" s="12" t="str">
        <x:v>CORP-0469, CORP-0470, CORP-0471, CORP-0472, CORP-0473</x:v>
      </x:c>
      <x:c r="Q1359" s="12" t="str">
        <x:v>JCPenney</x:v>
      </x:c>
    </x:row>
    <x:row r="1360" ht="48" customHeight="1">
      <x:c r="A1360" s="2" t="str">
        <x:v>TEN-FE468748B896</x:v>
      </x:c>
      <x:c r="B1360" s="12" t="str">
        <x:v>JD Sports Fashion India LLP</x:v>
      </x:c>
      <x:c r="C1360" s="12" t="str">
        <x:v>Business / brand</x:v>
      </x:c>
      <x:c r="D1360" s="12" t="str">
        <x:v>Trade, consumer &amp; logistics</x:v>
      </x:c>
      <x:c r="E1360" s="12" t="str">
        <x:v>Retail, consumer products &amp; ecommerce</x:v>
      </x:c>
      <x:c r="F1360" s="12" t="str">
        <x:v>Mixed business audience</x:v>
      </x:c>
      <x:c r="G1360" s="12" t="str">
        <x:v>Established brand or business network; local company scale is not established. Use a mixed-business message.</x:v>
      </x:c>
      <x:c r="H1360" s="11" t="n">
        <x:v>1</x:v>
      </x:c>
      <x:c r="I1360" s="11" t="n">
        <x:v>3</x:v>
      </x:c>
      <x:c r="J1360" s="11" t="n">
        <x:v>3</x:v>
      </x:c>
      <x:c r="K1360" s="11" t="n">
        <x:v>0</x:v>
      </x:c>
      <x:c r="L1360" s="17" t="n">
        <x:f>SUM(SUMIFS('Costing'!$P$9:$P$492,'Costing'!$A$9:$A$492,"MAIN-255"))</x:f>
        <x:v>45000</x:v>
      </x:c>
      <x:c r="M1360" s="17" t="n">
        <x:f>ROUND(L1360*'Costing'!$C$4,2)</x:f>
        <x:v>8100</x:v>
      </x:c>
      <x:c r="N1360" s="17" t="n">
        <x:f>L1360+M1360</x:f>
        <x:v>53100</x:v>
      </x:c>
      <x:c r="O1360" s="12" t="str">
        <x:v>Hyderabad</x:v>
      </x:c>
      <x:c r="P1360" s="12" t="str">
        <x:v>CORP-0251</x:v>
      </x:c>
      <x:c r="Q1360" s="12" t="str">
        <x:v>JD Sports Fashion India LLP</x:v>
      </x:c>
    </x:row>
    <x:row r="1361" ht="48" customHeight="1">
      <x:c r="A1361" s="2" t="str">
        <x:v>TEN-01BAB972A90E</x:v>
      </x:c>
      <x:c r="B1361" s="12" t="str">
        <x:v>JDA Software</x:v>
      </x:c>
      <x:c r="C1361" s="12" t="str">
        <x:v>Business / brand</x:v>
      </x:c>
      <x:c r="D1361" s="12" t="str">
        <x:v>IT &amp; digital</x:v>
      </x:c>
      <x:c r="E1361" s="12" t="str">
        <x:v>Enterprise software &amp; digital engineering</x:v>
      </x:c>
      <x:c r="F1361" s="12" t="str">
        <x:v>Mixed business audience</x:v>
      </x:c>
      <x:c r="G1361" s="12" t="str">
        <x:v>Established brand or business network; local company scale is not established. Use a mixed-business message.</x:v>
      </x:c>
      <x:c r="H1361" s="11" t="n">
        <x:v>1</x:v>
      </x:c>
      <x:c r="I1361" s="11" t="n">
        <x:v>3</x:v>
      </x:c>
      <x:c r="J1361" s="11" t="n">
        <x:v>3</x:v>
      </x:c>
      <x:c r="K1361" s="11" t="n">
        <x:v>0</x:v>
      </x:c>
      <x:c r="L1361" s="17" t="n">
        <x:f>SUM(SUMIFS('Costing'!$P$9:$P$492,'Costing'!$A$9:$A$492,"MAIN-255"))</x:f>
        <x:v>45000</x:v>
      </x:c>
      <x:c r="M1361" s="17" t="n">
        <x:f>ROUND(L1361*'Costing'!$C$4,2)</x:f>
        <x:v>8100</x:v>
      </x:c>
      <x:c r="N1361" s="17" t="n">
        <x:f>L1361+M1361</x:f>
        <x:v>53100</x:v>
      </x:c>
      <x:c r="O1361" s="12" t="str">
        <x:v>Hyderabad</x:v>
      </x:c>
      <x:c r="P1361" s="12" t="str">
        <x:v>CORP-0251</x:v>
      </x:c>
      <x:c r="Q1361" s="12" t="str">
        <x:v>JDA Software</x:v>
      </x:c>
    </x:row>
    <x:row r="1362" ht="48" customHeight="1">
      <x:c r="A1362" s="2" t="str">
        <x:v>TEN-0A8BCA93EB03</x:v>
      </x:c>
      <x:c r="B1362" s="12" t="str">
        <x:v>JFE SHOJI INDIA PVT LTD. Gurgram Branch</x:v>
      </x:c>
      <x:c r="C1362" s="12" t="str">
        <x:v>Business / brand</x:v>
      </x:c>
      <x:c r="D1362" s="12" t="str">
        <x:v>Engineering &amp; manufacturing</x:v>
      </x:c>
      <x:c r="E1362" s="12" t="str">
        <x:v>Electronics, industrial systems &amp; manufacturing</x:v>
      </x:c>
      <x:c r="F1362" s="12" t="str">
        <x:v>Mixed business audience</x:v>
      </x:c>
      <x:c r="G1362" s="12" t="str">
        <x:v>Established brand or business network; local company scale is not established. Use a mixed-business message.</x:v>
      </x:c>
      <x:c r="H1362" s="11" t="n">
        <x:v>1</x:v>
      </x:c>
      <x:c r="I1362" s="11" t="n">
        <x:v>2</x:v>
      </x:c>
      <x:c r="J1362" s="11" t="n">
        <x:v>2</x:v>
      </x:c>
      <x:c r="K1362" s="11" t="n">
        <x:v>0</x:v>
      </x:c>
      <x:c r="L1362" s="17" t="n">
        <x:f>SUM(SUMIFS('Costing'!$P$9:$P$492,'Costing'!$A$9:$A$492,"MAIN-207"))</x:f>
        <x:v>80000</x:v>
      </x:c>
      <x:c r="M1362" s="17" t="n">
        <x:f>ROUND(L1362*'Costing'!$C$4,2)</x:f>
        <x:v>14400</x:v>
      </x:c>
      <x:c r="N1362" s="17" t="n">
        <x:f>L1362+M1362</x:f>
        <x:v>94400</x:v>
      </x:c>
      <x:c r="O1362" s="12" t="str">
        <x:v>Delhi NCR</x:v>
      </x:c>
      <x:c r="P1362" s="12" t="str">
        <x:v>CORP-0203</x:v>
      </x:c>
      <x:c r="Q1362" s="12" t="str">
        <x:v>JFE SHOJI INDIA PVT LTD. Gurgram Branch</x:v>
      </x:c>
    </x:row>
    <x:row r="1363" ht="48" customHeight="1">
      <x:c r="A1363" s="2" t="str">
        <x:v>TEN-B4806FD1AEE1</x:v>
      </x:c>
      <x:c r="B1363" s="12" t="str">
        <x:v>JGC Construction International Pte Ltd</x:v>
      </x:c>
      <x:c r="C1363" s="12" t="str">
        <x:v>Business / brand</x:v>
      </x:c>
      <x:c r="D1363" s="12" t="str">
        <x:v>Engineering &amp; manufacturing</x:v>
      </x:c>
      <x:c r="E1363" s="12" t="str">
        <x:v>Engineering/manufacturing — specialty unverified</x:v>
      </x:c>
      <x:c r="F1363" s="12" t="str">
        <x:v>Mixed business audience</x:v>
      </x:c>
      <x:c r="G1363" s="12" t="str">
        <x:v>Established brand or business network; local company scale is not established. Use a mixed-business message.</x:v>
      </x:c>
      <x:c r="H1363" s="11" t="n">
        <x:v>1</x:v>
      </x:c>
      <x:c r="I1363" s="11" t="n">
        <x:v>12</x:v>
      </x:c>
      <x:c r="J1363" s="11" t="n">
        <x:v>12</x:v>
      </x:c>
      <x:c r="K1363" s="11" t="n">
        <x:v>0</x:v>
      </x:c>
      <x:c r="L1363" s="17" t="n">
        <x:f>SUM(SUMIFS('Costing'!$P$9:$P$492,'Costing'!$A$9:$A$492,"MAIN-362"))</x:f>
        <x:v>300000</x:v>
      </x:c>
      <x:c r="M1363" s="17" t="n">
        <x:f>ROUND(L1363*'Costing'!$C$4,2)</x:f>
        <x:v>54000</x:v>
      </x:c>
      <x:c r="N1363" s="17" t="n">
        <x:f>L1363+M1363</x:f>
        <x:v>354000</x:v>
      </x:c>
      <x:c r="O1363" s="12" t="str">
        <x:v>Mumbai</x:v>
      </x:c>
      <x:c r="P1363" s="12" t="str">
        <x:v>CORP-0358</x:v>
      </x:c>
      <x:c r="Q1363" s="12" t="str">
        <x:v>JGC Construction International Pte Ltd</x:v>
      </x:c>
    </x:row>
    <x:row r="1364" ht="48" customHeight="1">
      <x:c r="A1364" s="2" t="str">
        <x:v>TEN-511D184A4002</x:v>
      </x:c>
      <x:c r="B1364" s="12" t="str">
        <x:v>Jindal Warehouse</x:v>
      </x:c>
      <x:c r="C1364" s="12" t="str">
        <x:v>Business / brand</x:v>
      </x:c>
      <x:c r="D1364" s="12" t="str">
        <x:v>Trade, consumer &amp; logistics</x:v>
      </x:c>
      <x:c r="E1364" s="12" t="str">
        <x:v>Retail, consumer products &amp; ecommerce</x:v>
      </x:c>
      <x:c r="F1364" s="12" t="str">
        <x:v>Mixed business audience</x:v>
      </x:c>
      <x:c r="G1364" s="12" t="str">
        <x:v>Recognisable business context; company-scale evidence remains insufficient for a single size band.</x:v>
      </x:c>
      <x:c r="H1364" s="11" t="n">
        <x:v>1</x:v>
      </x:c>
      <x:c r="I1364" s="11" t="n">
        <x:v>39</x:v>
      </x:c>
      <x:c r="J1364" s="11" t="n">
        <x:v>39</x:v>
      </x:c>
      <x:c r="K1364" s="11" t="n">
        <x:v>0</x:v>
      </x:c>
      <x:c r="L1364" s="17" t="n">
        <x:f>SUM(SUMIFS('Costing'!$P$9:$P$492,'Costing'!$A$9:$A$492,"MAIN-294"))</x:f>
        <x:v>585000</x:v>
      </x:c>
      <x:c r="M1364" s="17" t="n">
        <x:f>ROUND(L1364*'Costing'!$C$4,2)</x:f>
        <x:v>105300</x:v>
      </x:c>
      <x:c r="N1364" s="17" t="n">
        <x:f>L1364+M1364</x:f>
        <x:v>690300</x:v>
      </x:c>
      <x:c r="O1364" s="12" t="str">
        <x:v>Mumbai</x:v>
      </x:c>
      <x:c r="P1364" s="12" t="str">
        <x:v>CORP-0290</x:v>
      </x:c>
      <x:c r="Q1364" s="12" t="str">
        <x:v>Jindal Warehouse</x:v>
      </x:c>
    </x:row>
    <x:row r="1365" ht="48" customHeight="1">
      <x:c r="A1365" s="2" t="str">
        <x:v>TEN-499A46C1ED38</x:v>
      </x:c>
      <x:c r="B1365" s="12" t="str">
        <x:v>JindalX</x:v>
      </x:c>
      <x:c r="C1365" s="12" t="str">
        <x:v>Business / brand</x:v>
      </x:c>
      <x:c r="D1365" s="12" t="str">
        <x:v>Unresolved</x:v>
      </x:c>
      <x:c r="E1365" s="12" t="str">
        <x:v>Business activity not established</x:v>
      </x:c>
      <x:c r="F1365" s="12" t="str">
        <x:v>Mixed business audience</x:v>
      </x:c>
      <x:c r="G1365" s="12" t="str">
        <x:v>Business activity and company scale are not established from this name.</x:v>
      </x:c>
      <x:c r="H1365" s="11" t="n">
        <x:v>4</x:v>
      </x:c>
      <x:c r="I1365" s="11" t="n">
        <x:v>4</x:v>
      </x:c>
      <x:c r="J1365" s="11" t="n">
        <x:v>4</x:v>
      </x:c>
      <x:c r="K1365" s="11" t="n">
        <x:v>0</x:v>
      </x:c>
      <x:c r="L1365" s="17" t="n">
        <x:f>SUM(SUMIFS('Costing'!$P$9:$P$492,'Costing'!$A$9:$A$492,"PARTNER-M375"))</x:f>
        <x:v>160000</x:v>
      </x:c>
      <x:c r="M1365" s="17" t="n">
        <x:f>ROUND(L1365*'Costing'!$C$4,2)</x:f>
        <x:v>28800</x:v>
      </x:c>
      <x:c r="N1365" s="17" t="n">
        <x:f>L1365+M1365</x:f>
        <x:v>188800</x:v>
      </x:c>
      <x:c r="O1365" s="12" t="str">
        <x:v>Delhi NCR</x:v>
      </x:c>
      <x:c r="P1365" s="12" t="str">
        <x:v>CORP-0788, CORP-0789, CORP-0790, CORP-0791</x:v>
      </x:c>
      <x:c r="Q1365" s="12" t="str">
        <x:v>JindalX</x:v>
      </x:c>
    </x:row>
    <x:row r="1366" ht="48" customHeight="1">
      <x:c r="A1366" s="2" t="str">
        <x:v>TEN-C10188F01158</x:v>
      </x:c>
      <x:c r="B1366" s="12" t="str">
        <x:v>Jisram</x:v>
      </x:c>
      <x:c r="C1366" s="12" t="str">
        <x:v>Business / brand</x:v>
      </x:c>
      <x:c r="D1366" s="12" t="str">
        <x:v>Unresolved</x:v>
      </x:c>
      <x:c r="E1366" s="12" t="str">
        <x:v>Business activity not established</x:v>
      </x:c>
      <x:c r="F1366" s="12" t="str">
        <x:v>Mixed business audience</x:v>
      </x:c>
      <x:c r="G1366" s="12" t="str">
        <x:v>Business activity and company scale are not established from this name.</x:v>
      </x:c>
      <x:c r="H1366" s="11" t="n">
        <x:v>1</x:v>
      </x:c>
      <x:c r="I1366" s="11" t="n">
        <x:v>2</x:v>
      </x:c>
      <x:c r="J1366" s="11" t="n">
        <x:v>2</x:v>
      </x:c>
      <x:c r="K1366" s="11" t="n">
        <x:v>0</x:v>
      </x:c>
      <x:c r="L1366" s="17" t="n">
        <x:f>SUM(SUMIFS('Costing'!$P$9:$P$492,'Costing'!$A$9:$A$492,"MAIN-298"))</x:f>
        <x:v>30000</x:v>
      </x:c>
      <x:c r="M1366" s="17" t="n">
        <x:f>ROUND(L1366*'Costing'!$C$4,2)</x:f>
        <x:v>5400</x:v>
      </x:c>
      <x:c r="N1366" s="17" t="n">
        <x:f>L1366+M1366</x:f>
        <x:v>35400</x:v>
      </x:c>
      <x:c r="O1366" s="12" t="str">
        <x:v>Mumbai</x:v>
      </x:c>
      <x:c r="P1366" s="12" t="str">
        <x:v>CORP-0294</x:v>
      </x:c>
      <x:c r="Q1366" s="12" t="str">
        <x:v>Jisram</x:v>
      </x:c>
    </x:row>
    <x:row r="1367" ht="48" customHeight="1">
      <x:c r="A1367" s="2" t="str">
        <x:v>TEN-D92D491D68E3</x:v>
      </x:c>
      <x:c r="B1367" s="12" t="str">
        <x:v>Jitendra Shop</x:v>
      </x:c>
      <x:c r="C1367" s="12" t="str">
        <x:v>Business / brand</x:v>
      </x:c>
      <x:c r="D1367" s="12" t="str">
        <x:v>Trade, consumer &amp; logistics</x:v>
      </x:c>
      <x:c r="E1367" s="12" t="str">
        <x:v>Retail, consumer products &amp; ecommerce</x:v>
      </x:c>
      <x:c r="F1367" s="12" t="str">
        <x:v>Small-scale prospects</x:v>
      </x:c>
      <x:c r="G1367" s="12" t="str">
        <x:v>Trading or consumer-services business; small-scale prospect assumption.</x:v>
      </x:c>
      <x:c r="H1367" s="11" t="n">
        <x:v>1</x:v>
      </x:c>
      <x:c r="I1367" s="11" t="n">
        <x:v>6</x:v>
      </x:c>
      <x:c r="J1367" s="11" t="n">
        <x:v>6</x:v>
      </x:c>
      <x:c r="K1367" s="11" t="n">
        <x:v>0</x:v>
      </x:c>
      <x:c r="L1367" s="17" t="n">
        <x:f>SUM(SUMIFS('Costing'!$P$9:$P$492,'Costing'!$A$9:$A$492,"MAIN-320"))</x:f>
        <x:v>90000</x:v>
      </x:c>
      <x:c r="M1367" s="17" t="n">
        <x:f>ROUND(L1367*'Costing'!$C$4,2)</x:f>
        <x:v>16200</x:v>
      </x:c>
      <x:c r="N1367" s="17" t="n">
        <x:f>L1367+M1367</x:f>
        <x:v>106200</x:v>
      </x:c>
      <x:c r="O1367" s="12" t="str">
        <x:v>Mumbai</x:v>
      </x:c>
      <x:c r="P1367" s="12" t="str">
        <x:v>CORP-0316</x:v>
      </x:c>
      <x:c r="Q1367" s="12" t="str">
        <x:v>Jitendra Shop</x:v>
      </x:c>
    </x:row>
    <x:row r="1368" ht="48" customHeight="1">
      <x:c r="A1368" s="2" t="str">
        <x:v>TEN-AABF376657C0</x:v>
      </x:c>
      <x:c r="B1368" s="12" t="str">
        <x:v>JK Cement Ltd</x:v>
      </x:c>
      <x:c r="C1368" s="12" t="str">
        <x:v>Business / brand</x:v>
      </x:c>
      <x:c r="D1368" s="12" t="str">
        <x:v>Engineering &amp; manufacturing</x:v>
      </x:c>
      <x:c r="E1368" s="12" t="str">
        <x:v>Chemicals, materials &amp; industrial manufacturing</x:v>
      </x:c>
      <x:c r="F1368" s="12" t="str">
        <x:v>Mixed business audience</x:v>
      </x:c>
      <x:c r="G1368" s="12" t="str">
        <x:v>Recognisable business context; company-scale evidence remains insufficient for a single size band.</x:v>
      </x:c>
      <x:c r="H1368" s="11" t="n">
        <x:v>9</x:v>
      </x:c>
      <x:c r="I1368" s="11" t="n">
        <x:v>9</x:v>
      </x:c>
      <x:c r="J1368" s="11" t="n">
        <x:v>9</x:v>
      </x:c>
      <x:c r="K1368" s="11" t="n">
        <x:v>0</x:v>
      </x:c>
      <x:c r="L1368" s="17" t="n">
        <x:f>SUM(SUMIFS('Costing'!$P$9:$P$492,'Costing'!$A$9:$A$492,"MAIN-073"),SUMIFS('Costing'!$P$9:$P$492,'Costing'!$A$9:$A$492,"PARTNER-M100"))</x:f>
        <x:v>360000</x:v>
      </x:c>
      <x:c r="M1368" s="17" t="n">
        <x:f>ROUND(L1368*'Costing'!$C$4,2)</x:f>
        <x:v>64800</x:v>
      </x:c>
      <x:c r="N1368" s="17" t="n">
        <x:f>L1368+M1368</x:f>
        <x:v>424800</x:v>
      </x:c>
      <x:c r="O1368" s="12" t="str">
        <x:v>Bengaluru</x:v>
      </x:c>
      <x:c r="P1368" s="12" t="str">
        <x:v>CORP-0069, CORP-0518, CORP-0519, CORP-0520, CORP-0521, CORP-0522, CORP-0523, CORP-0524, CORP-0525</x:v>
      </x:c>
      <x:c r="Q1368" s="12" t="str">
        <x:v>JK Cement Ltd</x:v>
      </x:c>
    </x:row>
    <x:row r="1369" ht="48" customHeight="1">
      <x:c r="A1369" s="2" t="str">
        <x:v>TEN-48EF6586AAC8</x:v>
      </x:c>
      <x:c r="B1369" s="12" t="str">
        <x:v>JK Lakshmi Cement</x:v>
      </x:c>
      <x:c r="C1369" s="12" t="str">
        <x:v>Business / brand</x:v>
      </x:c>
      <x:c r="D1369" s="12" t="str">
        <x:v>Engineering &amp; manufacturing</x:v>
      </x:c>
      <x:c r="E1369" s="12" t="str">
        <x:v>Chemicals, materials &amp; industrial manufacturing</x:v>
      </x:c>
      <x:c r="F1369" s="12" t="str">
        <x:v>Mixed business audience</x:v>
      </x:c>
      <x:c r="G1369" s="12" t="str">
        <x:v>Recognisable business context; company-scale evidence remains insufficient for a single size band.</x:v>
      </x:c>
      <x:c r="H1369" s="11" t="n">
        <x:v>1</x:v>
      </x:c>
      <x:c r="I1369" s="11" t="n">
        <x:v>1</x:v>
      </x:c>
      <x:c r="J1369" s="11" t="n">
        <x:v>1</x:v>
      </x:c>
      <x:c r="K1369" s="11" t="n">
        <x:v>0</x:v>
      </x:c>
      <x:c r="L1369" s="17" t="n">
        <x:f>SUM(SUMIFS('Costing'!$P$9:$P$492,'Costing'!$A$9:$A$492,"MAIN-275"))</x:f>
        <x:v>40000</x:v>
      </x:c>
      <x:c r="M1369" s="17" t="n">
        <x:f>ROUND(L1369*'Costing'!$C$4,2)</x:f>
        <x:v>7200</x:v>
      </x:c>
      <x:c r="N1369" s="17" t="n">
        <x:f>L1369+M1369</x:f>
        <x:v>47200</x:v>
      </x:c>
      <x:c r="O1369" s="12" t="str">
        <x:v>Indore</x:v>
      </x:c>
      <x:c r="P1369" s="12" t="str">
        <x:v>CORP-0271</x:v>
      </x:c>
      <x:c r="Q1369" s="12" t="str">
        <x:v>JK Lakshmi Cement</x:v>
      </x:c>
    </x:row>
    <x:row r="1370" ht="48" customHeight="1">
      <x:c r="A1370" s="2" t="str">
        <x:v>TEN-9F5A39E11E3A</x:v>
      </x:c>
      <x:c r="B1370" s="12" t="str">
        <x:v>JMA WIRELESSPHAZR INDIA PVT LTD</x:v>
      </x:c>
      <x:c r="C1370" s="12" t="str">
        <x:v>Business / brand</x:v>
      </x:c>
      <x:c r="D1370" s="12" t="str">
        <x:v>IT &amp; digital</x:v>
      </x:c>
      <x:c r="E1370" s="12" t="str">
        <x:v>Telecom, networks &amp; connectivity</x:v>
      </x:c>
      <x:c r="F1370" s="12" t="str">
        <x:v>Mixed business audience</x:v>
      </x:c>
      <x:c r="G1370" s="12" t="str">
        <x:v>Established brand or business network; local company scale is not established. Use a mixed-business message.</x:v>
      </x:c>
      <x:c r="H1370" s="11" t="n">
        <x:v>1</x:v>
      </x:c>
      <x:c r="I1370" s="11" t="n">
        <x:v>2</x:v>
      </x:c>
      <x:c r="J1370" s="11" t="n">
        <x:v>2</x:v>
      </x:c>
      <x:c r="K1370" s="11" t="n">
        <x:v>0</x:v>
      </x:c>
      <x:c r="L1370" s="17" t="n">
        <x:f>SUM(SUMIFS('Costing'!$P$9:$P$492,'Costing'!$A$9:$A$492,"MAIN-216"))</x:f>
        <x:v>30000</x:v>
      </x:c>
      <x:c r="M1370" s="17" t="n">
        <x:f>ROUND(L1370*'Costing'!$C$4,2)</x:f>
        <x:v>5400</x:v>
      </x:c>
      <x:c r="N1370" s="17" t="n">
        <x:f>L1370+M1370</x:f>
        <x:v>35400</x:v>
      </x:c>
      <x:c r="O1370" s="12" t="str">
        <x:v>Hyderabad</x:v>
      </x:c>
      <x:c r="P1370" s="12" t="str">
        <x:v>CORP-0212</x:v>
      </x:c>
      <x:c r="Q1370" s="12" t="str">
        <x:v>JMA WIRELESSPHAZR INDIA PVT LTD</x:v>
      </x:c>
    </x:row>
    <x:row r="1371" ht="48" customHeight="1">
      <x:c r="A1371" s="2" t="str">
        <x:v>TEN-807B0FE3F8D3</x:v>
      </x:c>
      <x:c r="B1371" s="12" t="str">
        <x:v>John Crane Sealing Systems I Pvt Ltd</x:v>
      </x:c>
      <x:c r="C1371" s="12" t="str">
        <x:v>Business / brand</x:v>
      </x:c>
      <x:c r="D1371" s="12" t="str">
        <x:v>Engineering &amp; manufacturing</x:v>
      </x:c>
      <x:c r="E1371" s="12" t="str">
        <x:v>Electronics, industrial systems &amp; manufacturing</x:v>
      </x:c>
      <x:c r="F1371" s="12" t="str">
        <x:v>Mixed business audience</x:v>
      </x:c>
      <x:c r="G1371" s="12" t="str">
        <x:v>Established brand or business network; local company scale is not established. Use a mixed-business message.</x:v>
      </x:c>
      <x:c r="H1371" s="11" t="n">
        <x:v>1</x:v>
      </x:c>
      <x:c r="I1371" s="11" t="n">
        <x:v>1</x:v>
      </x:c>
      <x:c r="J1371" s="11" t="n">
        <x:v>1</x:v>
      </x:c>
      <x:c r="K1371" s="11" t="n">
        <x:v>0</x:v>
      </x:c>
      <x:c r="L1371" s="17" t="n">
        <x:f>SUM(SUMIFS('Costing'!$P$9:$P$492,'Costing'!$A$9:$A$492,"MAIN-410"))</x:f>
        <x:v>15000</x:v>
      </x:c>
      <x:c r="M1371" s="17" t="n">
        <x:f>ROUND(L1371*'Costing'!$C$4,2)</x:f>
        <x:v>2700</x:v>
      </x:c>
      <x:c r="N1371" s="17" t="n">
        <x:f>L1371+M1371</x:f>
        <x:v>17700</x:v>
      </x:c>
      <x:c r="O1371" s="12" t="str">
        <x:v>Pune</x:v>
      </x:c>
      <x:c r="P1371" s="12" t="str">
        <x:v>CORP-0406</x:v>
      </x:c>
      <x:c r="Q1371" s="12" t="str">
        <x:v>John Crane Sealing Systems I Pvt Ltd</x:v>
      </x:c>
    </x:row>
    <x:row r="1372" ht="48" customHeight="1">
      <x:c r="A1372" s="2" t="str">
        <x:v>TEN-E58C9634BF3A</x:v>
      </x:c>
      <x:c r="B1372" s="12" t="str">
        <x:v>John Deere</x:v>
      </x:c>
      <x:c r="C1372" s="12" t="str">
        <x:v>Business / brand</x:v>
      </x:c>
      <x:c r="D1372" s="12" t="str">
        <x:v>Engineering &amp; manufacturing</x:v>
      </x:c>
      <x:c r="E1372" s="12" t="str">
        <x:v>Engineering/manufacturing — specialty unverified</x:v>
      </x:c>
      <x:c r="F1372" s="12" t="str">
        <x:v>Mixed business audience</x:v>
      </x:c>
      <x:c r="G1372" s="12" t="str">
        <x:v>Recognisable business context; company-scale evidence remains insufficient for a single size band.</x:v>
      </x:c>
      <x:c r="H1372" s="11" t="n">
        <x:v>9</x:v>
      </x:c>
      <x:c r="I1372" s="11" t="n">
        <x:v>9</x:v>
      </x:c>
      <x:c r="J1372" s="11" t="n">
        <x:v>9</x:v>
      </x:c>
      <x:c r="K1372" s="11" t="n">
        <x:v>0</x:v>
      </x:c>
      <x:c r="L1372" s="17" t="n">
        <x:f>SUM(SUMIFS('Costing'!$P$9:$P$492,'Costing'!$A$9:$A$492,"PARTNER-M252"))</x:f>
        <x:v>360000</x:v>
      </x:c>
      <x:c r="M1372" s="17" t="n">
        <x:f>ROUND(L1372*'Costing'!$C$4,2)</x:f>
        <x:v>64800</x:v>
      </x:c>
      <x:c r="N1372" s="17" t="n">
        <x:f>L1372+M1372</x:f>
        <x:v>424800</x:v>
      </x:c>
      <x:c r="O1372" s="12" t="str">
        <x:v>Pune</x:v>
      </x:c>
      <x:c r="P1372" s="12" t="str">
        <x:v>CORP-0668, CORP-0669, CORP-0670, CORP-0671, CORP-0672, CORP-0673, CORP-0674, CORP-0675, CORP-0676</x:v>
      </x:c>
      <x:c r="Q1372" s="12" t="str">
        <x:v>John Deere</x:v>
      </x:c>
    </x:row>
    <x:row r="1373" ht="48" customHeight="1">
      <x:c r="A1373" s="2" t="str">
        <x:v>TEN-C3253FB0AE69</x:v>
      </x:c>
      <x:c r="B1373" s="12" t="str">
        <x:v>JOPINGS INTERCRAFT LLP</x:v>
      </x:c>
      <x:c r="C1373" s="12" t="str">
        <x:v>Business / brand</x:v>
      </x:c>
      <x:c r="D1373" s="12" t="str">
        <x:v>Unresolved</x:v>
      </x:c>
      <x:c r="E1373" s="12" t="str">
        <x:v>Business activity not established</x:v>
      </x:c>
      <x:c r="F1373" s="12" t="str">
        <x:v>Mixed business audience</x:v>
      </x:c>
      <x:c r="G1373" s="12" t="str">
        <x:v>Business activity and company scale are not established from this name.</x:v>
      </x:c>
      <x:c r="H1373" s="11" t="n">
        <x:v>1</x:v>
      </x:c>
      <x:c r="I1373" s="11" t="n">
        <x:v>22</x:v>
      </x:c>
      <x:c r="J1373" s="11" t="n">
        <x:v>22</x:v>
      </x:c>
      <x:c r="K1373" s="11" t="n">
        <x:v>0</x:v>
      </x:c>
      <x:c r="L1373" s="17" t="n">
        <x:f>SUM(SUMIFS('Costing'!$P$9:$P$492,'Costing'!$A$9:$A$492,"MAIN-307"))</x:f>
        <x:v>330000</x:v>
      </x:c>
      <x:c r="M1373" s="17" t="n">
        <x:f>ROUND(L1373*'Costing'!$C$4,2)</x:f>
        <x:v>59400</x:v>
      </x:c>
      <x:c r="N1373" s="17" t="n">
        <x:f>L1373+M1373</x:f>
        <x:v>389400</x:v>
      </x:c>
      <x:c r="O1373" s="12" t="str">
        <x:v>Mumbai</x:v>
      </x:c>
      <x:c r="P1373" s="12" t="str">
        <x:v>CORP-0303</x:v>
      </x:c>
      <x:c r="Q1373" s="12" t="str">
        <x:v>JOPINGS INTERCRAFT LLP</x:v>
      </x:c>
    </x:row>
    <x:row r="1374" ht="48" customHeight="1">
      <x:c r="A1374" s="2" t="str">
        <x:v>TEN-CE5430F7ABD8</x:v>
      </x:c>
      <x:c r="B1374" s="12" t="str">
        <x:v>Josho Learning PVT.LTD</x:v>
      </x:c>
      <x:c r="C1374" s="12" t="str">
        <x:v>Business / brand</x:v>
      </x:c>
      <x:c r="D1374" s="12" t="str">
        <x:v>Education</x:v>
      </x:c>
      <x:c r="E1374" s="12" t="str">
        <x:v>Edtech, training &amp; learning</x:v>
      </x:c>
      <x:c r="F1374" s="12" t="str">
        <x:v>Small-scale prospects</x:v>
      </x:c>
      <x:c r="G1374" s="12" t="str">
        <x:v>Training or education-services business; small-scale prospect assumption.</x:v>
      </x:c>
      <x:c r="H1374" s="11" t="n">
        <x:v>1</x:v>
      </x:c>
      <x:c r="I1374" s="11" t="n">
        <x:v>39</x:v>
      </x:c>
      <x:c r="J1374" s="11" t="n">
        <x:v>39</x:v>
      </x:c>
      <x:c r="K1374" s="11" t="n">
        <x:v>0</x:v>
      </x:c>
      <x:c r="L1374" s="17" t="n">
        <x:f>SUM(SUMIFS('Costing'!$P$9:$P$492,'Costing'!$A$9:$A$492,"MAIN-294"))</x:f>
        <x:v>585000</x:v>
      </x:c>
      <x:c r="M1374" s="17" t="n">
        <x:f>ROUND(L1374*'Costing'!$C$4,2)</x:f>
        <x:v>105300</x:v>
      </x:c>
      <x:c r="N1374" s="17" t="n">
        <x:f>L1374+M1374</x:f>
        <x:v>690300</x:v>
      </x:c>
      <x:c r="O1374" s="12" t="str">
        <x:v>Mumbai</x:v>
      </x:c>
      <x:c r="P1374" s="12" t="str">
        <x:v>CORP-0290</x:v>
      </x:c>
      <x:c r="Q1374" s="12" t="str">
        <x:v>Josho Learning PVT.LTD</x:v>
      </x:c>
    </x:row>
    <x:row r="1375" ht="48" customHeight="1">
      <x:c r="A1375" s="2" t="str">
        <x:v>TEN-D2F08A3B9FD3</x:v>
      </x:c>
      <x:c r="B1375" s="12" t="str">
        <x:v>Joshpunar projects Private Limited</x:v>
      </x:c>
      <x:c r="C1375" s="12" t="str">
        <x:v>Business / brand</x:v>
      </x:c>
      <x:c r="D1375" s="12" t="str">
        <x:v>Unresolved</x:v>
      </x:c>
      <x:c r="E1375" s="12" t="str">
        <x:v>Business activity not established</x:v>
      </x:c>
      <x:c r="F1375" s="12" t="str">
        <x:v>Mixed business audience</x:v>
      </x:c>
      <x:c r="G1375" s="12" t="str">
        <x:v>Business activity and company scale are not established from this name.</x:v>
      </x:c>
      <x:c r="H1375" s="11" t="n">
        <x:v>1</x:v>
      </x:c>
      <x:c r="I1375" s="11" t="n">
        <x:v>10</x:v>
      </x:c>
      <x:c r="J1375" s="11" t="n">
        <x:v>10</x:v>
      </x:c>
      <x:c r="K1375" s="11" t="n">
        <x:v>0</x:v>
      </x:c>
      <x:c r="L1375" s="17" t="n">
        <x:f>SUM(SUMIFS('Costing'!$P$9:$P$492,'Costing'!$A$9:$A$492,"MAIN-261"))</x:f>
        <x:v>325000</x:v>
      </x:c>
      <x:c r="M1375" s="17" t="n">
        <x:f>ROUND(L1375*'Costing'!$C$4,2)</x:f>
        <x:v>58500</x:v>
      </x:c>
      <x:c r="N1375" s="17" t="n">
        <x:f>L1375+M1375</x:f>
        <x:v>383500</x:v>
      </x:c>
      <x:c r="O1375" s="12" t="str">
        <x:v>Hyderabad</x:v>
      </x:c>
      <x:c r="P1375" s="12" t="str">
        <x:v>CORP-0257</x:v>
      </x:c>
      <x:c r="Q1375" s="12" t="str">
        <x:v>Joshpunar projects Private Limited</x:v>
      </x:c>
    </x:row>
    <x:row r="1376" ht="48" customHeight="1">
      <x:c r="A1376" s="2" t="str">
        <x:v>TEN-738CF5E0F324</x:v>
      </x:c>
      <x:c r="B1376" s="12" t="str">
        <x:v>Jotter.ai</x:v>
      </x:c>
      <x:c r="C1376" s="12" t="str">
        <x:v>Business / brand</x:v>
      </x:c>
      <x:c r="D1376" s="12" t="str">
        <x:v>IT &amp; digital</x:v>
      </x:c>
      <x:c r="E1376" s="12" t="str">
        <x:v>AI, data &amp; analytics</x:v>
      </x:c>
      <x:c r="F1376" s="12" t="str">
        <x:v>Small-scale prospects</x:v>
      </x:c>
      <x:c r="G1376" s="12" t="str">
        <x:v>Software or technology-services business; small-scale prospect assumption.</x:v>
      </x:c>
      <x:c r="H1376" s="11" t="n">
        <x:v>5</x:v>
      </x:c>
      <x:c r="I1376" s="11" t="n">
        <x:v>5</x:v>
      </x:c>
      <x:c r="J1376" s="11" t="n">
        <x:v>5</x:v>
      </x:c>
      <x:c r="K1376" s="11" t="n">
        <x:v>0</x:v>
      </x:c>
      <x:c r="L1376" s="17" t="n">
        <x:f>SUM(SUMIFS('Costing'!$P$9:$P$492,'Costing'!$A$9:$A$492,"PARTNER-M295"))</x:f>
        <x:v>200000</x:v>
      </x:c>
      <x:c r="M1376" s="17" t="n">
        <x:f>ROUND(L1376*'Costing'!$C$4,2)</x:f>
        <x:v>36000</x:v>
      </x:c>
      <x:c r="N1376" s="17" t="n">
        <x:f>L1376+M1376</x:f>
        <x:v>236000</x:v>
      </x:c>
      <x:c r="O1376" s="12" t="str">
        <x:v>Hyderabad</x:v>
      </x:c>
      <x:c r="P1376" s="12" t="str">
        <x:v>CORP-0710, CORP-0711, CORP-0712, CORP-0713, CORP-0714</x:v>
      </x:c>
      <x:c r="Q1376" s="12" t="str">
        <x:v>Jotter.ai</x:v>
      </x:c>
    </x:row>
    <x:row r="1377" ht="48" customHeight="1">
      <x:c r="A1377" s="2" t="str">
        <x:v>TEN-50FCB8C0B6FA</x:v>
      </x:c>
      <x:c r="B1377" s="12" t="str">
        <x:v>JP Morgan Chase</x:v>
      </x:c>
      <x:c r="C1377" s="12" t="str">
        <x:v>Business / brand</x:v>
      </x:c>
      <x:c r="D1377" s="12" t="str">
        <x:v>Finance &amp; insurance</x:v>
      </x:c>
      <x:c r="E1377" s="12" t="str">
        <x:v>Financial services — specialty unverified</x:v>
      </x:c>
      <x:c r="F1377" s="12" t="str">
        <x:v>Large enterprise</x:v>
      </x:c>
      <x:c r="G1377" s="12" t="str">
        <x:v>Official global banking and financial-services group profile; exact legal records remain separate.</x:v>
      </x:c>
      <x:c r="H1377" s="11" t="n">
        <x:v>6</x:v>
      </x:c>
      <x:c r="I1377" s="11" t="n">
        <x:v>6</x:v>
      </x:c>
      <x:c r="J1377" s="11" t="n">
        <x:v>6</x:v>
      </x:c>
      <x:c r="K1377" s="11" t="n">
        <x:v>0</x:v>
      </x:c>
      <x:c r="L1377" s="17" t="n">
        <x:f>SUM(SUMIFS('Costing'!$P$9:$P$492,'Costing'!$A$9:$A$492,"PARTNER-M045"))</x:f>
        <x:v>240000</x:v>
      </x:c>
      <x:c r="M1377" s="17" t="n">
        <x:f>ROUND(L1377*'Costing'!$C$4,2)</x:f>
        <x:v>43200</x:v>
      </x:c>
      <x:c r="N1377" s="17" t="n">
        <x:f>L1377+M1377</x:f>
        <x:v>283200</x:v>
      </x:c>
      <x:c r="O1377" s="12" t="str">
        <x:v>Bengaluru</x:v>
      </x:c>
      <x:c r="P1377" s="12" t="str">
        <x:v>CORP-0463, CORP-0464, CORP-0465, CORP-0466, CORP-0467, CORP-0468</x:v>
      </x:c>
      <x:c r="Q1377" s="12" t="str">
        <x:v>JP Morgan Chase</x:v>
      </x:c>
    </x:row>
    <x:row r="1378" ht="48" customHeight="1">
      <x:c r="A1378" s="2" t="str">
        <x:v>TEN-93D2337E5D18</x:v>
      </x:c>
      <x:c r="B1378" s="12" t="str">
        <x:v>JP Morgan Chase India Private Limited</x:v>
      </x:c>
      <x:c r="C1378" s="12" t="str">
        <x:v>Business / brand</x:v>
      </x:c>
      <x:c r="D1378" s="12" t="str">
        <x:v>Finance &amp; insurance</x:v>
      </x:c>
      <x:c r="E1378" s="12" t="str">
        <x:v>Financial services — specialty unverified</x:v>
      </x:c>
      <x:c r="F1378" s="12" t="str">
        <x:v>Large enterprise</x:v>
      </x:c>
      <x:c r="G1378" s="12" t="str">
        <x:v>Official global banking and financial-services group profile; exact legal records remain separate.</x:v>
      </x:c>
      <x:c r="H1378" s="11" t="n">
        <x:v>1</x:v>
      </x:c>
      <x:c r="I1378" s="11" t="n">
        <x:v>1</x:v>
      </x:c>
      <x:c r="J1378" s="11" t="n">
        <x:v>1</x:v>
      </x:c>
      <x:c r="K1378" s="11" t="n">
        <x:v>0</x:v>
      </x:c>
      <x:c r="L1378" s="17" t="n">
        <x:f>SUM(SUMIFS('Costing'!$P$9:$P$492,'Costing'!$A$9:$A$492,"MAIN-263"))</x:f>
        <x:v>25000</x:v>
      </x:c>
      <x:c r="M1378" s="17" t="n">
        <x:f>ROUND(L1378*'Costing'!$C$4,2)</x:f>
        <x:v>4500</x:v>
      </x:c>
      <x:c r="N1378" s="17" t="n">
        <x:f>L1378+M1378</x:f>
        <x:v>29500</x:v>
      </x:c>
      <x:c r="O1378" s="12" t="str">
        <x:v>Hyderabad</x:v>
      </x:c>
      <x:c r="P1378" s="12" t="str">
        <x:v>CORP-0259</x:v>
      </x:c>
      <x:c r="Q1378" s="12" t="str">
        <x:v>JP Morgan Chase India Private Limited</x:v>
      </x:c>
    </x:row>
    <x:row r="1379" ht="62" customHeight="1">
      <x:c r="A1379" s="2" t="str">
        <x:v>TEN-E9968F77222F</x:v>
      </x:c>
      <x:c r="B1379" s="12" t="str">
        <x:v>JSA Advocates and Solicitors</x:v>
      </x:c>
      <x:c r="C1379" s="12" t="str">
        <x:v>Business / brand</x:v>
      </x:c>
      <x:c r="D1379" s="12" t="str">
        <x:v>Professional services</x:v>
      </x:c>
      <x:c r="E1379" s="12" t="str">
        <x:v>Legal &amp; intellectual property</x:v>
      </x:c>
      <x:c r="F1379" s="12" t="str">
        <x:v>Large enterprise</x:v>
      </x:c>
      <x:c r="G1379" s="12" t="str">
        <x:v>Firm-authored Chambers 2026 profile reports 700+ professionals across ten offices; enterprise-scale national legal network, not a local sole-practice default. Firm website returned HTTP403.</x:v>
      </x:c>
      <x:c r="H1379" s="11" t="n">
        <x:v>9</x:v>
      </x:c>
      <x:c r="I1379" s="11" t="n">
        <x:v>9</x:v>
      </x:c>
      <x:c r="J1379" s="11" t="n">
        <x:v>9</x:v>
      </x:c>
      <x:c r="K1379" s="11" t="n">
        <x:v>0</x:v>
      </x:c>
      <x:c r="L1379" s="17" t="n">
        <x:f>SUM(SUMIFS('Costing'!$P$9:$P$492,'Costing'!$A$9:$A$492,"MAIN-073"),SUMIFS('Costing'!$P$9:$P$492,'Costing'!$A$9:$A$492,"PARTNER-M100"))</x:f>
        <x:v>360000</x:v>
      </x:c>
      <x:c r="M1379" s="17" t="n">
        <x:f>ROUND(L1379*'Costing'!$C$4,2)</x:f>
        <x:v>64800</x:v>
      </x:c>
      <x:c r="N1379" s="17" t="n">
        <x:f>L1379+M1379</x:f>
        <x:v>424800</x:v>
      </x:c>
      <x:c r="O1379" s="12" t="str">
        <x:v>Bengaluru</x:v>
      </x:c>
      <x:c r="P1379" s="12" t="str">
        <x:v>CORP-0069, CORP-0518, CORP-0519, CORP-0520, CORP-0521, CORP-0522, CORP-0523, CORP-0524, CORP-0525</x:v>
      </x:c>
      <x:c r="Q1379" s="12" t="str">
        <x:v>JSA Advocates and Solicitors</x:v>
      </x:c>
    </x:row>
    <x:row r="1380" ht="48" customHeight="1">
      <x:c r="A1380" s="2" t="str">
        <x:v>TEN-D462DBD2DAB0</x:v>
      </x:c>
      <x:c r="B1380" s="12" t="str">
        <x:v>JSW</x:v>
      </x:c>
      <x:c r="C1380" s="12" t="str">
        <x:v>Business / brand</x:v>
      </x:c>
      <x:c r="D1380" s="12" t="str">
        <x:v>Engineering &amp; manufacturing</x:v>
      </x:c>
      <x:c r="E1380" s="12" t="str">
        <x:v>Engineering/manufacturing — specialty unverified</x:v>
      </x:c>
      <x:c r="F1380" s="12" t="str">
        <x:v>Mixed business audience</x:v>
      </x:c>
      <x:c r="G1380" s="12" t="str">
        <x:v>Recognisable business context; company-scale evidence remains insufficient for a single size band.</x:v>
      </x:c>
      <x:c r="H1380" s="11" t="n">
        <x:v>1</x:v>
      </x:c>
      <x:c r="I1380" s="11" t="n">
        <x:v>1</x:v>
      </x:c>
      <x:c r="J1380" s="11" t="n">
        <x:v>1</x:v>
      </x:c>
      <x:c r="K1380" s="11" t="n">
        <x:v>0</x:v>
      </x:c>
      <x:c r="L1380" s="17" t="n">
        <x:f>SUM(SUMIFS('Costing'!$P$9:$P$492,'Costing'!$A$9:$A$492,"MAIN-275"))</x:f>
        <x:v>40000</x:v>
      </x:c>
      <x:c r="M1380" s="17" t="n">
        <x:f>ROUND(L1380*'Costing'!$C$4,2)</x:f>
        <x:v>7200</x:v>
      </x:c>
      <x:c r="N1380" s="17" t="n">
        <x:f>L1380+M1380</x:f>
        <x:v>47200</x:v>
      </x:c>
      <x:c r="O1380" s="12" t="str">
        <x:v>Indore</x:v>
      </x:c>
      <x:c r="P1380" s="12" t="str">
        <x:v>CORP-0271</x:v>
      </x:c>
      <x:c r="Q1380" s="12" t="str">
        <x:v>JSW</x:v>
      </x:c>
    </x:row>
    <x:row r="1381" ht="48" customHeight="1">
      <x:c r="A1381" s="2" t="str">
        <x:v>TEN-58C8E75727F0</x:v>
      </x:c>
      <x:c r="B1381" s="12" t="str">
        <x:v>JSW Group Office</x:v>
      </x:c>
      <x:c r="C1381" s="12" t="str">
        <x:v>Business / brand</x:v>
      </x:c>
      <x:c r="D1381" s="12" t="str">
        <x:v>Engineering &amp; manufacturing</x:v>
      </x:c>
      <x:c r="E1381" s="12" t="str">
        <x:v>Electronics, industrial systems &amp; manufacturing</x:v>
      </x:c>
      <x:c r="F1381" s="12" t="str">
        <x:v>Mixed business audience</x:v>
      </x:c>
      <x:c r="G1381" s="12" t="str">
        <x:v>Recognisable business context; company-scale evidence remains insufficient for a single size band.</x:v>
      </x:c>
      <x:c r="H1381" s="11" t="n">
        <x:v>2</x:v>
      </x:c>
      <x:c r="I1381" s="11" t="n">
        <x:v>6</x:v>
      </x:c>
      <x:c r="J1381" s="11" t="n">
        <x:v>6</x:v>
      </x:c>
      <x:c r="K1381" s="11" t="n">
        <x:v>0</x:v>
      </x:c>
      <x:c r="L1381" s="17" t="n">
        <x:f>SUM(SUMIFS('Costing'!$P$9:$P$492,'Costing'!$A$9:$A$492,"MAIN-148"),SUMIFS('Costing'!$P$9:$P$492,'Costing'!$A$9:$A$492,"MAIN-149"))</x:f>
        <x:v>120000</x:v>
      </x:c>
      <x:c r="M1381" s="17" t="n">
        <x:f>ROUND(L1381*'Costing'!$C$4,2)</x:f>
        <x:v>21600</x:v>
      </x:c>
      <x:c r="N1381" s="17" t="n">
        <x:f>L1381+M1381</x:f>
        <x:v>141600</x:v>
      </x:c>
      <x:c r="O1381" s="12" t="str">
        <x:v>Chennai</x:v>
      </x:c>
      <x:c r="P1381" s="12" t="str">
        <x:v>CORP-0144, CORP-0145</x:v>
      </x:c>
      <x:c r="Q1381" s="12" t="str">
        <x:v>JSW Group Office</x:v>
      </x:c>
    </x:row>
    <x:row r="1382" ht="48" customHeight="1">
      <x:c r="A1382" s="2" t="str">
        <x:v>TEN-046FCB362D0A</x:v>
      </x:c>
      <x:c r="B1382" s="12" t="str">
        <x:v>judge India</x:v>
      </x:c>
      <x:c r="C1382" s="12" t="str">
        <x:v>Business / brand</x:v>
      </x:c>
      <x:c r="D1382" s="12" t="str">
        <x:v>Unresolved</x:v>
      </x:c>
      <x:c r="E1382" s="12" t="str">
        <x:v>Business activity not established</x:v>
      </x:c>
      <x:c r="F1382" s="12" t="str">
        <x:v>Mixed business audience</x:v>
      </x:c>
      <x:c r="G1382" s="12" t="str">
        <x:v>Business activity and company scale are not established from this name.</x:v>
      </x:c>
      <x:c r="H1382" s="11" t="n">
        <x:v>9</x:v>
      </x:c>
      <x:c r="I1382" s="11" t="n">
        <x:v>9</x:v>
      </x:c>
      <x:c r="J1382" s="11" t="n">
        <x:v>9</x:v>
      </x:c>
      <x:c r="K1382" s="11" t="n">
        <x:v>0</x:v>
      </x:c>
      <x:c r="L1382" s="17" t="n">
        <x:f>SUM(SUMIFS('Costing'!$P$9:$P$492,'Costing'!$A$9:$A$492,"PARTNER-M002"))</x:f>
        <x:v>360000</x:v>
      </x:c>
      <x:c r="M1382" s="17" t="n">
        <x:f>ROUND(L1382*'Costing'!$C$4,2)</x:f>
        <x:v>64800</x:v>
      </x:c>
      <x:c r="N1382" s="17" t="n">
        <x:f>L1382+M1382</x:f>
        <x:v>424800</x:v>
      </x:c>
      <x:c r="O1382" s="12" t="str">
        <x:v>Bengaluru</x:v>
      </x:c>
      <x:c r="P1382" s="12" t="str">
        <x:v>CORP-0420, CORP-0421, CORP-0422, CORP-0423, CORP-0424, CORP-0425, CORP-0426, CORP-0427, CORP-0428</x:v>
      </x:c>
      <x:c r="Q1382" s="12" t="str">
        <x:v>judge India</x:v>
      </x:c>
    </x:row>
    <x:row r="1383" ht="48" customHeight="1">
      <x:c r="A1383" s="2" t="str">
        <x:v>TEN-2CBDDD182E39</x:v>
      </x:c>
      <x:c r="B1383" s="12" t="str">
        <x:v>Julia Hub</x:v>
      </x:c>
      <x:c r="C1383" s="12" t="str">
        <x:v>Business / brand</x:v>
      </x:c>
      <x:c r="D1383" s="12" t="str">
        <x:v>IT &amp; digital</x:v>
      </x:c>
      <x:c r="E1383" s="12" t="str">
        <x:v>Enterprise software &amp; digital engineering</x:v>
      </x:c>
      <x:c r="F1383" s="12" t="str">
        <x:v>Small-scale prospects</x:v>
      </x:c>
      <x:c r="G1383" s="12" t="str">
        <x:v>Software or technology-services business; small-scale prospect assumption.</x:v>
      </x:c>
      <x:c r="H1383" s="11" t="n">
        <x:v>1</x:v>
      </x:c>
      <x:c r="I1383" s="11" t="n">
        <x:v>2</x:v>
      </x:c>
      <x:c r="J1383" s="11" t="n">
        <x:v>2</x:v>
      </x:c>
      <x:c r="K1383" s="11" t="n">
        <x:v>0</x:v>
      </x:c>
      <x:c r="L1383" s="17" t="n">
        <x:f>SUM(SUMIFS('Costing'!$P$9:$P$492,'Costing'!$A$9:$A$492,"MAIN-096"))</x:f>
        <x:v>30000</x:v>
      </x:c>
      <x:c r="M1383" s="17" t="n">
        <x:f>ROUND(L1383*'Costing'!$C$4,2)</x:f>
        <x:v>5400</x:v>
      </x:c>
      <x:c r="N1383" s="17" t="n">
        <x:f>L1383+M1383</x:f>
        <x:v>35400</x:v>
      </x:c>
      <x:c r="O1383" s="12" t="str">
        <x:v>Bengaluru</x:v>
      </x:c>
      <x:c r="P1383" s="12" t="str">
        <x:v>CORP-0092</x:v>
      </x:c>
      <x:c r="Q1383" s="12" t="str">
        <x:v>Julia Hub</x:v>
      </x:c>
    </x:row>
    <x:row r="1384" ht="48" customHeight="1">
      <x:c r="A1384" s="2" t="str">
        <x:v>TEN-629323F9C9BA</x:v>
      </x:c>
      <x:c r="B1384" s="12" t="str">
        <x:v>Julius Baer</x:v>
      </x:c>
      <x:c r="C1384" s="12" t="str">
        <x:v>Business / brand</x:v>
      </x:c>
      <x:c r="D1384" s="12" t="str">
        <x:v>Finance &amp; insurance</x:v>
      </x:c>
      <x:c r="E1384" s="12" t="str">
        <x:v>Financial services — specialty unverified</x:v>
      </x:c>
      <x:c r="F1384" s="12" t="str">
        <x:v>Mixed business audience</x:v>
      </x:c>
      <x:c r="G1384" s="12" t="str">
        <x:v>Recognisable business context; company-scale evidence remains insufficient for a single size band.</x:v>
      </x:c>
      <x:c r="H1384" s="11" t="n">
        <x:v>4</x:v>
      </x:c>
      <x:c r="I1384" s="11" t="n">
        <x:v>4</x:v>
      </x:c>
      <x:c r="J1384" s="11" t="n">
        <x:v>4</x:v>
      </x:c>
      <x:c r="K1384" s="11" t="n">
        <x:v>0</x:v>
      </x:c>
      <x:c r="L1384" s="17" t="n">
        <x:f>SUM(SUMIFS('Costing'!$P$9:$P$492,'Costing'!$A$9:$A$492,"PARTNER-M235"))</x:f>
        <x:v>160000</x:v>
      </x:c>
      <x:c r="M1384" s="17" t="n">
        <x:f>ROUND(L1384*'Costing'!$C$4,2)</x:f>
        <x:v>28800</x:v>
      </x:c>
      <x:c r="N1384" s="17" t="n">
        <x:f>L1384+M1384</x:f>
        <x:v>188800</x:v>
      </x:c>
      <x:c r="O1384" s="12" t="str">
        <x:v>Mumbai</x:v>
      </x:c>
      <x:c r="P1384" s="12" t="str">
        <x:v>CORP-0652, CORP-0653, CORP-0654, CORP-0655</x:v>
      </x:c>
      <x:c r="Q1384" s="12" t="str">
        <x:v>Julius Baer</x:v>
      </x:c>
    </x:row>
    <x:row r="1385" ht="48" customHeight="1">
      <x:c r="A1385" s="2" t="str">
        <x:v>TEN-91ED2EF15EEE</x:v>
      </x:c>
      <x:c r="B1385" s="12" t="str">
        <x:v>Jungle</x:v>
      </x:c>
      <x:c r="C1385" s="12" t="str">
        <x:v>Business / brand</x:v>
      </x:c>
      <x:c r="D1385" s="12" t="str">
        <x:v>Unresolved</x:v>
      </x:c>
      <x:c r="E1385" s="12" t="str">
        <x:v>Business activity not established</x:v>
      </x:c>
      <x:c r="F1385" s="12" t="str">
        <x:v>Mixed business audience</x:v>
      </x:c>
      <x:c r="G1385" s="12" t="str">
        <x:v>Business activity and company scale are not established from this name.</x:v>
      </x:c>
      <x:c r="H1385" s="11" t="n">
        <x:v>1</x:v>
      </x:c>
      <x:c r="I1385" s="11" t="n">
        <x:v>1</x:v>
      </x:c>
      <x:c r="J1385" s="11" t="n">
        <x:v>1</x:v>
      </x:c>
      <x:c r="K1385" s="11" t="n">
        <x:v>0</x:v>
      </x:c>
      <x:c r="L1385" s="17" t="n">
        <x:f>SUM(SUMIFS('Costing'!$P$9:$P$492,'Costing'!$A$9:$A$492,"MAIN-103"))</x:f>
        <x:v>15000</x:v>
      </x:c>
      <x:c r="M1385" s="17" t="n">
        <x:f>ROUND(L1385*'Costing'!$C$4,2)</x:f>
        <x:v>2700</x:v>
      </x:c>
      <x:c r="N1385" s="17" t="n">
        <x:f>L1385+M1385</x:f>
        <x:v>17700</x:v>
      </x:c>
      <x:c r="O1385" s="12" t="str">
        <x:v>Bengaluru</x:v>
      </x:c>
      <x:c r="P1385" s="12" t="str">
        <x:v>CORP-0099</x:v>
      </x:c>
      <x:c r="Q1385" s="12" t="str">
        <x:v>Jungle</x:v>
      </x:c>
    </x:row>
    <x:row r="1386" ht="49" customHeight="1">
      <x:c r="A1386" s="2" t="str">
        <x:v>TEN-17840323EA59</x:v>
      </x:c>
      <x:c r="B1386" s="12" t="str">
        <x:v>Juniper</x:v>
      </x:c>
      <x:c r="C1386" s="12" t="str">
        <x:v>Business / brand</x:v>
      </x:c>
      <x:c r="D1386" s="12" t="str">
        <x:v>IT &amp; digital</x:v>
      </x:c>
      <x:c r="E1386" s="12" t="str">
        <x:v>Technology services — specialty unverified</x:v>
      </x:c>
      <x:c r="F1386" s="12" t="str">
        <x:v>Mixed business audience</x:v>
      </x:c>
      <x:c r="G1386" s="12" t="str">
        <x:v>Recognisable business context; company-scale evidence remains insufficient for a single size band.</x:v>
      </x:c>
      <x:c r="H1386" s="11" t="n">
        <x:v>14</x:v>
      </x:c>
      <x:c r="I1386" s="11" t="n">
        <x:v>15</x:v>
      </x:c>
      <x:c r="J1386" s="11" t="n">
        <x:v>15</x:v>
      </x:c>
      <x:c r="K1386" s="11" t="n">
        <x:v>0</x:v>
      </x:c>
      <x:c r="L1386" s="17" t="n">
        <x:f>SUM(SUMIFS('Costing'!$P$9:$P$492,'Costing'!$A$9:$A$492,"MAIN-284"),SUMIFS('Costing'!$P$9:$P$492,'Costing'!$A$9:$A$492,"MAIN-285"),SUMIFS('Costing'!$P$9:$P$492,'Costing'!$A$9:$A$492,"PARTNER-M108"))</x:f>
        <x:v>525000</x:v>
      </x:c>
      <x:c r="M1386" s="17" t="n">
        <x:f>ROUND(L1386*'Costing'!$C$4,2)</x:f>
        <x:v>94500</x:v>
      </x:c>
      <x:c r="N1386" s="17" t="n">
        <x:f>L1386+M1386</x:f>
        <x:v>619500</x:v>
      </x:c>
      <x:c r="O1386" s="12" t="str">
        <x:v>Kolkata, Bengaluru</x:v>
      </x:c>
      <x:c r="P1386" s="12" t="str">
        <x:v>CORP-0280, CORP-0281, CORP-0526, CORP-0527, CORP-0528, CORP-0529, CORP-0530, CORP-0531, CORP-0532, CORP-0533, CORP-0534, CORP-0535, CORP-0536, CORP-0537</x:v>
      </x:c>
      <x:c r="Q1386" s="12" t="str">
        <x:v>Juniper</x:v>
      </x:c>
    </x:row>
    <x:row r="1387" ht="75" customHeight="1">
      <x:c r="A1387" s="2" t="str">
        <x:v>TEN-DFAD7388CC62</x:v>
      </x:c>
      <x:c r="B1387" s="12" t="str">
        <x:v>Juniper India Toastmasters Club</x:v>
      </x:c>
      <x:c r="C1387" s="12" t="str">
        <x:v>Public / nonprofit</x:v>
      </x:c>
      <x:c r="D1387" s="12" t="str">
        <x:v>Government &amp; nonprofit</x:v>
      </x:c>
      <x:c r="E1387" s="12" t="str">
        <x:v>Public, nonprofit or membership organization</x:v>
      </x:c>
      <x:c r="F1387" s="12" t="str">
        <x:v>Institutional</x:v>
      </x:c>
      <x:c r="G1387" s="12" t="str">
        <x:v>Existing directory identifies an institutional, government, education, membership or nonprofit organisation rather than an ordinary MSME business prospect. This tag describes audience role and does not assert legal tax status.</x:v>
      </x:c>
      <x:c r="H1387" s="11" t="n">
        <x:v>2</x:v>
      </x:c>
      <x:c r="I1387" s="11" t="n">
        <x:v>6</x:v>
      </x:c>
      <x:c r="J1387" s="11" t="n">
        <x:v>6</x:v>
      </x:c>
      <x:c r="K1387" s="11" t="n">
        <x:v>0</x:v>
      </x:c>
      <x:c r="L1387" s="17" t="n">
        <x:f>SUM(SUMIFS('Costing'!$P$9:$P$492,'Costing'!$A$9:$A$492,"MAIN-062"),SUMIFS('Costing'!$P$9:$P$492,'Costing'!$A$9:$A$492,"MAIN-072"))</x:f>
        <x:v>215000</x:v>
      </x:c>
      <x:c r="M1387" s="17" t="n">
        <x:f>ROUND(L1387*'Costing'!$C$4,2)</x:f>
        <x:v>38700</x:v>
      </x:c>
      <x:c r="N1387" s="17" t="n">
        <x:f>L1387+M1387</x:f>
        <x:v>253700</x:v>
      </x:c>
      <x:c r="O1387" s="12" t="str">
        <x:v>Bengaluru</x:v>
      </x:c>
      <x:c r="P1387" s="12" t="str">
        <x:v>CORP-0058, CORP-0068</x:v>
      </x:c>
      <x:c r="Q1387" s="12" t="str">
        <x:v>Juniper India Toastmasters Club, Juniper India Toastmakers club, Juniper India Toastmasters club</x:v>
      </x:c>
    </x:row>
    <x:row r="1388" ht="62" customHeight="1">
      <x:c r="A1388" s="2" t="str">
        <x:v>TEN-28CBC5A35638</x:v>
      </x:c>
      <x:c r="B1388" s="12" t="str">
        <x:v>Juniper Networks</x:v>
      </x:c>
      <x:c r="C1388" s="12" t="str">
        <x:v>Business / brand</x:v>
      </x:c>
      <x:c r="D1388" s="12" t="str">
        <x:v>IT &amp; digital</x:v>
      </x:c>
      <x:c r="E1388" s="12" t="str">
        <x:v>Telecom, networks &amp; connectivity</x:v>
      </x:c>
      <x:c r="F1388" s="12" t="str">
        <x:v>Large enterprise</x:v>
      </x:c>
      <x:c r="G1388" s="12" t="str">
        <x:v>HPE officially completed its acquisition of Juniper Networks on 2 July 2025, doubling its networking business. This establishes a major enterprise networking-group context for the exact Juniper Networks tenant name.</x:v>
      </x:c>
      <x:c r="H1388" s="11" t="n">
        <x:v>14</x:v>
      </x:c>
      <x:c r="I1388" s="11" t="n">
        <x:v>18</x:v>
      </x:c>
      <x:c r="J1388" s="11" t="n">
        <x:v>18</x:v>
      </x:c>
      <x:c r="K1388" s="11" t="n">
        <x:v>0</x:v>
      </x:c>
      <x:c r="L1388" s="17" t="n">
        <x:f>SUM(SUMIFS('Costing'!$P$9:$P$492,'Costing'!$A$9:$A$492,"MAIN-062"),SUMIFS('Costing'!$P$9:$P$492,'Costing'!$A$9:$A$492,"MAIN-072"),SUMIFS('Costing'!$P$9:$P$492,'Costing'!$A$9:$A$492,"PARTNER-M039"),SUMIFS('Costing'!$P$9:$P$492,'Costing'!$A$9:$A$492,"PARTNER-M045"))</x:f>
        <x:v>695000</x:v>
      </x:c>
      <x:c r="M1388" s="17" t="n">
        <x:f>ROUND(L1388*'Costing'!$C$4,2)</x:f>
        <x:v>125100</x:v>
      </x:c>
      <x:c r="N1388" s="17" t="n">
        <x:f>L1388+M1388</x:f>
        <x:v>820100</x:v>
      </x:c>
      <x:c r="O1388" s="12" t="str">
        <x:v>Bengaluru</x:v>
      </x:c>
      <x:c r="P1388" s="12" t="str">
        <x:v>CORP-0058, CORP-0068, CORP-0457, CORP-0458, CORP-0459, CORP-0460, CORP-0461, CORP-0462, CORP-0463, CORP-0464, CORP-0465, CORP-0466, CORP-0467, CORP-0468</x:v>
      </x:c>
      <x:c r="Q1388" s="12" t="str">
        <x:v>Juniper Networks</x:v>
      </x:c>
    </x:row>
    <x:row r="1389" ht="48" customHeight="1">
      <x:c r="A1389" s="2" t="str">
        <x:v>TEN-1B4CDA7D6285</x:v>
      </x:c>
      <x:c r="B1389" s="12" t="str">
        <x:v>Jupiter Intergrated</x:v>
      </x:c>
      <x:c r="C1389" s="12" t="str">
        <x:v>Business / brand</x:v>
      </x:c>
      <x:c r="D1389" s="12" t="str">
        <x:v>Unresolved</x:v>
      </x:c>
      <x:c r="E1389" s="12" t="str">
        <x:v>Business activity not established</x:v>
      </x:c>
      <x:c r="F1389" s="12" t="str">
        <x:v>Mixed business audience</x:v>
      </x:c>
      <x:c r="G1389" s="12" t="str">
        <x:v>Business activity and company scale are not established from this name.</x:v>
      </x:c>
      <x:c r="H1389" s="11" t="n">
        <x:v>9</x:v>
      </x:c>
      <x:c r="I1389" s="11" t="n">
        <x:v>9</x:v>
      </x:c>
      <x:c r="J1389" s="11" t="n">
        <x:v>9</x:v>
      </x:c>
      <x:c r="K1389" s="11" t="n">
        <x:v>0</x:v>
      </x:c>
      <x:c r="L1389" s="17" t="n">
        <x:f>SUM(SUMIFS('Costing'!$P$9:$P$492,'Costing'!$A$9:$A$492,"PARTNER-M002"))</x:f>
        <x:v>360000</x:v>
      </x:c>
      <x:c r="M1389" s="17" t="n">
        <x:f>ROUND(L1389*'Costing'!$C$4,2)</x:f>
        <x:v>64800</x:v>
      </x:c>
      <x:c r="N1389" s="17" t="n">
        <x:f>L1389+M1389</x:f>
        <x:v>424800</x:v>
      </x:c>
      <x:c r="O1389" s="12" t="str">
        <x:v>Bengaluru</x:v>
      </x:c>
      <x:c r="P1389" s="12" t="str">
        <x:v>CORP-0420, CORP-0421, CORP-0422, CORP-0423, CORP-0424, CORP-0425, CORP-0426, CORP-0427, CORP-0428</x:v>
      </x:c>
      <x:c r="Q1389" s="12" t="str">
        <x:v>Jupiter Intergrated</x:v>
      </x:c>
    </x:row>
    <x:row r="1390" ht="48" customHeight="1">
      <x:c r="A1390" s="2" t="str">
        <x:v>TEN-8A0F00910447</x:v>
      </x:c>
      <x:c r="B1390" s="12" t="str">
        <x:v>Jurimatrix</x:v>
      </x:c>
      <x:c r="C1390" s="12" t="str">
        <x:v>Business / brand</x:v>
      </x:c>
      <x:c r="D1390" s="12" t="str">
        <x:v>Professional services</x:v>
      </x:c>
      <x:c r="E1390" s="12" t="str">
        <x:v>Legal &amp; intellectual property</x:v>
      </x:c>
      <x:c r="F1390" s="12" t="str">
        <x:v>Small-scale prospects</x:v>
      </x:c>
      <x:c r="G1390" s="12" t="str">
        <x:v>Professional service, agency or advisory model; small-scale prospect assumption.</x:v>
      </x:c>
      <x:c r="H1390" s="11" t="n">
        <x:v>5</x:v>
      </x:c>
      <x:c r="I1390" s="11" t="n">
        <x:v>5</x:v>
      </x:c>
      <x:c r="J1390" s="11" t="n">
        <x:v>5</x:v>
      </x:c>
      <x:c r="K1390" s="11" t="n">
        <x:v>0</x:v>
      </x:c>
      <x:c r="L1390" s="17" t="n">
        <x:f>SUM(SUMIFS('Costing'!$P$9:$P$492,'Costing'!$A$9:$A$492,"PARTNER-M051"))</x:f>
        <x:v>200000</x:v>
      </x:c>
      <x:c r="M1390" s="17" t="n">
        <x:f>ROUND(L1390*'Costing'!$C$4,2)</x:f>
        <x:v>36000</x:v>
      </x:c>
      <x:c r="N1390" s="17" t="n">
        <x:f>L1390+M1390</x:f>
        <x:v>236000</x:v>
      </x:c>
      <x:c r="O1390" s="12" t="str">
        <x:v>Bengaluru</x:v>
      </x:c>
      <x:c r="P1390" s="12" t="str">
        <x:v>CORP-0469, CORP-0470, CORP-0471, CORP-0472, CORP-0473</x:v>
      </x:c>
      <x:c r="Q1390" s="12" t="str">
        <x:v>Jurimatrix</x:v>
      </x:c>
    </x:row>
    <x:row r="1391" ht="48" customHeight="1">
      <x:c r="A1391" s="2" t="str">
        <x:v>TEN-83FAF196AC32</x:v>
      </x:c>
      <x:c r="B1391" s="12" t="str">
        <x:v>Just In Time Watch Store</x:v>
      </x:c>
      <x:c r="C1391" s="12" t="str">
        <x:v>Business / brand</x:v>
      </x:c>
      <x:c r="D1391" s="12" t="str">
        <x:v>Trade, consumer &amp; logistics</x:v>
      </x:c>
      <x:c r="E1391" s="12" t="str">
        <x:v>Retail, consumer products &amp; ecommerce</x:v>
      </x:c>
      <x:c r="F1391" s="12" t="str">
        <x:v>Small-scale prospects</x:v>
      </x:c>
      <x:c r="G1391" s="12" t="str">
        <x:v>Trading or consumer-services business; small-scale prospect assumption.</x:v>
      </x:c>
      <x:c r="H1391" s="11" t="n">
        <x:v>1</x:v>
      </x:c>
      <x:c r="I1391" s="11" t="n">
        <x:v>7</x:v>
      </x:c>
      <x:c r="J1391" s="11" t="n">
        <x:v>7</x:v>
      </x:c>
      <x:c r="K1391" s="11" t="n">
        <x:v>0</x:v>
      </x:c>
      <x:c r="L1391" s="17" t="n">
        <x:f>SUM(SUMIFS('Costing'!$P$9:$P$492,'Costing'!$A$9:$A$492,"MAIN-382"))</x:f>
        <x:v>140000</x:v>
      </x:c>
      <x:c r="M1391" s="17" t="n">
        <x:f>ROUND(L1391*'Costing'!$C$4,2)</x:f>
        <x:v>25200</x:v>
      </x:c>
      <x:c r="N1391" s="17" t="n">
        <x:f>L1391+M1391</x:f>
        <x:v>165200</x:v>
      </x:c>
      <x:c r="O1391" s="12" t="str">
        <x:v>Pune</x:v>
      </x:c>
      <x:c r="P1391" s="12" t="str">
        <x:v>CORP-0378</x:v>
      </x:c>
      <x:c r="Q1391" s="12" t="str">
        <x:v>Just In Time Watch Store</x:v>
      </x:c>
    </x:row>
    <x:row r="1392" ht="48" customHeight="1">
      <x:c r="A1392" s="2" t="str">
        <x:v>TEN-87E2BA2B12A3</x:v>
      </x:c>
      <x:c r="B1392" s="12" t="str">
        <x:v>JustAnswer</x:v>
      </x:c>
      <x:c r="C1392" s="12" t="str">
        <x:v>Business / brand</x:v>
      </x:c>
      <x:c r="D1392" s="12" t="str">
        <x:v>Professional services</x:v>
      </x:c>
      <x:c r="E1392" s="12" t="str">
        <x:v>Research, marketing &amp; professional services</x:v>
      </x:c>
      <x:c r="F1392" s="12" t="str">
        <x:v>Mixed business audience</x:v>
      </x:c>
      <x:c r="G1392" s="12" t="str">
        <x:v>Established brand or business network; local company scale is not established. Use a mixed-business message.</x:v>
      </x:c>
      <x:c r="H1392" s="11" t="n">
        <x:v>1</x:v>
      </x:c>
      <x:c r="I1392" s="11" t="n">
        <x:v>2</x:v>
      </x:c>
      <x:c r="J1392" s="11" t="n">
        <x:v>2</x:v>
      </x:c>
      <x:c r="K1392" s="11" t="n">
        <x:v>0</x:v>
      </x:c>
      <x:c r="L1392" s="17" t="n">
        <x:f>SUM(SUMIFS('Costing'!$P$9:$P$492,'Costing'!$A$9:$A$492,"MAIN-049"))</x:f>
        <x:v>40000</x:v>
      </x:c>
      <x:c r="M1392" s="17" t="n">
        <x:f>ROUND(L1392*'Costing'!$C$4,2)</x:f>
        <x:v>7200</x:v>
      </x:c>
      <x:c r="N1392" s="17" t="n">
        <x:f>L1392+M1392</x:f>
        <x:v>47200</x:v>
      </x:c>
      <x:c r="O1392" s="12" t="str">
        <x:v>Bengaluru</x:v>
      </x:c>
      <x:c r="P1392" s="12" t="str">
        <x:v>CORP-0045</x:v>
      </x:c>
      <x:c r="Q1392" s="12" t="str">
        <x:v>JustAnswer</x:v>
      </x:c>
    </x:row>
    <x:row r="1393" ht="48" customHeight="1">
      <x:c r="A1393" s="2" t="str">
        <x:v>TEN-0006A53C9A96</x:v>
      </x:c>
      <x:c r="B1393" s="12" t="str">
        <x:v>Justdial</x:v>
      </x:c>
      <x:c r="C1393" s="12" t="str">
        <x:v>Business / brand</x:v>
      </x:c>
      <x:c r="D1393" s="12" t="str">
        <x:v>Trade, consumer &amp; logistics</x:v>
      </x:c>
      <x:c r="E1393" s="12" t="str">
        <x:v>Retail, consumer products &amp; ecommerce</x:v>
      </x:c>
      <x:c r="F1393" s="12" t="str">
        <x:v>Mixed business audience</x:v>
      </x:c>
      <x:c r="G1393" s="12" t="str">
        <x:v>Established brand or business network; local company scale is not established. Use a mixed-business message.</x:v>
      </x:c>
      <x:c r="H1393" s="11" t="n">
        <x:v>5</x:v>
      </x:c>
      <x:c r="I1393" s="11" t="n">
        <x:v>5</x:v>
      </x:c>
      <x:c r="J1393" s="11" t="n">
        <x:v>5</x:v>
      </x:c>
      <x:c r="K1393" s="11" t="n">
        <x:v>0</x:v>
      </x:c>
      <x:c r="L1393" s="17" t="n">
        <x:f>SUM(SUMIFS('Costing'!$P$9:$P$492,'Costing'!$A$9:$A$492,"PARTNER-M051"))</x:f>
        <x:v>200000</x:v>
      </x:c>
      <x:c r="M1393" s="17" t="n">
        <x:f>ROUND(L1393*'Costing'!$C$4,2)</x:f>
        <x:v>36000</x:v>
      </x:c>
      <x:c r="N1393" s="17" t="n">
        <x:f>L1393+M1393</x:f>
        <x:v>236000</x:v>
      </x:c>
      <x:c r="O1393" s="12" t="str">
        <x:v>Bengaluru</x:v>
      </x:c>
      <x:c r="P1393" s="12" t="str">
        <x:v>CORP-0469, CORP-0470, CORP-0471, CORP-0472, CORP-0473</x:v>
      </x:c>
      <x:c r="Q1393" s="12" t="str">
        <x:v>Justdial</x:v>
      </x:c>
    </x:row>
    <x:row r="1394" ht="48" customHeight="1">
      <x:c r="A1394" s="2" t="str">
        <x:v>TEN-816AAFE58551</x:v>
      </x:c>
      <x:c r="B1394" s="12" t="str">
        <x:v>Jyeshtha Solutions Pvt Ltd</x:v>
      </x:c>
      <x:c r="C1394" s="12" t="str">
        <x:v>Business / brand</x:v>
      </x:c>
      <x:c r="D1394" s="12" t="str">
        <x:v>Unresolved</x:v>
      </x:c>
      <x:c r="E1394" s="12" t="str">
        <x:v>Business activity not established</x:v>
      </x:c>
      <x:c r="F1394" s="12" t="str">
        <x:v>Mixed business audience</x:v>
      </x:c>
      <x:c r="G1394" s="12" t="str">
        <x:v>Business activity and company scale are not established from this name.</x:v>
      </x:c>
      <x:c r="H1394" s="11" t="n">
        <x:v>2</x:v>
      </x:c>
      <x:c r="I1394" s="11" t="n">
        <x:v>2</x:v>
      </x:c>
      <x:c r="J1394" s="11" t="n">
        <x:v>2</x:v>
      </x:c>
      <x:c r="K1394" s="11" t="n">
        <x:v>0</x:v>
      </x:c>
      <x:c r="L1394" s="17" t="n">
        <x:f>SUM(SUMIFS('Costing'!$P$9:$P$492,'Costing'!$A$9:$A$492,"PARTNER-M065"))</x:f>
        <x:v>80000</x:v>
      </x:c>
      <x:c r="M1394" s="17" t="n">
        <x:f>ROUND(L1394*'Costing'!$C$4,2)</x:f>
        <x:v>14400</x:v>
      </x:c>
      <x:c r="N1394" s="17" t="n">
        <x:f>L1394+M1394</x:f>
        <x:v>94400</x:v>
      </x:c>
      <x:c r="O1394" s="12" t="str">
        <x:v>Bengaluru</x:v>
      </x:c>
      <x:c r="P1394" s="12" t="str">
        <x:v>CORP-0483, CORP-0484</x:v>
      </x:c>
      <x:c r="Q1394" s="12" t="str">
        <x:v>Jyeshtha Solutions Pvt Ltd</x:v>
      </x:c>
    </x:row>
    <x:row r="1395" ht="48" customHeight="1">
      <x:c r="A1395" s="2" t="str">
        <x:v>TEN-0716830D1238</x:v>
      </x:c>
      <x:c r="B1395" s="12" t="str">
        <x:v>Kaalari Capital</x:v>
      </x:c>
      <x:c r="C1395" s="12" t="str">
        <x:v>Business / brand</x:v>
      </x:c>
      <x:c r="D1395" s="12" t="str">
        <x:v>Finance &amp; insurance</x:v>
      </x:c>
      <x:c r="E1395" s="12" t="str">
        <x:v>Investments, securities &amp; wealth</x:v>
      </x:c>
      <x:c r="F1395" s="12" t="str">
        <x:v>Medium-scale prospects</x:v>
      </x:c>
      <x:c r="G1395" s="12" t="str">
        <x:v>Specialist financial-services business; medium-scale prospect assumption.</x:v>
      </x:c>
      <x:c r="H1395" s="11" t="n">
        <x:v>9</x:v>
      </x:c>
      <x:c r="I1395" s="11" t="n">
        <x:v>9</x:v>
      </x:c>
      <x:c r="J1395" s="11" t="n">
        <x:v>9</x:v>
      </x:c>
      <x:c r="K1395" s="11" t="n">
        <x:v>0</x:v>
      </x:c>
      <x:c r="L1395" s="17" t="n">
        <x:f>SUM(SUMIFS('Costing'!$P$9:$P$492,'Costing'!$A$9:$A$492,"PARTNER-M002"))</x:f>
        <x:v>360000</x:v>
      </x:c>
      <x:c r="M1395" s="17" t="n">
        <x:f>ROUND(L1395*'Costing'!$C$4,2)</x:f>
        <x:v>64800</x:v>
      </x:c>
      <x:c r="N1395" s="17" t="n">
        <x:f>L1395+M1395</x:f>
        <x:v>424800</x:v>
      </x:c>
      <x:c r="O1395" s="12" t="str">
        <x:v>Bengaluru</x:v>
      </x:c>
      <x:c r="P1395" s="12" t="str">
        <x:v>CORP-0420, CORP-0421, CORP-0422, CORP-0423, CORP-0424, CORP-0425, CORP-0426, CORP-0427, CORP-0428</x:v>
      </x:c>
      <x:c r="Q1395" s="12" t="str">
        <x:v>Kaalari Capital</x:v>
      </x:c>
    </x:row>
    <x:row r="1396" ht="48" customHeight="1">
      <x:c r="A1396" s="2" t="str">
        <x:v>TEN-CDFF61B47EDF</x:v>
      </x:c>
      <x:c r="B1396" s="12" t="str">
        <x:v>Kabelo</x:v>
      </x:c>
      <x:c r="C1396" s="12" t="str">
        <x:v>Business / brand</x:v>
      </x:c>
      <x:c r="D1396" s="12" t="str">
        <x:v>Unresolved</x:v>
      </x:c>
      <x:c r="E1396" s="12" t="str">
        <x:v>Business activity not established</x:v>
      </x:c>
      <x:c r="F1396" s="12" t="str">
        <x:v>Mixed business audience</x:v>
      </x:c>
      <x:c r="G1396" s="12" t="str">
        <x:v>Business activity and company scale are not established from this name.</x:v>
      </x:c>
      <x:c r="H1396" s="11" t="n">
        <x:v>1</x:v>
      </x:c>
      <x:c r="I1396" s="11" t="n">
        <x:v>1</x:v>
      </x:c>
      <x:c r="J1396" s="11" t="n">
        <x:v>1</x:v>
      </x:c>
      <x:c r="K1396" s="11" t="n">
        <x:v>0</x:v>
      </x:c>
      <x:c r="L1396" s="17" t="n">
        <x:f>SUM(SUMIFS('Costing'!$P$9:$P$492,'Costing'!$A$9:$A$492,"MAIN-274"))</x:f>
        <x:v>40000</x:v>
      </x:c>
      <x:c r="M1396" s="17" t="n">
        <x:f>ROUND(L1396*'Costing'!$C$4,2)</x:f>
        <x:v>7200</x:v>
      </x:c>
      <x:c r="N1396" s="17" t="n">
        <x:f>L1396+M1396</x:f>
        <x:v>47200</x:v>
      </x:c>
      <x:c r="O1396" s="12" t="str">
        <x:v>Indore</x:v>
      </x:c>
      <x:c r="P1396" s="12" t="str">
        <x:v>CORP-0270</x:v>
      </x:c>
      <x:c r="Q1396" s="12" t="str">
        <x:v>Kabelo</x:v>
      </x:c>
    </x:row>
    <x:row r="1397" ht="48" customHeight="1">
      <x:c r="A1397" s="2" t="str">
        <x:v>TEN-610A92A03F91</x:v>
      </x:c>
      <x:c r="B1397" s="12" t="str">
        <x:v>Kagool Data</x:v>
      </x:c>
      <x:c r="C1397" s="12" t="str">
        <x:v>Business / brand</x:v>
      </x:c>
      <x:c r="D1397" s="12" t="str">
        <x:v>IT &amp; digital</x:v>
      </x:c>
      <x:c r="E1397" s="12" t="str">
        <x:v>AI, data &amp; analytics</x:v>
      </x:c>
      <x:c r="F1397" s="12" t="str">
        <x:v>Small-scale prospects</x:v>
      </x:c>
      <x:c r="G1397" s="12" t="str">
        <x:v>Software or technology-services business; small-scale prospect assumption.</x:v>
      </x:c>
      <x:c r="H1397" s="11" t="n">
        <x:v>7</x:v>
      </x:c>
      <x:c r="I1397" s="11" t="n">
        <x:v>7</x:v>
      </x:c>
      <x:c r="J1397" s="11" t="n">
        <x:v>7</x:v>
      </x:c>
      <x:c r="K1397" s="11" t="n">
        <x:v>0</x:v>
      </x:c>
      <x:c r="L1397" s="17" t="n">
        <x:f>SUM(SUMIFS('Costing'!$P$9:$P$492,'Costing'!$A$9:$A$492,"PARTNER-M317"))</x:f>
        <x:v>280000</x:v>
      </x:c>
      <x:c r="M1397" s="17" t="n">
        <x:f>ROUND(L1397*'Costing'!$C$4,2)</x:f>
        <x:v>50400</x:v>
      </x:c>
      <x:c r="N1397" s="17" t="n">
        <x:f>L1397+M1397</x:f>
        <x:v>330400</x:v>
      </x:c>
      <x:c r="O1397" s="12" t="str">
        <x:v>Hyderabad</x:v>
      </x:c>
      <x:c r="P1397" s="12" t="str">
        <x:v>CORP-0732, CORP-0733, CORP-0734, CORP-0735, CORP-0736, CORP-0737, CORP-0738</x:v>
      </x:c>
      <x:c r="Q1397" s="12" t="str">
        <x:v>Kagool Data</x:v>
      </x:c>
    </x:row>
    <x:row r="1398" ht="48" customHeight="1">
      <x:c r="A1398" s="2" t="str">
        <x:v>TEN-1C803D88AFC5</x:v>
      </x:c>
      <x:c r="B1398" s="12" t="str">
        <x:v>Kainoos geospartial technologies</x:v>
      </x:c>
      <x:c r="C1398" s="12" t="str">
        <x:v>Business / brand</x:v>
      </x:c>
      <x:c r="D1398" s="12" t="str">
        <x:v>Unresolved</x:v>
      </x:c>
      <x:c r="E1398" s="12" t="str">
        <x:v>Business activity not established</x:v>
      </x:c>
      <x:c r="F1398" s="12" t="str">
        <x:v>Mixed business audience</x:v>
      </x:c>
      <x:c r="G1398" s="12" t="str">
        <x:v>Business activity and company scale are not established from this name.</x:v>
      </x:c>
      <x:c r="H1398" s="11" t="n">
        <x:v>1</x:v>
      </x:c>
      <x:c r="I1398" s="11" t="n">
        <x:v>4</x:v>
      </x:c>
      <x:c r="J1398" s="11" t="n">
        <x:v>4</x:v>
      </x:c>
      <x:c r="K1398" s="11" t="n">
        <x:v>0</x:v>
      </x:c>
      <x:c r="L1398" s="17" t="n">
        <x:f>SUM(SUMIFS('Costing'!$P$9:$P$492,'Costing'!$A$9:$A$492,"MAIN-226"))</x:f>
        <x:v>60000</x:v>
      </x:c>
      <x:c r="M1398" s="17" t="n">
        <x:f>ROUND(L1398*'Costing'!$C$4,2)</x:f>
        <x:v>10800</x:v>
      </x:c>
      <x:c r="N1398" s="17" t="n">
        <x:f>L1398+M1398</x:f>
        <x:v>70800</x:v>
      </x:c>
      <x:c r="O1398" s="12" t="str">
        <x:v>Hyderabad</x:v>
      </x:c>
      <x:c r="P1398" s="12" t="str">
        <x:v>CORP-0222</x:v>
      </x:c>
      <x:c r="Q1398" s="12" t="str">
        <x:v>Kainoos geospartial technologies</x:v>
      </x:c>
    </x:row>
    <x:row r="1399" ht="48" customHeight="1">
      <x:c r="A1399" s="2" t="str">
        <x:v>TEN-5A6E2962D1EB</x:v>
      </x:c>
      <x:c r="B1399" s="12" t="str">
        <x:v>Kairos Technologies</x:v>
      </x:c>
      <x:c r="C1399" s="12" t="str">
        <x:v>Business / brand</x:v>
      </x:c>
      <x:c r="D1399" s="12" t="str">
        <x:v>IT &amp; digital</x:v>
      </x:c>
      <x:c r="E1399" s="12" t="str">
        <x:v>Enterprise software &amp; digital engineering</x:v>
      </x:c>
      <x:c r="F1399" s="12" t="str">
        <x:v>Small-scale prospects</x:v>
      </x:c>
      <x:c r="G1399" s="12" t="str">
        <x:v>Software or technology-services business; small-scale prospect assumption.</x:v>
      </x:c>
      <x:c r="H1399" s="11" t="n">
        <x:v>1</x:v>
      </x:c>
      <x:c r="I1399" s="11" t="n">
        <x:v>2</x:v>
      </x:c>
      <x:c r="J1399" s="11" t="n">
        <x:v>2</x:v>
      </x:c>
      <x:c r="K1399" s="11" t="n">
        <x:v>0</x:v>
      </x:c>
      <x:c r="L1399" s="17" t="n">
        <x:f>SUM(SUMIFS('Costing'!$P$9:$P$492,'Costing'!$A$9:$A$492,"MAIN-012"))</x:f>
        <x:v>30000</x:v>
      </x:c>
      <x:c r="M1399" s="17" t="n">
        <x:f>ROUND(L1399*'Costing'!$C$4,2)</x:f>
        <x:v>5400</x:v>
      </x:c>
      <x:c r="N1399" s="17" t="n">
        <x:f>L1399+M1399</x:f>
        <x:v>35400</x:v>
      </x:c>
      <x:c r="O1399" s="12" t="str">
        <x:v>Bengaluru</x:v>
      </x:c>
      <x:c r="P1399" s="12" t="str">
        <x:v>CORP-0008</x:v>
      </x:c>
      <x:c r="Q1399" s="12" t="str">
        <x:v>Kairos Technologies</x:v>
      </x:c>
    </x:row>
    <x:row r="1400" ht="48" customHeight="1">
      <x:c r="A1400" s="2" t="str">
        <x:v>TEN-3430682EB17F</x:v>
      </x:c>
      <x:c r="B1400" s="12" t="str">
        <x:v>Kalinda</x:v>
      </x:c>
      <x:c r="C1400" s="12" t="str">
        <x:v>Business / brand</x:v>
      </x:c>
      <x:c r="D1400" s="12" t="str">
        <x:v>Unresolved</x:v>
      </x:c>
      <x:c r="E1400" s="12" t="str">
        <x:v>Business activity not established</x:v>
      </x:c>
      <x:c r="F1400" s="12" t="str">
        <x:v>Mixed business audience</x:v>
      </x:c>
      <x:c r="G1400" s="12" t="str">
        <x:v>Business activity and company scale are not established from this name.</x:v>
      </x:c>
      <x:c r="H1400" s="11" t="n">
        <x:v>1</x:v>
      </x:c>
      <x:c r="I1400" s="11" t="n">
        <x:v>1</x:v>
      </x:c>
      <x:c r="J1400" s="11" t="n">
        <x:v>1</x:v>
      </x:c>
      <x:c r="K1400" s="11" t="n">
        <x:v>0</x:v>
      </x:c>
      <x:c r="L1400" s="17" t="n">
        <x:f>SUM(SUMIFS('Costing'!$P$9:$P$492,'Costing'!$A$9:$A$492,"MAIN-266"))</x:f>
        <x:v>20000</x:v>
      </x:c>
      <x:c r="M1400" s="17" t="n">
        <x:f>ROUND(L1400*'Costing'!$C$4,2)</x:f>
        <x:v>3600</x:v>
      </x:c>
      <x:c r="N1400" s="17" t="n">
        <x:f>L1400+M1400</x:f>
        <x:v>23600</x:v>
      </x:c>
      <x:c r="O1400" s="12" t="str">
        <x:v>Indore</x:v>
      </x:c>
      <x:c r="P1400" s="12" t="str">
        <x:v>CORP-0262</x:v>
      </x:c>
      <x:c r="Q1400" s="12" t="str">
        <x:v>Kalinda</x:v>
      </x:c>
    </x:row>
    <x:row r="1401" ht="48" customHeight="1">
      <x:c r="A1401" s="2" t="str">
        <x:v>TEN-19A94B5F240F</x:v>
      </x:c>
      <x:c r="B1401" s="12" t="str">
        <x:v>Kamani Foods</x:v>
      </x:c>
      <x:c r="C1401" s="12" t="str">
        <x:v>Business / brand</x:v>
      </x:c>
      <x:c r="D1401" s="12" t="str">
        <x:v>Trade, consumer &amp; logistics</x:v>
      </x:c>
      <x:c r="E1401" s="12" t="str">
        <x:v>Travel, hospitality, food &amp; beverages</x:v>
      </x:c>
      <x:c r="F1401" s="12" t="str">
        <x:v>Small-scale prospects</x:v>
      </x:c>
      <x:c r="G1401" s="12" t="str">
        <x:v>Trading or consumer-services business; small-scale prospect assumption.</x:v>
      </x:c>
      <x:c r="H1401" s="11" t="n">
        <x:v>1</x:v>
      </x:c>
      <x:c r="I1401" s="11" t="n">
        <x:v>2</x:v>
      </x:c>
      <x:c r="J1401" s="11" t="n">
        <x:v>2</x:v>
      </x:c>
      <x:c r="K1401" s="11" t="n">
        <x:v>0</x:v>
      </x:c>
      <x:c r="L1401" s="17" t="n">
        <x:f>SUM(SUMIFS('Costing'!$P$9:$P$492,'Costing'!$A$9:$A$492,"MAIN-325"))</x:f>
        <x:v>80000</x:v>
      </x:c>
      <x:c r="M1401" s="17" t="n">
        <x:f>ROUND(L1401*'Costing'!$C$4,2)</x:f>
        <x:v>14400</x:v>
      </x:c>
      <x:c r="N1401" s="17" t="n">
        <x:f>L1401+M1401</x:f>
        <x:v>94400</x:v>
      </x:c>
      <x:c r="O1401" s="12" t="str">
        <x:v>Mumbai</x:v>
      </x:c>
      <x:c r="P1401" s="12" t="str">
        <x:v>CORP-0321</x:v>
      </x:c>
      <x:c r="Q1401" s="12" t="str">
        <x:v>Kamani Foods</x:v>
      </x:c>
    </x:row>
    <x:row r="1402" ht="48" customHeight="1">
      <x:c r="A1402" s="2" t="str">
        <x:v>TEN-93C8F532FDF9</x:v>
      </x:c>
      <x:c r="B1402" s="12" t="str">
        <x:v>Kanini Software Solutions</x:v>
      </x:c>
      <x:c r="C1402" s="12" t="str">
        <x:v>Business / brand</x:v>
      </x:c>
      <x:c r="D1402" s="12" t="str">
        <x:v>IT &amp; digital</x:v>
      </x:c>
      <x:c r="E1402" s="12" t="str">
        <x:v>Enterprise software &amp; digital engineering</x:v>
      </x:c>
      <x:c r="F1402" s="12" t="str">
        <x:v>Small-scale prospects</x:v>
      </x:c>
      <x:c r="G1402" s="12" t="str">
        <x:v>Software or technology-services business; small-scale prospect assumption.</x:v>
      </x:c>
      <x:c r="H1402" s="11" t="n">
        <x:v>3</x:v>
      </x:c>
      <x:c r="I1402" s="11" t="n">
        <x:v>3</x:v>
      </x:c>
      <x:c r="J1402" s="11" t="n">
        <x:v>3</x:v>
      </x:c>
      <x:c r="K1402" s="11" t="n">
        <x:v>0</x:v>
      </x:c>
      <x:c r="L1402" s="17" t="n">
        <x:f>SUM(SUMIFS('Costing'!$P$9:$P$492,'Costing'!$A$9:$A$492,"PARTNER-M166"))</x:f>
        <x:v>120000</x:v>
      </x:c>
      <x:c r="M1402" s="17" t="n">
        <x:f>ROUND(L1402*'Costing'!$C$4,2)</x:f>
        <x:v>21600</x:v>
      </x:c>
      <x:c r="N1402" s="17" t="n">
        <x:f>L1402+M1402</x:f>
        <x:v>141600</x:v>
      </x:c>
      <x:c r="O1402" s="12" t="str">
        <x:v>Bengaluru</x:v>
      </x:c>
      <x:c r="P1402" s="12" t="str">
        <x:v>CORP-0584, CORP-0585, CORP-0586</x:v>
      </x:c>
      <x:c r="Q1402" s="12" t="str">
        <x:v>Kanini Software Solutions</x:v>
      </x:c>
    </x:row>
    <x:row r="1403" ht="48" customHeight="1">
      <x:c r="A1403" s="2" t="str">
        <x:v>TEN-A9AF929E65A2</x:v>
      </x:c>
      <x:c r="B1403" s="12" t="str">
        <x:v>Kanoon-e Law Firm</x:v>
      </x:c>
      <x:c r="C1403" s="12" t="str">
        <x:v>Business / brand</x:v>
      </x:c>
      <x:c r="D1403" s="12" t="str">
        <x:v>Professional services</x:v>
      </x:c>
      <x:c r="E1403" s="12" t="str">
        <x:v>Legal &amp; intellectual property</x:v>
      </x:c>
      <x:c r="F1403" s="12" t="str">
        <x:v>Small-scale prospects</x:v>
      </x:c>
      <x:c r="G1403" s="12" t="str">
        <x:v>Professional service, agency or advisory model; small-scale prospect assumption.</x:v>
      </x:c>
      <x:c r="H1403" s="11" t="n">
        <x:v>1</x:v>
      </x:c>
      <x:c r="I1403" s="11" t="n">
        <x:v>15</x:v>
      </x:c>
      <x:c r="J1403" s="11" t="n">
        <x:v>15</x:v>
      </x:c>
      <x:c r="K1403" s="11" t="n">
        <x:v>0</x:v>
      </x:c>
      <x:c r="L1403" s="17" t="n">
        <x:f>SUM(SUMIFS('Costing'!$P$9:$P$492,'Costing'!$A$9:$A$492,"MAIN-169"))</x:f>
        <x:v>300000</x:v>
      </x:c>
      <x:c r="M1403" s="17" t="n">
        <x:f>ROUND(L1403*'Costing'!$C$4,2)</x:f>
        <x:v>54000</x:v>
      </x:c>
      <x:c r="N1403" s="17" t="n">
        <x:f>L1403+M1403</x:f>
        <x:v>354000</x:v>
      </x:c>
      <x:c r="O1403" s="12" t="str">
        <x:v>Delhi NCR</x:v>
      </x:c>
      <x:c r="P1403" s="12" t="str">
        <x:v>CORP-0165</x:v>
      </x:c>
      <x:c r="Q1403" s="12" t="str">
        <x:v>Kanoon-e Law Firm</x:v>
      </x:c>
    </x:row>
    <x:row r="1404" ht="48" customHeight="1">
      <x:c r="A1404" s="2" t="str">
        <x:v>TEN-0AA7D6A50FF6</x:v>
      </x:c>
      <x:c r="B1404" s="12" t="str">
        <x:v>Kantar</x:v>
      </x:c>
      <x:c r="C1404" s="12" t="str">
        <x:v>Business / brand</x:v>
      </x:c>
      <x:c r="D1404" s="12" t="str">
        <x:v>Professional services</x:v>
      </x:c>
      <x:c r="E1404" s="12" t="str">
        <x:v>Marketing, media &amp; research services</x:v>
      </x:c>
      <x:c r="F1404" s="12" t="str">
        <x:v>Mixed business audience</x:v>
      </x:c>
      <x:c r="G1404" s="12" t="str">
        <x:v>Recognisable business context; company-scale evidence remains insufficient for a single size band.</x:v>
      </x:c>
      <x:c r="H1404" s="11" t="n">
        <x:v>1</x:v>
      </x:c>
      <x:c r="I1404" s="11" t="n">
        <x:v>2</x:v>
      </x:c>
      <x:c r="J1404" s="11" t="n">
        <x:v>2</x:v>
      </x:c>
      <x:c r="K1404" s="11" t="n">
        <x:v>0</x:v>
      </x:c>
      <x:c r="L1404" s="17" t="n">
        <x:f>SUM(SUMIFS('Costing'!$P$9:$P$492,'Costing'!$A$9:$A$492,"MAIN-117"))</x:f>
        <x:v>50000</x:v>
      </x:c>
      <x:c r="M1404" s="17" t="n">
        <x:f>ROUND(L1404*'Costing'!$C$4,2)</x:f>
        <x:v>9000</x:v>
      </x:c>
      <x:c r="N1404" s="17" t="n">
        <x:f>L1404+M1404</x:f>
        <x:v>59000</x:v>
      </x:c>
      <x:c r="O1404" s="12" t="str">
        <x:v>Bengaluru</x:v>
      </x:c>
      <x:c r="P1404" s="12" t="str">
        <x:v>CORP-0113</x:v>
      </x:c>
      <x:c r="Q1404" s="12" t="str">
        <x:v>Kantar</x:v>
      </x:c>
    </x:row>
    <x:row r="1405" ht="48" customHeight="1">
      <x:c r="A1405" s="2" t="str">
        <x:v>TEN-D17B85E52ABA</x:v>
      </x:c>
      <x:c r="B1405" s="12" t="str">
        <x:v>Kapil IT Solutions</x:v>
      </x:c>
      <x:c r="C1405" s="12" t="str">
        <x:v>Business / brand</x:v>
      </x:c>
      <x:c r="D1405" s="12" t="str">
        <x:v>IT &amp; digital</x:v>
      </x:c>
      <x:c r="E1405" s="12" t="str">
        <x:v>Enterprise software &amp; digital engineering</x:v>
      </x:c>
      <x:c r="F1405" s="12" t="str">
        <x:v>Small-scale prospects</x:v>
      </x:c>
      <x:c r="G1405" s="12" t="str">
        <x:v>Software or technology-services business; small-scale prospect assumption.</x:v>
      </x:c>
      <x:c r="H1405" s="11" t="n">
        <x:v>7</x:v>
      </x:c>
      <x:c r="I1405" s="11" t="n">
        <x:v>7</x:v>
      </x:c>
      <x:c r="J1405" s="11" t="n">
        <x:v>7</x:v>
      </x:c>
      <x:c r="K1405" s="11" t="n">
        <x:v>0</x:v>
      </x:c>
      <x:c r="L1405" s="17" t="n">
        <x:f>SUM(SUMIFS('Costing'!$P$9:$P$492,'Costing'!$A$9:$A$492,"PARTNER-M317"))</x:f>
        <x:v>280000</x:v>
      </x:c>
      <x:c r="M1405" s="17" t="n">
        <x:f>ROUND(L1405*'Costing'!$C$4,2)</x:f>
        <x:v>50400</x:v>
      </x:c>
      <x:c r="N1405" s="17" t="n">
        <x:f>L1405+M1405</x:f>
        <x:v>330400</x:v>
      </x:c>
      <x:c r="O1405" s="12" t="str">
        <x:v>Hyderabad</x:v>
      </x:c>
      <x:c r="P1405" s="12" t="str">
        <x:v>CORP-0732, CORP-0733, CORP-0734, CORP-0735, CORP-0736, CORP-0737, CORP-0738</x:v>
      </x:c>
      <x:c r="Q1405" s="12" t="str">
        <x:v>Kapil IT Solutions</x:v>
      </x:c>
    </x:row>
    <x:row r="1406" ht="48" customHeight="1">
      <x:c r="A1406" s="2" t="str">
        <x:v>TEN-3AFBF365C56B</x:v>
      </x:c>
      <x:c r="B1406" s="12" t="str">
        <x:v>Kapture CX</x:v>
      </x:c>
      <x:c r="C1406" s="12" t="str">
        <x:v>Business / brand</x:v>
      </x:c>
      <x:c r="D1406" s="12" t="str">
        <x:v>IT &amp; digital</x:v>
      </x:c>
      <x:c r="E1406" s="12" t="str">
        <x:v>Enterprise software &amp; digital engineering</x:v>
      </x:c>
      <x:c r="F1406" s="12" t="str">
        <x:v>Small-scale prospects</x:v>
      </x:c>
      <x:c r="G1406" s="12" t="str">
        <x:v>Software or technology-services business; small-scale prospect assumption.</x:v>
      </x:c>
      <x:c r="H1406" s="11" t="n">
        <x:v>1</x:v>
      </x:c>
      <x:c r="I1406" s="11" t="n">
        <x:v>1</x:v>
      </x:c>
      <x:c r="J1406" s="11" t="n">
        <x:v>1</x:v>
      </x:c>
      <x:c r="K1406" s="11" t="n">
        <x:v>0</x:v>
      </x:c>
      <x:c r="L1406" s="17" t="n">
        <x:f>SUM(SUMIFS('Costing'!$P$9:$P$492,'Costing'!$A$9:$A$492,"MAIN-011"))</x:f>
        <x:v>15000</x:v>
      </x:c>
      <x:c r="M1406" s="17" t="n">
        <x:f>ROUND(L1406*'Costing'!$C$4,2)</x:f>
        <x:v>2700</x:v>
      </x:c>
      <x:c r="N1406" s="17" t="n">
        <x:f>L1406+M1406</x:f>
        <x:v>17700</x:v>
      </x:c>
      <x:c r="O1406" s="12" t="str">
        <x:v>Bengaluru</x:v>
      </x:c>
      <x:c r="P1406" s="12" t="str">
        <x:v>CORP-0007</x:v>
      </x:c>
      <x:c r="Q1406" s="12" t="str">
        <x:v>Kapture CX</x:v>
      </x:c>
    </x:row>
    <x:row r="1407" ht="48" customHeight="1">
      <x:c r="A1407" s="2" t="str">
        <x:v>TEN-B877247CA363</x:v>
      </x:c>
      <x:c r="B1407" s="12" t="str">
        <x:v>Kaseya</x:v>
      </x:c>
      <x:c r="C1407" s="12" t="str">
        <x:v>Business / brand</x:v>
      </x:c>
      <x:c r="D1407" s="12" t="str">
        <x:v>IT &amp; digital</x:v>
      </x:c>
      <x:c r="E1407" s="12" t="str">
        <x:v>Enterprise software &amp; digital engineering</x:v>
      </x:c>
      <x:c r="F1407" s="12" t="str">
        <x:v>Mixed business audience</x:v>
      </x:c>
      <x:c r="G1407" s="12" t="str">
        <x:v>Established brand or business network; local company scale is not established. Use a mixed-business message.</x:v>
      </x:c>
      <x:c r="H1407" s="11" t="n">
        <x:v>7</x:v>
      </x:c>
      <x:c r="I1407" s="11" t="n">
        <x:v>7</x:v>
      </x:c>
      <x:c r="J1407" s="11" t="n">
        <x:v>7</x:v>
      </x:c>
      <x:c r="K1407" s="11" t="n">
        <x:v>0</x:v>
      </x:c>
      <x:c r="L1407" s="17" t="n">
        <x:f>SUM(SUMIFS('Costing'!$P$9:$P$492,'Costing'!$A$9:$A$492,"PARTNER-M027"))</x:f>
        <x:v>280000</x:v>
      </x:c>
      <x:c r="M1407" s="17" t="n">
        <x:f>ROUND(L1407*'Costing'!$C$4,2)</x:f>
        <x:v>50400</x:v>
      </x:c>
      <x:c r="N1407" s="17" t="n">
        <x:f>L1407+M1407</x:f>
        <x:v>330400</x:v>
      </x:c>
      <x:c r="O1407" s="12" t="str">
        <x:v>Bengaluru</x:v>
      </x:c>
      <x:c r="P1407" s="12" t="str">
        <x:v>CORP-0445, CORP-0446, CORP-0447, CORP-0448, CORP-0449, CORP-0450, CORP-0451</x:v>
      </x:c>
      <x:c r="Q1407" s="12" t="str">
        <x:v>Kaseya</x:v>
      </x:c>
    </x:row>
    <x:row r="1408" ht="48" customHeight="1">
      <x:c r="A1408" s="2" t="str">
        <x:v>TEN-1DCB318D6FA6</x:v>
      </x:c>
      <x:c r="B1408" s="12" t="str">
        <x:v>Kasmo</x:v>
      </x:c>
      <x:c r="C1408" s="12" t="str">
        <x:v>Business / brand</x:v>
      </x:c>
      <x:c r="D1408" s="12" t="str">
        <x:v>IT &amp; digital</x:v>
      </x:c>
      <x:c r="E1408" s="12" t="str">
        <x:v>Enterprise software &amp; digital engineering</x:v>
      </x:c>
      <x:c r="F1408" s="12" t="str">
        <x:v>Small-scale prospects</x:v>
      </x:c>
      <x:c r="G1408" s="12" t="str">
        <x:v>Software or technology-services business; small-scale prospect assumption.</x:v>
      </x:c>
      <x:c r="H1408" s="11" t="n">
        <x:v>1</x:v>
      </x:c>
      <x:c r="I1408" s="11" t="n">
        <x:v>2</x:v>
      </x:c>
      <x:c r="J1408" s="11" t="n">
        <x:v>2</x:v>
      </x:c>
      <x:c r="K1408" s="11" t="n">
        <x:v>0</x:v>
      </x:c>
      <x:c r="L1408" s="17" t="n">
        <x:f>SUM(SUMIFS('Costing'!$P$9:$P$492,'Costing'!$A$9:$A$492,"MAIN-092"))</x:f>
        <x:v>40000</x:v>
      </x:c>
      <x:c r="M1408" s="17" t="n">
        <x:f>ROUND(L1408*'Costing'!$C$4,2)</x:f>
        <x:v>7200</x:v>
      </x:c>
      <x:c r="N1408" s="17" t="n">
        <x:f>L1408+M1408</x:f>
        <x:v>47200</x:v>
      </x:c>
      <x:c r="O1408" s="12" t="str">
        <x:v>Bengaluru</x:v>
      </x:c>
      <x:c r="P1408" s="12" t="str">
        <x:v>CORP-0088</x:v>
      </x:c>
      <x:c r="Q1408" s="12" t="str">
        <x:v>Kasmo</x:v>
      </x:c>
    </x:row>
    <x:row r="1409" ht="48" customHeight="1">
      <x:c r="A1409" s="2" t="str">
        <x:v>TEN-904C75C4FCE9</x:v>
      </x:c>
      <x:c r="B1409" s="12" t="str">
        <x:v>KASPERSKY LAB INDIA PRIVATE LIMITE</x:v>
      </x:c>
      <x:c r="C1409" s="12" t="str">
        <x:v>Business / brand</x:v>
      </x:c>
      <x:c r="D1409" s="12" t="str">
        <x:v>IT &amp; digital</x:v>
      </x:c>
      <x:c r="E1409" s="12" t="str">
        <x:v>Cybersecurity &amp; cloud infrastructure</x:v>
      </x:c>
      <x:c r="F1409" s="12" t="str">
        <x:v>Mixed business audience</x:v>
      </x:c>
      <x:c r="G1409" s="12" t="str">
        <x:v>Recognisable business context; company-scale evidence remains insufficient for a single size band.</x:v>
      </x:c>
      <x:c r="H1409" s="11" t="n">
        <x:v>1</x:v>
      </x:c>
      <x:c r="I1409" s="11" t="n">
        <x:v>1</x:v>
      </x:c>
      <x:c r="J1409" s="11" t="n">
        <x:v>1</x:v>
      </x:c>
      <x:c r="K1409" s="11" t="n">
        <x:v>0</x:v>
      </x:c>
      <x:c r="L1409" s="17" t="n">
        <x:f>SUM(SUMIFS('Costing'!$P$9:$P$492,'Costing'!$A$9:$A$492,"MAIN-296"))</x:f>
        <x:v>15000</x:v>
      </x:c>
      <x:c r="M1409" s="17" t="n">
        <x:f>ROUND(L1409*'Costing'!$C$4,2)</x:f>
        <x:v>2700</x:v>
      </x:c>
      <x:c r="N1409" s="17" t="n">
        <x:f>L1409+M1409</x:f>
        <x:v>17700</x:v>
      </x:c>
      <x:c r="O1409" s="12" t="str">
        <x:v>Mumbai</x:v>
      </x:c>
      <x:c r="P1409" s="12" t="str">
        <x:v>CORP-0292</x:v>
      </x:c>
      <x:c r="Q1409" s="12" t="str">
        <x:v>KASPERSKY LAB INDIA PRIVATE LIMITE</x:v>
      </x:c>
    </x:row>
    <x:row r="1410" ht="48" customHeight="1">
      <x:c r="A1410" s="2" t="str">
        <x:v>TEN-BC0E58C3E04D</x:v>
      </x:c>
      <x:c r="B1410" s="12" t="str">
        <x:v>Katalyst Technologies Inc</x:v>
      </x:c>
      <x:c r="C1410" s="12" t="str">
        <x:v>Business / brand</x:v>
      </x:c>
      <x:c r="D1410" s="12" t="str">
        <x:v>IT &amp; digital</x:v>
      </x:c>
      <x:c r="E1410" s="12" t="str">
        <x:v>Enterprise software &amp; digital engineering</x:v>
      </x:c>
      <x:c r="F1410" s="12" t="str">
        <x:v>Small-scale prospects</x:v>
      </x:c>
      <x:c r="G1410" s="12" t="str">
        <x:v>Software or technology-services business; small-scale prospect assumption.</x:v>
      </x:c>
      <x:c r="H1410" s="11" t="n">
        <x:v>4</x:v>
      </x:c>
      <x:c r="I1410" s="11" t="n">
        <x:v>4</x:v>
      </x:c>
      <x:c r="J1410" s="11" t="n">
        <x:v>4</x:v>
      </x:c>
      <x:c r="K1410" s="11" t="n">
        <x:v>0</x:v>
      </x:c>
      <x:c r="L1410" s="17" t="n">
        <x:f>SUM(SUMIFS('Costing'!$P$9:$P$492,'Costing'!$A$9:$A$492,"PARTNER-M261"))</x:f>
        <x:v>160000</x:v>
      </x:c>
      <x:c r="M1410" s="17" t="n">
        <x:f>ROUND(L1410*'Costing'!$C$4,2)</x:f>
        <x:v>28800</x:v>
      </x:c>
      <x:c r="N1410" s="17" t="n">
        <x:f>L1410+M1410</x:f>
        <x:v>188800</x:v>
      </x:c>
      <x:c r="O1410" s="12" t="str">
        <x:v>Pune</x:v>
      </x:c>
      <x:c r="P1410" s="12" t="str">
        <x:v>CORP-0677, CORP-0678, CORP-0679, CORP-0680</x:v>
      </x:c>
      <x:c r="Q1410" s="12" t="str">
        <x:v>Katalyst Technologies Inc</x:v>
      </x:c>
    </x:row>
    <x:row r="1411" ht="48" customHeight="1">
      <x:c r="A1411" s="2" t="str">
        <x:v>TEN-3897B0BACDB2</x:v>
      </x:c>
      <x:c r="B1411" s="12" t="str">
        <x:v>Katerra Technologies Pvt Ltd</x:v>
      </x:c>
      <x:c r="C1411" s="12" t="str">
        <x:v>Business / brand</x:v>
      </x:c>
      <x:c r="D1411" s="12" t="str">
        <x:v>Unresolved</x:v>
      </x:c>
      <x:c r="E1411" s="12" t="str">
        <x:v>Business activity not established</x:v>
      </x:c>
      <x:c r="F1411" s="12" t="str">
        <x:v>Mixed business audience</x:v>
      </x:c>
      <x:c r="G1411" s="12" t="str">
        <x:v>Business activity and company scale are not established from this name.</x:v>
      </x:c>
      <x:c r="H1411" s="11" t="n">
        <x:v>1</x:v>
      </x:c>
      <x:c r="I1411" s="11" t="n">
        <x:v>4</x:v>
      </x:c>
      <x:c r="J1411" s="11" t="n">
        <x:v>4</x:v>
      </x:c>
      <x:c r="K1411" s="11" t="n">
        <x:v>0</x:v>
      </x:c>
      <x:c r="L1411" s="17" t="n">
        <x:f>SUM(SUMIFS('Costing'!$P$9:$P$492,'Costing'!$A$9:$A$492,"MAIN-130"))</x:f>
        <x:v>100000</x:v>
      </x:c>
      <x:c r="M1411" s="17" t="n">
        <x:f>ROUND(L1411*'Costing'!$C$4,2)</x:f>
        <x:v>18000</x:v>
      </x:c>
      <x:c r="N1411" s="17" t="n">
        <x:f>L1411+M1411</x:f>
        <x:v>118000</x:v>
      </x:c>
      <x:c r="O1411" s="12" t="str">
        <x:v>Bengaluru</x:v>
      </x:c>
      <x:c r="P1411" s="12" t="str">
        <x:v>CORP-0126</x:v>
      </x:c>
      <x:c r="Q1411" s="12" t="str">
        <x:v>Katerra Technologies Pvt Ltd</x:v>
      </x:c>
    </x:row>
    <x:row r="1412" ht="48" customHeight="1">
      <x:c r="A1412" s="2" t="str">
        <x:v>TEN-687E08E2CB17</x:v>
      </x:c>
      <x:c r="B1412" s="12" t="str">
        <x:v>Kavach Financial Services Private Limited</x:v>
      </x:c>
      <x:c r="C1412" s="12" t="str">
        <x:v>Business / brand</x:v>
      </x:c>
      <x:c r="D1412" s="12" t="str">
        <x:v>Finance &amp; insurance</x:v>
      </x:c>
      <x:c r="E1412" s="12" t="str">
        <x:v>Financial services — specialty unverified</x:v>
      </x:c>
      <x:c r="F1412" s="12" t="str">
        <x:v>Medium-scale prospects</x:v>
      </x:c>
      <x:c r="G1412" s="12" t="str">
        <x:v>Specialist financial-services business; medium-scale prospect assumption.</x:v>
      </x:c>
      <x:c r="H1412" s="11" t="n">
        <x:v>1</x:v>
      </x:c>
      <x:c r="I1412" s="11" t="n">
        <x:v>1</x:v>
      </x:c>
      <x:c r="J1412" s="11" t="n">
        <x:v>1</x:v>
      </x:c>
      <x:c r="K1412" s="11" t="n">
        <x:v>0</x:v>
      </x:c>
      <x:c r="L1412" s="17" t="n">
        <x:f>SUM(SUMIFS('Costing'!$P$9:$P$492,'Costing'!$A$9:$A$492,"MAIN-070"))</x:f>
        <x:v>15000</x:v>
      </x:c>
      <x:c r="M1412" s="17" t="n">
        <x:f>ROUND(L1412*'Costing'!$C$4,2)</x:f>
        <x:v>2700</x:v>
      </x:c>
      <x:c r="N1412" s="17" t="n">
        <x:f>L1412+M1412</x:f>
        <x:v>17700</x:v>
      </x:c>
      <x:c r="O1412" s="12" t="str">
        <x:v>Bengaluru</x:v>
      </x:c>
      <x:c r="P1412" s="12" t="str">
        <x:v>CORP-0066</x:v>
      </x:c>
      <x:c r="Q1412" s="12" t="str">
        <x:v>Kavach Financial Services Private Limited</x:v>
      </x:c>
    </x:row>
    <x:row r="1413" ht="48" customHeight="1">
      <x:c r="A1413" s="2" t="str">
        <x:v>TEN-642BFD277E31</x:v>
      </x:c>
      <x:c r="B1413" s="12" t="str">
        <x:v>KBR</x:v>
      </x:c>
      <x:c r="C1413" s="12" t="str">
        <x:v>Business / brand</x:v>
      </x:c>
      <x:c r="D1413" s="12" t="str">
        <x:v>Engineering &amp; manufacturing</x:v>
      </x:c>
      <x:c r="E1413" s="12" t="str">
        <x:v>Electronics, industrial systems &amp; manufacturing</x:v>
      </x:c>
      <x:c r="F1413" s="12" t="str">
        <x:v>Mixed business audience</x:v>
      </x:c>
      <x:c r="G1413" s="12" t="str">
        <x:v>Established brand or business network; local company scale is not established. Use a mixed-business message.</x:v>
      </x:c>
      <x:c r="H1413" s="11" t="n">
        <x:v>2</x:v>
      </x:c>
      <x:c r="I1413" s="11" t="n">
        <x:v>2</x:v>
      </x:c>
      <x:c r="J1413" s="11" t="n">
        <x:v>2</x:v>
      </x:c>
      <x:c r="K1413" s="11" t="n">
        <x:v>0</x:v>
      </x:c>
      <x:c r="L1413" s="17" t="n">
        <x:f>SUM(SUMIFS('Costing'!$P$9:$P$492,'Costing'!$A$9:$A$492,"PARTNER-M332"))</x:f>
        <x:v>80000</x:v>
      </x:c>
      <x:c r="M1413" s="17" t="n">
        <x:f>ROUND(L1413*'Costing'!$C$4,2)</x:f>
        <x:v>14400</x:v>
      </x:c>
      <x:c r="N1413" s="17" t="n">
        <x:f>L1413+M1413</x:f>
        <x:v>94400</x:v>
      </x:c>
      <x:c r="O1413" s="12" t="str">
        <x:v>Chennai</x:v>
      </x:c>
      <x:c r="P1413" s="12" t="str">
        <x:v>CORP-0746, CORP-0747</x:v>
      </x:c>
      <x:c r="Q1413" s="12" t="str">
        <x:v>KBR</x:v>
      </x:c>
    </x:row>
    <x:row r="1414" ht="48" customHeight="1">
      <x:c r="A1414" s="2" t="str">
        <x:v>TEN-92A46CAA865E</x:v>
      </x:c>
      <x:c r="B1414" s="12" t="str">
        <x:v>Keen Solution</x:v>
      </x:c>
      <x:c r="C1414" s="12" t="str">
        <x:v>Business / brand</x:v>
      </x:c>
      <x:c r="D1414" s="12" t="str">
        <x:v>Unresolved</x:v>
      </x:c>
      <x:c r="E1414" s="12" t="str">
        <x:v>Business activity not established</x:v>
      </x:c>
      <x:c r="F1414" s="12" t="str">
        <x:v>Mixed business audience</x:v>
      </x:c>
      <x:c r="G1414" s="12" t="str">
        <x:v>Business activity and company scale are not established from this name.</x:v>
      </x:c>
      <x:c r="H1414" s="11" t="n">
        <x:v>1</x:v>
      </x:c>
      <x:c r="I1414" s="11" t="n">
        <x:v>2</x:v>
      </x:c>
      <x:c r="J1414" s="11" t="n">
        <x:v>2</x:v>
      </x:c>
      <x:c r="K1414" s="11" t="n">
        <x:v>0</x:v>
      </x:c>
      <x:c r="L1414" s="17" t="n">
        <x:f>SUM(SUMIFS('Costing'!$P$9:$P$492,'Costing'!$A$9:$A$492,"MAIN-271"))</x:f>
        <x:v>40000</x:v>
      </x:c>
      <x:c r="M1414" s="17" t="n">
        <x:f>ROUND(L1414*'Costing'!$C$4,2)</x:f>
        <x:v>7200</x:v>
      </x:c>
      <x:c r="N1414" s="17" t="n">
        <x:f>L1414+M1414</x:f>
        <x:v>47200</x:v>
      </x:c>
      <x:c r="O1414" s="12" t="str">
        <x:v>Indore</x:v>
      </x:c>
      <x:c r="P1414" s="12" t="str">
        <x:v>CORP-0267</x:v>
      </x:c>
      <x:c r="Q1414" s="12" t="str">
        <x:v>Keen Solution</x:v>
      </x:c>
    </x:row>
    <x:row r="1415" ht="48" customHeight="1">
      <x:c r="A1415" s="2" t="str">
        <x:v>TEN-5C1A79D4FF83</x:v>
      </x:c>
      <x:c r="B1415" s="12" t="str">
        <x:v>Keka HR Payroll Software</x:v>
      </x:c>
      <x:c r="C1415" s="12" t="str">
        <x:v>Business / brand</x:v>
      </x:c>
      <x:c r="D1415" s="12" t="str">
        <x:v>IT &amp; digital</x:v>
      </x:c>
      <x:c r="E1415" s="12" t="str">
        <x:v>Enterprise software &amp; digital engineering</x:v>
      </x:c>
      <x:c r="F1415" s="12" t="str">
        <x:v>Small-scale prospects</x:v>
      </x:c>
      <x:c r="G1415" s="12" t="str">
        <x:v>Software or technology-services business; small-scale prospect assumption.</x:v>
      </x:c>
      <x:c r="H1415" s="11" t="n">
        <x:v>1</x:v>
      </x:c>
      <x:c r="I1415" s="11" t="n">
        <x:v>10</x:v>
      </x:c>
      <x:c r="J1415" s="11" t="n">
        <x:v>10</x:v>
      </x:c>
      <x:c r="K1415" s="11" t="n">
        <x:v>0</x:v>
      </x:c>
      <x:c r="L1415" s="17" t="n">
        <x:f>SUM(SUMIFS('Costing'!$P$9:$P$492,'Costing'!$A$9:$A$492,"MAIN-261"))</x:f>
        <x:v>325000</x:v>
      </x:c>
      <x:c r="M1415" s="17" t="n">
        <x:f>ROUND(L1415*'Costing'!$C$4,2)</x:f>
        <x:v>58500</x:v>
      </x:c>
      <x:c r="N1415" s="17" t="n">
        <x:f>L1415+M1415</x:f>
        <x:v>383500</x:v>
      </x:c>
      <x:c r="O1415" s="12" t="str">
        <x:v>Hyderabad</x:v>
      </x:c>
      <x:c r="P1415" s="12" t="str">
        <x:v>CORP-0257</x:v>
      </x:c>
      <x:c r="Q1415" s="12" t="str">
        <x:v>Keka HR Payroll Software</x:v>
      </x:c>
    </x:row>
    <x:row r="1416" ht="48" customHeight="1">
      <x:c r="A1416" s="2" t="str">
        <x:v>TEN-52E9D79221AA</x:v>
      </x:c>
      <x:c r="B1416" s="12" t="str">
        <x:v>Kellton</x:v>
      </x:c>
      <x:c r="C1416" s="12" t="str">
        <x:v>Business / brand</x:v>
      </x:c>
      <x:c r="D1416" s="12" t="str">
        <x:v>IT &amp; digital</x:v>
      </x:c>
      <x:c r="E1416" s="12" t="str">
        <x:v>Enterprise software &amp; digital engineering</x:v>
      </x:c>
      <x:c r="F1416" s="12" t="str">
        <x:v>Mixed business audience</x:v>
      </x:c>
      <x:c r="G1416" s="12" t="str">
        <x:v>Established brand or business network; local company scale is not established. Use a mixed-business message.</x:v>
      </x:c>
      <x:c r="H1416" s="11" t="n">
        <x:v>5</x:v>
      </x:c>
      <x:c r="I1416" s="11" t="n">
        <x:v>5</x:v>
      </x:c>
      <x:c r="J1416" s="11" t="n">
        <x:v>5</x:v>
      </x:c>
      <x:c r="K1416" s="11" t="n">
        <x:v>0</x:v>
      </x:c>
      <x:c r="L1416" s="17" t="n">
        <x:f>SUM(SUMIFS('Costing'!$P$9:$P$492,'Costing'!$A$9:$A$492,"PARTNER-M353"))</x:f>
        <x:v>200000</x:v>
      </x:c>
      <x:c r="M1416" s="17" t="n">
        <x:f>ROUND(L1416*'Costing'!$C$4,2)</x:f>
        <x:v>36000</x:v>
      </x:c>
      <x:c r="N1416" s="17" t="n">
        <x:f>L1416+M1416</x:f>
        <x:v>236000</x:v>
      </x:c>
      <x:c r="O1416" s="12" t="str">
        <x:v>Delhi NCR</x:v>
      </x:c>
      <x:c r="P1416" s="12" t="str">
        <x:v>CORP-0766, CORP-0767, CORP-0768, CORP-0769, CORP-0770</x:v>
      </x:c>
      <x:c r="Q1416" s="12" t="str">
        <x:v>Kellton</x:v>
      </x:c>
    </x:row>
    <x:row r="1417" ht="48" customHeight="1">
      <x:c r="A1417" s="2" t="str">
        <x:v>TEN-6F4C691FF4A1</x:v>
      </x:c>
      <x:c r="B1417" s="12" t="str">
        <x:v>Kennametal</x:v>
      </x:c>
      <x:c r="C1417" s="12" t="str">
        <x:v>Business / brand</x:v>
      </x:c>
      <x:c r="D1417" s="12" t="str">
        <x:v>Engineering &amp; manufacturing</x:v>
      </x:c>
      <x:c r="E1417" s="12" t="str">
        <x:v>Engineering/manufacturing — specialty unverified</x:v>
      </x:c>
      <x:c r="F1417" s="12" t="str">
        <x:v>Mixed business audience</x:v>
      </x:c>
      <x:c r="G1417" s="12" t="str">
        <x:v>Recognisable business context; company-scale evidence remains insufficient for a single size band.</x:v>
      </x:c>
      <x:c r="H1417" s="11" t="n">
        <x:v>9</x:v>
      </x:c>
      <x:c r="I1417" s="11" t="n">
        <x:v>9</x:v>
      </x:c>
      <x:c r="J1417" s="11" t="n">
        <x:v>9</x:v>
      </x:c>
      <x:c r="K1417" s="11" t="n">
        <x:v>0</x:v>
      </x:c>
      <x:c r="L1417" s="17" t="n">
        <x:f>SUM(SUMIFS('Costing'!$P$9:$P$492,'Costing'!$A$9:$A$492,"PARTNER-M002"))</x:f>
        <x:v>360000</x:v>
      </x:c>
      <x:c r="M1417" s="17" t="n">
        <x:f>ROUND(L1417*'Costing'!$C$4,2)</x:f>
        <x:v>64800</x:v>
      </x:c>
      <x:c r="N1417" s="17" t="n">
        <x:f>L1417+M1417</x:f>
        <x:v>424800</x:v>
      </x:c>
      <x:c r="O1417" s="12" t="str">
        <x:v>Bengaluru</x:v>
      </x:c>
      <x:c r="P1417" s="12" t="str">
        <x:v>CORP-0420, CORP-0421, CORP-0422, CORP-0423, CORP-0424, CORP-0425, CORP-0426, CORP-0427, CORP-0428</x:v>
      </x:c>
      <x:c r="Q1417" s="12" t="str">
        <x:v>Kennametal</x:v>
      </x:c>
    </x:row>
    <x:row r="1418" ht="48" customHeight="1">
      <x:c r="A1418" s="2" t="str">
        <x:v>TEN-B47C6547D90A</x:v>
      </x:c>
      <x:c r="B1418" s="12" t="str">
        <x:v>Kennametal India Ltd</x:v>
      </x:c>
      <x:c r="C1418" s="12" t="str">
        <x:v>Business / brand</x:v>
      </x:c>
      <x:c r="D1418" s="12" t="str">
        <x:v>Engineering &amp; manufacturing</x:v>
      </x:c>
      <x:c r="E1418" s="12" t="str">
        <x:v>Engineering/manufacturing — specialty unverified</x:v>
      </x:c>
      <x:c r="F1418" s="12" t="str">
        <x:v>Mixed business audience</x:v>
      </x:c>
      <x:c r="G1418" s="12" t="str">
        <x:v>Recognisable business context; company-scale evidence remains insufficient for a single size band.</x:v>
      </x:c>
      <x:c r="H1418" s="11" t="n">
        <x:v>1</x:v>
      </x:c>
      <x:c r="I1418" s="11" t="n">
        <x:v>3</x:v>
      </x:c>
      <x:c r="J1418" s="11" t="n">
        <x:v>3</x:v>
      </x:c>
      <x:c r="K1418" s="11" t="n">
        <x:v>0</x:v>
      </x:c>
      <x:c r="L1418" s="17" t="n">
        <x:f>SUM(SUMIFS('Costing'!$P$9:$P$492,'Costing'!$A$9:$A$492,"MAIN-404"))</x:f>
        <x:v>60000</x:v>
      </x:c>
      <x:c r="M1418" s="17" t="n">
        <x:f>ROUND(L1418*'Costing'!$C$4,2)</x:f>
        <x:v>10800</x:v>
      </x:c>
      <x:c r="N1418" s="17" t="n">
        <x:f>L1418+M1418</x:f>
        <x:v>70800</x:v>
      </x:c>
      <x:c r="O1418" s="12" t="str">
        <x:v>Pune</x:v>
      </x:c>
      <x:c r="P1418" s="12" t="str">
        <x:v>CORP-0400</x:v>
      </x:c>
      <x:c r="Q1418" s="12" t="str">
        <x:v>Kennametal India Ltd</x:v>
      </x:c>
    </x:row>
    <x:row r="1419" ht="48" customHeight="1">
      <x:c r="A1419" s="2" t="str">
        <x:v>TEN-EA8975B4C51B</x:v>
      </x:c>
      <x:c r="B1419" s="12" t="str">
        <x:v>Kent Mineral RO</x:v>
      </x:c>
      <x:c r="C1419" s="12" t="str">
        <x:v>Business / brand</x:v>
      </x:c>
      <x:c r="D1419" s="12" t="str">
        <x:v>Engineering &amp; manufacturing</x:v>
      </x:c>
      <x:c r="E1419" s="12" t="str">
        <x:v>Electronics, industrial systems &amp; manufacturing</x:v>
      </x:c>
      <x:c r="F1419" s="12" t="str">
        <x:v>Mixed business audience</x:v>
      </x:c>
      <x:c r="G1419" s="12" t="str">
        <x:v>Established brand or business network; local company scale is not established. Use a mixed-business message.</x:v>
      </x:c>
      <x:c r="H1419" s="11" t="n">
        <x:v>1</x:v>
      </x:c>
      <x:c r="I1419" s="11" t="n">
        <x:v>1</x:v>
      </x:c>
      <x:c r="J1419" s="11" t="n">
        <x:v>1</x:v>
      </x:c>
      <x:c r="K1419" s="11" t="n">
        <x:v>0</x:v>
      </x:c>
      <x:c r="L1419" s="17" t="n">
        <x:f>SUM(SUMIFS('Costing'!$P$9:$P$492,'Costing'!$A$9:$A$492,"MAIN-272"))</x:f>
        <x:v>20000</x:v>
      </x:c>
      <x:c r="M1419" s="17" t="n">
        <x:f>ROUND(L1419*'Costing'!$C$4,2)</x:f>
        <x:v>3600</x:v>
      </x:c>
      <x:c r="N1419" s="17" t="n">
        <x:f>L1419+M1419</x:f>
        <x:v>23600</x:v>
      </x:c>
      <x:c r="O1419" s="12" t="str">
        <x:v>Indore</x:v>
      </x:c>
      <x:c r="P1419" s="12" t="str">
        <x:v>CORP-0268</x:v>
      </x:c>
      <x:c r="Q1419" s="12" t="str">
        <x:v>Kent Mineral RO</x:v>
      </x:c>
    </x:row>
    <x:row r="1420" ht="48" customHeight="1">
      <x:c r="A1420" s="2" t="str">
        <x:v>TEN-B4C545A10172</x:v>
      </x:c>
      <x:c r="B1420" s="12" t="str">
        <x:v>Keyence India Pvt Ltd</x:v>
      </x:c>
      <x:c r="C1420" s="12" t="str">
        <x:v>Business / brand</x:v>
      </x:c>
      <x:c r="D1420" s="12" t="str">
        <x:v>Engineering &amp; manufacturing</x:v>
      </x:c>
      <x:c r="E1420" s="12" t="str">
        <x:v>Electronics, industrial systems &amp; manufacturing</x:v>
      </x:c>
      <x:c r="F1420" s="12" t="str">
        <x:v>Mixed business audience</x:v>
      </x:c>
      <x:c r="G1420" s="12" t="str">
        <x:v>Established brand or business network; local company scale is not established. Use a mixed-business message.</x:v>
      </x:c>
      <x:c r="H1420" s="11" t="n">
        <x:v>2</x:v>
      </x:c>
      <x:c r="I1420" s="11" t="n">
        <x:v>6</x:v>
      </x:c>
      <x:c r="J1420" s="11" t="n">
        <x:v>6</x:v>
      </x:c>
      <x:c r="K1420" s="11" t="n">
        <x:v>0</x:v>
      </x:c>
      <x:c r="L1420" s="17" t="n">
        <x:f>SUM(SUMIFS('Costing'!$P$9:$P$492,'Costing'!$A$9:$A$492,"MAIN-148"),SUMIFS('Costing'!$P$9:$P$492,'Costing'!$A$9:$A$492,"MAIN-149"))</x:f>
        <x:v>120000</x:v>
      </x:c>
      <x:c r="M1420" s="17" t="n">
        <x:f>ROUND(L1420*'Costing'!$C$4,2)</x:f>
        <x:v>21600</x:v>
      </x:c>
      <x:c r="N1420" s="17" t="n">
        <x:f>L1420+M1420</x:f>
        <x:v>141600</x:v>
      </x:c>
      <x:c r="O1420" s="12" t="str">
        <x:v>Chennai</x:v>
      </x:c>
      <x:c r="P1420" s="12" t="str">
        <x:v>CORP-0144, CORP-0145</x:v>
      </x:c>
      <x:c r="Q1420" s="12" t="str">
        <x:v>Keyence India Pvt Ltd</x:v>
      </x:c>
    </x:row>
    <x:row r="1421" ht="49" customHeight="1">
      <x:c r="A1421" s="2" t="str">
        <x:v>TEN-0343379BA4A0</x:v>
      </x:c>
      <x:c r="B1421" s="12" t="str">
        <x:v>Khaitan &amp; Co</x:v>
      </x:c>
      <x:c r="C1421" s="12" t="str">
        <x:v>Business / brand</x:v>
      </x:c>
      <x:c r="D1421" s="12" t="str">
        <x:v>Professional services</x:v>
      </x:c>
      <x:c r="E1421" s="12" t="str">
        <x:v>Legal &amp; intellectual property</x:v>
      </x:c>
      <x:c r="F1421" s="12" t="str">
        <x:v>Large enterprise</x:v>
      </x:c>
      <x:c r="G1421" s="12" t="str">
        <x:v>Official firm profile states 1,000+ professionals; national full-service practice overrides Micro legal-practice default.</x:v>
      </x:c>
      <x:c r="H1421" s="11" t="n">
        <x:v>3</x:v>
      </x:c>
      <x:c r="I1421" s="11" t="n">
        <x:v>18</x:v>
      </x:c>
      <x:c r="J1421" s="11" t="n">
        <x:v>18</x:v>
      </x:c>
      <x:c r="K1421" s="11" t="n">
        <x:v>0</x:v>
      </x:c>
      <x:c r="L1421" s="17" t="n">
        <x:f>SUM(SUMIFS('Costing'!$P$9:$P$492,'Costing'!$A$9:$A$492,"MAIN-115"),SUMIFS('Costing'!$P$9:$P$492,'Costing'!$A$9:$A$492,"MAIN-327"),SUMIFS('Costing'!$P$9:$P$492,'Costing'!$A$9:$A$492,"MAIN-420"))</x:f>
        <x:v>570000</x:v>
      </x:c>
      <x:c r="M1421" s="17" t="n">
        <x:f>ROUND(L1421*'Costing'!$C$4,2)</x:f>
        <x:v>102600</x:v>
      </x:c>
      <x:c r="N1421" s="17" t="n">
        <x:f>L1421+M1421</x:f>
        <x:v>672600</x:v>
      </x:c>
      <x:c r="O1421" s="12" t="str">
        <x:v>Bengaluru, Mumbai, Pune</x:v>
      </x:c>
      <x:c r="P1421" s="12" t="str">
        <x:v>CORP-0111, CORP-0323, CORP-0416</x:v>
      </x:c>
      <x:c r="Q1421" s="12" t="str">
        <x:v>Khaitan &amp; Co, Khaitan &amp; co</x:v>
      </x:c>
    </x:row>
    <x:row r="1422" ht="48" customHeight="1">
      <x:c r="A1422" s="2" t="str">
        <x:v>TEN-AFF6767D0CEC</x:v>
      </x:c>
      <x:c r="B1422" s="12" t="str">
        <x:v>KHWAHISH</x:v>
      </x:c>
      <x:c r="C1422" s="12" t="str">
        <x:v>Business / brand</x:v>
      </x:c>
      <x:c r="D1422" s="12" t="str">
        <x:v>Trade, consumer &amp; logistics</x:v>
      </x:c>
      <x:c r="E1422" s="12" t="str">
        <x:v>Entertainment, media &amp; events</x:v>
      </x:c>
      <x:c r="F1422" s="12" t="str">
        <x:v>Small-scale prospects</x:v>
      </x:c>
      <x:c r="G1422" s="12" t="str">
        <x:v>Trading or consumer-services business; small-scale prospect assumption.</x:v>
      </x:c>
      <x:c r="H1422" s="11" t="n">
        <x:v>1</x:v>
      </x:c>
      <x:c r="I1422" s="11" t="n">
        <x:v>1</x:v>
      </x:c>
      <x:c r="J1422" s="11" t="n">
        <x:v>1</x:v>
      </x:c>
      <x:c r="K1422" s="11" t="n">
        <x:v>0</x:v>
      </x:c>
      <x:c r="L1422" s="17" t="n">
        <x:f>SUM(SUMIFS('Costing'!$P$9:$P$492,'Costing'!$A$9:$A$492,"MAIN-278"))</x:f>
        <x:v>15000</x:v>
      </x:c>
      <x:c r="M1422" s="17" t="n">
        <x:f>ROUND(L1422*'Costing'!$C$4,2)</x:f>
        <x:v>2700</x:v>
      </x:c>
      <x:c r="N1422" s="17" t="n">
        <x:f>L1422+M1422</x:f>
        <x:v>17700</x:v>
      </x:c>
      <x:c r="O1422" s="12" t="str">
        <x:v>Kolkata</x:v>
      </x:c>
      <x:c r="P1422" s="12" t="str">
        <x:v>CORP-0274</x:v>
      </x:c>
      <x:c r="Q1422" s="12" t="str">
        <x:v>KHWAHISH</x:v>
      </x:c>
    </x:row>
    <x:row r="1423" ht="48" customHeight="1">
      <x:c r="A1423" s="2" t="str">
        <x:v>TEN-A0B931E47192</x:v>
      </x:c>
      <x:c r="B1423" s="12" t="str">
        <x:v>Kin Lifecare Services</x:v>
      </x:c>
      <x:c r="C1423" s="12" t="str">
        <x:v>Business / brand</x:v>
      </x:c>
      <x:c r="D1423" s="12" t="str">
        <x:v>Healthcare &amp; life sciences</x:v>
      </x:c>
      <x:c r="E1423" s="12" t="str">
        <x:v>Clinical, pharmaceutical &amp; health services</x:v>
      </x:c>
      <x:c r="F1423" s="12" t="str">
        <x:v>Medium-scale prospects</x:v>
      </x:c>
      <x:c r="G1423" s="12" t="str">
        <x:v>Specialist life-sciences business; medium-scale prospect assumption.</x:v>
      </x:c>
      <x:c r="H1423" s="11" t="n">
        <x:v>7</x:v>
      </x:c>
      <x:c r="I1423" s="11" t="n">
        <x:v>7</x:v>
      </x:c>
      <x:c r="J1423" s="11" t="n">
        <x:v>7</x:v>
      </x:c>
      <x:c r="K1423" s="11" t="n">
        <x:v>0</x:v>
      </x:c>
      <x:c r="L1423" s="17" t="n">
        <x:f>SUM(SUMIFS('Costing'!$P$9:$P$492,'Costing'!$A$9:$A$492,"PARTNER-M317"))</x:f>
        <x:v>280000</x:v>
      </x:c>
      <x:c r="M1423" s="17" t="n">
        <x:f>ROUND(L1423*'Costing'!$C$4,2)</x:f>
        <x:v>50400</x:v>
      </x:c>
      <x:c r="N1423" s="17" t="n">
        <x:f>L1423+M1423</x:f>
        <x:v>330400</x:v>
      </x:c>
      <x:c r="O1423" s="12" t="str">
        <x:v>Hyderabad</x:v>
      </x:c>
      <x:c r="P1423" s="12" t="str">
        <x:v>CORP-0732, CORP-0733, CORP-0734, CORP-0735, CORP-0736, CORP-0737, CORP-0738</x:v>
      </x:c>
      <x:c r="Q1423" s="12" t="str">
        <x:v>Kin Lifecare Services</x:v>
      </x:c>
    </x:row>
    <x:row r="1424" ht="48" customHeight="1">
      <x:c r="A1424" s="2" t="str">
        <x:v>TEN-7E287D3F75D5</x:v>
      </x:c>
      <x:c r="B1424" s="12" t="str">
        <x:v>Kinapse</x:v>
      </x:c>
      <x:c r="C1424" s="12" t="str">
        <x:v>Business / brand</x:v>
      </x:c>
      <x:c r="D1424" s="12" t="str">
        <x:v>Healthcare &amp; life sciences</x:v>
      </x:c>
      <x:c r="E1424" s="12" t="str">
        <x:v>Clinical, pharmaceutical &amp; health services</x:v>
      </x:c>
      <x:c r="F1424" s="12" t="str">
        <x:v>Mixed business audience</x:v>
      </x:c>
      <x:c r="G1424" s="12" t="str">
        <x:v>Established brand or business network; local company scale is not established. Use a mixed-business message.</x:v>
      </x:c>
      <x:c r="H1424" s="11" t="n">
        <x:v>5</x:v>
      </x:c>
      <x:c r="I1424" s="11" t="n">
        <x:v>5</x:v>
      </x:c>
      <x:c r="J1424" s="11" t="n">
        <x:v>5</x:v>
      </x:c>
      <x:c r="K1424" s="11" t="n">
        <x:v>0</x:v>
      </x:c>
      <x:c r="L1424" s="17" t="n">
        <x:f>SUM(SUMIFS('Costing'!$P$9:$P$492,'Costing'!$A$9:$A$492,"PARTNER-M051"))</x:f>
        <x:v>200000</x:v>
      </x:c>
      <x:c r="M1424" s="17" t="n">
        <x:f>ROUND(L1424*'Costing'!$C$4,2)</x:f>
        <x:v>36000</x:v>
      </x:c>
      <x:c r="N1424" s="17" t="n">
        <x:f>L1424+M1424</x:f>
        <x:v>236000</x:v>
      </x:c>
      <x:c r="O1424" s="12" t="str">
        <x:v>Bengaluru</x:v>
      </x:c>
      <x:c r="P1424" s="12" t="str">
        <x:v>CORP-0469, CORP-0470, CORP-0471, CORP-0472, CORP-0473</x:v>
      </x:c>
      <x:c r="Q1424" s="12" t="str">
        <x:v>Kinapse</x:v>
      </x:c>
    </x:row>
    <x:row r="1425" ht="48" customHeight="1">
      <x:c r="A1425" s="2" t="str">
        <x:v>TEN-CC2C556FA10A</x:v>
      </x:c>
      <x:c r="B1425" s="12" t="str">
        <x:v>Kingslake</x:v>
      </x:c>
      <x:c r="C1425" s="12" t="str">
        <x:v>Business / brand</x:v>
      </x:c>
      <x:c r="D1425" s="12" t="str">
        <x:v>Unresolved</x:v>
      </x:c>
      <x:c r="E1425" s="12" t="str">
        <x:v>Business activity not established</x:v>
      </x:c>
      <x:c r="F1425" s="12" t="str">
        <x:v>Mixed business audience</x:v>
      </x:c>
      <x:c r="G1425" s="12" t="str">
        <x:v>Business activity and company scale are not established from this name.</x:v>
      </x:c>
      <x:c r="H1425" s="11" t="n">
        <x:v>9</x:v>
      </x:c>
      <x:c r="I1425" s="11" t="n">
        <x:v>9</x:v>
      </x:c>
      <x:c r="J1425" s="11" t="n">
        <x:v>9</x:v>
      </x:c>
      <x:c r="K1425" s="11" t="n">
        <x:v>0</x:v>
      </x:c>
      <x:c r="L1425" s="17" t="n">
        <x:f>SUM(SUMIFS('Costing'!$P$9:$P$492,'Costing'!$A$9:$A$492,"PARTNER-M002"))</x:f>
        <x:v>360000</x:v>
      </x:c>
      <x:c r="M1425" s="17" t="n">
        <x:f>ROUND(L1425*'Costing'!$C$4,2)</x:f>
        <x:v>64800</x:v>
      </x:c>
      <x:c r="N1425" s="17" t="n">
        <x:f>L1425+M1425</x:f>
        <x:v>424800</x:v>
      </x:c>
      <x:c r="O1425" s="12" t="str">
        <x:v>Bengaluru</x:v>
      </x:c>
      <x:c r="P1425" s="12" t="str">
        <x:v>CORP-0420, CORP-0421, CORP-0422, CORP-0423, CORP-0424, CORP-0425, CORP-0426, CORP-0427, CORP-0428</x:v>
      </x:c>
      <x:c r="Q1425" s="12" t="str">
        <x:v>Kingslake</x:v>
      </x:c>
    </x:row>
    <x:row r="1426" ht="48" customHeight="1">
      <x:c r="A1426" s="2" t="str">
        <x:v>TEN-CC48C5F170E3</x:v>
      </x:c>
      <x:c r="B1426" s="12" t="str">
        <x:v>KIRANAKART TECHNOLOGIES PRIVATE LIMITED</x:v>
      </x:c>
      <x:c r="C1426" s="12" t="str">
        <x:v>Business / brand</x:v>
      </x:c>
      <x:c r="D1426" s="12" t="str">
        <x:v>Trade, consumer &amp; logistics</x:v>
      </x:c>
      <x:c r="E1426" s="12" t="str">
        <x:v>Retail, consumer products &amp; ecommerce</x:v>
      </x:c>
      <x:c r="F1426" s="12" t="str">
        <x:v>Mixed business audience</x:v>
      </x:c>
      <x:c r="G1426" s="12" t="str">
        <x:v>Established brand or business network; local company scale is not established. Use a mixed-business message.</x:v>
      </x:c>
      <x:c r="H1426" s="11" t="n">
        <x:v>1</x:v>
      </x:c>
      <x:c r="I1426" s="11" t="n">
        <x:v>2</x:v>
      </x:c>
      <x:c r="J1426" s="11" t="n">
        <x:v>2</x:v>
      </x:c>
      <x:c r="K1426" s="11" t="n">
        <x:v>0</x:v>
      </x:c>
      <x:c r="L1426" s="17" t="n">
        <x:f>SUM(SUMIFS('Costing'!$P$9:$P$492,'Costing'!$A$9:$A$492,"MAIN-207"))</x:f>
        <x:v>80000</x:v>
      </x:c>
      <x:c r="M1426" s="17" t="n">
        <x:f>ROUND(L1426*'Costing'!$C$4,2)</x:f>
        <x:v>14400</x:v>
      </x:c>
      <x:c r="N1426" s="17" t="n">
        <x:f>L1426+M1426</x:f>
        <x:v>94400</x:v>
      </x:c>
      <x:c r="O1426" s="12" t="str">
        <x:v>Delhi NCR</x:v>
      </x:c>
      <x:c r="P1426" s="12" t="str">
        <x:v>CORP-0203</x:v>
      </x:c>
      <x:c r="Q1426" s="12" t="str">
        <x:v>KIRANAKART TECHNOLOGIES PRIVATE LIMITED</x:v>
      </x:c>
    </x:row>
    <x:row r="1427" ht="48" customHeight="1">
      <x:c r="A1427" s="2" t="str">
        <x:v>TEN-4C7CA5D23DE5</x:v>
      </x:c>
      <x:c r="B1427" s="12" t="str">
        <x:v>Kirloskar Capital Ltd</x:v>
      </x:c>
      <x:c r="C1427" s="12" t="str">
        <x:v>Business / brand</x:v>
      </x:c>
      <x:c r="D1427" s="12" t="str">
        <x:v>Finance &amp; insurance</x:v>
      </x:c>
      <x:c r="E1427" s="12" t="str">
        <x:v>Banking, credit &amp; financial services</x:v>
      </x:c>
      <x:c r="F1427" s="12" t="str">
        <x:v>Mixed business audience</x:v>
      </x:c>
      <x:c r="G1427" s="12" t="str">
        <x:v>Recognisable business context; company-scale evidence remains insufficient for a single size band.</x:v>
      </x:c>
      <x:c r="H1427" s="11" t="n">
        <x:v>1</x:v>
      </x:c>
      <x:c r="I1427" s="11" t="n">
        <x:v>1</x:v>
      </x:c>
      <x:c r="J1427" s="11" t="n">
        <x:v>1</x:v>
      </x:c>
      <x:c r="K1427" s="11" t="n">
        <x:v>0</x:v>
      </x:c>
      <x:c r="L1427" s="17" t="n">
        <x:f>SUM(SUMIFS('Costing'!$P$9:$P$492,'Costing'!$A$9:$A$492,"MAIN-331"))</x:f>
        <x:v>15000</x:v>
      </x:c>
      <x:c r="M1427" s="17" t="n">
        <x:f>ROUND(L1427*'Costing'!$C$4,2)</x:f>
        <x:v>2700</x:v>
      </x:c>
      <x:c r="N1427" s="17" t="n">
        <x:f>L1427+M1427</x:f>
        <x:v>17700</x:v>
      </x:c>
      <x:c r="O1427" s="12" t="str">
        <x:v>Mumbai</x:v>
      </x:c>
      <x:c r="P1427" s="12" t="str">
        <x:v>CORP-0327</x:v>
      </x:c>
      <x:c r="Q1427" s="12" t="str">
        <x:v>Kirloskar Capital Ltd</x:v>
      </x:c>
    </x:row>
    <x:row r="1428" ht="48" customHeight="1">
      <x:c r="A1428" s="2" t="str">
        <x:v>TEN-D77734EC8672</x:v>
      </x:c>
      <x:c r="B1428" s="12" t="str">
        <x:v>Kissflow (OrangeScape Technologies)</x:v>
      </x:c>
      <x:c r="C1428" s="12" t="str">
        <x:v>Business / brand</x:v>
      </x:c>
      <x:c r="D1428" s="12" t="str">
        <x:v>IT &amp; digital</x:v>
      </x:c>
      <x:c r="E1428" s="12" t="str">
        <x:v>Enterprise software &amp; digital engineering</x:v>
      </x:c>
      <x:c r="F1428" s="12" t="str">
        <x:v>Small-scale prospects</x:v>
      </x:c>
      <x:c r="G1428" s="12" t="str">
        <x:v>Software or technology-services business; small-scale prospect assumption.</x:v>
      </x:c>
      <x:c r="H1428" s="11" t="n">
        <x:v>6</x:v>
      </x:c>
      <x:c r="I1428" s="11" t="n">
        <x:v>6</x:v>
      </x:c>
      <x:c r="J1428" s="11" t="n">
        <x:v>6</x:v>
      </x:c>
      <x:c r="K1428" s="11" t="n">
        <x:v>0</x:v>
      </x:c>
      <x:c r="L1428" s="17" t="n">
        <x:f>SUM(SUMIFS('Costing'!$P$9:$P$492,'Costing'!$A$9:$A$492,"PARTNER-M325"))</x:f>
        <x:v>240000</x:v>
      </x:c>
      <x:c r="M1428" s="17" t="n">
        <x:f>ROUND(L1428*'Costing'!$C$4,2)</x:f>
        <x:v>43200</x:v>
      </x:c>
      <x:c r="N1428" s="17" t="n">
        <x:f>L1428+M1428</x:f>
        <x:v>283200</x:v>
      </x:c>
      <x:c r="O1428" s="12" t="str">
        <x:v>Chennai</x:v>
      </x:c>
      <x:c r="P1428" s="12" t="str">
        <x:v>CORP-0739, CORP-0740, CORP-0741, CORP-0742, CORP-0743, CORP-0744</x:v>
      </x:c>
      <x:c r="Q1428" s="12" t="str">
        <x:v>Kissflow (OrangeScape Technologies)</x:v>
      </x:c>
    </x:row>
    <x:row r="1429" ht="48" customHeight="1">
      <x:c r="A1429" s="2" t="str">
        <x:v>TEN-D655F2A6AE11</x:v>
      </x:c>
      <x:c r="B1429" s="12" t="str">
        <x:v>KITAAB TECHNOLOGIES PVT LTD</x:v>
      </x:c>
      <x:c r="C1429" s="12" t="str">
        <x:v>Business / brand</x:v>
      </x:c>
      <x:c r="D1429" s="12" t="str">
        <x:v>Unresolved</x:v>
      </x:c>
      <x:c r="E1429" s="12" t="str">
        <x:v>Business activity not established</x:v>
      </x:c>
      <x:c r="F1429" s="12" t="str">
        <x:v>Mixed business audience</x:v>
      </x:c>
      <x:c r="G1429" s="12" t="str">
        <x:v>Business activity and company scale are not established from this name.</x:v>
      </x:c>
      <x:c r="H1429" s="11" t="n">
        <x:v>1</x:v>
      </x:c>
      <x:c r="I1429" s="11" t="n">
        <x:v>2</x:v>
      </x:c>
      <x:c r="J1429" s="11" t="n">
        <x:v>2</x:v>
      </x:c>
      <x:c r="K1429" s="11" t="n">
        <x:v>0</x:v>
      </x:c>
      <x:c r="L1429" s="17" t="n">
        <x:f>SUM(SUMIFS('Costing'!$P$9:$P$492,'Costing'!$A$9:$A$492,"MAIN-244"))</x:f>
        <x:v>30000</x:v>
      </x:c>
      <x:c r="M1429" s="17" t="n">
        <x:f>ROUND(L1429*'Costing'!$C$4,2)</x:f>
        <x:v>5400</x:v>
      </x:c>
      <x:c r="N1429" s="17" t="n">
        <x:f>L1429+M1429</x:f>
        <x:v>35400</x:v>
      </x:c>
      <x:c r="O1429" s="12" t="str">
        <x:v>Hyderabad</x:v>
      </x:c>
      <x:c r="P1429" s="12" t="str">
        <x:v>CORP-0240</x:v>
      </x:c>
      <x:c r="Q1429" s="12" t="str">
        <x:v>KITAAB TECHNOLOGIES PVT LTD</x:v>
      </x:c>
    </x:row>
    <x:row r="1430" ht="48" customHeight="1">
      <x:c r="A1430" s="2" t="str">
        <x:v>TEN-1A5AFEDA973D</x:v>
      </x:c>
      <x:c r="B1430" s="12" t="str">
        <x:v>Kiwi</x:v>
      </x:c>
      <x:c r="C1430" s="12" t="str">
        <x:v>Business / brand</x:v>
      </x:c>
      <x:c r="D1430" s="12" t="str">
        <x:v>Unresolved</x:v>
      </x:c>
      <x:c r="E1430" s="12" t="str">
        <x:v>Business activity not established</x:v>
      </x:c>
      <x:c r="F1430" s="12" t="str">
        <x:v>Mixed business audience</x:v>
      </x:c>
      <x:c r="G1430" s="12" t="str">
        <x:v>Business activity and company scale are not established from this name.</x:v>
      </x:c>
      <x:c r="H1430" s="11" t="n">
        <x:v>1</x:v>
      </x:c>
      <x:c r="I1430" s="11" t="n">
        <x:v>2</x:v>
      </x:c>
      <x:c r="J1430" s="11" t="n">
        <x:v>2</x:v>
      </x:c>
      <x:c r="K1430" s="11" t="n">
        <x:v>0</x:v>
      </x:c>
      <x:c r="L1430" s="17" t="n">
        <x:f>SUM(SUMIFS('Costing'!$P$9:$P$492,'Costing'!$A$9:$A$492,"MAIN-106"))</x:f>
        <x:v>30000</x:v>
      </x:c>
      <x:c r="M1430" s="17" t="n">
        <x:f>ROUND(L1430*'Costing'!$C$4,2)</x:f>
        <x:v>5400</x:v>
      </x:c>
      <x:c r="N1430" s="17" t="n">
        <x:f>L1430+M1430</x:f>
        <x:v>35400</x:v>
      </x:c>
      <x:c r="O1430" s="12" t="str">
        <x:v>Bengaluru</x:v>
      </x:c>
      <x:c r="P1430" s="12" t="str">
        <x:v>CORP-0102</x:v>
      </x:c>
      <x:c r="Q1430" s="12" t="str">
        <x:v>Kiwi</x:v>
      </x:c>
    </x:row>
    <x:row r="1431" ht="48" customHeight="1">
      <x:c r="A1431" s="2" t="str">
        <x:v>TEN-04128772C484</x:v>
      </x:c>
      <x:c r="B1431" s="12" t="str">
        <x:v>KK winds</x:v>
      </x:c>
      <x:c r="C1431" s="12" t="str">
        <x:v>Business / brand</x:v>
      </x:c>
      <x:c r="D1431" s="12" t="str">
        <x:v>Engineering &amp; manufacturing</x:v>
      </x:c>
      <x:c r="E1431" s="12" t="str">
        <x:v>Electronics, industrial systems &amp; manufacturing</x:v>
      </x:c>
      <x:c r="F1431" s="12" t="str">
        <x:v>Medium-scale prospects</x:v>
      </x:c>
      <x:c r="G1431" s="12" t="str">
        <x:v>Specialist industrial or engineering business; medium-scale prospect assumption.</x:v>
      </x:c>
      <x:c r="H1431" s="11" t="n">
        <x:v>1</x:v>
      </x:c>
      <x:c r="I1431" s="11" t="n">
        <x:v>2</x:v>
      </x:c>
      <x:c r="J1431" s="11" t="n">
        <x:v>2</x:v>
      </x:c>
      <x:c r="K1431" s="11" t="n">
        <x:v>0</x:v>
      </x:c>
      <x:c r="L1431" s="17" t="n">
        <x:f>SUM(SUMIFS('Costing'!$P$9:$P$492,'Costing'!$A$9:$A$492,"MAIN-150"))</x:f>
        <x:v>40000</x:v>
      </x:c>
      <x:c r="M1431" s="17" t="n">
        <x:f>ROUND(L1431*'Costing'!$C$4,2)</x:f>
        <x:v>7200</x:v>
      </x:c>
      <x:c r="N1431" s="17" t="n">
        <x:f>L1431+M1431</x:f>
        <x:v>47200</x:v>
      </x:c>
      <x:c r="O1431" s="12" t="str">
        <x:v>Chennai</x:v>
      </x:c>
      <x:c r="P1431" s="12" t="str">
        <x:v>CORP-0146</x:v>
      </x:c>
      <x:c r="Q1431" s="12" t="str">
        <x:v>KK winds</x:v>
      </x:c>
    </x:row>
    <x:row r="1432" ht="48" customHeight="1">
      <x:c r="A1432" s="2" t="str">
        <x:v>TEN-815E15EB19F8</x:v>
      </x:c>
      <x:c r="B1432" s="12" t="str">
        <x:v>KLA Software</x:v>
      </x:c>
      <x:c r="C1432" s="12" t="str">
        <x:v>Business / brand</x:v>
      </x:c>
      <x:c r="D1432" s="12" t="str">
        <x:v>IT &amp; digital</x:v>
      </x:c>
      <x:c r="E1432" s="12" t="str">
        <x:v>Enterprise software &amp; digital engineering</x:v>
      </x:c>
      <x:c r="F1432" s="12" t="str">
        <x:v>Mixed business audience</x:v>
      </x:c>
      <x:c r="G1432" s="12" t="str">
        <x:v>Established brand or business network; local company scale is not established. Use a mixed-business message.</x:v>
      </x:c>
      <x:c r="H1432" s="11" t="n">
        <x:v>2</x:v>
      </x:c>
      <x:c r="I1432" s="11" t="n">
        <x:v>2</x:v>
      </x:c>
      <x:c r="J1432" s="11" t="n">
        <x:v>2</x:v>
      </x:c>
      <x:c r="K1432" s="11" t="n">
        <x:v>0</x:v>
      </x:c>
      <x:c r="L1432" s="17" t="n">
        <x:f>SUM(SUMIFS('Costing'!$P$9:$P$492,'Costing'!$A$9:$A$492,"PARTNER-M347"))</x:f>
        <x:v>80000</x:v>
      </x:c>
      <x:c r="M1432" s="17" t="n">
        <x:f>ROUND(L1432*'Costing'!$C$4,2)</x:f>
        <x:v>14400</x:v>
      </x:c>
      <x:c r="N1432" s="17" t="n">
        <x:f>L1432+M1432</x:f>
        <x:v>94400</x:v>
      </x:c>
      <x:c r="O1432" s="12" t="str">
        <x:v>Chennai</x:v>
      </x:c>
      <x:c r="P1432" s="12" t="str">
        <x:v>CORP-0761, CORP-0762</x:v>
      </x:c>
      <x:c r="Q1432" s="12" t="str">
        <x:v>KLA Software</x:v>
      </x:c>
    </x:row>
    <x:row r="1433" ht="48" customHeight="1">
      <x:c r="A1433" s="2" t="str">
        <x:v>TEN-1A250C4D13AC</x:v>
      </x:c>
      <x:c r="B1433" s="12" t="str">
        <x:v>Klay</x:v>
      </x:c>
      <x:c r="C1433" s="12" t="str">
        <x:v>Business / brand</x:v>
      </x:c>
      <x:c r="D1433" s="12" t="str">
        <x:v>Education</x:v>
      </x:c>
      <x:c r="E1433" s="12" t="str">
        <x:v>Schools, childcare &amp; higher education</x:v>
      </x:c>
      <x:c r="F1433" s="12" t="str">
        <x:v>Mixed business audience</x:v>
      </x:c>
      <x:c r="G1433" s="12" t="str">
        <x:v>Recognisable business context; company-scale evidence remains insufficient for a single size band.</x:v>
      </x:c>
      <x:c r="H1433" s="11" t="n">
        <x:v>2</x:v>
      </x:c>
      <x:c r="I1433" s="11" t="n">
        <x:v>6</x:v>
      </x:c>
      <x:c r="J1433" s="11" t="n">
        <x:v>6</x:v>
      </x:c>
      <x:c r="K1433" s="11" t="n">
        <x:v>0</x:v>
      </x:c>
      <x:c r="L1433" s="17" t="n">
        <x:f>SUM(SUMIFS('Costing'!$P$9:$P$492,'Costing'!$A$9:$A$492,"MAIN-197"),SUMIFS('Costing'!$P$9:$P$492,'Costing'!$A$9:$A$492,"MAIN-328"))</x:f>
        <x:v>240000</x:v>
      </x:c>
      <x:c r="M1433" s="17" t="n">
        <x:f>ROUND(L1433*'Costing'!$C$4,2)</x:f>
        <x:v>43200</x:v>
      </x:c>
      <x:c r="N1433" s="17" t="n">
        <x:f>L1433+M1433</x:f>
        <x:v>283200</x:v>
      </x:c>
      <x:c r="O1433" s="12" t="str">
        <x:v>Delhi NCR, Mumbai</x:v>
      </x:c>
      <x:c r="P1433" s="12" t="str">
        <x:v>CORP-0193, CORP-0324</x:v>
      </x:c>
      <x:c r="Q1433" s="12" t="str">
        <x:v>Klay, KLAY</x:v>
      </x:c>
    </x:row>
    <x:row r="1434" ht="48" customHeight="1">
      <x:c r="A1434" s="2" t="str">
        <x:v>TEN-8E42AB47E105</x:v>
      </x:c>
      <x:c r="B1434" s="12" t="str">
        <x:v>KLAY Centre</x:v>
      </x:c>
      <x:c r="C1434" s="12" t="str">
        <x:v>Business / brand</x:v>
      </x:c>
      <x:c r="D1434" s="12" t="str">
        <x:v>Education</x:v>
      </x:c>
      <x:c r="E1434" s="12" t="str">
        <x:v>Schools, childcare &amp; higher education</x:v>
      </x:c>
      <x:c r="F1434" s="12" t="str">
        <x:v>Mixed business audience</x:v>
      </x:c>
      <x:c r="G1434" s="12" t="str">
        <x:v>Established brand or business network; local company scale is not established. Use a mixed-business message.</x:v>
      </x:c>
      <x:c r="H1434" s="11" t="n">
        <x:v>3</x:v>
      </x:c>
      <x:c r="I1434" s="11" t="n">
        <x:v>3</x:v>
      </x:c>
      <x:c r="J1434" s="11" t="n">
        <x:v>3</x:v>
      </x:c>
      <x:c r="K1434" s="11" t="n">
        <x:v>0</x:v>
      </x:c>
      <x:c r="L1434" s="17" t="n">
        <x:f>SUM(SUMIFS('Costing'!$P$9:$P$492,'Costing'!$A$9:$A$492,"PARTNER-M067"))</x:f>
        <x:v>120000</x:v>
      </x:c>
      <x:c r="M1434" s="17" t="n">
        <x:f>ROUND(L1434*'Costing'!$C$4,2)</x:f>
        <x:v>21600</x:v>
      </x:c>
      <x:c r="N1434" s="17" t="n">
        <x:f>L1434+M1434</x:f>
        <x:v>141600</x:v>
      </x:c>
      <x:c r="O1434" s="12" t="str">
        <x:v>Bengaluru</x:v>
      </x:c>
      <x:c r="P1434" s="12" t="str">
        <x:v>CORP-0485, CORP-0486, CORP-0487</x:v>
      </x:c>
      <x:c r="Q1434" s="12" t="str">
        <x:v>KLAY Centre</x:v>
      </x:c>
    </x:row>
    <x:row r="1435" ht="48" customHeight="1">
      <x:c r="A1435" s="2" t="str">
        <x:v>TEN-FAE50BFB0E7A</x:v>
      </x:c>
      <x:c r="B1435" s="12" t="str">
        <x:v>KlearTone Pvt Ltd</x:v>
      </x:c>
      <x:c r="C1435" s="12" t="str">
        <x:v>Business / brand</x:v>
      </x:c>
      <x:c r="D1435" s="12" t="str">
        <x:v>Unresolved</x:v>
      </x:c>
      <x:c r="E1435" s="12" t="str">
        <x:v>Business activity not established</x:v>
      </x:c>
      <x:c r="F1435" s="12" t="str">
        <x:v>Mixed business audience</x:v>
      </x:c>
      <x:c r="G1435" s="12" t="str">
        <x:v>Business activity and company scale are not established from this name.</x:v>
      </x:c>
      <x:c r="H1435" s="11" t="n">
        <x:v>1</x:v>
      </x:c>
      <x:c r="I1435" s="11" t="n">
        <x:v>2</x:v>
      </x:c>
      <x:c r="J1435" s="11" t="n">
        <x:v>2</x:v>
      </x:c>
      <x:c r="K1435" s="11" t="n">
        <x:v>0</x:v>
      </x:c>
      <x:c r="L1435" s="17" t="n">
        <x:f>SUM(SUMIFS('Costing'!$P$9:$P$492,'Costing'!$A$9:$A$492,"MAIN-237"))</x:f>
        <x:v>80000</x:v>
      </x:c>
      <x:c r="M1435" s="17" t="n">
        <x:f>ROUND(L1435*'Costing'!$C$4,2)</x:f>
        <x:v>14400</x:v>
      </x:c>
      <x:c r="N1435" s="17" t="n">
        <x:f>L1435+M1435</x:f>
        <x:v>94400</x:v>
      </x:c>
      <x:c r="O1435" s="12" t="str">
        <x:v>Hyderabad</x:v>
      </x:c>
      <x:c r="P1435" s="12" t="str">
        <x:v>CORP-0233</x:v>
      </x:c>
      <x:c r="Q1435" s="12" t="str">
        <x:v>KlearTone Pvt Ltd</x:v>
      </x:c>
    </x:row>
    <x:row r="1436" ht="48" customHeight="1">
      <x:c r="A1436" s="2" t="str">
        <x:v>TEN-4CC77A869D12</x:v>
      </x:c>
      <x:c r="B1436" s="12" t="str">
        <x:v>Kloude Code Technologies Pvt.Ltd</x:v>
      </x:c>
      <x:c r="C1436" s="12" t="str">
        <x:v>Business / brand</x:v>
      </x:c>
      <x:c r="D1436" s="12" t="str">
        <x:v>Unresolved</x:v>
      </x:c>
      <x:c r="E1436" s="12" t="str">
        <x:v>Business activity not established</x:v>
      </x:c>
      <x:c r="F1436" s="12" t="str">
        <x:v>Mixed business audience</x:v>
      </x:c>
      <x:c r="G1436" s="12" t="str">
        <x:v>Business activity and company scale are not established from this name.</x:v>
      </x:c>
      <x:c r="H1436" s="11" t="n">
        <x:v>1</x:v>
      </x:c>
      <x:c r="I1436" s="11" t="n">
        <x:v>2</x:v>
      </x:c>
      <x:c r="J1436" s="11" t="n">
        <x:v>2</x:v>
      </x:c>
      <x:c r="K1436" s="11" t="n">
        <x:v>0</x:v>
      </x:c>
      <x:c r="L1436" s="17" t="n">
        <x:f>SUM(SUMIFS('Costing'!$P$9:$P$492,'Costing'!$A$9:$A$492,"MAIN-031"))</x:f>
        <x:v>30000</x:v>
      </x:c>
      <x:c r="M1436" s="17" t="n">
        <x:f>ROUND(L1436*'Costing'!$C$4,2)</x:f>
        <x:v>5400</x:v>
      </x:c>
      <x:c r="N1436" s="17" t="n">
        <x:f>L1436+M1436</x:f>
        <x:v>35400</x:v>
      </x:c>
      <x:c r="O1436" s="12" t="str">
        <x:v>Bengaluru</x:v>
      </x:c>
      <x:c r="P1436" s="12" t="str">
        <x:v>CORP-0027</x:v>
      </x:c>
      <x:c r="Q1436" s="12" t="str">
        <x:v>Kloude Code Technologies Pvt.Ltd</x:v>
      </x:c>
    </x:row>
    <x:row r="1437" ht="48" customHeight="1">
      <x:c r="A1437" s="2" t="str">
        <x:v>TEN-DAFF8DD90485</x:v>
      </x:c>
      <x:c r="B1437" s="12" t="str">
        <x:v>KloudGin</x:v>
      </x:c>
      <x:c r="C1437" s="12" t="str">
        <x:v>Business / brand</x:v>
      </x:c>
      <x:c r="D1437" s="12" t="str">
        <x:v>IT &amp; digital</x:v>
      </x:c>
      <x:c r="E1437" s="12" t="str">
        <x:v>Enterprise software &amp; digital engineering</x:v>
      </x:c>
      <x:c r="F1437" s="12" t="str">
        <x:v>Small-scale prospects</x:v>
      </x:c>
      <x:c r="G1437" s="12" t="str">
        <x:v>Software or technology-services business; small-scale prospect assumption.</x:v>
      </x:c>
      <x:c r="H1437" s="11" t="n">
        <x:v>5</x:v>
      </x:c>
      <x:c r="I1437" s="11" t="n">
        <x:v>5</x:v>
      </x:c>
      <x:c r="J1437" s="11" t="n">
        <x:v>5</x:v>
      </x:c>
      <x:c r="K1437" s="11" t="n">
        <x:v>0</x:v>
      </x:c>
      <x:c r="L1437" s="17" t="n">
        <x:f>SUM(SUMIFS('Costing'!$P$9:$P$492,'Costing'!$A$9:$A$492,"PARTNER-M295"))</x:f>
        <x:v>200000</x:v>
      </x:c>
      <x:c r="M1437" s="17" t="n">
        <x:f>ROUND(L1437*'Costing'!$C$4,2)</x:f>
        <x:v>36000</x:v>
      </x:c>
      <x:c r="N1437" s="17" t="n">
        <x:f>L1437+M1437</x:f>
        <x:v>236000</x:v>
      </x:c>
      <x:c r="O1437" s="12" t="str">
        <x:v>Hyderabad</x:v>
      </x:c>
      <x:c r="P1437" s="12" t="str">
        <x:v>CORP-0710, CORP-0711, CORP-0712, CORP-0713, CORP-0714</x:v>
      </x:c>
      <x:c r="Q1437" s="12" t="str">
        <x:v>KloudGin</x:v>
      </x:c>
    </x:row>
    <x:row r="1438" ht="48" customHeight="1">
      <x:c r="A1438" s="2" t="str">
        <x:v>TEN-A211E5F0EFE9</x:v>
      </x:c>
      <x:c r="B1438" s="12" t="str">
        <x:v>KnackForge India</x:v>
      </x:c>
      <x:c r="C1438" s="12" t="str">
        <x:v>Business / brand</x:v>
      </x:c>
      <x:c r="D1438" s="12" t="str">
        <x:v>IT &amp; digital</x:v>
      </x:c>
      <x:c r="E1438" s="12" t="str">
        <x:v>Enterprise software &amp; digital engineering</x:v>
      </x:c>
      <x:c r="F1438" s="12" t="str">
        <x:v>Small-scale prospects</x:v>
      </x:c>
      <x:c r="G1438" s="12" t="str">
        <x:v>Software or technology-services business; small-scale prospect assumption.</x:v>
      </x:c>
      <x:c r="H1438" s="11" t="n">
        <x:v>1</x:v>
      </x:c>
      <x:c r="I1438" s="11" t="n">
        <x:v>4</x:v>
      </x:c>
      <x:c r="J1438" s="11" t="n">
        <x:v>4</x:v>
      </x:c>
      <x:c r="K1438" s="11" t="n">
        <x:v>0</x:v>
      </x:c>
      <x:c r="L1438" s="17" t="n">
        <x:f>SUM(SUMIFS('Costing'!$P$9:$P$492,'Costing'!$A$9:$A$492,"MAIN-151"))</x:f>
        <x:v>160000</x:v>
      </x:c>
      <x:c r="M1438" s="17" t="n">
        <x:f>ROUND(L1438*'Costing'!$C$4,2)</x:f>
        <x:v>28800</x:v>
      </x:c>
      <x:c r="N1438" s="17" t="n">
        <x:f>L1438+M1438</x:f>
        <x:v>188800</x:v>
      </x:c>
      <x:c r="O1438" s="12" t="str">
        <x:v>Chennai</x:v>
      </x:c>
      <x:c r="P1438" s="12" t="str">
        <x:v>CORP-0147</x:v>
      </x:c>
      <x:c r="Q1438" s="12" t="str">
        <x:v>KnackForge India</x:v>
      </x:c>
    </x:row>
    <x:row r="1439" ht="48" customHeight="1">
      <x:c r="A1439" s="2" t="str">
        <x:v>TEN-EB22DF2431C9</x:v>
      </x:c>
      <x:c r="B1439" s="12" t="str">
        <x:v>Knight Frank India Pvt Ltd</x:v>
      </x:c>
      <x:c r="C1439" s="12" t="str">
        <x:v>Business / brand</x:v>
      </x:c>
      <x:c r="D1439" s="12" t="str">
        <x:v>Trade, consumer &amp; logistics</x:v>
      </x:c>
      <x:c r="E1439" s="12" t="str">
        <x:v>Real estate, property &amp; construction services</x:v>
      </x:c>
      <x:c r="F1439" s="12" t="str">
        <x:v>Mixed business audience</x:v>
      </x:c>
      <x:c r="G1439" s="12" t="str">
        <x:v>Recognisable business context; company-scale evidence remains insufficient for a single size band.</x:v>
      </x:c>
      <x:c r="H1439" s="11" t="n">
        <x:v>5</x:v>
      </x:c>
      <x:c r="I1439" s="11" t="n">
        <x:v>9</x:v>
      </x:c>
      <x:c r="J1439" s="11" t="n">
        <x:v>9</x:v>
      </x:c>
      <x:c r="K1439" s="11" t="n">
        <x:v>0</x:v>
      </x:c>
      <x:c r="L1439" s="17" t="n">
        <x:f>SUM(SUMIFS('Costing'!$P$9:$P$492,'Costing'!$A$9:$A$492,"MAIN-258"),SUMIFS('Costing'!$P$9:$P$492,'Costing'!$A$9:$A$492,"PARTNER-M261"))</x:f>
        <x:v>360000</x:v>
      </x:c>
      <x:c r="M1439" s="17" t="n">
        <x:f>ROUND(L1439*'Costing'!$C$4,2)</x:f>
        <x:v>64800</x:v>
      </x:c>
      <x:c r="N1439" s="17" t="n">
        <x:f>L1439+M1439</x:f>
        <x:v>424800</x:v>
      </x:c>
      <x:c r="O1439" s="12" t="str">
        <x:v>Hyderabad, Pune</x:v>
      </x:c>
      <x:c r="P1439" s="12" t="str">
        <x:v>CORP-0254, CORP-0677, CORP-0678, CORP-0679, CORP-0680</x:v>
      </x:c>
      <x:c r="Q1439" s="12" t="str">
        <x:v>Knight Frank India Pvt Ltd, Knight Frank (India) Pvt. Ltd</x:v>
      </x:c>
    </x:row>
    <x:row r="1440" ht="48" customHeight="1">
      <x:c r="A1440" s="2" t="str">
        <x:v>TEN-786F7AC509DC</x:v>
      </x:c>
      <x:c r="B1440" s="12" t="str">
        <x:v>Knowic Infotech pvt ltd</x:v>
      </x:c>
      <x:c r="C1440" s="12" t="str">
        <x:v>Business / brand</x:v>
      </x:c>
      <x:c r="D1440" s="12" t="str">
        <x:v>IT &amp; digital</x:v>
      </x:c>
      <x:c r="E1440" s="12" t="str">
        <x:v>Enterprise software &amp; digital engineering</x:v>
      </x:c>
      <x:c r="F1440" s="12" t="str">
        <x:v>Small-scale prospects</x:v>
      </x:c>
      <x:c r="G1440" s="12" t="str">
        <x:v>Software or technology-services business; small-scale prospect assumption.</x:v>
      </x:c>
      <x:c r="H1440" s="11" t="n">
        <x:v>1</x:v>
      </x:c>
      <x:c r="I1440" s="11" t="n">
        <x:v>2</x:v>
      </x:c>
      <x:c r="J1440" s="11" t="n">
        <x:v>2</x:v>
      </x:c>
      <x:c r="K1440" s="11" t="n">
        <x:v>0</x:v>
      </x:c>
      <x:c r="L1440" s="17" t="n">
        <x:f>SUM(SUMIFS('Costing'!$P$9:$P$492,'Costing'!$A$9:$A$492,"MAIN-045"))</x:f>
        <x:v>30000</x:v>
      </x:c>
      <x:c r="M1440" s="17" t="n">
        <x:f>ROUND(L1440*'Costing'!$C$4,2)</x:f>
        <x:v>5400</x:v>
      </x:c>
      <x:c r="N1440" s="17" t="n">
        <x:f>L1440+M1440</x:f>
        <x:v>35400</x:v>
      </x:c>
      <x:c r="O1440" s="12" t="str">
        <x:v>Bengaluru</x:v>
      </x:c>
      <x:c r="P1440" s="12" t="str">
        <x:v>CORP-0041</x:v>
      </x:c>
      <x:c r="Q1440" s="12" t="str">
        <x:v>Knowic Infotech pvt ltd</x:v>
      </x:c>
    </x:row>
    <x:row r="1441" ht="48" customHeight="1">
      <x:c r="A1441" s="2" t="str">
        <x:v>TEN-F17CDF039CA5</x:v>
      </x:c>
      <x:c r="B1441" s="12" t="str">
        <x:v>Knowledge Matrix India</x:v>
      </x:c>
      <x:c r="C1441" s="12" t="str">
        <x:v>Business / brand</x:v>
      </x:c>
      <x:c r="D1441" s="12" t="str">
        <x:v>IT &amp; digital</x:v>
      </x:c>
      <x:c r="E1441" s="12" t="str">
        <x:v>Enterprise software &amp; digital engineering</x:v>
      </x:c>
      <x:c r="F1441" s="12" t="str">
        <x:v>Small-scale prospects</x:v>
      </x:c>
      <x:c r="G1441" s="12" t="str">
        <x:v>Software or technology-services business; small-scale prospect assumption.</x:v>
      </x:c>
      <x:c r="H1441" s="11" t="n">
        <x:v>7</x:v>
      </x:c>
      <x:c r="I1441" s="11" t="n">
        <x:v>7</x:v>
      </x:c>
      <x:c r="J1441" s="11" t="n">
        <x:v>7</x:v>
      </x:c>
      <x:c r="K1441" s="11" t="n">
        <x:v>0</x:v>
      </x:c>
      <x:c r="L1441" s="17" t="n">
        <x:f>SUM(SUMIFS('Costing'!$P$9:$P$492,'Costing'!$A$9:$A$492,"PARTNER-M317"))</x:f>
        <x:v>280000</x:v>
      </x:c>
      <x:c r="M1441" s="17" t="n">
        <x:f>ROUND(L1441*'Costing'!$C$4,2)</x:f>
        <x:v>50400</x:v>
      </x:c>
      <x:c r="N1441" s="17" t="n">
        <x:f>L1441+M1441</x:f>
        <x:v>330400</x:v>
      </x:c>
      <x:c r="O1441" s="12" t="str">
        <x:v>Hyderabad</x:v>
      </x:c>
      <x:c r="P1441" s="12" t="str">
        <x:v>CORP-0732, CORP-0733, CORP-0734, CORP-0735, CORP-0736, CORP-0737, CORP-0738</x:v>
      </x:c>
      <x:c r="Q1441" s="12" t="str">
        <x:v>Knowledge Matrix India</x:v>
      </x:c>
    </x:row>
    <x:row r="1442" ht="48" customHeight="1">
      <x:c r="A1442" s="2" t="str">
        <x:v>TEN-EA32BBCF7041</x:v>
      </x:c>
      <x:c r="B1442" s="12" t="str">
        <x:v>KodeCorp Technology Solutions</x:v>
      </x:c>
      <x:c r="C1442" s="12" t="str">
        <x:v>Business / brand</x:v>
      </x:c>
      <x:c r="D1442" s="12" t="str">
        <x:v>IT &amp; digital</x:v>
      </x:c>
      <x:c r="E1442" s="12" t="str">
        <x:v>Enterprise software &amp; digital engineering</x:v>
      </x:c>
      <x:c r="F1442" s="12" t="str">
        <x:v>Small-scale prospects</x:v>
      </x:c>
      <x:c r="G1442" s="12" t="str">
        <x:v>Software or technology-services business; small-scale prospect assumption.</x:v>
      </x:c>
      <x:c r="H1442" s="11" t="n">
        <x:v>1</x:v>
      </x:c>
      <x:c r="I1442" s="11" t="n">
        <x:v>1</x:v>
      </x:c>
      <x:c r="J1442" s="11" t="n">
        <x:v>1</x:v>
      </x:c>
      <x:c r="K1442" s="11" t="n">
        <x:v>0</x:v>
      </x:c>
      <x:c r="L1442" s="17" t="n">
        <x:f>SUM(SUMIFS('Costing'!$P$9:$P$492,'Costing'!$A$9:$A$492,"MAIN-246"))</x:f>
        <x:v>20000</x:v>
      </x:c>
      <x:c r="M1442" s="17" t="n">
        <x:f>ROUND(L1442*'Costing'!$C$4,2)</x:f>
        <x:v>3600</x:v>
      </x:c>
      <x:c r="N1442" s="17" t="n">
        <x:f>L1442+M1442</x:f>
        <x:v>23600</x:v>
      </x:c>
      <x:c r="O1442" s="12" t="str">
        <x:v>Hyderabad</x:v>
      </x:c>
      <x:c r="P1442" s="12" t="str">
        <x:v>CORP-0242</x:v>
      </x:c>
      <x:c r="Q1442" s="12" t="str">
        <x:v>KodeCorp Technology Solutions</x:v>
      </x:c>
    </x:row>
    <x:row r="1443" ht="48" customHeight="1">
      <x:c r="A1443" s="2" t="str">
        <x:v>TEN-B00DCCE00CF7</x:v>
      </x:c>
      <x:c r="B1443" s="12" t="str">
        <x:v>KogniVera IT Solutions Pvt Ltd</x:v>
      </x:c>
      <x:c r="C1443" s="12" t="str">
        <x:v>Business / brand</x:v>
      </x:c>
      <x:c r="D1443" s="12" t="str">
        <x:v>IT &amp; digital</x:v>
      </x:c>
      <x:c r="E1443" s="12" t="str">
        <x:v>Enterprise software &amp; digital engineering</x:v>
      </x:c>
      <x:c r="F1443" s="12" t="str">
        <x:v>Small-scale prospects</x:v>
      </x:c>
      <x:c r="G1443" s="12" t="str">
        <x:v>Software or technology-services business; small-scale prospect assumption.</x:v>
      </x:c>
      <x:c r="H1443" s="11" t="n">
        <x:v>3</x:v>
      </x:c>
      <x:c r="I1443" s="11" t="n">
        <x:v>3</x:v>
      </x:c>
      <x:c r="J1443" s="11" t="n">
        <x:v>3</x:v>
      </x:c>
      <x:c r="K1443" s="11" t="n">
        <x:v>0</x:v>
      </x:c>
      <x:c r="L1443" s="17" t="n">
        <x:f>SUM(SUMIFS('Costing'!$P$9:$P$492,'Costing'!$A$9:$A$492,"PARTNER-M166"))</x:f>
        <x:v>120000</x:v>
      </x:c>
      <x:c r="M1443" s="17" t="n">
        <x:f>ROUND(L1443*'Costing'!$C$4,2)</x:f>
        <x:v>21600</x:v>
      </x:c>
      <x:c r="N1443" s="17" t="n">
        <x:f>L1443+M1443</x:f>
        <x:v>141600</x:v>
      </x:c>
      <x:c r="O1443" s="12" t="str">
        <x:v>Bengaluru</x:v>
      </x:c>
      <x:c r="P1443" s="12" t="str">
        <x:v>CORP-0584, CORP-0585, CORP-0586</x:v>
      </x:c>
      <x:c r="Q1443" s="12" t="str">
        <x:v>KogniVera IT Solutions Pvt Ltd</x:v>
      </x:c>
    </x:row>
    <x:row r="1444" ht="75" customHeight="1">
      <x:c r="A1444" s="2" t="str">
        <x:v>TEN-1B26A1EAB1AF</x:v>
      </x:c>
      <x:c r="B1444" s="12" t="str">
        <x:v>Kognoz Research &amp; Consulting Private Limited</x:v>
      </x:c>
      <x:c r="C1444" s="12" t="str">
        <x:v>Business / brand</x:v>
      </x:c>
      <x:c r="D1444" s="12" t="str">
        <x:v>Professional services</x:v>
      </x:c>
      <x:c r="E1444" s="12" t="str">
        <x:v>Recruitment, HR &amp; staffing</x:v>
      </x:c>
      <x:c r="F1444" s="12" t="str">
        <x:v>Small-scale prospects</x:v>
      </x:c>
      <x:c r="G1444" s="12" t="str">
        <x:v>Indicative specialist consulting-practice audience. The company presents a named founder/practice leadership group and focused people, HR, AI and behavioural-science consulting. This supports a specialist-service model estimate, not a measured employee band.</x:v>
      </x:c>
      <x:c r="H1444" s="11" t="n">
        <x:v>1</x:v>
      </x:c>
      <x:c r="I1444" s="11" t="n">
        <x:v>1</x:v>
      </x:c>
      <x:c r="J1444" s="11" t="n">
        <x:v>1</x:v>
      </x:c>
      <x:c r="K1444" s="11" t="n">
        <x:v>0</x:v>
      </x:c>
      <x:c r="L1444" s="17" t="n">
        <x:f>SUM(SUMIFS('Costing'!$P$9:$P$492,'Costing'!$A$9:$A$492,"MAIN-208"))</x:f>
        <x:v>40000</x:v>
      </x:c>
      <x:c r="M1444" s="17" t="n">
        <x:f>ROUND(L1444*'Costing'!$C$4,2)</x:f>
        <x:v>7200</x:v>
      </x:c>
      <x:c r="N1444" s="17" t="n">
        <x:f>L1444+M1444</x:f>
        <x:v>47200</x:v>
      </x:c>
      <x:c r="O1444" s="12" t="str">
        <x:v>Delhi NCR</x:v>
      </x:c>
      <x:c r="P1444" s="12" t="str">
        <x:v>CORP-0204</x:v>
      </x:c>
      <x:c r="Q1444" s="12" t="str">
        <x:v>Kognoz Research &amp; Consulting Private Limited</x:v>
      </x:c>
    </x:row>
    <x:row r="1445" ht="48" customHeight="1">
      <x:c r="A1445" s="2" t="str">
        <x:v>TEN-6A334590C904</x:v>
      </x:c>
      <x:c r="B1445" s="12" t="str">
        <x:v>Komprise India Private Limited</x:v>
      </x:c>
      <x:c r="C1445" s="12" t="str">
        <x:v>Business / brand</x:v>
      </x:c>
      <x:c r="D1445" s="12" t="str">
        <x:v>IT &amp; digital</x:v>
      </x:c>
      <x:c r="E1445" s="12" t="str">
        <x:v>Enterprise software &amp; digital engineering</x:v>
      </x:c>
      <x:c r="F1445" s="12" t="str">
        <x:v>Small-scale prospects</x:v>
      </x:c>
      <x:c r="G1445" s="12" t="str">
        <x:v>Software or technology-services business; small-scale prospect assumption.</x:v>
      </x:c>
      <x:c r="H1445" s="11" t="n">
        <x:v>1</x:v>
      </x:c>
      <x:c r="I1445" s="11" t="n">
        <x:v>11</x:v>
      </x:c>
      <x:c r="J1445" s="11" t="n">
        <x:v>11</x:v>
      </x:c>
      <x:c r="K1445" s="11" t="n">
        <x:v>0</x:v>
      </x:c>
      <x:c r="L1445" s="17" t="n">
        <x:f>SUM(SUMIFS('Costing'!$P$9:$P$492,'Costing'!$A$9:$A$492,"MAIN-131"))</x:f>
        <x:v>275000</x:v>
      </x:c>
      <x:c r="M1445" s="17" t="n">
        <x:f>ROUND(L1445*'Costing'!$C$4,2)</x:f>
        <x:v>49500</x:v>
      </x:c>
      <x:c r="N1445" s="17" t="n">
        <x:f>L1445+M1445</x:f>
        <x:v>324500</x:v>
      </x:c>
      <x:c r="O1445" s="12" t="str">
        <x:v>Bengaluru</x:v>
      </x:c>
      <x:c r="P1445" s="12" t="str">
        <x:v>CORP-0127</x:v>
      </x:c>
      <x:c r="Q1445" s="12" t="str">
        <x:v>Komprise India Private Limited</x:v>
      </x:c>
    </x:row>
    <x:row r="1446" ht="48" customHeight="1">
      <x:c r="A1446" s="2" t="str">
        <x:v>TEN-D4180954D964</x:v>
      </x:c>
      <x:c r="B1446" s="12" t="str">
        <x:v>Konde Products &amp; Services Pvt. Ltd</x:v>
      </x:c>
      <x:c r="C1446" s="12" t="str">
        <x:v>Business / brand</x:v>
      </x:c>
      <x:c r="D1446" s="12" t="str">
        <x:v>Unresolved</x:v>
      </x:c>
      <x:c r="E1446" s="12" t="str">
        <x:v>Business activity not established</x:v>
      </x:c>
      <x:c r="F1446" s="12" t="str">
        <x:v>Mixed business audience</x:v>
      </x:c>
      <x:c r="G1446" s="12" t="str">
        <x:v>Business activity and company scale are not established from this name.</x:v>
      </x:c>
      <x:c r="H1446" s="11" t="n">
        <x:v>1</x:v>
      </x:c>
      <x:c r="I1446" s="11" t="n">
        <x:v>1</x:v>
      </x:c>
      <x:c r="J1446" s="11" t="n">
        <x:v>1</x:v>
      </x:c>
      <x:c r="K1446" s="11" t="n">
        <x:v>0</x:v>
      </x:c>
      <x:c r="L1446" s="17" t="n">
        <x:f>SUM(SUMIFS('Costing'!$P$9:$P$492,'Costing'!$A$9:$A$492,"MAIN-070"))</x:f>
        <x:v>15000</x:v>
      </x:c>
      <x:c r="M1446" s="17" t="n">
        <x:f>ROUND(L1446*'Costing'!$C$4,2)</x:f>
        <x:v>2700</x:v>
      </x:c>
      <x:c r="N1446" s="17" t="n">
        <x:f>L1446+M1446</x:f>
        <x:v>17700</x:v>
      </x:c>
      <x:c r="O1446" s="12" t="str">
        <x:v>Bengaluru</x:v>
      </x:c>
      <x:c r="P1446" s="12" t="str">
        <x:v>CORP-0066</x:v>
      </x:c>
      <x:c r="Q1446" s="12" t="str">
        <x:v>Konde Products &amp; Services Pvt. Ltd</x:v>
      </x:c>
    </x:row>
    <x:row r="1447" ht="48" customHeight="1">
      <x:c r="A1447" s="2" t="str">
        <x:v>TEN-7746C2BF988E</x:v>
      </x:c>
      <x:c r="B1447" s="12" t="str">
        <x:v>Kone</x:v>
      </x:c>
      <x:c r="C1447" s="12" t="str">
        <x:v>Business / brand</x:v>
      </x:c>
      <x:c r="D1447" s="12" t="str">
        <x:v>Engineering &amp; manufacturing</x:v>
      </x:c>
      <x:c r="E1447" s="12" t="str">
        <x:v>Engineering/manufacturing — specialty unverified</x:v>
      </x:c>
      <x:c r="F1447" s="12" t="str">
        <x:v>Mixed business audience</x:v>
      </x:c>
      <x:c r="G1447" s="12" t="str">
        <x:v>Recognisable business context; company-scale evidence remains insufficient for a single size band.</x:v>
      </x:c>
      <x:c r="H1447" s="11" t="n">
        <x:v>1</x:v>
      </x:c>
      <x:c r="I1447" s="11" t="n">
        <x:v>1</x:v>
      </x:c>
      <x:c r="J1447" s="11" t="n">
        <x:v>1</x:v>
      </x:c>
      <x:c r="K1447" s="11" t="n">
        <x:v>0</x:v>
      </x:c>
      <x:c r="L1447" s="17" t="n">
        <x:f>SUM(SUMIFS('Costing'!$P$9:$P$492,'Costing'!$A$9:$A$492,"MAIN-275"))</x:f>
        <x:v>40000</x:v>
      </x:c>
      <x:c r="M1447" s="17" t="n">
        <x:f>ROUND(L1447*'Costing'!$C$4,2)</x:f>
        <x:v>7200</x:v>
      </x:c>
      <x:c r="N1447" s="17" t="n">
        <x:f>L1447+M1447</x:f>
        <x:v>47200</x:v>
      </x:c>
      <x:c r="O1447" s="12" t="str">
        <x:v>Indore</x:v>
      </x:c>
      <x:c r="P1447" s="12" t="str">
        <x:v>CORP-0271</x:v>
      </x:c>
      <x:c r="Q1447" s="12" t="str">
        <x:v>Kone</x:v>
      </x:c>
    </x:row>
    <x:row r="1448" ht="48" customHeight="1">
      <x:c r="A1448" s="2" t="str">
        <x:v>TEN-0392C3B9EE62</x:v>
      </x:c>
      <x:c r="B1448" s="12" t="str">
        <x:v>Konecranes</x:v>
      </x:c>
      <x:c r="C1448" s="12" t="str">
        <x:v>Business / brand</x:v>
      </x:c>
      <x:c r="D1448" s="12" t="str">
        <x:v>Engineering &amp; manufacturing</x:v>
      </x:c>
      <x:c r="E1448" s="12" t="str">
        <x:v>Engineering/manufacturing — specialty unverified</x:v>
      </x:c>
      <x:c r="F1448" s="12" t="str">
        <x:v>Mixed business audience</x:v>
      </x:c>
      <x:c r="G1448" s="12" t="str">
        <x:v>Recognisable business context; company-scale evidence remains insufficient for a single size band.</x:v>
      </x:c>
      <x:c r="H1448" s="11" t="n">
        <x:v>10</x:v>
      </x:c>
      <x:c r="I1448" s="11" t="n">
        <x:v>11</x:v>
      </x:c>
      <x:c r="J1448" s="11" t="n">
        <x:v>11</x:v>
      </x:c>
      <x:c r="K1448" s="11" t="n">
        <x:v>0</x:v>
      </x:c>
      <x:c r="L1448" s="17" t="n">
        <x:f>SUM(SUMIFS('Costing'!$P$9:$P$492,'Costing'!$A$9:$A$492,"MAIN-150"),SUMIFS('Costing'!$P$9:$P$492,'Costing'!$A$9:$A$492,"PARTNER-M252"))</x:f>
        <x:v>400000</x:v>
      </x:c>
      <x:c r="M1448" s="17" t="n">
        <x:f>ROUND(L1448*'Costing'!$C$4,2)</x:f>
        <x:v>72000</x:v>
      </x:c>
      <x:c r="N1448" s="17" t="n">
        <x:f>L1448+M1448</x:f>
        <x:v>472000</x:v>
      </x:c>
      <x:c r="O1448" s="12" t="str">
        <x:v>Chennai, Pune</x:v>
      </x:c>
      <x:c r="P1448" s="12" t="str">
        <x:v>CORP-0146, CORP-0668, CORP-0669, CORP-0670, CORP-0671, CORP-0672, CORP-0673, CORP-0674, CORP-0675, CORP-0676</x:v>
      </x:c>
      <x:c r="Q1448" s="12" t="str">
        <x:v>Konecranes, Kone Cranes</x:v>
      </x:c>
    </x:row>
    <x:row r="1449" ht="48" customHeight="1">
      <x:c r="A1449" s="2" t="str">
        <x:v>TEN-60BEED08B6CD</x:v>
      </x:c>
      <x:c r="B1449" s="12" t="str">
        <x:v>Konecranes India</x:v>
      </x:c>
      <x:c r="C1449" s="12" t="str">
        <x:v>Business / brand</x:v>
      </x:c>
      <x:c r="D1449" s="12" t="str">
        <x:v>Engineering &amp; manufacturing</x:v>
      </x:c>
      <x:c r="E1449" s="12" t="str">
        <x:v>Engineering/manufacturing — specialty unverified</x:v>
      </x:c>
      <x:c r="F1449" s="12" t="str">
        <x:v>Mixed business audience</x:v>
      </x:c>
      <x:c r="G1449" s="12" t="str">
        <x:v>Recognisable business context; company-scale evidence remains insufficient for a single size band.</x:v>
      </x:c>
      <x:c r="H1449" s="11" t="n">
        <x:v>1</x:v>
      </x:c>
      <x:c r="I1449" s="11" t="n">
        <x:v>2</x:v>
      </x:c>
      <x:c r="J1449" s="11" t="n">
        <x:v>2</x:v>
      </x:c>
      <x:c r="K1449" s="11" t="n">
        <x:v>0</x:v>
      </x:c>
      <x:c r="L1449" s="17" t="n">
        <x:f>SUM(SUMIFS('Costing'!$P$9:$P$492,'Costing'!$A$9:$A$492,"MAIN-243"))</x:f>
        <x:v>40000</x:v>
      </x:c>
      <x:c r="M1449" s="17" t="n">
        <x:f>ROUND(L1449*'Costing'!$C$4,2)</x:f>
        <x:v>7200</x:v>
      </x:c>
      <x:c r="N1449" s="17" t="n">
        <x:f>L1449+M1449</x:f>
        <x:v>47200</x:v>
      </x:c>
      <x:c r="O1449" s="12" t="str">
        <x:v>Hyderabad</x:v>
      </x:c>
      <x:c r="P1449" s="12" t="str">
        <x:v>CORP-0239</x:v>
      </x:c>
      <x:c r="Q1449" s="12" t="str">
        <x:v>Konecranes India</x:v>
      </x:c>
    </x:row>
    <x:row r="1450" ht="48" customHeight="1">
      <x:c r="A1450" s="2" t="str">
        <x:v>TEN-F8CC5DBFE162</x:v>
      </x:c>
      <x:c r="B1450" s="12" t="str">
        <x:v>Kong head</x:v>
      </x:c>
      <x:c r="C1450" s="12" t="str">
        <x:v>Identity unresolved</x:v>
      </x:c>
      <x:c r="D1450" s="12" t="str">
        <x:v>Unresolved</x:v>
      </x:c>
      <x:c r="E1450" s="12" t="str">
        <x:v>Business activity not established</x:v>
      </x:c>
      <x:c r="F1450" s="12" t="str">
        <x:v>Mixed business audience</x:v>
      </x:c>
      <x:c r="G1450" s="12" t="str">
        <x:v>Ambiguous directory record; use the surrounding property audience.</x:v>
      </x:c>
      <x:c r="H1450" s="11" t="n">
        <x:v>2</x:v>
      </x:c>
      <x:c r="I1450" s="11" t="n">
        <x:v>3</x:v>
      </x:c>
      <x:c r="J1450" s="11" t="n">
        <x:v>3</x:v>
      </x:c>
      <x:c r="K1450" s="11" t="n">
        <x:v>0</x:v>
      </x:c>
      <x:c r="L1450" s="17" t="n">
        <x:f>SUM(SUMIFS('Costing'!$P$9:$P$492,'Costing'!$A$9:$A$492,"MAIN-284"),SUMIFS('Costing'!$P$9:$P$492,'Costing'!$A$9:$A$492,"MAIN-285"))</x:f>
        <x:v>45000</x:v>
      </x:c>
      <x:c r="M1450" s="17" t="n">
        <x:f>ROUND(L1450*'Costing'!$C$4,2)</x:f>
        <x:v>8100</x:v>
      </x:c>
      <x:c r="N1450" s="17" t="n">
        <x:f>L1450+M1450</x:f>
        <x:v>53100</x:v>
      </x:c>
      <x:c r="O1450" s="12" t="str">
        <x:v>Kolkata</x:v>
      </x:c>
      <x:c r="P1450" s="12" t="str">
        <x:v>CORP-0280, CORP-0281</x:v>
      </x:c>
      <x:c r="Q1450" s="12" t="str">
        <x:v>Kong head</x:v>
      </x:c>
    </x:row>
    <x:row r="1451" ht="48" customHeight="1">
      <x:c r="A1451" s="2" t="str">
        <x:v>TEN-D898066E6A61</x:v>
      </x:c>
      <x:c r="B1451" s="12" t="str">
        <x:v>Kontoor</x:v>
      </x:c>
      <x:c r="C1451" s="12" t="str">
        <x:v>Business / brand</x:v>
      </x:c>
      <x:c r="D1451" s="12" t="str">
        <x:v>Trade, consumer &amp; logistics</x:v>
      </x:c>
      <x:c r="E1451" s="12" t="str">
        <x:v>Consumer/trade services — specialty unverified</x:v>
      </x:c>
      <x:c r="F1451" s="12" t="str">
        <x:v>Mixed business audience</x:v>
      </x:c>
      <x:c r="G1451" s="12" t="str">
        <x:v>Recognisable business context; company-scale evidence remains insufficient for a single size band.</x:v>
      </x:c>
      <x:c r="H1451" s="11" t="n">
        <x:v>1</x:v>
      </x:c>
      <x:c r="I1451" s="11" t="n">
        <x:v>2</x:v>
      </x:c>
      <x:c r="J1451" s="11" t="n">
        <x:v>2</x:v>
      </x:c>
      <x:c r="K1451" s="11" t="n">
        <x:v>0</x:v>
      </x:c>
      <x:c r="L1451" s="17" t="n">
        <x:f>SUM(SUMIFS('Costing'!$P$9:$P$492,'Costing'!$A$9:$A$492,"MAIN-022"))</x:f>
        <x:v>30000</x:v>
      </x:c>
      <x:c r="M1451" s="17" t="n">
        <x:f>ROUND(L1451*'Costing'!$C$4,2)</x:f>
        <x:v>5400</x:v>
      </x:c>
      <x:c r="N1451" s="17" t="n">
        <x:f>L1451+M1451</x:f>
        <x:v>35400</x:v>
      </x:c>
      <x:c r="O1451" s="12" t="str">
        <x:v>Bengaluru</x:v>
      </x:c>
      <x:c r="P1451" s="12" t="str">
        <x:v>CORP-0018</x:v>
      </x:c>
      <x:c r="Q1451" s="12" t="str">
        <x:v>Kontoor</x:v>
      </x:c>
    </x:row>
    <x:row r="1452" ht="48" customHeight="1">
      <x:c r="A1452" s="2" t="str">
        <x:v>TEN-A52F83B010B6</x:v>
      </x:c>
      <x:c r="B1452" s="12" t="str">
        <x:v>KOSE Corporation India Pvt. Ltd</x:v>
      </x:c>
      <x:c r="C1452" s="12" t="str">
        <x:v>Business / brand</x:v>
      </x:c>
      <x:c r="D1452" s="12" t="str">
        <x:v>Trade, consumer &amp; logistics</x:v>
      </x:c>
      <x:c r="E1452" s="12" t="str">
        <x:v>Retail, consumer products &amp; ecommerce</x:v>
      </x:c>
      <x:c r="F1452" s="12" t="str">
        <x:v>Mixed business audience</x:v>
      </x:c>
      <x:c r="G1452" s="12" t="str">
        <x:v>Established brand or business network; local company scale is not established. Use a mixed-business message.</x:v>
      </x:c>
      <x:c r="H1452" s="11" t="n">
        <x:v>1</x:v>
      </x:c>
      <x:c r="I1452" s="11" t="n">
        <x:v>6</x:v>
      </x:c>
      <x:c r="J1452" s="11" t="n">
        <x:v>6</x:v>
      </x:c>
      <x:c r="K1452" s="11" t="n">
        <x:v>0</x:v>
      </x:c>
      <x:c r="L1452" s="17" t="n">
        <x:f>SUM(SUMIFS('Costing'!$P$9:$P$492,'Costing'!$A$9:$A$492,"MAIN-194"))</x:f>
        <x:v>240000</x:v>
      </x:c>
      <x:c r="M1452" s="17" t="n">
        <x:f>ROUND(L1452*'Costing'!$C$4,2)</x:f>
        <x:v>43200</x:v>
      </x:c>
      <x:c r="N1452" s="17" t="n">
        <x:f>L1452+M1452</x:f>
        <x:v>283200</x:v>
      </x:c>
      <x:c r="O1452" s="12" t="str">
        <x:v>Delhi NCR</x:v>
      </x:c>
      <x:c r="P1452" s="12" t="str">
        <x:v>CORP-0190</x:v>
      </x:c>
      <x:c r="Q1452" s="12" t="str">
        <x:v>KOSE Corporation India Pvt. Ltd</x:v>
      </x:c>
    </x:row>
    <x:row r="1453" ht="49" customHeight="1">
      <x:c r="A1453" s="2" t="str">
        <x:v>TEN-8DCD18640A0A</x:v>
      </x:c>
      <x:c r="B1453" s="12" t="str">
        <x:v>Kotak</x:v>
      </x:c>
      <x:c r="C1453" s="12" t="str">
        <x:v>Business / brand</x:v>
      </x:c>
      <x:c r="D1453" s="12" t="str">
        <x:v>Finance &amp; insurance</x:v>
      </x:c>
      <x:c r="E1453" s="12" t="str">
        <x:v>Financial services — specialty unverified</x:v>
      </x:c>
      <x:c r="F1453" s="12" t="str">
        <x:v>Large enterprise</x:v>
      </x:c>
      <x:c r="G1453" s="12" t="str">
        <x:v>Explicit Kotak enterprise-family context; see ENTERPRISE_SUPP_013 evidence.</x:v>
      </x:c>
      <x:c r="H1453" s="11" t="n">
        <x:v>11</x:v>
      </x:c>
      <x:c r="I1453" s="11" t="n">
        <x:v>11</x:v>
      </x:c>
      <x:c r="J1453" s="11" t="n">
        <x:v>11</x:v>
      </x:c>
      <x:c r="K1453" s="11" t="n">
        <x:v>0</x:v>
      </x:c>
      <x:c r="L1453" s="17" t="n">
        <x:f>SUM(SUMIFS('Costing'!$P$9:$P$492,'Costing'!$A$9:$A$492,"PARTNER-M002"),SUMIFS('Costing'!$P$9:$P$492,'Costing'!$A$9:$A$492,"PARTNER-M332"))</x:f>
        <x:v>440000</x:v>
      </x:c>
      <x:c r="M1453" s="17" t="n">
        <x:f>ROUND(L1453*'Costing'!$C$4,2)</x:f>
        <x:v>79200</x:v>
      </x:c>
      <x:c r="N1453" s="17" t="n">
        <x:f>L1453+M1453</x:f>
        <x:v>519200</x:v>
      </x:c>
      <x:c r="O1453" s="12" t="str">
        <x:v>Bengaluru, Chennai</x:v>
      </x:c>
      <x:c r="P1453" s="12" t="str">
        <x:v>CORP-0420, CORP-0421, CORP-0422, CORP-0423, CORP-0424, CORP-0425, CORP-0426, CORP-0427, CORP-0428, CORP-0746, CORP-0747</x:v>
      </x:c>
      <x:c r="Q1453" s="12" t="str">
        <x:v>Kotak</x:v>
      </x:c>
    </x:row>
    <x:row r="1454" ht="48" customHeight="1">
      <x:c r="A1454" s="2" t="str">
        <x:v>TEN-E4B2E6D6E722</x:v>
      </x:c>
      <x:c r="B1454" s="12" t="str">
        <x:v>Kotak Life</x:v>
      </x:c>
      <x:c r="C1454" s="12" t="str">
        <x:v>Business / brand</x:v>
      </x:c>
      <x:c r="D1454" s="12" t="str">
        <x:v>Finance &amp; insurance</x:v>
      </x:c>
      <x:c r="E1454" s="12" t="str">
        <x:v>Banking, credit &amp; financial services</x:v>
      </x:c>
      <x:c r="F1454" s="12" t="str">
        <x:v>Large enterprise</x:v>
      </x:c>
      <x:c r="G1454" s="12" t="str">
        <x:v>Explicit Kotak enterprise-family context; see ENTERPRISE_SUPP_013 evidence.</x:v>
      </x:c>
      <x:c r="H1454" s="11" t="n">
        <x:v>1</x:v>
      </x:c>
      <x:c r="I1454" s="11" t="n">
        <x:v>1</x:v>
      </x:c>
      <x:c r="J1454" s="11" t="n">
        <x:v>1</x:v>
      </x:c>
      <x:c r="K1454" s="11" t="n">
        <x:v>0</x:v>
      </x:c>
      <x:c r="L1454" s="17" t="n">
        <x:f>SUM(SUMIFS('Costing'!$P$9:$P$492,'Costing'!$A$9:$A$492,"MAIN-269"))</x:f>
        <x:v>40000</x:v>
      </x:c>
      <x:c r="M1454" s="17" t="n">
        <x:f>ROUND(L1454*'Costing'!$C$4,2)</x:f>
        <x:v>7200</x:v>
      </x:c>
      <x:c r="N1454" s="17" t="n">
        <x:f>L1454+M1454</x:f>
        <x:v>47200</x:v>
      </x:c>
      <x:c r="O1454" s="12" t="str">
        <x:v>Indore</x:v>
      </x:c>
      <x:c r="P1454" s="12" t="str">
        <x:v>CORP-0265</x:v>
      </x:c>
      <x:c r="Q1454" s="12" t="str">
        <x:v>Kotak Life</x:v>
      </x:c>
    </x:row>
    <x:row r="1455" ht="75" customHeight="1">
      <x:c r="A1455" s="2" t="str">
        <x:v>TEN-873037B174A4</x:v>
      </x:c>
      <x:c r="B1455" s="12" t="str">
        <x:v>KOTRA Bangalore</x:v>
      </x:c>
      <x:c r="C1455" s="12" t="str">
        <x:v>Public / nonprofit</x:v>
      </x:c>
      <x:c r="D1455" s="12" t="str">
        <x:v>Government &amp; nonprofit</x:v>
      </x:c>
      <x:c r="E1455" s="12" t="str">
        <x:v>Public, nonprofit or membership organization</x:v>
      </x:c>
      <x:c r="F1455" s="12" t="str">
        <x:v>Institutional</x:v>
      </x:c>
      <x:c r="G1455" s="12" t="str">
        <x:v>Existing directory identifies an institutional, government, education, membership or nonprofit organisation rather than an ordinary MSME business prospect. This tag describes audience role and does not assert legal tax status.</x:v>
      </x:c>
      <x:c r="H1455" s="11" t="n">
        <x:v>1</x:v>
      </x:c>
      <x:c r="I1455" s="11" t="n">
        <x:v>2</x:v>
      </x:c>
      <x:c r="J1455" s="11" t="n">
        <x:v>2</x:v>
      </x:c>
      <x:c r="K1455" s="11" t="n">
        <x:v>0</x:v>
      </x:c>
      <x:c r="L1455" s="17" t="n">
        <x:f>SUM(SUMIFS('Costing'!$P$9:$P$492,'Costing'!$A$9:$A$492,"MAIN-114"))</x:f>
        <x:v>50000</x:v>
      </x:c>
      <x:c r="M1455" s="17" t="n">
        <x:f>ROUND(L1455*'Costing'!$C$4,2)</x:f>
        <x:v>9000</x:v>
      </x:c>
      <x:c r="N1455" s="17" t="n">
        <x:f>L1455+M1455</x:f>
        <x:v>59000</x:v>
      </x:c>
      <x:c r="O1455" s="12" t="str">
        <x:v>Bengaluru</x:v>
      </x:c>
      <x:c r="P1455" s="12" t="str">
        <x:v>CORP-0110</x:v>
      </x:c>
      <x:c r="Q1455" s="12" t="str">
        <x:v>KOTRA Bangalore</x:v>
      </x:c>
    </x:row>
    <x:row r="1456" ht="75" customHeight="1">
      <x:c r="A1456" s="2" t="str">
        <x:v>TEN-FF15D0106369</x:v>
      </x:c>
      <x:c r="B1456" s="12" t="str">
        <x:v>KOTRA Mumbai</x:v>
      </x:c>
      <x:c r="C1456" s="12" t="str">
        <x:v>Public / nonprofit</x:v>
      </x:c>
      <x:c r="D1456" s="12" t="str">
        <x:v>Government &amp; nonprofit</x:v>
      </x:c>
      <x:c r="E1456" s="12" t="str">
        <x:v>Public, nonprofit or membership organization</x:v>
      </x:c>
      <x:c r="F1456" s="12" t="str">
        <x:v>Institutional</x:v>
      </x:c>
      <x:c r="G1456" s="12" t="str">
        <x:v>Existing directory identifies an institutional, government, education, membership or nonprofit organisation rather than an ordinary MSME business prospect. This tag describes audience role and does not assert legal tax status.</x:v>
      </x:c>
      <x:c r="H1456" s="11" t="n">
        <x:v>1</x:v>
      </x:c>
      <x:c r="I1456" s="11" t="n">
        <x:v>9</x:v>
      </x:c>
      <x:c r="J1456" s="11" t="n">
        <x:v>9</x:v>
      </x:c>
      <x:c r="K1456" s="11" t="n">
        <x:v>0</x:v>
      </x:c>
      <x:c r="L1456" s="17" t="n">
        <x:f>SUM(SUMIFS('Costing'!$P$9:$P$492,'Costing'!$A$9:$A$492,"MAIN-326"))</x:f>
        <x:v>360000</x:v>
      </x:c>
      <x:c r="M1456" s="17" t="n">
        <x:f>ROUND(L1456*'Costing'!$C$4,2)</x:f>
        <x:v>64800</x:v>
      </x:c>
      <x:c r="N1456" s="17" t="n">
        <x:f>L1456+M1456</x:f>
        <x:v>424800</x:v>
      </x:c>
      <x:c r="O1456" s="12" t="str">
        <x:v>Mumbai</x:v>
      </x:c>
      <x:c r="P1456" s="12" t="str">
        <x:v>CORP-0322</x:v>
      </x:c>
      <x:c r="Q1456" s="12" t="str">
        <x:v>KOTRA Mumbai, KOTRA Mumba</x:v>
      </x:c>
    </x:row>
    <x:row r="1457" ht="48" customHeight="1">
      <x:c r="A1457" s="2" t="str">
        <x:v>TEN-9CAC587E99B7</x:v>
      </x:c>
      <x:c r="B1457" s="12" t="str">
        <x:v>KP AI Solutions (Whatsapp Chatbot for Real Estate ,Hospitals etc)</x:v>
      </x:c>
      <x:c r="C1457" s="12" t="str">
        <x:v>Business / brand</x:v>
      </x:c>
      <x:c r="D1457" s="12" t="str">
        <x:v>IT &amp; digital</x:v>
      </x:c>
      <x:c r="E1457" s="12" t="str">
        <x:v>Enterprise software &amp; digital engineering</x:v>
      </x:c>
      <x:c r="F1457" s="12" t="str">
        <x:v>Small-scale prospects</x:v>
      </x:c>
      <x:c r="G1457" s="12" t="str">
        <x:v>Software or technology-services business; small-scale prospect assumption.</x:v>
      </x:c>
      <x:c r="H1457" s="11" t="n">
        <x:v>1</x:v>
      </x:c>
      <x:c r="I1457" s="11" t="n">
        <x:v>1</x:v>
      </x:c>
      <x:c r="J1457" s="11" t="n">
        <x:v>1</x:v>
      </x:c>
      <x:c r="K1457" s="11" t="n">
        <x:v>0</x:v>
      </x:c>
      <x:c r="L1457" s="17" t="n">
        <x:f>SUM(SUMIFS('Costing'!$P$9:$P$492,'Costing'!$A$9:$A$492,"MAIN-246"))</x:f>
        <x:v>20000</x:v>
      </x:c>
      <x:c r="M1457" s="17" t="n">
        <x:f>ROUND(L1457*'Costing'!$C$4,2)</x:f>
        <x:v>3600</x:v>
      </x:c>
      <x:c r="N1457" s="17" t="n">
        <x:f>L1457+M1457</x:f>
        <x:v>23600</x:v>
      </x:c>
      <x:c r="O1457" s="12" t="str">
        <x:v>Hyderabad</x:v>
      </x:c>
      <x:c r="P1457" s="12" t="str">
        <x:v>CORP-0242</x:v>
      </x:c>
      <x:c r="Q1457" s="12" t="str">
        <x:v>KP AI Solutions (Whatsapp Chatbot for Real Estate ,Hospitals etc)</x:v>
      </x:c>
    </x:row>
    <x:row r="1458" ht="48" customHeight="1">
      <x:c r="A1458" s="2" t="str">
        <x:v>TEN-344BFF8B2788</x:v>
      </x:c>
      <x:c r="B1458" s="12" t="str">
        <x:v>KPMG</x:v>
      </x:c>
      <x:c r="C1458" s="12" t="str">
        <x:v>Business / brand</x:v>
      </x:c>
      <x:c r="D1458" s="12" t="str">
        <x:v>Professional services</x:v>
      </x:c>
      <x:c r="E1458" s="12" t="str">
        <x:v>Accounting, tax &amp; audit</x:v>
      </x:c>
      <x:c r="F1458" s="12" t="str">
        <x:v>Large enterprise</x:v>
      </x:c>
      <x:c r="G1458" s="12" t="str">
        <x:v>Explicit KPMG enterprise-family context; see ENTERPRISE_SUPP_003 evidence.</x:v>
      </x:c>
      <x:c r="H1458" s="11" t="n">
        <x:v>1</x:v>
      </x:c>
      <x:c r="I1458" s="11" t="n">
        <x:v>4</x:v>
      </x:c>
      <x:c r="J1458" s="11" t="n">
        <x:v>4</x:v>
      </x:c>
      <x:c r="K1458" s="11" t="n">
        <x:v>0</x:v>
      </x:c>
      <x:c r="L1458" s="17" t="n">
        <x:f>SUM(SUMIFS('Costing'!$P$9:$P$492,'Costing'!$A$9:$A$492,"MAIN-355"))</x:f>
        <x:v>100000</x:v>
      </x:c>
      <x:c r="M1458" s="17" t="n">
        <x:f>ROUND(L1458*'Costing'!$C$4,2)</x:f>
        <x:v>18000</x:v>
      </x:c>
      <x:c r="N1458" s="17" t="n">
        <x:f>L1458+M1458</x:f>
        <x:v>118000</x:v>
      </x:c>
      <x:c r="O1458" s="12" t="str">
        <x:v>Mumbai</x:v>
      </x:c>
      <x:c r="P1458" s="12" t="str">
        <x:v>CORP-0351</x:v>
      </x:c>
      <x:c r="Q1458" s="12" t="str">
        <x:v>KPMG</x:v>
      </x:c>
    </x:row>
    <x:row r="1459" ht="48" customHeight="1">
      <x:c r="A1459" s="2" t="str">
        <x:v>TEN-4DB2CCE9A521</x:v>
      </x:c>
      <x:c r="B1459" s="12" t="str">
        <x:v>KPMG Global Services</x:v>
      </x:c>
      <x:c r="C1459" s="12" t="str">
        <x:v>Business / brand</x:v>
      </x:c>
      <x:c r="D1459" s="12" t="str">
        <x:v>Professional services</x:v>
      </x:c>
      <x:c r="E1459" s="12" t="str">
        <x:v>Accounting, tax &amp; audit</x:v>
      </x:c>
      <x:c r="F1459" s="12" t="str">
        <x:v>Large enterprise</x:v>
      </x:c>
      <x:c r="G1459" s="12" t="str">
        <x:v>Explicit KPMG enterprise-family context; see ENTERPRISE_SUPP_003 evidence.</x:v>
      </x:c>
      <x:c r="H1459" s="11" t="n">
        <x:v>5</x:v>
      </x:c>
      <x:c r="I1459" s="11" t="n">
        <x:v>5</x:v>
      </x:c>
      <x:c r="J1459" s="11" t="n">
        <x:v>5</x:v>
      </x:c>
      <x:c r="K1459" s="11" t="n">
        <x:v>0</x:v>
      </x:c>
      <x:c r="L1459" s="17" t="n">
        <x:f>SUM(SUMIFS('Costing'!$P$9:$P$492,'Costing'!$A$9:$A$492,"PARTNER-M060"))</x:f>
        <x:v>200000</x:v>
      </x:c>
      <x:c r="M1459" s="17" t="n">
        <x:f>ROUND(L1459*'Costing'!$C$4,2)</x:f>
        <x:v>36000</x:v>
      </x:c>
      <x:c r="N1459" s="17" t="n">
        <x:f>L1459+M1459</x:f>
        <x:v>236000</x:v>
      </x:c>
      <x:c r="O1459" s="12" t="str">
        <x:v>Bengaluru</x:v>
      </x:c>
      <x:c r="P1459" s="12" t="str">
        <x:v>CORP-0478, CORP-0479, CORP-0480, CORP-0481, CORP-0482</x:v>
      </x:c>
      <x:c r="Q1459" s="12" t="str">
        <x:v>KPMG Global Services</x:v>
      </x:c>
    </x:row>
    <x:row r="1460" ht="48" customHeight="1">
      <x:c r="A1460" s="2" t="str">
        <x:v>TEN-628A998CF468</x:v>
      </x:c>
      <x:c r="B1460" s="12" t="str">
        <x:v>Kraftzee</x:v>
      </x:c>
      <x:c r="C1460" s="12" t="str">
        <x:v>Business / brand</x:v>
      </x:c>
      <x:c r="D1460" s="12" t="str">
        <x:v>Unresolved</x:v>
      </x:c>
      <x:c r="E1460" s="12" t="str">
        <x:v>Business activity not established</x:v>
      </x:c>
      <x:c r="F1460" s="12" t="str">
        <x:v>Mixed business audience</x:v>
      </x:c>
      <x:c r="G1460" s="12" t="str">
        <x:v>Business activity and company scale are not established from this name.</x:v>
      </x:c>
      <x:c r="H1460" s="11" t="n">
        <x:v>1</x:v>
      </x:c>
      <x:c r="I1460" s="11" t="n">
        <x:v>2</x:v>
      </x:c>
      <x:c r="J1460" s="11" t="n">
        <x:v>2</x:v>
      </x:c>
      <x:c r="K1460" s="11" t="n">
        <x:v>0</x:v>
      </x:c>
      <x:c r="L1460" s="17" t="n">
        <x:f>SUM(SUMIFS('Costing'!$P$9:$P$492,'Costing'!$A$9:$A$492,"MAIN-267"))</x:f>
        <x:v>40000</x:v>
      </x:c>
      <x:c r="M1460" s="17" t="n">
        <x:f>ROUND(L1460*'Costing'!$C$4,2)</x:f>
        <x:v>7200</x:v>
      </x:c>
      <x:c r="N1460" s="17" t="n">
        <x:f>L1460+M1460</x:f>
        <x:v>47200</x:v>
      </x:c>
      <x:c r="O1460" s="12" t="str">
        <x:v>Indore</x:v>
      </x:c>
      <x:c r="P1460" s="12" t="str">
        <x:v>CORP-0263</x:v>
      </x:c>
      <x:c r="Q1460" s="12" t="str">
        <x:v>Kraftzee</x:v>
      </x:c>
    </x:row>
    <x:row r="1461" ht="48" customHeight="1">
      <x:c r="A1461" s="2" t="str">
        <x:v>TEN-1DED0A1D282F</x:v>
      </x:c>
      <x:c r="B1461" s="12" t="str">
        <x:v>KRC</x:v>
      </x:c>
      <x:c r="C1461" s="12" t="str">
        <x:v>Business / brand</x:v>
      </x:c>
      <x:c r="D1461" s="12" t="str">
        <x:v>Unresolved</x:v>
      </x:c>
      <x:c r="E1461" s="12" t="str">
        <x:v>Business activity not established</x:v>
      </x:c>
      <x:c r="F1461" s="12" t="str">
        <x:v>Mixed business audience</x:v>
      </x:c>
      <x:c r="G1461" s="12" t="str">
        <x:v>Business activity and company scale are not established from this name.</x:v>
      </x:c>
      <x:c r="H1461" s="11" t="n">
        <x:v>1</x:v>
      </x:c>
      <x:c r="I1461" s="11" t="n">
        <x:v>5</x:v>
      </x:c>
      <x:c r="J1461" s="11" t="n">
        <x:v>5</x:v>
      </x:c>
      <x:c r="K1461" s="11" t="n">
        <x:v>0</x:v>
      </x:c>
      <x:c r="L1461" s="17" t="n">
        <x:f>SUM(SUMIFS('Costing'!$P$9:$P$492,'Costing'!$A$9:$A$492,"MAIN-338"))</x:f>
        <x:v>200000</x:v>
      </x:c>
      <x:c r="M1461" s="17" t="n">
        <x:f>ROUND(L1461*'Costing'!$C$4,2)</x:f>
        <x:v>36000</x:v>
      </x:c>
      <x:c r="N1461" s="17" t="n">
        <x:f>L1461+M1461</x:f>
        <x:v>236000</x:v>
      </x:c>
      <x:c r="O1461" s="12" t="str">
        <x:v>Mumbai</x:v>
      </x:c>
      <x:c r="P1461" s="12" t="str">
        <x:v>CORP-0334</x:v>
      </x:c>
      <x:c r="Q1461" s="12" t="str">
        <x:v>KRC</x:v>
      </x:c>
    </x:row>
    <x:row r="1462" ht="48" customHeight="1">
      <x:c r="A1462" s="2" t="str">
        <x:v>TEN-78D2184A1F2B</x:v>
      </x:c>
      <x:c r="B1462" s="12" t="str">
        <x:v>Kredx</x:v>
      </x:c>
      <x:c r="C1462" s="12" t="str">
        <x:v>Business / brand</x:v>
      </x:c>
      <x:c r="D1462" s="12" t="str">
        <x:v>Finance &amp; insurance</x:v>
      </x:c>
      <x:c r="E1462" s="12" t="str">
        <x:v>Banking, insurance, investments &amp; financial services</x:v>
      </x:c>
      <x:c r="F1462" s="12" t="str">
        <x:v>Medium-scale prospects</x:v>
      </x:c>
      <x:c r="G1462" s="12" t="str">
        <x:v>Specialist financial-services business; medium-scale prospect assumption.</x:v>
      </x:c>
      <x:c r="H1462" s="11" t="n">
        <x:v>5</x:v>
      </x:c>
      <x:c r="I1462" s="11" t="n">
        <x:v>5</x:v>
      </x:c>
      <x:c r="J1462" s="11" t="n">
        <x:v>5</x:v>
      </x:c>
      <x:c r="K1462" s="11" t="n">
        <x:v>0</x:v>
      </x:c>
      <x:c r="L1462" s="17" t="n">
        <x:f>SUM(SUMIFS('Costing'!$P$9:$P$492,'Costing'!$A$9:$A$492,"MAIN-323"),SUMIFS('Costing'!$P$9:$P$492,'Costing'!$A$9:$A$492,"PARTNER-M171"))</x:f>
        <x:v>175000</x:v>
      </x:c>
      <x:c r="M1462" s="17" t="n">
        <x:f>ROUND(L1462*'Costing'!$C$4,2)</x:f>
        <x:v>31500</x:v>
      </x:c>
      <x:c r="N1462" s="17" t="n">
        <x:f>L1462+M1462</x:f>
        <x:v>206500</x:v>
      </x:c>
      <x:c r="O1462" s="12" t="str">
        <x:v>Mumbai</x:v>
      </x:c>
      <x:c r="P1462" s="12" t="str">
        <x:v>CORP-0319, CORP-0588, CORP-0589, CORP-0590, CORP-0591</x:v>
      </x:c>
      <x:c r="Q1462" s="12" t="str">
        <x:v>Kredx, KredX</x:v>
      </x:c>
    </x:row>
    <x:row r="1463" ht="48" customHeight="1">
      <x:c r="A1463" s="2" t="str">
        <x:v>TEN-4EE91ACB050F</x:v>
      </x:c>
      <x:c r="B1463" s="12" t="str">
        <x:v>KRH MANUFACTURING AND MANAGEMENT PRIVATE LIMITED</x:v>
      </x:c>
      <x:c r="C1463" s="12" t="str">
        <x:v>Business / brand</x:v>
      </x:c>
      <x:c r="D1463" s="12" t="str">
        <x:v>Engineering &amp; manufacturing</x:v>
      </x:c>
      <x:c r="E1463" s="12" t="str">
        <x:v>Engineering/manufacturing — specialty unverified</x:v>
      </x:c>
      <x:c r="F1463" s="12" t="str">
        <x:v>Medium-scale prospects</x:v>
      </x:c>
      <x:c r="G1463" s="12" t="str">
        <x:v>Specialist industrial or engineering business; medium-scale prospect assumption.</x:v>
      </x:c>
      <x:c r="H1463" s="11" t="n">
        <x:v>1</x:v>
      </x:c>
      <x:c r="I1463" s="11" t="n">
        <x:v>6</x:v>
      </x:c>
      <x:c r="J1463" s="11" t="n">
        <x:v>6</x:v>
      </x:c>
      <x:c r="K1463" s="11" t="n">
        <x:v>0</x:v>
      </x:c>
      <x:c r="L1463" s="17" t="n">
        <x:f>SUM(SUMIFS('Costing'!$P$9:$P$492,'Costing'!$A$9:$A$492,"MAIN-373"))</x:f>
        <x:v>240000</x:v>
      </x:c>
      <x:c r="M1463" s="17" t="n">
        <x:f>ROUND(L1463*'Costing'!$C$4,2)</x:f>
        <x:v>43200</x:v>
      </x:c>
      <x:c r="N1463" s="17" t="n">
        <x:f>L1463+M1463</x:f>
        <x:v>283200</x:v>
      </x:c>
      <x:c r="O1463" s="12" t="str">
        <x:v>Delhi NCR</x:v>
      </x:c>
      <x:c r="P1463" s="12" t="str">
        <x:v>CORP-0369</x:v>
      </x:c>
      <x:c r="Q1463" s="12" t="str">
        <x:v>KRH MANUFACTURING AND MANAGEMENT PRIVATE LIMITED</x:v>
      </x:c>
    </x:row>
    <x:row r="1464" ht="48" customHeight="1">
      <x:c r="A1464" s="2" t="str">
        <x:v>TEN-FF14B3331AFF</x:v>
      </x:c>
      <x:c r="B1464" s="12" t="str">
        <x:v>KRION CONSULTING PVT LTD</x:v>
      </x:c>
      <x:c r="C1464" s="12" t="str">
        <x:v>Business / brand</x:v>
      </x:c>
      <x:c r="D1464" s="12" t="str">
        <x:v>Professional services</x:v>
      </x:c>
      <x:c r="E1464" s="12" t="str">
        <x:v>Business consulting &amp; advisory</x:v>
      </x:c>
      <x:c r="F1464" s="12" t="str">
        <x:v>Small-scale prospects</x:v>
      </x:c>
      <x:c r="G1464" s="12" t="str">
        <x:v>Professional service, agency or advisory model; small-scale prospect assumption.</x:v>
      </x:c>
      <x:c r="H1464" s="11" t="n">
        <x:v>1</x:v>
      </x:c>
      <x:c r="I1464" s="11" t="n">
        <x:v>1</x:v>
      </x:c>
      <x:c r="J1464" s="11" t="n">
        <x:v>1</x:v>
      </x:c>
      <x:c r="K1464" s="11" t="n">
        <x:v>0</x:v>
      </x:c>
      <x:c r="L1464" s="17" t="n">
        <x:f>SUM(SUMIFS('Costing'!$P$9:$P$492,'Costing'!$A$9:$A$492,"MAIN-333"))</x:f>
        <x:v>15000</x:v>
      </x:c>
      <x:c r="M1464" s="17" t="n">
        <x:f>ROUND(L1464*'Costing'!$C$4,2)</x:f>
        <x:v>2700</x:v>
      </x:c>
      <x:c r="N1464" s="17" t="n">
        <x:f>L1464+M1464</x:f>
        <x:v>17700</x:v>
      </x:c>
      <x:c r="O1464" s="12" t="str">
        <x:v>Mumbai</x:v>
      </x:c>
      <x:c r="P1464" s="12" t="str">
        <x:v>CORP-0329</x:v>
      </x:c>
      <x:c r="Q1464" s="12" t="str">
        <x:v>KRION CONSULTING PVT LTD</x:v>
      </x:c>
    </x:row>
    <x:row r="1465" ht="48" customHeight="1">
      <x:c r="A1465" s="2" t="str">
        <x:v>TEN-0474E7AB4372</x:v>
      </x:c>
      <x:c r="B1465" s="12" t="str">
        <x:v>Krishna Foils Corporation</x:v>
      </x:c>
      <x:c r="C1465" s="12" t="str">
        <x:v>Business / brand</x:v>
      </x:c>
      <x:c r="D1465" s="12" t="str">
        <x:v>Engineering &amp; manufacturing</x:v>
      </x:c>
      <x:c r="E1465" s="12" t="str">
        <x:v>Electronics, industrial systems &amp; manufacturing</x:v>
      </x:c>
      <x:c r="F1465" s="12" t="str">
        <x:v>Medium-scale prospects</x:v>
      </x:c>
      <x:c r="G1465" s="12" t="str">
        <x:v>Specialist industrial or engineering business; medium-scale prospect assumption.</x:v>
      </x:c>
      <x:c r="H1465" s="11" t="n">
        <x:v>1</x:v>
      </x:c>
      <x:c r="I1465" s="11" t="n">
        <x:v>22</x:v>
      </x:c>
      <x:c r="J1465" s="11" t="n">
        <x:v>22</x:v>
      </x:c>
      <x:c r="K1465" s="11" t="n">
        <x:v>0</x:v>
      </x:c>
      <x:c r="L1465" s="17" t="n">
        <x:f>SUM(SUMIFS('Costing'!$P$9:$P$492,'Costing'!$A$9:$A$492,"MAIN-307"))</x:f>
        <x:v>330000</x:v>
      </x:c>
      <x:c r="M1465" s="17" t="n">
        <x:f>ROUND(L1465*'Costing'!$C$4,2)</x:f>
        <x:v>59400</x:v>
      </x:c>
      <x:c r="N1465" s="17" t="n">
        <x:f>L1465+M1465</x:f>
        <x:v>389400</x:v>
      </x:c>
      <x:c r="O1465" s="12" t="str">
        <x:v>Mumbai</x:v>
      </x:c>
      <x:c r="P1465" s="12" t="str">
        <x:v>CORP-0303</x:v>
      </x:c>
      <x:c r="Q1465" s="12" t="str">
        <x:v>Krishna Foils Corporation</x:v>
      </x:c>
    </x:row>
    <x:row r="1466" ht="88" customHeight="1">
      <x:c r="A1466" s="2" t="str">
        <x:v>TEN-722C60CE3D88</x:v>
      </x:c>
      <x:c r="B1466" s="12" t="str">
        <x:v>KritiKal Solutions</x:v>
      </x:c>
      <x:c r="C1466" s="12" t="str">
        <x:v>Business / brand</x:v>
      </x:c>
      <x:c r="D1466" s="12" t="str">
        <x:v>IT &amp; digital</x:v>
      </x:c>
      <x:c r="E1466" s="12" t="str">
        <x:v>Enterprise software &amp; digital engineering</x:v>
      </x:c>
      <x:c r="F1466" s="12" t="str">
        <x:v>Medium-scale prospects</x:v>
      </x:c>
      <x:c r="G1466" s="12" t="str">
        <x:v>Indicative specialist product-engineering organization. The official site describes delivery supported by more than 250 engineers and solution architects, alongside software, embedded and AI capabilities. The page also discusses the KritiKal group, so its published count must remain at website/group-context scope.</x:v>
      </x:c>
      <x:c r="H1466" s="11" t="n">
        <x:v>2</x:v>
      </x:c>
      <x:c r="I1466" s="11" t="n">
        <x:v>4</x:v>
      </x:c>
      <x:c r="J1466" s="11" t="n">
        <x:v>4</x:v>
      </x:c>
      <x:c r="K1466" s="11" t="n">
        <x:v>0</x:v>
      </x:c>
      <x:c r="L1466" s="17" t="n">
        <x:f>SUM(SUMIFS('Costing'!$P$9:$P$492,'Costing'!$A$9:$A$492,"MAIN-091"),SUMIFS('Costing'!$P$9:$P$492,'Costing'!$A$9:$A$492,"MAIN-166"))</x:f>
        <x:v>70000</x:v>
      </x:c>
      <x:c r="M1466" s="17" t="n">
        <x:f>ROUND(L1466*'Costing'!$C$4,2)</x:f>
        <x:v>12600</x:v>
      </x:c>
      <x:c r="N1466" s="17" t="n">
        <x:f>L1466+M1466</x:f>
        <x:v>82600</x:v>
      </x:c>
      <x:c r="O1466" s="12" t="str">
        <x:v>Bengaluru, Delhi NCR</x:v>
      </x:c>
      <x:c r="P1466" s="12" t="str">
        <x:v>CORP-0087, CORP-0162</x:v>
      </x:c>
      <x:c r="Q1466" s="12" t="str">
        <x:v>KritiKal Solutions, Kritikal</x:v>
      </x:c>
    </x:row>
    <x:row r="1467" ht="49" customHeight="1">
      <x:c r="A1467" s="2" t="str">
        <x:v>TEN-05A498EFD197</x:v>
      </x:c>
      <x:c r="B1467" s="12" t="str">
        <x:v>Kronos</x:v>
      </x:c>
      <x:c r="C1467" s="12" t="str">
        <x:v>Business / brand</x:v>
      </x:c>
      <x:c r="D1467" s="12" t="str">
        <x:v>IT &amp; digital</x:v>
      </x:c>
      <x:c r="E1467" s="12" t="str">
        <x:v>Technology services — specialty unverified</x:v>
      </x:c>
      <x:c r="F1467" s="12" t="str">
        <x:v>Mixed business audience</x:v>
      </x:c>
      <x:c r="G1467" s="12" t="str">
        <x:v>Recognisable business context; company-scale evidence remains insufficient for a single size band.</x:v>
      </x:c>
      <x:c r="H1467" s="11" t="n">
        <x:v>12</x:v>
      </x:c>
      <x:c r="I1467" s="11" t="n">
        <x:v>12</x:v>
      </x:c>
      <x:c r="J1467" s="11" t="n">
        <x:v>12</x:v>
      </x:c>
      <x:c r="K1467" s="11" t="n">
        <x:v>0</x:v>
      </x:c>
      <x:c r="L1467" s="17" t="n">
        <x:f>SUM(SUMIFS('Costing'!$P$9:$P$492,'Costing'!$A$9:$A$492,"PARTNER-M108"))</x:f>
        <x:v>480000</x:v>
      </x:c>
      <x:c r="M1467" s="17" t="n">
        <x:f>ROUND(L1467*'Costing'!$C$4,2)</x:f>
        <x:v>86400</x:v>
      </x:c>
      <x:c r="N1467" s="17" t="n">
        <x:f>L1467+M1467</x:f>
        <x:v>566400</x:v>
      </x:c>
      <x:c r="O1467" s="12" t="str">
        <x:v>Bengaluru</x:v>
      </x:c>
      <x:c r="P1467" s="12" t="str">
        <x:v>CORP-0526, CORP-0527, CORP-0528, CORP-0529, CORP-0530, CORP-0531, CORP-0532, CORP-0533, CORP-0534, CORP-0535, CORP-0536, CORP-0537</x:v>
      </x:c>
      <x:c r="Q1467" s="12" t="str">
        <x:v>Kronos</x:v>
      </x:c>
    </x:row>
    <x:row r="1468" ht="48" customHeight="1">
      <x:c r="A1468" s="2" t="str">
        <x:v>TEN-EF04B4583793</x:v>
      </x:c>
      <x:c r="B1468" s="12" t="str">
        <x:v>Kshema General Insurance Limited</x:v>
      </x:c>
      <x:c r="C1468" s="12" t="str">
        <x:v>Business / brand</x:v>
      </x:c>
      <x:c r="D1468" s="12" t="str">
        <x:v>Finance &amp; insurance</x:v>
      </x:c>
      <x:c r="E1468" s="12" t="str">
        <x:v>Insurance &amp; insurance services</x:v>
      </x:c>
      <x:c r="F1468" s="12" t="str">
        <x:v>Mixed business audience</x:v>
      </x:c>
      <x:c r="G1468" s="12" t="str">
        <x:v>Established brand or business network; local company scale is not established. Use a mixed-business message.</x:v>
      </x:c>
      <x:c r="H1468" s="11" t="n">
        <x:v>1</x:v>
      </x:c>
      <x:c r="I1468" s="11" t="n">
        <x:v>3</x:v>
      </x:c>
      <x:c r="J1468" s="11" t="n">
        <x:v>3</x:v>
      </x:c>
      <x:c r="K1468" s="11" t="n">
        <x:v>0</x:v>
      </x:c>
      <x:c r="L1468" s="17" t="n">
        <x:f>SUM(SUMIFS('Costing'!$P$9:$P$492,'Costing'!$A$9:$A$492,"MAIN-255"))</x:f>
        <x:v>45000</x:v>
      </x:c>
      <x:c r="M1468" s="17" t="n">
        <x:f>ROUND(L1468*'Costing'!$C$4,2)</x:f>
        <x:v>8100</x:v>
      </x:c>
      <x:c r="N1468" s="17" t="n">
        <x:f>L1468+M1468</x:f>
        <x:v>53100</x:v>
      </x:c>
      <x:c r="O1468" s="12" t="str">
        <x:v>Hyderabad</x:v>
      </x:c>
      <x:c r="P1468" s="12" t="str">
        <x:v>CORP-0251</x:v>
      </x:c>
      <x:c r="Q1468" s="12" t="str">
        <x:v>Kshema General Insurance Limited</x:v>
      </x:c>
    </x:row>
    <x:row r="1469" ht="48" customHeight="1">
      <x:c r="A1469" s="2" t="str">
        <x:v>TEN-94E4888B30AD</x:v>
      </x:c>
      <x:c r="B1469" s="12" t="str">
        <x:v>Kukkr Bangalore</x:v>
      </x:c>
      <x:c r="C1469" s="12" t="str">
        <x:v>Business / brand</x:v>
      </x:c>
      <x:c r="D1469" s="12" t="str">
        <x:v>Unresolved</x:v>
      </x:c>
      <x:c r="E1469" s="12" t="str">
        <x:v>Business activity not established</x:v>
      </x:c>
      <x:c r="F1469" s="12" t="str">
        <x:v>Mixed business audience</x:v>
      </x:c>
      <x:c r="G1469" s="12" t="str">
        <x:v>Business activity and company scale are not established from this name.</x:v>
      </x:c>
      <x:c r="H1469" s="11" t="n">
        <x:v>1</x:v>
      </x:c>
      <x:c r="I1469" s="11" t="n">
        <x:v>4</x:v>
      </x:c>
      <x:c r="J1469" s="11" t="n">
        <x:v>4</x:v>
      </x:c>
      <x:c r="K1469" s="11" t="n">
        <x:v>0</x:v>
      </x:c>
      <x:c r="L1469" s="17" t="n">
        <x:f>SUM(SUMIFS('Costing'!$P$9:$P$492,'Costing'!$A$9:$A$492,"MAIN-053"))</x:f>
        <x:v>60000</x:v>
      </x:c>
      <x:c r="M1469" s="17" t="n">
        <x:f>ROUND(L1469*'Costing'!$C$4,2)</x:f>
        <x:v>10800</x:v>
      </x:c>
      <x:c r="N1469" s="17" t="n">
        <x:f>L1469+M1469</x:f>
        <x:v>70800</x:v>
      </x:c>
      <x:c r="O1469" s="12" t="str">
        <x:v>Bengaluru</x:v>
      </x:c>
      <x:c r="P1469" s="12" t="str">
        <x:v>CORP-0049</x:v>
      </x:c>
      <x:c r="Q1469" s="12" t="str">
        <x:v>Kukkr Bangalore</x:v>
      </x:c>
    </x:row>
    <x:row r="1470" ht="48" customHeight="1">
      <x:c r="A1470" s="2" t="str">
        <x:v>TEN-EAEBA0777B03</x:v>
      </x:c>
      <x:c r="B1470" s="12" t="str">
        <x:v>Kundalika rafting</x:v>
      </x:c>
      <x:c r="C1470" s="12" t="str">
        <x:v>Business / brand</x:v>
      </x:c>
      <x:c r="D1470" s="12" t="str">
        <x:v>Trade, consumer &amp; logistics</x:v>
      </x:c>
      <x:c r="E1470" s="12" t="str">
        <x:v>Travel, hospitality, food &amp; beverages</x:v>
      </x:c>
      <x:c r="F1470" s="12" t="str">
        <x:v>Small-scale prospects</x:v>
      </x:c>
      <x:c r="G1470" s="12" t="str">
        <x:v>Trading or consumer-services business; small-scale prospect assumption.</x:v>
      </x:c>
      <x:c r="H1470" s="11" t="n">
        <x:v>1</x:v>
      </x:c>
      <x:c r="I1470" s="11" t="n">
        <x:v>39</x:v>
      </x:c>
      <x:c r="J1470" s="11" t="n">
        <x:v>39</x:v>
      </x:c>
      <x:c r="K1470" s="11" t="n">
        <x:v>0</x:v>
      </x:c>
      <x:c r="L1470" s="17" t="n">
        <x:f>SUM(SUMIFS('Costing'!$P$9:$P$492,'Costing'!$A$9:$A$492,"MAIN-294"))</x:f>
        <x:v>585000</x:v>
      </x:c>
      <x:c r="M1470" s="17" t="n">
        <x:f>ROUND(L1470*'Costing'!$C$4,2)</x:f>
        <x:v>105300</x:v>
      </x:c>
      <x:c r="N1470" s="17" t="n">
        <x:f>L1470+M1470</x:f>
        <x:v>690300</x:v>
      </x:c>
      <x:c r="O1470" s="12" t="str">
        <x:v>Mumbai</x:v>
      </x:c>
      <x:c r="P1470" s="12" t="str">
        <x:v>CORP-0290</x:v>
      </x:c>
      <x:c r="Q1470" s="12" t="str">
        <x:v>Kundalika rafting</x:v>
      </x:c>
    </x:row>
    <x:row r="1471" ht="48" customHeight="1">
      <x:c r="A1471" s="2" t="str">
        <x:v>TEN-CFE80234CF49</x:v>
      </x:c>
      <x:c r="B1471" s="12" t="str">
        <x:v>Kundan Kishore</x:v>
      </x:c>
      <x:c r="C1471" s="12" t="str">
        <x:v>Person / contact unresolved</x:v>
      </x:c>
      <x:c r="D1471" s="12" t="str">
        <x:v>Unresolved</x:v>
      </x:c>
      <x:c r="E1471" s="12" t="str">
        <x:v>Business activity not established</x:v>
      </x:c>
      <x:c r="F1471" s="12" t="str">
        <x:v>Mixed business audience</x:v>
      </x:c>
      <x:c r="G1471" s="12" t="str">
        <x:v>Ambiguous directory record; use the surrounding property audience.</x:v>
      </x:c>
      <x:c r="H1471" s="11" t="n">
        <x:v>1</x:v>
      </x:c>
      <x:c r="I1471" s="11" t="n">
        <x:v>2</x:v>
      </x:c>
      <x:c r="J1471" s="11" t="n">
        <x:v>2</x:v>
      </x:c>
      <x:c r="K1471" s="11" t="n">
        <x:v>0</x:v>
      </x:c>
      <x:c r="L1471" s="17" t="n">
        <x:f>SUM(SUMIFS('Costing'!$P$9:$P$492,'Costing'!$A$9:$A$492,"MAIN-212"))</x:f>
        <x:v>30000</x:v>
      </x:c>
      <x:c r="M1471" s="17" t="n">
        <x:f>ROUND(L1471*'Costing'!$C$4,2)</x:f>
        <x:v>5400</x:v>
      </x:c>
      <x:c r="N1471" s="17" t="n">
        <x:f>L1471+M1471</x:f>
        <x:v>35400</x:v>
      </x:c>
      <x:c r="O1471" s="12" t="str">
        <x:v>Delhi NCR</x:v>
      </x:c>
      <x:c r="P1471" s="12" t="str">
        <x:v>CORP-0208</x:v>
      </x:c>
      <x:c r="Q1471" s="12" t="str">
        <x:v>Kundan Kishore</x:v>
      </x:c>
    </x:row>
    <x:row r="1472" ht="48" customHeight="1">
      <x:c r="A1472" s="2" t="str">
        <x:v>TEN-399D9BFC3C0B</x:v>
      </x:c>
      <x:c r="B1472" s="12" t="str">
        <x:v>KVK Energy and infrastructure pvt ltd</x:v>
      </x:c>
      <x:c r="C1472" s="12" t="str">
        <x:v>Business / brand</x:v>
      </x:c>
      <x:c r="D1472" s="12" t="str">
        <x:v>Engineering &amp; manufacturing</x:v>
      </x:c>
      <x:c r="E1472" s="12" t="str">
        <x:v>Energy, electrical &amp; industrial systems</x:v>
      </x:c>
      <x:c r="F1472" s="12" t="str">
        <x:v>Mixed business audience</x:v>
      </x:c>
      <x:c r="G1472" s="12" t="str">
        <x:v>Established brand or business network; local company scale is not established. Use a mixed-business message.</x:v>
      </x:c>
      <x:c r="H1472" s="11" t="n">
        <x:v>1</x:v>
      </x:c>
      <x:c r="I1472" s="11" t="n">
        <x:v>22</x:v>
      </x:c>
      <x:c r="J1472" s="11" t="n">
        <x:v>22</x:v>
      </x:c>
      <x:c r="K1472" s="11" t="n">
        <x:v>0</x:v>
      </x:c>
      <x:c r="L1472" s="17" t="n">
        <x:f>SUM(SUMIFS('Costing'!$P$9:$P$492,'Costing'!$A$9:$A$492,"MAIN-260"))</x:f>
        <x:v>715000</x:v>
      </x:c>
      <x:c r="M1472" s="17" t="n">
        <x:f>ROUND(L1472*'Costing'!$C$4,2)</x:f>
        <x:v>128700</x:v>
      </x:c>
      <x:c r="N1472" s="17" t="n">
        <x:f>L1472+M1472</x:f>
        <x:v>843700</x:v>
      </x:c>
      <x:c r="O1472" s="12" t="str">
        <x:v>Hyderabad</x:v>
      </x:c>
      <x:c r="P1472" s="12" t="str">
        <x:v>CORP-0256</x:v>
      </x:c>
      <x:c r="Q1472" s="12" t="str">
        <x:v>KVK Energy and infrastructure pvt ltd</x:v>
      </x:c>
    </x:row>
    <x:row r="1473" ht="48" customHeight="1">
      <x:c r="A1473" s="2" t="str">
        <x:v>TEN-25DB5104E8F5</x:v>
      </x:c>
      <x:c r="B1473" s="12" t="str">
        <x:v>Kwalee India</x:v>
      </x:c>
      <x:c r="C1473" s="12" t="str">
        <x:v>Business / brand</x:v>
      </x:c>
      <x:c r="D1473" s="12" t="str">
        <x:v>Trade, consumer &amp; logistics</x:v>
      </x:c>
      <x:c r="E1473" s="12" t="str">
        <x:v>Entertainment, media &amp; events</x:v>
      </x:c>
      <x:c r="F1473" s="12" t="str">
        <x:v>Mixed business audience</x:v>
      </x:c>
      <x:c r="G1473" s="12" t="str">
        <x:v>Established brand or business network; local company scale is not established. Use a mixed-business message.</x:v>
      </x:c>
      <x:c r="H1473" s="11" t="n">
        <x:v>5</x:v>
      </x:c>
      <x:c r="I1473" s="11" t="n">
        <x:v>5</x:v>
      </x:c>
      <x:c r="J1473" s="11" t="n">
        <x:v>5</x:v>
      </x:c>
      <x:c r="K1473" s="11" t="n">
        <x:v>0</x:v>
      </x:c>
      <x:c r="L1473" s="17" t="n">
        <x:f>SUM(SUMIFS('Costing'!$P$9:$P$492,'Costing'!$A$9:$A$492,"PARTNER-M060"))</x:f>
        <x:v>200000</x:v>
      </x:c>
      <x:c r="M1473" s="17" t="n">
        <x:f>ROUND(L1473*'Costing'!$C$4,2)</x:f>
        <x:v>36000</x:v>
      </x:c>
      <x:c r="N1473" s="17" t="n">
        <x:f>L1473+M1473</x:f>
        <x:v>236000</x:v>
      </x:c>
      <x:c r="O1473" s="12" t="str">
        <x:v>Bengaluru</x:v>
      </x:c>
      <x:c r="P1473" s="12" t="str">
        <x:v>CORP-0478, CORP-0479, CORP-0480, CORP-0481, CORP-0482</x:v>
      </x:c>
      <x:c r="Q1473" s="12" t="str">
        <x:v>Kwalee India</x:v>
      </x:c>
    </x:row>
    <x:row r="1474" ht="48" customHeight="1">
      <x:c r="A1474" s="2" t="str">
        <x:v>TEN-BC7208810F72</x:v>
      </x:c>
      <x:c r="B1474" s="12" t="str">
        <x:v>kyansh construction pvt ltd</x:v>
      </x:c>
      <x:c r="C1474" s="12" t="str">
        <x:v>Business / brand</x:v>
      </x:c>
      <x:c r="D1474" s="12" t="str">
        <x:v>Engineering &amp; manufacturing</x:v>
      </x:c>
      <x:c r="E1474" s="12" t="str">
        <x:v>Engineering/manufacturing — specialty unverified</x:v>
      </x:c>
      <x:c r="F1474" s="12" t="str">
        <x:v>Medium-scale prospects</x:v>
      </x:c>
      <x:c r="G1474" s="12" t="str">
        <x:v>Specialist industrial or engineering business; medium-scale prospect assumption.</x:v>
      </x:c>
      <x:c r="H1474" s="11" t="n">
        <x:v>1</x:v>
      </x:c>
      <x:c r="I1474" s="11" t="n">
        <x:v>1</x:v>
      </x:c>
      <x:c r="J1474" s="11" t="n">
        <x:v>1</x:v>
      </x:c>
      <x:c r="K1474" s="11" t="n">
        <x:v>0</x:v>
      </x:c>
      <x:c r="L1474" s="17" t="n">
        <x:f>SUM(SUMIFS('Costing'!$P$9:$P$492,'Costing'!$A$9:$A$492,"MAIN-415"))</x:f>
        <x:v>15000</x:v>
      </x:c>
      <x:c r="M1474" s="17" t="n">
        <x:f>ROUND(L1474*'Costing'!$C$4,2)</x:f>
        <x:v>2700</x:v>
      </x:c>
      <x:c r="N1474" s="17" t="n">
        <x:f>L1474+M1474</x:f>
        <x:v>17700</x:v>
      </x:c>
      <x:c r="O1474" s="12" t="str">
        <x:v>Pune</x:v>
      </x:c>
      <x:c r="P1474" s="12" t="str">
        <x:v>CORP-0411</x:v>
      </x:c>
      <x:c r="Q1474" s="12" t="str">
        <x:v>kyansh construction pvt ltd</x:v>
      </x:c>
    </x:row>
    <x:row r="1475" ht="48" customHeight="1">
      <x:c r="A1475" s="2" t="str">
        <x:v>TEN-0B9EE0B94DB9</x:v>
      </x:c>
      <x:c r="B1475" s="12" t="str">
        <x:v>Kyndryl</x:v>
      </x:c>
      <x:c r="C1475" s="12" t="str">
        <x:v>Business / brand</x:v>
      </x:c>
      <x:c r="D1475" s="12" t="str">
        <x:v>IT &amp; digital</x:v>
      </x:c>
      <x:c r="E1475" s="12" t="str">
        <x:v>Technology services — specialty unverified</x:v>
      </x:c>
      <x:c r="F1475" s="12" t="str">
        <x:v>Mixed business audience</x:v>
      </x:c>
      <x:c r="G1475" s="12" t="str">
        <x:v>Recognisable business context; company-scale evidence remains insufficient for a single size band.</x:v>
      </x:c>
      <x:c r="H1475" s="11" t="n">
        <x:v>9</x:v>
      </x:c>
      <x:c r="I1475" s="11" t="n">
        <x:v>9</x:v>
      </x:c>
      <x:c r="J1475" s="11" t="n">
        <x:v>9</x:v>
      </x:c>
      <x:c r="K1475" s="11" t="n">
        <x:v>0</x:v>
      </x:c>
      <x:c r="L1475" s="17" t="n">
        <x:f>SUM(SUMIFS('Costing'!$P$9:$P$492,'Costing'!$A$9:$A$492,"PARTNER-M002"))</x:f>
        <x:v>360000</x:v>
      </x:c>
      <x:c r="M1475" s="17" t="n">
        <x:f>ROUND(L1475*'Costing'!$C$4,2)</x:f>
        <x:v>64800</x:v>
      </x:c>
      <x:c r="N1475" s="17" t="n">
        <x:f>L1475+M1475</x:f>
        <x:v>424800</x:v>
      </x:c>
      <x:c r="O1475" s="12" t="str">
        <x:v>Bengaluru</x:v>
      </x:c>
      <x:c r="P1475" s="12" t="str">
        <x:v>CORP-0420, CORP-0421, CORP-0422, CORP-0423, CORP-0424, CORP-0425, CORP-0426, CORP-0427, CORP-0428</x:v>
      </x:c>
      <x:c r="Q1475" s="12" t="str">
        <x:v>Kyndryl</x:v>
      </x:c>
    </x:row>
    <x:row r="1476" ht="48" customHeight="1">
      <x:c r="A1476" s="2" t="str">
        <x:v>TEN-872F9565D946</x:v>
      </x:c>
      <x:c r="B1476" s="12" t="str">
        <x:v>Kyro-SAAS Technologies Pvt.Ltd</x:v>
      </x:c>
      <x:c r="C1476" s="12" t="str">
        <x:v>Business / brand</x:v>
      </x:c>
      <x:c r="D1476" s="12" t="str">
        <x:v>IT &amp; digital</x:v>
      </x:c>
      <x:c r="E1476" s="12" t="str">
        <x:v>Enterprise software &amp; digital engineering</x:v>
      </x:c>
      <x:c r="F1476" s="12" t="str">
        <x:v>Small-scale prospects</x:v>
      </x:c>
      <x:c r="G1476" s="12" t="str">
        <x:v>Software or technology-services business; small-scale prospect assumption.</x:v>
      </x:c>
      <x:c r="H1476" s="11" t="n">
        <x:v>1</x:v>
      </x:c>
      <x:c r="I1476" s="11" t="n">
        <x:v>1</x:v>
      </x:c>
      <x:c r="J1476" s="11" t="n">
        <x:v>1</x:v>
      </x:c>
      <x:c r="K1476" s="11" t="n">
        <x:v>0</x:v>
      </x:c>
      <x:c r="L1476" s="17" t="n">
        <x:f>SUM(SUMIFS('Costing'!$P$9:$P$492,'Costing'!$A$9:$A$492,"MAIN-050"))</x:f>
        <x:v>15000</x:v>
      </x:c>
      <x:c r="M1476" s="17" t="n">
        <x:f>ROUND(L1476*'Costing'!$C$4,2)</x:f>
        <x:v>2700</x:v>
      </x:c>
      <x:c r="N1476" s="17" t="n">
        <x:f>L1476+M1476</x:f>
        <x:v>17700</x:v>
      </x:c>
      <x:c r="O1476" s="12" t="str">
        <x:v>Bengaluru</x:v>
      </x:c>
      <x:c r="P1476" s="12" t="str">
        <x:v>CORP-0046</x:v>
      </x:c>
      <x:c r="Q1476" s="12" t="str">
        <x:v>Kyro-SAAS Technologies Pvt.Ltd</x:v>
      </x:c>
    </x:row>
    <x:row r="1477" ht="48" customHeight="1">
      <x:c r="A1477" s="2" t="str">
        <x:v>TEN-34ACAFF17988</x:v>
      </x:c>
      <x:c r="B1477" s="12" t="str">
        <x:v>Kyron Management Services Pvt Ltd</x:v>
      </x:c>
      <x:c r="C1477" s="12" t="str">
        <x:v>Business / brand</x:v>
      </x:c>
      <x:c r="D1477" s="12" t="str">
        <x:v>Professional services</x:v>
      </x:c>
      <x:c r="E1477" s="12" t="str">
        <x:v>Business consulting &amp; advisory</x:v>
      </x:c>
      <x:c r="F1477" s="12" t="str">
        <x:v>Small-scale prospects</x:v>
      </x:c>
      <x:c r="G1477" s="12" t="str">
        <x:v>Professional service, agency or advisory model; small-scale prospect assumption.</x:v>
      </x:c>
      <x:c r="H1477" s="11" t="n">
        <x:v>2</x:v>
      </x:c>
      <x:c r="I1477" s="11" t="n">
        <x:v>5</x:v>
      </x:c>
      <x:c r="J1477" s="11" t="n">
        <x:v>5</x:v>
      </x:c>
      <x:c r="K1477" s="11" t="n">
        <x:v>0</x:v>
      </x:c>
      <x:c r="L1477" s="17" t="n">
        <x:f>SUM(SUMIFS('Costing'!$P$9:$P$492,'Costing'!$A$9:$A$492,"MAIN-113"),SUMIFS('Costing'!$P$9:$P$492,'Costing'!$A$9:$A$492,"MAIN-128"))</x:f>
        <x:v>125000</x:v>
      </x:c>
      <x:c r="M1477" s="17" t="n">
        <x:f>ROUND(L1477*'Costing'!$C$4,2)</x:f>
        <x:v>22500</x:v>
      </x:c>
      <x:c r="N1477" s="17" t="n">
        <x:f>L1477+M1477</x:f>
        <x:v>147500</x:v>
      </x:c>
      <x:c r="O1477" s="12" t="str">
        <x:v>Bengaluru</x:v>
      </x:c>
      <x:c r="P1477" s="12" t="str">
        <x:v>CORP-0109, CORP-0124</x:v>
      </x:c>
      <x:c r="Q1477" s="12" t="str">
        <x:v>Kyron Management Services Pvt Ltd</x:v>
      </x:c>
    </x:row>
    <x:row r="1478" ht="75" customHeight="1">
      <x:c r="A1478" s="2" t="str">
        <x:v>TEN-6A63F4755B0E</x:v>
      </x:c>
      <x:c r="B1478" s="12" t="str">
        <x:v>L&amp;T</x:v>
      </x:c>
      <x:c r="C1478" s="12" t="str">
        <x:v>Business / brand</x:v>
      </x:c>
      <x:c r="D1478" s="12" t="str">
        <x:v>Engineering &amp; manufacturing</x:v>
      </x:c>
      <x:c r="E1478" s="12" t="str">
        <x:v>Engineering/manufacturing — specialty unverified</x:v>
      </x:c>
      <x:c r="F1478" s="12" t="str">
        <x:v>Large enterprise</x:v>
      </x:c>
      <x:c r="G1478" s="12" t="str">
        <x:v>L&amp;T's official overview describes multinational EPC, manufacturing and services operations in more than 50 countries, with manufacturing across India and eight other countries. This supports enterprise-group context for the exact L&amp;T brand.</x:v>
      </x:c>
      <x:c r="H1478" s="11" t="n">
        <x:v>1</x:v>
      </x:c>
      <x:c r="I1478" s="11" t="n">
        <x:v>12</x:v>
      </x:c>
      <x:c r="J1478" s="11" t="n">
        <x:v>12</x:v>
      </x:c>
      <x:c r="K1478" s="11" t="n">
        <x:v>0</x:v>
      </x:c>
      <x:c r="L1478" s="17" t="n">
        <x:f>SUM(SUMIFS('Costing'!$P$9:$P$492,'Costing'!$A$9:$A$492,"MAIN-337"))</x:f>
        <x:v>390000</x:v>
      </x:c>
      <x:c r="M1478" s="17" t="n">
        <x:f>ROUND(L1478*'Costing'!$C$4,2)</x:f>
        <x:v>70200</x:v>
      </x:c>
      <x:c r="N1478" s="17" t="n">
        <x:f>L1478+M1478</x:f>
        <x:v>460200</x:v>
      </x:c>
      <x:c r="O1478" s="12" t="str">
        <x:v>Mumbai</x:v>
      </x:c>
      <x:c r="P1478" s="12" t="str">
        <x:v>CORP-0333</x:v>
      </x:c>
      <x:c r="Q1478" s="12" t="str">
        <x:v>L&amp;T</x:v>
      </x:c>
    </x:row>
    <x:row r="1479" ht="48" customHeight="1">
      <x:c r="A1479" s="2" t="str">
        <x:v>TEN-C912B7601C6F</x:v>
      </x:c>
      <x:c r="B1479" s="12" t="str">
        <x:v>L&amp;T Construction</x:v>
      </x:c>
      <x:c r="C1479" s="12" t="str">
        <x:v>Business / brand</x:v>
      </x:c>
      <x:c r="D1479" s="12" t="str">
        <x:v>Engineering &amp; manufacturing</x:v>
      </x:c>
      <x:c r="E1479" s="12" t="str">
        <x:v>Engineering/manufacturing — specialty unverified</x:v>
      </x:c>
      <x:c r="F1479" s="12" t="str">
        <x:v>Large enterprise</x:v>
      </x:c>
      <x:c r="G1479" s="12" t="str">
        <x:v>Explicit Larsen &amp; Toubro enterprise-family context; see ENTERPRISE_SUPP_023 evidence.</x:v>
      </x:c>
      <x:c r="H1479" s="11" t="n">
        <x:v>1</x:v>
      </x:c>
      <x:c r="I1479" s="11" t="n">
        <x:v>1</x:v>
      </x:c>
      <x:c r="J1479" s="11" t="n">
        <x:v>1</x:v>
      </x:c>
      <x:c r="K1479" s="11" t="n">
        <x:v>0</x:v>
      </x:c>
      <x:c r="L1479" s="17" t="n">
        <x:f>SUM(SUMIFS('Costing'!$P$9:$P$492,'Costing'!$A$9:$A$492,"MAIN-274"))</x:f>
        <x:v>40000</x:v>
      </x:c>
      <x:c r="M1479" s="17" t="n">
        <x:f>ROUND(L1479*'Costing'!$C$4,2)</x:f>
        <x:v>7200</x:v>
      </x:c>
      <x:c r="N1479" s="17" t="n">
        <x:f>L1479+M1479</x:f>
        <x:v>47200</x:v>
      </x:c>
      <x:c r="O1479" s="12" t="str">
        <x:v>Indore</x:v>
      </x:c>
      <x:c r="P1479" s="12" t="str">
        <x:v>CORP-0270</x:v>
      </x:c>
      <x:c r="Q1479" s="12" t="str">
        <x:v>L&amp;T Construction</x:v>
      </x:c>
    </x:row>
    <x:row r="1480" ht="48" customHeight="1">
      <x:c r="A1480" s="2" t="str">
        <x:v>TEN-3C294306421C</x:v>
      </x:c>
      <x:c r="B1480" s="12" t="str">
        <x:v>L&amp;T Finance</x:v>
      </x:c>
      <x:c r="C1480" s="12" t="str">
        <x:v>Business / brand</x:v>
      </x:c>
      <x:c r="D1480" s="12" t="str">
        <x:v>Finance &amp; insurance</x:v>
      </x:c>
      <x:c r="E1480" s="12" t="str">
        <x:v>Financial services — specialty unverified</x:v>
      </x:c>
      <x:c r="F1480" s="12" t="str">
        <x:v>Large enterprise</x:v>
      </x:c>
      <x:c r="G1480" s="12" t="str">
        <x:v>Explicit Larsen &amp; Toubro enterprise-family context; see ENTERPRISE_SUPP_023 evidence.</x:v>
      </x:c>
      <x:c r="H1480" s="11" t="n">
        <x:v>1</x:v>
      </x:c>
      <x:c r="I1480" s="11" t="n">
        <x:v>2</x:v>
      </x:c>
      <x:c r="J1480" s="11" t="n">
        <x:v>2</x:v>
      </x:c>
      <x:c r="K1480" s="11" t="n">
        <x:v>0</x:v>
      </x:c>
      <x:c r="L1480" s="17" t="n">
        <x:f>SUM(SUMIFS('Costing'!$P$9:$P$492,'Costing'!$A$9:$A$492,"MAIN-271"))</x:f>
        <x:v>40000</x:v>
      </x:c>
      <x:c r="M1480" s="17" t="n">
        <x:f>ROUND(L1480*'Costing'!$C$4,2)</x:f>
        <x:v>7200</x:v>
      </x:c>
      <x:c r="N1480" s="17" t="n">
        <x:f>L1480+M1480</x:f>
        <x:v>47200</x:v>
      </x:c>
      <x:c r="O1480" s="12" t="str">
        <x:v>Indore</x:v>
      </x:c>
      <x:c r="P1480" s="12" t="str">
        <x:v>CORP-0267</x:v>
      </x:c>
      <x:c r="Q1480" s="12" t="str">
        <x:v>L&amp;T Finance</x:v>
      </x:c>
    </x:row>
    <x:row r="1481" ht="49" customHeight="1">
      <x:c r="A1481" s="2" t="str">
        <x:v>TEN-F49D19F21FE1</x:v>
      </x:c>
      <x:c r="B1481" s="12" t="str">
        <x:v>L3 Communication</x:v>
      </x:c>
      <x:c r="C1481" s="12" t="str">
        <x:v>Business / brand</x:v>
      </x:c>
      <x:c r="D1481" s="12" t="str">
        <x:v>IT &amp; digital</x:v>
      </x:c>
      <x:c r="E1481" s="12" t="str">
        <x:v>Telecom, networks &amp; connectivity</x:v>
      </x:c>
      <x:c r="F1481" s="12" t="str">
        <x:v>Mixed business audience</x:v>
      </x:c>
      <x:c r="G1481" s="12" t="str">
        <x:v>Established brand or business network; local company scale is not established. Use a mixed-business message.</x:v>
      </x:c>
      <x:c r="H1481" s="11" t="n">
        <x:v>12</x:v>
      </x:c>
      <x:c r="I1481" s="11" t="n">
        <x:v>12</x:v>
      </x:c>
      <x:c r="J1481" s="11" t="n">
        <x:v>12</x:v>
      </x:c>
      <x:c r="K1481" s="11" t="n">
        <x:v>0</x:v>
      </x:c>
      <x:c r="L1481" s="17" t="n">
        <x:f>SUM(SUMIFS('Costing'!$P$9:$P$492,'Costing'!$A$9:$A$492,"PARTNER-M108"))</x:f>
        <x:v>480000</x:v>
      </x:c>
      <x:c r="M1481" s="17" t="n">
        <x:f>ROUND(L1481*'Costing'!$C$4,2)</x:f>
        <x:v>86400</x:v>
      </x:c>
      <x:c r="N1481" s="17" t="n">
        <x:f>L1481+M1481</x:f>
        <x:v>566400</x:v>
      </x:c>
      <x:c r="O1481" s="12" t="str">
        <x:v>Bengaluru</x:v>
      </x:c>
      <x:c r="P1481" s="12" t="str">
        <x:v>CORP-0526, CORP-0527, CORP-0528, CORP-0529, CORP-0530, CORP-0531, CORP-0532, CORP-0533, CORP-0534, CORP-0535, CORP-0536, CORP-0537</x:v>
      </x:c>
      <x:c r="Q1481" s="12" t="str">
        <x:v>L3 Communication</x:v>
      </x:c>
    </x:row>
    <x:row r="1482" ht="48" customHeight="1">
      <x:c r="A1482" s="2" t="str">
        <x:v>TEN-95D77927F473</x:v>
      </x:c>
      <x:c r="B1482" s="12" t="str">
        <x:v>L7 Informatics India Pvt.Ltd</x:v>
      </x:c>
      <x:c r="C1482" s="12" t="str">
        <x:v>Business / brand</x:v>
      </x:c>
      <x:c r="D1482" s="12" t="str">
        <x:v>IT &amp; digital</x:v>
      </x:c>
      <x:c r="E1482" s="12" t="str">
        <x:v>AI, data &amp; analytics</x:v>
      </x:c>
      <x:c r="F1482" s="12" t="str">
        <x:v>Small-scale prospects</x:v>
      </x:c>
      <x:c r="G1482" s="12" t="str">
        <x:v>Software or technology-services business; small-scale prospect assumption.</x:v>
      </x:c>
      <x:c r="H1482" s="11" t="n">
        <x:v>1</x:v>
      </x:c>
      <x:c r="I1482" s="11" t="n">
        <x:v>1</x:v>
      </x:c>
      <x:c r="J1482" s="11" t="n">
        <x:v>1</x:v>
      </x:c>
      <x:c r="K1482" s="11" t="n">
        <x:v>0</x:v>
      </x:c>
      <x:c r="L1482" s="17" t="n">
        <x:f>SUM(SUMIFS('Costing'!$P$9:$P$492,'Costing'!$A$9:$A$492,"MAIN-050"))</x:f>
        <x:v>15000</x:v>
      </x:c>
      <x:c r="M1482" s="17" t="n">
        <x:f>ROUND(L1482*'Costing'!$C$4,2)</x:f>
        <x:v>2700</x:v>
      </x:c>
      <x:c r="N1482" s="17" t="n">
        <x:f>L1482+M1482</x:f>
        <x:v>17700</x:v>
      </x:c>
      <x:c r="O1482" s="12" t="str">
        <x:v>Bengaluru</x:v>
      </x:c>
      <x:c r="P1482" s="12" t="str">
        <x:v>CORP-0046</x:v>
      </x:c>
      <x:c r="Q1482" s="12" t="str">
        <x:v>L7 Informatics India Pvt.Ltd</x:v>
      </x:c>
    </x:row>
    <x:row r="1483" ht="48" customHeight="1">
      <x:c r="A1483" s="2" t="str">
        <x:v>TEN-3960A582F1CE</x:v>
      </x:c>
      <x:c r="B1483" s="12" t="str">
        <x:v>Labh Homemakers Pvt Ltd</x:v>
      </x:c>
      <x:c r="C1483" s="12" t="str">
        <x:v>Business / brand</x:v>
      </x:c>
      <x:c r="D1483" s="12" t="str">
        <x:v>Trade, consumer &amp; logistics</x:v>
      </x:c>
      <x:c r="E1483" s="12" t="str">
        <x:v>Real estate, property &amp; construction services</x:v>
      </x:c>
      <x:c r="F1483" s="12" t="str">
        <x:v>Small-scale prospects</x:v>
      </x:c>
      <x:c r="G1483" s="12" t="str">
        <x:v>Trading or consumer-services business; small-scale prospect assumption.</x:v>
      </x:c>
      <x:c r="H1483" s="11" t="n">
        <x:v>1</x:v>
      </x:c>
      <x:c r="I1483" s="11" t="n">
        <x:v>10</x:v>
      </x:c>
      <x:c r="J1483" s="11" t="n">
        <x:v>10</x:v>
      </x:c>
      <x:c r="K1483" s="11" t="n">
        <x:v>0</x:v>
      </x:c>
      <x:c r="L1483" s="17" t="n">
        <x:f>SUM(SUMIFS('Costing'!$P$9:$P$492,'Costing'!$A$9:$A$492,"MAIN-349"))</x:f>
        <x:v>150000</x:v>
      </x:c>
      <x:c r="M1483" s="17" t="n">
        <x:f>ROUND(L1483*'Costing'!$C$4,2)</x:f>
        <x:v>27000</x:v>
      </x:c>
      <x:c r="N1483" s="17" t="n">
        <x:f>L1483+M1483</x:f>
        <x:v>177000</x:v>
      </x:c>
      <x:c r="O1483" s="12" t="str">
        <x:v>Mumbai</x:v>
      </x:c>
      <x:c r="P1483" s="12" t="str">
        <x:v>CORP-0345</x:v>
      </x:c>
      <x:c r="Q1483" s="12" t="str">
        <x:v>Labh Homemakers Pvt Ltd, Labh Homemakers Private Limited</x:v>
      </x:c>
    </x:row>
    <x:row r="1484" ht="48" customHeight="1">
      <x:c r="A1484" s="2" t="str">
        <x:v>TEN-F955F62DAB66</x:v>
      </x:c>
      <x:c r="B1484" s="12" t="str">
        <x:v>Lacoste</x:v>
      </x:c>
      <x:c r="C1484" s="12" t="str">
        <x:v>Business / brand</x:v>
      </x:c>
      <x:c r="D1484" s="12" t="str">
        <x:v>Trade, consumer &amp; logistics</x:v>
      </x:c>
      <x:c r="E1484" s="12" t="str">
        <x:v>Retail, consumer products &amp; ecommerce</x:v>
      </x:c>
      <x:c r="F1484" s="12" t="str">
        <x:v>Mixed business audience</x:v>
      </x:c>
      <x:c r="G1484" s="12" t="str">
        <x:v>Recognisable business context; company-scale evidence remains insufficient for a single size band.</x:v>
      </x:c>
      <x:c r="H1484" s="11" t="n">
        <x:v>1</x:v>
      </x:c>
      <x:c r="I1484" s="11" t="n">
        <x:v>4</x:v>
      </x:c>
      <x:c r="J1484" s="11" t="n">
        <x:v>4</x:v>
      </x:c>
      <x:c r="K1484" s="11" t="n">
        <x:v>0</x:v>
      </x:c>
      <x:c r="L1484" s="17" t="n">
        <x:f>SUM(SUMIFS('Costing'!$P$9:$P$492,'Costing'!$A$9:$A$492,"MAIN-130"))</x:f>
        <x:v>100000</x:v>
      </x:c>
      <x:c r="M1484" s="17" t="n">
        <x:f>ROUND(L1484*'Costing'!$C$4,2)</x:f>
        <x:v>18000</x:v>
      </x:c>
      <x:c r="N1484" s="17" t="n">
        <x:f>L1484+M1484</x:f>
        <x:v>118000</x:v>
      </x:c>
      <x:c r="O1484" s="12" t="str">
        <x:v>Bengaluru</x:v>
      </x:c>
      <x:c r="P1484" s="12" t="str">
        <x:v>CORP-0126</x:v>
      </x:c>
      <x:c r="Q1484" s="12" t="str">
        <x:v>Lacoste</x:v>
      </x:c>
    </x:row>
    <x:row r="1485" ht="48" customHeight="1">
      <x:c r="A1485" s="2" t="str">
        <x:v>TEN-D6FCC16B02C8</x:v>
      </x:c>
      <x:c r="B1485" s="12" t="str">
        <x:v>Lake Chemicals Pvt. Ltd</x:v>
      </x:c>
      <x:c r="C1485" s="12" t="str">
        <x:v>Business / brand</x:v>
      </x:c>
      <x:c r="D1485" s="12" t="str">
        <x:v>Engineering &amp; manufacturing</x:v>
      </x:c>
      <x:c r="E1485" s="12" t="str">
        <x:v>Chemicals, materials &amp; industrial manufacturing</x:v>
      </x:c>
      <x:c r="F1485" s="12" t="str">
        <x:v>Medium-scale prospects</x:v>
      </x:c>
      <x:c r="G1485" s="12" t="str">
        <x:v>Specialist industrial or engineering business; medium-scale prospect assumption.</x:v>
      </x:c>
      <x:c r="H1485" s="11" t="n">
        <x:v>9</x:v>
      </x:c>
      <x:c r="I1485" s="11" t="n">
        <x:v>9</x:v>
      </x:c>
      <x:c r="J1485" s="11" t="n">
        <x:v>9</x:v>
      </x:c>
      <x:c r="K1485" s="11" t="n">
        <x:v>0</x:v>
      </x:c>
      <x:c r="L1485" s="17" t="n">
        <x:f>SUM(SUMIFS('Costing'!$P$9:$P$492,'Costing'!$A$9:$A$492,"MAIN-073"),SUMIFS('Costing'!$P$9:$P$492,'Costing'!$A$9:$A$492,"PARTNER-M100"))</x:f>
        <x:v>360000</x:v>
      </x:c>
      <x:c r="M1485" s="17" t="n">
        <x:f>ROUND(L1485*'Costing'!$C$4,2)</x:f>
        <x:v>64800</x:v>
      </x:c>
      <x:c r="N1485" s="17" t="n">
        <x:f>L1485+M1485</x:f>
        <x:v>424800</x:v>
      </x:c>
      <x:c r="O1485" s="12" t="str">
        <x:v>Bengaluru</x:v>
      </x:c>
      <x:c r="P1485" s="12" t="str">
        <x:v>CORP-0069, CORP-0518, CORP-0519, CORP-0520, CORP-0521, CORP-0522, CORP-0523, CORP-0524, CORP-0525</x:v>
      </x:c>
      <x:c r="Q1485" s="12" t="str">
        <x:v>Lake Chemicals Pvt. Ltd</x:v>
      </x:c>
    </x:row>
    <x:row r="1486" ht="49" customHeight="1">
      <x:c r="A1486" s="2" t="str">
        <x:v>TEN-7F1B55B86059</x:v>
      </x:c>
      <x:c r="B1486" s="12" t="str">
        <x:v>LAM</x:v>
      </x:c>
      <x:c r="C1486" s="12" t="str">
        <x:v>Business / brand</x:v>
      </x:c>
      <x:c r="D1486" s="12" t="str">
        <x:v>Engineering &amp; manufacturing</x:v>
      </x:c>
      <x:c r="E1486" s="12" t="str">
        <x:v>Electronics, industrial systems &amp; manufacturing</x:v>
      </x:c>
      <x:c r="F1486" s="12" t="str">
        <x:v>Mixed business audience</x:v>
      </x:c>
      <x:c r="G1486" s="12" t="str">
        <x:v>Established brand or business network; local company scale is not established. Use a mixed-business message.</x:v>
      </x:c>
      <x:c r="H1486" s="11" t="n">
        <x:v>12</x:v>
      </x:c>
      <x:c r="I1486" s="11" t="n">
        <x:v>12</x:v>
      </x:c>
      <x:c r="J1486" s="11" t="n">
        <x:v>12</x:v>
      </x:c>
      <x:c r="K1486" s="11" t="n">
        <x:v>0</x:v>
      </x:c>
      <x:c r="L1486" s="17" t="n">
        <x:f>SUM(SUMIFS('Costing'!$P$9:$P$492,'Costing'!$A$9:$A$492,"PARTNER-M108"))</x:f>
        <x:v>480000</x:v>
      </x:c>
      <x:c r="M1486" s="17" t="n">
        <x:f>ROUND(L1486*'Costing'!$C$4,2)</x:f>
        <x:v>86400</x:v>
      </x:c>
      <x:c r="N1486" s="17" t="n">
        <x:f>L1486+M1486</x:f>
        <x:v>566400</x:v>
      </x:c>
      <x:c r="O1486" s="12" t="str">
        <x:v>Bengaluru</x:v>
      </x:c>
      <x:c r="P1486" s="12" t="str">
        <x:v>CORP-0526, CORP-0527, CORP-0528, CORP-0529, CORP-0530, CORP-0531, CORP-0532, CORP-0533, CORP-0534, CORP-0535, CORP-0536, CORP-0537</x:v>
      </x:c>
      <x:c r="Q1486" s="12" t="str">
        <x:v>LAM</x:v>
      </x:c>
    </x:row>
    <x:row r="1487" ht="48" customHeight="1">
      <x:c r="A1487" s="2" t="str">
        <x:v>TEN-728B4321F7A2</x:v>
      </x:c>
      <x:c r="B1487" s="12" t="str">
        <x:v>Lancesoft</x:v>
      </x:c>
      <x:c r="C1487" s="12" t="str">
        <x:v>Business / brand</x:v>
      </x:c>
      <x:c r="D1487" s="12" t="str">
        <x:v>Professional services</x:v>
      </x:c>
      <x:c r="E1487" s="12" t="str">
        <x:v>Recruitment, HR &amp; staffing</x:v>
      </x:c>
      <x:c r="F1487" s="12" t="str">
        <x:v>Mixed business audience</x:v>
      </x:c>
      <x:c r="G1487" s="12" t="str">
        <x:v>Established brand or business network; local company scale is not established. Use a mixed-business message.</x:v>
      </x:c>
      <x:c r="H1487" s="11" t="n">
        <x:v>1</x:v>
      </x:c>
      <x:c r="I1487" s="11" t="n">
        <x:v>1</x:v>
      </x:c>
      <x:c r="J1487" s="11" t="n">
        <x:v>1</x:v>
      </x:c>
      <x:c r="K1487" s="11" t="n">
        <x:v>0</x:v>
      </x:c>
      <x:c r="L1487" s="17" t="n">
        <x:f>SUM(SUMIFS('Costing'!$P$9:$P$492,'Costing'!$A$9:$A$492,"MAIN-266"))</x:f>
        <x:v>20000</x:v>
      </x:c>
      <x:c r="M1487" s="17" t="n">
        <x:f>ROUND(L1487*'Costing'!$C$4,2)</x:f>
        <x:v>3600</x:v>
      </x:c>
      <x:c r="N1487" s="17" t="n">
        <x:f>L1487+M1487</x:f>
        <x:v>23600</x:v>
      </x:c>
      <x:c r="O1487" s="12" t="str">
        <x:v>Indore</x:v>
      </x:c>
      <x:c r="P1487" s="12" t="str">
        <x:v>CORP-0262</x:v>
      </x:c>
      <x:c r="Q1487" s="12" t="str">
        <x:v>Lancesoft</x:v>
      </x:c>
    </x:row>
    <x:row r="1488" ht="75" customHeight="1">
      <x:c r="A1488" s="2" t="str">
        <x:v>TEN-A300DA7026D8</x:v>
      </x:c>
      <x:c r="B1488" s="12" t="str">
        <x:v>Lancesoft india pvt ltd</x:v>
      </x:c>
      <x:c r="C1488" s="12" t="str">
        <x:v>Business / brand</x:v>
      </x:c>
      <x:c r="D1488" s="12" t="str">
        <x:v>Professional services</x:v>
      </x:c>
      <x:c r="E1488" s="12" t="str">
        <x:v>Recruitment, HR &amp; staffing</x:v>
      </x:c>
      <x:c r="F1488" s="12" t="str">
        <x:v>Large enterprise</x:v>
      </x:c>
      <x:c r="G1488" s="12" t="str">
        <x:v>The official company profile describes 5,000+ deployed professionals and 100+ global offices across six continents. That staffing-delivery and office network supports enterprise audience scale. Deployed workforce is not described as an internal employee count.</x:v>
      </x:c>
      <x:c r="H1488" s="11" t="n">
        <x:v>1</x:v>
      </x:c>
      <x:c r="I1488" s="11" t="n">
        <x:v>13</x:v>
      </x:c>
      <x:c r="J1488" s="11" t="n">
        <x:v>13</x:v>
      </x:c>
      <x:c r="K1488" s="11" t="n">
        <x:v>0</x:v>
      </x:c>
      <x:c r="L1488" s="17" t="n">
        <x:f>SUM(SUMIFS('Costing'!$P$9:$P$492,'Costing'!$A$9:$A$492,"MAIN-240"))</x:f>
        <x:v>195000</x:v>
      </x:c>
      <x:c r="M1488" s="17" t="n">
        <x:f>ROUND(L1488*'Costing'!$C$4,2)</x:f>
        <x:v>35100</x:v>
      </x:c>
      <x:c r="N1488" s="17" t="n">
        <x:f>L1488+M1488</x:f>
        <x:v>230100</x:v>
      </x:c>
      <x:c r="O1488" s="12" t="str">
        <x:v>Hyderabad</x:v>
      </x:c>
      <x:c r="P1488" s="12" t="str">
        <x:v>CORP-0236</x:v>
      </x:c>
      <x:c r="Q1488" s="12" t="str">
        <x:v>Lancesoft india pvt ltd</x:v>
      </x:c>
    </x:row>
    <x:row r="1489" ht="48" customHeight="1">
      <x:c r="A1489" s="2" t="str">
        <x:v>TEN-60E773B49B70</x:v>
      </x:c>
      <x:c r="B1489" s="12" t="str">
        <x:v>Lansum</x:v>
      </x:c>
      <x:c r="C1489" s="12" t="str">
        <x:v>Business / brand</x:v>
      </x:c>
      <x:c r="D1489" s="12" t="str">
        <x:v>Trade, consumer &amp; logistics</x:v>
      </x:c>
      <x:c r="E1489" s="12" t="str">
        <x:v>Real estate, property &amp; construction services</x:v>
      </x:c>
      <x:c r="F1489" s="12" t="str">
        <x:v>Small-scale prospects</x:v>
      </x:c>
      <x:c r="G1489" s="12" t="str">
        <x:v>Trading or consumer-services business; small-scale prospect assumption.</x:v>
      </x:c>
      <x:c r="H1489" s="11" t="n">
        <x:v>2</x:v>
      </x:c>
      <x:c r="I1489" s="11" t="n">
        <x:v>36</x:v>
      </x:c>
      <x:c r="J1489" s="11" t="n">
        <x:v>36</x:v>
      </x:c>
      <x:c r="K1489" s="11" t="n">
        <x:v>0</x:v>
      </x:c>
      <x:c r="L1489" s="17" t="n">
        <x:f>SUM(SUMIFS('Costing'!$P$9:$P$492,'Costing'!$A$9:$A$492,"MAIN-235"),SUMIFS('Costing'!$P$9:$P$492,'Costing'!$A$9:$A$492,"MAIN-236"))</x:f>
        <x:v>765000</x:v>
      </x:c>
      <x:c r="M1489" s="17" t="n">
        <x:f>ROUND(L1489*'Costing'!$C$4,2)</x:f>
        <x:v>137700</x:v>
      </x:c>
      <x:c r="N1489" s="17" t="n">
        <x:f>L1489+M1489</x:f>
        <x:v>902700</x:v>
      </x:c>
      <x:c r="O1489" s="12" t="str">
        <x:v>Hyderabad</x:v>
      </x:c>
      <x:c r="P1489" s="12" t="str">
        <x:v>CORP-0231, CORP-0232</x:v>
      </x:c>
      <x:c r="Q1489" s="12" t="str">
        <x:v>Lansum</x:v>
      </x:c>
    </x:row>
    <x:row r="1490" ht="48" customHeight="1">
      <x:c r="A1490" s="2" t="str">
        <x:v>TEN-CF9779F42FF3</x:v>
      </x:c>
      <x:c r="B1490" s="12" t="str">
        <x:v>Lantronix India Pvt. Ltd</x:v>
      </x:c>
      <x:c r="C1490" s="12" t="str">
        <x:v>Business / brand</x:v>
      </x:c>
      <x:c r="D1490" s="12" t="str">
        <x:v>IT &amp; digital</x:v>
      </x:c>
      <x:c r="E1490" s="12" t="str">
        <x:v>Enterprise software &amp; digital engineering</x:v>
      </x:c>
      <x:c r="F1490" s="12" t="str">
        <x:v>Mixed business audience</x:v>
      </x:c>
      <x:c r="G1490" s="12" t="str">
        <x:v>Established brand or business network; local company scale is not established. Use a mixed-business message.</x:v>
      </x:c>
      <x:c r="H1490" s="11" t="n">
        <x:v>5</x:v>
      </x:c>
      <x:c r="I1490" s="11" t="n">
        <x:v>5</x:v>
      </x:c>
      <x:c r="J1490" s="11" t="n">
        <x:v>5</x:v>
      </x:c>
      <x:c r="K1490" s="11" t="n">
        <x:v>0</x:v>
      </x:c>
      <x:c r="L1490" s="17" t="n">
        <x:f>SUM(SUMIFS('Costing'!$P$9:$P$492,'Costing'!$A$9:$A$492,"PARTNER-M295"))</x:f>
        <x:v>200000</x:v>
      </x:c>
      <x:c r="M1490" s="17" t="n">
        <x:f>ROUND(L1490*'Costing'!$C$4,2)</x:f>
        <x:v>36000</x:v>
      </x:c>
      <x:c r="N1490" s="17" t="n">
        <x:f>L1490+M1490</x:f>
        <x:v>236000</x:v>
      </x:c>
      <x:c r="O1490" s="12" t="str">
        <x:v>Hyderabad</x:v>
      </x:c>
      <x:c r="P1490" s="12" t="str">
        <x:v>CORP-0710, CORP-0711, CORP-0712, CORP-0713, CORP-0714</x:v>
      </x:c>
      <x:c r="Q1490" s="12" t="str">
        <x:v>Lantronix India Pvt. Ltd</x:v>
      </x:c>
    </x:row>
    <x:row r="1491" ht="48" customHeight="1">
      <x:c r="A1491" s="2" t="str">
        <x:v>TEN-53D60BF43086</x:v>
      </x:c>
      <x:c r="B1491" s="12" t="str">
        <x:v>Larsen &amp; Toubro Technology Services</x:v>
      </x:c>
      <x:c r="C1491" s="12" t="str">
        <x:v>Business / brand</x:v>
      </x:c>
      <x:c r="D1491" s="12" t="str">
        <x:v>Engineering &amp; manufacturing</x:v>
      </x:c>
      <x:c r="E1491" s="12" t="str">
        <x:v>Engineering, testing &amp; technical services</x:v>
      </x:c>
      <x:c r="F1491" s="12" t="str">
        <x:v>Large enterprise</x:v>
      </x:c>
      <x:c r="G1491" s="12" t="str">
        <x:v>Explicit Larsen &amp; Toubro enterprise-family context; see ENTERPRISE_SUPP_023 evidence.</x:v>
      </x:c>
      <x:c r="H1491" s="11" t="n">
        <x:v>6</x:v>
      </x:c>
      <x:c r="I1491" s="11" t="n">
        <x:v>8</x:v>
      </x:c>
      <x:c r="J1491" s="11" t="n">
        <x:v>8</x:v>
      </x:c>
      <x:c r="K1491" s="11" t="n">
        <x:v>0</x:v>
      </x:c>
      <x:c r="L1491" s="17" t="n">
        <x:f>SUM(SUMIFS('Costing'!$P$9:$P$492,'Costing'!$A$9:$A$492,"MAIN-414"),SUMIFS('Costing'!$P$9:$P$492,'Costing'!$A$9:$A$492,"PARTNER-M051"))</x:f>
        <x:v>260000</x:v>
      </x:c>
      <x:c r="M1491" s="17" t="n">
        <x:f>ROUND(L1491*'Costing'!$C$4,2)</x:f>
        <x:v>46800</x:v>
      </x:c>
      <x:c r="N1491" s="17" t="n">
        <x:f>L1491+M1491</x:f>
        <x:v>306800</x:v>
      </x:c>
      <x:c r="O1491" s="12" t="str">
        <x:v>Pune, Bengaluru</x:v>
      </x:c>
      <x:c r="P1491" s="12" t="str">
        <x:v>CORP-0410, CORP-0469, CORP-0470, CORP-0471, CORP-0472, CORP-0473</x:v>
      </x:c>
      <x:c r="Q1491" s="12" t="str">
        <x:v>Larsen &amp; Toubro Technology Services, L&amp;T Technology Services (LTTS)</x:v>
      </x:c>
    </x:row>
    <x:row r="1492" ht="48" customHeight="1">
      <x:c r="A1492" s="2" t="str">
        <x:v>TEN-410DCA695D2B</x:v>
      </x:c>
      <x:c r="B1492" s="12" t="str">
        <x:v>LatentView Analytics</x:v>
      </x:c>
      <x:c r="C1492" s="12" t="str">
        <x:v>Business / brand</x:v>
      </x:c>
      <x:c r="D1492" s="12" t="str">
        <x:v>IT &amp; digital</x:v>
      </x:c>
      <x:c r="E1492" s="12" t="str">
        <x:v>AI, data &amp; analytics</x:v>
      </x:c>
      <x:c r="F1492" s="12" t="str">
        <x:v>Mixed business audience</x:v>
      </x:c>
      <x:c r="G1492" s="12" t="str">
        <x:v>Established brand or business network; local company scale is not established. Use a mixed-business message.</x:v>
      </x:c>
      <x:c r="H1492" s="11" t="n">
        <x:v>1</x:v>
      </x:c>
      <x:c r="I1492" s="11" t="n">
        <x:v>11</x:v>
      </x:c>
      <x:c r="J1492" s="11" t="n">
        <x:v>11</x:v>
      </x:c>
      <x:c r="K1492" s="11" t="n">
        <x:v>0</x:v>
      </x:c>
      <x:c r="L1492" s="17" t="n">
        <x:f>SUM(SUMIFS('Costing'!$P$9:$P$492,'Costing'!$A$9:$A$492,"MAIN-131"))</x:f>
        <x:v>275000</x:v>
      </x:c>
      <x:c r="M1492" s="17" t="n">
        <x:f>ROUND(L1492*'Costing'!$C$4,2)</x:f>
        <x:v>49500</x:v>
      </x:c>
      <x:c r="N1492" s="17" t="n">
        <x:f>L1492+M1492</x:f>
        <x:v>324500</x:v>
      </x:c>
      <x:c r="O1492" s="12" t="str">
        <x:v>Bengaluru</x:v>
      </x:c>
      <x:c r="P1492" s="12" t="str">
        <x:v>CORP-0127</x:v>
      </x:c>
      <x:c r="Q1492" s="12" t="str">
        <x:v>LatentView Analytics</x:v>
      </x:c>
    </x:row>
    <x:row r="1493" ht="48" customHeight="1">
      <x:c r="A1493" s="2" t="str">
        <x:v>TEN-01BA4C6C497A</x:v>
      </x:c>
      <x:c r="B1493" s="12" t="str">
        <x:v>Latinem Private Ltd</x:v>
      </x:c>
      <x:c r="C1493" s="12" t="str">
        <x:v>Business / brand</x:v>
      </x:c>
      <x:c r="D1493" s="12" t="str">
        <x:v>Professional services</x:v>
      </x:c>
      <x:c r="E1493" s="12" t="str">
        <x:v>Architecture, interiors &amp; design</x:v>
      </x:c>
      <x:c r="F1493" s="12" t="str">
        <x:v>Small-scale prospects</x:v>
      </x:c>
      <x:c r="G1493" s="12" t="str">
        <x:v>Professional service, agency or advisory model; small-scale prospect assumption.</x:v>
      </x:c>
      <x:c r="H1493" s="11" t="n">
        <x:v>1</x:v>
      </x:c>
      <x:c r="I1493" s="11" t="n">
        <x:v>2</x:v>
      </x:c>
      <x:c r="J1493" s="11" t="n">
        <x:v>2</x:v>
      </x:c>
      <x:c r="K1493" s="11" t="n">
        <x:v>0</x:v>
      </x:c>
      <x:c r="L1493" s="17" t="n">
        <x:f>SUM(SUMIFS('Costing'!$P$9:$P$492,'Costing'!$A$9:$A$492,"MAIN-256"))</x:f>
        <x:v>80000</x:v>
      </x:c>
      <x:c r="M1493" s="17" t="n">
        <x:f>ROUND(L1493*'Costing'!$C$4,2)</x:f>
        <x:v>14400</x:v>
      </x:c>
      <x:c r="N1493" s="17" t="n">
        <x:f>L1493+M1493</x:f>
        <x:v>94400</x:v>
      </x:c>
      <x:c r="O1493" s="12" t="str">
        <x:v>Hyderabad</x:v>
      </x:c>
      <x:c r="P1493" s="12" t="str">
        <x:v>CORP-0252</x:v>
      </x:c>
      <x:c r="Q1493" s="12" t="str">
        <x:v>Latinem Private Ltd</x:v>
      </x:c>
    </x:row>
    <x:row r="1494" ht="48" customHeight="1">
      <x:c r="A1494" s="2" t="str">
        <x:v>TEN-306C8F629100</x:v>
      </x:c>
      <x:c r="B1494" s="12" t="str">
        <x:v>Laundryheap India</x:v>
      </x:c>
      <x:c r="C1494" s="12" t="str">
        <x:v>Business / brand</x:v>
      </x:c>
      <x:c r="D1494" s="12" t="str">
        <x:v>Trade, consumer &amp; logistics</x:v>
      </x:c>
      <x:c r="E1494" s="12" t="str">
        <x:v>Retail, consumer products &amp; ecommerce</x:v>
      </x:c>
      <x:c r="F1494" s="12" t="str">
        <x:v>Small-scale prospects</x:v>
      </x:c>
      <x:c r="G1494" s="12" t="str">
        <x:v>Trading or consumer-services business; small-scale prospect assumption.</x:v>
      </x:c>
      <x:c r="H1494" s="11" t="n">
        <x:v>1</x:v>
      </x:c>
      <x:c r="I1494" s="11" t="n">
        <x:v>4</x:v>
      </x:c>
      <x:c r="J1494" s="11" t="n">
        <x:v>4</x:v>
      </x:c>
      <x:c r="K1494" s="11" t="n">
        <x:v>0</x:v>
      </x:c>
      <x:c r="L1494" s="17" t="n">
        <x:f>SUM(SUMIFS('Costing'!$P$9:$P$492,'Costing'!$A$9:$A$492,"MAIN-115"))</x:f>
        <x:v>100000</x:v>
      </x:c>
      <x:c r="M1494" s="17" t="n">
        <x:f>ROUND(L1494*'Costing'!$C$4,2)</x:f>
        <x:v>18000</x:v>
      </x:c>
      <x:c r="N1494" s="17" t="n">
        <x:f>L1494+M1494</x:f>
        <x:v>118000</x:v>
      </x:c>
      <x:c r="O1494" s="12" t="str">
        <x:v>Bengaluru</x:v>
      </x:c>
      <x:c r="P1494" s="12" t="str">
        <x:v>CORP-0111</x:v>
      </x:c>
      <x:c r="Q1494" s="12" t="str">
        <x:v>Laundryheap India</x:v>
      </x:c>
    </x:row>
    <x:row r="1495" ht="48" customHeight="1">
      <x:c r="A1495" s="2" t="str">
        <x:v>TEN-6511014F09E3</x:v>
      </x:c>
      <x:c r="B1495" s="12" t="str">
        <x:v>Law &amp; Kenneth Saatchi &amp; Saatchi India Private Limited</x:v>
      </x:c>
      <x:c r="C1495" s="12" t="str">
        <x:v>Business / brand</x:v>
      </x:c>
      <x:c r="D1495" s="12" t="str">
        <x:v>Trade, consumer &amp; logistics</x:v>
      </x:c>
      <x:c r="E1495" s="12" t="str">
        <x:v>Entertainment, media &amp; events</x:v>
      </x:c>
      <x:c r="F1495" s="12" t="str">
        <x:v>Large enterprise</x:v>
      </x:c>
      <x:c r="G1495" s="12" t="str">
        <x:v>Explicit Publicis enterprise-family context; see ENTERPRISE_SUPP_027 evidence.</x:v>
      </x:c>
      <x:c r="H1495" s="11" t="n">
        <x:v>4</x:v>
      </x:c>
      <x:c r="I1495" s="11" t="n">
        <x:v>4</x:v>
      </x:c>
      <x:c r="J1495" s="11" t="n">
        <x:v>4</x:v>
      </x:c>
      <x:c r="K1495" s="11" t="n">
        <x:v>0</x:v>
      </x:c>
      <x:c r="L1495" s="17" t="n">
        <x:f>SUM(SUMIFS('Costing'!$P$9:$P$492,'Costing'!$A$9:$A$492,"PARTNER-M188"))</x:f>
        <x:v>160000</x:v>
      </x:c>
      <x:c r="M1495" s="17" t="n">
        <x:f>ROUND(L1495*'Costing'!$C$4,2)</x:f>
        <x:v>28800</x:v>
      </x:c>
      <x:c r="N1495" s="17" t="n">
        <x:f>L1495+M1495</x:f>
        <x:v>188800</x:v>
      </x:c>
      <x:c r="O1495" s="12" t="str">
        <x:v>Mumbai</x:v>
      </x:c>
      <x:c r="P1495" s="12" t="str">
        <x:v>CORP-0605, CORP-0606, CORP-0607, CORP-0608</x:v>
      </x:c>
      <x:c r="Q1495" s="12" t="str">
        <x:v>Law &amp; Kenneth Saatchi &amp; Saatchi India Private Limited</x:v>
      </x:c>
    </x:row>
    <x:row r="1496" ht="48" customHeight="1">
      <x:c r="A1496" s="2" t="str">
        <x:v>TEN-0759A53FE3DF</x:v>
      </x:c>
      <x:c r="B1496" s="12" t="str">
        <x:v>Laxyo</x:v>
      </x:c>
      <x:c r="C1496" s="12" t="str">
        <x:v>Business / brand</x:v>
      </x:c>
      <x:c r="D1496" s="12" t="str">
        <x:v>Unresolved</x:v>
      </x:c>
      <x:c r="E1496" s="12" t="str">
        <x:v>Business activity not established</x:v>
      </x:c>
      <x:c r="F1496" s="12" t="str">
        <x:v>Mixed business audience</x:v>
      </x:c>
      <x:c r="G1496" s="12" t="str">
        <x:v>Business activity and company scale are not established from this name.</x:v>
      </x:c>
      <x:c r="H1496" s="11" t="n">
        <x:v>1</x:v>
      </x:c>
      <x:c r="I1496" s="11" t="n">
        <x:v>1</x:v>
      </x:c>
      <x:c r="J1496" s="11" t="n">
        <x:v>1</x:v>
      </x:c>
      <x:c r="K1496" s="11" t="n">
        <x:v>0</x:v>
      </x:c>
      <x:c r="L1496" s="17" t="n">
        <x:f>SUM(SUMIFS('Costing'!$P$9:$P$492,'Costing'!$A$9:$A$492,"MAIN-266"))</x:f>
        <x:v>20000</x:v>
      </x:c>
      <x:c r="M1496" s="17" t="n">
        <x:f>ROUND(L1496*'Costing'!$C$4,2)</x:f>
        <x:v>3600</x:v>
      </x:c>
      <x:c r="N1496" s="17" t="n">
        <x:f>L1496+M1496</x:f>
        <x:v>23600</x:v>
      </x:c>
      <x:c r="O1496" s="12" t="str">
        <x:v>Indore</x:v>
      </x:c>
      <x:c r="P1496" s="12" t="str">
        <x:v>CORP-0262</x:v>
      </x:c>
      <x:c r="Q1496" s="12" t="str">
        <x:v>Laxyo</x:v>
      </x:c>
    </x:row>
    <x:row r="1497" ht="48" customHeight="1">
      <x:c r="A1497" s="2" t="str">
        <x:v>TEN-AAC1A4C13A29</x:v>
      </x:c>
      <x:c r="B1497" s="12" t="str">
        <x:v>Lead brand media</x:v>
      </x:c>
      <x:c r="C1497" s="12" t="str">
        <x:v>Business / brand</x:v>
      </x:c>
      <x:c r="D1497" s="12" t="str">
        <x:v>Trade, consumer &amp; logistics</x:v>
      </x:c>
      <x:c r="E1497" s="12" t="str">
        <x:v>Entertainment, media &amp; events</x:v>
      </x:c>
      <x:c r="F1497" s="12" t="str">
        <x:v>Small-scale prospects</x:v>
      </x:c>
      <x:c r="G1497" s="12" t="str">
        <x:v>Trading or consumer-services business; small-scale prospect assumption.</x:v>
      </x:c>
      <x:c r="H1497" s="11" t="n">
        <x:v>1</x:v>
      </x:c>
      <x:c r="I1497" s="11" t="n">
        <x:v>3</x:v>
      </x:c>
      <x:c r="J1497" s="11" t="n">
        <x:v>3</x:v>
      </x:c>
      <x:c r="K1497" s="11" t="n">
        <x:v>0</x:v>
      </x:c>
      <x:c r="L1497" s="17" t="n">
        <x:f>SUM(SUMIFS('Costing'!$P$9:$P$492,'Costing'!$A$9:$A$492,"MAIN-221"))</x:f>
        <x:v>45000</x:v>
      </x:c>
      <x:c r="M1497" s="17" t="n">
        <x:f>ROUND(L1497*'Costing'!$C$4,2)</x:f>
        <x:v>8100</x:v>
      </x:c>
      <x:c r="N1497" s="17" t="n">
        <x:f>L1497+M1497</x:f>
        <x:v>53100</x:v>
      </x:c>
      <x:c r="O1497" s="12" t="str">
        <x:v>Hyderabad</x:v>
      </x:c>
      <x:c r="P1497" s="12" t="str">
        <x:v>CORP-0217</x:v>
      </x:c>
      <x:c r="Q1497" s="12" t="str">
        <x:v>Lead brand media</x:v>
      </x:c>
    </x:row>
    <x:row r="1498" ht="48" customHeight="1">
      <x:c r="A1498" s="2" t="str">
        <x:v>TEN-2E1662BB6811</x:v>
      </x:c>
      <x:c r="B1498" s="12" t="str">
        <x:v>Leaders' Quest</x:v>
      </x:c>
      <x:c r="C1498" s="12" t="str">
        <x:v>Business / brand</x:v>
      </x:c>
      <x:c r="D1498" s="12" t="str">
        <x:v>Professional services</x:v>
      </x:c>
      <x:c r="E1498" s="12" t="str">
        <x:v>Research, marketing &amp; professional services</x:v>
      </x:c>
      <x:c r="F1498" s="12" t="str">
        <x:v>Small-scale prospects</x:v>
      </x:c>
      <x:c r="G1498" s="12" t="str">
        <x:v>Professional service, agency or advisory model; small-scale prospect assumption.</x:v>
      </x:c>
      <x:c r="H1498" s="11" t="n">
        <x:v>1</x:v>
      </x:c>
      <x:c r="I1498" s="11" t="n">
        <x:v>17</x:v>
      </x:c>
      <x:c r="J1498" s="11" t="n">
        <x:v>17</x:v>
      </x:c>
      <x:c r="K1498" s="11" t="n">
        <x:v>0</x:v>
      </x:c>
      <x:c r="L1498" s="17" t="n">
        <x:f>SUM(SUMIFS('Costing'!$P$9:$P$492,'Costing'!$A$9:$A$492,"MAIN-353"))</x:f>
        <x:v>425000</x:v>
      </x:c>
      <x:c r="M1498" s="17" t="n">
        <x:f>ROUND(L1498*'Costing'!$C$4,2)</x:f>
        <x:v>76500</x:v>
      </x:c>
      <x:c r="N1498" s="17" t="n">
        <x:f>L1498+M1498</x:f>
        <x:v>501500</x:v>
      </x:c>
      <x:c r="O1498" s="12" t="str">
        <x:v>Mumbai</x:v>
      </x:c>
      <x:c r="P1498" s="12" t="str">
        <x:v>CORP-0349</x:v>
      </x:c>
      <x:c r="Q1498" s="12" t="str">
        <x:v>Leaders' Quest</x:v>
      </x:c>
    </x:row>
    <x:row r="1499" ht="48" customHeight="1">
      <x:c r="A1499" s="2" t="str">
        <x:v>TEN-95FE0A4B6AB9</x:v>
      </x:c>
      <x:c r="B1499" s="12" t="str">
        <x:v>Leadership boulevard pvt ltd</x:v>
      </x:c>
      <x:c r="C1499" s="12" t="str">
        <x:v>Business / brand</x:v>
      </x:c>
      <x:c r="D1499" s="12" t="str">
        <x:v>Education</x:v>
      </x:c>
      <x:c r="E1499" s="12" t="str">
        <x:v>Education, training &amp; childcare</x:v>
      </x:c>
      <x:c r="F1499" s="12" t="str">
        <x:v>Mixed business audience</x:v>
      </x:c>
      <x:c r="G1499" s="12" t="str">
        <x:v>Established brand or business network; local company scale is not established. Use a mixed-business message.</x:v>
      </x:c>
      <x:c r="H1499" s="11" t="n">
        <x:v>1</x:v>
      </x:c>
      <x:c r="I1499" s="11" t="n">
        <x:v>1</x:v>
      </x:c>
      <x:c r="J1499" s="11" t="n">
        <x:v>1</x:v>
      </x:c>
      <x:c r="K1499" s="11" t="n">
        <x:v>0</x:v>
      </x:c>
      <x:c r="L1499" s="17" t="n">
        <x:f>SUM(SUMIFS('Costing'!$P$9:$P$492,'Costing'!$A$9:$A$492,"MAIN-065"))</x:f>
        <x:v>15000</x:v>
      </x:c>
      <x:c r="M1499" s="17" t="n">
        <x:f>ROUND(L1499*'Costing'!$C$4,2)</x:f>
        <x:v>2700</x:v>
      </x:c>
      <x:c r="N1499" s="17" t="n">
        <x:f>L1499+M1499</x:f>
        <x:v>17700</x:v>
      </x:c>
      <x:c r="O1499" s="12" t="str">
        <x:v>Bengaluru</x:v>
      </x:c>
      <x:c r="P1499" s="12" t="str">
        <x:v>CORP-0061</x:v>
      </x:c>
      <x:c r="Q1499" s="12" t="str">
        <x:v>Leadership boulevard pvt ltd</x:v>
      </x:c>
    </x:row>
    <x:row r="1500" ht="48" customHeight="1">
      <x:c r="A1500" s="2" t="str">
        <x:v>TEN-982AAAD03B93</x:v>
      </x:c>
      <x:c r="B1500" s="12" t="str">
        <x:v>Leadsquared</x:v>
      </x:c>
      <x:c r="C1500" s="12" t="str">
        <x:v>Business / brand</x:v>
      </x:c>
      <x:c r="D1500" s="12" t="str">
        <x:v>IT &amp; digital</x:v>
      </x:c>
      <x:c r="E1500" s="12" t="str">
        <x:v>Enterprise software &amp; digital engineering</x:v>
      </x:c>
      <x:c r="F1500" s="12" t="str">
        <x:v>Mixed business audience</x:v>
      </x:c>
      <x:c r="G1500" s="12" t="str">
        <x:v>Established brand or business network; local company scale is not established. Use a mixed-business message.</x:v>
      </x:c>
      <x:c r="H1500" s="11" t="n">
        <x:v>3</x:v>
      </x:c>
      <x:c r="I1500" s="11" t="n">
        <x:v>3</x:v>
      </x:c>
      <x:c r="J1500" s="11" t="n">
        <x:v>3</x:v>
      </x:c>
      <x:c r="K1500" s="11" t="n">
        <x:v>0</x:v>
      </x:c>
      <x:c r="L1500" s="17" t="n">
        <x:f>SUM(SUMIFS('Costing'!$P$9:$P$492,'Costing'!$A$9:$A$492,"PARTNER-M067"))</x:f>
        <x:v>120000</x:v>
      </x:c>
      <x:c r="M1500" s="17" t="n">
        <x:f>ROUND(L1500*'Costing'!$C$4,2)</x:f>
        <x:v>21600</x:v>
      </x:c>
      <x:c r="N1500" s="17" t="n">
        <x:f>L1500+M1500</x:f>
        <x:v>141600</x:v>
      </x:c>
      <x:c r="O1500" s="12" t="str">
        <x:v>Bengaluru</x:v>
      </x:c>
      <x:c r="P1500" s="12" t="str">
        <x:v>CORP-0485, CORP-0486, CORP-0487</x:v>
      </x:c>
      <x:c r="Q1500" s="12" t="str">
        <x:v>Leadsquared</x:v>
      </x:c>
    </x:row>
    <x:row r="1501" ht="48" customHeight="1">
      <x:c r="A1501" s="2" t="str">
        <x:v>TEN-F750F88F10BD</x:v>
      </x:c>
      <x:c r="B1501" s="12" t="str">
        <x:v>LearNow</x:v>
      </x:c>
      <x:c r="C1501" s="12" t="str">
        <x:v>Business / brand</x:v>
      </x:c>
      <x:c r="D1501" s="12" t="str">
        <x:v>Education</x:v>
      </x:c>
      <x:c r="E1501" s="12" t="str">
        <x:v>Education, training &amp; childcare</x:v>
      </x:c>
      <x:c r="F1501" s="12" t="str">
        <x:v>Small-scale prospects</x:v>
      </x:c>
      <x:c r="G1501" s="12" t="str">
        <x:v>Training or education-services business; small-scale prospect assumption.</x:v>
      </x:c>
      <x:c r="H1501" s="11" t="n">
        <x:v>1</x:v>
      </x:c>
      <x:c r="I1501" s="11" t="n">
        <x:v>1</x:v>
      </x:c>
      <x:c r="J1501" s="11" t="n">
        <x:v>1</x:v>
      </x:c>
      <x:c r="K1501" s="11" t="n">
        <x:v>0</x:v>
      </x:c>
      <x:c r="L1501" s="17" t="n">
        <x:f>SUM(SUMIFS('Costing'!$P$9:$P$492,'Costing'!$A$9:$A$492,"MAIN-035"))</x:f>
        <x:v>15000</x:v>
      </x:c>
      <x:c r="M1501" s="17" t="n">
        <x:f>ROUND(L1501*'Costing'!$C$4,2)</x:f>
        <x:v>2700</x:v>
      </x:c>
      <x:c r="N1501" s="17" t="n">
        <x:f>L1501+M1501</x:f>
        <x:v>17700</x:v>
      </x:c>
      <x:c r="O1501" s="12" t="str">
        <x:v>Bengaluru</x:v>
      </x:c>
      <x:c r="P1501" s="12" t="str">
        <x:v>CORP-0031</x:v>
      </x:c>
      <x:c r="Q1501" s="12" t="str">
        <x:v>LearNow</x:v>
      </x:c>
    </x:row>
    <x:row r="1502" ht="48" customHeight="1">
      <x:c r="A1502" s="2" t="str">
        <x:v>TEN-A67355571C1D</x:v>
      </x:c>
      <x:c r="B1502" s="12" t="str">
        <x:v>Legal Angle</x:v>
      </x:c>
      <x:c r="C1502" s="12" t="str">
        <x:v>Business / brand</x:v>
      </x:c>
      <x:c r="D1502" s="12" t="str">
        <x:v>Professional services</x:v>
      </x:c>
      <x:c r="E1502" s="12" t="str">
        <x:v>Legal &amp; intellectual property</x:v>
      </x:c>
      <x:c r="F1502" s="12" t="str">
        <x:v>Small-scale prospects</x:v>
      </x:c>
      <x:c r="G1502" s="12" t="str">
        <x:v>Professional service, agency or advisory model; small-scale prospect assumption.</x:v>
      </x:c>
      <x:c r="H1502" s="11" t="n">
        <x:v>1</x:v>
      </x:c>
      <x:c r="I1502" s="11" t="n">
        <x:v>6</x:v>
      </x:c>
      <x:c r="J1502" s="11" t="n">
        <x:v>6</x:v>
      </x:c>
      <x:c r="K1502" s="11" t="n">
        <x:v>0</x:v>
      </x:c>
      <x:c r="L1502" s="17" t="n">
        <x:f>SUM(SUMIFS('Costing'!$P$9:$P$492,'Costing'!$A$9:$A$492,"MAIN-373"))</x:f>
        <x:v>240000</x:v>
      </x:c>
      <x:c r="M1502" s="17" t="n">
        <x:f>ROUND(L1502*'Costing'!$C$4,2)</x:f>
        <x:v>43200</x:v>
      </x:c>
      <x:c r="N1502" s="17" t="n">
        <x:f>L1502+M1502</x:f>
        <x:v>283200</x:v>
      </x:c>
      <x:c r="O1502" s="12" t="str">
        <x:v>Delhi NCR</x:v>
      </x:c>
      <x:c r="P1502" s="12" t="str">
        <x:v>CORP-0369</x:v>
      </x:c>
      <x:c r="Q1502" s="12" t="str">
        <x:v>Legal Angle</x:v>
      </x:c>
    </x:row>
    <x:row r="1503" ht="48" customHeight="1">
      <x:c r="A1503" s="2" t="str">
        <x:v>TEN-D425AE684836</x:v>
      </x:c>
      <x:c r="B1503" s="12" t="str">
        <x:v>Legal Force</x:v>
      </x:c>
      <x:c r="C1503" s="12" t="str">
        <x:v>Business / brand</x:v>
      </x:c>
      <x:c r="D1503" s="12" t="str">
        <x:v>Professional services</x:v>
      </x:c>
      <x:c r="E1503" s="12" t="str">
        <x:v>Legal &amp; intellectual property</x:v>
      </x:c>
      <x:c r="F1503" s="12" t="str">
        <x:v>Small-scale prospects</x:v>
      </x:c>
      <x:c r="G1503" s="12" t="str">
        <x:v>Professional service, agency or advisory model; small-scale prospect assumption.</x:v>
      </x:c>
      <x:c r="H1503" s="11" t="n">
        <x:v>1</x:v>
      </x:c>
      <x:c r="I1503" s="11" t="n">
        <x:v>5</x:v>
      </x:c>
      <x:c r="J1503" s="11" t="n">
        <x:v>5</x:v>
      </x:c>
      <x:c r="K1503" s="11" t="n">
        <x:v>0</x:v>
      </x:c>
      <x:c r="L1503" s="17" t="n">
        <x:f>SUM(SUMIFS('Costing'!$P$9:$P$492,'Costing'!$A$9:$A$492,"MAIN-139"))</x:f>
        <x:v>75000</x:v>
      </x:c>
      <x:c r="M1503" s="17" t="n">
        <x:f>ROUND(L1503*'Costing'!$C$4,2)</x:f>
        <x:v>13500</x:v>
      </x:c>
      <x:c r="N1503" s="17" t="n">
        <x:f>L1503+M1503</x:f>
        <x:v>88500</x:v>
      </x:c>
      <x:c r="O1503" s="12" t="str">
        <x:v>Chennai</x:v>
      </x:c>
      <x:c r="P1503" s="12" t="str">
        <x:v>CORP-0135</x:v>
      </x:c>
      <x:c r="Q1503" s="12" t="str">
        <x:v>Legal Force</x:v>
      </x:c>
    </x:row>
    <x:row r="1504" ht="48" customHeight="1">
      <x:c r="A1504" s="2" t="str">
        <x:v>TEN-B65975F044F3</x:v>
      </x:c>
      <x:c r="B1504" s="12" t="str">
        <x:v>Lenovo India Pvt Ltd</x:v>
      </x:c>
      <x:c r="C1504" s="12" t="str">
        <x:v>Business / brand</x:v>
      </x:c>
      <x:c r="D1504" s="12" t="str">
        <x:v>Engineering &amp; manufacturing</x:v>
      </x:c>
      <x:c r="E1504" s="12" t="str">
        <x:v>Semiconductors, electronics &amp; equipment</x:v>
      </x:c>
      <x:c r="F1504" s="12" t="str">
        <x:v>Mixed business audience</x:v>
      </x:c>
      <x:c r="G1504" s="12" t="str">
        <x:v>Established brand or business network; local company scale is not established. Use a mixed-business message.</x:v>
      </x:c>
      <x:c r="H1504" s="11" t="n">
        <x:v>2</x:v>
      </x:c>
      <x:c r="I1504" s="11" t="n">
        <x:v>2</x:v>
      </x:c>
      <x:c r="J1504" s="11" t="n">
        <x:v>2</x:v>
      </x:c>
      <x:c r="K1504" s="11" t="n">
        <x:v>0</x:v>
      </x:c>
      <x:c r="L1504" s="17" t="n">
        <x:f>SUM(SUMIFS('Costing'!$P$9:$P$492,'Costing'!$A$9:$A$492,"PARTNER-M070"))</x:f>
        <x:v>80000</x:v>
      </x:c>
      <x:c r="M1504" s="17" t="n">
        <x:f>ROUND(L1504*'Costing'!$C$4,2)</x:f>
        <x:v>14400</x:v>
      </x:c>
      <x:c r="N1504" s="17" t="n">
        <x:f>L1504+M1504</x:f>
        <x:v>94400</x:v>
      </x:c>
      <x:c r="O1504" s="12" t="str">
        <x:v>Bengaluru</x:v>
      </x:c>
      <x:c r="P1504" s="12" t="str">
        <x:v>CORP-0488, CORP-0489</x:v>
      </x:c>
      <x:c r="Q1504" s="12" t="str">
        <x:v>Lenovo India Pvt Ltd</x:v>
      </x:c>
    </x:row>
    <x:row r="1505" ht="48" customHeight="1">
      <x:c r="A1505" s="2" t="str">
        <x:v>TEN-FCD721E29835</x:v>
      </x:c>
      <x:c r="B1505" s="12" t="str">
        <x:v>Lentra AI Private Limited</x:v>
      </x:c>
      <x:c r="C1505" s="12" t="str">
        <x:v>Business / brand</x:v>
      </x:c>
      <x:c r="D1505" s="12" t="str">
        <x:v>IT &amp; digital</x:v>
      </x:c>
      <x:c r="E1505" s="12" t="str">
        <x:v>AI, data &amp; analytics</x:v>
      </x:c>
      <x:c r="F1505" s="12" t="str">
        <x:v>Small-scale prospects</x:v>
      </x:c>
      <x:c r="G1505" s="12" t="str">
        <x:v>Software or technology-services business; small-scale prospect assumption.</x:v>
      </x:c>
      <x:c r="H1505" s="11" t="n">
        <x:v>1</x:v>
      </x:c>
      <x:c r="I1505" s="11" t="n">
        <x:v>2</x:v>
      </x:c>
      <x:c r="J1505" s="11" t="n">
        <x:v>2</x:v>
      </x:c>
      <x:c r="K1505" s="11" t="n">
        <x:v>0</x:v>
      </x:c>
      <x:c r="L1505" s="17" t="n">
        <x:f>SUM(SUMIFS('Costing'!$P$9:$P$492,'Costing'!$A$9:$A$492,"MAIN-384"))</x:f>
        <x:v>80000</x:v>
      </x:c>
      <x:c r="M1505" s="17" t="n">
        <x:f>ROUND(L1505*'Costing'!$C$4,2)</x:f>
        <x:v>14400</x:v>
      </x:c>
      <x:c r="N1505" s="17" t="n">
        <x:f>L1505+M1505</x:f>
        <x:v>94400</x:v>
      </x:c>
      <x:c r="O1505" s="12" t="str">
        <x:v>Pune</x:v>
      </x:c>
      <x:c r="P1505" s="12" t="str">
        <x:v>CORP-0380</x:v>
      </x:c>
      <x:c r="Q1505" s="12" t="str">
        <x:v>Lentra AI Private Limited</x:v>
      </x:c>
    </x:row>
    <x:row r="1506" ht="48" customHeight="1">
      <x:c r="A1506" s="2" t="str">
        <x:v>TEN-9A7E548DD883</x:v>
      </x:c>
      <x:c r="B1506" s="12" t="str">
        <x:v>Let's Go Tours</x:v>
      </x:c>
      <x:c r="C1506" s="12" t="str">
        <x:v>Business / brand</x:v>
      </x:c>
      <x:c r="D1506" s="12" t="str">
        <x:v>Trade, consumer &amp; logistics</x:v>
      </x:c>
      <x:c r="E1506" s="12" t="str">
        <x:v>Travel, hospitality, food &amp; beverages</x:v>
      </x:c>
      <x:c r="F1506" s="12" t="str">
        <x:v>Small-scale prospects</x:v>
      </x:c>
      <x:c r="G1506" s="12" t="str">
        <x:v>Trading or consumer-services business; small-scale prospect assumption.</x:v>
      </x:c>
      <x:c r="H1506" s="11" t="n">
        <x:v>1</x:v>
      </x:c>
      <x:c r="I1506" s="11" t="n">
        <x:v>1</x:v>
      </x:c>
      <x:c r="J1506" s="11" t="n">
        <x:v>1</x:v>
      </x:c>
      <x:c r="K1506" s="11" t="n">
        <x:v>0</x:v>
      </x:c>
      <x:c r="L1506" s="17" t="n">
        <x:f>SUM(SUMIFS('Costing'!$P$9:$P$492,'Costing'!$A$9:$A$492,"MAIN-270"))</x:f>
        <x:v>20000</x:v>
      </x:c>
      <x:c r="M1506" s="17" t="n">
        <x:f>ROUND(L1506*'Costing'!$C$4,2)</x:f>
        <x:v>3600</x:v>
      </x:c>
      <x:c r="N1506" s="17" t="n">
        <x:f>L1506+M1506</x:f>
        <x:v>23600</x:v>
      </x:c>
      <x:c r="O1506" s="12" t="str">
        <x:v>Indore</x:v>
      </x:c>
      <x:c r="P1506" s="12" t="str">
        <x:v>CORP-0266</x:v>
      </x:c>
      <x:c r="Q1506" s="12" t="str">
        <x:v>Let's Go Tours</x:v>
      </x:c>
    </x:row>
    <x:row r="1507" ht="48" customHeight="1">
      <x:c r="A1507" s="2" t="str">
        <x:v>TEN-BD06E0108A69</x:v>
      </x:c>
      <x:c r="B1507" s="12" t="str">
        <x:v>Leviton</x:v>
      </x:c>
      <x:c r="C1507" s="12" t="str">
        <x:v>Business / brand</x:v>
      </x:c>
      <x:c r="D1507" s="12" t="str">
        <x:v>Engineering &amp; manufacturing</x:v>
      </x:c>
      <x:c r="E1507" s="12" t="str">
        <x:v>Electronics, industrial systems &amp; manufacturing</x:v>
      </x:c>
      <x:c r="F1507" s="12" t="str">
        <x:v>Mixed business audience</x:v>
      </x:c>
      <x:c r="G1507" s="12" t="str">
        <x:v>Established brand or business network; local company scale is not established. Use a mixed-business message.</x:v>
      </x:c>
      <x:c r="H1507" s="11" t="n">
        <x:v>2</x:v>
      </x:c>
      <x:c r="I1507" s="11" t="n">
        <x:v>5</x:v>
      </x:c>
      <x:c r="J1507" s="11" t="n">
        <x:v>5</x:v>
      </x:c>
      <x:c r="K1507" s="11" t="n">
        <x:v>0</x:v>
      </x:c>
      <x:c r="L1507" s="17" t="n">
        <x:f>SUM(SUMIFS('Costing'!$P$9:$P$492,'Costing'!$A$9:$A$492,"MAIN-113"),SUMIFS('Costing'!$P$9:$P$492,'Costing'!$A$9:$A$492,"MAIN-128"))</x:f>
        <x:v>125000</x:v>
      </x:c>
      <x:c r="M1507" s="17" t="n">
        <x:f>ROUND(L1507*'Costing'!$C$4,2)</x:f>
        <x:v>22500</x:v>
      </x:c>
      <x:c r="N1507" s="17" t="n">
        <x:f>L1507+M1507</x:f>
        <x:v>147500</x:v>
      </x:c>
      <x:c r="O1507" s="12" t="str">
        <x:v>Bengaluru</x:v>
      </x:c>
      <x:c r="P1507" s="12" t="str">
        <x:v>CORP-0109, CORP-0124</x:v>
      </x:c>
      <x:c r="Q1507" s="12" t="str">
        <x:v>Leviton</x:v>
      </x:c>
    </x:row>
    <x:row r="1508" ht="48" customHeight="1">
      <x:c r="A1508" s="2" t="str">
        <x:v>TEN-9AAE0E9061B2</x:v>
      </x:c>
      <x:c r="B1508" s="12" t="str">
        <x:v>LEX IP CARE</x:v>
      </x:c>
      <x:c r="C1508" s="12" t="str">
        <x:v>Business / brand</x:v>
      </x:c>
      <x:c r="D1508" s="12" t="str">
        <x:v>Professional services</x:v>
      </x:c>
      <x:c r="E1508" s="12" t="str">
        <x:v>Legal &amp; intellectual property</x:v>
      </x:c>
      <x:c r="F1508" s="12" t="str">
        <x:v>Small-scale prospects</x:v>
      </x:c>
      <x:c r="G1508" s="12" t="str">
        <x:v>Professional service, agency or advisory model; small-scale prospect assumption.</x:v>
      </x:c>
      <x:c r="H1508" s="11" t="n">
        <x:v>1</x:v>
      </x:c>
      <x:c r="I1508" s="11" t="n">
        <x:v>4</x:v>
      </x:c>
      <x:c r="J1508" s="11" t="n">
        <x:v>4</x:v>
      </x:c>
      <x:c r="K1508" s="11" t="n">
        <x:v>0</x:v>
      </x:c>
      <x:c r="L1508" s="17" t="n">
        <x:f>SUM(SUMIFS('Costing'!$P$9:$P$492,'Costing'!$A$9:$A$492,"MAIN-202"))</x:f>
        <x:v>160000</x:v>
      </x:c>
      <x:c r="M1508" s="17" t="n">
        <x:f>ROUND(L1508*'Costing'!$C$4,2)</x:f>
        <x:v>28800</x:v>
      </x:c>
      <x:c r="N1508" s="17" t="n">
        <x:f>L1508+M1508</x:f>
        <x:v>188800</x:v>
      </x:c>
      <x:c r="O1508" s="12" t="str">
        <x:v>Delhi NCR</x:v>
      </x:c>
      <x:c r="P1508" s="12" t="str">
        <x:v>CORP-0198</x:v>
      </x:c>
      <x:c r="Q1508" s="12" t="str">
        <x:v>LEX IP CARE</x:v>
      </x:c>
    </x:row>
    <x:row r="1509" ht="62" customHeight="1">
      <x:c r="A1509" s="2" t="str">
        <x:v>TEN-B0D732F6FB1E</x:v>
      </x:c>
      <x:c r="B1509" s="12" t="str">
        <x:v>LG Soft India Pvt. Ltd</x:v>
      </x:c>
      <x:c r="C1509" s="12" t="str">
        <x:v>Business / brand</x:v>
      </x:c>
      <x:c r="D1509" s="12" t="str">
        <x:v>IT &amp; digital</x:v>
      </x:c>
      <x:c r="E1509" s="12" t="str">
        <x:v>Enterprise software &amp; digital engineering</x:v>
      </x:c>
      <x:c r="F1509" s="12" t="str">
        <x:v>Large enterprise</x:v>
      </x:c>
      <x:c r="G1509" s="12" t="str">
        <x:v>LG Soft India identifies itself as LG Electronics’ innovation arm and its largest R&amp;D centre outside Korea. Large-enterprise campaign context; no statutory MSME status asserted.</x:v>
      </x:c>
      <x:c r="H1509" s="11" t="n">
        <x:v>3</x:v>
      </x:c>
      <x:c r="I1509" s="11" t="n">
        <x:v>3</x:v>
      </x:c>
      <x:c r="J1509" s="11" t="n">
        <x:v>3</x:v>
      </x:c>
      <x:c r="K1509" s="11" t="n">
        <x:v>0</x:v>
      </x:c>
      <x:c r="L1509" s="17" t="n">
        <x:f>SUM(SUMIFS('Costing'!$P$9:$P$492,'Costing'!$A$9:$A$492,"PARTNER-M067"))</x:f>
        <x:v>120000</x:v>
      </x:c>
      <x:c r="M1509" s="17" t="n">
        <x:f>ROUND(L1509*'Costing'!$C$4,2)</x:f>
        <x:v>21600</x:v>
      </x:c>
      <x:c r="N1509" s="17" t="n">
        <x:f>L1509+M1509</x:f>
        <x:v>141600</x:v>
      </x:c>
      <x:c r="O1509" s="12" t="str">
        <x:v>Bengaluru</x:v>
      </x:c>
      <x:c r="P1509" s="12" t="str">
        <x:v>CORP-0485, CORP-0486, CORP-0487</x:v>
      </x:c>
      <x:c r="Q1509" s="12" t="str">
        <x:v>LG Soft India Pvt. Ltd</x:v>
      </x:c>
    </x:row>
    <x:row r="1510" ht="48" customHeight="1">
      <x:c r="A1510" s="2" t="str">
        <x:v>TEN-C505819DE3AF</x:v>
      </x:c>
      <x:c r="B1510" s="12" t="str">
        <x:v>LH Global Hub Services Pvt. Ltd</x:v>
      </x:c>
      <x:c r="C1510" s="12" t="str">
        <x:v>Business / brand</x:v>
      </x:c>
      <x:c r="D1510" s="12" t="str">
        <x:v>Unresolved</x:v>
      </x:c>
      <x:c r="E1510" s="12" t="str">
        <x:v>Business activity not established</x:v>
      </x:c>
      <x:c r="F1510" s="12" t="str">
        <x:v>Mixed business audience</x:v>
      </x:c>
      <x:c r="G1510" s="12" t="str">
        <x:v>Business activity and company scale are not established from this name.</x:v>
      </x:c>
      <x:c r="H1510" s="11" t="n">
        <x:v>4</x:v>
      </x:c>
      <x:c r="I1510" s="11" t="n">
        <x:v>4</x:v>
      </x:c>
      <x:c r="J1510" s="11" t="n">
        <x:v>4</x:v>
      </x:c>
      <x:c r="K1510" s="11" t="n">
        <x:v>0</x:v>
      </x:c>
      <x:c r="L1510" s="17" t="n">
        <x:f>SUM(SUMIFS('Costing'!$P$9:$P$492,'Costing'!$A$9:$A$492,"PARTNER-M193"))</x:f>
        <x:v>160000</x:v>
      </x:c>
      <x:c r="M1510" s="17" t="n">
        <x:f>ROUND(L1510*'Costing'!$C$4,2)</x:f>
        <x:v>28800</x:v>
      </x:c>
      <x:c r="N1510" s="17" t="n">
        <x:f>L1510+M1510</x:f>
        <x:v>188800</x:v>
      </x:c>
      <x:c r="O1510" s="12" t="str">
        <x:v>Mumbai</x:v>
      </x:c>
      <x:c r="P1510" s="12" t="str">
        <x:v>CORP-0610, CORP-0611, CORP-0612, CORP-0613</x:v>
      </x:c>
      <x:c r="Q1510" s="12" t="str">
        <x:v>LH Global Hub Services Pvt. Ltd</x:v>
      </x:c>
    </x:row>
    <x:row r="1511" ht="48" customHeight="1">
      <x:c r="A1511" s="2" t="str">
        <x:v>TEN-4DD0879CF20C</x:v>
      </x:c>
      <x:c r="B1511" s="12" t="str">
        <x:v>Liberated Enterprise Creators LLp</x:v>
      </x:c>
      <x:c r="C1511" s="12" t="str">
        <x:v>Business / brand</x:v>
      </x:c>
      <x:c r="D1511" s="12" t="str">
        <x:v>Unresolved</x:v>
      </x:c>
      <x:c r="E1511" s="12" t="str">
        <x:v>Business activity not established</x:v>
      </x:c>
      <x:c r="F1511" s="12" t="str">
        <x:v>Mixed business audience</x:v>
      </x:c>
      <x:c r="G1511" s="12" t="str">
        <x:v>Business activity and company scale are not established from this name.</x:v>
      </x:c>
      <x:c r="H1511" s="11" t="n">
        <x:v>1</x:v>
      </x:c>
      <x:c r="I1511" s="11" t="n">
        <x:v>1</x:v>
      </x:c>
      <x:c r="J1511" s="11" t="n">
        <x:v>1</x:v>
      </x:c>
      <x:c r="K1511" s="11" t="n">
        <x:v>0</x:v>
      </x:c>
      <x:c r="L1511" s="17" t="n">
        <x:f>SUM(SUMIFS('Costing'!$P$9:$P$492,'Costing'!$A$9:$A$492,"MAIN-050"))</x:f>
        <x:v>15000</x:v>
      </x:c>
      <x:c r="M1511" s="17" t="n">
        <x:f>ROUND(L1511*'Costing'!$C$4,2)</x:f>
        <x:v>2700</x:v>
      </x:c>
      <x:c r="N1511" s="17" t="n">
        <x:f>L1511+M1511</x:f>
        <x:v>17700</x:v>
      </x:c>
      <x:c r="O1511" s="12" t="str">
        <x:v>Bengaluru</x:v>
      </x:c>
      <x:c r="P1511" s="12" t="str">
        <x:v>CORP-0046</x:v>
      </x:c>
      <x:c r="Q1511" s="12" t="str">
        <x:v>Liberated Enterprise Creators LLp</x:v>
      </x:c>
    </x:row>
    <x:row r="1512" ht="48" customHeight="1">
      <x:c r="A1512" s="2" t="str">
        <x:v>TEN-49CB34E27FC7</x:v>
      </x:c>
      <x:c r="B1512" s="12" t="str">
        <x:v>LIC</x:v>
      </x:c>
      <x:c r="C1512" s="12" t="str">
        <x:v>Business / brand</x:v>
      </x:c>
      <x:c r="D1512" s="12" t="str">
        <x:v>Finance &amp; insurance</x:v>
      </x:c>
      <x:c r="E1512" s="12" t="str">
        <x:v>Insurance &amp; insurance services</x:v>
      </x:c>
      <x:c r="F1512" s="12" t="str">
        <x:v>Large enterprise</x:v>
      </x:c>
      <x:c r="G1512" s="12" t="str">
        <x:v>National life-insurance business, rather than a local insurance agent; large-enterprise brand context.</x:v>
      </x:c>
      <x:c r="H1512" s="11" t="n">
        <x:v>1</x:v>
      </x:c>
      <x:c r="I1512" s="11" t="n">
        <x:v>13</x:v>
      </x:c>
      <x:c r="J1512" s="11" t="n">
        <x:v>13</x:v>
      </x:c>
      <x:c r="K1512" s="11" t="n">
        <x:v>0</x:v>
      </x:c>
      <x:c r="L1512" s="17" t="n">
        <x:f>SUM(SUMIFS('Costing'!$P$9:$P$492,'Costing'!$A$9:$A$492,"MAIN-240"))</x:f>
        <x:v>195000</x:v>
      </x:c>
      <x:c r="M1512" s="17" t="n">
        <x:f>ROUND(L1512*'Costing'!$C$4,2)</x:f>
        <x:v>35100</x:v>
      </x:c>
      <x:c r="N1512" s="17" t="n">
        <x:f>L1512+M1512</x:f>
        <x:v>230100</x:v>
      </x:c>
      <x:c r="O1512" s="12" t="str">
        <x:v>Hyderabad</x:v>
      </x:c>
      <x:c r="P1512" s="12" t="str">
        <x:v>CORP-0236</x:v>
      </x:c>
      <x:c r="Q1512" s="12" t="str">
        <x:v>LIC</x:v>
      </x:c>
    </x:row>
    <x:row r="1513" ht="48" customHeight="1">
      <x:c r="A1513" s="2" t="str">
        <x:v>TEN-9299DB4A2A77</x:v>
      </x:c>
      <x:c r="B1513" s="12" t="str">
        <x:v>Life Overseas Career</x:v>
      </x:c>
      <x:c r="C1513" s="12" t="str">
        <x:v>Business / brand</x:v>
      </x:c>
      <x:c r="D1513" s="12" t="str">
        <x:v>Professional services</x:v>
      </x:c>
      <x:c r="E1513" s="12" t="str">
        <x:v>Immigration &amp; relocation services</x:v>
      </x:c>
      <x:c r="F1513" s="12" t="str">
        <x:v>Small-scale prospects</x:v>
      </x:c>
      <x:c r="G1513" s="12" t="str">
        <x:v>Professional service, agency or advisory model; small-scale prospect assumption.</x:v>
      </x:c>
      <x:c r="H1513" s="11" t="n">
        <x:v>1</x:v>
      </x:c>
      <x:c r="I1513" s="11" t="n">
        <x:v>2</x:v>
      </x:c>
      <x:c r="J1513" s="11" t="n">
        <x:v>2</x:v>
      </x:c>
      <x:c r="K1513" s="11" t="n">
        <x:v>0</x:v>
      </x:c>
      <x:c r="L1513" s="17" t="n">
        <x:f>SUM(SUMIFS('Costing'!$P$9:$P$492,'Costing'!$A$9:$A$492,"MAIN-219"))</x:f>
        <x:v>30000</x:v>
      </x:c>
      <x:c r="M1513" s="17" t="n">
        <x:f>ROUND(L1513*'Costing'!$C$4,2)</x:f>
        <x:v>5400</x:v>
      </x:c>
      <x:c r="N1513" s="17" t="n">
        <x:f>L1513+M1513</x:f>
        <x:v>35400</x:v>
      </x:c>
      <x:c r="O1513" s="12" t="str">
        <x:v>Hyderabad</x:v>
      </x:c>
      <x:c r="P1513" s="12" t="str">
        <x:v>CORP-0215</x:v>
      </x:c>
      <x:c r="Q1513" s="12" t="str">
        <x:v>Life Overseas Career</x:v>
      </x:c>
    </x:row>
    <x:row r="1514" ht="48" customHeight="1">
      <x:c r="A1514" s="2" t="str">
        <x:v>TEN-0129C6C3CDEB</x:v>
      </x:c>
      <x:c r="B1514" s="12" t="str">
        <x:v>LifeCell International Pvt. Ltd</x:v>
      </x:c>
      <x:c r="C1514" s="12" t="str">
        <x:v>Business / brand</x:v>
      </x:c>
      <x:c r="D1514" s="12" t="str">
        <x:v>Healthcare &amp; life sciences</x:v>
      </x:c>
      <x:c r="E1514" s="12" t="str">
        <x:v>Clinical, pharmaceutical &amp; health services</x:v>
      </x:c>
      <x:c r="F1514" s="12" t="str">
        <x:v>Mixed business audience</x:v>
      </x:c>
      <x:c r="G1514" s="12" t="str">
        <x:v>Established brand or business network; local company scale is not established. Use a mixed-business message.</x:v>
      </x:c>
      <x:c r="H1514" s="11" t="n">
        <x:v>1</x:v>
      </x:c>
      <x:c r="I1514" s="11" t="n">
        <x:v>2</x:v>
      </x:c>
      <x:c r="J1514" s="11" t="n">
        <x:v>2</x:v>
      </x:c>
      <x:c r="K1514" s="11" t="n">
        <x:v>0</x:v>
      </x:c>
      <x:c r="L1514" s="17" t="n">
        <x:f>SUM(SUMIFS('Costing'!$P$9:$P$492,'Costing'!$A$9:$A$492,"MAIN-273"))</x:f>
        <x:v>40000</x:v>
      </x:c>
      <x:c r="M1514" s="17" t="n">
        <x:f>ROUND(L1514*'Costing'!$C$4,2)</x:f>
        <x:v>7200</x:v>
      </x:c>
      <x:c r="N1514" s="17" t="n">
        <x:f>L1514+M1514</x:f>
        <x:v>47200</x:v>
      </x:c>
      <x:c r="O1514" s="12" t="str">
        <x:v>Indore</x:v>
      </x:c>
      <x:c r="P1514" s="12" t="str">
        <x:v>CORP-0269</x:v>
      </x:c>
      <x:c r="Q1514" s="12" t="str">
        <x:v>LifeCell International Pvt. Ltd</x:v>
      </x:c>
    </x:row>
    <x:row r="1515" ht="48" customHeight="1">
      <x:c r="A1515" s="2" t="str">
        <x:v>TEN-8808F6FA4B8D</x:v>
      </x:c>
      <x:c r="B1515" s="12" t="str">
        <x:v>Lifestarter Project Pvt Ltd</x:v>
      </x:c>
      <x:c r="C1515" s="12" t="str">
        <x:v>Business / brand</x:v>
      </x:c>
      <x:c r="D1515" s="12" t="str">
        <x:v>Unresolved</x:v>
      </x:c>
      <x:c r="E1515" s="12" t="str">
        <x:v>Business activity not established</x:v>
      </x:c>
      <x:c r="F1515" s="12" t="str">
        <x:v>Mixed business audience</x:v>
      </x:c>
      <x:c r="G1515" s="12" t="str">
        <x:v>Business activity and company scale are not established from this name.</x:v>
      </x:c>
      <x:c r="H1515" s="11" t="n">
        <x:v>1</x:v>
      </x:c>
      <x:c r="I1515" s="11" t="n">
        <x:v>1</x:v>
      </x:c>
      <x:c r="J1515" s="11" t="n">
        <x:v>1</x:v>
      </x:c>
      <x:c r="K1515" s="11" t="n">
        <x:v>0</x:v>
      </x:c>
      <x:c r="L1515" s="17" t="n">
        <x:f>SUM(SUMIFS('Costing'!$P$9:$P$492,'Costing'!$A$9:$A$492,"MAIN-296"))</x:f>
        <x:v>15000</x:v>
      </x:c>
      <x:c r="M1515" s="17" t="n">
        <x:f>ROUND(L1515*'Costing'!$C$4,2)</x:f>
        <x:v>2700</x:v>
      </x:c>
      <x:c r="N1515" s="17" t="n">
        <x:f>L1515+M1515</x:f>
        <x:v>17700</x:v>
      </x:c>
      <x:c r="O1515" s="12" t="str">
        <x:v>Mumbai</x:v>
      </x:c>
      <x:c r="P1515" s="12" t="str">
        <x:v>CORP-0292</x:v>
      </x:c>
      <x:c r="Q1515" s="12" t="str">
        <x:v>Lifestarter Project Pvt Ltd</x:v>
      </x:c>
    </x:row>
    <x:row r="1516" ht="48" customHeight="1">
      <x:c r="A1516" s="2" t="str">
        <x:v>TEN-61A78304B3C4</x:v>
      </x:c>
      <x:c r="B1516" s="12" t="str">
        <x:v>Lifestyle</x:v>
      </x:c>
      <x:c r="C1516" s="12" t="str">
        <x:v>Business / brand</x:v>
      </x:c>
      <x:c r="D1516" s="12" t="str">
        <x:v>Trade, consumer &amp; logistics</x:v>
      </x:c>
      <x:c r="E1516" s="12" t="str">
        <x:v>Retail, consumer products &amp; ecommerce</x:v>
      </x:c>
      <x:c r="F1516" s="12" t="str">
        <x:v>Mixed business audience</x:v>
      </x:c>
      <x:c r="G1516" s="12" t="str">
        <x:v>Recognisable business context; company-scale evidence remains insufficient for a single size band.</x:v>
      </x:c>
      <x:c r="H1516" s="11" t="n">
        <x:v>1</x:v>
      </x:c>
      <x:c r="I1516" s="11" t="n">
        <x:v>1</x:v>
      </x:c>
      <x:c r="J1516" s="11" t="n">
        <x:v>1</x:v>
      </x:c>
      <x:c r="K1516" s="11" t="n">
        <x:v>0</x:v>
      </x:c>
      <x:c r="L1516" s="17" t="n">
        <x:f>SUM(SUMIFS('Costing'!$P$9:$P$492,'Costing'!$A$9:$A$492,"MAIN-390"))</x:f>
        <x:v>15000</x:v>
      </x:c>
      <x:c r="M1516" s="17" t="n">
        <x:f>ROUND(L1516*'Costing'!$C$4,2)</x:f>
        <x:v>2700</x:v>
      </x:c>
      <x:c r="N1516" s="17" t="n">
        <x:f>L1516+M1516</x:f>
        <x:v>17700</x:v>
      </x:c>
      <x:c r="O1516" s="12" t="str">
        <x:v>Pune</x:v>
      </x:c>
      <x:c r="P1516" s="12" t="str">
        <x:v>CORP-0386</x:v>
      </x:c>
      <x:c r="Q1516" s="12" t="str">
        <x:v>Lifestyle</x:v>
      </x:c>
    </x:row>
    <x:row r="1517" ht="48" customHeight="1">
      <x:c r="A1517" s="2" t="str">
        <x:v>TEN-070EA3276414</x:v>
      </x:c>
      <x:c r="B1517" s="12" t="str">
        <x:v>LIFTR</x:v>
      </x:c>
      <x:c r="C1517" s="12" t="str">
        <x:v>Business / brand</x:v>
      </x:c>
      <x:c r="D1517" s="12" t="str">
        <x:v>Healthcare &amp; life sciences</x:v>
      </x:c>
      <x:c r="E1517" s="12" t="str">
        <x:v>Mental health, wellbeing &amp; fitness</x:v>
      </x:c>
      <x:c r="F1517" s="12" t="str">
        <x:v>Small-scale prospects</x:v>
      </x:c>
      <x:c r="G1517" s="12" t="str">
        <x:v>Healthcare services business; small-scale prospect assumption.</x:v>
      </x:c>
      <x:c r="H1517" s="11" t="n">
        <x:v>1</x:v>
      </x:c>
      <x:c r="I1517" s="11" t="n">
        <x:v>7</x:v>
      </x:c>
      <x:c r="J1517" s="11" t="n">
        <x:v>7</x:v>
      </x:c>
      <x:c r="K1517" s="11" t="n">
        <x:v>0</x:v>
      </x:c>
      <x:c r="L1517" s="17" t="n">
        <x:f>SUM(SUMIFS('Costing'!$P$9:$P$492,'Costing'!$A$9:$A$492,"MAIN-129"))</x:f>
        <x:v>175000</x:v>
      </x:c>
      <x:c r="M1517" s="17" t="n">
        <x:f>ROUND(L1517*'Costing'!$C$4,2)</x:f>
        <x:v>31500</x:v>
      </x:c>
      <x:c r="N1517" s="17" t="n">
        <x:f>L1517+M1517</x:f>
        <x:v>206500</x:v>
      </x:c>
      <x:c r="O1517" s="12" t="str">
        <x:v>Bengaluru</x:v>
      </x:c>
      <x:c r="P1517" s="12" t="str">
        <x:v>CORP-0125</x:v>
      </x:c>
      <x:c r="Q1517" s="12" t="str">
        <x:v>LIFTR</x:v>
      </x:c>
    </x:row>
    <x:row r="1518" ht="48" customHeight="1">
      <x:c r="A1518" s="2" t="str">
        <x:v>TEN-7A7FCCF359A2</x:v>
      </x:c>
      <x:c r="B1518" s="12" t="str">
        <x:v>Lightstorm telecom Chennai office</x:v>
      </x:c>
      <x:c r="C1518" s="12" t="str">
        <x:v>Business / brand</x:v>
      </x:c>
      <x:c r="D1518" s="12" t="str">
        <x:v>IT &amp; digital</x:v>
      </x:c>
      <x:c r="E1518" s="12" t="str">
        <x:v>Telecom, networks &amp; connectivity</x:v>
      </x:c>
      <x:c r="F1518" s="12" t="str">
        <x:v>Small-scale prospects</x:v>
      </x:c>
      <x:c r="G1518" s="12" t="str">
        <x:v>Software or technology-services business; small-scale prospect assumption.</x:v>
      </x:c>
      <x:c r="H1518" s="11" t="n">
        <x:v>2</x:v>
      </x:c>
      <x:c r="I1518" s="11" t="n">
        <x:v>3</x:v>
      </x:c>
      <x:c r="J1518" s="11" t="n">
        <x:v>3</x:v>
      </x:c>
      <x:c r="K1518" s="11" t="n">
        <x:v>0</x:v>
      </x:c>
      <x:c r="L1518" s="17" t="n">
        <x:f>SUM(SUMIFS('Costing'!$P$9:$P$492,'Costing'!$A$9:$A$492,"MAIN-143"),SUMIFS('Costing'!$P$9:$P$492,'Costing'!$A$9:$A$492,"MAIN-144"))</x:f>
        <x:v>60000</x:v>
      </x:c>
      <x:c r="M1518" s="17" t="n">
        <x:f>ROUND(L1518*'Costing'!$C$4,2)</x:f>
        <x:v>10800</x:v>
      </x:c>
      <x:c r="N1518" s="17" t="n">
        <x:f>L1518+M1518</x:f>
        <x:v>70800</x:v>
      </x:c>
      <x:c r="O1518" s="12" t="str">
        <x:v>Chennai</x:v>
      </x:c>
      <x:c r="P1518" s="12" t="str">
        <x:v>CORP-0139, CORP-0140</x:v>
      </x:c>
      <x:c r="Q1518" s="12" t="str">
        <x:v>Lightstorm telecom Chennai office</x:v>
      </x:c>
    </x:row>
    <x:row r="1519" ht="48" customHeight="1">
      <x:c r="A1519" s="2" t="str">
        <x:v>TEN-1E42D3AD0FD0</x:v>
      </x:c>
      <x:c r="B1519" s="12" t="str">
        <x:v>Linde India Limited</x:v>
      </x:c>
      <x:c r="C1519" s="12" t="str">
        <x:v>Business / brand</x:v>
      </x:c>
      <x:c r="D1519" s="12" t="str">
        <x:v>Engineering &amp; manufacturing</x:v>
      </x:c>
      <x:c r="E1519" s="12" t="str">
        <x:v>Chemicals, materials &amp; industrial manufacturing</x:v>
      </x:c>
      <x:c r="F1519" s="12" t="str">
        <x:v>Mixed business audience</x:v>
      </x:c>
      <x:c r="G1519" s="12" t="str">
        <x:v>Recognisable business context; company-scale evidence remains insufficient for a single size band.</x:v>
      </x:c>
      <x:c r="H1519" s="11" t="n">
        <x:v>10</x:v>
      </x:c>
      <x:c r="I1519" s="11" t="n">
        <x:v>10</x:v>
      </x:c>
      <x:c r="J1519" s="11" t="n">
        <x:v>10</x:v>
      </x:c>
      <x:c r="K1519" s="11" t="n">
        <x:v>0</x:v>
      </x:c>
      <x:c r="L1519" s="17" t="n">
        <x:f>SUM(SUMIFS('Costing'!$P$9:$P$492,'Costing'!$A$9:$A$492,"PARTNER-M205"))</x:f>
        <x:v>400000</x:v>
      </x:c>
      <x:c r="M1519" s="17" t="n">
        <x:f>ROUND(L1519*'Costing'!$C$4,2)</x:f>
        <x:v>72000</x:v>
      </x:c>
      <x:c r="N1519" s="17" t="n">
        <x:f>L1519+M1519</x:f>
        <x:v>472000</x:v>
      </x:c>
      <x:c r="O1519" s="12" t="str">
        <x:v>Mumbai</x:v>
      </x:c>
      <x:c r="P1519" s="12" t="str">
        <x:v>CORP-0622, CORP-0623, CORP-0624, CORP-0625, CORP-0626, CORP-0627, CORP-0628, CORP-0629, CORP-0630, CORP-0631</x:v>
      </x:c>
      <x:c r="Q1519" s="12" t="str">
        <x:v>Linde India Limited</x:v>
      </x:c>
    </x:row>
    <x:row r="1520" ht="49" customHeight="1">
      <x:c r="A1520" s="2" t="str">
        <x:v>TEN-84308BEA4540</x:v>
      </x:c>
      <x:c r="B1520" s="12" t="str">
        <x:v>LinkedIn</x:v>
      </x:c>
      <x:c r="C1520" s="12" t="str">
        <x:v>Business / brand</x:v>
      </x:c>
      <x:c r="D1520" s="12" t="str">
        <x:v>IT &amp; digital</x:v>
      </x:c>
      <x:c r="E1520" s="12" t="str">
        <x:v>Enterprise software &amp; digital engineering</x:v>
      </x:c>
      <x:c r="F1520" s="12" t="str">
        <x:v>Large enterprise</x:v>
      </x:c>
      <x:c r="G1520" s="12" t="str">
        <x:v>LinkedIn reports more than 17,000 full-time employees and offices in over 30 cities. Large-enterprise campaign context; no statutory MSME status asserted.</x:v>
      </x:c>
      <x:c r="H1520" s="11" t="n">
        <x:v>5</x:v>
      </x:c>
      <x:c r="I1520" s="11" t="n">
        <x:v>5</x:v>
      </x:c>
      <x:c r="J1520" s="11" t="n">
        <x:v>5</x:v>
      </x:c>
      <x:c r="K1520" s="11" t="n">
        <x:v>0</x:v>
      </x:c>
      <x:c r="L1520" s="17" t="n">
        <x:f>SUM(SUMIFS('Costing'!$P$9:$P$492,'Costing'!$A$9:$A$492,"PARTNER-M060"))</x:f>
        <x:v>200000</x:v>
      </x:c>
      <x:c r="M1520" s="17" t="n">
        <x:f>ROUND(L1520*'Costing'!$C$4,2)</x:f>
        <x:v>36000</x:v>
      </x:c>
      <x:c r="N1520" s="17" t="n">
        <x:f>L1520+M1520</x:f>
        <x:v>236000</x:v>
      </x:c>
      <x:c r="O1520" s="12" t="str">
        <x:v>Bengaluru</x:v>
      </x:c>
      <x:c r="P1520" s="12" t="str">
        <x:v>CORP-0478, CORP-0479, CORP-0480, CORP-0481, CORP-0482</x:v>
      </x:c>
      <x:c r="Q1520" s="12" t="str">
        <x:v>LinkedIn</x:v>
      </x:c>
    </x:row>
    <x:row r="1521" ht="48" customHeight="1">
      <x:c r="A1521" s="2" t="str">
        <x:v>TEN-CC1F41A505F0</x:v>
      </x:c>
      <x:c r="B1521" s="12" t="str">
        <x:v>LINKUPH BHARATH PVT LTD</x:v>
      </x:c>
      <x:c r="C1521" s="12" t="str">
        <x:v>Business / brand</x:v>
      </x:c>
      <x:c r="D1521" s="12" t="str">
        <x:v>Unresolved</x:v>
      </x:c>
      <x:c r="E1521" s="12" t="str">
        <x:v>Business activity not established</x:v>
      </x:c>
      <x:c r="F1521" s="12" t="str">
        <x:v>Mixed business audience</x:v>
      </x:c>
      <x:c r="G1521" s="12" t="str">
        <x:v>Business activity and company scale are not established from this name.</x:v>
      </x:c>
      <x:c r="H1521" s="11" t="n">
        <x:v>1</x:v>
      </x:c>
      <x:c r="I1521" s="11" t="n">
        <x:v>2</x:v>
      </x:c>
      <x:c r="J1521" s="11" t="n">
        <x:v>2</x:v>
      </x:c>
      <x:c r="K1521" s="11" t="n">
        <x:v>0</x:v>
      </x:c>
      <x:c r="L1521" s="17" t="n">
        <x:f>SUM(SUMIFS('Costing'!$P$9:$P$492,'Costing'!$A$9:$A$492,"MAIN-244"))</x:f>
        <x:v>30000</x:v>
      </x:c>
      <x:c r="M1521" s="17" t="n">
        <x:f>ROUND(L1521*'Costing'!$C$4,2)</x:f>
        <x:v>5400</x:v>
      </x:c>
      <x:c r="N1521" s="17" t="n">
        <x:f>L1521+M1521</x:f>
        <x:v>35400</x:v>
      </x:c>
      <x:c r="O1521" s="12" t="str">
        <x:v>Hyderabad</x:v>
      </x:c>
      <x:c r="P1521" s="12" t="str">
        <x:v>CORP-0240</x:v>
      </x:c>
      <x:c r="Q1521" s="12" t="str">
        <x:v>LINKUPH BHARATH PVT LTD</x:v>
      </x:c>
    </x:row>
    <x:row r="1522" ht="48" customHeight="1">
      <x:c r="A1522" s="2" t="str">
        <x:v>TEN-31E219ED8F4E</x:v>
      </x:c>
      <x:c r="B1522" s="12" t="str">
        <x:v>Lionbridge India</x:v>
      </x:c>
      <x:c r="C1522" s="12" t="str">
        <x:v>Business / brand</x:v>
      </x:c>
      <x:c r="D1522" s="12" t="str">
        <x:v>Professional services</x:v>
      </x:c>
      <x:c r="E1522" s="12" t="str">
        <x:v>Research, marketing &amp; professional services</x:v>
      </x:c>
      <x:c r="F1522" s="12" t="str">
        <x:v>Mixed business audience</x:v>
      </x:c>
      <x:c r="G1522" s="12" t="str">
        <x:v>Established brand or business network; local company scale is not established. Use a mixed-business message.</x:v>
      </x:c>
      <x:c r="H1522" s="11" t="n">
        <x:v>4</x:v>
      </x:c>
      <x:c r="I1522" s="11" t="n">
        <x:v>4</x:v>
      </x:c>
      <x:c r="J1522" s="11" t="n">
        <x:v>4</x:v>
      </x:c>
      <x:c r="K1522" s="11" t="n">
        <x:v>0</x:v>
      </x:c>
      <x:c r="L1522" s="17" t="n">
        <x:f>SUM(SUMIFS('Costing'!$P$9:$P$492,'Costing'!$A$9:$A$492,"PARTNER-M197"))</x:f>
        <x:v>160000</x:v>
      </x:c>
      <x:c r="M1522" s="17" t="n">
        <x:f>ROUND(L1522*'Costing'!$C$4,2)</x:f>
        <x:v>28800</x:v>
      </x:c>
      <x:c r="N1522" s="17" t="n">
        <x:f>L1522+M1522</x:f>
        <x:v>188800</x:v>
      </x:c>
      <x:c r="O1522" s="12" t="str">
        <x:v>Mumbai</x:v>
      </x:c>
      <x:c r="P1522" s="12" t="str">
        <x:v>CORP-0614, CORP-0615, CORP-0616, CORP-0617</x:v>
      </x:c>
      <x:c r="Q1522" s="12" t="str">
        <x:v>Lionbridge India</x:v>
      </x:c>
    </x:row>
    <x:row r="1523" ht="48" customHeight="1">
      <x:c r="A1523" s="2" t="str">
        <x:v>TEN-28872BA7C482</x:v>
      </x:c>
      <x:c r="B1523" s="12" t="str">
        <x:v>Liquid Designs</x:v>
      </x:c>
      <x:c r="C1523" s="12" t="str">
        <x:v>Business / brand</x:v>
      </x:c>
      <x:c r="D1523" s="12" t="str">
        <x:v>Professional services</x:v>
      </x:c>
      <x:c r="E1523" s="12" t="str">
        <x:v>Architecture, interiors &amp; design</x:v>
      </x:c>
      <x:c r="F1523" s="12" t="str">
        <x:v>Small-scale prospects</x:v>
      </x:c>
      <x:c r="G1523" s="12" t="str">
        <x:v>Professional service, agency or advisory model; small-scale prospect assumption.</x:v>
      </x:c>
      <x:c r="H1523" s="11" t="n">
        <x:v>1</x:v>
      </x:c>
      <x:c r="I1523" s="11" t="n">
        <x:v>1</x:v>
      </x:c>
      <x:c r="J1523" s="11" t="n">
        <x:v>1</x:v>
      </x:c>
      <x:c r="K1523" s="11" t="n">
        <x:v>0</x:v>
      </x:c>
      <x:c r="L1523" s="17" t="n">
        <x:f>SUM(SUMIFS('Costing'!$P$9:$P$492,'Costing'!$A$9:$A$492,"MAIN-203"))</x:f>
        <x:v>40000</x:v>
      </x:c>
      <x:c r="M1523" s="17" t="n">
        <x:f>ROUND(L1523*'Costing'!$C$4,2)</x:f>
        <x:v>7200</x:v>
      </x:c>
      <x:c r="N1523" s="17" t="n">
        <x:f>L1523+M1523</x:f>
        <x:v>47200</x:v>
      </x:c>
      <x:c r="O1523" s="12" t="str">
        <x:v>Delhi NCR</x:v>
      </x:c>
      <x:c r="P1523" s="12" t="str">
        <x:v>CORP-0199</x:v>
      </x:c>
      <x:c r="Q1523" s="12" t="str">
        <x:v>Liquid Designs</x:v>
      </x:c>
    </x:row>
    <x:row r="1524" ht="48" customHeight="1">
      <x:c r="A1524" s="2" t="str">
        <x:v>TEN-B0BB02FFCE1D</x:v>
      </x:c>
      <x:c r="B1524" s="12" t="str">
        <x:v>Lis Silver Streak Salon</x:v>
      </x:c>
      <x:c r="C1524" s="12" t="str">
        <x:v>Business / brand</x:v>
      </x:c>
      <x:c r="D1524" s="12" t="str">
        <x:v>Trade, consumer &amp; logistics</x:v>
      </x:c>
      <x:c r="E1524" s="12" t="str">
        <x:v>Retail, consumer products &amp; ecommerce</x:v>
      </x:c>
      <x:c r="F1524" s="12" t="str">
        <x:v>Small-scale prospects</x:v>
      </x:c>
      <x:c r="G1524" s="12" t="str">
        <x:v>Trading or consumer-services business; small-scale prospect assumption.</x:v>
      </x:c>
      <x:c r="H1524" s="11" t="n">
        <x:v>2</x:v>
      </x:c>
      <x:c r="I1524" s="11" t="n">
        <x:v>2</x:v>
      </x:c>
      <x:c r="J1524" s="11" t="n">
        <x:v>2</x:v>
      </x:c>
      <x:c r="K1524" s="11" t="n">
        <x:v>0</x:v>
      </x:c>
      <x:c r="L1524" s="17" t="n">
        <x:f>SUM(SUMIFS('Costing'!$P$9:$P$492,'Costing'!$A$9:$A$492,"PARTNER-M243"))</x:f>
        <x:v>80000</x:v>
      </x:c>
      <x:c r="M1524" s="17" t="n">
        <x:f>ROUND(L1524*'Costing'!$C$4,2)</x:f>
        <x:v>14400</x:v>
      </x:c>
      <x:c r="N1524" s="17" t="n">
        <x:f>L1524+M1524</x:f>
        <x:v>94400</x:v>
      </x:c>
      <x:c r="O1524" s="12" t="str">
        <x:v>Mumbai</x:v>
      </x:c>
      <x:c r="P1524" s="12" t="str">
        <x:v>CORP-0660, CORP-0661</x:v>
      </x:c>
      <x:c r="Q1524" s="12" t="str">
        <x:v>Lis Silver Streak Salon</x:v>
      </x:c>
    </x:row>
    <x:row r="1525" ht="48" customHeight="1">
      <x:c r="A1525" s="2" t="str">
        <x:v>TEN-440B05A629E1</x:v>
      </x:c>
      <x:c r="B1525" s="12" t="str">
        <x:v>Listenlights Pvt. Ltd</x:v>
      </x:c>
      <x:c r="C1525" s="12" t="str">
        <x:v>Business / brand</x:v>
      </x:c>
      <x:c r="D1525" s="12" t="str">
        <x:v>Engineering &amp; manufacturing</x:v>
      </x:c>
      <x:c r="E1525" s="12" t="str">
        <x:v>Electronics, industrial systems &amp; manufacturing</x:v>
      </x:c>
      <x:c r="F1525" s="12" t="str">
        <x:v>Medium-scale prospects</x:v>
      </x:c>
      <x:c r="G1525" s="12" t="str">
        <x:v>Specialist industrial or engineering business; medium-scale prospect assumption.</x:v>
      </x:c>
      <x:c r="H1525" s="11" t="n">
        <x:v>1</x:v>
      </x:c>
      <x:c r="I1525" s="11" t="n">
        <x:v>1</x:v>
      </x:c>
      <x:c r="J1525" s="11" t="n">
        <x:v>1</x:v>
      </x:c>
      <x:c r="K1525" s="11" t="n">
        <x:v>0</x:v>
      </x:c>
      <x:c r="L1525" s="17" t="n">
        <x:f>SUM(SUMIFS('Costing'!$P$9:$P$492,'Costing'!$A$9:$A$492,"MAIN-391"))</x:f>
        <x:v>15000</x:v>
      </x:c>
      <x:c r="M1525" s="17" t="n">
        <x:f>ROUND(L1525*'Costing'!$C$4,2)</x:f>
        <x:v>2700</x:v>
      </x:c>
      <x:c r="N1525" s="17" t="n">
        <x:f>L1525+M1525</x:f>
        <x:v>17700</x:v>
      </x:c>
      <x:c r="O1525" s="12" t="str">
        <x:v>Pune</x:v>
      </x:c>
      <x:c r="P1525" s="12" t="str">
        <x:v>CORP-0387</x:v>
      </x:c>
      <x:c r="Q1525" s="12" t="str">
        <x:v>Listenlights Pvt. Ltd</x:v>
      </x:c>
    </x:row>
    <x:row r="1526" ht="48" customHeight="1">
      <x:c r="A1526" s="2" t="str">
        <x:v>TEN-7802BA0ED8E8</x:v>
      </x:c>
      <x:c r="B1526" s="12" t="str">
        <x:v>Livello India Private Limited</x:v>
      </x:c>
      <x:c r="C1526" s="12" t="str">
        <x:v>Business / brand</x:v>
      </x:c>
      <x:c r="D1526" s="12" t="str">
        <x:v>Unresolved</x:v>
      </x:c>
      <x:c r="E1526" s="12" t="str">
        <x:v>Business activity not established</x:v>
      </x:c>
      <x:c r="F1526" s="12" t="str">
        <x:v>Mixed business audience</x:v>
      </x:c>
      <x:c r="G1526" s="12" t="str">
        <x:v>Business activity and company scale are not established from this name.</x:v>
      </x:c>
      <x:c r="H1526" s="11" t="n">
        <x:v>1</x:v>
      </x:c>
      <x:c r="I1526" s="11" t="n">
        <x:v>10</x:v>
      </x:c>
      <x:c r="J1526" s="11" t="n">
        <x:v>10</x:v>
      </x:c>
      <x:c r="K1526" s="11" t="n">
        <x:v>0</x:v>
      </x:c>
      <x:c r="L1526" s="17" t="n">
        <x:f>SUM(SUMIFS('Costing'!$P$9:$P$492,'Costing'!$A$9:$A$492,"MAIN-261"))</x:f>
        <x:v>325000</x:v>
      </x:c>
      <x:c r="M1526" s="17" t="n">
        <x:f>ROUND(L1526*'Costing'!$C$4,2)</x:f>
        <x:v>58500</x:v>
      </x:c>
      <x:c r="N1526" s="17" t="n">
        <x:f>L1526+M1526</x:f>
        <x:v>383500</x:v>
      </x:c>
      <x:c r="O1526" s="12" t="str">
        <x:v>Hyderabad</x:v>
      </x:c>
      <x:c r="P1526" s="12" t="str">
        <x:v>CORP-0257</x:v>
      </x:c>
      <x:c r="Q1526" s="12" t="str">
        <x:v>Livello India Private Limited</x:v>
      </x:c>
    </x:row>
    <x:row r="1527" ht="48" customHeight="1">
      <x:c r="A1527" s="2" t="str">
        <x:v>TEN-A4B489F44A39</x:v>
      </x:c>
      <x:c r="B1527" s="12" t="str">
        <x:v>Living Forests India</x:v>
      </x:c>
      <x:c r="C1527" s="12" t="str">
        <x:v>Business / brand</x:v>
      </x:c>
      <x:c r="D1527" s="12" t="str">
        <x:v>Trade, consumer &amp; logistics</x:v>
      </x:c>
      <x:c r="E1527" s="12" t="str">
        <x:v>Retail, consumer products &amp; ecommerce</x:v>
      </x:c>
      <x:c r="F1527" s="12" t="str">
        <x:v>Small-scale prospects</x:v>
      </x:c>
      <x:c r="G1527" s="12" t="str">
        <x:v>Trading or consumer-services business; small-scale prospect assumption.</x:v>
      </x:c>
      <x:c r="H1527" s="11" t="n">
        <x:v>1</x:v>
      </x:c>
      <x:c r="I1527" s="11" t="n">
        <x:v>4</x:v>
      </x:c>
      <x:c r="J1527" s="11" t="n">
        <x:v>4</x:v>
      </x:c>
      <x:c r="K1527" s="11" t="n">
        <x:v>0</x:v>
      </x:c>
      <x:c r="L1527" s="17" t="n">
        <x:f>SUM(SUMIFS('Costing'!$P$9:$P$492,'Costing'!$A$9:$A$492,"MAIN-124"))</x:f>
        <x:v>100000</x:v>
      </x:c>
      <x:c r="M1527" s="17" t="n">
        <x:f>ROUND(L1527*'Costing'!$C$4,2)</x:f>
        <x:v>18000</x:v>
      </x:c>
      <x:c r="N1527" s="17" t="n">
        <x:f>L1527+M1527</x:f>
        <x:v>118000</x:v>
      </x:c>
      <x:c r="O1527" s="12" t="str">
        <x:v>Bengaluru</x:v>
      </x:c>
      <x:c r="P1527" s="12" t="str">
        <x:v>CORP-0120</x:v>
      </x:c>
      <x:c r="Q1527" s="12" t="str">
        <x:v>Living Forests India</x:v>
      </x:c>
    </x:row>
    <x:row r="1528" ht="48" customHeight="1">
      <x:c r="A1528" s="2" t="str">
        <x:v>TEN-4636CEEC7F60</x:v>
      </x:c>
      <x:c r="B1528" s="12" t="str">
        <x:v>Lloyds Technology Centre</x:v>
      </x:c>
      <x:c r="C1528" s="12" t="str">
        <x:v>Business / brand</x:v>
      </x:c>
      <x:c r="D1528" s="12" t="str">
        <x:v>Finance &amp; insurance</x:v>
      </x:c>
      <x:c r="E1528" s="12" t="str">
        <x:v>Financial services — specialty unverified</x:v>
      </x:c>
      <x:c r="F1528" s="12" t="str">
        <x:v>Mixed business audience</x:v>
      </x:c>
      <x:c r="G1528" s="12" t="str">
        <x:v>Recognisable business context; company-scale evidence remains insufficient for a single size band.</x:v>
      </x:c>
      <x:c r="H1528" s="11" t="n">
        <x:v>1</x:v>
      </x:c>
      <x:c r="I1528" s="11" t="n">
        <x:v>1</x:v>
      </x:c>
      <x:c r="J1528" s="11" t="n">
        <x:v>1</x:v>
      </x:c>
      <x:c r="K1528" s="11" t="n">
        <x:v>0</x:v>
      </x:c>
      <x:c r="L1528" s="17" t="n">
        <x:f>SUM(SUMIFS('Costing'!$P$9:$P$492,'Costing'!$A$9:$A$492,"MAIN-254"))</x:f>
        <x:v>15000</x:v>
      </x:c>
      <x:c r="M1528" s="17" t="n">
        <x:f>ROUND(L1528*'Costing'!$C$4,2)</x:f>
        <x:v>2700</x:v>
      </x:c>
      <x:c r="N1528" s="17" t="n">
        <x:f>L1528+M1528</x:f>
        <x:v>17700</x:v>
      </x:c>
      <x:c r="O1528" s="12" t="str">
        <x:v>Hyderabad</x:v>
      </x:c>
      <x:c r="P1528" s="12" t="str">
        <x:v>CORP-0250</x:v>
      </x:c>
      <x:c r="Q1528" s="12" t="str">
        <x:v>Lloyds Technology Centre</x:v>
      </x:c>
    </x:row>
    <x:row r="1529" ht="48" customHeight="1">
      <x:c r="A1529" s="2" t="str">
        <x:v>TEN-D86E0B0A416E</x:v>
      </x:c>
      <x:c r="B1529" s="12" t="str">
        <x:v>Logic Information Systems</x:v>
      </x:c>
      <x:c r="C1529" s="12" t="str">
        <x:v>Business / brand</x:v>
      </x:c>
      <x:c r="D1529" s="12" t="str">
        <x:v>IT &amp; digital</x:v>
      </x:c>
      <x:c r="E1529" s="12" t="str">
        <x:v>Enterprise software &amp; digital engineering</x:v>
      </x:c>
      <x:c r="F1529" s="12" t="str">
        <x:v>Small-scale prospects</x:v>
      </x:c>
      <x:c r="G1529" s="12" t="str">
        <x:v>Software or technology-services business; small-scale prospect assumption.</x:v>
      </x:c>
      <x:c r="H1529" s="11" t="n">
        <x:v>3</x:v>
      </x:c>
      <x:c r="I1529" s="11" t="n">
        <x:v>3</x:v>
      </x:c>
      <x:c r="J1529" s="11" t="n">
        <x:v>3</x:v>
      </x:c>
      <x:c r="K1529" s="11" t="n">
        <x:v>0</x:v>
      </x:c>
      <x:c r="L1529" s="17" t="n">
        <x:f>SUM(SUMIFS('Costing'!$P$9:$P$492,'Costing'!$A$9:$A$492,"PARTNER-M349"),SUMIFS('Costing'!$P$9:$P$492,'Costing'!$A$9:$A$492,"PARTNER-M350"))</x:f>
        <x:v>120000</x:v>
      </x:c>
      <x:c r="M1529" s="17" t="n">
        <x:f>ROUND(L1529*'Costing'!$C$4,2)</x:f>
        <x:v>21600</x:v>
      </x:c>
      <x:c r="N1529" s="17" t="n">
        <x:f>L1529+M1529</x:f>
        <x:v>141600</x:v>
      </x:c>
      <x:c r="O1529" s="12" t="str">
        <x:v>Chennai</x:v>
      </x:c>
      <x:c r="P1529" s="12" t="str">
        <x:v>CORP-0763, CORP-0764, CORP-0765</x:v>
      </x:c>
      <x:c r="Q1529" s="12" t="str">
        <x:v>Logic Information Systems</x:v>
      </x:c>
    </x:row>
    <x:row r="1530" ht="48" customHeight="1">
      <x:c r="A1530" s="2" t="str">
        <x:v>TEN-AA07CBFFEF18</x:v>
      </x:c>
      <x:c r="B1530" s="12" t="str">
        <x:v>LogicMonitor</x:v>
      </x:c>
      <x:c r="C1530" s="12" t="str">
        <x:v>Business / brand</x:v>
      </x:c>
      <x:c r="D1530" s="12" t="str">
        <x:v>IT &amp; digital</x:v>
      </x:c>
      <x:c r="E1530" s="12" t="str">
        <x:v>Enterprise software &amp; digital engineering</x:v>
      </x:c>
      <x:c r="F1530" s="12" t="str">
        <x:v>Mixed business audience</x:v>
      </x:c>
      <x:c r="G1530" s="12" t="str">
        <x:v>Established brand or business network; local company scale is not established. Use a mixed-business message.</x:v>
      </x:c>
      <x:c r="H1530" s="11" t="n">
        <x:v>1</x:v>
      </x:c>
      <x:c r="I1530" s="11" t="n">
        <x:v>1</x:v>
      </x:c>
      <x:c r="J1530" s="11" t="n">
        <x:v>1</x:v>
      </x:c>
      <x:c r="K1530" s="11" t="n">
        <x:v>0</x:v>
      </x:c>
      <x:c r="L1530" s="17" t="n">
        <x:f>SUM(SUMIFS('Costing'!$P$9:$P$492,'Costing'!$A$9:$A$492,"MAIN-409"))</x:f>
        <x:v>15000</x:v>
      </x:c>
      <x:c r="M1530" s="17" t="n">
        <x:f>ROUND(L1530*'Costing'!$C$4,2)</x:f>
        <x:v>2700</x:v>
      </x:c>
      <x:c r="N1530" s="17" t="n">
        <x:f>L1530+M1530</x:f>
        <x:v>17700</x:v>
      </x:c>
      <x:c r="O1530" s="12" t="str">
        <x:v>Pune</x:v>
      </x:c>
      <x:c r="P1530" s="12" t="str">
        <x:v>CORP-0405</x:v>
      </x:c>
      <x:c r="Q1530" s="12" t="str">
        <x:v>LogicMonitor</x:v>
      </x:c>
    </x:row>
    <x:row r="1531" ht="48" customHeight="1">
      <x:c r="A1531" s="2" t="str">
        <x:v>TEN-00CDD24B4743</x:v>
      </x:c>
      <x:c r="B1531" s="12" t="str">
        <x:v>LOne Ranger</x:v>
      </x:c>
      <x:c r="C1531" s="12" t="str">
        <x:v>Business / brand</x:v>
      </x:c>
      <x:c r="D1531" s="12" t="str">
        <x:v>Unresolved</x:v>
      </x:c>
      <x:c r="E1531" s="12" t="str">
        <x:v>Business activity not established</x:v>
      </x:c>
      <x:c r="F1531" s="12" t="str">
        <x:v>Mixed business audience</x:v>
      </x:c>
      <x:c r="G1531" s="12" t="str">
        <x:v>Business activity and company scale are not established from this name.</x:v>
      </x:c>
      <x:c r="H1531" s="11" t="n">
        <x:v>1</x:v>
      </x:c>
      <x:c r="I1531" s="11" t="n">
        <x:v>1</x:v>
      </x:c>
      <x:c r="J1531" s="11" t="n">
        <x:v>1</x:v>
      </x:c>
      <x:c r="K1531" s="11" t="n">
        <x:v>0</x:v>
      </x:c>
      <x:c r="L1531" s="17" t="n">
        <x:f>SUM(SUMIFS('Costing'!$P$9:$P$492,'Costing'!$A$9:$A$492,"MAIN-300"))</x:f>
        <x:v>15000</x:v>
      </x:c>
      <x:c r="M1531" s="17" t="n">
        <x:f>ROUND(L1531*'Costing'!$C$4,2)</x:f>
        <x:v>2700</x:v>
      </x:c>
      <x:c r="N1531" s="17" t="n">
        <x:f>L1531+M1531</x:f>
        <x:v>17700</x:v>
      </x:c>
      <x:c r="O1531" s="12" t="str">
        <x:v>Mumbai</x:v>
      </x:c>
      <x:c r="P1531" s="12" t="str">
        <x:v>CORP-0296</x:v>
      </x:c>
      <x:c r="Q1531" s="12" t="str">
        <x:v>LOne Ranger</x:v>
      </x:c>
    </x:row>
    <x:row r="1532" ht="48" customHeight="1">
      <x:c r="A1532" s="2" t="str">
        <x:v>TEN-B431E151D906</x:v>
      </x:c>
      <x:c r="B1532" s="12" t="str">
        <x:v>Longhorns labs</x:v>
      </x:c>
      <x:c r="C1532" s="12" t="str">
        <x:v>Business / brand</x:v>
      </x:c>
      <x:c r="D1532" s="12" t="str">
        <x:v>Unresolved</x:v>
      </x:c>
      <x:c r="E1532" s="12" t="str">
        <x:v>Business activity not established</x:v>
      </x:c>
      <x:c r="F1532" s="12" t="str">
        <x:v>Mixed business audience</x:v>
      </x:c>
      <x:c r="G1532" s="12" t="str">
        <x:v>Business activity and company scale are not established from this name.</x:v>
      </x:c>
      <x:c r="H1532" s="11" t="n">
        <x:v>9</x:v>
      </x:c>
      <x:c r="I1532" s="11" t="n">
        <x:v>9</x:v>
      </x:c>
      <x:c r="J1532" s="11" t="n">
        <x:v>9</x:v>
      </x:c>
      <x:c r="K1532" s="11" t="n">
        <x:v>0</x:v>
      </x:c>
      <x:c r="L1532" s="17" t="n">
        <x:f>SUM(SUMIFS('Costing'!$P$9:$P$492,'Costing'!$A$9:$A$492,"PARTNER-M002"))</x:f>
        <x:v>360000</x:v>
      </x:c>
      <x:c r="M1532" s="17" t="n">
        <x:f>ROUND(L1532*'Costing'!$C$4,2)</x:f>
        <x:v>64800</x:v>
      </x:c>
      <x:c r="N1532" s="17" t="n">
        <x:f>L1532+M1532</x:f>
        <x:v>424800</x:v>
      </x:c>
      <x:c r="O1532" s="12" t="str">
        <x:v>Bengaluru</x:v>
      </x:c>
      <x:c r="P1532" s="12" t="str">
        <x:v>CORP-0420, CORP-0421, CORP-0422, CORP-0423, CORP-0424, CORP-0425, CORP-0426, CORP-0427, CORP-0428</x:v>
      </x:c>
      <x:c r="Q1532" s="12" t="str">
        <x:v>Longhorns labs</x:v>
      </x:c>
    </x:row>
    <x:row r="1533" ht="48" customHeight="1">
      <x:c r="A1533" s="2" t="str">
        <x:v>TEN-8A4ED1CC4A06</x:v>
      </x:c>
      <x:c r="B1533" s="12" t="str">
        <x:v>Lookout India Technologies LLP</x:v>
      </x:c>
      <x:c r="C1533" s="12" t="str">
        <x:v>Business / brand</x:v>
      </x:c>
      <x:c r="D1533" s="12" t="str">
        <x:v>IT &amp; digital</x:v>
      </x:c>
      <x:c r="E1533" s="12" t="str">
        <x:v>Cybersecurity &amp; cloud infrastructure</x:v>
      </x:c>
      <x:c r="F1533" s="12" t="str">
        <x:v>Mixed business audience</x:v>
      </x:c>
      <x:c r="G1533" s="12" t="str">
        <x:v>Established brand or business network; local company scale is not established. Use a mixed-business message.</x:v>
      </x:c>
      <x:c r="H1533" s="11" t="n">
        <x:v>1</x:v>
      </x:c>
      <x:c r="I1533" s="11" t="n">
        <x:v>11</x:v>
      </x:c>
      <x:c r="J1533" s="11" t="n">
        <x:v>11</x:v>
      </x:c>
      <x:c r="K1533" s="11" t="n">
        <x:v>0</x:v>
      </x:c>
      <x:c r="L1533" s="17" t="n">
        <x:f>SUM(SUMIFS('Costing'!$P$9:$P$492,'Costing'!$A$9:$A$492,"MAIN-131"))</x:f>
        <x:v>275000</x:v>
      </x:c>
      <x:c r="M1533" s="17" t="n">
        <x:f>ROUND(L1533*'Costing'!$C$4,2)</x:f>
        <x:v>49500</x:v>
      </x:c>
      <x:c r="N1533" s="17" t="n">
        <x:f>L1533+M1533</x:f>
        <x:v>324500</x:v>
      </x:c>
      <x:c r="O1533" s="12" t="str">
        <x:v>Bengaluru</x:v>
      </x:c>
      <x:c r="P1533" s="12" t="str">
        <x:v>CORP-0127</x:v>
      </x:c>
      <x:c r="Q1533" s="12" t="str">
        <x:v>Lookout India Technologies LLP</x:v>
      </x:c>
    </x:row>
    <x:row r="1534" ht="48" customHeight="1">
      <x:c r="A1534" s="2" t="str">
        <x:v>TEN-6A068657AA54</x:v>
      </x:c>
      <x:c r="B1534" s="12" t="str">
        <x:v>Lookout IndiaTechnologies LLP</x:v>
      </x:c>
      <x:c r="C1534" s="12" t="str">
        <x:v>Business / brand</x:v>
      </x:c>
      <x:c r="D1534" s="12" t="str">
        <x:v>IT &amp; digital</x:v>
      </x:c>
      <x:c r="E1534" s="12" t="str">
        <x:v>Cybersecurity &amp; cloud infrastructure</x:v>
      </x:c>
      <x:c r="F1534" s="12" t="str">
        <x:v>Mixed business audience</x:v>
      </x:c>
      <x:c r="G1534" s="12" t="str">
        <x:v>Established brand or business network; local company scale is not established. Use a mixed-business message.</x:v>
      </x:c>
      <x:c r="H1534" s="11" t="n">
        <x:v>1</x:v>
      </x:c>
      <x:c r="I1534" s="11" t="n">
        <x:v>7</x:v>
      </x:c>
      <x:c r="J1534" s="11" t="n">
        <x:v>7</x:v>
      </x:c>
      <x:c r="K1534" s="11" t="n">
        <x:v>0</x:v>
      </x:c>
      <x:c r="L1534" s="17" t="n">
        <x:f>SUM(SUMIFS('Costing'!$P$9:$P$492,'Costing'!$A$9:$A$492,"MAIN-116"))</x:f>
        <x:v>175000</x:v>
      </x:c>
      <x:c r="M1534" s="17" t="n">
        <x:f>ROUND(L1534*'Costing'!$C$4,2)</x:f>
        <x:v>31500</x:v>
      </x:c>
      <x:c r="N1534" s="17" t="n">
        <x:f>L1534+M1534</x:f>
        <x:v>206500</x:v>
      </x:c>
      <x:c r="O1534" s="12" t="str">
        <x:v>Bengaluru</x:v>
      </x:c>
      <x:c r="P1534" s="12" t="str">
        <x:v>CORP-0112</x:v>
      </x:c>
      <x:c r="Q1534" s="12" t="str">
        <x:v>Lookout IndiaTechnologies LLP</x:v>
      </x:c>
    </x:row>
    <x:row r="1535" ht="48" customHeight="1">
      <x:c r="A1535" s="2" t="str">
        <x:v>TEN-254637F72EFC</x:v>
      </x:c>
      <x:c r="B1535" s="12" t="str">
        <x:v>Loop</x:v>
      </x:c>
      <x:c r="C1535" s="12" t="str">
        <x:v>Business / brand</x:v>
      </x:c>
      <x:c r="D1535" s="12" t="str">
        <x:v>Unresolved</x:v>
      </x:c>
      <x:c r="E1535" s="12" t="str">
        <x:v>Business activity not established</x:v>
      </x:c>
      <x:c r="F1535" s="12" t="str">
        <x:v>Mixed business audience</x:v>
      </x:c>
      <x:c r="G1535" s="12" t="str">
        <x:v>Business activity and company scale are not established from this name.</x:v>
      </x:c>
      <x:c r="H1535" s="11" t="n">
        <x:v>1</x:v>
      </x:c>
      <x:c r="I1535" s="11" t="n">
        <x:v>2</x:v>
      </x:c>
      <x:c r="J1535" s="11" t="n">
        <x:v>2</x:v>
      </x:c>
      <x:c r="K1535" s="11" t="n">
        <x:v>0</x:v>
      </x:c>
      <x:c r="L1535" s="17" t="n">
        <x:f>SUM(SUMIFS('Costing'!$P$9:$P$492,'Costing'!$A$9:$A$492,"MAIN-106"))</x:f>
        <x:v>30000</x:v>
      </x:c>
      <x:c r="M1535" s="17" t="n">
        <x:f>ROUND(L1535*'Costing'!$C$4,2)</x:f>
        <x:v>5400</x:v>
      </x:c>
      <x:c r="N1535" s="17" t="n">
        <x:f>L1535+M1535</x:f>
        <x:v>35400</x:v>
      </x:c>
      <x:c r="O1535" s="12" t="str">
        <x:v>Bengaluru</x:v>
      </x:c>
      <x:c r="P1535" s="12" t="str">
        <x:v>CORP-0102</x:v>
      </x:c>
      <x:c r="Q1535" s="12" t="str">
        <x:v>Loop</x:v>
      </x:c>
    </x:row>
    <x:row r="1536" ht="62" customHeight="1">
      <x:c r="A1536" s="2" t="str">
        <x:v>TEN-30679AB2F724</x:v>
      </x:c>
      <x:c r="B1536" s="12" t="str">
        <x:v>LOREAL INDIA PRIVATE LIMITED</x:v>
      </x:c>
      <x:c r="C1536" s="12" t="str">
        <x:v>Business / brand</x:v>
      </x:c>
      <x:c r="D1536" s="12" t="str">
        <x:v>Trade, consumer &amp; logistics</x:v>
      </x:c>
      <x:c r="E1536" s="12" t="str">
        <x:v>Retail, consumer products &amp; ecommerce</x:v>
      </x:c>
      <x:c r="F1536" s="12" t="str">
        <x:v>Large enterprise</x:v>
      </x:c>
      <x:c r="G1536" s="12" t="str">
        <x:v>L’Oréal India reports more than 1,800 people, regional offices, manufacturing facilities and research centres. Large-enterprise campaign context; no statutory MSME status asserted.</x:v>
      </x:c>
      <x:c r="H1536" s="11" t="n">
        <x:v>1</x:v>
      </x:c>
      <x:c r="I1536" s="11" t="n">
        <x:v>2</x:v>
      </x:c>
      <x:c r="J1536" s="11" t="n">
        <x:v>2</x:v>
      </x:c>
      <x:c r="K1536" s="11" t="n">
        <x:v>0</x:v>
      </x:c>
      <x:c r="L1536" s="17" t="n">
        <x:f>SUM(SUMIFS('Costing'!$P$9:$P$492,'Costing'!$A$9:$A$492,"MAIN-201"))</x:f>
        <x:v>80000</x:v>
      </x:c>
      <x:c r="M1536" s="17" t="n">
        <x:f>ROUND(L1536*'Costing'!$C$4,2)</x:f>
        <x:v>14400</x:v>
      </x:c>
      <x:c r="N1536" s="17" t="n">
        <x:f>L1536+M1536</x:f>
        <x:v>94400</x:v>
      </x:c>
      <x:c r="O1536" s="12" t="str">
        <x:v>Delhi NCR</x:v>
      </x:c>
      <x:c r="P1536" s="12" t="str">
        <x:v>CORP-0197</x:v>
      </x:c>
      <x:c r="Q1536" s="12" t="str">
        <x:v>LOREAL INDIA PRIVATE LIMITED</x:v>
      </x:c>
    </x:row>
    <x:row r="1537" ht="48" customHeight="1">
      <x:c r="A1537" s="2" t="str">
        <x:v>TEN-EA10CA8A1008</x:v>
      </x:c>
      <x:c r="B1537" s="12" t="str">
        <x:v>Lowe's Services India Pvt. Ltd</x:v>
      </x:c>
      <x:c r="C1537" s="12" t="str">
        <x:v>Business / brand</x:v>
      </x:c>
      <x:c r="D1537" s="12" t="str">
        <x:v>Trade, consumer &amp; logistics</x:v>
      </x:c>
      <x:c r="E1537" s="12" t="str">
        <x:v>Retail, consumer products &amp; ecommerce</x:v>
      </x:c>
      <x:c r="F1537" s="12" t="str">
        <x:v>Mixed business audience</x:v>
      </x:c>
      <x:c r="G1537" s="12" t="str">
        <x:v>Recognisable business context; company-scale evidence remains insufficient for a single size band.</x:v>
      </x:c>
      <x:c r="H1537" s="11" t="n">
        <x:v>5</x:v>
      </x:c>
      <x:c r="I1537" s="11" t="n">
        <x:v>5</x:v>
      </x:c>
      <x:c r="J1537" s="11" t="n">
        <x:v>5</x:v>
      </x:c>
      <x:c r="K1537" s="11" t="n">
        <x:v>0</x:v>
      </x:c>
      <x:c r="L1537" s="17" t="n">
        <x:f>SUM(SUMIFS('Costing'!$P$9:$P$492,'Costing'!$A$9:$A$492,"PARTNER-M051"))</x:f>
        <x:v>200000</x:v>
      </x:c>
      <x:c r="M1537" s="17" t="n">
        <x:f>ROUND(L1537*'Costing'!$C$4,2)</x:f>
        <x:v>36000</x:v>
      </x:c>
      <x:c r="N1537" s="17" t="n">
        <x:f>L1537+M1537</x:f>
        <x:v>236000</x:v>
      </x:c>
      <x:c r="O1537" s="12" t="str">
        <x:v>Bengaluru</x:v>
      </x:c>
      <x:c r="P1537" s="12" t="str">
        <x:v>CORP-0469, CORP-0470, CORP-0471, CORP-0472, CORP-0473</x:v>
      </x:c>
      <x:c r="Q1537" s="12" t="str">
        <x:v>Lowe's Services India Pvt. Ltd</x:v>
      </x:c>
    </x:row>
    <x:row r="1538" ht="48" customHeight="1">
      <x:c r="A1538" s="2" t="str">
        <x:v>TEN-F920AA980FA1</x:v>
      </x:c>
      <x:c r="B1538" s="12" t="str">
        <x:v>LTECH solutions</x:v>
      </x:c>
      <x:c r="C1538" s="12" t="str">
        <x:v>Business / brand</x:v>
      </x:c>
      <x:c r="D1538" s="12" t="str">
        <x:v>Unresolved</x:v>
      </x:c>
      <x:c r="E1538" s="12" t="str">
        <x:v>Business activity not established</x:v>
      </x:c>
      <x:c r="F1538" s="12" t="str">
        <x:v>Mixed business audience</x:v>
      </x:c>
      <x:c r="G1538" s="12" t="str">
        <x:v>Business activity and company scale are not established from this name.</x:v>
      </x:c>
      <x:c r="H1538" s="11" t="n">
        <x:v>1</x:v>
      </x:c>
      <x:c r="I1538" s="11" t="n">
        <x:v>8</x:v>
      </x:c>
      <x:c r="J1538" s="11" t="n">
        <x:v>8</x:v>
      </x:c>
      <x:c r="K1538" s="11" t="n">
        <x:v>0</x:v>
      </x:c>
      <x:c r="L1538" s="17" t="n">
        <x:f>SUM(SUMIFS('Costing'!$P$9:$P$492,'Costing'!$A$9:$A$492,"MAIN-009"))</x:f>
        <x:v>120000</x:v>
      </x:c>
      <x:c r="M1538" s="17" t="n">
        <x:f>ROUND(L1538*'Costing'!$C$4,2)</x:f>
        <x:v>21600</x:v>
      </x:c>
      <x:c r="N1538" s="17" t="n">
        <x:f>L1538+M1538</x:f>
        <x:v>141600</x:v>
      </x:c>
      <x:c r="O1538" s="12" t="str">
        <x:v>Bengaluru</x:v>
      </x:c>
      <x:c r="P1538" s="12" t="str">
        <x:v>CORP-0005</x:v>
      </x:c>
      <x:c r="Q1538" s="12" t="str">
        <x:v>LTECH solutions</x:v>
      </x:c>
    </x:row>
    <x:row r="1539" ht="75" customHeight="1">
      <x:c r="A1539" s="2" t="str">
        <x:v>TEN-413FC25CD812</x:v>
      </x:c>
      <x:c r="B1539" s="12" t="str">
        <x:v>LTI</x:v>
      </x:c>
      <x:c r="C1539" s="12" t="str">
        <x:v>Business / brand</x:v>
      </x:c>
      <x:c r="D1539" s="12" t="str">
        <x:v>IT &amp; digital</x:v>
      </x:c>
      <x:c r="E1539" s="12" t="str">
        <x:v>Technology services — specialty unverified</x:v>
      </x:c>
      <x:c r="F1539" s="12" t="str">
        <x:v>Large enterprise</x:v>
      </x:c>
      <x:c r="G1539" s="12" t="str">
        <x:v>The official 2022 merger announcement identifies LTI as one of the two businesses forming LTIMindtree, with approximately 90,000 professionals in more than 30 countries at combination. The legacy tenant brand warrants enterprise context.</x:v>
      </x:c>
      <x:c r="H1539" s="11" t="n">
        <x:v>1</x:v>
      </x:c>
      <x:c r="I1539" s="11" t="n">
        <x:v>12</x:v>
      </x:c>
      <x:c r="J1539" s="11" t="n">
        <x:v>12</x:v>
      </x:c>
      <x:c r="K1539" s="11" t="n">
        <x:v>0</x:v>
      </x:c>
      <x:c r="L1539" s="17" t="n">
        <x:f>SUM(SUMIFS('Costing'!$P$9:$P$492,'Costing'!$A$9:$A$492,"MAIN-337"))</x:f>
        <x:v>390000</x:v>
      </x:c>
      <x:c r="M1539" s="17" t="n">
        <x:f>ROUND(L1539*'Costing'!$C$4,2)</x:f>
        <x:v>70200</x:v>
      </x:c>
      <x:c r="N1539" s="17" t="n">
        <x:f>L1539+M1539</x:f>
        <x:v>460200</x:v>
      </x:c>
      <x:c r="O1539" s="12" t="str">
        <x:v>Mumbai</x:v>
      </x:c>
      <x:c r="P1539" s="12" t="str">
        <x:v>CORP-0333</x:v>
      </x:c>
      <x:c r="Q1539" s="12" t="str">
        <x:v>LTI</x:v>
      </x:c>
    </x:row>
    <x:row r="1540" ht="48" customHeight="1">
      <x:c r="A1540" s="2" t="str">
        <x:v>TEN-8EA2D17361FE</x:v>
      </x:c>
      <x:c r="B1540" s="12" t="str">
        <x:v>Lucky Chan</x:v>
      </x:c>
      <x:c r="C1540" s="12" t="str">
        <x:v>Business / brand</x:v>
      </x:c>
      <x:c r="D1540" s="12" t="str">
        <x:v>Trade, consumer &amp; logistics</x:v>
      </x:c>
      <x:c r="E1540" s="12" t="str">
        <x:v>Travel, hospitality, food &amp; beverages</x:v>
      </x:c>
      <x:c r="F1540" s="12" t="str">
        <x:v>Small-scale prospects</x:v>
      </x:c>
      <x:c r="G1540" s="12" t="str">
        <x:v>Trading or consumer-services business; small-scale prospect assumption.</x:v>
      </x:c>
      <x:c r="H1540" s="11" t="n">
        <x:v>4</x:v>
      </x:c>
      <x:c r="I1540" s="11" t="n">
        <x:v>4</x:v>
      </x:c>
      <x:c r="J1540" s="11" t="n">
        <x:v>4</x:v>
      </x:c>
      <x:c r="K1540" s="11" t="n">
        <x:v>0</x:v>
      </x:c>
      <x:c r="L1540" s="17" t="n">
        <x:f>SUM(SUMIFS('Costing'!$P$9:$P$492,'Costing'!$A$9:$A$492,"PARTNER-M078"))</x:f>
        <x:v>160000</x:v>
      </x:c>
      <x:c r="M1540" s="17" t="n">
        <x:f>ROUND(L1540*'Costing'!$C$4,2)</x:f>
        <x:v>28800</x:v>
      </x:c>
      <x:c r="N1540" s="17" t="n">
        <x:f>L1540+M1540</x:f>
        <x:v>188800</x:v>
      </x:c>
      <x:c r="O1540" s="12" t="str">
        <x:v>Bengaluru</x:v>
      </x:c>
      <x:c r="P1540" s="12" t="str">
        <x:v>CORP-0496, CORP-0497, CORP-0498, CORP-0499</x:v>
      </x:c>
      <x:c r="Q1540" s="12" t="str">
        <x:v>Lucky Chan</x:v>
      </x:c>
    </x:row>
    <x:row r="1541" ht="48" customHeight="1">
      <x:c r="A1541" s="2" t="str">
        <x:v>TEN-AD047657DCA2</x:v>
      </x:c>
      <x:c r="B1541" s="12" t="str">
        <x:v>lue coffee roasters</x:v>
      </x:c>
      <x:c r="C1541" s="12" t="str">
        <x:v>Business / brand</x:v>
      </x:c>
      <x:c r="D1541" s="12" t="str">
        <x:v>Trade, consumer &amp; logistics</x:v>
      </x:c>
      <x:c r="E1541" s="12" t="str">
        <x:v>Travel, hospitality, food &amp; beverages</x:v>
      </x:c>
      <x:c r="F1541" s="12" t="str">
        <x:v>Small-scale prospects</x:v>
      </x:c>
      <x:c r="G1541" s="12" t="str">
        <x:v>Trading or consumer-services business; small-scale prospect assumption.</x:v>
      </x:c>
      <x:c r="H1541" s="11" t="n">
        <x:v>1</x:v>
      </x:c>
      <x:c r="I1541" s="11" t="n">
        <x:v>2</x:v>
      </x:c>
      <x:c r="J1541" s="11" t="n">
        <x:v>2</x:v>
      </x:c>
      <x:c r="K1541" s="11" t="n">
        <x:v>0</x:v>
      </x:c>
      <x:c r="L1541" s="17" t="n">
        <x:f>SUM(SUMIFS('Costing'!$P$9:$P$492,'Costing'!$A$9:$A$492,"MAIN-134"))</x:f>
        <x:v>30000</x:v>
      </x:c>
      <x:c r="M1541" s="17" t="n">
        <x:f>ROUND(L1541*'Costing'!$C$4,2)</x:f>
        <x:v>5400</x:v>
      </x:c>
      <x:c r="N1541" s="17" t="n">
        <x:f>L1541+M1541</x:f>
        <x:v>35400</x:v>
      </x:c>
      <x:c r="O1541" s="12" t="str">
        <x:v>Bengaluru</x:v>
      </x:c>
      <x:c r="P1541" s="12" t="str">
        <x:v>CORP-0130</x:v>
      </x:c>
      <x:c r="Q1541" s="12" t="str">
        <x:v>lue coffee roasters</x:v>
      </x:c>
    </x:row>
    <x:row r="1542" ht="48" customHeight="1">
      <x:c r="A1542" s="2" t="str">
        <x:v>TEN-4E958160A031</x:v>
      </x:c>
      <x:c r="B1542" s="12" t="str">
        <x:v>LUJO AUTOCORP</x:v>
      </x:c>
      <x:c r="C1542" s="12" t="str">
        <x:v>Business / brand</x:v>
      </x:c>
      <x:c r="D1542" s="12" t="str">
        <x:v>Engineering &amp; manufacturing</x:v>
      </x:c>
      <x:c r="E1542" s="12" t="str">
        <x:v>Electronics, industrial systems &amp; manufacturing</x:v>
      </x:c>
      <x:c r="F1542" s="12" t="str">
        <x:v>Medium-scale prospects</x:v>
      </x:c>
      <x:c r="G1542" s="12" t="str">
        <x:v>Specialist industrial or engineering business; medium-scale prospect assumption.</x:v>
      </x:c>
      <x:c r="H1542" s="11" t="n">
        <x:v>1</x:v>
      </x:c>
      <x:c r="I1542" s="11" t="n">
        <x:v>2</x:v>
      </x:c>
      <x:c r="J1542" s="11" t="n">
        <x:v>2</x:v>
      </x:c>
      <x:c r="K1542" s="11" t="n">
        <x:v>0</x:v>
      </x:c>
      <x:c r="L1542" s="17" t="n">
        <x:f>SUM(SUMIFS('Costing'!$P$9:$P$492,'Costing'!$A$9:$A$492,"MAIN-407"))</x:f>
        <x:v>30000</x:v>
      </x:c>
      <x:c r="M1542" s="17" t="n">
        <x:f>ROUND(L1542*'Costing'!$C$4,2)</x:f>
        <x:v>5400</x:v>
      </x:c>
      <x:c r="N1542" s="17" t="n">
        <x:f>L1542+M1542</x:f>
        <x:v>35400</x:v>
      </x:c>
      <x:c r="O1542" s="12" t="str">
        <x:v>Pune</x:v>
      </x:c>
      <x:c r="P1542" s="12" t="str">
        <x:v>CORP-0403</x:v>
      </x:c>
      <x:c r="Q1542" s="12" t="str">
        <x:v>LUJO AUTOCORP</x:v>
      </x:c>
    </x:row>
    <x:row r="1543" ht="48" customHeight="1">
      <x:c r="A1543" s="2" t="str">
        <x:v>TEN-E7A6F56E3B21</x:v>
      </x:c>
      <x:c r="B1543" s="12" t="str">
        <x:v>Lumens Technologies Pvt. Ltd</x:v>
      </x:c>
      <x:c r="C1543" s="12" t="str">
        <x:v>Business / brand</x:v>
      </x:c>
      <x:c r="D1543" s="12" t="str">
        <x:v>Unresolved</x:v>
      </x:c>
      <x:c r="E1543" s="12" t="str">
        <x:v>Business activity not established</x:v>
      </x:c>
      <x:c r="F1543" s="12" t="str">
        <x:v>Mixed business audience</x:v>
      </x:c>
      <x:c r="G1543" s="12" t="str">
        <x:v>Business activity and company scale are not established from this name.</x:v>
      </x:c>
      <x:c r="H1543" s="11" t="n">
        <x:v>2</x:v>
      </x:c>
      <x:c r="I1543" s="11" t="n">
        <x:v>2</x:v>
      </x:c>
      <x:c r="J1543" s="11" t="n">
        <x:v>2</x:v>
      </x:c>
      <x:c r="K1543" s="11" t="n">
        <x:v>0</x:v>
      </x:c>
      <x:c r="L1543" s="17" t="n">
        <x:f>SUM(SUMIFS('Costing'!$P$9:$P$492,'Costing'!$A$9:$A$492,"PARTNER-M245"))</x:f>
        <x:v>80000</x:v>
      </x:c>
      <x:c r="M1543" s="17" t="n">
        <x:f>ROUND(L1543*'Costing'!$C$4,2)</x:f>
        <x:v>14400</x:v>
      </x:c>
      <x:c r="N1543" s="17" t="n">
        <x:f>L1543+M1543</x:f>
        <x:v>94400</x:v>
      </x:c>
      <x:c r="O1543" s="12" t="str">
        <x:v>Mumbai</x:v>
      </x:c>
      <x:c r="P1543" s="12" t="str">
        <x:v>CORP-0662, CORP-0663</x:v>
      </x:c>
      <x:c r="Q1543" s="12" t="str">
        <x:v>Lumens Technologies Pvt. Ltd</x:v>
      </x:c>
    </x:row>
    <x:row r="1544" ht="48" customHeight="1">
      <x:c r="A1544" s="2" t="str">
        <x:v>TEN-1E27AF402EC5</x:v>
      </x:c>
      <x:c r="B1544" s="12" t="str">
        <x:v>luminar</x:v>
      </x:c>
      <x:c r="C1544" s="12" t="str">
        <x:v>Business / brand</x:v>
      </x:c>
      <x:c r="D1544" s="12" t="str">
        <x:v>Engineering &amp; manufacturing</x:v>
      </x:c>
      <x:c r="E1544" s="12" t="str">
        <x:v>Electronics, industrial systems &amp; manufacturing</x:v>
      </x:c>
      <x:c r="F1544" s="12" t="str">
        <x:v>Mixed business audience</x:v>
      </x:c>
      <x:c r="G1544" s="12" t="str">
        <x:v>Established brand or business network; local company scale is not established. Use a mixed-business message.</x:v>
      </x:c>
      <x:c r="H1544" s="11" t="n">
        <x:v>1</x:v>
      </x:c>
      <x:c r="I1544" s="11" t="n">
        <x:v>4</x:v>
      </x:c>
      <x:c r="J1544" s="11" t="n">
        <x:v>4</x:v>
      </x:c>
      <x:c r="K1544" s="11" t="n">
        <x:v>0</x:v>
      </x:c>
      <x:c r="L1544" s="17" t="n">
        <x:f>SUM(SUMIFS('Costing'!$P$9:$P$492,'Costing'!$A$9:$A$492,"MAIN-016"))</x:f>
        <x:v>60000</x:v>
      </x:c>
      <x:c r="M1544" s="17" t="n">
        <x:f>ROUND(L1544*'Costing'!$C$4,2)</x:f>
        <x:v>10800</x:v>
      </x:c>
      <x:c r="N1544" s="17" t="n">
        <x:f>L1544+M1544</x:f>
        <x:v>70800</x:v>
      </x:c>
      <x:c r="O1544" s="12" t="str">
        <x:v>Bengaluru</x:v>
      </x:c>
      <x:c r="P1544" s="12" t="str">
        <x:v>CORP-0012</x:v>
      </x:c>
      <x:c r="Q1544" s="12" t="str">
        <x:v>luminar</x:v>
      </x:c>
    </x:row>
    <x:row r="1545" ht="48" customHeight="1">
      <x:c r="A1545" s="2" t="str">
        <x:v>TEN-1555F6364F01</x:v>
      </x:c>
      <x:c r="B1545" s="12" t="str">
        <x:v>lumitree equipments enterprises oakridge new Energies</x:v>
      </x:c>
      <x:c r="C1545" s="12" t="str">
        <x:v>Identity unresolved</x:v>
      </x:c>
      <x:c r="D1545" s="12" t="str">
        <x:v>Unresolved</x:v>
      </x:c>
      <x:c r="E1545" s="12" t="str">
        <x:v>Business activity not established</x:v>
      </x:c>
      <x:c r="F1545" s="12" t="str">
        <x:v>Mixed business audience</x:v>
      </x:c>
      <x:c r="G1545" s="12" t="str">
        <x:v>Ambiguous directory record; use the surrounding property audience.</x:v>
      </x:c>
      <x:c r="H1545" s="11" t="n">
        <x:v>1</x:v>
      </x:c>
      <x:c r="I1545" s="11" t="n">
        <x:v>1</x:v>
      </x:c>
      <x:c r="J1545" s="11" t="n">
        <x:v>1</x:v>
      </x:c>
      <x:c r="K1545" s="11" t="n">
        <x:v>0</x:v>
      </x:c>
      <x:c r="L1545" s="17" t="n">
        <x:f>SUM(SUMIFS('Costing'!$P$9:$P$492,'Costing'!$A$9:$A$492,"MAIN-175"))</x:f>
        <x:v>15000</x:v>
      </x:c>
      <x:c r="M1545" s="17" t="n">
        <x:f>ROUND(L1545*'Costing'!$C$4,2)</x:f>
        <x:v>2700</x:v>
      </x:c>
      <x:c r="N1545" s="17" t="n">
        <x:f>L1545+M1545</x:f>
        <x:v>17700</x:v>
      </x:c>
      <x:c r="O1545" s="12" t="str">
        <x:v>Delhi NCR</x:v>
      </x:c>
      <x:c r="P1545" s="12" t="str">
        <x:v>CORP-0171</x:v>
      </x:c>
      <x:c r="Q1545" s="12" t="str">
        <x:v>lumitree equipments enterprises oakridge new Energies</x:v>
      </x:c>
    </x:row>
    <x:row r="1546" ht="48" customHeight="1">
      <x:c r="A1546" s="2" t="str">
        <x:v>TEN-D6046E32A027</x:v>
      </x:c>
      <x:c r="B1546" s="12" t="str">
        <x:v>Lupin Limited</x:v>
      </x:c>
      <x:c r="C1546" s="12" t="str">
        <x:v>Business / brand</x:v>
      </x:c>
      <x:c r="D1546" s="12" t="str">
        <x:v>Healthcare &amp; life sciences</x:v>
      </x:c>
      <x:c r="E1546" s="12" t="str">
        <x:v>Pharmaceuticals, biotechnology &amp; life sciences</x:v>
      </x:c>
      <x:c r="F1546" s="12" t="str">
        <x:v>Mixed business audience</x:v>
      </x:c>
      <x:c r="G1546" s="12" t="str">
        <x:v>Recognisable business context; company-scale evidence remains insufficient for a single size band.</x:v>
      </x:c>
      <x:c r="H1546" s="11" t="n">
        <x:v>4</x:v>
      </x:c>
      <x:c r="I1546" s="11" t="n">
        <x:v>4</x:v>
      </x:c>
      <x:c r="J1546" s="11" t="n">
        <x:v>4</x:v>
      </x:c>
      <x:c r="K1546" s="11" t="n">
        <x:v>0</x:v>
      </x:c>
      <x:c r="L1546" s="17" t="n">
        <x:f>SUM(SUMIFS('Costing'!$P$9:$P$492,'Costing'!$A$9:$A$492,"PARTNER-M193"))</x:f>
        <x:v>160000</x:v>
      </x:c>
      <x:c r="M1546" s="17" t="n">
        <x:f>ROUND(L1546*'Costing'!$C$4,2)</x:f>
        <x:v>28800</x:v>
      </x:c>
      <x:c r="N1546" s="17" t="n">
        <x:f>L1546+M1546</x:f>
        <x:v>188800</x:v>
      </x:c>
      <x:c r="O1546" s="12" t="str">
        <x:v>Mumbai</x:v>
      </x:c>
      <x:c r="P1546" s="12" t="str">
        <x:v>CORP-0610, CORP-0611, CORP-0612, CORP-0613</x:v>
      </x:c>
      <x:c r="Q1546" s="12" t="str">
        <x:v>Lupin Limited</x:v>
      </x:c>
    </x:row>
    <x:row r="1547" ht="48" customHeight="1">
      <x:c r="A1547" s="2" t="str">
        <x:v>TEN-62B33B9D15E1</x:v>
      </x:c>
      <x:c r="B1547" s="12" t="str">
        <x:v>Lycadigital Private Limited</x:v>
      </x:c>
      <x:c r="C1547" s="12" t="str">
        <x:v>Business / brand</x:v>
      </x:c>
      <x:c r="D1547" s="12" t="str">
        <x:v>Unresolved</x:v>
      </x:c>
      <x:c r="E1547" s="12" t="str">
        <x:v>Business activity not established</x:v>
      </x:c>
      <x:c r="F1547" s="12" t="str">
        <x:v>Mixed business audience</x:v>
      </x:c>
      <x:c r="G1547" s="12" t="str">
        <x:v>Business activity and company scale are not established from this name.</x:v>
      </x:c>
      <x:c r="H1547" s="11" t="n">
        <x:v>1</x:v>
      </x:c>
      <x:c r="I1547" s="11" t="n">
        <x:v>4</x:v>
      </x:c>
      <x:c r="J1547" s="11" t="n">
        <x:v>4</x:v>
      </x:c>
      <x:c r="K1547" s="11" t="n">
        <x:v>0</x:v>
      </x:c>
      <x:c r="L1547" s="17" t="n">
        <x:f>SUM(SUMIFS('Costing'!$P$9:$P$492,'Costing'!$A$9:$A$492,"MAIN-019"))</x:f>
        <x:v>60000</x:v>
      </x:c>
      <x:c r="M1547" s="17" t="n">
        <x:f>ROUND(L1547*'Costing'!$C$4,2)</x:f>
        <x:v>10800</x:v>
      </x:c>
      <x:c r="N1547" s="17" t="n">
        <x:f>L1547+M1547</x:f>
        <x:v>70800</x:v>
      </x:c>
      <x:c r="O1547" s="12" t="str">
        <x:v>Bengaluru</x:v>
      </x:c>
      <x:c r="P1547" s="12" t="str">
        <x:v>CORP-0015</x:v>
      </x:c>
      <x:c r="Q1547" s="12" t="str">
        <x:v>Lycadigital Private Limited</x:v>
      </x:c>
    </x:row>
    <x:row r="1548" ht="48" customHeight="1">
      <x:c r="A1548" s="2" t="str">
        <x:v>TEN-D2DC6A741591</x:v>
      </x:c>
      <x:c r="B1548" s="12" t="str">
        <x:v>Lycée Français International de Mumbai</x:v>
      </x:c>
      <x:c r="C1548" s="12" t="str">
        <x:v>Business / brand</x:v>
      </x:c>
      <x:c r="D1548" s="12" t="str">
        <x:v>Education</x:v>
      </x:c>
      <x:c r="E1548" s="12" t="str">
        <x:v>Education, training &amp; childcare</x:v>
      </x:c>
      <x:c r="F1548" s="12" t="str">
        <x:v>Mixed business audience</x:v>
      </x:c>
      <x:c r="G1548" s="12" t="str">
        <x:v>Established brand or business network; local company scale is not established. Use a mixed-business message.</x:v>
      </x:c>
      <x:c r="H1548" s="11" t="n">
        <x:v>4</x:v>
      </x:c>
      <x:c r="I1548" s="11" t="n">
        <x:v>4</x:v>
      </x:c>
      <x:c r="J1548" s="11" t="n">
        <x:v>4</x:v>
      </x:c>
      <x:c r="K1548" s="11" t="n">
        <x:v>0</x:v>
      </x:c>
      <x:c r="L1548" s="17" t="n">
        <x:f>SUM(SUMIFS('Costing'!$P$9:$P$492,'Costing'!$A$9:$A$492,"PARTNER-M188"))</x:f>
        <x:v>160000</x:v>
      </x:c>
      <x:c r="M1548" s="17" t="n">
        <x:f>ROUND(L1548*'Costing'!$C$4,2)</x:f>
        <x:v>28800</x:v>
      </x:c>
      <x:c r="N1548" s="17" t="n">
        <x:f>L1548+M1548</x:f>
        <x:v>188800</x:v>
      </x:c>
      <x:c r="O1548" s="12" t="str">
        <x:v>Mumbai</x:v>
      </x:c>
      <x:c r="P1548" s="12" t="str">
        <x:v>CORP-0605, CORP-0606, CORP-0607, CORP-0608</x:v>
      </x:c>
      <x:c r="Q1548" s="12" t="str">
        <x:v>Lycée Français International de Mumbai</x:v>
      </x:c>
    </x:row>
    <x:row r="1549" ht="48" customHeight="1">
      <x:c r="A1549" s="2" t="str">
        <x:v>TEN-BCD2EBC682B7</x:v>
      </x:c>
      <x:c r="B1549" s="12" t="str">
        <x:v>LYDS Legal</x:v>
      </x:c>
      <x:c r="C1549" s="12" t="str">
        <x:v>Business / brand</x:v>
      </x:c>
      <x:c r="D1549" s="12" t="str">
        <x:v>Professional services</x:v>
      </x:c>
      <x:c r="E1549" s="12" t="str">
        <x:v>Legal &amp; intellectual property</x:v>
      </x:c>
      <x:c r="F1549" s="12" t="str">
        <x:v>Small-scale prospects</x:v>
      </x:c>
      <x:c r="G1549" s="12" t="str">
        <x:v>Professional service, agency or advisory model; small-scale prospect assumption.</x:v>
      </x:c>
      <x:c r="H1549" s="11" t="n">
        <x:v>4</x:v>
      </x:c>
      <x:c r="I1549" s="11" t="n">
        <x:v>4</x:v>
      </x:c>
      <x:c r="J1549" s="11" t="n">
        <x:v>4</x:v>
      </x:c>
      <x:c r="K1549" s="11" t="n">
        <x:v>0</x:v>
      </x:c>
      <x:c r="L1549" s="17" t="n">
        <x:f>SUM(SUMIFS('Costing'!$P$9:$P$492,'Costing'!$A$9:$A$492,"PARTNER-M375"))</x:f>
        <x:v>160000</x:v>
      </x:c>
      <x:c r="M1549" s="17" t="n">
        <x:f>ROUND(L1549*'Costing'!$C$4,2)</x:f>
        <x:v>28800</x:v>
      </x:c>
      <x:c r="N1549" s="17" t="n">
        <x:f>L1549+M1549</x:f>
        <x:v>188800</x:v>
      </x:c>
      <x:c r="O1549" s="12" t="str">
        <x:v>Delhi NCR</x:v>
      </x:c>
      <x:c r="P1549" s="12" t="str">
        <x:v>CORP-0788, CORP-0789, CORP-0790, CORP-0791</x:v>
      </x:c>
      <x:c r="Q1549" s="12" t="str">
        <x:v>LYDS Legal</x:v>
      </x:c>
    </x:row>
    <x:row r="1550" ht="48" customHeight="1">
      <x:c r="A1550" s="2" t="str">
        <x:v>TEN-A7905EBB5DD3</x:v>
      </x:c>
      <x:c r="B1550" s="12" t="str">
        <x:v>M3BI India Pvt Ltd</x:v>
      </x:c>
      <x:c r="C1550" s="12" t="str">
        <x:v>Business / brand</x:v>
      </x:c>
      <x:c r="D1550" s="12" t="str">
        <x:v>IT &amp; digital</x:v>
      </x:c>
      <x:c r="E1550" s="12" t="str">
        <x:v>Enterprise software &amp; digital engineering</x:v>
      </x:c>
      <x:c r="F1550" s="12" t="str">
        <x:v>Mixed business audience</x:v>
      </x:c>
      <x:c r="G1550" s="12" t="str">
        <x:v>Established brand or business network; local company scale is not established. Use a mixed-business message.</x:v>
      </x:c>
      <x:c r="H1550" s="11" t="n">
        <x:v>8</x:v>
      </x:c>
      <x:c r="I1550" s="11" t="n">
        <x:v>8</x:v>
      </x:c>
      <x:c r="J1550" s="11" t="n">
        <x:v>8</x:v>
      </x:c>
      <x:c r="K1550" s="11" t="n">
        <x:v>0</x:v>
      </x:c>
      <x:c r="L1550" s="17" t="n">
        <x:f>SUM(SUMIFS('Costing'!$P$9:$P$492,'Costing'!$A$9:$A$492,"PARTNER-M300"))</x:f>
        <x:v>320000</x:v>
      </x:c>
      <x:c r="M1550" s="17" t="n">
        <x:f>ROUND(L1550*'Costing'!$C$4,2)</x:f>
        <x:v>57600</x:v>
      </x:c>
      <x:c r="N1550" s="17" t="n">
        <x:f>L1550+M1550</x:f>
        <x:v>377600</x:v>
      </x:c>
      <x:c r="O1550" s="12" t="str">
        <x:v>Hyderabad</x:v>
      </x:c>
      <x:c r="P1550" s="12" t="str">
        <x:v>CORP-0715, CORP-0716, CORP-0717, CORP-0718, CORP-0719, CORP-0720, CORP-0721, CORP-0722</x:v>
      </x:c>
      <x:c r="Q1550" s="12" t="str">
        <x:v>M3BI India Pvt Ltd</x:v>
      </x:c>
    </x:row>
    <x:row r="1551" ht="48" customHeight="1">
      <x:c r="A1551" s="2" t="str">
        <x:v>TEN-E6B1BC8AE59D</x:v>
      </x:c>
      <x:c r="B1551" s="12" t="str">
        <x:v>MaaS ERP Solutions Pvt. Ltd</x:v>
      </x:c>
      <x:c r="C1551" s="12" t="str">
        <x:v>Business / brand</x:v>
      </x:c>
      <x:c r="D1551" s="12" t="str">
        <x:v>IT &amp; digital</x:v>
      </x:c>
      <x:c r="E1551" s="12" t="str">
        <x:v>Enterprise software &amp; digital engineering</x:v>
      </x:c>
      <x:c r="F1551" s="12" t="str">
        <x:v>Small-scale prospects</x:v>
      </x:c>
      <x:c r="G1551" s="12" t="str">
        <x:v>Software or technology-services business; small-scale prospect assumption.</x:v>
      </x:c>
      <x:c r="H1551" s="11" t="n">
        <x:v>6</x:v>
      </x:c>
      <x:c r="I1551" s="11" t="n">
        <x:v>6</x:v>
      </x:c>
      <x:c r="J1551" s="11" t="n">
        <x:v>6</x:v>
      </x:c>
      <x:c r="K1551" s="11" t="n">
        <x:v>0</x:v>
      </x:c>
      <x:c r="L1551" s="17" t="n">
        <x:f>SUM(SUMIFS('Costing'!$P$9:$P$492,'Costing'!$A$9:$A$492,"PARTNER-M289"))</x:f>
        <x:v>240000</x:v>
      </x:c>
      <x:c r="M1551" s="17" t="n">
        <x:f>ROUND(L1551*'Costing'!$C$4,2)</x:f>
        <x:v>43200</x:v>
      </x:c>
      <x:c r="N1551" s="17" t="n">
        <x:f>L1551+M1551</x:f>
        <x:v>283200</x:v>
      </x:c>
      <x:c r="O1551" s="12" t="str">
        <x:v>Hyderabad</x:v>
      </x:c>
      <x:c r="P1551" s="12" t="str">
        <x:v>CORP-0704, CORP-0705, CORP-0706, CORP-0707, CORP-0708, CORP-0709</x:v>
      </x:c>
      <x:c r="Q1551" s="12" t="str">
        <x:v>MaaS ERP Solutions Pvt. Ltd</x:v>
      </x:c>
    </x:row>
    <x:row r="1552" ht="48" customHeight="1">
      <x:c r="A1552" s="2" t="str">
        <x:v>TEN-74CE377FCE32</x:v>
      </x:c>
      <x:c r="B1552" s="12" t="str">
        <x:v>MAC REVIVE</x:v>
      </x:c>
      <x:c r="C1552" s="12" t="str">
        <x:v>Business / brand</x:v>
      </x:c>
      <x:c r="D1552" s="12" t="str">
        <x:v>Unresolved</x:v>
      </x:c>
      <x:c r="E1552" s="12" t="str">
        <x:v>Business activity not established</x:v>
      </x:c>
      <x:c r="F1552" s="12" t="str">
        <x:v>Mixed business audience</x:v>
      </x:c>
      <x:c r="G1552" s="12" t="str">
        <x:v>Business activity and company scale are not established from this name.</x:v>
      </x:c>
      <x:c r="H1552" s="11" t="n">
        <x:v>1</x:v>
      </x:c>
      <x:c r="I1552" s="11" t="n">
        <x:v>26</x:v>
      </x:c>
      <x:c r="J1552" s="11" t="n">
        <x:v>26</x:v>
      </x:c>
      <x:c r="K1552" s="11" t="n">
        <x:v>0</x:v>
      </x:c>
      <x:c r="L1552" s="17" t="n">
        <x:f>SUM(SUMIFS('Costing'!$P$9:$P$492,'Costing'!$A$9:$A$492,"MAIN-342"))</x:f>
        <x:v>390000</x:v>
      </x:c>
      <x:c r="M1552" s="17" t="n">
        <x:f>ROUND(L1552*'Costing'!$C$4,2)</x:f>
        <x:v>70200</x:v>
      </x:c>
      <x:c r="N1552" s="17" t="n">
        <x:f>L1552+M1552</x:f>
        <x:v>460200</x:v>
      </x:c>
      <x:c r="O1552" s="12" t="str">
        <x:v>Mumbai</x:v>
      </x:c>
      <x:c r="P1552" s="12" t="str">
        <x:v>CORP-0338</x:v>
      </x:c>
      <x:c r="Q1552" s="12" t="str">
        <x:v>MAC REVIVE</x:v>
      </x:c>
    </x:row>
    <x:row r="1553" ht="48" customHeight="1">
      <x:c r="A1553" s="2" t="str">
        <x:v>TEN-E4C80A123088</x:v>
      </x:c>
      <x:c r="B1553" s="12" t="str">
        <x:v>Mactosys</x:v>
      </x:c>
      <x:c r="C1553" s="12" t="str">
        <x:v>Business / brand</x:v>
      </x:c>
      <x:c r="D1553" s="12" t="str">
        <x:v>Unresolved</x:v>
      </x:c>
      <x:c r="E1553" s="12" t="str">
        <x:v>Business activity not established</x:v>
      </x:c>
      <x:c r="F1553" s="12" t="str">
        <x:v>Mixed business audience</x:v>
      </x:c>
      <x:c r="G1553" s="12" t="str">
        <x:v>Business activity and company scale are not established from this name.</x:v>
      </x:c>
      <x:c r="H1553" s="11" t="n">
        <x:v>1</x:v>
      </x:c>
      <x:c r="I1553" s="11" t="n">
        <x:v>1</x:v>
      </x:c>
      <x:c r="J1553" s="11" t="n">
        <x:v>1</x:v>
      </x:c>
      <x:c r="K1553" s="11" t="n">
        <x:v>0</x:v>
      </x:c>
      <x:c r="L1553" s="17" t="n">
        <x:f>SUM(SUMIFS('Costing'!$P$9:$P$492,'Costing'!$A$9:$A$492,"MAIN-266"))</x:f>
        <x:v>20000</x:v>
      </x:c>
      <x:c r="M1553" s="17" t="n">
        <x:f>ROUND(L1553*'Costing'!$C$4,2)</x:f>
        <x:v>3600</x:v>
      </x:c>
      <x:c r="N1553" s="17" t="n">
        <x:f>L1553+M1553</x:f>
        <x:v>23600</x:v>
      </x:c>
      <x:c r="O1553" s="12" t="str">
        <x:v>Indore</x:v>
      </x:c>
      <x:c r="P1553" s="12" t="str">
        <x:v>CORP-0262</x:v>
      </x:c>
      <x:c r="Q1553" s="12" t="str">
        <x:v>Mactosys</x:v>
      </x:c>
    </x:row>
    <x:row r="1554" ht="48" customHeight="1">
      <x:c r="A1554" s="2" t="str">
        <x:v>TEN-BC81BE6A17D3</x:v>
      </x:c>
      <x:c r="B1554" s="12" t="str">
        <x:v>Madduri IT services</x:v>
      </x:c>
      <x:c r="C1554" s="12" t="str">
        <x:v>Business / brand</x:v>
      </x:c>
      <x:c r="D1554" s="12" t="str">
        <x:v>IT &amp; digital</x:v>
      </x:c>
      <x:c r="E1554" s="12" t="str">
        <x:v>Enterprise software &amp; digital engineering</x:v>
      </x:c>
      <x:c r="F1554" s="12" t="str">
        <x:v>Small-scale prospects</x:v>
      </x:c>
      <x:c r="G1554" s="12" t="str">
        <x:v>Software or technology-services business; small-scale prospect assumption.</x:v>
      </x:c>
      <x:c r="H1554" s="11" t="n">
        <x:v>1</x:v>
      </x:c>
      <x:c r="I1554" s="11" t="n">
        <x:v>2</x:v>
      </x:c>
      <x:c r="J1554" s="11" t="n">
        <x:v>2</x:v>
      </x:c>
      <x:c r="K1554" s="11" t="n">
        <x:v>0</x:v>
      </x:c>
      <x:c r="L1554" s="17" t="n">
        <x:f>SUM(SUMIFS('Costing'!$P$9:$P$492,'Costing'!$A$9:$A$492,"MAIN-219"))</x:f>
        <x:v>30000</x:v>
      </x:c>
      <x:c r="M1554" s="17" t="n">
        <x:f>ROUND(L1554*'Costing'!$C$4,2)</x:f>
        <x:v>5400</x:v>
      </x:c>
      <x:c r="N1554" s="17" t="n">
        <x:f>L1554+M1554</x:f>
        <x:v>35400</x:v>
      </x:c>
      <x:c r="O1554" s="12" t="str">
        <x:v>Hyderabad</x:v>
      </x:c>
      <x:c r="P1554" s="12" t="str">
        <x:v>CORP-0215</x:v>
      </x:c>
      <x:c r="Q1554" s="12" t="str">
        <x:v>Madduri IT services</x:v>
      </x:c>
    </x:row>
    <x:row r="1555" ht="48" customHeight="1">
      <x:c r="A1555" s="2" t="str">
        <x:v>TEN-65A73EFC76E1</x:v>
      </x:c>
      <x:c r="B1555" s="12" t="str">
        <x:v>Madhupushpa HR Consultancy</x:v>
      </x:c>
      <x:c r="C1555" s="12" t="str">
        <x:v>Business / brand</x:v>
      </x:c>
      <x:c r="D1555" s="12" t="str">
        <x:v>Professional services</x:v>
      </x:c>
      <x:c r="E1555" s="12" t="str">
        <x:v>Recruitment, HR &amp; staffing</x:v>
      </x:c>
      <x:c r="F1555" s="12" t="str">
        <x:v>Small-scale prospects</x:v>
      </x:c>
      <x:c r="G1555" s="12" t="str">
        <x:v>Professional service, agency or advisory model; small-scale prospect assumption.</x:v>
      </x:c>
      <x:c r="H1555" s="11" t="n">
        <x:v>1</x:v>
      </x:c>
      <x:c r="I1555" s="11" t="n">
        <x:v>8</x:v>
      </x:c>
      <x:c r="J1555" s="11" t="n">
        <x:v>8</x:v>
      </x:c>
      <x:c r="K1555" s="11" t="n">
        <x:v>0</x:v>
      </x:c>
      <x:c r="L1555" s="17" t="n">
        <x:f>SUM(SUMIFS('Costing'!$P$9:$P$492,'Costing'!$A$9:$A$492,"MAIN-059"))</x:f>
        <x:v>120000</x:v>
      </x:c>
      <x:c r="M1555" s="17" t="n">
        <x:f>ROUND(L1555*'Costing'!$C$4,2)</x:f>
        <x:v>21600</x:v>
      </x:c>
      <x:c r="N1555" s="17" t="n">
        <x:f>L1555+M1555</x:f>
        <x:v>141600</x:v>
      </x:c>
      <x:c r="O1555" s="12" t="str">
        <x:v>Bengaluru</x:v>
      </x:c>
      <x:c r="P1555" s="12" t="str">
        <x:v>CORP-0055</x:v>
      </x:c>
      <x:c r="Q1555" s="12" t="str">
        <x:v>Madhupushpa HR Consultancy</x:v>
      </x:c>
    </x:row>
    <x:row r="1556" ht="48" customHeight="1">
      <x:c r="A1556" s="2" t="str">
        <x:v>TEN-A3B1D465525D</x:v>
      </x:c>
      <x:c r="B1556" s="12" t="str">
        <x:v>Maersk Line</x:v>
      </x:c>
      <x:c r="C1556" s="12" t="str">
        <x:v>Business / brand</x:v>
      </x:c>
      <x:c r="D1556" s="12" t="str">
        <x:v>Trade, consumer &amp; logistics</x:v>
      </x:c>
      <x:c r="E1556" s="12" t="str">
        <x:v>Logistics, shipping &amp; transport</x:v>
      </x:c>
      <x:c r="F1556" s="12" t="str">
        <x:v>Large enterprise</x:v>
      </x:c>
      <x:c r="G1556" s="12" t="str">
        <x:v>Explicit Maersk enterprise-family context; see ENTERPRISE_SUPP_020 evidence.</x:v>
      </x:c>
      <x:c r="H1556" s="11" t="n">
        <x:v>6</x:v>
      </x:c>
      <x:c r="I1556" s="11" t="n">
        <x:v>6</x:v>
      </x:c>
      <x:c r="J1556" s="11" t="n">
        <x:v>6</x:v>
      </x:c>
      <x:c r="K1556" s="11" t="n">
        <x:v>0</x:v>
      </x:c>
      <x:c r="L1556" s="17" t="n">
        <x:f>SUM(SUMIFS('Costing'!$P$9:$P$492,'Costing'!$A$9:$A$492,"PARTNER-M338"),SUMIFS('Costing'!$P$9:$P$492,'Costing'!$A$9:$A$492,"PARTNER-M193"))</x:f>
        <x:v>240000</x:v>
      </x:c>
      <x:c r="M1556" s="17" t="n">
        <x:f>ROUND(L1556*'Costing'!$C$4,2)</x:f>
        <x:v>43200</x:v>
      </x:c>
      <x:c r="N1556" s="17" t="n">
        <x:f>L1556+M1556</x:f>
        <x:v>283200</x:v>
      </x:c>
      <x:c r="O1556" s="12" t="str">
        <x:v>Mumbai, Chennai</x:v>
      </x:c>
      <x:c r="P1556" s="12" t="str">
        <x:v>CORP-0610, CORP-0611, CORP-0612, CORP-0613, CORP-0752, CORP-0753</x:v>
      </x:c>
      <x:c r="Q1556" s="12" t="str">
        <x:v>Maersk Line</x:v>
      </x:c>
    </x:row>
    <x:row r="1557" ht="48" customHeight="1">
      <x:c r="A1557" s="2" t="str">
        <x:v>TEN-E14BB6DB933C</x:v>
      </x:c>
      <x:c r="B1557" s="12" t="str">
        <x:v>Maersk Line India Pvt Ltd</x:v>
      </x:c>
      <x:c r="C1557" s="12" t="str">
        <x:v>Business / brand</x:v>
      </x:c>
      <x:c r="D1557" s="12" t="str">
        <x:v>Trade, consumer &amp; logistics</x:v>
      </x:c>
      <x:c r="E1557" s="12" t="str">
        <x:v>Logistics, shipping &amp; transport</x:v>
      </x:c>
      <x:c r="F1557" s="12" t="str">
        <x:v>Large enterprise</x:v>
      </x:c>
      <x:c r="G1557" s="12" t="str">
        <x:v>Explicit Maersk enterprise-family context; see ENTERPRISE_SUPP_020 evidence.</x:v>
      </x:c>
      <x:c r="H1557" s="11" t="n">
        <x:v>2</x:v>
      </x:c>
      <x:c r="I1557" s="11" t="n">
        <x:v>2</x:v>
      </x:c>
      <x:c r="J1557" s="11" t="n">
        <x:v>2</x:v>
      </x:c>
      <x:c r="K1557" s="11" t="n">
        <x:v>0</x:v>
      </x:c>
      <x:c r="L1557" s="17" t="n">
        <x:f>SUM(SUMIFS('Costing'!$P$9:$P$492,'Costing'!$A$9:$A$492,"PARTNER-M334"))</x:f>
        <x:v>80000</x:v>
      </x:c>
      <x:c r="M1557" s="17" t="n">
        <x:f>ROUND(L1557*'Costing'!$C$4,2)</x:f>
        <x:v>14400</x:v>
      </x:c>
      <x:c r="N1557" s="17" t="n">
        <x:f>L1557+M1557</x:f>
        <x:v>94400</x:v>
      </x:c>
      <x:c r="O1557" s="12" t="str">
        <x:v>Chennai</x:v>
      </x:c>
      <x:c r="P1557" s="12" t="str">
        <x:v>CORP-0748, CORP-0749</x:v>
      </x:c>
      <x:c r="Q1557" s="12" t="str">
        <x:v>Maersk Line India Pvt Ltd</x:v>
      </x:c>
    </x:row>
    <x:row r="1558" ht="48" customHeight="1">
      <x:c r="A1558" s="2" t="str">
        <x:v>TEN-43AE726EC13A</x:v>
      </x:c>
      <x:c r="B1558" s="12" t="str">
        <x:v>Maersk Line Office</x:v>
      </x:c>
      <x:c r="C1558" s="12" t="str">
        <x:v>Business / brand</x:v>
      </x:c>
      <x:c r="D1558" s="12" t="str">
        <x:v>Trade, consumer &amp; logistics</x:v>
      </x:c>
      <x:c r="E1558" s="12" t="str">
        <x:v>Logistics, shipping &amp; transport</x:v>
      </x:c>
      <x:c r="F1558" s="12" t="str">
        <x:v>Large enterprise</x:v>
      </x:c>
      <x:c r="G1558" s="12" t="str">
        <x:v>Explicit Maersk enterprise-family context; see ENTERPRISE_SUPP_020 evidence.</x:v>
      </x:c>
      <x:c r="H1558" s="11" t="n">
        <x:v>4</x:v>
      </x:c>
      <x:c r="I1558" s="11" t="n">
        <x:v>4</x:v>
      </x:c>
      <x:c r="J1558" s="11" t="n">
        <x:v>4</x:v>
      </x:c>
      <x:c r="K1558" s="11" t="n">
        <x:v>0</x:v>
      </x:c>
      <x:c r="L1558" s="17" t="n">
        <x:f>SUM(SUMIFS('Costing'!$P$9:$P$492,'Costing'!$A$9:$A$492,"PARTNER-M188"))</x:f>
        <x:v>160000</x:v>
      </x:c>
      <x:c r="M1558" s="17" t="n">
        <x:f>ROUND(L1558*'Costing'!$C$4,2)</x:f>
        <x:v>28800</x:v>
      </x:c>
      <x:c r="N1558" s="17" t="n">
        <x:f>L1558+M1558</x:f>
        <x:v>188800</x:v>
      </x:c>
      <x:c r="O1558" s="12" t="str">
        <x:v>Mumbai</x:v>
      </x:c>
      <x:c r="P1558" s="12" t="str">
        <x:v>CORP-0605, CORP-0606, CORP-0607, CORP-0608</x:v>
      </x:c>
      <x:c r="Q1558" s="12" t="str">
        <x:v>Maersk Line Office</x:v>
      </x:c>
    </x:row>
    <x:row r="1559" ht="48" customHeight="1">
      <x:c r="A1559" s="2" t="str">
        <x:v>TEN-2998ED5504A1</x:v>
      </x:c>
      <x:c r="B1559" s="12" t="str">
        <x:v>Maestro Realtek</x:v>
      </x:c>
      <x:c r="C1559" s="12" t="str">
        <x:v>Business / brand</x:v>
      </x:c>
      <x:c r="D1559" s="12" t="str">
        <x:v>Trade, consumer &amp; logistics</x:v>
      </x:c>
      <x:c r="E1559" s="12" t="str">
        <x:v>Real estate, property &amp; construction services</x:v>
      </x:c>
      <x:c r="F1559" s="12" t="str">
        <x:v>Small-scale prospects</x:v>
      </x:c>
      <x:c r="G1559" s="12" t="str">
        <x:v>Trading or consumer-services business; small-scale prospect assumption.</x:v>
      </x:c>
      <x:c r="H1559" s="11" t="n">
        <x:v>1</x:v>
      </x:c>
      <x:c r="I1559" s="11" t="n">
        <x:v>2</x:v>
      </x:c>
      <x:c r="J1559" s="11" t="n">
        <x:v>2</x:v>
      </x:c>
      <x:c r="K1559" s="11" t="n">
        <x:v>0</x:v>
      </x:c>
      <x:c r="L1559" s="17" t="n">
        <x:f>SUM(SUMIFS('Costing'!$P$9:$P$492,'Costing'!$A$9:$A$492,"MAIN-389"))</x:f>
        <x:v>30000</x:v>
      </x:c>
      <x:c r="M1559" s="17" t="n">
        <x:f>ROUND(L1559*'Costing'!$C$4,2)</x:f>
        <x:v>5400</x:v>
      </x:c>
      <x:c r="N1559" s="17" t="n">
        <x:f>L1559+M1559</x:f>
        <x:v>35400</x:v>
      </x:c>
      <x:c r="O1559" s="12" t="str">
        <x:v>Pune</x:v>
      </x:c>
      <x:c r="P1559" s="12" t="str">
        <x:v>CORP-0385</x:v>
      </x:c>
      <x:c r="Q1559" s="12" t="str">
        <x:v>Maestro Realtek</x:v>
      </x:c>
    </x:row>
    <x:row r="1560" ht="75" customHeight="1">
      <x:c r="A1560" s="2" t="str">
        <x:v>TEN-5152258A3CCA</x:v>
      </x:c>
      <x:c r="B1560" s="12" t="str">
        <x:v>Magic Bus India Foundation</x:v>
      </x:c>
      <x:c r="C1560" s="12" t="str">
        <x:v>Public / nonprofit</x:v>
      </x:c>
      <x:c r="D1560" s="12" t="str">
        <x:v>Government &amp; nonprofit</x:v>
      </x:c>
      <x:c r="E1560" s="12" t="str">
        <x:v>Public, nonprofit or membership organization</x:v>
      </x:c>
      <x:c r="F1560" s="12" t="str">
        <x:v>Institutional</x:v>
      </x:c>
      <x:c r="G1560" s="12" t="str">
        <x:v>Existing directory identifies an institutional, government, education, membership or nonprofit organisation rather than an ordinary MSME business prospect. This tag describes audience role and does not assert legal tax status.</x:v>
      </x:c>
      <x:c r="H1560" s="11" t="n">
        <x:v>2</x:v>
      </x:c>
      <x:c r="I1560" s="11" t="n">
        <x:v>2</x:v>
      </x:c>
      <x:c r="J1560" s="11" t="n">
        <x:v>2</x:v>
      </x:c>
      <x:c r="K1560" s="11" t="n">
        <x:v>0</x:v>
      </x:c>
      <x:c r="L1560" s="17" t="n">
        <x:f>SUM(SUMIFS('Costing'!$P$9:$P$492,'Costing'!$A$9:$A$492,"PARTNER-M201"))</x:f>
        <x:v>80000</x:v>
      </x:c>
      <x:c r="M1560" s="17" t="n">
        <x:f>ROUND(L1560*'Costing'!$C$4,2)</x:f>
        <x:v>14400</x:v>
      </x:c>
      <x:c r="N1560" s="17" t="n">
        <x:f>L1560+M1560</x:f>
        <x:v>94400</x:v>
      </x:c>
      <x:c r="O1560" s="12" t="str">
        <x:v>Mumbai</x:v>
      </x:c>
      <x:c r="P1560" s="12" t="str">
        <x:v>CORP-0618, CORP-0619</x:v>
      </x:c>
      <x:c r="Q1560" s="12" t="str">
        <x:v>Magic Bus India Foundation</x:v>
      </x:c>
    </x:row>
    <x:row r="1561" ht="48" customHeight="1">
      <x:c r="A1561" s="2" t="str">
        <x:v>TEN-F057355754F4</x:v>
      </x:c>
      <x:c r="B1561" s="12" t="str">
        <x:v>Magic FinServ</x:v>
      </x:c>
      <x:c r="C1561" s="12" t="str">
        <x:v>Business / brand</x:v>
      </x:c>
      <x:c r="D1561" s="12" t="str">
        <x:v>Finance &amp; insurance</x:v>
      </x:c>
      <x:c r="E1561" s="12" t="str">
        <x:v>Insurance &amp; insurance services</x:v>
      </x:c>
      <x:c r="F1561" s="12" t="str">
        <x:v>Medium-scale prospects</x:v>
      </x:c>
      <x:c r="G1561" s="12" t="str">
        <x:v>Specialist financial-services business; medium-scale prospect assumption.</x:v>
      </x:c>
      <x:c r="H1561" s="11" t="n">
        <x:v>1</x:v>
      </x:c>
      <x:c r="I1561" s="11" t="n">
        <x:v>2</x:v>
      </x:c>
      <x:c r="J1561" s="11" t="n">
        <x:v>2</x:v>
      </x:c>
      <x:c r="K1561" s="11" t="n">
        <x:v>0</x:v>
      </x:c>
      <x:c r="L1561" s="17" t="n">
        <x:f>SUM(SUMIFS('Costing'!$P$9:$P$492,'Costing'!$A$9:$A$492,"MAIN-166"))</x:f>
        <x:v>40000</x:v>
      </x:c>
      <x:c r="M1561" s="17" t="n">
        <x:f>ROUND(L1561*'Costing'!$C$4,2)</x:f>
        <x:v>7200</x:v>
      </x:c>
      <x:c r="N1561" s="17" t="n">
        <x:f>L1561+M1561</x:f>
        <x:v>47200</x:v>
      </x:c>
      <x:c r="O1561" s="12" t="str">
        <x:v>Delhi NCR</x:v>
      </x:c>
      <x:c r="P1561" s="12" t="str">
        <x:v>CORP-0162</x:v>
      </x:c>
      <x:c r="Q1561" s="12" t="str">
        <x:v>Magic FinServ</x:v>
      </x:c>
    </x:row>
    <x:row r="1562" ht="48" customHeight="1">
      <x:c r="A1562" s="2" t="str">
        <x:v>TEN-1C5B10435526</x:v>
      </x:c>
      <x:c r="B1562" s="12" t="str">
        <x:v>Magical Nest Pvt Ltd</x:v>
      </x:c>
      <x:c r="C1562" s="12" t="str">
        <x:v>Business / brand</x:v>
      </x:c>
      <x:c r="D1562" s="12" t="str">
        <x:v>Unresolved</x:v>
      </x:c>
      <x:c r="E1562" s="12" t="str">
        <x:v>Business activity not established</x:v>
      </x:c>
      <x:c r="F1562" s="12" t="str">
        <x:v>Mixed business audience</x:v>
      </x:c>
      <x:c r="G1562" s="12" t="str">
        <x:v>Business activity and company scale are not established from this name.</x:v>
      </x:c>
      <x:c r="H1562" s="11" t="n">
        <x:v>1</x:v>
      </x:c>
      <x:c r="I1562" s="11" t="n">
        <x:v>1</x:v>
      </x:c>
      <x:c r="J1562" s="11" t="n">
        <x:v>1</x:v>
      </x:c>
      <x:c r="K1562" s="11" t="n">
        <x:v>0</x:v>
      </x:c>
      <x:c r="L1562" s="17" t="n">
        <x:f>SUM(SUMIFS('Costing'!$P$9:$P$492,'Costing'!$A$9:$A$492,"MAIN-028"))</x:f>
        <x:v>15000</x:v>
      </x:c>
      <x:c r="M1562" s="17" t="n">
        <x:f>ROUND(L1562*'Costing'!$C$4,2)</x:f>
        <x:v>2700</x:v>
      </x:c>
      <x:c r="N1562" s="17" t="n">
        <x:f>L1562+M1562</x:f>
        <x:v>17700</x:v>
      </x:c>
      <x:c r="O1562" s="12" t="str">
        <x:v>Bengaluru</x:v>
      </x:c>
      <x:c r="P1562" s="12" t="str">
        <x:v>CORP-0024</x:v>
      </x:c>
      <x:c r="Q1562" s="12" t="str">
        <x:v>Magical Nest Pvt Ltd</x:v>
      </x:c>
    </x:row>
    <x:row r="1563" ht="62" customHeight="1">
      <x:c r="A1563" s="2" t="str">
        <x:v>TEN-CAF0DEEE6D40</x:v>
      </x:c>
      <x:c r="B1563" s="12" t="str">
        <x:v>Mahanagar gas ltd</x:v>
      </x:c>
      <x:c r="C1563" s="12" t="str">
        <x:v>Business / brand</x:v>
      </x:c>
      <x:c r="D1563" s="12" t="str">
        <x:v>Engineering &amp; manufacturing</x:v>
      </x:c>
      <x:c r="E1563" s="12" t="str">
        <x:v>Electronics, industrial systems &amp; manufacturing</x:v>
      </x:c>
      <x:c r="F1563" s="12" t="str">
        <x:v>Large enterprise</x:v>
      </x:c>
      <x:c r="G1563" s="12" t="str">
        <x:v>The official brochure reports over 23 lakh household connections, 320+ CNG stations and more than 6,700 km of gas network as of December 2023. This regional infrastructure utility has enterprise operating scale.</x:v>
      </x:c>
      <x:c r="H1563" s="11" t="n">
        <x:v>1</x:v>
      </x:c>
      <x:c r="I1563" s="11" t="n">
        <x:v>39</x:v>
      </x:c>
      <x:c r="J1563" s="11" t="n">
        <x:v>39</x:v>
      </x:c>
      <x:c r="K1563" s="11" t="n">
        <x:v>0</x:v>
      </x:c>
      <x:c r="L1563" s="17" t="n">
        <x:f>SUM(SUMIFS('Costing'!$P$9:$P$492,'Costing'!$A$9:$A$492,"MAIN-351"))</x:f>
        <x:v>585000</x:v>
      </x:c>
      <x:c r="M1563" s="17" t="n">
        <x:f>ROUND(L1563*'Costing'!$C$4,2)</x:f>
        <x:v>105300</x:v>
      </x:c>
      <x:c r="N1563" s="17" t="n">
        <x:f>L1563+M1563</x:f>
        <x:v>690300</x:v>
      </x:c>
      <x:c r="O1563" s="12" t="str">
        <x:v>Mumbai</x:v>
      </x:c>
      <x:c r="P1563" s="12" t="str">
        <x:v>CORP-0347</x:v>
      </x:c>
      <x:c r="Q1563" s="12" t="str">
        <x:v>Mahanagar gas ltd</x:v>
      </x:c>
    </x:row>
    <x:row r="1564" ht="48" customHeight="1">
      <x:c r="A1564" s="2" t="str">
        <x:v>TEN-4EEBA7BCE105</x:v>
      </x:c>
      <x:c r="B1564" s="12" t="str">
        <x:v>Maharashtra Aviation Academy</x:v>
      </x:c>
      <x:c r="C1564" s="12" t="str">
        <x:v>Business / brand</x:v>
      </x:c>
      <x:c r="D1564" s="12" t="str">
        <x:v>Education</x:v>
      </x:c>
      <x:c r="E1564" s="12" t="str">
        <x:v>Schools, childcare &amp; higher education</x:v>
      </x:c>
      <x:c r="F1564" s="12" t="str">
        <x:v>Small-scale prospects</x:v>
      </x:c>
      <x:c r="G1564" s="12" t="str">
        <x:v>Training or education-services business; small-scale prospect assumption.</x:v>
      </x:c>
      <x:c r="H1564" s="11" t="n">
        <x:v>1</x:v>
      </x:c>
      <x:c r="I1564" s="11" t="n">
        <x:v>2</x:v>
      </x:c>
      <x:c r="J1564" s="11" t="n">
        <x:v>2</x:v>
      </x:c>
      <x:c r="K1564" s="11" t="n">
        <x:v>0</x:v>
      </x:c>
      <x:c r="L1564" s="17" t="n">
        <x:f>SUM(SUMIFS('Costing'!$P$9:$P$492,'Costing'!$A$9:$A$492,"MAIN-318"))</x:f>
        <x:v>30000</x:v>
      </x:c>
      <x:c r="M1564" s="17" t="n">
        <x:f>ROUND(L1564*'Costing'!$C$4,2)</x:f>
        <x:v>5400</x:v>
      </x:c>
      <x:c r="N1564" s="17" t="n">
        <x:f>L1564+M1564</x:f>
        <x:v>35400</x:v>
      </x:c>
      <x:c r="O1564" s="12" t="str">
        <x:v>Mumbai</x:v>
      </x:c>
      <x:c r="P1564" s="12" t="str">
        <x:v>CORP-0314</x:v>
      </x:c>
      <x:c r="Q1564" s="12" t="str">
        <x:v>Maharashtra Aviation Academy</x:v>
      </x:c>
    </x:row>
    <x:row r="1565" ht="48" customHeight="1">
      <x:c r="A1565" s="2" t="str">
        <x:v>TEN-97BC11E6C347</x:v>
      </x:c>
      <x:c r="B1565" s="12" t="str">
        <x:v>Maharstra Masala And Jenral Stoer</x:v>
      </x:c>
      <x:c r="C1565" s="12" t="str">
        <x:v>Business / brand</x:v>
      </x:c>
      <x:c r="D1565" s="12" t="str">
        <x:v>Trade, consumer &amp; logistics</x:v>
      </x:c>
      <x:c r="E1565" s="12" t="str">
        <x:v>Travel, hospitality, food &amp; beverages</x:v>
      </x:c>
      <x:c r="F1565" s="12" t="str">
        <x:v>Small-scale prospects</x:v>
      </x:c>
      <x:c r="G1565" s="12" t="str">
        <x:v>Trading or consumer-services business; small-scale prospect assumption.</x:v>
      </x:c>
      <x:c r="H1565" s="11" t="n">
        <x:v>1</x:v>
      </x:c>
      <x:c r="I1565" s="11" t="n">
        <x:v>6</x:v>
      </x:c>
      <x:c r="J1565" s="11" t="n">
        <x:v>6</x:v>
      </x:c>
      <x:c r="K1565" s="11" t="n">
        <x:v>0</x:v>
      </x:c>
      <x:c r="L1565" s="17" t="n">
        <x:f>SUM(SUMIFS('Costing'!$P$9:$P$492,'Costing'!$A$9:$A$492,"MAIN-320"))</x:f>
        <x:v>90000</x:v>
      </x:c>
      <x:c r="M1565" s="17" t="n">
        <x:f>ROUND(L1565*'Costing'!$C$4,2)</x:f>
        <x:v>16200</x:v>
      </x:c>
      <x:c r="N1565" s="17" t="n">
        <x:f>L1565+M1565</x:f>
        <x:v>106200</x:v>
      </x:c>
      <x:c r="O1565" s="12" t="str">
        <x:v>Mumbai</x:v>
      </x:c>
      <x:c r="P1565" s="12" t="str">
        <x:v>CORP-0316</x:v>
      </x:c>
      <x:c r="Q1565" s="12" t="str">
        <x:v>Maharstra Masala And Jenral Stoer</x:v>
      </x:c>
    </x:row>
    <x:row r="1566" ht="48" customHeight="1">
      <x:c r="A1566" s="2" t="str">
        <x:v>TEN-A12F99DD2F8D</x:v>
      </x:c>
      <x:c r="B1566" s="12" t="str">
        <x:v>Mahindra Finance</x:v>
      </x:c>
      <x:c r="C1566" s="12" t="str">
        <x:v>Business / brand</x:v>
      </x:c>
      <x:c r="D1566" s="12" t="str">
        <x:v>Finance &amp; insurance</x:v>
      </x:c>
      <x:c r="E1566" s="12" t="str">
        <x:v>Financial services — specialty unverified</x:v>
      </x:c>
      <x:c r="F1566" s="12" t="str">
        <x:v>Large enterprise</x:v>
      </x:c>
      <x:c r="G1566" s="12" t="str">
        <x:v>Explicit Mahindra enterprise-family context; see ENTERPRISE_SUPP_024 evidence.</x:v>
      </x:c>
      <x:c r="H1566" s="11" t="n">
        <x:v>1</x:v>
      </x:c>
      <x:c r="I1566" s="11" t="n">
        <x:v>2</x:v>
      </x:c>
      <x:c r="J1566" s="11" t="n">
        <x:v>2</x:v>
      </x:c>
      <x:c r="K1566" s="11" t="n">
        <x:v>0</x:v>
      </x:c>
      <x:c r="L1566" s="17" t="n">
        <x:f>SUM(SUMIFS('Costing'!$P$9:$P$492,'Costing'!$A$9:$A$492,"MAIN-271"))</x:f>
        <x:v>40000</x:v>
      </x:c>
      <x:c r="M1566" s="17" t="n">
        <x:f>ROUND(L1566*'Costing'!$C$4,2)</x:f>
        <x:v>7200</x:v>
      </x:c>
      <x:c r="N1566" s="17" t="n">
        <x:f>L1566+M1566</x:f>
        <x:v>47200</x:v>
      </x:c>
      <x:c r="O1566" s="12" t="str">
        <x:v>Indore</x:v>
      </x:c>
      <x:c r="P1566" s="12" t="str">
        <x:v>CORP-0267</x:v>
      </x:c>
      <x:c r="Q1566" s="12" t="str">
        <x:v>Mahindra Finance</x:v>
      </x:c>
    </x:row>
    <x:row r="1567" ht="48" customHeight="1">
      <x:c r="A1567" s="2" t="str">
        <x:v>TEN-C525AC6A72A0</x:v>
      </x:c>
      <x:c r="B1567" s="12" t="str">
        <x:v>Mahindra Logistics</x:v>
      </x:c>
      <x:c r="C1567" s="12" t="str">
        <x:v>Business / brand</x:v>
      </x:c>
      <x:c r="D1567" s="12" t="str">
        <x:v>Trade, consumer &amp; logistics</x:v>
      </x:c>
      <x:c r="E1567" s="12" t="str">
        <x:v>Logistics, shipping &amp; transport</x:v>
      </x:c>
      <x:c r="F1567" s="12" t="str">
        <x:v>Large enterprise</x:v>
      </x:c>
      <x:c r="G1567" s="12" t="str">
        <x:v>Explicit Mahindra enterprise-family context; see ENTERPRISE_SUPP_024 evidence.</x:v>
      </x:c>
      <x:c r="H1567" s="11" t="n">
        <x:v>1</x:v>
      </x:c>
      <x:c r="I1567" s="11" t="n">
        <x:v>2</x:v>
      </x:c>
      <x:c r="J1567" s="11" t="n">
        <x:v>2</x:v>
      </x:c>
      <x:c r="K1567" s="11" t="n">
        <x:v>0</x:v>
      </x:c>
      <x:c r="L1567" s="17" t="n">
        <x:f>SUM(SUMIFS('Costing'!$P$9:$P$492,'Costing'!$A$9:$A$492,"MAIN-219"))</x:f>
        <x:v>30000</x:v>
      </x:c>
      <x:c r="M1567" s="17" t="n">
        <x:f>ROUND(L1567*'Costing'!$C$4,2)</x:f>
        <x:v>5400</x:v>
      </x:c>
      <x:c r="N1567" s="17" t="n">
        <x:f>L1567+M1567</x:f>
        <x:v>35400</x:v>
      </x:c>
      <x:c r="O1567" s="12" t="str">
        <x:v>Hyderabad</x:v>
      </x:c>
      <x:c r="P1567" s="12" t="str">
        <x:v>CORP-0215</x:v>
      </x:c>
      <x:c r="Q1567" s="12" t="str">
        <x:v>Mahindra Logistics</x:v>
      </x:c>
    </x:row>
    <x:row r="1568" ht="48" customHeight="1">
      <x:c r="A1568" s="2" t="str">
        <x:v>TEN-D1645981CBCA</x:v>
      </x:c>
      <x:c r="B1568" s="12" t="str">
        <x:v>Make positive provar pvt ltd</x:v>
      </x:c>
      <x:c r="C1568" s="12" t="str">
        <x:v>Business / brand</x:v>
      </x:c>
      <x:c r="D1568" s="12" t="str">
        <x:v>Unresolved</x:v>
      </x:c>
      <x:c r="E1568" s="12" t="str">
        <x:v>Business activity not established</x:v>
      </x:c>
      <x:c r="F1568" s="12" t="str">
        <x:v>Mixed business audience</x:v>
      </x:c>
      <x:c r="G1568" s="12" t="str">
        <x:v>Business activity and company scale are not established from this name.</x:v>
      </x:c>
      <x:c r="H1568" s="11" t="n">
        <x:v>1</x:v>
      </x:c>
      <x:c r="I1568" s="11" t="n">
        <x:v>2</x:v>
      </x:c>
      <x:c r="J1568" s="11" t="n">
        <x:v>2</x:v>
      </x:c>
      <x:c r="K1568" s="11" t="n">
        <x:v>0</x:v>
      </x:c>
      <x:c r="L1568" s="17" t="n">
        <x:f>SUM(SUMIFS('Costing'!$P$9:$P$492,'Costing'!$A$9:$A$492,"MAIN-182"))</x:f>
        <x:v>30000</x:v>
      </x:c>
      <x:c r="M1568" s="17" t="n">
        <x:f>ROUND(L1568*'Costing'!$C$4,2)</x:f>
        <x:v>5400</x:v>
      </x:c>
      <x:c r="N1568" s="17" t="n">
        <x:f>L1568+M1568</x:f>
        <x:v>35400</x:v>
      </x:c>
      <x:c r="O1568" s="12" t="str">
        <x:v>Delhi NCR</x:v>
      </x:c>
      <x:c r="P1568" s="12" t="str">
        <x:v>CORP-0178</x:v>
      </x:c>
      <x:c r="Q1568" s="12" t="str">
        <x:v>Make positive provar pvt ltd</x:v>
      </x:c>
    </x:row>
    <x:row r="1569" ht="48" customHeight="1">
      <x:c r="A1569" s="2" t="str">
        <x:v>TEN-9FD92F05F310</x:v>
      </x:c>
      <x:c r="B1569" s="12" t="str">
        <x:v>Malladi Drugs and Pharmaceuticals limited</x:v>
      </x:c>
      <x:c r="C1569" s="12" t="str">
        <x:v>Business / brand</x:v>
      </x:c>
      <x:c r="D1569" s="12" t="str">
        <x:v>Healthcare &amp; life sciences</x:v>
      </x:c>
      <x:c r="E1569" s="12" t="str">
        <x:v>Pharmaceuticals, biotechnology &amp; life sciences</x:v>
      </x:c>
      <x:c r="F1569" s="12" t="str">
        <x:v>Mixed business audience</x:v>
      </x:c>
      <x:c r="G1569" s="12" t="str">
        <x:v>Established brand or business network; local company scale is not established. Use a mixed-business message.</x:v>
      </x:c>
      <x:c r="H1569" s="11" t="n">
        <x:v>1</x:v>
      </x:c>
      <x:c r="I1569" s="11" t="n">
        <x:v>1</x:v>
      </x:c>
      <x:c r="J1569" s="11" t="n">
        <x:v>1</x:v>
      </x:c>
      <x:c r="K1569" s="11" t="n">
        <x:v>0</x:v>
      </x:c>
      <x:c r="L1569" s="17" t="n">
        <x:f>SUM(SUMIFS('Costing'!$P$9:$P$492,'Costing'!$A$9:$A$492,"MAIN-161"))</x:f>
        <x:v>15000</x:v>
      </x:c>
      <x:c r="M1569" s="17" t="n">
        <x:f>ROUND(L1569*'Costing'!$C$4,2)</x:f>
        <x:v>2700</x:v>
      </x:c>
      <x:c r="N1569" s="17" t="n">
        <x:f>L1569+M1569</x:f>
        <x:v>17700</x:v>
      </x:c>
      <x:c r="O1569" s="12" t="str">
        <x:v>Chennai</x:v>
      </x:c>
      <x:c r="P1569" s="12" t="str">
        <x:v>CORP-0157</x:v>
      </x:c>
      <x:c r="Q1569" s="12" t="str">
        <x:v>Malladi Drugs and Pharmaceuticals limited</x:v>
      </x:c>
    </x:row>
    <x:row r="1570" ht="48" customHeight="1">
      <x:c r="A1570" s="2" t="str">
        <x:v>TEN-38964F2926E6</x:v>
      </x:c>
      <x:c r="B1570" s="12" t="str">
        <x:v>Mama Loca</x:v>
      </x:c>
      <x:c r="C1570" s="12" t="str">
        <x:v>Business / brand</x:v>
      </x:c>
      <x:c r="D1570" s="12" t="str">
        <x:v>Trade, consumer &amp; logistics</x:v>
      </x:c>
      <x:c r="E1570" s="12" t="str">
        <x:v>Travel, hospitality, food &amp; beverages</x:v>
      </x:c>
      <x:c r="F1570" s="12" t="str">
        <x:v>Small-scale prospects</x:v>
      </x:c>
      <x:c r="G1570" s="12" t="str">
        <x:v>Trading or consumer-services business; small-scale prospect assumption.</x:v>
      </x:c>
      <x:c r="H1570" s="11" t="n">
        <x:v>1</x:v>
      </x:c>
      <x:c r="I1570" s="11" t="n">
        <x:v>2</x:v>
      </x:c>
      <x:c r="J1570" s="11" t="n">
        <x:v>2</x:v>
      </x:c>
      <x:c r="K1570" s="11" t="n">
        <x:v>0</x:v>
      </x:c>
      <x:c r="L1570" s="17" t="n">
        <x:f>SUM(SUMIFS('Costing'!$P$9:$P$492,'Costing'!$A$9:$A$492,"MAIN-268"))</x:f>
        <x:v>80000</x:v>
      </x:c>
      <x:c r="M1570" s="17" t="n">
        <x:f>ROUND(L1570*'Costing'!$C$4,2)</x:f>
        <x:v>14400</x:v>
      </x:c>
      <x:c r="N1570" s="17" t="n">
        <x:f>L1570+M1570</x:f>
        <x:v>94400</x:v>
      </x:c>
      <x:c r="O1570" s="12" t="str">
        <x:v>Indore</x:v>
      </x:c>
      <x:c r="P1570" s="12" t="str">
        <x:v>CORP-0264</x:v>
      </x:c>
      <x:c r="Q1570" s="12" t="str">
        <x:v>Mama Loca</x:v>
      </x:c>
    </x:row>
    <x:row r="1571" ht="48" customHeight="1">
      <x:c r="A1571" s="2" t="str">
        <x:v>TEN-E2020BBC5880</x:v>
      </x:c>
      <x:c r="B1571" s="12" t="str">
        <x:v>Manan Cotsyn</x:v>
      </x:c>
      <x:c r="C1571" s="12" t="str">
        <x:v>Business / brand</x:v>
      </x:c>
      <x:c r="D1571" s="12" t="str">
        <x:v>Engineering &amp; manufacturing</x:v>
      </x:c>
      <x:c r="E1571" s="12" t="str">
        <x:v>Electronics, industrial systems &amp; manufacturing</x:v>
      </x:c>
      <x:c r="F1571" s="12" t="str">
        <x:v>Medium-scale prospects</x:v>
      </x:c>
      <x:c r="G1571" s="12" t="str">
        <x:v>Specialist industrial or engineering business; medium-scale prospect assumption.</x:v>
      </x:c>
      <x:c r="H1571" s="11" t="n">
        <x:v>2</x:v>
      </x:c>
      <x:c r="I1571" s="11" t="n">
        <x:v>2</x:v>
      </x:c>
      <x:c r="J1571" s="11" t="n">
        <x:v>2</x:v>
      </x:c>
      <x:c r="K1571" s="11" t="n">
        <x:v>0</x:v>
      </x:c>
      <x:c r="L1571" s="17" t="n">
        <x:f>SUM(SUMIFS('Costing'!$P$9:$P$492,'Costing'!$A$9:$A$492,"PARTNER-M241"))</x:f>
        <x:v>80000</x:v>
      </x:c>
      <x:c r="M1571" s="17" t="n">
        <x:f>ROUND(L1571*'Costing'!$C$4,2)</x:f>
        <x:v>14400</x:v>
      </x:c>
      <x:c r="N1571" s="17" t="n">
        <x:f>L1571+M1571</x:f>
        <x:v>94400</x:v>
      </x:c>
      <x:c r="O1571" s="12" t="str">
        <x:v>Mumbai</x:v>
      </x:c>
      <x:c r="P1571" s="12" t="str">
        <x:v>CORP-0658, CORP-0659</x:v>
      </x:c>
      <x:c r="Q1571" s="12" t="str">
        <x:v>Manan Cotsyn</x:v>
      </x:c>
    </x:row>
    <x:row r="1572" ht="48" customHeight="1">
      <x:c r="A1572" s="2" t="str">
        <x:v>TEN-23C3202EF35A</x:v>
      </x:c>
      <x:c r="B1572" s="12" t="str">
        <x:v>Manarj Innovations pvt. Ltd</x:v>
      </x:c>
      <x:c r="C1572" s="12" t="str">
        <x:v>Business / brand</x:v>
      </x:c>
      <x:c r="D1572" s="12" t="str">
        <x:v>Unresolved</x:v>
      </x:c>
      <x:c r="E1572" s="12" t="str">
        <x:v>Business activity not established</x:v>
      </x:c>
      <x:c r="F1572" s="12" t="str">
        <x:v>Mixed business audience</x:v>
      </x:c>
      <x:c r="G1572" s="12" t="str">
        <x:v>Business activity and company scale are not established from this name.</x:v>
      </x:c>
      <x:c r="H1572" s="11" t="n">
        <x:v>1</x:v>
      </x:c>
      <x:c r="I1572" s="11" t="n">
        <x:v>3</x:v>
      </x:c>
      <x:c r="J1572" s="11" t="n">
        <x:v>3</x:v>
      </x:c>
      <x:c r="K1572" s="11" t="n">
        <x:v>0</x:v>
      </x:c>
      <x:c r="L1572" s="17" t="n">
        <x:f>SUM(SUMIFS('Costing'!$P$9:$P$492,'Costing'!$A$9:$A$492,"MAIN-359"))</x:f>
        <x:v>75000</x:v>
      </x:c>
      <x:c r="M1572" s="17" t="n">
        <x:f>ROUND(L1572*'Costing'!$C$4,2)</x:f>
        <x:v>13500</x:v>
      </x:c>
      <x:c r="N1572" s="17" t="n">
        <x:f>L1572+M1572</x:f>
        <x:v>88500</x:v>
      </x:c>
      <x:c r="O1572" s="12" t="str">
        <x:v>Mumbai</x:v>
      </x:c>
      <x:c r="P1572" s="12" t="str">
        <x:v>CORP-0355</x:v>
      </x:c>
      <x:c r="Q1572" s="12" t="str">
        <x:v>Manarj Innovations pvt. Ltd</x:v>
      </x:c>
    </x:row>
    <x:row r="1573" ht="48" customHeight="1">
      <x:c r="A1573" s="2" t="str">
        <x:v>TEN-C81CB399F996</x:v>
      </x:c>
      <x:c r="B1573" s="12" t="str">
        <x:v>Manipal Business Solutions Private Limited</x:v>
      </x:c>
      <x:c r="C1573" s="12" t="str">
        <x:v>Business / brand</x:v>
      </x:c>
      <x:c r="D1573" s="12" t="str">
        <x:v>Unresolved</x:v>
      </x:c>
      <x:c r="E1573" s="12" t="str">
        <x:v>Business activity not established</x:v>
      </x:c>
      <x:c r="F1573" s="12" t="str">
        <x:v>Mixed business audience</x:v>
      </x:c>
      <x:c r="G1573" s="12" t="str">
        <x:v>Business activity and company scale are not established from this name.</x:v>
      </x:c>
      <x:c r="H1573" s="11" t="n">
        <x:v>10</x:v>
      </x:c>
      <x:c r="I1573" s="11" t="n">
        <x:v>10</x:v>
      </x:c>
      <x:c r="J1573" s="11" t="n">
        <x:v>10</x:v>
      </x:c>
      <x:c r="K1573" s="11" t="n">
        <x:v>0</x:v>
      </x:c>
      <x:c r="L1573" s="17" t="n">
        <x:f>SUM(SUMIFS('Costing'!$P$9:$P$492,'Costing'!$A$9:$A$492,"PARTNER-M365"))</x:f>
        <x:v>400000</x:v>
      </x:c>
      <x:c r="M1573" s="17" t="n">
        <x:f>ROUND(L1573*'Costing'!$C$4,2)</x:f>
        <x:v>72000</x:v>
      </x:c>
      <x:c r="N1573" s="17" t="n">
        <x:f>L1573+M1573</x:f>
        <x:v>472000</x:v>
      </x:c>
      <x:c r="O1573" s="12" t="str">
        <x:v>Delhi NCR</x:v>
      </x:c>
      <x:c r="P1573" s="12" t="str">
        <x:v>CORP-0778, CORP-0779, CORP-0780, CORP-0781, CORP-0782, CORP-0783, CORP-0784, CORP-0785, CORP-0786, CORP-0787</x:v>
      </x:c>
      <x:c r="Q1573" s="12" t="str">
        <x:v>Manipal Business Solutions Private Limited</x:v>
      </x:c>
    </x:row>
    <x:row r="1574" ht="48" customHeight="1">
      <x:c r="A1574" s="2" t="str">
        <x:v>TEN-97B55E7BDDF1</x:v>
      </x:c>
      <x:c r="B1574" s="12" t="str">
        <x:v>Manrasa Technologies Pvt.Lt</x:v>
      </x:c>
      <x:c r="C1574" s="12" t="str">
        <x:v>Business / brand</x:v>
      </x:c>
      <x:c r="D1574" s="12" t="str">
        <x:v>Unresolved</x:v>
      </x:c>
      <x:c r="E1574" s="12" t="str">
        <x:v>Business activity not established</x:v>
      </x:c>
      <x:c r="F1574" s="12" t="str">
        <x:v>Mixed business audience</x:v>
      </x:c>
      <x:c r="G1574" s="12" t="str">
        <x:v>Business activity and company scale are not established from this name.</x:v>
      </x:c>
      <x:c r="H1574" s="11" t="n">
        <x:v>1</x:v>
      </x:c>
      <x:c r="I1574" s="11" t="n">
        <x:v>6</x:v>
      </x:c>
      <x:c r="J1574" s="11" t="n">
        <x:v>6</x:v>
      </x:c>
      <x:c r="K1574" s="11" t="n">
        <x:v>0</x:v>
      </x:c>
      <x:c r="L1574" s="17" t="n">
        <x:f>SUM(SUMIFS('Costing'!$P$9:$P$492,'Costing'!$A$9:$A$492,"MAIN-030"))</x:f>
        <x:v>90000</x:v>
      </x:c>
      <x:c r="M1574" s="17" t="n">
        <x:f>ROUND(L1574*'Costing'!$C$4,2)</x:f>
        <x:v>16200</x:v>
      </x:c>
      <x:c r="N1574" s="17" t="n">
        <x:f>L1574+M1574</x:f>
        <x:v>106200</x:v>
      </x:c>
      <x:c r="O1574" s="12" t="str">
        <x:v>Bengaluru</x:v>
      </x:c>
      <x:c r="P1574" s="12" t="str">
        <x:v>CORP-0026</x:v>
      </x:c>
      <x:c r="Q1574" s="12" t="str">
        <x:v>Manrasa Technologies Pvt.Lt</x:v>
      </x:c>
    </x:row>
    <x:row r="1575" ht="48" customHeight="1">
      <x:c r="A1575" s="2" t="str">
        <x:v>TEN-EF8D39F68EC6</x:v>
      </x:c>
      <x:c r="B1575" s="12" t="str">
        <x:v>Mapv Solution</x:v>
      </x:c>
      <x:c r="C1575" s="12" t="str">
        <x:v>Business / brand</x:v>
      </x:c>
      <x:c r="D1575" s="12" t="str">
        <x:v>Unresolved</x:v>
      </x:c>
      <x:c r="E1575" s="12" t="str">
        <x:v>Business activity not established</x:v>
      </x:c>
      <x:c r="F1575" s="12" t="str">
        <x:v>Mixed business audience</x:v>
      </x:c>
      <x:c r="G1575" s="12" t="str">
        <x:v>Business activity and company scale are not established from this name.</x:v>
      </x:c>
      <x:c r="H1575" s="11" t="n">
        <x:v>1</x:v>
      </x:c>
      <x:c r="I1575" s="11" t="n">
        <x:v>1</x:v>
      </x:c>
      <x:c r="J1575" s="11" t="n">
        <x:v>1</x:v>
      </x:c>
      <x:c r="K1575" s="11" t="n">
        <x:v>0</x:v>
      </x:c>
      <x:c r="L1575" s="17" t="n">
        <x:f>SUM(SUMIFS('Costing'!$P$9:$P$492,'Costing'!$A$9:$A$492,"MAIN-333"))</x:f>
        <x:v>15000</x:v>
      </x:c>
      <x:c r="M1575" s="17" t="n">
        <x:f>ROUND(L1575*'Costing'!$C$4,2)</x:f>
        <x:v>2700</x:v>
      </x:c>
      <x:c r="N1575" s="17" t="n">
        <x:f>L1575+M1575</x:f>
        <x:v>17700</x:v>
      </x:c>
      <x:c r="O1575" s="12" t="str">
        <x:v>Mumbai</x:v>
      </x:c>
      <x:c r="P1575" s="12" t="str">
        <x:v>CORP-0329</x:v>
      </x:c>
      <x:c r="Q1575" s="12" t="str">
        <x:v>Mapv Solution</x:v>
      </x:c>
    </x:row>
    <x:row r="1576" ht="48" customHeight="1">
      <x:c r="A1576" s="2" t="str">
        <x:v>TEN-C0593D51DA8B</x:v>
      </x:c>
      <x:c r="B1576" s="12" t="str">
        <x:v>Marcomm Essentials</x:v>
      </x:c>
      <x:c r="C1576" s="12" t="str">
        <x:v>Business / brand</x:v>
      </x:c>
      <x:c r="D1576" s="12" t="str">
        <x:v>Professional services</x:v>
      </x:c>
      <x:c r="E1576" s="12" t="str">
        <x:v>Research, marketing &amp; professional services</x:v>
      </x:c>
      <x:c r="F1576" s="12" t="str">
        <x:v>Small-scale prospects</x:v>
      </x:c>
      <x:c r="G1576" s="12" t="str">
        <x:v>Professional service, agency or advisory model; small-scale prospect assumption.</x:v>
      </x:c>
      <x:c r="H1576" s="11" t="n">
        <x:v>1</x:v>
      </x:c>
      <x:c r="I1576" s="11" t="n">
        <x:v>1</x:v>
      </x:c>
      <x:c r="J1576" s="11" t="n">
        <x:v>1</x:v>
      </x:c>
      <x:c r="K1576" s="11" t="n">
        <x:v>0</x:v>
      </x:c>
      <x:c r="L1576" s="17" t="n">
        <x:f>SUM(SUMIFS('Costing'!$P$9:$P$492,'Costing'!$A$9:$A$492,"MAIN-386"))</x:f>
        <x:v>15000</x:v>
      </x:c>
      <x:c r="M1576" s="17" t="n">
        <x:f>ROUND(L1576*'Costing'!$C$4,2)</x:f>
        <x:v>2700</x:v>
      </x:c>
      <x:c r="N1576" s="17" t="n">
        <x:f>L1576+M1576</x:f>
        <x:v>17700</x:v>
      </x:c>
      <x:c r="O1576" s="12" t="str">
        <x:v>Pune</x:v>
      </x:c>
      <x:c r="P1576" s="12" t="str">
        <x:v>CORP-0382</x:v>
      </x:c>
      <x:c r="Q1576" s="12" t="str">
        <x:v>Marcomm Essentials</x:v>
      </x:c>
    </x:row>
    <x:row r="1577" ht="48" customHeight="1">
      <x:c r="A1577" s="2" t="str">
        <x:v>TEN-912168D0ACEE</x:v>
      </x:c>
      <x:c r="B1577" s="12" t="str">
        <x:v>Margo Networks</x:v>
      </x:c>
      <x:c r="C1577" s="12" t="str">
        <x:v>Business / brand</x:v>
      </x:c>
      <x:c r="D1577" s="12" t="str">
        <x:v>IT &amp; digital</x:v>
      </x:c>
      <x:c r="E1577" s="12" t="str">
        <x:v>Telecom, networks &amp; connectivity</x:v>
      </x:c>
      <x:c r="F1577" s="12" t="str">
        <x:v>Small-scale prospects</x:v>
      </x:c>
      <x:c r="G1577" s="12" t="str">
        <x:v>Software or technology-services business; small-scale prospect assumption.</x:v>
      </x:c>
      <x:c r="H1577" s="11" t="n">
        <x:v>2</x:v>
      </x:c>
      <x:c r="I1577" s="11" t="n">
        <x:v>2</x:v>
      </x:c>
      <x:c r="J1577" s="11" t="n">
        <x:v>2</x:v>
      </x:c>
      <x:c r="K1577" s="11" t="n">
        <x:v>0</x:v>
      </x:c>
      <x:c r="L1577" s="17" t="n">
        <x:f>SUM(SUMIFS('Costing'!$P$9:$P$492,'Costing'!$A$9:$A$492,"PARTNER-M241"))</x:f>
        <x:v>80000</x:v>
      </x:c>
      <x:c r="M1577" s="17" t="n">
        <x:f>ROUND(L1577*'Costing'!$C$4,2)</x:f>
        <x:v>14400</x:v>
      </x:c>
      <x:c r="N1577" s="17" t="n">
        <x:f>L1577+M1577</x:f>
        <x:v>94400</x:v>
      </x:c>
      <x:c r="O1577" s="12" t="str">
        <x:v>Mumbai</x:v>
      </x:c>
      <x:c r="P1577" s="12" t="str">
        <x:v>CORP-0658, CORP-0659</x:v>
      </x:c>
      <x:c r="Q1577" s="12" t="str">
        <x:v>Margo Networks</x:v>
      </x:c>
    </x:row>
    <x:row r="1578" ht="48" customHeight="1">
      <x:c r="A1578" s="2" t="str">
        <x:v>TEN-177143D144A7</x:v>
      </x:c>
      <x:c r="B1578" s="12" t="str">
        <x:v>Marieclaire</x:v>
      </x:c>
      <x:c r="C1578" s="12" t="str">
        <x:v>Business / brand</x:v>
      </x:c>
      <x:c r="D1578" s="12" t="str">
        <x:v>Trade, consumer &amp; logistics</x:v>
      </x:c>
      <x:c r="E1578" s="12" t="str">
        <x:v>Retail, consumer products &amp; ecommerce</x:v>
      </x:c>
      <x:c r="F1578" s="12" t="str">
        <x:v>Mixed business audience</x:v>
      </x:c>
      <x:c r="G1578" s="12" t="str">
        <x:v>Established brand or business network; local company scale is not established. Use a mixed-business message.</x:v>
      </x:c>
      <x:c r="H1578" s="11" t="n">
        <x:v>1</x:v>
      </x:c>
      <x:c r="I1578" s="11" t="n">
        <x:v>1</x:v>
      </x:c>
      <x:c r="J1578" s="11" t="n">
        <x:v>1</x:v>
      </x:c>
      <x:c r="K1578" s="11" t="n">
        <x:v>0</x:v>
      </x:c>
      <x:c r="L1578" s="17" t="n">
        <x:f>SUM(SUMIFS('Costing'!$P$9:$P$492,'Costing'!$A$9:$A$492,"MAIN-390"))</x:f>
        <x:v>15000</x:v>
      </x:c>
      <x:c r="M1578" s="17" t="n">
        <x:f>ROUND(L1578*'Costing'!$C$4,2)</x:f>
        <x:v>2700</x:v>
      </x:c>
      <x:c r="N1578" s="17" t="n">
        <x:f>L1578+M1578</x:f>
        <x:v>17700</x:v>
      </x:c>
      <x:c r="O1578" s="12" t="str">
        <x:v>Pune</x:v>
      </x:c>
      <x:c r="P1578" s="12" t="str">
        <x:v>CORP-0386</x:v>
      </x:c>
      <x:c r="Q1578" s="12" t="str">
        <x:v>Marieclaire</x:v>
      </x:c>
    </x:row>
    <x:row r="1579" ht="48" customHeight="1">
      <x:c r="A1579" s="2" t="str">
        <x:v>TEN-5B49624C6F03</x:v>
      </x:c>
      <x:c r="B1579" s="12" t="str">
        <x:v>MarketXpander Services Pvt. Ltd</x:v>
      </x:c>
      <x:c r="C1579" s="12" t="str">
        <x:v>Business / brand</x:v>
      </x:c>
      <x:c r="D1579" s="12" t="str">
        <x:v>IT &amp; digital</x:v>
      </x:c>
      <x:c r="E1579" s="12" t="str">
        <x:v>Enterprise software &amp; digital engineering</x:v>
      </x:c>
      <x:c r="F1579" s="12" t="str">
        <x:v>Small-scale prospects</x:v>
      </x:c>
      <x:c r="G1579" s="12" t="str">
        <x:v>Software or technology-services business; small-scale prospect assumption.</x:v>
      </x:c>
      <x:c r="H1579" s="11" t="n">
        <x:v>3</x:v>
      </x:c>
      <x:c r="I1579" s="11" t="n">
        <x:v>3</x:v>
      </x:c>
      <x:c r="J1579" s="11" t="n">
        <x:v>3</x:v>
      </x:c>
      <x:c r="K1579" s="11" t="n">
        <x:v>0</x:v>
      </x:c>
      <x:c r="L1579" s="17" t="n">
        <x:f>SUM(SUMIFS('Costing'!$P$9:$P$492,'Costing'!$A$9:$A$492,"PARTNER-M067"))</x:f>
        <x:v>120000</x:v>
      </x:c>
      <x:c r="M1579" s="17" t="n">
        <x:f>ROUND(L1579*'Costing'!$C$4,2)</x:f>
        <x:v>21600</x:v>
      </x:c>
      <x:c r="N1579" s="17" t="n">
        <x:f>L1579+M1579</x:f>
        <x:v>141600</x:v>
      </x:c>
      <x:c r="O1579" s="12" t="str">
        <x:v>Bengaluru</x:v>
      </x:c>
      <x:c r="P1579" s="12" t="str">
        <x:v>CORP-0485, CORP-0486, CORP-0487</x:v>
      </x:c>
      <x:c r="Q1579" s="12" t="str">
        <x:v>MarketXpander Services Pvt. Ltd</x:v>
      </x:c>
    </x:row>
    <x:row r="1580" ht="48" customHeight="1">
      <x:c r="A1580" s="2" t="str">
        <x:v>TEN-EF5C70BAD0AA</x:v>
      </x:c>
      <x:c r="B1580" s="12" t="str">
        <x:v>Marlabs</x:v>
      </x:c>
      <x:c r="C1580" s="12" t="str">
        <x:v>Business / brand</x:v>
      </x:c>
      <x:c r="D1580" s="12" t="str">
        <x:v>IT &amp; digital</x:v>
      </x:c>
      <x:c r="E1580" s="12" t="str">
        <x:v>Technology services — specialty unverified</x:v>
      </x:c>
      <x:c r="F1580" s="12" t="str">
        <x:v>Mixed business audience</x:v>
      </x:c>
      <x:c r="G1580" s="12" t="str">
        <x:v>Recognisable business context; company-scale evidence remains insufficient for a single size band.</x:v>
      </x:c>
      <x:c r="H1580" s="11" t="n">
        <x:v>1</x:v>
      </x:c>
      <x:c r="I1580" s="11" t="n">
        <x:v>1</x:v>
      </x:c>
      <x:c r="J1580" s="11" t="n">
        <x:v>1</x:v>
      </x:c>
      <x:c r="K1580" s="11" t="n">
        <x:v>0</x:v>
      </x:c>
      <x:c r="L1580" s="17" t="n">
        <x:f>SUM(SUMIFS('Costing'!$P$9:$P$492,'Costing'!$A$9:$A$492,"MAIN-015"))</x:f>
        <x:v>15000</x:v>
      </x:c>
      <x:c r="M1580" s="17" t="n">
        <x:f>ROUND(L1580*'Costing'!$C$4,2)</x:f>
        <x:v>2700</x:v>
      </x:c>
      <x:c r="N1580" s="17" t="n">
        <x:f>L1580+M1580</x:f>
        <x:v>17700</x:v>
      </x:c>
      <x:c r="O1580" s="12" t="str">
        <x:v>Bengaluru</x:v>
      </x:c>
      <x:c r="P1580" s="12" t="str">
        <x:v>CORP-0011</x:v>
      </x:c>
      <x:c r="Q1580" s="12" t="str">
        <x:v>Marlabs</x:v>
      </x:c>
    </x:row>
    <x:row r="1581" ht="49" customHeight="1">
      <x:c r="A1581" s="2" t="str">
        <x:v>TEN-CC5491F71AF2</x:v>
      </x:c>
      <x:c r="B1581" s="12" t="str">
        <x:v>Marlabs Software</x:v>
      </x:c>
      <x:c r="C1581" s="12" t="str">
        <x:v>Business / brand</x:v>
      </x:c>
      <x:c r="D1581" s="12" t="str">
        <x:v>IT &amp; digital</x:v>
      </x:c>
      <x:c r="E1581" s="12" t="str">
        <x:v>Enterprise software &amp; digital engineering</x:v>
      </x:c>
      <x:c r="F1581" s="12" t="str">
        <x:v>Mixed business audience</x:v>
      </x:c>
      <x:c r="G1581" s="12" t="str">
        <x:v>Recognisable business context; company-scale evidence remains insufficient for a single size band.</x:v>
      </x:c>
      <x:c r="H1581" s="11" t="n">
        <x:v>14</x:v>
      </x:c>
      <x:c r="I1581" s="11" t="n">
        <x:v>14</x:v>
      </x:c>
      <x:c r="J1581" s="11" t="n">
        <x:v>14</x:v>
      </x:c>
      <x:c r="K1581" s="11" t="n">
        <x:v>0</x:v>
      </x:c>
      <x:c r="L1581" s="17" t="n">
        <x:f>SUM(SUMIFS('Costing'!$P$9:$P$492,'Costing'!$A$9:$A$492,"PARTNER-M097"),SUMIFS('Costing'!$P$9:$P$492,'Costing'!$A$9:$A$492,"PARTNER-M082"))</x:f>
        <x:v>560000</x:v>
      </x:c>
      <x:c r="M1581" s="17" t="n">
        <x:f>ROUND(L1581*'Costing'!$C$4,2)</x:f>
        <x:v>100800</x:v>
      </x:c>
      <x:c r="N1581" s="17" t="n">
        <x:f>L1581+M1581</x:f>
        <x:v>660800</x:v>
      </x:c>
      <x:c r="O1581" s="12" t="str">
        <x:v>Bengaluru</x:v>
      </x:c>
      <x:c r="P1581" s="12" t="str">
        <x:v>CORP-0500, CORP-0501, CORP-0502, CORP-0503, CORP-0504, CORP-0505, CORP-0506, CORP-0507, CORP-0508, CORP-0509, CORP-0510, CORP-0515, CORP-0516, CORP-0517</x:v>
      </x:c>
      <x:c r="Q1581" s="12" t="str">
        <x:v>Marlabs Software</x:v>
      </x:c>
    </x:row>
    <x:row r="1582" ht="48" customHeight="1">
      <x:c r="A1582" s="2" t="str">
        <x:v>TEN-528DA6917A84</x:v>
      </x:c>
      <x:c r="B1582" s="12" t="str">
        <x:v>Marquee by corporate</x:v>
      </x:c>
      <x:c r="C1582" s="12" t="str">
        <x:v>Business / brand</x:v>
      </x:c>
      <x:c r="D1582" s="12" t="str">
        <x:v>Unresolved</x:v>
      </x:c>
      <x:c r="E1582" s="12" t="str">
        <x:v>Business activity not established</x:v>
      </x:c>
      <x:c r="F1582" s="12" t="str">
        <x:v>Mixed business audience</x:v>
      </x:c>
      <x:c r="G1582" s="12" t="str">
        <x:v>Business activity and company scale are not established from this name.</x:v>
      </x:c>
      <x:c r="H1582" s="11" t="n">
        <x:v>1</x:v>
      </x:c>
      <x:c r="I1582" s="11" t="n">
        <x:v>2</x:v>
      </x:c>
      <x:c r="J1582" s="11" t="n">
        <x:v>2</x:v>
      </x:c>
      <x:c r="K1582" s="11" t="n">
        <x:v>0</x:v>
      </x:c>
      <x:c r="L1582" s="17" t="n">
        <x:f>SUM(SUMIFS('Costing'!$P$9:$P$492,'Costing'!$A$9:$A$492,"MAIN-063"))</x:f>
        <x:v>80000</x:v>
      </x:c>
      <x:c r="M1582" s="17" t="n">
        <x:f>ROUND(L1582*'Costing'!$C$4,2)</x:f>
        <x:v>14400</x:v>
      </x:c>
      <x:c r="N1582" s="17" t="n">
        <x:f>L1582+M1582</x:f>
        <x:v>94400</x:v>
      </x:c>
      <x:c r="O1582" s="12" t="str">
        <x:v>Bengaluru</x:v>
      </x:c>
      <x:c r="P1582" s="12" t="str">
        <x:v>CORP-0059</x:v>
      </x:c>
      <x:c r="Q1582" s="12" t="str">
        <x:v>Marquee by corporate</x:v>
      </x:c>
    </x:row>
    <x:row r="1583" ht="48" customHeight="1">
      <x:c r="A1583" s="2" t="str">
        <x:v>TEN-2D454207B572</x:v>
      </x:c>
      <x:c r="B1583" s="12" t="str">
        <x:v>Marquis Technologies</x:v>
      </x:c>
      <x:c r="C1583" s="12" t="str">
        <x:v>Business / brand</x:v>
      </x:c>
      <x:c r="D1583" s="12" t="str">
        <x:v>Unresolved</x:v>
      </x:c>
      <x:c r="E1583" s="12" t="str">
        <x:v>Business activity not established</x:v>
      </x:c>
      <x:c r="F1583" s="12" t="str">
        <x:v>Mixed business audience</x:v>
      </x:c>
      <x:c r="G1583" s="12" t="str">
        <x:v>Business activity and company scale are not established from this name.</x:v>
      </x:c>
      <x:c r="H1583" s="11" t="n">
        <x:v>10</x:v>
      </x:c>
      <x:c r="I1583" s="11" t="n">
        <x:v>10</x:v>
      </x:c>
      <x:c r="J1583" s="11" t="n">
        <x:v>10</x:v>
      </x:c>
      <x:c r="K1583" s="11" t="n">
        <x:v>0</x:v>
      </x:c>
      <x:c r="L1583" s="17" t="n">
        <x:f>SUM(SUMIFS('Costing'!$P$9:$P$492,'Costing'!$A$9:$A$492,"PARTNER-M205"))</x:f>
        <x:v>400000</x:v>
      </x:c>
      <x:c r="M1583" s="17" t="n">
        <x:f>ROUND(L1583*'Costing'!$C$4,2)</x:f>
        <x:v>72000</x:v>
      </x:c>
      <x:c r="N1583" s="17" t="n">
        <x:f>L1583+M1583</x:f>
        <x:v>472000</x:v>
      </x:c>
      <x:c r="O1583" s="12" t="str">
        <x:v>Mumbai</x:v>
      </x:c>
      <x:c r="P1583" s="12" t="str">
        <x:v>CORP-0622, CORP-0623, CORP-0624, CORP-0625, CORP-0626, CORP-0627, CORP-0628, CORP-0629, CORP-0630, CORP-0631</x:v>
      </x:c>
      <x:c r="Q1583" s="12" t="str">
        <x:v>Marquis Technologies</x:v>
      </x:c>
    </x:row>
    <x:row r="1584" ht="48" customHeight="1">
      <x:c r="A1584" s="2" t="str">
        <x:v>TEN-0B63EF31808A</x:v>
      </x:c>
      <x:c r="B1584" s="12" t="str">
        <x:v>Marriott Revenue Management Remote Solutions</x:v>
      </x:c>
      <x:c r="C1584" s="12" t="str">
        <x:v>Business / brand</x:v>
      </x:c>
      <x:c r="D1584" s="12" t="str">
        <x:v>Trade, consumer &amp; logistics</x:v>
      </x:c>
      <x:c r="E1584" s="12" t="str">
        <x:v>Travel, hospitality, food &amp; beverages</x:v>
      </x:c>
      <x:c r="F1584" s="12" t="str">
        <x:v>Mixed business audience</x:v>
      </x:c>
      <x:c r="G1584" s="12" t="str">
        <x:v>Recognisable business context; company-scale evidence remains insufficient for a single size band.</x:v>
      </x:c>
      <x:c r="H1584" s="11" t="n">
        <x:v>4</x:v>
      </x:c>
      <x:c r="I1584" s="11" t="n">
        <x:v>4</x:v>
      </x:c>
      <x:c r="J1584" s="11" t="n">
        <x:v>4</x:v>
      </x:c>
      <x:c r="K1584" s="11" t="n">
        <x:v>0</x:v>
      </x:c>
      <x:c r="L1584" s="17" t="n">
        <x:f>SUM(SUMIFS('Costing'!$P$9:$P$492,'Costing'!$A$9:$A$492,"PARTNER-M056"))</x:f>
        <x:v>160000</x:v>
      </x:c>
      <x:c r="M1584" s="17" t="n">
        <x:f>ROUND(L1584*'Costing'!$C$4,2)</x:f>
        <x:v>28800</x:v>
      </x:c>
      <x:c r="N1584" s="17" t="n">
        <x:f>L1584+M1584</x:f>
        <x:v>188800</x:v>
      </x:c>
      <x:c r="O1584" s="12" t="str">
        <x:v>Bengaluru</x:v>
      </x:c>
      <x:c r="P1584" s="12" t="str">
        <x:v>CORP-0474, CORP-0475, CORP-0476, CORP-0477</x:v>
      </x:c>
      <x:c r="Q1584" s="12" t="str">
        <x:v>Marriott Revenue Management Remote Solutions</x:v>
      </x:c>
    </x:row>
    <x:row r="1585" ht="48" customHeight="1">
      <x:c r="A1585" s="2" t="str">
        <x:v>TEN-D158BE41DB87</x:v>
      </x:c>
      <x:c r="B1585" s="12" t="str">
        <x:v>Mars</x:v>
      </x:c>
      <x:c r="C1585" s="12" t="str">
        <x:v>Business / brand</x:v>
      </x:c>
      <x:c r="D1585" s="12" t="str">
        <x:v>Trade, consumer &amp; logistics</x:v>
      </x:c>
      <x:c r="E1585" s="12" t="str">
        <x:v>Retail, consumer products &amp; ecommerce</x:v>
      </x:c>
      <x:c r="F1585" s="12" t="str">
        <x:v>Mixed business audience</x:v>
      </x:c>
      <x:c r="G1585" s="12" t="str">
        <x:v>Recognisable business context; company-scale evidence remains insufficient for a single size band.</x:v>
      </x:c>
      <x:c r="H1585" s="11" t="n">
        <x:v>2</x:v>
      </x:c>
      <x:c r="I1585" s="11" t="n">
        <x:v>2</x:v>
      </x:c>
      <x:c r="J1585" s="11" t="n">
        <x:v>2</x:v>
      </x:c>
      <x:c r="K1585" s="11" t="n">
        <x:v>0</x:v>
      </x:c>
      <x:c r="L1585" s="17" t="n">
        <x:f>SUM(SUMIFS('Costing'!$P$9:$P$492,'Costing'!$A$9:$A$492,"MAIN-266"),SUMIFS('Costing'!$P$9:$P$492,'Costing'!$A$9:$A$492,"MAIN-275"))</x:f>
        <x:v>60000</x:v>
      </x:c>
      <x:c r="M1585" s="17" t="n">
        <x:f>ROUND(L1585*'Costing'!$C$4,2)</x:f>
        <x:v>10800</x:v>
      </x:c>
      <x:c r="N1585" s="17" t="n">
        <x:f>L1585+M1585</x:f>
        <x:v>70800</x:v>
      </x:c>
      <x:c r="O1585" s="12" t="str">
        <x:v>Indore</x:v>
      </x:c>
      <x:c r="P1585" s="12" t="str">
        <x:v>CORP-0262, CORP-0271</x:v>
      </x:c>
      <x:c r="Q1585" s="12" t="str">
        <x:v>Mars, MARS</x:v>
      </x:c>
    </x:row>
    <x:row r="1586" ht="48" customHeight="1">
      <x:c r="A1586" s="2" t="str">
        <x:v>TEN-0D54E5331AF7</x:v>
      </x:c>
      <x:c r="B1586" s="12" t="str">
        <x:v>Marsh India Insurance Brokers Pvt Ltd</x:v>
      </x:c>
      <x:c r="C1586" s="12" t="str">
        <x:v>Business / brand</x:v>
      </x:c>
      <x:c r="D1586" s="12" t="str">
        <x:v>Professional services</x:v>
      </x:c>
      <x:c r="E1586" s="12" t="str">
        <x:v>Professional services — specialty unverified</x:v>
      </x:c>
      <x:c r="F1586" s="12" t="str">
        <x:v>Mixed business audience</x:v>
      </x:c>
      <x:c r="G1586" s="12" t="str">
        <x:v>Recognisable business context; company-scale evidence remains insufficient for a single size band.</x:v>
      </x:c>
      <x:c r="H1586" s="11" t="n">
        <x:v>1</x:v>
      </x:c>
      <x:c r="I1586" s="11" t="n">
        <x:v>2</x:v>
      </x:c>
      <x:c r="J1586" s="11" t="n">
        <x:v>2</x:v>
      </x:c>
      <x:c r="K1586" s="11" t="n">
        <x:v>0</x:v>
      </x:c>
      <x:c r="L1586" s="17" t="n">
        <x:f>SUM(SUMIFS('Costing'!$P$9:$P$492,'Costing'!$A$9:$A$492,"MAIN-158"))</x:f>
        <x:v>40000</x:v>
      </x:c>
      <x:c r="M1586" s="17" t="n">
        <x:f>ROUND(L1586*'Costing'!$C$4,2)</x:f>
        <x:v>7200</x:v>
      </x:c>
      <x:c r="N1586" s="17" t="n">
        <x:f>L1586+M1586</x:f>
        <x:v>47200</x:v>
      </x:c>
      <x:c r="O1586" s="12" t="str">
        <x:v>Chennai</x:v>
      </x:c>
      <x:c r="P1586" s="12" t="str">
        <x:v>CORP-0154</x:v>
      </x:c>
      <x:c r="Q1586" s="12" t="str">
        <x:v>Marsh India Insurance Brokers Pvt Ltd</x:v>
      </x:c>
    </x:row>
    <x:row r="1587" ht="48" customHeight="1">
      <x:c r="A1587" s="2" t="str">
        <x:v>TEN-E7005D82FDA9</x:v>
      </x:c>
      <x:c r="B1587" s="12" t="str">
        <x:v>Martwork</x:v>
      </x:c>
      <x:c r="C1587" s="12" t="str">
        <x:v>Business / brand</x:v>
      </x:c>
      <x:c r="D1587" s="12" t="str">
        <x:v>Unresolved</x:v>
      </x:c>
      <x:c r="E1587" s="12" t="str">
        <x:v>Business activity not established</x:v>
      </x:c>
      <x:c r="F1587" s="12" t="str">
        <x:v>Mixed business audience</x:v>
      </x:c>
      <x:c r="G1587" s="12" t="str">
        <x:v>Business activity and company scale are not established from this name.</x:v>
      </x:c>
      <x:c r="H1587" s="11" t="n">
        <x:v>1</x:v>
      </x:c>
      <x:c r="I1587" s="11" t="n">
        <x:v>2</x:v>
      </x:c>
      <x:c r="J1587" s="11" t="n">
        <x:v>2</x:v>
      </x:c>
      <x:c r="K1587" s="11" t="n">
        <x:v>0</x:v>
      </x:c>
      <x:c r="L1587" s="17" t="n">
        <x:f>SUM(SUMIFS('Costing'!$P$9:$P$492,'Costing'!$A$9:$A$492,"MAIN-182"))</x:f>
        <x:v>30000</x:v>
      </x:c>
      <x:c r="M1587" s="17" t="n">
        <x:f>ROUND(L1587*'Costing'!$C$4,2)</x:f>
        <x:v>5400</x:v>
      </x:c>
      <x:c r="N1587" s="17" t="n">
        <x:f>L1587+M1587</x:f>
        <x:v>35400</x:v>
      </x:c>
      <x:c r="O1587" s="12" t="str">
        <x:v>Delhi NCR</x:v>
      </x:c>
      <x:c r="P1587" s="12" t="str">
        <x:v>CORP-0178</x:v>
      </x:c>
      <x:c r="Q1587" s="12" t="str">
        <x:v>Martwork</x:v>
      </x:c>
    </x:row>
    <x:row r="1588" ht="48" customHeight="1">
      <x:c r="A1588" s="2" t="str">
        <x:v>TEN-97101BD39450</x:v>
      </x:c>
      <x:c r="B1588" s="12" t="str">
        <x:v>Marvell India Pvt. Ltd</x:v>
      </x:c>
      <x:c r="C1588" s="12" t="str">
        <x:v>Business / brand</x:v>
      </x:c>
      <x:c r="D1588" s="12" t="str">
        <x:v>Engineering &amp; manufacturing</x:v>
      </x:c>
      <x:c r="E1588" s="12" t="str">
        <x:v>Electronics, industrial systems &amp; manufacturing</x:v>
      </x:c>
      <x:c r="F1588" s="12" t="str">
        <x:v>Mixed business audience</x:v>
      </x:c>
      <x:c r="G1588" s="12" t="str">
        <x:v>Established brand or business network; local company scale is not established. Use a mixed-business message.</x:v>
      </x:c>
      <x:c r="H1588" s="11" t="n">
        <x:v>5</x:v>
      </x:c>
      <x:c r="I1588" s="11" t="n">
        <x:v>5</x:v>
      </x:c>
      <x:c r="J1588" s="11" t="n">
        <x:v>5</x:v>
      </x:c>
      <x:c r="K1588" s="11" t="n">
        <x:v>0</x:v>
      </x:c>
      <x:c r="L1588" s="17" t="n">
        <x:f>SUM(SUMIFS('Costing'!$P$9:$P$492,'Costing'!$A$9:$A$492,"PARTNER-M060"))</x:f>
        <x:v>200000</x:v>
      </x:c>
      <x:c r="M1588" s="17" t="n">
        <x:f>ROUND(L1588*'Costing'!$C$4,2)</x:f>
        <x:v>36000</x:v>
      </x:c>
      <x:c r="N1588" s="17" t="n">
        <x:f>L1588+M1588</x:f>
        <x:v>236000</x:v>
      </x:c>
      <x:c r="O1588" s="12" t="str">
        <x:v>Bengaluru</x:v>
      </x:c>
      <x:c r="P1588" s="12" t="str">
        <x:v>CORP-0478, CORP-0479, CORP-0480, CORP-0481, CORP-0482</x:v>
      </x:c>
      <x:c r="Q1588" s="12" t="str">
        <x:v>Marvell India Pvt. Ltd</x:v>
      </x:c>
    </x:row>
    <x:row r="1589" ht="48" customHeight="1">
      <x:c r="A1589" s="2" t="str">
        <x:v>TEN-26B92272F90D</x:v>
      </x:c>
      <x:c r="B1589" s="12" t="str">
        <x:v>Marvell Semiconductors</x:v>
      </x:c>
      <x:c r="C1589" s="12" t="str">
        <x:v>Business / brand</x:v>
      </x:c>
      <x:c r="D1589" s="12" t="str">
        <x:v>Engineering &amp; manufacturing</x:v>
      </x:c>
      <x:c r="E1589" s="12" t="str">
        <x:v>Semiconductors, electronics &amp; equipment</x:v>
      </x:c>
      <x:c r="F1589" s="12" t="str">
        <x:v>Mixed business audience</x:v>
      </x:c>
      <x:c r="G1589" s="12" t="str">
        <x:v>Established brand or business network; local company scale is not established. Use a mixed-business message.</x:v>
      </x:c>
      <x:c r="H1589" s="11" t="n">
        <x:v>5</x:v>
      </x:c>
      <x:c r="I1589" s="11" t="n">
        <x:v>5</x:v>
      </x:c>
      <x:c r="J1589" s="11" t="n">
        <x:v>5</x:v>
      </x:c>
      <x:c r="K1589" s="11" t="n">
        <x:v>0</x:v>
      </x:c>
      <x:c r="L1589" s="17" t="n">
        <x:f>SUM(SUMIFS('Costing'!$P$9:$P$492,'Costing'!$A$9:$A$492,"PARTNER-M060"))</x:f>
        <x:v>200000</x:v>
      </x:c>
      <x:c r="M1589" s="17" t="n">
        <x:f>ROUND(L1589*'Costing'!$C$4,2)</x:f>
        <x:v>36000</x:v>
      </x:c>
      <x:c r="N1589" s="17" t="n">
        <x:f>L1589+M1589</x:f>
        <x:v>236000</x:v>
      </x:c>
      <x:c r="O1589" s="12" t="str">
        <x:v>Bengaluru</x:v>
      </x:c>
      <x:c r="P1589" s="12" t="str">
        <x:v>CORP-0478, CORP-0479, CORP-0480, CORP-0481, CORP-0482</x:v>
      </x:c>
      <x:c r="Q1589" s="12" t="str">
        <x:v>Marvell Semiconductors</x:v>
      </x:c>
    </x:row>
    <x:row r="1590" ht="48" customHeight="1">
      <x:c r="A1590" s="2" t="str">
        <x:v>TEN-9ADCE18F8C92</x:v>
      </x:c>
      <x:c r="B1590" s="12" t="str">
        <x:v>MAssist CRM Software</x:v>
      </x:c>
      <x:c r="C1590" s="12" t="str">
        <x:v>Business / brand</x:v>
      </x:c>
      <x:c r="D1590" s="12" t="str">
        <x:v>IT &amp; digital</x:v>
      </x:c>
      <x:c r="E1590" s="12" t="str">
        <x:v>Enterprise software &amp; digital engineering</x:v>
      </x:c>
      <x:c r="F1590" s="12" t="str">
        <x:v>Small-scale prospects</x:v>
      </x:c>
      <x:c r="G1590" s="12" t="str">
        <x:v>Software or technology-services business; small-scale prospect assumption.</x:v>
      </x:c>
      <x:c r="H1590" s="11" t="n">
        <x:v>1</x:v>
      </x:c>
      <x:c r="I1590" s="11" t="n">
        <x:v>15</x:v>
      </x:c>
      <x:c r="J1590" s="11" t="n">
        <x:v>15</x:v>
      </x:c>
      <x:c r="K1590" s="11" t="n">
        <x:v>0</x:v>
      </x:c>
      <x:c r="L1590" s="17" t="n">
        <x:f>SUM(SUMIFS('Costing'!$P$9:$P$492,'Costing'!$A$9:$A$492,"MAIN-169"))</x:f>
        <x:v>300000</x:v>
      </x:c>
      <x:c r="M1590" s="17" t="n">
        <x:f>ROUND(L1590*'Costing'!$C$4,2)</x:f>
        <x:v>54000</x:v>
      </x:c>
      <x:c r="N1590" s="17" t="n">
        <x:f>L1590+M1590</x:f>
        <x:v>354000</x:v>
      </x:c>
      <x:c r="O1590" s="12" t="str">
        <x:v>Delhi NCR</x:v>
      </x:c>
      <x:c r="P1590" s="12" t="str">
        <x:v>CORP-0165</x:v>
      </x:c>
      <x:c r="Q1590" s="12" t="str">
        <x:v>MAssist CRM Software</x:v>
      </x:c>
    </x:row>
    <x:row r="1591" ht="48" customHeight="1">
      <x:c r="A1591" s="2" t="str">
        <x:v>TEN-92CD56DC627C</x:v>
      </x:c>
      <x:c r="B1591" s="12" t="str">
        <x:v>Mast Global Business Services India Pvt. Ltd</x:v>
      </x:c>
      <x:c r="C1591" s="12" t="str">
        <x:v>Business / brand</x:v>
      </x:c>
      <x:c r="D1591" s="12" t="str">
        <x:v>Unresolved</x:v>
      </x:c>
      <x:c r="E1591" s="12" t="str">
        <x:v>Business activity not established</x:v>
      </x:c>
      <x:c r="F1591" s="12" t="str">
        <x:v>Mixed business audience</x:v>
      </x:c>
      <x:c r="G1591" s="12" t="str">
        <x:v>Business activity and company scale are not established from this name.</x:v>
      </x:c>
      <x:c r="H1591" s="11" t="n">
        <x:v>5</x:v>
      </x:c>
      <x:c r="I1591" s="11" t="n">
        <x:v>5</x:v>
      </x:c>
      <x:c r="J1591" s="11" t="n">
        <x:v>5</x:v>
      </x:c>
      <x:c r="K1591" s="11" t="n">
        <x:v>0</x:v>
      </x:c>
      <x:c r="L1591" s="17" t="n">
        <x:f>SUM(SUMIFS('Costing'!$P$9:$P$492,'Costing'!$A$9:$A$492,"PARTNER-M051"))</x:f>
        <x:v>200000</x:v>
      </x:c>
      <x:c r="M1591" s="17" t="n">
        <x:f>ROUND(L1591*'Costing'!$C$4,2)</x:f>
        <x:v>36000</x:v>
      </x:c>
      <x:c r="N1591" s="17" t="n">
        <x:f>L1591+M1591</x:f>
        <x:v>236000</x:v>
      </x:c>
      <x:c r="O1591" s="12" t="str">
        <x:v>Bengaluru</x:v>
      </x:c>
      <x:c r="P1591" s="12" t="str">
        <x:v>CORP-0469, CORP-0470, CORP-0471, CORP-0472, CORP-0473</x:v>
      </x:c>
      <x:c r="Q1591" s="12" t="str">
        <x:v>Mast Global Business Services India Pvt. Ltd</x:v>
      </x:c>
    </x:row>
    <x:row r="1592" ht="75" customHeight="1">
      <x:c r="A1592" s="2" t="str">
        <x:v>TEN-40C5B64FE457</x:v>
      </x:c>
      <x:c r="B1592" s="12" t="str">
        <x:v>Matrix &amp; Cheryls Education Studio</x:v>
      </x:c>
      <x:c r="C1592" s="12" t="str">
        <x:v>Business / brand</x:v>
      </x:c>
      <x:c r="D1592" s="12" t="str">
        <x:v>Education</x:v>
      </x:c>
      <x:c r="E1592" s="12" t="str">
        <x:v>Edtech, training &amp; learning</x:v>
      </x:c>
      <x:c r="F1592" s="12" t="str">
        <x:v>Mixed business audience</x:v>
      </x:c>
      <x:c r="G1592" s="12" t="str">
        <x:v>Matrix &amp; Cheryls may describe branded salon-professional training rather than an independent education company. Exact studio operator and brand ownership relationship need confirmation; do not automatically call it a Small education firm.</x:v>
      </x:c>
      <x:c r="H1592" s="11" t="n">
        <x:v>1</x:v>
      </x:c>
      <x:c r="I1592" s="11" t="n">
        <x:v>70</x:v>
      </x:c>
      <x:c r="J1592" s="11" t="n">
        <x:v>70</x:v>
      </x:c>
      <x:c r="K1592" s="11" t="n">
        <x:v>0</x:v>
      </x:c>
      <x:c r="L1592" s="17" t="n">
        <x:f>SUM(SUMIFS('Costing'!$P$9:$P$492,'Costing'!$A$9:$A$492,"MAIN-350"))</x:f>
        <x:v>1050000</x:v>
      </x:c>
      <x:c r="M1592" s="17" t="n">
        <x:f>ROUND(L1592*'Costing'!$C$4,2)</x:f>
        <x:v>189000</x:v>
      </x:c>
      <x:c r="N1592" s="17" t="n">
        <x:f>L1592+M1592</x:f>
        <x:v>1239000</x:v>
      </x:c>
      <x:c r="O1592" s="12" t="str">
        <x:v>Mumbai</x:v>
      </x:c>
      <x:c r="P1592" s="12" t="str">
        <x:v>CORP-0346</x:v>
      </x:c>
      <x:c r="Q1592" s="12" t="str">
        <x:v>Matrix &amp; Cheryls Education Studio</x:v>
      </x:c>
    </x:row>
    <x:row r="1593" ht="48" customHeight="1">
      <x:c r="A1593" s="2" t="str">
        <x:v>TEN-E845A9E0AC51</x:v>
      </x:c>
      <x:c r="B1593" s="12" t="str">
        <x:v>Matrix Acres Private Limited</x:v>
      </x:c>
      <x:c r="C1593" s="12" t="str">
        <x:v>Business / brand</x:v>
      </x:c>
      <x:c r="D1593" s="12" t="str">
        <x:v>Trade, consumer &amp; logistics</x:v>
      </x:c>
      <x:c r="E1593" s="12" t="str">
        <x:v>Real estate, property &amp; construction services</x:v>
      </x:c>
      <x:c r="F1593" s="12" t="str">
        <x:v>Small-scale prospects</x:v>
      </x:c>
      <x:c r="G1593" s="12" t="str">
        <x:v>Trading or consumer-services business; small-scale prospect assumption.</x:v>
      </x:c>
      <x:c r="H1593" s="11" t="n">
        <x:v>5</x:v>
      </x:c>
      <x:c r="I1593" s="11" t="n">
        <x:v>5</x:v>
      </x:c>
      <x:c r="J1593" s="11" t="n">
        <x:v>5</x:v>
      </x:c>
      <x:c r="K1593" s="11" t="n">
        <x:v>0</x:v>
      </x:c>
      <x:c r="L1593" s="17" t="n">
        <x:f>SUM(SUMIFS('Costing'!$P$9:$P$492,'Costing'!$A$9:$A$492,"PARTNER-M379"))</x:f>
        <x:v>200000</x:v>
      </x:c>
      <x:c r="M1593" s="17" t="n">
        <x:f>ROUND(L1593*'Costing'!$C$4,2)</x:f>
        <x:v>36000</x:v>
      </x:c>
      <x:c r="N1593" s="17" t="n">
        <x:f>L1593+M1593</x:f>
        <x:v>236000</x:v>
      </x:c>
      <x:c r="O1593" s="12" t="str">
        <x:v>Delhi NCR</x:v>
      </x:c>
      <x:c r="P1593" s="12" t="str">
        <x:v>CORP-0792, CORP-0793, CORP-0794, CORP-0795, CORP-0796</x:v>
      </x:c>
      <x:c r="Q1593" s="12" t="str">
        <x:v>Matrix Acres Private Limited</x:v>
      </x:c>
    </x:row>
    <x:row r="1594" ht="48" customHeight="1">
      <x:c r="A1594" s="2" t="str">
        <x:v>TEN-784276C71673</x:v>
      </x:c>
      <x:c r="B1594" s="12" t="str">
        <x:v>Mavenir Systems</x:v>
      </x:c>
      <x:c r="C1594" s="12" t="str">
        <x:v>Business / brand</x:v>
      </x:c>
      <x:c r="D1594" s="12" t="str">
        <x:v>IT &amp; digital</x:v>
      </x:c>
      <x:c r="E1594" s="12" t="str">
        <x:v>Enterprise software &amp; digital engineering</x:v>
      </x:c>
      <x:c r="F1594" s="12" t="str">
        <x:v>Mixed business audience</x:v>
      </x:c>
      <x:c r="G1594" s="12" t="str">
        <x:v>Established brand or business network; local company scale is not established. Use a mixed-business message.</x:v>
      </x:c>
      <x:c r="H1594" s="11" t="n">
        <x:v>10</x:v>
      </x:c>
      <x:c r="I1594" s="11" t="n">
        <x:v>10</x:v>
      </x:c>
      <x:c r="J1594" s="11" t="n">
        <x:v>10</x:v>
      </x:c>
      <x:c r="K1594" s="11" t="n">
        <x:v>0</x:v>
      </x:c>
      <x:c r="L1594" s="17" t="n">
        <x:f>SUM(SUMIFS('Costing'!$P$9:$P$492,'Costing'!$A$9:$A$492,"PARTNER-M205"))</x:f>
        <x:v>400000</x:v>
      </x:c>
      <x:c r="M1594" s="17" t="n">
        <x:f>ROUND(L1594*'Costing'!$C$4,2)</x:f>
        <x:v>72000</x:v>
      </x:c>
      <x:c r="N1594" s="17" t="n">
        <x:f>L1594+M1594</x:f>
        <x:v>472000</x:v>
      </x:c>
      <x:c r="O1594" s="12" t="str">
        <x:v>Mumbai</x:v>
      </x:c>
      <x:c r="P1594" s="12" t="str">
        <x:v>CORP-0622, CORP-0623, CORP-0624, CORP-0625, CORP-0626, CORP-0627, CORP-0628, CORP-0629, CORP-0630, CORP-0631</x:v>
      </x:c>
      <x:c r="Q1594" s="12" t="str">
        <x:v>Mavenir Systems</x:v>
      </x:c>
    </x:row>
    <x:row r="1595" ht="48" customHeight="1">
      <x:c r="A1595" s="2" t="str">
        <x:v>TEN-82C3BFFEEF29</x:v>
      </x:c>
      <x:c r="B1595" s="12" t="str">
        <x:v>Mavenoak Properties LLP</x:v>
      </x:c>
      <x:c r="C1595" s="12" t="str">
        <x:v>Business / brand</x:v>
      </x:c>
      <x:c r="D1595" s="12" t="str">
        <x:v>Trade, consumer &amp; logistics</x:v>
      </x:c>
      <x:c r="E1595" s="12" t="str">
        <x:v>Real estate, property &amp; construction services</x:v>
      </x:c>
      <x:c r="F1595" s="12" t="str">
        <x:v>Small-scale prospects</x:v>
      </x:c>
      <x:c r="G1595" s="12" t="str">
        <x:v>Trading or consumer-services business; small-scale prospect assumption.</x:v>
      </x:c>
      <x:c r="H1595" s="11" t="n">
        <x:v>1</x:v>
      </x:c>
      <x:c r="I1595" s="11" t="n">
        <x:v>1</x:v>
      </x:c>
      <x:c r="J1595" s="11" t="n">
        <x:v>1</x:v>
      </x:c>
      <x:c r="K1595" s="11" t="n">
        <x:v>0</x:v>
      </x:c>
      <x:c r="L1595" s="17" t="n">
        <x:f>SUM(SUMIFS('Costing'!$P$9:$P$492,'Costing'!$A$9:$A$492,"MAIN-093"))</x:f>
        <x:v>15000</x:v>
      </x:c>
      <x:c r="M1595" s="17" t="n">
        <x:f>ROUND(L1595*'Costing'!$C$4,2)</x:f>
        <x:v>2700</x:v>
      </x:c>
      <x:c r="N1595" s="17" t="n">
        <x:f>L1595+M1595</x:f>
        <x:v>17700</x:v>
      </x:c>
      <x:c r="O1595" s="12" t="str">
        <x:v>Bengaluru</x:v>
      </x:c>
      <x:c r="P1595" s="12" t="str">
        <x:v>CORP-0089</x:v>
      </x:c>
      <x:c r="Q1595" s="12" t="str">
        <x:v>Mavenoak Properties LLP</x:v>
      </x:c>
    </x:row>
    <x:row r="1596" ht="48" customHeight="1">
      <x:c r="A1596" s="2" t="str">
        <x:v>TEN-40CDA80E2C11</x:v>
      </x:c>
      <x:c r="B1596" s="12" t="str">
        <x:v>MavenTech Labs</x:v>
      </x:c>
      <x:c r="C1596" s="12" t="str">
        <x:v>Business / brand</x:v>
      </x:c>
      <x:c r="D1596" s="12" t="str">
        <x:v>Unresolved</x:v>
      </x:c>
      <x:c r="E1596" s="12" t="str">
        <x:v>Business activity not established</x:v>
      </x:c>
      <x:c r="F1596" s="12" t="str">
        <x:v>Mixed business audience</x:v>
      </x:c>
      <x:c r="G1596" s="12" t="str">
        <x:v>Business activity and company scale are not established from this name.</x:v>
      </x:c>
      <x:c r="H1596" s="11" t="n">
        <x:v>1</x:v>
      </x:c>
      <x:c r="I1596" s="11" t="n">
        <x:v>2</x:v>
      </x:c>
      <x:c r="J1596" s="11" t="n">
        <x:v>2</x:v>
      </x:c>
      <x:c r="K1596" s="11" t="n">
        <x:v>0</x:v>
      </x:c>
      <x:c r="L1596" s="17" t="n">
        <x:f>SUM(SUMIFS('Costing'!$P$9:$P$492,'Costing'!$A$9:$A$492,"MAIN-100"))</x:f>
        <x:v>30000</x:v>
      </x:c>
      <x:c r="M1596" s="17" t="n">
        <x:f>ROUND(L1596*'Costing'!$C$4,2)</x:f>
        <x:v>5400</x:v>
      </x:c>
      <x:c r="N1596" s="17" t="n">
        <x:f>L1596+M1596</x:f>
        <x:v>35400</x:v>
      </x:c>
      <x:c r="O1596" s="12" t="str">
        <x:v>Bengaluru</x:v>
      </x:c>
      <x:c r="P1596" s="12" t="str">
        <x:v>CORP-0096</x:v>
      </x:c>
      <x:c r="Q1596" s="12" t="str">
        <x:v>MavenTech Labs</x:v>
      </x:c>
    </x:row>
    <x:row r="1597" ht="48" customHeight="1">
      <x:c r="A1597" s="2" t="str">
        <x:v>TEN-9BAF3A40312F</x:v>
      </x:c>
      <x:c r="B1597" s="12" t="str">
        <x:v>Max</x:v>
      </x:c>
      <x:c r="C1597" s="12" t="str">
        <x:v>Business / brand</x:v>
      </x:c>
      <x:c r="D1597" s="12" t="str">
        <x:v>Trade, consumer &amp; logistics</x:v>
      </x:c>
      <x:c r="E1597" s="12" t="str">
        <x:v>Retail, consumer products &amp; ecommerce</x:v>
      </x:c>
      <x:c r="F1597" s="12" t="str">
        <x:v>Small-scale prospects</x:v>
      </x:c>
      <x:c r="G1597" s="12" t="str">
        <x:v>Trading or consumer-services business; small-scale prospect assumption.</x:v>
      </x:c>
      <x:c r="H1597" s="11" t="n">
        <x:v>1</x:v>
      </x:c>
      <x:c r="I1597" s="11" t="n">
        <x:v>1</x:v>
      </x:c>
      <x:c r="J1597" s="11" t="n">
        <x:v>1</x:v>
      </x:c>
      <x:c r="K1597" s="11" t="n">
        <x:v>0</x:v>
      </x:c>
      <x:c r="L1597" s="17" t="n">
        <x:f>SUM(SUMIFS('Costing'!$P$9:$P$492,'Costing'!$A$9:$A$492,"MAIN-390"))</x:f>
        <x:v>15000</x:v>
      </x:c>
      <x:c r="M1597" s="17" t="n">
        <x:f>ROUND(L1597*'Costing'!$C$4,2)</x:f>
        <x:v>2700</x:v>
      </x:c>
      <x:c r="N1597" s="17" t="n">
        <x:f>L1597+M1597</x:f>
        <x:v>17700</x:v>
      </x:c>
      <x:c r="O1597" s="12" t="str">
        <x:v>Pune</x:v>
      </x:c>
      <x:c r="P1597" s="12" t="str">
        <x:v>CORP-0386</x:v>
      </x:c>
      <x:c r="Q1597" s="12" t="str">
        <x:v>Max</x:v>
      </x:c>
    </x:row>
    <x:row r="1598" ht="48" customHeight="1">
      <x:c r="A1598" s="2" t="str">
        <x:v>TEN-3BAC052E3DDF</x:v>
      </x:c>
      <x:c r="B1598" s="12" t="str">
        <x:v>Maxim Exports</x:v>
      </x:c>
      <x:c r="C1598" s="12" t="str">
        <x:v>Business / brand</x:v>
      </x:c>
      <x:c r="D1598" s="12" t="str">
        <x:v>Trade, consumer &amp; logistics</x:v>
      </x:c>
      <x:c r="E1598" s="12" t="str">
        <x:v>Retail, consumer products &amp; ecommerce</x:v>
      </x:c>
      <x:c r="F1598" s="12" t="str">
        <x:v>Small-scale prospects</x:v>
      </x:c>
      <x:c r="G1598" s="12" t="str">
        <x:v>Trading or consumer-services business; small-scale prospect assumption.</x:v>
      </x:c>
      <x:c r="H1598" s="11" t="n">
        <x:v>1</x:v>
      </x:c>
      <x:c r="I1598" s="11" t="n">
        <x:v>2</x:v>
      </x:c>
      <x:c r="J1598" s="11" t="n">
        <x:v>2</x:v>
      </x:c>
      <x:c r="K1598" s="11" t="n">
        <x:v>0</x:v>
      </x:c>
      <x:c r="L1598" s="17" t="n">
        <x:f>SUM(SUMIFS('Costing'!$P$9:$P$492,'Costing'!$A$9:$A$492,"MAIN-007"))</x:f>
        <x:v>30000</x:v>
      </x:c>
      <x:c r="M1598" s="17" t="n">
        <x:f>ROUND(L1598*'Costing'!$C$4,2)</x:f>
        <x:v>5400</x:v>
      </x:c>
      <x:c r="N1598" s="17" t="n">
        <x:f>L1598+M1598</x:f>
        <x:v>35400</x:v>
      </x:c>
      <x:c r="O1598" s="12" t="str">
        <x:v>Ahmedabad</x:v>
      </x:c>
      <x:c r="P1598" s="12" t="str">
        <x:v>CORP-0003</x:v>
      </x:c>
      <x:c r="Q1598" s="12" t="str">
        <x:v>Maxim Exports</x:v>
      </x:c>
    </x:row>
    <x:row r="1599" ht="48" customHeight="1">
      <x:c r="A1599" s="2" t="str">
        <x:v>TEN-3CF778DB1DB4</x:v>
      </x:c>
      <x:c r="B1599" s="12" t="str">
        <x:v>Mayoral ModaInfantil pvt ltd</x:v>
      </x:c>
      <x:c r="C1599" s="12" t="str">
        <x:v>Business / brand</x:v>
      </x:c>
      <x:c r="D1599" s="12" t="str">
        <x:v>Unresolved</x:v>
      </x:c>
      <x:c r="E1599" s="12" t="str">
        <x:v>Business activity not established</x:v>
      </x:c>
      <x:c r="F1599" s="12" t="str">
        <x:v>Mixed business audience</x:v>
      </x:c>
      <x:c r="G1599" s="12" t="str">
        <x:v>Business activity and company scale are not established from this name.</x:v>
      </x:c>
      <x:c r="H1599" s="11" t="n">
        <x:v>1</x:v>
      </x:c>
      <x:c r="I1599" s="11" t="n">
        <x:v>1</x:v>
      </x:c>
      <x:c r="J1599" s="11" t="n">
        <x:v>1</x:v>
      </x:c>
      <x:c r="K1599" s="11" t="n">
        <x:v>0</x:v>
      </x:c>
      <x:c r="L1599" s="17" t="n">
        <x:f>SUM(SUMIFS('Costing'!$P$9:$P$492,'Costing'!$A$9:$A$492,"MAIN-300"))</x:f>
        <x:v>15000</x:v>
      </x:c>
      <x:c r="M1599" s="17" t="n">
        <x:f>ROUND(L1599*'Costing'!$C$4,2)</x:f>
        <x:v>2700</x:v>
      </x:c>
      <x:c r="N1599" s="17" t="n">
        <x:f>L1599+M1599</x:f>
        <x:v>17700</x:v>
      </x:c>
      <x:c r="O1599" s="12" t="str">
        <x:v>Mumbai</x:v>
      </x:c>
      <x:c r="P1599" s="12" t="str">
        <x:v>CORP-0296</x:v>
      </x:c>
      <x:c r="Q1599" s="12" t="str">
        <x:v>Mayoral ModaInfantil pvt ltd</x:v>
      </x:c>
    </x:row>
    <x:row r="1600" ht="48" customHeight="1">
      <x:c r="A1600" s="2" t="str">
        <x:v>TEN-0FE71AFA8B33</x:v>
      </x:c>
      <x:c r="B1600" s="12" t="str">
        <x:v>Mayura Steels</x:v>
      </x:c>
      <x:c r="C1600" s="12" t="str">
        <x:v>Business / brand</x:v>
      </x:c>
      <x:c r="D1600" s="12" t="str">
        <x:v>Engineering &amp; manufacturing</x:v>
      </x:c>
      <x:c r="E1600" s="12" t="str">
        <x:v>Chemicals, materials &amp; industrial manufacturing</x:v>
      </x:c>
      <x:c r="F1600" s="12" t="str">
        <x:v>Medium-scale prospects</x:v>
      </x:c>
      <x:c r="G1600" s="12" t="str">
        <x:v>Specialist industrial or engineering business; medium-scale prospect assumption.</x:v>
      </x:c>
      <x:c r="H1600" s="11" t="n">
        <x:v>1</x:v>
      </x:c>
      <x:c r="I1600" s="11" t="n">
        <x:v>2</x:v>
      </x:c>
      <x:c r="J1600" s="11" t="n">
        <x:v>2</x:v>
      </x:c>
      <x:c r="K1600" s="11" t="n">
        <x:v>0</x:v>
      </x:c>
      <x:c r="L1600" s="17" t="n">
        <x:f>SUM(SUMIFS('Costing'!$P$9:$P$492,'Costing'!$A$9:$A$492,"MAIN-268"))</x:f>
        <x:v>80000</x:v>
      </x:c>
      <x:c r="M1600" s="17" t="n">
        <x:f>ROUND(L1600*'Costing'!$C$4,2)</x:f>
        <x:v>14400</x:v>
      </x:c>
      <x:c r="N1600" s="17" t="n">
        <x:f>L1600+M1600</x:f>
        <x:v>94400</x:v>
      </x:c>
      <x:c r="O1600" s="12" t="str">
        <x:v>Indore</x:v>
      </x:c>
      <x:c r="P1600" s="12" t="str">
        <x:v>CORP-0264</x:v>
      </x:c>
      <x:c r="Q1600" s="12" t="str">
        <x:v>Mayura Steels</x:v>
      </x:c>
    </x:row>
    <x:row r="1601" ht="48" customHeight="1">
      <x:c r="A1601" s="2" t="str">
        <x:v>TEN-D2E269F83158</x:v>
      </x:c>
      <x:c r="B1601" s="12" t="str">
        <x:v>MBB Labs</x:v>
      </x:c>
      <x:c r="C1601" s="12" t="str">
        <x:v>Business / brand</x:v>
      </x:c>
      <x:c r="D1601" s="12" t="str">
        <x:v>Unresolved</x:v>
      </x:c>
      <x:c r="E1601" s="12" t="str">
        <x:v>Business activity not established</x:v>
      </x:c>
      <x:c r="F1601" s="12" t="str">
        <x:v>Mixed business audience</x:v>
      </x:c>
      <x:c r="G1601" s="12" t="str">
        <x:v>Business activity and company scale are not established from this name.</x:v>
      </x:c>
      <x:c r="H1601" s="11" t="n">
        <x:v>9</x:v>
      </x:c>
      <x:c r="I1601" s="11" t="n">
        <x:v>9</x:v>
      </x:c>
      <x:c r="J1601" s="11" t="n">
        <x:v>9</x:v>
      </x:c>
      <x:c r="K1601" s="11" t="n">
        <x:v>0</x:v>
      </x:c>
      <x:c r="L1601" s="17" t="n">
        <x:f>SUM(SUMIFS('Costing'!$P$9:$P$492,'Costing'!$A$9:$A$492,"PARTNER-M002"))</x:f>
        <x:v>360000</x:v>
      </x:c>
      <x:c r="M1601" s="17" t="n">
        <x:f>ROUND(L1601*'Costing'!$C$4,2)</x:f>
        <x:v>64800</x:v>
      </x:c>
      <x:c r="N1601" s="17" t="n">
        <x:f>L1601+M1601</x:f>
        <x:v>424800</x:v>
      </x:c>
      <x:c r="O1601" s="12" t="str">
        <x:v>Bengaluru</x:v>
      </x:c>
      <x:c r="P1601" s="12" t="str">
        <x:v>CORP-0420, CORP-0421, CORP-0422, CORP-0423, CORP-0424, CORP-0425, CORP-0426, CORP-0427, CORP-0428</x:v>
      </x:c>
      <x:c r="Q1601" s="12" t="str">
        <x:v>MBB Labs</x:v>
      </x:c>
    </x:row>
    <x:row r="1602" ht="48" customHeight="1">
      <x:c r="A1602" s="2" t="str">
        <x:v>TEN-C81D24A89AC9</x:v>
      </x:c>
      <x:c r="B1602" s="12" t="str">
        <x:v>MCC</x:v>
      </x:c>
      <x:c r="C1602" s="12" t="str">
        <x:v>Business / brand</x:v>
      </x:c>
      <x:c r="D1602" s="12" t="str">
        <x:v>Unresolved</x:v>
      </x:c>
      <x:c r="E1602" s="12" t="str">
        <x:v>Business activity not established</x:v>
      </x:c>
      <x:c r="F1602" s="12" t="str">
        <x:v>Mixed business audience</x:v>
      </x:c>
      <x:c r="G1602" s="12" t="str">
        <x:v>Business activity and company scale are not established from this name.</x:v>
      </x:c>
      <x:c r="H1602" s="11" t="n">
        <x:v>1</x:v>
      </x:c>
      <x:c r="I1602" s="11" t="n">
        <x:v>1</x:v>
      </x:c>
      <x:c r="J1602" s="11" t="n">
        <x:v>1</x:v>
      </x:c>
      <x:c r="K1602" s="11" t="n">
        <x:v>0</x:v>
      </x:c>
      <x:c r="L1602" s="17" t="n">
        <x:f>SUM(SUMIFS('Costing'!$P$9:$P$492,'Costing'!$A$9:$A$492,"MAIN-272"))</x:f>
        <x:v>20000</x:v>
      </x:c>
      <x:c r="M1602" s="17" t="n">
        <x:f>ROUND(L1602*'Costing'!$C$4,2)</x:f>
        <x:v>3600</x:v>
      </x:c>
      <x:c r="N1602" s="17" t="n">
        <x:f>L1602+M1602</x:f>
        <x:v>23600</x:v>
      </x:c>
      <x:c r="O1602" s="12" t="str">
        <x:v>Indore</x:v>
      </x:c>
      <x:c r="P1602" s="12" t="str">
        <x:v>CORP-0268</x:v>
      </x:c>
      <x:c r="Q1602" s="12" t="str">
        <x:v>MCC</x:v>
      </x:c>
    </x:row>
    <x:row r="1603" ht="48" customHeight="1">
      <x:c r="A1603" s="2" t="str">
        <x:v>TEN-B5C4E7DB283D</x:v>
      </x:c>
      <x:c r="B1603" s="12" t="str">
        <x:v>McKinsey Global Capability Centre</x:v>
      </x:c>
      <x:c r="C1603" s="12" t="str">
        <x:v>Business / brand</x:v>
      </x:c>
      <x:c r="D1603" s="12" t="str">
        <x:v>Professional services</x:v>
      </x:c>
      <x:c r="E1603" s="12" t="str">
        <x:v>Professional services — specialty unverified</x:v>
      </x:c>
      <x:c r="F1603" s="12" t="str">
        <x:v>Mixed business audience</x:v>
      </x:c>
      <x:c r="G1603" s="12" t="str">
        <x:v>Recognisable business context; company-scale evidence remains insufficient for a single size band.</x:v>
      </x:c>
      <x:c r="H1603" s="11" t="n">
        <x:v>6</x:v>
      </x:c>
      <x:c r="I1603" s="11" t="n">
        <x:v>6</x:v>
      </x:c>
      <x:c r="J1603" s="11" t="n">
        <x:v>6</x:v>
      </x:c>
      <x:c r="K1603" s="11" t="n">
        <x:v>0</x:v>
      </x:c>
      <x:c r="L1603" s="17" t="n">
        <x:f>SUM(SUMIFS('Costing'!$P$9:$P$492,'Costing'!$A$9:$A$492,"PARTNER-M325"))</x:f>
        <x:v>240000</x:v>
      </x:c>
      <x:c r="M1603" s="17" t="n">
        <x:f>ROUND(L1603*'Costing'!$C$4,2)</x:f>
        <x:v>43200</x:v>
      </x:c>
      <x:c r="N1603" s="17" t="n">
        <x:f>L1603+M1603</x:f>
        <x:v>283200</x:v>
      </x:c>
      <x:c r="O1603" s="12" t="str">
        <x:v>Chennai</x:v>
      </x:c>
      <x:c r="P1603" s="12" t="str">
        <x:v>CORP-0739, CORP-0740, CORP-0741, CORP-0742, CORP-0743, CORP-0744</x:v>
      </x:c>
      <x:c r="Q1603" s="12" t="str">
        <x:v>McKinsey Global Capability Centre</x:v>
      </x:c>
    </x:row>
    <x:row r="1604" ht="48" customHeight="1">
      <x:c r="A1604" s="2" t="str">
        <x:v>TEN-A226C8D1E09A</x:v>
      </x:c>
      <x:c r="B1604" s="12" t="str">
        <x:v>Mcnroe Consumer Products Pvt. Ltd</x:v>
      </x:c>
      <x:c r="C1604" s="12" t="str">
        <x:v>Business / brand</x:v>
      </x:c>
      <x:c r="D1604" s="12" t="str">
        <x:v>Trade, consumer &amp; logistics</x:v>
      </x:c>
      <x:c r="E1604" s="12" t="str">
        <x:v>Retail, consumer products &amp; ecommerce</x:v>
      </x:c>
      <x:c r="F1604" s="12" t="str">
        <x:v>Mixed business audience</x:v>
      </x:c>
      <x:c r="G1604" s="12" t="str">
        <x:v>Established brand or business network; local company scale is not established. Use a mixed-business message.</x:v>
      </x:c>
      <x:c r="H1604" s="11" t="n">
        <x:v>1</x:v>
      </x:c>
      <x:c r="I1604" s="11" t="n">
        <x:v>4</x:v>
      </x:c>
      <x:c r="J1604" s="11" t="n">
        <x:v>4</x:v>
      </x:c>
      <x:c r="K1604" s="11" t="n">
        <x:v>0</x:v>
      </x:c>
      <x:c r="L1604" s="17" t="n">
        <x:f>SUM(SUMIFS('Costing'!$P$9:$P$492,'Costing'!$A$9:$A$492,"MAIN-202"))</x:f>
        <x:v>160000</x:v>
      </x:c>
      <x:c r="M1604" s="17" t="n">
        <x:f>ROUND(L1604*'Costing'!$C$4,2)</x:f>
        <x:v>28800</x:v>
      </x:c>
      <x:c r="N1604" s="17" t="n">
        <x:f>L1604+M1604</x:f>
        <x:v>188800</x:v>
      </x:c>
      <x:c r="O1604" s="12" t="str">
        <x:v>Delhi NCR</x:v>
      </x:c>
      <x:c r="P1604" s="12" t="str">
        <x:v>CORP-0198</x:v>
      </x:c>
      <x:c r="Q1604" s="12" t="str">
        <x:v>Mcnroe Consumer Products Pvt. Ltd</x:v>
      </x:c>
    </x:row>
    <x:row r="1605" ht="48" customHeight="1">
      <x:c r="A1605" s="2" t="str">
        <x:v>TEN-8D6660F8A757</x:v>
      </x:c>
      <x:c r="B1605" s="12" t="str">
        <x:v>MED365</x:v>
      </x:c>
      <x:c r="C1605" s="12" t="str">
        <x:v>Business / brand</x:v>
      </x:c>
      <x:c r="D1605" s="12" t="str">
        <x:v>Healthcare &amp; life sciences</x:v>
      </x:c>
      <x:c r="E1605" s="12" t="str">
        <x:v>Clinical, pharmaceutical &amp; health services</x:v>
      </x:c>
      <x:c r="F1605" s="12" t="str">
        <x:v>Medium-scale prospects</x:v>
      </x:c>
      <x:c r="G1605" s="12" t="str">
        <x:v>Specialist life-sciences business; medium-scale prospect assumption.</x:v>
      </x:c>
      <x:c r="H1605" s="11" t="n">
        <x:v>1</x:v>
      </x:c>
      <x:c r="I1605" s="11" t="n">
        <x:v>4</x:v>
      </x:c>
      <x:c r="J1605" s="11" t="n">
        <x:v>4</x:v>
      </x:c>
      <x:c r="K1605" s="11" t="n">
        <x:v>0</x:v>
      </x:c>
      <x:c r="L1605" s="17" t="n">
        <x:f>SUM(SUMIFS('Costing'!$P$9:$P$492,'Costing'!$A$9:$A$492,"MAIN-226"))</x:f>
        <x:v>60000</x:v>
      </x:c>
      <x:c r="M1605" s="17" t="n">
        <x:f>ROUND(L1605*'Costing'!$C$4,2)</x:f>
        <x:v>10800</x:v>
      </x:c>
      <x:c r="N1605" s="17" t="n">
        <x:f>L1605+M1605</x:f>
        <x:v>70800</x:v>
      </x:c>
      <x:c r="O1605" s="12" t="str">
        <x:v>Hyderabad</x:v>
      </x:c>
      <x:c r="P1605" s="12" t="str">
        <x:v>CORP-0222</x:v>
      </x:c>
      <x:c r="Q1605" s="12" t="str">
        <x:v>MED365</x:v>
      </x:c>
    </x:row>
    <x:row r="1606" ht="48" customHeight="1">
      <x:c r="A1606" s="2" t="str">
        <x:v>TEN-E1DBFBBDFA3C</x:v>
      </x:c>
      <x:c r="B1606" s="12" t="str">
        <x:v>Medhavi professional services pvt ltd</x:v>
      </x:c>
      <x:c r="C1606" s="12" t="str">
        <x:v>Business / brand</x:v>
      </x:c>
      <x:c r="D1606" s="12" t="str">
        <x:v>Unresolved</x:v>
      </x:c>
      <x:c r="E1606" s="12" t="str">
        <x:v>Business activity not established</x:v>
      </x:c>
      <x:c r="F1606" s="12" t="str">
        <x:v>Mixed business audience</x:v>
      </x:c>
      <x:c r="G1606" s="12" t="str">
        <x:v>Business activity and company scale are not established from this name.</x:v>
      </x:c>
      <x:c r="H1606" s="11" t="n">
        <x:v>1</x:v>
      </x:c>
      <x:c r="I1606" s="11" t="n">
        <x:v>1</x:v>
      </x:c>
      <x:c r="J1606" s="11" t="n">
        <x:v>1</x:v>
      </x:c>
      <x:c r="K1606" s="11" t="n">
        <x:v>0</x:v>
      </x:c>
      <x:c r="L1606" s="17" t="n">
        <x:f>SUM(SUMIFS('Costing'!$P$9:$P$492,'Costing'!$A$9:$A$492,"MAIN-175"))</x:f>
        <x:v>15000</x:v>
      </x:c>
      <x:c r="M1606" s="17" t="n">
        <x:f>ROUND(L1606*'Costing'!$C$4,2)</x:f>
        <x:v>2700</x:v>
      </x:c>
      <x:c r="N1606" s="17" t="n">
        <x:f>L1606+M1606</x:f>
        <x:v>17700</x:v>
      </x:c>
      <x:c r="O1606" s="12" t="str">
        <x:v>Delhi NCR</x:v>
      </x:c>
      <x:c r="P1606" s="12" t="str">
        <x:v>CORP-0171</x:v>
      </x:c>
      <x:c r="Q1606" s="12" t="str">
        <x:v>Medhavi professional services pvt ltd</x:v>
      </x:c>
    </x:row>
    <x:row r="1607" ht="48" customHeight="1">
      <x:c r="A1607" s="2" t="str">
        <x:v>TEN-21CE05DB330F</x:v>
      </x:c>
      <x:c r="B1607" s="12" t="str">
        <x:v>Media Nucleus India</x:v>
      </x:c>
      <x:c r="C1607" s="12" t="str">
        <x:v>Business / brand</x:v>
      </x:c>
      <x:c r="D1607" s="12" t="str">
        <x:v>Trade, consumer &amp; logistics</x:v>
      </x:c>
      <x:c r="E1607" s="12" t="str">
        <x:v>Entertainment, media &amp; events</x:v>
      </x:c>
      <x:c r="F1607" s="12" t="str">
        <x:v>Small-scale prospects</x:v>
      </x:c>
      <x:c r="G1607" s="12" t="str">
        <x:v>Trading or consumer-services business; small-scale prospect assumption.</x:v>
      </x:c>
      <x:c r="H1607" s="11" t="n">
        <x:v>2</x:v>
      </x:c>
      <x:c r="I1607" s="11" t="n">
        <x:v>5</x:v>
      </x:c>
      <x:c r="J1607" s="11" t="n">
        <x:v>5</x:v>
      </x:c>
      <x:c r="K1607" s="11" t="n">
        <x:v>0</x:v>
      </x:c>
      <x:c r="L1607" s="17" t="n">
        <x:f>SUM(SUMIFS('Costing'!$P$9:$P$492,'Costing'!$A$9:$A$492,"MAIN-343"),SUMIFS('Costing'!$P$9:$P$492,'Costing'!$A$9:$A$492,"MAIN-344"))</x:f>
        <x:v>75000</x:v>
      </x:c>
      <x:c r="M1607" s="17" t="n">
        <x:f>ROUND(L1607*'Costing'!$C$4,2)</x:f>
        <x:v>13500</x:v>
      </x:c>
      <x:c r="N1607" s="17" t="n">
        <x:f>L1607+M1607</x:f>
        <x:v>88500</x:v>
      </x:c>
      <x:c r="O1607" s="12" t="str">
        <x:v>Mumbai</x:v>
      </x:c>
      <x:c r="P1607" s="12" t="str">
        <x:v>CORP-0339, CORP-0340</x:v>
      </x:c>
      <x:c r="Q1607" s="12" t="str">
        <x:v>Media Nucleus India</x:v>
      </x:c>
    </x:row>
    <x:row r="1608" ht="48" customHeight="1">
      <x:c r="A1608" s="2" t="str">
        <x:v>TEN-9ADF4B12033A</x:v>
      </x:c>
      <x:c r="B1608" s="12" t="str">
        <x:v>Media sense India</x:v>
      </x:c>
      <x:c r="C1608" s="12" t="str">
        <x:v>Business / brand</x:v>
      </x:c>
      <x:c r="D1608" s="12" t="str">
        <x:v>Trade, consumer &amp; logistics</x:v>
      </x:c>
      <x:c r="E1608" s="12" t="str">
        <x:v>Entertainment, media &amp; events</x:v>
      </x:c>
      <x:c r="F1608" s="12" t="str">
        <x:v>Small-scale prospects</x:v>
      </x:c>
      <x:c r="G1608" s="12" t="str">
        <x:v>Trading or consumer-services business; small-scale prospect assumption.</x:v>
      </x:c>
      <x:c r="H1608" s="11" t="n">
        <x:v>1</x:v>
      </x:c>
      <x:c r="I1608" s="11" t="n">
        <x:v>8</x:v>
      </x:c>
      <x:c r="J1608" s="11" t="n">
        <x:v>8</x:v>
      </x:c>
      <x:c r="K1608" s="11" t="n">
        <x:v>0</x:v>
      </x:c>
      <x:c r="L1608" s="17" t="n">
        <x:f>SUM(SUMIFS('Costing'!$P$9:$P$492,'Costing'!$A$9:$A$492,"MAIN-211"))</x:f>
        <x:v>200000</x:v>
      </x:c>
      <x:c r="M1608" s="17" t="n">
        <x:f>ROUND(L1608*'Costing'!$C$4,2)</x:f>
        <x:v>36000</x:v>
      </x:c>
      <x:c r="N1608" s="17" t="n">
        <x:f>L1608+M1608</x:f>
        <x:v>236000</x:v>
      </x:c>
      <x:c r="O1608" s="12" t="str">
        <x:v>Delhi NCR</x:v>
      </x:c>
      <x:c r="P1608" s="12" t="str">
        <x:v>CORP-0207</x:v>
      </x:c>
      <x:c r="Q1608" s="12" t="str">
        <x:v>Media sense India</x:v>
      </x:c>
    </x:row>
    <x:row r="1609" ht="48" customHeight="1">
      <x:c r="A1609" s="2" t="str">
        <x:v>TEN-4C5029DA39B5</x:v>
      </x:c>
      <x:c r="B1609" s="12" t="str">
        <x:v>Mediakind</x:v>
      </x:c>
      <x:c r="C1609" s="12" t="str">
        <x:v>Business / brand</x:v>
      </x:c>
      <x:c r="D1609" s="12" t="str">
        <x:v>Trade, consumer &amp; logistics</x:v>
      </x:c>
      <x:c r="E1609" s="12" t="str">
        <x:v>Entertainment, media &amp; events</x:v>
      </x:c>
      <x:c r="F1609" s="12" t="str">
        <x:v>Mixed business audience</x:v>
      </x:c>
      <x:c r="G1609" s="12" t="str">
        <x:v>Established brand or business network; local company scale is not established. Use a mixed-business message.</x:v>
      </x:c>
      <x:c r="H1609" s="11" t="n">
        <x:v>10</x:v>
      </x:c>
      <x:c r="I1609" s="11" t="n">
        <x:v>10</x:v>
      </x:c>
      <x:c r="J1609" s="11" t="n">
        <x:v>10</x:v>
      </x:c>
      <x:c r="K1609" s="11" t="n">
        <x:v>0</x:v>
      </x:c>
      <x:c r="L1609" s="17" t="n">
        <x:f>SUM(SUMIFS('Costing'!$P$9:$P$492,'Costing'!$A$9:$A$492,"PARTNER-M120"))</x:f>
        <x:v>400000</x:v>
      </x:c>
      <x:c r="M1609" s="17" t="n">
        <x:f>ROUND(L1609*'Costing'!$C$4,2)</x:f>
        <x:v>72000</x:v>
      </x:c>
      <x:c r="N1609" s="17" t="n">
        <x:f>L1609+M1609</x:f>
        <x:v>472000</x:v>
      </x:c>
      <x:c r="O1609" s="12" t="str">
        <x:v>Bengaluru</x:v>
      </x:c>
      <x:c r="P1609" s="12" t="str">
        <x:v>CORP-0538, CORP-0539, CORP-0540, CORP-0541, CORP-0542, CORP-0543, CORP-0544, CORP-0545, CORP-0546, CORP-0547</x:v>
      </x:c>
      <x:c r="Q1609" s="12" t="str">
        <x:v>Mediakind</x:v>
      </x:c>
    </x:row>
    <x:row r="1610" ht="48" customHeight="1">
      <x:c r="A1610" s="2" t="str">
        <x:v>TEN-E5E162DE2CA1</x:v>
      </x:c>
      <x:c r="B1610" s="12" t="str">
        <x:v>MediaMath India Pvt.Ltd</x:v>
      </x:c>
      <x:c r="C1610" s="12" t="str">
        <x:v>Business / brand</x:v>
      </x:c>
      <x:c r="D1610" s="12" t="str">
        <x:v>Trade, consumer &amp; logistics</x:v>
      </x:c>
      <x:c r="E1610" s="12" t="str">
        <x:v>Entertainment, media &amp; events</x:v>
      </x:c>
      <x:c r="F1610" s="12" t="str">
        <x:v>Mixed business audience</x:v>
      </x:c>
      <x:c r="G1610" s="12" t="str">
        <x:v>Established brand or business network; local company scale is not established. Use a mixed-business message.</x:v>
      </x:c>
      <x:c r="H1610" s="11" t="n">
        <x:v>1</x:v>
      </x:c>
      <x:c r="I1610" s="11" t="n">
        <x:v>1</x:v>
      </x:c>
      <x:c r="J1610" s="11" t="n">
        <x:v>1</x:v>
      </x:c>
      <x:c r="K1610" s="11" t="n">
        <x:v>0</x:v>
      </x:c>
      <x:c r="L1610" s="17" t="n">
        <x:f>SUM(SUMIFS('Costing'!$P$9:$P$492,'Costing'!$A$9:$A$492,"MAIN-050"))</x:f>
        <x:v>15000</x:v>
      </x:c>
      <x:c r="M1610" s="17" t="n">
        <x:f>ROUND(L1610*'Costing'!$C$4,2)</x:f>
        <x:v>2700</x:v>
      </x:c>
      <x:c r="N1610" s="17" t="n">
        <x:f>L1610+M1610</x:f>
        <x:v>17700</x:v>
      </x:c>
      <x:c r="O1610" s="12" t="str">
        <x:v>Bengaluru</x:v>
      </x:c>
      <x:c r="P1610" s="12" t="str">
        <x:v>CORP-0046</x:v>
      </x:c>
      <x:c r="Q1610" s="12" t="str">
        <x:v>MediaMath India Pvt.Ltd</x:v>
      </x:c>
    </x:row>
    <x:row r="1611" ht="48" customHeight="1">
      <x:c r="A1611" s="2" t="str">
        <x:v>TEN-F594EFF6BD97</x:v>
      </x:c>
      <x:c r="B1611" s="12" t="str">
        <x:v>Mediff Pharma Pvt Ltd</x:v>
      </x:c>
      <x:c r="C1611" s="12" t="str">
        <x:v>Business / brand</x:v>
      </x:c>
      <x:c r="D1611" s="12" t="str">
        <x:v>Healthcare &amp; life sciences</x:v>
      </x:c>
      <x:c r="E1611" s="12" t="str">
        <x:v>Pharmaceuticals, biotechnology &amp; life sciences</x:v>
      </x:c>
      <x:c r="F1611" s="12" t="str">
        <x:v>Medium-scale prospects</x:v>
      </x:c>
      <x:c r="G1611" s="12" t="str">
        <x:v>Specialist life-sciences business; medium-scale prospect assumption.</x:v>
      </x:c>
      <x:c r="H1611" s="11" t="n">
        <x:v>1</x:v>
      </x:c>
      <x:c r="I1611" s="11" t="n">
        <x:v>1</x:v>
      </x:c>
      <x:c r="J1611" s="11" t="n">
        <x:v>1</x:v>
      </x:c>
      <x:c r="K1611" s="11" t="n">
        <x:v>0</x:v>
      </x:c>
      <x:c r="L1611" s="17" t="n">
        <x:f>SUM(SUMIFS('Costing'!$P$9:$P$492,'Costing'!$A$9:$A$492,"MAIN-199"))</x:f>
        <x:v>40000</x:v>
      </x:c>
      <x:c r="M1611" s="17" t="n">
        <x:f>ROUND(L1611*'Costing'!$C$4,2)</x:f>
        <x:v>7200</x:v>
      </x:c>
      <x:c r="N1611" s="17" t="n">
        <x:f>L1611+M1611</x:f>
        <x:v>47200</x:v>
      </x:c>
      <x:c r="O1611" s="12" t="str">
        <x:v>Delhi NCR</x:v>
      </x:c>
      <x:c r="P1611" s="12" t="str">
        <x:v>CORP-0195</x:v>
      </x:c>
      <x:c r="Q1611" s="12" t="str">
        <x:v>Mediff Pharma Pvt Ltd</x:v>
      </x:c>
    </x:row>
    <x:row r="1612" ht="48" customHeight="1">
      <x:c r="A1612" s="2" t="str">
        <x:v>TEN-EE0CA20290EC</x:v>
      </x:c>
      <x:c r="B1612" s="12" t="str">
        <x:v>MEDTRONIC</x:v>
      </x:c>
      <x:c r="C1612" s="12" t="str">
        <x:v>Business / brand</x:v>
      </x:c>
      <x:c r="D1612" s="12" t="str">
        <x:v>Healthcare &amp; life sciences</x:v>
      </x:c>
      <x:c r="E1612" s="12" t="str">
        <x:v>Clinical, medical &amp; diagnostic services</x:v>
      </x:c>
      <x:c r="F1612" s="12" t="str">
        <x:v>Mixed business audience</x:v>
      </x:c>
      <x:c r="G1612" s="12" t="str">
        <x:v>Recognisable business context; company-scale evidence remains insufficient for a single size band.</x:v>
      </x:c>
      <x:c r="H1612" s="11" t="n">
        <x:v>7</x:v>
      </x:c>
      <x:c r="I1612" s="11" t="n">
        <x:v>7</x:v>
      </x:c>
      <x:c r="J1612" s="11" t="n">
        <x:v>7</x:v>
      </x:c>
      <x:c r="K1612" s="11" t="n">
        <x:v>0</x:v>
      </x:c>
      <x:c r="L1612" s="17" t="n">
        <x:f>SUM(SUMIFS('Costing'!$P$9:$P$492,'Costing'!$A$9:$A$492,"PARTNER-M027"))</x:f>
        <x:v>280000</x:v>
      </x:c>
      <x:c r="M1612" s="17" t="n">
        <x:f>ROUND(L1612*'Costing'!$C$4,2)</x:f>
        <x:v>50400</x:v>
      </x:c>
      <x:c r="N1612" s="17" t="n">
        <x:f>L1612+M1612</x:f>
        <x:v>330400</x:v>
      </x:c>
      <x:c r="O1612" s="12" t="str">
        <x:v>Bengaluru</x:v>
      </x:c>
      <x:c r="P1612" s="12" t="str">
        <x:v>CORP-0445, CORP-0446, CORP-0447, CORP-0448, CORP-0449, CORP-0450, CORP-0451</x:v>
      </x:c>
      <x:c r="Q1612" s="12" t="str">
        <x:v>MEDTRONIC</x:v>
      </x:c>
    </x:row>
    <x:row r="1613" ht="48" customHeight="1">
      <x:c r="A1613" s="2" t="str">
        <x:v>TEN-5EB8C702BE35</x:v>
      </x:c>
      <x:c r="B1613" s="12" t="str">
        <x:v>Medwiz health care</x:v>
      </x:c>
      <x:c r="C1613" s="12" t="str">
        <x:v>Business / brand</x:v>
      </x:c>
      <x:c r="D1613" s="12" t="str">
        <x:v>Healthcare &amp; life sciences</x:v>
      </x:c>
      <x:c r="E1613" s="12" t="str">
        <x:v>Clinical, medical &amp; diagnostic services</x:v>
      </x:c>
      <x:c r="F1613" s="12" t="str">
        <x:v>Small-scale prospects</x:v>
      </x:c>
      <x:c r="G1613" s="12" t="str">
        <x:v>Healthcare services business; small-scale prospect assumption.</x:v>
      </x:c>
      <x:c r="H1613" s="11" t="n">
        <x:v>1</x:v>
      </x:c>
      <x:c r="I1613" s="11" t="n">
        <x:v>39</x:v>
      </x:c>
      <x:c r="J1613" s="11" t="n">
        <x:v>39</x:v>
      </x:c>
      <x:c r="K1613" s="11" t="n">
        <x:v>0</x:v>
      </x:c>
      <x:c r="L1613" s="17" t="n">
        <x:f>SUM(SUMIFS('Costing'!$P$9:$P$492,'Costing'!$A$9:$A$492,"MAIN-351"))</x:f>
        <x:v>585000</x:v>
      </x:c>
      <x:c r="M1613" s="17" t="n">
        <x:f>ROUND(L1613*'Costing'!$C$4,2)</x:f>
        <x:v>105300</x:v>
      </x:c>
      <x:c r="N1613" s="17" t="n">
        <x:f>L1613+M1613</x:f>
        <x:v>690300</x:v>
      </x:c>
      <x:c r="O1613" s="12" t="str">
        <x:v>Mumbai</x:v>
      </x:c>
      <x:c r="P1613" s="12" t="str">
        <x:v>CORP-0347</x:v>
      </x:c>
      <x:c r="Q1613" s="12" t="str">
        <x:v>Medwiz health care</x:v>
      </x:c>
    </x:row>
    <x:row r="1614" ht="48" customHeight="1">
      <x:c r="A1614" s="2" t="str">
        <x:v>TEN-2195B4F4BEF0</x:v>
      </x:c>
      <x:c r="B1614" s="12" t="str">
        <x:v>Meera Cotton &amp; Synthetic Mills ( Pvt ) Ltd</x:v>
      </x:c>
      <x:c r="C1614" s="12" t="str">
        <x:v>Business / brand</x:v>
      </x:c>
      <x:c r="D1614" s="12" t="str">
        <x:v>Engineering &amp; manufacturing</x:v>
      </x:c>
      <x:c r="E1614" s="12" t="str">
        <x:v>Chemicals, materials &amp; industrial manufacturing</x:v>
      </x:c>
      <x:c r="F1614" s="12" t="str">
        <x:v>Medium-scale prospects</x:v>
      </x:c>
      <x:c r="G1614" s="12" t="str">
        <x:v>Specialist industrial or engineering business; medium-scale prospect assumption.</x:v>
      </x:c>
      <x:c r="H1614" s="11" t="n">
        <x:v>1</x:v>
      </x:c>
      <x:c r="I1614" s="11" t="n">
        <x:v>26</x:v>
      </x:c>
      <x:c r="J1614" s="11" t="n">
        <x:v>26</x:v>
      </x:c>
      <x:c r="K1614" s="11" t="n">
        <x:v>0</x:v>
      </x:c>
      <x:c r="L1614" s="17" t="n">
        <x:f>SUM(SUMIFS('Costing'!$P$9:$P$492,'Costing'!$A$9:$A$492,"MAIN-342"))</x:f>
        <x:v>390000</x:v>
      </x:c>
      <x:c r="M1614" s="17" t="n">
        <x:f>ROUND(L1614*'Costing'!$C$4,2)</x:f>
        <x:v>70200</x:v>
      </x:c>
      <x:c r="N1614" s="17" t="n">
        <x:f>L1614+M1614</x:f>
        <x:v>460200</x:v>
      </x:c>
      <x:c r="O1614" s="12" t="str">
        <x:v>Mumbai</x:v>
      </x:c>
      <x:c r="P1614" s="12" t="str">
        <x:v>CORP-0338</x:v>
      </x:c>
      <x:c r="Q1614" s="12" t="str">
        <x:v>Meera Cotton &amp; Synthetic Mills ( Pvt ) Ltd</x:v>
      </x:c>
    </x:row>
    <x:row r="1615" ht="48" customHeight="1">
      <x:c r="A1615" s="2" t="str">
        <x:v>TEN-BEFD8D06B80C</x:v>
      </x:c>
      <x:c r="B1615" s="12" t="str">
        <x:v>MEESHA INTERNATIONAL</x:v>
      </x:c>
      <x:c r="C1615" s="12" t="str">
        <x:v>Business / brand</x:v>
      </x:c>
      <x:c r="D1615" s="12" t="str">
        <x:v>Unresolved</x:v>
      </x:c>
      <x:c r="E1615" s="12" t="str">
        <x:v>Business activity not established</x:v>
      </x:c>
      <x:c r="F1615" s="12" t="str">
        <x:v>Mixed business audience</x:v>
      </x:c>
      <x:c r="G1615" s="12" t="str">
        <x:v>Business activity and company scale are not established from this name.</x:v>
      </x:c>
      <x:c r="H1615" s="11" t="n">
        <x:v>1</x:v>
      </x:c>
      <x:c r="I1615" s="11" t="n">
        <x:v>2</x:v>
      </x:c>
      <x:c r="J1615" s="11" t="n">
        <x:v>2</x:v>
      </x:c>
      <x:c r="K1615" s="11" t="n">
        <x:v>0</x:v>
      </x:c>
      <x:c r="L1615" s="17" t="n">
        <x:f>SUM(SUMIFS('Costing'!$P$9:$P$492,'Costing'!$A$9:$A$492,"MAIN-367"))</x:f>
        <x:v>30000</x:v>
      </x:c>
      <x:c r="M1615" s="17" t="n">
        <x:f>ROUND(L1615*'Costing'!$C$4,2)</x:f>
        <x:v>5400</x:v>
      </x:c>
      <x:c r="N1615" s="17" t="n">
        <x:f>L1615+M1615</x:f>
        <x:v>35400</x:v>
      </x:c>
      <x:c r="O1615" s="12" t="str">
        <x:v>Delhi NCR</x:v>
      </x:c>
      <x:c r="P1615" s="12" t="str">
        <x:v>CORP-0363</x:v>
      </x:c>
      <x:c r="Q1615" s="12" t="str">
        <x:v>MEESHA INTERNATIONAL</x:v>
      </x:c>
    </x:row>
    <x:row r="1616" ht="48" customHeight="1">
      <x:c r="A1616" s="2" t="str">
        <x:v>TEN-F92A50840CD9</x:v>
      </x:c>
      <x:c r="B1616" s="12" t="str">
        <x:v>Megha Engineering</x:v>
      </x:c>
      <x:c r="C1616" s="12" t="str">
        <x:v>Business / brand</x:v>
      </x:c>
      <x:c r="D1616" s="12" t="str">
        <x:v>Engineering &amp; manufacturing</x:v>
      </x:c>
      <x:c r="E1616" s="12" t="str">
        <x:v>Energy, electrical &amp; industrial systems</x:v>
      </x:c>
      <x:c r="F1616" s="12" t="str">
        <x:v>Mixed business audience</x:v>
      </x:c>
      <x:c r="G1616" s="12" t="str">
        <x:v>Established brand or business network; local company scale is not established. Use a mixed-business message.</x:v>
      </x:c>
      <x:c r="H1616" s="11" t="n">
        <x:v>1</x:v>
      </x:c>
      <x:c r="I1616" s="11" t="n">
        <x:v>2</x:v>
      </x:c>
      <x:c r="J1616" s="11" t="n">
        <x:v>2</x:v>
      </x:c>
      <x:c r="K1616" s="11" t="n">
        <x:v>0</x:v>
      </x:c>
      <x:c r="L1616" s="17" t="n">
        <x:f>SUM(SUMIFS('Costing'!$P$9:$P$492,'Costing'!$A$9:$A$492,"MAIN-267"))</x:f>
        <x:v>40000</x:v>
      </x:c>
      <x:c r="M1616" s="17" t="n">
        <x:f>ROUND(L1616*'Costing'!$C$4,2)</x:f>
        <x:v>7200</x:v>
      </x:c>
      <x:c r="N1616" s="17" t="n">
        <x:f>L1616+M1616</x:f>
        <x:v>47200</x:v>
      </x:c>
      <x:c r="O1616" s="12" t="str">
        <x:v>Indore</x:v>
      </x:c>
      <x:c r="P1616" s="12" t="str">
        <x:v>CORP-0263</x:v>
      </x:c>
      <x:c r="Q1616" s="12" t="str">
        <x:v>Megha Engineering</x:v>
      </x:c>
    </x:row>
    <x:row r="1617" ht="48" customHeight="1">
      <x:c r="A1617" s="2" t="str">
        <x:v>TEN-9C4F70484B81</x:v>
      </x:c>
      <x:c r="B1617" s="12" t="str">
        <x:v>Mejoba Consulting India Pvt.Ltd</x:v>
      </x:c>
      <x:c r="C1617" s="12" t="str">
        <x:v>Business / brand</x:v>
      </x:c>
      <x:c r="D1617" s="12" t="str">
        <x:v>Professional services</x:v>
      </x:c>
      <x:c r="E1617" s="12" t="str">
        <x:v>Business consulting &amp; advisory</x:v>
      </x:c>
      <x:c r="F1617" s="12" t="str">
        <x:v>Small-scale prospects</x:v>
      </x:c>
      <x:c r="G1617" s="12" t="str">
        <x:v>Professional service, agency or advisory model; small-scale prospect assumption.</x:v>
      </x:c>
      <x:c r="H1617" s="11" t="n">
        <x:v>1</x:v>
      </x:c>
      <x:c r="I1617" s="11" t="n">
        <x:v>2</x:v>
      </x:c>
      <x:c r="J1617" s="11" t="n">
        <x:v>2</x:v>
      </x:c>
      <x:c r="K1617" s="11" t="n">
        <x:v>0</x:v>
      </x:c>
      <x:c r="L1617" s="17" t="n">
        <x:f>SUM(SUMIFS('Costing'!$P$9:$P$492,'Costing'!$A$9:$A$492,"MAIN-133"))</x:f>
        <x:v>30000</x:v>
      </x:c>
      <x:c r="M1617" s="17" t="n">
        <x:f>ROUND(L1617*'Costing'!$C$4,2)</x:f>
        <x:v>5400</x:v>
      </x:c>
      <x:c r="N1617" s="17" t="n">
        <x:f>L1617+M1617</x:f>
        <x:v>35400</x:v>
      </x:c>
      <x:c r="O1617" s="12" t="str">
        <x:v>Bengaluru</x:v>
      </x:c>
      <x:c r="P1617" s="12" t="str">
        <x:v>CORP-0129</x:v>
      </x:c>
      <x:c r="Q1617" s="12" t="str">
        <x:v>Mejoba Consulting India Pvt.Ltd</x:v>
      </x:c>
    </x:row>
    <x:row r="1618" ht="48" customHeight="1">
      <x:c r="A1618" s="2" t="str">
        <x:v>TEN-B49D5403D442</x:v>
      </x:c>
      <x:c r="B1618" s="12" t="str">
        <x:v>Melange Upskilling Studio</x:v>
      </x:c>
      <x:c r="C1618" s="12" t="str">
        <x:v>Business / brand</x:v>
      </x:c>
      <x:c r="D1618" s="12" t="str">
        <x:v>Education</x:v>
      </x:c>
      <x:c r="E1618" s="12" t="str">
        <x:v>Edtech, training &amp; learning</x:v>
      </x:c>
      <x:c r="F1618" s="12" t="str">
        <x:v>Small-scale prospects</x:v>
      </x:c>
      <x:c r="G1618" s="12" t="str">
        <x:v>Training or education-services business; small-scale prospect assumption.</x:v>
      </x:c>
      <x:c r="H1618" s="11" t="n">
        <x:v>1</x:v>
      </x:c>
      <x:c r="I1618" s="11" t="n">
        <x:v>2</x:v>
      </x:c>
      <x:c r="J1618" s="11" t="n">
        <x:v>2</x:v>
      </x:c>
      <x:c r="K1618" s="11" t="n">
        <x:v>0</x:v>
      </x:c>
      <x:c r="L1618" s="17" t="n">
        <x:f>SUM(SUMIFS('Costing'!$P$9:$P$492,'Costing'!$A$9:$A$492,"MAIN-133"))</x:f>
        <x:v>30000</x:v>
      </x:c>
      <x:c r="M1618" s="17" t="n">
        <x:f>ROUND(L1618*'Costing'!$C$4,2)</x:f>
        <x:v>5400</x:v>
      </x:c>
      <x:c r="N1618" s="17" t="n">
        <x:f>L1618+M1618</x:f>
        <x:v>35400</x:v>
      </x:c>
      <x:c r="O1618" s="12" t="str">
        <x:v>Bengaluru</x:v>
      </x:c>
      <x:c r="P1618" s="12" t="str">
        <x:v>CORP-0129</x:v>
      </x:c>
      <x:c r="Q1618" s="12" t="str">
        <x:v>Melange Upskilling Studio</x:v>
      </x:c>
    </x:row>
    <x:row r="1619" ht="48" customHeight="1">
      <x:c r="A1619" s="2" t="str">
        <x:v>TEN-55A25B803D5B</x:v>
      </x:c>
      <x:c r="B1619" s="12" t="str">
        <x:v>Meltwater Corp</x:v>
      </x:c>
      <x:c r="C1619" s="12" t="str">
        <x:v>Business / brand</x:v>
      </x:c>
      <x:c r="D1619" s="12" t="str">
        <x:v>Professional services</x:v>
      </x:c>
      <x:c r="E1619" s="12" t="str">
        <x:v>Research, marketing &amp; professional services</x:v>
      </x:c>
      <x:c r="F1619" s="12" t="str">
        <x:v>Mixed business audience</x:v>
      </x:c>
      <x:c r="G1619" s="12" t="str">
        <x:v>Established brand or business network; local company scale is not established. Use a mixed-business message.</x:v>
      </x:c>
      <x:c r="H1619" s="11" t="n">
        <x:v>1</x:v>
      </x:c>
      <x:c r="I1619" s="11" t="n">
        <x:v>4</x:v>
      </x:c>
      <x:c r="J1619" s="11" t="n">
        <x:v>4</x:v>
      </x:c>
      <x:c r="K1619" s="11" t="n">
        <x:v>0</x:v>
      </x:c>
      <x:c r="L1619" s="17" t="n">
        <x:f>SUM(SUMIFS('Costing'!$P$9:$P$492,'Costing'!$A$9:$A$492,"MAIN-202"))</x:f>
        <x:v>160000</x:v>
      </x:c>
      <x:c r="M1619" s="17" t="n">
        <x:f>ROUND(L1619*'Costing'!$C$4,2)</x:f>
        <x:v>28800</x:v>
      </x:c>
      <x:c r="N1619" s="17" t="n">
        <x:f>L1619+M1619</x:f>
        <x:v>188800</x:v>
      </x:c>
      <x:c r="O1619" s="12" t="str">
        <x:v>Delhi NCR</x:v>
      </x:c>
      <x:c r="P1619" s="12" t="str">
        <x:v>CORP-0198</x:v>
      </x:c>
      <x:c r="Q1619" s="12" t="str">
        <x:v>Meltwater Corp</x:v>
      </x:c>
    </x:row>
    <x:row r="1620" ht="48" customHeight="1">
      <x:c r="A1620" s="2" t="str">
        <x:v>TEN-2B4489C3A6C2</x:v>
      </x:c>
      <x:c r="B1620" s="12" t="str">
        <x:v>Mentor Graphics India Private Limited</x:v>
      </x:c>
      <x:c r="C1620" s="12" t="str">
        <x:v>Business / brand</x:v>
      </x:c>
      <x:c r="D1620" s="12" t="str">
        <x:v>Engineering &amp; manufacturing</x:v>
      </x:c>
      <x:c r="E1620" s="12" t="str">
        <x:v>Semiconductors, electronics &amp; equipment</x:v>
      </x:c>
      <x:c r="F1620" s="12" t="str">
        <x:v>Mixed business audience</x:v>
      </x:c>
      <x:c r="G1620" s="12" t="str">
        <x:v>Recognisable business context; company-scale evidence remains insufficient for a single size band.</x:v>
      </x:c>
      <x:c r="H1620" s="11" t="n">
        <x:v>1</x:v>
      </x:c>
      <x:c r="I1620" s="11" t="n">
        <x:v>3</x:v>
      </x:c>
      <x:c r="J1620" s="11" t="n">
        <x:v>3</x:v>
      </x:c>
      <x:c r="K1620" s="11" t="n">
        <x:v>0</x:v>
      </x:c>
      <x:c r="L1620" s="17" t="n">
        <x:f>SUM(SUMIFS('Costing'!$P$9:$P$492,'Costing'!$A$9:$A$492,"MAIN-255"))</x:f>
        <x:v>45000</x:v>
      </x:c>
      <x:c r="M1620" s="17" t="n">
        <x:f>ROUND(L1620*'Costing'!$C$4,2)</x:f>
        <x:v>8100</x:v>
      </x:c>
      <x:c r="N1620" s="17" t="n">
        <x:f>L1620+M1620</x:f>
        <x:v>53100</x:v>
      </x:c>
      <x:c r="O1620" s="12" t="str">
        <x:v>Hyderabad</x:v>
      </x:c>
      <x:c r="P1620" s="12" t="str">
        <x:v>CORP-0251</x:v>
      </x:c>
      <x:c r="Q1620" s="12" t="str">
        <x:v>Mentor Graphics India Private Limited</x:v>
      </x:c>
    </x:row>
    <x:row r="1621" ht="48" customHeight="1">
      <x:c r="A1621" s="2" t="str">
        <x:v>TEN-3CCDB2E97517</x:v>
      </x:c>
      <x:c r="B1621" s="12" t="str">
        <x:v>Mentora</x:v>
      </x:c>
      <x:c r="C1621" s="12" t="str">
        <x:v>Business / brand</x:v>
      </x:c>
      <x:c r="D1621" s="12" t="str">
        <x:v>Unresolved</x:v>
      </x:c>
      <x:c r="E1621" s="12" t="str">
        <x:v>Business activity not established</x:v>
      </x:c>
      <x:c r="F1621" s="12" t="str">
        <x:v>Mixed business audience</x:v>
      </x:c>
      <x:c r="G1621" s="12" t="str">
        <x:v>Business activity and company scale are not established from this name.</x:v>
      </x:c>
      <x:c r="H1621" s="11" t="n">
        <x:v>9</x:v>
      </x:c>
      <x:c r="I1621" s="11" t="n">
        <x:v>9</x:v>
      </x:c>
      <x:c r="J1621" s="11" t="n">
        <x:v>9</x:v>
      </x:c>
      <x:c r="K1621" s="11" t="n">
        <x:v>0</x:v>
      </x:c>
      <x:c r="L1621" s="17" t="n">
        <x:f>SUM(SUMIFS('Costing'!$P$9:$P$492,'Costing'!$A$9:$A$492,"PARTNER-M002"))</x:f>
        <x:v>360000</x:v>
      </x:c>
      <x:c r="M1621" s="17" t="n">
        <x:f>ROUND(L1621*'Costing'!$C$4,2)</x:f>
        <x:v>64800</x:v>
      </x:c>
      <x:c r="N1621" s="17" t="n">
        <x:f>L1621+M1621</x:f>
        <x:v>424800</x:v>
      </x:c>
      <x:c r="O1621" s="12" t="str">
        <x:v>Bengaluru</x:v>
      </x:c>
      <x:c r="P1621" s="12" t="str">
        <x:v>CORP-0420, CORP-0421, CORP-0422, CORP-0423, CORP-0424, CORP-0425, CORP-0426, CORP-0427, CORP-0428</x:v>
      </x:c>
      <x:c r="Q1621" s="12" t="str">
        <x:v>Mentora</x:v>
      </x:c>
    </x:row>
    <x:row r="1622" ht="48" customHeight="1">
      <x:c r="A1622" s="2" t="str">
        <x:v>TEN-2BE4993D4FEC</x:v>
      </x:c>
      <x:c r="B1622" s="12" t="str">
        <x:v>Mep</x:v>
      </x:c>
      <x:c r="C1622" s="12" t="str">
        <x:v>Business / brand</x:v>
      </x:c>
      <x:c r="D1622" s="12" t="str">
        <x:v>Unresolved</x:v>
      </x:c>
      <x:c r="E1622" s="12" t="str">
        <x:v>Business activity not established</x:v>
      </x:c>
      <x:c r="F1622" s="12" t="str">
        <x:v>Mixed business audience</x:v>
      </x:c>
      <x:c r="G1622" s="12" t="str">
        <x:v>Business activity and company scale are not established from this name.</x:v>
      </x:c>
      <x:c r="H1622" s="11" t="n">
        <x:v>6</x:v>
      </x:c>
      <x:c r="I1622" s="11" t="n">
        <x:v>6</x:v>
      </x:c>
      <x:c r="J1622" s="11" t="n">
        <x:v>6</x:v>
      </x:c>
      <x:c r="K1622" s="11" t="n">
        <x:v>0</x:v>
      </x:c>
      <x:c r="L1622" s="17" t="n">
        <x:f>SUM(SUMIFS('Costing'!$P$9:$P$492,'Costing'!$A$9:$A$492,"PARTNER-M179"))</x:f>
        <x:v>240000</x:v>
      </x:c>
      <x:c r="M1622" s="17" t="n">
        <x:f>ROUND(L1622*'Costing'!$C$4,2)</x:f>
        <x:v>43200</x:v>
      </x:c>
      <x:c r="N1622" s="17" t="n">
        <x:f>L1622+M1622</x:f>
        <x:v>283200</x:v>
      </x:c>
      <x:c r="O1622" s="12" t="str">
        <x:v>Mumbai</x:v>
      </x:c>
      <x:c r="P1622" s="12" t="str">
        <x:v>CORP-0596, CORP-0597, CORP-0598, CORP-0599, CORP-0600, CORP-0601</x:v>
      </x:c>
      <x:c r="Q1622" s="12" t="str">
        <x:v>Mep</x:v>
      </x:c>
    </x:row>
    <x:row r="1623" ht="48" customHeight="1">
      <x:c r="A1623" s="2" t="str">
        <x:v>TEN-15231E0E110E</x:v>
      </x:c>
      <x:c r="B1623" s="12" t="str">
        <x:v>MerchServe Global Pvt Ltd</x:v>
      </x:c>
      <x:c r="C1623" s="12" t="str">
        <x:v>Business / brand</x:v>
      </x:c>
      <x:c r="D1623" s="12" t="str">
        <x:v>Unresolved</x:v>
      </x:c>
      <x:c r="E1623" s="12" t="str">
        <x:v>Business activity not established</x:v>
      </x:c>
      <x:c r="F1623" s="12" t="str">
        <x:v>Mixed business audience</x:v>
      </x:c>
      <x:c r="G1623" s="12" t="str">
        <x:v>Business activity and company scale are not established from this name.</x:v>
      </x:c>
      <x:c r="H1623" s="11" t="n">
        <x:v>4</x:v>
      </x:c>
      <x:c r="I1623" s="11" t="n">
        <x:v>4</x:v>
      </x:c>
      <x:c r="J1623" s="11" t="n">
        <x:v>4</x:v>
      </x:c>
      <x:c r="K1623" s="11" t="n">
        <x:v>0</x:v>
      </x:c>
      <x:c r="L1623" s="17" t="n">
        <x:f>SUM(SUMIFS('Costing'!$P$9:$P$492,'Costing'!$A$9:$A$492,"PARTNER-M375"))</x:f>
        <x:v>160000</x:v>
      </x:c>
      <x:c r="M1623" s="17" t="n">
        <x:f>ROUND(L1623*'Costing'!$C$4,2)</x:f>
        <x:v>28800</x:v>
      </x:c>
      <x:c r="N1623" s="17" t="n">
        <x:f>L1623+M1623</x:f>
        <x:v>188800</x:v>
      </x:c>
      <x:c r="O1623" s="12" t="str">
        <x:v>Delhi NCR</x:v>
      </x:c>
      <x:c r="P1623" s="12" t="str">
        <x:v>CORP-0788, CORP-0789, CORP-0790, CORP-0791</x:v>
      </x:c>
      <x:c r="Q1623" s="12" t="str">
        <x:v>MerchServe Global Pvt Ltd</x:v>
      </x:c>
    </x:row>
    <x:row r="1624" ht="48" customHeight="1">
      <x:c r="A1624" s="2" t="str">
        <x:v>TEN-C4D854EC4DAA</x:v>
      </x:c>
      <x:c r="B1624" s="12" t="str">
        <x:v>Merck</x:v>
      </x:c>
      <x:c r="C1624" s="12" t="str">
        <x:v>Business / brand</x:v>
      </x:c>
      <x:c r="D1624" s="12" t="str">
        <x:v>Healthcare &amp; life sciences</x:v>
      </x:c>
      <x:c r="E1624" s="12" t="str">
        <x:v>Pharmaceuticals, biotechnology &amp; life sciences</x:v>
      </x:c>
      <x:c r="F1624" s="12" t="str">
        <x:v>Mixed business audience</x:v>
      </x:c>
      <x:c r="G1624" s="12" t="str">
        <x:v>Recognisable business context; company-scale evidence remains insufficient for a single size band.</x:v>
      </x:c>
      <x:c r="H1624" s="11" t="n">
        <x:v>1</x:v>
      </x:c>
      <x:c r="I1624" s="11" t="n">
        <x:v>3</x:v>
      </x:c>
      <x:c r="J1624" s="11" t="n">
        <x:v>3</x:v>
      </x:c>
      <x:c r="K1624" s="11" t="n">
        <x:v>0</x:v>
      </x:c>
      <x:c r="L1624" s="17" t="n">
        <x:f>SUM(SUMIFS('Costing'!$P$9:$P$492,'Costing'!$A$9:$A$492,"MAIN-222"))</x:f>
        <x:v>45000</x:v>
      </x:c>
      <x:c r="M1624" s="17" t="n">
        <x:f>ROUND(L1624*'Costing'!$C$4,2)</x:f>
        <x:v>8100</x:v>
      </x:c>
      <x:c r="N1624" s="17" t="n">
        <x:f>L1624+M1624</x:f>
        <x:v>53100</x:v>
      </x:c>
      <x:c r="O1624" s="12" t="str">
        <x:v>Hyderabad</x:v>
      </x:c>
      <x:c r="P1624" s="12" t="str">
        <x:v>CORP-0218</x:v>
      </x:c>
      <x:c r="Q1624" s="12" t="str">
        <x:v>Merck</x:v>
      </x:c>
    </x:row>
    <x:row r="1625" ht="48" customHeight="1">
      <x:c r="A1625" s="2" t="str">
        <x:v>TEN-CC09BF697AED</x:v>
      </x:c>
      <x:c r="B1625" s="12" t="str">
        <x:v>Mercury Solution limited</x:v>
      </x:c>
      <x:c r="C1625" s="12" t="str">
        <x:v>Business / brand</x:v>
      </x:c>
      <x:c r="D1625" s="12" t="str">
        <x:v>Unresolved</x:v>
      </x:c>
      <x:c r="E1625" s="12" t="str">
        <x:v>Business activity not established</x:v>
      </x:c>
      <x:c r="F1625" s="12" t="str">
        <x:v>Mixed business audience</x:v>
      </x:c>
      <x:c r="G1625" s="12" t="str">
        <x:v>Business activity and company scale are not established from this name.</x:v>
      </x:c>
      <x:c r="H1625" s="11" t="n">
        <x:v>1</x:v>
      </x:c>
      <x:c r="I1625" s="11" t="n">
        <x:v>8</x:v>
      </x:c>
      <x:c r="J1625" s="11" t="n">
        <x:v>8</x:v>
      </x:c>
      <x:c r="K1625" s="11" t="n">
        <x:v>0</x:v>
      </x:c>
      <x:c r="L1625" s="17" t="n">
        <x:f>SUM(SUMIFS('Costing'!$P$9:$P$492,'Costing'!$A$9:$A$492,"MAIN-211"))</x:f>
        <x:v>200000</x:v>
      </x:c>
      <x:c r="M1625" s="17" t="n">
        <x:f>ROUND(L1625*'Costing'!$C$4,2)</x:f>
        <x:v>36000</x:v>
      </x:c>
      <x:c r="N1625" s="17" t="n">
        <x:f>L1625+M1625</x:f>
        <x:v>236000</x:v>
      </x:c>
      <x:c r="O1625" s="12" t="str">
        <x:v>Delhi NCR</x:v>
      </x:c>
      <x:c r="P1625" s="12" t="str">
        <x:v>CORP-0207</x:v>
      </x:c>
      <x:c r="Q1625" s="12" t="str">
        <x:v>Mercury Solution limited</x:v>
      </x:c>
    </x:row>
    <x:row r="1626" ht="48" customHeight="1">
      <x:c r="A1626" s="2" t="str">
        <x:v>TEN-670A277FECF1</x:v>
      </x:c>
      <x:c r="B1626" s="12" t="str">
        <x:v>Merico Agro</x:v>
      </x:c>
      <x:c r="C1626" s="12" t="str">
        <x:v>Business / brand</x:v>
      </x:c>
      <x:c r="D1626" s="12" t="str">
        <x:v>Trade, consumer &amp; logistics</x:v>
      </x:c>
      <x:c r="E1626" s="12" t="str">
        <x:v>Retail, consumer products &amp; ecommerce</x:v>
      </x:c>
      <x:c r="F1626" s="12" t="str">
        <x:v>Small-scale prospects</x:v>
      </x:c>
      <x:c r="G1626" s="12" t="str">
        <x:v>Trading or consumer-services business; small-scale prospect assumption.</x:v>
      </x:c>
      <x:c r="H1626" s="11" t="n">
        <x:v>1</x:v>
      </x:c>
      <x:c r="I1626" s="11" t="n">
        <x:v>2</x:v>
      </x:c>
      <x:c r="J1626" s="11" t="n">
        <x:v>2</x:v>
      </x:c>
      <x:c r="K1626" s="11" t="n">
        <x:v>0</x:v>
      </x:c>
      <x:c r="L1626" s="17" t="n">
        <x:f>SUM(SUMIFS('Costing'!$P$9:$P$492,'Costing'!$A$9:$A$492,"MAIN-280"))</x:f>
        <x:v>30000</x:v>
      </x:c>
      <x:c r="M1626" s="17" t="n">
        <x:f>ROUND(L1626*'Costing'!$C$4,2)</x:f>
        <x:v>5400</x:v>
      </x:c>
      <x:c r="N1626" s="17" t="n">
        <x:f>L1626+M1626</x:f>
        <x:v>35400</x:v>
      </x:c>
      <x:c r="O1626" s="12" t="str">
        <x:v>Kolkata</x:v>
      </x:c>
      <x:c r="P1626" s="12" t="str">
        <x:v>CORP-0276</x:v>
      </x:c>
      <x:c r="Q1626" s="12" t="str">
        <x:v>Merico Agro</x:v>
      </x:c>
    </x:row>
    <x:row r="1627" ht="48" customHeight="1">
      <x:c r="A1627" s="2" t="str">
        <x:v>TEN-A3FF8FA9D548</x:v>
      </x:c>
      <x:c r="B1627" s="12" t="str">
        <x:v>Meritytics</x:v>
      </x:c>
      <x:c r="C1627" s="12" t="str">
        <x:v>Business / brand</x:v>
      </x:c>
      <x:c r="D1627" s="12" t="str">
        <x:v>IT &amp; digital</x:v>
      </x:c>
      <x:c r="E1627" s="12" t="str">
        <x:v>AI, data &amp; analytics</x:v>
      </x:c>
      <x:c r="F1627" s="12" t="str">
        <x:v>Small-scale prospects</x:v>
      </x:c>
      <x:c r="G1627" s="12" t="str">
        <x:v>Software or technology-services business; small-scale prospect assumption.</x:v>
      </x:c>
      <x:c r="H1627" s="11" t="n">
        <x:v>2</x:v>
      </x:c>
      <x:c r="I1627" s="11" t="n">
        <x:v>23</x:v>
      </x:c>
      <x:c r="J1627" s="11" t="n">
        <x:v>23</x:v>
      </x:c>
      <x:c r="K1627" s="11" t="n">
        <x:v>0</x:v>
      </x:c>
      <x:c r="L1627" s="17" t="n">
        <x:f>SUM(SUMIFS('Costing'!$P$9:$P$492,'Costing'!$A$9:$A$492,"MAIN-238"),SUMIFS('Costing'!$P$9:$P$492,'Costing'!$A$9:$A$492,"MAIN-239"))</x:f>
        <x:v>405000</x:v>
      </x:c>
      <x:c r="M1627" s="17" t="n">
        <x:f>ROUND(L1627*'Costing'!$C$4,2)</x:f>
        <x:v>72900</x:v>
      </x:c>
      <x:c r="N1627" s="17" t="n">
        <x:f>L1627+M1627</x:f>
        <x:v>477900</x:v>
      </x:c>
      <x:c r="O1627" s="12" t="str">
        <x:v>Hyderabad</x:v>
      </x:c>
      <x:c r="P1627" s="12" t="str">
        <x:v>CORP-0234, CORP-0235</x:v>
      </x:c>
      <x:c r="Q1627" s="12" t="str">
        <x:v>Meritytics</x:v>
      </x:c>
    </x:row>
    <x:row r="1628" ht="48" customHeight="1">
      <x:c r="A1628" s="2" t="str">
        <x:v>TEN-85792A69F213</x:v>
      </x:c>
      <x:c r="B1628" s="12" t="str">
        <x:v>Merkle Science</x:v>
      </x:c>
      <x:c r="C1628" s="12" t="str">
        <x:v>Business / brand</x:v>
      </x:c>
      <x:c r="D1628" s="12" t="str">
        <x:v>IT &amp; digital</x:v>
      </x:c>
      <x:c r="E1628" s="12" t="str">
        <x:v>AI, data &amp; analytics</x:v>
      </x:c>
      <x:c r="F1628" s="12" t="str">
        <x:v>Small-scale prospects</x:v>
      </x:c>
      <x:c r="G1628" s="12" t="str">
        <x:v>Software or technology-services business; small-scale prospect assumption.</x:v>
      </x:c>
      <x:c r="H1628" s="11" t="n">
        <x:v>1</x:v>
      </x:c>
      <x:c r="I1628" s="11" t="n">
        <x:v>1</x:v>
      </x:c>
      <x:c r="J1628" s="11" t="n">
        <x:v>1</x:v>
      </x:c>
      <x:c r="K1628" s="11" t="n">
        <x:v>0</x:v>
      </x:c>
      <x:c r="L1628" s="17" t="n">
        <x:f>SUM(SUMIFS('Costing'!$P$9:$P$492,'Costing'!$A$9:$A$492,"MAIN-103"))</x:f>
        <x:v>15000</x:v>
      </x:c>
      <x:c r="M1628" s="17" t="n">
        <x:f>ROUND(L1628*'Costing'!$C$4,2)</x:f>
        <x:v>2700</x:v>
      </x:c>
      <x:c r="N1628" s="17" t="n">
        <x:f>L1628+M1628</x:f>
        <x:v>17700</x:v>
      </x:c>
      <x:c r="O1628" s="12" t="str">
        <x:v>Bengaluru</x:v>
      </x:c>
      <x:c r="P1628" s="12" t="str">
        <x:v>CORP-0099</x:v>
      </x:c>
      <x:c r="Q1628" s="12" t="str">
        <x:v>Merkle Science</x:v>
      </x:c>
    </x:row>
    <x:row r="1629" ht="48" customHeight="1">
      <x:c r="A1629" s="2" t="str">
        <x:v>TEN-A19002876785</x:v>
      </x:c>
      <x:c r="B1629" s="12" t="str">
        <x:v>Metal One</x:v>
      </x:c>
      <x:c r="C1629" s="12" t="str">
        <x:v>Business / brand</x:v>
      </x:c>
      <x:c r="D1629" s="12" t="str">
        <x:v>Engineering &amp; manufacturing</x:v>
      </x:c>
      <x:c r="E1629" s="12" t="str">
        <x:v>Energy, electrical &amp; industrial systems</x:v>
      </x:c>
      <x:c r="F1629" s="12" t="str">
        <x:v>Mixed business audience</x:v>
      </x:c>
      <x:c r="G1629" s="12" t="str">
        <x:v>Established brand or business network; local company scale is not established. Use a mixed-business message.</x:v>
      </x:c>
      <x:c r="H1629" s="11" t="n">
        <x:v>4</x:v>
      </x:c>
      <x:c r="I1629" s="11" t="n">
        <x:v>4</x:v>
      </x:c>
      <x:c r="J1629" s="11" t="n">
        <x:v>4</x:v>
      </x:c>
      <x:c r="K1629" s="11" t="n">
        <x:v>0</x:v>
      </x:c>
      <x:c r="L1629" s="17" t="n">
        <x:f>SUM(SUMIFS('Costing'!$P$9:$P$492,'Costing'!$A$9:$A$492,"PARTNER-M340"),SUMIFS('Costing'!$P$9:$P$492,'Costing'!$A$9:$A$492,"PARTNER-M338"))</x:f>
        <x:v>160000</x:v>
      </x:c>
      <x:c r="M1629" s="17" t="n">
        <x:f>ROUND(L1629*'Costing'!$C$4,2)</x:f>
        <x:v>28800</x:v>
      </x:c>
      <x:c r="N1629" s="17" t="n">
        <x:f>L1629+M1629</x:f>
        <x:v>188800</x:v>
      </x:c>
      <x:c r="O1629" s="12" t="str">
        <x:v>Chennai</x:v>
      </x:c>
      <x:c r="P1629" s="12" t="str">
        <x:v>CORP-0752, CORP-0753, CORP-0754, CORP-0755</x:v>
      </x:c>
      <x:c r="Q1629" s="12" t="str">
        <x:v>Metal One</x:v>
      </x:c>
    </x:row>
    <x:row r="1630" ht="48" customHeight="1">
      <x:c r="A1630" s="2" t="str">
        <x:v>TEN-AC70DCB61780</x:v>
      </x:c>
      <x:c r="B1630" s="12" t="str">
        <x:v>Metal One Corporation India PVT.LTD</x:v>
      </x:c>
      <x:c r="C1630" s="12" t="str">
        <x:v>Business / brand</x:v>
      </x:c>
      <x:c r="D1630" s="12" t="str">
        <x:v>Engineering &amp; manufacturing</x:v>
      </x:c>
      <x:c r="E1630" s="12" t="str">
        <x:v>Energy, electrical &amp; industrial systems</x:v>
      </x:c>
      <x:c r="F1630" s="12" t="str">
        <x:v>Mixed business audience</x:v>
      </x:c>
      <x:c r="G1630" s="12" t="str">
        <x:v>Established brand or business network; local company scale is not established. Use a mixed-business message.</x:v>
      </x:c>
      <x:c r="H1630" s="11" t="n">
        <x:v>3</x:v>
      </x:c>
      <x:c r="I1630" s="11" t="n">
        <x:v>6</x:v>
      </x:c>
      <x:c r="J1630" s="11" t="n">
        <x:v>6</x:v>
      </x:c>
      <x:c r="K1630" s="11" t="n">
        <x:v>0</x:v>
      </x:c>
      <x:c r="L1630" s="17" t="n">
        <x:f>SUM(SUMIFS('Costing'!$P$9:$P$492,'Costing'!$A$9:$A$492,"MAIN-141"),SUMIFS('Costing'!$P$9:$P$492,'Costing'!$A$9:$A$492,"PARTNER-M340"))</x:f>
        <x:v>140000</x:v>
      </x:c>
      <x:c r="M1630" s="17" t="n">
        <x:f>ROUND(L1630*'Costing'!$C$4,2)</x:f>
        <x:v>25200</x:v>
      </x:c>
      <x:c r="N1630" s="17" t="n">
        <x:f>L1630+M1630</x:f>
        <x:v>165200</x:v>
      </x:c>
      <x:c r="O1630" s="12" t="str">
        <x:v>Chennai</x:v>
      </x:c>
      <x:c r="P1630" s="12" t="str">
        <x:v>CORP-0137, CORP-0754, CORP-0755</x:v>
      </x:c>
      <x:c r="Q1630" s="12" t="str">
        <x:v>Metal One Corporation India PVT.LTD, Metal One Corporation India Pvt Ltd</x:v>
      </x:c>
    </x:row>
    <x:row r="1631" ht="48" customHeight="1">
      <x:c r="A1631" s="2" t="str">
        <x:v>TEN-2C404B75B9D4</x:v>
      </x:c>
      <x:c r="B1631" s="12" t="str">
        <x:v>Metal7</x:v>
      </x:c>
      <x:c r="C1631" s="12" t="str">
        <x:v>Business / brand</x:v>
      </x:c>
      <x:c r="D1631" s="12" t="str">
        <x:v>Engineering &amp; manufacturing</x:v>
      </x:c>
      <x:c r="E1631" s="12" t="str">
        <x:v>Electronics, industrial systems &amp; manufacturing</x:v>
      </x:c>
      <x:c r="F1631" s="12" t="str">
        <x:v>Medium-scale prospects</x:v>
      </x:c>
      <x:c r="G1631" s="12" t="str">
        <x:v>Specialist industrial or engineering business; medium-scale prospect assumption.</x:v>
      </x:c>
      <x:c r="H1631" s="11" t="n">
        <x:v>2</x:v>
      </x:c>
      <x:c r="I1631" s="11" t="n">
        <x:v>3</x:v>
      </x:c>
      <x:c r="J1631" s="11" t="n">
        <x:v>3</x:v>
      </x:c>
      <x:c r="K1631" s="11" t="n">
        <x:v>0</x:v>
      </x:c>
      <x:c r="L1631" s="17" t="n">
        <x:f>SUM(SUMIFS('Costing'!$P$9:$P$492,'Costing'!$A$9:$A$492,"MAIN-284"),SUMIFS('Costing'!$P$9:$P$492,'Costing'!$A$9:$A$492,"MAIN-285"))</x:f>
        <x:v>45000</x:v>
      </x:c>
      <x:c r="M1631" s="17" t="n">
        <x:f>ROUND(L1631*'Costing'!$C$4,2)</x:f>
        <x:v>8100</x:v>
      </x:c>
      <x:c r="N1631" s="17" t="n">
        <x:f>L1631+M1631</x:f>
        <x:v>53100</x:v>
      </x:c>
      <x:c r="O1631" s="12" t="str">
        <x:v>Kolkata</x:v>
      </x:c>
      <x:c r="P1631" s="12" t="str">
        <x:v>CORP-0280, CORP-0281</x:v>
      </x:c>
      <x:c r="Q1631" s="12" t="str">
        <x:v>Metal7</x:v>
      </x:c>
    </x:row>
    <x:row r="1632" ht="48" customHeight="1">
      <x:c r="A1632" s="2" t="str">
        <x:v>TEN-AD61C2989C09</x:v>
      </x:c>
      <x:c r="B1632" s="12" t="str">
        <x:v>Metavasi energy Pvt.Ltd</x:v>
      </x:c>
      <x:c r="C1632" s="12" t="str">
        <x:v>Business / brand</x:v>
      </x:c>
      <x:c r="D1632" s="12" t="str">
        <x:v>Engineering &amp; manufacturing</x:v>
      </x:c>
      <x:c r="E1632" s="12" t="str">
        <x:v>Energy, electrical &amp; industrial systems</x:v>
      </x:c>
      <x:c r="F1632" s="12" t="str">
        <x:v>Medium-scale prospects</x:v>
      </x:c>
      <x:c r="G1632" s="12" t="str">
        <x:v>Specialist industrial or engineering business; medium-scale prospect assumption.</x:v>
      </x:c>
      <x:c r="H1632" s="11" t="n">
        <x:v>1</x:v>
      </x:c>
      <x:c r="I1632" s="11" t="n">
        <x:v>3</x:v>
      </x:c>
      <x:c r="J1632" s="11" t="n">
        <x:v>3</x:v>
      </x:c>
      <x:c r="K1632" s="11" t="n">
        <x:v>0</x:v>
      </x:c>
      <x:c r="L1632" s="17" t="n">
        <x:f>SUM(SUMIFS('Costing'!$P$9:$P$492,'Costing'!$A$9:$A$492,"MAIN-172"))</x:f>
        <x:v>45000</x:v>
      </x:c>
      <x:c r="M1632" s="17" t="n">
        <x:f>ROUND(L1632*'Costing'!$C$4,2)</x:f>
        <x:v>8100</x:v>
      </x:c>
      <x:c r="N1632" s="17" t="n">
        <x:f>L1632+M1632</x:f>
        <x:v>53100</x:v>
      </x:c>
      <x:c r="O1632" s="12" t="str">
        <x:v>Delhi NCR</x:v>
      </x:c>
      <x:c r="P1632" s="12" t="str">
        <x:v>CORP-0168</x:v>
      </x:c>
      <x:c r="Q1632" s="12" t="str">
        <x:v>Metavasi energy Pvt.Ltd</x:v>
      </x:c>
    </x:row>
    <x:row r="1633" ht="48" customHeight="1">
      <x:c r="A1633" s="2" t="str">
        <x:v>TEN-0BC851D8E886</x:v>
      </x:c>
      <x:c r="B1633" s="12" t="str">
        <x:v>Metro</x:v>
      </x:c>
      <x:c r="C1633" s="12" t="str">
        <x:v>Business / brand</x:v>
      </x:c>
      <x:c r="D1633" s="12" t="str">
        <x:v>Trade, consumer &amp; logistics</x:v>
      </x:c>
      <x:c r="E1633" s="12" t="str">
        <x:v>Retail, consumer products &amp; ecommerce</x:v>
      </x:c>
      <x:c r="F1633" s="12" t="str">
        <x:v>Small-scale prospects</x:v>
      </x:c>
      <x:c r="G1633" s="12" t="str">
        <x:v>Trading or consumer-services business; small-scale prospect assumption.</x:v>
      </x:c>
      <x:c r="H1633" s="11" t="n">
        <x:v>1</x:v>
      </x:c>
      <x:c r="I1633" s="11" t="n">
        <x:v>1</x:v>
      </x:c>
      <x:c r="J1633" s="11" t="n">
        <x:v>1</x:v>
      </x:c>
      <x:c r="K1633" s="11" t="n">
        <x:v>0</x:v>
      </x:c>
      <x:c r="L1633" s="17" t="n">
        <x:f>SUM(SUMIFS('Costing'!$P$9:$P$492,'Costing'!$A$9:$A$492,"MAIN-275"))</x:f>
        <x:v>40000</x:v>
      </x:c>
      <x:c r="M1633" s="17" t="n">
        <x:f>ROUND(L1633*'Costing'!$C$4,2)</x:f>
        <x:v>7200</x:v>
      </x:c>
      <x:c r="N1633" s="17" t="n">
        <x:f>L1633+M1633</x:f>
        <x:v>47200</x:v>
      </x:c>
      <x:c r="O1633" s="12" t="str">
        <x:v>Indore</x:v>
      </x:c>
      <x:c r="P1633" s="12" t="str">
        <x:v>CORP-0271</x:v>
      </x:c>
      <x:c r="Q1633" s="12" t="str">
        <x:v>Metro</x:v>
      </x:c>
    </x:row>
    <x:row r="1634" ht="48" customHeight="1">
      <x:c r="A1634" s="2" t="str">
        <x:v>TEN-4D3373CF6F0F</x:v>
      </x:c>
      <x:c r="B1634" s="12" t="str">
        <x:v>METRO GLOBAL SOLUTION CENTER</x:v>
      </x:c>
      <x:c r="C1634" s="12" t="str">
        <x:v>Business / brand</x:v>
      </x:c>
      <x:c r="D1634" s="12" t="str">
        <x:v>Trade, consumer &amp; logistics</x:v>
      </x:c>
      <x:c r="E1634" s="12" t="str">
        <x:v>Retail, consumer products &amp; ecommerce</x:v>
      </x:c>
      <x:c r="F1634" s="12" t="str">
        <x:v>Mixed business audience</x:v>
      </x:c>
      <x:c r="G1634" s="12" t="str">
        <x:v>Established brand or business network; local company scale is not established. Use a mixed-business message.</x:v>
      </x:c>
      <x:c r="H1634" s="11" t="n">
        <x:v>1</x:v>
      </x:c>
      <x:c r="I1634" s="11" t="n">
        <x:v>4</x:v>
      </x:c>
      <x:c r="J1634" s="11" t="n">
        <x:v>4</x:v>
      </x:c>
      <x:c r="K1634" s="11" t="n">
        <x:v>0</x:v>
      </x:c>
      <x:c r="L1634" s="17" t="n">
        <x:f>SUM(SUMIFS('Costing'!$P$9:$P$492,'Costing'!$A$9:$A$492,"MAIN-381"))</x:f>
        <x:v>80000</x:v>
      </x:c>
      <x:c r="M1634" s="17" t="n">
        <x:f>ROUND(L1634*'Costing'!$C$4,2)</x:f>
        <x:v>14400</x:v>
      </x:c>
      <x:c r="N1634" s="17" t="n">
        <x:f>L1634+M1634</x:f>
        <x:v>94400</x:v>
      </x:c>
      <x:c r="O1634" s="12" t="str">
        <x:v>Pune</x:v>
      </x:c>
      <x:c r="P1634" s="12" t="str">
        <x:v>CORP-0377</x:v>
      </x:c>
      <x:c r="Q1634" s="12" t="str">
        <x:v>METRO GLOBAL SOLUTION CENTER</x:v>
      </x:c>
    </x:row>
    <x:row r="1635" ht="48" customHeight="1">
      <x:c r="A1635" s="2" t="str">
        <x:v>TEN-EEC59CDFE811</x:v>
      </x:c>
      <x:c r="B1635" s="12" t="str">
        <x:v>Metta Capital Advisors LLP</x:v>
      </x:c>
      <x:c r="C1635" s="12" t="str">
        <x:v>Business / brand</x:v>
      </x:c>
      <x:c r="D1635" s="12" t="str">
        <x:v>Finance &amp; insurance</x:v>
      </x:c>
      <x:c r="E1635" s="12" t="str">
        <x:v>Investments, securities &amp; wealth</x:v>
      </x:c>
      <x:c r="F1635" s="12" t="str">
        <x:v>Small-scale prospects</x:v>
      </x:c>
      <x:c r="G1635" s="12" t="str">
        <x:v>Financial intermediary or advisory business; small-scale prospect assumption.</x:v>
      </x:c>
      <x:c r="H1635" s="11" t="n">
        <x:v>3</x:v>
      </x:c>
      <x:c r="I1635" s="11" t="n">
        <x:v>3</x:v>
      </x:c>
      <x:c r="J1635" s="11" t="n">
        <x:v>3</x:v>
      </x:c>
      <x:c r="K1635" s="11" t="n">
        <x:v>0</x:v>
      </x:c>
      <x:c r="L1635" s="17" t="n">
        <x:f>SUM(SUMIFS('Costing'!$P$9:$P$492,'Costing'!$A$9:$A$492,"PARTNER-M175"))</x:f>
        <x:v>120000</x:v>
      </x:c>
      <x:c r="M1635" s="17" t="n">
        <x:f>ROUND(L1635*'Costing'!$C$4,2)</x:f>
        <x:v>21600</x:v>
      </x:c>
      <x:c r="N1635" s="17" t="n">
        <x:f>L1635+M1635</x:f>
        <x:v>141600</x:v>
      </x:c>
      <x:c r="O1635" s="12" t="str">
        <x:v>Mumbai</x:v>
      </x:c>
      <x:c r="P1635" s="12" t="str">
        <x:v>CORP-0592, CORP-0593, CORP-0594</x:v>
      </x:c>
      <x:c r="Q1635" s="12" t="str">
        <x:v>Metta Capital Advisors LLP</x:v>
      </x:c>
    </x:row>
    <x:row r="1636" ht="48" customHeight="1">
      <x:c r="A1636" s="2" t="str">
        <x:v>TEN-EEE1C1ADE652</x:v>
      </x:c>
      <x:c r="B1636" s="12" t="str">
        <x:v>Mi</x:v>
      </x:c>
      <x:c r="C1636" s="12" t="str">
        <x:v>Business / brand</x:v>
      </x:c>
      <x:c r="D1636" s="12" t="str">
        <x:v>Trade, consumer &amp; logistics</x:v>
      </x:c>
      <x:c r="E1636" s="12" t="str">
        <x:v>Retail, consumer products &amp; ecommerce</x:v>
      </x:c>
      <x:c r="F1636" s="12" t="str">
        <x:v>Small-scale prospects</x:v>
      </x:c>
      <x:c r="G1636" s="12" t="str">
        <x:v>Trading or consumer-services business; small-scale prospect assumption.</x:v>
      </x:c>
      <x:c r="H1636" s="11" t="n">
        <x:v>1</x:v>
      </x:c>
      <x:c r="I1636" s="11" t="n">
        <x:v>1</x:v>
      </x:c>
      <x:c r="J1636" s="11" t="n">
        <x:v>1</x:v>
      </x:c>
      <x:c r="K1636" s="11" t="n">
        <x:v>0</x:v>
      </x:c>
      <x:c r="L1636" s="17" t="n">
        <x:f>SUM(SUMIFS('Costing'!$P$9:$P$492,'Costing'!$A$9:$A$492,"MAIN-390"))</x:f>
        <x:v>15000</x:v>
      </x:c>
      <x:c r="M1636" s="17" t="n">
        <x:f>ROUND(L1636*'Costing'!$C$4,2)</x:f>
        <x:v>2700</x:v>
      </x:c>
      <x:c r="N1636" s="17" t="n">
        <x:f>L1636+M1636</x:f>
        <x:v>17700</x:v>
      </x:c>
      <x:c r="O1636" s="12" t="str">
        <x:v>Pune</x:v>
      </x:c>
      <x:c r="P1636" s="12" t="str">
        <x:v>CORP-0386</x:v>
      </x:c>
      <x:c r="Q1636" s="12" t="str">
        <x:v>Mi</x:v>
      </x:c>
    </x:row>
    <x:row r="1637" ht="48" customHeight="1">
      <x:c r="A1637" s="2" t="str">
        <x:v>TEN-7FB744292917</x:v>
      </x:c>
      <x:c r="B1637" s="12" t="str">
        <x:v>Micro Mechanical Works</x:v>
      </x:c>
      <x:c r="C1637" s="12" t="str">
        <x:v>Business / brand</x:v>
      </x:c>
      <x:c r="D1637" s="12" t="str">
        <x:v>Engineering &amp; manufacturing</x:v>
      </x:c>
      <x:c r="E1637" s="12" t="str">
        <x:v>Electronics, industrial systems &amp; manufacturing</x:v>
      </x:c>
      <x:c r="F1637" s="12" t="str">
        <x:v>Medium-scale prospects</x:v>
      </x:c>
      <x:c r="G1637" s="12" t="str">
        <x:v>Specialist industrial or engineering business; medium-scale prospect assumption.</x:v>
      </x:c>
      <x:c r="H1637" s="11" t="n">
        <x:v>2</x:v>
      </x:c>
      <x:c r="I1637" s="11" t="n">
        <x:v>2</x:v>
      </x:c>
      <x:c r="J1637" s="11" t="n">
        <x:v>2</x:v>
      </x:c>
      <x:c r="K1637" s="11" t="n">
        <x:v>0</x:v>
      </x:c>
      <x:c r="L1637" s="17" t="n">
        <x:f>SUM(SUMIFS('Costing'!$P$9:$P$492,'Costing'!$A$9:$A$492,"PARTNER-M239"))</x:f>
        <x:v>80000</x:v>
      </x:c>
      <x:c r="M1637" s="17" t="n">
        <x:f>ROUND(L1637*'Costing'!$C$4,2)</x:f>
        <x:v>14400</x:v>
      </x:c>
      <x:c r="N1637" s="17" t="n">
        <x:f>L1637+M1637</x:f>
        <x:v>94400</x:v>
      </x:c>
      <x:c r="O1637" s="12" t="str">
        <x:v>Mumbai</x:v>
      </x:c>
      <x:c r="P1637" s="12" t="str">
        <x:v>CORP-0656, CORP-0657</x:v>
      </x:c>
      <x:c r="Q1637" s="12" t="str">
        <x:v>Micro Mechanical Works</x:v>
      </x:c>
    </x:row>
    <x:row r="1638" ht="49" customHeight="1">
      <x:c r="A1638" s="2" t="str">
        <x:v>TEN-51BE3E92D716</x:v>
      </x:c>
      <x:c r="B1638" s="12" t="str">
        <x:v>Microfocus</x:v>
      </x:c>
      <x:c r="C1638" s="12" t="str">
        <x:v>Business / brand</x:v>
      </x:c>
      <x:c r="D1638" s="12" t="str">
        <x:v>IT &amp; digital</x:v>
      </x:c>
      <x:c r="E1638" s="12" t="str">
        <x:v>Technology services — specialty unverified</x:v>
      </x:c>
      <x:c r="F1638" s="12" t="str">
        <x:v>Mixed business audience</x:v>
      </x:c>
      <x:c r="G1638" s="12" t="str">
        <x:v>Recognisable business context; company-scale evidence remains insufficient for a single size band.</x:v>
      </x:c>
      <x:c r="H1638" s="11" t="n">
        <x:v>12</x:v>
      </x:c>
      <x:c r="I1638" s="11" t="n">
        <x:v>12</x:v>
      </x:c>
      <x:c r="J1638" s="11" t="n">
        <x:v>12</x:v>
      </x:c>
      <x:c r="K1638" s="11" t="n">
        <x:v>0</x:v>
      </x:c>
      <x:c r="L1638" s="17" t="n">
        <x:f>SUM(SUMIFS('Costing'!$P$9:$P$492,'Costing'!$A$9:$A$492,"PARTNER-M108"))</x:f>
        <x:v>480000</x:v>
      </x:c>
      <x:c r="M1638" s="17" t="n">
        <x:f>ROUND(L1638*'Costing'!$C$4,2)</x:f>
        <x:v>86400</x:v>
      </x:c>
      <x:c r="N1638" s="17" t="n">
        <x:f>L1638+M1638</x:f>
        <x:v>566400</x:v>
      </x:c>
      <x:c r="O1638" s="12" t="str">
        <x:v>Bengaluru</x:v>
      </x:c>
      <x:c r="P1638" s="12" t="str">
        <x:v>CORP-0526, CORP-0527, CORP-0528, CORP-0529, CORP-0530, CORP-0531, CORP-0532, CORP-0533, CORP-0534, CORP-0535, CORP-0536, CORP-0537</x:v>
      </x:c>
      <x:c r="Q1638" s="12" t="str">
        <x:v>Microfocus</x:v>
      </x:c>
    </x:row>
    <x:row r="1639" ht="48" customHeight="1">
      <x:c r="A1639" s="2" t="str">
        <x:v>TEN-A88C31E9B91F</x:v>
      </x:c>
      <x:c r="B1639" s="12" t="str">
        <x:v>Microland</x:v>
      </x:c>
      <x:c r="C1639" s="12" t="str">
        <x:v>Business / brand</x:v>
      </x:c>
      <x:c r="D1639" s="12" t="str">
        <x:v>IT &amp; digital</x:v>
      </x:c>
      <x:c r="E1639" s="12" t="str">
        <x:v>Enterprise software &amp; digital engineering</x:v>
      </x:c>
      <x:c r="F1639" s="12" t="str">
        <x:v>Mixed business audience</x:v>
      </x:c>
      <x:c r="G1639" s="12" t="str">
        <x:v>Established brand or business network; local company scale is not established. Use a mixed-business message.</x:v>
      </x:c>
      <x:c r="H1639" s="11" t="n">
        <x:v>10</x:v>
      </x:c>
      <x:c r="I1639" s="11" t="n">
        <x:v>10</x:v>
      </x:c>
      <x:c r="J1639" s="11" t="n">
        <x:v>10</x:v>
      </x:c>
      <x:c r="K1639" s="11" t="n">
        <x:v>0</x:v>
      </x:c>
      <x:c r="L1639" s="17" t="n">
        <x:f>SUM(SUMIFS('Costing'!$P$9:$P$492,'Costing'!$A$9:$A$492,"PARTNER-M120"))</x:f>
        <x:v>400000</x:v>
      </x:c>
      <x:c r="M1639" s="17" t="n">
        <x:f>ROUND(L1639*'Costing'!$C$4,2)</x:f>
        <x:v>72000</x:v>
      </x:c>
      <x:c r="N1639" s="17" t="n">
        <x:f>L1639+M1639</x:f>
        <x:v>472000</x:v>
      </x:c>
      <x:c r="O1639" s="12" t="str">
        <x:v>Bengaluru</x:v>
      </x:c>
      <x:c r="P1639" s="12" t="str">
        <x:v>CORP-0538, CORP-0539, CORP-0540, CORP-0541, CORP-0542, CORP-0543, CORP-0544, CORP-0545, CORP-0546, CORP-0547</x:v>
      </x:c>
      <x:c r="Q1639" s="12" t="str">
        <x:v>Microland</x:v>
      </x:c>
    </x:row>
    <x:row r="1640" ht="48" customHeight="1">
      <x:c r="A1640" s="2" t="str">
        <x:v>TEN-6AD0A30CACD0</x:v>
      </x:c>
      <x:c r="B1640" s="12" t="str">
        <x:v>MicroMitti</x:v>
      </x:c>
      <x:c r="C1640" s="12" t="str">
        <x:v>Business / brand</x:v>
      </x:c>
      <x:c r="D1640" s="12" t="str">
        <x:v>Trade, consumer &amp; logistics</x:v>
      </x:c>
      <x:c r="E1640" s="12" t="str">
        <x:v>Real estate, property &amp; construction services</x:v>
      </x:c>
      <x:c r="F1640" s="12" t="str">
        <x:v>Small-scale prospects</x:v>
      </x:c>
      <x:c r="G1640" s="12" t="str">
        <x:v>Trading or consumer-services business; small-scale prospect assumption.</x:v>
      </x:c>
      <x:c r="H1640" s="11" t="n">
        <x:v>1</x:v>
      </x:c>
      <x:c r="I1640" s="11" t="n">
        <x:v>2</x:v>
      </x:c>
      <x:c r="J1640" s="11" t="n">
        <x:v>2</x:v>
      </x:c>
      <x:c r="K1640" s="11" t="n">
        <x:v>0</x:v>
      </x:c>
      <x:c r="L1640" s="17" t="n">
        <x:f>SUM(SUMIFS('Costing'!$P$9:$P$492,'Costing'!$A$9:$A$492,"MAIN-268"))</x:f>
        <x:v>80000</x:v>
      </x:c>
      <x:c r="M1640" s="17" t="n">
        <x:f>ROUND(L1640*'Costing'!$C$4,2)</x:f>
        <x:v>14400</x:v>
      </x:c>
      <x:c r="N1640" s="17" t="n">
        <x:f>L1640+M1640</x:f>
        <x:v>94400</x:v>
      </x:c>
      <x:c r="O1640" s="12" t="str">
        <x:v>Indore</x:v>
      </x:c>
      <x:c r="P1640" s="12" t="str">
        <x:v>CORP-0264</x:v>
      </x:c>
      <x:c r="Q1640" s="12" t="str">
        <x:v>MicroMitti</x:v>
      </x:c>
    </x:row>
    <x:row r="1641" ht="48" customHeight="1">
      <x:c r="A1641" s="2" t="str">
        <x:v>TEN-9DE4EB87E986</x:v>
      </x:c>
      <x:c r="B1641" s="12" t="str">
        <x:v>Microsemi Communications India</x:v>
      </x:c>
      <x:c r="C1641" s="12" t="str">
        <x:v>Business / brand</x:v>
      </x:c>
      <x:c r="D1641" s="12" t="str">
        <x:v>IT &amp; digital</x:v>
      </x:c>
      <x:c r="E1641" s="12" t="str">
        <x:v>Telecom, networks &amp; connectivity</x:v>
      </x:c>
      <x:c r="F1641" s="12" t="str">
        <x:v>Mixed business audience</x:v>
      </x:c>
      <x:c r="G1641" s="12" t="str">
        <x:v>Recognisable business context; company-scale evidence remains insufficient for a single size band.</x:v>
      </x:c>
      <x:c r="H1641" s="11" t="n">
        <x:v>7</x:v>
      </x:c>
      <x:c r="I1641" s="11" t="n">
        <x:v>7</x:v>
      </x:c>
      <x:c r="J1641" s="11" t="n">
        <x:v>7</x:v>
      </x:c>
      <x:c r="K1641" s="11" t="n">
        <x:v>0</x:v>
      </x:c>
      <x:c r="L1641" s="17" t="n">
        <x:f>SUM(SUMIFS('Costing'!$P$9:$P$492,'Costing'!$A$9:$A$492,"PARTNER-M317"))</x:f>
        <x:v>280000</x:v>
      </x:c>
      <x:c r="M1641" s="17" t="n">
        <x:f>ROUND(L1641*'Costing'!$C$4,2)</x:f>
        <x:v>50400</x:v>
      </x:c>
      <x:c r="N1641" s="17" t="n">
        <x:f>L1641+M1641</x:f>
        <x:v>330400</x:v>
      </x:c>
      <x:c r="O1641" s="12" t="str">
        <x:v>Hyderabad</x:v>
      </x:c>
      <x:c r="P1641" s="12" t="str">
        <x:v>CORP-0732, CORP-0733, CORP-0734, CORP-0735, CORP-0736, CORP-0737, CORP-0738</x:v>
      </x:c>
      <x:c r="Q1641" s="12" t="str">
        <x:v>Microsemi Communications India</x:v>
      </x:c>
    </x:row>
    <x:row r="1642" ht="62" customHeight="1">
      <x:c r="A1642" s="2" t="str">
        <x:v>TEN-9FBF261B62C1</x:v>
      </x:c>
      <x:c r="B1642" s="12" t="str">
        <x:v>Microsoft</x:v>
      </x:c>
      <x:c r="C1642" s="12" t="str">
        <x:v>Business / brand</x:v>
      </x:c>
      <x:c r="D1642" s="12" t="str">
        <x:v>IT &amp; digital</x:v>
      </x:c>
      <x:c r="E1642" s="12" t="str">
        <x:v>Technology services — specialty unverified</x:v>
      </x:c>
      <x:c r="F1642" s="12" t="str">
        <x:v>Large enterprise</x:v>
      </x:c>
      <x:c r="G1642" s="12" t="str">
        <x:v>Official global software/cloud company identity and operations support enterprise context.</x:v>
      </x:c>
      <x:c r="H1642" s="11" t="n">
        <x:v>21</x:v>
      </x:c>
      <x:c r="I1642" s="11" t="n">
        <x:v>21</x:v>
      </x:c>
      <x:c r="J1642" s="11" t="n">
        <x:v>21</x:v>
      </x:c>
      <x:c r="K1642" s="11" t="n">
        <x:v>0</x:v>
      </x:c>
      <x:c r="L1642" s="17" t="n">
        <x:f>SUM(SUMIFS('Costing'!$P$9:$P$492,'Costing'!$A$9:$A$492,"PARTNER-M138"),SUMIFS('Costing'!$P$9:$P$492,'Costing'!$A$9:$A$492,"PARTNER-M051"),SUMIFS('Costing'!$P$9:$P$492,'Costing'!$A$9:$A$492,"PARTNER-M039"),SUMIFS('Costing'!$P$9:$P$492,'Costing'!$A$9:$A$492,"PARTNER-M332"))</x:f>
        <x:v>840000</x:v>
      </x:c>
      <x:c r="M1642" s="17" t="n">
        <x:f>ROUND(L1642*'Costing'!$C$4,2)</x:f>
        <x:v>151200</x:v>
      </x:c>
      <x:c r="N1642" s="17" t="n">
        <x:f>L1642+M1642</x:f>
        <x:v>991200</x:v>
      </x:c>
      <x:c r="O1642" s="12" t="str">
        <x:v>Bengaluru, Chennai</x:v>
      </x:c>
      <x:c r="P1642" s="12" t="str">
        <x:v>CORP-0457, CORP-0458, CORP-0459, CORP-0460, CORP-0461, CORP-0462, CORP-0469, CORP-0470, CORP-0471, CORP-0472, CORP-0473, CORP-0556, CORP-0557, CORP-0558, CORP-0559, CORP-0560, CORP-0561, CORP-0562, CORP-0563, CORP-0746, CORP-0747</x:v>
      </x:c>
      <x:c r="Q1642" s="12" t="str">
        <x:v>Microsoft</x:v>
      </x:c>
    </x:row>
    <x:row r="1643" ht="48" customHeight="1">
      <x:c r="A1643" s="2" t="str">
        <x:v>TEN-6AABB2EDC69D</x:v>
      </x:c>
      <x:c r="B1643" s="12" t="str">
        <x:v>Microsoft Corporation India Private Limited</x:v>
      </x:c>
      <x:c r="C1643" s="12" t="str">
        <x:v>Business / brand</x:v>
      </x:c>
      <x:c r="D1643" s="12" t="str">
        <x:v>IT &amp; digital</x:v>
      </x:c>
      <x:c r="E1643" s="12" t="str">
        <x:v>Technology services — specialty unverified</x:v>
      </x:c>
      <x:c r="F1643" s="12" t="str">
        <x:v>Large enterprise</x:v>
      </x:c>
      <x:c r="G1643" s="12" t="str">
        <x:v>Official global software/cloud company identity and operations support enterprise context.</x:v>
      </x:c>
      <x:c r="H1643" s="11" t="n">
        <x:v>6</x:v>
      </x:c>
      <x:c r="I1643" s="11" t="n">
        <x:v>6</x:v>
      </x:c>
      <x:c r="J1643" s="11" t="n">
        <x:v>6</x:v>
      </x:c>
      <x:c r="K1643" s="11" t="n">
        <x:v>0</x:v>
      </x:c>
      <x:c r="L1643" s="17" t="n">
        <x:f>SUM(SUMIFS('Costing'!$P$9:$P$492,'Costing'!$A$9:$A$492,"PARTNER-M227"))</x:f>
        <x:v>240000</x:v>
      </x:c>
      <x:c r="M1643" s="17" t="n">
        <x:f>ROUND(L1643*'Costing'!$C$4,2)</x:f>
        <x:v>43200</x:v>
      </x:c>
      <x:c r="N1643" s="17" t="n">
        <x:f>L1643+M1643</x:f>
        <x:v>283200</x:v>
      </x:c>
      <x:c r="O1643" s="12" t="str">
        <x:v>Mumbai</x:v>
      </x:c>
      <x:c r="P1643" s="12" t="str">
        <x:v>CORP-0644, CORP-0645, CORP-0646, CORP-0647, CORP-0648, CORP-0649</x:v>
      </x:c>
      <x:c r="Q1643" s="12" t="str">
        <x:v>Microsoft Corporation India Private Limited</x:v>
      </x:c>
    </x:row>
    <x:row r="1644" ht="48" customHeight="1">
      <x:c r="A1644" s="2" t="str">
        <x:v>TEN-0C8F4D4F49A4</x:v>
      </x:c>
      <x:c r="B1644" s="12" t="str">
        <x:v>Midnight cravings</x:v>
      </x:c>
      <x:c r="C1644" s="12" t="str">
        <x:v>Business / brand</x:v>
      </x:c>
      <x:c r="D1644" s="12" t="str">
        <x:v>Trade, consumer &amp; logistics</x:v>
      </x:c>
      <x:c r="E1644" s="12" t="str">
        <x:v>Travel, hospitality, food &amp; beverages</x:v>
      </x:c>
      <x:c r="F1644" s="12" t="str">
        <x:v>Small-scale prospects</x:v>
      </x:c>
      <x:c r="G1644" s="12" t="str">
        <x:v>Trading or consumer-services business; small-scale prospect assumption.</x:v>
      </x:c>
      <x:c r="H1644" s="11" t="n">
        <x:v>1</x:v>
      </x:c>
      <x:c r="I1644" s="11" t="n">
        <x:v>13</x:v>
      </x:c>
      <x:c r="J1644" s="11" t="n">
        <x:v>13</x:v>
      </x:c>
      <x:c r="K1644" s="11" t="n">
        <x:v>0</x:v>
      </x:c>
      <x:c r="L1644" s="17" t="n">
        <x:f>SUM(SUMIFS('Costing'!$P$9:$P$492,'Costing'!$A$9:$A$492,"MAIN-240"))</x:f>
        <x:v>195000</x:v>
      </x:c>
      <x:c r="M1644" s="17" t="n">
        <x:f>ROUND(L1644*'Costing'!$C$4,2)</x:f>
        <x:v>35100</x:v>
      </x:c>
      <x:c r="N1644" s="17" t="n">
        <x:f>L1644+M1644</x:f>
        <x:v>230100</x:v>
      </x:c>
      <x:c r="O1644" s="12" t="str">
        <x:v>Hyderabad</x:v>
      </x:c>
      <x:c r="P1644" s="12" t="str">
        <x:v>CORP-0236</x:v>
      </x:c>
      <x:c r="Q1644" s="12" t="str">
        <x:v>Midnight cravings</x:v>
      </x:c>
    </x:row>
    <x:row r="1645" ht="48" customHeight="1">
      <x:c r="A1645" s="2" t="str">
        <x:v>TEN-1D81EC4AC755</x:v>
      </x:c>
      <x:c r="B1645" s="12" t="str">
        <x:v>Miebach</x:v>
      </x:c>
      <x:c r="C1645" s="12" t="str">
        <x:v>Business / brand</x:v>
      </x:c>
      <x:c r="D1645" s="12" t="str">
        <x:v>Professional services</x:v>
      </x:c>
      <x:c r="E1645" s="12" t="str">
        <x:v>Logistics, strategy &amp; market research consulting</x:v>
      </x:c>
      <x:c r="F1645" s="12" t="str">
        <x:v>Mixed business audience</x:v>
      </x:c>
      <x:c r="G1645" s="12" t="str">
        <x:v>Established brand or business network; local company scale is not established. Use a mixed-business message.</x:v>
      </x:c>
      <x:c r="H1645" s="11" t="n">
        <x:v>1</x:v>
      </x:c>
      <x:c r="I1645" s="11" t="n">
        <x:v>1</x:v>
      </x:c>
      <x:c r="J1645" s="11" t="n">
        <x:v>1</x:v>
      </x:c>
      <x:c r="K1645" s="11" t="n">
        <x:v>0</x:v>
      </x:c>
      <x:c r="L1645" s="17" t="n">
        <x:f>SUM(SUMIFS('Costing'!$P$9:$P$492,'Costing'!$A$9:$A$492,"MAIN-103"))</x:f>
        <x:v>15000</x:v>
      </x:c>
      <x:c r="M1645" s="17" t="n">
        <x:f>ROUND(L1645*'Costing'!$C$4,2)</x:f>
        <x:v>2700</x:v>
      </x:c>
      <x:c r="N1645" s="17" t="n">
        <x:f>L1645+M1645</x:f>
        <x:v>17700</x:v>
      </x:c>
      <x:c r="O1645" s="12" t="str">
        <x:v>Bengaluru</x:v>
      </x:c>
      <x:c r="P1645" s="12" t="str">
        <x:v>CORP-0099</x:v>
      </x:c>
      <x:c r="Q1645" s="12" t="str">
        <x:v>Miebach</x:v>
      </x:c>
    </x:row>
    <x:row r="1646" ht="48" customHeight="1">
      <x:c r="A1646" s="2" t="str">
        <x:v>TEN-DD342226D88C</x:v>
      </x:c>
      <x:c r="B1646" s="12" t="str">
        <x:v>Migration Standards</x:v>
      </x:c>
      <x:c r="C1646" s="12" t="str">
        <x:v>Business / brand</x:v>
      </x:c>
      <x:c r="D1646" s="12" t="str">
        <x:v>Professional services</x:v>
      </x:c>
      <x:c r="E1646" s="12" t="str">
        <x:v>Immigration &amp; relocation services</x:v>
      </x:c>
      <x:c r="F1646" s="12" t="str">
        <x:v>Small-scale prospects</x:v>
      </x:c>
      <x:c r="G1646" s="12" t="str">
        <x:v>Professional service, agency or advisory model; small-scale prospect assumption.</x:v>
      </x:c>
      <x:c r="H1646" s="11" t="n">
        <x:v>2</x:v>
      </x:c>
      <x:c r="I1646" s="11" t="n">
        <x:v>5</x:v>
      </x:c>
      <x:c r="J1646" s="11" t="n">
        <x:v>5</x:v>
      </x:c>
      <x:c r="K1646" s="11" t="n">
        <x:v>0</x:v>
      </x:c>
      <x:c r="L1646" s="17" t="n">
        <x:f>SUM(SUMIFS('Costing'!$P$9:$P$492,'Costing'!$A$9:$A$492,"MAIN-219"),SUMIFS('Costing'!$P$9:$P$492,'Costing'!$A$9:$A$492,"MAIN-221"))</x:f>
        <x:v>75000</x:v>
      </x:c>
      <x:c r="M1646" s="17" t="n">
        <x:f>ROUND(L1646*'Costing'!$C$4,2)</x:f>
        <x:v>13500</x:v>
      </x:c>
      <x:c r="N1646" s="17" t="n">
        <x:f>L1646+M1646</x:f>
        <x:v>88500</x:v>
      </x:c>
      <x:c r="O1646" s="12" t="str">
        <x:v>Hyderabad</x:v>
      </x:c>
      <x:c r="P1646" s="12" t="str">
        <x:v>CORP-0215, CORP-0217</x:v>
      </x:c>
      <x:c r="Q1646" s="12" t="str">
        <x:v>Migration Standards, Migration standards</x:v>
      </x:c>
    </x:row>
    <x:row r="1647" ht="48" customHeight="1">
      <x:c r="A1647" s="2" t="str">
        <x:v>TEN-18BA3D03B696</x:v>
      </x:c>
      <x:c r="B1647" s="12" t="str">
        <x:v>Mikael Global Solutions</x:v>
      </x:c>
      <x:c r="C1647" s="12" t="str">
        <x:v>Business / brand</x:v>
      </x:c>
      <x:c r="D1647" s="12" t="str">
        <x:v>Unresolved</x:v>
      </x:c>
      <x:c r="E1647" s="12" t="str">
        <x:v>Business activity not established</x:v>
      </x:c>
      <x:c r="F1647" s="12" t="str">
        <x:v>Mixed business audience</x:v>
      </x:c>
      <x:c r="G1647" s="12" t="str">
        <x:v>Business activity and company scale are not established from this name.</x:v>
      </x:c>
      <x:c r="H1647" s="11" t="n">
        <x:v>1</x:v>
      </x:c>
      <x:c r="I1647" s="11" t="n">
        <x:v>1</x:v>
      </x:c>
      <x:c r="J1647" s="11" t="n">
        <x:v>1</x:v>
      </x:c>
      <x:c r="K1647" s="11" t="n">
        <x:v>0</x:v>
      </x:c>
      <x:c r="L1647" s="17" t="n">
        <x:f>SUM(SUMIFS('Costing'!$P$9:$P$492,'Costing'!$A$9:$A$492,"MAIN-159"))</x:f>
        <x:v>15000</x:v>
      </x:c>
      <x:c r="M1647" s="17" t="n">
        <x:f>ROUND(L1647*'Costing'!$C$4,2)</x:f>
        <x:v>2700</x:v>
      </x:c>
      <x:c r="N1647" s="17" t="n">
        <x:f>L1647+M1647</x:f>
        <x:v>17700</x:v>
      </x:c>
      <x:c r="O1647" s="12" t="str">
        <x:v>Chennai</x:v>
      </x:c>
      <x:c r="P1647" s="12" t="str">
        <x:v>CORP-0155</x:v>
      </x:c>
      <x:c r="Q1647" s="12" t="str">
        <x:v>Mikael Global Solutions</x:v>
      </x:c>
    </x:row>
    <x:row r="1648" ht="48" customHeight="1">
      <x:c r="A1648" s="2" t="str">
        <x:v>TEN-D33E381C60D5</x:v>
      </x:c>
      <x:c r="B1648" s="12" t="str">
        <x:v>Mindbody Software Pvt. Ltd</x:v>
      </x:c>
      <x:c r="C1648" s="12" t="str">
        <x:v>Business / brand</x:v>
      </x:c>
      <x:c r="D1648" s="12" t="str">
        <x:v>IT &amp; digital</x:v>
      </x:c>
      <x:c r="E1648" s="12" t="str">
        <x:v>Enterprise software &amp; digital engineering</x:v>
      </x:c>
      <x:c r="F1648" s="12" t="str">
        <x:v>Mixed business audience</x:v>
      </x:c>
      <x:c r="G1648" s="12" t="str">
        <x:v>Established brand or business network; local company scale is not established. Use a mixed-business message.</x:v>
      </x:c>
      <x:c r="H1648" s="11" t="n">
        <x:v>1</x:v>
      </x:c>
      <x:c r="I1648" s="11" t="n">
        <x:v>4</x:v>
      </x:c>
      <x:c r="J1648" s="11" t="n">
        <x:v>4</x:v>
      </x:c>
      <x:c r="K1648" s="11" t="n">
        <x:v>0</x:v>
      </x:c>
      <x:c r="L1648" s="17" t="n">
        <x:f>SUM(SUMIFS('Costing'!$P$9:$P$492,'Costing'!$A$9:$A$492,"MAIN-381"))</x:f>
        <x:v>80000</x:v>
      </x:c>
      <x:c r="M1648" s="17" t="n">
        <x:f>ROUND(L1648*'Costing'!$C$4,2)</x:f>
        <x:v>14400</x:v>
      </x:c>
      <x:c r="N1648" s="17" t="n">
        <x:f>L1648+M1648</x:f>
        <x:v>94400</x:v>
      </x:c>
      <x:c r="O1648" s="12" t="str">
        <x:v>Pune</x:v>
      </x:c>
      <x:c r="P1648" s="12" t="str">
        <x:v>CORP-0377</x:v>
      </x:c>
      <x:c r="Q1648" s="12" t="str">
        <x:v>Mindbody Software Pvt. Ltd</x:v>
      </x:c>
    </x:row>
    <x:row r="1649" ht="48" customHeight="1">
      <x:c r="A1649" s="2" t="str">
        <x:v>TEN-98A5564F2BD1</x:v>
      </x:c>
      <x:c r="B1649" s="12" t="str">
        <x:v>MindCraft Software</x:v>
      </x:c>
      <x:c r="C1649" s="12" t="str">
        <x:v>Business / brand</x:v>
      </x:c>
      <x:c r="D1649" s="12" t="str">
        <x:v>IT &amp; digital</x:v>
      </x:c>
      <x:c r="E1649" s="12" t="str">
        <x:v>Enterprise software &amp; digital engineering</x:v>
      </x:c>
      <x:c r="F1649" s="12" t="str">
        <x:v>Small-scale prospects</x:v>
      </x:c>
      <x:c r="G1649" s="12" t="str">
        <x:v>Software or technology-services business; small-scale prospect assumption.</x:v>
      </x:c>
      <x:c r="H1649" s="11" t="n">
        <x:v>2</x:v>
      </x:c>
      <x:c r="I1649" s="11" t="n">
        <x:v>2</x:v>
      </x:c>
      <x:c r="J1649" s="11" t="n">
        <x:v>2</x:v>
      </x:c>
      <x:c r="K1649" s="11" t="n">
        <x:v>0</x:v>
      </x:c>
      <x:c r="L1649" s="17" t="n">
        <x:f>SUM(SUMIFS('Costing'!$P$9:$P$492,'Costing'!$A$9:$A$492,"PARTNER-M241"))</x:f>
        <x:v>80000</x:v>
      </x:c>
      <x:c r="M1649" s="17" t="n">
        <x:f>ROUND(L1649*'Costing'!$C$4,2)</x:f>
        <x:v>14400</x:v>
      </x:c>
      <x:c r="N1649" s="17" t="n">
        <x:f>L1649+M1649</x:f>
        <x:v>94400</x:v>
      </x:c>
      <x:c r="O1649" s="12" t="str">
        <x:v>Mumbai</x:v>
      </x:c>
      <x:c r="P1649" s="12" t="str">
        <x:v>CORP-0658, CORP-0659</x:v>
      </x:c>
      <x:c r="Q1649" s="12" t="str">
        <x:v>MindCraft Software</x:v>
      </x:c>
    </x:row>
    <x:row r="1650" ht="48" customHeight="1">
      <x:c r="A1650" s="2" t="str">
        <x:v>TEN-D8F6D49FF41D</x:v>
      </x:c>
      <x:c r="B1650" s="12" t="str">
        <x:v>MindCraft Software Pvt. Ltd</x:v>
      </x:c>
      <x:c r="C1650" s="12" t="str">
        <x:v>Business / brand</x:v>
      </x:c>
      <x:c r="D1650" s="12" t="str">
        <x:v>IT &amp; digital</x:v>
      </x:c>
      <x:c r="E1650" s="12" t="str">
        <x:v>Enterprise software &amp; digital engineering</x:v>
      </x:c>
      <x:c r="F1650" s="12" t="str">
        <x:v>Small-scale prospects</x:v>
      </x:c>
      <x:c r="G1650" s="12" t="str">
        <x:v>Software or technology-services business; small-scale prospect assumption.</x:v>
      </x:c>
      <x:c r="H1650" s="11" t="n">
        <x:v>10</x:v>
      </x:c>
      <x:c r="I1650" s="11" t="n">
        <x:v>10</x:v>
      </x:c>
      <x:c r="J1650" s="11" t="n">
        <x:v>10</x:v>
      </x:c>
      <x:c r="K1650" s="11" t="n">
        <x:v>0</x:v>
      </x:c>
      <x:c r="L1650" s="17" t="n">
        <x:f>SUM(SUMIFS('Costing'!$P$9:$P$492,'Costing'!$A$9:$A$492,"PARTNER-M205"))</x:f>
        <x:v>400000</x:v>
      </x:c>
      <x:c r="M1650" s="17" t="n">
        <x:f>ROUND(L1650*'Costing'!$C$4,2)</x:f>
        <x:v>72000</x:v>
      </x:c>
      <x:c r="N1650" s="17" t="n">
        <x:f>L1650+M1650</x:f>
        <x:v>472000</x:v>
      </x:c>
      <x:c r="O1650" s="12" t="str">
        <x:v>Mumbai</x:v>
      </x:c>
      <x:c r="P1650" s="12" t="str">
        <x:v>CORP-0622, CORP-0623, CORP-0624, CORP-0625, CORP-0626, CORP-0627, CORP-0628, CORP-0629, CORP-0630, CORP-0631</x:v>
      </x:c>
      <x:c r="Q1650" s="12" t="str">
        <x:v>MindCraft Software Pvt. Ltd</x:v>
      </x:c>
    </x:row>
    <x:row r="1651" ht="48" customHeight="1">
      <x:c r="A1651" s="2" t="str">
        <x:v>TEN-8DF0CA31AB4A</x:v>
      </x:c>
      <x:c r="B1651" s="12" t="str">
        <x:v>Mindgate Solutions Pvt Ltd</x:v>
      </x:c>
      <x:c r="C1651" s="12" t="str">
        <x:v>Business / brand</x:v>
      </x:c>
      <x:c r="D1651" s="12" t="str">
        <x:v>IT &amp; digital</x:v>
      </x:c>
      <x:c r="E1651" s="12" t="str">
        <x:v>Enterprise software &amp; digital engineering</x:v>
      </x:c>
      <x:c r="F1651" s="12" t="str">
        <x:v>Small-scale prospects</x:v>
      </x:c>
      <x:c r="G1651" s="12" t="str">
        <x:v>Software or technology-services business; small-scale prospect assumption.</x:v>
      </x:c>
      <x:c r="H1651" s="11" t="n">
        <x:v>2</x:v>
      </x:c>
      <x:c r="I1651" s="11" t="n">
        <x:v>4</x:v>
      </x:c>
      <x:c r="J1651" s="11" t="n">
        <x:v>4</x:v>
      </x:c>
      <x:c r="K1651" s="11" t="n">
        <x:v>0</x:v>
      </x:c>
      <x:c r="L1651" s="17" t="n">
        <x:f>SUM(SUMIFS('Costing'!$P$9:$P$492,'Costing'!$A$9:$A$492,"MAIN-156"),SUMIFS('Costing'!$P$9:$P$492,'Costing'!$A$9:$A$492,"MAIN-157"))</x:f>
        <x:v>117500</x:v>
      </x:c>
      <x:c r="M1651" s="17" t="n">
        <x:f>ROUND(L1651*'Costing'!$C$4,2)</x:f>
        <x:v>21150</x:v>
      </x:c>
      <x:c r="N1651" s="17" t="n">
        <x:f>L1651+M1651</x:f>
        <x:v>138650</x:v>
      </x:c>
      <x:c r="O1651" s="12" t="str">
        <x:v>Chennai</x:v>
      </x:c>
      <x:c r="P1651" s="12" t="str">
        <x:v>CORP-0152, CORP-0153</x:v>
      </x:c>
      <x:c r="Q1651" s="12" t="str">
        <x:v>Mindgate Solutions Pvt Ltd</x:v>
      </x:c>
    </x:row>
    <x:row r="1652" ht="48" customHeight="1">
      <x:c r="A1652" s="2" t="str">
        <x:v>TEN-837526D88A14</x:v>
      </x:c>
      <x:c r="B1652" s="12" t="str">
        <x:v>Mindset Consulting</x:v>
      </x:c>
      <x:c r="C1652" s="12" t="str">
        <x:v>Business / brand</x:v>
      </x:c>
      <x:c r="D1652" s="12" t="str">
        <x:v>Professional services</x:v>
      </x:c>
      <x:c r="E1652" s="12" t="str">
        <x:v>Business consulting &amp; advisory</x:v>
      </x:c>
      <x:c r="F1652" s="12" t="str">
        <x:v>Small-scale prospects</x:v>
      </x:c>
      <x:c r="G1652" s="12" t="str">
        <x:v>Professional service, agency or advisory model; small-scale prospect assumption.</x:v>
      </x:c>
      <x:c r="H1652" s="11" t="n">
        <x:v>1</x:v>
      </x:c>
      <x:c r="I1652" s="11" t="n">
        <x:v>7</x:v>
      </x:c>
      <x:c r="J1652" s="11" t="n">
        <x:v>7</x:v>
      </x:c>
      <x:c r="K1652" s="11" t="n">
        <x:v>0</x:v>
      </x:c>
      <x:c r="L1652" s="17" t="n">
        <x:f>SUM(SUMIFS('Costing'!$P$9:$P$492,'Costing'!$A$9:$A$492,"MAIN-129"))</x:f>
        <x:v>175000</x:v>
      </x:c>
      <x:c r="M1652" s="17" t="n">
        <x:f>ROUND(L1652*'Costing'!$C$4,2)</x:f>
        <x:v>31500</x:v>
      </x:c>
      <x:c r="N1652" s="17" t="n">
        <x:f>L1652+M1652</x:f>
        <x:v>206500</x:v>
      </x:c>
      <x:c r="O1652" s="12" t="str">
        <x:v>Bengaluru</x:v>
      </x:c>
      <x:c r="P1652" s="12" t="str">
        <x:v>CORP-0125</x:v>
      </x:c>
      <x:c r="Q1652" s="12" t="str">
        <x:v>Mindset Consulting</x:v>
      </x:c>
    </x:row>
    <x:row r="1653" ht="48" customHeight="1">
      <x:c r="A1653" s="2" t="str">
        <x:v>TEN-F4FDCAC4C72C</x:v>
      </x:c>
      <x:c r="B1653" s="12" t="str">
        <x:v>Mindsprint</x:v>
      </x:c>
      <x:c r="C1653" s="12" t="str">
        <x:v>Business / brand</x:v>
      </x:c>
      <x:c r="D1653" s="12" t="str">
        <x:v>IT &amp; digital</x:v>
      </x:c>
      <x:c r="E1653" s="12" t="str">
        <x:v>Enterprise software &amp; digital engineering</x:v>
      </x:c>
      <x:c r="F1653" s="12" t="str">
        <x:v>Mixed business audience</x:v>
      </x:c>
      <x:c r="G1653" s="12" t="str">
        <x:v>Established brand or business network; local company scale is not established. Use a mixed-business message.</x:v>
      </x:c>
      <x:c r="H1653" s="11" t="n">
        <x:v>9</x:v>
      </x:c>
      <x:c r="I1653" s="11" t="n">
        <x:v>9</x:v>
      </x:c>
      <x:c r="J1653" s="11" t="n">
        <x:v>9</x:v>
      </x:c>
      <x:c r="K1653" s="11" t="n">
        <x:v>0</x:v>
      </x:c>
      <x:c r="L1653" s="17" t="n">
        <x:f>SUM(SUMIFS('Costing'!$P$9:$P$492,'Costing'!$A$9:$A$492,"PARTNER-M002"))</x:f>
        <x:v>360000</x:v>
      </x:c>
      <x:c r="M1653" s="17" t="n">
        <x:f>ROUND(L1653*'Costing'!$C$4,2)</x:f>
        <x:v>64800</x:v>
      </x:c>
      <x:c r="N1653" s="17" t="n">
        <x:f>L1653+M1653</x:f>
        <x:v>424800</x:v>
      </x:c>
      <x:c r="O1653" s="12" t="str">
        <x:v>Bengaluru</x:v>
      </x:c>
      <x:c r="P1653" s="12" t="str">
        <x:v>CORP-0420, CORP-0421, CORP-0422, CORP-0423, CORP-0424, CORP-0425, CORP-0426, CORP-0427, CORP-0428</x:v>
      </x:c>
      <x:c r="Q1653" s="12" t="str">
        <x:v>Mindsprint</x:v>
      </x:c>
    </x:row>
    <x:row r="1654" ht="75" customHeight="1">
      <x:c r="A1654" s="2" t="str">
        <x:v>TEN-9120856F15CD</x:v>
      </x:c>
      <x:c r="B1654" s="12" t="str">
        <x:v>Mindtree</x:v>
      </x:c>
      <x:c r="C1654" s="12" t="str">
        <x:v>Business / brand</x:v>
      </x:c>
      <x:c r="D1654" s="12" t="str">
        <x:v>IT &amp; digital</x:v>
      </x:c>
      <x:c r="E1654" s="12" t="str">
        <x:v>Technology services — specialty unverified</x:v>
      </x:c>
      <x:c r="F1654" s="12" t="str">
        <x:v>Large enterprise</x:v>
      </x:c>
      <x:c r="G1654" s="12" t="str">
        <x:v>The official 2022 merger announcement identifies Mindtree as one of the two businesses forming LTIMindtree, with approximately 90,000 professionals in more than 30 countries at combination. The legacy tenant brand warrants enterprise context.</x:v>
      </x:c>
      <x:c r="H1654" s="11" t="n">
        <x:v>7</x:v>
      </x:c>
      <x:c r="I1654" s="11" t="n">
        <x:v>27</x:v>
      </x:c>
      <x:c r="J1654" s="11" t="n">
        <x:v>27</x:v>
      </x:c>
      <x:c r="K1654" s="11" t="n">
        <x:v>0</x:v>
      </x:c>
      <x:c r="L1654" s="17" t="n">
        <x:f>SUM(SUMIFS('Costing'!$P$9:$P$492,'Costing'!$A$9:$A$492,"MAIN-253"),SUMIFS('Costing'!$P$9:$P$492,'Costing'!$A$9:$A$492,"PARTNER-M045"))</x:f>
        <x:v>1080000</x:v>
      </x:c>
      <x:c r="M1654" s="17" t="n">
        <x:f>ROUND(L1654*'Costing'!$C$4,2)</x:f>
        <x:v>194400</x:v>
      </x:c>
      <x:c r="N1654" s="17" t="n">
        <x:f>L1654+M1654</x:f>
        <x:v>1274400</x:v>
      </x:c>
      <x:c r="O1654" s="12" t="str">
        <x:v>Hyderabad, Bengaluru</x:v>
      </x:c>
      <x:c r="P1654" s="12" t="str">
        <x:v>CORP-0249, CORP-0463, CORP-0464, CORP-0465, CORP-0466, CORP-0467, CORP-0468</x:v>
      </x:c>
      <x:c r="Q1654" s="12" t="str">
        <x:v>Mindtree, Mind Tree</x:v>
      </x:c>
    </x:row>
    <x:row r="1655" ht="48" customHeight="1">
      <x:c r="A1655" s="2" t="str">
        <x:v>TEN-8C1713589E8E</x:v>
      </x:c>
      <x:c r="B1655" s="12" t="str">
        <x:v>Miniso</x:v>
      </x:c>
      <x:c r="C1655" s="12" t="str">
        <x:v>Business / brand</x:v>
      </x:c>
      <x:c r="D1655" s="12" t="str">
        <x:v>Trade, consumer &amp; logistics</x:v>
      </x:c>
      <x:c r="E1655" s="12" t="str">
        <x:v>Retail, consumer products &amp; ecommerce</x:v>
      </x:c>
      <x:c r="F1655" s="12" t="str">
        <x:v>Mixed business audience</x:v>
      </x:c>
      <x:c r="G1655" s="12" t="str">
        <x:v>Recognisable business context; company-scale evidence remains insufficient for a single size band.</x:v>
      </x:c>
      <x:c r="H1655" s="11" t="n">
        <x:v>1</x:v>
      </x:c>
      <x:c r="I1655" s="11" t="n">
        <x:v>1</x:v>
      </x:c>
      <x:c r="J1655" s="11" t="n">
        <x:v>1</x:v>
      </x:c>
      <x:c r="K1655" s="11" t="n">
        <x:v>0</x:v>
      </x:c>
      <x:c r="L1655" s="17" t="n">
        <x:f>SUM(SUMIFS('Costing'!$P$9:$P$492,'Costing'!$A$9:$A$492,"MAIN-269"))</x:f>
        <x:v>40000</x:v>
      </x:c>
      <x:c r="M1655" s="17" t="n">
        <x:f>ROUND(L1655*'Costing'!$C$4,2)</x:f>
        <x:v>7200</x:v>
      </x:c>
      <x:c r="N1655" s="17" t="n">
        <x:f>L1655+M1655</x:f>
        <x:v>47200</x:v>
      </x:c>
      <x:c r="O1655" s="12" t="str">
        <x:v>Indore</x:v>
      </x:c>
      <x:c r="P1655" s="12" t="str">
        <x:v>CORP-0265</x:v>
      </x:c>
      <x:c r="Q1655" s="12" t="str">
        <x:v>Miniso</x:v>
      </x:c>
    </x:row>
    <x:row r="1656" ht="48" customHeight="1">
      <x:c r="A1656" s="2" t="str">
        <x:v>TEN-E7CAC422537C</x:v>
      </x:c>
      <x:c r="B1656" s="12" t="str">
        <x:v>Mirabel Technologies</x:v>
      </x:c>
      <x:c r="C1656" s="12" t="str">
        <x:v>Business / brand</x:v>
      </x:c>
      <x:c r="D1656" s="12" t="str">
        <x:v>IT &amp; digital</x:v>
      </x:c>
      <x:c r="E1656" s="12" t="str">
        <x:v>Enterprise software &amp; digital engineering</x:v>
      </x:c>
      <x:c r="F1656" s="12" t="str">
        <x:v>Small-scale prospects</x:v>
      </x:c>
      <x:c r="G1656" s="12" t="str">
        <x:v>Software or technology-services business; small-scale prospect assumption.</x:v>
      </x:c>
      <x:c r="H1656" s="11" t="n">
        <x:v>1</x:v>
      </x:c>
      <x:c r="I1656" s="11" t="n">
        <x:v>2</x:v>
      </x:c>
      <x:c r="J1656" s="11" t="n">
        <x:v>2</x:v>
      </x:c>
      <x:c r="K1656" s="11" t="n">
        <x:v>0</x:v>
      </x:c>
      <x:c r="L1656" s="17" t="n">
        <x:f>SUM(SUMIFS('Costing'!$P$9:$P$492,'Costing'!$A$9:$A$492,"MAIN-256"))</x:f>
        <x:v>80000</x:v>
      </x:c>
      <x:c r="M1656" s="17" t="n">
        <x:f>ROUND(L1656*'Costing'!$C$4,2)</x:f>
        <x:v>14400</x:v>
      </x:c>
      <x:c r="N1656" s="17" t="n">
        <x:f>L1656+M1656</x:f>
        <x:v>94400</x:v>
      </x:c>
      <x:c r="O1656" s="12" t="str">
        <x:v>Hyderabad</x:v>
      </x:c>
      <x:c r="P1656" s="12" t="str">
        <x:v>CORP-0252</x:v>
      </x:c>
      <x:c r="Q1656" s="12" t="str">
        <x:v>Mirabel Technologies</x:v>
      </x:c>
    </x:row>
    <x:row r="1657" ht="48" customHeight="1">
      <x:c r="A1657" s="2" t="str">
        <x:v>TEN-AA16486DD980</x:v>
      </x:c>
      <x:c r="B1657" s="12" t="str">
        <x:v>Mirae Asset Global investments (India) pvt</x:v>
      </x:c>
      <x:c r="C1657" s="12" t="str">
        <x:v>Business / brand</x:v>
      </x:c>
      <x:c r="D1657" s="12" t="str">
        <x:v>Finance &amp; insurance</x:v>
      </x:c>
      <x:c r="E1657" s="12" t="str">
        <x:v>Investments, securities &amp; wealth</x:v>
      </x:c>
      <x:c r="F1657" s="12" t="str">
        <x:v>Mixed business audience</x:v>
      </x:c>
      <x:c r="G1657" s="12" t="str">
        <x:v>Recognisable business context; company-scale evidence remains insufficient for a single size band.</x:v>
      </x:c>
      <x:c r="H1657" s="11" t="n">
        <x:v>6</x:v>
      </x:c>
      <x:c r="I1657" s="11" t="n">
        <x:v>6</x:v>
      </x:c>
      <x:c r="J1657" s="11" t="n">
        <x:v>6</x:v>
      </x:c>
      <x:c r="K1657" s="11" t="n">
        <x:v>0</x:v>
      </x:c>
      <x:c r="L1657" s="17" t="n">
        <x:f>SUM(SUMIFS('Costing'!$P$9:$P$492,'Costing'!$A$9:$A$492,"PARTNER-M227"))</x:f>
        <x:v>240000</x:v>
      </x:c>
      <x:c r="M1657" s="17" t="n">
        <x:f>ROUND(L1657*'Costing'!$C$4,2)</x:f>
        <x:v>43200</x:v>
      </x:c>
      <x:c r="N1657" s="17" t="n">
        <x:f>L1657+M1657</x:f>
        <x:v>283200</x:v>
      </x:c>
      <x:c r="O1657" s="12" t="str">
        <x:v>Mumbai</x:v>
      </x:c>
      <x:c r="P1657" s="12" t="str">
        <x:v>CORP-0644, CORP-0645, CORP-0646, CORP-0647, CORP-0648, CORP-0649</x:v>
      </x:c>
      <x:c r="Q1657" s="12" t="str">
        <x:v>Mirae Asset Global investments (India) pvt</x:v>
      </x:c>
    </x:row>
    <x:row r="1658" ht="48" customHeight="1">
      <x:c r="A1658" s="2" t="str">
        <x:v>TEN-53488A70F413</x:v>
      </x:c>
      <x:c r="B1658" s="12" t="str">
        <x:v>Mirafra</x:v>
      </x:c>
      <x:c r="C1658" s="12" t="str">
        <x:v>Business / brand</x:v>
      </x:c>
      <x:c r="D1658" s="12" t="str">
        <x:v>IT &amp; digital</x:v>
      </x:c>
      <x:c r="E1658" s="12" t="str">
        <x:v>Enterprise software &amp; digital engineering</x:v>
      </x:c>
      <x:c r="F1658" s="12" t="str">
        <x:v>Mixed business audience</x:v>
      </x:c>
      <x:c r="G1658" s="12" t="str">
        <x:v>Established brand or business network; local company scale is not established. Use a mixed-business message.</x:v>
      </x:c>
      <x:c r="H1658" s="11" t="n">
        <x:v>1</x:v>
      </x:c>
      <x:c r="I1658" s="11" t="n">
        <x:v>8</x:v>
      </x:c>
      <x:c r="J1658" s="11" t="n">
        <x:v>8</x:v>
      </x:c>
      <x:c r="K1658" s="11" t="n">
        <x:v>0</x:v>
      </x:c>
      <x:c r="L1658" s="17" t="n">
        <x:f>SUM(SUMIFS('Costing'!$P$9:$P$492,'Costing'!$A$9:$A$492,"MAIN-009"))</x:f>
        <x:v>120000</x:v>
      </x:c>
      <x:c r="M1658" s="17" t="n">
        <x:f>ROUND(L1658*'Costing'!$C$4,2)</x:f>
        <x:v>21600</x:v>
      </x:c>
      <x:c r="N1658" s="17" t="n">
        <x:f>L1658+M1658</x:f>
        <x:v>141600</x:v>
      </x:c>
      <x:c r="O1658" s="12" t="str">
        <x:v>Bengaluru</x:v>
      </x:c>
      <x:c r="P1658" s="12" t="str">
        <x:v>CORP-0005</x:v>
      </x:c>
      <x:c r="Q1658" s="12" t="str">
        <x:v>Mirafra</x:v>
      </x:c>
    </x:row>
    <x:row r="1659" ht="48" customHeight="1">
      <x:c r="A1659" s="2" t="str">
        <x:v>TEN-80ABA2BC6E03</x:v>
      </x:c>
      <x:c r="B1659" s="12" t="str">
        <x:v>Mirc Electronics Ltd (Onida)</x:v>
      </x:c>
      <x:c r="C1659" s="12" t="str">
        <x:v>Business / brand</x:v>
      </x:c>
      <x:c r="D1659" s="12" t="str">
        <x:v>Engineering &amp; manufacturing</x:v>
      </x:c>
      <x:c r="E1659" s="12" t="str">
        <x:v>Semiconductors, electronics &amp; equipment</x:v>
      </x:c>
      <x:c r="F1659" s="12" t="str">
        <x:v>Mixed business audience</x:v>
      </x:c>
      <x:c r="G1659" s="12" t="str">
        <x:v>Established brand or business network; local company scale is not established. Use a mixed-business message.</x:v>
      </x:c>
      <x:c r="H1659" s="11" t="n">
        <x:v>4</x:v>
      </x:c>
      <x:c r="I1659" s="11" t="n">
        <x:v>4</x:v>
      </x:c>
      <x:c r="J1659" s="11" t="n">
        <x:v>4</x:v>
      </x:c>
      <x:c r="K1659" s="11" t="n">
        <x:v>0</x:v>
      </x:c>
      <x:c r="L1659" s="17" t="n">
        <x:f>SUM(SUMIFS('Costing'!$P$9:$P$492,'Costing'!$A$9:$A$492,"PARTNER-M247"))</x:f>
        <x:v>160000</x:v>
      </x:c>
      <x:c r="M1659" s="17" t="n">
        <x:f>ROUND(L1659*'Costing'!$C$4,2)</x:f>
        <x:v>28800</x:v>
      </x:c>
      <x:c r="N1659" s="17" t="n">
        <x:f>L1659+M1659</x:f>
        <x:v>188800</x:v>
      </x:c>
      <x:c r="O1659" s="12" t="str">
        <x:v>Mumbai</x:v>
      </x:c>
      <x:c r="P1659" s="12" t="str">
        <x:v>CORP-0664, CORP-0665, CORP-0666, CORP-0667</x:v>
      </x:c>
      <x:c r="Q1659" s="12" t="str">
        <x:v>Mirc Electronics Ltd (Onida)</x:v>
      </x:c>
    </x:row>
    <x:row r="1660" ht="48" customHeight="1">
      <x:c r="A1660" s="2" t="str">
        <x:v>TEN-2E5A588EB035</x:v>
      </x:c>
      <x:c r="B1660" s="12" t="str">
        <x:v>Mirnah</x:v>
      </x:c>
      <x:c r="C1660" s="12" t="str">
        <x:v>Business / brand</x:v>
      </x:c>
      <x:c r="D1660" s="12" t="str">
        <x:v>Unresolved</x:v>
      </x:c>
      <x:c r="E1660" s="12" t="str">
        <x:v>Business activity not established</x:v>
      </x:c>
      <x:c r="F1660" s="12" t="str">
        <x:v>Mixed business audience</x:v>
      </x:c>
      <x:c r="G1660" s="12" t="str">
        <x:v>Business activity and company scale are not established from this name.</x:v>
      </x:c>
      <x:c r="H1660" s="11" t="n">
        <x:v>1</x:v>
      </x:c>
      <x:c r="I1660" s="11" t="n">
        <x:v>1</x:v>
      </x:c>
      <x:c r="J1660" s="11" t="n">
        <x:v>1</x:v>
      </x:c>
      <x:c r="K1660" s="11" t="n">
        <x:v>0</x:v>
      </x:c>
      <x:c r="L1660" s="17" t="n">
        <x:f>SUM(SUMIFS('Costing'!$P$9:$P$492,'Costing'!$A$9:$A$492,"MAIN-270"))</x:f>
        <x:v>20000</x:v>
      </x:c>
      <x:c r="M1660" s="17" t="n">
        <x:f>ROUND(L1660*'Costing'!$C$4,2)</x:f>
        <x:v>3600</x:v>
      </x:c>
      <x:c r="N1660" s="17" t="n">
        <x:f>L1660+M1660</x:f>
        <x:v>23600</x:v>
      </x:c>
      <x:c r="O1660" s="12" t="str">
        <x:v>Indore</x:v>
      </x:c>
      <x:c r="P1660" s="12" t="str">
        <x:v>CORP-0266</x:v>
      </x:c>
      <x:c r="Q1660" s="12" t="str">
        <x:v>Mirnah</x:v>
      </x:c>
    </x:row>
    <x:row r="1661" ht="48" customHeight="1">
      <x:c r="A1661" s="2" t="str">
        <x:v>TEN-2592FDF194F6</x:v>
      </x:c>
      <x:c r="B1661" s="12" t="str">
        <x:v>Mishara</x:v>
      </x:c>
      <x:c r="C1661" s="12" t="str">
        <x:v>Business / brand</x:v>
      </x:c>
      <x:c r="D1661" s="12" t="str">
        <x:v>Unresolved</x:v>
      </x:c>
      <x:c r="E1661" s="12" t="str">
        <x:v>Business activity not established</x:v>
      </x:c>
      <x:c r="F1661" s="12" t="str">
        <x:v>Mixed business audience</x:v>
      </x:c>
      <x:c r="G1661" s="12" t="str">
        <x:v>Business activity and company scale are not established from this name.</x:v>
      </x:c>
      <x:c r="H1661" s="11" t="n">
        <x:v>1</x:v>
      </x:c>
      <x:c r="I1661" s="11" t="n">
        <x:v>39</x:v>
      </x:c>
      <x:c r="J1661" s="11" t="n">
        <x:v>39</x:v>
      </x:c>
      <x:c r="K1661" s="11" t="n">
        <x:v>0</x:v>
      </x:c>
      <x:c r="L1661" s="17" t="n">
        <x:f>SUM(SUMIFS('Costing'!$P$9:$P$492,'Costing'!$A$9:$A$492,"MAIN-294"))</x:f>
        <x:v>585000</x:v>
      </x:c>
      <x:c r="M1661" s="17" t="n">
        <x:f>ROUND(L1661*'Costing'!$C$4,2)</x:f>
        <x:v>105300</x:v>
      </x:c>
      <x:c r="N1661" s="17" t="n">
        <x:f>L1661+M1661</x:f>
        <x:v>690300</x:v>
      </x:c>
      <x:c r="O1661" s="12" t="str">
        <x:v>Mumbai</x:v>
      </x:c>
      <x:c r="P1661" s="12" t="str">
        <x:v>CORP-0290</x:v>
      </x:c>
      <x:c r="Q1661" s="12" t="str">
        <x:v>Mishara</x:v>
      </x:c>
    </x:row>
    <x:row r="1662" ht="48" customHeight="1">
      <x:c r="A1662" s="2" t="str">
        <x:v>TEN-FA64C255E7B6</x:v>
      </x:c>
      <x:c r="B1662" s="12" t="str">
        <x:v>Mishi office</x:v>
      </x:c>
      <x:c r="C1662" s="12" t="str">
        <x:v>Identity unresolved</x:v>
      </x:c>
      <x:c r="D1662" s="12" t="str">
        <x:v>Unresolved</x:v>
      </x:c>
      <x:c r="E1662" s="12" t="str">
        <x:v>Business activity not established</x:v>
      </x:c>
      <x:c r="F1662" s="12" t="str">
        <x:v>Mixed business audience</x:v>
      </x:c>
      <x:c r="G1662" s="12" t="str">
        <x:v>Ambiguous directory record; use the surrounding property audience.</x:v>
      </x:c>
      <x:c r="H1662" s="11" t="n">
        <x:v>1</x:v>
      </x:c>
      <x:c r="I1662" s="11" t="n">
        <x:v>3</x:v>
      </x:c>
      <x:c r="J1662" s="11" t="n">
        <x:v>3</x:v>
      </x:c>
      <x:c r="K1662" s="11" t="n">
        <x:v>0</x:v>
      </x:c>
      <x:c r="L1662" s="17" t="n">
        <x:f>SUM(SUMIFS('Costing'!$P$9:$P$492,'Costing'!$A$9:$A$492,"MAIN-366"))</x:f>
        <x:v>45000</x:v>
      </x:c>
      <x:c r="M1662" s="17" t="n">
        <x:f>ROUND(L1662*'Costing'!$C$4,2)</x:f>
        <x:v>8100</x:v>
      </x:c>
      <x:c r="N1662" s="17" t="n">
        <x:f>L1662+M1662</x:f>
        <x:v>53100</x:v>
      </x:c>
      <x:c r="O1662" s="12" t="str">
        <x:v>Delhi NCR</x:v>
      </x:c>
      <x:c r="P1662" s="12" t="str">
        <x:v>CORP-0362</x:v>
      </x:c>
      <x:c r="Q1662" s="12" t="str">
        <x:v>Mishi office</x:v>
      </x:c>
    </x:row>
    <x:row r="1663" ht="48" customHeight="1">
      <x:c r="A1663" s="2" t="str">
        <x:v>TEN-6EE34828A4B0</x:v>
      </x:c>
      <x:c r="B1663" s="12" t="str">
        <x:v>Mispras Furnishing Pvt.Ltd</x:v>
      </x:c>
      <x:c r="C1663" s="12" t="str">
        <x:v>Business / brand</x:v>
      </x:c>
      <x:c r="D1663" s="12" t="str">
        <x:v>Trade, consumer &amp; logistics</x:v>
      </x:c>
      <x:c r="E1663" s="12" t="str">
        <x:v>Retail, consumer products &amp; ecommerce</x:v>
      </x:c>
      <x:c r="F1663" s="12" t="str">
        <x:v>Small-scale prospects</x:v>
      </x:c>
      <x:c r="G1663" s="12" t="str">
        <x:v>Trading or consumer-services business; small-scale prospect assumption.</x:v>
      </x:c>
      <x:c r="H1663" s="11" t="n">
        <x:v>1</x:v>
      </x:c>
      <x:c r="I1663" s="11" t="n">
        <x:v>1</x:v>
      </x:c>
      <x:c r="J1663" s="11" t="n">
        <x:v>1</x:v>
      </x:c>
      <x:c r="K1663" s="11" t="n">
        <x:v>0</x:v>
      </x:c>
      <x:c r="L1663" s="17" t="n">
        <x:f>SUM(SUMIFS('Costing'!$P$9:$P$492,'Costing'!$A$9:$A$492,"MAIN-104"))</x:f>
        <x:v>15000</x:v>
      </x:c>
      <x:c r="M1663" s="17" t="n">
        <x:f>ROUND(L1663*'Costing'!$C$4,2)</x:f>
        <x:v>2700</x:v>
      </x:c>
      <x:c r="N1663" s="17" t="n">
        <x:f>L1663+M1663</x:f>
        <x:v>17700</x:v>
      </x:c>
      <x:c r="O1663" s="12" t="str">
        <x:v>Bengaluru</x:v>
      </x:c>
      <x:c r="P1663" s="12" t="str">
        <x:v>CORP-0100</x:v>
      </x:c>
      <x:c r="Q1663" s="12" t="str">
        <x:v>Mispras Furnishing Pvt.Ltd</x:v>
      </x:c>
    </x:row>
    <x:row r="1664" ht="48" customHeight="1">
      <x:c r="A1664" s="2" t="str">
        <x:v>TEN-5F1955B90E63</x:v>
      </x:c>
      <x:c r="B1664" s="12" t="str">
        <x:v>Misu</x:v>
      </x:c>
      <x:c r="C1664" s="12" t="str">
        <x:v>Business / brand</x:v>
      </x:c>
      <x:c r="D1664" s="12" t="str">
        <x:v>Trade, consumer &amp; logistics</x:v>
      </x:c>
      <x:c r="E1664" s="12" t="str">
        <x:v>Travel, hospitality, food &amp; beverages</x:v>
      </x:c>
      <x:c r="F1664" s="12" t="str">
        <x:v>Small-scale prospects</x:v>
      </x:c>
      <x:c r="G1664" s="12" t="str">
        <x:v>Trading or consumer-services business; small-scale prospect assumption.</x:v>
      </x:c>
      <x:c r="H1664" s="11" t="n">
        <x:v>1</x:v>
      </x:c>
      <x:c r="I1664" s="11" t="n">
        <x:v>2</x:v>
      </x:c>
      <x:c r="J1664" s="11" t="n">
        <x:v>2</x:v>
      </x:c>
      <x:c r="K1664" s="11" t="n">
        <x:v>0</x:v>
      </x:c>
      <x:c r="L1664" s="17" t="n">
        <x:f>SUM(SUMIFS('Costing'!$P$9:$P$492,'Costing'!$A$9:$A$492,"MAIN-063"))</x:f>
        <x:v>80000</x:v>
      </x:c>
      <x:c r="M1664" s="17" t="n">
        <x:f>ROUND(L1664*'Costing'!$C$4,2)</x:f>
        <x:v>14400</x:v>
      </x:c>
      <x:c r="N1664" s="17" t="n">
        <x:f>L1664+M1664</x:f>
        <x:v>94400</x:v>
      </x:c>
      <x:c r="O1664" s="12" t="str">
        <x:v>Bengaluru</x:v>
      </x:c>
      <x:c r="P1664" s="12" t="str">
        <x:v>CORP-0059</x:v>
      </x:c>
      <x:c r="Q1664" s="12" t="str">
        <x:v>Misu</x:v>
      </x:c>
    </x:row>
    <x:row r="1665" ht="48" customHeight="1">
      <x:c r="A1665" s="2" t="str">
        <x:v>TEN-758EF4462DE3</x:v>
      </x:c>
      <x:c r="B1665" s="12" t="str">
        <x:v>Mitel</x:v>
      </x:c>
      <x:c r="C1665" s="12" t="str">
        <x:v>Business / brand</x:v>
      </x:c>
      <x:c r="D1665" s="12" t="str">
        <x:v>IT &amp; digital</x:v>
      </x:c>
      <x:c r="E1665" s="12" t="str">
        <x:v>Technology services — specialty unverified</x:v>
      </x:c>
      <x:c r="F1665" s="12" t="str">
        <x:v>Mixed business audience</x:v>
      </x:c>
      <x:c r="G1665" s="12" t="str">
        <x:v>Recognisable business context; company-scale evidence remains insufficient for a single size band.</x:v>
      </x:c>
      <x:c r="H1665" s="11" t="n">
        <x:v>1</x:v>
      </x:c>
      <x:c r="I1665" s="11" t="n">
        <x:v>2</x:v>
      </x:c>
      <x:c r="J1665" s="11" t="n">
        <x:v>2</x:v>
      </x:c>
      <x:c r="K1665" s="11" t="n">
        <x:v>0</x:v>
      </x:c>
      <x:c r="L1665" s="17" t="n">
        <x:f>SUM(SUMIFS('Costing'!$P$9:$P$492,'Costing'!$A$9:$A$492,"MAIN-118"))</x:f>
        <x:v>50000</x:v>
      </x:c>
      <x:c r="M1665" s="17" t="n">
        <x:f>ROUND(L1665*'Costing'!$C$4,2)</x:f>
        <x:v>9000</x:v>
      </x:c>
      <x:c r="N1665" s="17" t="n">
        <x:f>L1665+M1665</x:f>
        <x:v>59000</x:v>
      </x:c>
      <x:c r="O1665" s="12" t="str">
        <x:v>Bengaluru</x:v>
      </x:c>
      <x:c r="P1665" s="12" t="str">
        <x:v>CORP-0114</x:v>
      </x:c>
      <x:c r="Q1665" s="12" t="str">
        <x:v>Mitel</x:v>
      </x:c>
    </x:row>
    <x:row r="1666" ht="48" customHeight="1">
      <x:c r="A1666" s="2" t="str">
        <x:v>TEN-DF1BD710E8BF</x:v>
      </x:c>
      <x:c r="B1666" s="12" t="str">
        <x:v>Mitel (Earlier known as Mavenir Systems)</x:v>
      </x:c>
      <x:c r="C1666" s="12" t="str">
        <x:v>Business / brand</x:v>
      </x:c>
      <x:c r="D1666" s="12" t="str">
        <x:v>IT &amp; digital</x:v>
      </x:c>
      <x:c r="E1666" s="12" t="str">
        <x:v>Telecom, networks &amp; connectivity</x:v>
      </x:c>
      <x:c r="F1666" s="12" t="str">
        <x:v>Mixed business audience</x:v>
      </x:c>
      <x:c r="G1666" s="12" t="str">
        <x:v>Recognisable business context; company-scale evidence remains insufficient for a single size band.</x:v>
      </x:c>
      <x:c r="H1666" s="11" t="n">
        <x:v>5</x:v>
      </x:c>
      <x:c r="I1666" s="11" t="n">
        <x:v>5</x:v>
      </x:c>
      <x:c r="J1666" s="11" t="n">
        <x:v>5</x:v>
      </x:c>
      <x:c r="K1666" s="11" t="n">
        <x:v>0</x:v>
      </x:c>
      <x:c r="L1666" s="17" t="n">
        <x:f>SUM(SUMIFS('Costing'!$P$9:$P$492,'Costing'!$A$9:$A$492,"PARTNER-M051"))</x:f>
        <x:v>200000</x:v>
      </x:c>
      <x:c r="M1666" s="17" t="n">
        <x:f>ROUND(L1666*'Costing'!$C$4,2)</x:f>
        <x:v>36000</x:v>
      </x:c>
      <x:c r="N1666" s="17" t="n">
        <x:f>L1666+M1666</x:f>
        <x:v>236000</x:v>
      </x:c>
      <x:c r="O1666" s="12" t="str">
        <x:v>Bengaluru</x:v>
      </x:c>
      <x:c r="P1666" s="12" t="str">
        <x:v>CORP-0469, CORP-0470, CORP-0471, CORP-0472, CORP-0473</x:v>
      </x:c>
      <x:c r="Q1666" s="12" t="str">
        <x:v>Mitel (Earlier known as Mavenir Systems)</x:v>
      </x:c>
    </x:row>
    <x:row r="1667" ht="48" customHeight="1">
      <x:c r="A1667" s="2" t="str">
        <x:v>TEN-4D13E1DBE7AB</x:v>
      </x:c>
      <x:c r="B1667" s="12" t="str">
        <x:v>Mitsubishi</x:v>
      </x:c>
      <x:c r="C1667" s="12" t="str">
        <x:v>Business / brand</x:v>
      </x:c>
      <x:c r="D1667" s="12" t="str">
        <x:v>Engineering &amp; manufacturing</x:v>
      </x:c>
      <x:c r="E1667" s="12" t="str">
        <x:v>Engineering/manufacturing — specialty unverified</x:v>
      </x:c>
      <x:c r="F1667" s="12" t="str">
        <x:v>Mixed business audience</x:v>
      </x:c>
      <x:c r="G1667" s="12" t="str">
        <x:v>Recognisable business context; company-scale evidence remains insufficient for a single size band.</x:v>
      </x:c>
      <x:c r="H1667" s="11" t="n">
        <x:v>4</x:v>
      </x:c>
      <x:c r="I1667" s="11" t="n">
        <x:v>4</x:v>
      </x:c>
      <x:c r="J1667" s="11" t="n">
        <x:v>4</x:v>
      </x:c>
      <x:c r="K1667" s="11" t="n">
        <x:v>0</x:v>
      </x:c>
      <x:c r="L1667" s="17" t="n">
        <x:f>SUM(SUMIFS('Costing'!$P$9:$P$492,'Costing'!$A$9:$A$492,"PARTNER-M340"),SUMIFS('Costing'!$P$9:$P$492,'Costing'!$A$9:$A$492,"PARTNER-M338"))</x:f>
        <x:v>160000</x:v>
      </x:c>
      <x:c r="M1667" s="17" t="n">
        <x:f>ROUND(L1667*'Costing'!$C$4,2)</x:f>
        <x:v>28800</x:v>
      </x:c>
      <x:c r="N1667" s="17" t="n">
        <x:f>L1667+M1667</x:f>
        <x:v>188800</x:v>
      </x:c>
      <x:c r="O1667" s="12" t="str">
        <x:v>Chennai</x:v>
      </x:c>
      <x:c r="P1667" s="12" t="str">
        <x:v>CORP-0752, CORP-0753, CORP-0754, CORP-0755</x:v>
      </x:c>
      <x:c r="Q1667" s="12" t="str">
        <x:v>Mitsubishi</x:v>
      </x:c>
    </x:row>
    <x:row r="1668" ht="48" customHeight="1">
      <x:c r="A1668" s="2" t="str">
        <x:v>TEN-0F816088DDB0</x:v>
      </x:c>
      <x:c r="B1668" s="12" t="str">
        <x:v>Mitsubishi Chemical India Pvt. Ltd</x:v>
      </x:c>
      <x:c r="C1668" s="12" t="str">
        <x:v>Business / brand</x:v>
      </x:c>
      <x:c r="D1668" s="12" t="str">
        <x:v>Engineering &amp; manufacturing</x:v>
      </x:c>
      <x:c r="E1668" s="12" t="str">
        <x:v>Chemicals, materials &amp; industrial manufacturing</x:v>
      </x:c>
      <x:c r="F1668" s="12" t="str">
        <x:v>Mixed business audience</x:v>
      </x:c>
      <x:c r="G1668" s="12" t="str">
        <x:v>Recognisable business context; company-scale evidence remains insufficient for a single size band.</x:v>
      </x:c>
      <x:c r="H1668" s="11" t="n">
        <x:v>1</x:v>
      </x:c>
      <x:c r="I1668" s="11" t="n">
        <x:v>3</x:v>
      </x:c>
      <x:c r="J1668" s="11" t="n">
        <x:v>3</x:v>
      </x:c>
      <x:c r="K1668" s="11" t="n">
        <x:v>0</x:v>
      </x:c>
      <x:c r="L1668" s="17" t="n">
        <x:f>SUM(SUMIFS('Costing'!$P$9:$P$492,'Costing'!$A$9:$A$492,"MAIN-195"))</x:f>
        <x:v>60000</x:v>
      </x:c>
      <x:c r="M1668" s="17" t="n">
        <x:f>ROUND(L1668*'Costing'!$C$4,2)</x:f>
        <x:v>10800</x:v>
      </x:c>
      <x:c r="N1668" s="17" t="n">
        <x:f>L1668+M1668</x:f>
        <x:v>70800</x:v>
      </x:c>
      <x:c r="O1668" s="12" t="str">
        <x:v>Delhi NCR</x:v>
      </x:c>
      <x:c r="P1668" s="12" t="str">
        <x:v>CORP-0191</x:v>
      </x:c>
      <x:c r="Q1668" s="12" t="str">
        <x:v>Mitsubishi Chemical India Pvt. Ltd</x:v>
      </x:c>
    </x:row>
    <x:row r="1669" ht="48" customHeight="1">
      <x:c r="A1669" s="2" t="str">
        <x:v>TEN-462162D29E77</x:v>
      </x:c>
      <x:c r="B1669" s="12" t="str">
        <x:v>Mitsubishi Corporation India</x:v>
      </x:c>
      <x:c r="C1669" s="12" t="str">
        <x:v>Business / brand</x:v>
      </x:c>
      <x:c r="D1669" s="12" t="str">
        <x:v>Engineering &amp; manufacturing</x:v>
      </x:c>
      <x:c r="E1669" s="12" t="str">
        <x:v>Engineering/manufacturing — specialty unverified</x:v>
      </x:c>
      <x:c r="F1669" s="12" t="str">
        <x:v>Mixed business audience</x:v>
      </x:c>
      <x:c r="G1669" s="12" t="str">
        <x:v>Recognisable business context; company-scale evidence remains insufficient for a single size band.</x:v>
      </x:c>
      <x:c r="H1669" s="11" t="n">
        <x:v>1</x:v>
      </x:c>
      <x:c r="I1669" s="11" t="n">
        <x:v>4</x:v>
      </x:c>
      <x:c r="J1669" s="11" t="n">
        <x:v>4</x:v>
      </x:c>
      <x:c r="K1669" s="11" t="n">
        <x:v>0</x:v>
      </x:c>
      <x:c r="L1669" s="17" t="n">
        <x:f>SUM(SUMIFS('Costing'!$P$9:$P$492,'Costing'!$A$9:$A$492,"MAIN-141"))</x:f>
        <x:v>60000</x:v>
      </x:c>
      <x:c r="M1669" s="17" t="n">
        <x:f>ROUND(L1669*'Costing'!$C$4,2)</x:f>
        <x:v>10800</x:v>
      </x:c>
      <x:c r="N1669" s="17" t="n">
        <x:f>L1669+M1669</x:f>
        <x:v>70800</x:v>
      </x:c>
      <x:c r="O1669" s="12" t="str">
        <x:v>Chennai</x:v>
      </x:c>
      <x:c r="P1669" s="12" t="str">
        <x:v>CORP-0137</x:v>
      </x:c>
      <x:c r="Q1669" s="12" t="str">
        <x:v>Mitsubishi Corporation India</x:v>
      </x:c>
    </x:row>
    <x:row r="1670" ht="48" customHeight="1">
      <x:c r="A1670" s="2" t="str">
        <x:v>TEN-6DEBCA323DCB</x:v>
      </x:c>
      <x:c r="B1670" s="12" t="str">
        <x:v>Mitsubishi Electric India Private Limited</x:v>
      </x:c>
      <x:c r="C1670" s="12" t="str">
        <x:v>Business / brand</x:v>
      </x:c>
      <x:c r="D1670" s="12" t="str">
        <x:v>Engineering &amp; manufacturing</x:v>
      </x:c>
      <x:c r="E1670" s="12" t="str">
        <x:v>Engineering/manufacturing — specialty unverified</x:v>
      </x:c>
      <x:c r="F1670" s="12" t="str">
        <x:v>Mixed business audience</x:v>
      </x:c>
      <x:c r="G1670" s="12" t="str">
        <x:v>Recognisable business context; company-scale evidence remains insufficient for a single size band.</x:v>
      </x:c>
      <x:c r="H1670" s="11" t="n">
        <x:v>6</x:v>
      </x:c>
      <x:c r="I1670" s="11" t="n">
        <x:v>6</x:v>
      </x:c>
      <x:c r="J1670" s="11" t="n">
        <x:v>6</x:v>
      </x:c>
      <x:c r="K1670" s="11" t="n">
        <x:v>0</x:v>
      </x:c>
      <x:c r="L1670" s="17" t="n">
        <x:f>SUM(SUMIFS('Costing'!$P$9:$P$492,'Costing'!$A$9:$A$492,"MAIN-205"),SUMIFS('Costing'!$P$9:$P$492,'Costing'!$A$9:$A$492,"PARTNER-M268"))</x:f>
        <x:v>240000</x:v>
      </x:c>
      <x:c r="M1670" s="17" t="n">
        <x:f>ROUND(L1670*'Costing'!$C$4,2)</x:f>
        <x:v>43200</x:v>
      </x:c>
      <x:c r="N1670" s="17" t="n">
        <x:f>L1670+M1670</x:f>
        <x:v>283200</x:v>
      </x:c>
      <x:c r="O1670" s="12" t="str">
        <x:v>Delhi NCR, Pune</x:v>
      </x:c>
      <x:c r="P1670" s="12" t="str">
        <x:v>CORP-0201, CORP-0684, CORP-0685, CORP-0686, CORP-0687, CORP-0688</x:v>
      </x:c>
      <x:c r="Q1670" s="12" t="str">
        <x:v>Mitsubishi Electric India Private Limited, Mitsubishi Electric India Pvt. Ltd</x:v>
      </x:c>
    </x:row>
    <x:row r="1671" ht="48" customHeight="1">
      <x:c r="A1671" s="2" t="str">
        <x:v>TEN-EC0137A97749</x:v>
      </x:c>
      <x:c r="B1671" s="12" t="str">
        <x:v>Mizuho Bank</x:v>
      </x:c>
      <x:c r="C1671" s="12" t="str">
        <x:v>Business / brand</x:v>
      </x:c>
      <x:c r="D1671" s="12" t="str">
        <x:v>Finance &amp; insurance</x:v>
      </x:c>
      <x:c r="E1671" s="12" t="str">
        <x:v>Banking &amp; credit</x:v>
      </x:c>
      <x:c r="F1671" s="12" t="str">
        <x:v>Mixed business audience</x:v>
      </x:c>
      <x:c r="G1671" s="12" t="str">
        <x:v>Recognisable business context; company-scale evidence remains insufficient for a single size band.</x:v>
      </x:c>
      <x:c r="H1671" s="11" t="n">
        <x:v>2</x:v>
      </x:c>
      <x:c r="I1671" s="11" t="n">
        <x:v>2</x:v>
      </x:c>
      <x:c r="J1671" s="11" t="n">
        <x:v>2</x:v>
      </x:c>
      <x:c r="K1671" s="11" t="n">
        <x:v>0</x:v>
      </x:c>
      <x:c r="L1671" s="17" t="n">
        <x:f>SUM(SUMIFS('Costing'!$P$9:$P$492,'Costing'!$A$9:$A$492,"PARTNER-M338"))</x:f>
        <x:v>80000</x:v>
      </x:c>
      <x:c r="M1671" s="17" t="n">
        <x:f>ROUND(L1671*'Costing'!$C$4,2)</x:f>
        <x:v>14400</x:v>
      </x:c>
      <x:c r="N1671" s="17" t="n">
        <x:f>L1671+M1671</x:f>
        <x:v>94400</x:v>
      </x:c>
      <x:c r="O1671" s="12" t="str">
        <x:v>Chennai</x:v>
      </x:c>
      <x:c r="P1671" s="12" t="str">
        <x:v>CORP-0752, CORP-0753</x:v>
      </x:c>
      <x:c r="Q1671" s="12" t="str">
        <x:v>Mizuho Bank</x:v>
      </x:c>
    </x:row>
    <x:row r="1672" ht="48" customHeight="1">
      <x:c r="A1672" s="2" t="str">
        <x:v>TEN-BFEF756FD7D1</x:v>
      </x:c>
      <x:c r="B1672" s="12" t="str">
        <x:v>MMM Training Solutions</x:v>
      </x:c>
      <x:c r="C1672" s="12" t="str">
        <x:v>Business / brand</x:v>
      </x:c>
      <x:c r="D1672" s="12" t="str">
        <x:v>Education</x:v>
      </x:c>
      <x:c r="E1672" s="12" t="str">
        <x:v>Edtech, training &amp; learning</x:v>
      </x:c>
      <x:c r="F1672" s="12" t="str">
        <x:v>Small-scale prospects</x:v>
      </x:c>
      <x:c r="G1672" s="12" t="str">
        <x:v>Training or education-services business; small-scale prospect assumption.</x:v>
      </x:c>
      <x:c r="H1672" s="11" t="n">
        <x:v>1</x:v>
      </x:c>
      <x:c r="I1672" s="11" t="n">
        <x:v>1</x:v>
      </x:c>
      <x:c r="J1672" s="11" t="n">
        <x:v>1</x:v>
      </x:c>
      <x:c r="K1672" s="11" t="n">
        <x:v>0</x:v>
      </x:c>
      <x:c r="L1672" s="17" t="n">
        <x:f>SUM(SUMIFS('Costing'!$P$9:$P$492,'Costing'!$A$9:$A$492,"PARTNER-M331"))</x:f>
        <x:v>40000</x:v>
      </x:c>
      <x:c r="M1672" s="17" t="n">
        <x:f>ROUND(L1672*'Costing'!$C$4,2)</x:f>
        <x:v>7200</x:v>
      </x:c>
      <x:c r="N1672" s="17" t="n">
        <x:f>L1672+M1672</x:f>
        <x:v>47200</x:v>
      </x:c>
      <x:c r="O1672" s="12" t="str">
        <x:v>Chennai</x:v>
      </x:c>
      <x:c r="P1672" s="12" t="str">
        <x:v>CORP-0745</x:v>
      </x:c>
      <x:c r="Q1672" s="12" t="str">
        <x:v>MMM Training Solutions</x:v>
      </x:c>
    </x:row>
    <x:row r="1673" ht="48" customHeight="1">
      <x:c r="A1673" s="2" t="str">
        <x:v>TEN-49548B34B134</x:v>
      </x:c>
      <x:c r="B1673" s="12" t="str">
        <x:v>MMR</x:v>
      </x:c>
      <x:c r="C1673" s="12" t="str">
        <x:v>Business / brand</x:v>
      </x:c>
      <x:c r="D1673" s="12" t="str">
        <x:v>Unresolved</x:v>
      </x:c>
      <x:c r="E1673" s="12" t="str">
        <x:v>Business activity not established</x:v>
      </x:c>
      <x:c r="F1673" s="12" t="str">
        <x:v>Mixed business audience</x:v>
      </x:c>
      <x:c r="G1673" s="12" t="str">
        <x:v>Business activity and company scale are not established from this name.</x:v>
      </x:c>
      <x:c r="H1673" s="11" t="n">
        <x:v>1</x:v>
      </x:c>
      <x:c r="I1673" s="11" t="n">
        <x:v>1</x:v>
      </x:c>
      <x:c r="J1673" s="11" t="n">
        <x:v>1</x:v>
      </x:c>
      <x:c r="K1673" s="11" t="n">
        <x:v>0</x:v>
      </x:c>
      <x:c r="L1673" s="17" t="n">
        <x:f>SUM(SUMIFS('Costing'!$P$9:$P$492,'Costing'!$A$9:$A$492,"MAIN-303"))</x:f>
        <x:v>15000</x:v>
      </x:c>
      <x:c r="M1673" s="17" t="n">
        <x:f>ROUND(L1673*'Costing'!$C$4,2)</x:f>
        <x:v>2700</x:v>
      </x:c>
      <x:c r="N1673" s="17" t="n">
        <x:f>L1673+M1673</x:f>
        <x:v>17700</x:v>
      </x:c>
      <x:c r="O1673" s="12" t="str">
        <x:v>Mumbai</x:v>
      </x:c>
      <x:c r="P1673" s="12" t="str">
        <x:v>CORP-0299</x:v>
      </x:c>
      <x:c r="Q1673" s="12" t="str">
        <x:v>MMR</x:v>
      </x:c>
    </x:row>
    <x:row r="1674" ht="48" customHeight="1">
      <x:c r="A1674" s="2" t="str">
        <x:v>TEN-499BCABB0AA7</x:v>
      </x:c>
      <x:c r="B1674" s="12" t="str">
        <x:v>MMTC-PAMP India Pvt. Ltd</x:v>
      </x:c>
      <x:c r="C1674" s="12" t="str">
        <x:v>Business / brand</x:v>
      </x:c>
      <x:c r="D1674" s="12" t="str">
        <x:v>Trade, consumer &amp; logistics</x:v>
      </x:c>
      <x:c r="E1674" s="12" t="str">
        <x:v>Retail, consumer products &amp; ecommerce</x:v>
      </x:c>
      <x:c r="F1674" s="12" t="str">
        <x:v>Mixed business audience</x:v>
      </x:c>
      <x:c r="G1674" s="12" t="str">
        <x:v>Established brand or business network; local company scale is not established. Use a mixed-business message.</x:v>
      </x:c>
      <x:c r="H1674" s="11" t="n">
        <x:v>1</x:v>
      </x:c>
      <x:c r="I1674" s="11" t="n">
        <x:v>1</x:v>
      </x:c>
      <x:c r="J1674" s="11" t="n">
        <x:v>1</x:v>
      </x:c>
      <x:c r="K1674" s="11" t="n">
        <x:v>0</x:v>
      </x:c>
      <x:c r="L1674" s="17" t="n">
        <x:f>SUM(SUMIFS('Costing'!$P$9:$P$492,'Costing'!$A$9:$A$492,"MAIN-205"))</x:f>
        <x:v>40000</x:v>
      </x:c>
      <x:c r="M1674" s="17" t="n">
        <x:f>ROUND(L1674*'Costing'!$C$4,2)</x:f>
        <x:v>7200</x:v>
      </x:c>
      <x:c r="N1674" s="17" t="n">
        <x:f>L1674+M1674</x:f>
        <x:v>47200</x:v>
      </x:c>
      <x:c r="O1674" s="12" t="str">
        <x:v>Delhi NCR</x:v>
      </x:c>
      <x:c r="P1674" s="12" t="str">
        <x:v>CORP-0201</x:v>
      </x:c>
      <x:c r="Q1674" s="12" t="str">
        <x:v>MMTC-PAMP India Pvt. Ltd</x:v>
      </x:c>
    </x:row>
    <x:row r="1675" ht="62" customHeight="1">
      <x:c r="A1675" s="2" t="str">
        <x:v>TEN-1C939685F784</x:v>
      </x:c>
      <x:c r="B1675" s="12" t="str">
        <x:v>MOAR Digital 360 Pvt Ltd</x:v>
      </x:c>
      <x:c r="C1675" s="12" t="str">
        <x:v>Business / brand</x:v>
      </x:c>
      <x:c r="D1675" s="12" t="str">
        <x:v>IT &amp; digital</x:v>
      </x:c>
      <x:c r="E1675" s="12" t="str">
        <x:v>Enterprise software &amp; digital engineering</x:v>
      </x:c>
      <x:c r="F1675" s="12" t="str">
        <x:v>Medium-scale prospects</x:v>
      </x:c>
      <x:c r="G1675" s="12" t="str">
        <x:v>Indicative growing digital-services organization. The company about page reports a team size above 100 and describes digital marketing, web and application capabilities. This supplies a direct operational scale signal.</x:v>
      </x:c>
      <x:c r="H1675" s="11" t="n">
        <x:v>1</x:v>
      </x:c>
      <x:c r="I1675" s="11" t="n">
        <x:v>3</x:v>
      </x:c>
      <x:c r="J1675" s="11" t="n">
        <x:v>3</x:v>
      </x:c>
      <x:c r="K1675" s="11" t="n">
        <x:v>0</x:v>
      </x:c>
      <x:c r="L1675" s="17" t="n">
        <x:f>SUM(SUMIFS('Costing'!$P$9:$P$492,'Costing'!$A$9:$A$492,"MAIN-142"))</x:f>
        <x:v>45000</x:v>
      </x:c>
      <x:c r="M1675" s="17" t="n">
        <x:f>ROUND(L1675*'Costing'!$C$4,2)</x:f>
        <x:v>8100</x:v>
      </x:c>
      <x:c r="N1675" s="17" t="n">
        <x:f>L1675+M1675</x:f>
        <x:v>53100</x:v>
      </x:c>
      <x:c r="O1675" s="12" t="str">
        <x:v>Chennai</x:v>
      </x:c>
      <x:c r="P1675" s="12" t="str">
        <x:v>CORP-0138</x:v>
      </x:c>
      <x:c r="Q1675" s="12" t="str">
        <x:v>MOAR Digital 360 Pvt Ltd</x:v>
      </x:c>
    </x:row>
    <x:row r="1676" ht="48" customHeight="1">
      <x:c r="A1676" s="2" t="str">
        <x:v>TEN-D3EFC991FD82</x:v>
      </x:c>
      <x:c r="B1676" s="12" t="str">
        <x:v>MOAZZAM OVERSEAS CONSULTANT</x:v>
      </x:c>
      <x:c r="C1676" s="12" t="str">
        <x:v>Business / brand</x:v>
      </x:c>
      <x:c r="D1676" s="12" t="str">
        <x:v>Professional services</x:v>
      </x:c>
      <x:c r="E1676" s="12" t="str">
        <x:v>Business consulting &amp; advisory</x:v>
      </x:c>
      <x:c r="F1676" s="12" t="str">
        <x:v>Small-scale prospects</x:v>
      </x:c>
      <x:c r="G1676" s="12" t="str">
        <x:v>Professional service, agency or advisory model; small-scale prospect assumption.</x:v>
      </x:c>
      <x:c r="H1676" s="11" t="n">
        <x:v>2</x:v>
      </x:c>
      <x:c r="I1676" s="11" t="n">
        <x:v>2</x:v>
      </x:c>
      <x:c r="J1676" s="11" t="n">
        <x:v>2</x:v>
      </x:c>
      <x:c r="K1676" s="11" t="n">
        <x:v>0</x:v>
      </x:c>
      <x:c r="L1676" s="17" t="n">
        <x:f>SUM(SUMIFS('Costing'!$P$9:$P$492,'Costing'!$A$9:$A$492,"PARTNER-M243"))</x:f>
        <x:v>80000</x:v>
      </x:c>
      <x:c r="M1676" s="17" t="n">
        <x:f>ROUND(L1676*'Costing'!$C$4,2)</x:f>
        <x:v>14400</x:v>
      </x:c>
      <x:c r="N1676" s="17" t="n">
        <x:f>L1676+M1676</x:f>
        <x:v>94400</x:v>
      </x:c>
      <x:c r="O1676" s="12" t="str">
        <x:v>Mumbai</x:v>
      </x:c>
      <x:c r="P1676" s="12" t="str">
        <x:v>CORP-0660, CORP-0661</x:v>
      </x:c>
      <x:c r="Q1676" s="12" t="str">
        <x:v>MOAZZAM OVERSEAS CONSULTANT</x:v>
      </x:c>
    </x:row>
    <x:row r="1677" ht="48" customHeight="1">
      <x:c r="A1677" s="2" t="str">
        <x:v>TEN-33E6C4FE4E0A</x:v>
      </x:c>
      <x:c r="B1677" s="12" t="str">
        <x:v>Mobavenue media pvt ltd</x:v>
      </x:c>
      <x:c r="C1677" s="12" t="str">
        <x:v>Business / brand</x:v>
      </x:c>
      <x:c r="D1677" s="12" t="str">
        <x:v>Trade, consumer &amp; logistics</x:v>
      </x:c>
      <x:c r="E1677" s="12" t="str">
        <x:v>Entertainment, media &amp; events</x:v>
      </x:c>
      <x:c r="F1677" s="12" t="str">
        <x:v>Small-scale prospects</x:v>
      </x:c>
      <x:c r="G1677" s="12" t="str">
        <x:v>Trading or consumer-services business; small-scale prospect assumption.</x:v>
      </x:c>
      <x:c r="H1677" s="11" t="n">
        <x:v>1</x:v>
      </x:c>
      <x:c r="I1677" s="11" t="n">
        <x:v>39</x:v>
      </x:c>
      <x:c r="J1677" s="11" t="n">
        <x:v>39</x:v>
      </x:c>
      <x:c r="K1677" s="11" t="n">
        <x:v>0</x:v>
      </x:c>
      <x:c r="L1677" s="17" t="n">
        <x:f>SUM(SUMIFS('Costing'!$P$9:$P$492,'Costing'!$A$9:$A$492,"MAIN-351"))</x:f>
        <x:v>585000</x:v>
      </x:c>
      <x:c r="M1677" s="17" t="n">
        <x:f>ROUND(L1677*'Costing'!$C$4,2)</x:f>
        <x:v>105300</x:v>
      </x:c>
      <x:c r="N1677" s="17" t="n">
        <x:f>L1677+M1677</x:f>
        <x:v>690300</x:v>
      </x:c>
      <x:c r="O1677" s="12" t="str">
        <x:v>Mumbai</x:v>
      </x:c>
      <x:c r="P1677" s="12" t="str">
        <x:v>CORP-0347</x:v>
      </x:c>
      <x:c r="Q1677" s="12" t="str">
        <x:v>Mobavenue media pvt ltd</x:v>
      </x:c>
    </x:row>
    <x:row r="1678" ht="48" customHeight="1">
      <x:c r="A1678" s="2" t="str">
        <x:v>TEN-81F921B8E00A</x:v>
      </x:c>
      <x:c r="B1678" s="12" t="str">
        <x:v>Mobicip</x:v>
      </x:c>
      <x:c r="C1678" s="12" t="str">
        <x:v>Business / brand</x:v>
      </x:c>
      <x:c r="D1678" s="12" t="str">
        <x:v>IT &amp; digital</x:v>
      </x:c>
      <x:c r="E1678" s="12" t="str">
        <x:v>Enterprise software &amp; digital engineering</x:v>
      </x:c>
      <x:c r="F1678" s="12" t="str">
        <x:v>Small-scale prospects</x:v>
      </x:c>
      <x:c r="G1678" s="12" t="str">
        <x:v>Software or technology-services business; small-scale prospect assumption.</x:v>
      </x:c>
      <x:c r="H1678" s="11" t="n">
        <x:v>9</x:v>
      </x:c>
      <x:c r="I1678" s="11" t="n">
        <x:v>9</x:v>
      </x:c>
      <x:c r="J1678" s="11" t="n">
        <x:v>9</x:v>
      </x:c>
      <x:c r="K1678" s="11" t="n">
        <x:v>0</x:v>
      </x:c>
      <x:c r="L1678" s="17" t="n">
        <x:f>SUM(SUMIFS('Costing'!$P$9:$P$492,'Costing'!$A$9:$A$492,"PARTNER-M002"))</x:f>
        <x:v>360000</x:v>
      </x:c>
      <x:c r="M1678" s="17" t="n">
        <x:f>ROUND(L1678*'Costing'!$C$4,2)</x:f>
        <x:v>64800</x:v>
      </x:c>
      <x:c r="N1678" s="17" t="n">
        <x:f>L1678+M1678</x:f>
        <x:v>424800</x:v>
      </x:c>
      <x:c r="O1678" s="12" t="str">
        <x:v>Bengaluru</x:v>
      </x:c>
      <x:c r="P1678" s="12" t="str">
        <x:v>CORP-0420, CORP-0421, CORP-0422, CORP-0423, CORP-0424, CORP-0425, CORP-0426, CORP-0427, CORP-0428</x:v>
      </x:c>
      <x:c r="Q1678" s="12" t="str">
        <x:v>Mobicip</x:v>
      </x:c>
    </x:row>
    <x:row r="1679" ht="48" customHeight="1">
      <x:c r="A1679" s="2" t="str">
        <x:v>TEN-52E2D5DE0876</x:v>
      </x:c>
      <x:c r="B1679" s="12" t="str">
        <x:v>Mobikode Software Private Limited</x:v>
      </x:c>
      <x:c r="C1679" s="12" t="str">
        <x:v>Business / brand</x:v>
      </x:c>
      <x:c r="D1679" s="12" t="str">
        <x:v>IT &amp; digital</x:v>
      </x:c>
      <x:c r="E1679" s="12" t="str">
        <x:v>Enterprise software &amp; digital engineering</x:v>
      </x:c>
      <x:c r="F1679" s="12" t="str">
        <x:v>Small-scale prospects</x:v>
      </x:c>
      <x:c r="G1679" s="12" t="str">
        <x:v>Software or technology-services business; small-scale prospect assumption.</x:v>
      </x:c>
      <x:c r="H1679" s="11" t="n">
        <x:v>4</x:v>
      </x:c>
      <x:c r="I1679" s="11" t="n">
        <x:v>4</x:v>
      </x:c>
      <x:c r="J1679" s="11" t="n">
        <x:v>4</x:v>
      </x:c>
      <x:c r="K1679" s="11" t="n">
        <x:v>0</x:v>
      </x:c>
      <x:c r="L1679" s="17" t="n">
        <x:f>SUM(SUMIFS('Costing'!$P$9:$P$492,'Costing'!$A$9:$A$492,"PARTNER-M261"))</x:f>
        <x:v>160000</x:v>
      </x:c>
      <x:c r="M1679" s="17" t="n">
        <x:f>ROUND(L1679*'Costing'!$C$4,2)</x:f>
        <x:v>28800</x:v>
      </x:c>
      <x:c r="N1679" s="17" t="n">
        <x:f>L1679+M1679</x:f>
        <x:v>188800</x:v>
      </x:c>
      <x:c r="O1679" s="12" t="str">
        <x:v>Pune</x:v>
      </x:c>
      <x:c r="P1679" s="12" t="str">
        <x:v>CORP-0677, CORP-0678, CORP-0679, CORP-0680</x:v>
      </x:c>
      <x:c r="Q1679" s="12" t="str">
        <x:v>Mobikode Software Private Limited</x:v>
      </x:c>
    </x:row>
    <x:row r="1680" ht="48" customHeight="1">
      <x:c r="A1680" s="2" t="str">
        <x:v>TEN-76DBEE9F2C38</x:v>
      </x:c>
      <x:c r="B1680" s="12" t="str">
        <x:v>Mobile Programming</x:v>
      </x:c>
      <x:c r="C1680" s="12" t="str">
        <x:v>Business / brand</x:v>
      </x:c>
      <x:c r="D1680" s="12" t="str">
        <x:v>IT &amp; digital</x:v>
      </x:c>
      <x:c r="E1680" s="12" t="str">
        <x:v>Enterprise software &amp; digital engineering</x:v>
      </x:c>
      <x:c r="F1680" s="12" t="str">
        <x:v>Small-scale prospects</x:v>
      </x:c>
      <x:c r="G1680" s="12" t="str">
        <x:v>Software or technology-services business; small-scale prospect assumption.</x:v>
      </x:c>
      <x:c r="H1680" s="11" t="n">
        <x:v>10</x:v>
      </x:c>
      <x:c r="I1680" s="11" t="n">
        <x:v>10</x:v>
      </x:c>
      <x:c r="J1680" s="11" t="n">
        <x:v>10</x:v>
      </x:c>
      <x:c r="K1680" s="11" t="n">
        <x:v>0</x:v>
      </x:c>
      <x:c r="L1680" s="17" t="n">
        <x:f>SUM(SUMIFS('Costing'!$P$9:$P$492,'Costing'!$A$9:$A$492,"PARTNER-M014"))</x:f>
        <x:v>400000</x:v>
      </x:c>
      <x:c r="M1680" s="17" t="n">
        <x:f>ROUND(L1680*'Costing'!$C$4,2)</x:f>
        <x:v>72000</x:v>
      </x:c>
      <x:c r="N1680" s="17" t="n">
        <x:f>L1680+M1680</x:f>
        <x:v>472000</x:v>
      </x:c>
      <x:c r="O1680" s="12" t="str">
        <x:v>Bengaluru</x:v>
      </x:c>
      <x:c r="P1680" s="12" t="str">
        <x:v>CORP-0432, CORP-0433, CORP-0434, CORP-0435, CORP-0436, CORP-0437, CORP-0438, CORP-0439, CORP-0440, CORP-0441</x:v>
      </x:c>
      <x:c r="Q1680" s="12" t="str">
        <x:v>Mobile Programming</x:v>
      </x:c>
    </x:row>
    <x:row r="1681" ht="48" customHeight="1">
      <x:c r="A1681" s="2" t="str">
        <x:v>TEN-B56496626EEE</x:v>
      </x:c>
      <x:c r="B1681" s="12" t="str">
        <x:v>Mobile Programming India Pvt. Ltd</x:v>
      </x:c>
      <x:c r="C1681" s="12" t="str">
        <x:v>Business / brand</x:v>
      </x:c>
      <x:c r="D1681" s="12" t="str">
        <x:v>IT &amp; digital</x:v>
      </x:c>
      <x:c r="E1681" s="12" t="str">
        <x:v>Enterprise software &amp; digital engineering</x:v>
      </x:c>
      <x:c r="F1681" s="12" t="str">
        <x:v>Small-scale prospects</x:v>
      </x:c>
      <x:c r="G1681" s="12" t="str">
        <x:v>Software or technology-services business; small-scale prospect assumption.</x:v>
      </x:c>
      <x:c r="H1681" s="11" t="n">
        <x:v>4</x:v>
      </x:c>
      <x:c r="I1681" s="11" t="n">
        <x:v>4</x:v>
      </x:c>
      <x:c r="J1681" s="11" t="n">
        <x:v>4</x:v>
      </x:c>
      <x:c r="K1681" s="11" t="n">
        <x:v>0</x:v>
      </x:c>
      <x:c r="L1681" s="17" t="n">
        <x:f>SUM(SUMIFS('Costing'!$P$9:$P$492,'Costing'!$A$9:$A$492,"PARTNER-M056"))</x:f>
        <x:v>160000</x:v>
      </x:c>
      <x:c r="M1681" s="17" t="n">
        <x:f>ROUND(L1681*'Costing'!$C$4,2)</x:f>
        <x:v>28800</x:v>
      </x:c>
      <x:c r="N1681" s="17" t="n">
        <x:f>L1681+M1681</x:f>
        <x:v>188800</x:v>
      </x:c>
      <x:c r="O1681" s="12" t="str">
        <x:v>Bengaluru</x:v>
      </x:c>
      <x:c r="P1681" s="12" t="str">
        <x:v>CORP-0474, CORP-0475, CORP-0476, CORP-0477</x:v>
      </x:c>
      <x:c r="Q1681" s="12" t="str">
        <x:v>Mobile Programming India Pvt. Ltd</x:v>
      </x:c>
    </x:row>
    <x:row r="1682" ht="48" customHeight="1">
      <x:c r="A1682" s="2" t="str">
        <x:v>TEN-8E6ECCA9BBE1</x:v>
      </x:c>
      <x:c r="B1682" s="12" t="str">
        <x:v>Moet Hennessy India Pvt Ltd</x:v>
      </x:c>
      <x:c r="C1682" s="12" t="str">
        <x:v>Business / brand</x:v>
      </x:c>
      <x:c r="D1682" s="12" t="str">
        <x:v>Trade, consumer &amp; logistics</x:v>
      </x:c>
      <x:c r="E1682" s="12" t="str">
        <x:v>Retail, consumer products &amp; ecommerce</x:v>
      </x:c>
      <x:c r="F1682" s="12" t="str">
        <x:v>Mixed business audience</x:v>
      </x:c>
      <x:c r="G1682" s="12" t="str">
        <x:v>Established brand or business network; local company scale is not established. Use a mixed-business message.</x:v>
      </x:c>
      <x:c r="H1682" s="11" t="n">
        <x:v>1</x:v>
      </x:c>
      <x:c r="I1682" s="11" t="n">
        <x:v>9</x:v>
      </x:c>
      <x:c r="J1682" s="11" t="n">
        <x:v>9</x:v>
      </x:c>
      <x:c r="K1682" s="11" t="n">
        <x:v>0</x:v>
      </x:c>
      <x:c r="L1682" s="17" t="n">
        <x:f>SUM(SUMIFS('Costing'!$P$9:$P$492,'Costing'!$A$9:$A$492,"MAIN-326"))</x:f>
        <x:v>360000</x:v>
      </x:c>
      <x:c r="M1682" s="17" t="n">
        <x:f>ROUND(L1682*'Costing'!$C$4,2)</x:f>
        <x:v>64800</x:v>
      </x:c>
      <x:c r="N1682" s="17" t="n">
        <x:f>L1682+M1682</x:f>
        <x:v>424800</x:v>
      </x:c>
      <x:c r="O1682" s="12" t="str">
        <x:v>Mumbai</x:v>
      </x:c>
      <x:c r="P1682" s="12" t="str">
        <x:v>CORP-0322</x:v>
      </x:c>
      <x:c r="Q1682" s="12" t="str">
        <x:v>Moet Hennessy India Pvt Ltd</x:v>
      </x:c>
    </x:row>
    <x:row r="1683" ht="48" customHeight="1">
      <x:c r="A1683" s="2" t="str">
        <x:v>TEN-5B2E564D923D</x:v>
      </x:c>
      <x:c r="B1683" s="12" t="str">
        <x:v>Mogli Labs India Pvt Ltd</x:v>
      </x:c>
      <x:c r="C1683" s="12" t="str">
        <x:v>Business / brand</x:v>
      </x:c>
      <x:c r="D1683" s="12" t="str">
        <x:v>Unresolved</x:v>
      </x:c>
      <x:c r="E1683" s="12" t="str">
        <x:v>Business activity not established</x:v>
      </x:c>
      <x:c r="F1683" s="12" t="str">
        <x:v>Mixed business audience</x:v>
      </x:c>
      <x:c r="G1683" s="12" t="str">
        <x:v>Business activity and company scale are not established from this name.</x:v>
      </x:c>
      <x:c r="H1683" s="11" t="n">
        <x:v>1</x:v>
      </x:c>
      <x:c r="I1683" s="11" t="n">
        <x:v>2</x:v>
      </x:c>
      <x:c r="J1683" s="11" t="n">
        <x:v>2</x:v>
      </x:c>
      <x:c r="K1683" s="11" t="n">
        <x:v>0</x:v>
      </x:c>
      <x:c r="L1683" s="17" t="n">
        <x:f>SUM(SUMIFS('Costing'!$P$9:$P$492,'Costing'!$A$9:$A$492,"MAIN-251"))</x:f>
        <x:v>40000</x:v>
      </x:c>
      <x:c r="M1683" s="17" t="n">
        <x:f>ROUND(L1683*'Costing'!$C$4,2)</x:f>
        <x:v>7200</x:v>
      </x:c>
      <x:c r="N1683" s="17" t="n">
        <x:f>L1683+M1683</x:f>
        <x:v>47200</x:v>
      </x:c>
      <x:c r="O1683" s="12" t="str">
        <x:v>Hyderabad</x:v>
      </x:c>
      <x:c r="P1683" s="12" t="str">
        <x:v>CORP-0247</x:v>
      </x:c>
      <x:c r="Q1683" s="12" t="str">
        <x:v>Mogli Labs India Pvt Ltd</x:v>
      </x:c>
    </x:row>
    <x:row r="1684" ht="48" customHeight="1">
      <x:c r="A1684" s="2" t="str">
        <x:v>TEN-B3DEB173436F</x:v>
      </x:c>
      <x:c r="B1684" s="12" t="str">
        <x:v>MOJO</x:v>
      </x:c>
      <x:c r="C1684" s="12" t="str">
        <x:v>Business / brand</x:v>
      </x:c>
      <x:c r="D1684" s="12" t="str">
        <x:v>Unresolved</x:v>
      </x:c>
      <x:c r="E1684" s="12" t="str">
        <x:v>Business activity not established</x:v>
      </x:c>
      <x:c r="F1684" s="12" t="str">
        <x:v>Mixed business audience</x:v>
      </x:c>
      <x:c r="G1684" s="12" t="str">
        <x:v>Business activity and company scale are not established from this name.</x:v>
      </x:c>
      <x:c r="H1684" s="11" t="n">
        <x:v>1</x:v>
      </x:c>
      <x:c r="I1684" s="11" t="n">
        <x:v>3</x:v>
      </x:c>
      <x:c r="J1684" s="11" t="n">
        <x:v>3</x:v>
      </x:c>
      <x:c r="K1684" s="11" t="n">
        <x:v>0</x:v>
      </x:c>
      <x:c r="L1684" s="17" t="n">
        <x:f>SUM(SUMIFS('Costing'!$P$9:$P$492,'Costing'!$A$9:$A$492,"MAIN-422"))</x:f>
        <x:v>45000</x:v>
      </x:c>
      <x:c r="M1684" s="17" t="n">
        <x:f>ROUND(L1684*'Costing'!$C$4,2)</x:f>
        <x:v>8100</x:v>
      </x:c>
      <x:c r="N1684" s="17" t="n">
        <x:f>L1684+M1684</x:f>
        <x:v>53100</x:v>
      </x:c>
      <x:c r="O1684" s="12" t="str">
        <x:v>Pune</x:v>
      </x:c>
      <x:c r="P1684" s="12" t="str">
        <x:v>CORP-0418</x:v>
      </x:c>
      <x:c r="Q1684" s="12" t="str">
        <x:v>MOJO</x:v>
      </x:c>
    </x:row>
    <x:row r="1685" ht="48" customHeight="1">
      <x:c r="A1685" s="2" t="str">
        <x:v>TEN-3CFC42C07A81</x:v>
      </x:c>
      <x:c r="B1685" s="12" t="str">
        <x:v>Moksh</x:v>
      </x:c>
      <x:c r="C1685" s="12" t="str">
        <x:v>Business / brand</x:v>
      </x:c>
      <x:c r="D1685" s="12" t="str">
        <x:v>Unresolved</x:v>
      </x:c>
      <x:c r="E1685" s="12" t="str">
        <x:v>Business activity not established</x:v>
      </x:c>
      <x:c r="F1685" s="12" t="str">
        <x:v>Mixed business audience</x:v>
      </x:c>
      <x:c r="G1685" s="12" t="str">
        <x:v>Business activity and company scale are not established from this name.</x:v>
      </x:c>
      <x:c r="H1685" s="11" t="n">
        <x:v>1</x:v>
      </x:c>
      <x:c r="I1685" s="11" t="n">
        <x:v>1</x:v>
      </x:c>
      <x:c r="J1685" s="11" t="n">
        <x:v>1</x:v>
      </x:c>
      <x:c r="K1685" s="11" t="n">
        <x:v>0</x:v>
      </x:c>
      <x:c r="L1685" s="17" t="n">
        <x:f>SUM(SUMIFS('Costing'!$P$9:$P$492,'Costing'!$A$9:$A$492,"MAIN-266"))</x:f>
        <x:v>20000</x:v>
      </x:c>
      <x:c r="M1685" s="17" t="n">
        <x:f>ROUND(L1685*'Costing'!$C$4,2)</x:f>
        <x:v>3600</x:v>
      </x:c>
      <x:c r="N1685" s="17" t="n">
        <x:f>L1685+M1685</x:f>
        <x:v>23600</x:v>
      </x:c>
      <x:c r="O1685" s="12" t="str">
        <x:v>Indore</x:v>
      </x:c>
      <x:c r="P1685" s="12" t="str">
        <x:v>CORP-0262</x:v>
      </x:c>
      <x:c r="Q1685" s="12" t="str">
        <x:v>Moksh</x:v>
      </x:c>
    </x:row>
    <x:row r="1686" ht="48" customHeight="1">
      <x:c r="A1686" s="2" t="str">
        <x:v>TEN-801A43D48DD3</x:v>
      </x:c>
      <x:c r="B1686" s="12" t="str">
        <x:v>Mondelez India Food Pvt Ltd</x:v>
      </x:c>
      <x:c r="C1686" s="12" t="str">
        <x:v>Business / brand</x:v>
      </x:c>
      <x:c r="D1686" s="12" t="str">
        <x:v>Trade, consumer &amp; logistics</x:v>
      </x:c>
      <x:c r="E1686" s="12" t="str">
        <x:v>Travel, hospitality, food &amp; beverages</x:v>
      </x:c>
      <x:c r="F1686" s="12" t="str">
        <x:v>Mixed business audience</x:v>
      </x:c>
      <x:c r="G1686" s="12" t="str">
        <x:v>Recognisable business context; company-scale evidence remains insufficient for a single size band.</x:v>
      </x:c>
      <x:c r="H1686" s="11" t="n">
        <x:v>1</x:v>
      </x:c>
      <x:c r="I1686" s="11" t="n">
        <x:v>9</x:v>
      </x:c>
      <x:c r="J1686" s="11" t="n">
        <x:v>9</x:v>
      </x:c>
      <x:c r="K1686" s="11" t="n">
        <x:v>0</x:v>
      </x:c>
      <x:c r="L1686" s="17" t="n">
        <x:f>SUM(SUMIFS('Costing'!$P$9:$P$492,'Costing'!$A$9:$A$492,"MAIN-326"))</x:f>
        <x:v>360000</x:v>
      </x:c>
      <x:c r="M1686" s="17" t="n">
        <x:f>ROUND(L1686*'Costing'!$C$4,2)</x:f>
        <x:v>64800</x:v>
      </x:c>
      <x:c r="N1686" s="17" t="n">
        <x:f>L1686+M1686</x:f>
        <x:v>424800</x:v>
      </x:c>
      <x:c r="O1686" s="12" t="str">
        <x:v>Mumbai</x:v>
      </x:c>
      <x:c r="P1686" s="12" t="str">
        <x:v>CORP-0322</x:v>
      </x:c>
      <x:c r="Q1686" s="12" t="str">
        <x:v>Mondelez India Food Pvt Ltd</x:v>
      </x:c>
    </x:row>
    <x:row r="1687" ht="48" customHeight="1">
      <x:c r="A1687" s="2" t="str">
        <x:v>TEN-C47675D3BD0C</x:v>
      </x:c>
      <x:c r="B1687" s="12" t="str">
        <x:v>Money View</x:v>
      </x:c>
      <x:c r="C1687" s="12" t="str">
        <x:v>Business / brand</x:v>
      </x:c>
      <x:c r="D1687" s="12" t="str">
        <x:v>Finance &amp; insurance</x:v>
      </x:c>
      <x:c r="E1687" s="12" t="str">
        <x:v>Banking, insurance, investments &amp; financial services</x:v>
      </x:c>
      <x:c r="F1687" s="12" t="str">
        <x:v>Medium-scale prospects</x:v>
      </x:c>
      <x:c r="G1687" s="12" t="str">
        <x:v>Specialist financial-services business; medium-scale prospect assumption.</x:v>
      </x:c>
      <x:c r="H1687" s="11" t="n">
        <x:v>10</x:v>
      </x:c>
      <x:c r="I1687" s="11" t="n">
        <x:v>10</x:v>
      </x:c>
      <x:c r="J1687" s="11" t="n">
        <x:v>10</x:v>
      </x:c>
      <x:c r="K1687" s="11" t="n">
        <x:v>0</x:v>
      </x:c>
      <x:c r="L1687" s="17" t="n">
        <x:f>SUM(SUMIFS('Costing'!$P$9:$P$492,'Costing'!$A$9:$A$492,"PARTNER-M014"))</x:f>
        <x:v>400000</x:v>
      </x:c>
      <x:c r="M1687" s="17" t="n">
        <x:f>ROUND(L1687*'Costing'!$C$4,2)</x:f>
        <x:v>72000</x:v>
      </x:c>
      <x:c r="N1687" s="17" t="n">
        <x:f>L1687+M1687</x:f>
        <x:v>472000</x:v>
      </x:c>
      <x:c r="O1687" s="12" t="str">
        <x:v>Bengaluru</x:v>
      </x:c>
      <x:c r="P1687" s="12" t="str">
        <x:v>CORP-0432, CORP-0433, CORP-0434, CORP-0435, CORP-0436, CORP-0437, CORP-0438, CORP-0439, CORP-0440, CORP-0441</x:v>
      </x:c>
      <x:c r="Q1687" s="12" t="str">
        <x:v>Money View</x:v>
      </x:c>
    </x:row>
    <x:row r="1688" ht="48" customHeight="1">
      <x:c r="A1688" s="2" t="str">
        <x:v>TEN-B7E189530240</x:v>
      </x:c>
      <x:c r="B1688" s="12" t="str">
        <x:v>Monsanto Holdings</x:v>
      </x:c>
      <x:c r="C1688" s="12" t="str">
        <x:v>Business / brand</x:v>
      </x:c>
      <x:c r="D1688" s="12" t="str">
        <x:v>Engineering &amp; manufacturing</x:v>
      </x:c>
      <x:c r="E1688" s="12" t="str">
        <x:v>Electronics, industrial systems &amp; manufacturing</x:v>
      </x:c>
      <x:c r="F1688" s="12" t="str">
        <x:v>Mixed business audience</x:v>
      </x:c>
      <x:c r="G1688" s="12" t="str">
        <x:v>Established brand or business network; local company scale is not established. Use a mixed-business message.</x:v>
      </x:c>
      <x:c r="H1688" s="11" t="n">
        <x:v>5</x:v>
      </x:c>
      <x:c r="I1688" s="11" t="n">
        <x:v>5</x:v>
      </x:c>
      <x:c r="J1688" s="11" t="n">
        <x:v>5</x:v>
      </x:c>
      <x:c r="K1688" s="11" t="n">
        <x:v>0</x:v>
      </x:c>
      <x:c r="L1688" s="17" t="n">
        <x:f>SUM(SUMIFS('Costing'!$P$9:$P$492,'Costing'!$A$9:$A$492,"PARTNER-M051"))</x:f>
        <x:v>200000</x:v>
      </x:c>
      <x:c r="M1688" s="17" t="n">
        <x:f>ROUND(L1688*'Costing'!$C$4,2)</x:f>
        <x:v>36000</x:v>
      </x:c>
      <x:c r="N1688" s="17" t="n">
        <x:f>L1688+M1688</x:f>
        <x:v>236000</x:v>
      </x:c>
      <x:c r="O1688" s="12" t="str">
        <x:v>Bengaluru</x:v>
      </x:c>
      <x:c r="P1688" s="12" t="str">
        <x:v>CORP-0469, CORP-0470, CORP-0471, CORP-0472, CORP-0473</x:v>
      </x:c>
      <x:c r="Q1688" s="12" t="str">
        <x:v>Monsanto Holdings</x:v>
      </x:c>
    </x:row>
    <x:row r="1689" ht="48" customHeight="1">
      <x:c r="A1689" s="2" t="str">
        <x:v>TEN-BEAAFA510BCC</x:v>
      </x:c>
      <x:c r="B1689" s="12" t="str">
        <x:v>Monster</x:v>
      </x:c>
      <x:c r="C1689" s="12" t="str">
        <x:v>Business / brand</x:v>
      </x:c>
      <x:c r="D1689" s="12" t="str">
        <x:v>Professional services</x:v>
      </x:c>
      <x:c r="E1689" s="12" t="str">
        <x:v>Research, marketing &amp; professional services</x:v>
      </x:c>
      <x:c r="F1689" s="12" t="str">
        <x:v>Mixed business audience</x:v>
      </x:c>
      <x:c r="G1689" s="12" t="str">
        <x:v>Established brand or business network; local company scale is not established. Use a mixed-business message.</x:v>
      </x:c>
      <x:c r="H1689" s="11" t="n">
        <x:v>1</x:v>
      </x:c>
      <x:c r="I1689" s="11" t="n">
        <x:v>2</x:v>
      </x:c>
      <x:c r="J1689" s="11" t="n">
        <x:v>2</x:v>
      </x:c>
      <x:c r="K1689" s="11" t="n">
        <x:v>0</x:v>
      </x:c>
      <x:c r="L1689" s="17" t="n">
        <x:f>SUM(SUMIFS('Costing'!$P$9:$P$492,'Costing'!$A$9:$A$492,"MAIN-298"))</x:f>
        <x:v>30000</x:v>
      </x:c>
      <x:c r="M1689" s="17" t="n">
        <x:f>ROUND(L1689*'Costing'!$C$4,2)</x:f>
        <x:v>5400</x:v>
      </x:c>
      <x:c r="N1689" s="17" t="n">
        <x:f>L1689+M1689</x:f>
        <x:v>35400</x:v>
      </x:c>
      <x:c r="O1689" s="12" t="str">
        <x:v>Mumbai</x:v>
      </x:c>
      <x:c r="P1689" s="12" t="str">
        <x:v>CORP-0294</x:v>
      </x:c>
      <x:c r="Q1689" s="12" t="str">
        <x:v>Monster</x:v>
      </x:c>
    </x:row>
    <x:row r="1690" ht="48" customHeight="1">
      <x:c r="A1690" s="2" t="str">
        <x:v>TEN-F7E439011DF5</x:v>
      </x:c>
      <x:c r="B1690" s="12" t="str">
        <x:v>Moonatic</x:v>
      </x:c>
      <x:c r="C1690" s="12" t="str">
        <x:v>Business / brand</x:v>
      </x:c>
      <x:c r="D1690" s="12" t="str">
        <x:v>Unresolved</x:v>
      </x:c>
      <x:c r="E1690" s="12" t="str">
        <x:v>Business activity not established</x:v>
      </x:c>
      <x:c r="F1690" s="12" t="str">
        <x:v>Mixed business audience</x:v>
      </x:c>
      <x:c r="G1690" s="12" t="str">
        <x:v>Business activity and company scale are not established from this name.</x:v>
      </x:c>
      <x:c r="H1690" s="11" t="n">
        <x:v>2</x:v>
      </x:c>
      <x:c r="I1690" s="11" t="n">
        <x:v>3</x:v>
      </x:c>
      <x:c r="J1690" s="11" t="n">
        <x:v>3</x:v>
      </x:c>
      <x:c r="K1690" s="11" t="n">
        <x:v>0</x:v>
      </x:c>
      <x:c r="L1690" s="17" t="n">
        <x:f>SUM(SUMIFS('Costing'!$P$9:$P$492,'Costing'!$A$9:$A$492,"MAIN-284"),SUMIFS('Costing'!$P$9:$P$492,'Costing'!$A$9:$A$492,"MAIN-285"))</x:f>
        <x:v>45000</x:v>
      </x:c>
      <x:c r="M1690" s="17" t="n">
        <x:f>ROUND(L1690*'Costing'!$C$4,2)</x:f>
        <x:v>8100</x:v>
      </x:c>
      <x:c r="N1690" s="17" t="n">
        <x:f>L1690+M1690</x:f>
        <x:v>53100</x:v>
      </x:c>
      <x:c r="O1690" s="12" t="str">
        <x:v>Kolkata</x:v>
      </x:c>
      <x:c r="P1690" s="12" t="str">
        <x:v>CORP-0280, CORP-0281</x:v>
      </x:c>
      <x:c r="Q1690" s="12" t="str">
        <x:v>Moonatic</x:v>
      </x:c>
    </x:row>
    <x:row r="1691" ht="48" customHeight="1">
      <x:c r="A1691" s="2" t="str">
        <x:v>TEN-95E86F58BA7F</x:v>
      </x:c>
      <x:c r="B1691" s="12" t="str">
        <x:v>Mordor Intelligence</x:v>
      </x:c>
      <x:c r="C1691" s="12" t="str">
        <x:v>Business / brand</x:v>
      </x:c>
      <x:c r="D1691" s="12" t="str">
        <x:v>Professional services</x:v>
      </x:c>
      <x:c r="E1691" s="12" t="str">
        <x:v>Logistics, strategy &amp; market research consulting</x:v>
      </x:c>
      <x:c r="F1691" s="12" t="str">
        <x:v>Small-scale prospects</x:v>
      </x:c>
      <x:c r="G1691" s="12" t="str">
        <x:v>Professional service, agency or advisory model; small-scale prospect assumption.</x:v>
      </x:c>
      <x:c r="H1691" s="11" t="n">
        <x:v>1</x:v>
      </x:c>
      <x:c r="I1691" s="11" t="n">
        <x:v>1</x:v>
      </x:c>
      <x:c r="J1691" s="11" t="n">
        <x:v>1</x:v>
      </x:c>
      <x:c r="K1691" s="11" t="n">
        <x:v>0</x:v>
      </x:c>
      <x:c r="L1691" s="17" t="n">
        <x:f>SUM(SUMIFS('Costing'!$P$9:$P$492,'Costing'!$A$9:$A$492,"MAIN-259"))</x:f>
        <x:v>20000</x:v>
      </x:c>
      <x:c r="M1691" s="17" t="n">
        <x:f>ROUND(L1691*'Costing'!$C$4,2)</x:f>
        <x:v>3600</x:v>
      </x:c>
      <x:c r="N1691" s="17" t="n">
        <x:f>L1691+M1691</x:f>
        <x:v>23600</x:v>
      </x:c>
      <x:c r="O1691" s="12" t="str">
        <x:v>Hyderabad</x:v>
      </x:c>
      <x:c r="P1691" s="12" t="str">
        <x:v>CORP-0255</x:v>
      </x:c>
      <x:c r="Q1691" s="12" t="str">
        <x:v>Mordor Intelligence</x:v>
      </x:c>
    </x:row>
    <x:row r="1692" ht="48" customHeight="1">
      <x:c r="A1692" s="2" t="str">
        <x:v>TEN-59C96154EEBA</x:v>
      </x:c>
      <x:c r="B1692" s="12" t="str">
        <x:v>More retails pvt ltd</x:v>
      </x:c>
      <x:c r="C1692" s="12" t="str">
        <x:v>Business / brand</x:v>
      </x:c>
      <x:c r="D1692" s="12" t="str">
        <x:v>Trade, consumer &amp; logistics</x:v>
      </x:c>
      <x:c r="E1692" s="12" t="str">
        <x:v>Retail, consumer products &amp; ecommerce</x:v>
      </x:c>
      <x:c r="F1692" s="12" t="str">
        <x:v>Mixed business audience</x:v>
      </x:c>
      <x:c r="G1692" s="12" t="str">
        <x:v>Established brand or business network; local company scale is not established. Use a mixed-business message.</x:v>
      </x:c>
      <x:c r="H1692" s="11" t="n">
        <x:v>1</x:v>
      </x:c>
      <x:c r="I1692" s="11" t="n">
        <x:v>2</x:v>
      </x:c>
      <x:c r="J1692" s="11" t="n">
        <x:v>2</x:v>
      </x:c>
      <x:c r="K1692" s="11" t="n">
        <x:v>0</x:v>
      </x:c>
      <x:c r="L1692" s="17" t="n">
        <x:f>SUM(SUMIFS('Costing'!$P$9:$P$492,'Costing'!$A$9:$A$492,"MAIN-304"))</x:f>
        <x:v>30000</x:v>
      </x:c>
      <x:c r="M1692" s="17" t="n">
        <x:f>ROUND(L1692*'Costing'!$C$4,2)</x:f>
        <x:v>5400</x:v>
      </x:c>
      <x:c r="N1692" s="17" t="n">
        <x:f>L1692+M1692</x:f>
        <x:v>35400</x:v>
      </x:c>
      <x:c r="O1692" s="12" t="str">
        <x:v>Mumbai</x:v>
      </x:c>
      <x:c r="P1692" s="12" t="str">
        <x:v>CORP-0300</x:v>
      </x:c>
      <x:c r="Q1692" s="12" t="str">
        <x:v>More retails pvt ltd</x:v>
      </x:c>
    </x:row>
    <x:row r="1693" ht="48" customHeight="1">
      <x:c r="A1693" s="2" t="str">
        <x:v>TEN-6E91D3983FD3</x:v>
      </x:c>
      <x:c r="B1693" s="12" t="str">
        <x:v>MoreTasks</x:v>
      </x:c>
      <x:c r="C1693" s="12" t="str">
        <x:v>Business / brand</x:v>
      </x:c>
      <x:c r="D1693" s="12" t="str">
        <x:v>Unresolved</x:v>
      </x:c>
      <x:c r="E1693" s="12" t="str">
        <x:v>Business activity not established</x:v>
      </x:c>
      <x:c r="F1693" s="12" t="str">
        <x:v>Mixed business audience</x:v>
      </x:c>
      <x:c r="G1693" s="12" t="str">
        <x:v>Business activity and company scale are not established from this name.</x:v>
      </x:c>
      <x:c r="H1693" s="11" t="n">
        <x:v>2</x:v>
      </x:c>
      <x:c r="I1693" s="11" t="n">
        <x:v>4</x:v>
      </x:c>
      <x:c r="J1693" s="11" t="n">
        <x:v>4</x:v>
      </x:c>
      <x:c r="K1693" s="11" t="n">
        <x:v>0</x:v>
      </x:c>
      <x:c r="L1693" s="17" t="n">
        <x:f>SUM(SUMIFS('Costing'!$P$9:$P$492,'Costing'!$A$9:$A$492,"MAIN-183"),SUMIFS('Costing'!$P$9:$P$492,'Costing'!$A$9:$A$492,"MAIN-184"))</x:f>
        <x:v>75000</x:v>
      </x:c>
      <x:c r="M1693" s="17" t="n">
        <x:f>ROUND(L1693*'Costing'!$C$4,2)</x:f>
        <x:v>13500</x:v>
      </x:c>
      <x:c r="N1693" s="17" t="n">
        <x:f>L1693+M1693</x:f>
        <x:v>88500</x:v>
      </x:c>
      <x:c r="O1693" s="12" t="str">
        <x:v>Delhi NCR</x:v>
      </x:c>
      <x:c r="P1693" s="12" t="str">
        <x:v>CORP-0179, CORP-0180</x:v>
      </x:c>
      <x:c r="Q1693" s="12" t="str">
        <x:v>MoreTasks</x:v>
      </x:c>
    </x:row>
    <x:row r="1694" ht="62" customHeight="1">
      <x:c r="A1694" s="2" t="str">
        <x:v>TEN-6228A5824A1E</x:v>
      </x:c>
      <x:c r="B1694" s="12" t="str">
        <x:v>Morgan Stanley</x:v>
      </x:c>
      <x:c r="C1694" s="12" t="str">
        <x:v>Business / brand</x:v>
      </x:c>
      <x:c r="D1694" s="12" t="str">
        <x:v>Finance &amp; insurance</x:v>
      </x:c>
      <x:c r="E1694" s="12" t="str">
        <x:v>Investments, securities &amp; wealth</x:v>
      </x:c>
      <x:c r="F1694" s="12" t="str">
        <x:v>Large enterprise</x:v>
      </x:c>
      <x:c r="G1694" s="12" t="str">
        <x:v>Morgan Stanley's official profile describes more than 80,000 employees across its global financial-services operations. It requires an enterprise override rather than a financial-specialist Medium default.</x:v>
      </x:c>
      <x:c r="H1694" s="11" t="n">
        <x:v>1</x:v>
      </x:c>
      <x:c r="I1694" s="11" t="n">
        <x:v>16</x:v>
      </x:c>
      <x:c r="J1694" s="11" t="n">
        <x:v>16</x:v>
      </x:c>
      <x:c r="K1694" s="11" t="n">
        <x:v>0</x:v>
      </x:c>
      <x:c r="L1694" s="17" t="n">
        <x:f>SUM(SUMIFS('Costing'!$P$9:$P$492,'Costing'!$A$9:$A$492,"MAIN-039"))</x:f>
        <x:v>640000</x:v>
      </x:c>
      <x:c r="M1694" s="17" t="n">
        <x:f>ROUND(L1694*'Costing'!$C$4,2)</x:f>
        <x:v>115200</x:v>
      </x:c>
      <x:c r="N1694" s="17" t="n">
        <x:f>L1694+M1694</x:f>
        <x:v>755200</x:v>
      </x:c>
      <x:c r="O1694" s="12" t="str">
        <x:v>Bengaluru</x:v>
      </x:c>
      <x:c r="P1694" s="12" t="str">
        <x:v>CORP-0035</x:v>
      </x:c>
      <x:c r="Q1694" s="12" t="str">
        <x:v>Morgan Stanley</x:v>
      </x:c>
    </x:row>
    <x:row r="1695" ht="48" customHeight="1">
      <x:c r="A1695" s="2" t="str">
        <x:v>TEN-2D3A352738FE</x:v>
      </x:c>
      <x:c r="B1695" s="12" t="str">
        <x:v>Morgan Stanley Financial Advisors</x:v>
      </x:c>
      <x:c r="C1695" s="12" t="str">
        <x:v>Business / brand</x:v>
      </x:c>
      <x:c r="D1695" s="12" t="str">
        <x:v>Finance &amp; insurance</x:v>
      </x:c>
      <x:c r="E1695" s="12" t="str">
        <x:v>Investments, securities &amp; wealth</x:v>
      </x:c>
      <x:c r="F1695" s="12" t="str">
        <x:v>Mixed business audience</x:v>
      </x:c>
      <x:c r="G1695" s="12" t="str">
        <x:v>Recognisable business context; company-scale evidence remains insufficient for a single size band.</x:v>
      </x:c>
      <x:c r="H1695" s="11" t="n">
        <x:v>1</x:v>
      </x:c>
      <x:c r="I1695" s="11" t="n">
        <x:v>8</x:v>
      </x:c>
      <x:c r="J1695" s="11" t="n">
        <x:v>8</x:v>
      </x:c>
      <x:c r="K1695" s="11" t="n">
        <x:v>0</x:v>
      </x:c>
      <x:c r="L1695" s="17" t="n">
        <x:f>SUM(SUMIFS('Costing'!$P$9:$P$492,'Costing'!$A$9:$A$492,"MAIN-356"))</x:f>
        <x:v>200000</x:v>
      </x:c>
      <x:c r="M1695" s="17" t="n">
        <x:f>ROUND(L1695*'Costing'!$C$4,2)</x:f>
        <x:v>36000</x:v>
      </x:c>
      <x:c r="N1695" s="17" t="n">
        <x:f>L1695+M1695</x:f>
        <x:v>236000</x:v>
      </x:c>
      <x:c r="O1695" s="12" t="str">
        <x:v>Mumbai</x:v>
      </x:c>
      <x:c r="P1695" s="12" t="str">
        <x:v>CORP-0352</x:v>
      </x:c>
      <x:c r="Q1695" s="12" t="str">
        <x:v>Morgan Stanley Financial Advisors</x:v>
      </x:c>
    </x:row>
    <x:row r="1696" ht="48" customHeight="1">
      <x:c r="A1696" s="2" t="str">
        <x:v>TEN-4E928BF5B45A</x:v>
      </x:c>
      <x:c r="B1696" s="12" t="str">
        <x:v>Morni Saree</x:v>
      </x:c>
      <x:c r="C1696" s="12" t="str">
        <x:v>Business / brand</x:v>
      </x:c>
      <x:c r="D1696" s="12" t="str">
        <x:v>Trade, consumer &amp; logistics</x:v>
      </x:c>
      <x:c r="E1696" s="12" t="str">
        <x:v>Retail, consumer products &amp; ecommerce</x:v>
      </x:c>
      <x:c r="F1696" s="12" t="str">
        <x:v>Small-scale prospects</x:v>
      </x:c>
      <x:c r="G1696" s="12" t="str">
        <x:v>Trading or consumer-services business; small-scale prospect assumption.</x:v>
      </x:c>
      <x:c r="H1696" s="11" t="n">
        <x:v>1</x:v>
      </x:c>
      <x:c r="I1696" s="11" t="n">
        <x:v>1</x:v>
      </x:c>
      <x:c r="J1696" s="11" t="n">
        <x:v>1</x:v>
      </x:c>
      <x:c r="K1696" s="11" t="n">
        <x:v>0</x:v>
      </x:c>
      <x:c r="L1696" s="17" t="n">
        <x:f>SUM(SUMIFS('Costing'!$P$9:$P$492,'Costing'!$A$9:$A$492,"MAIN-275"))</x:f>
        <x:v>40000</x:v>
      </x:c>
      <x:c r="M1696" s="17" t="n">
        <x:f>ROUND(L1696*'Costing'!$C$4,2)</x:f>
        <x:v>7200</x:v>
      </x:c>
      <x:c r="N1696" s="17" t="n">
        <x:f>L1696+M1696</x:f>
        <x:v>47200</x:v>
      </x:c>
      <x:c r="O1696" s="12" t="str">
        <x:v>Indore</x:v>
      </x:c>
      <x:c r="P1696" s="12" t="str">
        <x:v>CORP-0271</x:v>
      </x:c>
      <x:c r="Q1696" s="12" t="str">
        <x:v>Morni Saree</x:v>
      </x:c>
    </x:row>
    <x:row r="1697" ht="48" customHeight="1">
      <x:c r="A1697" s="2" t="str">
        <x:v>TEN-7415B9829C2E</x:v>
      </x:c>
      <x:c r="B1697" s="12" t="str">
        <x:v>Motion Education Vimannagar</x:v>
      </x:c>
      <x:c r="C1697" s="12" t="str">
        <x:v>Business / brand</x:v>
      </x:c>
      <x:c r="D1697" s="12" t="str">
        <x:v>Education</x:v>
      </x:c>
      <x:c r="E1697" s="12" t="str">
        <x:v>Edtech, training &amp; learning</x:v>
      </x:c>
      <x:c r="F1697" s="12" t="str">
        <x:v>Mixed business audience</x:v>
      </x:c>
      <x:c r="G1697" s="12" t="str">
        <x:v>Established brand or business network; local company scale is not established. Use a mixed-business message.</x:v>
      </x:c>
      <x:c r="H1697" s="11" t="n">
        <x:v>1</x:v>
      </x:c>
      <x:c r="I1697" s="11" t="n">
        <x:v>2</x:v>
      </x:c>
      <x:c r="J1697" s="11" t="n">
        <x:v>2</x:v>
      </x:c>
      <x:c r="K1697" s="11" t="n">
        <x:v>0</x:v>
      </x:c>
      <x:c r="L1697" s="17" t="n">
        <x:f>SUM(SUMIFS('Costing'!$P$9:$P$492,'Costing'!$A$9:$A$492,"MAIN-389"))</x:f>
        <x:v>30000</x:v>
      </x:c>
      <x:c r="M1697" s="17" t="n">
        <x:f>ROUND(L1697*'Costing'!$C$4,2)</x:f>
        <x:v>5400</x:v>
      </x:c>
      <x:c r="N1697" s="17" t="n">
        <x:f>L1697+M1697</x:f>
        <x:v>35400</x:v>
      </x:c>
      <x:c r="O1697" s="12" t="str">
        <x:v>Pune</x:v>
      </x:c>
      <x:c r="P1697" s="12" t="str">
        <x:v>CORP-0385</x:v>
      </x:c>
      <x:c r="Q1697" s="12" t="str">
        <x:v>Motion Education Vimannagar</x:v>
      </x:c>
    </x:row>
    <x:row r="1698" ht="48" customHeight="1">
      <x:c r="A1698" s="2" t="str">
        <x:v>TEN-48C25C3A552B</x:v>
      </x:c>
      <x:c r="B1698" s="12" t="str">
        <x:v>MotorFloor</x:v>
      </x:c>
      <x:c r="C1698" s="12" t="str">
        <x:v>Business / brand</x:v>
      </x:c>
      <x:c r="D1698" s="12" t="str">
        <x:v>Trade, consumer &amp; logistics</x:v>
      </x:c>
      <x:c r="E1698" s="12" t="str">
        <x:v>Retail, consumer products &amp; ecommerce</x:v>
      </x:c>
      <x:c r="F1698" s="12" t="str">
        <x:v>Small-scale prospects</x:v>
      </x:c>
      <x:c r="G1698" s="12" t="str">
        <x:v>Trading or consumer-services business; small-scale prospect assumption.</x:v>
      </x:c>
      <x:c r="H1698" s="11" t="n">
        <x:v>1</x:v>
      </x:c>
      <x:c r="I1698" s="11" t="n">
        <x:v>2</x:v>
      </x:c>
      <x:c r="J1698" s="11" t="n">
        <x:v>2</x:v>
      </x:c>
      <x:c r="K1698" s="11" t="n">
        <x:v>0</x:v>
      </x:c>
      <x:c r="L1698" s="17" t="n">
        <x:f>SUM(SUMIFS('Costing'!$P$9:$P$492,'Costing'!$A$9:$A$492,"MAIN-137"))</x:f>
        <x:v>30000</x:v>
      </x:c>
      <x:c r="M1698" s="17" t="n">
        <x:f>ROUND(L1698*'Costing'!$C$4,2)</x:f>
        <x:v>5400</x:v>
      </x:c>
      <x:c r="N1698" s="17" t="n">
        <x:f>L1698+M1698</x:f>
        <x:v>35400</x:v>
      </x:c>
      <x:c r="O1698" s="12" t="str">
        <x:v>Bhubaneswar</x:v>
      </x:c>
      <x:c r="P1698" s="12" t="str">
        <x:v>CORP-0133</x:v>
      </x:c>
      <x:c r="Q1698" s="12" t="str">
        <x:v>MotorFloor</x:v>
      </x:c>
    </x:row>
    <x:row r="1699" ht="88" customHeight="1">
      <x:c r="A1699" s="2" t="str">
        <x:v>TEN-0C44BE9F7948</x:v>
      </x:c>
      <x:c r="B1699" s="12" t="str">
        <x:v>Motorola</x:v>
      </x:c>
      <x:c r="C1699" s="12" t="str">
        <x:v>Business / brand</x:v>
      </x:c>
      <x:c r="D1699" s="12" t="str">
        <x:v>Engineering &amp; manufacturing</x:v>
      </x:c>
      <x:c r="E1699" s="12" t="str">
        <x:v>Automotive, mobility &amp; aerospace</x:v>
      </x:c>
      <x:c r="F1699" s="12" t="str">
        <x:v>Large enterprise</x:v>
      </x:c>
      <x:c r="G1699" s="12" t="str">
        <x:v>The bare Motorola name may denote Motorola Solutions or Lenovo-owned Motorola Mobility. Official sources establish both as enterprise-scale brands: Solutions has about 23,000 employees; Mobility is part of Lenovo's global devices business. Large is suitable at brand level while exact identity remains unresolved.</x:v>
      </x:c>
      <x:c r="H1699" s="11" t="n">
        <x:v>12</x:v>
      </x:c>
      <x:c r="I1699" s="11" t="n">
        <x:v>12</x:v>
      </x:c>
      <x:c r="J1699" s="11" t="n">
        <x:v>12</x:v>
      </x:c>
      <x:c r="K1699" s="11" t="n">
        <x:v>0</x:v>
      </x:c>
      <x:c r="L1699" s="17" t="n">
        <x:f>SUM(SUMIFS('Costing'!$P$9:$P$492,'Costing'!$A$9:$A$492,"PARTNER-M108"))</x:f>
        <x:v>480000</x:v>
      </x:c>
      <x:c r="M1699" s="17" t="n">
        <x:f>ROUND(L1699*'Costing'!$C$4,2)</x:f>
        <x:v>86400</x:v>
      </x:c>
      <x:c r="N1699" s="17" t="n">
        <x:f>L1699+M1699</x:f>
        <x:v>566400</x:v>
      </x:c>
      <x:c r="O1699" s="12" t="str">
        <x:v>Bengaluru</x:v>
      </x:c>
      <x:c r="P1699" s="12" t="str">
        <x:v>CORP-0526, CORP-0527, CORP-0528, CORP-0529, CORP-0530, CORP-0531, CORP-0532, CORP-0533, CORP-0534, CORP-0535, CORP-0536, CORP-0537</x:v>
      </x:c>
      <x:c r="Q1699" s="12" t="str">
        <x:v>Motorola</x:v>
      </x:c>
    </x:row>
    <x:row r="1700" ht="48" customHeight="1">
      <x:c r="A1700" s="2" t="str">
        <x:v>TEN-BC35E03468A2</x:v>
      </x:c>
      <x:c r="B1700" s="12" t="str">
        <x:v>Motorola service centre</x:v>
      </x:c>
      <x:c r="C1700" s="12" t="str">
        <x:v>Business / brand</x:v>
      </x:c>
      <x:c r="D1700" s="12" t="str">
        <x:v>Engineering &amp; manufacturing</x:v>
      </x:c>
      <x:c r="E1700" s="12" t="str">
        <x:v>Automotive, mobility &amp; aerospace</x:v>
      </x:c>
      <x:c r="F1700" s="12" t="str">
        <x:v>Mixed business audience</x:v>
      </x:c>
      <x:c r="G1700" s="12" t="str">
        <x:v>Established brand or business network; local company scale is not established. Use a mixed-business message.</x:v>
      </x:c>
      <x:c r="H1700" s="11" t="n">
        <x:v>1</x:v>
      </x:c>
      <x:c r="I1700" s="11" t="n">
        <x:v>2</x:v>
      </x:c>
      <x:c r="J1700" s="11" t="n">
        <x:v>2</x:v>
      </x:c>
      <x:c r="K1700" s="11" t="n">
        <x:v>0</x:v>
      </x:c>
      <x:c r="L1700" s="17" t="n">
        <x:f>SUM(SUMIFS('Costing'!$P$9:$P$492,'Costing'!$A$9:$A$492,"MAIN-045"))</x:f>
        <x:v>30000</x:v>
      </x:c>
      <x:c r="M1700" s="17" t="n">
        <x:f>ROUND(L1700*'Costing'!$C$4,2)</x:f>
        <x:v>5400</x:v>
      </x:c>
      <x:c r="N1700" s="17" t="n">
        <x:f>L1700+M1700</x:f>
        <x:v>35400</x:v>
      </x:c>
      <x:c r="O1700" s="12" t="str">
        <x:v>Bengaluru</x:v>
      </x:c>
      <x:c r="P1700" s="12" t="str">
        <x:v>CORP-0041</x:v>
      </x:c>
      <x:c r="Q1700" s="12" t="str">
        <x:v>Motorola service centre</x:v>
      </x:c>
    </x:row>
    <x:row r="1701" ht="48" customHeight="1">
      <x:c r="A1701" s="2" t="str">
        <x:v>TEN-F2E3013A0309</x:v>
      </x:c>
      <x:c r="B1701" s="12" t="str">
        <x:v>Movate Technologies</x:v>
      </x:c>
      <x:c r="C1701" s="12" t="str">
        <x:v>Business / brand</x:v>
      </x:c>
      <x:c r="D1701" s="12" t="str">
        <x:v>IT &amp; digital</x:v>
      </x:c>
      <x:c r="E1701" s="12" t="str">
        <x:v>Enterprise software &amp; digital engineering</x:v>
      </x:c>
      <x:c r="F1701" s="12" t="str">
        <x:v>Mixed business audience</x:v>
      </x:c>
      <x:c r="G1701" s="12" t="str">
        <x:v>Established brand or business network; local company scale is not established. Use a mixed-business message.</x:v>
      </x:c>
      <x:c r="H1701" s="11" t="n">
        <x:v>3</x:v>
      </x:c>
      <x:c r="I1701" s="11" t="n">
        <x:v>3</x:v>
      </x:c>
      <x:c r="J1701" s="11" t="n">
        <x:v>3</x:v>
      </x:c>
      <x:c r="K1701" s="11" t="n">
        <x:v>0</x:v>
      </x:c>
      <x:c r="L1701" s="17" t="n">
        <x:f>SUM(SUMIFS('Costing'!$P$9:$P$492,'Costing'!$A$9:$A$492,"PARTNER-M011"))</x:f>
        <x:v>120000</x:v>
      </x:c>
      <x:c r="M1701" s="17" t="n">
        <x:f>ROUND(L1701*'Costing'!$C$4,2)</x:f>
        <x:v>21600</x:v>
      </x:c>
      <x:c r="N1701" s="17" t="n">
        <x:f>L1701+M1701</x:f>
        <x:v>141600</x:v>
      </x:c>
      <x:c r="O1701" s="12" t="str">
        <x:v>Bengaluru</x:v>
      </x:c>
      <x:c r="P1701" s="12" t="str">
        <x:v>CORP-0429, CORP-0430, CORP-0431</x:v>
      </x:c>
      <x:c r="Q1701" s="12" t="str">
        <x:v>Movate Technologies</x:v>
      </x:c>
    </x:row>
    <x:row r="1702" ht="48" customHeight="1">
      <x:c r="A1702" s="2" t="str">
        <x:v>TEN-901D155A2AAB</x:v>
      </x:c>
      <x:c r="B1702" s="12" t="str">
        <x:v>Moveworks</x:v>
      </x:c>
      <x:c r="C1702" s="12" t="str">
        <x:v>Business / brand</x:v>
      </x:c>
      <x:c r="D1702" s="12" t="str">
        <x:v>IT &amp; digital</x:v>
      </x:c>
      <x:c r="E1702" s="12" t="str">
        <x:v>Enterprise software &amp; digital engineering</x:v>
      </x:c>
      <x:c r="F1702" s="12" t="str">
        <x:v>Mixed business audience</x:v>
      </x:c>
      <x:c r="G1702" s="12" t="str">
        <x:v>Established brand or business network; local company scale is not established. Use a mixed-business message.</x:v>
      </x:c>
      <x:c r="H1702" s="11" t="n">
        <x:v>1</x:v>
      </x:c>
      <x:c r="I1702" s="11" t="n">
        <x:v>1</x:v>
      </x:c>
      <x:c r="J1702" s="11" t="n">
        <x:v>1</x:v>
      </x:c>
      <x:c r="K1702" s="11" t="n">
        <x:v>0</x:v>
      </x:c>
      <x:c r="L1702" s="17" t="n">
        <x:f>SUM(SUMIFS('Costing'!$P$9:$P$492,'Costing'!$A$9:$A$492,"MAIN-112"))</x:f>
        <x:v>25000</x:v>
      </x:c>
      <x:c r="M1702" s="17" t="n">
        <x:f>ROUND(L1702*'Costing'!$C$4,2)</x:f>
        <x:v>4500</x:v>
      </x:c>
      <x:c r="N1702" s="17" t="n">
        <x:f>L1702+M1702</x:f>
        <x:v>29500</x:v>
      </x:c>
      <x:c r="O1702" s="12" t="str">
        <x:v>Bengaluru</x:v>
      </x:c>
      <x:c r="P1702" s="12" t="str">
        <x:v>CORP-0108</x:v>
      </x:c>
      <x:c r="Q1702" s="12" t="str">
        <x:v>Moveworks</x:v>
      </x:c>
    </x:row>
    <x:row r="1703" ht="48" customHeight="1">
      <x:c r="A1703" s="2" t="str">
        <x:v>TEN-084E2EC3A700</x:v>
      </x:c>
      <x:c r="B1703" s="12" t="str">
        <x:v>Mozarc Medical India Private Limited</x:v>
      </x:c>
      <x:c r="C1703" s="12" t="str">
        <x:v>Business / brand</x:v>
      </x:c>
      <x:c r="D1703" s="12" t="str">
        <x:v>Healthcare &amp; life sciences</x:v>
      </x:c>
      <x:c r="E1703" s="12" t="str">
        <x:v>Clinical, medical &amp; diagnostic services</x:v>
      </x:c>
      <x:c r="F1703" s="12" t="str">
        <x:v>Mixed business audience</x:v>
      </x:c>
      <x:c r="G1703" s="12" t="str">
        <x:v>Established brand or business network; local company scale is not established. Use a mixed-business message.</x:v>
      </x:c>
      <x:c r="H1703" s="11" t="n">
        <x:v>1</x:v>
      </x:c>
      <x:c r="I1703" s="11" t="n">
        <x:v>2</x:v>
      </x:c>
      <x:c r="J1703" s="11" t="n">
        <x:v>2</x:v>
      </x:c>
      <x:c r="K1703" s="11" t="n">
        <x:v>0</x:v>
      </x:c>
      <x:c r="L1703" s="17" t="n">
        <x:f>SUM(SUMIFS('Costing'!$P$9:$P$492,'Costing'!$A$9:$A$492,"MAIN-017"))</x:f>
        <x:v>30000</x:v>
      </x:c>
      <x:c r="M1703" s="17" t="n">
        <x:f>ROUND(L1703*'Costing'!$C$4,2)</x:f>
        <x:v>5400</x:v>
      </x:c>
      <x:c r="N1703" s="17" t="n">
        <x:f>L1703+M1703</x:f>
        <x:v>35400</x:v>
      </x:c>
      <x:c r="O1703" s="12" t="str">
        <x:v>Bengaluru</x:v>
      </x:c>
      <x:c r="P1703" s="12" t="str">
        <x:v>CORP-0013</x:v>
      </x:c>
      <x:c r="Q1703" s="12" t="str">
        <x:v>Mozarc Medical India Private Limited</x:v>
      </x:c>
    </x:row>
    <x:row r="1704" ht="48" customHeight="1">
      <x:c r="A1704" s="2" t="str">
        <x:v>TEN-BEA5248C6C80</x:v>
      </x:c>
      <x:c r="B1704" s="12" t="str">
        <x:v>MP Metro</x:v>
      </x:c>
      <x:c r="C1704" s="12" t="str">
        <x:v>Business / brand</x:v>
      </x:c>
      <x:c r="D1704" s="12" t="str">
        <x:v>Trade, consumer &amp; logistics</x:v>
      </x:c>
      <x:c r="E1704" s="12" t="str">
        <x:v>Logistics, shipping &amp; transport</x:v>
      </x:c>
      <x:c r="F1704" s="12" t="str">
        <x:v>Mixed business audience</x:v>
      </x:c>
      <x:c r="G1704" s="12" t="str">
        <x:v>Established brand or business network; local company scale is not established. Use a mixed-business message.</x:v>
      </x:c>
      <x:c r="H1704" s="11" t="n">
        <x:v>1</x:v>
      </x:c>
      <x:c r="I1704" s="11" t="n">
        <x:v>2</x:v>
      </x:c>
      <x:c r="J1704" s="11" t="n">
        <x:v>2</x:v>
      </x:c>
      <x:c r="K1704" s="11" t="n">
        <x:v>0</x:v>
      </x:c>
      <x:c r="L1704" s="17" t="n">
        <x:f>SUM(SUMIFS('Costing'!$P$9:$P$492,'Costing'!$A$9:$A$492,"MAIN-268"))</x:f>
        <x:v>80000</x:v>
      </x:c>
      <x:c r="M1704" s="17" t="n">
        <x:f>ROUND(L1704*'Costing'!$C$4,2)</x:f>
        <x:v>14400</x:v>
      </x:c>
      <x:c r="N1704" s="17" t="n">
        <x:f>L1704+M1704</x:f>
        <x:v>94400</x:v>
      </x:c>
      <x:c r="O1704" s="12" t="str">
        <x:v>Indore</x:v>
      </x:c>
      <x:c r="P1704" s="12" t="str">
        <x:v>CORP-0264</x:v>
      </x:c>
      <x:c r="Q1704" s="12" t="str">
        <x:v>MP Metro</x:v>
      </x:c>
    </x:row>
    <x:row r="1705" ht="101" customHeight="1">
      <x:c r="A1705" s="2" t="str">
        <x:v>TEN-C63AC00C4D11</x:v>
      </x:c>
      <x:c r="B1705" s="12" t="str">
        <x:v>Mphasis</x:v>
      </x:c>
      <x:c r="C1705" s="12" t="str">
        <x:v>Business / brand</x:v>
      </x:c>
      <x:c r="D1705" s="12" t="str">
        <x:v>IT &amp; digital</x:v>
      </x:c>
      <x:c r="E1705" s="12" t="str">
        <x:v>Technology services — specialty unverified</x:v>
      </x:c>
      <x:c r="F1705" s="12" t="str">
        <x:v>Large enterprise</x:v>
      </x:c>
      <x:c r="G1705" s="12" t="str">
        <x:v>Global listed technology-services company context; not a specialist software firm. No historical headcount promoted to current fact.</x:v>
      </x:c>
      <x:c r="H1705" s="11" t="n">
        <x:v>37</x:v>
      </x:c>
      <x:c r="I1705" s="11" t="n">
        <x:v>37</x:v>
      </x:c>
      <x:c r="J1705" s="11" t="n">
        <x:v>37</x:v>
      </x:c>
      <x:c r="K1705" s="11" t="n">
        <x:v>0</x:v>
      </x:c>
      <x:c r="L1705" s="17" t="n">
        <x:f>SUM(SUMIFS('Costing'!$P$9:$P$492,'Costing'!$A$9:$A$492,"PARTNER-M108"),SUMIFS('Costing'!$P$9:$P$492,'Costing'!$A$9:$A$492,"PARTNER-M120"),SUMIFS('Costing'!$P$9:$P$492,'Costing'!$A$9:$A$492,"PARTNER-M045"),SUMIFS('Costing'!$P$9:$P$492,'Costing'!$A$9:$A$492,"PARTNER-M252"))</x:f>
        <x:v>1480000</x:v>
      </x:c>
      <x:c r="M1705" s="17" t="n">
        <x:f>ROUND(L1705*'Costing'!$C$4,2)</x:f>
        <x:v>266400</x:v>
      </x:c>
      <x:c r="N1705" s="17" t="n">
        <x:f>L1705+M1705</x:f>
        <x:v>1746400</x:v>
      </x:c>
      <x:c r="O1705" s="12" t="str">
        <x:v>Bengaluru, Pune</x:v>
      </x:c>
      <x:c r="P1705" s="12" t="str">
        <x:v>CORP-0463, CORP-0464, CORP-0465, CORP-0466, CORP-0467, CORP-0468, CORP-0526, CORP-0527, CORP-0528, CORP-0529, CORP-0530, CORP-0531, CORP-0532, CORP-0533, CORP-0534, CORP-0535, CORP-0536, CORP-0537, CORP-0538, CORP-0539, CORP-0540, CORP-0541, CORP-0542, CORP-0543, CORP-0544, CORP-0545, CORP-0546, CORP-0547, CORP-0668, CORP-0669, CORP-0670, CORP-0671, CORP-0672, CORP-0673, CORP-0674, CORP-0675, CORP-0676</x:v>
      </x:c>
      <x:c r="Q1705" s="12" t="str">
        <x:v>Mphasis</x:v>
      </x:c>
    </x:row>
    <x:row r="1706" ht="49" customHeight="1">
      <x:c r="A1706" s="2" t="str">
        <x:v>TEN-805ACF45AED6</x:v>
      </x:c>
      <x:c r="B1706" s="12" t="str">
        <x:v>Mpowered Health Infotech</x:v>
      </x:c>
      <x:c r="C1706" s="12" t="str">
        <x:v>Business / brand</x:v>
      </x:c>
      <x:c r="D1706" s="12" t="str">
        <x:v>IT &amp; digital</x:v>
      </x:c>
      <x:c r="E1706" s="12" t="str">
        <x:v>Enterprise software &amp; digital engineering</x:v>
      </x:c>
      <x:c r="F1706" s="12" t="str">
        <x:v>Small-scale prospects</x:v>
      </x:c>
      <x:c r="G1706" s="12" t="str">
        <x:v>Software or technology-services business; small-scale prospect assumption.</x:v>
      </x:c>
      <x:c r="H1706" s="11" t="n">
        <x:v>14</x:v>
      </x:c>
      <x:c r="I1706" s="11" t="n">
        <x:v>14</x:v>
      </x:c>
      <x:c r="J1706" s="11" t="n">
        <x:v>14</x:v>
      </x:c>
      <x:c r="K1706" s="11" t="n">
        <x:v>0</x:v>
      </x:c>
      <x:c r="L1706" s="17" t="n">
        <x:f>SUM(SUMIFS('Costing'!$P$9:$P$492,'Costing'!$A$9:$A$492,"PARTNER-M097"),SUMIFS('Costing'!$P$9:$P$492,'Costing'!$A$9:$A$492,"PARTNER-M082"))</x:f>
        <x:v>560000</x:v>
      </x:c>
      <x:c r="M1706" s="17" t="n">
        <x:f>ROUND(L1706*'Costing'!$C$4,2)</x:f>
        <x:v>100800</x:v>
      </x:c>
      <x:c r="N1706" s="17" t="n">
        <x:f>L1706+M1706</x:f>
        <x:v>660800</x:v>
      </x:c>
      <x:c r="O1706" s="12" t="str">
        <x:v>Bengaluru</x:v>
      </x:c>
      <x:c r="P1706" s="12" t="str">
        <x:v>CORP-0500, CORP-0501, CORP-0502, CORP-0503, CORP-0504, CORP-0505, CORP-0506, CORP-0507, CORP-0508, CORP-0509, CORP-0510, CORP-0515, CORP-0516, CORP-0517</x:v>
      </x:c>
      <x:c r="Q1706" s="12" t="str">
        <x:v>Mpowered Health Infotech</x:v>
      </x:c>
    </x:row>
    <x:row r="1707" ht="48" customHeight="1">
      <x:c r="A1707" s="2" t="str">
        <x:v>TEN-8D2A37C827BC</x:v>
      </x:c>
      <x:c r="B1707" s="12" t="str">
        <x:v>Mr. Investors</x:v>
      </x:c>
      <x:c r="C1707" s="12" t="str">
        <x:v>Business / brand</x:v>
      </x:c>
      <x:c r="D1707" s="12" t="str">
        <x:v>Finance &amp; insurance</x:v>
      </x:c>
      <x:c r="E1707" s="12" t="str">
        <x:v>Investments, securities &amp; wealth</x:v>
      </x:c>
      <x:c r="F1707" s="12" t="str">
        <x:v>Medium-scale prospects</x:v>
      </x:c>
      <x:c r="G1707" s="12" t="str">
        <x:v>Specialist financial-services business; medium-scale prospect assumption.</x:v>
      </x:c>
      <x:c r="H1707" s="11" t="n">
        <x:v>1</x:v>
      </x:c>
      <x:c r="I1707" s="11" t="n">
        <x:v>2</x:v>
      </x:c>
      <x:c r="J1707" s="11" t="n">
        <x:v>2</x:v>
      </x:c>
      <x:c r="K1707" s="11" t="n">
        <x:v>0</x:v>
      </x:c>
      <x:c r="L1707" s="17" t="n">
        <x:f>SUM(SUMIFS('Costing'!$P$9:$P$492,'Costing'!$A$9:$A$492,"MAIN-267"))</x:f>
        <x:v>40000</x:v>
      </x:c>
      <x:c r="M1707" s="17" t="n">
        <x:f>ROUND(L1707*'Costing'!$C$4,2)</x:f>
        <x:v>7200</x:v>
      </x:c>
      <x:c r="N1707" s="17" t="n">
        <x:f>L1707+M1707</x:f>
        <x:v>47200</x:v>
      </x:c>
      <x:c r="O1707" s="12" t="str">
        <x:v>Indore</x:v>
      </x:c>
      <x:c r="P1707" s="12" t="str">
        <x:v>CORP-0263</x:v>
      </x:c>
      <x:c r="Q1707" s="12" t="str">
        <x:v>Mr. Investors</x:v>
      </x:c>
    </x:row>
    <x:row r="1708" ht="48" customHeight="1">
      <x:c r="A1708" s="2" t="str">
        <x:v>TEN-D8D88329A6BC</x:v>
      </x:c>
      <x:c r="B1708" s="12" t="str">
        <x:v>MRI Software India Pvt Ltd</x:v>
      </x:c>
      <x:c r="C1708" s="12" t="str">
        <x:v>Business / brand</x:v>
      </x:c>
      <x:c r="D1708" s="12" t="str">
        <x:v>IT &amp; digital</x:v>
      </x:c>
      <x:c r="E1708" s="12" t="str">
        <x:v>Enterprise software &amp; digital engineering</x:v>
      </x:c>
      <x:c r="F1708" s="12" t="str">
        <x:v>Mixed business audience</x:v>
      </x:c>
      <x:c r="G1708" s="12" t="str">
        <x:v>Established brand or business network; local company scale is not established. Use a mixed-business message.</x:v>
      </x:c>
      <x:c r="H1708" s="11" t="n">
        <x:v>1</x:v>
      </x:c>
      <x:c r="I1708" s="11" t="n">
        <x:v>2</x:v>
      </x:c>
      <x:c r="J1708" s="11" t="n">
        <x:v>2</x:v>
      </x:c>
      <x:c r="K1708" s="11" t="n">
        <x:v>0</x:v>
      </x:c>
      <x:c r="L1708" s="17" t="n">
        <x:f>SUM(SUMIFS('Costing'!$P$9:$P$492,'Costing'!$A$9:$A$492,"MAIN-013"))</x:f>
        <x:v>30000</x:v>
      </x:c>
      <x:c r="M1708" s="17" t="n">
        <x:f>ROUND(L1708*'Costing'!$C$4,2)</x:f>
        <x:v>5400</x:v>
      </x:c>
      <x:c r="N1708" s="17" t="n">
        <x:f>L1708+M1708</x:f>
        <x:v>35400</x:v>
      </x:c>
      <x:c r="O1708" s="12" t="str">
        <x:v>Bengaluru</x:v>
      </x:c>
      <x:c r="P1708" s="12" t="str">
        <x:v>CORP-0009</x:v>
      </x:c>
      <x:c r="Q1708" s="12" t="str">
        <x:v>MRI Software India Pvt Ltd</x:v>
      </x:c>
    </x:row>
    <x:row r="1709" ht="48" customHeight="1">
      <x:c r="A1709" s="2" t="str">
        <x:v>TEN-EEFE8E76853C</x:v>
      </x:c>
      <x:c r="B1709" s="12" t="str">
        <x:v>Ms pankaj</x:v>
      </x:c>
      <x:c r="C1709" s="12" t="str">
        <x:v>Person / contact unresolved</x:v>
      </x:c>
      <x:c r="D1709" s="12" t="str">
        <x:v>Unresolved</x:v>
      </x:c>
      <x:c r="E1709" s="12" t="str">
        <x:v>Business activity not established</x:v>
      </x:c>
      <x:c r="F1709" s="12" t="str">
        <x:v>Mixed business audience</x:v>
      </x:c>
      <x:c r="G1709" s="12" t="str">
        <x:v>Ambiguous directory record; use the surrounding property audience.</x:v>
      </x:c>
      <x:c r="H1709" s="11" t="n">
        <x:v>2</x:v>
      </x:c>
      <x:c r="I1709" s="11" t="n">
        <x:v>3</x:v>
      </x:c>
      <x:c r="J1709" s="11" t="n">
        <x:v>3</x:v>
      </x:c>
      <x:c r="K1709" s="11" t="n">
        <x:v>0</x:v>
      </x:c>
      <x:c r="L1709" s="17" t="n">
        <x:f>SUM(SUMIFS('Costing'!$P$9:$P$492,'Costing'!$A$9:$A$492,"MAIN-284"),SUMIFS('Costing'!$P$9:$P$492,'Costing'!$A$9:$A$492,"MAIN-285"))</x:f>
        <x:v>45000</x:v>
      </x:c>
      <x:c r="M1709" s="17" t="n">
        <x:f>ROUND(L1709*'Costing'!$C$4,2)</x:f>
        <x:v>8100</x:v>
      </x:c>
      <x:c r="N1709" s="17" t="n">
        <x:f>L1709+M1709</x:f>
        <x:v>53100</x:v>
      </x:c>
      <x:c r="O1709" s="12" t="str">
        <x:v>Kolkata</x:v>
      </x:c>
      <x:c r="P1709" s="12" t="str">
        <x:v>CORP-0280, CORP-0281</x:v>
      </x:c>
      <x:c r="Q1709" s="12" t="str">
        <x:v>Ms pankaj</x:v>
      </x:c>
    </x:row>
    <x:row r="1710" ht="48" customHeight="1">
      <x:c r="A1710" s="2" t="str">
        <x:v>TEN-A8C9C0A3E774</x:v>
      </x:c>
      <x:c r="B1710" s="12" t="str">
        <x:v>MSCI</x:v>
      </x:c>
      <x:c r="C1710" s="12" t="str">
        <x:v>Business / brand</x:v>
      </x:c>
      <x:c r="D1710" s="12" t="str">
        <x:v>Finance &amp; insurance</x:v>
      </x:c>
      <x:c r="E1710" s="12" t="str">
        <x:v>Banking, credit &amp; financial services</x:v>
      </x:c>
      <x:c r="F1710" s="12" t="str">
        <x:v>Mixed business audience</x:v>
      </x:c>
      <x:c r="G1710" s="12" t="str">
        <x:v>Recognisable business context; company-scale evidence remains insufficient for a single size band.</x:v>
      </x:c>
      <x:c r="H1710" s="11" t="n">
        <x:v>1</x:v>
      </x:c>
      <x:c r="I1710" s="11" t="n">
        <x:v>2</x:v>
      </x:c>
      <x:c r="J1710" s="11" t="n">
        <x:v>2</x:v>
      </x:c>
      <x:c r="K1710" s="11" t="n">
        <x:v>0</x:v>
      </x:c>
      <x:c r="L1710" s="17" t="n">
        <x:f>SUM(SUMIFS('Costing'!$P$9:$P$492,'Costing'!$A$9:$A$492,"MAIN-419"))</x:f>
        <x:v>50000</x:v>
      </x:c>
      <x:c r="M1710" s="17" t="n">
        <x:f>ROUND(L1710*'Costing'!$C$4,2)</x:f>
        <x:v>9000</x:v>
      </x:c>
      <x:c r="N1710" s="17" t="n">
        <x:f>L1710+M1710</x:f>
        <x:v>59000</x:v>
      </x:c>
      <x:c r="O1710" s="12" t="str">
        <x:v>Pune</x:v>
      </x:c>
      <x:c r="P1710" s="12" t="str">
        <x:v>CORP-0415</x:v>
      </x:c>
      <x:c r="Q1710" s="12" t="str">
        <x:v>MSCI</x:v>
      </x:c>
    </x:row>
    <x:row r="1711" ht="48" customHeight="1">
      <x:c r="A1711" s="2" t="str">
        <x:v>TEN-789152CEB14A</x:v>
      </x:c>
      <x:c r="B1711" s="12" t="str">
        <x:v>Msh</x:v>
      </x:c>
      <x:c r="C1711" s="12" t="str">
        <x:v>Business / brand</x:v>
      </x:c>
      <x:c r="D1711" s="12" t="str">
        <x:v>Unresolved</x:v>
      </x:c>
      <x:c r="E1711" s="12" t="str">
        <x:v>Business activity not established</x:v>
      </x:c>
      <x:c r="F1711" s="12" t="str">
        <x:v>Mixed business audience</x:v>
      </x:c>
      <x:c r="G1711" s="12" t="str">
        <x:v>Business activity and company scale are not established from this name.</x:v>
      </x:c>
      <x:c r="H1711" s="11" t="n">
        <x:v>1</x:v>
      </x:c>
      <x:c r="I1711" s="11" t="n">
        <x:v>2</x:v>
      </x:c>
      <x:c r="J1711" s="11" t="n">
        <x:v>2</x:v>
      </x:c>
      <x:c r="K1711" s="11" t="n">
        <x:v>0</x:v>
      </x:c>
      <x:c r="L1711" s="17" t="n">
        <x:f>SUM(SUMIFS('Costing'!$P$9:$P$492,'Costing'!$A$9:$A$492,"MAIN-022"))</x:f>
        <x:v>30000</x:v>
      </x:c>
      <x:c r="M1711" s="17" t="n">
        <x:f>ROUND(L1711*'Costing'!$C$4,2)</x:f>
        <x:v>5400</x:v>
      </x:c>
      <x:c r="N1711" s="17" t="n">
        <x:f>L1711+M1711</x:f>
        <x:v>35400</x:v>
      </x:c>
      <x:c r="O1711" s="12" t="str">
        <x:v>Bengaluru</x:v>
      </x:c>
      <x:c r="P1711" s="12" t="str">
        <x:v>CORP-0018</x:v>
      </x:c>
      <x:c r="Q1711" s="12" t="str">
        <x:v>Msh</x:v>
      </x:c>
    </x:row>
    <x:row r="1712" ht="48" customHeight="1">
      <x:c r="A1712" s="2" t="str">
        <x:v>TEN-CA80269ADE3A</x:v>
      </x:c>
      <x:c r="B1712" s="12" t="str">
        <x:v>Mu Sigma</x:v>
      </x:c>
      <x:c r="C1712" s="12" t="str">
        <x:v>Business / brand</x:v>
      </x:c>
      <x:c r="D1712" s="12" t="str">
        <x:v>IT &amp; digital</x:v>
      </x:c>
      <x:c r="E1712" s="12" t="str">
        <x:v>AI, data &amp; analytics</x:v>
      </x:c>
      <x:c r="F1712" s="12" t="str">
        <x:v>Mixed business audience</x:v>
      </x:c>
      <x:c r="G1712" s="12" t="str">
        <x:v>Established brand or business network; local company scale is not established. Use a mixed-business message.</x:v>
      </x:c>
      <x:c r="H1712" s="11" t="n">
        <x:v>3</x:v>
      </x:c>
      <x:c r="I1712" s="11" t="n">
        <x:v>3</x:v>
      </x:c>
      <x:c r="J1712" s="11" t="n">
        <x:v>3</x:v>
      </x:c>
      <x:c r="K1712" s="11" t="n">
        <x:v>0</x:v>
      </x:c>
      <x:c r="L1712" s="17" t="n">
        <x:f>SUM(SUMIFS('Costing'!$P$9:$P$492,'Costing'!$A$9:$A$492,"PARTNER-M011"))</x:f>
        <x:v>120000</x:v>
      </x:c>
      <x:c r="M1712" s="17" t="n">
        <x:f>ROUND(L1712*'Costing'!$C$4,2)</x:f>
        <x:v>21600</x:v>
      </x:c>
      <x:c r="N1712" s="17" t="n">
        <x:f>L1712+M1712</x:f>
        <x:v>141600</x:v>
      </x:c>
      <x:c r="O1712" s="12" t="str">
        <x:v>Bengaluru</x:v>
      </x:c>
      <x:c r="P1712" s="12" t="str">
        <x:v>CORP-0429, CORP-0430, CORP-0431</x:v>
      </x:c>
      <x:c r="Q1712" s="12" t="str">
        <x:v>Mu Sigma</x:v>
      </x:c>
    </x:row>
    <x:row r="1713" ht="48" customHeight="1">
      <x:c r="A1713" s="2" t="str">
        <x:v>TEN-2BFB7DC3AEC8</x:v>
      </x:c>
      <x:c r="B1713" s="12" t="str">
        <x:v>Mudra Media</x:v>
      </x:c>
      <x:c r="C1713" s="12" t="str">
        <x:v>Business / brand</x:v>
      </x:c>
      <x:c r="D1713" s="12" t="str">
        <x:v>Trade, consumer &amp; logistics</x:v>
      </x:c>
      <x:c r="E1713" s="12" t="str">
        <x:v>Entertainment, media &amp; events</x:v>
      </x:c>
      <x:c r="F1713" s="12" t="str">
        <x:v>Small-scale prospects</x:v>
      </x:c>
      <x:c r="G1713" s="12" t="str">
        <x:v>Trading or consumer-services business; small-scale prospect assumption.</x:v>
      </x:c>
      <x:c r="H1713" s="11" t="n">
        <x:v>1</x:v>
      </x:c>
      <x:c r="I1713" s="11" t="n">
        <x:v>11</x:v>
      </x:c>
      <x:c r="J1713" s="11" t="n">
        <x:v>11</x:v>
      </x:c>
      <x:c r="K1713" s="11" t="n">
        <x:v>0</x:v>
      </x:c>
      <x:c r="L1713" s="17" t="n">
        <x:f>SUM(SUMIFS('Costing'!$P$9:$P$492,'Costing'!$A$9:$A$492,"MAIN-077"))</x:f>
        <x:v>165000</x:v>
      </x:c>
      <x:c r="M1713" s="17" t="n">
        <x:f>ROUND(L1713*'Costing'!$C$4,2)</x:f>
        <x:v>29700</x:v>
      </x:c>
      <x:c r="N1713" s="17" t="n">
        <x:f>L1713+M1713</x:f>
        <x:v>194700</x:v>
      </x:c>
      <x:c r="O1713" s="12" t="str">
        <x:v>Bengaluru</x:v>
      </x:c>
      <x:c r="P1713" s="12" t="str">
        <x:v>CORP-0073</x:v>
      </x:c>
      <x:c r="Q1713" s="12" t="str">
        <x:v>Mudra Media</x:v>
      </x:c>
    </x:row>
    <x:row r="1714" ht="48" customHeight="1">
      <x:c r="A1714" s="2" t="str">
        <x:v>TEN-2C76D29FC1CC</x:v>
      </x:c>
      <x:c r="B1714" s="12" t="str">
        <x:v>Muez Hest India Pvt. Ltd</x:v>
      </x:c>
      <x:c r="C1714" s="12" t="str">
        <x:v>Business / brand</x:v>
      </x:c>
      <x:c r="D1714" s="12" t="str">
        <x:v>Engineering &amp; manufacturing</x:v>
      </x:c>
      <x:c r="E1714" s="12" t="str">
        <x:v>Electronics, industrial systems &amp; manufacturing</x:v>
      </x:c>
      <x:c r="F1714" s="12" t="str">
        <x:v>Medium-scale prospects</x:v>
      </x:c>
      <x:c r="G1714" s="12" t="str">
        <x:v>Specialist industrial or engineering business; medium-scale prospect assumption.</x:v>
      </x:c>
      <x:c r="H1714" s="11" t="n">
        <x:v>1</x:v>
      </x:c>
      <x:c r="I1714" s="11" t="n">
        <x:v>22</x:v>
      </x:c>
      <x:c r="J1714" s="11" t="n">
        <x:v>22</x:v>
      </x:c>
      <x:c r="K1714" s="11" t="n">
        <x:v>0</x:v>
      </x:c>
      <x:c r="L1714" s="17" t="n">
        <x:f>SUM(SUMIFS('Costing'!$P$9:$P$492,'Costing'!$A$9:$A$492,"MAIN-307"))</x:f>
        <x:v>330000</x:v>
      </x:c>
      <x:c r="M1714" s="17" t="n">
        <x:f>ROUND(L1714*'Costing'!$C$4,2)</x:f>
        <x:v>59400</x:v>
      </x:c>
      <x:c r="N1714" s="17" t="n">
        <x:f>L1714+M1714</x:f>
        <x:v>389400</x:v>
      </x:c>
      <x:c r="O1714" s="12" t="str">
        <x:v>Mumbai</x:v>
      </x:c>
      <x:c r="P1714" s="12" t="str">
        <x:v>CORP-0303</x:v>
      </x:c>
      <x:c r="Q1714" s="12" t="str">
        <x:v>Muez Hest India Pvt. Ltd</x:v>
      </x:c>
    </x:row>
    <x:row r="1715" ht="48" customHeight="1">
      <x:c r="A1715" s="2" t="str">
        <x:v>TEN-7FC379543F07</x:v>
      </x:c>
      <x:c r="B1715" s="12" t="str">
        <x:v>MUFG</x:v>
      </x:c>
      <x:c r="C1715" s="12" t="str">
        <x:v>Business / brand</x:v>
      </x:c>
      <x:c r="D1715" s="12" t="str">
        <x:v>Finance &amp; insurance</x:v>
      </x:c>
      <x:c r="E1715" s="12" t="str">
        <x:v>Banking &amp; credit</x:v>
      </x:c>
      <x:c r="F1715" s="12" t="str">
        <x:v>Mixed business audience</x:v>
      </x:c>
      <x:c r="G1715" s="12" t="str">
        <x:v>Recognisable business context; company-scale evidence remains insufficient for a single size band.</x:v>
      </x:c>
      <x:c r="H1715" s="11" t="n">
        <x:v>1</x:v>
      </x:c>
      <x:c r="I1715" s="11" t="n">
        <x:v>1</x:v>
      </x:c>
      <x:c r="J1715" s="11" t="n">
        <x:v>1</x:v>
      </x:c>
      <x:c r="K1715" s="11" t="n">
        <x:v>0</x:v>
      </x:c>
      <x:c r="L1715" s="17" t="n">
        <x:f>SUM(SUMIFS('Costing'!$P$9:$P$492,'Costing'!$A$9:$A$492,"MAIN-295"))</x:f>
        <x:v>15000</x:v>
      </x:c>
      <x:c r="M1715" s="17" t="n">
        <x:f>ROUND(L1715*'Costing'!$C$4,2)</x:f>
        <x:v>2700</x:v>
      </x:c>
      <x:c r="N1715" s="17" t="n">
        <x:f>L1715+M1715</x:f>
        <x:v>17700</x:v>
      </x:c>
      <x:c r="O1715" s="12" t="str">
        <x:v>Mumbai</x:v>
      </x:c>
      <x:c r="P1715" s="12" t="str">
        <x:v>CORP-0291</x:v>
      </x:c>
      <x:c r="Q1715" s="12" t="str">
        <x:v>MUFG</x:v>
      </x:c>
    </x:row>
    <x:row r="1716" ht="48" customHeight="1">
      <x:c r="A1716" s="2" t="str">
        <x:v>TEN-33BC7F9C1F26</x:v>
      </x:c>
      <x:c r="B1716" s="12" t="str">
        <x:v>MUKESH DAVE</x:v>
      </x:c>
      <x:c r="C1716" s="12" t="str">
        <x:v>Person / contact unresolved</x:v>
      </x:c>
      <x:c r="D1716" s="12" t="str">
        <x:v>Unresolved</x:v>
      </x:c>
      <x:c r="E1716" s="12" t="str">
        <x:v>Business activity not established</x:v>
      </x:c>
      <x:c r="F1716" s="12" t="str">
        <x:v>Mixed business audience</x:v>
      </x:c>
      <x:c r="G1716" s="12" t="str">
        <x:v>Ambiguous directory record; use the surrounding property audience.</x:v>
      </x:c>
      <x:c r="H1716" s="11" t="n">
        <x:v>1</x:v>
      </x:c>
      <x:c r="I1716" s="11" t="n">
        <x:v>1</x:v>
      </x:c>
      <x:c r="J1716" s="11" t="n">
        <x:v>1</x:v>
      </x:c>
      <x:c r="K1716" s="11" t="n">
        <x:v>0</x:v>
      </x:c>
      <x:c r="L1716" s="17" t="n">
        <x:f>SUM(SUMIFS('Costing'!$P$9:$P$492,'Costing'!$A$9:$A$492,"MAIN-333"))</x:f>
        <x:v>15000</x:v>
      </x:c>
      <x:c r="M1716" s="17" t="n">
        <x:f>ROUND(L1716*'Costing'!$C$4,2)</x:f>
        <x:v>2700</x:v>
      </x:c>
      <x:c r="N1716" s="17" t="n">
        <x:f>L1716+M1716</x:f>
        <x:v>17700</x:v>
      </x:c>
      <x:c r="O1716" s="12" t="str">
        <x:v>Mumbai</x:v>
      </x:c>
      <x:c r="P1716" s="12" t="str">
        <x:v>CORP-0329</x:v>
      </x:c>
      <x:c r="Q1716" s="12" t="str">
        <x:v>MUKESH DAVE</x:v>
      </x:c>
    </x:row>
    <x:row r="1717" ht="48" customHeight="1">
      <x:c r="A1717" s="2" t="str">
        <x:v>TEN-7A076A165601</x:v>
      </x:c>
      <x:c r="B1717" s="12" t="str">
        <x:v>MullenLowe Lintas Group</x:v>
      </x:c>
      <x:c r="C1717" s="12" t="str">
        <x:v>Business / brand</x:v>
      </x:c>
      <x:c r="D1717" s="12" t="str">
        <x:v>Professional services</x:v>
      </x:c>
      <x:c r="E1717" s="12" t="str">
        <x:v>Marketing, media &amp; research services</x:v>
      </x:c>
      <x:c r="F1717" s="12" t="str">
        <x:v>Mixed business audience</x:v>
      </x:c>
      <x:c r="G1717" s="12" t="str">
        <x:v>Recognisable business context; company-scale evidence remains insufficient for a single size band.</x:v>
      </x:c>
      <x:c r="H1717" s="11" t="n">
        <x:v>1</x:v>
      </x:c>
      <x:c r="I1717" s="11" t="n">
        <x:v>2</x:v>
      </x:c>
      <x:c r="J1717" s="11" t="n">
        <x:v>2</x:v>
      </x:c>
      <x:c r="K1717" s="11" t="n">
        <x:v>0</x:v>
      </x:c>
      <x:c r="L1717" s="17" t="n">
        <x:f>SUM(SUMIFS('Costing'!$P$9:$P$492,'Costing'!$A$9:$A$492,"MAIN-207"))</x:f>
        <x:v>80000</x:v>
      </x:c>
      <x:c r="M1717" s="17" t="n">
        <x:f>ROUND(L1717*'Costing'!$C$4,2)</x:f>
        <x:v>14400</x:v>
      </x:c>
      <x:c r="N1717" s="17" t="n">
        <x:f>L1717+M1717</x:f>
        <x:v>94400</x:v>
      </x:c>
      <x:c r="O1717" s="12" t="str">
        <x:v>Delhi NCR</x:v>
      </x:c>
      <x:c r="P1717" s="12" t="str">
        <x:v>CORP-0203</x:v>
      </x:c>
      <x:c r="Q1717" s="12" t="str">
        <x:v>MullenLowe Lintas Group</x:v>
      </x:c>
    </x:row>
    <x:row r="1718" ht="48" customHeight="1">
      <x:c r="A1718" s="2" t="str">
        <x:v>TEN-E2744011C895</x:v>
      </x:c>
      <x:c r="B1718" s="12" t="str">
        <x:v>Murata Electronics (I) Pvt Ltd</x:v>
      </x:c>
      <x:c r="C1718" s="12" t="str">
        <x:v>Business / brand</x:v>
      </x:c>
      <x:c r="D1718" s="12" t="str">
        <x:v>Engineering &amp; manufacturing</x:v>
      </x:c>
      <x:c r="E1718" s="12" t="str">
        <x:v>Semiconductors, electronics &amp; equipment</x:v>
      </x:c>
      <x:c r="F1718" s="12" t="str">
        <x:v>Mixed business audience</x:v>
      </x:c>
      <x:c r="G1718" s="12" t="str">
        <x:v>Established brand or business network; local company scale is not established. Use a mixed-business message.</x:v>
      </x:c>
      <x:c r="H1718" s="11" t="n">
        <x:v>2</x:v>
      </x:c>
      <x:c r="I1718" s="11" t="n">
        <x:v>2</x:v>
      </x:c>
      <x:c r="J1718" s="11" t="n">
        <x:v>2</x:v>
      </x:c>
      <x:c r="K1718" s="11" t="n">
        <x:v>0</x:v>
      </x:c>
      <x:c r="L1718" s="17" t="n">
        <x:f>SUM(SUMIFS('Costing'!$P$9:$P$492,'Costing'!$A$9:$A$492,"PARTNER-M338"))</x:f>
        <x:v>80000</x:v>
      </x:c>
      <x:c r="M1718" s="17" t="n">
        <x:f>ROUND(L1718*'Costing'!$C$4,2)</x:f>
        <x:v>14400</x:v>
      </x:c>
      <x:c r="N1718" s="17" t="n">
        <x:f>L1718+M1718</x:f>
        <x:v>94400</x:v>
      </x:c>
      <x:c r="O1718" s="12" t="str">
        <x:v>Chennai</x:v>
      </x:c>
      <x:c r="P1718" s="12" t="str">
        <x:v>CORP-0752, CORP-0753</x:v>
      </x:c>
      <x:c r="Q1718" s="12" t="str">
        <x:v>Murata Electronics (I) Pvt Ltd</x:v>
      </x:c>
    </x:row>
    <x:row r="1719" ht="48" customHeight="1">
      <x:c r="A1719" s="2" t="str">
        <x:v>TEN-458B5BB6E9BE</x:v>
      </x:c>
      <x:c r="B1719" s="12" t="str">
        <x:v>Murf.Ai</x:v>
      </x:c>
      <x:c r="C1719" s="12" t="str">
        <x:v>Business / brand</x:v>
      </x:c>
      <x:c r="D1719" s="12" t="str">
        <x:v>IT &amp; digital</x:v>
      </x:c>
      <x:c r="E1719" s="12" t="str">
        <x:v>AI, data &amp; analytics</x:v>
      </x:c>
      <x:c r="F1719" s="12" t="str">
        <x:v>Small-scale prospects</x:v>
      </x:c>
      <x:c r="G1719" s="12" t="str">
        <x:v>Software or technology-services business; small-scale prospect assumption.</x:v>
      </x:c>
      <x:c r="H1719" s="11" t="n">
        <x:v>1</x:v>
      </x:c>
      <x:c r="I1719" s="11" t="n">
        <x:v>2</x:v>
      </x:c>
      <x:c r="J1719" s="11" t="n">
        <x:v>2</x:v>
      </x:c>
      <x:c r="K1719" s="11" t="n">
        <x:v>0</x:v>
      </x:c>
      <x:c r="L1719" s="17" t="n">
        <x:f>SUM(SUMIFS('Costing'!$P$9:$P$492,'Costing'!$A$9:$A$492,"MAIN-101"))</x:f>
        <x:v>30000</x:v>
      </x:c>
      <x:c r="M1719" s="17" t="n">
        <x:f>ROUND(L1719*'Costing'!$C$4,2)</x:f>
        <x:v>5400</x:v>
      </x:c>
      <x:c r="N1719" s="17" t="n">
        <x:f>L1719+M1719</x:f>
        <x:v>35400</x:v>
      </x:c>
      <x:c r="O1719" s="12" t="str">
        <x:v>Bengaluru</x:v>
      </x:c>
      <x:c r="P1719" s="12" t="str">
        <x:v>CORP-0097</x:v>
      </x:c>
      <x:c r="Q1719" s="12" t="str">
        <x:v>Murf.Ai</x:v>
      </x:c>
    </x:row>
    <x:row r="1720" ht="48" customHeight="1">
      <x:c r="A1720" s="2" t="str">
        <x:v>TEN-30821A93F5E2</x:v>
      </x:c>
      <x:c r="B1720" s="12" t="str">
        <x:v>MVI Technologies India Pvt Limited</x:v>
      </x:c>
      <x:c r="C1720" s="12" t="str">
        <x:v>Business / brand</x:v>
      </x:c>
      <x:c r="D1720" s="12" t="str">
        <x:v>Unresolved</x:v>
      </x:c>
      <x:c r="E1720" s="12" t="str">
        <x:v>Business activity not established</x:v>
      </x:c>
      <x:c r="F1720" s="12" t="str">
        <x:v>Mixed business audience</x:v>
      </x:c>
      <x:c r="G1720" s="12" t="str">
        <x:v>Business activity and company scale are not established from this name.</x:v>
      </x:c>
      <x:c r="H1720" s="11" t="n">
        <x:v>2</x:v>
      </x:c>
      <x:c r="I1720" s="11" t="n">
        <x:v>3</x:v>
      </x:c>
      <x:c r="J1720" s="11" t="n">
        <x:v>3</x:v>
      </x:c>
      <x:c r="K1720" s="11" t="n">
        <x:v>0</x:v>
      </x:c>
      <x:c r="L1720" s="17" t="n">
        <x:f>SUM(SUMIFS('Costing'!$P$9:$P$492,'Costing'!$A$9:$A$492,"MAIN-143"),SUMIFS('Costing'!$P$9:$P$492,'Costing'!$A$9:$A$492,"MAIN-144"))</x:f>
        <x:v>60000</x:v>
      </x:c>
      <x:c r="M1720" s="17" t="n">
        <x:f>ROUND(L1720*'Costing'!$C$4,2)</x:f>
        <x:v>10800</x:v>
      </x:c>
      <x:c r="N1720" s="17" t="n">
        <x:f>L1720+M1720</x:f>
        <x:v>70800</x:v>
      </x:c>
      <x:c r="O1720" s="12" t="str">
        <x:v>Chennai</x:v>
      </x:c>
      <x:c r="P1720" s="12" t="str">
        <x:v>CORP-0139, CORP-0140</x:v>
      </x:c>
      <x:c r="Q1720" s="12" t="str">
        <x:v>MVI Technologies India Pvt Limited</x:v>
      </x:c>
    </x:row>
    <x:row r="1721" ht="48" customHeight="1">
      <x:c r="A1721" s="2" t="str">
        <x:v>TEN-C9A41E937F53</x:v>
      </x:c>
      <x:c r="B1721" s="12" t="str">
        <x:v>My insurance club</x:v>
      </x:c>
      <x:c r="C1721" s="12" t="str">
        <x:v>Business / brand</x:v>
      </x:c>
      <x:c r="D1721" s="12" t="str">
        <x:v>Finance &amp; insurance</x:v>
      </x:c>
      <x:c r="E1721" s="12" t="str">
        <x:v>Insurance &amp; insurance services</x:v>
      </x:c>
      <x:c r="F1721" s="12" t="str">
        <x:v>Medium-scale prospects</x:v>
      </x:c>
      <x:c r="G1721" s="12" t="str">
        <x:v>Specialist financial-services business; medium-scale prospect assumption.</x:v>
      </x:c>
      <x:c r="H1721" s="11" t="n">
        <x:v>1</x:v>
      </x:c>
      <x:c r="I1721" s="11" t="n">
        <x:v>39</x:v>
      </x:c>
      <x:c r="J1721" s="11" t="n">
        <x:v>39</x:v>
      </x:c>
      <x:c r="K1721" s="11" t="n">
        <x:v>0</x:v>
      </x:c>
      <x:c r="L1721" s="17" t="n">
        <x:f>SUM(SUMIFS('Costing'!$P$9:$P$492,'Costing'!$A$9:$A$492,"MAIN-351"))</x:f>
        <x:v>585000</x:v>
      </x:c>
      <x:c r="M1721" s="17" t="n">
        <x:f>ROUND(L1721*'Costing'!$C$4,2)</x:f>
        <x:v>105300</x:v>
      </x:c>
      <x:c r="N1721" s="17" t="n">
        <x:f>L1721+M1721</x:f>
        <x:v>690300</x:v>
      </x:c>
      <x:c r="O1721" s="12" t="str">
        <x:v>Mumbai</x:v>
      </x:c>
      <x:c r="P1721" s="12" t="str">
        <x:v>CORP-0347</x:v>
      </x:c>
      <x:c r="Q1721" s="12" t="str">
        <x:v>My insurance club</x:v>
      </x:c>
    </x:row>
    <x:row r="1722" ht="48" customHeight="1">
      <x:c r="A1722" s="2" t="str">
        <x:v>TEN-036736E05B14</x:v>
      </x:c>
      <x:c r="B1722" s="12" t="str">
        <x:v>My Wed Light</x:v>
      </x:c>
      <x:c r="C1722" s="12" t="str">
        <x:v>Business / brand</x:v>
      </x:c>
      <x:c r="D1722" s="12" t="str">
        <x:v>Unresolved</x:v>
      </x:c>
      <x:c r="E1722" s="12" t="str">
        <x:v>Business activity not established</x:v>
      </x:c>
      <x:c r="F1722" s="12" t="str">
        <x:v>Mixed business audience</x:v>
      </x:c>
      <x:c r="G1722" s="12" t="str">
        <x:v>Business activity and company scale are not established from this name.</x:v>
      </x:c>
      <x:c r="H1722" s="11" t="n">
        <x:v>1</x:v>
      </x:c>
      <x:c r="I1722" s="11" t="n">
        <x:v>1</x:v>
      </x:c>
      <x:c r="J1722" s="11" t="n">
        <x:v>1</x:v>
      </x:c>
      <x:c r="K1722" s="11" t="n">
        <x:v>0</x:v>
      </x:c>
      <x:c r="L1722" s="17" t="n">
        <x:f>SUM(SUMIFS('Costing'!$P$9:$P$492,'Costing'!$A$9:$A$492,"MAIN-191"))</x:f>
        <x:v>40000</x:v>
      </x:c>
      <x:c r="M1722" s="17" t="n">
        <x:f>ROUND(L1722*'Costing'!$C$4,2)</x:f>
        <x:v>7200</x:v>
      </x:c>
      <x:c r="N1722" s="17" t="n">
        <x:f>L1722+M1722</x:f>
        <x:v>47200</x:v>
      </x:c>
      <x:c r="O1722" s="12" t="str">
        <x:v>Delhi NCR</x:v>
      </x:c>
      <x:c r="P1722" s="12" t="str">
        <x:v>CORP-0187</x:v>
      </x:c>
      <x:c r="Q1722" s="12" t="str">
        <x:v>My Wed Light</x:v>
      </x:c>
    </x:row>
    <x:row r="1723" ht="48" customHeight="1">
      <x:c r="A1723" s="2" t="str">
        <x:v>TEN-EEBDEB528F38</x:v>
      </x:c>
      <x:c r="B1723" s="12" t="str">
        <x:v>MYCARE</x:v>
      </x:c>
      <x:c r="C1723" s="12" t="str">
        <x:v>Business / brand</x:v>
      </x:c>
      <x:c r="D1723" s="12" t="str">
        <x:v>Healthcare &amp; life sciences</x:v>
      </x:c>
      <x:c r="E1723" s="12" t="str">
        <x:v>Mental health, wellbeing &amp; fitness</x:v>
      </x:c>
      <x:c r="F1723" s="12" t="str">
        <x:v>Small-scale prospects</x:v>
      </x:c>
      <x:c r="G1723" s="12" t="str">
        <x:v>Healthcare services business; small-scale prospect assumption.</x:v>
      </x:c>
      <x:c r="H1723" s="11" t="n">
        <x:v>1</x:v>
      </x:c>
      <x:c r="I1723" s="11" t="n">
        <x:v>1</x:v>
      </x:c>
      <x:c r="J1723" s="11" t="n">
        <x:v>1</x:v>
      </x:c>
      <x:c r="K1723" s="11" t="n">
        <x:v>0</x:v>
      </x:c>
      <x:c r="L1723" s="17" t="n">
        <x:f>SUM(SUMIFS('Costing'!$P$9:$P$492,'Costing'!$A$9:$A$492,"MAIN-385"))</x:f>
        <x:v>15000</x:v>
      </x:c>
      <x:c r="M1723" s="17" t="n">
        <x:f>ROUND(L1723*'Costing'!$C$4,2)</x:f>
        <x:v>2700</x:v>
      </x:c>
      <x:c r="N1723" s="17" t="n">
        <x:f>L1723+M1723</x:f>
        <x:v>17700</x:v>
      </x:c>
      <x:c r="O1723" s="12" t="str">
        <x:v>Pune</x:v>
      </x:c>
      <x:c r="P1723" s="12" t="str">
        <x:v>CORP-0381</x:v>
      </x:c>
      <x:c r="Q1723" s="12" t="str">
        <x:v>MYCARE</x:v>
      </x:c>
    </x:row>
    <x:row r="1724" ht="48" customHeight="1">
      <x:c r="A1724" s="2" t="str">
        <x:v>TEN-460DF29B25EA</x:v>
      </x:c>
      <x:c r="B1724" s="12" t="str">
        <x:v>Mylan Pharmaceuticals</x:v>
      </x:c>
      <x:c r="C1724" s="12" t="str">
        <x:v>Business / brand</x:v>
      </x:c>
      <x:c r="D1724" s="12" t="str">
        <x:v>Healthcare &amp; life sciences</x:v>
      </x:c>
      <x:c r="E1724" s="12" t="str">
        <x:v>Pharmaceuticals, biotechnology &amp; life sciences</x:v>
      </x:c>
      <x:c r="F1724" s="12" t="str">
        <x:v>Mixed business audience</x:v>
      </x:c>
      <x:c r="G1724" s="12" t="str">
        <x:v>Recognisable business context; company-scale evidence remains insufficient for a single size band.</x:v>
      </x:c>
      <x:c r="H1724" s="11" t="n">
        <x:v>1</x:v>
      </x:c>
      <x:c r="I1724" s="11" t="n">
        <x:v>8</x:v>
      </x:c>
      <x:c r="J1724" s="11" t="n">
        <x:v>8</x:v>
      </x:c>
      <x:c r="K1724" s="11" t="n">
        <x:v>0</x:v>
      </x:c>
      <x:c r="L1724" s="17" t="n">
        <x:f>SUM(SUMIFS('Costing'!$P$9:$P$492,'Costing'!$A$9:$A$492,"MAIN-327"))</x:f>
        <x:v>320000</x:v>
      </x:c>
      <x:c r="M1724" s="17" t="n">
        <x:f>ROUND(L1724*'Costing'!$C$4,2)</x:f>
        <x:v>57600</x:v>
      </x:c>
      <x:c r="N1724" s="17" t="n">
        <x:f>L1724+M1724</x:f>
        <x:v>377600</x:v>
      </x:c>
      <x:c r="O1724" s="12" t="str">
        <x:v>Mumbai</x:v>
      </x:c>
      <x:c r="P1724" s="12" t="str">
        <x:v>CORP-0323</x:v>
      </x:c>
      <x:c r="Q1724" s="12" t="str">
        <x:v>Mylan Pharmaceuticals</x:v>
      </x:c>
    </x:row>
    <x:row r="1725" ht="48" customHeight="1">
      <x:c r="A1725" s="2" t="str">
        <x:v>TEN-6792620C9DF3</x:v>
      </x:c>
      <x:c r="B1725" s="12" t="str">
        <x:v>MyLandscaping Solutions Private Limited</x:v>
      </x:c>
      <x:c r="C1725" s="12" t="str">
        <x:v>Business / brand</x:v>
      </x:c>
      <x:c r="D1725" s="12" t="str">
        <x:v>Trade, consumer &amp; logistics</x:v>
      </x:c>
      <x:c r="E1725" s="12" t="str">
        <x:v>Real estate, property &amp; construction services</x:v>
      </x:c>
      <x:c r="F1725" s="12" t="str">
        <x:v>Small-scale prospects</x:v>
      </x:c>
      <x:c r="G1725" s="12" t="str">
        <x:v>Trading or consumer-services business; small-scale prospect assumption.</x:v>
      </x:c>
      <x:c r="H1725" s="11" t="n">
        <x:v>1</x:v>
      </x:c>
      <x:c r="I1725" s="11" t="n">
        <x:v>1</x:v>
      </x:c>
      <x:c r="J1725" s="11" t="n">
        <x:v>1</x:v>
      </x:c>
      <x:c r="K1725" s="11" t="n">
        <x:v>0</x:v>
      </x:c>
      <x:c r="L1725" s="17" t="n">
        <x:f>SUM(SUMIFS('Costing'!$P$9:$P$492,'Costing'!$A$9:$A$492,"MAIN-254"))</x:f>
        <x:v>15000</x:v>
      </x:c>
      <x:c r="M1725" s="17" t="n">
        <x:f>ROUND(L1725*'Costing'!$C$4,2)</x:f>
        <x:v>2700</x:v>
      </x:c>
      <x:c r="N1725" s="17" t="n">
        <x:f>L1725+M1725</x:f>
        <x:v>17700</x:v>
      </x:c>
      <x:c r="O1725" s="12" t="str">
        <x:v>Hyderabad</x:v>
      </x:c>
      <x:c r="P1725" s="12" t="str">
        <x:v>CORP-0250</x:v>
      </x:c>
      <x:c r="Q1725" s="12" t="str">
        <x:v>MyLandscaping Solutions Private Limited</x:v>
      </x:c>
    </x:row>
    <x:row r="1726" ht="48" customHeight="1">
      <x:c r="A1726" s="2" t="str">
        <x:v>TEN-04D50CB55236</x:v>
      </x:c>
      <x:c r="B1726" s="12" t="str">
        <x:v>Mymoneykarma Infomatics India Pvt ltd</x:v>
      </x:c>
      <x:c r="C1726" s="12" t="str">
        <x:v>Business / brand</x:v>
      </x:c>
      <x:c r="D1726" s="12" t="str">
        <x:v>Finance &amp; insurance</x:v>
      </x:c>
      <x:c r="E1726" s="12" t="str">
        <x:v>Banking, insurance, investments &amp; financial services</x:v>
      </x:c>
      <x:c r="F1726" s="12" t="str">
        <x:v>Medium-scale prospects</x:v>
      </x:c>
      <x:c r="G1726" s="12" t="str">
        <x:v>Specialist financial-services business; medium-scale prospect assumption.</x:v>
      </x:c>
      <x:c r="H1726" s="11" t="n">
        <x:v>1</x:v>
      </x:c>
      <x:c r="I1726" s="11" t="n">
        <x:v>2</x:v>
      </x:c>
      <x:c r="J1726" s="11" t="n">
        <x:v>2</x:v>
      </x:c>
      <x:c r="K1726" s="11" t="n">
        <x:v>0</x:v>
      </x:c>
      <x:c r="L1726" s="17" t="n">
        <x:f>SUM(SUMIFS('Costing'!$P$9:$P$492,'Costing'!$A$9:$A$492,"MAIN-031"))</x:f>
        <x:v>30000</x:v>
      </x:c>
      <x:c r="M1726" s="17" t="n">
        <x:f>ROUND(L1726*'Costing'!$C$4,2)</x:f>
        <x:v>5400</x:v>
      </x:c>
      <x:c r="N1726" s="17" t="n">
        <x:f>L1726+M1726</x:f>
        <x:v>35400</x:v>
      </x:c>
      <x:c r="O1726" s="12" t="str">
        <x:v>Bengaluru</x:v>
      </x:c>
      <x:c r="P1726" s="12" t="str">
        <x:v>CORP-0027</x:v>
      </x:c>
      <x:c r="Q1726" s="12" t="str">
        <x:v>Mymoneykarma Infomatics India Pvt ltd</x:v>
      </x:c>
    </x:row>
    <x:row r="1727" ht="49" customHeight="1">
      <x:c r="A1727" s="2" t="str">
        <x:v>TEN-85F80403C42F</x:v>
      </x:c>
      <x:c r="B1727" s="12" t="str">
        <x:v>MyOffice</x:v>
      </x:c>
      <x:c r="C1727" s="12" t="str">
        <x:v>Workspace operator</x:v>
      </x:c>
      <x:c r="D1727" s="12" t="str">
        <x:v>Workspace &amp; property operations</x:v>
      </x:c>
      <x:c r="E1727" s="12" t="str">
        <x:v>Coworking/workspace operator</x:v>
      </x:c>
      <x:c r="F1727" s="12" t="str">
        <x:v>Mixed business audience</x:v>
      </x:c>
      <x:c r="G1727" s="12" t="str">
        <x:v>Supplied entry is a shared-workspace operator; the business sizes of occupant companies cannot be derived from the operator name.</x:v>
      </x:c>
      <x:c r="H1727" s="11" t="n">
        <x:v>5</x:v>
      </x:c>
      <x:c r="I1727" s="11" t="n">
        <x:v>5</x:v>
      </x:c>
      <x:c r="J1727" s="11" t="n">
        <x:v>5</x:v>
      </x:c>
      <x:c r="K1727" s="11" t="n">
        <x:v>0</x:v>
      </x:c>
      <x:c r="L1727" s="17" t="n">
        <x:f>SUM(SUMIFS('Costing'!$P$9:$P$492,'Costing'!$A$9:$A$492,"PARTNER-M384"))</x:f>
        <x:v>200000</x:v>
      </x:c>
      <x:c r="M1727" s="17" t="n">
        <x:f>ROUND(L1727*'Costing'!$C$4,2)</x:f>
        <x:v>36000</x:v>
      </x:c>
      <x:c r="N1727" s="17" t="n">
        <x:f>L1727+M1727</x:f>
        <x:v>236000</x:v>
      </x:c>
      <x:c r="O1727" s="12" t="str">
        <x:v>Delhi NCR</x:v>
      </x:c>
      <x:c r="P1727" s="12" t="str">
        <x:v>CORP-0797, CORP-0798, CORP-0799, CORP-0800, CORP-0801</x:v>
      </x:c>
      <x:c r="Q1727" s="12" t="str">
        <x:v>MyOffice</x:v>
      </x:c>
    </x:row>
    <x:row r="1728" ht="48" customHeight="1">
      <x:c r="A1728" s="2" t="str">
        <x:v>TEN-9F93AD55A758</x:v>
      </x:c>
      <x:c r="B1728" s="12" t="str">
        <x:v>Myoki</x:v>
      </x:c>
      <x:c r="C1728" s="12" t="str">
        <x:v>Business / brand</x:v>
      </x:c>
      <x:c r="D1728" s="12" t="str">
        <x:v>Unresolved</x:v>
      </x:c>
      <x:c r="E1728" s="12" t="str">
        <x:v>Business activity not established</x:v>
      </x:c>
      <x:c r="F1728" s="12" t="str">
        <x:v>Mixed business audience</x:v>
      </x:c>
      <x:c r="G1728" s="12" t="str">
        <x:v>Business activity and company scale are not established from this name.</x:v>
      </x:c>
      <x:c r="H1728" s="11" t="n">
        <x:v>1</x:v>
      </x:c>
      <x:c r="I1728" s="11" t="n">
        <x:v>4</x:v>
      </x:c>
      <x:c r="J1728" s="11" t="n">
        <x:v>4</x:v>
      </x:c>
      <x:c r="K1728" s="11" t="n">
        <x:v>0</x:v>
      </x:c>
      <x:c r="L1728" s="17" t="n">
        <x:f>SUM(SUMIFS('Costing'!$P$9:$P$492,'Costing'!$A$9:$A$492,"MAIN-130"))</x:f>
        <x:v>100000</x:v>
      </x:c>
      <x:c r="M1728" s="17" t="n">
        <x:f>ROUND(L1728*'Costing'!$C$4,2)</x:f>
        <x:v>18000</x:v>
      </x:c>
      <x:c r="N1728" s="17" t="n">
        <x:f>L1728+M1728</x:f>
        <x:v>118000</x:v>
      </x:c>
      <x:c r="O1728" s="12" t="str">
        <x:v>Bengaluru</x:v>
      </x:c>
      <x:c r="P1728" s="12" t="str">
        <x:v>CORP-0126</x:v>
      </x:c>
      <x:c r="Q1728" s="12" t="str">
        <x:v>Myoki</x:v>
      </x:c>
    </x:row>
    <x:row r="1729" ht="48" customHeight="1">
      <x:c r="A1729" s="2" t="str">
        <x:v>TEN-090321827705</x:v>
      </x:c>
      <x:c r="B1729" s="12" t="str">
        <x:v>Mysis</x:v>
      </x:c>
      <x:c r="C1729" s="12" t="str">
        <x:v>Business / brand</x:v>
      </x:c>
      <x:c r="D1729" s="12" t="str">
        <x:v>IT &amp; digital</x:v>
      </x:c>
      <x:c r="E1729" s="12" t="str">
        <x:v>Enterprise software &amp; digital engineering</x:v>
      </x:c>
      <x:c r="F1729" s="12" t="str">
        <x:v>Mixed business audience</x:v>
      </x:c>
      <x:c r="G1729" s="12" t="str">
        <x:v>Established brand or business network; local company scale is not established. Use a mixed-business message.</x:v>
      </x:c>
      <x:c r="H1729" s="11" t="n">
        <x:v>8</x:v>
      </x:c>
      <x:c r="I1729" s="11" t="n">
        <x:v>8</x:v>
      </x:c>
      <x:c r="J1729" s="11" t="n">
        <x:v>8</x:v>
      </x:c>
      <x:c r="K1729" s="11" t="n">
        <x:v>0</x:v>
      </x:c>
      <x:c r="L1729" s="17" t="n">
        <x:f>SUM(SUMIFS('Costing'!$P$9:$P$492,'Costing'!$A$9:$A$492,"PARTNER-M130"))</x:f>
        <x:v>320000</x:v>
      </x:c>
      <x:c r="M1729" s="17" t="n">
        <x:f>ROUND(L1729*'Costing'!$C$4,2)</x:f>
        <x:v>57600</x:v>
      </x:c>
      <x:c r="N1729" s="17" t="n">
        <x:f>L1729+M1729</x:f>
        <x:v>377600</x:v>
      </x:c>
      <x:c r="O1729" s="12" t="str">
        <x:v>Bengaluru</x:v>
      </x:c>
      <x:c r="P1729" s="12" t="str">
        <x:v>CORP-0548, CORP-0549, CORP-0550, CORP-0551, CORP-0552, CORP-0553, CORP-0554, CORP-0555</x:v>
      </x:c>
      <x:c r="Q1729" s="12" t="str">
        <x:v>Mysis</x:v>
      </x:c>
    </x:row>
    <x:row r="1730" ht="48" customHeight="1">
      <x:c r="A1730" s="2" t="str">
        <x:v>TEN-45103F2C037D</x:v>
      </x:c>
      <x:c r="B1730" s="12" t="str">
        <x:v>Mytex Polymers India Pvt Ltd</x:v>
      </x:c>
      <x:c r="C1730" s="12" t="str">
        <x:v>Business / brand</x:v>
      </x:c>
      <x:c r="D1730" s="12" t="str">
        <x:v>Engineering &amp; manufacturing</x:v>
      </x:c>
      <x:c r="E1730" s="12" t="str">
        <x:v>Chemicals, materials &amp; industrial manufacturing</x:v>
      </x:c>
      <x:c r="F1730" s="12" t="str">
        <x:v>Mixed business audience</x:v>
      </x:c>
      <x:c r="G1730" s="12" t="str">
        <x:v>Established brand or business network; local company scale is not established. Use a mixed-business message.</x:v>
      </x:c>
      <x:c r="H1730" s="11" t="n">
        <x:v>1</x:v>
      </x:c>
      <x:c r="I1730" s="11" t="n">
        <x:v>3</x:v>
      </x:c>
      <x:c r="J1730" s="11" t="n">
        <x:v>3</x:v>
      </x:c>
      <x:c r="K1730" s="11" t="n">
        <x:v>0</x:v>
      </x:c>
      <x:c r="L1730" s="17" t="n">
        <x:f>SUM(SUMIFS('Costing'!$P$9:$P$492,'Costing'!$A$9:$A$492,"MAIN-195"))</x:f>
        <x:v>60000</x:v>
      </x:c>
      <x:c r="M1730" s="17" t="n">
        <x:f>ROUND(L1730*'Costing'!$C$4,2)</x:f>
        <x:v>10800</x:v>
      </x:c>
      <x:c r="N1730" s="17" t="n">
        <x:f>L1730+M1730</x:f>
        <x:v>70800</x:v>
      </x:c>
      <x:c r="O1730" s="12" t="str">
        <x:v>Delhi NCR</x:v>
      </x:c>
      <x:c r="P1730" s="12" t="str">
        <x:v>CORP-0191</x:v>
      </x:c>
      <x:c r="Q1730" s="12" t="str">
        <x:v>Mytex Polymers India Pvt Ltd</x:v>
      </x:c>
    </x:row>
    <x:row r="1731" ht="48" customHeight="1">
      <x:c r="A1731" s="2" t="str">
        <x:v>TEN-184C1AE98B51</x:v>
      </x:c>
      <x:c r="B1731" s="12" t="str">
        <x:v>N.F Simth</x:v>
      </x:c>
      <x:c r="C1731" s="12" t="str">
        <x:v>Business / brand</x:v>
      </x:c>
      <x:c r="D1731" s="12" t="str">
        <x:v>Unresolved</x:v>
      </x:c>
      <x:c r="E1731" s="12" t="str">
        <x:v>Business activity not established</x:v>
      </x:c>
      <x:c r="F1731" s="12" t="str">
        <x:v>Mixed business audience</x:v>
      </x:c>
      <x:c r="G1731" s="12" t="str">
        <x:v>Business activity and company scale are not established from this name.</x:v>
      </x:c>
      <x:c r="H1731" s="11" t="n">
        <x:v>9</x:v>
      </x:c>
      <x:c r="I1731" s="11" t="n">
        <x:v>9</x:v>
      </x:c>
      <x:c r="J1731" s="11" t="n">
        <x:v>9</x:v>
      </x:c>
      <x:c r="K1731" s="11" t="n">
        <x:v>0</x:v>
      </x:c>
      <x:c r="L1731" s="17" t="n">
        <x:f>SUM(SUMIFS('Costing'!$P$9:$P$492,'Costing'!$A$9:$A$492,"PARTNER-M002"))</x:f>
        <x:v>360000</x:v>
      </x:c>
      <x:c r="M1731" s="17" t="n">
        <x:f>ROUND(L1731*'Costing'!$C$4,2)</x:f>
        <x:v>64800</x:v>
      </x:c>
      <x:c r="N1731" s="17" t="n">
        <x:f>L1731+M1731</x:f>
        <x:v>424800</x:v>
      </x:c>
      <x:c r="O1731" s="12" t="str">
        <x:v>Bengaluru</x:v>
      </x:c>
      <x:c r="P1731" s="12" t="str">
        <x:v>CORP-0420, CORP-0421, CORP-0422, CORP-0423, CORP-0424, CORP-0425, CORP-0426, CORP-0427, CORP-0428</x:v>
      </x:c>
      <x:c r="Q1731" s="12" t="str">
        <x:v>N.F Simth</x:v>
      </x:c>
    </x:row>
    <x:row r="1732" ht="48" customHeight="1">
      <x:c r="A1732" s="2" t="str">
        <x:v>TEN-757EAEA137D5</x:v>
      </x:c>
      <x:c r="B1732" s="12" t="str">
        <x:v>nagaro</x:v>
      </x:c>
      <x:c r="C1732" s="12" t="str">
        <x:v>Business / brand</x:v>
      </x:c>
      <x:c r="D1732" s="12" t="str">
        <x:v>Unresolved</x:v>
      </x:c>
      <x:c r="E1732" s="12" t="str">
        <x:v>Business activity not established</x:v>
      </x:c>
      <x:c r="F1732" s="12" t="str">
        <x:v>Mixed business audience</x:v>
      </x:c>
      <x:c r="G1732" s="12" t="str">
        <x:v>Business activity and company scale are not established from this name.</x:v>
      </x:c>
      <x:c r="H1732" s="11" t="n">
        <x:v>1</x:v>
      </x:c>
      <x:c r="I1732" s="11" t="n">
        <x:v>7</x:v>
      </x:c>
      <x:c r="J1732" s="11" t="n">
        <x:v>7</x:v>
      </x:c>
      <x:c r="K1732" s="11" t="n">
        <x:v>0</x:v>
      </x:c>
      <x:c r="L1732" s="17" t="n">
        <x:f>SUM(SUMIFS('Costing'!$P$9:$P$492,'Costing'!$A$9:$A$492,"MAIN-140"))</x:f>
        <x:v>105000</x:v>
      </x:c>
      <x:c r="M1732" s="17" t="n">
        <x:f>ROUND(L1732*'Costing'!$C$4,2)</x:f>
        <x:v>18900</x:v>
      </x:c>
      <x:c r="N1732" s="17" t="n">
        <x:f>L1732+M1732</x:f>
        <x:v>123900</x:v>
      </x:c>
      <x:c r="O1732" s="12" t="str">
        <x:v>Chennai</x:v>
      </x:c>
      <x:c r="P1732" s="12" t="str">
        <x:v>CORP-0136</x:v>
      </x:c>
      <x:c r="Q1732" s="12" t="str">
        <x:v>nagaro</x:v>
      </x:c>
    </x:row>
    <x:row r="1733" ht="62" customHeight="1">
      <x:c r="A1733" s="2" t="str">
        <x:v>TEN-775865062819</x:v>
      </x:c>
      <x:c r="B1733" s="12" t="str">
        <x:v>Nagarro Software Pvt. Ltd</x:v>
      </x:c>
      <x:c r="C1733" s="12" t="str">
        <x:v>Business / brand</x:v>
      </x:c>
      <x:c r="D1733" s="12" t="str">
        <x:v>IT &amp; digital</x:v>
      </x:c>
      <x:c r="E1733" s="12" t="str">
        <x:v>Enterprise software &amp; digital engineering</x:v>
      </x:c>
      <x:c r="F1733" s="12" t="str">
        <x:v>Large enterprise</x:v>
      </x:c>
      <x:c r="G1733" s="12" t="str">
        <x:v>The official Nagarro company page reports 18,700 colleagues across 39 countries. This global engineering and consulting workforce supports an enterprise override for Nagarro Software.</x:v>
      </x:c>
      <x:c r="H1733" s="11" t="n">
        <x:v>10</x:v>
      </x:c>
      <x:c r="I1733" s="11" t="n">
        <x:v>10</x:v>
      </x:c>
      <x:c r="J1733" s="11" t="n">
        <x:v>10</x:v>
      </x:c>
      <x:c r="K1733" s="11" t="n">
        <x:v>0</x:v>
      </x:c>
      <x:c r="L1733" s="17" t="n">
        <x:f>SUM(SUMIFS('Costing'!$P$9:$P$492,'Costing'!$A$9:$A$492,"PARTNER-M014"))</x:f>
        <x:v>400000</x:v>
      </x:c>
      <x:c r="M1733" s="17" t="n">
        <x:f>ROUND(L1733*'Costing'!$C$4,2)</x:f>
        <x:v>72000</x:v>
      </x:c>
      <x:c r="N1733" s="17" t="n">
        <x:f>L1733+M1733</x:f>
        <x:v>472000</x:v>
      </x:c>
      <x:c r="O1733" s="12" t="str">
        <x:v>Bengaluru</x:v>
      </x:c>
      <x:c r="P1733" s="12" t="str">
        <x:v>CORP-0432, CORP-0433, CORP-0434, CORP-0435, CORP-0436, CORP-0437, CORP-0438, CORP-0439, CORP-0440, CORP-0441</x:v>
      </x:c>
      <x:c r="Q1733" s="12" t="str">
        <x:v>Nagarro Software Pvt. Ltd</x:v>
      </x:c>
    </x:row>
    <x:row r="1734" ht="48" customHeight="1">
      <x:c r="A1734" s="2" t="str">
        <x:v>TEN-599CBC1C57D0</x:v>
      </x:c>
      <x:c r="B1734" s="12" t="str">
        <x:v>NAIDU DIGITAL PAYMENTS PRIVATE LIMITED</x:v>
      </x:c>
      <x:c r="C1734" s="12" t="str">
        <x:v>Business / brand</x:v>
      </x:c>
      <x:c r="D1734" s="12" t="str">
        <x:v>Finance &amp; insurance</x:v>
      </x:c>
      <x:c r="E1734" s="12" t="str">
        <x:v>Payments &amp; financial technology</x:v>
      </x:c>
      <x:c r="F1734" s="12" t="str">
        <x:v>Medium-scale prospects</x:v>
      </x:c>
      <x:c r="G1734" s="12" t="str">
        <x:v>Specialist financial-services business; medium-scale prospect assumption.</x:v>
      </x:c>
      <x:c r="H1734" s="11" t="n">
        <x:v>1</x:v>
      </x:c>
      <x:c r="I1734" s="11" t="n">
        <x:v>2</x:v>
      </x:c>
      <x:c r="J1734" s="11" t="n">
        <x:v>2</x:v>
      </x:c>
      <x:c r="K1734" s="11" t="n">
        <x:v>0</x:v>
      </x:c>
      <x:c r="L1734" s="17" t="n">
        <x:f>SUM(SUMIFS('Costing'!$P$9:$P$492,'Costing'!$A$9:$A$492,"MAIN-244"))</x:f>
        <x:v>30000</x:v>
      </x:c>
      <x:c r="M1734" s="17" t="n">
        <x:f>ROUND(L1734*'Costing'!$C$4,2)</x:f>
        <x:v>5400</x:v>
      </x:c>
      <x:c r="N1734" s="17" t="n">
        <x:f>L1734+M1734</x:f>
        <x:v>35400</x:v>
      </x:c>
      <x:c r="O1734" s="12" t="str">
        <x:v>Hyderabad</x:v>
      </x:c>
      <x:c r="P1734" s="12" t="str">
        <x:v>CORP-0240</x:v>
      </x:c>
      <x:c r="Q1734" s="12" t="str">
        <x:v>NAIDU DIGITAL PAYMENTS PRIVATE LIMITED</x:v>
      </x:c>
    </x:row>
    <x:row r="1735" ht="48" customHeight="1">
      <x:c r="A1735" s="2" t="str">
        <x:v>TEN-992B900C54B6</x:v>
      </x:c>
      <x:c r="B1735" s="12" t="str">
        <x:v>NAIDU FINTECH PRIVATE LIMITED</x:v>
      </x:c>
      <x:c r="C1735" s="12" t="str">
        <x:v>Business / brand</x:v>
      </x:c>
      <x:c r="D1735" s="12" t="str">
        <x:v>Finance &amp; insurance</x:v>
      </x:c>
      <x:c r="E1735" s="12" t="str">
        <x:v>Payments &amp; financial technology</x:v>
      </x:c>
      <x:c r="F1735" s="12" t="str">
        <x:v>Medium-scale prospects</x:v>
      </x:c>
      <x:c r="G1735" s="12" t="str">
        <x:v>Specialist financial-services business; medium-scale prospect assumption.</x:v>
      </x:c>
      <x:c r="H1735" s="11" t="n">
        <x:v>1</x:v>
      </x:c>
      <x:c r="I1735" s="11" t="n">
        <x:v>2</x:v>
      </x:c>
      <x:c r="J1735" s="11" t="n">
        <x:v>2</x:v>
      </x:c>
      <x:c r="K1735" s="11" t="n">
        <x:v>0</x:v>
      </x:c>
      <x:c r="L1735" s="17" t="n">
        <x:f>SUM(SUMIFS('Costing'!$P$9:$P$492,'Costing'!$A$9:$A$492,"MAIN-244"))</x:f>
        <x:v>30000</x:v>
      </x:c>
      <x:c r="M1735" s="17" t="n">
        <x:f>ROUND(L1735*'Costing'!$C$4,2)</x:f>
        <x:v>5400</x:v>
      </x:c>
      <x:c r="N1735" s="17" t="n">
        <x:f>L1735+M1735</x:f>
        <x:v>35400</x:v>
      </x:c>
      <x:c r="O1735" s="12" t="str">
        <x:v>Hyderabad</x:v>
      </x:c>
      <x:c r="P1735" s="12" t="str">
        <x:v>CORP-0240</x:v>
      </x:c>
      <x:c r="Q1735" s="12" t="str">
        <x:v>NAIDU FINTECH PRIVATE LIMITED</x:v>
      </x:c>
    </x:row>
    <x:row r="1736" ht="48" customHeight="1">
      <x:c r="A1736" s="2" t="str">
        <x:v>TEN-F5BCE861BB3F</x:v>
      </x:c>
      <x:c r="B1736" s="12" t="str">
        <x:v>NAIDU SOFTWARE TECHNOLOGIES PRIVATE LIMITED</x:v>
      </x:c>
      <x:c r="C1736" s="12" t="str">
        <x:v>Business / brand</x:v>
      </x:c>
      <x:c r="D1736" s="12" t="str">
        <x:v>IT &amp; digital</x:v>
      </x:c>
      <x:c r="E1736" s="12" t="str">
        <x:v>Enterprise software &amp; digital engineering</x:v>
      </x:c>
      <x:c r="F1736" s="12" t="str">
        <x:v>Small-scale prospects</x:v>
      </x:c>
      <x:c r="G1736" s="12" t="str">
        <x:v>Software or technology-services business; small-scale prospect assumption.</x:v>
      </x:c>
      <x:c r="H1736" s="11" t="n">
        <x:v>1</x:v>
      </x:c>
      <x:c r="I1736" s="11" t="n">
        <x:v>2</x:v>
      </x:c>
      <x:c r="J1736" s="11" t="n">
        <x:v>2</x:v>
      </x:c>
      <x:c r="K1736" s="11" t="n">
        <x:v>0</x:v>
      </x:c>
      <x:c r="L1736" s="17" t="n">
        <x:f>SUM(SUMIFS('Costing'!$P$9:$P$492,'Costing'!$A$9:$A$492,"MAIN-244"))</x:f>
        <x:v>30000</x:v>
      </x:c>
      <x:c r="M1736" s="17" t="n">
        <x:f>ROUND(L1736*'Costing'!$C$4,2)</x:f>
        <x:v>5400</x:v>
      </x:c>
      <x:c r="N1736" s="17" t="n">
        <x:f>L1736+M1736</x:f>
        <x:v>35400</x:v>
      </x:c>
      <x:c r="O1736" s="12" t="str">
        <x:v>Hyderabad</x:v>
      </x:c>
      <x:c r="P1736" s="12" t="str">
        <x:v>CORP-0240</x:v>
      </x:c>
      <x:c r="Q1736" s="12" t="str">
        <x:v>NAIDU SOFTWARE TECHNOLOGIES PRIVATE LIMITED</x:v>
      </x:c>
    </x:row>
    <x:row r="1737" ht="48" customHeight="1">
      <x:c r="A1737" s="2" t="str">
        <x:v>TEN-7A70CA8FF555</x:v>
      </x:c>
      <x:c r="B1737" s="12" t="str">
        <x:v>Nainit Savla</x:v>
      </x:c>
      <x:c r="C1737" s="12" t="str">
        <x:v>Person / contact unresolved</x:v>
      </x:c>
      <x:c r="D1737" s="12" t="str">
        <x:v>Unresolved</x:v>
      </x:c>
      <x:c r="E1737" s="12" t="str">
        <x:v>Business activity not established</x:v>
      </x:c>
      <x:c r="F1737" s="12" t="str">
        <x:v>Mixed business audience</x:v>
      </x:c>
      <x:c r="G1737" s="12" t="str">
        <x:v>Ambiguous directory record; use the surrounding property audience.</x:v>
      </x:c>
      <x:c r="H1737" s="11" t="n">
        <x:v>1</x:v>
      </x:c>
      <x:c r="I1737" s="11" t="n">
        <x:v>1</x:v>
      </x:c>
      <x:c r="J1737" s="11" t="n">
        <x:v>1</x:v>
      </x:c>
      <x:c r="K1737" s="11" t="n">
        <x:v>0</x:v>
      </x:c>
      <x:c r="L1737" s="17" t="n">
        <x:f>SUM(SUMIFS('Costing'!$P$9:$P$492,'Costing'!$A$9:$A$492,"MAIN-306"))</x:f>
        <x:v>15000</x:v>
      </x:c>
      <x:c r="M1737" s="17" t="n">
        <x:f>ROUND(L1737*'Costing'!$C$4,2)</x:f>
        <x:v>2700</x:v>
      </x:c>
      <x:c r="N1737" s="17" t="n">
        <x:f>L1737+M1737</x:f>
        <x:v>17700</x:v>
      </x:c>
      <x:c r="O1737" s="12" t="str">
        <x:v>Mumbai</x:v>
      </x:c>
      <x:c r="P1737" s="12" t="str">
        <x:v>CORP-0302</x:v>
      </x:c>
      <x:c r="Q1737" s="12" t="str">
        <x:v>Nainit Savla</x:v>
      </x:c>
    </x:row>
    <x:row r="1738" ht="48" customHeight="1">
      <x:c r="A1738" s="2" t="str">
        <x:v>TEN-4E47C1B5FEBC</x:v>
      </x:c>
      <x:c r="B1738" s="12" t="str">
        <x:v>Namdev Finvest Pvt. Ltd</x:v>
      </x:c>
      <x:c r="C1738" s="12" t="str">
        <x:v>Business / brand</x:v>
      </x:c>
      <x:c r="D1738" s="12" t="str">
        <x:v>Finance &amp; insurance</x:v>
      </x:c>
      <x:c r="E1738" s="12" t="str">
        <x:v>Banking &amp; credit</x:v>
      </x:c>
      <x:c r="F1738" s="12" t="str">
        <x:v>Medium-scale prospects</x:v>
      </x:c>
      <x:c r="G1738" s="12" t="str">
        <x:v>Specialist financial-services business; medium-scale prospect assumption.</x:v>
      </x:c>
      <x:c r="H1738" s="11" t="n">
        <x:v>1</x:v>
      </x:c>
      <x:c r="I1738" s="11" t="n">
        <x:v>1</x:v>
      </x:c>
      <x:c r="J1738" s="11" t="n">
        <x:v>1</x:v>
      </x:c>
      <x:c r="K1738" s="11" t="n">
        <x:v>0</x:v>
      </x:c>
      <x:c r="L1738" s="17" t="n">
        <x:f>SUM(SUMIFS('Costing'!$P$9:$P$492,'Costing'!$A$9:$A$492,"MAIN-270"))</x:f>
        <x:v>20000</x:v>
      </x:c>
      <x:c r="M1738" s="17" t="n">
        <x:f>ROUND(L1738*'Costing'!$C$4,2)</x:f>
        <x:v>3600</x:v>
      </x:c>
      <x:c r="N1738" s="17" t="n">
        <x:f>L1738+M1738</x:f>
        <x:v>23600</x:v>
      </x:c>
      <x:c r="O1738" s="12" t="str">
        <x:v>Indore</x:v>
      </x:c>
      <x:c r="P1738" s="12" t="str">
        <x:v>CORP-0266</x:v>
      </x:c>
      <x:c r="Q1738" s="12" t="str">
        <x:v>Namdev Finvest Pvt. Ltd</x:v>
      </x:c>
    </x:row>
    <x:row r="1739" ht="49" customHeight="1">
      <x:c r="A1739" s="2" t="str">
        <x:v>TEN-B6AA44AC4564</x:v>
      </x:c>
      <x:c r="B1739" s="12" t="str">
        <x:v>nand Rathi Share And Stock Brokers Ltd</x:v>
      </x:c>
      <x:c r="C1739" s="12" t="str">
        <x:v>Business / brand</x:v>
      </x:c>
      <x:c r="D1739" s="12" t="str">
        <x:v>Finance &amp; insurance</x:v>
      </x:c>
      <x:c r="E1739" s="12" t="str">
        <x:v>Investments, securities &amp; wealth</x:v>
      </x:c>
      <x:c r="F1739" s="12" t="str">
        <x:v>Mixed business audience</x:v>
      </x:c>
      <x:c r="G1739" s="12" t="str">
        <x:v>Truncated nand Rathi Share And Stock Brokers may represent Anand Rathi. Exact entity and brand need confirmation before financial-company scale is asserted.</x:v>
      </x:c>
      <x:c r="H1739" s="11" t="n">
        <x:v>1</x:v>
      </x:c>
      <x:c r="I1739" s="11" t="n">
        <x:v>26</x:v>
      </x:c>
      <x:c r="J1739" s="11" t="n">
        <x:v>26</x:v>
      </x:c>
      <x:c r="K1739" s="11" t="n">
        <x:v>0</x:v>
      </x:c>
      <x:c r="L1739" s="17" t="n">
        <x:f>SUM(SUMIFS('Costing'!$P$9:$P$492,'Costing'!$A$9:$A$492,"MAIN-342"))</x:f>
        <x:v>390000</x:v>
      </x:c>
      <x:c r="M1739" s="17" t="n">
        <x:f>ROUND(L1739*'Costing'!$C$4,2)</x:f>
        <x:v>70200</x:v>
      </x:c>
      <x:c r="N1739" s="17" t="n">
        <x:f>L1739+M1739</x:f>
        <x:v>460200</x:v>
      </x:c>
      <x:c r="O1739" s="12" t="str">
        <x:v>Mumbai</x:v>
      </x:c>
      <x:c r="P1739" s="12" t="str">
        <x:v>CORP-0338</x:v>
      </x:c>
      <x:c r="Q1739" s="12" t="str">
        <x:v>nand Rathi Share And Stock Brokers Ltd</x:v>
      </x:c>
    </x:row>
    <x:row r="1740" ht="48" customHeight="1">
      <x:c r="A1740" s="2" t="str">
        <x:v>TEN-F122850E25D2</x:v>
      </x:c>
      <x:c r="B1740" s="12" t="str">
        <x:v>Nanoheal</x:v>
      </x:c>
      <x:c r="C1740" s="12" t="str">
        <x:v>Business / brand</x:v>
      </x:c>
      <x:c r="D1740" s="12" t="str">
        <x:v>IT &amp; digital</x:v>
      </x:c>
      <x:c r="E1740" s="12" t="str">
        <x:v>Cybersecurity &amp; cloud infrastructure</x:v>
      </x:c>
      <x:c r="F1740" s="12" t="str">
        <x:v>Small-scale prospects</x:v>
      </x:c>
      <x:c r="G1740" s="12" t="str">
        <x:v>Software or technology-services business; small-scale prospect assumption.</x:v>
      </x:c>
      <x:c r="H1740" s="11" t="n">
        <x:v>1</x:v>
      </x:c>
      <x:c r="I1740" s="11" t="n">
        <x:v>5</x:v>
      </x:c>
      <x:c r="J1740" s="11" t="n">
        <x:v>5</x:v>
      </x:c>
      <x:c r="K1740" s="11" t="n">
        <x:v>0</x:v>
      </x:c>
      <x:c r="L1740" s="17" t="n">
        <x:f>SUM(SUMIFS('Costing'!$P$9:$P$492,'Costing'!$A$9:$A$492,"MAIN-127"))</x:f>
        <x:v>125000</x:v>
      </x:c>
      <x:c r="M1740" s="17" t="n">
        <x:f>ROUND(L1740*'Costing'!$C$4,2)</x:f>
        <x:v>22500</x:v>
      </x:c>
      <x:c r="N1740" s="17" t="n">
        <x:f>L1740+M1740</x:f>
        <x:v>147500</x:v>
      </x:c>
      <x:c r="O1740" s="12" t="str">
        <x:v>Bengaluru</x:v>
      </x:c>
      <x:c r="P1740" s="12" t="str">
        <x:v>CORP-0123</x:v>
      </x:c>
      <x:c r="Q1740" s="12" t="str">
        <x:v>Nanoheal</x:v>
      </x:c>
    </x:row>
    <x:row r="1741" ht="48" customHeight="1">
      <x:c r="A1741" s="2" t="str">
        <x:v>TEN-E5D9071CFFE6</x:v>
      </x:c>
      <x:c r="B1741" s="12" t="str">
        <x:v>narock Property, consultants private limited</x:v>
      </x:c>
      <x:c r="C1741" s="12" t="str">
        <x:v>Identity unresolved</x:v>
      </x:c>
      <x:c r="D1741" s="12" t="str">
        <x:v>Unresolved</x:v>
      </x:c>
      <x:c r="E1741" s="12" t="str">
        <x:v>Business activity not established</x:v>
      </x:c>
      <x:c r="F1741" s="12" t="str">
        <x:v>Mixed business audience</x:v>
      </x:c>
      <x:c r="G1741" s="12" t="str">
        <x:v>Ambiguous directory record; use the surrounding property audience.</x:v>
      </x:c>
      <x:c r="H1741" s="11" t="n">
        <x:v>1</x:v>
      </x:c>
      <x:c r="I1741" s="11" t="n">
        <x:v>1</x:v>
      </x:c>
      <x:c r="J1741" s="11" t="n">
        <x:v>1</x:v>
      </x:c>
      <x:c r="K1741" s="11" t="n">
        <x:v>0</x:v>
      </x:c>
      <x:c r="L1741" s="17" t="n">
        <x:f>SUM(SUMIFS('Costing'!$P$9:$P$492,'Costing'!$A$9:$A$492,"MAIN-070"))</x:f>
        <x:v>15000</x:v>
      </x:c>
      <x:c r="M1741" s="17" t="n">
        <x:f>ROUND(L1741*'Costing'!$C$4,2)</x:f>
        <x:v>2700</x:v>
      </x:c>
      <x:c r="N1741" s="17" t="n">
        <x:f>L1741+M1741</x:f>
        <x:v>17700</x:v>
      </x:c>
      <x:c r="O1741" s="12" t="str">
        <x:v>Bengaluru</x:v>
      </x:c>
      <x:c r="P1741" s="12" t="str">
        <x:v>CORP-0066</x:v>
      </x:c>
      <x:c r="Q1741" s="12" t="str">
        <x:v>narock Property, consultants private limited</x:v>
      </x:c>
    </x:row>
    <x:row r="1742" ht="75" customHeight="1">
      <x:c r="A1742" s="2" t="str">
        <x:v>TEN-C0A774A885BE</x:v>
      </x:c>
      <x:c r="B1742" s="12" t="str">
        <x:v>National Company Law Tribunal</x:v>
      </x:c>
      <x:c r="C1742" s="12" t="str">
        <x:v>Public / nonprofit</x:v>
      </x:c>
      <x:c r="D1742" s="12" t="str">
        <x:v>Government &amp; nonprofit</x:v>
      </x:c>
      <x:c r="E1742" s="12" t="str">
        <x:v>Public, nonprofit or membership organization</x:v>
      </x:c>
      <x:c r="F1742" s="12" t="str">
        <x:v>Institutional</x:v>
      </x:c>
      <x:c r="G1742" s="12" t="str">
        <x:v>Existing directory identifies an institutional, government, education, membership or nonprofit organisation rather than an ordinary MSME business prospect. This tag describes audience role and does not assert legal tax status.</x:v>
      </x:c>
      <x:c r="H1742" s="11" t="n">
        <x:v>1</x:v>
      </x:c>
      <x:c r="I1742" s="11" t="n">
        <x:v>11</x:v>
      </x:c>
      <x:c r="J1742" s="11" t="n">
        <x:v>11</x:v>
      </x:c>
      <x:c r="K1742" s="11" t="n">
        <x:v>0</x:v>
      </x:c>
      <x:c r="L1742" s="17" t="n">
        <x:f>SUM(SUMIFS('Costing'!$P$9:$P$492,'Costing'!$A$9:$A$492,"MAIN-077"))</x:f>
        <x:v>165000</x:v>
      </x:c>
      <x:c r="M1742" s="17" t="n">
        <x:f>ROUND(L1742*'Costing'!$C$4,2)</x:f>
        <x:v>29700</x:v>
      </x:c>
      <x:c r="N1742" s="17" t="n">
        <x:f>L1742+M1742</x:f>
        <x:v>194700</x:v>
      </x:c>
      <x:c r="O1742" s="12" t="str">
        <x:v>Bengaluru</x:v>
      </x:c>
      <x:c r="P1742" s="12" t="str">
        <x:v>CORP-0073</x:v>
      </x:c>
      <x:c r="Q1742" s="12" t="str">
        <x:v>National Company Law Tribunal</x:v>
      </x:c>
    </x:row>
    <x:row r="1743" ht="48" customHeight="1">
      <x:c r="A1743" s="2" t="str">
        <x:v>TEN-6A6775B6325F</x:v>
      </x:c>
      <x:c r="B1743" s="12" t="str">
        <x:v>National Insurance</x:v>
      </x:c>
      <x:c r="C1743" s="12" t="str">
        <x:v>Business / brand</x:v>
      </x:c>
      <x:c r="D1743" s="12" t="str">
        <x:v>Finance &amp; insurance</x:v>
      </x:c>
      <x:c r="E1743" s="12" t="str">
        <x:v>Insurance &amp; insurance services</x:v>
      </x:c>
      <x:c r="F1743" s="12" t="str">
        <x:v>Mixed business audience</x:v>
      </x:c>
      <x:c r="G1743" s="12" t="str">
        <x:v>Recognisable business context; company-scale evidence remains insufficient for a single size band.</x:v>
      </x:c>
      <x:c r="H1743" s="11" t="n">
        <x:v>1</x:v>
      </x:c>
      <x:c r="I1743" s="11" t="n">
        <x:v>1</x:v>
      </x:c>
      <x:c r="J1743" s="11" t="n">
        <x:v>1</x:v>
      </x:c>
      <x:c r="K1743" s="11" t="n">
        <x:v>0</x:v>
      </x:c>
      <x:c r="L1743" s="17" t="n">
        <x:f>SUM(SUMIFS('Costing'!$P$9:$P$492,'Costing'!$A$9:$A$492,"MAIN-269"))</x:f>
        <x:v>40000</x:v>
      </x:c>
      <x:c r="M1743" s="17" t="n">
        <x:f>ROUND(L1743*'Costing'!$C$4,2)</x:f>
        <x:v>7200</x:v>
      </x:c>
      <x:c r="N1743" s="17" t="n">
        <x:f>L1743+M1743</x:f>
        <x:v>47200</x:v>
      </x:c>
      <x:c r="O1743" s="12" t="str">
        <x:v>Indore</x:v>
      </x:c>
      <x:c r="P1743" s="12" t="str">
        <x:v>CORP-0265</x:v>
      </x:c>
      <x:c r="Q1743" s="12" t="str">
        <x:v>National Insurance</x:v>
      </x:c>
    </x:row>
    <x:row r="1744" ht="48" customHeight="1">
      <x:c r="A1744" s="2" t="str">
        <x:v>TEN-096E2E0989A6</x:v>
      </x:c>
      <x:c r="B1744" s="12" t="str">
        <x:v>Natixis Services in India</x:v>
      </x:c>
      <x:c r="C1744" s="12" t="str">
        <x:v>Business / brand</x:v>
      </x:c>
      <x:c r="D1744" s="12" t="str">
        <x:v>Finance &amp; insurance</x:v>
      </x:c>
      <x:c r="E1744" s="12" t="str">
        <x:v>Banking &amp; credit</x:v>
      </x:c>
      <x:c r="F1744" s="12" t="str">
        <x:v>Mixed business audience</x:v>
      </x:c>
      <x:c r="G1744" s="12" t="str">
        <x:v>Recognisable business context; company-scale evidence remains insufficient for a single size band.</x:v>
      </x:c>
      <x:c r="H1744" s="11" t="n">
        <x:v>3</x:v>
      </x:c>
      <x:c r="I1744" s="11" t="n">
        <x:v>3</x:v>
      </x:c>
      <x:c r="J1744" s="11" t="n">
        <x:v>3</x:v>
      </x:c>
      <x:c r="K1744" s="11" t="n">
        <x:v>0</x:v>
      </x:c>
      <x:c r="L1744" s="17" t="n">
        <x:f>SUM(SUMIFS('Costing'!$P$9:$P$492,'Costing'!$A$9:$A$492,"PARTNER-M011"))</x:f>
        <x:v>120000</x:v>
      </x:c>
      <x:c r="M1744" s="17" t="n">
        <x:f>ROUND(L1744*'Costing'!$C$4,2)</x:f>
        <x:v>21600</x:v>
      </x:c>
      <x:c r="N1744" s="17" t="n">
        <x:f>L1744+M1744</x:f>
        <x:v>141600</x:v>
      </x:c>
      <x:c r="O1744" s="12" t="str">
        <x:v>Bengaluru</x:v>
      </x:c>
      <x:c r="P1744" s="12" t="str">
        <x:v>CORP-0429, CORP-0430, CORP-0431</x:v>
      </x:c>
      <x:c r="Q1744" s="12" t="str">
        <x:v>Natixis Services in India</x:v>
      </x:c>
    </x:row>
    <x:row r="1745" ht="48" customHeight="1">
      <x:c r="A1745" s="2" t="str">
        <x:v>TEN-60D63EAE0667</x:v>
      </x:c>
      <x:c r="B1745" s="12" t="str">
        <x:v>Navanc</x:v>
      </x:c>
      <x:c r="C1745" s="12" t="str">
        <x:v>Business / brand</x:v>
      </x:c>
      <x:c r="D1745" s="12" t="str">
        <x:v>Unresolved</x:v>
      </x:c>
      <x:c r="E1745" s="12" t="str">
        <x:v>Business activity not established</x:v>
      </x:c>
      <x:c r="F1745" s="12" t="str">
        <x:v>Mixed business audience</x:v>
      </x:c>
      <x:c r="G1745" s="12" t="str">
        <x:v>Business activity and company scale are not established from this name.</x:v>
      </x:c>
      <x:c r="H1745" s="11" t="n">
        <x:v>1</x:v>
      </x:c>
      <x:c r="I1745" s="11" t="n">
        <x:v>4</x:v>
      </x:c>
      <x:c r="J1745" s="11" t="n">
        <x:v>4</x:v>
      </x:c>
      <x:c r="K1745" s="11" t="n">
        <x:v>0</x:v>
      </x:c>
      <x:c r="L1745" s="17" t="n">
        <x:f>SUM(SUMIFS('Costing'!$P$9:$P$492,'Costing'!$A$9:$A$492,"MAIN-014"))</x:f>
        <x:v>60000</x:v>
      </x:c>
      <x:c r="M1745" s="17" t="n">
        <x:f>ROUND(L1745*'Costing'!$C$4,2)</x:f>
        <x:v>10800</x:v>
      </x:c>
      <x:c r="N1745" s="17" t="n">
        <x:f>L1745+M1745</x:f>
        <x:v>70800</x:v>
      </x:c>
      <x:c r="O1745" s="12" t="str">
        <x:v>Bengaluru</x:v>
      </x:c>
      <x:c r="P1745" s="12" t="str">
        <x:v>CORP-0010</x:v>
      </x:c>
      <x:c r="Q1745" s="12" t="str">
        <x:v>Navanc</x:v>
      </x:c>
    </x:row>
    <x:row r="1746" ht="48" customHeight="1">
      <x:c r="A1746" s="2" t="str">
        <x:v>TEN-9C74E7799258</x:v>
      </x:c>
      <x:c r="B1746" s="12" t="str">
        <x:v>Navicent Solutions Private Limited</x:v>
      </x:c>
      <x:c r="C1746" s="12" t="str">
        <x:v>Business / brand</x:v>
      </x:c>
      <x:c r="D1746" s="12" t="str">
        <x:v>Unresolved</x:v>
      </x:c>
      <x:c r="E1746" s="12" t="str">
        <x:v>Business activity not established</x:v>
      </x:c>
      <x:c r="F1746" s="12" t="str">
        <x:v>Mixed business audience</x:v>
      </x:c>
      <x:c r="G1746" s="12" t="str">
        <x:v>Business activity and company scale are not established from this name.</x:v>
      </x:c>
      <x:c r="H1746" s="11" t="n">
        <x:v>1</x:v>
      </x:c>
      <x:c r="I1746" s="11" t="n">
        <x:v>8</x:v>
      </x:c>
      <x:c r="J1746" s="11" t="n">
        <x:v>8</x:v>
      </x:c>
      <x:c r="K1746" s="11" t="n">
        <x:v>0</x:v>
      </x:c>
      <x:c r="L1746" s="17" t="n">
        <x:f>SUM(SUMIFS('Costing'!$P$9:$P$492,'Costing'!$A$9:$A$492,"MAIN-356"))</x:f>
        <x:v>200000</x:v>
      </x:c>
      <x:c r="M1746" s="17" t="n">
        <x:f>ROUND(L1746*'Costing'!$C$4,2)</x:f>
        <x:v>36000</x:v>
      </x:c>
      <x:c r="N1746" s="17" t="n">
        <x:f>L1746+M1746</x:f>
        <x:v>236000</x:v>
      </x:c>
      <x:c r="O1746" s="12" t="str">
        <x:v>Mumbai</x:v>
      </x:c>
      <x:c r="P1746" s="12" t="str">
        <x:v>CORP-0352</x:v>
      </x:c>
      <x:c r="Q1746" s="12" t="str">
        <x:v>Navicent Solutions Private Limited</x:v>
      </x:c>
    </x:row>
    <x:row r="1747" ht="48" customHeight="1">
      <x:c r="A1747" s="2" t="str">
        <x:v>TEN-45F6BC07047C</x:v>
      </x:c>
      <x:c r="B1747" s="12" t="str">
        <x:v>Nayara Energy</x:v>
      </x:c>
      <x:c r="C1747" s="12" t="str">
        <x:v>Business / brand</x:v>
      </x:c>
      <x:c r="D1747" s="12" t="str">
        <x:v>Engineering &amp; manufacturing</x:v>
      </x:c>
      <x:c r="E1747" s="12" t="str">
        <x:v>Energy, electrical &amp; industrial systems</x:v>
      </x:c>
      <x:c r="F1747" s="12" t="str">
        <x:v>Mixed business audience</x:v>
      </x:c>
      <x:c r="G1747" s="12" t="str">
        <x:v>Established brand or business network; local company scale is not established. Use a mixed-business message.</x:v>
      </x:c>
      <x:c r="H1747" s="11" t="n">
        <x:v>1</x:v>
      </x:c>
      <x:c r="I1747" s="11" t="n">
        <x:v>1</x:v>
      </x:c>
      <x:c r="J1747" s="11" t="n">
        <x:v>1</x:v>
      </x:c>
      <x:c r="K1747" s="11" t="n">
        <x:v>0</x:v>
      </x:c>
      <x:c r="L1747" s="17" t="n">
        <x:f>SUM(SUMIFS('Costing'!$P$9:$P$492,'Costing'!$A$9:$A$492,"MAIN-272"))</x:f>
        <x:v>20000</x:v>
      </x:c>
      <x:c r="M1747" s="17" t="n">
        <x:f>ROUND(L1747*'Costing'!$C$4,2)</x:f>
        <x:v>3600</x:v>
      </x:c>
      <x:c r="N1747" s="17" t="n">
        <x:f>L1747+M1747</x:f>
        <x:v>23600</x:v>
      </x:c>
      <x:c r="O1747" s="12" t="str">
        <x:v>Indore</x:v>
      </x:c>
      <x:c r="P1747" s="12" t="str">
        <x:v>CORP-0268</x:v>
      </x:c>
      <x:c r="Q1747" s="12" t="str">
        <x:v>Nayara Energy</x:v>
      </x:c>
    </x:row>
    <x:row r="1748" ht="48" customHeight="1">
      <x:c r="A1748" s="2" t="str">
        <x:v>TEN-DF285E1CF24C</x:v>
      </x:c>
      <x:c r="B1748" s="12" t="str">
        <x:v>Nazar Store</x:v>
      </x:c>
      <x:c r="C1748" s="12" t="str">
        <x:v>Business / brand</x:v>
      </x:c>
      <x:c r="D1748" s="12" t="str">
        <x:v>Trade, consumer &amp; logistics</x:v>
      </x:c>
      <x:c r="E1748" s="12" t="str">
        <x:v>Retail, consumer products &amp; ecommerce</x:v>
      </x:c>
      <x:c r="F1748" s="12" t="str">
        <x:v>Small-scale prospects</x:v>
      </x:c>
      <x:c r="G1748" s="12" t="str">
        <x:v>Trading or consumer-services business; small-scale prospect assumption.</x:v>
      </x:c>
      <x:c r="H1748" s="11" t="n">
        <x:v>1</x:v>
      </x:c>
      <x:c r="I1748" s="11" t="n">
        <x:v>6</x:v>
      </x:c>
      <x:c r="J1748" s="11" t="n">
        <x:v>6</x:v>
      </x:c>
      <x:c r="K1748" s="11" t="n">
        <x:v>0</x:v>
      </x:c>
      <x:c r="L1748" s="17" t="n">
        <x:f>SUM(SUMIFS('Costing'!$P$9:$P$492,'Costing'!$A$9:$A$492,"MAIN-320"))</x:f>
        <x:v>90000</x:v>
      </x:c>
      <x:c r="M1748" s="17" t="n">
        <x:f>ROUND(L1748*'Costing'!$C$4,2)</x:f>
        <x:v>16200</x:v>
      </x:c>
      <x:c r="N1748" s="17" t="n">
        <x:f>L1748+M1748</x:f>
        <x:v>106200</x:v>
      </x:c>
      <x:c r="O1748" s="12" t="str">
        <x:v>Mumbai</x:v>
      </x:c>
      <x:c r="P1748" s="12" t="str">
        <x:v>CORP-0316</x:v>
      </x:c>
      <x:c r="Q1748" s="12" t="str">
        <x:v>Nazar Store</x:v>
      </x:c>
    </x:row>
    <x:row r="1749" ht="48" customHeight="1">
      <x:c r="A1749" s="2" t="str">
        <x:v>TEN-623B80FBF08D</x:v>
      </x:c>
      <x:c r="B1749" s="12" t="str">
        <x:v>NBN Minerals Pvt. Ltd</x:v>
      </x:c>
      <x:c r="C1749" s="12" t="str">
        <x:v>Business / brand</x:v>
      </x:c>
      <x:c r="D1749" s="12" t="str">
        <x:v>Engineering &amp; manufacturing</x:v>
      </x:c>
      <x:c r="E1749" s="12" t="str">
        <x:v>Electronics, industrial systems &amp; manufacturing</x:v>
      </x:c>
      <x:c r="F1749" s="12" t="str">
        <x:v>Medium-scale prospects</x:v>
      </x:c>
      <x:c r="G1749" s="12" t="str">
        <x:v>Specialist industrial or engineering business; medium-scale prospect assumption.</x:v>
      </x:c>
      <x:c r="H1749" s="11" t="n">
        <x:v>1</x:v>
      </x:c>
      <x:c r="I1749" s="11" t="n">
        <x:v>2</x:v>
      </x:c>
      <x:c r="J1749" s="11" t="n">
        <x:v>2</x:v>
      </x:c>
      <x:c r="K1749" s="11" t="n">
        <x:v>0</x:v>
      </x:c>
      <x:c r="L1749" s="17" t="n">
        <x:f>SUM(SUMIFS('Costing'!$P$9:$P$492,'Costing'!$A$9:$A$492,"MAIN-268"))</x:f>
        <x:v>80000</x:v>
      </x:c>
      <x:c r="M1749" s="17" t="n">
        <x:f>ROUND(L1749*'Costing'!$C$4,2)</x:f>
        <x:v>14400</x:v>
      </x:c>
      <x:c r="N1749" s="17" t="n">
        <x:f>L1749+M1749</x:f>
        <x:v>94400</x:v>
      </x:c>
      <x:c r="O1749" s="12" t="str">
        <x:v>Indore</x:v>
      </x:c>
      <x:c r="P1749" s="12" t="str">
        <x:v>CORP-0264</x:v>
      </x:c>
      <x:c r="Q1749" s="12" t="str">
        <x:v>NBN Minerals Pvt. Ltd</x:v>
      </x:c>
    </x:row>
    <x:row r="1750" ht="48" customHeight="1">
      <x:c r="A1750" s="2" t="str">
        <x:v>TEN-04238E6BAC8F</x:v>
      </x:c>
      <x:c r="B1750" s="12" t="str">
        <x:v>ncube</x:v>
      </x:c>
      <x:c r="C1750" s="12" t="str">
        <x:v>Business / brand</x:v>
      </x:c>
      <x:c r="D1750" s="12" t="str">
        <x:v>Unresolved</x:v>
      </x:c>
      <x:c r="E1750" s="12" t="str">
        <x:v>Business activity not established</x:v>
      </x:c>
      <x:c r="F1750" s="12" t="str">
        <x:v>Mixed business audience</x:v>
      </x:c>
      <x:c r="G1750" s="12" t="str">
        <x:v>Business activity and company scale are not established from this name.</x:v>
      </x:c>
      <x:c r="H1750" s="11" t="n">
        <x:v>1</x:v>
      </x:c>
      <x:c r="I1750" s="11" t="n">
        <x:v>4</x:v>
      </x:c>
      <x:c r="J1750" s="11" t="n">
        <x:v>4</x:v>
      </x:c>
      <x:c r="K1750" s="11" t="n">
        <x:v>0</x:v>
      </x:c>
      <x:c r="L1750" s="17" t="n">
        <x:f>SUM(SUMIFS('Costing'!$P$9:$P$492,'Costing'!$A$9:$A$492,"MAIN-014"))</x:f>
        <x:v>60000</x:v>
      </x:c>
      <x:c r="M1750" s="17" t="n">
        <x:f>ROUND(L1750*'Costing'!$C$4,2)</x:f>
        <x:v>10800</x:v>
      </x:c>
      <x:c r="N1750" s="17" t="n">
        <x:f>L1750+M1750</x:f>
        <x:v>70800</x:v>
      </x:c>
      <x:c r="O1750" s="12" t="str">
        <x:v>Bengaluru</x:v>
      </x:c>
      <x:c r="P1750" s="12" t="str">
        <x:v>CORP-0010</x:v>
      </x:c>
      <x:c r="Q1750" s="12" t="str">
        <x:v>ncube</x:v>
      </x:c>
    </x:row>
    <x:row r="1751" ht="48" customHeight="1">
      <x:c r="A1751" s="2" t="str">
        <x:v>TEN-7D436D761FA5</x:v>
      </x:c>
      <x:c r="B1751" s="12" t="str">
        <x:v>NDTV Mumbai</x:v>
      </x:c>
      <x:c r="C1751" s="12" t="str">
        <x:v>Business / brand</x:v>
      </x:c>
      <x:c r="D1751" s="12" t="str">
        <x:v>Trade, consumer &amp; logistics</x:v>
      </x:c>
      <x:c r="E1751" s="12" t="str">
        <x:v>Entertainment, media &amp; events</x:v>
      </x:c>
      <x:c r="F1751" s="12" t="str">
        <x:v>Mixed business audience</x:v>
      </x:c>
      <x:c r="G1751" s="12" t="str">
        <x:v>Established brand or business network; local company scale is not established. Use a mixed-business message.</x:v>
      </x:c>
      <x:c r="H1751" s="11" t="n">
        <x:v>1</x:v>
      </x:c>
      <x:c r="I1751" s="11" t="n">
        <x:v>3</x:v>
      </x:c>
      <x:c r="J1751" s="11" t="n">
        <x:v>3</x:v>
      </x:c>
      <x:c r="K1751" s="11" t="n">
        <x:v>0</x:v>
      </x:c>
      <x:c r="L1751" s="17" t="n">
        <x:f>SUM(SUMIFS('Costing'!$P$9:$P$492,'Costing'!$A$9:$A$492,"MAIN-359"))</x:f>
        <x:v>75000</x:v>
      </x:c>
      <x:c r="M1751" s="17" t="n">
        <x:f>ROUND(L1751*'Costing'!$C$4,2)</x:f>
        <x:v>13500</x:v>
      </x:c>
      <x:c r="N1751" s="17" t="n">
        <x:f>L1751+M1751</x:f>
        <x:v>88500</x:v>
      </x:c>
      <x:c r="O1751" s="12" t="str">
        <x:v>Mumbai</x:v>
      </x:c>
      <x:c r="P1751" s="12" t="str">
        <x:v>CORP-0355</x:v>
      </x:c>
      <x:c r="Q1751" s="12" t="str">
        <x:v>NDTV Mumbai</x:v>
      </x:c>
    </x:row>
    <x:row r="1752" ht="48" customHeight="1">
      <x:c r="A1752" s="2" t="str">
        <x:v>TEN-C77D619554DC</x:v>
      </x:c>
      <x:c r="B1752" s="12" t="str">
        <x:v>NEATmet</x:v>
      </x:c>
      <x:c r="C1752" s="12" t="str">
        <x:v>Business / brand</x:v>
      </x:c>
      <x:c r="D1752" s="12" t="str">
        <x:v>Unresolved</x:v>
      </x:c>
      <x:c r="E1752" s="12" t="str">
        <x:v>Business activity not established</x:v>
      </x:c>
      <x:c r="F1752" s="12" t="str">
        <x:v>Mixed business audience</x:v>
      </x:c>
      <x:c r="G1752" s="12" t="str">
        <x:v>Business activity and company scale are not established from this name.</x:v>
      </x:c>
      <x:c r="H1752" s="11" t="n">
        <x:v>1</x:v>
      </x:c>
      <x:c r="I1752" s="11" t="n">
        <x:v>2</x:v>
      </x:c>
      <x:c r="J1752" s="11" t="n">
        <x:v>2</x:v>
      </x:c>
      <x:c r="K1752" s="11" t="n">
        <x:v>0</x:v>
      </x:c>
      <x:c r="L1752" s="17" t="n">
        <x:f>SUM(SUMIFS('Costing'!$P$9:$P$492,'Costing'!$A$9:$A$492,"MAIN-282"))</x:f>
        <x:v>30000</x:v>
      </x:c>
      <x:c r="M1752" s="17" t="n">
        <x:f>ROUND(L1752*'Costing'!$C$4,2)</x:f>
        <x:v>5400</x:v>
      </x:c>
      <x:c r="N1752" s="17" t="n">
        <x:f>L1752+M1752</x:f>
        <x:v>35400</x:v>
      </x:c>
      <x:c r="O1752" s="12" t="str">
        <x:v>Kolkata</x:v>
      </x:c>
      <x:c r="P1752" s="12" t="str">
        <x:v>CORP-0278</x:v>
      </x:c>
      <x:c r="Q1752" s="12" t="str">
        <x:v>NEATmet</x:v>
      </x:c>
    </x:row>
    <x:row r="1753" ht="48" customHeight="1">
      <x:c r="A1753" s="2" t="str">
        <x:v>TEN-1E7D193E1AB3</x:v>
      </x:c>
      <x:c r="B1753" s="12" t="str">
        <x:v>nebeskie</x:v>
      </x:c>
      <x:c r="C1753" s="12" t="str">
        <x:v>Business / brand</x:v>
      </x:c>
      <x:c r="D1753" s="12" t="str">
        <x:v>IT &amp; digital</x:v>
      </x:c>
      <x:c r="E1753" s="12" t="str">
        <x:v>Technology services — specialty unverified</x:v>
      </x:c>
      <x:c r="F1753" s="12" t="str">
        <x:v>Small-scale prospects</x:v>
      </x:c>
      <x:c r="G1753" s="12" t="str">
        <x:v>Software or technology-services business; small-scale prospect assumption.</x:v>
      </x:c>
      <x:c r="H1753" s="11" t="n">
        <x:v>1</x:v>
      </x:c>
      <x:c r="I1753" s="11" t="n">
        <x:v>7</x:v>
      </x:c>
      <x:c r="J1753" s="11" t="n">
        <x:v>7</x:v>
      </x:c>
      <x:c r="K1753" s="11" t="n">
        <x:v>0</x:v>
      </x:c>
      <x:c r="L1753" s="17" t="n">
        <x:f>SUM(SUMIFS('Costing'!$P$9:$P$492,'Costing'!$A$9:$A$492,"MAIN-140"))</x:f>
        <x:v>105000</x:v>
      </x:c>
      <x:c r="M1753" s="17" t="n">
        <x:f>ROUND(L1753*'Costing'!$C$4,2)</x:f>
        <x:v>18900</x:v>
      </x:c>
      <x:c r="N1753" s="17" t="n">
        <x:f>L1753+M1753</x:f>
        <x:v>123900</x:v>
      </x:c>
      <x:c r="O1753" s="12" t="str">
        <x:v>Chennai</x:v>
      </x:c>
      <x:c r="P1753" s="12" t="str">
        <x:v>CORP-0136</x:v>
      </x:c>
      <x:c r="Q1753" s="12" t="str">
        <x:v>nebeskie</x:v>
      </x:c>
    </x:row>
    <x:row r="1754" ht="48" customHeight="1">
      <x:c r="A1754" s="2" t="str">
        <x:v>TEN-55B1CEC73AC7</x:v>
      </x:c>
      <x:c r="B1754" s="12" t="str">
        <x:v>Neemans</x:v>
      </x:c>
      <x:c r="C1754" s="12" t="str">
        <x:v>Business / brand</x:v>
      </x:c>
      <x:c r="D1754" s="12" t="str">
        <x:v>Trade, consumer &amp; logistics</x:v>
      </x:c>
      <x:c r="E1754" s="12" t="str">
        <x:v>Retail, consumer products &amp; ecommerce</x:v>
      </x:c>
      <x:c r="F1754" s="12" t="str">
        <x:v>Small-scale prospects</x:v>
      </x:c>
      <x:c r="G1754" s="12" t="str">
        <x:v>Trading or consumer-services business; small-scale prospect assumption.</x:v>
      </x:c>
      <x:c r="H1754" s="11" t="n">
        <x:v>1</x:v>
      </x:c>
      <x:c r="I1754" s="11" t="n">
        <x:v>3</x:v>
      </x:c>
      <x:c r="J1754" s="11" t="n">
        <x:v>3</x:v>
      </x:c>
      <x:c r="K1754" s="11" t="n">
        <x:v>0</x:v>
      </x:c>
      <x:c r="L1754" s="17" t="n">
        <x:f>SUM(SUMIFS('Costing'!$P$9:$P$492,'Costing'!$A$9:$A$492,"MAIN-221"))</x:f>
        <x:v>45000</x:v>
      </x:c>
      <x:c r="M1754" s="17" t="n">
        <x:f>ROUND(L1754*'Costing'!$C$4,2)</x:f>
        <x:v>8100</x:v>
      </x:c>
      <x:c r="N1754" s="17" t="n">
        <x:f>L1754+M1754</x:f>
        <x:v>53100</x:v>
      </x:c>
      <x:c r="O1754" s="12" t="str">
        <x:v>Hyderabad</x:v>
      </x:c>
      <x:c r="P1754" s="12" t="str">
        <x:v>CORP-0217</x:v>
      </x:c>
      <x:c r="Q1754" s="12" t="str">
        <x:v>Neemans</x:v>
      </x:c>
    </x:row>
    <x:row r="1755" ht="48" customHeight="1">
      <x:c r="A1755" s="2" t="str">
        <x:v>TEN-3AB43178E7C3</x:v>
      </x:c>
      <x:c r="B1755" s="12" t="str">
        <x:v>Neeuweg Technologies</x:v>
      </x:c>
      <x:c r="C1755" s="12" t="str">
        <x:v>Business / brand</x:v>
      </x:c>
      <x:c r="D1755" s="12" t="str">
        <x:v>Unresolved</x:v>
      </x:c>
      <x:c r="E1755" s="12" t="str">
        <x:v>Business activity not established</x:v>
      </x:c>
      <x:c r="F1755" s="12" t="str">
        <x:v>Mixed business audience</x:v>
      </x:c>
      <x:c r="G1755" s="12" t="str">
        <x:v>Business activity and company scale are not established from this name.</x:v>
      </x:c>
      <x:c r="H1755" s="11" t="n">
        <x:v>1</x:v>
      </x:c>
      <x:c r="I1755" s="11" t="n">
        <x:v>2</x:v>
      </x:c>
      <x:c r="J1755" s="11" t="n">
        <x:v>2</x:v>
      </x:c>
      <x:c r="K1755" s="11" t="n">
        <x:v>0</x:v>
      </x:c>
      <x:c r="L1755" s="17" t="n">
        <x:f>SUM(SUMIFS('Costing'!$P$9:$P$492,'Costing'!$A$9:$A$492,"MAIN-367"))</x:f>
        <x:v>30000</x:v>
      </x:c>
      <x:c r="M1755" s="17" t="n">
        <x:f>ROUND(L1755*'Costing'!$C$4,2)</x:f>
        <x:v>5400</x:v>
      </x:c>
      <x:c r="N1755" s="17" t="n">
        <x:f>L1755+M1755</x:f>
        <x:v>35400</x:v>
      </x:c>
      <x:c r="O1755" s="12" t="str">
        <x:v>Delhi NCR</x:v>
      </x:c>
      <x:c r="P1755" s="12" t="str">
        <x:v>CORP-0363</x:v>
      </x:c>
      <x:c r="Q1755" s="12" t="str">
        <x:v>Neeuweg Technologies</x:v>
      </x:c>
    </x:row>
    <x:row r="1756" ht="48" customHeight="1">
      <x:c r="A1756" s="2" t="str">
        <x:v>TEN-6591D67E331F</x:v>
      </x:c>
      <x:c r="B1756" s="12" t="str">
        <x:v>Nemetschek India (formerly Spacewell India)</x:v>
      </x:c>
      <x:c r="C1756" s="12" t="str">
        <x:v>Business / brand</x:v>
      </x:c>
      <x:c r="D1756" s="12" t="str">
        <x:v>IT &amp; digital</x:v>
      </x:c>
      <x:c r="E1756" s="12" t="str">
        <x:v>Enterprise software &amp; digital engineering</x:v>
      </x:c>
      <x:c r="F1756" s="12" t="str">
        <x:v>Mixed business audience</x:v>
      </x:c>
      <x:c r="G1756" s="12" t="str">
        <x:v>Established brand or business network; local company scale is not established. Use a mixed-business message.</x:v>
      </x:c>
      <x:c r="H1756" s="11" t="n">
        <x:v>1</x:v>
      </x:c>
      <x:c r="I1756" s="11" t="n">
        <x:v>1</x:v>
      </x:c>
      <x:c r="J1756" s="11" t="n">
        <x:v>1</x:v>
      </x:c>
      <x:c r="K1756" s="11" t="n">
        <x:v>0</x:v>
      </x:c>
      <x:c r="L1756" s="17" t="n">
        <x:f>SUM(SUMIFS('Costing'!$P$9:$P$492,'Costing'!$A$9:$A$492,"MAIN-246"))</x:f>
        <x:v>20000</x:v>
      </x:c>
      <x:c r="M1756" s="17" t="n">
        <x:f>ROUND(L1756*'Costing'!$C$4,2)</x:f>
        <x:v>3600</x:v>
      </x:c>
      <x:c r="N1756" s="17" t="n">
        <x:f>L1756+M1756</x:f>
        <x:v>23600</x:v>
      </x:c>
      <x:c r="O1756" s="12" t="str">
        <x:v>Hyderabad</x:v>
      </x:c>
      <x:c r="P1756" s="12" t="str">
        <x:v>CORP-0242</x:v>
      </x:c>
      <x:c r="Q1756" s="12" t="str">
        <x:v>Nemetschek India (formerly Spacewell India)</x:v>
      </x:c>
    </x:row>
    <x:row r="1757" ht="48" customHeight="1">
      <x:c r="A1757" s="2" t="str">
        <x:v>TEN-696EF014F52C</x:v>
      </x:c>
      <x:c r="B1757" s="12" t="str">
        <x:v>neobric</x:v>
      </x:c>
      <x:c r="C1757" s="12" t="str">
        <x:v>Business / brand</x:v>
      </x:c>
      <x:c r="D1757" s="12" t="str">
        <x:v>Unresolved</x:v>
      </x:c>
      <x:c r="E1757" s="12" t="str">
        <x:v>Business activity not established</x:v>
      </x:c>
      <x:c r="F1757" s="12" t="str">
        <x:v>Mixed business audience</x:v>
      </x:c>
      <x:c r="G1757" s="12" t="str">
        <x:v>Business activity and company scale are not established from this name.</x:v>
      </x:c>
      <x:c r="H1757" s="11" t="n">
        <x:v>1</x:v>
      </x:c>
      <x:c r="I1757" s="11" t="n">
        <x:v>3</x:v>
      </x:c>
      <x:c r="J1757" s="11" t="n">
        <x:v>3</x:v>
      </x:c>
      <x:c r="K1757" s="11" t="n">
        <x:v>0</x:v>
      </x:c>
      <x:c r="L1757" s="17" t="n">
        <x:f>SUM(SUMIFS('Costing'!$P$9:$P$492,'Costing'!$A$9:$A$492,"MAIN-217"))</x:f>
        <x:v>45000</x:v>
      </x:c>
      <x:c r="M1757" s="17" t="n">
        <x:f>ROUND(L1757*'Costing'!$C$4,2)</x:f>
        <x:v>8100</x:v>
      </x:c>
      <x:c r="N1757" s="17" t="n">
        <x:f>L1757+M1757</x:f>
        <x:v>53100</x:v>
      </x:c>
      <x:c r="O1757" s="12" t="str">
        <x:v>Hyderabad</x:v>
      </x:c>
      <x:c r="P1757" s="12" t="str">
        <x:v>CORP-0213</x:v>
      </x:c>
      <x:c r="Q1757" s="12" t="str">
        <x:v>neobric</x:v>
      </x:c>
    </x:row>
    <x:row r="1758" ht="48" customHeight="1">
      <x:c r="A1758" s="2" t="str">
        <x:v>TEN-7EC18FCAE18F</x:v>
      </x:c>
      <x:c r="B1758" s="12" t="str">
        <x:v>Neohub</x:v>
      </x:c>
      <x:c r="C1758" s="12" t="str">
        <x:v>Business / brand</x:v>
      </x:c>
      <x:c r="D1758" s="12" t="str">
        <x:v>Unresolved</x:v>
      </x:c>
      <x:c r="E1758" s="12" t="str">
        <x:v>Business activity not established</x:v>
      </x:c>
      <x:c r="F1758" s="12" t="str">
        <x:v>Mixed business audience</x:v>
      </x:c>
      <x:c r="G1758" s="12" t="str">
        <x:v>Business activity and company scale are not established from this name.</x:v>
      </x:c>
      <x:c r="H1758" s="11" t="n">
        <x:v>1</x:v>
      </x:c>
      <x:c r="I1758" s="11" t="n">
        <x:v>2</x:v>
      </x:c>
      <x:c r="J1758" s="11" t="n">
        <x:v>2</x:v>
      </x:c>
      <x:c r="K1758" s="11" t="n">
        <x:v>0</x:v>
      </x:c>
      <x:c r="L1758" s="17" t="n">
        <x:f>SUM(SUMIFS('Costing'!$P$9:$P$492,'Costing'!$A$9:$A$492,"MAIN-288"))</x:f>
        <x:v>40000</x:v>
      </x:c>
      <x:c r="M1758" s="17" t="n">
        <x:f>ROUND(L1758*'Costing'!$C$4,2)</x:f>
        <x:v>7200</x:v>
      </x:c>
      <x:c r="N1758" s="17" t="n">
        <x:f>L1758+M1758</x:f>
        <x:v>47200</x:v>
      </x:c>
      <x:c r="O1758" s="12" t="str">
        <x:v>Lucknow</x:v>
      </x:c>
      <x:c r="P1758" s="12" t="str">
        <x:v>CORP-0284</x:v>
      </x:c>
      <x:c r="Q1758" s="12" t="str">
        <x:v>Neohub</x:v>
      </x:c>
    </x:row>
    <x:row r="1759" ht="48" customHeight="1">
      <x:c r="A1759" s="2" t="str">
        <x:v>TEN-3E18C4D2C923</x:v>
      </x:c>
      <x:c r="B1759" s="12" t="str">
        <x:v>Neosoft</x:v>
      </x:c>
      <x:c r="C1759" s="12" t="str">
        <x:v>Business / brand</x:v>
      </x:c>
      <x:c r="D1759" s="12" t="str">
        <x:v>IT &amp; digital</x:v>
      </x:c>
      <x:c r="E1759" s="12" t="str">
        <x:v>Enterprise software &amp; digital engineering</x:v>
      </x:c>
      <x:c r="F1759" s="12" t="str">
        <x:v>Mixed business audience</x:v>
      </x:c>
      <x:c r="G1759" s="12" t="str">
        <x:v>Established brand or business network; local company scale is not established. Use a mixed-business message.</x:v>
      </x:c>
      <x:c r="H1759" s="11" t="n">
        <x:v>3</x:v>
      </x:c>
      <x:c r="I1759" s="11" t="n">
        <x:v>5</x:v>
      </x:c>
      <x:c r="J1759" s="11" t="n">
        <x:v>5</x:v>
      </x:c>
      <x:c r="K1759" s="11" t="n">
        <x:v>0</x:v>
      </x:c>
      <x:c r="L1759" s="17" t="n">
        <x:f>SUM(SUMIFS('Costing'!$P$9:$P$492,'Costing'!$A$9:$A$492,"MAIN-284"),SUMIFS('Costing'!$P$9:$P$492,'Costing'!$A$9:$A$492,"MAIN-285"),SUMIFS('Costing'!$P$9:$P$492,'Costing'!$A$9:$A$492,"MAIN-302"))</x:f>
        <x:v>75000</x:v>
      </x:c>
      <x:c r="M1759" s="17" t="n">
        <x:f>ROUND(L1759*'Costing'!$C$4,2)</x:f>
        <x:v>13500</x:v>
      </x:c>
      <x:c r="N1759" s="17" t="n">
        <x:f>L1759+M1759</x:f>
        <x:v>88500</x:v>
      </x:c>
      <x:c r="O1759" s="12" t="str">
        <x:v>Kolkata, Mumbai</x:v>
      </x:c>
      <x:c r="P1759" s="12" t="str">
        <x:v>CORP-0280, CORP-0281, CORP-0298</x:v>
      </x:c>
      <x:c r="Q1759" s="12" t="str">
        <x:v>Neosoft, NeoSOFT</x:v>
      </x:c>
    </x:row>
    <x:row r="1760" ht="48" customHeight="1">
      <x:c r="A1760" s="2" t="str">
        <x:v>TEN-2CD498D73600</x:v>
      </x:c>
      <x:c r="B1760" s="12" t="str">
        <x:v>Neova Solutions</x:v>
      </x:c>
      <x:c r="C1760" s="12" t="str">
        <x:v>Business / brand</x:v>
      </x:c>
      <x:c r="D1760" s="12" t="str">
        <x:v>IT &amp; digital</x:v>
      </x:c>
      <x:c r="E1760" s="12" t="str">
        <x:v>Enterprise software &amp; digital engineering</x:v>
      </x:c>
      <x:c r="F1760" s="12" t="str">
        <x:v>Small-scale prospects</x:v>
      </x:c>
      <x:c r="G1760" s="12" t="str">
        <x:v>Software or technology-services business; small-scale prospect assumption.</x:v>
      </x:c>
      <x:c r="H1760" s="11" t="n">
        <x:v>4</x:v>
      </x:c>
      <x:c r="I1760" s="11" t="n">
        <x:v>4</x:v>
      </x:c>
      <x:c r="J1760" s="11" t="n">
        <x:v>4</x:v>
      </x:c>
      <x:c r="K1760" s="11" t="n">
        <x:v>0</x:v>
      </x:c>
      <x:c r="L1760" s="17" t="n">
        <x:f>SUM(SUMIFS('Costing'!$P$9:$P$492,'Costing'!$A$9:$A$492,"PARTNER-M261"))</x:f>
        <x:v>160000</x:v>
      </x:c>
      <x:c r="M1760" s="17" t="n">
        <x:f>ROUND(L1760*'Costing'!$C$4,2)</x:f>
        <x:v>28800</x:v>
      </x:c>
      <x:c r="N1760" s="17" t="n">
        <x:f>L1760+M1760</x:f>
        <x:v>188800</x:v>
      </x:c>
      <x:c r="O1760" s="12" t="str">
        <x:v>Pune</x:v>
      </x:c>
      <x:c r="P1760" s="12" t="str">
        <x:v>CORP-0677, CORP-0678, CORP-0679, CORP-0680</x:v>
      </x:c>
      <x:c r="Q1760" s="12" t="str">
        <x:v>Neova Solutions</x:v>
      </x:c>
    </x:row>
    <x:row r="1761" ht="48" customHeight="1">
      <x:c r="A1761" s="2" t="str">
        <x:v>TEN-C6AEEBB4913C</x:v>
      </x:c>
      <x:c r="B1761" s="12" t="str">
        <x:v>Netambit</x:v>
      </x:c>
      <x:c r="C1761" s="12" t="str">
        <x:v>Business / brand</x:v>
      </x:c>
      <x:c r="D1761" s="12" t="str">
        <x:v>Professional services</x:v>
      </x:c>
      <x:c r="E1761" s="12" t="str">
        <x:v>Research, marketing &amp; professional services</x:v>
      </x:c>
      <x:c r="F1761" s="12" t="str">
        <x:v>Small-scale prospects</x:v>
      </x:c>
      <x:c r="G1761" s="12" t="str">
        <x:v>Professional service, agency or advisory model; small-scale prospect assumption.</x:v>
      </x:c>
      <x:c r="H1761" s="11" t="n">
        <x:v>1</x:v>
      </x:c>
      <x:c r="I1761" s="11" t="n">
        <x:v>3</x:v>
      </x:c>
      <x:c r="J1761" s="11" t="n">
        <x:v>3</x:v>
      </x:c>
      <x:c r="K1761" s="11" t="n">
        <x:v>0</x:v>
      </x:c>
      <x:c r="L1761" s="17" t="n">
        <x:f>SUM(SUMIFS('Costing'!$P$9:$P$492,'Costing'!$A$9:$A$492,"MAIN-029"))</x:f>
        <x:v>45000</x:v>
      </x:c>
      <x:c r="M1761" s="17" t="n">
        <x:f>ROUND(L1761*'Costing'!$C$4,2)</x:f>
        <x:v>8100</x:v>
      </x:c>
      <x:c r="N1761" s="17" t="n">
        <x:f>L1761+M1761</x:f>
        <x:v>53100</x:v>
      </x:c>
      <x:c r="O1761" s="12" t="str">
        <x:v>Bengaluru</x:v>
      </x:c>
      <x:c r="P1761" s="12" t="str">
        <x:v>CORP-0025</x:v>
      </x:c>
      <x:c r="Q1761" s="12" t="str">
        <x:v>Netambit</x:v>
      </x:c>
    </x:row>
    <x:row r="1762" ht="48" customHeight="1">
      <x:c r="A1762" s="2" t="str">
        <x:v>TEN-F537587C0EE8</x:v>
      </x:c>
      <x:c r="B1762" s="12" t="str">
        <x:v>NetConnect Global</x:v>
      </x:c>
      <x:c r="C1762" s="12" t="str">
        <x:v>Business / brand</x:v>
      </x:c>
      <x:c r="D1762" s="12" t="str">
        <x:v>IT &amp; digital</x:v>
      </x:c>
      <x:c r="E1762" s="12" t="str">
        <x:v>Enterprise software &amp; digital engineering</x:v>
      </x:c>
      <x:c r="F1762" s="12" t="str">
        <x:v>Small-scale prospects</x:v>
      </x:c>
      <x:c r="G1762" s="12" t="str">
        <x:v>Software or technology-services business; small-scale prospect assumption.</x:v>
      </x:c>
      <x:c r="H1762" s="11" t="n">
        <x:v>1</x:v>
      </x:c>
      <x:c r="I1762" s="11" t="n">
        <x:v>5</x:v>
      </x:c>
      <x:c r="J1762" s="11" t="n">
        <x:v>5</x:v>
      </x:c>
      <x:c r="K1762" s="11" t="n">
        <x:v>0</x:v>
      </x:c>
      <x:c r="L1762" s="17" t="n">
        <x:f>SUM(SUMIFS('Costing'!$P$9:$P$492,'Costing'!$A$9:$A$492,"MAIN-127"))</x:f>
        <x:v>125000</x:v>
      </x:c>
      <x:c r="M1762" s="17" t="n">
        <x:f>ROUND(L1762*'Costing'!$C$4,2)</x:f>
        <x:v>22500</x:v>
      </x:c>
      <x:c r="N1762" s="17" t="n">
        <x:f>L1762+M1762</x:f>
        <x:v>147500</x:v>
      </x:c>
      <x:c r="O1762" s="12" t="str">
        <x:v>Bengaluru</x:v>
      </x:c>
      <x:c r="P1762" s="12" t="str">
        <x:v>CORP-0123</x:v>
      </x:c>
      <x:c r="Q1762" s="12" t="str">
        <x:v>NetConnect Global</x:v>
      </x:c>
    </x:row>
    <x:row r="1763" ht="48" customHeight="1">
      <x:c r="A1763" s="2" t="str">
        <x:v>TEN-7691050A7104</x:v>
      </x:c>
      <x:c r="B1763" s="12" t="str">
        <x:v>NetObjex</x:v>
      </x:c>
      <x:c r="C1763" s="12" t="str">
        <x:v>Business / brand</x:v>
      </x:c>
      <x:c r="D1763" s="12" t="str">
        <x:v>IT &amp; digital</x:v>
      </x:c>
      <x:c r="E1763" s="12" t="str">
        <x:v>Enterprise software &amp; digital engineering</x:v>
      </x:c>
      <x:c r="F1763" s="12" t="str">
        <x:v>Small-scale prospects</x:v>
      </x:c>
      <x:c r="G1763" s="12" t="str">
        <x:v>Software or technology-services business; small-scale prospect assumption.</x:v>
      </x:c>
      <x:c r="H1763" s="11" t="n">
        <x:v>1</x:v>
      </x:c>
      <x:c r="I1763" s="11" t="n">
        <x:v>19</x:v>
      </x:c>
      <x:c r="J1763" s="11" t="n">
        <x:v>19</x:v>
      </x:c>
      <x:c r="K1763" s="11" t="n">
        <x:v>0</x:v>
      </x:c>
      <x:c r="L1763" s="17" t="n">
        <x:f>SUM(SUMIFS('Costing'!$P$9:$P$492,'Costing'!$A$9:$A$492,"MAIN-357"))</x:f>
        <x:v>475000</x:v>
      </x:c>
      <x:c r="M1763" s="17" t="n">
        <x:f>ROUND(L1763*'Costing'!$C$4,2)</x:f>
        <x:v>85500</x:v>
      </x:c>
      <x:c r="N1763" s="17" t="n">
        <x:f>L1763+M1763</x:f>
        <x:v>560500</x:v>
      </x:c>
      <x:c r="O1763" s="12" t="str">
        <x:v>Mumbai</x:v>
      </x:c>
      <x:c r="P1763" s="12" t="str">
        <x:v>CORP-0353</x:v>
      </x:c>
      <x:c r="Q1763" s="12" t="str">
        <x:v>NetObjex</x:v>
      </x:c>
    </x:row>
    <x:row r="1764" ht="48" customHeight="1">
      <x:c r="A1764" s="2" t="str">
        <x:v>TEN-14C4528C15CA</x:v>
      </x:c>
      <x:c r="B1764" s="12" t="str">
        <x:v>NetScout Systems</x:v>
      </x:c>
      <x:c r="C1764" s="12" t="str">
        <x:v>Business / brand</x:v>
      </x:c>
      <x:c r="D1764" s="12" t="str">
        <x:v>IT &amp; digital</x:v>
      </x:c>
      <x:c r="E1764" s="12" t="str">
        <x:v>Enterprise software &amp; digital engineering</x:v>
      </x:c>
      <x:c r="F1764" s="12" t="str">
        <x:v>Mixed business audience</x:v>
      </x:c>
      <x:c r="G1764" s="12" t="str">
        <x:v>Established brand or business network; local company scale is not established. Use a mixed-business message.</x:v>
      </x:c>
      <x:c r="H1764" s="11" t="n">
        <x:v>5</x:v>
      </x:c>
      <x:c r="I1764" s="11" t="n">
        <x:v>5</x:v>
      </x:c>
      <x:c r="J1764" s="11" t="n">
        <x:v>5</x:v>
      </x:c>
      <x:c r="K1764" s="11" t="n">
        <x:v>0</x:v>
      </x:c>
      <x:c r="L1764" s="17" t="n">
        <x:f>SUM(SUMIFS('Costing'!$P$9:$P$492,'Costing'!$A$9:$A$492,"PARTNER-M051"))</x:f>
        <x:v>200000</x:v>
      </x:c>
      <x:c r="M1764" s="17" t="n">
        <x:f>ROUND(L1764*'Costing'!$C$4,2)</x:f>
        <x:v>36000</x:v>
      </x:c>
      <x:c r="N1764" s="17" t="n">
        <x:f>L1764+M1764</x:f>
        <x:v>236000</x:v>
      </x:c>
      <x:c r="O1764" s="12" t="str">
        <x:v>Bengaluru</x:v>
      </x:c>
      <x:c r="P1764" s="12" t="str">
        <x:v>CORP-0469, CORP-0470, CORP-0471, CORP-0472, CORP-0473</x:v>
      </x:c>
      <x:c r="Q1764" s="12" t="str">
        <x:v>NetScout Systems</x:v>
      </x:c>
    </x:row>
    <x:row r="1765" ht="49" customHeight="1">
      <x:c r="A1765" s="2" t="str">
        <x:v>TEN-0301B82899C9</x:v>
      </x:c>
      <x:c r="B1765" s="12" t="str">
        <x:v>Nettpositive Business Analytics</x:v>
      </x:c>
      <x:c r="C1765" s="12" t="str">
        <x:v>Business / brand</x:v>
      </x:c>
      <x:c r="D1765" s="12" t="str">
        <x:v>IT &amp; digital</x:v>
      </x:c>
      <x:c r="E1765" s="12" t="str">
        <x:v>AI, data &amp; analytics</x:v>
      </x:c>
      <x:c r="F1765" s="12" t="str">
        <x:v>Small-scale prospects</x:v>
      </x:c>
      <x:c r="G1765" s="12" t="str">
        <x:v>Software or technology-services business; small-scale prospect assumption.</x:v>
      </x:c>
      <x:c r="H1765" s="11" t="n">
        <x:v>12</x:v>
      </x:c>
      <x:c r="I1765" s="11" t="n">
        <x:v>12</x:v>
      </x:c>
      <x:c r="J1765" s="11" t="n">
        <x:v>12</x:v>
      </x:c>
      <x:c r="K1765" s="11" t="n">
        <x:v>0</x:v>
      </x:c>
      <x:c r="L1765" s="17" t="n">
        <x:f>SUM(SUMIFS('Costing'!$P$9:$P$492,'Costing'!$A$9:$A$492,"PARTNER-M162"),SUMIFS('Costing'!$P$9:$P$492,'Costing'!$A$9:$A$492,"PARTNER-M154"))</x:f>
        <x:v>480000</x:v>
      </x:c>
      <x:c r="M1765" s="17" t="n">
        <x:f>ROUND(L1765*'Costing'!$C$4,2)</x:f>
        <x:v>86400</x:v>
      </x:c>
      <x:c r="N1765" s="17" t="n">
        <x:f>L1765+M1765</x:f>
        <x:v>566400</x:v>
      </x:c>
      <x:c r="O1765" s="12" t="str">
        <x:v>Bengaluru</x:v>
      </x:c>
      <x:c r="P1765" s="12" t="str">
        <x:v>CORP-0572, CORP-0573, CORP-0574, CORP-0575, CORP-0576, CORP-0577, CORP-0578, CORP-0579, CORP-0580, CORP-0581, CORP-0582, CORP-0583</x:v>
      </x:c>
      <x:c r="Q1765" s="12" t="str">
        <x:v>Nettpositive Business Analytics</x:v>
      </x:c>
    </x:row>
    <x:row r="1766" ht="48" customHeight="1">
      <x:c r="A1766" s="2" t="str">
        <x:v>TEN-9B4FBAB33228</x:v>
      </x:c>
      <x:c r="B1766" s="12" t="str">
        <x:v>Network Advantage LLP</x:v>
      </x:c>
      <x:c r="C1766" s="12" t="str">
        <x:v>Business / brand</x:v>
      </x:c>
      <x:c r="D1766" s="12" t="str">
        <x:v>IT &amp; digital</x:v>
      </x:c>
      <x:c r="E1766" s="12" t="str">
        <x:v>Telecom, networks &amp; connectivity</x:v>
      </x:c>
      <x:c r="F1766" s="12" t="str">
        <x:v>Small-scale prospects</x:v>
      </x:c>
      <x:c r="G1766" s="12" t="str">
        <x:v>Software or technology-services business; small-scale prospect assumption.</x:v>
      </x:c>
      <x:c r="H1766" s="11" t="n">
        <x:v>1</x:v>
      </x:c>
      <x:c r="I1766" s="11" t="n">
        <x:v>1</x:v>
      </x:c>
      <x:c r="J1766" s="11" t="n">
        <x:v>1</x:v>
      </x:c>
      <x:c r="K1766" s="11" t="n">
        <x:v>0</x:v>
      </x:c>
      <x:c r="L1766" s="17" t="n">
        <x:f>SUM(SUMIFS('Costing'!$P$9:$P$492,'Costing'!$A$9:$A$492,"MAIN-050"))</x:f>
        <x:v>15000</x:v>
      </x:c>
      <x:c r="M1766" s="17" t="n">
        <x:f>ROUND(L1766*'Costing'!$C$4,2)</x:f>
        <x:v>2700</x:v>
      </x:c>
      <x:c r="N1766" s="17" t="n">
        <x:f>L1766+M1766</x:f>
        <x:v>17700</x:v>
      </x:c>
      <x:c r="O1766" s="12" t="str">
        <x:v>Bengaluru</x:v>
      </x:c>
      <x:c r="P1766" s="12" t="str">
        <x:v>CORP-0046</x:v>
      </x:c>
      <x:c r="Q1766" s="12" t="str">
        <x:v>Network Advantage LLP</x:v>
      </x:c>
    </x:row>
    <x:row r="1767" ht="48" customHeight="1">
      <x:c r="A1767" s="2" t="str">
        <x:v>TEN-EB15B1B985F7</x:v>
      </x:c>
      <x:c r="B1767" s="12" t="str">
        <x:v>Network International</x:v>
      </x:c>
      <x:c r="C1767" s="12" t="str">
        <x:v>Business / brand</x:v>
      </x:c>
      <x:c r="D1767" s="12" t="str">
        <x:v>Finance &amp; insurance</x:v>
      </x:c>
      <x:c r="E1767" s="12" t="str">
        <x:v>Payments &amp; financial technology</x:v>
      </x:c>
      <x:c r="F1767" s="12" t="str">
        <x:v>Mixed business audience</x:v>
      </x:c>
      <x:c r="G1767" s="12" t="str">
        <x:v>Established brand or business network; local company scale is not established. Use a mixed-business message.</x:v>
      </x:c>
      <x:c r="H1767" s="11" t="n">
        <x:v>5</x:v>
      </x:c>
      <x:c r="I1767" s="11" t="n">
        <x:v>5</x:v>
      </x:c>
      <x:c r="J1767" s="11" t="n">
        <x:v>5</x:v>
      </x:c>
      <x:c r="K1767" s="11" t="n">
        <x:v>0</x:v>
      </x:c>
      <x:c r="L1767" s="17" t="n">
        <x:f>SUM(SUMIFS('Costing'!$P$9:$P$492,'Costing'!$A$9:$A$492,"PARTNER-M051"))</x:f>
        <x:v>200000</x:v>
      </x:c>
      <x:c r="M1767" s="17" t="n">
        <x:f>ROUND(L1767*'Costing'!$C$4,2)</x:f>
        <x:v>36000</x:v>
      </x:c>
      <x:c r="N1767" s="17" t="n">
        <x:f>L1767+M1767</x:f>
        <x:v>236000</x:v>
      </x:c>
      <x:c r="O1767" s="12" t="str">
        <x:v>Bengaluru</x:v>
      </x:c>
      <x:c r="P1767" s="12" t="str">
        <x:v>CORP-0469, CORP-0470, CORP-0471, CORP-0472, CORP-0473</x:v>
      </x:c>
      <x:c r="Q1767" s="12" t="str">
        <x:v>Network International</x:v>
      </x:c>
    </x:row>
    <x:row r="1768" ht="48" customHeight="1">
      <x:c r="A1768" s="2" t="str">
        <x:v>TEN-F123D2B55E66</x:v>
      </x:c>
      <x:c r="B1768" s="12" t="str">
        <x:v>Netxcell Limited</x:v>
      </x:c>
      <x:c r="C1768" s="12" t="str">
        <x:v>Business / brand</x:v>
      </x:c>
      <x:c r="D1768" s="12" t="str">
        <x:v>IT &amp; digital</x:v>
      </x:c>
      <x:c r="E1768" s="12" t="str">
        <x:v>Enterprise software &amp; digital engineering</x:v>
      </x:c>
      <x:c r="F1768" s="12" t="str">
        <x:v>Small-scale prospects</x:v>
      </x:c>
      <x:c r="G1768" s="12" t="str">
        <x:v>Software or technology-services business; small-scale prospect assumption.</x:v>
      </x:c>
      <x:c r="H1768" s="11" t="n">
        <x:v>5</x:v>
      </x:c>
      <x:c r="I1768" s="11" t="n">
        <x:v>5</x:v>
      </x:c>
      <x:c r="J1768" s="11" t="n">
        <x:v>5</x:v>
      </x:c>
      <x:c r="K1768" s="11" t="n">
        <x:v>0</x:v>
      </x:c>
      <x:c r="L1768" s="17" t="n">
        <x:f>SUM(SUMIFS('Costing'!$P$9:$P$492,'Costing'!$A$9:$A$492,"PARTNER-M295"))</x:f>
        <x:v>200000</x:v>
      </x:c>
      <x:c r="M1768" s="17" t="n">
        <x:f>ROUND(L1768*'Costing'!$C$4,2)</x:f>
        <x:v>36000</x:v>
      </x:c>
      <x:c r="N1768" s="17" t="n">
        <x:f>L1768+M1768</x:f>
        <x:v>236000</x:v>
      </x:c>
      <x:c r="O1768" s="12" t="str">
        <x:v>Hyderabad</x:v>
      </x:c>
      <x:c r="P1768" s="12" t="str">
        <x:v>CORP-0710, CORP-0711, CORP-0712, CORP-0713, CORP-0714</x:v>
      </x:c>
      <x:c r="Q1768" s="12" t="str">
        <x:v>Netxcell Limited</x:v>
      </x:c>
    </x:row>
    <x:row r="1769" ht="48" customHeight="1">
      <x:c r="A1769" s="2" t="str">
        <x:v>TEN-FF81037D87B2</x:v>
      </x:c>
      <x:c r="B1769" s="12" t="str">
        <x:v>Neuland laboratories pvt ltd</x:v>
      </x:c>
      <x:c r="C1769" s="12" t="str">
        <x:v>Business / brand</x:v>
      </x:c>
      <x:c r="D1769" s="12" t="str">
        <x:v>Healthcare &amp; life sciences</x:v>
      </x:c>
      <x:c r="E1769" s="12" t="str">
        <x:v>Pharmaceuticals, biotechnology &amp; life sciences</x:v>
      </x:c>
      <x:c r="F1769" s="12" t="str">
        <x:v>Mixed business audience</x:v>
      </x:c>
      <x:c r="G1769" s="12" t="str">
        <x:v>Recognisable business context; company-scale evidence remains insufficient for a single size band.</x:v>
      </x:c>
      <x:c r="H1769" s="11" t="n">
        <x:v>1</x:v>
      </x:c>
      <x:c r="I1769" s="11" t="n">
        <x:v>1</x:v>
      </x:c>
      <x:c r="J1769" s="11" t="n">
        <x:v>1</x:v>
      </x:c>
      <x:c r="K1769" s="11" t="n">
        <x:v>0</x:v>
      </x:c>
      <x:c r="L1769" s="17" t="n">
        <x:f>SUM(SUMIFS('Costing'!$P$9:$P$492,'Costing'!$A$9:$A$492,"MAIN-245"))</x:f>
        <x:v>40000</x:v>
      </x:c>
      <x:c r="M1769" s="17" t="n">
        <x:f>ROUND(L1769*'Costing'!$C$4,2)</x:f>
        <x:v>7200</x:v>
      </x:c>
      <x:c r="N1769" s="17" t="n">
        <x:f>L1769+M1769</x:f>
        <x:v>47200</x:v>
      </x:c>
      <x:c r="O1769" s="12" t="str">
        <x:v>Hyderabad</x:v>
      </x:c>
      <x:c r="P1769" s="12" t="str">
        <x:v>CORP-0241</x:v>
      </x:c>
      <x:c r="Q1769" s="12" t="str">
        <x:v>Neuland laboratories pvt ltd</x:v>
      </x:c>
    </x:row>
    <x:row r="1770" ht="48" customHeight="1">
      <x:c r="A1770" s="2" t="str">
        <x:v>TEN-A9FCC2041375</x:v>
      </x:c>
      <x:c r="B1770" s="12" t="str">
        <x:v>Neuroglee Therapeutics India Pvt.Ltd</x:v>
      </x:c>
      <x:c r="C1770" s="12" t="str">
        <x:v>Business / brand</x:v>
      </x:c>
      <x:c r="D1770" s="12" t="str">
        <x:v>Healthcare &amp; life sciences</x:v>
      </x:c>
      <x:c r="E1770" s="12" t="str">
        <x:v>Pharmaceuticals, biotechnology &amp; life sciences</x:v>
      </x:c>
      <x:c r="F1770" s="12" t="str">
        <x:v>Medium-scale prospects</x:v>
      </x:c>
      <x:c r="G1770" s="12" t="str">
        <x:v>Specialist life-sciences business; medium-scale prospect assumption.</x:v>
      </x:c>
      <x:c r="H1770" s="11" t="n">
        <x:v>1</x:v>
      </x:c>
      <x:c r="I1770" s="11" t="n">
        <x:v>1</x:v>
      </x:c>
      <x:c r="J1770" s="11" t="n">
        <x:v>1</x:v>
      </x:c>
      <x:c r="K1770" s="11" t="n">
        <x:v>0</x:v>
      </x:c>
      <x:c r="L1770" s="17" t="n">
        <x:f>SUM(SUMIFS('Costing'!$P$9:$P$492,'Costing'!$A$9:$A$492,"MAIN-050"))</x:f>
        <x:v>15000</x:v>
      </x:c>
      <x:c r="M1770" s="17" t="n">
        <x:f>ROUND(L1770*'Costing'!$C$4,2)</x:f>
        <x:v>2700</x:v>
      </x:c>
      <x:c r="N1770" s="17" t="n">
        <x:f>L1770+M1770</x:f>
        <x:v>17700</x:v>
      </x:c>
      <x:c r="O1770" s="12" t="str">
        <x:v>Bengaluru</x:v>
      </x:c>
      <x:c r="P1770" s="12" t="str">
        <x:v>CORP-0046</x:v>
      </x:c>
      <x:c r="Q1770" s="12" t="str">
        <x:v>Neuroglee Therapeutics India Pvt.Ltd</x:v>
      </x:c>
    </x:row>
    <x:row r="1771" ht="48" customHeight="1">
      <x:c r="A1771" s="2" t="str">
        <x:v>TEN-EED2FD71A969</x:v>
      </x:c>
      <x:c r="B1771" s="12" t="str">
        <x:v>NeuroPixoLAI</x:v>
      </x:c>
      <x:c r="C1771" s="12" t="str">
        <x:v>Business / brand</x:v>
      </x:c>
      <x:c r="D1771" s="12" t="str">
        <x:v>Unresolved</x:v>
      </x:c>
      <x:c r="E1771" s="12" t="str">
        <x:v>Business activity not established</x:v>
      </x:c>
      <x:c r="F1771" s="12" t="str">
        <x:v>Mixed business audience</x:v>
      </x:c>
      <x:c r="G1771" s="12" t="str">
        <x:v>Business activity and company scale are not established from this name.</x:v>
      </x:c>
      <x:c r="H1771" s="11" t="n">
        <x:v>1</x:v>
      </x:c>
      <x:c r="I1771" s="11" t="n">
        <x:v>2</x:v>
      </x:c>
      <x:c r="J1771" s="11" t="n">
        <x:v>2</x:v>
      </x:c>
      <x:c r="K1771" s="11" t="n">
        <x:v>0</x:v>
      </x:c>
      <x:c r="L1771" s="17" t="n">
        <x:f>SUM(SUMIFS('Costing'!$P$9:$P$492,'Costing'!$A$9:$A$492,"MAIN-110"))</x:f>
        <x:v>30000</x:v>
      </x:c>
      <x:c r="M1771" s="17" t="n">
        <x:f>ROUND(L1771*'Costing'!$C$4,2)</x:f>
        <x:v>5400</x:v>
      </x:c>
      <x:c r="N1771" s="17" t="n">
        <x:f>L1771+M1771</x:f>
        <x:v>35400</x:v>
      </x:c>
      <x:c r="O1771" s="12" t="str">
        <x:v>Bengaluru</x:v>
      </x:c>
      <x:c r="P1771" s="12" t="str">
        <x:v>CORP-0106</x:v>
      </x:c>
      <x:c r="Q1771" s="12" t="str">
        <x:v>NeuroPixoLAI</x:v>
      </x:c>
    </x:row>
    <x:row r="1772" ht="48" customHeight="1">
      <x:c r="A1772" s="2" t="str">
        <x:v>TEN-17C1A739EC36</x:v>
      </x:c>
      <x:c r="B1772" s="12" t="str">
        <x:v>New Rampgreen Technologies Pvt. Ltd</x:v>
      </x:c>
      <x:c r="C1772" s="12" t="str">
        <x:v>Business / brand</x:v>
      </x:c>
      <x:c r="D1772" s="12" t="str">
        <x:v>IT &amp; digital</x:v>
      </x:c>
      <x:c r="E1772" s="12" t="str">
        <x:v>Enterprise software &amp; digital engineering</x:v>
      </x:c>
      <x:c r="F1772" s="12" t="str">
        <x:v>Small-scale prospects</x:v>
      </x:c>
      <x:c r="G1772" s="12" t="str">
        <x:v>Software or technology-services business; small-scale prospect assumption.</x:v>
      </x:c>
      <x:c r="H1772" s="11" t="n">
        <x:v>1</x:v>
      </x:c>
      <x:c r="I1772" s="11" t="n">
        <x:v>21</x:v>
      </x:c>
      <x:c r="J1772" s="11" t="n">
        <x:v>21</x:v>
      </x:c>
      <x:c r="K1772" s="11" t="n">
        <x:v>0</x:v>
      </x:c>
      <x:c r="L1772" s="17" t="n">
        <x:f>SUM(SUMIFS('Costing'!$P$9:$P$492,'Costing'!$A$9:$A$492,"MAIN-313"))</x:f>
        <x:v>315000</x:v>
      </x:c>
      <x:c r="M1772" s="17" t="n">
        <x:f>ROUND(L1772*'Costing'!$C$4,2)</x:f>
        <x:v>56700</x:v>
      </x:c>
      <x:c r="N1772" s="17" t="n">
        <x:f>L1772+M1772</x:f>
        <x:v>371700</x:v>
      </x:c>
      <x:c r="O1772" s="12" t="str">
        <x:v>Mumbai</x:v>
      </x:c>
      <x:c r="P1772" s="12" t="str">
        <x:v>CORP-0309</x:v>
      </x:c>
      <x:c r="Q1772" s="12" t="str">
        <x:v>New Rampgreen Technologies Pvt. Ltd</x:v>
      </x:c>
    </x:row>
    <x:row r="1773" ht="48" customHeight="1">
      <x:c r="A1773" s="2" t="str">
        <x:v>TEN-A291C3AB2411</x:v>
      </x:c>
      <x:c r="B1773" s="12" t="str">
        <x:v>New Vertical</x:v>
      </x:c>
      <x:c r="C1773" s="12" t="str">
        <x:v>Business / brand</x:v>
      </x:c>
      <x:c r="D1773" s="12" t="str">
        <x:v>Unresolved</x:v>
      </x:c>
      <x:c r="E1773" s="12" t="str">
        <x:v>Business activity not established</x:v>
      </x:c>
      <x:c r="F1773" s="12" t="str">
        <x:v>Mixed business audience</x:v>
      </x:c>
      <x:c r="G1773" s="12" t="str">
        <x:v>Business activity and company scale are not established from this name.</x:v>
      </x:c>
      <x:c r="H1773" s="11" t="n">
        <x:v>1</x:v>
      </x:c>
      <x:c r="I1773" s="11" t="n">
        <x:v>2</x:v>
      </x:c>
      <x:c r="J1773" s="11" t="n">
        <x:v>2</x:v>
      </x:c>
      <x:c r="K1773" s="11" t="n">
        <x:v>0</x:v>
      </x:c>
      <x:c r="L1773" s="17" t="n">
        <x:f>SUM(SUMIFS('Costing'!$P$9:$P$492,'Costing'!$A$9:$A$492,"MAIN-162"))</x:f>
        <x:v>30000</x:v>
      </x:c>
      <x:c r="M1773" s="17" t="n">
        <x:f>ROUND(L1773*'Costing'!$C$4,2)</x:f>
        <x:v>5400</x:v>
      </x:c>
      <x:c r="N1773" s="17" t="n">
        <x:f>L1773+M1773</x:f>
        <x:v>35400</x:v>
      </x:c>
      <x:c r="O1773" s="12" t="str">
        <x:v>Delhi NCR</x:v>
      </x:c>
      <x:c r="P1773" s="12" t="str">
        <x:v>CORP-0158</x:v>
      </x:c>
      <x:c r="Q1773" s="12" t="str">
        <x:v>New Vertical</x:v>
      </x:c>
    </x:row>
    <x:row r="1774" ht="48" customHeight="1">
      <x:c r="A1774" s="2" t="str">
        <x:v>TEN-8EA8DF83F556</x:v>
      </x:c>
      <x:c r="B1774" s="12" t="str">
        <x:v>New Vision</x:v>
      </x:c>
      <x:c r="C1774" s="12" t="str">
        <x:v>Business / brand</x:v>
      </x:c>
      <x:c r="D1774" s="12" t="str">
        <x:v>Unresolved</x:v>
      </x:c>
      <x:c r="E1774" s="12" t="str">
        <x:v>Business activity not established</x:v>
      </x:c>
      <x:c r="F1774" s="12" t="str">
        <x:v>Mixed business audience</x:v>
      </x:c>
      <x:c r="G1774" s="12" t="str">
        <x:v>Business activity and company scale are not established from this name.</x:v>
      </x:c>
      <x:c r="H1774" s="11" t="n">
        <x:v>1</x:v>
      </x:c>
      <x:c r="I1774" s="11" t="n">
        <x:v>1</x:v>
      </x:c>
      <x:c r="J1774" s="11" t="n">
        <x:v>1</x:v>
      </x:c>
      <x:c r="K1774" s="11" t="n">
        <x:v>0</x:v>
      </x:c>
      <x:c r="L1774" s="17" t="n">
        <x:f>SUM(SUMIFS('Costing'!$P$9:$P$492,'Costing'!$A$9:$A$492,"MAIN-270"))</x:f>
        <x:v>20000</x:v>
      </x:c>
      <x:c r="M1774" s="17" t="n">
        <x:f>ROUND(L1774*'Costing'!$C$4,2)</x:f>
        <x:v>3600</x:v>
      </x:c>
      <x:c r="N1774" s="17" t="n">
        <x:f>L1774+M1774</x:f>
        <x:v>23600</x:v>
      </x:c>
      <x:c r="O1774" s="12" t="str">
        <x:v>Indore</x:v>
      </x:c>
      <x:c r="P1774" s="12" t="str">
        <x:v>CORP-0266</x:v>
      </x:c>
      <x:c r="Q1774" s="12" t="str">
        <x:v>New Vision</x:v>
      </x:c>
    </x:row>
    <x:row r="1775" ht="48" customHeight="1">
      <x:c r="A1775" s="2" t="str">
        <x:v>TEN-02C89D9D3AB3</x:v>
      </x:c>
      <x:c r="B1775" s="12" t="str">
        <x:v>NEWTIMES DEVELOPMENT INDIA PVT. LTD</x:v>
      </x:c>
      <x:c r="C1775" s="12" t="str">
        <x:v>Business / brand</x:v>
      </x:c>
      <x:c r="D1775" s="12" t="str">
        <x:v>Trade, consumer &amp; logistics</x:v>
      </x:c>
      <x:c r="E1775" s="12" t="str">
        <x:v>Retail, consumer products &amp; ecommerce</x:v>
      </x:c>
      <x:c r="F1775" s="12" t="str">
        <x:v>Mixed business audience</x:v>
      </x:c>
      <x:c r="G1775" s="12" t="str">
        <x:v>Established brand or business network; local company scale is not established. Use a mixed-business message.</x:v>
      </x:c>
      <x:c r="H1775" s="11" t="n">
        <x:v>1</x:v>
      </x:c>
      <x:c r="I1775" s="11" t="n">
        <x:v>2</x:v>
      </x:c>
      <x:c r="J1775" s="11" t="n">
        <x:v>2</x:v>
      </x:c>
      <x:c r="K1775" s="11" t="n">
        <x:v>0</x:v>
      </x:c>
      <x:c r="L1775" s="17" t="n">
        <x:f>SUM(SUMIFS('Costing'!$P$9:$P$492,'Costing'!$A$9:$A$492,"MAIN-201"))</x:f>
        <x:v>80000</x:v>
      </x:c>
      <x:c r="M1775" s="17" t="n">
        <x:f>ROUND(L1775*'Costing'!$C$4,2)</x:f>
        <x:v>14400</x:v>
      </x:c>
      <x:c r="N1775" s="17" t="n">
        <x:f>L1775+M1775</x:f>
        <x:v>94400</x:v>
      </x:c>
      <x:c r="O1775" s="12" t="str">
        <x:v>Delhi NCR</x:v>
      </x:c>
      <x:c r="P1775" s="12" t="str">
        <x:v>CORP-0197</x:v>
      </x:c>
      <x:c r="Q1775" s="12" t="str">
        <x:v>NEWTIMES DEVELOPMENT INDIA PVT. LTD</x:v>
      </x:c>
    </x:row>
    <x:row r="1776" ht="48" customHeight="1">
      <x:c r="A1776" s="2" t="str">
        <x:v>TEN-E73975ED917E</x:v>
      </x:c>
      <x:c r="B1776" s="12" t="str">
        <x:v>NEXA</x:v>
      </x:c>
      <x:c r="C1776" s="12" t="str">
        <x:v>Business / brand</x:v>
      </x:c>
      <x:c r="D1776" s="12" t="str">
        <x:v>Trade, consumer &amp; logistics</x:v>
      </x:c>
      <x:c r="E1776" s="12" t="str">
        <x:v>Retail, consumer products &amp; ecommerce</x:v>
      </x:c>
      <x:c r="F1776" s="12" t="str">
        <x:v>Mixed business audience</x:v>
      </x:c>
      <x:c r="G1776" s="12" t="str">
        <x:v>Established brand or business network; local company scale is not established. Use a mixed-business message.</x:v>
      </x:c>
      <x:c r="H1776" s="11" t="n">
        <x:v>1</x:v>
      </x:c>
      <x:c r="I1776" s="11" t="n">
        <x:v>1</x:v>
      </x:c>
      <x:c r="J1776" s="11" t="n">
        <x:v>1</x:v>
      </x:c>
      <x:c r="K1776" s="11" t="n">
        <x:v>0</x:v>
      </x:c>
      <x:c r="L1776" s="17" t="n">
        <x:f>SUM(SUMIFS('Costing'!$P$9:$P$492,'Costing'!$A$9:$A$492,"MAIN-272"))</x:f>
        <x:v>20000</x:v>
      </x:c>
      <x:c r="M1776" s="17" t="n">
        <x:f>ROUND(L1776*'Costing'!$C$4,2)</x:f>
        <x:v>3600</x:v>
      </x:c>
      <x:c r="N1776" s="17" t="n">
        <x:f>L1776+M1776</x:f>
        <x:v>23600</x:v>
      </x:c>
      <x:c r="O1776" s="12" t="str">
        <x:v>Indore</x:v>
      </x:c>
      <x:c r="P1776" s="12" t="str">
        <x:v>CORP-0268</x:v>
      </x:c>
      <x:c r="Q1776" s="12" t="str">
        <x:v>NEXA</x:v>
      </x:c>
    </x:row>
    <x:row r="1777" ht="48" customHeight="1">
      <x:c r="A1777" s="2" t="str">
        <x:v>TEN-7539F6E6B0E4</x:v>
      </x:c>
      <x:c r="B1777" s="12" t="str">
        <x:v>Nexiilabs</x:v>
      </x:c>
      <x:c r="C1777" s="12" t="str">
        <x:v>Business / brand</x:v>
      </x:c>
      <x:c r="D1777" s="12" t="str">
        <x:v>Unresolved</x:v>
      </x:c>
      <x:c r="E1777" s="12" t="str">
        <x:v>Business activity not established</x:v>
      </x:c>
      <x:c r="F1777" s="12" t="str">
        <x:v>Mixed business audience</x:v>
      </x:c>
      <x:c r="G1777" s="12" t="str">
        <x:v>Business activity and company scale are not established from this name.</x:v>
      </x:c>
      <x:c r="H1777" s="11" t="n">
        <x:v>6</x:v>
      </x:c>
      <x:c r="I1777" s="11" t="n">
        <x:v>6</x:v>
      </x:c>
      <x:c r="J1777" s="11" t="n">
        <x:v>6</x:v>
      </x:c>
      <x:c r="K1777" s="11" t="n">
        <x:v>0</x:v>
      </x:c>
      <x:c r="L1777" s="17" t="n">
        <x:f>SUM(SUMIFS('Costing'!$P$9:$P$492,'Costing'!$A$9:$A$492,"PARTNER-M289"))</x:f>
        <x:v>240000</x:v>
      </x:c>
      <x:c r="M1777" s="17" t="n">
        <x:f>ROUND(L1777*'Costing'!$C$4,2)</x:f>
        <x:v>43200</x:v>
      </x:c>
      <x:c r="N1777" s="17" t="n">
        <x:f>L1777+M1777</x:f>
        <x:v>283200</x:v>
      </x:c>
      <x:c r="O1777" s="12" t="str">
        <x:v>Hyderabad</x:v>
      </x:c>
      <x:c r="P1777" s="12" t="str">
        <x:v>CORP-0704, CORP-0705, CORP-0706, CORP-0707, CORP-0708, CORP-0709</x:v>
      </x:c>
      <x:c r="Q1777" s="12" t="str">
        <x:v>Nexiilabs</x:v>
      </x:c>
    </x:row>
    <x:row r="1778" ht="48" customHeight="1">
      <x:c r="A1778" s="2" t="str">
        <x:v>TEN-2E737C2291BC</x:v>
      </x:c>
      <x:c r="B1778" s="12" t="str">
        <x:v>Nextgen</x:v>
      </x:c>
      <x:c r="C1778" s="12" t="str">
        <x:v>Business / brand</x:v>
      </x:c>
      <x:c r="D1778" s="12" t="str">
        <x:v>Unresolved</x:v>
      </x:c>
      <x:c r="E1778" s="12" t="str">
        <x:v>Business activity not established</x:v>
      </x:c>
      <x:c r="F1778" s="12" t="str">
        <x:v>Mixed business audience</x:v>
      </x:c>
      <x:c r="G1778" s="12" t="str">
        <x:v>Business activity and company scale are not established from this name.</x:v>
      </x:c>
      <x:c r="H1778" s="11" t="n">
        <x:v>9</x:v>
      </x:c>
      <x:c r="I1778" s="11" t="n">
        <x:v>9</x:v>
      </x:c>
      <x:c r="J1778" s="11" t="n">
        <x:v>9</x:v>
      </x:c>
      <x:c r="K1778" s="11" t="n">
        <x:v>0</x:v>
      </x:c>
      <x:c r="L1778" s="17" t="n">
        <x:f>SUM(SUMIFS('Costing'!$P$9:$P$492,'Costing'!$A$9:$A$492,"PARTNER-M002"))</x:f>
        <x:v>360000</x:v>
      </x:c>
      <x:c r="M1778" s="17" t="n">
        <x:f>ROUND(L1778*'Costing'!$C$4,2)</x:f>
        <x:v>64800</x:v>
      </x:c>
      <x:c r="N1778" s="17" t="n">
        <x:f>L1778+M1778</x:f>
        <x:v>424800</x:v>
      </x:c>
      <x:c r="O1778" s="12" t="str">
        <x:v>Bengaluru</x:v>
      </x:c>
      <x:c r="P1778" s="12" t="str">
        <x:v>CORP-0420, CORP-0421, CORP-0422, CORP-0423, CORP-0424, CORP-0425, CORP-0426, CORP-0427, CORP-0428</x:v>
      </x:c>
      <x:c r="Q1778" s="12" t="str">
        <x:v>Nextgen</x:v>
      </x:c>
    </x:row>
    <x:row r="1779" ht="48" customHeight="1">
      <x:c r="A1779" s="2" t="str">
        <x:v>TEN-61D4EDA9A318</x:v>
      </x:c>
      <x:c r="B1779" s="12" t="str">
        <x:v>NEXTQORE PRIVATE LIMITED</x:v>
      </x:c>
      <x:c r="C1779" s="12" t="str">
        <x:v>Business / brand</x:v>
      </x:c>
      <x:c r="D1779" s="12" t="str">
        <x:v>Unresolved</x:v>
      </x:c>
      <x:c r="E1779" s="12" t="str">
        <x:v>Business activity not established</x:v>
      </x:c>
      <x:c r="F1779" s="12" t="str">
        <x:v>Mixed business audience</x:v>
      </x:c>
      <x:c r="G1779" s="12" t="str">
        <x:v>Business activity and company scale are not established from this name.</x:v>
      </x:c>
      <x:c r="H1779" s="11" t="n">
        <x:v>1</x:v>
      </x:c>
      <x:c r="I1779" s="11" t="n">
        <x:v>1</x:v>
      </x:c>
      <x:c r="J1779" s="11" t="n">
        <x:v>1</x:v>
      </x:c>
      <x:c r="K1779" s="11" t="n">
        <x:v>0</x:v>
      </x:c>
      <x:c r="L1779" s="17" t="n">
        <x:f>SUM(SUMIFS('Costing'!$P$9:$P$492,'Costing'!$A$9:$A$492,"MAIN-296"))</x:f>
        <x:v>15000</x:v>
      </x:c>
      <x:c r="M1779" s="17" t="n">
        <x:f>ROUND(L1779*'Costing'!$C$4,2)</x:f>
        <x:v>2700</x:v>
      </x:c>
      <x:c r="N1779" s="17" t="n">
        <x:f>L1779+M1779</x:f>
        <x:v>17700</x:v>
      </x:c>
      <x:c r="O1779" s="12" t="str">
        <x:v>Mumbai</x:v>
      </x:c>
      <x:c r="P1779" s="12" t="str">
        <x:v>CORP-0292</x:v>
      </x:c>
      <x:c r="Q1779" s="12" t="str">
        <x:v>NEXTQORE PRIVATE LIMITED</x:v>
      </x:c>
    </x:row>
    <x:row r="1780" ht="48" customHeight="1">
      <x:c r="A1780" s="2" t="str">
        <x:v>TEN-DFBAD1C953CB</x:v>
      </x:c>
      <x:c r="B1780" s="12" t="str">
        <x:v>Nextracker India Pvt. Ltd</x:v>
      </x:c>
      <x:c r="C1780" s="12" t="str">
        <x:v>Business / brand</x:v>
      </x:c>
      <x:c r="D1780" s="12" t="str">
        <x:v>Engineering &amp; manufacturing</x:v>
      </x:c>
      <x:c r="E1780" s="12" t="str">
        <x:v>Electronics, industrial systems &amp; manufacturing</x:v>
      </x:c>
      <x:c r="F1780" s="12" t="str">
        <x:v>Mixed business audience</x:v>
      </x:c>
      <x:c r="G1780" s="12" t="str">
        <x:v>Established brand or business network; local company scale is not established. Use a mixed-business message.</x:v>
      </x:c>
      <x:c r="H1780" s="11" t="n">
        <x:v>1</x:v>
      </x:c>
      <x:c r="I1780" s="11" t="n">
        <x:v>1</x:v>
      </x:c>
      <x:c r="J1780" s="11" t="n">
        <x:v>1</x:v>
      </x:c>
      <x:c r="K1780" s="11" t="n">
        <x:v>0</x:v>
      </x:c>
      <x:c r="L1780" s="17" t="n">
        <x:f>SUM(SUMIFS('Costing'!$P$9:$P$492,'Costing'!$A$9:$A$492,"MAIN-254"))</x:f>
        <x:v>15000</x:v>
      </x:c>
      <x:c r="M1780" s="17" t="n">
        <x:f>ROUND(L1780*'Costing'!$C$4,2)</x:f>
        <x:v>2700</x:v>
      </x:c>
      <x:c r="N1780" s="17" t="n">
        <x:f>L1780+M1780</x:f>
        <x:v>17700</x:v>
      </x:c>
      <x:c r="O1780" s="12" t="str">
        <x:v>Hyderabad</x:v>
      </x:c>
      <x:c r="P1780" s="12" t="str">
        <x:v>CORP-0250</x:v>
      </x:c>
      <x:c r="Q1780" s="12" t="str">
        <x:v>Nextracker India Pvt. Ltd</x:v>
      </x:c>
    </x:row>
    <x:row r="1781" ht="48" customHeight="1">
      <x:c r="A1781" s="2" t="str">
        <x:v>TEN-FF3CC4256021</x:v>
      </x:c>
      <x:c r="B1781" s="12" t="str">
        <x:v>Nexus Business Solutions</x:v>
      </x:c>
      <x:c r="C1781" s="12" t="str">
        <x:v>Business / brand</x:v>
      </x:c>
      <x:c r="D1781" s="12" t="str">
        <x:v>Unresolved</x:v>
      </x:c>
      <x:c r="E1781" s="12" t="str">
        <x:v>Business activity not established</x:v>
      </x:c>
      <x:c r="F1781" s="12" t="str">
        <x:v>Mixed business audience</x:v>
      </x:c>
      <x:c r="G1781" s="12" t="str">
        <x:v>Business activity and company scale are not established from this name.</x:v>
      </x:c>
      <x:c r="H1781" s="11" t="n">
        <x:v>4</x:v>
      </x:c>
      <x:c r="I1781" s="11" t="n">
        <x:v>4</x:v>
      </x:c>
      <x:c r="J1781" s="11" t="n">
        <x:v>4</x:v>
      </x:c>
      <x:c r="K1781" s="11" t="n">
        <x:v>0</x:v>
      </x:c>
      <x:c r="L1781" s="17" t="n">
        <x:f>SUM(SUMIFS('Costing'!$P$9:$P$492,'Costing'!$A$9:$A$492,"PARTNER-M093"))</x:f>
        <x:v>160000</x:v>
      </x:c>
      <x:c r="M1781" s="17" t="n">
        <x:f>ROUND(L1781*'Costing'!$C$4,2)</x:f>
        <x:v>28800</x:v>
      </x:c>
      <x:c r="N1781" s="17" t="n">
        <x:f>L1781+M1781</x:f>
        <x:v>188800</x:v>
      </x:c>
      <x:c r="O1781" s="12" t="str">
        <x:v>Bengaluru</x:v>
      </x:c>
      <x:c r="P1781" s="12" t="str">
        <x:v>CORP-0511, CORP-0512, CORP-0513, CORP-0514</x:v>
      </x:c>
      <x:c r="Q1781" s="12" t="str">
        <x:v>Nexus Business Solutions</x:v>
      </x:c>
    </x:row>
    <x:row r="1782" ht="48" customHeight="1">
      <x:c r="A1782" s="2" t="str">
        <x:v>TEN-D81104AA66DA</x:v>
      </x:c>
      <x:c r="B1782" s="12" t="str">
        <x:v>Nexus Select Malls Corporate Office</x:v>
      </x:c>
      <x:c r="C1782" s="12" t="str">
        <x:v>Business / brand</x:v>
      </x:c>
      <x:c r="D1782" s="12" t="str">
        <x:v>Trade, consumer &amp; logistics</x:v>
      </x:c>
      <x:c r="E1782" s="12" t="str">
        <x:v>Real estate, property &amp; construction services</x:v>
      </x:c>
      <x:c r="F1782" s="12" t="str">
        <x:v>Mixed business audience</x:v>
      </x:c>
      <x:c r="G1782" s="12" t="str">
        <x:v>Established brand or business network; local company scale is not established. Use a mixed-business message.</x:v>
      </x:c>
      <x:c r="H1782" s="11" t="n">
        <x:v>1</x:v>
      </x:c>
      <x:c r="I1782" s="11" t="n">
        <x:v>4</x:v>
      </x:c>
      <x:c r="J1782" s="11" t="n">
        <x:v>4</x:v>
      </x:c>
      <x:c r="K1782" s="11" t="n">
        <x:v>0</x:v>
      </x:c>
      <x:c r="L1782" s="17" t="n">
        <x:f>SUM(SUMIFS('Costing'!$P$9:$P$492,'Costing'!$A$9:$A$492,"MAIN-361"))</x:f>
        <x:v>100000</x:v>
      </x:c>
      <x:c r="M1782" s="17" t="n">
        <x:f>ROUND(L1782*'Costing'!$C$4,2)</x:f>
        <x:v>18000</x:v>
      </x:c>
      <x:c r="N1782" s="17" t="n">
        <x:f>L1782+M1782</x:f>
        <x:v>118000</x:v>
      </x:c>
      <x:c r="O1782" s="12" t="str">
        <x:v>Mumbai</x:v>
      </x:c>
      <x:c r="P1782" s="12" t="str">
        <x:v>CORP-0357</x:v>
      </x:c>
      <x:c r="Q1782" s="12" t="str">
        <x:v>Nexus Select Malls Corporate Office</x:v>
      </x:c>
    </x:row>
    <x:row r="1783" ht="48" customHeight="1">
      <x:c r="A1783" s="2" t="str">
        <x:v>TEN-9F6BB1723925</x:v>
      </x:c>
      <x:c r="B1783" s="12" t="str">
        <x:v>NGRT Systems</x:v>
      </x:c>
      <x:c r="C1783" s="12" t="str">
        <x:v>Business / brand</x:v>
      </x:c>
      <x:c r="D1783" s="12" t="str">
        <x:v>Unresolved</x:v>
      </x:c>
      <x:c r="E1783" s="12" t="str">
        <x:v>Business activity not established</x:v>
      </x:c>
      <x:c r="F1783" s="12" t="str">
        <x:v>Mixed business audience</x:v>
      </x:c>
      <x:c r="G1783" s="12" t="str">
        <x:v>Business activity and company scale are not established from this name.</x:v>
      </x:c>
      <x:c r="H1783" s="11" t="n">
        <x:v>1</x:v>
      </x:c>
      <x:c r="I1783" s="11" t="n">
        <x:v>1</x:v>
      </x:c>
      <x:c r="J1783" s="11" t="n">
        <x:v>1</x:v>
      </x:c>
      <x:c r="K1783" s="11" t="n">
        <x:v>0</x:v>
      </x:c>
      <x:c r="L1783" s="17" t="n">
        <x:f>SUM(SUMIFS('Costing'!$P$9:$P$492,'Costing'!$A$9:$A$492,"MAIN-272"))</x:f>
        <x:v>20000</x:v>
      </x:c>
      <x:c r="M1783" s="17" t="n">
        <x:f>ROUND(L1783*'Costing'!$C$4,2)</x:f>
        <x:v>3600</x:v>
      </x:c>
      <x:c r="N1783" s="17" t="n">
        <x:f>L1783+M1783</x:f>
        <x:v>23600</x:v>
      </x:c>
      <x:c r="O1783" s="12" t="str">
        <x:v>Indore</x:v>
      </x:c>
      <x:c r="P1783" s="12" t="str">
        <x:v>CORP-0268</x:v>
      </x:c>
      <x:c r="Q1783" s="12" t="str">
        <x:v>NGRT Systems</x:v>
      </x:c>
    </x:row>
    <x:row r="1784" ht="48" customHeight="1">
      <x:c r="A1784" s="2" t="str">
        <x:v>TEN-EAE8E3404182</x:v>
      </x:c>
      <x:c r="B1784" s="12" t="str">
        <x:v>Nielsen</x:v>
      </x:c>
      <x:c r="C1784" s="12" t="str">
        <x:v>Business / brand</x:v>
      </x:c>
      <x:c r="D1784" s="12" t="str">
        <x:v>Professional services</x:v>
      </x:c>
      <x:c r="E1784" s="12" t="str">
        <x:v>Business, marketing &amp; research services</x:v>
      </x:c>
      <x:c r="F1784" s="12" t="str">
        <x:v>Mixed business audience</x:v>
      </x:c>
      <x:c r="G1784" s="12" t="str">
        <x:v>Recognisable business context; company-scale evidence remains insufficient for a single size band.</x:v>
      </x:c>
      <x:c r="H1784" s="11" t="n">
        <x:v>6</x:v>
      </x:c>
      <x:c r="I1784" s="11" t="n">
        <x:v>6</x:v>
      </x:c>
      <x:c r="J1784" s="11" t="n">
        <x:v>6</x:v>
      </x:c>
      <x:c r="K1784" s="11" t="n">
        <x:v>0</x:v>
      </x:c>
      <x:c r="L1784" s="17" t="n">
        <x:f>SUM(SUMIFS('Costing'!$P$9:$P$492,'Costing'!$A$9:$A$492,"PARTNER-M039"))</x:f>
        <x:v>240000</x:v>
      </x:c>
      <x:c r="M1784" s="17" t="n">
        <x:f>ROUND(L1784*'Costing'!$C$4,2)</x:f>
        <x:v>43200</x:v>
      </x:c>
      <x:c r="N1784" s="17" t="n">
        <x:f>L1784+M1784</x:f>
        <x:v>283200</x:v>
      </x:c>
      <x:c r="O1784" s="12" t="str">
        <x:v>Bengaluru</x:v>
      </x:c>
      <x:c r="P1784" s="12" t="str">
        <x:v>CORP-0457, CORP-0458, CORP-0459, CORP-0460, CORP-0461, CORP-0462</x:v>
      </x:c>
      <x:c r="Q1784" s="12" t="str">
        <x:v>Nielsen</x:v>
      </x:c>
    </x:row>
    <x:row r="1785" ht="48" customHeight="1">
      <x:c r="A1785" s="2" t="str">
        <x:v>TEN-DC5D5F33E499</x:v>
      </x:c>
      <x:c r="B1785" s="12" t="str">
        <x:v>Nielsen Media India Pvt Ltd</x:v>
      </x:c>
      <x:c r="C1785" s="12" t="str">
        <x:v>Business / brand</x:v>
      </x:c>
      <x:c r="D1785" s="12" t="str">
        <x:v>Professional services</x:v>
      </x:c>
      <x:c r="E1785" s="12" t="str">
        <x:v>Business, marketing &amp; research services</x:v>
      </x:c>
      <x:c r="F1785" s="12" t="str">
        <x:v>Mixed business audience</x:v>
      </x:c>
      <x:c r="G1785" s="12" t="str">
        <x:v>Recognisable business context; company-scale evidence remains insufficient for a single size band.</x:v>
      </x:c>
      <x:c r="H1785" s="11" t="n">
        <x:v>1</x:v>
      </x:c>
      <x:c r="I1785" s="11" t="n">
        <x:v>4</x:v>
      </x:c>
      <x:c r="J1785" s="11" t="n">
        <x:v>4</x:v>
      </x:c>
      <x:c r="K1785" s="11" t="n">
        <x:v>0</x:v>
      </x:c>
      <x:c r="L1785" s="17" t="n">
        <x:f>SUM(SUMIFS('Costing'!$P$9:$P$492,'Costing'!$A$9:$A$492,"MAIN-265"))</x:f>
        <x:v>100000</x:v>
      </x:c>
      <x:c r="M1785" s="17" t="n">
        <x:f>ROUND(L1785*'Costing'!$C$4,2)</x:f>
        <x:v>18000</x:v>
      </x:c>
      <x:c r="N1785" s="17" t="n">
        <x:f>L1785+M1785</x:f>
        <x:v>118000</x:v>
      </x:c>
      <x:c r="O1785" s="12" t="str">
        <x:v>Hyderabad</x:v>
      </x:c>
      <x:c r="P1785" s="12" t="str">
        <x:v>CORP-0261</x:v>
      </x:c>
      <x:c r="Q1785" s="12" t="str">
        <x:v>Nielsen Media India Pvt Ltd</x:v>
      </x:c>
    </x:row>
    <x:row r="1786" ht="48" customHeight="1">
      <x:c r="A1786" s="2" t="str">
        <x:v>TEN-DF4521B8C430</x:v>
      </x:c>
      <x:c r="B1786" s="12" t="str">
        <x:v>Nielsen Sports</x:v>
      </x:c>
      <x:c r="C1786" s="12" t="str">
        <x:v>Business / brand</x:v>
      </x:c>
      <x:c r="D1786" s="12" t="str">
        <x:v>Professional services</x:v>
      </x:c>
      <x:c r="E1786" s="12" t="str">
        <x:v>Business, marketing &amp; research services</x:v>
      </x:c>
      <x:c r="F1786" s="12" t="str">
        <x:v>Mixed business audience</x:v>
      </x:c>
      <x:c r="G1786" s="12" t="str">
        <x:v>Recognisable business context; company-scale evidence remains insufficient for a single size band.</x:v>
      </x:c>
      <x:c r="H1786" s="11" t="n">
        <x:v>7</x:v>
      </x:c>
      <x:c r="I1786" s="11" t="n">
        <x:v>7</x:v>
      </x:c>
      <x:c r="J1786" s="11" t="n">
        <x:v>7</x:v>
      </x:c>
      <x:c r="K1786" s="11" t="n">
        <x:v>0</x:v>
      </x:c>
      <x:c r="L1786" s="17" t="n">
        <x:f>SUM(SUMIFS('Costing'!$P$9:$P$492,'Costing'!$A$9:$A$492,"PARTNER-M027"))</x:f>
        <x:v>280000</x:v>
      </x:c>
      <x:c r="M1786" s="17" t="n">
        <x:f>ROUND(L1786*'Costing'!$C$4,2)</x:f>
        <x:v>50400</x:v>
      </x:c>
      <x:c r="N1786" s="17" t="n">
        <x:f>L1786+M1786</x:f>
        <x:v>330400</x:v>
      </x:c>
      <x:c r="O1786" s="12" t="str">
        <x:v>Bengaluru</x:v>
      </x:c>
      <x:c r="P1786" s="12" t="str">
        <x:v>CORP-0445, CORP-0446, CORP-0447, CORP-0448, CORP-0449, CORP-0450, CORP-0451</x:v>
      </x:c>
      <x:c r="Q1786" s="12" t="str">
        <x:v>Nielsen Sports</x:v>
      </x:c>
    </x:row>
    <x:row r="1787" ht="48" customHeight="1">
      <x:c r="A1787" s="2" t="str">
        <x:v>TEN-7169561ED73E</x:v>
      </x:c>
      <x:c r="B1787" s="12" t="str">
        <x:v>Nihira Business Solutions India pvt ltd</x:v>
      </x:c>
      <x:c r="C1787" s="12" t="str">
        <x:v>Business / brand</x:v>
      </x:c>
      <x:c r="D1787" s="12" t="str">
        <x:v>Unresolved</x:v>
      </x:c>
      <x:c r="E1787" s="12" t="str">
        <x:v>Business activity not established</x:v>
      </x:c>
      <x:c r="F1787" s="12" t="str">
        <x:v>Mixed business audience</x:v>
      </x:c>
      <x:c r="G1787" s="12" t="str">
        <x:v>Business activity and company scale are not established from this name.</x:v>
      </x:c>
      <x:c r="H1787" s="11" t="n">
        <x:v>1</x:v>
      </x:c>
      <x:c r="I1787" s="11" t="n">
        <x:v>3</x:v>
      </x:c>
      <x:c r="J1787" s="11" t="n">
        <x:v>3</x:v>
      </x:c>
      <x:c r="K1787" s="11" t="n">
        <x:v>0</x:v>
      </x:c>
      <x:c r="L1787" s="17" t="n">
        <x:f>SUM(SUMIFS('Costing'!$P$9:$P$492,'Costing'!$A$9:$A$492,"MAIN-255"))</x:f>
        <x:v>45000</x:v>
      </x:c>
      <x:c r="M1787" s="17" t="n">
        <x:f>ROUND(L1787*'Costing'!$C$4,2)</x:f>
        <x:v>8100</x:v>
      </x:c>
      <x:c r="N1787" s="17" t="n">
        <x:f>L1787+M1787</x:f>
        <x:v>53100</x:v>
      </x:c>
      <x:c r="O1787" s="12" t="str">
        <x:v>Hyderabad</x:v>
      </x:c>
      <x:c r="P1787" s="12" t="str">
        <x:v>CORP-0251</x:v>
      </x:c>
      <x:c r="Q1787" s="12" t="str">
        <x:v>Nihira Business Solutions India pvt ltd</x:v>
      </x:c>
    </x:row>
    <x:row r="1788" ht="48" customHeight="1">
      <x:c r="A1788" s="2" t="str">
        <x:v>TEN-E323D2D2ED43</x:v>
      </x:c>
      <x:c r="B1788" s="12" t="str">
        <x:v>Nikarams technologies</x:v>
      </x:c>
      <x:c r="C1788" s="12" t="str">
        <x:v>Business / brand</x:v>
      </x:c>
      <x:c r="D1788" s="12" t="str">
        <x:v>Unresolved</x:v>
      </x:c>
      <x:c r="E1788" s="12" t="str">
        <x:v>Business activity not established</x:v>
      </x:c>
      <x:c r="F1788" s="12" t="str">
        <x:v>Mixed business audience</x:v>
      </x:c>
      <x:c r="G1788" s="12" t="str">
        <x:v>Business activity and company scale are not established from this name.</x:v>
      </x:c>
      <x:c r="H1788" s="11" t="n">
        <x:v>1</x:v>
      </x:c>
      <x:c r="I1788" s="11" t="n">
        <x:v>6</x:v>
      </x:c>
      <x:c r="J1788" s="11" t="n">
        <x:v>6</x:v>
      </x:c>
      <x:c r="K1788" s="11" t="n">
        <x:v>0</x:v>
      </x:c>
      <x:c r="L1788" s="17" t="n">
        <x:f>SUM(SUMIFS('Costing'!$P$9:$P$492,'Costing'!$A$9:$A$492,"MAIN-312"))</x:f>
        <x:v>90000</x:v>
      </x:c>
      <x:c r="M1788" s="17" t="n">
        <x:f>ROUND(L1788*'Costing'!$C$4,2)</x:f>
        <x:v>16200</x:v>
      </x:c>
      <x:c r="N1788" s="17" t="n">
        <x:f>L1788+M1788</x:f>
        <x:v>106200</x:v>
      </x:c>
      <x:c r="O1788" s="12" t="str">
        <x:v>Mumbai</x:v>
      </x:c>
      <x:c r="P1788" s="12" t="str">
        <x:v>CORP-0308</x:v>
      </x:c>
      <x:c r="Q1788" s="12" t="str">
        <x:v>Nikarams technologies</x:v>
      </x:c>
    </x:row>
    <x:row r="1789" ht="49" customHeight="1">
      <x:c r="A1789" s="2" t="str">
        <x:v>TEN-5DD95C98AFF2</x:v>
      </x:c>
      <x:c r="B1789" s="12" t="str">
        <x:v>Nike</x:v>
      </x:c>
      <x:c r="C1789" s="12" t="str">
        <x:v>Business / brand</x:v>
      </x:c>
      <x:c r="D1789" s="12" t="str">
        <x:v>Trade, consumer &amp; logistics</x:v>
      </x:c>
      <x:c r="E1789" s="12" t="str">
        <x:v>Retail, consumer products &amp; ecommerce</x:v>
      </x:c>
      <x:c r="F1789" s="12" t="str">
        <x:v>Mixed business audience</x:v>
      </x:c>
      <x:c r="G1789" s="12" t="str">
        <x:v>Recognisable business context; company-scale evidence remains insufficient for a single size band.</x:v>
      </x:c>
      <x:c r="H1789" s="11" t="n">
        <x:v>12</x:v>
      </x:c>
      <x:c r="I1789" s="11" t="n">
        <x:v>12</x:v>
      </x:c>
      <x:c r="J1789" s="11" t="n">
        <x:v>12</x:v>
      </x:c>
      <x:c r="K1789" s="11" t="n">
        <x:v>0</x:v>
      </x:c>
      <x:c r="L1789" s="17" t="n">
        <x:f>SUM(SUMIFS('Costing'!$P$9:$P$492,'Costing'!$A$9:$A$492,"PARTNER-M108"))</x:f>
        <x:v>480000</x:v>
      </x:c>
      <x:c r="M1789" s="17" t="n">
        <x:f>ROUND(L1789*'Costing'!$C$4,2)</x:f>
        <x:v>86400</x:v>
      </x:c>
      <x:c r="N1789" s="17" t="n">
        <x:f>L1789+M1789</x:f>
        <x:v>566400</x:v>
      </x:c>
      <x:c r="O1789" s="12" t="str">
        <x:v>Bengaluru</x:v>
      </x:c>
      <x:c r="P1789" s="12" t="str">
        <x:v>CORP-0526, CORP-0527, CORP-0528, CORP-0529, CORP-0530, CORP-0531, CORP-0532, CORP-0533, CORP-0534, CORP-0535, CORP-0536, CORP-0537</x:v>
      </x:c>
      <x:c r="Q1789" s="12" t="str">
        <x:v>Nike</x:v>
      </x:c>
    </x:row>
    <x:row r="1790" ht="48" customHeight="1">
      <x:c r="A1790" s="2" t="str">
        <x:v>TEN-5EB562386662</x:v>
      </x:c>
      <x:c r="B1790" s="12" t="str">
        <x:v>Nimbus Maritime Services</x:v>
      </x:c>
      <x:c r="C1790" s="12" t="str">
        <x:v>Business / brand</x:v>
      </x:c>
      <x:c r="D1790" s="12" t="str">
        <x:v>Trade, consumer &amp; logistics</x:v>
      </x:c>
      <x:c r="E1790" s="12" t="str">
        <x:v>Logistics, shipping &amp; transport</x:v>
      </x:c>
      <x:c r="F1790" s="12" t="str">
        <x:v>Medium-scale prospects</x:v>
      </x:c>
      <x:c r="G1790" s="12" t="str">
        <x:v>Specialist logistics or transport business; medium-scale prospect assumption.</x:v>
      </x:c>
      <x:c r="H1790" s="11" t="n">
        <x:v>2</x:v>
      </x:c>
      <x:c r="I1790" s="11" t="n">
        <x:v>2</x:v>
      </x:c>
      <x:c r="J1790" s="11" t="n">
        <x:v>2</x:v>
      </x:c>
      <x:c r="K1790" s="11" t="n">
        <x:v>0</x:v>
      </x:c>
      <x:c r="L1790" s="17" t="n">
        <x:f>SUM(SUMIFS('Costing'!$P$9:$P$492,'Costing'!$A$9:$A$492,"PARTNER-M241"))</x:f>
        <x:v>80000</x:v>
      </x:c>
      <x:c r="M1790" s="17" t="n">
        <x:f>ROUND(L1790*'Costing'!$C$4,2)</x:f>
        <x:v>14400</x:v>
      </x:c>
      <x:c r="N1790" s="17" t="n">
        <x:f>L1790+M1790</x:f>
        <x:v>94400</x:v>
      </x:c>
      <x:c r="O1790" s="12" t="str">
        <x:v>Mumbai</x:v>
      </x:c>
      <x:c r="P1790" s="12" t="str">
        <x:v>CORP-0658, CORP-0659</x:v>
      </x:c>
      <x:c r="Q1790" s="12" t="str">
        <x:v>Nimbus Maritime Services</x:v>
      </x:c>
    </x:row>
    <x:row r="1791" ht="48" customHeight="1">
      <x:c r="A1791" s="2" t="str">
        <x:v>TEN-AC2044857CE7</x:v>
      </x:c>
      <x:c r="B1791" s="12" t="str">
        <x:v>Nippon Paint</x:v>
      </x:c>
      <x:c r="C1791" s="12" t="str">
        <x:v>Business / brand</x:v>
      </x:c>
      <x:c r="D1791" s="12" t="str">
        <x:v>Engineering &amp; manufacturing</x:v>
      </x:c>
      <x:c r="E1791" s="12" t="str">
        <x:v>Chemicals, materials &amp; industrial manufacturing</x:v>
      </x:c>
      <x:c r="F1791" s="12" t="str">
        <x:v>Mixed business audience</x:v>
      </x:c>
      <x:c r="G1791" s="12" t="str">
        <x:v>Recognisable business context; company-scale evidence remains insufficient for a single size band.</x:v>
      </x:c>
      <x:c r="H1791" s="11" t="n">
        <x:v>2</x:v>
      </x:c>
      <x:c r="I1791" s="11" t="n">
        <x:v>2</x:v>
      </x:c>
      <x:c r="J1791" s="11" t="n">
        <x:v>2</x:v>
      </x:c>
      <x:c r="K1791" s="11" t="n">
        <x:v>0</x:v>
      </x:c>
      <x:c r="L1791" s="17" t="n">
        <x:f>SUM(SUMIFS('Costing'!$P$9:$P$492,'Costing'!$A$9:$A$492,"PARTNER-M338"))</x:f>
        <x:v>80000</x:v>
      </x:c>
      <x:c r="M1791" s="17" t="n">
        <x:f>ROUND(L1791*'Costing'!$C$4,2)</x:f>
        <x:v>14400</x:v>
      </x:c>
      <x:c r="N1791" s="17" t="n">
        <x:f>L1791+M1791</x:f>
        <x:v>94400</x:v>
      </x:c>
      <x:c r="O1791" s="12" t="str">
        <x:v>Chennai</x:v>
      </x:c>
      <x:c r="P1791" s="12" t="str">
        <x:v>CORP-0752, CORP-0753</x:v>
      </x:c>
      <x:c r="Q1791" s="12" t="str">
        <x:v>Nippon Paint</x:v>
      </x:c>
    </x:row>
    <x:row r="1792" ht="48" customHeight="1">
      <x:c r="A1792" s="2" t="str">
        <x:v>TEN-93A2EEF4D997</x:v>
      </x:c>
      <x:c r="B1792" s="12" t="str">
        <x:v>Nirman productions Pvt Ltd</x:v>
      </x:c>
      <x:c r="C1792" s="12" t="str">
        <x:v>Business / brand</x:v>
      </x:c>
      <x:c r="D1792" s="12" t="str">
        <x:v>Trade, consumer &amp; logistics</x:v>
      </x:c>
      <x:c r="E1792" s="12" t="str">
        <x:v>Entertainment, media &amp; events</x:v>
      </x:c>
      <x:c r="F1792" s="12" t="str">
        <x:v>Small-scale prospects</x:v>
      </x:c>
      <x:c r="G1792" s="12" t="str">
        <x:v>Trading or consumer-services business; small-scale prospect assumption.</x:v>
      </x:c>
      <x:c r="H1792" s="11" t="n">
        <x:v>1</x:v>
      </x:c>
      <x:c r="I1792" s="11" t="n">
        <x:v>1</x:v>
      </x:c>
      <x:c r="J1792" s="11" t="n">
        <x:v>1</x:v>
      </x:c>
      <x:c r="K1792" s="11" t="n">
        <x:v>0</x:v>
      </x:c>
      <x:c r="L1792" s="17" t="n">
        <x:f>SUM(SUMIFS('Costing'!$P$9:$P$492,'Costing'!$A$9:$A$492,"MAIN-300"))</x:f>
        <x:v>15000</x:v>
      </x:c>
      <x:c r="M1792" s="17" t="n">
        <x:f>ROUND(L1792*'Costing'!$C$4,2)</x:f>
        <x:v>2700</x:v>
      </x:c>
      <x:c r="N1792" s="17" t="n">
        <x:f>L1792+M1792</x:f>
        <x:v>17700</x:v>
      </x:c>
      <x:c r="O1792" s="12" t="str">
        <x:v>Mumbai</x:v>
      </x:c>
      <x:c r="P1792" s="12" t="str">
        <x:v>CORP-0296</x:v>
      </x:c>
      <x:c r="Q1792" s="12" t="str">
        <x:v>Nirman productions Pvt Ltd</x:v>
      </x:c>
    </x:row>
    <x:row r="1793" ht="48" customHeight="1">
      <x:c r="A1793" s="2" t="str">
        <x:v>TEN-427F056730B2</x:v>
      </x:c>
      <x:c r="B1793" s="12" t="str">
        <x:v>Nirvasa Healthcare</x:v>
      </x:c>
      <x:c r="C1793" s="12" t="str">
        <x:v>Business / brand</x:v>
      </x:c>
      <x:c r="D1793" s="12" t="str">
        <x:v>Healthcare &amp; life sciences</x:v>
      </x:c>
      <x:c r="E1793" s="12" t="str">
        <x:v>Clinical, medical &amp; diagnostic services</x:v>
      </x:c>
      <x:c r="F1793" s="12" t="str">
        <x:v>Small-scale prospects</x:v>
      </x:c>
      <x:c r="G1793" s="12" t="str">
        <x:v>Healthcare services business; small-scale prospect assumption.</x:v>
      </x:c>
      <x:c r="H1793" s="11" t="n">
        <x:v>5</x:v>
      </x:c>
      <x:c r="I1793" s="11" t="n">
        <x:v>5</x:v>
      </x:c>
      <x:c r="J1793" s="11" t="n">
        <x:v>5</x:v>
      </x:c>
      <x:c r="K1793" s="11" t="n">
        <x:v>0</x:v>
      </x:c>
      <x:c r="L1793" s="17" t="n">
        <x:f>SUM(SUMIFS('Costing'!$P$9:$P$492,'Costing'!$A$9:$A$492,"PARTNER-M353"))</x:f>
        <x:v>200000</x:v>
      </x:c>
      <x:c r="M1793" s="17" t="n">
        <x:f>ROUND(L1793*'Costing'!$C$4,2)</x:f>
        <x:v>36000</x:v>
      </x:c>
      <x:c r="N1793" s="17" t="n">
        <x:f>L1793+M1793</x:f>
        <x:v>236000</x:v>
      </x:c>
      <x:c r="O1793" s="12" t="str">
        <x:v>Delhi NCR</x:v>
      </x:c>
      <x:c r="P1793" s="12" t="str">
        <x:v>CORP-0766, CORP-0767, CORP-0768, CORP-0769, CORP-0770</x:v>
      </x:c>
      <x:c r="Q1793" s="12" t="str">
        <x:v>Nirvasa Healthcare</x:v>
      </x:c>
    </x:row>
    <x:row r="1794" ht="48" customHeight="1">
      <x:c r="A1794" s="2" t="str">
        <x:v>TEN-3BF04266C40F</x:v>
      </x:c>
      <x:c r="B1794" s="12" t="str">
        <x:v>Nirvasa Healthcare Pvt. Ltd</x:v>
      </x:c>
      <x:c r="C1794" s="12" t="str">
        <x:v>Business / brand</x:v>
      </x:c>
      <x:c r="D1794" s="12" t="str">
        <x:v>Healthcare &amp; life sciences</x:v>
      </x:c>
      <x:c r="E1794" s="12" t="str">
        <x:v>Clinical, medical &amp; diagnostic services</x:v>
      </x:c>
      <x:c r="F1794" s="12" t="str">
        <x:v>Small-scale prospects</x:v>
      </x:c>
      <x:c r="G1794" s="12" t="str">
        <x:v>Healthcare services business; small-scale prospect assumption.</x:v>
      </x:c>
      <x:c r="H1794" s="11" t="n">
        <x:v>1</x:v>
      </x:c>
      <x:c r="I1794" s="11" t="n">
        <x:v>5</x:v>
      </x:c>
      <x:c r="J1794" s="11" t="n">
        <x:v>5</x:v>
      </x:c>
      <x:c r="K1794" s="11" t="n">
        <x:v>0</x:v>
      </x:c>
      <x:c r="L1794" s="17" t="n">
        <x:f>SUM(SUMIFS('Costing'!$P$9:$P$492,'Costing'!$A$9:$A$492,"MAIN-196"))</x:f>
        <x:v>200000</x:v>
      </x:c>
      <x:c r="M1794" s="17" t="n">
        <x:f>ROUND(L1794*'Costing'!$C$4,2)</x:f>
        <x:v>36000</x:v>
      </x:c>
      <x:c r="N1794" s="17" t="n">
        <x:f>L1794+M1794</x:f>
        <x:v>236000</x:v>
      </x:c>
      <x:c r="O1794" s="12" t="str">
        <x:v>Delhi NCR</x:v>
      </x:c>
      <x:c r="P1794" s="12" t="str">
        <x:v>CORP-0192</x:v>
      </x:c>
      <x:c r="Q1794" s="12" t="str">
        <x:v>Nirvasa Healthcare Pvt. Ltd</x:v>
      </x:c>
    </x:row>
    <x:row r="1795" ht="48" customHeight="1">
      <x:c r="A1795" s="2" t="str">
        <x:v>TEN-55FE7B7567AF</x:v>
      </x:c>
      <x:c r="B1795" s="12" t="str">
        <x:v>Nirvigna.com</x:v>
      </x:c>
      <x:c r="C1795" s="12" t="str">
        <x:v>Business / brand</x:v>
      </x:c>
      <x:c r="D1795" s="12" t="str">
        <x:v>Unresolved</x:v>
      </x:c>
      <x:c r="E1795" s="12" t="str">
        <x:v>Business activity not established</x:v>
      </x:c>
      <x:c r="F1795" s="12" t="str">
        <x:v>Mixed business audience</x:v>
      </x:c>
      <x:c r="G1795" s="12" t="str">
        <x:v>Business activity and company scale are not established from this name.</x:v>
      </x:c>
      <x:c r="H1795" s="11" t="n">
        <x:v>2</x:v>
      </x:c>
      <x:c r="I1795" s="11" t="n">
        <x:v>2</x:v>
      </x:c>
      <x:c r="J1795" s="11" t="n">
        <x:v>2</x:v>
      </x:c>
      <x:c r="K1795" s="11" t="n">
        <x:v>0</x:v>
      </x:c>
      <x:c r="L1795" s="17" t="n">
        <x:f>SUM(SUMIFS('Costing'!$P$9:$P$492,'Costing'!$A$9:$A$492,"PARTNER-M065"))</x:f>
        <x:v>80000</x:v>
      </x:c>
      <x:c r="M1795" s="17" t="n">
        <x:f>ROUND(L1795*'Costing'!$C$4,2)</x:f>
        <x:v>14400</x:v>
      </x:c>
      <x:c r="N1795" s="17" t="n">
        <x:f>L1795+M1795</x:f>
        <x:v>94400</x:v>
      </x:c>
      <x:c r="O1795" s="12" t="str">
        <x:v>Bengaluru</x:v>
      </x:c>
      <x:c r="P1795" s="12" t="str">
        <x:v>CORP-0483, CORP-0484</x:v>
      </x:c>
      <x:c r="Q1795" s="12" t="str">
        <x:v>Nirvigna.com</x:v>
      </x:c>
    </x:row>
    <x:row r="1796" ht="48" customHeight="1">
      <x:c r="A1796" s="2" t="str">
        <x:v>TEN-81D3880C31B1</x:v>
      </x:c>
      <x:c r="B1796" s="12" t="str">
        <x:v>Nisent Global Solutions Pvt. Ltd</x:v>
      </x:c>
      <x:c r="C1796" s="12" t="str">
        <x:v>Business / brand</x:v>
      </x:c>
      <x:c r="D1796" s="12" t="str">
        <x:v>Unresolved</x:v>
      </x:c>
      <x:c r="E1796" s="12" t="str">
        <x:v>Business activity not established</x:v>
      </x:c>
      <x:c r="F1796" s="12" t="str">
        <x:v>Mixed business audience</x:v>
      </x:c>
      <x:c r="G1796" s="12" t="str">
        <x:v>Business activity and company scale are not established from this name.</x:v>
      </x:c>
      <x:c r="H1796" s="11" t="n">
        <x:v>4</x:v>
      </x:c>
      <x:c r="I1796" s="11" t="n">
        <x:v>4</x:v>
      </x:c>
      <x:c r="J1796" s="11" t="n">
        <x:v>4</x:v>
      </x:c>
      <x:c r="K1796" s="11" t="n">
        <x:v>0</x:v>
      </x:c>
      <x:c r="L1796" s="17" t="n">
        <x:f>SUM(SUMIFS('Costing'!$P$9:$P$492,'Costing'!$A$9:$A$492,"PARTNER-M056"))</x:f>
        <x:v>160000</x:v>
      </x:c>
      <x:c r="M1796" s="17" t="n">
        <x:f>ROUND(L1796*'Costing'!$C$4,2)</x:f>
        <x:v>28800</x:v>
      </x:c>
      <x:c r="N1796" s="17" t="n">
        <x:f>L1796+M1796</x:f>
        <x:v>188800</x:v>
      </x:c>
      <x:c r="O1796" s="12" t="str">
        <x:v>Bengaluru</x:v>
      </x:c>
      <x:c r="P1796" s="12" t="str">
        <x:v>CORP-0474, CORP-0475, CORP-0476, CORP-0477</x:v>
      </x:c>
      <x:c r="Q1796" s="12" t="str">
        <x:v>Nisent Global Solutions Pvt. Ltd</x:v>
      </x:c>
    </x:row>
    <x:row r="1797" ht="49" customHeight="1">
      <x:c r="A1797" s="2" t="str">
        <x:v>TEN-AD63796AF1FB</x:v>
      </x:c>
      <x:c r="B1797" s="12" t="str">
        <x:v>Nishith Desai Associates</x:v>
      </x:c>
      <x:c r="C1797" s="12" t="str">
        <x:v>Business / brand</x:v>
      </x:c>
      <x:c r="D1797" s="12" t="str">
        <x:v>Professional services</x:v>
      </x:c>
      <x:c r="E1797" s="12" t="str">
        <x:v>Legal &amp; intellectual property</x:v>
      </x:c>
      <x:c r="F1797" s="12" t="str">
        <x:v>Large enterprise</x:v>
      </x:c>
      <x:c r="G1797" s="12" t="str">
        <x:v>Multi-office international law-firm context supports an enterprise-audience estimate. The estimate describes the firm network, not statutory MSME status.</x:v>
      </x:c>
      <x:c r="H1797" s="11" t="n">
        <x:v>11</x:v>
      </x:c>
      <x:c r="I1797" s="11" t="n">
        <x:v>11</x:v>
      </x:c>
      <x:c r="J1797" s="11" t="n">
        <x:v>11</x:v>
      </x:c>
      <x:c r="K1797" s="11" t="n">
        <x:v>0</x:v>
      </x:c>
      <x:c r="L1797" s="17" t="n">
        <x:f>SUM(SUMIFS('Costing'!$P$9:$P$492,'Costing'!$A$9:$A$492,"PARTNER-M082"))</x:f>
        <x:v>440000</x:v>
      </x:c>
      <x:c r="M1797" s="17" t="n">
        <x:f>ROUND(L1797*'Costing'!$C$4,2)</x:f>
        <x:v>79200</x:v>
      </x:c>
      <x:c r="N1797" s="17" t="n">
        <x:f>L1797+M1797</x:f>
        <x:v>519200</x:v>
      </x:c>
      <x:c r="O1797" s="12" t="str">
        <x:v>Bengaluru</x:v>
      </x:c>
      <x:c r="P1797" s="12" t="str">
        <x:v>CORP-0500, CORP-0501, CORP-0502, CORP-0503, CORP-0504, CORP-0505, CORP-0506, CORP-0507, CORP-0508, CORP-0509, CORP-0510</x:v>
      </x:c>
      <x:c r="Q1797" s="12" t="str">
        <x:v>Nishith Desai Associates</x:v>
      </x:c>
    </x:row>
    <x:row r="1798" ht="48" customHeight="1">
      <x:c r="A1798" s="2" t="str">
        <x:v>TEN-9EA031381EA9</x:v>
      </x:c>
      <x:c r="B1798" s="12" t="str">
        <x:v>Nissin ABC Logistics Pvt. LTD</x:v>
      </x:c>
      <x:c r="C1798" s="12" t="str">
        <x:v>Business / brand</x:v>
      </x:c>
      <x:c r="D1798" s="12" t="str">
        <x:v>Trade, consumer &amp; logistics</x:v>
      </x:c>
      <x:c r="E1798" s="12" t="str">
        <x:v>Logistics, shipping &amp; transport</x:v>
      </x:c>
      <x:c r="F1798" s="12" t="str">
        <x:v>Mixed business audience</x:v>
      </x:c>
      <x:c r="G1798" s="12" t="str">
        <x:v>Established brand or business network; local company scale is not established. Use a mixed-business message.</x:v>
      </x:c>
      <x:c r="H1798" s="11" t="n">
        <x:v>2</x:v>
      </x:c>
      <x:c r="I1798" s="11" t="n">
        <x:v>4</x:v>
      </x:c>
      <x:c r="J1798" s="11" t="n">
        <x:v>4</x:v>
      </x:c>
      <x:c r="K1798" s="11" t="n">
        <x:v>0</x:v>
      </x:c>
      <x:c r="L1798" s="17" t="n">
        <x:f>SUM(SUMIFS('Costing'!$P$9:$P$492,'Costing'!$A$9:$A$492,"MAIN-183"),SUMIFS('Costing'!$P$9:$P$492,'Costing'!$A$9:$A$492,"MAIN-184"))</x:f>
        <x:v>75000</x:v>
      </x:c>
      <x:c r="M1798" s="17" t="n">
        <x:f>ROUND(L1798*'Costing'!$C$4,2)</x:f>
        <x:v>13500</x:v>
      </x:c>
      <x:c r="N1798" s="17" t="n">
        <x:f>L1798+M1798</x:f>
        <x:v>88500</x:v>
      </x:c>
      <x:c r="O1798" s="12" t="str">
        <x:v>Delhi NCR</x:v>
      </x:c>
      <x:c r="P1798" s="12" t="str">
        <x:v>CORP-0179, CORP-0180</x:v>
      </x:c>
      <x:c r="Q1798" s="12" t="str">
        <x:v>Nissin ABC Logistics Pvt. LTD</x:v>
      </x:c>
    </x:row>
    <x:row r="1799" ht="48" customHeight="1">
      <x:c r="A1799" s="2" t="str">
        <x:v>TEN-3494B3B134A1</x:v>
      </x:c>
      <x:c r="B1799" s="12" t="str">
        <x:v>Nitya IT Solution</x:v>
      </x:c>
      <x:c r="C1799" s="12" t="str">
        <x:v>Business / brand</x:v>
      </x:c>
      <x:c r="D1799" s="12" t="str">
        <x:v>Unresolved</x:v>
      </x:c>
      <x:c r="E1799" s="12" t="str">
        <x:v>Business activity not established</x:v>
      </x:c>
      <x:c r="F1799" s="12" t="str">
        <x:v>Mixed business audience</x:v>
      </x:c>
      <x:c r="G1799" s="12" t="str">
        <x:v>Business activity and company scale are not established from this name.</x:v>
      </x:c>
      <x:c r="H1799" s="11" t="n">
        <x:v>1</x:v>
      </x:c>
      <x:c r="I1799" s="11" t="n">
        <x:v>1</x:v>
      </x:c>
      <x:c r="J1799" s="11" t="n">
        <x:v>1</x:v>
      </x:c>
      <x:c r="K1799" s="11" t="n">
        <x:v>0</x:v>
      </x:c>
      <x:c r="L1799" s="17" t="n">
        <x:f>SUM(SUMIFS('Costing'!$P$9:$P$492,'Costing'!$A$9:$A$492,"MAIN-410"))</x:f>
        <x:v>15000</x:v>
      </x:c>
      <x:c r="M1799" s="17" t="n">
        <x:f>ROUND(L1799*'Costing'!$C$4,2)</x:f>
        <x:v>2700</x:v>
      </x:c>
      <x:c r="N1799" s="17" t="n">
        <x:f>L1799+M1799</x:f>
        <x:v>17700</x:v>
      </x:c>
      <x:c r="O1799" s="12" t="str">
        <x:v>Pune</x:v>
      </x:c>
      <x:c r="P1799" s="12" t="str">
        <x:v>CORP-0406</x:v>
      </x:c>
      <x:c r="Q1799" s="12" t="str">
        <x:v>Nitya IT Solution</x:v>
      </x:c>
    </x:row>
    <x:row r="1800" ht="48" customHeight="1">
      <x:c r="A1800" s="2" t="str">
        <x:v>TEN-2D6265593158</x:v>
      </x:c>
      <x:c r="B1800" s="12" t="str">
        <x:v>Niva Bupa Health Insurance Company Limited</x:v>
      </x:c>
      <x:c r="C1800" s="12" t="str">
        <x:v>Business / brand</x:v>
      </x:c>
      <x:c r="D1800" s="12" t="str">
        <x:v>Finance &amp; insurance</x:v>
      </x:c>
      <x:c r="E1800" s="12" t="str">
        <x:v>Insurance &amp; insurance services</x:v>
      </x:c>
      <x:c r="F1800" s="12" t="str">
        <x:v>Mixed business audience</x:v>
      </x:c>
      <x:c r="G1800" s="12" t="str">
        <x:v>Recognisable business context; company-scale evidence remains insufficient for a single size band.</x:v>
      </x:c>
      <x:c r="H1800" s="11" t="n">
        <x:v>2</x:v>
      </x:c>
      <x:c r="I1800" s="11" t="n">
        <x:v>6</x:v>
      </x:c>
      <x:c r="J1800" s="11" t="n">
        <x:v>6</x:v>
      </x:c>
      <x:c r="K1800" s="11" t="n">
        <x:v>0</x:v>
      </x:c>
      <x:c r="L1800" s="17" t="n">
        <x:f>SUM(SUMIFS('Costing'!$P$9:$P$492,'Costing'!$A$9:$A$492,"MAIN-374"),SUMIFS('Costing'!$P$9:$P$492,'Costing'!$A$9:$A$492,"MAIN-375"))</x:f>
        <x:v>140000</x:v>
      </x:c>
      <x:c r="M1800" s="17" t="n">
        <x:f>ROUND(L1800*'Costing'!$C$4,2)</x:f>
        <x:v>25200</x:v>
      </x:c>
      <x:c r="N1800" s="17" t="n">
        <x:f>L1800+M1800</x:f>
        <x:v>165200</x:v>
      </x:c>
      <x:c r="O1800" s="12" t="str">
        <x:v>Delhi NCR</x:v>
      </x:c>
      <x:c r="P1800" s="12" t="str">
        <x:v>CORP-0370, CORP-0371</x:v>
      </x:c>
      <x:c r="Q1800" s="12" t="str">
        <x:v>Niva Bupa Health Insurance Company Limited</x:v>
      </x:c>
    </x:row>
    <x:row r="1801" ht="48" customHeight="1">
      <x:c r="A1801" s="2" t="str">
        <x:v>TEN-87E3DB70689A</x:v>
      </x:c>
      <x:c r="B1801" s="12" t="str">
        <x:v>NK COMPUTER CLASSES</x:v>
      </x:c>
      <x:c r="C1801" s="12" t="str">
        <x:v>Business / brand</x:v>
      </x:c>
      <x:c r="D1801" s="12" t="str">
        <x:v>Education</x:v>
      </x:c>
      <x:c r="E1801" s="12" t="str">
        <x:v>Education, training &amp; childcare</x:v>
      </x:c>
      <x:c r="F1801" s="12" t="str">
        <x:v>Small-scale prospects</x:v>
      </x:c>
      <x:c r="G1801" s="12" t="str">
        <x:v>Training or education-services business; small-scale prospect assumption.</x:v>
      </x:c>
      <x:c r="H1801" s="11" t="n">
        <x:v>1</x:v>
      </x:c>
      <x:c r="I1801" s="11" t="n">
        <x:v>2</x:v>
      </x:c>
      <x:c r="J1801" s="11" t="n">
        <x:v>2</x:v>
      </x:c>
      <x:c r="K1801" s="11" t="n">
        <x:v>0</x:v>
      </x:c>
      <x:c r="L1801" s="17" t="n">
        <x:f>SUM(SUMIFS('Costing'!$P$9:$P$492,'Costing'!$A$9:$A$492,"MAIN-207"))</x:f>
        <x:v>80000</x:v>
      </x:c>
      <x:c r="M1801" s="17" t="n">
        <x:f>ROUND(L1801*'Costing'!$C$4,2)</x:f>
        <x:v>14400</x:v>
      </x:c>
      <x:c r="N1801" s="17" t="n">
        <x:f>L1801+M1801</x:f>
        <x:v>94400</x:v>
      </x:c>
      <x:c r="O1801" s="12" t="str">
        <x:v>Delhi NCR</x:v>
      </x:c>
      <x:c r="P1801" s="12" t="str">
        <x:v>CORP-0203</x:v>
      </x:c>
      <x:c r="Q1801" s="12" t="str">
        <x:v>NK COMPUTER CLASSES</x:v>
      </x:c>
    </x:row>
    <x:row r="1802" ht="48" customHeight="1">
      <x:c r="A1802" s="2" t="str">
        <x:v>TEN-2F13FED7698A</x:v>
      </x:c>
      <x:c r="B1802" s="12" t="str">
        <x:v>NK Realtors</x:v>
      </x:c>
      <x:c r="C1802" s="12" t="str">
        <x:v>Business / brand</x:v>
      </x:c>
      <x:c r="D1802" s="12" t="str">
        <x:v>Trade, consumer &amp; logistics</x:v>
      </x:c>
      <x:c r="E1802" s="12" t="str">
        <x:v>Real estate, property &amp; construction services</x:v>
      </x:c>
      <x:c r="F1802" s="12" t="str">
        <x:v>Small-scale prospects</x:v>
      </x:c>
      <x:c r="G1802" s="12" t="str">
        <x:v>Trading or consumer-services business; small-scale prospect assumption.</x:v>
      </x:c>
      <x:c r="H1802" s="11" t="n">
        <x:v>1</x:v>
      </x:c>
      <x:c r="I1802" s="11" t="n">
        <x:v>2</x:v>
      </x:c>
      <x:c r="J1802" s="11" t="n">
        <x:v>2</x:v>
      </x:c>
      <x:c r="K1802" s="11" t="n">
        <x:v>0</x:v>
      </x:c>
      <x:c r="L1802" s="17" t="n">
        <x:f>SUM(SUMIFS('Costing'!$P$9:$P$492,'Costing'!$A$9:$A$492,"MAIN-032"))</x:f>
        <x:v>30000</x:v>
      </x:c>
      <x:c r="M1802" s="17" t="n">
        <x:f>ROUND(L1802*'Costing'!$C$4,2)</x:f>
        <x:v>5400</x:v>
      </x:c>
      <x:c r="N1802" s="17" t="n">
        <x:f>L1802+M1802</x:f>
        <x:v>35400</x:v>
      </x:c>
      <x:c r="O1802" s="12" t="str">
        <x:v>Bengaluru</x:v>
      </x:c>
      <x:c r="P1802" s="12" t="str">
        <x:v>CORP-0028</x:v>
      </x:c>
      <x:c r="Q1802" s="12" t="str">
        <x:v>NK Realtors</x:v>
      </x:c>
    </x:row>
    <x:row r="1803" ht="48" customHeight="1">
      <x:c r="A1803" s="2" t="str">
        <x:v>TEN-B01D8FD40501</x:v>
      </x:c>
      <x:c r="B1803" s="12" t="str">
        <x:v>NL Transportation pvt ltd</x:v>
      </x:c>
      <x:c r="C1803" s="12" t="str">
        <x:v>Business / brand</x:v>
      </x:c>
      <x:c r="D1803" s="12" t="str">
        <x:v>Trade, consumer &amp; logistics</x:v>
      </x:c>
      <x:c r="E1803" s="12" t="str">
        <x:v>Logistics, shipping &amp; transport</x:v>
      </x:c>
      <x:c r="F1803" s="12" t="str">
        <x:v>Medium-scale prospects</x:v>
      </x:c>
      <x:c r="G1803" s="12" t="str">
        <x:v>Specialist logistics or transport business; medium-scale prospect assumption.</x:v>
      </x:c>
      <x:c r="H1803" s="11" t="n">
        <x:v>1</x:v>
      </x:c>
      <x:c r="I1803" s="11" t="n">
        <x:v>2</x:v>
      </x:c>
      <x:c r="J1803" s="11" t="n">
        <x:v>2</x:v>
      </x:c>
      <x:c r="K1803" s="11" t="n">
        <x:v>0</x:v>
      </x:c>
      <x:c r="L1803" s="17" t="n">
        <x:f>SUM(SUMIFS('Costing'!$P$9:$P$492,'Costing'!$A$9:$A$492,"MAIN-017"))</x:f>
        <x:v>30000</x:v>
      </x:c>
      <x:c r="M1803" s="17" t="n">
        <x:f>ROUND(L1803*'Costing'!$C$4,2)</x:f>
        <x:v>5400</x:v>
      </x:c>
      <x:c r="N1803" s="17" t="n">
        <x:f>L1803+M1803</x:f>
        <x:v>35400</x:v>
      </x:c>
      <x:c r="O1803" s="12" t="str">
        <x:v>Bengaluru</x:v>
      </x:c>
      <x:c r="P1803" s="12" t="str">
        <x:v>CORP-0013</x:v>
      </x:c>
      <x:c r="Q1803" s="12" t="str">
        <x:v>NL Transportation pvt ltd</x:v>
      </x:c>
    </x:row>
    <x:row r="1804" ht="48" customHeight="1">
      <x:c r="A1804" s="2" t="str">
        <x:v>TEN-6C506FB53136</x:v>
      </x:c>
      <x:c r="B1804" s="12" t="str">
        <x:v>Nobis Technologies Pvt. Ltd</x:v>
      </x:c>
      <x:c r="C1804" s="12" t="str">
        <x:v>Business / brand</x:v>
      </x:c>
      <x:c r="D1804" s="12" t="str">
        <x:v>Unresolved</x:v>
      </x:c>
      <x:c r="E1804" s="12" t="str">
        <x:v>Business activity not established</x:v>
      </x:c>
      <x:c r="F1804" s="12" t="str">
        <x:v>Mixed business audience</x:v>
      </x:c>
      <x:c r="G1804" s="12" t="str">
        <x:v>Business activity and company scale are not established from this name.</x:v>
      </x:c>
      <x:c r="H1804" s="11" t="n">
        <x:v>1</x:v>
      </x:c>
      <x:c r="I1804" s="11" t="n">
        <x:v>12</x:v>
      </x:c>
      <x:c r="J1804" s="11" t="n">
        <x:v>12</x:v>
      </x:c>
      <x:c r="K1804" s="11" t="n">
        <x:v>0</x:v>
      </x:c>
      <x:c r="L1804" s="17" t="n">
        <x:f>SUM(SUMIFS('Costing'!$P$9:$P$492,'Costing'!$A$9:$A$492,"MAIN-362"))</x:f>
        <x:v>300000</x:v>
      </x:c>
      <x:c r="M1804" s="17" t="n">
        <x:f>ROUND(L1804*'Costing'!$C$4,2)</x:f>
        <x:v>54000</x:v>
      </x:c>
      <x:c r="N1804" s="17" t="n">
        <x:f>L1804+M1804</x:f>
        <x:v>354000</x:v>
      </x:c>
      <x:c r="O1804" s="12" t="str">
        <x:v>Mumbai</x:v>
      </x:c>
      <x:c r="P1804" s="12" t="str">
        <x:v>CORP-0358</x:v>
      </x:c>
      <x:c r="Q1804" s="12" t="str">
        <x:v>Nobis Technologies Pvt. Ltd</x:v>
      </x:c>
    </x:row>
    <x:row r="1805" ht="48" customHeight="1">
      <x:c r="A1805" s="2" t="str">
        <x:v>TEN-B0F2A2BD7A3C</x:v>
      </x:c>
      <x:c r="B1805" s="12" t="str">
        <x:v>Noborders</x:v>
      </x:c>
      <x:c r="C1805" s="12" t="str">
        <x:v>Business / brand</x:v>
      </x:c>
      <x:c r="D1805" s="12" t="str">
        <x:v>Unresolved</x:v>
      </x:c>
      <x:c r="E1805" s="12" t="str">
        <x:v>Business activity not established</x:v>
      </x:c>
      <x:c r="F1805" s="12" t="str">
        <x:v>Mixed business audience</x:v>
      </x:c>
      <x:c r="G1805" s="12" t="str">
        <x:v>Business activity and company scale are not established from this name.</x:v>
      </x:c>
      <x:c r="H1805" s="11" t="n">
        <x:v>1</x:v>
      </x:c>
      <x:c r="I1805" s="11" t="n">
        <x:v>1</x:v>
      </x:c>
      <x:c r="J1805" s="11" t="n">
        <x:v>1</x:v>
      </x:c>
      <x:c r="K1805" s="11" t="n">
        <x:v>0</x:v>
      </x:c>
      <x:c r="L1805" s="17" t="n">
        <x:f>SUM(SUMIFS('Costing'!$P$9:$P$492,'Costing'!$A$9:$A$492,"MAIN-266"))</x:f>
        <x:v>20000</x:v>
      </x:c>
      <x:c r="M1805" s="17" t="n">
        <x:f>ROUND(L1805*'Costing'!$C$4,2)</x:f>
        <x:v>3600</x:v>
      </x:c>
      <x:c r="N1805" s="17" t="n">
        <x:f>L1805+M1805</x:f>
        <x:v>23600</x:v>
      </x:c>
      <x:c r="O1805" s="12" t="str">
        <x:v>Indore</x:v>
      </x:c>
      <x:c r="P1805" s="12" t="str">
        <x:v>CORP-0262</x:v>
      </x:c>
      <x:c r="Q1805" s="12" t="str">
        <x:v>Noborders</x:v>
      </x:c>
    </x:row>
    <x:row r="1806" ht="48" customHeight="1">
      <x:c r="A1806" s="2" t="str">
        <x:v>TEN-D34D1901D9D3</x:v>
      </x:c>
      <x:c r="B1806" s="12" t="str">
        <x:v>NoBroker</x:v>
      </x:c>
      <x:c r="C1806" s="12" t="str">
        <x:v>Business / brand</x:v>
      </x:c>
      <x:c r="D1806" s="12" t="str">
        <x:v>Trade, consumer &amp; logistics</x:v>
      </x:c>
      <x:c r="E1806" s="12" t="str">
        <x:v>Real estate, property &amp; construction services</x:v>
      </x:c>
      <x:c r="F1806" s="12" t="str">
        <x:v>Mixed business audience</x:v>
      </x:c>
      <x:c r="G1806" s="12" t="str">
        <x:v>Recognisable business context; company-scale evidence remains insufficient for a single size band.</x:v>
      </x:c>
      <x:c r="H1806" s="11" t="n">
        <x:v>1</x:v>
      </x:c>
      <x:c r="I1806" s="11" t="n">
        <x:v>1</x:v>
      </x:c>
      <x:c r="J1806" s="11" t="n">
        <x:v>1</x:v>
      </x:c>
      <x:c r="K1806" s="11" t="n">
        <x:v>0</x:v>
      </x:c>
      <x:c r="L1806" s="17" t="n">
        <x:f>SUM(SUMIFS('Costing'!$P$9:$P$492,'Costing'!$A$9:$A$492,"MAIN-321"))</x:f>
        <x:v>15000</x:v>
      </x:c>
      <x:c r="M1806" s="17" t="n">
        <x:f>ROUND(L1806*'Costing'!$C$4,2)</x:f>
        <x:v>2700</x:v>
      </x:c>
      <x:c r="N1806" s="17" t="n">
        <x:f>L1806+M1806</x:f>
        <x:v>17700</x:v>
      </x:c>
      <x:c r="O1806" s="12" t="str">
        <x:v>Mumbai</x:v>
      </x:c>
      <x:c r="P1806" s="12" t="str">
        <x:v>CORP-0317</x:v>
      </x:c>
      <x:c r="Q1806" s="12" t="str">
        <x:v>NoBroker</x:v>
      </x:c>
    </x:row>
    <x:row r="1807" ht="48" customHeight="1">
      <x:c r="A1807" s="2" t="str">
        <x:v>TEN-883B582891E2</x:v>
      </x:c>
      <x:c r="B1807" s="12" t="str">
        <x:v>Nodesec</x:v>
      </x:c>
      <x:c r="C1807" s="12" t="str">
        <x:v>Business / brand</x:v>
      </x:c>
      <x:c r="D1807" s="12" t="str">
        <x:v>Unresolved</x:v>
      </x:c>
      <x:c r="E1807" s="12" t="str">
        <x:v>Business activity not established</x:v>
      </x:c>
      <x:c r="F1807" s="12" t="str">
        <x:v>Mixed business audience</x:v>
      </x:c>
      <x:c r="G1807" s="12" t="str">
        <x:v>Business activity and company scale are not established from this name.</x:v>
      </x:c>
      <x:c r="H1807" s="11" t="n">
        <x:v>1</x:v>
      </x:c>
      <x:c r="I1807" s="11" t="n">
        <x:v>2</x:v>
      </x:c>
      <x:c r="J1807" s="11" t="n">
        <x:v>2</x:v>
      </x:c>
      <x:c r="K1807" s="11" t="n">
        <x:v>0</x:v>
      </x:c>
      <x:c r="L1807" s="17" t="n">
        <x:f>SUM(SUMIFS('Costing'!$P$9:$P$492,'Costing'!$A$9:$A$492,"MAIN-045"))</x:f>
        <x:v>30000</x:v>
      </x:c>
      <x:c r="M1807" s="17" t="n">
        <x:f>ROUND(L1807*'Costing'!$C$4,2)</x:f>
        <x:v>5400</x:v>
      </x:c>
      <x:c r="N1807" s="17" t="n">
        <x:f>L1807+M1807</x:f>
        <x:v>35400</x:v>
      </x:c>
      <x:c r="O1807" s="12" t="str">
        <x:v>Bengaluru</x:v>
      </x:c>
      <x:c r="P1807" s="12" t="str">
        <x:v>CORP-0041</x:v>
      </x:c>
      <x:c r="Q1807" s="12" t="str">
        <x:v>Nodesec</x:v>
      </x:c>
    </x:row>
    <x:row r="1808" ht="48" customHeight="1">
      <x:c r="A1808" s="2" t="str">
        <x:v>TEN-2AB6D53E717A</x:v>
      </x:c>
      <x:c r="B1808" s="12" t="str">
        <x:v>Nokia</x:v>
      </x:c>
      <x:c r="C1808" s="12" t="str">
        <x:v>Business / brand</x:v>
      </x:c>
      <x:c r="D1808" s="12" t="str">
        <x:v>IT &amp; digital</x:v>
      </x:c>
      <x:c r="E1808" s="12" t="str">
        <x:v>Telecom, networks &amp; connectivity</x:v>
      </x:c>
      <x:c r="F1808" s="12" t="str">
        <x:v>Large enterprise</x:v>
      </x:c>
      <x:c r="G1808" s="12" t="str">
        <x:v>Explicit Nokia enterprise-family context; see ENTERPRISE_SUPP_017 evidence.</x:v>
      </x:c>
      <x:c r="H1808" s="11" t="n">
        <x:v>9</x:v>
      </x:c>
      <x:c r="I1808" s="11" t="n">
        <x:v>9</x:v>
      </x:c>
      <x:c r="J1808" s="11" t="n">
        <x:v>9</x:v>
      </x:c>
      <x:c r="K1808" s="11" t="n">
        <x:v>0</x:v>
      </x:c>
      <x:c r="L1808" s="17" t="n">
        <x:f>SUM(SUMIFS('Costing'!$P$9:$P$492,'Costing'!$A$9:$A$492,"PARTNER-M002"))</x:f>
        <x:v>360000</x:v>
      </x:c>
      <x:c r="M1808" s="17" t="n">
        <x:f>ROUND(L1808*'Costing'!$C$4,2)</x:f>
        <x:v>64800</x:v>
      </x:c>
      <x:c r="N1808" s="17" t="n">
        <x:f>L1808+M1808</x:f>
        <x:v>424800</x:v>
      </x:c>
      <x:c r="O1808" s="12" t="str">
        <x:v>Bengaluru</x:v>
      </x:c>
      <x:c r="P1808" s="12" t="str">
        <x:v>CORP-0420, CORP-0421, CORP-0422, CORP-0423, CORP-0424, CORP-0425, CORP-0426, CORP-0427, CORP-0428</x:v>
      </x:c>
      <x:c r="Q1808" s="12" t="str">
        <x:v>Nokia</x:v>
      </x:c>
    </x:row>
    <x:row r="1809" ht="48" customHeight="1">
      <x:c r="A1809" s="2" t="str">
        <x:v>TEN-C80EF940CC50</x:v>
      </x:c>
      <x:c r="B1809" s="12" t="str">
        <x:v>Nokia Networks (Earlier known as NSN or Nokia Siemens Networks)</x:v>
      </x:c>
      <x:c r="C1809" s="12" t="str">
        <x:v>Business / brand</x:v>
      </x:c>
      <x:c r="D1809" s="12" t="str">
        <x:v>IT &amp; digital</x:v>
      </x:c>
      <x:c r="E1809" s="12" t="str">
        <x:v>Telecom, networks &amp; connectivity</x:v>
      </x:c>
      <x:c r="F1809" s="12" t="str">
        <x:v>Large enterprise</x:v>
      </x:c>
      <x:c r="G1809" s="12" t="str">
        <x:v>Explicit Nokia enterprise-family context; see ENTERPRISE_SUPP_017 evidence.</x:v>
      </x:c>
      <x:c r="H1809" s="11" t="n">
        <x:v>5</x:v>
      </x:c>
      <x:c r="I1809" s="11" t="n">
        <x:v>5</x:v>
      </x:c>
      <x:c r="J1809" s="11" t="n">
        <x:v>5</x:v>
      </x:c>
      <x:c r="K1809" s="11" t="n">
        <x:v>0</x:v>
      </x:c>
      <x:c r="L1809" s="17" t="n">
        <x:f>SUM(SUMIFS('Costing'!$P$9:$P$492,'Costing'!$A$9:$A$492,"PARTNER-M051"))</x:f>
        <x:v>200000</x:v>
      </x:c>
      <x:c r="M1809" s="17" t="n">
        <x:f>ROUND(L1809*'Costing'!$C$4,2)</x:f>
        <x:v>36000</x:v>
      </x:c>
      <x:c r="N1809" s="17" t="n">
        <x:f>L1809+M1809</x:f>
        <x:v>236000</x:v>
      </x:c>
      <x:c r="O1809" s="12" t="str">
        <x:v>Bengaluru</x:v>
      </x:c>
      <x:c r="P1809" s="12" t="str">
        <x:v>CORP-0469, CORP-0470, CORP-0471, CORP-0472, CORP-0473</x:v>
      </x:c>
      <x:c r="Q1809" s="12" t="str">
        <x:v>Nokia Networks (Earlier known as NSN or Nokia Siemens Networks)</x:v>
      </x:c>
    </x:row>
    <x:row r="1810" ht="48" customHeight="1">
      <x:c r="A1810" s="2" t="str">
        <x:v>TEN-04D3AC99C721</x:v>
      </x:c>
      <x:c r="B1810" s="12" t="str">
        <x:v>Noodle Analytics</x:v>
      </x:c>
      <x:c r="C1810" s="12" t="str">
        <x:v>Business / brand</x:v>
      </x:c>
      <x:c r="D1810" s="12" t="str">
        <x:v>IT &amp; digital</x:v>
      </x:c>
      <x:c r="E1810" s="12" t="str">
        <x:v>AI, data &amp; analytics</x:v>
      </x:c>
      <x:c r="F1810" s="12" t="str">
        <x:v>Small-scale prospects</x:v>
      </x:c>
      <x:c r="G1810" s="12" t="str">
        <x:v>Software or technology-services business; small-scale prospect assumption.</x:v>
      </x:c>
      <x:c r="H1810" s="11" t="n">
        <x:v>6</x:v>
      </x:c>
      <x:c r="I1810" s="11" t="n">
        <x:v>6</x:v>
      </x:c>
      <x:c r="J1810" s="11" t="n">
        <x:v>6</x:v>
      </x:c>
      <x:c r="K1810" s="11" t="n">
        <x:v>0</x:v>
      </x:c>
      <x:c r="L1810" s="17" t="n">
        <x:f>SUM(SUMIFS('Costing'!$P$9:$P$492,'Costing'!$A$9:$A$492,"PARTNER-M072"))</x:f>
        <x:v>240000</x:v>
      </x:c>
      <x:c r="M1810" s="17" t="n">
        <x:f>ROUND(L1810*'Costing'!$C$4,2)</x:f>
        <x:v>43200</x:v>
      </x:c>
      <x:c r="N1810" s="17" t="n">
        <x:f>L1810+M1810</x:f>
        <x:v>283200</x:v>
      </x:c>
      <x:c r="O1810" s="12" t="str">
        <x:v>Bengaluru</x:v>
      </x:c>
      <x:c r="P1810" s="12" t="str">
        <x:v>CORP-0490, CORP-0491, CORP-0492, CORP-0493, CORP-0494, CORP-0495</x:v>
      </x:c>
      <x:c r="Q1810" s="12" t="str">
        <x:v>Noodle Analytics</x:v>
      </x:c>
    </x:row>
    <x:row r="1811" ht="48" customHeight="1">
      <x:c r="A1811" s="2" t="str">
        <x:v>TEN-12562C5D297E</x:v>
      </x:c>
      <x:c r="B1811" s="12" t="str">
        <x:v>Nord-Lock India Private Limited</x:v>
      </x:c>
      <x:c r="C1811" s="12" t="str">
        <x:v>Business / brand</x:v>
      </x:c>
      <x:c r="D1811" s="12" t="str">
        <x:v>Engineering &amp; manufacturing</x:v>
      </x:c>
      <x:c r="E1811" s="12" t="str">
        <x:v>Electronics, industrial systems &amp; manufacturing</x:v>
      </x:c>
      <x:c r="F1811" s="12" t="str">
        <x:v>Mixed business audience</x:v>
      </x:c>
      <x:c r="G1811" s="12" t="str">
        <x:v>Established brand or business network; local company scale is not established. Use a mixed-business message.</x:v>
      </x:c>
      <x:c r="H1811" s="11" t="n">
        <x:v>6</x:v>
      </x:c>
      <x:c r="I1811" s="11" t="n">
        <x:v>6</x:v>
      </x:c>
      <x:c r="J1811" s="11" t="n">
        <x:v>6</x:v>
      </x:c>
      <x:c r="K1811" s="11" t="n">
        <x:v>0</x:v>
      </x:c>
      <x:c r="L1811" s="17" t="n">
        <x:f>SUM(SUMIFS('Costing'!$P$9:$P$492,'Costing'!$A$9:$A$492,"PARTNER-M179"))</x:f>
        <x:v>240000</x:v>
      </x:c>
      <x:c r="M1811" s="17" t="n">
        <x:f>ROUND(L1811*'Costing'!$C$4,2)</x:f>
        <x:v>43200</x:v>
      </x:c>
      <x:c r="N1811" s="17" t="n">
        <x:f>L1811+M1811</x:f>
        <x:v>283200</x:v>
      </x:c>
      <x:c r="O1811" s="12" t="str">
        <x:v>Mumbai</x:v>
      </x:c>
      <x:c r="P1811" s="12" t="str">
        <x:v>CORP-0596, CORP-0597, CORP-0598, CORP-0599, CORP-0600, CORP-0601</x:v>
      </x:c>
      <x:c r="Q1811" s="12" t="str">
        <x:v>Nord-Lock India Private Limited</x:v>
      </x:c>
    </x:row>
    <x:row r="1812" ht="62" customHeight="1">
      <x:c r="A1812" s="2" t="str">
        <x:v>TEN-9891CBD98729</x:v>
      </x:c>
      <x:c r="B1812" s="12" t="str">
        <x:v>Northern Trust</x:v>
      </x:c>
      <x:c r="C1812" s="12" t="str">
        <x:v>Business / brand</x:v>
      </x:c>
      <x:c r="D1812" s="12" t="str">
        <x:v>Finance &amp; insurance</x:v>
      </x:c>
      <x:c r="E1812" s="12" t="str">
        <x:v>Banking, credit &amp; financial services</x:v>
      </x:c>
      <x:c r="F1812" s="12" t="str">
        <x:v>Large enterprise</x:v>
      </x:c>
      <x:c r="G1812" s="12" t="str">
        <x:v>The official Northern Trust profile reports more than 23,000 employees and over 20 locations worldwide. This is a global financial-services enterprise, not a generic specialist-firm Medium inference.</x:v>
      </x:c>
      <x:c r="H1812" s="11" t="n">
        <x:v>13</x:v>
      </x:c>
      <x:c r="I1812" s="11" t="n">
        <x:v>13</x:v>
      </x:c>
      <x:c r="J1812" s="11" t="n">
        <x:v>13</x:v>
      </x:c>
      <x:c r="K1812" s="11" t="n">
        <x:v>0</x:v>
      </x:c>
      <x:c r="L1812" s="17" t="n">
        <x:f>SUM(SUMIFS('Costing'!$P$9:$P$492,'Costing'!$A$9:$A$492,"PARTNER-M146"),SUMIFS('Costing'!$P$9:$P$492,'Costing'!$A$9:$A$492,"PARTNER-M051"))</x:f>
        <x:v>520000</x:v>
      </x:c>
      <x:c r="M1812" s="17" t="n">
        <x:f>ROUND(L1812*'Costing'!$C$4,2)</x:f>
        <x:v>93600</x:v>
      </x:c>
      <x:c r="N1812" s="17" t="n">
        <x:f>L1812+M1812</x:f>
        <x:v>613600</x:v>
      </x:c>
      <x:c r="O1812" s="12" t="str">
        <x:v>Bengaluru</x:v>
      </x:c>
      <x:c r="P1812" s="12" t="str">
        <x:v>CORP-0469, CORP-0470, CORP-0471, CORP-0472, CORP-0473, CORP-0564, CORP-0565, CORP-0566, CORP-0567, CORP-0568, CORP-0569, CORP-0570, CORP-0571</x:v>
      </x:c>
      <x:c r="Q1812" s="12" t="str">
        <x:v>Northern Trust</x:v>
      </x:c>
    </x:row>
    <x:row r="1813" ht="48" customHeight="1">
      <x:c r="A1813" s="2" t="str">
        <x:v>TEN-2AFEAF10567A</x:v>
      </x:c>
      <x:c r="B1813" s="12" t="str">
        <x:v>Nova Capital Advisors Private Limited</x:v>
      </x:c>
      <x:c r="C1813" s="12" t="str">
        <x:v>Business / brand</x:v>
      </x:c>
      <x:c r="D1813" s="12" t="str">
        <x:v>Finance &amp; insurance</x:v>
      </x:c>
      <x:c r="E1813" s="12" t="str">
        <x:v>Investments, securities &amp; wealth</x:v>
      </x:c>
      <x:c r="F1813" s="12" t="str">
        <x:v>Small-scale prospects</x:v>
      </x:c>
      <x:c r="G1813" s="12" t="str">
        <x:v>Financial intermediary or advisory business; small-scale prospect assumption.</x:v>
      </x:c>
      <x:c r="H1813" s="11" t="n">
        <x:v>2</x:v>
      </x:c>
      <x:c r="I1813" s="11" t="n">
        <x:v>6</x:v>
      </x:c>
      <x:c r="J1813" s="11" t="n">
        <x:v>6</x:v>
      </x:c>
      <x:c r="K1813" s="11" t="n">
        <x:v>0</x:v>
      </x:c>
      <x:c r="L1813" s="17" t="n">
        <x:f>SUM(SUMIFS('Costing'!$P$9:$P$492,'Costing'!$A$9:$A$492,"MAIN-148"),SUMIFS('Costing'!$P$9:$P$492,'Costing'!$A$9:$A$492,"MAIN-149"))</x:f>
        <x:v>120000</x:v>
      </x:c>
      <x:c r="M1813" s="17" t="n">
        <x:f>ROUND(L1813*'Costing'!$C$4,2)</x:f>
        <x:v>21600</x:v>
      </x:c>
      <x:c r="N1813" s="17" t="n">
        <x:f>L1813+M1813</x:f>
        <x:v>141600</x:v>
      </x:c>
      <x:c r="O1813" s="12" t="str">
        <x:v>Chennai</x:v>
      </x:c>
      <x:c r="P1813" s="12" t="str">
        <x:v>CORP-0144, CORP-0145</x:v>
      </x:c>
      <x:c r="Q1813" s="12" t="str">
        <x:v>Nova Capital Advisors Private Limited</x:v>
      </x:c>
    </x:row>
    <x:row r="1814" ht="48" customHeight="1">
      <x:c r="A1814" s="2" t="str">
        <x:v>TEN-275AAF160D86</x:v>
      </x:c>
      <x:c r="B1814" s="12" t="str">
        <x:v>Novateur Electrical &amp; Digital System Pvt. Ltd</x:v>
      </x:c>
      <x:c r="C1814" s="12" t="str">
        <x:v>Business / brand</x:v>
      </x:c>
      <x:c r="D1814" s="12" t="str">
        <x:v>Engineering &amp; manufacturing</x:v>
      </x:c>
      <x:c r="E1814" s="12" t="str">
        <x:v>Energy, electrical &amp; industrial systems</x:v>
      </x:c>
      <x:c r="F1814" s="12" t="str">
        <x:v>Mixed business audience</x:v>
      </x:c>
      <x:c r="G1814" s="12" t="str">
        <x:v>Established brand or business network; local company scale is not established. Use a mixed-business message.</x:v>
      </x:c>
      <x:c r="H1814" s="11" t="n">
        <x:v>1</x:v>
      </x:c>
      <x:c r="I1814" s="11" t="n">
        <x:v>1</x:v>
      </x:c>
      <x:c r="J1814" s="11" t="n">
        <x:v>1</x:v>
      </x:c>
      <x:c r="K1814" s="11" t="n">
        <x:v>0</x:v>
      </x:c>
      <x:c r="L1814" s="17" t="n">
        <x:f>SUM(SUMIFS('Costing'!$P$9:$P$492,'Costing'!$A$9:$A$492,"MAIN-321"))</x:f>
        <x:v>15000</x:v>
      </x:c>
      <x:c r="M1814" s="17" t="n">
        <x:f>ROUND(L1814*'Costing'!$C$4,2)</x:f>
        <x:v>2700</x:v>
      </x:c>
      <x:c r="N1814" s="17" t="n">
        <x:f>L1814+M1814</x:f>
        <x:v>17700</x:v>
      </x:c>
      <x:c r="O1814" s="12" t="str">
        <x:v>Mumbai</x:v>
      </x:c>
      <x:c r="P1814" s="12" t="str">
        <x:v>CORP-0317</x:v>
      </x:c>
      <x:c r="Q1814" s="12" t="str">
        <x:v>Novateur Electrical &amp; Digital System Pvt. Ltd</x:v>
      </x:c>
    </x:row>
    <x:row r="1815" ht="48" customHeight="1">
      <x:c r="A1815" s="2" t="str">
        <x:v>TEN-F8D66EC99CED</x:v>
      </x:c>
      <x:c r="B1815" s="12" t="str">
        <x:v>Novateur electrical and digital enterprises</x:v>
      </x:c>
      <x:c r="C1815" s="12" t="str">
        <x:v>Business / brand</x:v>
      </x:c>
      <x:c r="D1815" s="12" t="str">
        <x:v>Engineering &amp; manufacturing</x:v>
      </x:c>
      <x:c r="E1815" s="12" t="str">
        <x:v>Energy, electrical &amp; industrial systems</x:v>
      </x:c>
      <x:c r="F1815" s="12" t="str">
        <x:v>Mixed business audience</x:v>
      </x:c>
      <x:c r="G1815" s="12" t="str">
        <x:v>Established brand or business network; local company scale is not established. Use a mixed-business message.</x:v>
      </x:c>
      <x:c r="H1815" s="11" t="n">
        <x:v>1</x:v>
      </x:c>
      <x:c r="I1815" s="11" t="n">
        <x:v>3</x:v>
      </x:c>
      <x:c r="J1815" s="11" t="n">
        <x:v>3</x:v>
      </x:c>
      <x:c r="K1815" s="11" t="n">
        <x:v>0</x:v>
      </x:c>
      <x:c r="L1815" s="17" t="n">
        <x:f>SUM(SUMIFS('Costing'!$P$9:$P$492,'Costing'!$A$9:$A$492,"MAIN-222"))</x:f>
        <x:v>45000</x:v>
      </x:c>
      <x:c r="M1815" s="17" t="n">
        <x:f>ROUND(L1815*'Costing'!$C$4,2)</x:f>
        <x:v>8100</x:v>
      </x:c>
      <x:c r="N1815" s="17" t="n">
        <x:f>L1815+M1815</x:f>
        <x:v>53100</x:v>
      </x:c>
      <x:c r="O1815" s="12" t="str">
        <x:v>Hyderabad</x:v>
      </x:c>
      <x:c r="P1815" s="12" t="str">
        <x:v>CORP-0218</x:v>
      </x:c>
      <x:c r="Q1815" s="12" t="str">
        <x:v>Novateur electrical and digital enterprises</x:v>
      </x:c>
    </x:row>
    <x:row r="1816" ht="49" customHeight="1">
      <x:c r="A1816" s="2" t="str">
        <x:v>TEN-CBDE5EAC5F77</x:v>
      </x:c>
      <x:c r="B1816" s="12" t="str">
        <x:v>Novel Offices</x:v>
      </x:c>
      <x:c r="C1816" s="12" t="str">
        <x:v>Workspace operator</x:v>
      </x:c>
      <x:c r="D1816" s="12" t="str">
        <x:v>Workspace &amp; property operations</x:v>
      </x:c>
      <x:c r="E1816" s="12" t="str">
        <x:v>Coworking/workspace operator</x:v>
      </x:c>
      <x:c r="F1816" s="12" t="str">
        <x:v>Mixed business audience</x:v>
      </x:c>
      <x:c r="G1816" s="12" t="str">
        <x:v>Supplied entry is a shared-workspace operator; the business sizes of occupant companies cannot be derived from the operator name.</x:v>
      </x:c>
      <x:c r="H1816" s="11" t="n">
        <x:v>2</x:v>
      </x:c>
      <x:c r="I1816" s="11" t="n">
        <x:v>7</x:v>
      </x:c>
      <x:c r="J1816" s="11" t="n">
        <x:v>7</x:v>
      </x:c>
      <x:c r="K1816" s="11" t="n">
        <x:v>0</x:v>
      </x:c>
      <x:c r="L1816" s="17" t="n">
        <x:f>SUM(SUMIFS('Costing'!$P$9:$P$492,'Costing'!$A$9:$A$492,"MAIN-057"),SUMIFS('Costing'!$P$9:$P$492,'Costing'!$A$9:$A$492,"MAIN-058"))</x:f>
        <x:v>125000</x:v>
      </x:c>
      <x:c r="M1816" s="17" t="n">
        <x:f>ROUND(L1816*'Costing'!$C$4,2)</x:f>
        <x:v>22500</x:v>
      </x:c>
      <x:c r="N1816" s="17" t="n">
        <x:f>L1816+M1816</x:f>
        <x:v>147500</x:v>
      </x:c>
      <x:c r="O1816" s="12" t="str">
        <x:v>Bengaluru</x:v>
      </x:c>
      <x:c r="P1816" s="12" t="str">
        <x:v>CORP-0053, CORP-0054</x:v>
      </x:c>
      <x:c r="Q1816" s="12" t="str">
        <x:v>Novel Offices</x:v>
      </x:c>
    </x:row>
    <x:row r="1817" ht="48" customHeight="1">
      <x:c r="A1817" s="2" t="str">
        <x:v>TEN-2CE860A5EC59</x:v>
      </x:c>
      <x:c r="B1817" s="12" t="str">
        <x:v>NR Developers and Promoters</x:v>
      </x:c>
      <x:c r="C1817" s="12" t="str">
        <x:v>Business / brand</x:v>
      </x:c>
      <x:c r="D1817" s="12" t="str">
        <x:v>Trade, consumer &amp; logistics</x:v>
      </x:c>
      <x:c r="E1817" s="12" t="str">
        <x:v>Real estate, property &amp; construction services</x:v>
      </x:c>
      <x:c r="F1817" s="12" t="str">
        <x:v>Small-scale prospects</x:v>
      </x:c>
      <x:c r="G1817" s="12" t="str">
        <x:v>Trading or consumer-services business; small-scale prospect assumption.</x:v>
      </x:c>
      <x:c r="H1817" s="11" t="n">
        <x:v>1</x:v>
      </x:c>
      <x:c r="I1817" s="11" t="n">
        <x:v>6</x:v>
      </x:c>
      <x:c r="J1817" s="11" t="n">
        <x:v>6</x:v>
      </x:c>
      <x:c r="K1817" s="11" t="n">
        <x:v>0</x:v>
      </x:c>
      <x:c r="L1817" s="17" t="n">
        <x:f>SUM(SUMIFS('Costing'!$P$9:$P$492,'Costing'!$A$9:$A$492,"MAIN-030"))</x:f>
        <x:v>90000</x:v>
      </x:c>
      <x:c r="M1817" s="17" t="n">
        <x:f>ROUND(L1817*'Costing'!$C$4,2)</x:f>
        <x:v>16200</x:v>
      </x:c>
      <x:c r="N1817" s="17" t="n">
        <x:f>L1817+M1817</x:f>
        <x:v>106200</x:v>
      </x:c>
      <x:c r="O1817" s="12" t="str">
        <x:v>Bengaluru</x:v>
      </x:c>
      <x:c r="P1817" s="12" t="str">
        <x:v>CORP-0026</x:v>
      </x:c>
      <x:c r="Q1817" s="12" t="str">
        <x:v>NR Developers and Promoters</x:v>
      </x:c>
    </x:row>
    <x:row r="1818" ht="48" customHeight="1">
      <x:c r="A1818" s="2" t="str">
        <x:v>TEN-9B9A4AB08A56</x:v>
      </x:c>
      <x:c r="B1818" s="12" t="str">
        <x:v>NSD Solutions</x:v>
      </x:c>
      <x:c r="C1818" s="12" t="str">
        <x:v>Business / brand</x:v>
      </x:c>
      <x:c r="D1818" s="12" t="str">
        <x:v>Unresolved</x:v>
      </x:c>
      <x:c r="E1818" s="12" t="str">
        <x:v>Business activity not established</x:v>
      </x:c>
      <x:c r="F1818" s="12" t="str">
        <x:v>Mixed business audience</x:v>
      </x:c>
      <x:c r="G1818" s="12" t="str">
        <x:v>Business activity and company scale are not established from this name.</x:v>
      </x:c>
      <x:c r="H1818" s="11" t="n">
        <x:v>1</x:v>
      </x:c>
      <x:c r="I1818" s="11" t="n">
        <x:v>2</x:v>
      </x:c>
      <x:c r="J1818" s="11" t="n">
        <x:v>2</x:v>
      </x:c>
      <x:c r="K1818" s="11" t="n">
        <x:v>0</x:v>
      </x:c>
      <x:c r="L1818" s="17" t="n">
        <x:f>SUM(SUMIFS('Costing'!$P$9:$P$492,'Costing'!$A$9:$A$492,"MAIN-032"))</x:f>
        <x:v>30000</x:v>
      </x:c>
      <x:c r="M1818" s="17" t="n">
        <x:f>ROUND(L1818*'Costing'!$C$4,2)</x:f>
        <x:v>5400</x:v>
      </x:c>
      <x:c r="N1818" s="17" t="n">
        <x:f>L1818+M1818</x:f>
        <x:v>35400</x:v>
      </x:c>
      <x:c r="O1818" s="12" t="str">
        <x:v>Bengaluru</x:v>
      </x:c>
      <x:c r="P1818" s="12" t="str">
        <x:v>CORP-0028</x:v>
      </x:c>
      <x:c r="Q1818" s="12" t="str">
        <x:v>NSD Solutions</x:v>
      </x:c>
    </x:row>
    <x:row r="1819" ht="75" customHeight="1">
      <x:c r="A1819" s="2" t="str">
        <x:v>TEN-47FF8E27F353</x:v>
      </x:c>
      <x:c r="B1819" s="12" t="str">
        <x:v>NSE-WRO</x:v>
      </x:c>
      <x:c r="C1819" s="12" t="str">
        <x:v>Public / nonprofit</x:v>
      </x:c>
      <x:c r="D1819" s="12" t="str">
        <x:v>Government &amp; nonprofit</x:v>
      </x:c>
      <x:c r="E1819" s="12" t="str">
        <x:v>Public, nonprofit or membership organization</x:v>
      </x:c>
      <x:c r="F1819" s="12" t="str">
        <x:v>Institutional</x:v>
      </x:c>
      <x:c r="G1819" s="12" t="str">
        <x:v>Existing directory identifies an institutional, government, education, membership or nonprofit organisation rather than an ordinary MSME business prospect. This tag describes audience role and does not assert legal tax status.</x:v>
      </x:c>
      <x:c r="H1819" s="11" t="n">
        <x:v>2</x:v>
      </x:c>
      <x:c r="I1819" s="11" t="n">
        <x:v>2</x:v>
      </x:c>
      <x:c r="J1819" s="11" t="n">
        <x:v>2</x:v>
      </x:c>
      <x:c r="K1819" s="11" t="n">
        <x:v>0</x:v>
      </x:c>
      <x:c r="L1819" s="17" t="n">
        <x:f>SUM(SUMIFS('Costing'!$P$9:$P$492,'Costing'!$A$9:$A$492,"PARTNER-M243"))</x:f>
        <x:v>80000</x:v>
      </x:c>
      <x:c r="M1819" s="17" t="n">
        <x:f>ROUND(L1819*'Costing'!$C$4,2)</x:f>
        <x:v>14400</x:v>
      </x:c>
      <x:c r="N1819" s="17" t="n">
        <x:f>L1819+M1819</x:f>
        <x:v>94400</x:v>
      </x:c>
      <x:c r="O1819" s="12" t="str">
        <x:v>Mumbai</x:v>
      </x:c>
      <x:c r="P1819" s="12" t="str">
        <x:v>CORP-0660, CORP-0661</x:v>
      </x:c>
      <x:c r="Q1819" s="12" t="str">
        <x:v>NSE-WRO</x:v>
      </x:c>
    </x:row>
    <x:row r="1820" ht="48" customHeight="1">
      <x:c r="A1820" s="2" t="str">
        <x:v>TEN-89C7DF9519C3</x:v>
      </x:c>
      <x:c r="B1820" s="12" t="str">
        <x:v>Nsight India</x:v>
      </x:c>
      <x:c r="C1820" s="12" t="str">
        <x:v>Business / brand</x:v>
      </x:c>
      <x:c r="D1820" s="12" t="str">
        <x:v>IT &amp; digital</x:v>
      </x:c>
      <x:c r="E1820" s="12" t="str">
        <x:v>Enterprise software &amp; digital engineering</x:v>
      </x:c>
      <x:c r="F1820" s="12" t="str">
        <x:v>Small-scale prospects</x:v>
      </x:c>
      <x:c r="G1820" s="12" t="str">
        <x:v>Software or technology-services business; small-scale prospect assumption.</x:v>
      </x:c>
      <x:c r="H1820" s="11" t="n">
        <x:v>5</x:v>
      </x:c>
      <x:c r="I1820" s="11" t="n">
        <x:v>5</x:v>
      </x:c>
      <x:c r="J1820" s="11" t="n">
        <x:v>5</x:v>
      </x:c>
      <x:c r="K1820" s="11" t="n">
        <x:v>0</x:v>
      </x:c>
      <x:c r="L1820" s="17" t="n">
        <x:f>SUM(SUMIFS('Costing'!$P$9:$P$492,'Costing'!$A$9:$A$492,"PARTNER-M295"))</x:f>
        <x:v>200000</x:v>
      </x:c>
      <x:c r="M1820" s="17" t="n">
        <x:f>ROUND(L1820*'Costing'!$C$4,2)</x:f>
        <x:v>36000</x:v>
      </x:c>
      <x:c r="N1820" s="17" t="n">
        <x:f>L1820+M1820</x:f>
        <x:v>236000</x:v>
      </x:c>
      <x:c r="O1820" s="12" t="str">
        <x:v>Hyderabad</x:v>
      </x:c>
      <x:c r="P1820" s="12" t="str">
        <x:v>CORP-0710, CORP-0711, CORP-0712, CORP-0713, CORP-0714</x:v>
      </x:c>
      <x:c r="Q1820" s="12" t="str">
        <x:v>Nsight India</x:v>
      </x:c>
    </x:row>
    <x:row r="1821" ht="48" customHeight="1">
      <x:c r="A1821" s="2" t="str">
        <x:v>TEN-1ADCE1DFDBEF</x:v>
      </x:c>
      <x:c r="B1821" s="12" t="str">
        <x:v>NSL Textiles Limited</x:v>
      </x:c>
      <x:c r="C1821" s="12" t="str">
        <x:v>Business / brand</x:v>
      </x:c>
      <x:c r="D1821" s="12" t="str">
        <x:v>Engineering &amp; manufacturing</x:v>
      </x:c>
      <x:c r="E1821" s="12" t="str">
        <x:v>Chemicals, materials &amp; industrial manufacturing</x:v>
      </x:c>
      <x:c r="F1821" s="12" t="str">
        <x:v>Mixed business audience</x:v>
      </x:c>
      <x:c r="G1821" s="12" t="str">
        <x:v>Established brand or business network; local company scale is not established. Use a mixed-business message.</x:v>
      </x:c>
      <x:c r="H1821" s="11" t="n">
        <x:v>1</x:v>
      </x:c>
      <x:c r="I1821" s="11" t="n">
        <x:v>2</x:v>
      </x:c>
      <x:c r="J1821" s="11" t="n">
        <x:v>2</x:v>
      </x:c>
      <x:c r="K1821" s="11" t="n">
        <x:v>0</x:v>
      </x:c>
      <x:c r="L1821" s="17" t="n">
        <x:f>SUM(SUMIFS('Costing'!$P$9:$P$492,'Costing'!$A$9:$A$492,"MAIN-243"))</x:f>
        <x:v>40000</x:v>
      </x:c>
      <x:c r="M1821" s="17" t="n">
        <x:f>ROUND(L1821*'Costing'!$C$4,2)</x:f>
        <x:v>7200</x:v>
      </x:c>
      <x:c r="N1821" s="17" t="n">
        <x:f>L1821+M1821</x:f>
        <x:v>47200</x:v>
      </x:c>
      <x:c r="O1821" s="12" t="str">
        <x:v>Hyderabad</x:v>
      </x:c>
      <x:c r="P1821" s="12" t="str">
        <x:v>CORP-0239</x:v>
      </x:c>
      <x:c r="Q1821" s="12" t="str">
        <x:v>NSL Textiles Limited</x:v>
      </x:c>
    </x:row>
    <x:row r="1822" ht="48" customHeight="1">
      <x:c r="A1822" s="2" t="str">
        <x:v>TEN-3338D6A28C63</x:v>
      </x:c>
      <x:c r="B1822" s="12" t="str">
        <x:v>NTT Cloud</x:v>
      </x:c>
      <x:c r="C1822" s="12" t="str">
        <x:v>Business / brand</x:v>
      </x:c>
      <x:c r="D1822" s="12" t="str">
        <x:v>IT &amp; digital</x:v>
      </x:c>
      <x:c r="E1822" s="12" t="str">
        <x:v>Cybersecurity &amp; cloud infrastructure</x:v>
      </x:c>
      <x:c r="F1822" s="12" t="str">
        <x:v>Large enterprise</x:v>
      </x:c>
      <x:c r="G1822" s="12" t="str">
        <x:v>Explicit NTT enterprise-family context; see ENTERPRISE_SUPP_008 evidence.</x:v>
      </x:c>
      <x:c r="H1822" s="11" t="n">
        <x:v>9</x:v>
      </x:c>
      <x:c r="I1822" s="11" t="n">
        <x:v>9</x:v>
      </x:c>
      <x:c r="J1822" s="11" t="n">
        <x:v>9</x:v>
      </x:c>
      <x:c r="K1822" s="11" t="n">
        <x:v>0</x:v>
      </x:c>
      <x:c r="L1822" s="17" t="n">
        <x:f>SUM(SUMIFS('Costing'!$P$9:$P$492,'Costing'!$A$9:$A$492,"PARTNER-M002"))</x:f>
        <x:v>360000</x:v>
      </x:c>
      <x:c r="M1822" s="17" t="n">
        <x:f>ROUND(L1822*'Costing'!$C$4,2)</x:f>
        <x:v>64800</x:v>
      </x:c>
      <x:c r="N1822" s="17" t="n">
        <x:f>L1822+M1822</x:f>
        <x:v>424800</x:v>
      </x:c>
      <x:c r="O1822" s="12" t="str">
        <x:v>Bengaluru</x:v>
      </x:c>
      <x:c r="P1822" s="12" t="str">
        <x:v>CORP-0420, CORP-0421, CORP-0422, CORP-0423, CORP-0424, CORP-0425, CORP-0426, CORP-0427, CORP-0428</x:v>
      </x:c>
      <x:c r="Q1822" s="12" t="str">
        <x:v>NTT Cloud</x:v>
      </x:c>
    </x:row>
    <x:row r="1823" ht="48" customHeight="1">
      <x:c r="A1823" s="2" t="str">
        <x:v>TEN-68BAD0BF4A37</x:v>
      </x:c>
      <x:c r="B1823" s="12" t="str">
        <x:v>NTT DATA</x:v>
      </x:c>
      <x:c r="C1823" s="12" t="str">
        <x:v>Business / brand</x:v>
      </x:c>
      <x:c r="D1823" s="12" t="str">
        <x:v>IT &amp; digital</x:v>
      </x:c>
      <x:c r="E1823" s="12" t="str">
        <x:v>Technology services — specialty unverified</x:v>
      </x:c>
      <x:c r="F1823" s="12" t="str">
        <x:v>Large enterprise</x:v>
      </x:c>
      <x:c r="G1823" s="12" t="str">
        <x:v>Explicit NTT enterprise-family context; see ENTERPRISE_SUPP_008 evidence.</x:v>
      </x:c>
      <x:c r="H1823" s="11" t="n">
        <x:v>7</x:v>
      </x:c>
      <x:c r="I1823" s="11" t="n">
        <x:v>8</x:v>
      </x:c>
      <x:c r="J1823" s="11" t="n">
        <x:v>8</x:v>
      </x:c>
      <x:c r="K1823" s="11" t="n">
        <x:v>0</x:v>
      </x:c>
      <x:c r="L1823" s="17" t="n">
        <x:f>SUM(SUMIFS('Costing'!$P$9:$P$492,'Costing'!$A$9:$A$492,"MAIN-283"),SUMIFS('Costing'!$P$9:$P$492,'Costing'!$A$9:$A$492,"PARTNER-M283"))</x:f>
        <x:v>270000</x:v>
      </x:c>
      <x:c r="M1823" s="17" t="n">
        <x:f>ROUND(L1823*'Costing'!$C$4,2)</x:f>
        <x:v>48600</x:v>
      </x:c>
      <x:c r="N1823" s="17" t="n">
        <x:f>L1823+M1823</x:f>
        <x:v>318600</x:v>
      </x:c>
      <x:c r="O1823" s="12" t="str">
        <x:v>Kolkata, Hyderabad</x:v>
      </x:c>
      <x:c r="P1823" s="12" t="str">
        <x:v>CORP-0279, CORP-0698, CORP-0699, CORP-0700, CORP-0701, CORP-0702, CORP-0703</x:v>
      </x:c>
      <x:c r="Q1823" s="12" t="str">
        <x:v>NTT DATA, NTT Data</x:v>
      </x:c>
    </x:row>
    <x:row r="1824" ht="48" customHeight="1">
      <x:c r="A1824" s="2" t="str">
        <x:v>TEN-61D3F1332192</x:v>
      </x:c>
      <x:c r="B1824" s="12" t="str">
        <x:v>NTT DATA Corporation</x:v>
      </x:c>
      <x:c r="C1824" s="12" t="str">
        <x:v>Business / brand</x:v>
      </x:c>
      <x:c r="D1824" s="12" t="str">
        <x:v>IT &amp; digital</x:v>
      </x:c>
      <x:c r="E1824" s="12" t="str">
        <x:v>Technology services — specialty unverified</x:v>
      </x:c>
      <x:c r="F1824" s="12" t="str">
        <x:v>Large enterprise</x:v>
      </x:c>
      <x:c r="G1824" s="12" t="str">
        <x:v>Explicit NTT enterprise-family context; see ENTERPRISE_SUPP_008 evidence.</x:v>
      </x:c>
      <x:c r="H1824" s="11" t="n">
        <x:v>1</x:v>
      </x:c>
      <x:c r="I1824" s="11" t="n">
        <x:v>1</x:v>
      </x:c>
      <x:c r="J1824" s="11" t="n">
        <x:v>1</x:v>
      </x:c>
      <x:c r="K1824" s="11" t="n">
        <x:v>0</x:v>
      </x:c>
      <x:c r="L1824" s="17" t="n">
        <x:f>SUM(SUMIFS('Costing'!$P$9:$P$492,'Costing'!$A$9:$A$492,"MAIN-208"))</x:f>
        <x:v>40000</x:v>
      </x:c>
      <x:c r="M1824" s="17" t="n">
        <x:f>ROUND(L1824*'Costing'!$C$4,2)</x:f>
        <x:v>7200</x:v>
      </x:c>
      <x:c r="N1824" s="17" t="n">
        <x:f>L1824+M1824</x:f>
        <x:v>47200</x:v>
      </x:c>
      <x:c r="O1824" s="12" t="str">
        <x:v>Delhi NCR</x:v>
      </x:c>
      <x:c r="P1824" s="12" t="str">
        <x:v>CORP-0204</x:v>
      </x:c>
      <x:c r="Q1824" s="12" t="str">
        <x:v>NTT DATA Corporation</x:v>
      </x:c>
    </x:row>
    <x:row r="1825" ht="75" customHeight="1">
      <x:c r="A1825" s="2" t="str">
        <x:v>TEN-2B4B9D0C8F84</x:v>
      </x:c>
      <x:c r="B1825" s="12" t="str">
        <x:v>NTT DATA FA Insurance Systems</x:v>
      </x:c>
      <x:c r="C1825" s="12" t="str">
        <x:v>Business / brand</x:v>
      </x:c>
      <x:c r="D1825" s="12" t="str">
        <x:v>IT &amp; digital</x:v>
      </x:c>
      <x:c r="E1825" s="12" t="str">
        <x:v>Technology services — specialty unverified</x:v>
      </x:c>
      <x:c r="F1825" s="12" t="str">
        <x:v>Large enterprise</x:v>
      </x:c>
      <x:c r="G1825" s="12" t="str">
        <x:v>NTT DATA's official 2012 restructuring release explicitly lists NTT DATA FA Insurance Systems as a group company. The current parent profile reports 190,000 colleagues across more than 70 countries, supporting enterprise-group context.</x:v>
      </x:c>
      <x:c r="H1825" s="11" t="n">
        <x:v>14</x:v>
      </x:c>
      <x:c r="I1825" s="11" t="n">
        <x:v>14</x:v>
      </x:c>
      <x:c r="J1825" s="11" t="n">
        <x:v>14</x:v>
      </x:c>
      <x:c r="K1825" s="11" t="n">
        <x:v>0</x:v>
      </x:c>
      <x:c r="L1825" s="17" t="n">
        <x:f>SUM(SUMIFS('Costing'!$P$9:$P$492,'Costing'!$A$9:$A$492,"PARTNER-M097"),SUMIFS('Costing'!$P$9:$P$492,'Costing'!$A$9:$A$492,"PARTNER-M082"))</x:f>
        <x:v>560000</x:v>
      </x:c>
      <x:c r="M1825" s="17" t="n">
        <x:f>ROUND(L1825*'Costing'!$C$4,2)</x:f>
        <x:v>100800</x:v>
      </x:c>
      <x:c r="N1825" s="17" t="n">
        <x:f>L1825+M1825</x:f>
        <x:v>660800</x:v>
      </x:c>
      <x:c r="O1825" s="12" t="str">
        <x:v>Bengaluru</x:v>
      </x:c>
      <x:c r="P1825" s="12" t="str">
        <x:v>CORP-0500, CORP-0501, CORP-0502, CORP-0503, CORP-0504, CORP-0505, CORP-0506, CORP-0507, CORP-0508, CORP-0509, CORP-0510, CORP-0515, CORP-0516, CORP-0517</x:v>
      </x:c>
      <x:c r="Q1825" s="12" t="str">
        <x:v>NTT DATA FA Insurance Systems</x:v>
      </x:c>
    </x:row>
    <x:row r="1826" ht="48" customHeight="1">
      <x:c r="A1826" s="2" t="str">
        <x:v>TEN-6BEB399B4462</x:v>
      </x:c>
      <x:c r="B1826" s="12" t="str">
        <x:v>Nuance Communications</x:v>
      </x:c>
      <x:c r="C1826" s="12" t="str">
        <x:v>Business / brand</x:v>
      </x:c>
      <x:c r="D1826" s="12" t="str">
        <x:v>IT &amp; digital</x:v>
      </x:c>
      <x:c r="E1826" s="12" t="str">
        <x:v>Telecom, networks &amp; connectivity</x:v>
      </x:c>
      <x:c r="F1826" s="12" t="str">
        <x:v>Mixed business audience</x:v>
      </x:c>
      <x:c r="G1826" s="12" t="str">
        <x:v>Established brand or business network; local company scale is not established. Use a mixed-business message.</x:v>
      </x:c>
      <x:c r="H1826" s="11" t="n">
        <x:v>5</x:v>
      </x:c>
      <x:c r="I1826" s="11" t="n">
        <x:v>5</x:v>
      </x:c>
      <x:c r="J1826" s="11" t="n">
        <x:v>5</x:v>
      </x:c>
      <x:c r="K1826" s="11" t="n">
        <x:v>0</x:v>
      </x:c>
      <x:c r="L1826" s="17" t="n">
        <x:f>SUM(SUMIFS('Costing'!$P$9:$P$492,'Costing'!$A$9:$A$492,"PARTNER-M051"))</x:f>
        <x:v>200000</x:v>
      </x:c>
      <x:c r="M1826" s="17" t="n">
        <x:f>ROUND(L1826*'Costing'!$C$4,2)</x:f>
        <x:v>36000</x:v>
      </x:c>
      <x:c r="N1826" s="17" t="n">
        <x:f>L1826+M1826</x:f>
        <x:v>236000</x:v>
      </x:c>
      <x:c r="O1826" s="12" t="str">
        <x:v>Bengaluru</x:v>
      </x:c>
      <x:c r="P1826" s="12" t="str">
        <x:v>CORP-0469, CORP-0470, CORP-0471, CORP-0472, CORP-0473</x:v>
      </x:c>
      <x:c r="Q1826" s="12" t="str">
        <x:v>Nuance Communications</x:v>
      </x:c>
    </x:row>
    <x:row r="1827" ht="48" customHeight="1">
      <x:c r="A1827" s="2" t="str">
        <x:v>TEN-BC3CB45E4A8C</x:v>
      </x:c>
      <x:c r="B1827" s="12" t="str">
        <x:v>Numeric Technologies</x:v>
      </x:c>
      <x:c r="C1827" s="12" t="str">
        <x:v>Business / brand</x:v>
      </x:c>
      <x:c r="D1827" s="12" t="str">
        <x:v>IT &amp; digital</x:v>
      </x:c>
      <x:c r="E1827" s="12" t="str">
        <x:v>Enterprise software &amp; digital engineering</x:v>
      </x:c>
      <x:c r="F1827" s="12" t="str">
        <x:v>Small-scale prospects</x:v>
      </x:c>
      <x:c r="G1827" s="12" t="str">
        <x:v>Software or technology-services business; small-scale prospect assumption.</x:v>
      </x:c>
      <x:c r="H1827" s="11" t="n">
        <x:v>5</x:v>
      </x:c>
      <x:c r="I1827" s="11" t="n">
        <x:v>5</x:v>
      </x:c>
      <x:c r="J1827" s="11" t="n">
        <x:v>5</x:v>
      </x:c>
      <x:c r="K1827" s="11" t="n">
        <x:v>0</x:v>
      </x:c>
      <x:c r="L1827" s="17" t="n">
        <x:f>SUM(SUMIFS('Costing'!$P$9:$P$492,'Costing'!$A$9:$A$492,"PARTNER-M295"))</x:f>
        <x:v>200000</x:v>
      </x:c>
      <x:c r="M1827" s="17" t="n">
        <x:f>ROUND(L1827*'Costing'!$C$4,2)</x:f>
        <x:v>36000</x:v>
      </x:c>
      <x:c r="N1827" s="17" t="n">
        <x:f>L1827+M1827</x:f>
        <x:v>236000</x:v>
      </x:c>
      <x:c r="O1827" s="12" t="str">
        <x:v>Hyderabad</x:v>
      </x:c>
      <x:c r="P1827" s="12" t="str">
        <x:v>CORP-0710, CORP-0711, CORP-0712, CORP-0713, CORP-0714</x:v>
      </x:c>
      <x:c r="Q1827" s="12" t="str">
        <x:v>Numeric Technologies</x:v>
      </x:c>
    </x:row>
    <x:row r="1828" ht="48" customHeight="1">
      <x:c r="A1828" s="2" t="str">
        <x:v>TEN-7A3739772D44</x:v>
      </x:c>
      <x:c r="B1828" s="12" t="str">
        <x:v>NumeroEINS</x:v>
      </x:c>
      <x:c r="C1828" s="12" t="str">
        <x:v>Business / brand</x:v>
      </x:c>
      <x:c r="D1828" s="12" t="str">
        <x:v>Unresolved</x:v>
      </x:c>
      <x:c r="E1828" s="12" t="str">
        <x:v>Business activity not established</x:v>
      </x:c>
      <x:c r="F1828" s="12" t="str">
        <x:v>Mixed business audience</x:v>
      </x:c>
      <x:c r="G1828" s="12" t="str">
        <x:v>Business activity and company scale are not established from this name.</x:v>
      </x:c>
      <x:c r="H1828" s="11" t="n">
        <x:v>1</x:v>
      </x:c>
      <x:c r="I1828" s="11" t="n">
        <x:v>2</x:v>
      </x:c>
      <x:c r="J1828" s="11" t="n">
        <x:v>2</x:v>
      </x:c>
      <x:c r="K1828" s="11" t="n">
        <x:v>0</x:v>
      </x:c>
      <x:c r="L1828" s="17" t="n">
        <x:f>SUM(SUMIFS('Costing'!$P$9:$P$492,'Costing'!$A$9:$A$492,"MAIN-268"))</x:f>
        <x:v>80000</x:v>
      </x:c>
      <x:c r="M1828" s="17" t="n">
        <x:f>ROUND(L1828*'Costing'!$C$4,2)</x:f>
        <x:v>14400</x:v>
      </x:c>
      <x:c r="N1828" s="17" t="n">
        <x:f>L1828+M1828</x:f>
        <x:v>94400</x:v>
      </x:c>
      <x:c r="O1828" s="12" t="str">
        <x:v>Indore</x:v>
      </x:c>
      <x:c r="P1828" s="12" t="str">
        <x:v>CORP-0264</x:v>
      </x:c>
      <x:c r="Q1828" s="12" t="str">
        <x:v>NumeroEINS</x:v>
      </x:c>
    </x:row>
    <x:row r="1829" ht="48" customHeight="1">
      <x:c r="A1829" s="2" t="str">
        <x:v>TEN-256796B02D49</x:v>
      </x:c>
      <x:c r="B1829" s="12" t="str">
        <x:v>Nupay (Entellus Business Solutions Private Limited)</x:v>
      </x:c>
      <x:c r="C1829" s="12" t="str">
        <x:v>Business / brand</x:v>
      </x:c>
      <x:c r="D1829" s="12" t="str">
        <x:v>Finance &amp; insurance</x:v>
      </x:c>
      <x:c r="E1829" s="12" t="str">
        <x:v>Payments &amp; financial technology</x:v>
      </x:c>
      <x:c r="F1829" s="12" t="str">
        <x:v>Medium-scale prospects</x:v>
      </x:c>
      <x:c r="G1829" s="12" t="str">
        <x:v>Specialist financial-services business; medium-scale prospect assumption.</x:v>
      </x:c>
      <x:c r="H1829" s="11" t="n">
        <x:v>1</x:v>
      </x:c>
      <x:c r="I1829" s="11" t="n">
        <x:v>1</x:v>
      </x:c>
      <x:c r="J1829" s="11" t="n">
        <x:v>1</x:v>
      </x:c>
      <x:c r="K1829" s="11" t="n">
        <x:v>0</x:v>
      </x:c>
      <x:c r="L1829" s="17" t="n">
        <x:f>SUM(SUMIFS('Costing'!$P$9:$P$492,'Costing'!$A$9:$A$492,"MAIN-203"))</x:f>
        <x:v>40000</x:v>
      </x:c>
      <x:c r="M1829" s="17" t="n">
        <x:f>ROUND(L1829*'Costing'!$C$4,2)</x:f>
        <x:v>7200</x:v>
      </x:c>
      <x:c r="N1829" s="17" t="n">
        <x:f>L1829+M1829</x:f>
        <x:v>47200</x:v>
      </x:c>
      <x:c r="O1829" s="12" t="str">
        <x:v>Delhi NCR</x:v>
      </x:c>
      <x:c r="P1829" s="12" t="str">
        <x:v>CORP-0199</x:v>
      </x:c>
      <x:c r="Q1829" s="12" t="str">
        <x:v>Nupay (Entellus Business Solutions Private Limited)</x:v>
      </x:c>
    </x:row>
    <x:row r="1830" ht="48" customHeight="1">
      <x:c r="A1830" s="2" t="str">
        <x:v>TEN-FDDB23A263CE</x:v>
      </x:c>
      <x:c r="B1830" s="12" t="str">
        <x:v>NutaNXT Technologies India</x:v>
      </x:c>
      <x:c r="C1830" s="12" t="str">
        <x:v>Business / brand</x:v>
      </x:c>
      <x:c r="D1830" s="12" t="str">
        <x:v>IT &amp; digital</x:v>
      </x:c>
      <x:c r="E1830" s="12" t="str">
        <x:v>Enterprise software &amp; digital engineering</x:v>
      </x:c>
      <x:c r="F1830" s="12" t="str">
        <x:v>Small-scale prospects</x:v>
      </x:c>
      <x:c r="G1830" s="12" t="str">
        <x:v>Software or technology-services business; small-scale prospect assumption.</x:v>
      </x:c>
      <x:c r="H1830" s="11" t="n">
        <x:v>1</x:v>
      </x:c>
      <x:c r="I1830" s="11" t="n">
        <x:v>1</x:v>
      </x:c>
      <x:c r="J1830" s="11" t="n">
        <x:v>1</x:v>
      </x:c>
      <x:c r="K1830" s="11" t="n">
        <x:v>0</x:v>
      </x:c>
      <x:c r="L1830" s="17" t="n">
        <x:f>SUM(SUMIFS('Costing'!$P$9:$P$492,'Costing'!$A$9:$A$492,"MAIN-386"))</x:f>
        <x:v>15000</x:v>
      </x:c>
      <x:c r="M1830" s="17" t="n">
        <x:f>ROUND(L1830*'Costing'!$C$4,2)</x:f>
        <x:v>2700</x:v>
      </x:c>
      <x:c r="N1830" s="17" t="n">
        <x:f>L1830+M1830</x:f>
        <x:v>17700</x:v>
      </x:c>
      <x:c r="O1830" s="12" t="str">
        <x:v>Pune</x:v>
      </x:c>
      <x:c r="P1830" s="12" t="str">
        <x:v>CORP-0382</x:v>
      </x:c>
      <x:c r="Q1830" s="12" t="str">
        <x:v>NutaNXT Technologies India</x:v>
      </x:c>
    </x:row>
    <x:row r="1831" ht="48" customHeight="1">
      <x:c r="A1831" s="2" t="str">
        <x:v>TEN-CF8527DC52D8</x:v>
      </x:c>
      <x:c r="B1831" s="12" t="str">
        <x:v>NUVOCO</x:v>
      </x:c>
      <x:c r="C1831" s="12" t="str">
        <x:v>Business / brand</x:v>
      </x:c>
      <x:c r="D1831" s="12" t="str">
        <x:v>Engineering &amp; manufacturing</x:v>
      </x:c>
      <x:c r="E1831" s="12" t="str">
        <x:v>Engineering/manufacturing — specialty unverified</x:v>
      </x:c>
      <x:c r="F1831" s="12" t="str">
        <x:v>Mixed business audience</x:v>
      </x:c>
      <x:c r="G1831" s="12" t="str">
        <x:v>Recognisable business context; company-scale evidence remains insufficient for a single size band.</x:v>
      </x:c>
      <x:c r="H1831" s="11" t="n">
        <x:v>1</x:v>
      </x:c>
      <x:c r="I1831" s="11" t="n">
        <x:v>1</x:v>
      </x:c>
      <x:c r="J1831" s="11" t="n">
        <x:v>1</x:v>
      </x:c>
      <x:c r="K1831" s="11" t="n">
        <x:v>0</x:v>
      </x:c>
      <x:c r="L1831" s="17" t="n">
        <x:f>SUM(SUMIFS('Costing'!$P$9:$P$492,'Costing'!$A$9:$A$492,"MAIN-270"))</x:f>
        <x:v>20000</x:v>
      </x:c>
      <x:c r="M1831" s="17" t="n">
        <x:f>ROUND(L1831*'Costing'!$C$4,2)</x:f>
        <x:v>3600</x:v>
      </x:c>
      <x:c r="N1831" s="17" t="n">
        <x:f>L1831+M1831</x:f>
        <x:v>23600</x:v>
      </x:c>
      <x:c r="O1831" s="12" t="str">
        <x:v>Indore</x:v>
      </x:c>
      <x:c r="P1831" s="12" t="str">
        <x:v>CORP-0266</x:v>
      </x:c>
      <x:c r="Q1831" s="12" t="str">
        <x:v>NUVOCO</x:v>
      </x:c>
    </x:row>
    <x:row r="1832" ht="49" customHeight="1">
      <x:c r="A1832" s="2" t="str">
        <x:v>TEN-8D4321D93632</x:v>
      </x:c>
      <x:c r="B1832" s="12" t="str">
        <x:v>Nvidia</x:v>
      </x:c>
      <x:c r="C1832" s="12" t="str">
        <x:v>Business / brand</x:v>
      </x:c>
      <x:c r="D1832" s="12" t="str">
        <x:v>Engineering &amp; manufacturing</x:v>
      </x:c>
      <x:c r="E1832" s="12" t="str">
        <x:v>Semiconductors, electronics &amp; equipment</x:v>
      </x:c>
      <x:c r="F1832" s="12" t="str">
        <x:v>Large enterprise</x:v>
      </x:c>
      <x:c r="G1832" s="12" t="str">
        <x:v>NVIDIA's FY2026 sustainability report describes 42,000 employees across 38 countries. This supports enterprise-group context for the reviewed NVIDIA tenant brand.</x:v>
      </x:c>
      <x:c r="H1832" s="11" t="n">
        <x:v>15</x:v>
      </x:c>
      <x:c r="I1832" s="11" t="n">
        <x:v>15</x:v>
      </x:c>
      <x:c r="J1832" s="11" t="n">
        <x:v>15</x:v>
      </x:c>
      <x:c r="K1832" s="11" t="n">
        <x:v>0</x:v>
      </x:c>
      <x:c r="L1832" s="17" t="n">
        <x:f>SUM(SUMIFS('Costing'!$P$9:$P$492,'Costing'!$A$9:$A$492,"PARTNER-M120"),SUMIFS('Costing'!$P$9:$P$492,'Costing'!$A$9:$A$492,"PARTNER-M051"))</x:f>
        <x:v>600000</x:v>
      </x:c>
      <x:c r="M1832" s="17" t="n">
        <x:f>ROUND(L1832*'Costing'!$C$4,2)</x:f>
        <x:v>108000</x:v>
      </x:c>
      <x:c r="N1832" s="17" t="n">
        <x:f>L1832+M1832</x:f>
        <x:v>708000</x:v>
      </x:c>
      <x:c r="O1832" s="12" t="str">
        <x:v>Bengaluru</x:v>
      </x:c>
      <x:c r="P1832" s="12" t="str">
        <x:v>CORP-0469, CORP-0470, CORP-0471, CORP-0472, CORP-0473, CORP-0538, CORP-0539, CORP-0540, CORP-0541, CORP-0542, CORP-0543, CORP-0544, CORP-0545, CORP-0546, CORP-0547</x:v>
      </x:c>
      <x:c r="Q1832" s="12" t="str">
        <x:v>Nvidia</x:v>
      </x:c>
    </x:row>
    <x:row r="1833" ht="48" customHeight="1">
      <x:c r="A1833" s="2" t="str">
        <x:v>TEN-957870226159</x:v>
      </x:c>
      <x:c r="B1833" s="12" t="str">
        <x:v>NXP Semiconductors</x:v>
      </x:c>
      <x:c r="C1833" s="12" t="str">
        <x:v>Business / brand</x:v>
      </x:c>
      <x:c r="D1833" s="12" t="str">
        <x:v>Engineering &amp; manufacturing</x:v>
      </x:c>
      <x:c r="E1833" s="12" t="str">
        <x:v>Semiconductors, electronics &amp; equipment</x:v>
      </x:c>
      <x:c r="F1833" s="12" t="str">
        <x:v>Mixed business audience</x:v>
      </x:c>
      <x:c r="G1833" s="12" t="str">
        <x:v>Recognisable business context; company-scale evidence remains insufficient for a single size band.</x:v>
      </x:c>
      <x:c r="H1833" s="11" t="n">
        <x:v>5</x:v>
      </x:c>
      <x:c r="I1833" s="11" t="n">
        <x:v>5</x:v>
      </x:c>
      <x:c r="J1833" s="11" t="n">
        <x:v>5</x:v>
      </x:c>
      <x:c r="K1833" s="11" t="n">
        <x:v>0</x:v>
      </x:c>
      <x:c r="L1833" s="17" t="n">
        <x:f>SUM(SUMIFS('Costing'!$P$9:$P$492,'Costing'!$A$9:$A$492,"PARTNER-M051"))</x:f>
        <x:v>200000</x:v>
      </x:c>
      <x:c r="M1833" s="17" t="n">
        <x:f>ROUND(L1833*'Costing'!$C$4,2)</x:f>
        <x:v>36000</x:v>
      </x:c>
      <x:c r="N1833" s="17" t="n">
        <x:f>L1833+M1833</x:f>
        <x:v>236000</x:v>
      </x:c>
      <x:c r="O1833" s="12" t="str">
        <x:v>Bengaluru</x:v>
      </x:c>
      <x:c r="P1833" s="12" t="str">
        <x:v>CORP-0469, CORP-0470, CORP-0471, CORP-0472, CORP-0473</x:v>
      </x:c>
      <x:c r="Q1833" s="12" t="str">
        <x:v>NXP Semiconductors</x:v>
      </x:c>
    </x:row>
    <x:row r="1834" ht="48" customHeight="1">
      <x:c r="A1834" s="2" t="str">
        <x:v>TEN-C6E4BD473001</x:v>
      </x:c>
      <x:c r="B1834" s="12" t="str">
        <x:v>NXTDIV TECHNOLOGIES PVT LTD</x:v>
      </x:c>
      <x:c r="C1834" s="12" t="str">
        <x:v>Business / brand</x:v>
      </x:c>
      <x:c r="D1834" s="12" t="str">
        <x:v>Unresolved</x:v>
      </x:c>
      <x:c r="E1834" s="12" t="str">
        <x:v>Business activity not established</x:v>
      </x:c>
      <x:c r="F1834" s="12" t="str">
        <x:v>Mixed business audience</x:v>
      </x:c>
      <x:c r="G1834" s="12" t="str">
        <x:v>Business activity and company scale are not established from this name.</x:v>
      </x:c>
      <x:c r="H1834" s="11" t="n">
        <x:v>1</x:v>
      </x:c>
      <x:c r="I1834" s="11" t="n">
        <x:v>2</x:v>
      </x:c>
      <x:c r="J1834" s="11" t="n">
        <x:v>2</x:v>
      </x:c>
      <x:c r="K1834" s="11" t="n">
        <x:v>0</x:v>
      </x:c>
      <x:c r="L1834" s="17" t="n">
        <x:f>SUM(SUMIFS('Costing'!$P$9:$P$492,'Costing'!$A$9:$A$492,"MAIN-244"))</x:f>
        <x:v>30000</x:v>
      </x:c>
      <x:c r="M1834" s="17" t="n">
        <x:f>ROUND(L1834*'Costing'!$C$4,2)</x:f>
        <x:v>5400</x:v>
      </x:c>
      <x:c r="N1834" s="17" t="n">
        <x:f>L1834+M1834</x:f>
        <x:v>35400</x:v>
      </x:c>
      <x:c r="O1834" s="12" t="str">
        <x:v>Hyderabad</x:v>
      </x:c>
      <x:c r="P1834" s="12" t="str">
        <x:v>CORP-0240</x:v>
      </x:c>
      <x:c r="Q1834" s="12" t="str">
        <x:v>NXTDIV TECHNOLOGIES PVT LTD</x:v>
      </x:c>
    </x:row>
    <x:row r="1835" ht="48" customHeight="1">
      <x:c r="A1835" s="2" t="str">
        <x:v>TEN-2F91A8AFEB8D</x:v>
      </x:c>
      <x:c r="B1835" s="12" t="str">
        <x:v>NxtHire India Private Limited</x:v>
      </x:c>
      <x:c r="C1835" s="12" t="str">
        <x:v>Business / brand</x:v>
      </x:c>
      <x:c r="D1835" s="12" t="str">
        <x:v>Professional services</x:v>
      </x:c>
      <x:c r="E1835" s="12" t="str">
        <x:v>Research, marketing &amp; professional services</x:v>
      </x:c>
      <x:c r="F1835" s="12" t="str">
        <x:v>Small-scale prospects</x:v>
      </x:c>
      <x:c r="G1835" s="12" t="str">
        <x:v>Professional service, agency or advisory model; small-scale prospect assumption.</x:v>
      </x:c>
      <x:c r="H1835" s="11" t="n">
        <x:v>1</x:v>
      </x:c>
      <x:c r="I1835" s="11" t="n">
        <x:v>3</x:v>
      </x:c>
      <x:c r="J1835" s="11" t="n">
        <x:v>3</x:v>
      </x:c>
      <x:c r="K1835" s="11" t="n">
        <x:v>0</x:v>
      </x:c>
      <x:c r="L1835" s="17" t="n">
        <x:f>SUM(SUMIFS('Costing'!$P$9:$P$492,'Costing'!$A$9:$A$492,"MAIN-248"))</x:f>
        <x:v>45000</x:v>
      </x:c>
      <x:c r="M1835" s="17" t="n">
        <x:f>ROUND(L1835*'Costing'!$C$4,2)</x:f>
        <x:v>8100</x:v>
      </x:c>
      <x:c r="N1835" s="17" t="n">
        <x:f>L1835+M1835</x:f>
        <x:v>53100</x:v>
      </x:c>
      <x:c r="O1835" s="12" t="str">
        <x:v>Hyderabad</x:v>
      </x:c>
      <x:c r="P1835" s="12" t="str">
        <x:v>CORP-0244</x:v>
      </x:c>
      <x:c r="Q1835" s="12" t="str">
        <x:v>NxtHire India Private Limited</x:v>
      </x:c>
    </x:row>
    <x:row r="1836" ht="48" customHeight="1">
      <x:c r="A1836" s="2" t="str">
        <x:v>TEN-ADC38A504E62</x:v>
      </x:c>
      <x:c r="B1836" s="12" t="str">
        <x:v>NYVFXWAALA</x:v>
      </x:c>
      <x:c r="C1836" s="12" t="str">
        <x:v>Business / brand</x:v>
      </x:c>
      <x:c r="D1836" s="12" t="str">
        <x:v>Trade, consumer &amp; logistics</x:v>
      </x:c>
      <x:c r="E1836" s="12" t="str">
        <x:v>Entertainment, media &amp; events</x:v>
      </x:c>
      <x:c r="F1836" s="12" t="str">
        <x:v>Small-scale prospects</x:v>
      </x:c>
      <x:c r="G1836" s="12" t="str">
        <x:v>Trading or consumer-services business; small-scale prospect assumption.</x:v>
      </x:c>
      <x:c r="H1836" s="11" t="n">
        <x:v>1</x:v>
      </x:c>
      <x:c r="I1836" s="11" t="n">
        <x:v>1</x:v>
      </x:c>
      <x:c r="J1836" s="11" t="n">
        <x:v>1</x:v>
      </x:c>
      <x:c r="K1836" s="11" t="n">
        <x:v>0</x:v>
      </x:c>
      <x:c r="L1836" s="17" t="n">
        <x:f>SUM(SUMIFS('Costing'!$P$9:$P$492,'Costing'!$A$9:$A$492,"MAIN-334"))</x:f>
        <x:v>20000</x:v>
      </x:c>
      <x:c r="M1836" s="17" t="n">
        <x:f>ROUND(L1836*'Costing'!$C$4,2)</x:f>
        <x:v>3600</x:v>
      </x:c>
      <x:c r="N1836" s="17" t="n">
        <x:f>L1836+M1836</x:f>
        <x:v>23600</x:v>
      </x:c>
      <x:c r="O1836" s="12" t="str">
        <x:v>Mumbai</x:v>
      </x:c>
      <x:c r="P1836" s="12" t="str">
        <x:v>CORP-0330</x:v>
      </x:c>
      <x:c r="Q1836" s="12" t="str">
        <x:v>NYVFXWAALA</x:v>
      </x:c>
    </x:row>
    <x:row r="1837" ht="48" customHeight="1">
      <x:c r="A1837" s="2" t="str">
        <x:v>TEN-1C3EC3D2C486</x:v>
      </x:c>
      <x:c r="B1837" s="12" t="str">
        <x:v>O A Dewani &amp; co</x:v>
      </x:c>
      <x:c r="C1837" s="12" t="str">
        <x:v>Business / brand</x:v>
      </x:c>
      <x:c r="D1837" s="12" t="str">
        <x:v>Unresolved</x:v>
      </x:c>
      <x:c r="E1837" s="12" t="str">
        <x:v>Business activity not established</x:v>
      </x:c>
      <x:c r="F1837" s="12" t="str">
        <x:v>Mixed business audience</x:v>
      </x:c>
      <x:c r="G1837" s="12" t="str">
        <x:v>Business activity and company scale are not established from this name.</x:v>
      </x:c>
      <x:c r="H1837" s="11" t="n">
        <x:v>1</x:v>
      </x:c>
      <x:c r="I1837" s="11" t="n">
        <x:v>1</x:v>
      </x:c>
      <x:c r="J1837" s="11" t="n">
        <x:v>1</x:v>
      </x:c>
      <x:c r="K1837" s="11" t="n">
        <x:v>0</x:v>
      </x:c>
      <x:c r="L1837" s="17" t="n">
        <x:f>SUM(SUMIFS('Costing'!$P$9:$P$492,'Costing'!$A$9:$A$492,"MAIN-395"))</x:f>
        <x:v>15000</x:v>
      </x:c>
      <x:c r="M1837" s="17" t="n">
        <x:f>ROUND(L1837*'Costing'!$C$4,2)</x:f>
        <x:v>2700</x:v>
      </x:c>
      <x:c r="N1837" s="17" t="n">
        <x:f>L1837+M1837</x:f>
        <x:v>17700</x:v>
      </x:c>
      <x:c r="O1837" s="12" t="str">
        <x:v>Pune</x:v>
      </x:c>
      <x:c r="P1837" s="12" t="str">
        <x:v>CORP-0391</x:v>
      </x:c>
      <x:c r="Q1837" s="12" t="str">
        <x:v>O A Dewani &amp; co</x:v>
      </x:c>
    </x:row>
    <x:row r="1838" ht="48" customHeight="1">
      <x:c r="A1838" s="2" t="str">
        <x:v>TEN-76119E99264F</x:v>
      </x:c>
      <x:c r="B1838" s="12" t="str">
        <x:v>O.C.Tanner India Pvt Ltd</x:v>
      </x:c>
      <x:c r="C1838" s="12" t="str">
        <x:v>Business / brand</x:v>
      </x:c>
      <x:c r="D1838" s="12" t="str">
        <x:v>Professional services</x:v>
      </x:c>
      <x:c r="E1838" s="12" t="str">
        <x:v>Research, marketing &amp; professional services</x:v>
      </x:c>
      <x:c r="F1838" s="12" t="str">
        <x:v>Mixed business audience</x:v>
      </x:c>
      <x:c r="G1838" s="12" t="str">
        <x:v>Established brand or business network; local company scale is not established. Use a mixed-business message.</x:v>
      </x:c>
      <x:c r="H1838" s="11" t="n">
        <x:v>1</x:v>
      </x:c>
      <x:c r="I1838" s="11" t="n">
        <x:v>2</x:v>
      </x:c>
      <x:c r="J1838" s="11" t="n">
        <x:v>2</x:v>
      </x:c>
      <x:c r="K1838" s="11" t="n">
        <x:v>0</x:v>
      </x:c>
      <x:c r="L1838" s="17" t="n">
        <x:f>SUM(SUMIFS('Costing'!$P$9:$P$492,'Costing'!$A$9:$A$492,"MAIN-237"))</x:f>
        <x:v>80000</x:v>
      </x:c>
      <x:c r="M1838" s="17" t="n">
        <x:f>ROUND(L1838*'Costing'!$C$4,2)</x:f>
        <x:v>14400</x:v>
      </x:c>
      <x:c r="N1838" s="17" t="n">
        <x:f>L1838+M1838</x:f>
        <x:v>94400</x:v>
      </x:c>
      <x:c r="O1838" s="12" t="str">
        <x:v>Hyderabad</x:v>
      </x:c>
      <x:c r="P1838" s="12" t="str">
        <x:v>CORP-0233</x:v>
      </x:c>
      <x:c r="Q1838" s="12" t="str">
        <x:v>O.C.Tanner India Pvt Ltd</x:v>
      </x:c>
    </x:row>
    <x:row r="1839" ht="48" customHeight="1">
      <x:c r="A1839" s="2" t="str">
        <x:v>TEN-D273C9F9C1A3</x:v>
      </x:c>
      <x:c r="B1839" s="12" t="str">
        <x:v>o9 Solutions</x:v>
      </x:c>
      <x:c r="C1839" s="12" t="str">
        <x:v>Business / brand</x:v>
      </x:c>
      <x:c r="D1839" s="12" t="str">
        <x:v>IT &amp; digital</x:v>
      </x:c>
      <x:c r="E1839" s="12" t="str">
        <x:v>Technology services — specialty unverified</x:v>
      </x:c>
      <x:c r="F1839" s="12" t="str">
        <x:v>Mixed business audience</x:v>
      </x:c>
      <x:c r="G1839" s="12" t="str">
        <x:v>Recognisable business context; company-scale evidence remains insufficient for a single size band.</x:v>
      </x:c>
      <x:c r="H1839" s="11" t="n">
        <x:v>5</x:v>
      </x:c>
      <x:c r="I1839" s="11" t="n">
        <x:v>5</x:v>
      </x:c>
      <x:c r="J1839" s="11" t="n">
        <x:v>5</x:v>
      </x:c>
      <x:c r="K1839" s="11" t="n">
        <x:v>0</x:v>
      </x:c>
      <x:c r="L1839" s="17" t="n">
        <x:f>SUM(SUMIFS('Costing'!$P$9:$P$492,'Costing'!$A$9:$A$492,"PARTNER-M034"))</x:f>
        <x:v>200000</x:v>
      </x:c>
      <x:c r="M1839" s="17" t="n">
        <x:f>ROUND(L1839*'Costing'!$C$4,2)</x:f>
        <x:v>36000</x:v>
      </x:c>
      <x:c r="N1839" s="17" t="n">
        <x:f>L1839+M1839</x:f>
        <x:v>236000</x:v>
      </x:c>
      <x:c r="O1839" s="12" t="str">
        <x:v>Bengaluru</x:v>
      </x:c>
      <x:c r="P1839" s="12" t="str">
        <x:v>CORP-0452, CORP-0453, CORP-0454, CORP-0455, CORP-0456</x:v>
      </x:c>
      <x:c r="Q1839" s="12" t="str">
        <x:v>o9 Solutions</x:v>
      </x:c>
    </x:row>
    <x:row r="1840" ht="48" customHeight="1">
      <x:c r="A1840" s="2" t="str">
        <x:v>TEN-4337D4E769C7</x:v>
      </x:c>
      <x:c r="B1840" s="12" t="str">
        <x:v>Object Edge</x:v>
      </x:c>
      <x:c r="C1840" s="12" t="str">
        <x:v>Business / brand</x:v>
      </x:c>
      <x:c r="D1840" s="12" t="str">
        <x:v>IT &amp; digital</x:v>
      </x:c>
      <x:c r="E1840" s="12" t="str">
        <x:v>Enterprise software &amp; digital engineering</x:v>
      </x:c>
      <x:c r="F1840" s="12" t="str">
        <x:v>Small-scale prospects</x:v>
      </x:c>
      <x:c r="G1840" s="12" t="str">
        <x:v>Software or technology-services business; small-scale prospect assumption.</x:v>
      </x:c>
      <x:c r="H1840" s="11" t="n">
        <x:v>10</x:v>
      </x:c>
      <x:c r="I1840" s="11" t="n">
        <x:v>10</x:v>
      </x:c>
      <x:c r="J1840" s="11" t="n">
        <x:v>10</x:v>
      </x:c>
      <x:c r="K1840" s="11" t="n">
        <x:v>0</x:v>
      </x:c>
      <x:c r="L1840" s="17" t="n">
        <x:f>SUM(SUMIFS('Costing'!$P$9:$P$492,'Costing'!$A$9:$A$492,"PARTNER-M205"))</x:f>
        <x:v>400000</x:v>
      </x:c>
      <x:c r="M1840" s="17" t="n">
        <x:f>ROUND(L1840*'Costing'!$C$4,2)</x:f>
        <x:v>72000</x:v>
      </x:c>
      <x:c r="N1840" s="17" t="n">
        <x:f>L1840+M1840</x:f>
        <x:v>472000</x:v>
      </x:c>
      <x:c r="O1840" s="12" t="str">
        <x:v>Mumbai</x:v>
      </x:c>
      <x:c r="P1840" s="12" t="str">
        <x:v>CORP-0622, CORP-0623, CORP-0624, CORP-0625, CORP-0626, CORP-0627, CORP-0628, CORP-0629, CORP-0630, CORP-0631</x:v>
      </x:c>
      <x:c r="Q1840" s="12" t="str">
        <x:v>Object Edge</x:v>
      </x:c>
    </x:row>
    <x:row r="1841" ht="48" customHeight="1">
      <x:c r="A1841" s="2" t="str">
        <x:v>TEN-B8C120ECAB54</x:v>
      </x:c>
      <x:c r="B1841" s="12" t="str">
        <x:v>OCA</x:v>
      </x:c>
      <x:c r="C1841" s="12" t="str">
        <x:v>Business / brand</x:v>
      </x:c>
      <x:c r="D1841" s="12" t="str">
        <x:v>Unresolved</x:v>
      </x:c>
      <x:c r="E1841" s="12" t="str">
        <x:v>Business activity not established</x:v>
      </x:c>
      <x:c r="F1841" s="12" t="str">
        <x:v>Mixed business audience</x:v>
      </x:c>
      <x:c r="G1841" s="12" t="str">
        <x:v>Business activity and company scale are not established from this name.</x:v>
      </x:c>
      <x:c r="H1841" s="11" t="n">
        <x:v>1</x:v>
      </x:c>
      <x:c r="I1841" s="11" t="n">
        <x:v>2</x:v>
      </x:c>
      <x:c r="J1841" s="11" t="n">
        <x:v>2</x:v>
      </x:c>
      <x:c r="K1841" s="11" t="n">
        <x:v>0</x:v>
      </x:c>
      <x:c r="L1841" s="17" t="n">
        <x:f>SUM(SUMIFS('Costing'!$P$9:$P$492,'Costing'!$A$9:$A$492,"MAIN-268"))</x:f>
        <x:v>80000</x:v>
      </x:c>
      <x:c r="M1841" s="17" t="n">
        <x:f>ROUND(L1841*'Costing'!$C$4,2)</x:f>
        <x:v>14400</x:v>
      </x:c>
      <x:c r="N1841" s="17" t="n">
        <x:f>L1841+M1841</x:f>
        <x:v>94400</x:v>
      </x:c>
      <x:c r="O1841" s="12" t="str">
        <x:v>Indore</x:v>
      </x:c>
      <x:c r="P1841" s="12" t="str">
        <x:v>CORP-0264</x:v>
      </x:c>
      <x:c r="Q1841" s="12" t="str">
        <x:v>OCA</x:v>
      </x:c>
    </x:row>
    <x:row r="1842" ht="48" customHeight="1">
      <x:c r="A1842" s="2" t="str">
        <x:v>TEN-0C4F9F7327E1</x:v>
      </x:c>
      <x:c r="B1842" s="12" t="str">
        <x:v>Ocwen</x:v>
      </x:c>
      <x:c r="C1842" s="12" t="str">
        <x:v>Business / brand</x:v>
      </x:c>
      <x:c r="D1842" s="12" t="str">
        <x:v>Finance &amp; insurance</x:v>
      </x:c>
      <x:c r="E1842" s="12" t="str">
        <x:v>Banking, insurance, investments &amp; financial services</x:v>
      </x:c>
      <x:c r="F1842" s="12" t="str">
        <x:v>Mixed business audience</x:v>
      </x:c>
      <x:c r="G1842" s="12" t="str">
        <x:v>Established brand or business network; local company scale is not established. Use a mixed-business message.</x:v>
      </x:c>
      <x:c r="H1842" s="11" t="n">
        <x:v>9</x:v>
      </x:c>
      <x:c r="I1842" s="11" t="n">
        <x:v>9</x:v>
      </x:c>
      <x:c r="J1842" s="11" t="n">
        <x:v>9</x:v>
      </x:c>
      <x:c r="K1842" s="11" t="n">
        <x:v>0</x:v>
      </x:c>
      <x:c r="L1842" s="17" t="n">
        <x:f>SUM(SUMIFS('Costing'!$P$9:$P$492,'Costing'!$A$9:$A$492,"PARTNER-M252"))</x:f>
        <x:v>360000</x:v>
      </x:c>
      <x:c r="M1842" s="17" t="n">
        <x:f>ROUND(L1842*'Costing'!$C$4,2)</x:f>
        <x:v>64800</x:v>
      </x:c>
      <x:c r="N1842" s="17" t="n">
        <x:f>L1842+M1842</x:f>
        <x:v>424800</x:v>
      </x:c>
      <x:c r="O1842" s="12" t="str">
        <x:v>Pune</x:v>
      </x:c>
      <x:c r="P1842" s="12" t="str">
        <x:v>CORP-0668, CORP-0669, CORP-0670, CORP-0671, CORP-0672, CORP-0673, CORP-0674, CORP-0675, CORP-0676</x:v>
      </x:c>
      <x:c r="Q1842" s="12" t="str">
        <x:v>Ocwen</x:v>
      </x:c>
    </x:row>
    <x:row r="1843" ht="48" customHeight="1">
      <x:c r="A1843" s="2" t="str">
        <x:v>TEN-B112C787549C</x:v>
      </x:c>
      <x:c r="B1843" s="12" t="str">
        <x:v>OG Hep Pvt Ltd</x:v>
      </x:c>
      <x:c r="C1843" s="12" t="str">
        <x:v>Business / brand</x:v>
      </x:c>
      <x:c r="D1843" s="12" t="str">
        <x:v>Unresolved</x:v>
      </x:c>
      <x:c r="E1843" s="12" t="str">
        <x:v>Business activity not established</x:v>
      </x:c>
      <x:c r="F1843" s="12" t="str">
        <x:v>Mixed business audience</x:v>
      </x:c>
      <x:c r="G1843" s="12" t="str">
        <x:v>Business activity and company scale are not established from this name.</x:v>
      </x:c>
      <x:c r="H1843" s="11" t="n">
        <x:v>1</x:v>
      </x:c>
      <x:c r="I1843" s="11" t="n">
        <x:v>5</x:v>
      </x:c>
      <x:c r="J1843" s="11" t="n">
        <x:v>5</x:v>
      </x:c>
      <x:c r="K1843" s="11" t="n">
        <x:v>0</x:v>
      </x:c>
      <x:c r="L1843" s="17" t="n">
        <x:f>SUM(SUMIFS('Costing'!$P$9:$P$492,'Costing'!$A$9:$A$492,"MAIN-287"))</x:f>
        <x:v>75000</x:v>
      </x:c>
      <x:c r="M1843" s="17" t="n">
        <x:f>ROUND(L1843*'Costing'!$C$4,2)</x:f>
        <x:v>13500</x:v>
      </x:c>
      <x:c r="N1843" s="17" t="n">
        <x:f>L1843+M1843</x:f>
        <x:v>88500</x:v>
      </x:c>
      <x:c r="O1843" s="12" t="str">
        <x:v>Kolkata</x:v>
      </x:c>
      <x:c r="P1843" s="12" t="str">
        <x:v>CORP-0283</x:v>
      </x:c>
      <x:c r="Q1843" s="12" t="str">
        <x:v>OG Hep Pvt Ltd</x:v>
      </x:c>
    </x:row>
    <x:row r="1844" ht="48" customHeight="1">
      <x:c r="A1844" s="2" t="str">
        <x:v>TEN-F354DF1E461B</x:v>
      </x:c>
      <x:c r="B1844" s="12" t="str">
        <x:v>Okaya &amp; Co India Pvt.Ltd</x:v>
      </x:c>
      <x:c r="C1844" s="12" t="str">
        <x:v>Business / brand</x:v>
      </x:c>
      <x:c r="D1844" s="12" t="str">
        <x:v>Unresolved</x:v>
      </x:c>
      <x:c r="E1844" s="12" t="str">
        <x:v>Business activity not established</x:v>
      </x:c>
      <x:c r="F1844" s="12" t="str">
        <x:v>Mixed business audience</x:v>
      </x:c>
      <x:c r="G1844" s="12" t="str">
        <x:v>Business activity and company scale are not established from this name.</x:v>
      </x:c>
      <x:c r="H1844" s="11" t="n">
        <x:v>1</x:v>
      </x:c>
      <x:c r="I1844" s="11" t="n">
        <x:v>2</x:v>
      </x:c>
      <x:c r="J1844" s="11" t="n">
        <x:v>2</x:v>
      </x:c>
      <x:c r="K1844" s="11" t="n">
        <x:v>0</x:v>
      </x:c>
      <x:c r="L1844" s="17" t="n">
        <x:f>SUM(SUMIFS('Costing'!$P$9:$P$492,'Costing'!$A$9:$A$492,"MAIN-201"))</x:f>
        <x:v>80000</x:v>
      </x:c>
      <x:c r="M1844" s="17" t="n">
        <x:f>ROUND(L1844*'Costing'!$C$4,2)</x:f>
        <x:v>14400</x:v>
      </x:c>
      <x:c r="N1844" s="17" t="n">
        <x:f>L1844+M1844</x:f>
        <x:v>94400</x:v>
      </x:c>
      <x:c r="O1844" s="12" t="str">
        <x:v>Delhi NCR</x:v>
      </x:c>
      <x:c r="P1844" s="12" t="str">
        <x:v>CORP-0197</x:v>
      </x:c>
      <x:c r="Q1844" s="12" t="str">
        <x:v>Okaya &amp; Co India Pvt.Ltd</x:v>
      </x:c>
    </x:row>
    <x:row r="1845" ht="48" customHeight="1">
      <x:c r="A1845" s="2" t="str">
        <x:v>TEN-55A9F4F8994B</x:v>
      </x:c>
      <x:c r="B1845" s="12" t="str">
        <x:v>Ola</x:v>
      </x:c>
      <x:c r="C1845" s="12" t="str">
        <x:v>Business / brand</x:v>
      </x:c>
      <x:c r="D1845" s="12" t="str">
        <x:v>Trade, consumer &amp; logistics</x:v>
      </x:c>
      <x:c r="E1845" s="12" t="str">
        <x:v>Consumer/trade services — specialty unverified</x:v>
      </x:c>
      <x:c r="F1845" s="12" t="str">
        <x:v>Mixed business audience</x:v>
      </x:c>
      <x:c r="G1845" s="12" t="str">
        <x:v>Recognisable business context; company-scale evidence remains insufficient for a single size band.</x:v>
      </x:c>
      <x:c r="H1845" s="11" t="n">
        <x:v>1</x:v>
      </x:c>
      <x:c r="I1845" s="11" t="n">
        <x:v>3</x:v>
      </x:c>
      <x:c r="J1845" s="11" t="n">
        <x:v>3</x:v>
      </x:c>
      <x:c r="K1845" s="11" t="n">
        <x:v>0</x:v>
      </x:c>
      <x:c r="L1845" s="17" t="n">
        <x:f>SUM(SUMIFS('Costing'!$P$9:$P$492,'Costing'!$A$9:$A$492,"MAIN-422"))</x:f>
        <x:v>45000</x:v>
      </x:c>
      <x:c r="M1845" s="17" t="n">
        <x:f>ROUND(L1845*'Costing'!$C$4,2)</x:f>
        <x:v>8100</x:v>
      </x:c>
      <x:c r="N1845" s="17" t="n">
        <x:f>L1845+M1845</x:f>
        <x:v>53100</x:v>
      </x:c>
      <x:c r="O1845" s="12" t="str">
        <x:v>Pune</x:v>
      </x:c>
      <x:c r="P1845" s="12" t="str">
        <x:v>CORP-0418</x:v>
      </x:c>
      <x:c r="Q1845" s="12" t="str">
        <x:v>Ola</x:v>
      </x:c>
    </x:row>
    <x:row r="1846" ht="48" customHeight="1">
      <x:c r="A1846" s="2" t="str">
        <x:v>TEN-F192623D2043</x:v>
      </x:c>
      <x:c r="B1846" s="12" t="str">
        <x:v>OLA Experience Centre</x:v>
      </x:c>
      <x:c r="C1846" s="12" t="str">
        <x:v>Business / brand</x:v>
      </x:c>
      <x:c r="D1846" s="12" t="str">
        <x:v>Trade, consumer &amp; logistics</x:v>
      </x:c>
      <x:c r="E1846" s="12" t="str">
        <x:v>Retail, consumer products &amp; ecommerce</x:v>
      </x:c>
      <x:c r="F1846" s="12" t="str">
        <x:v>Mixed business audience</x:v>
      </x:c>
      <x:c r="G1846" s="12" t="str">
        <x:v>Established brand or business network; local company scale is not established. Use a mixed-business message.</x:v>
      </x:c>
      <x:c r="H1846" s="11" t="n">
        <x:v>1</x:v>
      </x:c>
      <x:c r="I1846" s="11" t="n">
        <x:v>3</x:v>
      </x:c>
      <x:c r="J1846" s="11" t="n">
        <x:v>3</x:v>
      </x:c>
      <x:c r="K1846" s="11" t="n">
        <x:v>0</x:v>
      </x:c>
      <x:c r="L1846" s="17" t="n">
        <x:f>SUM(SUMIFS('Costing'!$P$9:$P$492,'Costing'!$A$9:$A$492,"MAIN-404"))</x:f>
        <x:v>60000</x:v>
      </x:c>
      <x:c r="M1846" s="17" t="n">
        <x:f>ROUND(L1846*'Costing'!$C$4,2)</x:f>
        <x:v>10800</x:v>
      </x:c>
      <x:c r="N1846" s="17" t="n">
        <x:f>L1846+M1846</x:f>
        <x:v>70800</x:v>
      </x:c>
      <x:c r="O1846" s="12" t="str">
        <x:v>Pune</x:v>
      </x:c>
      <x:c r="P1846" s="12" t="str">
        <x:v>CORP-0400</x:v>
      </x:c>
      <x:c r="Q1846" s="12" t="str">
        <x:v>OLA Experience Centre</x:v>
      </x:c>
    </x:row>
    <x:row r="1847" ht="48" customHeight="1">
      <x:c r="A1847" s="2" t="str">
        <x:v>TEN-98D6043D3E03</x:v>
      </x:c>
      <x:c r="B1847" s="12" t="str">
        <x:v>Oleic Technologies</x:v>
      </x:c>
      <x:c r="C1847" s="12" t="str">
        <x:v>Business / brand</x:v>
      </x:c>
      <x:c r="D1847" s="12" t="str">
        <x:v>Unresolved</x:v>
      </x:c>
      <x:c r="E1847" s="12" t="str">
        <x:v>Business activity not established</x:v>
      </x:c>
      <x:c r="F1847" s="12" t="str">
        <x:v>Mixed business audience</x:v>
      </x:c>
      <x:c r="G1847" s="12" t="str">
        <x:v>Business activity and company scale are not established from this name.</x:v>
      </x:c>
      <x:c r="H1847" s="11" t="n">
        <x:v>1</x:v>
      </x:c>
      <x:c r="I1847" s="11" t="n">
        <x:v>8</x:v>
      </x:c>
      <x:c r="J1847" s="11" t="n">
        <x:v>8</x:v>
      </x:c>
      <x:c r="K1847" s="11" t="n">
        <x:v>0</x:v>
      </x:c>
      <x:c r="L1847" s="17" t="n">
        <x:f>SUM(SUMIFS('Costing'!$P$9:$P$492,'Costing'!$A$9:$A$492,"MAIN-126"))</x:f>
        <x:v>200000</x:v>
      </x:c>
      <x:c r="M1847" s="17" t="n">
        <x:f>ROUND(L1847*'Costing'!$C$4,2)</x:f>
        <x:v>36000</x:v>
      </x:c>
      <x:c r="N1847" s="17" t="n">
        <x:f>L1847+M1847</x:f>
        <x:v>236000</x:v>
      </x:c>
      <x:c r="O1847" s="12" t="str">
        <x:v>Bengaluru</x:v>
      </x:c>
      <x:c r="P1847" s="12" t="str">
        <x:v>CORP-0122</x:v>
      </x:c>
      <x:c r="Q1847" s="12" t="str">
        <x:v>Oleic Technologies</x:v>
      </x:c>
    </x:row>
    <x:row r="1848" ht="48" customHeight="1">
      <x:c r="A1848" s="2" t="str">
        <x:v>TEN-B0073002DBE1</x:v>
      </x:c>
      <x:c r="B1848" s="12" t="str">
        <x:v>Oman India Joint Investment Fund</x:v>
      </x:c>
      <x:c r="C1848" s="12" t="str">
        <x:v>Business / brand</x:v>
      </x:c>
      <x:c r="D1848" s="12" t="str">
        <x:v>Finance &amp; insurance</x:v>
      </x:c>
      <x:c r="E1848" s="12" t="str">
        <x:v>Investments, securities &amp; wealth</x:v>
      </x:c>
      <x:c r="F1848" s="12" t="str">
        <x:v>Medium-scale prospects</x:v>
      </x:c>
      <x:c r="G1848" s="12" t="str">
        <x:v>Specialist financial-services business; medium-scale prospect assumption.</x:v>
      </x:c>
      <x:c r="H1848" s="11" t="n">
        <x:v>1</x:v>
      </x:c>
      <x:c r="I1848" s="11" t="n">
        <x:v>1</x:v>
      </x:c>
      <x:c r="J1848" s="11" t="n">
        <x:v>1</x:v>
      </x:c>
      <x:c r="K1848" s="11" t="n">
        <x:v>0</x:v>
      </x:c>
      <x:c r="L1848" s="17" t="n">
        <x:f>SUM(SUMIFS('Costing'!$P$9:$P$492,'Costing'!$A$9:$A$492,"MAIN-331"))</x:f>
        <x:v>15000</x:v>
      </x:c>
      <x:c r="M1848" s="17" t="n">
        <x:f>ROUND(L1848*'Costing'!$C$4,2)</x:f>
        <x:v>2700</x:v>
      </x:c>
      <x:c r="N1848" s="17" t="n">
        <x:f>L1848+M1848</x:f>
        <x:v>17700</x:v>
      </x:c>
      <x:c r="O1848" s="12" t="str">
        <x:v>Mumbai</x:v>
      </x:c>
      <x:c r="P1848" s="12" t="str">
        <x:v>CORP-0327</x:v>
      </x:c>
      <x:c r="Q1848" s="12" t="str">
        <x:v>Oman India Joint Investment Fund</x:v>
      </x:c>
    </x:row>
    <x:row r="1849" ht="48" customHeight="1">
      <x:c r="A1849" s="2" t="str">
        <x:v>TEN-29D7F81C9D8B</x:v>
      </x:c>
      <x:c r="B1849" s="12" t="str">
        <x:v>omaxe housing</x:v>
      </x:c>
      <x:c r="C1849" s="12" t="str">
        <x:v>Business / brand</x:v>
      </x:c>
      <x:c r="D1849" s="12" t="str">
        <x:v>Trade, consumer &amp; logistics</x:v>
      </x:c>
      <x:c r="E1849" s="12" t="str">
        <x:v>Real estate, property &amp; construction services</x:v>
      </x:c>
      <x:c r="F1849" s="12" t="str">
        <x:v>Mixed business audience</x:v>
      </x:c>
      <x:c r="G1849" s="12" t="str">
        <x:v>Established brand or business network; local company scale is not established. Use a mixed-business message.</x:v>
      </x:c>
      <x:c r="H1849" s="11" t="n">
        <x:v>1</x:v>
      </x:c>
      <x:c r="I1849" s="11" t="n">
        <x:v>3</x:v>
      </x:c>
      <x:c r="J1849" s="11" t="n">
        <x:v>3</x:v>
      </x:c>
      <x:c r="K1849" s="11" t="n">
        <x:v>0</x:v>
      </x:c>
      <x:c r="L1849" s="17" t="n">
        <x:f>SUM(SUMIFS('Costing'!$P$9:$P$492,'Costing'!$A$9:$A$492,"MAIN-292"))</x:f>
        <x:v>120000</x:v>
      </x:c>
      <x:c r="M1849" s="17" t="n">
        <x:f>ROUND(L1849*'Costing'!$C$4,2)</x:f>
        <x:v>21600</x:v>
      </x:c>
      <x:c r="N1849" s="17" t="n">
        <x:f>L1849+M1849</x:f>
        <x:v>141600</x:v>
      </x:c>
      <x:c r="O1849" s="12" t="str">
        <x:v>Lucknow</x:v>
      </x:c>
      <x:c r="P1849" s="12" t="str">
        <x:v>CORP-0288</x:v>
      </x:c>
      <x:c r="Q1849" s="12" t="str">
        <x:v>omaxe housing</x:v>
      </x:c>
    </x:row>
    <x:row r="1850" ht="48" customHeight="1">
      <x:c r="A1850" s="2" t="str">
        <x:v>TEN-7539C30876CE</x:v>
      </x:c>
      <x:c r="B1850" s="12" t="str">
        <x:v>OMC Power Pvt ltd</x:v>
      </x:c>
      <x:c r="C1850" s="12" t="str">
        <x:v>Business / brand</x:v>
      </x:c>
      <x:c r="D1850" s="12" t="str">
        <x:v>Engineering &amp; manufacturing</x:v>
      </x:c>
      <x:c r="E1850" s="12" t="str">
        <x:v>Energy, electrical &amp; industrial systems</x:v>
      </x:c>
      <x:c r="F1850" s="12" t="str">
        <x:v>Medium-scale prospects</x:v>
      </x:c>
      <x:c r="G1850" s="12" t="str">
        <x:v>Specialist industrial or engineering business; medium-scale prospect assumption.</x:v>
      </x:c>
      <x:c r="H1850" s="11" t="n">
        <x:v>1</x:v>
      </x:c>
      <x:c r="I1850" s="11" t="n">
        <x:v>3</x:v>
      </x:c>
      <x:c r="J1850" s="11" t="n">
        <x:v>3</x:v>
      </x:c>
      <x:c r="K1850" s="11" t="n">
        <x:v>0</x:v>
      </x:c>
      <x:c r="L1850" s="17" t="n">
        <x:f>SUM(SUMIFS('Costing'!$P$9:$P$492,'Costing'!$A$9:$A$492,"MAIN-292"))</x:f>
        <x:v>120000</x:v>
      </x:c>
      <x:c r="M1850" s="17" t="n">
        <x:f>ROUND(L1850*'Costing'!$C$4,2)</x:f>
        <x:v>21600</x:v>
      </x:c>
      <x:c r="N1850" s="17" t="n">
        <x:f>L1850+M1850</x:f>
        <x:v>141600</x:v>
      </x:c>
      <x:c r="O1850" s="12" t="str">
        <x:v>Lucknow</x:v>
      </x:c>
      <x:c r="P1850" s="12" t="str">
        <x:v>CORP-0288</x:v>
      </x:c>
      <x:c r="Q1850" s="12" t="str">
        <x:v>OMC Power Pvt ltd</x:v>
      </x:c>
    </x:row>
    <x:row r="1851" ht="48" customHeight="1">
      <x:c r="A1851" s="2" t="str">
        <x:v>TEN-F12B2AE1B965</x:v>
      </x:c>
      <x:c r="B1851" s="12" t="str">
        <x:v>Omega Shipping Agencies Pvt. Ltd</x:v>
      </x:c>
      <x:c r="C1851" s="12" t="str">
        <x:v>Business / brand</x:v>
      </x:c>
      <x:c r="D1851" s="12" t="str">
        <x:v>Trade, consumer &amp; logistics</x:v>
      </x:c>
      <x:c r="E1851" s="12" t="str">
        <x:v>Logistics, shipping &amp; transport</x:v>
      </x:c>
      <x:c r="F1851" s="12" t="str">
        <x:v>Medium-scale prospects</x:v>
      </x:c>
      <x:c r="G1851" s="12" t="str">
        <x:v>Specialist logistics or transport business; medium-scale prospect assumption.</x:v>
      </x:c>
      <x:c r="H1851" s="11" t="n">
        <x:v>2</x:v>
      </x:c>
      <x:c r="I1851" s="11" t="n">
        <x:v>2</x:v>
      </x:c>
      <x:c r="J1851" s="11" t="n">
        <x:v>2</x:v>
      </x:c>
      <x:c r="K1851" s="11" t="n">
        <x:v>0</x:v>
      </x:c>
      <x:c r="L1851" s="17" t="n">
        <x:f>SUM(SUMIFS('Costing'!$P$9:$P$492,'Costing'!$A$9:$A$492,"PARTNER-M243"))</x:f>
        <x:v>80000</x:v>
      </x:c>
      <x:c r="M1851" s="17" t="n">
        <x:f>ROUND(L1851*'Costing'!$C$4,2)</x:f>
        <x:v>14400</x:v>
      </x:c>
      <x:c r="N1851" s="17" t="n">
        <x:f>L1851+M1851</x:f>
        <x:v>94400</x:v>
      </x:c>
      <x:c r="O1851" s="12" t="str">
        <x:v>Mumbai</x:v>
      </x:c>
      <x:c r="P1851" s="12" t="str">
        <x:v>CORP-0660, CORP-0661</x:v>
      </x:c>
      <x:c r="Q1851" s="12" t="str">
        <x:v>Omega Shipping Agencies Pvt. Ltd</x:v>
      </x:c>
    </x:row>
    <x:row r="1852" ht="48" customHeight="1">
      <x:c r="A1852" s="2" t="str">
        <x:v>TEN-60CDE18C0230</x:v>
      </x:c>
      <x:c r="B1852" s="12" t="str">
        <x:v>Omens Animation</x:v>
      </x:c>
      <x:c r="C1852" s="12" t="str">
        <x:v>Business / brand</x:v>
      </x:c>
      <x:c r="D1852" s="12" t="str">
        <x:v>Trade, consumer &amp; logistics</x:v>
      </x:c>
      <x:c r="E1852" s="12" t="str">
        <x:v>Entertainment, media &amp; events</x:v>
      </x:c>
      <x:c r="F1852" s="12" t="str">
        <x:v>Small-scale prospects</x:v>
      </x:c>
      <x:c r="G1852" s="12" t="str">
        <x:v>Trading or consumer-services business; small-scale prospect assumption.</x:v>
      </x:c>
      <x:c r="H1852" s="11" t="n">
        <x:v>9</x:v>
      </x:c>
      <x:c r="I1852" s="11" t="n">
        <x:v>9</x:v>
      </x:c>
      <x:c r="J1852" s="11" t="n">
        <x:v>9</x:v>
      </x:c>
      <x:c r="K1852" s="11" t="n">
        <x:v>0</x:v>
      </x:c>
      <x:c r="L1852" s="17" t="n">
        <x:f>SUM(SUMIFS('Costing'!$P$9:$P$492,'Costing'!$A$9:$A$492,"PARTNER-M002"))</x:f>
        <x:v>360000</x:v>
      </x:c>
      <x:c r="M1852" s="17" t="n">
        <x:f>ROUND(L1852*'Costing'!$C$4,2)</x:f>
        <x:v>64800</x:v>
      </x:c>
      <x:c r="N1852" s="17" t="n">
        <x:f>L1852+M1852</x:f>
        <x:v>424800</x:v>
      </x:c>
      <x:c r="O1852" s="12" t="str">
        <x:v>Bengaluru</x:v>
      </x:c>
      <x:c r="P1852" s="12" t="str">
        <x:v>CORP-0420, CORP-0421, CORP-0422, CORP-0423, CORP-0424, CORP-0425, CORP-0426, CORP-0427, CORP-0428</x:v>
      </x:c>
      <x:c r="Q1852" s="12" t="str">
        <x:v>Omens Animation</x:v>
      </x:c>
    </x:row>
    <x:row r="1853" ht="48" customHeight="1">
      <x:c r="A1853" s="2" t="str">
        <x:v>TEN-9504045C2AB3</x:v>
      </x:c>
      <x:c r="B1853" s="12" t="str">
        <x:v>One Earth</x:v>
      </x:c>
      <x:c r="C1853" s="12" t="str">
        <x:v>Business / brand</x:v>
      </x:c>
      <x:c r="D1853" s="12" t="str">
        <x:v>Unresolved</x:v>
      </x:c>
      <x:c r="E1853" s="12" t="str">
        <x:v>Business activity not established</x:v>
      </x:c>
      <x:c r="F1853" s="12" t="str">
        <x:v>Mixed business audience</x:v>
      </x:c>
      <x:c r="G1853" s="12" t="str">
        <x:v>Business activity and company scale are not established from this name.</x:v>
      </x:c>
      <x:c r="H1853" s="11" t="n">
        <x:v>1</x:v>
      </x:c>
      <x:c r="I1853" s="11" t="n">
        <x:v>2</x:v>
      </x:c>
      <x:c r="J1853" s="11" t="n">
        <x:v>2</x:v>
      </x:c>
      <x:c r="K1853" s="11" t="n">
        <x:v>0</x:v>
      </x:c>
      <x:c r="L1853" s="17" t="n">
        <x:f>SUM(SUMIFS('Costing'!$P$9:$P$492,'Costing'!$A$9:$A$492,"MAIN-032"))</x:f>
        <x:v>30000</x:v>
      </x:c>
      <x:c r="M1853" s="17" t="n">
        <x:f>ROUND(L1853*'Costing'!$C$4,2)</x:f>
        <x:v>5400</x:v>
      </x:c>
      <x:c r="N1853" s="17" t="n">
        <x:f>L1853+M1853</x:f>
        <x:v>35400</x:v>
      </x:c>
      <x:c r="O1853" s="12" t="str">
        <x:v>Bengaluru</x:v>
      </x:c>
      <x:c r="P1853" s="12" t="str">
        <x:v>CORP-0028</x:v>
      </x:c>
      <x:c r="Q1853" s="12" t="str">
        <x:v>One Earth</x:v>
      </x:c>
    </x:row>
    <x:row r="1854" ht="48" customHeight="1">
      <x:c r="A1854" s="2" t="str">
        <x:v>TEN-7308931D8DAC</x:v>
      </x:c>
      <x:c r="B1854" s="12" t="str">
        <x:v>One Gloge</x:v>
      </x:c>
      <x:c r="C1854" s="12" t="str">
        <x:v>Business / brand</x:v>
      </x:c>
      <x:c r="D1854" s="12" t="str">
        <x:v>Unresolved</x:v>
      </x:c>
      <x:c r="E1854" s="12" t="str">
        <x:v>Business activity not established</x:v>
      </x:c>
      <x:c r="F1854" s="12" t="str">
        <x:v>Mixed business audience</x:v>
      </x:c>
      <x:c r="G1854" s="12" t="str">
        <x:v>Business activity and company scale are not established from this name.</x:v>
      </x:c>
      <x:c r="H1854" s="11" t="n">
        <x:v>2</x:v>
      </x:c>
      <x:c r="I1854" s="11" t="n">
        <x:v>4</x:v>
      </x:c>
      <x:c r="J1854" s="11" t="n">
        <x:v>4</x:v>
      </x:c>
      <x:c r="K1854" s="11" t="n">
        <x:v>0</x:v>
      </x:c>
      <x:c r="L1854" s="17" t="n">
        <x:f>SUM(SUMIFS('Costing'!$P$9:$P$492,'Costing'!$A$9:$A$492,"MAIN-183"),SUMIFS('Costing'!$P$9:$P$492,'Costing'!$A$9:$A$492,"MAIN-184"))</x:f>
        <x:v>75000</x:v>
      </x:c>
      <x:c r="M1854" s="17" t="n">
        <x:f>ROUND(L1854*'Costing'!$C$4,2)</x:f>
        <x:v>13500</x:v>
      </x:c>
      <x:c r="N1854" s="17" t="n">
        <x:f>L1854+M1854</x:f>
        <x:v>88500</x:v>
      </x:c>
      <x:c r="O1854" s="12" t="str">
        <x:v>Delhi NCR</x:v>
      </x:c>
      <x:c r="P1854" s="12" t="str">
        <x:v>CORP-0179, CORP-0180</x:v>
      </x:c>
      <x:c r="Q1854" s="12" t="str">
        <x:v>One Gloge</x:v>
      </x:c>
    </x:row>
    <x:row r="1855" ht="48" customHeight="1">
      <x:c r="A1855" s="2" t="str">
        <x:v>TEN-2DCEAF99E136</x:v>
      </x:c>
      <x:c r="B1855" s="12" t="str">
        <x:v>OneAssist Consumer Solutions</x:v>
      </x:c>
      <x:c r="C1855" s="12" t="str">
        <x:v>Business / brand</x:v>
      </x:c>
      <x:c r="D1855" s="12" t="str">
        <x:v>Trade, consumer &amp; logistics</x:v>
      </x:c>
      <x:c r="E1855" s="12" t="str">
        <x:v>Retail, consumer products &amp; ecommerce</x:v>
      </x:c>
      <x:c r="F1855" s="12" t="str">
        <x:v>Small-scale prospects</x:v>
      </x:c>
      <x:c r="G1855" s="12" t="str">
        <x:v>Trading or consumer-services business; small-scale prospect assumption.</x:v>
      </x:c>
      <x:c r="H1855" s="11" t="n">
        <x:v>4</x:v>
      </x:c>
      <x:c r="I1855" s="11" t="n">
        <x:v>4</x:v>
      </x:c>
      <x:c r="J1855" s="11" t="n">
        <x:v>4</x:v>
      </x:c>
      <x:c r="K1855" s="11" t="n">
        <x:v>0</x:v>
      </x:c>
      <x:c r="L1855" s="17" t="n">
        <x:f>SUM(SUMIFS('Costing'!$P$9:$P$492,'Costing'!$A$9:$A$492,"PARTNER-M247"))</x:f>
        <x:v>160000</x:v>
      </x:c>
      <x:c r="M1855" s="17" t="n">
        <x:f>ROUND(L1855*'Costing'!$C$4,2)</x:f>
        <x:v>28800</x:v>
      </x:c>
      <x:c r="N1855" s="17" t="n">
        <x:f>L1855+M1855</x:f>
        <x:v>188800</x:v>
      </x:c>
      <x:c r="O1855" s="12" t="str">
        <x:v>Mumbai</x:v>
      </x:c>
      <x:c r="P1855" s="12" t="str">
        <x:v>CORP-0664, CORP-0665, CORP-0666, CORP-0667</x:v>
      </x:c>
      <x:c r="Q1855" s="12" t="str">
        <x:v>OneAssist Consumer Solutions</x:v>
      </x:c>
    </x:row>
    <x:row r="1856" ht="48" customHeight="1">
      <x:c r="A1856" s="2" t="str">
        <x:v>TEN-7AC726F69096</x:v>
      </x:c>
      <x:c r="B1856" s="12" t="str">
        <x:v>oneskai</x:v>
      </x:c>
      <x:c r="C1856" s="12" t="str">
        <x:v>Business / brand</x:v>
      </x:c>
      <x:c r="D1856" s="12" t="str">
        <x:v>Unresolved</x:v>
      </x:c>
      <x:c r="E1856" s="12" t="str">
        <x:v>Business activity not established</x:v>
      </x:c>
      <x:c r="F1856" s="12" t="str">
        <x:v>Mixed business audience</x:v>
      </x:c>
      <x:c r="G1856" s="12" t="str">
        <x:v>Business activity and company scale are not established from this name.</x:v>
      </x:c>
      <x:c r="H1856" s="11" t="n">
        <x:v>1</x:v>
      </x:c>
      <x:c r="I1856" s="11" t="n">
        <x:v>2</x:v>
      </x:c>
      <x:c r="J1856" s="11" t="n">
        <x:v>2</x:v>
      </x:c>
      <x:c r="K1856" s="11" t="n">
        <x:v>0</x:v>
      </x:c>
      <x:c r="L1856" s="17" t="n">
        <x:f>SUM(SUMIFS('Costing'!$P$9:$P$492,'Costing'!$A$9:$A$492,"MAIN-282"))</x:f>
        <x:v>30000</x:v>
      </x:c>
      <x:c r="M1856" s="17" t="n">
        <x:f>ROUND(L1856*'Costing'!$C$4,2)</x:f>
        <x:v>5400</x:v>
      </x:c>
      <x:c r="N1856" s="17" t="n">
        <x:f>L1856+M1856</x:f>
        <x:v>35400</x:v>
      </x:c>
      <x:c r="O1856" s="12" t="str">
        <x:v>Kolkata</x:v>
      </x:c>
      <x:c r="P1856" s="12" t="str">
        <x:v>CORP-0278</x:v>
      </x:c>
      <x:c r="Q1856" s="12" t="str">
        <x:v>oneskai</x:v>
      </x:c>
    </x:row>
    <x:row r="1857" ht="48" customHeight="1">
      <x:c r="A1857" s="2" t="str">
        <x:v>TEN-D61C2F8C1A58</x:v>
      </x:c>
      <x:c r="B1857" s="12" t="str">
        <x:v>OneStop Weddings</x:v>
      </x:c>
      <x:c r="C1857" s="12" t="str">
        <x:v>Business / brand</x:v>
      </x:c>
      <x:c r="D1857" s="12" t="str">
        <x:v>Trade, consumer &amp; logistics</x:v>
      </x:c>
      <x:c r="E1857" s="12" t="str">
        <x:v>Entertainment, media &amp; events</x:v>
      </x:c>
      <x:c r="F1857" s="12" t="str">
        <x:v>Small-scale prospects</x:v>
      </x:c>
      <x:c r="G1857" s="12" t="str">
        <x:v>Trading or consumer-services business; small-scale prospect assumption.</x:v>
      </x:c>
      <x:c r="H1857" s="11" t="n">
        <x:v>1</x:v>
      </x:c>
      <x:c r="I1857" s="11" t="n">
        <x:v>2</x:v>
      </x:c>
      <x:c r="J1857" s="11" t="n">
        <x:v>2</x:v>
      </x:c>
      <x:c r="K1857" s="11" t="n">
        <x:v>0</x:v>
      </x:c>
      <x:c r="L1857" s="17" t="n">
        <x:f>SUM(SUMIFS('Costing'!$P$9:$P$492,'Costing'!$A$9:$A$492,"MAIN-280"))</x:f>
        <x:v>30000</x:v>
      </x:c>
      <x:c r="M1857" s="17" t="n">
        <x:f>ROUND(L1857*'Costing'!$C$4,2)</x:f>
        <x:v>5400</x:v>
      </x:c>
      <x:c r="N1857" s="17" t="n">
        <x:f>L1857+M1857</x:f>
        <x:v>35400</x:v>
      </x:c>
      <x:c r="O1857" s="12" t="str">
        <x:v>Kolkata</x:v>
      </x:c>
      <x:c r="P1857" s="12" t="str">
        <x:v>CORP-0276</x:v>
      </x:c>
      <x:c r="Q1857" s="12" t="str">
        <x:v>OneStop Weddings</x:v>
      </x:c>
    </x:row>
    <x:row r="1858" ht="48" customHeight="1">
      <x:c r="A1858" s="2" t="str">
        <x:v>TEN-D1CD02082C62</x:v>
      </x:c>
      <x:c r="B1858" s="12" t="str">
        <x:v>Onmobile Global</x:v>
      </x:c>
      <x:c r="C1858" s="12" t="str">
        <x:v>Business / brand</x:v>
      </x:c>
      <x:c r="D1858" s="12" t="str">
        <x:v>IT &amp; digital</x:v>
      </x:c>
      <x:c r="E1858" s="12" t="str">
        <x:v>Enterprise software &amp; digital engineering</x:v>
      </x:c>
      <x:c r="F1858" s="12" t="str">
        <x:v>Mixed business audience</x:v>
      </x:c>
      <x:c r="G1858" s="12" t="str">
        <x:v>Established brand or business network; local company scale is not established. Use a mixed-business message.</x:v>
      </x:c>
      <x:c r="H1858" s="11" t="n">
        <x:v>1</x:v>
      </x:c>
      <x:c r="I1858" s="11" t="n">
        <x:v>1</x:v>
      </x:c>
      <x:c r="J1858" s="11" t="n">
        <x:v>1</x:v>
      </x:c>
      <x:c r="K1858" s="11" t="n">
        <x:v>0</x:v>
      </x:c>
      <x:c r="L1858" s="17" t="n">
        <x:f>SUM(SUMIFS('Costing'!$P$9:$P$492,'Costing'!$A$9:$A$492,"MAIN-321"))</x:f>
        <x:v>15000</x:v>
      </x:c>
      <x:c r="M1858" s="17" t="n">
        <x:f>ROUND(L1858*'Costing'!$C$4,2)</x:f>
        <x:v>2700</x:v>
      </x:c>
      <x:c r="N1858" s="17" t="n">
        <x:f>L1858+M1858</x:f>
        <x:v>17700</x:v>
      </x:c>
      <x:c r="O1858" s="12" t="str">
        <x:v>Mumbai</x:v>
      </x:c>
      <x:c r="P1858" s="12" t="str">
        <x:v>CORP-0317</x:v>
      </x:c>
      <x:c r="Q1858" s="12" t="str">
        <x:v>Onmobile Global</x:v>
      </x:c>
    </x:row>
    <x:row r="1859" ht="48" customHeight="1">
      <x:c r="A1859" s="2" t="str">
        <x:v>TEN-B20DF9F5D980</x:v>
      </x:c>
      <x:c r="B1859" s="12" t="str">
        <x:v>Onsite electro services pvt ltd</x:v>
      </x:c>
      <x:c r="C1859" s="12" t="str">
        <x:v>Business / brand</x:v>
      </x:c>
      <x:c r="D1859" s="12" t="str">
        <x:v>Engineering &amp; manufacturing</x:v>
      </x:c>
      <x:c r="E1859" s="12" t="str">
        <x:v>Electronics, industrial systems &amp; manufacturing</x:v>
      </x:c>
      <x:c r="F1859" s="12" t="str">
        <x:v>Medium-scale prospects</x:v>
      </x:c>
      <x:c r="G1859" s="12" t="str">
        <x:v>Specialist industrial or engineering business; medium-scale prospect assumption.</x:v>
      </x:c>
      <x:c r="H1859" s="11" t="n">
        <x:v>1</x:v>
      </x:c>
      <x:c r="I1859" s="11" t="n">
        <x:v>1</x:v>
      </x:c>
      <x:c r="J1859" s="11" t="n">
        <x:v>1</x:v>
      </x:c>
      <x:c r="K1859" s="11" t="n">
        <x:v>0</x:v>
      </x:c>
      <x:c r="L1859" s="17" t="n">
        <x:f>SUM(SUMIFS('Costing'!$P$9:$P$492,'Costing'!$A$9:$A$492,"MAIN-065"))</x:f>
        <x:v>15000</x:v>
      </x:c>
      <x:c r="M1859" s="17" t="n">
        <x:f>ROUND(L1859*'Costing'!$C$4,2)</x:f>
        <x:v>2700</x:v>
      </x:c>
      <x:c r="N1859" s="17" t="n">
        <x:f>L1859+M1859</x:f>
        <x:v>17700</x:v>
      </x:c>
      <x:c r="O1859" s="12" t="str">
        <x:v>Bengaluru</x:v>
      </x:c>
      <x:c r="P1859" s="12" t="str">
        <x:v>CORP-0061</x:v>
      </x:c>
      <x:c r="Q1859" s="12" t="str">
        <x:v>Onsite electro services pvt ltd</x:v>
      </x:c>
    </x:row>
    <x:row r="1860" ht="48" customHeight="1">
      <x:c r="A1860" s="2" t="str">
        <x:v>TEN-55851B7ABCA3</x:v>
      </x:c>
      <x:c r="B1860" s="12" t="str">
        <x:v>Onward Technologies</x:v>
      </x:c>
      <x:c r="C1860" s="12" t="str">
        <x:v>Business / brand</x:v>
      </x:c>
      <x:c r="D1860" s="12" t="str">
        <x:v>Engineering &amp; manufacturing</x:v>
      </x:c>
      <x:c r="E1860" s="12" t="str">
        <x:v>Energy, electrical &amp; industrial systems</x:v>
      </x:c>
      <x:c r="F1860" s="12" t="str">
        <x:v>Mixed business audience</x:v>
      </x:c>
      <x:c r="G1860" s="12" t="str">
        <x:v>Established brand or business network; local company scale is not established. Use a mixed-business message.</x:v>
      </x:c>
      <x:c r="H1860" s="11" t="n">
        <x:v>1</x:v>
      </x:c>
      <x:c r="I1860" s="11" t="n">
        <x:v>2</x:v>
      </x:c>
      <x:c r="J1860" s="11" t="n">
        <x:v>2</x:v>
      </x:c>
      <x:c r="K1860" s="11" t="n">
        <x:v>0</x:v>
      </x:c>
      <x:c r="L1860" s="17" t="n">
        <x:f>SUM(SUMIFS('Costing'!$P$9:$P$492,'Costing'!$A$9:$A$492,"MAIN-384"))</x:f>
        <x:v>80000</x:v>
      </x:c>
      <x:c r="M1860" s="17" t="n">
        <x:f>ROUND(L1860*'Costing'!$C$4,2)</x:f>
        <x:v>14400</x:v>
      </x:c>
      <x:c r="N1860" s="17" t="n">
        <x:f>L1860+M1860</x:f>
        <x:v>94400</x:v>
      </x:c>
      <x:c r="O1860" s="12" t="str">
        <x:v>Pune</x:v>
      </x:c>
      <x:c r="P1860" s="12" t="str">
        <x:v>CORP-0380</x:v>
      </x:c>
      <x:c r="Q1860" s="12" t="str">
        <x:v>Onward Technologies</x:v>
      </x:c>
    </x:row>
    <x:row r="1861" ht="48" customHeight="1">
      <x:c r="A1861" s="2" t="str">
        <x:v>TEN-BA3AB4FE5F45</x:v>
      </x:c>
      <x:c r="B1861" s="12" t="str">
        <x:v>Ooms Polymer Modified Bitumen P. Ltd</x:v>
      </x:c>
      <x:c r="C1861" s="12" t="str">
        <x:v>Business / brand</x:v>
      </x:c>
      <x:c r="D1861" s="12" t="str">
        <x:v>Engineering &amp; manufacturing</x:v>
      </x:c>
      <x:c r="E1861" s="12" t="str">
        <x:v>Chemicals, materials &amp; industrial manufacturing</x:v>
      </x:c>
      <x:c r="F1861" s="12" t="str">
        <x:v>Medium-scale prospects</x:v>
      </x:c>
      <x:c r="G1861" s="12" t="str">
        <x:v>Specialist industrial or engineering business; medium-scale prospect assumption.</x:v>
      </x:c>
      <x:c r="H1861" s="11" t="n">
        <x:v>1</x:v>
      </x:c>
      <x:c r="I1861" s="11" t="n">
        <x:v>4</x:v>
      </x:c>
      <x:c r="J1861" s="11" t="n">
        <x:v>4</x:v>
      </x:c>
      <x:c r="K1861" s="11" t="n">
        <x:v>0</x:v>
      </x:c>
      <x:c r="L1861" s="17" t="n">
        <x:f>SUM(SUMIFS('Costing'!$P$9:$P$492,'Costing'!$A$9:$A$492,"MAIN-202"))</x:f>
        <x:v>160000</x:v>
      </x:c>
      <x:c r="M1861" s="17" t="n">
        <x:f>ROUND(L1861*'Costing'!$C$4,2)</x:f>
        <x:v>28800</x:v>
      </x:c>
      <x:c r="N1861" s="17" t="n">
        <x:f>L1861+M1861</x:f>
        <x:v>188800</x:v>
      </x:c>
      <x:c r="O1861" s="12" t="str">
        <x:v>Delhi NCR</x:v>
      </x:c>
      <x:c r="P1861" s="12" t="str">
        <x:v>CORP-0198</x:v>
      </x:c>
      <x:c r="Q1861" s="12" t="str">
        <x:v>Ooms Polymer Modified Bitumen P. Ltd</x:v>
      </x:c>
    </x:row>
    <x:row r="1862" ht="48" customHeight="1">
      <x:c r="A1862" s="2" t="str">
        <x:v>TEN-DF2E8D7953EB</x:v>
      </x:c>
      <x:c r="B1862" s="12" t="str">
        <x:v>Opec</x:v>
      </x:c>
      <x:c r="C1862" s="12" t="str">
        <x:v>Business / brand</x:v>
      </x:c>
      <x:c r="D1862" s="12" t="str">
        <x:v>Unresolved</x:v>
      </x:c>
      <x:c r="E1862" s="12" t="str">
        <x:v>Business activity not established</x:v>
      </x:c>
      <x:c r="F1862" s="12" t="str">
        <x:v>Mixed business audience</x:v>
      </x:c>
      <x:c r="G1862" s="12" t="str">
        <x:v>Business activity and company scale are not established from this name.</x:v>
      </x:c>
      <x:c r="H1862" s="11" t="n">
        <x:v>3</x:v>
      </x:c>
      <x:c r="I1862" s="11" t="n">
        <x:v>3</x:v>
      </x:c>
      <x:c r="J1862" s="11" t="n">
        <x:v>3</x:v>
      </x:c>
      <x:c r="K1862" s="11" t="n">
        <x:v>0</x:v>
      </x:c>
      <x:c r="L1862" s="17" t="n">
        <x:f>SUM(SUMIFS('Costing'!$P$9:$P$492,'Costing'!$A$9:$A$492,"PARTNER-M175"))</x:f>
        <x:v>120000</x:v>
      </x:c>
      <x:c r="M1862" s="17" t="n">
        <x:f>ROUND(L1862*'Costing'!$C$4,2)</x:f>
        <x:v>21600</x:v>
      </x:c>
      <x:c r="N1862" s="17" t="n">
        <x:f>L1862+M1862</x:f>
        <x:v>141600</x:v>
      </x:c>
      <x:c r="O1862" s="12" t="str">
        <x:v>Mumbai</x:v>
      </x:c>
      <x:c r="P1862" s="12" t="str">
        <x:v>CORP-0592, CORP-0593, CORP-0594</x:v>
      </x:c>
      <x:c r="Q1862" s="12" t="str">
        <x:v>Opec</x:v>
      </x:c>
    </x:row>
    <x:row r="1863" ht="48" customHeight="1">
      <x:c r="A1863" s="2" t="str">
        <x:v>TEN-46EE12AD6E57</x:v>
      </x:c>
      <x:c r="B1863" s="12" t="str">
        <x:v>Open Bet</x:v>
      </x:c>
      <x:c r="C1863" s="12" t="str">
        <x:v>Business / brand</x:v>
      </x:c>
      <x:c r="D1863" s="12" t="str">
        <x:v>Trade, consumer &amp; logistics</x:v>
      </x:c>
      <x:c r="E1863" s="12" t="str">
        <x:v>Entertainment, media &amp; events</x:v>
      </x:c>
      <x:c r="F1863" s="12" t="str">
        <x:v>Mixed business audience</x:v>
      </x:c>
      <x:c r="G1863" s="12" t="str">
        <x:v>Established brand or business network; local company scale is not established. Use a mixed-business message.</x:v>
      </x:c>
      <x:c r="H1863" s="11" t="n">
        <x:v>9</x:v>
      </x:c>
      <x:c r="I1863" s="11" t="n">
        <x:v>9</x:v>
      </x:c>
      <x:c r="J1863" s="11" t="n">
        <x:v>9</x:v>
      </x:c>
      <x:c r="K1863" s="11" t="n">
        <x:v>0</x:v>
      </x:c>
      <x:c r="L1863" s="17" t="n">
        <x:f>SUM(SUMIFS('Costing'!$P$9:$P$492,'Costing'!$A$9:$A$492,"PARTNER-M002"))</x:f>
        <x:v>360000</x:v>
      </x:c>
      <x:c r="M1863" s="17" t="n">
        <x:f>ROUND(L1863*'Costing'!$C$4,2)</x:f>
        <x:v>64800</x:v>
      </x:c>
      <x:c r="N1863" s="17" t="n">
        <x:f>L1863+M1863</x:f>
        <x:v>424800</x:v>
      </x:c>
      <x:c r="O1863" s="12" t="str">
        <x:v>Bengaluru</x:v>
      </x:c>
      <x:c r="P1863" s="12" t="str">
        <x:v>CORP-0420, CORP-0421, CORP-0422, CORP-0423, CORP-0424, CORP-0425, CORP-0426, CORP-0427, CORP-0428</x:v>
      </x:c>
      <x:c r="Q1863" s="12" t="str">
        <x:v>Open Bet</x:v>
      </x:c>
    </x:row>
    <x:row r="1864" ht="48" customHeight="1">
      <x:c r="A1864" s="2" t="str">
        <x:v>TEN-D071DE59348F</x:v>
      </x:c>
      <x:c r="B1864" s="12" t="str">
        <x:v>Openin App and Listed</x:v>
      </x:c>
      <x:c r="C1864" s="12" t="str">
        <x:v>Identity unresolved</x:v>
      </x:c>
      <x:c r="D1864" s="12" t="str">
        <x:v>Unresolved</x:v>
      </x:c>
      <x:c r="E1864" s="12" t="str">
        <x:v>Business activity not established</x:v>
      </x:c>
      <x:c r="F1864" s="12" t="str">
        <x:v>Mixed business audience</x:v>
      </x:c>
      <x:c r="G1864" s="12" t="str">
        <x:v>Ambiguous directory record; use the surrounding property audience.</x:v>
      </x:c>
      <x:c r="H1864" s="11" t="n">
        <x:v>1</x:v>
      </x:c>
      <x:c r="I1864" s="11" t="n">
        <x:v>2</x:v>
      </x:c>
      <x:c r="J1864" s="11" t="n">
        <x:v>2</x:v>
      </x:c>
      <x:c r="K1864" s="11" t="n">
        <x:v>0</x:v>
      </x:c>
      <x:c r="L1864" s="17" t="n">
        <x:f>SUM(SUMIFS('Costing'!$P$9:$P$492,'Costing'!$A$9:$A$492,"MAIN-099"))</x:f>
        <x:v>30000</x:v>
      </x:c>
      <x:c r="M1864" s="17" t="n">
        <x:f>ROUND(L1864*'Costing'!$C$4,2)</x:f>
        <x:v>5400</x:v>
      </x:c>
      <x:c r="N1864" s="17" t="n">
        <x:f>L1864+M1864</x:f>
        <x:v>35400</x:v>
      </x:c>
      <x:c r="O1864" s="12" t="str">
        <x:v>Bengaluru</x:v>
      </x:c>
      <x:c r="P1864" s="12" t="str">
        <x:v>CORP-0095</x:v>
      </x:c>
      <x:c r="Q1864" s="12" t="str">
        <x:v>Openin App and Listed</x:v>
      </x:c>
    </x:row>
    <x:row r="1865" ht="48" customHeight="1">
      <x:c r="A1865" s="2" t="str">
        <x:v>TEN-7E2E1BC4E8F9</x:v>
      </x:c>
      <x:c r="B1865" s="12" t="str">
        <x:v>OPEX Technologies Pvt Ltd</x:v>
      </x:c>
      <x:c r="C1865" s="12" t="str">
        <x:v>Business / brand</x:v>
      </x:c>
      <x:c r="D1865" s="12" t="str">
        <x:v>Unresolved</x:v>
      </x:c>
      <x:c r="E1865" s="12" t="str">
        <x:v>Business activity not established</x:v>
      </x:c>
      <x:c r="F1865" s="12" t="str">
        <x:v>Mixed business audience</x:v>
      </x:c>
      <x:c r="G1865" s="12" t="str">
        <x:v>Business activity and company scale are not established from this name.</x:v>
      </x:c>
      <x:c r="H1865" s="11" t="n">
        <x:v>3</x:v>
      </x:c>
      <x:c r="I1865" s="11" t="n">
        <x:v>3</x:v>
      </x:c>
      <x:c r="J1865" s="11" t="n">
        <x:v>3</x:v>
      </x:c>
      <x:c r="K1865" s="11" t="n">
        <x:v>0</x:v>
      </x:c>
      <x:c r="L1865" s="17" t="n">
        <x:f>SUM(SUMIFS('Costing'!$P$9:$P$492,'Costing'!$A$9:$A$492,"PARTNER-M166"))</x:f>
        <x:v>120000</x:v>
      </x:c>
      <x:c r="M1865" s="17" t="n">
        <x:f>ROUND(L1865*'Costing'!$C$4,2)</x:f>
        <x:v>21600</x:v>
      </x:c>
      <x:c r="N1865" s="17" t="n">
        <x:f>L1865+M1865</x:f>
        <x:v>141600</x:v>
      </x:c>
      <x:c r="O1865" s="12" t="str">
        <x:v>Bengaluru</x:v>
      </x:c>
      <x:c r="P1865" s="12" t="str">
        <x:v>CORP-0584, CORP-0585, CORP-0586</x:v>
      </x:c>
      <x:c r="Q1865" s="12" t="str">
        <x:v>OPEX Technologies Pvt Ltd</x:v>
      </x:c>
    </x:row>
    <x:row r="1866" ht="48" customHeight="1">
      <x:c r="A1866" s="2" t="str">
        <x:v>TEN-EE6A48A43A19</x:v>
      </x:c>
      <x:c r="B1866" s="12" t="str">
        <x:v>Opland ERP</x:v>
      </x:c>
      <x:c r="C1866" s="12" t="str">
        <x:v>Business / brand</x:v>
      </x:c>
      <x:c r="D1866" s="12" t="str">
        <x:v>IT &amp; digital</x:v>
      </x:c>
      <x:c r="E1866" s="12" t="str">
        <x:v>Enterprise software &amp; digital engineering</x:v>
      </x:c>
      <x:c r="F1866" s="12" t="str">
        <x:v>Small-scale prospects</x:v>
      </x:c>
      <x:c r="G1866" s="12" t="str">
        <x:v>Software or technology-services business; small-scale prospect assumption.</x:v>
      </x:c>
      <x:c r="H1866" s="11" t="n">
        <x:v>1</x:v>
      </x:c>
      <x:c r="I1866" s="11" t="n">
        <x:v>4</x:v>
      </x:c>
      <x:c r="J1866" s="11" t="n">
        <x:v>4</x:v>
      </x:c>
      <x:c r="K1866" s="11" t="n">
        <x:v>0</x:v>
      </x:c>
      <x:c r="L1866" s="17" t="n">
        <x:f>SUM(SUMIFS('Costing'!$P$9:$P$492,'Costing'!$A$9:$A$492,"MAIN-265"))</x:f>
        <x:v>100000</x:v>
      </x:c>
      <x:c r="M1866" s="17" t="n">
        <x:f>ROUND(L1866*'Costing'!$C$4,2)</x:f>
        <x:v>18000</x:v>
      </x:c>
      <x:c r="N1866" s="17" t="n">
        <x:f>L1866+M1866</x:f>
        <x:v>118000</x:v>
      </x:c>
      <x:c r="O1866" s="12" t="str">
        <x:v>Hyderabad</x:v>
      </x:c>
      <x:c r="P1866" s="12" t="str">
        <x:v>CORP-0261</x:v>
      </x:c>
      <x:c r="Q1866" s="12" t="str">
        <x:v>Opland ERP</x:v>
      </x:c>
    </x:row>
    <x:row r="1867" ht="48" customHeight="1">
      <x:c r="A1867" s="2" t="str">
        <x:v>TEN-8147E6FED86D</x:v>
      </x:c>
      <x:c r="B1867" s="12" t="str">
        <x:v>OPPO</x:v>
      </x:c>
      <x:c r="C1867" s="12" t="str">
        <x:v>Business / brand</x:v>
      </x:c>
      <x:c r="D1867" s="12" t="str">
        <x:v>Engineering &amp; manufacturing</x:v>
      </x:c>
      <x:c r="E1867" s="12" t="str">
        <x:v>Semiconductors, electronics &amp; equipment</x:v>
      </x:c>
      <x:c r="F1867" s="12" t="str">
        <x:v>Mixed business audience</x:v>
      </x:c>
      <x:c r="G1867" s="12" t="str">
        <x:v>Established brand or business network; local company scale is not established. Use a mixed-business message.</x:v>
      </x:c>
      <x:c r="H1867" s="11" t="n">
        <x:v>2</x:v>
      </x:c>
      <x:c r="I1867" s="11" t="n">
        <x:v>3</x:v>
      </x:c>
      <x:c r="J1867" s="11" t="n">
        <x:v>3</x:v>
      </x:c>
      <x:c r="K1867" s="11" t="n">
        <x:v>0</x:v>
      </x:c>
      <x:c r="L1867" s="17" t="n">
        <x:f>SUM(SUMIFS('Costing'!$P$9:$P$492,'Costing'!$A$9:$A$492,"MAIN-267"),SUMIFS('Costing'!$P$9:$P$492,'Costing'!$A$9:$A$492,"MAIN-275"))</x:f>
        <x:v>80000</x:v>
      </x:c>
      <x:c r="M1867" s="17" t="n">
        <x:f>ROUND(L1867*'Costing'!$C$4,2)</x:f>
        <x:v>14400</x:v>
      </x:c>
      <x:c r="N1867" s="17" t="n">
        <x:f>L1867+M1867</x:f>
        <x:v>94400</x:v>
      </x:c>
      <x:c r="O1867" s="12" t="str">
        <x:v>Indore</x:v>
      </x:c>
      <x:c r="P1867" s="12" t="str">
        <x:v>CORP-0263, CORP-0271</x:v>
      </x:c>
      <x:c r="Q1867" s="12" t="str">
        <x:v>OPPO</x:v>
      </x:c>
    </x:row>
    <x:row r="1868" ht="48" customHeight="1">
      <x:c r="A1868" s="2" t="str">
        <x:v>TEN-389E9A21EACC</x:v>
      </x:c>
      <x:c r="B1868" s="12" t="str">
        <x:v>Optinn Solutions Pvt.Ltd</x:v>
      </x:c>
      <x:c r="C1868" s="12" t="str">
        <x:v>Business / brand</x:v>
      </x:c>
      <x:c r="D1868" s="12" t="str">
        <x:v>Unresolved</x:v>
      </x:c>
      <x:c r="E1868" s="12" t="str">
        <x:v>Business activity not established</x:v>
      </x:c>
      <x:c r="F1868" s="12" t="str">
        <x:v>Mixed business audience</x:v>
      </x:c>
      <x:c r="G1868" s="12" t="str">
        <x:v>Business activity and company scale are not established from this name.</x:v>
      </x:c>
      <x:c r="H1868" s="11" t="n">
        <x:v>1</x:v>
      </x:c>
      <x:c r="I1868" s="11" t="n">
        <x:v>2</x:v>
      </x:c>
      <x:c r="J1868" s="11" t="n">
        <x:v>2</x:v>
      </x:c>
      <x:c r="K1868" s="11" t="n">
        <x:v>0</x:v>
      </x:c>
      <x:c r="L1868" s="17" t="n">
        <x:f>SUM(SUMIFS('Costing'!$P$9:$P$492,'Costing'!$A$9:$A$492,"MAIN-032"))</x:f>
        <x:v>30000</x:v>
      </x:c>
      <x:c r="M1868" s="17" t="n">
        <x:f>ROUND(L1868*'Costing'!$C$4,2)</x:f>
        <x:v>5400</x:v>
      </x:c>
      <x:c r="N1868" s="17" t="n">
        <x:f>L1868+M1868</x:f>
        <x:v>35400</x:v>
      </x:c>
      <x:c r="O1868" s="12" t="str">
        <x:v>Bengaluru</x:v>
      </x:c>
      <x:c r="P1868" s="12" t="str">
        <x:v>CORP-0028</x:v>
      </x:c>
      <x:c r="Q1868" s="12" t="str">
        <x:v>Optinn Solutions Pvt.Ltd</x:v>
      </x:c>
    </x:row>
    <x:row r="1869" ht="48" customHeight="1">
      <x:c r="A1869" s="2" t="str">
        <x:v>TEN-9CA9DFB04AA5</x:v>
      </x:c>
      <x:c r="B1869" s="12" t="str">
        <x:v>Option Zero Research &amp; Consulting Services</x:v>
      </x:c>
      <x:c r="C1869" s="12" t="str">
        <x:v>Business / brand</x:v>
      </x:c>
      <x:c r="D1869" s="12" t="str">
        <x:v>Professional services</x:v>
      </x:c>
      <x:c r="E1869" s="12" t="str">
        <x:v>Business consulting &amp; advisory</x:v>
      </x:c>
      <x:c r="F1869" s="12" t="str">
        <x:v>Small-scale prospects</x:v>
      </x:c>
      <x:c r="G1869" s="12" t="str">
        <x:v>Professional service, agency or advisory model; small-scale prospect assumption.</x:v>
      </x:c>
      <x:c r="H1869" s="11" t="n">
        <x:v>1</x:v>
      </x:c>
      <x:c r="I1869" s="11" t="n">
        <x:v>9</x:v>
      </x:c>
      <x:c r="J1869" s="11" t="n">
        <x:v>9</x:v>
      </x:c>
      <x:c r="K1869" s="11" t="n">
        <x:v>0</x:v>
      </x:c>
      <x:c r="L1869" s="17" t="n">
        <x:f>SUM(SUMIFS('Costing'!$P$9:$P$492,'Costing'!$A$9:$A$492,"MAIN-262"))</x:f>
        <x:v>225000</x:v>
      </x:c>
      <x:c r="M1869" s="17" t="n">
        <x:f>ROUND(L1869*'Costing'!$C$4,2)</x:f>
        <x:v>40500</x:v>
      </x:c>
      <x:c r="N1869" s="17" t="n">
        <x:f>L1869+M1869</x:f>
        <x:v>265500</x:v>
      </x:c>
      <x:c r="O1869" s="12" t="str">
        <x:v>Hyderabad</x:v>
      </x:c>
      <x:c r="P1869" s="12" t="str">
        <x:v>CORP-0258</x:v>
      </x:c>
      <x:c r="Q1869" s="12" t="str">
        <x:v>Option Zero Research &amp; Consulting Services</x:v>
      </x:c>
    </x:row>
    <x:row r="1870" ht="48" customHeight="1">
      <x:c r="A1870" s="2" t="str">
        <x:v>TEN-9CDD1B64DEF0</x:v>
      </x:c>
      <x:c r="B1870" s="12" t="str">
        <x:v>Optym India Private Limited</x:v>
      </x:c>
      <x:c r="C1870" s="12" t="str">
        <x:v>Business / brand</x:v>
      </x:c>
      <x:c r="D1870" s="12" t="str">
        <x:v>IT &amp; digital</x:v>
      </x:c>
      <x:c r="E1870" s="12" t="str">
        <x:v>Enterprise software &amp; digital engineering</x:v>
      </x:c>
      <x:c r="F1870" s="12" t="str">
        <x:v>Small-scale prospects</x:v>
      </x:c>
      <x:c r="G1870" s="12" t="str">
        <x:v>Software or technology-services business; small-scale prospect assumption.</x:v>
      </x:c>
      <x:c r="H1870" s="11" t="n">
        <x:v>8</x:v>
      </x:c>
      <x:c r="I1870" s="11" t="n">
        <x:v>9</x:v>
      </x:c>
      <x:c r="J1870" s="11" t="n">
        <x:v>9</x:v>
      </x:c>
      <x:c r="K1870" s="11" t="n">
        <x:v>0</x:v>
      </x:c>
      <x:c r="L1870" s="17" t="n">
        <x:f>SUM(SUMIFS('Costing'!$P$9:$P$492,'Costing'!$A$9:$A$492,"MAIN-017"),SUMIFS('Costing'!$P$9:$P$492,'Costing'!$A$9:$A$492,"PARTNER-M027"))</x:f>
        <x:v>310000</x:v>
      </x:c>
      <x:c r="M1870" s="17" t="n">
        <x:f>ROUND(L1870*'Costing'!$C$4,2)</x:f>
        <x:v>55800</x:v>
      </x:c>
      <x:c r="N1870" s="17" t="n">
        <x:f>L1870+M1870</x:f>
        <x:v>365800</x:v>
      </x:c>
      <x:c r="O1870" s="12" t="str">
        <x:v>Bengaluru</x:v>
      </x:c>
      <x:c r="P1870" s="12" t="str">
        <x:v>CORP-0013, CORP-0445, CORP-0446, CORP-0447, CORP-0448, CORP-0449, CORP-0450, CORP-0451</x:v>
      </x:c>
      <x:c r="Q1870" s="12" t="str">
        <x:v>Optym India Private Limited</x:v>
      </x:c>
    </x:row>
    <x:row r="1871" ht="49" customHeight="1">
      <x:c r="A1871" s="2" t="str">
        <x:v>TEN-9202AF6CE925</x:v>
      </x:c>
      <x:c r="B1871" s="12" t="str">
        <x:v>Oracle</x:v>
      </x:c>
      <x:c r="C1871" s="12" t="str">
        <x:v>Business / brand</x:v>
      </x:c>
      <x:c r="D1871" s="12" t="str">
        <x:v>IT &amp; digital</x:v>
      </x:c>
      <x:c r="E1871" s="12" t="str">
        <x:v>Technology services — specialty unverified</x:v>
      </x:c>
      <x:c r="F1871" s="12" t="str">
        <x:v>Large enterprise</x:v>
      </x:c>
      <x:c r="G1871" s="12" t="str">
        <x:v>Official facts report 141,000 employees and USD57B FY2025 revenue.</x:v>
      </x:c>
      <x:c r="H1871" s="11" t="n">
        <x:v>16</x:v>
      </x:c>
      <x:c r="I1871" s="11" t="n">
        <x:v>16</x:v>
      </x:c>
      <x:c r="J1871" s="11" t="n">
        <x:v>16</x:v>
      </x:c>
      <x:c r="K1871" s="11" t="n">
        <x:v>0</x:v>
      </x:c>
      <x:c r="L1871" s="17" t="n">
        <x:f>SUM(SUMIFS('Costing'!$P$9:$P$492,'Costing'!$A$9:$A$492,"PARTNER-M039"),SUMIFS('Costing'!$P$9:$P$492,'Costing'!$A$9:$A$492,"PARTNER-M014"))</x:f>
        <x:v>640000</x:v>
      </x:c>
      <x:c r="M1871" s="17" t="n">
        <x:f>ROUND(L1871*'Costing'!$C$4,2)</x:f>
        <x:v>115200</x:v>
      </x:c>
      <x:c r="N1871" s="17" t="n">
        <x:f>L1871+M1871</x:f>
        <x:v>755200</x:v>
      </x:c>
      <x:c r="O1871" s="12" t="str">
        <x:v>Bengaluru</x:v>
      </x:c>
      <x:c r="P1871" s="12" t="str">
        <x:v>CORP-0432, CORP-0433, CORP-0434, CORP-0435, CORP-0436, CORP-0437, CORP-0438, CORP-0439, CORP-0440, CORP-0441, CORP-0457, CORP-0458, CORP-0459, CORP-0460, CORP-0461, CORP-0462</x:v>
      </x:c>
      <x:c r="Q1871" s="12" t="str">
        <x:v>Oracle</x:v>
      </x:c>
    </x:row>
    <x:row r="1872" ht="48" customHeight="1">
      <x:c r="A1872" s="2" t="str">
        <x:v>TEN-68AE6688DA7F</x:v>
      </x:c>
      <x:c r="B1872" s="12" t="str">
        <x:v>Oracle India Pvt. Ltd</x:v>
      </x:c>
      <x:c r="C1872" s="12" t="str">
        <x:v>Business / brand</x:v>
      </x:c>
      <x:c r="D1872" s="12" t="str">
        <x:v>IT &amp; digital</x:v>
      </x:c>
      <x:c r="E1872" s="12" t="str">
        <x:v>Technology services — specialty unverified</x:v>
      </x:c>
      <x:c r="F1872" s="12" t="str">
        <x:v>Large enterprise</x:v>
      </x:c>
      <x:c r="G1872" s="12" t="str">
        <x:v>Official facts report 141,000 employees and USD57B FY2025 revenue.</x:v>
      </x:c>
      <x:c r="H1872" s="11" t="n">
        <x:v>6</x:v>
      </x:c>
      <x:c r="I1872" s="11" t="n">
        <x:v>6</x:v>
      </x:c>
      <x:c r="J1872" s="11" t="n">
        <x:v>6</x:v>
      </x:c>
      <x:c r="K1872" s="11" t="n">
        <x:v>0</x:v>
      </x:c>
      <x:c r="L1872" s="17" t="n">
        <x:f>SUM(SUMIFS('Costing'!$P$9:$P$492,'Costing'!$A$9:$A$492,"PARTNER-M045"))</x:f>
        <x:v>240000</x:v>
      </x:c>
      <x:c r="M1872" s="17" t="n">
        <x:f>ROUND(L1872*'Costing'!$C$4,2)</x:f>
        <x:v>43200</x:v>
      </x:c>
      <x:c r="N1872" s="17" t="n">
        <x:f>L1872+M1872</x:f>
        <x:v>283200</x:v>
      </x:c>
      <x:c r="O1872" s="12" t="str">
        <x:v>Bengaluru</x:v>
      </x:c>
      <x:c r="P1872" s="12" t="str">
        <x:v>CORP-0463, CORP-0464, CORP-0465, CORP-0466, CORP-0467, CORP-0468</x:v>
      </x:c>
      <x:c r="Q1872" s="12" t="str">
        <x:v>Oracle India Pvt. Ltd</x:v>
      </x:c>
    </x:row>
    <x:row r="1873" ht="48" customHeight="1">
      <x:c r="A1873" s="2" t="str">
        <x:v>TEN-814FBCF1E1A0</x:v>
      </x:c>
      <x:c r="B1873" s="12" t="str">
        <x:v>Orané Studio</x:v>
      </x:c>
      <x:c r="C1873" s="12" t="str">
        <x:v>Business / brand</x:v>
      </x:c>
      <x:c r="D1873" s="12" t="str">
        <x:v>Unresolved</x:v>
      </x:c>
      <x:c r="E1873" s="12" t="str">
        <x:v>Business activity not established</x:v>
      </x:c>
      <x:c r="F1873" s="12" t="str">
        <x:v>Mixed business audience</x:v>
      </x:c>
      <x:c r="G1873" s="12" t="str">
        <x:v>Business activity and company scale are not established from this name.</x:v>
      </x:c>
      <x:c r="H1873" s="11" t="n">
        <x:v>1</x:v>
      </x:c>
      <x:c r="I1873" s="11" t="n">
        <x:v>4</x:v>
      </x:c>
      <x:c r="J1873" s="11" t="n">
        <x:v>4</x:v>
      </x:c>
      <x:c r="K1873" s="11" t="n">
        <x:v>0</x:v>
      </x:c>
      <x:c r="L1873" s="17" t="n">
        <x:f>SUM(SUMIFS('Costing'!$P$9:$P$492,'Costing'!$A$9:$A$492,"MAIN-265"))</x:f>
        <x:v>100000</x:v>
      </x:c>
      <x:c r="M1873" s="17" t="n">
        <x:f>ROUND(L1873*'Costing'!$C$4,2)</x:f>
        <x:v>18000</x:v>
      </x:c>
      <x:c r="N1873" s="17" t="n">
        <x:f>L1873+M1873</x:f>
        <x:v>118000</x:v>
      </x:c>
      <x:c r="O1873" s="12" t="str">
        <x:v>Hyderabad</x:v>
      </x:c>
      <x:c r="P1873" s="12" t="str">
        <x:v>CORP-0261</x:v>
      </x:c>
      <x:c r="Q1873" s="12" t="str">
        <x:v>Orané Studio</x:v>
      </x:c>
    </x:row>
    <x:row r="1874" ht="48" customHeight="1">
      <x:c r="A1874" s="2" t="str">
        <x:v>TEN-DF36F95F74EA</x:v>
      </x:c>
      <x:c r="B1874" s="12" t="str">
        <x:v>ORAVEL</x:v>
      </x:c>
      <x:c r="C1874" s="12" t="str">
        <x:v>Business / brand</x:v>
      </x:c>
      <x:c r="D1874" s="12" t="str">
        <x:v>Trade, consumer &amp; logistics</x:v>
      </x:c>
      <x:c r="E1874" s="12" t="str">
        <x:v>Consumer/trade services — specialty unverified</x:v>
      </x:c>
      <x:c r="F1874" s="12" t="str">
        <x:v>Mixed business audience</x:v>
      </x:c>
      <x:c r="G1874" s="12" t="str">
        <x:v>Recognisable business context; company-scale evidence remains insufficient for a single size band.</x:v>
      </x:c>
      <x:c r="H1874" s="11" t="n">
        <x:v>1</x:v>
      </x:c>
      <x:c r="I1874" s="11" t="n">
        <x:v>2</x:v>
      </x:c>
      <x:c r="J1874" s="11" t="n">
        <x:v>2</x:v>
      </x:c>
      <x:c r="K1874" s="11" t="n">
        <x:v>0</x:v>
      </x:c>
      <x:c r="L1874" s="17" t="n">
        <x:f>SUM(SUMIFS('Costing'!$P$9:$P$492,'Costing'!$A$9:$A$492,"MAIN-271"))</x:f>
        <x:v>40000</x:v>
      </x:c>
      <x:c r="M1874" s="17" t="n">
        <x:f>ROUND(L1874*'Costing'!$C$4,2)</x:f>
        <x:v>7200</x:v>
      </x:c>
      <x:c r="N1874" s="17" t="n">
        <x:f>L1874+M1874</x:f>
        <x:v>47200</x:v>
      </x:c>
      <x:c r="O1874" s="12" t="str">
        <x:v>Indore</x:v>
      </x:c>
      <x:c r="P1874" s="12" t="str">
        <x:v>CORP-0267</x:v>
      </x:c>
      <x:c r="Q1874" s="12" t="str">
        <x:v>ORAVEL</x:v>
      </x:c>
    </x:row>
    <x:row r="1875" ht="48" customHeight="1">
      <x:c r="A1875" s="2" t="str">
        <x:v>TEN-654BE09498F8</x:v>
      </x:c>
      <x:c r="B1875" s="12" t="str">
        <x:v>OREL PC</x:v>
      </x:c>
      <x:c r="C1875" s="12" t="str">
        <x:v>Business / brand</x:v>
      </x:c>
      <x:c r="D1875" s="12" t="str">
        <x:v>Unresolved</x:v>
      </x:c>
      <x:c r="E1875" s="12" t="str">
        <x:v>Business activity not established</x:v>
      </x:c>
      <x:c r="F1875" s="12" t="str">
        <x:v>Mixed business audience</x:v>
      </x:c>
      <x:c r="G1875" s="12" t="str">
        <x:v>Business activity and company scale are not established from this name.</x:v>
      </x:c>
      <x:c r="H1875" s="11" t="n">
        <x:v>2</x:v>
      </x:c>
      <x:c r="I1875" s="11" t="n">
        <x:v>3</x:v>
      </x:c>
      <x:c r="J1875" s="11" t="n">
        <x:v>3</x:v>
      </x:c>
      <x:c r="K1875" s="11" t="n">
        <x:v>0</x:v>
      </x:c>
      <x:c r="L1875" s="17" t="n">
        <x:f>SUM(SUMIFS('Costing'!$P$9:$P$492,'Costing'!$A$9:$A$492,"MAIN-143"),SUMIFS('Costing'!$P$9:$P$492,'Costing'!$A$9:$A$492,"MAIN-144"))</x:f>
        <x:v>60000</x:v>
      </x:c>
      <x:c r="M1875" s="17" t="n">
        <x:f>ROUND(L1875*'Costing'!$C$4,2)</x:f>
        <x:v>10800</x:v>
      </x:c>
      <x:c r="N1875" s="17" t="n">
        <x:f>L1875+M1875</x:f>
        <x:v>70800</x:v>
      </x:c>
      <x:c r="O1875" s="12" t="str">
        <x:v>Chennai</x:v>
      </x:c>
      <x:c r="P1875" s="12" t="str">
        <x:v>CORP-0139, CORP-0140</x:v>
      </x:c>
      <x:c r="Q1875" s="12" t="str">
        <x:v>OREL PC</x:v>
      </x:c>
    </x:row>
    <x:row r="1876" ht="48" customHeight="1">
      <x:c r="A1876" s="2" t="str">
        <x:v>TEN-EC14C966B91D</x:v>
      </x:c>
      <x:c r="B1876" s="12" t="str">
        <x:v>Orient Electric</x:v>
      </x:c>
      <x:c r="C1876" s="12" t="str">
        <x:v>Business / brand</x:v>
      </x:c>
      <x:c r="D1876" s="12" t="str">
        <x:v>Engineering &amp; manufacturing</x:v>
      </x:c>
      <x:c r="E1876" s="12" t="str">
        <x:v>Engineering/manufacturing — specialty unverified</x:v>
      </x:c>
      <x:c r="F1876" s="12" t="str">
        <x:v>Mixed business audience</x:v>
      </x:c>
      <x:c r="G1876" s="12" t="str">
        <x:v>Recognisable business context; company-scale evidence remains insufficient for a single size band.</x:v>
      </x:c>
      <x:c r="H1876" s="11" t="n">
        <x:v>1</x:v>
      </x:c>
      <x:c r="I1876" s="11" t="n">
        <x:v>2</x:v>
      </x:c>
      <x:c r="J1876" s="11" t="n">
        <x:v>2</x:v>
      </x:c>
      <x:c r="K1876" s="11" t="n">
        <x:v>0</x:v>
      </x:c>
      <x:c r="L1876" s="17" t="n">
        <x:f>SUM(SUMIFS('Costing'!$P$9:$P$492,'Costing'!$A$9:$A$492,"MAIN-271"))</x:f>
        <x:v>40000</x:v>
      </x:c>
      <x:c r="M1876" s="17" t="n">
        <x:f>ROUND(L1876*'Costing'!$C$4,2)</x:f>
        <x:v>7200</x:v>
      </x:c>
      <x:c r="N1876" s="17" t="n">
        <x:f>L1876+M1876</x:f>
        <x:v>47200</x:v>
      </x:c>
      <x:c r="O1876" s="12" t="str">
        <x:v>Indore</x:v>
      </x:c>
      <x:c r="P1876" s="12" t="str">
        <x:v>CORP-0267</x:v>
      </x:c>
      <x:c r="Q1876" s="12" t="str">
        <x:v>Orient Electric</x:v>
      </x:c>
    </x:row>
    <x:row r="1877" ht="48" customHeight="1">
      <x:c r="A1877" s="2" t="str">
        <x:v>TEN-E8D6DDD422B5</x:v>
      </x:c>
      <x:c r="B1877" s="12" t="str">
        <x:v>Orient Technologies</x:v>
      </x:c>
      <x:c r="C1877" s="12" t="str">
        <x:v>Business / brand</x:v>
      </x:c>
      <x:c r="D1877" s="12" t="str">
        <x:v>IT &amp; digital</x:v>
      </x:c>
      <x:c r="E1877" s="12" t="str">
        <x:v>Enterprise software &amp; digital engineering</x:v>
      </x:c>
      <x:c r="F1877" s="12" t="str">
        <x:v>Mixed business audience</x:v>
      </x:c>
      <x:c r="G1877" s="12" t="str">
        <x:v>Established brand or business network; local company scale is not established. Use a mixed-business message.</x:v>
      </x:c>
      <x:c r="H1877" s="11" t="n">
        <x:v>10</x:v>
      </x:c>
      <x:c r="I1877" s="11" t="n">
        <x:v>10</x:v>
      </x:c>
      <x:c r="J1877" s="11" t="n">
        <x:v>10</x:v>
      </x:c>
      <x:c r="K1877" s="11" t="n">
        <x:v>0</x:v>
      </x:c>
      <x:c r="L1877" s="17" t="n">
        <x:f>SUM(SUMIFS('Costing'!$P$9:$P$492,'Costing'!$A$9:$A$492,"PARTNER-M205"))</x:f>
        <x:v>400000</x:v>
      </x:c>
      <x:c r="M1877" s="17" t="n">
        <x:f>ROUND(L1877*'Costing'!$C$4,2)</x:f>
        <x:v>72000</x:v>
      </x:c>
      <x:c r="N1877" s="17" t="n">
        <x:f>L1877+M1877</x:f>
        <x:v>472000</x:v>
      </x:c>
      <x:c r="O1877" s="12" t="str">
        <x:v>Mumbai</x:v>
      </x:c>
      <x:c r="P1877" s="12" t="str">
        <x:v>CORP-0622, CORP-0623, CORP-0624, CORP-0625, CORP-0626, CORP-0627, CORP-0628, CORP-0629, CORP-0630, CORP-0631</x:v>
      </x:c>
      <x:c r="Q1877" s="12" t="str">
        <x:v>Orient Technologies</x:v>
      </x:c>
    </x:row>
    <x:row r="1878" ht="48" customHeight="1">
      <x:c r="A1878" s="2" t="str">
        <x:v>TEN-64169C68A9B2</x:v>
      </x:c>
      <x:c r="B1878" s="12" t="str">
        <x:v>Oriental Insurance Company Limited</x:v>
      </x:c>
      <x:c r="C1878" s="12" t="str">
        <x:v>Business / brand</x:v>
      </x:c>
      <x:c r="D1878" s="12" t="str">
        <x:v>Finance &amp; insurance</x:v>
      </x:c>
      <x:c r="E1878" s="12" t="str">
        <x:v>Insurance &amp; insurance services</x:v>
      </x:c>
      <x:c r="F1878" s="12" t="str">
        <x:v>Mixed business audience</x:v>
      </x:c>
      <x:c r="G1878" s="12" t="str">
        <x:v>Recognisable business context; company-scale evidence remains insufficient for a single size band.</x:v>
      </x:c>
      <x:c r="H1878" s="11" t="n">
        <x:v>1</x:v>
      </x:c>
      <x:c r="I1878" s="11" t="n">
        <x:v>3</x:v>
      </x:c>
      <x:c r="J1878" s="11" t="n">
        <x:v>3</x:v>
      </x:c>
      <x:c r="K1878" s="11" t="n">
        <x:v>0</x:v>
      </x:c>
      <x:c r="L1878" s="17" t="n">
        <x:f>SUM(SUMIFS('Costing'!$P$9:$P$492,'Costing'!$A$9:$A$492,"MAIN-404"))</x:f>
        <x:v>60000</x:v>
      </x:c>
      <x:c r="M1878" s="17" t="n">
        <x:f>ROUND(L1878*'Costing'!$C$4,2)</x:f>
        <x:v>10800</x:v>
      </x:c>
      <x:c r="N1878" s="17" t="n">
        <x:f>L1878+M1878</x:f>
        <x:v>70800</x:v>
      </x:c>
      <x:c r="O1878" s="12" t="str">
        <x:v>Pune</x:v>
      </x:c>
      <x:c r="P1878" s="12" t="str">
        <x:v>CORP-0400</x:v>
      </x:c>
      <x:c r="Q1878" s="12" t="str">
        <x:v>Oriental Insurance Company Limited</x:v>
      </x:c>
    </x:row>
    <x:row r="1879" ht="48" customHeight="1">
      <x:c r="A1879" s="2" t="str">
        <x:v>TEN-8BFE9C212422</x:v>
      </x:c>
      <x:c r="B1879" s="12" t="str">
        <x:v>Orphius Healthcare Private Limited</x:v>
      </x:c>
      <x:c r="C1879" s="12" t="str">
        <x:v>Business / brand</x:v>
      </x:c>
      <x:c r="D1879" s="12" t="str">
        <x:v>Healthcare &amp; life sciences</x:v>
      </x:c>
      <x:c r="E1879" s="12" t="str">
        <x:v>Clinical, medical &amp; diagnostic services</x:v>
      </x:c>
      <x:c r="F1879" s="12" t="str">
        <x:v>Small-scale prospects</x:v>
      </x:c>
      <x:c r="G1879" s="12" t="str">
        <x:v>Healthcare services business; small-scale prospect assumption.</x:v>
      </x:c>
      <x:c r="H1879" s="11" t="n">
        <x:v>1</x:v>
      </x:c>
      <x:c r="I1879" s="11" t="n">
        <x:v>2</x:v>
      </x:c>
      <x:c r="J1879" s="11" t="n">
        <x:v>2</x:v>
      </x:c>
      <x:c r="K1879" s="11" t="n">
        <x:v>0</x:v>
      </x:c>
      <x:c r="L1879" s="17" t="n">
        <x:f>SUM(SUMIFS('Costing'!$P$9:$P$492,'Costing'!$A$9:$A$492,"MAIN-282"))</x:f>
        <x:v>30000</x:v>
      </x:c>
      <x:c r="M1879" s="17" t="n">
        <x:f>ROUND(L1879*'Costing'!$C$4,2)</x:f>
        <x:v>5400</x:v>
      </x:c>
      <x:c r="N1879" s="17" t="n">
        <x:f>L1879+M1879</x:f>
        <x:v>35400</x:v>
      </x:c>
      <x:c r="O1879" s="12" t="str">
        <x:v>Kolkata</x:v>
      </x:c>
      <x:c r="P1879" s="12" t="str">
        <x:v>CORP-0278</x:v>
      </x:c>
      <x:c r="Q1879" s="12" t="str">
        <x:v>Orphius Healthcare Private Limited</x:v>
      </x:c>
    </x:row>
    <x:row r="1880" ht="48" customHeight="1">
      <x:c r="A1880" s="2" t="str">
        <x:v>TEN-8F00E521A8BC</x:v>
      </x:c>
      <x:c r="B1880" s="12" t="str">
        <x:v>ORRA</x:v>
      </x:c>
      <x:c r="C1880" s="12" t="str">
        <x:v>Business / brand</x:v>
      </x:c>
      <x:c r="D1880" s="12" t="str">
        <x:v>Trade, consumer &amp; logistics</x:v>
      </x:c>
      <x:c r="E1880" s="12" t="str">
        <x:v>Consumer/trade services — specialty unverified</x:v>
      </x:c>
      <x:c r="F1880" s="12" t="str">
        <x:v>Mixed business audience</x:v>
      </x:c>
      <x:c r="G1880" s="12" t="str">
        <x:v>Recognisable business context; company-scale evidence remains insufficient for a single size band.</x:v>
      </x:c>
      <x:c r="H1880" s="11" t="n">
        <x:v>1</x:v>
      </x:c>
      <x:c r="I1880" s="11" t="n">
        <x:v>1</x:v>
      </x:c>
      <x:c r="J1880" s="11" t="n">
        <x:v>1</x:v>
      </x:c>
      <x:c r="K1880" s="11" t="n">
        <x:v>0</x:v>
      </x:c>
      <x:c r="L1880" s="17" t="n">
        <x:f>SUM(SUMIFS('Costing'!$P$9:$P$492,'Costing'!$A$9:$A$492,"MAIN-276"))</x:f>
        <x:v>20000</x:v>
      </x:c>
      <x:c r="M1880" s="17" t="n">
        <x:f>ROUND(L1880*'Costing'!$C$4,2)</x:f>
        <x:v>3600</x:v>
      </x:c>
      <x:c r="N1880" s="17" t="n">
        <x:f>L1880+M1880</x:f>
        <x:v>23600</x:v>
      </x:c>
      <x:c r="O1880" s="12" t="str">
        <x:v>Indore</x:v>
      </x:c>
      <x:c r="P1880" s="12" t="str">
        <x:v>CORP-0272</x:v>
      </x:c>
      <x:c r="Q1880" s="12" t="str">
        <x:v>ORRA</x:v>
      </x:c>
    </x:row>
    <x:row r="1881" ht="48" customHeight="1">
      <x:c r="A1881" s="2" t="str">
        <x:v>TEN-94475FFBE5A1</x:v>
      </x:c>
      <x:c r="B1881" s="12" t="str">
        <x:v>Orreya Partners India LLP</x:v>
      </x:c>
      <x:c r="C1881" s="12" t="str">
        <x:v>Business / brand</x:v>
      </x:c>
      <x:c r="D1881" s="12" t="str">
        <x:v>Finance &amp; insurance</x:v>
      </x:c>
      <x:c r="E1881" s="12" t="str">
        <x:v>Investments, securities &amp; wealth</x:v>
      </x:c>
      <x:c r="F1881" s="12" t="str">
        <x:v>Medium-scale prospects</x:v>
      </x:c>
      <x:c r="G1881" s="12" t="str">
        <x:v>Specialist financial-services business; medium-scale prospect assumption.</x:v>
      </x:c>
      <x:c r="H1881" s="11" t="n">
        <x:v>4</x:v>
      </x:c>
      <x:c r="I1881" s="11" t="n">
        <x:v>4</x:v>
      </x:c>
      <x:c r="J1881" s="11" t="n">
        <x:v>4</x:v>
      </x:c>
      <x:c r="K1881" s="11" t="n">
        <x:v>0</x:v>
      </x:c>
      <x:c r="L1881" s="17" t="n">
        <x:f>SUM(SUMIFS('Costing'!$P$9:$P$492,'Costing'!$A$9:$A$492,"PARTNER-M171"))</x:f>
        <x:v>160000</x:v>
      </x:c>
      <x:c r="M1881" s="17" t="n">
        <x:f>ROUND(L1881*'Costing'!$C$4,2)</x:f>
        <x:v>28800</x:v>
      </x:c>
      <x:c r="N1881" s="17" t="n">
        <x:f>L1881+M1881</x:f>
        <x:v>188800</x:v>
      </x:c>
      <x:c r="O1881" s="12" t="str">
        <x:v>Mumbai</x:v>
      </x:c>
      <x:c r="P1881" s="12" t="str">
        <x:v>CORP-0588, CORP-0589, CORP-0590, CORP-0591</x:v>
      </x:c>
      <x:c r="Q1881" s="12" t="str">
        <x:v>Orreya Partners India LLP</x:v>
      </x:c>
    </x:row>
    <x:row r="1882" ht="48" customHeight="1">
      <x:c r="A1882" s="2" t="str">
        <x:v>TEN-891353748B3A</x:v>
      </x:c>
      <x:c r="B1882" s="12" t="str">
        <x:v>Osi Energy automation</x:v>
      </x:c>
      <x:c r="C1882" s="12" t="str">
        <x:v>Business / brand</x:v>
      </x:c>
      <x:c r="D1882" s="12" t="str">
        <x:v>Engineering &amp; manufacturing</x:v>
      </x:c>
      <x:c r="E1882" s="12" t="str">
        <x:v>Energy, electrical &amp; industrial systems</x:v>
      </x:c>
      <x:c r="F1882" s="12" t="str">
        <x:v>Medium-scale prospects</x:v>
      </x:c>
      <x:c r="G1882" s="12" t="str">
        <x:v>Specialist industrial or engineering business; medium-scale prospect assumption.</x:v>
      </x:c>
      <x:c r="H1882" s="11" t="n">
        <x:v>9</x:v>
      </x:c>
      <x:c r="I1882" s="11" t="n">
        <x:v>9</x:v>
      </x:c>
      <x:c r="J1882" s="11" t="n">
        <x:v>9</x:v>
      </x:c>
      <x:c r="K1882" s="11" t="n">
        <x:v>0</x:v>
      </x:c>
      <x:c r="L1882" s="17" t="n">
        <x:f>SUM(SUMIFS('Costing'!$P$9:$P$492,'Costing'!$A$9:$A$492,"PARTNER-M002"))</x:f>
        <x:v>360000</x:v>
      </x:c>
      <x:c r="M1882" s="17" t="n">
        <x:f>ROUND(L1882*'Costing'!$C$4,2)</x:f>
        <x:v>64800</x:v>
      </x:c>
      <x:c r="N1882" s="17" t="n">
        <x:f>L1882+M1882</x:f>
        <x:v>424800</x:v>
      </x:c>
      <x:c r="O1882" s="12" t="str">
        <x:v>Bengaluru</x:v>
      </x:c>
      <x:c r="P1882" s="12" t="str">
        <x:v>CORP-0420, CORP-0421, CORP-0422, CORP-0423, CORP-0424, CORP-0425, CORP-0426, CORP-0427, CORP-0428</x:v>
      </x:c>
      <x:c r="Q1882" s="12" t="str">
        <x:v>Osi Energy automation</x:v>
      </x:c>
    </x:row>
    <x:row r="1883" ht="48" customHeight="1">
      <x:c r="A1883" s="2" t="str">
        <x:v>TEN-A7F0F4E06BC5</x:v>
      </x:c>
      <x:c r="B1883" s="12" t="str">
        <x:v>Osram</x:v>
      </x:c>
      <x:c r="C1883" s="12" t="str">
        <x:v>Business / brand</x:v>
      </x:c>
      <x:c r="D1883" s="12" t="str">
        <x:v>Engineering &amp; manufacturing</x:v>
      </x:c>
      <x:c r="E1883" s="12" t="str">
        <x:v>Engineering/manufacturing — specialty unverified</x:v>
      </x:c>
      <x:c r="F1883" s="12" t="str">
        <x:v>Mixed business audience</x:v>
      </x:c>
      <x:c r="G1883" s="12" t="str">
        <x:v>Recognisable business context; company-scale evidence remains insufficient for a single size band.</x:v>
      </x:c>
      <x:c r="H1883" s="11" t="n">
        <x:v>1</x:v>
      </x:c>
      <x:c r="I1883" s="11" t="n">
        <x:v>8</x:v>
      </x:c>
      <x:c r="J1883" s="11" t="n">
        <x:v>8</x:v>
      </x:c>
      <x:c r="K1883" s="11" t="n">
        <x:v>0</x:v>
      </x:c>
      <x:c r="L1883" s="17" t="n">
        <x:f>SUM(SUMIFS('Costing'!$P$9:$P$492,'Costing'!$A$9:$A$492,"MAIN-126"))</x:f>
        <x:v>200000</x:v>
      </x:c>
      <x:c r="M1883" s="17" t="n">
        <x:f>ROUND(L1883*'Costing'!$C$4,2)</x:f>
        <x:v>36000</x:v>
      </x:c>
      <x:c r="N1883" s="17" t="n">
        <x:f>L1883+M1883</x:f>
        <x:v>236000</x:v>
      </x:c>
      <x:c r="O1883" s="12" t="str">
        <x:v>Bengaluru</x:v>
      </x:c>
      <x:c r="P1883" s="12" t="str">
        <x:v>CORP-0122</x:v>
      </x:c>
      <x:c r="Q1883" s="12" t="str">
        <x:v>Osram</x:v>
      </x:c>
    </x:row>
    <x:row r="1884" ht="48" customHeight="1">
      <x:c r="A1884" s="2" t="str">
        <x:v>TEN-CA95A5D8C4D9</x:v>
      </x:c>
      <x:c r="B1884" s="12" t="str">
        <x:v>Outlook India Publishig PVT</x:v>
      </x:c>
      <x:c r="C1884" s="12" t="str">
        <x:v>Business / brand</x:v>
      </x:c>
      <x:c r="D1884" s="12" t="str">
        <x:v>Trade, consumer &amp; logistics</x:v>
      </x:c>
      <x:c r="E1884" s="12" t="str">
        <x:v>Entertainment, media &amp; events</x:v>
      </x:c>
      <x:c r="F1884" s="12" t="str">
        <x:v>Mixed business audience</x:v>
      </x:c>
      <x:c r="G1884" s="12" t="str">
        <x:v>Established brand or business network; local company scale is not established. Use a mixed-business message.</x:v>
      </x:c>
      <x:c r="H1884" s="11" t="n">
        <x:v>6</x:v>
      </x:c>
      <x:c r="I1884" s="11" t="n">
        <x:v>6</x:v>
      </x:c>
      <x:c r="J1884" s="11" t="n">
        <x:v>6</x:v>
      </x:c>
      <x:c r="K1884" s="11" t="n">
        <x:v>0</x:v>
      </x:c>
      <x:c r="L1884" s="17" t="n">
        <x:f>SUM(SUMIFS('Costing'!$P$9:$P$492,'Costing'!$A$9:$A$492,"PARTNER-M227"))</x:f>
        <x:v>240000</x:v>
      </x:c>
      <x:c r="M1884" s="17" t="n">
        <x:f>ROUND(L1884*'Costing'!$C$4,2)</x:f>
        <x:v>43200</x:v>
      </x:c>
      <x:c r="N1884" s="17" t="n">
        <x:f>L1884+M1884</x:f>
        <x:v>283200</x:v>
      </x:c>
      <x:c r="O1884" s="12" t="str">
        <x:v>Mumbai</x:v>
      </x:c>
      <x:c r="P1884" s="12" t="str">
        <x:v>CORP-0644, CORP-0645, CORP-0646, CORP-0647, CORP-0648, CORP-0649</x:v>
      </x:c>
      <x:c r="Q1884" s="12" t="str">
        <x:v>Outlook India Publishig PVT</x:v>
      </x:c>
    </x:row>
    <x:row r="1885" ht="48" customHeight="1">
      <x:c r="A1885" s="2" t="str">
        <x:v>TEN-9893181D2970</x:v>
      </x:c>
      <x:c r="B1885" s="12" t="str">
        <x:v>Ovation Services Pvt Ltd</x:v>
      </x:c>
      <x:c r="C1885" s="12" t="str">
        <x:v>Business / brand</x:v>
      </x:c>
      <x:c r="D1885" s="12" t="str">
        <x:v>Unresolved</x:v>
      </x:c>
      <x:c r="E1885" s="12" t="str">
        <x:v>Business activity not established</x:v>
      </x:c>
      <x:c r="F1885" s="12" t="str">
        <x:v>Mixed business audience</x:v>
      </x:c>
      <x:c r="G1885" s="12" t="str">
        <x:v>Business activity and company scale are not established from this name.</x:v>
      </x:c>
      <x:c r="H1885" s="11" t="n">
        <x:v>2</x:v>
      </x:c>
      <x:c r="I1885" s="11" t="n">
        <x:v>7</x:v>
      </x:c>
      <x:c r="J1885" s="11" t="n">
        <x:v>7</x:v>
      </x:c>
      <x:c r="K1885" s="11" t="n">
        <x:v>0</x:v>
      </x:c>
      <x:c r="L1885" s="17" t="n">
        <x:f>SUM(SUMIFS('Costing'!$P$9:$P$492,'Costing'!$A$9:$A$492,"MAIN-158"),SUMIFS('Costing'!$P$9:$P$492,'Costing'!$A$9:$A$492,"MAIN-258"))</x:f>
        <x:v>240000</x:v>
      </x:c>
      <x:c r="M1885" s="17" t="n">
        <x:f>ROUND(L1885*'Costing'!$C$4,2)</x:f>
        <x:v>43200</x:v>
      </x:c>
      <x:c r="N1885" s="17" t="n">
        <x:f>L1885+M1885</x:f>
        <x:v>283200</x:v>
      </x:c>
      <x:c r="O1885" s="12" t="str">
        <x:v>Chennai, Hyderabad</x:v>
      </x:c>
      <x:c r="P1885" s="12" t="str">
        <x:v>CORP-0154, CORP-0254</x:v>
      </x:c>
      <x:c r="Q1885" s="12" t="str">
        <x:v>Ovation Services Pvt Ltd</x:v>
      </x:c>
    </x:row>
    <x:row r="1886" ht="48" customHeight="1">
      <x:c r="A1886" s="2" t="str">
        <x:v>TEN-1EE00EFBFE12</x:v>
      </x:c>
      <x:c r="B1886" s="12" t="str">
        <x:v>Owens Asia Private Limited</x:v>
      </x:c>
      <x:c r="C1886" s="12" t="str">
        <x:v>Business / brand</x:v>
      </x:c>
      <x:c r="D1886" s="12" t="str">
        <x:v>Unresolved</x:v>
      </x:c>
      <x:c r="E1886" s="12" t="str">
        <x:v>Business activity not established</x:v>
      </x:c>
      <x:c r="F1886" s="12" t="str">
        <x:v>Mixed business audience</x:v>
      </x:c>
      <x:c r="G1886" s="12" t="str">
        <x:v>Business activity and company scale are not established from this name.</x:v>
      </x:c>
      <x:c r="H1886" s="11" t="n">
        <x:v>1</x:v>
      </x:c>
      <x:c r="I1886" s="11" t="n">
        <x:v>1</x:v>
      </x:c>
      <x:c r="J1886" s="11" t="n">
        <x:v>1</x:v>
      </x:c>
      <x:c r="K1886" s="11" t="n">
        <x:v>0</x:v>
      </x:c>
      <x:c r="L1886" s="17" t="n">
        <x:f>SUM(SUMIFS('Costing'!$P$9:$P$492,'Costing'!$A$9:$A$492,"MAIN-319"))</x:f>
        <x:v>15000</x:v>
      </x:c>
      <x:c r="M1886" s="17" t="n">
        <x:f>ROUND(L1886*'Costing'!$C$4,2)</x:f>
        <x:v>2700</x:v>
      </x:c>
      <x:c r="N1886" s="17" t="n">
        <x:f>L1886+M1886</x:f>
        <x:v>17700</x:v>
      </x:c>
      <x:c r="O1886" s="12" t="str">
        <x:v>Mumbai</x:v>
      </x:c>
      <x:c r="P1886" s="12" t="str">
        <x:v>CORP-0315</x:v>
      </x:c>
      <x:c r="Q1886" s="12" t="str">
        <x:v>Owens Asia Private Limited</x:v>
      </x:c>
    </x:row>
    <x:row r="1887" ht="48" customHeight="1">
      <x:c r="A1887" s="2" t="str">
        <x:v>TEN-35C4BF441720</x:v>
      </x:c>
      <x:c r="B1887" s="12" t="str">
        <x:v>Oxiv Recruitment services</x:v>
      </x:c>
      <x:c r="C1887" s="12" t="str">
        <x:v>Business / brand</x:v>
      </x:c>
      <x:c r="D1887" s="12" t="str">
        <x:v>Professional services</x:v>
      </x:c>
      <x:c r="E1887" s="12" t="str">
        <x:v>Recruitment, HR &amp; staffing</x:v>
      </x:c>
      <x:c r="F1887" s="12" t="str">
        <x:v>Small-scale prospects</x:v>
      </x:c>
      <x:c r="G1887" s="12" t="str">
        <x:v>Professional service, agency or advisory model; small-scale prospect assumption.</x:v>
      </x:c>
      <x:c r="H1887" s="11" t="n">
        <x:v>1</x:v>
      </x:c>
      <x:c r="I1887" s="11" t="n">
        <x:v>1</x:v>
      </x:c>
      <x:c r="J1887" s="11" t="n">
        <x:v>1</x:v>
      </x:c>
      <x:c r="K1887" s="11" t="n">
        <x:v>0</x:v>
      </x:c>
      <x:c r="L1887" s="17" t="n">
        <x:f>SUM(SUMIFS('Costing'!$P$9:$P$492,'Costing'!$A$9:$A$492,"MAIN-247"))</x:f>
        <x:v>15000</x:v>
      </x:c>
      <x:c r="M1887" s="17" t="n">
        <x:f>ROUND(L1887*'Costing'!$C$4,2)</x:f>
        <x:v>2700</x:v>
      </x:c>
      <x:c r="N1887" s="17" t="n">
        <x:f>L1887+M1887</x:f>
        <x:v>17700</x:v>
      </x:c>
      <x:c r="O1887" s="12" t="str">
        <x:v>Hyderabad</x:v>
      </x:c>
      <x:c r="P1887" s="12" t="str">
        <x:v>CORP-0243</x:v>
      </x:c>
      <x:c r="Q1887" s="12" t="str">
        <x:v>Oxiv Recruitment services</x:v>
      </x:c>
    </x:row>
    <x:row r="1888" ht="48" customHeight="1">
      <x:c r="A1888" s="2" t="str">
        <x:v>TEN-C07185675D77</x:v>
      </x:c>
      <x:c r="B1888" s="12" t="str">
        <x:v>Oye Turtle LLP ( Earlier it was Spotlight)</x:v>
      </x:c>
      <x:c r="C1888" s="12" t="str">
        <x:v>Business / brand</x:v>
      </x:c>
      <x:c r="D1888" s="12" t="str">
        <x:v>Unresolved</x:v>
      </x:c>
      <x:c r="E1888" s="12" t="str">
        <x:v>Business activity not established</x:v>
      </x:c>
      <x:c r="F1888" s="12" t="str">
        <x:v>Mixed business audience</x:v>
      </x:c>
      <x:c r="G1888" s="12" t="str">
        <x:v>Business activity and company scale are not established from this name.</x:v>
      </x:c>
      <x:c r="H1888" s="11" t="n">
        <x:v>1</x:v>
      </x:c>
      <x:c r="I1888" s="11" t="n">
        <x:v>6</x:v>
      </x:c>
      <x:c r="J1888" s="11" t="n">
        <x:v>6</x:v>
      </x:c>
      <x:c r="K1888" s="11" t="n">
        <x:v>0</x:v>
      </x:c>
      <x:c r="L1888" s="17" t="n">
        <x:f>SUM(SUMIFS('Costing'!$P$9:$P$492,'Costing'!$A$9:$A$492,"MAIN-373"))</x:f>
        <x:v>240000</x:v>
      </x:c>
      <x:c r="M1888" s="17" t="n">
        <x:f>ROUND(L1888*'Costing'!$C$4,2)</x:f>
        <x:v>43200</x:v>
      </x:c>
      <x:c r="N1888" s="17" t="n">
        <x:f>L1888+M1888</x:f>
        <x:v>283200</x:v>
      </x:c>
      <x:c r="O1888" s="12" t="str">
        <x:v>Delhi NCR</x:v>
      </x:c>
      <x:c r="P1888" s="12" t="str">
        <x:v>CORP-0369</x:v>
      </x:c>
      <x:c r="Q1888" s="12" t="str">
        <x:v>Oye Turtle LLP ( Earlier it was Spotlight)</x:v>
      </x:c>
    </x:row>
    <x:row r="1889" ht="49" customHeight="1">
      <x:c r="A1889" s="2" t="str">
        <x:v>TEN-3C6BC4EB7AAD</x:v>
      </x:c>
      <x:c r="B1889" s="12" t="str">
        <x:v>Oyo Workspace</x:v>
      </x:c>
      <x:c r="C1889" s="12" t="str">
        <x:v>Workspace operator</x:v>
      </x:c>
      <x:c r="D1889" s="12" t="str">
        <x:v>Workspace &amp; property operations</x:v>
      </x:c>
      <x:c r="E1889" s="12" t="str">
        <x:v>Coworking/workspace operator</x:v>
      </x:c>
      <x:c r="F1889" s="12" t="str">
        <x:v>Mixed business audience</x:v>
      </x:c>
      <x:c r="G1889" s="12" t="str">
        <x:v>Supplied entry is a shared-workspace operator; the business sizes of occupant companies cannot be derived from the operator name.</x:v>
      </x:c>
      <x:c r="H1889" s="11" t="n">
        <x:v>3</x:v>
      </x:c>
      <x:c r="I1889" s="11" t="n">
        <x:v>6</x:v>
      </x:c>
      <x:c r="J1889" s="11" t="n">
        <x:v>6</x:v>
      </x:c>
      <x:c r="K1889" s="11" t="n">
        <x:v>0</x:v>
      </x:c>
      <x:c r="L1889" s="17" t="n">
        <x:f>SUM(SUMIFS('Costing'!$P$9:$P$492,'Costing'!$A$9:$A$492,"MAIN-174"),SUMIFS('Costing'!$P$9:$P$492,'Costing'!$A$9:$A$492,"MAIN-176"),SUMIFS('Costing'!$P$9:$P$492,'Costing'!$A$9:$A$492,"MAIN-332"))</x:f>
        <x:v>90000</x:v>
      </x:c>
      <x:c r="M1889" s="17" t="n">
        <x:f>ROUND(L1889*'Costing'!$C$4,2)</x:f>
        <x:v>16200</x:v>
      </x:c>
      <x:c r="N1889" s="17" t="n">
        <x:f>L1889+M1889</x:f>
        <x:v>106200</x:v>
      </x:c>
      <x:c r="O1889" s="12" t="str">
        <x:v>Delhi NCR, Mumbai</x:v>
      </x:c>
      <x:c r="P1889" s="12" t="str">
        <x:v>CORP-0170, CORP-0172, CORP-0328</x:v>
      </x:c>
      <x:c r="Q1889" s="12" t="str">
        <x:v>Oyo Workspace</x:v>
      </x:c>
    </x:row>
    <x:row r="1890" ht="48" customHeight="1">
      <x:c r="A1890" s="2" t="str">
        <x:v>TEN-C92BBCAD9CDE</x:v>
      </x:c>
      <x:c r="B1890" s="12" t="str">
        <x:v>P-Mech Consultant pvt ltd</x:v>
      </x:c>
      <x:c r="C1890" s="12" t="str">
        <x:v>Business / brand</x:v>
      </x:c>
      <x:c r="D1890" s="12" t="str">
        <x:v>Engineering &amp; manufacturing</x:v>
      </x:c>
      <x:c r="E1890" s="12" t="str">
        <x:v>Engineering, testing &amp; technical services</x:v>
      </x:c>
      <x:c r="F1890" s="12" t="str">
        <x:v>Medium-scale prospects</x:v>
      </x:c>
      <x:c r="G1890" s="12" t="str">
        <x:v>Specialist industrial or engineering business; medium-scale prospect assumption.</x:v>
      </x:c>
      <x:c r="H1890" s="11" t="n">
        <x:v>1</x:v>
      </x:c>
      <x:c r="I1890" s="11" t="n">
        <x:v>47</x:v>
      </x:c>
      <x:c r="J1890" s="11" t="n">
        <x:v>47</x:v>
      </x:c>
      <x:c r="K1890" s="11" t="n">
        <x:v>0</x:v>
      </x:c>
      <x:c r="L1890" s="17" t="n">
        <x:f>SUM(SUMIFS('Costing'!$P$9:$P$492,'Costing'!$A$9:$A$492,"MAIN-308"))</x:f>
        <x:v>705000</x:v>
      </x:c>
      <x:c r="M1890" s="17" t="n">
        <x:f>ROUND(L1890*'Costing'!$C$4,2)</x:f>
        <x:v>126900</x:v>
      </x:c>
      <x:c r="N1890" s="17" t="n">
        <x:f>L1890+M1890</x:f>
        <x:v>831900</x:v>
      </x:c>
      <x:c r="O1890" s="12" t="str">
        <x:v>Mumbai</x:v>
      </x:c>
      <x:c r="P1890" s="12" t="str">
        <x:v>CORP-0304</x:v>
      </x:c>
      <x:c r="Q1890" s="12" t="str">
        <x:v>P-Mech Consultant pvt ltd</x:v>
      </x:c>
    </x:row>
    <x:row r="1891" ht="48" customHeight="1">
      <x:c r="A1891" s="2" t="str">
        <x:v>TEN-40F283DADDAE</x:v>
      </x:c>
      <x:c r="B1891" s="12" t="str">
        <x:v>Pacific It solution</x:v>
      </x:c>
      <x:c r="C1891" s="12" t="str">
        <x:v>Business / brand</x:v>
      </x:c>
      <x:c r="D1891" s="12" t="str">
        <x:v>IT &amp; digital</x:v>
      </x:c>
      <x:c r="E1891" s="12" t="str">
        <x:v>Enterprise software &amp; digital engineering</x:v>
      </x:c>
      <x:c r="F1891" s="12" t="str">
        <x:v>Small-scale prospects</x:v>
      </x:c>
      <x:c r="G1891" s="12" t="str">
        <x:v>Software or technology-services business; small-scale prospect assumption.</x:v>
      </x:c>
      <x:c r="H1891" s="11" t="n">
        <x:v>1</x:v>
      </x:c>
      <x:c r="I1891" s="11" t="n">
        <x:v>1</x:v>
      </x:c>
      <x:c r="J1891" s="11" t="n">
        <x:v>1</x:v>
      </x:c>
      <x:c r="K1891" s="11" t="n">
        <x:v>0</x:v>
      </x:c>
      <x:c r="L1891" s="17" t="n">
        <x:f>SUM(SUMIFS('Costing'!$P$9:$P$492,'Costing'!$A$9:$A$492,"MAIN-010"))</x:f>
        <x:v>15000</x:v>
      </x:c>
      <x:c r="M1891" s="17" t="n">
        <x:f>ROUND(L1891*'Costing'!$C$4,2)</x:f>
        <x:v>2700</x:v>
      </x:c>
      <x:c r="N1891" s="17" t="n">
        <x:f>L1891+M1891</x:f>
        <x:v>17700</x:v>
      </x:c>
      <x:c r="O1891" s="12" t="str">
        <x:v>Bengaluru</x:v>
      </x:c>
      <x:c r="P1891" s="12" t="str">
        <x:v>CORP-0006</x:v>
      </x:c>
      <x:c r="Q1891" s="12" t="str">
        <x:v>Pacific It solution</x:v>
      </x:c>
    </x:row>
    <x:row r="1892" ht="48" customHeight="1">
      <x:c r="A1892" s="2" t="str">
        <x:v>TEN-768BAA309EEE</x:v>
      </x:c>
      <x:c r="B1892" s="12" t="str">
        <x:v>Pagarbook</x:v>
      </x:c>
      <x:c r="C1892" s="12" t="str">
        <x:v>Business / brand</x:v>
      </x:c>
      <x:c r="D1892" s="12" t="str">
        <x:v>IT &amp; digital</x:v>
      </x:c>
      <x:c r="E1892" s="12" t="str">
        <x:v>Enterprise software &amp; digital engineering</x:v>
      </x:c>
      <x:c r="F1892" s="12" t="str">
        <x:v>Small-scale prospects</x:v>
      </x:c>
      <x:c r="G1892" s="12" t="str">
        <x:v>Software or technology-services business; small-scale prospect assumption.</x:v>
      </x:c>
      <x:c r="H1892" s="11" t="n">
        <x:v>1</x:v>
      </x:c>
      <x:c r="I1892" s="11" t="n">
        <x:v>1</x:v>
      </x:c>
      <x:c r="J1892" s="11" t="n">
        <x:v>1</x:v>
      </x:c>
      <x:c r="K1892" s="11" t="n">
        <x:v>0</x:v>
      </x:c>
      <x:c r="L1892" s="17" t="n">
        <x:f>SUM(SUMIFS('Costing'!$P$9:$P$492,'Costing'!$A$9:$A$492,"MAIN-064"))</x:f>
        <x:v>15000</x:v>
      </x:c>
      <x:c r="M1892" s="17" t="n">
        <x:f>ROUND(L1892*'Costing'!$C$4,2)</x:f>
        <x:v>2700</x:v>
      </x:c>
      <x:c r="N1892" s="17" t="n">
        <x:f>L1892+M1892</x:f>
        <x:v>17700</x:v>
      </x:c>
      <x:c r="O1892" s="12" t="str">
        <x:v>Bengaluru</x:v>
      </x:c>
      <x:c r="P1892" s="12" t="str">
        <x:v>CORP-0060</x:v>
      </x:c>
      <x:c r="Q1892" s="12" t="str">
        <x:v>Pagarbook</x:v>
      </x:c>
    </x:row>
    <x:row r="1893" ht="48" customHeight="1">
      <x:c r="A1893" s="2" t="str">
        <x:v>TEN-2074EEA1A383</x:v>
      </x:c>
      <x:c r="B1893" s="12" t="str">
        <x:v>Page Industries</x:v>
      </x:c>
      <x:c r="C1893" s="12" t="str">
        <x:v>Business / brand</x:v>
      </x:c>
      <x:c r="D1893" s="12" t="str">
        <x:v>Trade, consumer &amp; logistics</x:v>
      </x:c>
      <x:c r="E1893" s="12" t="str">
        <x:v>Retail, consumer products &amp; ecommerce</x:v>
      </x:c>
      <x:c r="F1893" s="12" t="str">
        <x:v>Mixed business audience</x:v>
      </x:c>
      <x:c r="G1893" s="12" t="str">
        <x:v>Recognisable business context; company-scale evidence remains insufficient for a single size band.</x:v>
      </x:c>
      <x:c r="H1893" s="11" t="n">
        <x:v>6</x:v>
      </x:c>
      <x:c r="I1893" s="11" t="n">
        <x:v>6</x:v>
      </x:c>
      <x:c r="J1893" s="11" t="n">
        <x:v>6</x:v>
      </x:c>
      <x:c r="K1893" s="11" t="n">
        <x:v>0</x:v>
      </x:c>
      <x:c r="L1893" s="17" t="n">
        <x:f>SUM(SUMIFS('Costing'!$P$9:$P$492,'Costing'!$A$9:$A$492,"PARTNER-M072"))</x:f>
        <x:v>240000</x:v>
      </x:c>
      <x:c r="M1893" s="17" t="n">
        <x:f>ROUND(L1893*'Costing'!$C$4,2)</x:f>
        <x:v>43200</x:v>
      </x:c>
      <x:c r="N1893" s="17" t="n">
        <x:f>L1893+M1893</x:f>
        <x:v>283200</x:v>
      </x:c>
      <x:c r="O1893" s="12" t="str">
        <x:v>Bengaluru</x:v>
      </x:c>
      <x:c r="P1893" s="12" t="str">
        <x:v>CORP-0490, CORP-0491, CORP-0492, CORP-0493, CORP-0494, CORP-0495</x:v>
      </x:c>
      <x:c r="Q1893" s="12" t="str">
        <x:v>Page Industries</x:v>
      </x:c>
    </x:row>
    <x:row r="1894" ht="48" customHeight="1">
      <x:c r="A1894" s="2" t="str">
        <x:v>TEN-CF43145687C6</x:v>
      </x:c>
      <x:c r="B1894" s="12" t="str">
        <x:v>Page Industries Limited</x:v>
      </x:c>
      <x:c r="C1894" s="12" t="str">
        <x:v>Business / brand</x:v>
      </x:c>
      <x:c r="D1894" s="12" t="str">
        <x:v>Trade, consumer &amp; logistics</x:v>
      </x:c>
      <x:c r="E1894" s="12" t="str">
        <x:v>Retail, consumer products &amp; ecommerce</x:v>
      </x:c>
      <x:c r="F1894" s="12" t="str">
        <x:v>Mixed business audience</x:v>
      </x:c>
      <x:c r="G1894" s="12" t="str">
        <x:v>Recognisable business context; company-scale evidence remains insufficient for a single size band.</x:v>
      </x:c>
      <x:c r="H1894" s="11" t="n">
        <x:v>3</x:v>
      </x:c>
      <x:c r="I1894" s="11" t="n">
        <x:v>3</x:v>
      </x:c>
      <x:c r="J1894" s="11" t="n">
        <x:v>3</x:v>
      </x:c>
      <x:c r="K1894" s="11" t="n">
        <x:v>0</x:v>
      </x:c>
      <x:c r="L1894" s="17" t="n">
        <x:f>SUM(SUMIFS('Costing'!$P$9:$P$492,'Costing'!$A$9:$A$492,"PARTNER-M166"))</x:f>
        <x:v>120000</x:v>
      </x:c>
      <x:c r="M1894" s="17" t="n">
        <x:f>ROUND(L1894*'Costing'!$C$4,2)</x:f>
        <x:v>21600</x:v>
      </x:c>
      <x:c r="N1894" s="17" t="n">
        <x:f>L1894+M1894</x:f>
        <x:v>141600</x:v>
      </x:c>
      <x:c r="O1894" s="12" t="str">
        <x:v>Bengaluru</x:v>
      </x:c>
      <x:c r="P1894" s="12" t="str">
        <x:v>CORP-0584, CORP-0585, CORP-0586</x:v>
      </x:c>
      <x:c r="Q1894" s="12" t="str">
        <x:v>Page Industries Limited</x:v>
      </x:c>
    </x:row>
    <x:row r="1895" ht="48" customHeight="1">
      <x:c r="A1895" s="2" t="str">
        <x:v>TEN-D8AA00083F8E</x:v>
      </x:c>
      <x:c r="B1895" s="12" t="str">
        <x:v>Page Point Services India Pvt Ltd</x:v>
      </x:c>
      <x:c r="C1895" s="12" t="str">
        <x:v>Business / brand</x:v>
      </x:c>
      <x:c r="D1895" s="12" t="str">
        <x:v>Unresolved</x:v>
      </x:c>
      <x:c r="E1895" s="12" t="str">
        <x:v>Business activity not established</x:v>
      </x:c>
      <x:c r="F1895" s="12" t="str">
        <x:v>Mixed business audience</x:v>
      </x:c>
      <x:c r="G1895" s="12" t="str">
        <x:v>Business activity and company scale are not established from this name.</x:v>
      </x:c>
      <x:c r="H1895" s="11" t="n">
        <x:v>1</x:v>
      </x:c>
      <x:c r="I1895" s="11" t="n">
        <x:v>4</x:v>
      </x:c>
      <x:c r="J1895" s="11" t="n">
        <x:v>4</x:v>
      </x:c>
      <x:c r="K1895" s="11" t="n">
        <x:v>0</x:v>
      </x:c>
      <x:c r="L1895" s="17" t="n">
        <x:f>SUM(SUMIFS('Costing'!$P$9:$P$492,'Costing'!$A$9:$A$492,"MAIN-053"))</x:f>
        <x:v>60000</x:v>
      </x:c>
      <x:c r="M1895" s="17" t="n">
        <x:f>ROUND(L1895*'Costing'!$C$4,2)</x:f>
        <x:v>10800</x:v>
      </x:c>
      <x:c r="N1895" s="17" t="n">
        <x:f>L1895+M1895</x:f>
        <x:v>70800</x:v>
      </x:c>
      <x:c r="O1895" s="12" t="str">
        <x:v>Bengaluru</x:v>
      </x:c>
      <x:c r="P1895" s="12" t="str">
        <x:v>CORP-0049</x:v>
      </x:c>
      <x:c r="Q1895" s="12" t="str">
        <x:v>Page Point Services India Pvt Ltd</x:v>
      </x:c>
    </x:row>
    <x:row r="1896" ht="48" customHeight="1">
      <x:c r="A1896" s="2" t="str">
        <x:v>TEN-54576A5562BF</x:v>
      </x:c>
      <x:c r="B1896" s="12" t="str">
        <x:v>PAHAL TRAVEL</x:v>
      </x:c>
      <x:c r="C1896" s="12" t="str">
        <x:v>Business / brand</x:v>
      </x:c>
      <x:c r="D1896" s="12" t="str">
        <x:v>Trade, consumer &amp; logistics</x:v>
      </x:c>
      <x:c r="E1896" s="12" t="str">
        <x:v>Travel, hospitality, food &amp; beverages</x:v>
      </x:c>
      <x:c r="F1896" s="12" t="str">
        <x:v>Small-scale prospects</x:v>
      </x:c>
      <x:c r="G1896" s="12" t="str">
        <x:v>Trading or consumer-services business; small-scale prospect assumption.</x:v>
      </x:c>
      <x:c r="H1896" s="11" t="n">
        <x:v>1</x:v>
      </x:c>
      <x:c r="I1896" s="11" t="n">
        <x:v>2</x:v>
      </x:c>
      <x:c r="J1896" s="11" t="n">
        <x:v>2</x:v>
      </x:c>
      <x:c r="K1896" s="11" t="n">
        <x:v>0</x:v>
      </x:c>
      <x:c r="L1896" s="17" t="n">
        <x:f>SUM(SUMIFS('Costing'!$P$9:$P$492,'Costing'!$A$9:$A$492,"MAIN-282"))</x:f>
        <x:v>30000</x:v>
      </x:c>
      <x:c r="M1896" s="17" t="n">
        <x:f>ROUND(L1896*'Costing'!$C$4,2)</x:f>
        <x:v>5400</x:v>
      </x:c>
      <x:c r="N1896" s="17" t="n">
        <x:f>L1896+M1896</x:f>
        <x:v>35400</x:v>
      </x:c>
      <x:c r="O1896" s="12" t="str">
        <x:v>Kolkata</x:v>
      </x:c>
      <x:c r="P1896" s="12" t="str">
        <x:v>CORP-0278</x:v>
      </x:c>
      <x:c r="Q1896" s="12" t="str">
        <x:v>PAHAL TRAVEL</x:v>
      </x:c>
    </x:row>
    <x:row r="1897" ht="49" customHeight="1">
      <x:c r="A1897" s="2" t="str">
        <x:v>TEN-AEF34FE789D8</x:v>
      </x:c>
      <x:c r="B1897" s="12" t="str">
        <x:v>Pal Alto</x:v>
      </x:c>
      <x:c r="C1897" s="12" t="str">
        <x:v>Business / brand</x:v>
      </x:c>
      <x:c r="D1897" s="12" t="str">
        <x:v>Unresolved</x:v>
      </x:c>
      <x:c r="E1897" s="12" t="str">
        <x:v>Business activity not established</x:v>
      </x:c>
      <x:c r="F1897" s="12" t="str">
        <x:v>Mixed business audience</x:v>
      </x:c>
      <x:c r="G1897" s="12" t="str">
        <x:v>Business activity and company scale are not established from this name.</x:v>
      </x:c>
      <x:c r="H1897" s="11" t="n">
        <x:v>12</x:v>
      </x:c>
      <x:c r="I1897" s="11" t="n">
        <x:v>12</x:v>
      </x:c>
      <x:c r="J1897" s="11" t="n">
        <x:v>12</x:v>
      </x:c>
      <x:c r="K1897" s="11" t="n">
        <x:v>0</x:v>
      </x:c>
      <x:c r="L1897" s="17" t="n">
        <x:f>SUM(SUMIFS('Costing'!$P$9:$P$492,'Costing'!$A$9:$A$492,"PARTNER-M108"))</x:f>
        <x:v>480000</x:v>
      </x:c>
      <x:c r="M1897" s="17" t="n">
        <x:f>ROUND(L1897*'Costing'!$C$4,2)</x:f>
        <x:v>86400</x:v>
      </x:c>
      <x:c r="N1897" s="17" t="n">
        <x:f>L1897+M1897</x:f>
        <x:v>566400</x:v>
      </x:c>
      <x:c r="O1897" s="12" t="str">
        <x:v>Bengaluru</x:v>
      </x:c>
      <x:c r="P1897" s="12" t="str">
        <x:v>CORP-0526, CORP-0527, CORP-0528, CORP-0529, CORP-0530, CORP-0531, CORP-0532, CORP-0533, CORP-0534, CORP-0535, CORP-0536, CORP-0537</x:v>
      </x:c>
      <x:c r="Q1897" s="12" t="str">
        <x:v>Pal Alto</x:v>
      </x:c>
    </x:row>
    <x:row r="1898" ht="48" customHeight="1">
      <x:c r="A1898" s="2" t="str">
        <x:v>TEN-A59639D4A5A6</x:v>
      </x:c>
      <x:c r="B1898" s="12" t="str">
        <x:v>Paladion Networks Pvt Ltd</x:v>
      </x:c>
      <x:c r="C1898" s="12" t="str">
        <x:v>Business / brand</x:v>
      </x:c>
      <x:c r="D1898" s="12" t="str">
        <x:v>IT &amp; digital</x:v>
      </x:c>
      <x:c r="E1898" s="12" t="str">
        <x:v>Cybersecurity &amp; cloud infrastructure</x:v>
      </x:c>
      <x:c r="F1898" s="12" t="str">
        <x:v>Large enterprise</x:v>
      </x:c>
      <x:c r="G1898" s="12" t="str">
        <x:v>Explicit Atos enterprise-family context; see ENTERPRISE_SUPP_021 evidence.</x:v>
      </x:c>
      <x:c r="H1898" s="11" t="n">
        <x:v>1</x:v>
      </x:c>
      <x:c r="I1898" s="11" t="n">
        <x:v>2</x:v>
      </x:c>
      <x:c r="J1898" s="11" t="n">
        <x:v>2</x:v>
      </x:c>
      <x:c r="K1898" s="11" t="n">
        <x:v>0</x:v>
      </x:c>
      <x:c r="L1898" s="17" t="n">
        <x:f>SUM(SUMIFS('Costing'!$P$9:$P$492,'Costing'!$A$9:$A$492,"MAIN-037"))</x:f>
        <x:v>80000</x:v>
      </x:c>
      <x:c r="M1898" s="17" t="n">
        <x:f>ROUND(L1898*'Costing'!$C$4,2)</x:f>
        <x:v>14400</x:v>
      </x:c>
      <x:c r="N1898" s="17" t="n">
        <x:f>L1898+M1898</x:f>
        <x:v>94400</x:v>
      </x:c>
      <x:c r="O1898" s="12" t="str">
        <x:v>Bengaluru</x:v>
      </x:c>
      <x:c r="P1898" s="12" t="str">
        <x:v>CORP-0033</x:v>
      </x:c>
      <x:c r="Q1898" s="12" t="str">
        <x:v>Paladion Networks Pvt Ltd</x:v>
      </x:c>
    </x:row>
    <x:row r="1899" ht="48" customHeight="1">
      <x:c r="A1899" s="2" t="str">
        <x:v>TEN-7C4FC1E96922</x:v>
      </x:c>
      <x:c r="B1899" s="12" t="str">
        <x:v>Palmeto Solutions</x:v>
      </x:c>
      <x:c r="C1899" s="12" t="str">
        <x:v>Business / brand</x:v>
      </x:c>
      <x:c r="D1899" s="12" t="str">
        <x:v>Unresolved</x:v>
      </x:c>
      <x:c r="E1899" s="12" t="str">
        <x:v>Business activity not established</x:v>
      </x:c>
      <x:c r="F1899" s="12" t="str">
        <x:v>Mixed business audience</x:v>
      </x:c>
      <x:c r="G1899" s="12" t="str">
        <x:v>Business activity and company scale are not established from this name.</x:v>
      </x:c>
      <x:c r="H1899" s="11" t="n">
        <x:v>1</x:v>
      </x:c>
      <x:c r="I1899" s="11" t="n">
        <x:v>1</x:v>
      </x:c>
      <x:c r="J1899" s="11" t="n">
        <x:v>1</x:v>
      </x:c>
      <x:c r="K1899" s="11" t="n">
        <x:v>0</x:v>
      </x:c>
      <x:c r="L1899" s="17" t="n">
        <x:f>SUM(SUMIFS('Costing'!$P$9:$P$492,'Costing'!$A$9:$A$492,"MAIN-247"))</x:f>
        <x:v>15000</x:v>
      </x:c>
      <x:c r="M1899" s="17" t="n">
        <x:f>ROUND(L1899*'Costing'!$C$4,2)</x:f>
        <x:v>2700</x:v>
      </x:c>
      <x:c r="N1899" s="17" t="n">
        <x:f>L1899+M1899</x:f>
        <x:v>17700</x:v>
      </x:c>
      <x:c r="O1899" s="12" t="str">
        <x:v>Hyderabad</x:v>
      </x:c>
      <x:c r="P1899" s="12" t="str">
        <x:v>CORP-0243</x:v>
      </x:c>
      <x:c r="Q1899" s="12" t="str">
        <x:v>Palmeto Solutions</x:v>
      </x:c>
    </x:row>
    <x:row r="1900" ht="48" customHeight="1">
      <x:c r="A1900" s="2" t="str">
        <x:v>TEN-4DB086C6D158</x:v>
      </x:c>
      <x:c r="B1900" s="12" t="str">
        <x:v>Pan Gulf Technologies Pvt. Ltd</x:v>
      </x:c>
      <x:c r="C1900" s="12" t="str">
        <x:v>Business / brand</x:v>
      </x:c>
      <x:c r="D1900" s="12" t="str">
        <x:v>Unresolved</x:v>
      </x:c>
      <x:c r="E1900" s="12" t="str">
        <x:v>Business activity not established</x:v>
      </x:c>
      <x:c r="F1900" s="12" t="str">
        <x:v>Mixed business audience</x:v>
      </x:c>
      <x:c r="G1900" s="12" t="str">
        <x:v>Business activity and company scale are not established from this name.</x:v>
      </x:c>
      <x:c r="H1900" s="11" t="n">
        <x:v>1</x:v>
      </x:c>
      <x:c r="I1900" s="11" t="n">
        <x:v>1</x:v>
      </x:c>
      <x:c r="J1900" s="11" t="n">
        <x:v>1</x:v>
      </x:c>
      <x:c r="K1900" s="11" t="n">
        <x:v>0</x:v>
      </x:c>
      <x:c r="L1900" s="17" t="n">
        <x:f>SUM(SUMIFS('Costing'!$P$9:$P$492,'Costing'!$A$9:$A$492,"MAIN-299"))</x:f>
        <x:v>15000</x:v>
      </x:c>
      <x:c r="M1900" s="17" t="n">
        <x:f>ROUND(L1900*'Costing'!$C$4,2)</x:f>
        <x:v>2700</x:v>
      </x:c>
      <x:c r="N1900" s="17" t="n">
        <x:f>L1900+M1900</x:f>
        <x:v>17700</x:v>
      </x:c>
      <x:c r="O1900" s="12" t="str">
        <x:v>Mumbai</x:v>
      </x:c>
      <x:c r="P1900" s="12" t="str">
        <x:v>CORP-0295</x:v>
      </x:c>
      <x:c r="Q1900" s="12" t="str">
        <x:v>Pan Gulf Technologies Pvt. Ltd</x:v>
      </x:c>
    </x:row>
    <x:row r="1901" ht="48" customHeight="1">
      <x:c r="A1901" s="2" t="str">
        <x:v>TEN-33DF04958DCA</x:v>
      </x:c>
      <x:c r="B1901" s="12" t="str">
        <x:v>Panasoni Life</x:v>
      </x:c>
      <x:c r="C1901" s="12" t="str">
        <x:v>Business / brand</x:v>
      </x:c>
      <x:c r="D1901" s="12" t="str">
        <x:v>Unresolved</x:v>
      </x:c>
      <x:c r="E1901" s="12" t="str">
        <x:v>Business activity not established</x:v>
      </x:c>
      <x:c r="F1901" s="12" t="str">
        <x:v>Mixed business audience</x:v>
      </x:c>
      <x:c r="G1901" s="12" t="str">
        <x:v>Business activity and company scale are not established from this name.</x:v>
      </x:c>
      <x:c r="H1901" s="11" t="n">
        <x:v>9</x:v>
      </x:c>
      <x:c r="I1901" s="11" t="n">
        <x:v>9</x:v>
      </x:c>
      <x:c r="J1901" s="11" t="n">
        <x:v>9</x:v>
      </x:c>
      <x:c r="K1901" s="11" t="n">
        <x:v>0</x:v>
      </x:c>
      <x:c r="L1901" s="17" t="n">
        <x:f>SUM(SUMIFS('Costing'!$P$9:$P$492,'Costing'!$A$9:$A$492,"PARTNER-M002"))</x:f>
        <x:v>360000</x:v>
      </x:c>
      <x:c r="M1901" s="17" t="n">
        <x:f>ROUND(L1901*'Costing'!$C$4,2)</x:f>
        <x:v>64800</x:v>
      </x:c>
      <x:c r="N1901" s="17" t="n">
        <x:f>L1901+M1901</x:f>
        <x:v>424800</x:v>
      </x:c>
      <x:c r="O1901" s="12" t="str">
        <x:v>Bengaluru</x:v>
      </x:c>
      <x:c r="P1901" s="12" t="str">
        <x:v>CORP-0420, CORP-0421, CORP-0422, CORP-0423, CORP-0424, CORP-0425, CORP-0426, CORP-0427, CORP-0428</x:v>
      </x:c>
      <x:c r="Q1901" s="12" t="str">
        <x:v>Panasoni Life</x:v>
      </x:c>
    </x:row>
    <x:row r="1902" ht="48" customHeight="1">
      <x:c r="A1902" s="2" t="str">
        <x:v>TEN-46C759E87193</x:v>
      </x:c>
      <x:c r="B1902" s="12" t="str">
        <x:v>Panasonic</x:v>
      </x:c>
      <x:c r="C1902" s="12" t="str">
        <x:v>Business / brand</x:v>
      </x:c>
      <x:c r="D1902" s="12" t="str">
        <x:v>Engineering &amp; manufacturing</x:v>
      </x:c>
      <x:c r="E1902" s="12" t="str">
        <x:v>Semiconductors, electronics &amp; equipment</x:v>
      </x:c>
      <x:c r="F1902" s="12" t="str">
        <x:v>Large enterprise</x:v>
      </x:c>
      <x:c r="G1902" s="12" t="str">
        <x:v>Explicit Panasonic enterprise-family context; see ENTERPRISE_SUPP_028 evidence.</x:v>
      </x:c>
      <x:c r="H1902" s="11" t="n">
        <x:v>1</x:v>
      </x:c>
      <x:c r="I1902" s="11" t="n">
        <x:v>1</x:v>
      </x:c>
      <x:c r="J1902" s="11" t="n">
        <x:v>1</x:v>
      </x:c>
      <x:c r="K1902" s="11" t="n">
        <x:v>0</x:v>
      </x:c>
      <x:c r="L1902" s="17" t="n">
        <x:f>SUM(SUMIFS('Costing'!$P$9:$P$492,'Costing'!$A$9:$A$492,"MAIN-272"))</x:f>
        <x:v>20000</x:v>
      </x:c>
      <x:c r="M1902" s="17" t="n">
        <x:f>ROUND(L1902*'Costing'!$C$4,2)</x:f>
        <x:v>3600</x:v>
      </x:c>
      <x:c r="N1902" s="17" t="n">
        <x:f>L1902+M1902</x:f>
        <x:v>23600</x:v>
      </x:c>
      <x:c r="O1902" s="12" t="str">
        <x:v>Indore</x:v>
      </x:c>
      <x:c r="P1902" s="12" t="str">
        <x:v>CORP-0268</x:v>
      </x:c>
      <x:c r="Q1902" s="12" t="str">
        <x:v>Panasonic</x:v>
      </x:c>
    </x:row>
    <x:row r="1903" ht="48" customHeight="1">
      <x:c r="A1903" s="2" t="str">
        <x:v>TEN-B863E69832C3</x:v>
      </x:c>
      <x:c r="B1903" s="12" t="str">
        <x:v>Panasonic Life Solutions</x:v>
      </x:c>
      <x:c r="C1903" s="12" t="str">
        <x:v>Business / brand</x:v>
      </x:c>
      <x:c r="D1903" s="12" t="str">
        <x:v>Engineering &amp; manufacturing</x:v>
      </x:c>
      <x:c r="E1903" s="12" t="str">
        <x:v>Semiconductors, electronics &amp; equipment</x:v>
      </x:c>
      <x:c r="F1903" s="12" t="str">
        <x:v>Large enterprise</x:v>
      </x:c>
      <x:c r="G1903" s="12" t="str">
        <x:v>Explicit Panasonic enterprise-family context; see ENTERPRISE_SUPP_028 evidence.</x:v>
      </x:c>
      <x:c r="H1903" s="11" t="n">
        <x:v>1</x:v>
      </x:c>
      <x:c r="I1903" s="11" t="n">
        <x:v>1</x:v>
      </x:c>
      <x:c r="J1903" s="11" t="n">
        <x:v>1</x:v>
      </x:c>
      <x:c r="K1903" s="11" t="n">
        <x:v>0</x:v>
      </x:c>
      <x:c r="L1903" s="17" t="n">
        <x:f>SUM(SUMIFS('Costing'!$P$9:$P$492,'Costing'!$A$9:$A$492,"MAIN-321"))</x:f>
        <x:v>15000</x:v>
      </x:c>
      <x:c r="M1903" s="17" t="n">
        <x:f>ROUND(L1903*'Costing'!$C$4,2)</x:f>
        <x:v>2700</x:v>
      </x:c>
      <x:c r="N1903" s="17" t="n">
        <x:f>L1903+M1903</x:f>
        <x:v>17700</x:v>
      </x:c>
      <x:c r="O1903" s="12" t="str">
        <x:v>Mumbai</x:v>
      </x:c>
      <x:c r="P1903" s="12" t="str">
        <x:v>CORP-0317</x:v>
      </x:c>
      <x:c r="Q1903" s="12" t="str">
        <x:v>Panasonic Life Solutions</x:v>
      </x:c>
    </x:row>
    <x:row r="1904" ht="48" customHeight="1">
      <x:c r="A1904" s="2" t="str">
        <x:v>TEN-1CC4F645DA2D</x:v>
      </x:c>
      <x:c r="B1904" s="12" t="str">
        <x:v>pantaloons</x:v>
      </x:c>
      <x:c r="C1904" s="12" t="str">
        <x:v>Business / brand</x:v>
      </x:c>
      <x:c r="D1904" s="12" t="str">
        <x:v>Trade, consumer &amp; logistics</x:v>
      </x:c>
      <x:c r="E1904" s="12" t="str">
        <x:v>Retail, consumer products &amp; ecommerce</x:v>
      </x:c>
      <x:c r="F1904" s="12" t="str">
        <x:v>Mixed business audience</x:v>
      </x:c>
      <x:c r="G1904" s="12" t="str">
        <x:v>Recognisable business context; company-scale evidence remains insufficient for a single size band.</x:v>
      </x:c>
      <x:c r="H1904" s="11" t="n">
        <x:v>1</x:v>
      </x:c>
      <x:c r="I1904" s="11" t="n">
        <x:v>1</x:v>
      </x:c>
      <x:c r="J1904" s="11" t="n">
        <x:v>1</x:v>
      </x:c>
      <x:c r="K1904" s="11" t="n">
        <x:v>0</x:v>
      </x:c>
      <x:c r="L1904" s="17" t="n">
        <x:f>SUM(SUMIFS('Costing'!$P$9:$P$492,'Costing'!$A$9:$A$492,"MAIN-390"))</x:f>
        <x:v>15000</x:v>
      </x:c>
      <x:c r="M1904" s="17" t="n">
        <x:f>ROUND(L1904*'Costing'!$C$4,2)</x:f>
        <x:v>2700</x:v>
      </x:c>
      <x:c r="N1904" s="17" t="n">
        <x:f>L1904+M1904</x:f>
        <x:v>17700</x:v>
      </x:c>
      <x:c r="O1904" s="12" t="str">
        <x:v>Pune</x:v>
      </x:c>
      <x:c r="P1904" s="12" t="str">
        <x:v>CORP-0386</x:v>
      </x:c>
      <x:c r="Q1904" s="12" t="str">
        <x:v>pantaloons</x:v>
      </x:c>
    </x:row>
    <x:row r="1905" ht="48" customHeight="1">
      <x:c r="A1905" s="2" t="str">
        <x:v>TEN-201CFFEC4ACD</x:v>
      </x:c>
      <x:c r="B1905" s="12" t="str">
        <x:v>Paras Metallurgical Industries</x:v>
      </x:c>
      <x:c r="C1905" s="12" t="str">
        <x:v>Business / brand</x:v>
      </x:c>
      <x:c r="D1905" s="12" t="str">
        <x:v>Engineering &amp; manufacturing</x:v>
      </x:c>
      <x:c r="E1905" s="12" t="str">
        <x:v>Engineering/manufacturing — specialty unverified</x:v>
      </x:c>
      <x:c r="F1905" s="12" t="str">
        <x:v>Medium-scale prospects</x:v>
      </x:c>
      <x:c r="G1905" s="12" t="str">
        <x:v>Specialist industrial or engineering business; medium-scale prospect assumption.</x:v>
      </x:c>
      <x:c r="H1905" s="11" t="n">
        <x:v>1</x:v>
      </x:c>
      <x:c r="I1905" s="11" t="n">
        <x:v>39</x:v>
      </x:c>
      <x:c r="J1905" s="11" t="n">
        <x:v>39</x:v>
      </x:c>
      <x:c r="K1905" s="11" t="n">
        <x:v>0</x:v>
      </x:c>
      <x:c r="L1905" s="17" t="n">
        <x:f>SUM(SUMIFS('Costing'!$P$9:$P$492,'Costing'!$A$9:$A$492,"MAIN-294"))</x:f>
        <x:v>585000</x:v>
      </x:c>
      <x:c r="M1905" s="17" t="n">
        <x:f>ROUND(L1905*'Costing'!$C$4,2)</x:f>
        <x:v>105300</x:v>
      </x:c>
      <x:c r="N1905" s="17" t="n">
        <x:f>L1905+M1905</x:f>
        <x:v>690300</x:v>
      </x:c>
      <x:c r="O1905" s="12" t="str">
        <x:v>Mumbai</x:v>
      </x:c>
      <x:c r="P1905" s="12" t="str">
        <x:v>CORP-0290</x:v>
      </x:c>
      <x:c r="Q1905" s="12" t="str">
        <x:v>Paras Metallurgical Industries</x:v>
      </x:c>
    </x:row>
    <x:row r="1906" ht="48" customHeight="1">
      <x:c r="A1906" s="2" t="str">
        <x:v>TEN-CE212CD84140</x:v>
      </x:c>
      <x:c r="B1906" s="12" t="str">
        <x:v>Pariwar finance</x:v>
      </x:c>
      <x:c r="C1906" s="12" t="str">
        <x:v>Business / brand</x:v>
      </x:c>
      <x:c r="D1906" s="12" t="str">
        <x:v>Finance &amp; insurance</x:v>
      </x:c>
      <x:c r="E1906" s="12" t="str">
        <x:v>Financial services — specialty unverified</x:v>
      </x:c>
      <x:c r="F1906" s="12" t="str">
        <x:v>Medium-scale prospects</x:v>
      </x:c>
      <x:c r="G1906" s="12" t="str">
        <x:v>Specialist financial-services business; medium-scale prospect assumption.</x:v>
      </x:c>
      <x:c r="H1906" s="11" t="n">
        <x:v>1</x:v>
      </x:c>
      <x:c r="I1906" s="11" t="n">
        <x:v>2</x:v>
      </x:c>
      <x:c r="J1906" s="11" t="n">
        <x:v>2</x:v>
      </x:c>
      <x:c r="K1906" s="11" t="n">
        <x:v>0</x:v>
      </x:c>
      <x:c r="L1906" s="17" t="n">
        <x:f>SUM(SUMIFS('Costing'!$P$9:$P$492,'Costing'!$A$9:$A$492,"MAIN-182"))</x:f>
        <x:v>30000</x:v>
      </x:c>
      <x:c r="M1906" s="17" t="n">
        <x:f>ROUND(L1906*'Costing'!$C$4,2)</x:f>
        <x:v>5400</x:v>
      </x:c>
      <x:c r="N1906" s="17" t="n">
        <x:f>L1906+M1906</x:f>
        <x:v>35400</x:v>
      </x:c>
      <x:c r="O1906" s="12" t="str">
        <x:v>Delhi NCR</x:v>
      </x:c>
      <x:c r="P1906" s="12" t="str">
        <x:v>CORP-0178</x:v>
      </x:c>
      <x:c r="Q1906" s="12" t="str">
        <x:v>Pariwar finance</x:v>
      </x:c>
    </x:row>
    <x:row r="1907" ht="48" customHeight="1">
      <x:c r="A1907" s="2" t="str">
        <x:v>TEN-761A47C104F3</x:v>
      </x:c>
      <x:c r="B1907" s="12" t="str">
        <x:v>Parkmate Hive</x:v>
      </x:c>
      <x:c r="C1907" s="12" t="str">
        <x:v>Business / brand</x:v>
      </x:c>
      <x:c r="D1907" s="12" t="str">
        <x:v>Unresolved</x:v>
      </x:c>
      <x:c r="E1907" s="12" t="str">
        <x:v>Business activity not established</x:v>
      </x:c>
      <x:c r="F1907" s="12" t="str">
        <x:v>Mixed business audience</x:v>
      </x:c>
      <x:c r="G1907" s="12" t="str">
        <x:v>Business activity and company scale are not established from this name.</x:v>
      </x:c>
      <x:c r="H1907" s="11" t="n">
        <x:v>1</x:v>
      </x:c>
      <x:c r="I1907" s="11" t="n">
        <x:v>3</x:v>
      </x:c>
      <x:c r="J1907" s="11" t="n">
        <x:v>3</x:v>
      </x:c>
      <x:c r="K1907" s="11" t="n">
        <x:v>0</x:v>
      </x:c>
      <x:c r="L1907" s="17" t="n">
        <x:f>SUM(SUMIFS('Costing'!$P$9:$P$492,'Costing'!$A$9:$A$492,"MAIN-371"))</x:f>
        <x:v>45000</x:v>
      </x:c>
      <x:c r="M1907" s="17" t="n">
        <x:f>ROUND(L1907*'Costing'!$C$4,2)</x:f>
        <x:v>8100</x:v>
      </x:c>
      <x:c r="N1907" s="17" t="n">
        <x:f>L1907+M1907</x:f>
        <x:v>53100</x:v>
      </x:c>
      <x:c r="O1907" s="12" t="str">
        <x:v>Delhi NCR</x:v>
      </x:c>
      <x:c r="P1907" s="12" t="str">
        <x:v>CORP-0367</x:v>
      </x:c>
      <x:c r="Q1907" s="12" t="str">
        <x:v>Parkmate Hive</x:v>
      </x:c>
    </x:row>
    <x:row r="1908" ht="48" customHeight="1">
      <x:c r="A1908" s="2" t="str">
        <x:v>TEN-336DDD08276C</x:v>
      </x:c>
      <x:c r="B1908" s="12" t="str">
        <x:v>Paskola Value Management Consultant Private Limited</x:v>
      </x:c>
      <x:c r="C1908" s="12" t="str">
        <x:v>Business / brand</x:v>
      </x:c>
      <x:c r="D1908" s="12" t="str">
        <x:v>Professional services</x:v>
      </x:c>
      <x:c r="E1908" s="12" t="str">
        <x:v>Business consulting &amp; advisory</x:v>
      </x:c>
      <x:c r="F1908" s="12" t="str">
        <x:v>Small-scale prospects</x:v>
      </x:c>
      <x:c r="G1908" s="12" t="str">
        <x:v>Professional service, agency or advisory model; small-scale prospect assumption.</x:v>
      </x:c>
      <x:c r="H1908" s="11" t="n">
        <x:v>1</x:v>
      </x:c>
      <x:c r="I1908" s="11" t="n">
        <x:v>2</x:v>
      </x:c>
      <x:c r="J1908" s="11" t="n">
        <x:v>2</x:v>
      </x:c>
      <x:c r="K1908" s="11" t="n">
        <x:v>0</x:v>
      </x:c>
      <x:c r="L1908" s="17" t="n">
        <x:f>SUM(SUMIFS('Costing'!$P$9:$P$492,'Costing'!$A$9:$A$492,"MAIN-273"))</x:f>
        <x:v>40000</x:v>
      </x:c>
      <x:c r="M1908" s="17" t="n">
        <x:f>ROUND(L1908*'Costing'!$C$4,2)</x:f>
        <x:v>7200</x:v>
      </x:c>
      <x:c r="N1908" s="17" t="n">
        <x:f>L1908+M1908</x:f>
        <x:v>47200</x:v>
      </x:c>
      <x:c r="O1908" s="12" t="str">
        <x:v>Indore</x:v>
      </x:c>
      <x:c r="P1908" s="12" t="str">
        <x:v>CORP-0269</x:v>
      </x:c>
      <x:c r="Q1908" s="12" t="str">
        <x:v>Paskola Value Management Consultant Private Limited</x:v>
      </x:c>
    </x:row>
    <x:row r="1909" ht="48" customHeight="1">
      <x:c r="A1909" s="2" t="str">
        <x:v>TEN-9469C6F797DD</x:v>
      </x:c>
      <x:c r="B1909" s="12" t="str">
        <x:v>PASS GCA Solutions</x:v>
      </x:c>
      <x:c r="C1909" s="12" t="str">
        <x:v>Business / brand</x:v>
      </x:c>
      <x:c r="D1909" s="12" t="str">
        <x:v>Unresolved</x:v>
      </x:c>
      <x:c r="E1909" s="12" t="str">
        <x:v>Business activity not established</x:v>
      </x:c>
      <x:c r="F1909" s="12" t="str">
        <x:v>Mixed business audience</x:v>
      </x:c>
      <x:c r="G1909" s="12" t="str">
        <x:v>Business activity and company scale are not established from this name.</x:v>
      </x:c>
      <x:c r="H1909" s="11" t="n">
        <x:v>6</x:v>
      </x:c>
      <x:c r="I1909" s="11" t="n">
        <x:v>6</x:v>
      </x:c>
      <x:c r="J1909" s="11" t="n">
        <x:v>6</x:v>
      </x:c>
      <x:c r="K1909" s="11" t="n">
        <x:v>0</x:v>
      </x:c>
      <x:c r="L1909" s="17" t="n">
        <x:f>SUM(SUMIFS('Costing'!$P$9:$P$492,'Costing'!$A$9:$A$492,"PARTNER-M283"))</x:f>
        <x:v>240000</x:v>
      </x:c>
      <x:c r="M1909" s="17" t="n">
        <x:f>ROUND(L1909*'Costing'!$C$4,2)</x:f>
        <x:v>43200</x:v>
      </x:c>
      <x:c r="N1909" s="17" t="n">
        <x:f>L1909+M1909</x:f>
        <x:v>283200</x:v>
      </x:c>
      <x:c r="O1909" s="12" t="str">
        <x:v>Hyderabad</x:v>
      </x:c>
      <x:c r="P1909" s="12" t="str">
        <x:v>CORP-0698, CORP-0699, CORP-0700, CORP-0701, CORP-0702, CORP-0703</x:v>
      </x:c>
      <x:c r="Q1909" s="12" t="str">
        <x:v>PASS GCA Solutions</x:v>
      </x:c>
    </x:row>
    <x:row r="1910" ht="48" customHeight="1">
      <x:c r="A1910" s="2" t="str">
        <x:v>TEN-F0D786C6413F</x:v>
      </x:c>
      <x:c r="B1910" s="12" t="str">
        <x:v>passion gaming</x:v>
      </x:c>
      <x:c r="C1910" s="12" t="str">
        <x:v>Business / brand</x:v>
      </x:c>
      <x:c r="D1910" s="12" t="str">
        <x:v>Trade, consumer &amp; logistics</x:v>
      </x:c>
      <x:c r="E1910" s="12" t="str">
        <x:v>Entertainment, media &amp; events</x:v>
      </x:c>
      <x:c r="F1910" s="12" t="str">
        <x:v>Small-scale prospects</x:v>
      </x:c>
      <x:c r="G1910" s="12" t="str">
        <x:v>Trading or consumer-services business; small-scale prospect assumption.</x:v>
      </x:c>
      <x:c r="H1910" s="11" t="n">
        <x:v>1</x:v>
      </x:c>
      <x:c r="I1910" s="11" t="n">
        <x:v>2</x:v>
      </x:c>
      <x:c r="J1910" s="11" t="n">
        <x:v>2</x:v>
      </x:c>
      <x:c r="K1910" s="11" t="n">
        <x:v>0</x:v>
      </x:c>
      <x:c r="L1910" s="17" t="n">
        <x:f>SUM(SUMIFS('Costing'!$P$9:$P$492,'Costing'!$A$9:$A$492,"MAIN-182"))</x:f>
        <x:v>30000</x:v>
      </x:c>
      <x:c r="M1910" s="17" t="n">
        <x:f>ROUND(L1910*'Costing'!$C$4,2)</x:f>
        <x:v>5400</x:v>
      </x:c>
      <x:c r="N1910" s="17" t="n">
        <x:f>L1910+M1910</x:f>
        <x:v>35400</x:v>
      </x:c>
      <x:c r="O1910" s="12" t="str">
        <x:v>Delhi NCR</x:v>
      </x:c>
      <x:c r="P1910" s="12" t="str">
        <x:v>CORP-0178</x:v>
      </x:c>
      <x:c r="Q1910" s="12" t="str">
        <x:v>passion gaming</x:v>
      </x:c>
    </x:row>
    <x:row r="1911" ht="75" customHeight="1">
      <x:c r="A1911" s="2" t="str">
        <x:v>TEN-C6B55D0681FA</x:v>
      </x:c>
      <x:c r="B1911" s="12" t="str">
        <x:v>Passport Seva Kendra</x:v>
      </x:c>
      <x:c r="C1911" s="12" t="str">
        <x:v>Public / nonprofit</x:v>
      </x:c>
      <x:c r="D1911" s="12" t="str">
        <x:v>Government &amp; nonprofit</x:v>
      </x:c>
      <x:c r="E1911" s="12" t="str">
        <x:v>Public, nonprofit or membership organization</x:v>
      </x:c>
      <x:c r="F1911" s="12" t="str">
        <x:v>Institutional</x:v>
      </x:c>
      <x:c r="G1911" s="12" t="str">
        <x:v>Existing directory identifies an institutional, government, education, membership or nonprofit organisation rather than an ordinary MSME business prospect. This tag describes audience role and does not assert legal tax status.</x:v>
      </x:c>
      <x:c r="H1911" s="11" t="n">
        <x:v>1</x:v>
      </x:c>
      <x:c r="I1911" s="11" t="n">
        <x:v>2</x:v>
      </x:c>
      <x:c r="J1911" s="11" t="n">
        <x:v>2</x:v>
      </x:c>
      <x:c r="K1911" s="11" t="n">
        <x:v>0</x:v>
      </x:c>
      <x:c r="L1911" s="17" t="n">
        <x:f>SUM(SUMIFS('Costing'!$P$9:$P$492,'Costing'!$A$9:$A$492,"MAIN-267"))</x:f>
        <x:v>40000</x:v>
      </x:c>
      <x:c r="M1911" s="17" t="n">
        <x:f>ROUND(L1911*'Costing'!$C$4,2)</x:f>
        <x:v>7200</x:v>
      </x:c>
      <x:c r="N1911" s="17" t="n">
        <x:f>L1911+M1911</x:f>
        <x:v>47200</x:v>
      </x:c>
      <x:c r="O1911" s="12" t="str">
        <x:v>Indore</x:v>
      </x:c>
      <x:c r="P1911" s="12" t="str">
        <x:v>CORP-0263</x:v>
      </x:c>
      <x:c r="Q1911" s="12" t="str">
        <x:v>Passport Seva Kendra</x:v>
      </x:c>
    </x:row>
    <x:row r="1912" ht="48" customHeight="1">
      <x:c r="A1912" s="2" t="str">
        <x:v>TEN-A28C5273EF9B</x:v>
      </x:c>
      <x:c r="B1912" s="12" t="str">
        <x:v>Pathfinder Realty Solutions</x:v>
      </x:c>
      <x:c r="C1912" s="12" t="str">
        <x:v>Business / brand</x:v>
      </x:c>
      <x:c r="D1912" s="12" t="str">
        <x:v>Trade, consumer &amp; logistics</x:v>
      </x:c>
      <x:c r="E1912" s="12" t="str">
        <x:v>Real estate, property &amp; construction services</x:v>
      </x:c>
      <x:c r="F1912" s="12" t="str">
        <x:v>Small-scale prospects</x:v>
      </x:c>
      <x:c r="G1912" s="12" t="str">
        <x:v>Trading or consumer-services business; small-scale prospect assumption.</x:v>
      </x:c>
      <x:c r="H1912" s="11" t="n">
        <x:v>1</x:v>
      </x:c>
      <x:c r="I1912" s="11" t="n">
        <x:v>2</x:v>
      </x:c>
      <x:c r="J1912" s="11" t="n">
        <x:v>2</x:v>
      </x:c>
      <x:c r="K1912" s="11" t="n">
        <x:v>0</x:v>
      </x:c>
      <x:c r="L1912" s="17" t="n">
        <x:f>SUM(SUMIFS('Costing'!$P$9:$P$492,'Costing'!$A$9:$A$492,"MAIN-017"))</x:f>
        <x:v>30000</x:v>
      </x:c>
      <x:c r="M1912" s="17" t="n">
        <x:f>ROUND(L1912*'Costing'!$C$4,2)</x:f>
        <x:v>5400</x:v>
      </x:c>
      <x:c r="N1912" s="17" t="n">
        <x:f>L1912+M1912</x:f>
        <x:v>35400</x:v>
      </x:c>
      <x:c r="O1912" s="12" t="str">
        <x:v>Bengaluru</x:v>
      </x:c>
      <x:c r="P1912" s="12" t="str">
        <x:v>CORP-0013</x:v>
      </x:c>
      <x:c r="Q1912" s="12" t="str">
        <x:v>Pathfinder Realty Solutions</x:v>
      </x:c>
    </x:row>
    <x:row r="1913" ht="75" customHeight="1">
      <x:c r="A1913" s="2" t="str">
        <x:v>TEN-99B6213B308F</x:v>
      </x:c>
      <x:c r="B1913" s="12" t="str">
        <x:v>Patron Accounting LLP</x:v>
      </x:c>
      <x:c r="C1913" s="12" t="str">
        <x:v>Business / brand</x:v>
      </x:c>
      <x:c r="D1913" s="12" t="str">
        <x:v>Professional services</x:v>
      </x:c>
      <x:c r="E1913" s="12" t="str">
        <x:v>Accounting, tax &amp; audit</x:v>
      </x:c>
      <x:c r="F1913" s="12" t="str">
        <x:v>Small-scale prospects</x:v>
      </x:c>
      <x:c r="G1913" s="12" t="str">
        <x:v>Indicative specialist accounting-team audience. A partner biography identifies a team of more than 20 at the Pune branch; the website lists several Indian offices. The Small-scale estimate is branch-informed and must not be presented as whole-company headcount.</x:v>
      </x:c>
      <x:c r="H1913" s="11" t="n">
        <x:v>1</x:v>
      </x:c>
      <x:c r="I1913" s="11" t="n">
        <x:v>1</x:v>
      </x:c>
      <x:c r="J1913" s="11" t="n">
        <x:v>1</x:v>
      </x:c>
      <x:c r="K1913" s="11" t="n">
        <x:v>0</x:v>
      </x:c>
      <x:c r="L1913" s="17" t="n">
        <x:f>SUM(SUMIFS('Costing'!$P$9:$P$492,'Costing'!$A$9:$A$492,"MAIN-395"))</x:f>
        <x:v>15000</x:v>
      </x:c>
      <x:c r="M1913" s="17" t="n">
        <x:f>ROUND(L1913*'Costing'!$C$4,2)</x:f>
        <x:v>2700</x:v>
      </x:c>
      <x:c r="N1913" s="17" t="n">
        <x:f>L1913+M1913</x:f>
        <x:v>17700</x:v>
      </x:c>
      <x:c r="O1913" s="12" t="str">
        <x:v>Pune</x:v>
      </x:c>
      <x:c r="P1913" s="12" t="str">
        <x:v>CORP-0391</x:v>
      </x:c>
      <x:c r="Q1913" s="12" t="str">
        <x:v>Patron Accounting LLP</x:v>
      </x:c>
    </x:row>
    <x:row r="1914" ht="48" customHeight="1">
      <x:c r="A1914" s="2" t="str">
        <x:v>TEN-EC305B6618A4</x:v>
      </x:c>
      <x:c r="B1914" s="12" t="str">
        <x:v>Paxal Marbles &amp; Granites</x:v>
      </x:c>
      <x:c r="C1914" s="12" t="str">
        <x:v>Business / brand</x:v>
      </x:c>
      <x:c r="D1914" s="12" t="str">
        <x:v>Trade, consumer &amp; logistics</x:v>
      </x:c>
      <x:c r="E1914" s="12" t="str">
        <x:v>Retail, consumer products &amp; ecommerce</x:v>
      </x:c>
      <x:c r="F1914" s="12" t="str">
        <x:v>Small-scale prospects</x:v>
      </x:c>
      <x:c r="G1914" s="12" t="str">
        <x:v>Trading or consumer-services business; small-scale prospect assumption.</x:v>
      </x:c>
      <x:c r="H1914" s="11" t="n">
        <x:v>1</x:v>
      </x:c>
      <x:c r="I1914" s="11" t="n">
        <x:v>4</x:v>
      </x:c>
      <x:c r="J1914" s="11" t="n">
        <x:v>4</x:v>
      </x:c>
      <x:c r="K1914" s="11" t="n">
        <x:v>0</x:v>
      </x:c>
      <x:c r="L1914" s="17" t="n">
        <x:f>SUM(SUMIFS('Costing'!$P$9:$P$492,'Costing'!$A$9:$A$492,"MAIN-124"))</x:f>
        <x:v>100000</x:v>
      </x:c>
      <x:c r="M1914" s="17" t="n">
        <x:f>ROUND(L1914*'Costing'!$C$4,2)</x:f>
        <x:v>18000</x:v>
      </x:c>
      <x:c r="N1914" s="17" t="n">
        <x:f>L1914+M1914</x:f>
        <x:v>118000</x:v>
      </x:c>
      <x:c r="O1914" s="12" t="str">
        <x:v>Bengaluru</x:v>
      </x:c>
      <x:c r="P1914" s="12" t="str">
        <x:v>CORP-0120</x:v>
      </x:c>
      <x:c r="Q1914" s="12" t="str">
        <x:v>Paxal Marbles &amp; Granites</x:v>
      </x:c>
    </x:row>
    <x:row r="1915" ht="48" customHeight="1">
      <x:c r="A1915" s="2" t="str">
        <x:v>TEN-99215B383888</x:v>
      </x:c>
      <x:c r="B1915" s="12" t="str">
        <x:v>Paxcom india Pvt Ltd</x:v>
      </x:c>
      <x:c r="C1915" s="12" t="str">
        <x:v>Business / brand</x:v>
      </x:c>
      <x:c r="D1915" s="12" t="str">
        <x:v>IT &amp; digital</x:v>
      </x:c>
      <x:c r="E1915" s="12" t="str">
        <x:v>Enterprise software &amp; digital engineering</x:v>
      </x:c>
      <x:c r="F1915" s="12" t="str">
        <x:v>Small-scale prospects</x:v>
      </x:c>
      <x:c r="G1915" s="12" t="str">
        <x:v>Software or technology-services business; small-scale prospect assumption.</x:v>
      </x:c>
      <x:c r="H1915" s="11" t="n">
        <x:v>1</x:v>
      </x:c>
      <x:c r="I1915" s="11" t="n">
        <x:v>1</x:v>
      </x:c>
      <x:c r="J1915" s="11" t="n">
        <x:v>1</x:v>
      </x:c>
      <x:c r="K1915" s="11" t="n">
        <x:v>0</x:v>
      </x:c>
      <x:c r="L1915" s="17" t="n">
        <x:f>SUM(SUMIFS('Costing'!$P$9:$P$492,'Costing'!$A$9:$A$492,"MAIN-065"))</x:f>
        <x:v>15000</x:v>
      </x:c>
      <x:c r="M1915" s="17" t="n">
        <x:f>ROUND(L1915*'Costing'!$C$4,2)</x:f>
        <x:v>2700</x:v>
      </x:c>
      <x:c r="N1915" s="17" t="n">
        <x:f>L1915+M1915</x:f>
        <x:v>17700</x:v>
      </x:c>
      <x:c r="O1915" s="12" t="str">
        <x:v>Bengaluru</x:v>
      </x:c>
      <x:c r="P1915" s="12" t="str">
        <x:v>CORP-0061</x:v>
      </x:c>
      <x:c r="Q1915" s="12" t="str">
        <x:v>Paxcom india Pvt Ltd</x:v>
      </x:c>
    </x:row>
    <x:row r="1916" ht="48" customHeight="1">
      <x:c r="A1916" s="2" t="str">
        <x:v>TEN-EEB196C4318F</x:v>
      </x:c>
      <x:c r="B1916" s="12" t="str">
        <x:v>Paybooks</x:v>
      </x:c>
      <x:c r="C1916" s="12" t="str">
        <x:v>Business / brand</x:v>
      </x:c>
      <x:c r="D1916" s="12" t="str">
        <x:v>IT &amp; digital</x:v>
      </x:c>
      <x:c r="E1916" s="12" t="str">
        <x:v>Enterprise software &amp; digital engineering</x:v>
      </x:c>
      <x:c r="F1916" s="12" t="str">
        <x:v>Small-scale prospects</x:v>
      </x:c>
      <x:c r="G1916" s="12" t="str">
        <x:v>Software or technology-services business; small-scale prospect assumption.</x:v>
      </x:c>
      <x:c r="H1916" s="11" t="n">
        <x:v>1</x:v>
      </x:c>
      <x:c r="I1916" s="11" t="n">
        <x:v>5</x:v>
      </x:c>
      <x:c r="J1916" s="11" t="n">
        <x:v>5</x:v>
      </x:c>
      <x:c r="K1916" s="11" t="n">
        <x:v>0</x:v>
      </x:c>
      <x:c r="L1916" s="17" t="n">
        <x:f>SUM(SUMIFS('Costing'!$P$9:$P$492,'Costing'!$A$9:$A$492,"MAIN-025"))</x:f>
        <x:v>75000</x:v>
      </x:c>
      <x:c r="M1916" s="17" t="n">
        <x:f>ROUND(L1916*'Costing'!$C$4,2)</x:f>
        <x:v>13500</x:v>
      </x:c>
      <x:c r="N1916" s="17" t="n">
        <x:f>L1916+M1916</x:f>
        <x:v>88500</x:v>
      </x:c>
      <x:c r="O1916" s="12" t="str">
        <x:v>Bengaluru</x:v>
      </x:c>
      <x:c r="P1916" s="12" t="str">
        <x:v>CORP-0021</x:v>
      </x:c>
      <x:c r="Q1916" s="12" t="str">
        <x:v>Paybooks</x:v>
      </x:c>
    </x:row>
    <x:row r="1917" ht="48" customHeight="1">
      <x:c r="A1917" s="2" t="str">
        <x:v>TEN-00C591B91416</x:v>
      </x:c>
      <x:c r="B1917" s="12" t="str">
        <x:v>PCS IT Solutions Private Limited</x:v>
      </x:c>
      <x:c r="C1917" s="12" t="str">
        <x:v>Business / brand</x:v>
      </x:c>
      <x:c r="D1917" s="12" t="str">
        <x:v>IT &amp; digital</x:v>
      </x:c>
      <x:c r="E1917" s="12" t="str">
        <x:v>Enterprise software &amp; digital engineering</x:v>
      </x:c>
      <x:c r="F1917" s="12" t="str">
        <x:v>Small-scale prospects</x:v>
      </x:c>
      <x:c r="G1917" s="12" t="str">
        <x:v>Software or technology-services business; small-scale prospect assumption.</x:v>
      </x:c>
      <x:c r="H1917" s="11" t="n">
        <x:v>4</x:v>
      </x:c>
      <x:c r="I1917" s="11" t="n">
        <x:v>4</x:v>
      </x:c>
      <x:c r="J1917" s="11" t="n">
        <x:v>4</x:v>
      </x:c>
      <x:c r="K1917" s="11" t="n">
        <x:v>0</x:v>
      </x:c>
      <x:c r="L1917" s="17" t="n">
        <x:f>SUM(SUMIFS('Costing'!$P$9:$P$492,'Costing'!$A$9:$A$492,"PARTNER-M261"))</x:f>
        <x:v>160000</x:v>
      </x:c>
      <x:c r="M1917" s="17" t="n">
        <x:f>ROUND(L1917*'Costing'!$C$4,2)</x:f>
        <x:v>28800</x:v>
      </x:c>
      <x:c r="N1917" s="17" t="n">
        <x:f>L1917+M1917</x:f>
        <x:v>188800</x:v>
      </x:c>
      <x:c r="O1917" s="12" t="str">
        <x:v>Pune</x:v>
      </x:c>
      <x:c r="P1917" s="12" t="str">
        <x:v>CORP-0677, CORP-0678, CORP-0679, CORP-0680</x:v>
      </x:c>
      <x:c r="Q1917" s="12" t="str">
        <x:v>PCS IT Solutions Private Limited</x:v>
      </x:c>
    </x:row>
    <x:row r="1918" ht="48" customHeight="1">
      <x:c r="A1918" s="2" t="str">
        <x:v>TEN-A88384F59E7A</x:v>
      </x:c>
      <x:c r="B1918" s="12" t="str">
        <x:v>PDG Software India Pvt. Ltd</x:v>
      </x:c>
      <x:c r="C1918" s="12" t="str">
        <x:v>Business / brand</x:v>
      </x:c>
      <x:c r="D1918" s="12" t="str">
        <x:v>IT &amp; digital</x:v>
      </x:c>
      <x:c r="E1918" s="12" t="str">
        <x:v>Enterprise software &amp; digital engineering</x:v>
      </x:c>
      <x:c r="F1918" s="12" t="str">
        <x:v>Small-scale prospects</x:v>
      </x:c>
      <x:c r="G1918" s="12" t="str">
        <x:v>Software or technology-services business; small-scale prospect assumption.</x:v>
      </x:c>
      <x:c r="H1918" s="11" t="n">
        <x:v>1</x:v>
      </x:c>
      <x:c r="I1918" s="11" t="n">
        <x:v>12</x:v>
      </x:c>
      <x:c r="J1918" s="11" t="n">
        <x:v>12</x:v>
      </x:c>
      <x:c r="K1918" s="11" t="n">
        <x:v>0</x:v>
      </x:c>
      <x:c r="L1918" s="17" t="n">
        <x:f>SUM(SUMIFS('Costing'!$P$9:$P$492,'Costing'!$A$9:$A$492,"MAIN-362"))</x:f>
        <x:v>300000</x:v>
      </x:c>
      <x:c r="M1918" s="17" t="n">
        <x:f>ROUND(L1918*'Costing'!$C$4,2)</x:f>
        <x:v>54000</x:v>
      </x:c>
      <x:c r="N1918" s="17" t="n">
        <x:f>L1918+M1918</x:f>
        <x:v>354000</x:v>
      </x:c>
      <x:c r="O1918" s="12" t="str">
        <x:v>Mumbai</x:v>
      </x:c>
      <x:c r="P1918" s="12" t="str">
        <x:v>CORP-0358</x:v>
      </x:c>
      <x:c r="Q1918" s="12" t="str">
        <x:v>PDG Software India Pvt. Ltd</x:v>
      </x:c>
    </x:row>
    <x:row r="1919" ht="48" customHeight="1">
      <x:c r="A1919" s="2" t="str">
        <x:v>TEN-E0050031C27B</x:v>
      </x:c>
      <x:c r="B1919" s="12" t="str">
        <x:v>PDI Software India LLP</x:v>
      </x:c>
      <x:c r="C1919" s="12" t="str">
        <x:v>Business / brand</x:v>
      </x:c>
      <x:c r="D1919" s="12" t="str">
        <x:v>IT &amp; digital</x:v>
      </x:c>
      <x:c r="E1919" s="12" t="str">
        <x:v>Enterprise software &amp; digital engineering</x:v>
      </x:c>
      <x:c r="F1919" s="12" t="str">
        <x:v>Mixed business audience</x:v>
      </x:c>
      <x:c r="G1919" s="12" t="str">
        <x:v>Established brand or business network; local company scale is not established. Use a mixed-business message.</x:v>
      </x:c>
      <x:c r="H1919" s="11" t="n">
        <x:v>1</x:v>
      </x:c>
      <x:c r="I1919" s="11" t="n">
        <x:v>9</x:v>
      </x:c>
      <x:c r="J1919" s="11" t="n">
        <x:v>9</x:v>
      </x:c>
      <x:c r="K1919" s="11" t="n">
        <x:v>0</x:v>
      </x:c>
      <x:c r="L1919" s="17" t="n">
        <x:f>SUM(SUMIFS('Costing'!$P$9:$P$492,'Costing'!$A$9:$A$492,"MAIN-262"))</x:f>
        <x:v>225000</x:v>
      </x:c>
      <x:c r="M1919" s="17" t="n">
        <x:f>ROUND(L1919*'Costing'!$C$4,2)</x:f>
        <x:v>40500</x:v>
      </x:c>
      <x:c r="N1919" s="17" t="n">
        <x:f>L1919+M1919</x:f>
        <x:v>265500</x:v>
      </x:c>
      <x:c r="O1919" s="12" t="str">
        <x:v>Hyderabad</x:v>
      </x:c>
      <x:c r="P1919" s="12" t="str">
        <x:v>CORP-0258</x:v>
      </x:c>
      <x:c r="Q1919" s="12" t="str">
        <x:v>PDI Software India LLP</x:v>
      </x:c>
    </x:row>
    <x:row r="1920" ht="48" customHeight="1">
      <x:c r="A1920" s="2" t="str">
        <x:v>TEN-8DF8FD56D1D2</x:v>
      </x:c>
      <x:c r="B1920" s="12" t="str">
        <x:v>peer capital</x:v>
      </x:c>
      <x:c r="C1920" s="12" t="str">
        <x:v>Business / brand</x:v>
      </x:c>
      <x:c r="D1920" s="12" t="str">
        <x:v>Finance &amp; insurance</x:v>
      </x:c>
      <x:c r="E1920" s="12" t="str">
        <x:v>Investments, securities &amp; wealth</x:v>
      </x:c>
      <x:c r="F1920" s="12" t="str">
        <x:v>Medium-scale prospects</x:v>
      </x:c>
      <x:c r="G1920" s="12" t="str">
        <x:v>Specialist financial-services business; medium-scale prospect assumption.</x:v>
      </x:c>
      <x:c r="H1920" s="11" t="n">
        <x:v>1</x:v>
      </x:c>
      <x:c r="I1920" s="11" t="n">
        <x:v>4</x:v>
      </x:c>
      <x:c r="J1920" s="11" t="n">
        <x:v>4</x:v>
      </x:c>
      <x:c r="K1920" s="11" t="n">
        <x:v>0</x:v>
      </x:c>
      <x:c r="L1920" s="17" t="n">
        <x:f>SUM(SUMIFS('Costing'!$P$9:$P$492,'Costing'!$A$9:$A$492,"MAIN-016"))</x:f>
        <x:v>60000</x:v>
      </x:c>
      <x:c r="M1920" s="17" t="n">
        <x:f>ROUND(L1920*'Costing'!$C$4,2)</x:f>
        <x:v>10800</x:v>
      </x:c>
      <x:c r="N1920" s="17" t="n">
        <x:f>L1920+M1920</x:f>
        <x:v>70800</x:v>
      </x:c>
      <x:c r="O1920" s="12" t="str">
        <x:v>Bengaluru</x:v>
      </x:c>
      <x:c r="P1920" s="12" t="str">
        <x:v>CORP-0012</x:v>
      </x:c>
      <x:c r="Q1920" s="12" t="str">
        <x:v>peer capital</x:v>
      </x:c>
    </x:row>
    <x:row r="1921" ht="48" customHeight="1">
      <x:c r="A1921" s="2" t="str">
        <x:v>TEN-F8AF322D0456</x:v>
      </x:c>
      <x:c r="B1921" s="12" t="str">
        <x:v>Pegasys Group</x:v>
      </x:c>
      <x:c r="C1921" s="12" t="str">
        <x:v>Business / brand</x:v>
      </x:c>
      <x:c r="D1921" s="12" t="str">
        <x:v>IT &amp; digital</x:v>
      </x:c>
      <x:c r="E1921" s="12" t="str">
        <x:v>Enterprise software &amp; digital engineering</x:v>
      </x:c>
      <x:c r="F1921" s="12" t="str">
        <x:v>Small-scale prospects</x:v>
      </x:c>
      <x:c r="G1921" s="12" t="str">
        <x:v>Software or technology-services business; small-scale prospect assumption.</x:v>
      </x:c>
      <x:c r="H1921" s="11" t="n">
        <x:v>5</x:v>
      </x:c>
      <x:c r="I1921" s="11" t="n">
        <x:v>5</x:v>
      </x:c>
      <x:c r="J1921" s="11" t="n">
        <x:v>5</x:v>
      </x:c>
      <x:c r="K1921" s="11" t="n">
        <x:v>0</x:v>
      </x:c>
      <x:c r="L1921" s="17" t="n">
        <x:f>SUM(SUMIFS('Costing'!$P$9:$P$492,'Costing'!$A$9:$A$492,"PARTNER-M295"))</x:f>
        <x:v>200000</x:v>
      </x:c>
      <x:c r="M1921" s="17" t="n">
        <x:f>ROUND(L1921*'Costing'!$C$4,2)</x:f>
        <x:v>36000</x:v>
      </x:c>
      <x:c r="N1921" s="17" t="n">
        <x:f>L1921+M1921</x:f>
        <x:v>236000</x:v>
      </x:c>
      <x:c r="O1921" s="12" t="str">
        <x:v>Hyderabad</x:v>
      </x:c>
      <x:c r="P1921" s="12" t="str">
        <x:v>CORP-0710, CORP-0711, CORP-0712, CORP-0713, CORP-0714</x:v>
      </x:c>
      <x:c r="Q1921" s="12" t="str">
        <x:v>Pegasys Group</x:v>
      </x:c>
    </x:row>
    <x:row r="1922" ht="48" customHeight="1">
      <x:c r="A1922" s="2" t="str">
        <x:v>TEN-17DC2BB3BD30</x:v>
      </x:c>
      <x:c r="B1922" s="12" t="str">
        <x:v>Pehel child development centre</x:v>
      </x:c>
      <x:c r="C1922" s="12" t="str">
        <x:v>Business / brand</x:v>
      </x:c>
      <x:c r="D1922" s="12" t="str">
        <x:v>Education</x:v>
      </x:c>
      <x:c r="E1922" s="12" t="str">
        <x:v>Education, training &amp; childcare</x:v>
      </x:c>
      <x:c r="F1922" s="12" t="str">
        <x:v>Small-scale prospects</x:v>
      </x:c>
      <x:c r="G1922" s="12" t="str">
        <x:v>Training or education-services business; small-scale prospect assumption.</x:v>
      </x:c>
      <x:c r="H1922" s="11" t="n">
        <x:v>1</x:v>
      </x:c>
      <x:c r="I1922" s="11" t="n">
        <x:v>39</x:v>
      </x:c>
      <x:c r="J1922" s="11" t="n">
        <x:v>39</x:v>
      </x:c>
      <x:c r="K1922" s="11" t="n">
        <x:v>0</x:v>
      </x:c>
      <x:c r="L1922" s="17" t="n">
        <x:f>SUM(SUMIFS('Costing'!$P$9:$P$492,'Costing'!$A$9:$A$492,"MAIN-294"))</x:f>
        <x:v>585000</x:v>
      </x:c>
      <x:c r="M1922" s="17" t="n">
        <x:f>ROUND(L1922*'Costing'!$C$4,2)</x:f>
        <x:v>105300</x:v>
      </x:c>
      <x:c r="N1922" s="17" t="n">
        <x:f>L1922+M1922</x:f>
        <x:v>690300</x:v>
      </x:c>
      <x:c r="O1922" s="12" t="str">
        <x:v>Mumbai</x:v>
      </x:c>
      <x:c r="P1922" s="12" t="str">
        <x:v>CORP-0290</x:v>
      </x:c>
      <x:c r="Q1922" s="12" t="str">
        <x:v>Pehel child development centre</x:v>
      </x:c>
    </x:row>
    <x:row r="1923" ht="48" customHeight="1">
      <x:c r="A1923" s="2" t="str">
        <x:v>TEN-C22CCD5B65F2</x:v>
      </x:c>
      <x:c r="B1923" s="12" t="str">
        <x:v>Pennant Technologies Private Limited</x:v>
      </x:c>
      <x:c r="C1923" s="12" t="str">
        <x:v>Business / brand</x:v>
      </x:c>
      <x:c r="D1923" s="12" t="str">
        <x:v>IT &amp; digital</x:v>
      </x:c>
      <x:c r="E1923" s="12" t="str">
        <x:v>Enterprise software &amp; digital engineering</x:v>
      </x:c>
      <x:c r="F1923" s="12" t="str">
        <x:v>Small-scale prospects</x:v>
      </x:c>
      <x:c r="G1923" s="12" t="str">
        <x:v>Software or technology-services business; small-scale prospect assumption.</x:v>
      </x:c>
      <x:c r="H1923" s="11" t="n">
        <x:v>5</x:v>
      </x:c>
      <x:c r="I1923" s="11" t="n">
        <x:v>5</x:v>
      </x:c>
      <x:c r="J1923" s="11" t="n">
        <x:v>5</x:v>
      </x:c>
      <x:c r="K1923" s="11" t="n">
        <x:v>0</x:v>
      </x:c>
      <x:c r="L1923" s="17" t="n">
        <x:f>SUM(SUMIFS('Costing'!$P$9:$P$492,'Costing'!$A$9:$A$492,"PARTNER-M295"))</x:f>
        <x:v>200000</x:v>
      </x:c>
      <x:c r="M1923" s="17" t="n">
        <x:f>ROUND(L1923*'Costing'!$C$4,2)</x:f>
        <x:v>36000</x:v>
      </x:c>
      <x:c r="N1923" s="17" t="n">
        <x:f>L1923+M1923</x:f>
        <x:v>236000</x:v>
      </x:c>
      <x:c r="O1923" s="12" t="str">
        <x:v>Hyderabad</x:v>
      </x:c>
      <x:c r="P1923" s="12" t="str">
        <x:v>CORP-0710, CORP-0711, CORP-0712, CORP-0713, CORP-0714</x:v>
      </x:c>
      <x:c r="Q1923" s="12" t="str">
        <x:v>Pennant Technologies Private Limited</x:v>
      </x:c>
    </x:row>
    <x:row r="1924" ht="48" customHeight="1">
      <x:c r="A1924" s="2" t="str">
        <x:v>TEN-CEDC7C952F52</x:v>
      </x:c>
      <x:c r="B1924" s="12" t="str">
        <x:v>Penta Freight Private Limited</x:v>
      </x:c>
      <x:c r="C1924" s="12" t="str">
        <x:v>Business / brand</x:v>
      </x:c>
      <x:c r="D1924" s="12" t="str">
        <x:v>Trade, consumer &amp; logistics</x:v>
      </x:c>
      <x:c r="E1924" s="12" t="str">
        <x:v>Logistics, shipping &amp; transport</x:v>
      </x:c>
      <x:c r="F1924" s="12" t="str">
        <x:v>Medium-scale prospects</x:v>
      </x:c>
      <x:c r="G1924" s="12" t="str">
        <x:v>Specialist logistics or transport business; medium-scale prospect assumption.</x:v>
      </x:c>
      <x:c r="H1924" s="11" t="n">
        <x:v>2</x:v>
      </x:c>
      <x:c r="I1924" s="11" t="n">
        <x:v>5</x:v>
      </x:c>
      <x:c r="J1924" s="11" t="n">
        <x:v>5</x:v>
      </x:c>
      <x:c r="K1924" s="11" t="n">
        <x:v>0</x:v>
      </x:c>
      <x:c r="L1924" s="17" t="n">
        <x:f>SUM(SUMIFS('Costing'!$P$9:$P$492,'Costing'!$A$9:$A$492,"MAIN-333"),SUMIFS('Costing'!$P$9:$P$492,'Costing'!$A$9:$A$492,"MAIN-352"))</x:f>
        <x:v>95000</x:v>
      </x:c>
      <x:c r="M1924" s="17" t="n">
        <x:f>ROUND(L1924*'Costing'!$C$4,2)</x:f>
        <x:v>17100</x:v>
      </x:c>
      <x:c r="N1924" s="17" t="n">
        <x:f>L1924+M1924</x:f>
        <x:v>112100</x:v>
      </x:c>
      <x:c r="O1924" s="12" t="str">
        <x:v>Mumbai</x:v>
      </x:c>
      <x:c r="P1924" s="12" t="str">
        <x:v>CORP-0329, CORP-0348</x:v>
      </x:c>
      <x:c r="Q1924" s="12" t="str">
        <x:v>Penta Freight Private Limited</x:v>
      </x:c>
    </x:row>
    <x:row r="1925" ht="48" customHeight="1">
      <x:c r="A1925" s="2" t="str">
        <x:v>TEN-8374251B30D0</x:v>
      </x:c>
      <x:c r="B1925" s="12" t="str">
        <x:v>Pentagon interior</x:v>
      </x:c>
      <x:c r="C1925" s="12" t="str">
        <x:v>Business / brand</x:v>
      </x:c>
      <x:c r="D1925" s="12" t="str">
        <x:v>Professional services</x:v>
      </x:c>
      <x:c r="E1925" s="12" t="str">
        <x:v>Architecture, interiors &amp; design</x:v>
      </x:c>
      <x:c r="F1925" s="12" t="str">
        <x:v>Small-scale prospects</x:v>
      </x:c>
      <x:c r="G1925" s="12" t="str">
        <x:v>Professional service, agency or advisory model; small-scale prospect assumption.</x:v>
      </x:c>
      <x:c r="H1925" s="11" t="n">
        <x:v>1</x:v>
      </x:c>
      <x:c r="I1925" s="11" t="n">
        <x:v>1</x:v>
      </x:c>
      <x:c r="J1925" s="11" t="n">
        <x:v>1</x:v>
      </x:c>
      <x:c r="K1925" s="11" t="n">
        <x:v>0</x:v>
      </x:c>
      <x:c r="L1925" s="17" t="n">
        <x:f>SUM(SUMIFS('Costing'!$P$9:$P$492,'Costing'!$A$9:$A$492,"MAIN-246"))</x:f>
        <x:v>20000</x:v>
      </x:c>
      <x:c r="M1925" s="17" t="n">
        <x:f>ROUND(L1925*'Costing'!$C$4,2)</x:f>
        <x:v>3600</x:v>
      </x:c>
      <x:c r="N1925" s="17" t="n">
        <x:f>L1925+M1925</x:f>
        <x:v>23600</x:v>
      </x:c>
      <x:c r="O1925" s="12" t="str">
        <x:v>Hyderabad</x:v>
      </x:c>
      <x:c r="P1925" s="12" t="str">
        <x:v>CORP-0242</x:v>
      </x:c>
      <x:c r="Q1925" s="12" t="str">
        <x:v>Pentagon interior</x:v>
      </x:c>
    </x:row>
    <x:row r="1926" ht="48" customHeight="1">
      <x:c r="A1926" s="2" t="str">
        <x:v>TEN-195AFC7F05A0</x:v>
      </x:c>
      <x:c r="B1926" s="12" t="str">
        <x:v>Peora Fashions</x:v>
      </x:c>
      <x:c r="C1926" s="12" t="str">
        <x:v>Business / brand</x:v>
      </x:c>
      <x:c r="D1926" s="12" t="str">
        <x:v>Trade, consumer &amp; logistics</x:v>
      </x:c>
      <x:c r="E1926" s="12" t="str">
        <x:v>Retail, consumer products &amp; ecommerce</x:v>
      </x:c>
      <x:c r="F1926" s="12" t="str">
        <x:v>Small-scale prospects</x:v>
      </x:c>
      <x:c r="G1926" s="12" t="str">
        <x:v>Trading or consumer-services business; small-scale prospect assumption.</x:v>
      </x:c>
      <x:c r="H1926" s="11" t="n">
        <x:v>4</x:v>
      </x:c>
      <x:c r="I1926" s="11" t="n">
        <x:v>4</x:v>
      </x:c>
      <x:c r="J1926" s="11" t="n">
        <x:v>4</x:v>
      </x:c>
      <x:c r="K1926" s="11" t="n">
        <x:v>0</x:v>
      </x:c>
      <x:c r="L1926" s="17" t="n">
        <x:f>SUM(SUMIFS('Costing'!$P$9:$P$492,'Costing'!$A$9:$A$492,"PARTNER-M247"))</x:f>
        <x:v>160000</x:v>
      </x:c>
      <x:c r="M1926" s="17" t="n">
        <x:f>ROUND(L1926*'Costing'!$C$4,2)</x:f>
        <x:v>28800</x:v>
      </x:c>
      <x:c r="N1926" s="17" t="n">
        <x:f>L1926+M1926</x:f>
        <x:v>188800</x:v>
      </x:c>
      <x:c r="O1926" s="12" t="str">
        <x:v>Mumbai</x:v>
      </x:c>
      <x:c r="P1926" s="12" t="str">
        <x:v>CORP-0664, CORP-0665, CORP-0666, CORP-0667</x:v>
      </x:c>
      <x:c r="Q1926" s="12" t="str">
        <x:v>Peora Fashions</x:v>
      </x:c>
    </x:row>
    <x:row r="1927" ht="48" customHeight="1">
      <x:c r="A1927" s="2" t="str">
        <x:v>TEN-7C48F1E5A50A</x:v>
      </x:c>
      <x:c r="B1927" s="12" t="str">
        <x:v>Pepper India Business Service Pvt Ltd</x:v>
      </x:c>
      <x:c r="C1927" s="12" t="str">
        <x:v>Business / brand</x:v>
      </x:c>
      <x:c r="D1927" s="12" t="str">
        <x:v>Unresolved</x:v>
      </x:c>
      <x:c r="E1927" s="12" t="str">
        <x:v>Business activity not established</x:v>
      </x:c>
      <x:c r="F1927" s="12" t="str">
        <x:v>Mixed business audience</x:v>
      </x:c>
      <x:c r="G1927" s="12" t="str">
        <x:v>Business activity and company scale are not established from this name.</x:v>
      </x:c>
      <x:c r="H1927" s="11" t="n">
        <x:v>1</x:v>
      </x:c>
      <x:c r="I1927" s="11" t="n">
        <x:v>9</x:v>
      </x:c>
      <x:c r="J1927" s="11" t="n">
        <x:v>9</x:v>
      </x:c>
      <x:c r="K1927" s="11" t="n">
        <x:v>0</x:v>
      </x:c>
      <x:c r="L1927" s="17" t="n">
        <x:f>SUM(SUMIFS('Costing'!$P$9:$P$492,'Costing'!$A$9:$A$492,"MAIN-326"))</x:f>
        <x:v>360000</x:v>
      </x:c>
      <x:c r="M1927" s="17" t="n">
        <x:f>ROUND(L1927*'Costing'!$C$4,2)</x:f>
        <x:v>64800</x:v>
      </x:c>
      <x:c r="N1927" s="17" t="n">
        <x:f>L1927+M1927</x:f>
        <x:v>424800</x:v>
      </x:c>
      <x:c r="O1927" s="12" t="str">
        <x:v>Mumbai</x:v>
      </x:c>
      <x:c r="P1927" s="12" t="str">
        <x:v>CORP-0322</x:v>
      </x:c>
      <x:c r="Q1927" s="12" t="str">
        <x:v>Pepper India Business Service Pvt Ltd</x:v>
      </x:c>
    </x:row>
    <x:row r="1928" ht="48" customHeight="1">
      <x:c r="A1928" s="2" t="str">
        <x:v>TEN-1F1E5E68B842</x:v>
      </x:c>
      <x:c r="B1928" s="12" t="str">
        <x:v>Perceived Design Pvt Ltd</x:v>
      </x:c>
      <x:c r="C1928" s="12" t="str">
        <x:v>Business / brand</x:v>
      </x:c>
      <x:c r="D1928" s="12" t="str">
        <x:v>Unresolved</x:v>
      </x:c>
      <x:c r="E1928" s="12" t="str">
        <x:v>Business activity not established</x:v>
      </x:c>
      <x:c r="F1928" s="12" t="str">
        <x:v>Mixed business audience</x:v>
      </x:c>
      <x:c r="G1928" s="12" t="str">
        <x:v>Business activity and company scale are not established from this name.</x:v>
      </x:c>
      <x:c r="H1928" s="11" t="n">
        <x:v>1</x:v>
      </x:c>
      <x:c r="I1928" s="11" t="n">
        <x:v>1</x:v>
      </x:c>
      <x:c r="J1928" s="11" t="n">
        <x:v>1</x:v>
      </x:c>
      <x:c r="K1928" s="11" t="n">
        <x:v>0</x:v>
      </x:c>
      <x:c r="L1928" s="17" t="n">
        <x:f>SUM(SUMIFS('Costing'!$P$9:$P$492,'Costing'!$A$9:$A$492,"MAIN-028"))</x:f>
        <x:v>15000</x:v>
      </x:c>
      <x:c r="M1928" s="17" t="n">
        <x:f>ROUND(L1928*'Costing'!$C$4,2)</x:f>
        <x:v>2700</x:v>
      </x:c>
      <x:c r="N1928" s="17" t="n">
        <x:f>L1928+M1928</x:f>
        <x:v>17700</x:v>
      </x:c>
      <x:c r="O1928" s="12" t="str">
        <x:v>Bengaluru</x:v>
      </x:c>
      <x:c r="P1928" s="12" t="str">
        <x:v>CORP-0024</x:v>
      </x:c>
      <x:c r="Q1928" s="12" t="str">
        <x:v>Perceived Design Pvt Ltd</x:v>
      </x:c>
    </x:row>
    <x:row r="1929" ht="48" customHeight="1">
      <x:c r="A1929" s="2" t="str">
        <x:v>TEN-0326E980B70D</x:v>
      </x:c>
      <x:c r="B1929" s="12" t="str">
        <x:v>Percivon Technologies Pvt Ltd Pune (India)</x:v>
      </x:c>
      <x:c r="C1929" s="12" t="str">
        <x:v>Business / brand</x:v>
      </x:c>
      <x:c r="D1929" s="12" t="str">
        <x:v>Unresolved</x:v>
      </x:c>
      <x:c r="E1929" s="12" t="str">
        <x:v>Business activity not established</x:v>
      </x:c>
      <x:c r="F1929" s="12" t="str">
        <x:v>Mixed business audience</x:v>
      </x:c>
      <x:c r="G1929" s="12" t="str">
        <x:v>Business activity and company scale are not established from this name.</x:v>
      </x:c>
      <x:c r="H1929" s="11" t="n">
        <x:v>1</x:v>
      </x:c>
      <x:c r="I1929" s="11" t="n">
        <x:v>2</x:v>
      </x:c>
      <x:c r="J1929" s="11" t="n">
        <x:v>2</x:v>
      </x:c>
      <x:c r="K1929" s="11" t="n">
        <x:v>0</x:v>
      </x:c>
      <x:c r="L1929" s="17" t="n">
        <x:f>SUM(SUMIFS('Costing'!$P$9:$P$492,'Costing'!$A$9:$A$492,"MAIN-389"))</x:f>
        <x:v>30000</x:v>
      </x:c>
      <x:c r="M1929" s="17" t="n">
        <x:f>ROUND(L1929*'Costing'!$C$4,2)</x:f>
        <x:v>5400</x:v>
      </x:c>
      <x:c r="N1929" s="17" t="n">
        <x:f>L1929+M1929</x:f>
        <x:v>35400</x:v>
      </x:c>
      <x:c r="O1929" s="12" t="str">
        <x:v>Pune</x:v>
      </x:c>
      <x:c r="P1929" s="12" t="str">
        <x:v>CORP-0385</x:v>
      </x:c>
      <x:c r="Q1929" s="12" t="str">
        <x:v>Percivon Technologies Pvt Ltd Pune (India)</x:v>
      </x:c>
    </x:row>
    <x:row r="1930" ht="48" customHeight="1">
      <x:c r="A1930" s="2" t="str">
        <x:v>TEN-C78AB6EFC57B</x:v>
      </x:c>
      <x:c r="B1930" s="12" t="str">
        <x:v>Perfetti Van Melle India Private Limited</x:v>
      </x:c>
      <x:c r="C1930" s="12" t="str">
        <x:v>Business / brand</x:v>
      </x:c>
      <x:c r="D1930" s="12" t="str">
        <x:v>Trade, consumer &amp; logistics</x:v>
      </x:c>
      <x:c r="E1930" s="12" t="str">
        <x:v>Consumer/trade services — specialty unverified</x:v>
      </x:c>
      <x:c r="F1930" s="12" t="str">
        <x:v>Mixed business audience</x:v>
      </x:c>
      <x:c r="G1930" s="12" t="str">
        <x:v>Recognisable business context; company-scale evidence remains insufficient for a single size band.</x:v>
      </x:c>
      <x:c r="H1930" s="11" t="n">
        <x:v>1</x:v>
      </x:c>
      <x:c r="I1930" s="11" t="n">
        <x:v>3</x:v>
      </x:c>
      <x:c r="J1930" s="11" t="n">
        <x:v>3</x:v>
      </x:c>
      <x:c r="K1930" s="11" t="n">
        <x:v>0</x:v>
      </x:c>
      <x:c r="L1930" s="17" t="n">
        <x:f>SUM(SUMIFS('Costing'!$P$9:$P$492,'Costing'!$A$9:$A$492,"MAIN-206"))</x:f>
        <x:v>120000</x:v>
      </x:c>
      <x:c r="M1930" s="17" t="n">
        <x:f>ROUND(L1930*'Costing'!$C$4,2)</x:f>
        <x:v>21600</x:v>
      </x:c>
      <x:c r="N1930" s="17" t="n">
        <x:f>L1930+M1930</x:f>
        <x:v>141600</x:v>
      </x:c>
      <x:c r="O1930" s="12" t="str">
        <x:v>Delhi NCR</x:v>
      </x:c>
      <x:c r="P1930" s="12" t="str">
        <x:v>CORP-0202</x:v>
      </x:c>
      <x:c r="Q1930" s="12" t="str">
        <x:v>Perfetti Van Melle India Private Limited</x:v>
      </x:c>
    </x:row>
    <x:row r="1931" ht="48" customHeight="1">
      <x:c r="A1931" s="2" t="str">
        <x:v>TEN-B34E0B904F17</x:v>
      </x:c>
      <x:c r="B1931" s="12" t="str">
        <x:v>Perficient India Private Limited</x:v>
      </x:c>
      <x:c r="C1931" s="12" t="str">
        <x:v>Business / brand</x:v>
      </x:c>
      <x:c r="D1931" s="12" t="str">
        <x:v>IT &amp; digital</x:v>
      </x:c>
      <x:c r="E1931" s="12" t="str">
        <x:v>Enterprise software &amp; digital engineering</x:v>
      </x:c>
      <x:c r="F1931" s="12" t="str">
        <x:v>Mixed business audience</x:v>
      </x:c>
      <x:c r="G1931" s="12" t="str">
        <x:v>Established brand or business network; local company scale is not established. Use a mixed-business message.</x:v>
      </x:c>
      <x:c r="H1931" s="11" t="n">
        <x:v>1</x:v>
      </x:c>
      <x:c r="I1931" s="11" t="n">
        <x:v>5</x:v>
      </x:c>
      <x:c r="J1931" s="11" t="n">
        <x:v>5</x:v>
      </x:c>
      <x:c r="K1931" s="11" t="n">
        <x:v>0</x:v>
      </x:c>
      <x:c r="L1931" s="17" t="n">
        <x:f>SUM(SUMIFS('Costing'!$P$9:$P$492,'Costing'!$A$9:$A$492,"MAIN-258"))</x:f>
        <x:v>200000</x:v>
      </x:c>
      <x:c r="M1931" s="17" t="n">
        <x:f>ROUND(L1931*'Costing'!$C$4,2)</x:f>
        <x:v>36000</x:v>
      </x:c>
      <x:c r="N1931" s="17" t="n">
        <x:f>L1931+M1931</x:f>
        <x:v>236000</x:v>
      </x:c>
      <x:c r="O1931" s="12" t="str">
        <x:v>Hyderabad</x:v>
      </x:c>
      <x:c r="P1931" s="12" t="str">
        <x:v>CORP-0254</x:v>
      </x:c>
      <x:c r="Q1931" s="12" t="str">
        <x:v>Perficient India Private Limited</x:v>
      </x:c>
    </x:row>
    <x:row r="1932" ht="48" customHeight="1">
      <x:c r="A1932" s="2" t="str">
        <x:v>TEN-B9E919CF563D</x:v>
      </x:c>
      <x:c r="B1932" s="12" t="str">
        <x:v>Performics.Convonix</x:v>
      </x:c>
      <x:c r="C1932" s="12" t="str">
        <x:v>Business / brand</x:v>
      </x:c>
      <x:c r="D1932" s="12" t="str">
        <x:v>Professional services</x:v>
      </x:c>
      <x:c r="E1932" s="12" t="str">
        <x:v>Professional services — specialty unverified</x:v>
      </x:c>
      <x:c r="F1932" s="12" t="str">
        <x:v>Large enterprise</x:v>
      </x:c>
      <x:c r="G1932" s="12" t="str">
        <x:v>Explicit Publicis enterprise-family context; see ENTERPRISE_SUPP_027 evidence.</x:v>
      </x:c>
      <x:c r="H1932" s="11" t="n">
        <x:v>4</x:v>
      </x:c>
      <x:c r="I1932" s="11" t="n">
        <x:v>4</x:v>
      </x:c>
      <x:c r="J1932" s="11" t="n">
        <x:v>4</x:v>
      </x:c>
      <x:c r="K1932" s="11" t="n">
        <x:v>0</x:v>
      </x:c>
      <x:c r="L1932" s="17" t="n">
        <x:f>SUM(SUMIFS('Costing'!$P$9:$P$492,'Costing'!$A$9:$A$492,"PARTNER-M188"))</x:f>
        <x:v>160000</x:v>
      </x:c>
      <x:c r="M1932" s="17" t="n">
        <x:f>ROUND(L1932*'Costing'!$C$4,2)</x:f>
        <x:v>28800</x:v>
      </x:c>
      <x:c r="N1932" s="17" t="n">
        <x:f>L1932+M1932</x:f>
        <x:v>188800</x:v>
      </x:c>
      <x:c r="O1932" s="12" t="str">
        <x:v>Mumbai</x:v>
      </x:c>
      <x:c r="P1932" s="12" t="str">
        <x:v>CORP-0605, CORP-0606, CORP-0607, CORP-0608</x:v>
      </x:c>
      <x:c r="Q1932" s="12" t="str">
        <x:v>Performics.Convonix</x:v>
      </x:c>
    </x:row>
    <x:row r="1933" ht="48" customHeight="1">
      <x:c r="A1933" s="2" t="str">
        <x:v>TEN-52D1010C4A30</x:v>
      </x:c>
      <x:c r="B1933" s="12" t="str">
        <x:v>Performio India Private Limited</x:v>
      </x:c>
      <x:c r="C1933" s="12" t="str">
        <x:v>Business / brand</x:v>
      </x:c>
      <x:c r="D1933" s="12" t="str">
        <x:v>IT &amp; digital</x:v>
      </x:c>
      <x:c r="E1933" s="12" t="str">
        <x:v>Enterprise software &amp; digital engineering</x:v>
      </x:c>
      <x:c r="F1933" s="12" t="str">
        <x:v>Small-scale prospects</x:v>
      </x:c>
      <x:c r="G1933" s="12" t="str">
        <x:v>Software or technology-services business; small-scale prospect assumption.</x:v>
      </x:c>
      <x:c r="H1933" s="11" t="n">
        <x:v>1</x:v>
      </x:c>
      <x:c r="I1933" s="11" t="n">
        <x:v>2</x:v>
      </x:c>
      <x:c r="J1933" s="11" t="n">
        <x:v>2</x:v>
      </x:c>
      <x:c r="K1933" s="11" t="n">
        <x:v>0</x:v>
      </x:c>
      <x:c r="L1933" s="17" t="n">
        <x:f>SUM(SUMIFS('Costing'!$P$9:$P$492,'Costing'!$A$9:$A$492,"MAIN-067"))</x:f>
        <x:v>30000</x:v>
      </x:c>
      <x:c r="M1933" s="17" t="n">
        <x:f>ROUND(L1933*'Costing'!$C$4,2)</x:f>
        <x:v>5400</x:v>
      </x:c>
      <x:c r="N1933" s="17" t="n">
        <x:f>L1933+M1933</x:f>
        <x:v>35400</x:v>
      </x:c>
      <x:c r="O1933" s="12" t="str">
        <x:v>Bengaluru</x:v>
      </x:c>
      <x:c r="P1933" s="12" t="str">
        <x:v>CORP-0063</x:v>
      </x:c>
      <x:c r="Q1933" s="12" t="str">
        <x:v>Performio India Private Limited</x:v>
      </x:c>
    </x:row>
    <x:row r="1934" ht="48" customHeight="1">
      <x:c r="A1934" s="2" t="str">
        <x:v>TEN-EED420C0D2C1</x:v>
      </x:c>
      <x:c r="B1934" s="12" t="str">
        <x:v>PerkinElmer India</x:v>
      </x:c>
      <x:c r="C1934" s="12" t="str">
        <x:v>Business / brand</x:v>
      </x:c>
      <x:c r="D1934" s="12" t="str">
        <x:v>Healthcare &amp; life sciences</x:v>
      </x:c>
      <x:c r="E1934" s="12" t="str">
        <x:v>Clinical, medical &amp; diagnostic services</x:v>
      </x:c>
      <x:c r="F1934" s="12" t="str">
        <x:v>Mixed business audience</x:v>
      </x:c>
      <x:c r="G1934" s="12" t="str">
        <x:v>Recognisable business context; company-scale evidence remains insufficient for a single size band.</x:v>
      </x:c>
      <x:c r="H1934" s="11" t="n">
        <x:v>3</x:v>
      </x:c>
      <x:c r="I1934" s="11" t="n">
        <x:v>3</x:v>
      </x:c>
      <x:c r="J1934" s="11" t="n">
        <x:v>3</x:v>
      </x:c>
      <x:c r="K1934" s="11" t="n">
        <x:v>0</x:v>
      </x:c>
      <x:c r="L1934" s="17" t="n">
        <x:f>SUM(SUMIFS('Costing'!$P$9:$P$492,'Costing'!$A$9:$A$492,"PARTNER-M185"))</x:f>
        <x:v>120000</x:v>
      </x:c>
      <x:c r="M1934" s="17" t="n">
        <x:f>ROUND(L1934*'Costing'!$C$4,2)</x:f>
        <x:v>21600</x:v>
      </x:c>
      <x:c r="N1934" s="17" t="n">
        <x:f>L1934+M1934</x:f>
        <x:v>141600</x:v>
      </x:c>
      <x:c r="O1934" s="12" t="str">
        <x:v>Mumbai</x:v>
      </x:c>
      <x:c r="P1934" s="12" t="str">
        <x:v>CORP-0602, CORP-0603, CORP-0604</x:v>
      </x:c>
      <x:c r="Q1934" s="12" t="str">
        <x:v>PerkinElmer India</x:v>
      </x:c>
    </x:row>
    <x:row r="1935" ht="49" customHeight="1">
      <x:c r="A1935" s="2" t="str">
        <x:v>TEN-956E5A41DB14</x:v>
      </x:c>
      <x:c r="B1935" s="12" t="str">
        <x:v>Persistent Systems</x:v>
      </x:c>
      <x:c r="C1935" s="12" t="str">
        <x:v>Business / brand</x:v>
      </x:c>
      <x:c r="D1935" s="12" t="str">
        <x:v>IT &amp; digital</x:v>
      </x:c>
      <x:c r="E1935" s="12" t="str">
        <x:v>Technology services — specialty unverified</x:v>
      </x:c>
      <x:c r="F1935" s="12" t="str">
        <x:v>Large enterprise</x:v>
      </x:c>
      <x:c r="G1935" s="12" t="str">
        <x:v>A 2026 company release reports more than 27,500 employees in 21 countries. This supports enterprise-scale digital-engineering context for Persistent Systems.</x:v>
      </x:c>
      <x:c r="H1935" s="11" t="n">
        <x:v>10</x:v>
      </x:c>
      <x:c r="I1935" s="11" t="n">
        <x:v>13</x:v>
      </x:c>
      <x:c r="J1935" s="11" t="n">
        <x:v>13</x:v>
      </x:c>
      <x:c r="K1935" s="11" t="n">
        <x:v>0</x:v>
      </x:c>
      <x:c r="L1935" s="17" t="n">
        <x:f>SUM(SUMIFS('Costing'!$P$9:$P$492,'Costing'!$A$9:$A$492,"MAIN-085"),SUMIFS('Costing'!$P$9:$P$492,'Costing'!$A$9:$A$492,"MAIN-092"),SUMIFS('Costing'!$P$9:$P$492,'Costing'!$A$9:$A$492,"PARTNER-M300"))</x:f>
        <x:v>420000</x:v>
      </x:c>
      <x:c r="M1935" s="17" t="n">
        <x:f>ROUND(L1935*'Costing'!$C$4,2)</x:f>
        <x:v>75600</x:v>
      </x:c>
      <x:c r="N1935" s="17" t="n">
        <x:f>L1935+M1935</x:f>
        <x:v>495600</x:v>
      </x:c>
      <x:c r="O1935" s="12" t="str">
        <x:v>Bengaluru, Hyderabad</x:v>
      </x:c>
      <x:c r="P1935" s="12" t="str">
        <x:v>CORP-0081, CORP-0088, CORP-0715, CORP-0716, CORP-0717, CORP-0718, CORP-0719, CORP-0720, CORP-0721, CORP-0722</x:v>
      </x:c>
      <x:c r="Q1935" s="12" t="str">
        <x:v>Persistent Systems</x:v>
      </x:c>
    </x:row>
    <x:row r="1936" ht="48" customHeight="1">
      <x:c r="A1936" s="2" t="str">
        <x:v>TEN-E353B4E25D40</x:v>
      </x:c>
      <x:c r="B1936" s="12" t="str">
        <x:v>Peter England</x:v>
      </x:c>
      <x:c r="C1936" s="12" t="str">
        <x:v>Business / brand</x:v>
      </x:c>
      <x:c r="D1936" s="12" t="str">
        <x:v>Trade, consumer &amp; logistics</x:v>
      </x:c>
      <x:c r="E1936" s="12" t="str">
        <x:v>Consumer/trade services — specialty unverified</x:v>
      </x:c>
      <x:c r="F1936" s="12" t="str">
        <x:v>Mixed business audience</x:v>
      </x:c>
      <x:c r="G1936" s="12" t="str">
        <x:v>Recognisable business context; company-scale evidence remains insufficient for a single size band.</x:v>
      </x:c>
      <x:c r="H1936" s="11" t="n">
        <x:v>1</x:v>
      </x:c>
      <x:c r="I1936" s="11" t="n">
        <x:v>1</x:v>
      </x:c>
      <x:c r="J1936" s="11" t="n">
        <x:v>1</x:v>
      </x:c>
      <x:c r="K1936" s="11" t="n">
        <x:v>0</x:v>
      </x:c>
      <x:c r="L1936" s="17" t="n">
        <x:f>SUM(SUMIFS('Costing'!$P$9:$P$492,'Costing'!$A$9:$A$492,"MAIN-269"))</x:f>
        <x:v>40000</x:v>
      </x:c>
      <x:c r="M1936" s="17" t="n">
        <x:f>ROUND(L1936*'Costing'!$C$4,2)</x:f>
        <x:v>7200</x:v>
      </x:c>
      <x:c r="N1936" s="17" t="n">
        <x:f>L1936+M1936</x:f>
        <x:v>47200</x:v>
      </x:c>
      <x:c r="O1936" s="12" t="str">
        <x:v>Indore</x:v>
      </x:c>
      <x:c r="P1936" s="12" t="str">
        <x:v>CORP-0265</x:v>
      </x:c>
      <x:c r="Q1936" s="12" t="str">
        <x:v>Peter England</x:v>
      </x:c>
    </x:row>
    <x:row r="1937" ht="48" customHeight="1">
      <x:c r="A1937" s="2" t="str">
        <x:v>TEN-5F871EBEAF97</x:v>
      </x:c>
      <x:c r="B1937" s="12" t="str">
        <x:v>Pfizer Healthcare</x:v>
      </x:c>
      <x:c r="C1937" s="12" t="str">
        <x:v>Business / brand</x:v>
      </x:c>
      <x:c r="D1937" s="12" t="str">
        <x:v>Healthcare &amp; life sciences</x:v>
      </x:c>
      <x:c r="E1937" s="12" t="str">
        <x:v>Pharmaceuticals, biotechnology &amp; life sciences</x:v>
      </x:c>
      <x:c r="F1937" s="12" t="str">
        <x:v>Mixed business audience</x:v>
      </x:c>
      <x:c r="G1937" s="12" t="str">
        <x:v>Recognisable business context; company-scale evidence remains insufficient for a single size band.</x:v>
      </x:c>
      <x:c r="H1937" s="11" t="n">
        <x:v>2</x:v>
      </x:c>
      <x:c r="I1937" s="11" t="n">
        <x:v>2</x:v>
      </x:c>
      <x:c r="J1937" s="11" t="n">
        <x:v>2</x:v>
      </x:c>
      <x:c r="K1937" s="11" t="n">
        <x:v>0</x:v>
      </x:c>
      <x:c r="L1937" s="17" t="n">
        <x:f>SUM(SUMIFS('Costing'!$P$9:$P$492,'Costing'!$A$9:$A$492,"PARTNER-M338"))</x:f>
        <x:v>80000</x:v>
      </x:c>
      <x:c r="M1937" s="17" t="n">
        <x:f>ROUND(L1937*'Costing'!$C$4,2)</x:f>
        <x:v>14400</x:v>
      </x:c>
      <x:c r="N1937" s="17" t="n">
        <x:f>L1937+M1937</x:f>
        <x:v>94400</x:v>
      </x:c>
      <x:c r="O1937" s="12" t="str">
        <x:v>Chennai</x:v>
      </x:c>
      <x:c r="P1937" s="12" t="str">
        <x:v>CORP-0752, CORP-0753</x:v>
      </x:c>
      <x:c r="Q1937" s="12" t="str">
        <x:v>Pfizer Healthcare</x:v>
      </x:c>
    </x:row>
    <x:row r="1938" ht="48" customHeight="1">
      <x:c r="A1938" s="2" t="str">
        <x:v>TEN-7E1EAB7E3FF2</x:v>
      </x:c>
      <x:c r="B1938" s="12" t="str">
        <x:v>Phani Information Technologies Ltd</x:v>
      </x:c>
      <x:c r="C1938" s="12" t="str">
        <x:v>Business / brand</x:v>
      </x:c>
      <x:c r="D1938" s="12" t="str">
        <x:v>IT &amp; digital</x:v>
      </x:c>
      <x:c r="E1938" s="12" t="str">
        <x:v>Enterprise software &amp; digital engineering</x:v>
      </x:c>
      <x:c r="F1938" s="12" t="str">
        <x:v>Small-scale prospects</x:v>
      </x:c>
      <x:c r="G1938" s="12" t="str">
        <x:v>Software or technology-services business; small-scale prospect assumption.</x:v>
      </x:c>
      <x:c r="H1938" s="11" t="n">
        <x:v>5</x:v>
      </x:c>
      <x:c r="I1938" s="11" t="n">
        <x:v>5</x:v>
      </x:c>
      <x:c r="J1938" s="11" t="n">
        <x:v>5</x:v>
      </x:c>
      <x:c r="K1938" s="11" t="n">
        <x:v>0</x:v>
      </x:c>
      <x:c r="L1938" s="17" t="n">
        <x:f>SUM(SUMIFS('Costing'!$P$9:$P$492,'Costing'!$A$9:$A$492,"PARTNER-M051"))</x:f>
        <x:v>200000</x:v>
      </x:c>
      <x:c r="M1938" s="17" t="n">
        <x:f>ROUND(L1938*'Costing'!$C$4,2)</x:f>
        <x:v>36000</x:v>
      </x:c>
      <x:c r="N1938" s="17" t="n">
        <x:f>L1938+M1938</x:f>
        <x:v>236000</x:v>
      </x:c>
      <x:c r="O1938" s="12" t="str">
        <x:v>Bengaluru</x:v>
      </x:c>
      <x:c r="P1938" s="12" t="str">
        <x:v>CORP-0469, CORP-0470, CORP-0471, CORP-0472, CORP-0473</x:v>
      </x:c>
      <x:c r="Q1938" s="12" t="str">
        <x:v>Phani Information Technologies Ltd</x:v>
      </x:c>
    </x:row>
    <x:row r="1939" ht="48" customHeight="1">
      <x:c r="A1939" s="2" t="str">
        <x:v>TEN-8F6404B5FB2F</x:v>
      </x:c>
      <x:c r="B1939" s="12" t="str">
        <x:v>Phantom hospitality</x:v>
      </x:c>
      <x:c r="C1939" s="12" t="str">
        <x:v>Business / brand</x:v>
      </x:c>
      <x:c r="D1939" s="12" t="str">
        <x:v>Trade, consumer &amp; logistics</x:v>
      </x:c>
      <x:c r="E1939" s="12" t="str">
        <x:v>Travel, hospitality, food &amp; beverages</x:v>
      </x:c>
      <x:c r="F1939" s="12" t="str">
        <x:v>Small-scale prospects</x:v>
      </x:c>
      <x:c r="G1939" s="12" t="str">
        <x:v>Trading or consumer-services business; small-scale prospect assumption.</x:v>
      </x:c>
      <x:c r="H1939" s="11" t="n">
        <x:v>1</x:v>
      </x:c>
      <x:c r="I1939" s="11" t="n">
        <x:v>1</x:v>
      </x:c>
      <x:c r="J1939" s="11" t="n">
        <x:v>1</x:v>
      </x:c>
      <x:c r="K1939" s="11" t="n">
        <x:v>0</x:v>
      </x:c>
      <x:c r="L1939" s="17" t="n">
        <x:f>SUM(SUMIFS('Costing'!$P$9:$P$492,'Costing'!$A$9:$A$492,"MAIN-379"))</x:f>
        <x:v>15000</x:v>
      </x:c>
      <x:c r="M1939" s="17" t="n">
        <x:f>ROUND(L1939*'Costing'!$C$4,2)</x:f>
        <x:v>2700</x:v>
      </x:c>
      <x:c r="N1939" s="17" t="n">
        <x:f>L1939+M1939</x:f>
        <x:v>17700</x:v>
      </x:c>
      <x:c r="O1939" s="12" t="str">
        <x:v>Pune</x:v>
      </x:c>
      <x:c r="P1939" s="12" t="str">
        <x:v>CORP-0375</x:v>
      </x:c>
      <x:c r="Q1939" s="12" t="str">
        <x:v>Phantom hospitality</x:v>
      </x:c>
    </x:row>
    <x:row r="1940" ht="48" customHeight="1">
      <x:c r="A1940" s="2" t="str">
        <x:v>TEN-03226AD79BD1</x:v>
      </x:c>
      <x:c r="B1940" s="12" t="str">
        <x:v>PharmEasy</x:v>
      </x:c>
      <x:c r="C1940" s="12" t="str">
        <x:v>Business / brand</x:v>
      </x:c>
      <x:c r="D1940" s="12" t="str">
        <x:v>Healthcare &amp; life sciences</x:v>
      </x:c>
      <x:c r="E1940" s="12" t="str">
        <x:v>Healthcare/life sciences — specialty unverified</x:v>
      </x:c>
      <x:c r="F1940" s="12" t="str">
        <x:v>Mixed business audience</x:v>
      </x:c>
      <x:c r="G1940" s="12" t="str">
        <x:v>Recognisable business context; company-scale evidence remains insufficient for a single size band.</x:v>
      </x:c>
      <x:c r="H1940" s="11" t="n">
        <x:v>1</x:v>
      </x:c>
      <x:c r="I1940" s="11" t="n">
        <x:v>1</x:v>
      </x:c>
      <x:c r="J1940" s="11" t="n">
        <x:v>1</x:v>
      </x:c>
      <x:c r="K1940" s="11" t="n">
        <x:v>0</x:v>
      </x:c>
      <x:c r="L1940" s="17" t="n">
        <x:f>SUM(SUMIFS('Costing'!$P$9:$P$492,'Costing'!$A$9:$A$492,"MAIN-015"))</x:f>
        <x:v>15000</x:v>
      </x:c>
      <x:c r="M1940" s="17" t="n">
        <x:f>ROUND(L1940*'Costing'!$C$4,2)</x:f>
        <x:v>2700</x:v>
      </x:c>
      <x:c r="N1940" s="17" t="n">
        <x:f>L1940+M1940</x:f>
        <x:v>17700</x:v>
      </x:c>
      <x:c r="O1940" s="12" t="str">
        <x:v>Bengaluru</x:v>
      </x:c>
      <x:c r="P1940" s="12" t="str">
        <x:v>CORP-0011</x:v>
      </x:c>
      <x:c r="Q1940" s="12" t="str">
        <x:v>PharmEasy</x:v>
      </x:c>
    </x:row>
    <x:row r="1941" ht="48" customHeight="1">
      <x:c r="A1941" s="2" t="str">
        <x:v>TEN-DD4CB9CF52F0</x:v>
      </x:c>
      <x:c r="B1941" s="12" t="str">
        <x:v>Philips</x:v>
      </x:c>
      <x:c r="C1941" s="12" t="str">
        <x:v>Business / brand</x:v>
      </x:c>
      <x:c r="D1941" s="12" t="str">
        <x:v>Engineering &amp; manufacturing</x:v>
      </x:c>
      <x:c r="E1941" s="12" t="str">
        <x:v>Engineering/manufacturing — specialty unverified</x:v>
      </x:c>
      <x:c r="F1941" s="12" t="str">
        <x:v>Large enterprise</x:v>
      </x:c>
      <x:c r="G1941" s="12" t="str">
        <x:v>Explicit Philips enterprise-family context; see ENTERPRISE_SUPP_029 evidence.</x:v>
      </x:c>
      <x:c r="H1941" s="11" t="n">
        <x:v>6</x:v>
      </x:c>
      <x:c r="I1941" s="11" t="n">
        <x:v>7</x:v>
      </x:c>
      <x:c r="J1941" s="11" t="n">
        <x:v>7</x:v>
      </x:c>
      <x:c r="K1941" s="11" t="n">
        <x:v>0</x:v>
      </x:c>
      <x:c r="L1941" s="17" t="n">
        <x:f>SUM(SUMIFS('Costing'!$P$9:$P$492,'Costing'!$A$9:$A$492,"MAIN-152"),SUMIFS('Costing'!$P$9:$P$492,'Costing'!$A$9:$A$492,"PARTNER-M051"))</x:f>
        <x:v>240000</x:v>
      </x:c>
      <x:c r="M1941" s="17" t="n">
        <x:f>ROUND(L1941*'Costing'!$C$4,2)</x:f>
        <x:v>43200</x:v>
      </x:c>
      <x:c r="N1941" s="17" t="n">
        <x:f>L1941+M1941</x:f>
        <x:v>283200</x:v>
      </x:c>
      <x:c r="O1941" s="12" t="str">
        <x:v>Chennai, Bengaluru</x:v>
      </x:c>
      <x:c r="P1941" s="12" t="str">
        <x:v>CORP-0148, CORP-0469, CORP-0470, CORP-0471, CORP-0472, CORP-0473</x:v>
      </x:c>
      <x:c r="Q1941" s="12" t="str">
        <x:v>Philips</x:v>
      </x:c>
    </x:row>
    <x:row r="1942" ht="48" customHeight="1">
      <x:c r="A1942" s="2" t="str">
        <x:v>TEN-8461E0C288B0</x:v>
      </x:c>
      <x:c r="B1942" s="12" t="str">
        <x:v>Philips India Limited</x:v>
      </x:c>
      <x:c r="C1942" s="12" t="str">
        <x:v>Business / brand</x:v>
      </x:c>
      <x:c r="D1942" s="12" t="str">
        <x:v>Engineering &amp; manufacturing</x:v>
      </x:c>
      <x:c r="E1942" s="12" t="str">
        <x:v>Engineering/manufacturing — specialty unverified</x:v>
      </x:c>
      <x:c r="F1942" s="12" t="str">
        <x:v>Large enterprise</x:v>
      </x:c>
      <x:c r="G1942" s="12" t="str">
        <x:v>Explicit Philips enterprise-family context; see ENTERPRISE_SUPP_029 evidence.</x:v>
      </x:c>
      <x:c r="H1942" s="11" t="n">
        <x:v>5</x:v>
      </x:c>
      <x:c r="I1942" s="11" t="n">
        <x:v>5</x:v>
      </x:c>
      <x:c r="J1942" s="11" t="n">
        <x:v>5</x:v>
      </x:c>
      <x:c r="K1942" s="11" t="n">
        <x:v>0</x:v>
      </x:c>
      <x:c r="L1942" s="17" t="n">
        <x:f>SUM(SUMIFS('Costing'!$P$9:$P$492,'Costing'!$A$9:$A$492,"PARTNER-M268"))</x:f>
        <x:v>200000</x:v>
      </x:c>
      <x:c r="M1942" s="17" t="n">
        <x:f>ROUND(L1942*'Costing'!$C$4,2)</x:f>
        <x:v>36000</x:v>
      </x:c>
      <x:c r="N1942" s="17" t="n">
        <x:f>L1942+M1942</x:f>
        <x:v>236000</x:v>
      </x:c>
      <x:c r="O1942" s="12" t="str">
        <x:v>Pune</x:v>
      </x:c>
      <x:c r="P1942" s="12" t="str">
        <x:v>CORP-0684, CORP-0685, CORP-0686, CORP-0687, CORP-0688</x:v>
      </x:c>
      <x:c r="Q1942" s="12" t="str">
        <x:v>Philips India Limited</x:v>
      </x:c>
    </x:row>
    <x:row r="1943" ht="48" customHeight="1">
      <x:c r="A1943" s="2" t="str">
        <x:v>TEN-9D3E03571A85</x:v>
      </x:c>
      <x:c r="B1943" s="12" t="str">
        <x:v>PhillipCapital (India) Pvt. Ltd</x:v>
      </x:c>
      <x:c r="C1943" s="12" t="str">
        <x:v>Business / brand</x:v>
      </x:c>
      <x:c r="D1943" s="12" t="str">
        <x:v>Finance &amp; insurance</x:v>
      </x:c>
      <x:c r="E1943" s="12" t="str">
        <x:v>Banking, insurance, investments &amp; financial services</x:v>
      </x:c>
      <x:c r="F1943" s="12" t="str">
        <x:v>Mixed business audience</x:v>
      </x:c>
      <x:c r="G1943" s="12" t="str">
        <x:v>Established brand or business network; local company scale is not established. Use a mixed-business message.</x:v>
      </x:c>
      <x:c r="H1943" s="11" t="n">
        <x:v>4</x:v>
      </x:c>
      <x:c r="I1943" s="11" t="n">
        <x:v>4</x:v>
      </x:c>
      <x:c r="J1943" s="11" t="n">
        <x:v>4</x:v>
      </x:c>
      <x:c r="K1943" s="11" t="n">
        <x:v>0</x:v>
      </x:c>
      <x:c r="L1943" s="17" t="n">
        <x:f>SUM(SUMIFS('Costing'!$P$9:$P$492,'Costing'!$A$9:$A$492,"PARTNER-M188"))</x:f>
        <x:v>160000</x:v>
      </x:c>
      <x:c r="M1943" s="17" t="n">
        <x:f>ROUND(L1943*'Costing'!$C$4,2)</x:f>
        <x:v>28800</x:v>
      </x:c>
      <x:c r="N1943" s="17" t="n">
        <x:f>L1943+M1943</x:f>
        <x:v>188800</x:v>
      </x:c>
      <x:c r="O1943" s="12" t="str">
        <x:v>Mumbai</x:v>
      </x:c>
      <x:c r="P1943" s="12" t="str">
        <x:v>CORP-0605, CORP-0606, CORP-0607, CORP-0608</x:v>
      </x:c>
      <x:c r="Q1943" s="12" t="str">
        <x:v>PhillipCapital (India) Pvt. Ltd</x:v>
      </x:c>
    </x:row>
    <x:row r="1944" ht="48" customHeight="1">
      <x:c r="A1944" s="2" t="str">
        <x:v>TEN-391AC3F6E1D6</x:v>
      </x:c>
      <x:c r="B1944" s="12" t="str">
        <x:v>Phoenix Event Media</x:v>
      </x:c>
      <x:c r="C1944" s="12" t="str">
        <x:v>Business / brand</x:v>
      </x:c>
      <x:c r="D1944" s="12" t="str">
        <x:v>Trade, consumer &amp; logistics</x:v>
      </x:c>
      <x:c r="E1944" s="12" t="str">
        <x:v>Entertainment, media &amp; events</x:v>
      </x:c>
      <x:c r="F1944" s="12" t="str">
        <x:v>Small-scale prospects</x:v>
      </x:c>
      <x:c r="G1944" s="12" t="str">
        <x:v>Trading or consumer-services business; small-scale prospect assumption.</x:v>
      </x:c>
      <x:c r="H1944" s="11" t="n">
        <x:v>1</x:v>
      </x:c>
      <x:c r="I1944" s="11" t="n">
        <x:v>1</x:v>
      </x:c>
      <x:c r="J1944" s="11" t="n">
        <x:v>1</x:v>
      </x:c>
      <x:c r="K1944" s="11" t="n">
        <x:v>0</x:v>
      </x:c>
      <x:c r="L1944" s="17" t="n">
        <x:f>SUM(SUMIFS('Costing'!$P$9:$P$492,'Costing'!$A$9:$A$492,"MAIN-274"))</x:f>
        <x:v>40000</x:v>
      </x:c>
      <x:c r="M1944" s="17" t="n">
        <x:f>ROUND(L1944*'Costing'!$C$4,2)</x:f>
        <x:v>7200</x:v>
      </x:c>
      <x:c r="N1944" s="17" t="n">
        <x:f>L1944+M1944</x:f>
        <x:v>47200</x:v>
      </x:c>
      <x:c r="O1944" s="12" t="str">
        <x:v>Indore</x:v>
      </x:c>
      <x:c r="P1944" s="12" t="str">
        <x:v>CORP-0270</x:v>
      </x:c>
      <x:c r="Q1944" s="12" t="str">
        <x:v>Phoenix Event Media</x:v>
      </x:c>
    </x:row>
    <x:row r="1945" ht="48" customHeight="1">
      <x:c r="A1945" s="2" t="str">
        <x:v>TEN-9AC1EEB1DD41</x:v>
      </x:c>
      <x:c r="B1945" s="12" t="str">
        <x:v>Pi Square Technologies India Pvt Ltd</x:v>
      </x:c>
      <x:c r="C1945" s="12" t="str">
        <x:v>Business / brand</x:v>
      </x:c>
      <x:c r="D1945" s="12" t="str">
        <x:v>IT &amp; digital</x:v>
      </x:c>
      <x:c r="E1945" s="12" t="str">
        <x:v>Enterprise software &amp; digital engineering</x:v>
      </x:c>
      <x:c r="F1945" s="12" t="str">
        <x:v>Small-scale prospects</x:v>
      </x:c>
      <x:c r="G1945" s="12" t="str">
        <x:v>Software or technology-services business; small-scale prospect assumption.</x:v>
      </x:c>
      <x:c r="H1945" s="11" t="n">
        <x:v>1</x:v>
      </x:c>
      <x:c r="I1945" s="11" t="n">
        <x:v>2</x:v>
      </x:c>
      <x:c r="J1945" s="11" t="n">
        <x:v>2</x:v>
      </x:c>
      <x:c r="K1945" s="11" t="n">
        <x:v>0</x:v>
      </x:c>
      <x:c r="L1945" s="17" t="n">
        <x:f>SUM(SUMIFS('Costing'!$P$9:$P$492,'Costing'!$A$9:$A$492,"MAIN-251"))</x:f>
        <x:v>40000</x:v>
      </x:c>
      <x:c r="M1945" s="17" t="n">
        <x:f>ROUND(L1945*'Costing'!$C$4,2)</x:f>
        <x:v>7200</x:v>
      </x:c>
      <x:c r="N1945" s="17" t="n">
        <x:f>L1945+M1945</x:f>
        <x:v>47200</x:v>
      </x:c>
      <x:c r="O1945" s="12" t="str">
        <x:v>Hyderabad</x:v>
      </x:c>
      <x:c r="P1945" s="12" t="str">
        <x:v>CORP-0247</x:v>
      </x:c>
      <x:c r="Q1945" s="12" t="str">
        <x:v>Pi Square Technologies India Pvt Ltd</x:v>
      </x:c>
    </x:row>
    <x:row r="1946" ht="48" customHeight="1">
      <x:c r="A1946" s="2" t="str">
        <x:v>TEN-04C4F86B0D0A</x:v>
      </x:c>
      <x:c r="B1946" s="12" t="str">
        <x:v>Piano Project</x:v>
      </x:c>
      <x:c r="C1946" s="12" t="str">
        <x:v>Business / brand</x:v>
      </x:c>
      <x:c r="D1946" s="12" t="str">
        <x:v>Trade, consumer &amp; logistics</x:v>
      </x:c>
      <x:c r="E1946" s="12" t="str">
        <x:v>Travel, hospitality, food &amp; beverages</x:v>
      </x:c>
      <x:c r="F1946" s="12" t="str">
        <x:v>Small-scale prospects</x:v>
      </x:c>
      <x:c r="G1946" s="12" t="str">
        <x:v>Trading or consumer-services business; small-scale prospect assumption.</x:v>
      </x:c>
      <x:c r="H1946" s="11" t="n">
        <x:v>1</x:v>
      </x:c>
      <x:c r="I1946" s="11" t="n">
        <x:v>2</x:v>
      </x:c>
      <x:c r="J1946" s="11" t="n">
        <x:v>2</x:v>
      </x:c>
      <x:c r="K1946" s="11" t="n">
        <x:v>0</x:v>
      </x:c>
      <x:c r="L1946" s="17" t="n">
        <x:f>SUM(SUMIFS('Costing'!$P$9:$P$492,'Costing'!$A$9:$A$492,"MAIN-268"))</x:f>
        <x:v>80000</x:v>
      </x:c>
      <x:c r="M1946" s="17" t="n">
        <x:f>ROUND(L1946*'Costing'!$C$4,2)</x:f>
        <x:v>14400</x:v>
      </x:c>
      <x:c r="N1946" s="17" t="n">
        <x:f>L1946+M1946</x:f>
        <x:v>94400</x:v>
      </x:c>
      <x:c r="O1946" s="12" t="str">
        <x:v>Indore</x:v>
      </x:c>
      <x:c r="P1946" s="12" t="str">
        <x:v>CORP-0264</x:v>
      </x:c>
      <x:c r="Q1946" s="12" t="str">
        <x:v>Piano Project</x:v>
      </x:c>
    </x:row>
    <x:row r="1947" ht="48" customHeight="1">
      <x:c r="A1947" s="2" t="str">
        <x:v>TEN-A2E949894464</x:v>
      </x:c>
      <x:c r="B1947" s="12" t="str">
        <x:v>Ping pong entertainment</x:v>
      </x:c>
      <x:c r="C1947" s="12" t="str">
        <x:v>Business / brand</x:v>
      </x:c>
      <x:c r="D1947" s="12" t="str">
        <x:v>Trade, consumer &amp; logistics</x:v>
      </x:c>
      <x:c r="E1947" s="12" t="str">
        <x:v>Entertainment, media &amp; events</x:v>
      </x:c>
      <x:c r="F1947" s="12" t="str">
        <x:v>Small-scale prospects</x:v>
      </x:c>
      <x:c r="G1947" s="12" t="str">
        <x:v>Trading or consumer-services business; small-scale prospect assumption.</x:v>
      </x:c>
      <x:c r="H1947" s="11" t="n">
        <x:v>1</x:v>
      </x:c>
      <x:c r="I1947" s="11" t="n">
        <x:v>1</x:v>
      </x:c>
      <x:c r="J1947" s="11" t="n">
        <x:v>1</x:v>
      </x:c>
      <x:c r="K1947" s="11" t="n">
        <x:v>0</x:v>
      </x:c>
      <x:c r="L1947" s="17" t="n">
        <x:f>SUM(SUMIFS('Costing'!$P$9:$P$492,'Costing'!$A$9:$A$492,"MAIN-415"))</x:f>
        <x:v>15000</x:v>
      </x:c>
      <x:c r="M1947" s="17" t="n">
        <x:f>ROUND(L1947*'Costing'!$C$4,2)</x:f>
        <x:v>2700</x:v>
      </x:c>
      <x:c r="N1947" s="17" t="n">
        <x:f>L1947+M1947</x:f>
        <x:v>17700</x:v>
      </x:c>
      <x:c r="O1947" s="12" t="str">
        <x:v>Pune</x:v>
      </x:c>
      <x:c r="P1947" s="12" t="str">
        <x:v>CORP-0411</x:v>
      </x:c>
      <x:c r="Q1947" s="12" t="str">
        <x:v>Ping pong entertainment</x:v>
      </x:c>
    </x:row>
    <x:row r="1948" ht="48" customHeight="1">
      <x:c r="A1948" s="2" t="str">
        <x:v>TEN-4A3F94504EB7</x:v>
      </x:c>
      <x:c r="B1948" s="12" t="str">
        <x:v>Pinstorm Technologies Limited</x:v>
      </x:c>
      <x:c r="C1948" s="12" t="str">
        <x:v>Business / brand</x:v>
      </x:c>
      <x:c r="D1948" s="12" t="str">
        <x:v>Professional services</x:v>
      </x:c>
      <x:c r="E1948" s="12" t="str">
        <x:v>Research, marketing &amp; professional services</x:v>
      </x:c>
      <x:c r="F1948" s="12" t="str">
        <x:v>Small-scale prospects</x:v>
      </x:c>
      <x:c r="G1948" s="12" t="str">
        <x:v>Professional service, agency or advisory model; small-scale prospect assumption.</x:v>
      </x:c>
      <x:c r="H1948" s="11" t="n">
        <x:v>1</x:v>
      </x:c>
      <x:c r="I1948" s="11" t="n">
        <x:v>17</x:v>
      </x:c>
      <x:c r="J1948" s="11" t="n">
        <x:v>17</x:v>
      </x:c>
      <x:c r="K1948" s="11" t="n">
        <x:v>0</x:v>
      </x:c>
      <x:c r="L1948" s="17" t="n">
        <x:f>SUM(SUMIFS('Costing'!$P$9:$P$492,'Costing'!$A$9:$A$492,"MAIN-353"))</x:f>
        <x:v>425000</x:v>
      </x:c>
      <x:c r="M1948" s="17" t="n">
        <x:f>ROUND(L1948*'Costing'!$C$4,2)</x:f>
        <x:v>76500</x:v>
      </x:c>
      <x:c r="N1948" s="17" t="n">
        <x:f>L1948+M1948</x:f>
        <x:v>501500</x:v>
      </x:c>
      <x:c r="O1948" s="12" t="str">
        <x:v>Mumbai</x:v>
      </x:c>
      <x:c r="P1948" s="12" t="str">
        <x:v>CORP-0349</x:v>
      </x:c>
      <x:c r="Q1948" s="12" t="str">
        <x:v>Pinstorm Technologies Limited</x:v>
      </x:c>
    </x:row>
    <x:row r="1949" ht="48" customHeight="1">
      <x:c r="A1949" s="2" t="str">
        <x:v>TEN-10C5B5430B91</x:v>
      </x:c>
      <x:c r="B1949" s="12" t="str">
        <x:v>Pioneer Foundation Engineers Pvt. Ltd</x:v>
      </x:c>
      <x:c r="C1949" s="12" t="str">
        <x:v>Business / brand</x:v>
      </x:c>
      <x:c r="D1949" s="12" t="str">
        <x:v>Engineering &amp; manufacturing</x:v>
      </x:c>
      <x:c r="E1949" s="12" t="str">
        <x:v>Engineering, testing &amp; technical services</x:v>
      </x:c>
      <x:c r="F1949" s="12" t="str">
        <x:v>Medium-scale prospects</x:v>
      </x:c>
      <x:c r="G1949" s="12" t="str">
        <x:v>Specialist industrial or engineering business; medium-scale prospect assumption.</x:v>
      </x:c>
      <x:c r="H1949" s="11" t="n">
        <x:v>6</x:v>
      </x:c>
      <x:c r="I1949" s="11" t="n">
        <x:v>6</x:v>
      </x:c>
      <x:c r="J1949" s="11" t="n">
        <x:v>6</x:v>
      </x:c>
      <x:c r="K1949" s="11" t="n">
        <x:v>0</x:v>
      </x:c>
      <x:c r="L1949" s="17" t="n">
        <x:f>SUM(SUMIFS('Costing'!$P$9:$P$492,'Costing'!$A$9:$A$492,"PARTNER-M179"))</x:f>
        <x:v>240000</x:v>
      </x:c>
      <x:c r="M1949" s="17" t="n">
        <x:f>ROUND(L1949*'Costing'!$C$4,2)</x:f>
        <x:v>43200</x:v>
      </x:c>
      <x:c r="N1949" s="17" t="n">
        <x:f>L1949+M1949</x:f>
        <x:v>283200</x:v>
      </x:c>
      <x:c r="O1949" s="12" t="str">
        <x:v>Mumbai</x:v>
      </x:c>
      <x:c r="P1949" s="12" t="str">
        <x:v>CORP-0596, CORP-0597, CORP-0598, CORP-0599, CORP-0600, CORP-0601</x:v>
      </x:c>
      <x:c r="Q1949" s="12" t="str">
        <x:v>Pioneer Foundation Engineers Pvt. Ltd</x:v>
      </x:c>
    </x:row>
    <x:row r="1950" ht="48" customHeight="1">
      <x:c r="A1950" s="2" t="str">
        <x:v>TEN-B0B13A53811B</x:v>
      </x:c>
      <x:c r="B1950" s="12" t="str">
        <x:v>Piramal</x:v>
      </x:c>
      <x:c r="C1950" s="12" t="str">
        <x:v>Business / brand</x:v>
      </x:c>
      <x:c r="D1950" s="12" t="str">
        <x:v>Unresolved</x:v>
      </x:c>
      <x:c r="E1950" s="12" t="str">
        <x:v>Business activity not established</x:v>
      </x:c>
      <x:c r="F1950" s="12" t="str">
        <x:v>Mixed business audience</x:v>
      </x:c>
      <x:c r="G1950" s="12" t="str">
        <x:v>Business activity and company scale are not established from this name.</x:v>
      </x:c>
      <x:c r="H1950" s="11" t="n">
        <x:v>1</x:v>
      </x:c>
      <x:c r="I1950" s="11" t="n">
        <x:v>3</x:v>
      </x:c>
      <x:c r="J1950" s="11" t="n">
        <x:v>3</x:v>
      </x:c>
      <x:c r="K1950" s="11" t="n">
        <x:v>0</x:v>
      </x:c>
      <x:c r="L1950" s="17" t="n">
        <x:f>SUM(SUMIFS('Costing'!$P$9:$P$492,'Costing'!$A$9:$A$492,"MAIN-221"))</x:f>
        <x:v>45000</x:v>
      </x:c>
      <x:c r="M1950" s="17" t="n">
        <x:f>ROUND(L1950*'Costing'!$C$4,2)</x:f>
        <x:v>8100</x:v>
      </x:c>
      <x:c r="N1950" s="17" t="n">
        <x:f>L1950+M1950</x:f>
        <x:v>53100</x:v>
      </x:c>
      <x:c r="O1950" s="12" t="str">
        <x:v>Hyderabad</x:v>
      </x:c>
      <x:c r="P1950" s="12" t="str">
        <x:v>CORP-0217</x:v>
      </x:c>
      <x:c r="Q1950" s="12" t="str">
        <x:v>Piramal</x:v>
      </x:c>
    </x:row>
    <x:row r="1951" ht="48" customHeight="1">
      <x:c r="A1951" s="2" t="str">
        <x:v>TEN-9400E30186D5</x:v>
      </x:c>
      <x:c r="B1951" s="12" t="str">
        <x:v>Piramal Finance</x:v>
      </x:c>
      <x:c r="C1951" s="12" t="str">
        <x:v>Business / brand</x:v>
      </x:c>
      <x:c r="D1951" s="12" t="str">
        <x:v>Finance &amp; insurance</x:v>
      </x:c>
      <x:c r="E1951" s="12" t="str">
        <x:v>Financial services — specialty unverified</x:v>
      </x:c>
      <x:c r="F1951" s="12" t="str">
        <x:v>Mixed business audience</x:v>
      </x:c>
      <x:c r="G1951" s="12" t="str">
        <x:v>Recognisable business context; company-scale evidence remains insufficient for a single size band.</x:v>
      </x:c>
      <x:c r="H1951" s="11" t="n">
        <x:v>1</x:v>
      </x:c>
      <x:c r="I1951" s="11" t="n">
        <x:v>1</x:v>
      </x:c>
      <x:c r="J1951" s="11" t="n">
        <x:v>1</x:v>
      </x:c>
      <x:c r="K1951" s="11" t="n">
        <x:v>0</x:v>
      </x:c>
      <x:c r="L1951" s="17" t="n">
        <x:f>SUM(SUMIFS('Costing'!$P$9:$P$492,'Costing'!$A$9:$A$492,"MAIN-266"))</x:f>
        <x:v>20000</x:v>
      </x:c>
      <x:c r="M1951" s="17" t="n">
        <x:f>ROUND(L1951*'Costing'!$C$4,2)</x:f>
        <x:v>3600</x:v>
      </x:c>
      <x:c r="N1951" s="17" t="n">
        <x:f>L1951+M1951</x:f>
        <x:v>23600</x:v>
      </x:c>
      <x:c r="O1951" s="12" t="str">
        <x:v>Indore</x:v>
      </x:c>
      <x:c r="P1951" s="12" t="str">
        <x:v>CORP-0262</x:v>
      </x:c>
      <x:c r="Q1951" s="12" t="str">
        <x:v>Piramal Finance</x:v>
      </x:c>
    </x:row>
    <x:row r="1952" ht="48" customHeight="1">
      <x:c r="A1952" s="2" t="str">
        <x:v>TEN-B608E2C75AC8</x:v>
      </x:c>
      <x:c r="B1952" s="12" t="str">
        <x:v>Piramal Swasthya</x:v>
      </x:c>
      <x:c r="C1952" s="12" t="str">
        <x:v>Business / brand</x:v>
      </x:c>
      <x:c r="D1952" s="12" t="str">
        <x:v>Healthcare &amp; life sciences</x:v>
      </x:c>
      <x:c r="E1952" s="12" t="str">
        <x:v>Healthcare/life sciences — specialty unverified</x:v>
      </x:c>
      <x:c r="F1952" s="12" t="str">
        <x:v>Mixed business audience</x:v>
      </x:c>
      <x:c r="G1952" s="12" t="str">
        <x:v>Recognisable business context; company-scale evidence remains insufficient for a single size band.</x:v>
      </x:c>
      <x:c r="H1952" s="11" t="n">
        <x:v>1</x:v>
      </x:c>
      <x:c r="I1952" s="11" t="n">
        <x:v>2</x:v>
      </x:c>
      <x:c r="J1952" s="11" t="n">
        <x:v>2</x:v>
      </x:c>
      <x:c r="K1952" s="11" t="n">
        <x:v>0</x:v>
      </x:c>
      <x:c r="L1952" s="17" t="n">
        <x:f>SUM(SUMIFS('Costing'!$P$9:$P$492,'Costing'!$A$9:$A$492,"MAIN-219"))</x:f>
        <x:v>30000</x:v>
      </x:c>
      <x:c r="M1952" s="17" t="n">
        <x:f>ROUND(L1952*'Costing'!$C$4,2)</x:f>
        <x:v>5400</x:v>
      </x:c>
      <x:c r="N1952" s="17" t="n">
        <x:f>L1952+M1952</x:f>
        <x:v>35400</x:v>
      </x:c>
      <x:c r="O1952" s="12" t="str">
        <x:v>Hyderabad</x:v>
      </x:c>
      <x:c r="P1952" s="12" t="str">
        <x:v>CORP-0215</x:v>
      </x:c>
      <x:c r="Q1952" s="12" t="str">
        <x:v>Piramal Swasthya</x:v>
      </x:c>
    </x:row>
    <x:row r="1953" ht="48" customHeight="1">
      <x:c r="A1953" s="2" t="str">
        <x:v>TEN-9AAB56726C26</x:v>
      </x:c>
      <x:c r="B1953" s="12" t="str">
        <x:v>PIX Transmissions Ltd</x:v>
      </x:c>
      <x:c r="C1953" s="12" t="str">
        <x:v>Business / brand</x:v>
      </x:c>
      <x:c r="D1953" s="12" t="str">
        <x:v>Engineering &amp; manufacturing</x:v>
      </x:c>
      <x:c r="E1953" s="12" t="str">
        <x:v>Electronics, industrial systems &amp; manufacturing</x:v>
      </x:c>
      <x:c r="F1953" s="12" t="str">
        <x:v>Mixed business audience</x:v>
      </x:c>
      <x:c r="G1953" s="12" t="str">
        <x:v>Established brand or business network; local company scale is not established. Use a mixed-business message.</x:v>
      </x:c>
      <x:c r="H1953" s="11" t="n">
        <x:v>1</x:v>
      </x:c>
      <x:c r="I1953" s="11" t="n">
        <x:v>2</x:v>
      </x:c>
      <x:c r="J1953" s="11" t="n">
        <x:v>2</x:v>
      </x:c>
      <x:c r="K1953" s="11" t="n">
        <x:v>0</x:v>
      </x:c>
      <x:c r="L1953" s="17" t="n">
        <x:f>SUM(SUMIFS('Costing'!$P$9:$P$492,'Costing'!$A$9:$A$492,"MAIN-325"))</x:f>
        <x:v>80000</x:v>
      </x:c>
      <x:c r="M1953" s="17" t="n">
        <x:f>ROUND(L1953*'Costing'!$C$4,2)</x:f>
        <x:v>14400</x:v>
      </x:c>
      <x:c r="N1953" s="17" t="n">
        <x:f>L1953+M1953</x:f>
        <x:v>94400</x:v>
      </x:c>
      <x:c r="O1953" s="12" t="str">
        <x:v>Mumbai</x:v>
      </x:c>
      <x:c r="P1953" s="12" t="str">
        <x:v>CORP-0321</x:v>
      </x:c>
      <x:c r="Q1953" s="12" t="str">
        <x:v>PIX Transmissions Ltd</x:v>
      </x:c>
    </x:row>
    <x:row r="1954" ht="48" customHeight="1">
      <x:c r="A1954" s="2" t="str">
        <x:v>TEN-8A092F1101A6</x:v>
      </x:c>
      <x:c r="B1954" s="12" t="str">
        <x:v>Pixelated</x:v>
      </x:c>
      <x:c r="C1954" s="12" t="str">
        <x:v>Business / brand</x:v>
      </x:c>
      <x:c r="D1954" s="12" t="str">
        <x:v>Unresolved</x:v>
      </x:c>
      <x:c r="E1954" s="12" t="str">
        <x:v>Business activity not established</x:v>
      </x:c>
      <x:c r="F1954" s="12" t="str">
        <x:v>Mixed business audience</x:v>
      </x:c>
      <x:c r="G1954" s="12" t="str">
        <x:v>Business activity and company scale are not established from this name.</x:v>
      </x:c>
      <x:c r="H1954" s="11" t="n">
        <x:v>1</x:v>
      </x:c>
      <x:c r="I1954" s="11" t="n">
        <x:v>1</x:v>
      </x:c>
      <x:c r="J1954" s="11" t="n">
        <x:v>1</x:v>
      </x:c>
      <x:c r="K1954" s="11" t="n">
        <x:v>0</x:v>
      </x:c>
      <x:c r="L1954" s="17" t="n">
        <x:f>SUM(SUMIFS('Costing'!$P$9:$P$492,'Costing'!$A$9:$A$492,"MAIN-303"))</x:f>
        <x:v>15000</x:v>
      </x:c>
      <x:c r="M1954" s="17" t="n">
        <x:f>ROUND(L1954*'Costing'!$C$4,2)</x:f>
        <x:v>2700</x:v>
      </x:c>
      <x:c r="N1954" s="17" t="n">
        <x:f>L1954+M1954</x:f>
        <x:v>17700</x:v>
      </x:c>
      <x:c r="O1954" s="12" t="str">
        <x:v>Mumbai</x:v>
      </x:c>
      <x:c r="P1954" s="12" t="str">
        <x:v>CORP-0299</x:v>
      </x:c>
      <x:c r="Q1954" s="12" t="str">
        <x:v>Pixelated</x:v>
      </x:c>
    </x:row>
    <x:row r="1955" ht="48" customHeight="1">
      <x:c r="A1955" s="2" t="str">
        <x:v>TEN-A2BE5E2994D8</x:v>
      </x:c>
      <x:c r="B1955" s="12" t="str">
        <x:v>Planquadrat India Pvt Ltd</x:v>
      </x:c>
      <x:c r="C1955" s="12" t="str">
        <x:v>Business / brand</x:v>
      </x:c>
      <x:c r="D1955" s="12" t="str">
        <x:v>Professional services</x:v>
      </x:c>
      <x:c r="E1955" s="12" t="str">
        <x:v>Architecture, interiors &amp; design</x:v>
      </x:c>
      <x:c r="F1955" s="12" t="str">
        <x:v>Small-scale prospects</x:v>
      </x:c>
      <x:c r="G1955" s="12" t="str">
        <x:v>Professional service, agency or advisory model; small-scale prospect assumption.</x:v>
      </x:c>
      <x:c r="H1955" s="11" t="n">
        <x:v>1</x:v>
      </x:c>
      <x:c r="I1955" s="11" t="n">
        <x:v>1</x:v>
      </x:c>
      <x:c r="J1955" s="11" t="n">
        <x:v>1</x:v>
      </x:c>
      <x:c r="K1955" s="11" t="n">
        <x:v>0</x:v>
      </x:c>
      <x:c r="L1955" s="17" t="n">
        <x:f>SUM(SUMIFS('Costing'!$P$9:$P$492,'Costing'!$A$9:$A$492,"MAIN-296"))</x:f>
        <x:v>15000</x:v>
      </x:c>
      <x:c r="M1955" s="17" t="n">
        <x:f>ROUND(L1955*'Costing'!$C$4,2)</x:f>
        <x:v>2700</x:v>
      </x:c>
      <x:c r="N1955" s="17" t="n">
        <x:f>L1955+M1955</x:f>
        <x:v>17700</x:v>
      </x:c>
      <x:c r="O1955" s="12" t="str">
        <x:v>Mumbai</x:v>
      </x:c>
      <x:c r="P1955" s="12" t="str">
        <x:v>CORP-0292</x:v>
      </x:c>
      <x:c r="Q1955" s="12" t="str">
        <x:v>Planquadrat India Pvt Ltd</x:v>
      </x:c>
    </x:row>
    <x:row r="1956" ht="48" customHeight="1">
      <x:c r="A1956" s="2" t="str">
        <x:v>TEN-6E2912BABF92</x:v>
      </x:c>
      <x:c r="B1956" s="12" t="str">
        <x:v>Plastic Omnium Auto</x:v>
      </x:c>
      <x:c r="C1956" s="12" t="str">
        <x:v>Business / brand</x:v>
      </x:c>
      <x:c r="D1956" s="12" t="str">
        <x:v>Engineering &amp; manufacturing</x:v>
      </x:c>
      <x:c r="E1956" s="12" t="str">
        <x:v>Chemicals, materials &amp; industrial manufacturing</x:v>
      </x:c>
      <x:c r="F1956" s="12" t="str">
        <x:v>Mixed business audience</x:v>
      </x:c>
      <x:c r="G1956" s="12" t="str">
        <x:v>Established brand or business network; local company scale is not established. Use a mixed-business message.</x:v>
      </x:c>
      <x:c r="H1956" s="11" t="n">
        <x:v>9</x:v>
      </x:c>
      <x:c r="I1956" s="11" t="n">
        <x:v>9</x:v>
      </x:c>
      <x:c r="J1956" s="11" t="n">
        <x:v>9</x:v>
      </x:c>
      <x:c r="K1956" s="11" t="n">
        <x:v>0</x:v>
      </x:c>
      <x:c r="L1956" s="17" t="n">
        <x:f>SUM(SUMIFS('Costing'!$P$9:$P$492,'Costing'!$A$9:$A$492,"PARTNER-M002"))</x:f>
        <x:v>360000</x:v>
      </x:c>
      <x:c r="M1956" s="17" t="n">
        <x:f>ROUND(L1956*'Costing'!$C$4,2)</x:f>
        <x:v>64800</x:v>
      </x:c>
      <x:c r="N1956" s="17" t="n">
        <x:f>L1956+M1956</x:f>
        <x:v>424800</x:v>
      </x:c>
      <x:c r="O1956" s="12" t="str">
        <x:v>Bengaluru</x:v>
      </x:c>
      <x:c r="P1956" s="12" t="str">
        <x:v>CORP-0420, CORP-0421, CORP-0422, CORP-0423, CORP-0424, CORP-0425, CORP-0426, CORP-0427, CORP-0428</x:v>
      </x:c>
      <x:c r="Q1956" s="12" t="str">
        <x:v>Plastic Omnium Auto</x:v>
      </x:c>
    </x:row>
    <x:row r="1957" ht="48" customHeight="1">
      <x:c r="A1957" s="2" t="str">
        <x:v>TEN-01088BCB5FE4</x:v>
      </x:c>
      <x:c r="B1957" s="12" t="str">
        <x:v>Plural Technology Pvt Ltd</x:v>
      </x:c>
      <x:c r="C1957" s="12" t="str">
        <x:v>Business / brand</x:v>
      </x:c>
      <x:c r="D1957" s="12" t="str">
        <x:v>IT &amp; digital</x:v>
      </x:c>
      <x:c r="E1957" s="12" t="str">
        <x:v>Enterprise software &amp; digital engineering</x:v>
      </x:c>
      <x:c r="F1957" s="12" t="str">
        <x:v>Small-scale prospects</x:v>
      </x:c>
      <x:c r="G1957" s="12" t="str">
        <x:v>Software or technology-services business; small-scale prospect assumption.</x:v>
      </x:c>
      <x:c r="H1957" s="11" t="n">
        <x:v>6</x:v>
      </x:c>
      <x:c r="I1957" s="11" t="n">
        <x:v>6</x:v>
      </x:c>
      <x:c r="J1957" s="11" t="n">
        <x:v>6</x:v>
      </x:c>
      <x:c r="K1957" s="11" t="n">
        <x:v>0</x:v>
      </x:c>
      <x:c r="L1957" s="17" t="n">
        <x:f>SUM(SUMIFS('Costing'!$P$9:$P$492,'Costing'!$A$9:$A$492,"PARTNER-M289"))</x:f>
        <x:v>240000</x:v>
      </x:c>
      <x:c r="M1957" s="17" t="n">
        <x:f>ROUND(L1957*'Costing'!$C$4,2)</x:f>
        <x:v>43200</x:v>
      </x:c>
      <x:c r="N1957" s="17" t="n">
        <x:f>L1957+M1957</x:f>
        <x:v>283200</x:v>
      </x:c>
      <x:c r="O1957" s="12" t="str">
        <x:v>Hyderabad</x:v>
      </x:c>
      <x:c r="P1957" s="12" t="str">
        <x:v>CORP-0704, CORP-0705, CORP-0706, CORP-0707, CORP-0708, CORP-0709</x:v>
      </x:c>
      <x:c r="Q1957" s="12" t="str">
        <x:v>Plural Technology Pvt Ltd</x:v>
      </x:c>
    </x:row>
    <x:row r="1958" ht="48" customHeight="1">
      <x:c r="A1958" s="2" t="str">
        <x:v>TEN-08DB387FE18E</x:v>
      </x:c>
      <x:c r="B1958" s="12" t="str">
        <x:v>PMG Ideation Centre</x:v>
      </x:c>
      <x:c r="C1958" s="12" t="str">
        <x:v>Business / brand</x:v>
      </x:c>
      <x:c r="D1958" s="12" t="str">
        <x:v>Unresolved</x:v>
      </x:c>
      <x:c r="E1958" s="12" t="str">
        <x:v>Business activity not established</x:v>
      </x:c>
      <x:c r="F1958" s="12" t="str">
        <x:v>Mixed business audience</x:v>
      </x:c>
      <x:c r="G1958" s="12" t="str">
        <x:v>Business activity and company scale are not established from this name.</x:v>
      </x:c>
      <x:c r="H1958" s="11" t="n">
        <x:v>1</x:v>
      </x:c>
      <x:c r="I1958" s="11" t="n">
        <x:v>4</x:v>
      </x:c>
      <x:c r="J1958" s="11" t="n">
        <x:v>4</x:v>
      </x:c>
      <x:c r="K1958" s="11" t="n">
        <x:v>0</x:v>
      </x:c>
      <x:c r="L1958" s="17" t="n">
        <x:f>SUM(SUMIFS('Costing'!$P$9:$P$492,'Costing'!$A$9:$A$492,"MAIN-204"))</x:f>
        <x:v>160000</x:v>
      </x:c>
      <x:c r="M1958" s="17" t="n">
        <x:f>ROUND(L1958*'Costing'!$C$4,2)</x:f>
        <x:v>28800</x:v>
      </x:c>
      <x:c r="N1958" s="17" t="n">
        <x:f>L1958+M1958</x:f>
        <x:v>188800</x:v>
      </x:c>
      <x:c r="O1958" s="12" t="str">
        <x:v>Delhi NCR</x:v>
      </x:c>
      <x:c r="P1958" s="12" t="str">
        <x:v>CORP-0200</x:v>
      </x:c>
      <x:c r="Q1958" s="12" t="str">
        <x:v>PMG Ideation Centre</x:v>
      </x:c>
    </x:row>
    <x:row r="1959" ht="48" customHeight="1">
      <x:c r="A1959" s="2" t="str">
        <x:v>TEN-08BAA6938F5C</x:v>
      </x:c>
      <x:c r="B1959" s="12" t="str">
        <x:v>PNB Met Life</x:v>
      </x:c>
      <x:c r="C1959" s="12" t="str">
        <x:v>Business / brand</x:v>
      </x:c>
      <x:c r="D1959" s="12" t="str">
        <x:v>Finance &amp; insurance</x:v>
      </x:c>
      <x:c r="E1959" s="12" t="str">
        <x:v>Banking, insurance, investments &amp; financial services</x:v>
      </x:c>
      <x:c r="F1959" s="12" t="str">
        <x:v>Mixed business audience</x:v>
      </x:c>
      <x:c r="G1959" s="12" t="str">
        <x:v>Established brand or business network; local company scale is not established. Use a mixed-business message.</x:v>
      </x:c>
      <x:c r="H1959" s="11" t="n">
        <x:v>1</x:v>
      </x:c>
      <x:c r="I1959" s="11" t="n">
        <x:v>1</x:v>
      </x:c>
      <x:c r="J1959" s="11" t="n">
        <x:v>1</x:v>
      </x:c>
      <x:c r="K1959" s="11" t="n">
        <x:v>0</x:v>
      </x:c>
      <x:c r="L1959" s="17" t="n">
        <x:f>SUM(SUMIFS('Costing'!$P$9:$P$492,'Costing'!$A$9:$A$492,"MAIN-275"))</x:f>
        <x:v>40000</x:v>
      </x:c>
      <x:c r="M1959" s="17" t="n">
        <x:f>ROUND(L1959*'Costing'!$C$4,2)</x:f>
        <x:v>7200</x:v>
      </x:c>
      <x:c r="N1959" s="17" t="n">
        <x:f>L1959+M1959</x:f>
        <x:v>47200</x:v>
      </x:c>
      <x:c r="O1959" s="12" t="str">
        <x:v>Indore</x:v>
      </x:c>
      <x:c r="P1959" s="12" t="str">
        <x:v>CORP-0271</x:v>
      </x:c>
      <x:c r="Q1959" s="12" t="str">
        <x:v>PNB Met Life</x:v>
      </x:c>
    </x:row>
    <x:row r="1960" ht="48" customHeight="1">
      <x:c r="A1960" s="2" t="str">
        <x:v>TEN-8A5EDFCA45E4</x:v>
      </x:c>
      <x:c r="B1960" s="12" t="str">
        <x:v>Pochampalli IT Labs</x:v>
      </x:c>
      <x:c r="C1960" s="12" t="str">
        <x:v>Business / brand</x:v>
      </x:c>
      <x:c r="D1960" s="12" t="str">
        <x:v>IT &amp; digital</x:v>
      </x:c>
      <x:c r="E1960" s="12" t="str">
        <x:v>Enterprise software &amp; digital engineering</x:v>
      </x:c>
      <x:c r="F1960" s="12" t="str">
        <x:v>Small-scale prospects</x:v>
      </x:c>
      <x:c r="G1960" s="12" t="str">
        <x:v>Software or technology-services business; small-scale prospect assumption.</x:v>
      </x:c>
      <x:c r="H1960" s="11" t="n">
        <x:v>5</x:v>
      </x:c>
      <x:c r="I1960" s="11" t="n">
        <x:v>5</x:v>
      </x:c>
      <x:c r="J1960" s="11" t="n">
        <x:v>5</x:v>
      </x:c>
      <x:c r="K1960" s="11" t="n">
        <x:v>0</x:v>
      </x:c>
      <x:c r="L1960" s="17" t="n">
        <x:f>SUM(SUMIFS('Costing'!$P$9:$P$492,'Costing'!$A$9:$A$492,"PARTNER-M295"))</x:f>
        <x:v>200000</x:v>
      </x:c>
      <x:c r="M1960" s="17" t="n">
        <x:f>ROUND(L1960*'Costing'!$C$4,2)</x:f>
        <x:v>36000</x:v>
      </x:c>
      <x:c r="N1960" s="17" t="n">
        <x:f>L1960+M1960</x:f>
        <x:v>236000</x:v>
      </x:c>
      <x:c r="O1960" s="12" t="str">
        <x:v>Hyderabad</x:v>
      </x:c>
      <x:c r="P1960" s="12" t="str">
        <x:v>CORP-0710, CORP-0711, CORP-0712, CORP-0713, CORP-0714</x:v>
      </x:c>
      <x:c r="Q1960" s="12" t="str">
        <x:v>Pochampalli IT Labs</x:v>
      </x:c>
    </x:row>
    <x:row r="1961" ht="48" customHeight="1">
      <x:c r="A1961" s="2" t="str">
        <x:v>TEN-7A6085BE2ECB</x:v>
      </x:c>
      <x:c r="B1961" s="12" t="str">
        <x:v>Pocket HRMS</x:v>
      </x:c>
      <x:c r="C1961" s="12" t="str">
        <x:v>Business / brand</x:v>
      </x:c>
      <x:c r="D1961" s="12" t="str">
        <x:v>IT &amp; digital</x:v>
      </x:c>
      <x:c r="E1961" s="12" t="str">
        <x:v>Enterprise software &amp; digital engineering</x:v>
      </x:c>
      <x:c r="F1961" s="12" t="str">
        <x:v>Small-scale prospects</x:v>
      </x:c>
      <x:c r="G1961" s="12" t="str">
        <x:v>Software or technology-services business; small-scale prospect assumption.</x:v>
      </x:c>
      <x:c r="H1961" s="11" t="n">
        <x:v>1</x:v>
      </x:c>
      <x:c r="I1961" s="11" t="n">
        <x:v>21</x:v>
      </x:c>
      <x:c r="J1961" s="11" t="n">
        <x:v>21</x:v>
      </x:c>
      <x:c r="K1961" s="11" t="n">
        <x:v>0</x:v>
      </x:c>
      <x:c r="L1961" s="17" t="n">
        <x:f>SUM(SUMIFS('Costing'!$P$9:$P$492,'Costing'!$A$9:$A$492,"MAIN-313"))</x:f>
        <x:v>315000</x:v>
      </x:c>
      <x:c r="M1961" s="17" t="n">
        <x:f>ROUND(L1961*'Costing'!$C$4,2)</x:f>
        <x:v>56700</x:v>
      </x:c>
      <x:c r="N1961" s="17" t="n">
        <x:f>L1961+M1961</x:f>
        <x:v>371700</x:v>
      </x:c>
      <x:c r="O1961" s="12" t="str">
        <x:v>Mumbai</x:v>
      </x:c>
      <x:c r="P1961" s="12" t="str">
        <x:v>CORP-0309</x:v>
      </x:c>
      <x:c r="Q1961" s="12" t="str">
        <x:v>Pocket HRMS</x:v>
      </x:c>
    </x:row>
    <x:row r="1962" ht="48" customHeight="1">
      <x:c r="A1962" s="2" t="str">
        <x:v>TEN-33554C5EEC69</x:v>
      </x:c>
      <x:c r="B1962" s="12" t="str">
        <x:v>Policy Bazar</x:v>
      </x:c>
      <x:c r="C1962" s="12" t="str">
        <x:v>Business / brand</x:v>
      </x:c>
      <x:c r="D1962" s="12" t="str">
        <x:v>Finance &amp; insurance</x:v>
      </x:c>
      <x:c r="E1962" s="12" t="str">
        <x:v>Financial services — specialty unverified</x:v>
      </x:c>
      <x:c r="F1962" s="12" t="str">
        <x:v>Mixed business audience</x:v>
      </x:c>
      <x:c r="G1962" s="12" t="str">
        <x:v>Recognisable business context; company-scale evidence remains insufficient for a single size band.</x:v>
      </x:c>
      <x:c r="H1962" s="11" t="n">
        <x:v>1</x:v>
      </x:c>
      <x:c r="I1962" s="11" t="n">
        <x:v>21</x:v>
      </x:c>
      <x:c r="J1962" s="11" t="n">
        <x:v>21</x:v>
      </x:c>
      <x:c r="K1962" s="11" t="n">
        <x:v>0</x:v>
      </x:c>
      <x:c r="L1962" s="17" t="n">
        <x:f>SUM(SUMIFS('Costing'!$P$9:$P$492,'Costing'!$A$9:$A$492,"MAIN-253"))</x:f>
        <x:v>840000</x:v>
      </x:c>
      <x:c r="M1962" s="17" t="n">
        <x:f>ROUND(L1962*'Costing'!$C$4,2)</x:f>
        <x:v>151200</x:v>
      </x:c>
      <x:c r="N1962" s="17" t="n">
        <x:f>L1962+M1962</x:f>
        <x:v>991200</x:v>
      </x:c>
      <x:c r="O1962" s="12" t="str">
        <x:v>Hyderabad</x:v>
      </x:c>
      <x:c r="P1962" s="12" t="str">
        <x:v>CORP-0249</x:v>
      </x:c>
      <x:c r="Q1962" s="12" t="str">
        <x:v>Policy Bazar</x:v>
      </x:c>
    </x:row>
    <x:row r="1963" ht="48" customHeight="1">
      <x:c r="A1963" s="2" t="str">
        <x:v>TEN-F338051AA62C</x:v>
      </x:c>
      <x:c r="B1963" s="12" t="str">
        <x:v>Poonawala Fincorp</x:v>
      </x:c>
      <x:c r="C1963" s="12" t="str">
        <x:v>Business / brand</x:v>
      </x:c>
      <x:c r="D1963" s="12" t="str">
        <x:v>Finance &amp; insurance</x:v>
      </x:c>
      <x:c r="E1963" s="12" t="str">
        <x:v>Banking, credit &amp; financial services</x:v>
      </x:c>
      <x:c r="F1963" s="12" t="str">
        <x:v>Mixed business audience</x:v>
      </x:c>
      <x:c r="G1963" s="12" t="str">
        <x:v>Established brand or business network; local company scale is not established. Use a mixed-business message.</x:v>
      </x:c>
      <x:c r="H1963" s="11" t="n">
        <x:v>1</x:v>
      </x:c>
      <x:c r="I1963" s="11" t="n">
        <x:v>1</x:v>
      </x:c>
      <x:c r="J1963" s="11" t="n">
        <x:v>1</x:v>
      </x:c>
      <x:c r="K1963" s="11" t="n">
        <x:v>0</x:v>
      </x:c>
      <x:c r="L1963" s="17" t="n">
        <x:f>SUM(SUMIFS('Costing'!$P$9:$P$492,'Costing'!$A$9:$A$492,"MAIN-269"))</x:f>
        <x:v>40000</x:v>
      </x:c>
      <x:c r="M1963" s="17" t="n">
        <x:f>ROUND(L1963*'Costing'!$C$4,2)</x:f>
        <x:v>7200</x:v>
      </x:c>
      <x:c r="N1963" s="17" t="n">
        <x:f>L1963+M1963</x:f>
        <x:v>47200</x:v>
      </x:c>
      <x:c r="O1963" s="12" t="str">
        <x:v>Indore</x:v>
      </x:c>
      <x:c r="P1963" s="12" t="str">
        <x:v>CORP-0265</x:v>
      </x:c>
      <x:c r="Q1963" s="12" t="str">
        <x:v>Poonawala Fincorp</x:v>
      </x:c>
    </x:row>
    <x:row r="1964" ht="48" customHeight="1">
      <x:c r="A1964" s="2" t="str">
        <x:v>TEN-181DA5EB3FBF</x:v>
      </x:c>
      <x:c r="B1964" s="12" t="str">
        <x:v>Poonawalla Finance Pvt. Ltd</x:v>
      </x:c>
      <x:c r="C1964" s="12" t="str">
        <x:v>Business / brand</x:v>
      </x:c>
      <x:c r="D1964" s="12" t="str">
        <x:v>Finance &amp; insurance</x:v>
      </x:c>
      <x:c r="E1964" s="12" t="str">
        <x:v>Financial services — specialty unverified</x:v>
      </x:c>
      <x:c r="F1964" s="12" t="str">
        <x:v>Mixed business audience</x:v>
      </x:c>
      <x:c r="G1964" s="12" t="str">
        <x:v>Recognisable business context; company-scale evidence remains insufficient for a single size band.</x:v>
      </x:c>
      <x:c r="H1964" s="11" t="n">
        <x:v>1</x:v>
      </x:c>
      <x:c r="I1964" s="11" t="n">
        <x:v>4</x:v>
      </x:c>
      <x:c r="J1964" s="11" t="n">
        <x:v>4</x:v>
      </x:c>
      <x:c r="K1964" s="11" t="n">
        <x:v>0</x:v>
      </x:c>
      <x:c r="L1964" s="17" t="n">
        <x:f>SUM(SUMIFS('Costing'!$P$9:$P$492,'Costing'!$A$9:$A$492,"MAIN-381"))</x:f>
        <x:v>80000</x:v>
      </x:c>
      <x:c r="M1964" s="17" t="n">
        <x:f>ROUND(L1964*'Costing'!$C$4,2)</x:f>
        <x:v>14400</x:v>
      </x:c>
      <x:c r="N1964" s="17" t="n">
        <x:f>L1964+M1964</x:f>
        <x:v>94400</x:v>
      </x:c>
      <x:c r="O1964" s="12" t="str">
        <x:v>Pune</x:v>
      </x:c>
      <x:c r="P1964" s="12" t="str">
        <x:v>CORP-0377</x:v>
      </x:c>
      <x:c r="Q1964" s="12" t="str">
        <x:v>Poonawalla Finance Pvt. Ltd</x:v>
      </x:c>
    </x:row>
    <x:row r="1965" ht="48" customHeight="1">
      <x:c r="A1965" s="2" t="str">
        <x:v>TEN-0FBBCA859902</x:v>
      </x:c>
      <x:c r="B1965" s="12" t="str">
        <x:v>Popular interior</x:v>
      </x:c>
      <x:c r="C1965" s="12" t="str">
        <x:v>Business / brand</x:v>
      </x:c>
      <x:c r="D1965" s="12" t="str">
        <x:v>Professional services</x:v>
      </x:c>
      <x:c r="E1965" s="12" t="str">
        <x:v>Architecture, interiors &amp; design</x:v>
      </x:c>
      <x:c r="F1965" s="12" t="str">
        <x:v>Small-scale prospects</x:v>
      </x:c>
      <x:c r="G1965" s="12" t="str">
        <x:v>Professional service, agency or advisory model; small-scale prospect assumption.</x:v>
      </x:c>
      <x:c r="H1965" s="11" t="n">
        <x:v>1</x:v>
      </x:c>
      <x:c r="I1965" s="11" t="n">
        <x:v>39</x:v>
      </x:c>
      <x:c r="J1965" s="11" t="n">
        <x:v>39</x:v>
      </x:c>
      <x:c r="K1965" s="11" t="n">
        <x:v>0</x:v>
      </x:c>
      <x:c r="L1965" s="17" t="n">
        <x:f>SUM(SUMIFS('Costing'!$P$9:$P$492,'Costing'!$A$9:$A$492,"MAIN-294"))</x:f>
        <x:v>585000</x:v>
      </x:c>
      <x:c r="M1965" s="17" t="n">
        <x:f>ROUND(L1965*'Costing'!$C$4,2)</x:f>
        <x:v>105300</x:v>
      </x:c>
      <x:c r="N1965" s="17" t="n">
        <x:f>L1965+M1965</x:f>
        <x:v>690300</x:v>
      </x:c>
      <x:c r="O1965" s="12" t="str">
        <x:v>Mumbai</x:v>
      </x:c>
      <x:c r="P1965" s="12" t="str">
        <x:v>CORP-0290</x:v>
      </x:c>
      <x:c r="Q1965" s="12" t="str">
        <x:v>Popular interior</x:v>
      </x:c>
    </x:row>
    <x:row r="1966" ht="48" customHeight="1">
      <x:c r="A1966" s="2" t="str">
        <x:v>TEN-C1EA652089D1</x:v>
      </x:c>
      <x:c r="B1966" s="12" t="str">
        <x:v>Porlob</x:v>
      </x:c>
      <x:c r="C1966" s="12" t="str">
        <x:v>Business / brand</x:v>
      </x:c>
      <x:c r="D1966" s="12" t="str">
        <x:v>IT &amp; digital</x:v>
      </x:c>
      <x:c r="E1966" s="12" t="str">
        <x:v>Enterprise software &amp; digital engineering</x:v>
      </x:c>
      <x:c r="F1966" s="12" t="str">
        <x:v>Small-scale prospects</x:v>
      </x:c>
      <x:c r="G1966" s="12" t="str">
        <x:v>Software or technology-services business; small-scale prospect assumption.</x:v>
      </x:c>
      <x:c r="H1966" s="11" t="n">
        <x:v>1</x:v>
      </x:c>
      <x:c r="I1966" s="11" t="n">
        <x:v>39</x:v>
      </x:c>
      <x:c r="J1966" s="11" t="n">
        <x:v>39</x:v>
      </x:c>
      <x:c r="K1966" s="11" t="n">
        <x:v>0</x:v>
      </x:c>
      <x:c r="L1966" s="17" t="n">
        <x:f>SUM(SUMIFS('Costing'!$P$9:$P$492,'Costing'!$A$9:$A$492,"MAIN-294"))</x:f>
        <x:v>585000</x:v>
      </x:c>
      <x:c r="M1966" s="17" t="n">
        <x:f>ROUND(L1966*'Costing'!$C$4,2)</x:f>
        <x:v>105300</x:v>
      </x:c>
      <x:c r="N1966" s="17" t="n">
        <x:f>L1966+M1966</x:f>
        <x:v>690300</x:v>
      </x:c>
      <x:c r="O1966" s="12" t="str">
        <x:v>Mumbai</x:v>
      </x:c>
      <x:c r="P1966" s="12" t="str">
        <x:v>CORP-0290</x:v>
      </x:c>
      <x:c r="Q1966" s="12" t="str">
        <x:v>Porlob</x:v>
      </x:c>
    </x:row>
    <x:row r="1967" ht="48" customHeight="1">
      <x:c r="A1967" s="2" t="str">
        <x:v>TEN-0D77911E21C0</x:v>
      </x:c>
      <x:c r="B1967" s="12" t="str">
        <x:v>Powerplay</x:v>
      </x:c>
      <x:c r="C1967" s="12" t="str">
        <x:v>Business / brand</x:v>
      </x:c>
      <x:c r="D1967" s="12" t="str">
        <x:v>IT &amp; digital</x:v>
      </x:c>
      <x:c r="E1967" s="12" t="str">
        <x:v>Enterprise software &amp; digital engineering</x:v>
      </x:c>
      <x:c r="F1967" s="12" t="str">
        <x:v>Small-scale prospects</x:v>
      </x:c>
      <x:c r="G1967" s="12" t="str">
        <x:v>Software or technology-services business; small-scale prospect assumption.</x:v>
      </x:c>
      <x:c r="H1967" s="11" t="n">
        <x:v>1</x:v>
      </x:c>
      <x:c r="I1967" s="11" t="n">
        <x:v>1</x:v>
      </x:c>
      <x:c r="J1967" s="11" t="n">
        <x:v>1</x:v>
      </x:c>
      <x:c r="K1967" s="11" t="n">
        <x:v>0</x:v>
      </x:c>
      <x:c r="L1967" s="17" t="n">
        <x:f>SUM(SUMIFS('Costing'!$P$9:$P$492,'Costing'!$A$9:$A$492,"MAIN-105"))</x:f>
        <x:v>15000</x:v>
      </x:c>
      <x:c r="M1967" s="17" t="n">
        <x:f>ROUND(L1967*'Costing'!$C$4,2)</x:f>
        <x:v>2700</x:v>
      </x:c>
      <x:c r="N1967" s="17" t="n">
        <x:f>L1967+M1967</x:f>
        <x:v>17700</x:v>
      </x:c>
      <x:c r="O1967" s="12" t="str">
        <x:v>Bengaluru</x:v>
      </x:c>
      <x:c r="P1967" s="12" t="str">
        <x:v>CORP-0101</x:v>
      </x:c>
      <x:c r="Q1967" s="12" t="str">
        <x:v>Powerplay</x:v>
      </x:c>
    </x:row>
    <x:row r="1968" ht="48" customHeight="1">
      <x:c r="A1968" s="2" t="str">
        <x:v>TEN-12E6D2D09383</x:v>
      </x:c>
      <x:c r="B1968" s="12" t="str">
        <x:v>Pozent lab</x:v>
      </x:c>
      <x:c r="C1968" s="12" t="str">
        <x:v>Business / brand</x:v>
      </x:c>
      <x:c r="D1968" s="12" t="str">
        <x:v>Unresolved</x:v>
      </x:c>
      <x:c r="E1968" s="12" t="str">
        <x:v>Business activity not established</x:v>
      </x:c>
      <x:c r="F1968" s="12" t="str">
        <x:v>Mixed business audience</x:v>
      </x:c>
      <x:c r="G1968" s="12" t="str">
        <x:v>Business activity and company scale are not established from this name.</x:v>
      </x:c>
      <x:c r="H1968" s="11" t="n">
        <x:v>1</x:v>
      </x:c>
      <x:c r="I1968" s="11" t="n">
        <x:v>2</x:v>
      </x:c>
      <x:c r="J1968" s="11" t="n">
        <x:v>2</x:v>
      </x:c>
      <x:c r="K1968" s="11" t="n">
        <x:v>0</x:v>
      </x:c>
      <x:c r="L1968" s="17" t="n">
        <x:f>SUM(SUMIFS('Costing'!$P$9:$P$492,'Costing'!$A$9:$A$492,"MAIN-152"))</x:f>
        <x:v>40000</x:v>
      </x:c>
      <x:c r="M1968" s="17" t="n">
        <x:f>ROUND(L1968*'Costing'!$C$4,2)</x:f>
        <x:v>7200</x:v>
      </x:c>
      <x:c r="N1968" s="17" t="n">
        <x:f>L1968+M1968</x:f>
        <x:v>47200</x:v>
      </x:c>
      <x:c r="O1968" s="12" t="str">
        <x:v>Chennai</x:v>
      </x:c>
      <x:c r="P1968" s="12" t="str">
        <x:v>CORP-0148</x:v>
      </x:c>
      <x:c r="Q1968" s="12" t="str">
        <x:v>Pozent lab</x:v>
      </x:c>
    </x:row>
    <x:row r="1969" ht="48" customHeight="1">
      <x:c r="A1969" s="2" t="str">
        <x:v>TEN-2026E5F6610A</x:v>
      </x:c>
      <x:c r="B1969" s="12" t="str">
        <x:v>PPalc Networks</x:v>
      </x:c>
      <x:c r="C1969" s="12" t="str">
        <x:v>Business / brand</x:v>
      </x:c>
      <x:c r="D1969" s="12" t="str">
        <x:v>IT &amp; digital</x:v>
      </x:c>
      <x:c r="E1969" s="12" t="str">
        <x:v>Telecom, networks &amp; connectivity</x:v>
      </x:c>
      <x:c r="F1969" s="12" t="str">
        <x:v>Small-scale prospects</x:v>
      </x:c>
      <x:c r="G1969" s="12" t="str">
        <x:v>Software or technology-services business; small-scale prospect assumption.</x:v>
      </x:c>
      <x:c r="H1969" s="11" t="n">
        <x:v>9</x:v>
      </x:c>
      <x:c r="I1969" s="11" t="n">
        <x:v>9</x:v>
      </x:c>
      <x:c r="J1969" s="11" t="n">
        <x:v>9</x:v>
      </x:c>
      <x:c r="K1969" s="11" t="n">
        <x:v>0</x:v>
      </x:c>
      <x:c r="L1969" s="17" t="n">
        <x:f>SUM(SUMIFS('Costing'!$P$9:$P$492,'Costing'!$A$9:$A$492,"PARTNER-M002"))</x:f>
        <x:v>360000</x:v>
      </x:c>
      <x:c r="M1969" s="17" t="n">
        <x:f>ROUND(L1969*'Costing'!$C$4,2)</x:f>
        <x:v>64800</x:v>
      </x:c>
      <x:c r="N1969" s="17" t="n">
        <x:f>L1969+M1969</x:f>
        <x:v>424800</x:v>
      </x:c>
      <x:c r="O1969" s="12" t="str">
        <x:v>Bengaluru</x:v>
      </x:c>
      <x:c r="P1969" s="12" t="str">
        <x:v>CORP-0420, CORP-0421, CORP-0422, CORP-0423, CORP-0424, CORP-0425, CORP-0426, CORP-0427, CORP-0428</x:v>
      </x:c>
      <x:c r="Q1969" s="12" t="str">
        <x:v>PPalc Networks</x:v>
      </x:c>
    </x:row>
    <x:row r="1970" ht="48" customHeight="1">
      <x:c r="A1970" s="2" t="str">
        <x:v>TEN-223A5501D90B</x:v>
      </x:c>
      <x:c r="B1970" s="12" t="str">
        <x:v>PR 24X7</x:v>
      </x:c>
      <x:c r="C1970" s="12" t="str">
        <x:v>Business / brand</x:v>
      </x:c>
      <x:c r="D1970" s="12" t="str">
        <x:v>Professional services</x:v>
      </x:c>
      <x:c r="E1970" s="12" t="str">
        <x:v>Research, marketing &amp; professional services</x:v>
      </x:c>
      <x:c r="F1970" s="12" t="str">
        <x:v>Small-scale prospects</x:v>
      </x:c>
      <x:c r="G1970" s="12" t="str">
        <x:v>Professional service, agency or advisory model; small-scale prospect assumption.</x:v>
      </x:c>
      <x:c r="H1970" s="11" t="n">
        <x:v>1</x:v>
      </x:c>
      <x:c r="I1970" s="11" t="n">
        <x:v>1</x:v>
      </x:c>
      <x:c r="J1970" s="11" t="n">
        <x:v>1</x:v>
      </x:c>
      <x:c r="K1970" s="11" t="n">
        <x:v>0</x:v>
      </x:c>
      <x:c r="L1970" s="17" t="n">
        <x:f>SUM(SUMIFS('Costing'!$P$9:$P$492,'Costing'!$A$9:$A$492,"MAIN-272"))</x:f>
        <x:v>20000</x:v>
      </x:c>
      <x:c r="M1970" s="17" t="n">
        <x:f>ROUND(L1970*'Costing'!$C$4,2)</x:f>
        <x:v>3600</x:v>
      </x:c>
      <x:c r="N1970" s="17" t="n">
        <x:f>L1970+M1970</x:f>
        <x:v>23600</x:v>
      </x:c>
      <x:c r="O1970" s="12" t="str">
        <x:v>Indore</x:v>
      </x:c>
      <x:c r="P1970" s="12" t="str">
        <x:v>CORP-0268</x:v>
      </x:c>
      <x:c r="Q1970" s="12" t="str">
        <x:v>PR 24X7</x:v>
      </x:c>
    </x:row>
    <x:row r="1971" ht="48" customHeight="1">
      <x:c r="A1971" s="2" t="str">
        <x:v>TEN-E9EBDCC61F12</x:v>
      </x:c>
      <x:c r="B1971" s="12" t="str">
        <x:v>practo</x:v>
      </x:c>
      <x:c r="C1971" s="12" t="str">
        <x:v>Business / brand</x:v>
      </x:c>
      <x:c r="D1971" s="12" t="str">
        <x:v>Healthcare &amp; life sciences</x:v>
      </x:c>
      <x:c r="E1971" s="12" t="str">
        <x:v>Healthcare/life sciences — specialty unverified</x:v>
      </x:c>
      <x:c r="F1971" s="12" t="str">
        <x:v>Mixed business audience</x:v>
      </x:c>
      <x:c r="G1971" s="12" t="str">
        <x:v>Recognisable business context; company-scale evidence remains insufficient for a single size band.</x:v>
      </x:c>
      <x:c r="H1971" s="11" t="n">
        <x:v>3</x:v>
      </x:c>
      <x:c r="I1971" s="11" t="n">
        <x:v>7</x:v>
      </x:c>
      <x:c r="J1971" s="11" t="n">
        <x:v>7</x:v>
      </x:c>
      <x:c r="K1971" s="11" t="n">
        <x:v>0</x:v>
      </x:c>
      <x:c r="L1971" s="17" t="n">
        <x:f>SUM(SUMIFS('Costing'!$P$9:$P$492,'Costing'!$A$9:$A$492,"MAIN-163"),SUMIFS('Costing'!$P$9:$P$492,'Costing'!$A$9:$A$492,"MAIN-164"),SUMIFS('Costing'!$P$9:$P$492,'Costing'!$A$9:$A$492,"MAIN-180"))</x:f>
        <x:v>105000</x:v>
      </x:c>
      <x:c r="M1971" s="17" t="n">
        <x:f>ROUND(L1971*'Costing'!$C$4,2)</x:f>
        <x:v>18900</x:v>
      </x:c>
      <x:c r="N1971" s="17" t="n">
        <x:f>L1971+M1971</x:f>
        <x:v>123900</x:v>
      </x:c>
      <x:c r="O1971" s="12" t="str">
        <x:v>Delhi NCR</x:v>
      </x:c>
      <x:c r="P1971" s="12" t="str">
        <x:v>CORP-0159, CORP-0160, CORP-0176</x:v>
      </x:c>
      <x:c r="Q1971" s="12" t="str">
        <x:v>practo</x:v>
      </x:c>
    </x:row>
    <x:row r="1972" ht="48" customHeight="1">
      <x:c r="A1972" s="2" t="str">
        <x:v>TEN-9A5A957FDC10</x:v>
      </x:c>
      <x:c r="B1972" s="12" t="str">
        <x:v>Pragathi Solutions</x:v>
      </x:c>
      <x:c r="C1972" s="12" t="str">
        <x:v>Business / brand</x:v>
      </x:c>
      <x:c r="D1972" s="12" t="str">
        <x:v>Unresolved</x:v>
      </x:c>
      <x:c r="E1972" s="12" t="str">
        <x:v>Business activity not established</x:v>
      </x:c>
      <x:c r="F1972" s="12" t="str">
        <x:v>Mixed business audience</x:v>
      </x:c>
      <x:c r="G1972" s="12" t="str">
        <x:v>Business activity and company scale are not established from this name.</x:v>
      </x:c>
      <x:c r="H1972" s="11" t="n">
        <x:v>2</x:v>
      </x:c>
      <x:c r="I1972" s="11" t="n">
        <x:v>6</x:v>
      </x:c>
      <x:c r="J1972" s="11" t="n">
        <x:v>6</x:v>
      </x:c>
      <x:c r="K1972" s="11" t="n">
        <x:v>0</x:v>
      </x:c>
      <x:c r="L1972" s="17" t="n">
        <x:f>SUM(SUMIFS('Costing'!$P$9:$P$492,'Costing'!$A$9:$A$492,"MAIN-MSRY7ANC"))</x:f>
        <x:v>120000</x:v>
      </x:c>
      <x:c r="M1972" s="17" t="n">
        <x:f>ROUND(L1972*'Costing'!$C$4,2)</x:f>
        <x:v>21600</x:v>
      </x:c>
      <x:c r="N1972" s="17" t="n">
        <x:f>L1972+M1972</x:f>
        <x:v>141600</x:v>
      </x:c>
      <x:c r="O1972" s="12" t="str">
        <x:v>Bengaluru</x:v>
      </x:c>
      <x:c r="P1972" s="12" t="str">
        <x:v>CORP-0051, CORP-0052</x:v>
      </x:c>
      <x:c r="Q1972" s="12" t="str">
        <x:v>Pragathi Solutions</x:v>
      </x:c>
    </x:row>
    <x:row r="1973" ht="48" customHeight="1">
      <x:c r="A1973" s="2" t="str">
        <x:v>TEN-818F82632375</x:v>
      </x:c>
      <x:c r="B1973" s="12" t="str">
        <x:v>Prahaar</x:v>
      </x:c>
      <x:c r="C1973" s="12" t="str">
        <x:v>Business / brand</x:v>
      </x:c>
      <x:c r="D1973" s="12" t="str">
        <x:v>Unresolved</x:v>
      </x:c>
      <x:c r="E1973" s="12" t="str">
        <x:v>Business activity not established</x:v>
      </x:c>
      <x:c r="F1973" s="12" t="str">
        <x:v>Mixed business audience</x:v>
      </x:c>
      <x:c r="G1973" s="12" t="str">
        <x:v>Business activity and company scale are not established from this name.</x:v>
      </x:c>
      <x:c r="H1973" s="11" t="n">
        <x:v>1</x:v>
      </x:c>
      <x:c r="I1973" s="11" t="n">
        <x:v>1</x:v>
      </x:c>
      <x:c r="J1973" s="11" t="n">
        <x:v>1</x:v>
      </x:c>
      <x:c r="K1973" s="11" t="n">
        <x:v>0</x:v>
      </x:c>
      <x:c r="L1973" s="17" t="n">
        <x:f>SUM(SUMIFS('Costing'!$P$9:$P$492,'Costing'!$A$9:$A$492,"MAIN-331"))</x:f>
        <x:v>15000</x:v>
      </x:c>
      <x:c r="M1973" s="17" t="n">
        <x:f>ROUND(L1973*'Costing'!$C$4,2)</x:f>
        <x:v>2700</x:v>
      </x:c>
      <x:c r="N1973" s="17" t="n">
        <x:f>L1973+M1973</x:f>
        <x:v>17700</x:v>
      </x:c>
      <x:c r="O1973" s="12" t="str">
        <x:v>Mumbai</x:v>
      </x:c>
      <x:c r="P1973" s="12" t="str">
        <x:v>CORP-0327</x:v>
      </x:c>
      <x:c r="Q1973" s="12" t="str">
        <x:v>Prahaar</x:v>
      </x:c>
    </x:row>
    <x:row r="1974" ht="48" customHeight="1">
      <x:c r="A1974" s="2" t="str">
        <x:v>TEN-4B10DE9A2535</x:v>
      </x:c>
      <x:c r="B1974" s="12" t="str">
        <x:v>Prahar</x:v>
      </x:c>
      <x:c r="C1974" s="12" t="str">
        <x:v>Business / brand</x:v>
      </x:c>
      <x:c r="D1974" s="12" t="str">
        <x:v>Unresolved</x:v>
      </x:c>
      <x:c r="E1974" s="12" t="str">
        <x:v>Business activity not established</x:v>
      </x:c>
      <x:c r="F1974" s="12" t="str">
        <x:v>Mixed business audience</x:v>
      </x:c>
      <x:c r="G1974" s="12" t="str">
        <x:v>Business activity and company scale are not established from this name.</x:v>
      </x:c>
      <x:c r="H1974" s="11" t="n">
        <x:v>1</x:v>
      </x:c>
      <x:c r="I1974" s="11" t="n">
        <x:v>8</x:v>
      </x:c>
      <x:c r="J1974" s="11" t="n">
        <x:v>8</x:v>
      </x:c>
      <x:c r="K1974" s="11" t="n">
        <x:v>0</x:v>
      </x:c>
      <x:c r="L1974" s="17" t="n">
        <x:f>SUM(SUMIFS('Costing'!$P$9:$P$492,'Costing'!$A$9:$A$492,"MAIN-327"))</x:f>
        <x:v>320000</x:v>
      </x:c>
      <x:c r="M1974" s="17" t="n">
        <x:f>ROUND(L1974*'Costing'!$C$4,2)</x:f>
        <x:v>57600</x:v>
      </x:c>
      <x:c r="N1974" s="17" t="n">
        <x:f>L1974+M1974</x:f>
        <x:v>377600</x:v>
      </x:c>
      <x:c r="O1974" s="12" t="str">
        <x:v>Mumbai</x:v>
      </x:c>
      <x:c r="P1974" s="12" t="str">
        <x:v>CORP-0323</x:v>
      </x:c>
      <x:c r="Q1974" s="12" t="str">
        <x:v>Prahar</x:v>
      </x:c>
    </x:row>
    <x:row r="1975" ht="48" customHeight="1">
      <x:c r="A1975" s="2" t="str">
        <x:v>TEN-0EBD06999016</x:v>
      </x:c>
      <x:c r="B1975" s="12" t="str">
        <x:v>Prakash associate and company</x:v>
      </x:c>
      <x:c r="C1975" s="12" t="str">
        <x:v>Business / brand</x:v>
      </x:c>
      <x:c r="D1975" s="12" t="str">
        <x:v>Unresolved</x:v>
      </x:c>
      <x:c r="E1975" s="12" t="str">
        <x:v>Business activity not established</x:v>
      </x:c>
      <x:c r="F1975" s="12" t="str">
        <x:v>Mixed business audience</x:v>
      </x:c>
      <x:c r="G1975" s="12" t="str">
        <x:v>Business activity and company scale are not established from this name.</x:v>
      </x:c>
      <x:c r="H1975" s="11" t="n">
        <x:v>1</x:v>
      </x:c>
      <x:c r="I1975" s="11" t="n">
        <x:v>2</x:v>
      </x:c>
      <x:c r="J1975" s="11" t="n">
        <x:v>2</x:v>
      </x:c>
      <x:c r="K1975" s="11" t="n">
        <x:v>0</x:v>
      </x:c>
      <x:c r="L1975" s="17" t="n">
        <x:f>SUM(SUMIFS('Costing'!$P$9:$P$492,'Costing'!$A$9:$A$492,"MAIN-207"))</x:f>
        <x:v>80000</x:v>
      </x:c>
      <x:c r="M1975" s="17" t="n">
        <x:f>ROUND(L1975*'Costing'!$C$4,2)</x:f>
        <x:v>14400</x:v>
      </x:c>
      <x:c r="N1975" s="17" t="n">
        <x:f>L1975+M1975</x:f>
        <x:v>94400</x:v>
      </x:c>
      <x:c r="O1975" s="12" t="str">
        <x:v>Delhi NCR</x:v>
      </x:c>
      <x:c r="P1975" s="12" t="str">
        <x:v>CORP-0203</x:v>
      </x:c>
      <x:c r="Q1975" s="12" t="str">
        <x:v>Prakash associate and company</x:v>
      </x:c>
    </x:row>
    <x:row r="1976" ht="48" customHeight="1">
      <x:c r="A1976" s="2" t="str">
        <x:v>TEN-4881BA2217F0</x:v>
      </x:c>
      <x:c r="B1976" s="12" t="str">
        <x:v>Pramati Technologies</x:v>
      </x:c>
      <x:c r="C1976" s="12" t="str">
        <x:v>Business / brand</x:v>
      </x:c>
      <x:c r="D1976" s="12" t="str">
        <x:v>IT &amp; digital</x:v>
      </x:c>
      <x:c r="E1976" s="12" t="str">
        <x:v>Enterprise software &amp; digital engineering</x:v>
      </x:c>
      <x:c r="F1976" s="12" t="str">
        <x:v>Small-scale prospects</x:v>
      </x:c>
      <x:c r="G1976" s="12" t="str">
        <x:v>Software or technology-services business; small-scale prospect assumption.</x:v>
      </x:c>
      <x:c r="H1976" s="11" t="n">
        <x:v>7</x:v>
      </x:c>
      <x:c r="I1976" s="11" t="n">
        <x:v>7</x:v>
      </x:c>
      <x:c r="J1976" s="11" t="n">
        <x:v>7</x:v>
      </x:c>
      <x:c r="K1976" s="11" t="n">
        <x:v>0</x:v>
      </x:c>
      <x:c r="L1976" s="17" t="n">
        <x:f>SUM(SUMIFS('Costing'!$P$9:$P$492,'Costing'!$A$9:$A$492,"PARTNER-M317"))</x:f>
        <x:v>280000</x:v>
      </x:c>
      <x:c r="M1976" s="17" t="n">
        <x:f>ROUND(L1976*'Costing'!$C$4,2)</x:f>
        <x:v>50400</x:v>
      </x:c>
      <x:c r="N1976" s="17" t="n">
        <x:f>L1976+M1976</x:f>
        <x:v>330400</x:v>
      </x:c>
      <x:c r="O1976" s="12" t="str">
        <x:v>Hyderabad</x:v>
      </x:c>
      <x:c r="P1976" s="12" t="str">
        <x:v>CORP-0732, CORP-0733, CORP-0734, CORP-0735, CORP-0736, CORP-0737, CORP-0738</x:v>
      </x:c>
      <x:c r="Q1976" s="12" t="str">
        <x:v>Pramati Technologies</x:v>
      </x:c>
    </x:row>
    <x:row r="1977" ht="48" customHeight="1">
      <x:c r="A1977" s="2" t="str">
        <x:v>TEN-660B3482AF97</x:v>
      </x:c>
      <x:c r="B1977" s="12" t="str">
        <x:v>Pramerica</x:v>
      </x:c>
      <x:c r="C1977" s="12" t="str">
        <x:v>Business / brand</x:v>
      </x:c>
      <x:c r="D1977" s="12" t="str">
        <x:v>Finance &amp; insurance</x:v>
      </x:c>
      <x:c r="E1977" s="12" t="str">
        <x:v>Financial services — specialty unverified</x:v>
      </x:c>
      <x:c r="F1977" s="12" t="str">
        <x:v>Mixed business audience</x:v>
      </x:c>
      <x:c r="G1977" s="12" t="str">
        <x:v>Recognisable business context; company-scale evidence remains insufficient for a single size band.</x:v>
      </x:c>
      <x:c r="H1977" s="11" t="n">
        <x:v>1</x:v>
      </x:c>
      <x:c r="I1977" s="11" t="n">
        <x:v>1</x:v>
      </x:c>
      <x:c r="J1977" s="11" t="n">
        <x:v>1</x:v>
      </x:c>
      <x:c r="K1977" s="11" t="n">
        <x:v>0</x:v>
      </x:c>
      <x:c r="L1977" s="17" t="n">
        <x:f>SUM(SUMIFS('Costing'!$P$9:$P$492,'Costing'!$A$9:$A$492,"MAIN-266"))</x:f>
        <x:v>20000</x:v>
      </x:c>
      <x:c r="M1977" s="17" t="n">
        <x:f>ROUND(L1977*'Costing'!$C$4,2)</x:f>
        <x:v>3600</x:v>
      </x:c>
      <x:c r="N1977" s="17" t="n">
        <x:f>L1977+M1977</x:f>
        <x:v>23600</x:v>
      </x:c>
      <x:c r="O1977" s="12" t="str">
        <x:v>Indore</x:v>
      </x:c>
      <x:c r="P1977" s="12" t="str">
        <x:v>CORP-0262</x:v>
      </x:c>
      <x:c r="Q1977" s="12" t="str">
        <x:v>Pramerica</x:v>
      </x:c>
    </x:row>
    <x:row r="1978" ht="48" customHeight="1">
      <x:c r="A1978" s="2" t="str">
        <x:v>TEN-03071EB4D70B</x:v>
      </x:c>
      <x:c r="B1978" s="12" t="str">
        <x:v>Pramukh Paper Products</x:v>
      </x:c>
      <x:c r="C1978" s="12" t="str">
        <x:v>Business / brand</x:v>
      </x:c>
      <x:c r="D1978" s="12" t="str">
        <x:v>Engineering &amp; manufacturing</x:v>
      </x:c>
      <x:c r="E1978" s="12" t="str">
        <x:v>Chemicals, materials &amp; industrial manufacturing</x:v>
      </x:c>
      <x:c r="F1978" s="12" t="str">
        <x:v>Medium-scale prospects</x:v>
      </x:c>
      <x:c r="G1978" s="12" t="str">
        <x:v>Specialist industrial or engineering business; medium-scale prospect assumption.</x:v>
      </x:c>
      <x:c r="H1978" s="11" t="n">
        <x:v>2</x:v>
      </x:c>
      <x:c r="I1978" s="11" t="n">
        <x:v>2</x:v>
      </x:c>
      <x:c r="J1978" s="11" t="n">
        <x:v>2</x:v>
      </x:c>
      <x:c r="K1978" s="11" t="n">
        <x:v>0</x:v>
      </x:c>
      <x:c r="L1978" s="17" t="n">
        <x:f>SUM(SUMIFS('Costing'!$P$9:$P$492,'Costing'!$A$9:$A$492,"PARTNER-M241"))</x:f>
        <x:v>80000</x:v>
      </x:c>
      <x:c r="M1978" s="17" t="n">
        <x:f>ROUND(L1978*'Costing'!$C$4,2)</x:f>
        <x:v>14400</x:v>
      </x:c>
      <x:c r="N1978" s="17" t="n">
        <x:f>L1978+M1978</x:f>
        <x:v>94400</x:v>
      </x:c>
      <x:c r="O1978" s="12" t="str">
        <x:v>Mumbai</x:v>
      </x:c>
      <x:c r="P1978" s="12" t="str">
        <x:v>CORP-0658, CORP-0659</x:v>
      </x:c>
      <x:c r="Q1978" s="12" t="str">
        <x:v>Pramukh Paper Products</x:v>
      </x:c>
    </x:row>
    <x:row r="1979" ht="48" customHeight="1">
      <x:c r="A1979" s="2" t="str">
        <x:v>TEN-8D66D837E37C</x:v>
      </x:c>
      <x:c r="B1979" s="12" t="str">
        <x:v>Praveen Properties</x:v>
      </x:c>
      <x:c r="C1979" s="12" t="str">
        <x:v>Business / brand</x:v>
      </x:c>
      <x:c r="D1979" s="12" t="str">
        <x:v>Trade, consumer &amp; logistics</x:v>
      </x:c>
      <x:c r="E1979" s="12" t="str">
        <x:v>Real estate, property &amp; construction services</x:v>
      </x:c>
      <x:c r="F1979" s="12" t="str">
        <x:v>Small-scale prospects</x:v>
      </x:c>
      <x:c r="G1979" s="12" t="str">
        <x:v>Trading or consumer-services business; small-scale prospect assumption.</x:v>
      </x:c>
      <x:c r="H1979" s="11" t="n">
        <x:v>6</x:v>
      </x:c>
      <x:c r="I1979" s="11" t="n">
        <x:v>6</x:v>
      </x:c>
      <x:c r="J1979" s="11" t="n">
        <x:v>6</x:v>
      </x:c>
      <x:c r="K1979" s="11" t="n">
        <x:v>0</x:v>
      </x:c>
      <x:c r="L1979" s="17" t="n">
        <x:f>SUM(SUMIFS('Costing'!$P$9:$P$492,'Costing'!$A$9:$A$492,"PARTNER-M289"))</x:f>
        <x:v>240000</x:v>
      </x:c>
      <x:c r="M1979" s="17" t="n">
        <x:f>ROUND(L1979*'Costing'!$C$4,2)</x:f>
        <x:v>43200</x:v>
      </x:c>
      <x:c r="N1979" s="17" t="n">
        <x:f>L1979+M1979</x:f>
        <x:v>283200</x:v>
      </x:c>
      <x:c r="O1979" s="12" t="str">
        <x:v>Hyderabad</x:v>
      </x:c>
      <x:c r="P1979" s="12" t="str">
        <x:v>CORP-0704, CORP-0705, CORP-0706, CORP-0707, CORP-0708, CORP-0709</x:v>
      </x:c>
      <x:c r="Q1979" s="12" t="str">
        <x:v>Praveen Properties</x:v>
      </x:c>
    </x:row>
    <x:row r="1980" ht="48" customHeight="1">
      <x:c r="A1980" s="2" t="str">
        <x:v>TEN-D218324446AC</x:v>
      </x:c>
      <x:c r="B1980" s="12" t="str">
        <x:v>Precisely software and data India Pvt Ltd</x:v>
      </x:c>
      <x:c r="C1980" s="12" t="str">
        <x:v>Business / brand</x:v>
      </x:c>
      <x:c r="D1980" s="12" t="str">
        <x:v>IT &amp; digital</x:v>
      </x:c>
      <x:c r="E1980" s="12" t="str">
        <x:v>Enterprise software &amp; digital engineering</x:v>
      </x:c>
      <x:c r="F1980" s="12" t="str">
        <x:v>Mixed business audience</x:v>
      </x:c>
      <x:c r="G1980" s="12" t="str">
        <x:v>Recognisable business context; company-scale evidence remains insufficient for a single size band.</x:v>
      </x:c>
      <x:c r="H1980" s="11" t="n">
        <x:v>2</x:v>
      </x:c>
      <x:c r="I1980" s="11" t="n">
        <x:v>5</x:v>
      </x:c>
      <x:c r="J1980" s="11" t="n">
        <x:v>5</x:v>
      </x:c>
      <x:c r="K1980" s="11" t="n">
        <x:v>0</x:v>
      </x:c>
      <x:c r="L1980" s="17" t="n">
        <x:f>SUM(SUMIFS('Costing'!$P$9:$P$492,'Costing'!$A$9:$A$492,"MAIN-113"),SUMIFS('Costing'!$P$9:$P$492,'Costing'!$A$9:$A$492,"MAIN-128"))</x:f>
        <x:v>125000</x:v>
      </x:c>
      <x:c r="M1980" s="17" t="n">
        <x:f>ROUND(L1980*'Costing'!$C$4,2)</x:f>
        <x:v>22500</x:v>
      </x:c>
      <x:c r="N1980" s="17" t="n">
        <x:f>L1980+M1980</x:f>
        <x:v>147500</x:v>
      </x:c>
      <x:c r="O1980" s="12" t="str">
        <x:v>Bengaluru</x:v>
      </x:c>
      <x:c r="P1980" s="12" t="str">
        <x:v>CORP-0109, CORP-0124</x:v>
      </x:c>
      <x:c r="Q1980" s="12" t="str">
        <x:v>Precisely software and data India Pvt Ltd</x:v>
      </x:c>
    </x:row>
    <x:row r="1981" ht="48" customHeight="1">
      <x:c r="A1981" s="2" t="str">
        <x:v>TEN-F00072705532</x:v>
      </x:c>
      <x:c r="B1981" s="12" t="str">
        <x:v>Preetham Kn</x:v>
      </x:c>
      <x:c r="C1981" s="12" t="str">
        <x:v>Person / contact unresolved</x:v>
      </x:c>
      <x:c r="D1981" s="12" t="str">
        <x:v>Unresolved</x:v>
      </x:c>
      <x:c r="E1981" s="12" t="str">
        <x:v>Business activity not established</x:v>
      </x:c>
      <x:c r="F1981" s="12" t="str">
        <x:v>Mixed business audience</x:v>
      </x:c>
      <x:c r="G1981" s="12" t="str">
        <x:v>Ambiguous directory record; use the surrounding property audience.</x:v>
      </x:c>
      <x:c r="H1981" s="11" t="n">
        <x:v>2</x:v>
      </x:c>
      <x:c r="I1981" s="11" t="n">
        <x:v>5</x:v>
      </x:c>
      <x:c r="J1981" s="11" t="n">
        <x:v>5</x:v>
      </x:c>
      <x:c r="K1981" s="11" t="n">
        <x:v>0</x:v>
      </x:c>
      <x:c r="L1981" s="17" t="n">
        <x:f>SUM(SUMIFS('Costing'!$P$9:$P$492,'Costing'!$A$9:$A$492,"MAIN-082"),SUMIFS('Costing'!$P$9:$P$492,'Costing'!$A$9:$A$492,"MAIN-083"))</x:f>
        <x:v>137500</x:v>
      </x:c>
      <x:c r="M1981" s="17" t="n">
        <x:f>ROUND(L1981*'Costing'!$C$4,2)</x:f>
        <x:v>24750</x:v>
      </x:c>
      <x:c r="N1981" s="17" t="n">
        <x:f>L1981+M1981</x:f>
        <x:v>162250</x:v>
      </x:c>
      <x:c r="O1981" s="12" t="str">
        <x:v>Bengaluru</x:v>
      </x:c>
      <x:c r="P1981" s="12" t="str">
        <x:v>CORP-0078, CORP-0079</x:v>
      </x:c>
      <x:c r="Q1981" s="12" t="str">
        <x:v>Preetham Kn</x:v>
      </x:c>
    </x:row>
    <x:row r="1982" ht="48" customHeight="1">
      <x:c r="A1982" s="2" t="str">
        <x:v>TEN-CF788C68A5A1</x:v>
      </x:c>
      <x:c r="B1982" s="12" t="str">
        <x:v>Premier Abodes</x:v>
      </x:c>
      <x:c r="C1982" s="12" t="str">
        <x:v>Business / brand</x:v>
      </x:c>
      <x:c r="D1982" s="12" t="str">
        <x:v>Unresolved</x:v>
      </x:c>
      <x:c r="E1982" s="12" t="str">
        <x:v>Business activity not established</x:v>
      </x:c>
      <x:c r="F1982" s="12" t="str">
        <x:v>Mixed business audience</x:v>
      </x:c>
      <x:c r="G1982" s="12" t="str">
        <x:v>Business activity and company scale are not established from this name.</x:v>
      </x:c>
      <x:c r="H1982" s="11" t="n">
        <x:v>1</x:v>
      </x:c>
      <x:c r="I1982" s="11" t="n">
        <x:v>1</x:v>
      </x:c>
      <x:c r="J1982" s="11" t="n">
        <x:v>1</x:v>
      </x:c>
      <x:c r="K1982" s="11" t="n">
        <x:v>0</x:v>
      </x:c>
      <x:c r="L1982" s="17" t="n">
        <x:f>SUM(SUMIFS('Costing'!$P$9:$P$492,'Costing'!$A$9:$A$492,"MAIN-035"))</x:f>
        <x:v>15000</x:v>
      </x:c>
      <x:c r="M1982" s="17" t="n">
        <x:f>ROUND(L1982*'Costing'!$C$4,2)</x:f>
        <x:v>2700</x:v>
      </x:c>
      <x:c r="N1982" s="17" t="n">
        <x:f>L1982+M1982</x:f>
        <x:v>17700</x:v>
      </x:c>
      <x:c r="O1982" s="12" t="str">
        <x:v>Bengaluru</x:v>
      </x:c>
      <x:c r="P1982" s="12" t="str">
        <x:v>CORP-0031</x:v>
      </x:c>
      <x:c r="Q1982" s="12" t="str">
        <x:v>Premier Abodes</x:v>
      </x:c>
    </x:row>
    <x:row r="1983" ht="48" customHeight="1">
      <x:c r="A1983" s="2" t="str">
        <x:v>TEN-913DCEB4808B</x:v>
      </x:c>
      <x:c r="B1983" s="12" t="str">
        <x:v>Premier Energies Limited</x:v>
      </x:c>
      <x:c r="C1983" s="12" t="str">
        <x:v>Business / brand</x:v>
      </x:c>
      <x:c r="D1983" s="12" t="str">
        <x:v>Engineering &amp; manufacturing</x:v>
      </x:c>
      <x:c r="E1983" s="12" t="str">
        <x:v>Electronics, industrial systems &amp; manufacturing</x:v>
      </x:c>
      <x:c r="F1983" s="12" t="str">
        <x:v>Mixed business audience</x:v>
      </x:c>
      <x:c r="G1983" s="12" t="str">
        <x:v>Established brand or business network; local company scale is not established. Use a mixed-business message.</x:v>
      </x:c>
      <x:c r="H1983" s="11" t="n">
        <x:v>1</x:v>
      </x:c>
      <x:c r="I1983" s="11" t="n">
        <x:v>2</x:v>
      </x:c>
      <x:c r="J1983" s="11" t="n">
        <x:v>2</x:v>
      </x:c>
      <x:c r="K1983" s="11" t="n">
        <x:v>0</x:v>
      </x:c>
      <x:c r="L1983" s="17" t="n">
        <x:f>SUM(SUMIFS('Costing'!$P$9:$P$492,'Costing'!$A$9:$A$492,"MAIN-257"))</x:f>
        <x:v>40000</x:v>
      </x:c>
      <x:c r="M1983" s="17" t="n">
        <x:f>ROUND(L1983*'Costing'!$C$4,2)</x:f>
        <x:v>7200</x:v>
      </x:c>
      <x:c r="N1983" s="17" t="n">
        <x:f>L1983+M1983</x:f>
        <x:v>47200</x:v>
      </x:c>
      <x:c r="O1983" s="12" t="str">
        <x:v>Hyderabad</x:v>
      </x:c>
      <x:c r="P1983" s="12" t="str">
        <x:v>CORP-0253</x:v>
      </x:c>
      <x:c r="Q1983" s="12" t="str">
        <x:v>Premier Energies Limited</x:v>
      </x:c>
    </x:row>
    <x:row r="1984" ht="48" customHeight="1">
      <x:c r="A1984" s="2" t="str">
        <x:v>TEN-916E00835FFF</x:v>
      </x:c>
      <x:c r="B1984" s="12" t="str">
        <x:v>Premshree IT Park LLP</x:v>
      </x:c>
      <x:c r="C1984" s="12" t="str">
        <x:v>Business / brand</x:v>
      </x:c>
      <x:c r="D1984" s="12" t="str">
        <x:v>Trade, consumer &amp; logistics</x:v>
      </x:c>
      <x:c r="E1984" s="12" t="str">
        <x:v>Real estate, property &amp; construction services</x:v>
      </x:c>
      <x:c r="F1984" s="12" t="str">
        <x:v>Small-scale prospects</x:v>
      </x:c>
      <x:c r="G1984" s="12" t="str">
        <x:v>Trading or consumer-services business; small-scale prospect assumption.</x:v>
      </x:c>
      <x:c r="H1984" s="11" t="n">
        <x:v>1</x:v>
      </x:c>
      <x:c r="I1984" s="11" t="n">
        <x:v>2</x:v>
      </x:c>
      <x:c r="J1984" s="11" t="n">
        <x:v>2</x:v>
      </x:c>
      <x:c r="K1984" s="11" t="n">
        <x:v>0</x:v>
      </x:c>
      <x:c r="L1984" s="17" t="n">
        <x:f>SUM(SUMIFS('Costing'!$P$9:$P$492,'Costing'!$A$9:$A$492,"MAIN-273"))</x:f>
        <x:v>40000</x:v>
      </x:c>
      <x:c r="M1984" s="17" t="n">
        <x:f>ROUND(L1984*'Costing'!$C$4,2)</x:f>
        <x:v>7200</x:v>
      </x:c>
      <x:c r="N1984" s="17" t="n">
        <x:f>L1984+M1984</x:f>
        <x:v>47200</x:v>
      </x:c>
      <x:c r="O1984" s="12" t="str">
        <x:v>Indore</x:v>
      </x:c>
      <x:c r="P1984" s="12" t="str">
        <x:v>CORP-0269</x:v>
      </x:c>
      <x:c r="Q1984" s="12" t="str">
        <x:v>Premshree IT Park LLP</x:v>
      </x:c>
    </x:row>
    <x:row r="1985" ht="48" customHeight="1">
      <x:c r="A1985" s="2" t="str">
        <x:v>TEN-E27BBBA05F44</x:v>
      </x:c>
      <x:c r="B1985" s="12" t="str">
        <x:v>Prep Zone AcademyTM</x:v>
      </x:c>
      <x:c r="C1985" s="12" t="str">
        <x:v>Business / brand</x:v>
      </x:c>
      <x:c r="D1985" s="12" t="str">
        <x:v>Education</x:v>
      </x:c>
      <x:c r="E1985" s="12" t="str">
        <x:v>Schools, childcare &amp; higher education</x:v>
      </x:c>
      <x:c r="F1985" s="12" t="str">
        <x:v>Small-scale prospects</x:v>
      </x:c>
      <x:c r="G1985" s="12" t="str">
        <x:v>Training or education-services business; small-scale prospect assumption.</x:v>
      </x:c>
      <x:c r="H1985" s="11" t="n">
        <x:v>1</x:v>
      </x:c>
      <x:c r="I1985" s="11" t="n">
        <x:v>4</x:v>
      </x:c>
      <x:c r="J1985" s="11" t="n">
        <x:v>4</x:v>
      </x:c>
      <x:c r="K1985" s="11" t="n">
        <x:v>0</x:v>
      </x:c>
      <x:c r="L1985" s="17" t="n">
        <x:f>SUM(SUMIFS('Costing'!$P$9:$P$492,'Costing'!$A$9:$A$492,"MAIN-130"))</x:f>
        <x:v>100000</x:v>
      </x:c>
      <x:c r="M1985" s="17" t="n">
        <x:f>ROUND(L1985*'Costing'!$C$4,2)</x:f>
        <x:v>18000</x:v>
      </x:c>
      <x:c r="N1985" s="17" t="n">
        <x:f>L1985+M1985</x:f>
        <x:v>118000</x:v>
      </x:c>
      <x:c r="O1985" s="12" t="str">
        <x:v>Bengaluru</x:v>
      </x:c>
      <x:c r="P1985" s="12" t="str">
        <x:v>CORP-0126</x:v>
      </x:c>
      <x:c r="Q1985" s="12" t="str">
        <x:v>Prep Zone AcademyTM</x:v>
      </x:c>
    </x:row>
    <x:row r="1986" ht="48" customHeight="1">
      <x:c r="A1986" s="2" t="str">
        <x:v>TEN-CA3E3381A8E6</x:v>
      </x:c>
      <x:c r="B1986" s="12" t="str">
        <x:v>Presidency Digital India Private</x:v>
      </x:c>
      <x:c r="C1986" s="12" t="str">
        <x:v>Business / brand</x:v>
      </x:c>
      <x:c r="D1986" s="12" t="str">
        <x:v>IT &amp; digital</x:v>
      </x:c>
      <x:c r="E1986" s="12" t="str">
        <x:v>Enterprise software &amp; digital engineering</x:v>
      </x:c>
      <x:c r="F1986" s="12" t="str">
        <x:v>Small-scale prospects</x:v>
      </x:c>
      <x:c r="G1986" s="12" t="str">
        <x:v>Software or technology-services business; small-scale prospect assumption.</x:v>
      </x:c>
      <x:c r="H1986" s="11" t="n">
        <x:v>4</x:v>
      </x:c>
      <x:c r="I1986" s="11" t="n">
        <x:v>4</x:v>
      </x:c>
      <x:c r="J1986" s="11" t="n">
        <x:v>4</x:v>
      </x:c>
      <x:c r="K1986" s="11" t="n">
        <x:v>0</x:v>
      </x:c>
      <x:c r="L1986" s="17" t="n">
        <x:f>SUM(SUMIFS('Costing'!$P$9:$P$492,'Costing'!$A$9:$A$492,"PARTNER-M193"))</x:f>
        <x:v>160000</x:v>
      </x:c>
      <x:c r="M1986" s="17" t="n">
        <x:f>ROUND(L1986*'Costing'!$C$4,2)</x:f>
        <x:v>28800</x:v>
      </x:c>
      <x:c r="N1986" s="17" t="n">
        <x:f>L1986+M1986</x:f>
        <x:v>188800</x:v>
      </x:c>
      <x:c r="O1986" s="12" t="str">
        <x:v>Mumbai</x:v>
      </x:c>
      <x:c r="P1986" s="12" t="str">
        <x:v>CORP-0610, CORP-0611, CORP-0612, CORP-0613</x:v>
      </x:c>
      <x:c r="Q1986" s="12" t="str">
        <x:v>Presidency Digital India Private</x:v>
      </x:c>
    </x:row>
    <x:row r="1987" ht="48" customHeight="1">
      <x:c r="A1987" s="2" t="str">
        <x:v>TEN-EC3BB4E16FE2</x:v>
      </x:c>
      <x:c r="B1987" s="12" t="str">
        <x:v>Presidio Cloud Solutions Pvt Ltd</x:v>
      </x:c>
      <x:c r="C1987" s="12" t="str">
        <x:v>Business / brand</x:v>
      </x:c>
      <x:c r="D1987" s="12" t="str">
        <x:v>IT &amp; digital</x:v>
      </x:c>
      <x:c r="E1987" s="12" t="str">
        <x:v>Cybersecurity &amp; cloud infrastructure</x:v>
      </x:c>
      <x:c r="F1987" s="12" t="str">
        <x:v>Mixed business audience</x:v>
      </x:c>
      <x:c r="G1987" s="12" t="str">
        <x:v>Established brand or business network; local company scale is not established. Use a mixed-business message.</x:v>
      </x:c>
      <x:c r="H1987" s="11" t="n">
        <x:v>1</x:v>
      </x:c>
      <x:c r="I1987" s="11" t="n">
        <x:v>11</x:v>
      </x:c>
      <x:c r="J1987" s="11" t="n">
        <x:v>11</x:v>
      </x:c>
      <x:c r="K1987" s="11" t="n">
        <x:v>0</x:v>
      </x:c>
      <x:c r="L1987" s="17" t="n">
        <x:f>SUM(SUMIFS('Costing'!$P$9:$P$492,'Costing'!$A$9:$A$492,"MAIN-131"))</x:f>
        <x:v>275000</x:v>
      </x:c>
      <x:c r="M1987" s="17" t="n">
        <x:f>ROUND(L1987*'Costing'!$C$4,2)</x:f>
        <x:v>49500</x:v>
      </x:c>
      <x:c r="N1987" s="17" t="n">
        <x:f>L1987+M1987</x:f>
        <x:v>324500</x:v>
      </x:c>
      <x:c r="O1987" s="12" t="str">
        <x:v>Bengaluru</x:v>
      </x:c>
      <x:c r="P1987" s="12" t="str">
        <x:v>CORP-0127</x:v>
      </x:c>
      <x:c r="Q1987" s="12" t="str">
        <x:v>Presidio Cloud Solutions Pvt Ltd</x:v>
      </x:c>
    </x:row>
    <x:row r="1988" ht="48" customHeight="1">
      <x:c r="A1988" s="2" t="str">
        <x:v>TEN-CB09D6D1B767</x:v>
      </x:c>
      <x:c r="B1988" s="12" t="str">
        <x:v>Presume Overseas Education</x:v>
      </x:c>
      <x:c r="C1988" s="12" t="str">
        <x:v>Business / brand</x:v>
      </x:c>
      <x:c r="D1988" s="12" t="str">
        <x:v>Education</x:v>
      </x:c>
      <x:c r="E1988" s="12" t="str">
        <x:v>Edtech, training &amp; learning</x:v>
      </x:c>
      <x:c r="F1988" s="12" t="str">
        <x:v>Small-scale prospects</x:v>
      </x:c>
      <x:c r="G1988" s="12" t="str">
        <x:v>Training or education-services business; small-scale prospect assumption.</x:v>
      </x:c>
      <x:c r="H1988" s="11" t="n">
        <x:v>1</x:v>
      </x:c>
      <x:c r="I1988" s="11" t="n">
        <x:v>2</x:v>
      </x:c>
      <x:c r="J1988" s="11" t="n">
        <x:v>2</x:v>
      </x:c>
      <x:c r="K1988" s="11" t="n">
        <x:v>0</x:v>
      </x:c>
      <x:c r="L1988" s="17" t="n">
        <x:f>SUM(SUMIFS('Costing'!$P$9:$P$492,'Costing'!$A$9:$A$492,"MAIN-268"))</x:f>
        <x:v>80000</x:v>
      </x:c>
      <x:c r="M1988" s="17" t="n">
        <x:f>ROUND(L1988*'Costing'!$C$4,2)</x:f>
        <x:v>14400</x:v>
      </x:c>
      <x:c r="N1988" s="17" t="n">
        <x:f>L1988+M1988</x:f>
        <x:v>94400</x:v>
      </x:c>
      <x:c r="O1988" s="12" t="str">
        <x:v>Indore</x:v>
      </x:c>
      <x:c r="P1988" s="12" t="str">
        <x:v>CORP-0264</x:v>
      </x:c>
      <x:c r="Q1988" s="12" t="str">
        <x:v>Presume Overseas Education</x:v>
      </x:c>
    </x:row>
    <x:row r="1989" ht="48" customHeight="1">
      <x:c r="A1989" s="2" t="str">
        <x:v>TEN-906A7F314B08</x:v>
      </x:c>
      <x:c r="B1989" s="12" t="str">
        <x:v>Pricewaterhouse</x:v>
      </x:c>
      <x:c r="C1989" s="12" t="str">
        <x:v>Business / brand</x:v>
      </x:c>
      <x:c r="D1989" s="12" t="str">
        <x:v>Professional services</x:v>
      </x:c>
      <x:c r="E1989" s="12" t="str">
        <x:v>Accounting, tax &amp; audit</x:v>
      </x:c>
      <x:c r="F1989" s="12" t="str">
        <x:v>Large enterprise</x:v>
      </x:c>
      <x:c r="G1989" s="12" t="str">
        <x:v>Explicit PwC enterprise-family context; see ENTERPRISE_SUPP_004 evidence.</x:v>
      </x:c>
      <x:c r="H1989" s="11" t="n">
        <x:v>1</x:v>
      </x:c>
      <x:c r="I1989" s="11" t="n">
        <x:v>4</x:v>
      </x:c>
      <x:c r="J1989" s="11" t="n">
        <x:v>4</x:v>
      </x:c>
      <x:c r="K1989" s="11" t="n">
        <x:v>0</x:v>
      </x:c>
      <x:c r="L1989" s="17" t="n">
        <x:f>SUM(SUMIFS('Costing'!$P$9:$P$492,'Costing'!$A$9:$A$492,"MAIN-124"))</x:f>
        <x:v>100000</x:v>
      </x:c>
      <x:c r="M1989" s="17" t="n">
        <x:f>ROUND(L1989*'Costing'!$C$4,2)</x:f>
        <x:v>18000</x:v>
      </x:c>
      <x:c r="N1989" s="17" t="n">
        <x:f>L1989+M1989</x:f>
        <x:v>118000</x:v>
      </x:c>
      <x:c r="O1989" s="12" t="str">
        <x:v>Bengaluru</x:v>
      </x:c>
      <x:c r="P1989" s="12" t="str">
        <x:v>CORP-0120</x:v>
      </x:c>
      <x:c r="Q1989" s="12" t="str">
        <x:v>Pricewaterhouse</x:v>
      </x:c>
    </x:row>
    <x:row r="1990" ht="49" customHeight="1">
      <x:c r="A1990" s="2" t="str">
        <x:v>TEN-C97CE19B9C35</x:v>
      </x:c>
      <x:c r="B1990" s="12" t="str">
        <x:v>PricewaterhouseCoopers</x:v>
      </x:c>
      <x:c r="C1990" s="12" t="str">
        <x:v>Business / brand</x:v>
      </x:c>
      <x:c r="D1990" s="12" t="str">
        <x:v>Professional services</x:v>
      </x:c>
      <x:c r="E1990" s="12" t="str">
        <x:v>Professional services — specialty unverified</x:v>
      </x:c>
      <x:c r="F1990" s="12" t="str">
        <x:v>Large enterprise</x:v>
      </x:c>
      <x:c r="G1990" s="12" t="str">
        <x:v>Explicit PwC enterprise-family context; see ENTERPRISE_SUPP_004 evidence.</x:v>
      </x:c>
      <x:c r="H1990" s="11" t="n">
        <x:v>12</x:v>
      </x:c>
      <x:c r="I1990" s="11" t="n">
        <x:v>12</x:v>
      </x:c>
      <x:c r="J1990" s="11" t="n">
        <x:v>12</x:v>
      </x:c>
      <x:c r="K1990" s="11" t="n">
        <x:v>0</x:v>
      </x:c>
      <x:c r="L1990" s="17" t="n">
        <x:f>SUM(SUMIFS('Costing'!$P$9:$P$492,'Costing'!$A$9:$A$492,"PARTNER-M108"))</x:f>
        <x:v>480000</x:v>
      </x:c>
      <x:c r="M1990" s="17" t="n">
        <x:f>ROUND(L1990*'Costing'!$C$4,2)</x:f>
        <x:v>86400</x:v>
      </x:c>
      <x:c r="N1990" s="17" t="n">
        <x:f>L1990+M1990</x:f>
        <x:v>566400</x:v>
      </x:c>
      <x:c r="O1990" s="12" t="str">
        <x:v>Bengaluru</x:v>
      </x:c>
      <x:c r="P1990" s="12" t="str">
        <x:v>CORP-0526, CORP-0527, CORP-0528, CORP-0529, CORP-0530, CORP-0531, CORP-0532, CORP-0533, CORP-0534, CORP-0535, CORP-0536, CORP-0537</x:v>
      </x:c>
      <x:c r="Q1990" s="12" t="str">
        <x:v>PricewaterhouseCoopers, PWC</x:v>
      </x:c>
    </x:row>
    <x:row r="1991" ht="48" customHeight="1">
      <x:c r="A1991" s="2" t="str">
        <x:v>TEN-F2DEC5F8736B</x:v>
      </x:c>
      <x:c r="B1991" s="12" t="str">
        <x:v>PrimaVerse IDC LLP</x:v>
      </x:c>
      <x:c r="C1991" s="12" t="str">
        <x:v>Business / brand</x:v>
      </x:c>
      <x:c r="D1991" s="12" t="str">
        <x:v>Unresolved</x:v>
      </x:c>
      <x:c r="E1991" s="12" t="str">
        <x:v>Business activity not established</x:v>
      </x:c>
      <x:c r="F1991" s="12" t="str">
        <x:v>Mixed business audience</x:v>
      </x:c>
      <x:c r="G1991" s="12" t="str">
        <x:v>Business activity and company scale are not established from this name.</x:v>
      </x:c>
      <x:c r="H1991" s="11" t="n">
        <x:v>3</x:v>
      </x:c>
      <x:c r="I1991" s="11" t="n">
        <x:v>3</x:v>
      </x:c>
      <x:c r="J1991" s="11" t="n">
        <x:v>3</x:v>
      </x:c>
      <x:c r="K1991" s="11" t="n">
        <x:v>0</x:v>
      </x:c>
      <x:c r="L1991" s="17" t="n">
        <x:f>SUM(SUMIFS('Costing'!$P$9:$P$492,'Costing'!$A$9:$A$492,"PARTNER-M265"))</x:f>
        <x:v>120000</x:v>
      </x:c>
      <x:c r="M1991" s="17" t="n">
        <x:f>ROUND(L1991*'Costing'!$C$4,2)</x:f>
        <x:v>21600</x:v>
      </x:c>
      <x:c r="N1991" s="17" t="n">
        <x:f>L1991+M1991</x:f>
        <x:v>141600</x:v>
      </x:c>
      <x:c r="O1991" s="12" t="str">
        <x:v>Pune</x:v>
      </x:c>
      <x:c r="P1991" s="12" t="str">
        <x:v>CORP-0681, CORP-0682, CORP-0683</x:v>
      </x:c>
      <x:c r="Q1991" s="12" t="str">
        <x:v>PrimaVerse IDC LLP</x:v>
      </x:c>
    </x:row>
    <x:row r="1992" ht="48" customHeight="1">
      <x:c r="A1992" s="2" t="str">
        <x:v>TEN-B2036C6D16F6</x:v>
      </x:c>
      <x:c r="B1992" s="12" t="str">
        <x:v>Principal Global Services</x:v>
      </x:c>
      <x:c r="C1992" s="12" t="str">
        <x:v>Business / brand</x:v>
      </x:c>
      <x:c r="D1992" s="12" t="str">
        <x:v>Finance &amp; insurance</x:v>
      </x:c>
      <x:c r="E1992" s="12" t="str">
        <x:v>Banking, insurance, investments &amp; financial services</x:v>
      </x:c>
      <x:c r="F1992" s="12" t="str">
        <x:v>Mixed business audience</x:v>
      </x:c>
      <x:c r="G1992" s="12" t="str">
        <x:v>Established brand or business network; local company scale is not established. Use a mixed-business message.</x:v>
      </x:c>
      <x:c r="H1992" s="11" t="n">
        <x:v>9</x:v>
      </x:c>
      <x:c r="I1992" s="11" t="n">
        <x:v>9</x:v>
      </x:c>
      <x:c r="J1992" s="11" t="n">
        <x:v>9</x:v>
      </x:c>
      <x:c r="K1992" s="11" t="n">
        <x:v>0</x:v>
      </x:c>
      <x:c r="L1992" s="17" t="n">
        <x:f>SUM(SUMIFS('Costing'!$P$9:$P$492,'Costing'!$A$9:$A$492,"PARTNER-M252"))</x:f>
        <x:v>360000</x:v>
      </x:c>
      <x:c r="M1992" s="17" t="n">
        <x:f>ROUND(L1992*'Costing'!$C$4,2)</x:f>
        <x:v>64800</x:v>
      </x:c>
      <x:c r="N1992" s="17" t="n">
        <x:f>L1992+M1992</x:f>
        <x:v>424800</x:v>
      </x:c>
      <x:c r="O1992" s="12" t="str">
        <x:v>Pune</x:v>
      </x:c>
      <x:c r="P1992" s="12" t="str">
        <x:v>CORP-0668, CORP-0669, CORP-0670, CORP-0671, CORP-0672, CORP-0673, CORP-0674, CORP-0675, CORP-0676</x:v>
      </x:c>
      <x:c r="Q1992" s="12" t="str">
        <x:v>Principal Global Services</x:v>
      </x:c>
    </x:row>
    <x:row r="1993" ht="48" customHeight="1">
      <x:c r="A1993" s="2" t="str">
        <x:v>TEN-62F2CF2F4744</x:v>
      </x:c>
      <x:c r="B1993" s="12" t="str">
        <x:v>Prins Venture</x:v>
      </x:c>
      <x:c r="C1993" s="12" t="str">
        <x:v>Business / brand</x:v>
      </x:c>
      <x:c r="D1993" s="12" t="str">
        <x:v>Unresolved</x:v>
      </x:c>
      <x:c r="E1993" s="12" t="str">
        <x:v>Business activity not established</x:v>
      </x:c>
      <x:c r="F1993" s="12" t="str">
        <x:v>Mixed business audience</x:v>
      </x:c>
      <x:c r="G1993" s="12" t="str">
        <x:v>Business activity and company scale are not established from this name.</x:v>
      </x:c>
      <x:c r="H1993" s="11" t="n">
        <x:v>1</x:v>
      </x:c>
      <x:c r="I1993" s="11" t="n">
        <x:v>2</x:v>
      </x:c>
      <x:c r="J1993" s="11" t="n">
        <x:v>2</x:v>
      </x:c>
      <x:c r="K1993" s="11" t="n">
        <x:v>0</x:v>
      </x:c>
      <x:c r="L1993" s="17" t="n">
        <x:f>SUM(SUMIFS('Costing'!$P$9:$P$492,'Costing'!$A$9:$A$492,"MAIN-413"))</x:f>
        <x:v>80000</x:v>
      </x:c>
      <x:c r="M1993" s="17" t="n">
        <x:f>ROUND(L1993*'Costing'!$C$4,2)</x:f>
        <x:v>14400</x:v>
      </x:c>
      <x:c r="N1993" s="17" t="n">
        <x:f>L1993+M1993</x:f>
        <x:v>94400</x:v>
      </x:c>
      <x:c r="O1993" s="12" t="str">
        <x:v>Pune</x:v>
      </x:c>
      <x:c r="P1993" s="12" t="str">
        <x:v>CORP-0409</x:v>
      </x:c>
      <x:c r="Q1993" s="12" t="str">
        <x:v>Prins Venture</x:v>
      </x:c>
    </x:row>
    <x:row r="1994" ht="48" customHeight="1">
      <x:c r="A1994" s="2" t="str">
        <x:v>TEN-3209262EB544</x:v>
      </x:c>
      <x:c r="B1994" s="12" t="str">
        <x:v>Pristine Market Insights</x:v>
      </x:c>
      <x:c r="C1994" s="12" t="str">
        <x:v>Business / brand</x:v>
      </x:c>
      <x:c r="D1994" s="12" t="str">
        <x:v>Professional services</x:v>
      </x:c>
      <x:c r="E1994" s="12" t="str">
        <x:v>Research, marketing &amp; professional services</x:v>
      </x:c>
      <x:c r="F1994" s="12" t="str">
        <x:v>Small-scale prospects</x:v>
      </x:c>
      <x:c r="G1994" s="12" t="str">
        <x:v>Professional service, agency or advisory model; small-scale prospect assumption.</x:v>
      </x:c>
      <x:c r="H1994" s="11" t="n">
        <x:v>5</x:v>
      </x:c>
      <x:c r="I1994" s="11" t="n">
        <x:v>5</x:v>
      </x:c>
      <x:c r="J1994" s="11" t="n">
        <x:v>5</x:v>
      </x:c>
      <x:c r="K1994" s="11" t="n">
        <x:v>0</x:v>
      </x:c>
      <x:c r="L1994" s="17" t="n">
        <x:f>SUM(SUMIFS('Costing'!$P$9:$P$492,'Costing'!$A$9:$A$492,"PARTNER-M277"))</x:f>
        <x:v>200000</x:v>
      </x:c>
      <x:c r="M1994" s="17" t="n">
        <x:f>ROUND(L1994*'Costing'!$C$4,2)</x:f>
        <x:v>36000</x:v>
      </x:c>
      <x:c r="N1994" s="17" t="n">
        <x:f>L1994+M1994</x:f>
        <x:v>236000</x:v>
      </x:c>
      <x:c r="O1994" s="12" t="str">
        <x:v>Pune</x:v>
      </x:c>
      <x:c r="P1994" s="12" t="str">
        <x:v>CORP-0693, CORP-0694, CORP-0695, CORP-0696, CORP-0697</x:v>
      </x:c>
      <x:c r="Q1994" s="12" t="str">
        <x:v>Pristine Market Insights</x:v>
      </x:c>
    </x:row>
    <x:row r="1995" ht="48" customHeight="1">
      <x:c r="A1995" s="2" t="str">
        <x:v>TEN-CA17E7D3259A</x:v>
      </x:c>
      <x:c r="B1995" s="12" t="str">
        <x:v>PRISTYN CARE</x:v>
      </x:c>
      <x:c r="C1995" s="12" t="str">
        <x:v>Business / brand</x:v>
      </x:c>
      <x:c r="D1995" s="12" t="str">
        <x:v>Healthcare &amp; life sciences</x:v>
      </x:c>
      <x:c r="E1995" s="12" t="str">
        <x:v>Clinical, pharmaceutical &amp; health services</x:v>
      </x:c>
      <x:c r="F1995" s="12" t="str">
        <x:v>Mixed business audience</x:v>
      </x:c>
      <x:c r="G1995" s="12" t="str">
        <x:v>Established brand or business network; local company scale is not established. Use a mixed-business message.</x:v>
      </x:c>
      <x:c r="H1995" s="11" t="n">
        <x:v>1</x:v>
      </x:c>
      <x:c r="I1995" s="11" t="n">
        <x:v>1</x:v>
      </x:c>
      <x:c r="J1995" s="11" t="n">
        <x:v>1</x:v>
      </x:c>
      <x:c r="K1995" s="11" t="n">
        <x:v>0</x:v>
      </x:c>
      <x:c r="L1995" s="17" t="n">
        <x:f>SUM(SUMIFS('Costing'!$P$9:$P$492,'Costing'!$A$9:$A$492,"MAIN-296"))</x:f>
        <x:v>15000</x:v>
      </x:c>
      <x:c r="M1995" s="17" t="n">
        <x:f>ROUND(L1995*'Costing'!$C$4,2)</x:f>
        <x:v>2700</x:v>
      </x:c>
      <x:c r="N1995" s="17" t="n">
        <x:f>L1995+M1995</x:f>
        <x:v>17700</x:v>
      </x:c>
      <x:c r="O1995" s="12" t="str">
        <x:v>Mumbai</x:v>
      </x:c>
      <x:c r="P1995" s="12" t="str">
        <x:v>CORP-0292</x:v>
      </x:c>
      <x:c r="Q1995" s="12" t="str">
        <x:v>PRISTYN CARE</x:v>
      </x:c>
    </x:row>
    <x:row r="1996" ht="75" customHeight="1">
      <x:c r="A1996" s="2" t="str">
        <x:v>TEN-67F112877A5A</x:v>
      </x:c>
      <x:c r="B1996" s="12" t="str">
        <x:v>Proactive Data Systems Pvt</x:v>
      </x:c>
      <x:c r="C1996" s="12" t="str">
        <x:v>Business / brand</x:v>
      </x:c>
      <x:c r="D1996" s="12" t="str">
        <x:v>IT &amp; digital</x:v>
      </x:c>
      <x:c r="E1996" s="12" t="str">
        <x:v>Enterprise software &amp; digital engineering</x:v>
      </x:c>
      <x:c r="F1996" s="12" t="str">
        <x:v>Medium-scale prospects</x:v>
      </x:c>
      <x:c r="G1996" s="12" t="str">
        <x:v>Official site describes an established IT infrastructure integrator with multi-technology delivery, managed services and nationwide enterprise work. Medium is a business-model inference; customer headcounts are NOT Proactive employee counts.</x:v>
      </x:c>
      <x:c r="H1996" s="11" t="n">
        <x:v>1</x:v>
      </x:c>
      <x:c r="I1996" s="11" t="n">
        <x:v>70</x:v>
      </x:c>
      <x:c r="J1996" s="11" t="n">
        <x:v>70</x:v>
      </x:c>
      <x:c r="K1996" s="11" t="n">
        <x:v>0</x:v>
      </x:c>
      <x:c r="L1996" s="17" t="n">
        <x:f>SUM(SUMIFS('Costing'!$P$9:$P$492,'Costing'!$A$9:$A$492,"MAIN-350"))</x:f>
        <x:v>1050000</x:v>
      </x:c>
      <x:c r="M1996" s="17" t="n">
        <x:f>ROUND(L1996*'Costing'!$C$4,2)</x:f>
        <x:v>189000</x:v>
      </x:c>
      <x:c r="N1996" s="17" t="n">
        <x:f>L1996+M1996</x:f>
        <x:v>1239000</x:v>
      </x:c>
      <x:c r="O1996" s="12" t="str">
        <x:v>Mumbai</x:v>
      </x:c>
      <x:c r="P1996" s="12" t="str">
        <x:v>CORP-0346</x:v>
      </x:c>
      <x:c r="Q1996" s="12" t="str">
        <x:v>Proactive Data Systems Pvt</x:v>
      </x:c>
    </x:row>
    <x:row r="1997" ht="75" customHeight="1">
      <x:c r="A1997" s="2" t="str">
        <x:v>TEN-0294C6401D36</x:v>
      </x:c>
      <x:c r="B1997" s="12" t="str">
        <x:v>Proactive Data Systems Pvt. Ltd</x:v>
      </x:c>
      <x:c r="C1997" s="12" t="str">
        <x:v>Business / brand</x:v>
      </x:c>
      <x:c r="D1997" s="12" t="str">
        <x:v>IT &amp; digital</x:v>
      </x:c>
      <x:c r="E1997" s="12" t="str">
        <x:v>Enterprise software &amp; digital engineering</x:v>
      </x:c>
      <x:c r="F1997" s="12" t="str">
        <x:v>Medium-scale prospects</x:v>
      </x:c>
      <x:c r="G1997" s="12" t="str">
        <x:v>Official site describes an established IT infrastructure integrator with multi-technology delivery, managed services and nationwide enterprise work. Medium is a business-model inference; customer headcounts are NOT Proactive employee counts.</x:v>
      </x:c>
      <x:c r="H1997" s="11" t="n">
        <x:v>1</x:v>
      </x:c>
      <x:c r="I1997" s="11" t="n">
        <x:v>70</x:v>
      </x:c>
      <x:c r="J1997" s="11" t="n">
        <x:v>70</x:v>
      </x:c>
      <x:c r="K1997" s="11" t="n">
        <x:v>0</x:v>
      </x:c>
      <x:c r="L1997" s="17" t="n">
        <x:f>SUM(SUMIFS('Costing'!$P$9:$P$492,'Costing'!$A$9:$A$492,"MAIN-350"))</x:f>
        <x:v>1050000</x:v>
      </x:c>
      <x:c r="M1997" s="17" t="n">
        <x:f>ROUND(L1997*'Costing'!$C$4,2)</x:f>
        <x:v>189000</x:v>
      </x:c>
      <x:c r="N1997" s="17" t="n">
        <x:f>L1997+M1997</x:f>
        <x:v>1239000</x:v>
      </x:c>
      <x:c r="O1997" s="12" t="str">
        <x:v>Mumbai</x:v>
      </x:c>
      <x:c r="P1997" s="12" t="str">
        <x:v>CORP-0346</x:v>
      </x:c>
      <x:c r="Q1997" s="12" t="str">
        <x:v>Proactive Data Systems Pvt. Ltd</x:v>
      </x:c>
    </x:row>
    <x:row r="1998" ht="48" customHeight="1">
      <x:c r="A1998" s="2" t="str">
        <x:v>TEN-4BB05FE0A3D5</x:v>
      </x:c>
      <x:c r="B1998" s="12" t="str">
        <x:v>Procentris India Private Limited</x:v>
      </x:c>
      <x:c r="C1998" s="12" t="str">
        <x:v>Business / brand</x:v>
      </x:c>
      <x:c r="D1998" s="12" t="str">
        <x:v>IT &amp; digital</x:v>
      </x:c>
      <x:c r="E1998" s="12" t="str">
        <x:v>Enterprise software &amp; digital engineering</x:v>
      </x:c>
      <x:c r="F1998" s="12" t="str">
        <x:v>Small-scale prospects</x:v>
      </x:c>
      <x:c r="G1998" s="12" t="str">
        <x:v>Software or technology-services business; small-scale prospect assumption.</x:v>
      </x:c>
      <x:c r="H1998" s="11" t="n">
        <x:v>1</x:v>
      </x:c>
      <x:c r="I1998" s="11" t="n">
        <x:v>1</x:v>
      </x:c>
      <x:c r="J1998" s="11" t="n">
        <x:v>1</x:v>
      </x:c>
      <x:c r="K1998" s="11" t="n">
        <x:v>0</x:v>
      </x:c>
      <x:c r="L1998" s="17" t="n">
        <x:f>SUM(SUMIFS('Costing'!$P$9:$P$492,'Costing'!$A$9:$A$492,"MAIN-319"))</x:f>
        <x:v>15000</x:v>
      </x:c>
      <x:c r="M1998" s="17" t="n">
        <x:f>ROUND(L1998*'Costing'!$C$4,2)</x:f>
        <x:v>2700</x:v>
      </x:c>
      <x:c r="N1998" s="17" t="n">
        <x:f>L1998+M1998</x:f>
        <x:v>17700</x:v>
      </x:c>
      <x:c r="O1998" s="12" t="str">
        <x:v>Mumbai</x:v>
      </x:c>
      <x:c r="P1998" s="12" t="str">
        <x:v>CORP-0315</x:v>
      </x:c>
      <x:c r="Q1998" s="12" t="str">
        <x:v>Procentris India Private Limited</x:v>
      </x:c>
    </x:row>
    <x:row r="1999" ht="48" customHeight="1">
      <x:c r="A1999" s="2" t="str">
        <x:v>TEN-987385221605</x:v>
      </x:c>
      <x:c r="B1999" s="12" t="str">
        <x:v>Procloz</x:v>
      </x:c>
      <x:c r="C1999" s="12" t="str">
        <x:v>Business / brand</x:v>
      </x:c>
      <x:c r="D1999" s="12" t="str">
        <x:v>Unresolved</x:v>
      </x:c>
      <x:c r="E1999" s="12" t="str">
        <x:v>Business activity not established</x:v>
      </x:c>
      <x:c r="F1999" s="12" t="str">
        <x:v>Mixed business audience</x:v>
      </x:c>
      <x:c r="G1999" s="12" t="str">
        <x:v>Business activity and company scale are not established from this name.</x:v>
      </x:c>
      <x:c r="H1999" s="11" t="n">
        <x:v>1</x:v>
      </x:c>
      <x:c r="I1999" s="11" t="n">
        <x:v>3</x:v>
      </x:c>
      <x:c r="J1999" s="11" t="n">
        <x:v>3</x:v>
      </x:c>
      <x:c r="K1999" s="11" t="n">
        <x:v>0</x:v>
      </x:c>
      <x:c r="L1999" s="17" t="n">
        <x:f>SUM(SUMIFS('Costing'!$P$9:$P$492,'Costing'!$A$9:$A$492,"MAIN-179"))</x:f>
        <x:v>45000</x:v>
      </x:c>
      <x:c r="M1999" s="17" t="n">
        <x:f>ROUND(L1999*'Costing'!$C$4,2)</x:f>
        <x:v>8100</x:v>
      </x:c>
      <x:c r="N1999" s="17" t="n">
        <x:f>L1999+M1999</x:f>
        <x:v>53100</x:v>
      </x:c>
      <x:c r="O1999" s="12" t="str">
        <x:v>Delhi NCR</x:v>
      </x:c>
      <x:c r="P1999" s="12" t="str">
        <x:v>CORP-0175</x:v>
      </x:c>
      <x:c r="Q1999" s="12" t="str">
        <x:v>Procloz</x:v>
      </x:c>
    </x:row>
    <x:row r="2000" ht="48" customHeight="1">
      <x:c r="A2000" s="2" t="str">
        <x:v>TEN-757CC22101FA</x:v>
      </x:c>
      <x:c r="B2000" s="12" t="str">
        <x:v>Professional Associates</x:v>
      </x:c>
      <x:c r="C2000" s="12" t="str">
        <x:v>Business / brand</x:v>
      </x:c>
      <x:c r="D2000" s="12" t="str">
        <x:v>Unresolved</x:v>
      </x:c>
      <x:c r="E2000" s="12" t="str">
        <x:v>Business activity not established</x:v>
      </x:c>
      <x:c r="F2000" s="12" t="str">
        <x:v>Mixed business audience</x:v>
      </x:c>
      <x:c r="G2000" s="12" t="str">
        <x:v>Business activity and company scale are not established from this name.</x:v>
      </x:c>
      <x:c r="H2000" s="11" t="n">
        <x:v>1</x:v>
      </x:c>
      <x:c r="I2000" s="11" t="n">
        <x:v>26</x:v>
      </x:c>
      <x:c r="J2000" s="11" t="n">
        <x:v>26</x:v>
      </x:c>
      <x:c r="K2000" s="11" t="n">
        <x:v>0</x:v>
      </x:c>
      <x:c r="L2000" s="17" t="n">
        <x:f>SUM(SUMIFS('Costing'!$P$9:$P$492,'Costing'!$A$9:$A$492,"MAIN-342"))</x:f>
        <x:v>390000</x:v>
      </x:c>
      <x:c r="M2000" s="17" t="n">
        <x:f>ROUND(L2000*'Costing'!$C$4,2)</x:f>
        <x:v>70200</x:v>
      </x:c>
      <x:c r="N2000" s="17" t="n">
        <x:f>L2000+M2000</x:f>
        <x:v>460200</x:v>
      </x:c>
      <x:c r="O2000" s="12" t="str">
        <x:v>Mumbai</x:v>
      </x:c>
      <x:c r="P2000" s="12" t="str">
        <x:v>CORP-0338</x:v>
      </x:c>
      <x:c r="Q2000" s="12" t="str">
        <x:v>Professional Associates</x:v>
      </x:c>
    </x:row>
    <x:row r="2001" ht="48" customHeight="1">
      <x:c r="A2001" s="2" t="str">
        <x:v>TEN-5303A5FDFA90</x:v>
      </x:c>
      <x:c r="B2001" s="12" t="str">
        <x:v>ProgIST Solutions LLP</x:v>
      </x:c>
      <x:c r="C2001" s="12" t="str">
        <x:v>Business / brand</x:v>
      </x:c>
      <x:c r="D2001" s="12" t="str">
        <x:v>IT &amp; digital</x:v>
      </x:c>
      <x:c r="E2001" s="12" t="str">
        <x:v>Enterprise software &amp; digital engineering</x:v>
      </x:c>
      <x:c r="F2001" s="12" t="str">
        <x:v>Small-scale prospects</x:v>
      </x:c>
      <x:c r="G2001" s="12" t="str">
        <x:v>Software or technology-services business; small-scale prospect assumption.</x:v>
      </x:c>
      <x:c r="H2001" s="11" t="n">
        <x:v>1</x:v>
      </x:c>
      <x:c r="I2001" s="11" t="n">
        <x:v>1</x:v>
      </x:c>
      <x:c r="J2001" s="11" t="n">
        <x:v>1</x:v>
      </x:c>
      <x:c r="K2001" s="11" t="n">
        <x:v>0</x:v>
      </x:c>
      <x:c r="L2001" s="17" t="n">
        <x:f>SUM(SUMIFS('Costing'!$P$9:$P$492,'Costing'!$A$9:$A$492,"MAIN-321"))</x:f>
        <x:v>15000</x:v>
      </x:c>
      <x:c r="M2001" s="17" t="n">
        <x:f>ROUND(L2001*'Costing'!$C$4,2)</x:f>
        <x:v>2700</x:v>
      </x:c>
      <x:c r="N2001" s="17" t="n">
        <x:f>L2001+M2001</x:f>
        <x:v>17700</x:v>
      </x:c>
      <x:c r="O2001" s="12" t="str">
        <x:v>Mumbai</x:v>
      </x:c>
      <x:c r="P2001" s="12" t="str">
        <x:v>CORP-0317</x:v>
      </x:c>
      <x:c r="Q2001" s="12" t="str">
        <x:v>ProgIST Solutions LLP</x:v>
      </x:c>
    </x:row>
    <x:row r="2002" ht="48" customHeight="1">
      <x:c r="A2002" s="2" t="str">
        <x:v>TEN-6020795B1CE6</x:v>
      </x:c>
      <x:c r="B2002" s="12" t="str">
        <x:v>Progressive Packaging</x:v>
      </x:c>
      <x:c r="C2002" s="12" t="str">
        <x:v>Business / brand</x:v>
      </x:c>
      <x:c r="D2002" s="12" t="str">
        <x:v>Unresolved</x:v>
      </x:c>
      <x:c r="E2002" s="12" t="str">
        <x:v>Business activity not established</x:v>
      </x:c>
      <x:c r="F2002" s="12" t="str">
        <x:v>Mixed business audience</x:v>
      </x:c>
      <x:c r="G2002" s="12" t="str">
        <x:v>Business activity and company scale are not established from this name.</x:v>
      </x:c>
      <x:c r="H2002" s="11" t="n">
        <x:v>1</x:v>
      </x:c>
      <x:c r="I2002" s="11" t="n">
        <x:v>2</x:v>
      </x:c>
      <x:c r="J2002" s="11" t="n">
        <x:v>2</x:v>
      </x:c>
      <x:c r="K2002" s="11" t="n">
        <x:v>0</x:v>
      </x:c>
      <x:c r="L2002" s="17" t="n">
        <x:f>SUM(SUMIFS('Costing'!$P$9:$P$492,'Costing'!$A$9:$A$492,"MAIN-268"))</x:f>
        <x:v>80000</x:v>
      </x:c>
      <x:c r="M2002" s="17" t="n">
        <x:f>ROUND(L2002*'Costing'!$C$4,2)</x:f>
        <x:v>14400</x:v>
      </x:c>
      <x:c r="N2002" s="17" t="n">
        <x:f>L2002+M2002</x:f>
        <x:v>94400</x:v>
      </x:c>
      <x:c r="O2002" s="12" t="str">
        <x:v>Indore</x:v>
      </x:c>
      <x:c r="P2002" s="12" t="str">
        <x:v>CORP-0264</x:v>
      </x:c>
      <x:c r="Q2002" s="12" t="str">
        <x:v>Progressive Packaging</x:v>
      </x:c>
    </x:row>
    <x:row r="2003" ht="48" customHeight="1">
      <x:c r="A2003" s="2" t="str">
        <x:v>TEN-93885B6F1F10</x:v>
      </x:c>
      <x:c r="B2003" s="12" t="str">
        <x:v>ProKarma Softech</x:v>
      </x:c>
      <x:c r="C2003" s="12" t="str">
        <x:v>Business / brand</x:v>
      </x:c>
      <x:c r="D2003" s="12" t="str">
        <x:v>IT &amp; digital</x:v>
      </x:c>
      <x:c r="E2003" s="12" t="str">
        <x:v>Enterprise software &amp; digital engineering</x:v>
      </x:c>
      <x:c r="F2003" s="12" t="str">
        <x:v>Mixed business audience</x:v>
      </x:c>
      <x:c r="G2003" s="12" t="str">
        <x:v>Established brand or business network; local company scale is not established. Use a mixed-business message.</x:v>
      </x:c>
      <x:c r="H2003" s="11" t="n">
        <x:v>1</x:v>
      </x:c>
      <x:c r="I2003" s="11" t="n">
        <x:v>13</x:v>
      </x:c>
      <x:c r="J2003" s="11" t="n">
        <x:v>13</x:v>
      </x:c>
      <x:c r="K2003" s="11" t="n">
        <x:v>0</x:v>
      </x:c>
      <x:c r="L2003" s="17" t="n">
        <x:f>SUM(SUMIFS('Costing'!$P$9:$P$492,'Costing'!$A$9:$A$492,"MAIN-240"))</x:f>
        <x:v>195000</x:v>
      </x:c>
      <x:c r="M2003" s="17" t="n">
        <x:f>ROUND(L2003*'Costing'!$C$4,2)</x:f>
        <x:v>35100</x:v>
      </x:c>
      <x:c r="N2003" s="17" t="n">
        <x:f>L2003+M2003</x:f>
        <x:v>230100</x:v>
      </x:c>
      <x:c r="O2003" s="12" t="str">
        <x:v>Hyderabad</x:v>
      </x:c>
      <x:c r="P2003" s="12" t="str">
        <x:v>CORP-0236</x:v>
      </x:c>
      <x:c r="Q2003" s="12" t="str">
        <x:v>ProKarma Softech</x:v>
      </x:c>
    </x:row>
    <x:row r="2004" ht="48" customHeight="1">
      <x:c r="A2004" s="2" t="str">
        <x:v>TEN-2AC9A3F3ED06</x:v>
      </x:c>
      <x:c r="B2004" s="12" t="str">
        <x:v>Proman Securitech Pvt. Ltd</x:v>
      </x:c>
      <x:c r="C2004" s="12" t="str">
        <x:v>Business / brand</x:v>
      </x:c>
      <x:c r="D2004" s="12" t="str">
        <x:v>Unresolved</x:v>
      </x:c>
      <x:c r="E2004" s="12" t="str">
        <x:v>Business activity not established</x:v>
      </x:c>
      <x:c r="F2004" s="12" t="str">
        <x:v>Mixed business audience</x:v>
      </x:c>
      <x:c r="G2004" s="12" t="str">
        <x:v>Business activity and company scale are not established from this name.</x:v>
      </x:c>
      <x:c r="H2004" s="11" t="n">
        <x:v>1</x:v>
      </x:c>
      <x:c r="I2004" s="11" t="n">
        <x:v>3</x:v>
      </x:c>
      <x:c r="J2004" s="11" t="n">
        <x:v>3</x:v>
      </x:c>
      <x:c r="K2004" s="11" t="n">
        <x:v>0</x:v>
      </x:c>
      <x:c r="L2004" s="17" t="n">
        <x:f>SUM(SUMIFS('Costing'!$P$9:$P$492,'Costing'!$A$9:$A$492,"MAIN-195"))</x:f>
        <x:v>60000</x:v>
      </x:c>
      <x:c r="M2004" s="17" t="n">
        <x:f>ROUND(L2004*'Costing'!$C$4,2)</x:f>
        <x:v>10800</x:v>
      </x:c>
      <x:c r="N2004" s="17" t="n">
        <x:f>L2004+M2004</x:f>
        <x:v>70800</x:v>
      </x:c>
      <x:c r="O2004" s="12" t="str">
        <x:v>Delhi NCR</x:v>
      </x:c>
      <x:c r="P2004" s="12" t="str">
        <x:v>CORP-0191</x:v>
      </x:c>
      <x:c r="Q2004" s="12" t="str">
        <x:v>Proman Securitech Pvt. Ltd</x:v>
      </x:c>
    </x:row>
    <x:row r="2005" ht="48" customHeight="1">
      <x:c r="A2005" s="2" t="str">
        <x:v>TEN-78925369B27F</x:v>
      </x:c>
      <x:c r="B2005" s="12" t="str">
        <x:v>Promantis Inc</x:v>
      </x:c>
      <x:c r="C2005" s="12" t="str">
        <x:v>Business / brand</x:v>
      </x:c>
      <x:c r="D2005" s="12" t="str">
        <x:v>Unresolved</x:v>
      </x:c>
      <x:c r="E2005" s="12" t="str">
        <x:v>Business activity not established</x:v>
      </x:c>
      <x:c r="F2005" s="12" t="str">
        <x:v>Mixed business audience</x:v>
      </x:c>
      <x:c r="G2005" s="12" t="str">
        <x:v>Business activity and company scale are not established from this name.</x:v>
      </x:c>
      <x:c r="H2005" s="11" t="n">
        <x:v>1</x:v>
      </x:c>
      <x:c r="I2005" s="11" t="n">
        <x:v>2</x:v>
      </x:c>
      <x:c r="J2005" s="11" t="n">
        <x:v>2</x:v>
      </x:c>
      <x:c r="K2005" s="11" t="n">
        <x:v>0</x:v>
      </x:c>
      <x:c r="L2005" s="17" t="n">
        <x:f>SUM(SUMIFS('Costing'!$P$9:$P$492,'Costing'!$A$9:$A$492,"MAIN-138"))</x:f>
        <x:v>40000</x:v>
      </x:c>
      <x:c r="M2005" s="17" t="n">
        <x:f>ROUND(L2005*'Costing'!$C$4,2)</x:f>
        <x:v>7200</x:v>
      </x:c>
      <x:c r="N2005" s="17" t="n">
        <x:f>L2005+M2005</x:f>
        <x:v>47200</x:v>
      </x:c>
      <x:c r="O2005" s="12" t="str">
        <x:v>Chennai</x:v>
      </x:c>
      <x:c r="P2005" s="12" t="str">
        <x:v>CORP-0134</x:v>
      </x:c>
      <x:c r="Q2005" s="12" t="str">
        <x:v>Promantis Inc</x:v>
      </x:c>
    </x:row>
    <x:row r="2006" ht="48" customHeight="1">
      <x:c r="A2006" s="2" t="str">
        <x:v>TEN-F67EC79876E7</x:v>
      </x:c>
      <x:c r="B2006" s="12" t="str">
        <x:v>Prometric Testing</x:v>
      </x:c>
      <x:c r="C2006" s="12" t="str">
        <x:v>Business / brand</x:v>
      </x:c>
      <x:c r="D2006" s="12" t="str">
        <x:v>Education</x:v>
      </x:c>
      <x:c r="E2006" s="12" t="str">
        <x:v>Education/learning — specialty unverified</x:v>
      </x:c>
      <x:c r="F2006" s="12" t="str">
        <x:v>Mixed business audience</x:v>
      </x:c>
      <x:c r="G2006" s="12" t="str">
        <x:v>Recognisable business context; company-scale evidence remains insufficient for a single size band.</x:v>
      </x:c>
      <x:c r="H2006" s="11" t="n">
        <x:v>7</x:v>
      </x:c>
      <x:c r="I2006" s="11" t="n">
        <x:v>7</x:v>
      </x:c>
      <x:c r="J2006" s="11" t="n">
        <x:v>7</x:v>
      </x:c>
      <x:c r="K2006" s="11" t="n">
        <x:v>0</x:v>
      </x:c>
      <x:c r="L2006" s="17" t="n">
        <x:f>SUM(SUMIFS('Costing'!$P$9:$P$492,'Costing'!$A$9:$A$492,"PARTNER-M317"))</x:f>
        <x:v>280000</x:v>
      </x:c>
      <x:c r="M2006" s="17" t="n">
        <x:f>ROUND(L2006*'Costing'!$C$4,2)</x:f>
        <x:v>50400</x:v>
      </x:c>
      <x:c r="N2006" s="17" t="n">
        <x:f>L2006+M2006</x:f>
        <x:v>330400</x:v>
      </x:c>
      <x:c r="O2006" s="12" t="str">
        <x:v>Hyderabad</x:v>
      </x:c>
      <x:c r="P2006" s="12" t="str">
        <x:v>CORP-0732, CORP-0733, CORP-0734, CORP-0735, CORP-0736, CORP-0737, CORP-0738</x:v>
      </x:c>
      <x:c r="Q2006" s="12" t="str">
        <x:v>Prometric Testing</x:v>
      </x:c>
    </x:row>
    <x:row r="2007" ht="75" customHeight="1">
      <x:c r="A2007" s="2" t="str">
        <x:v>TEN-1401F867297B</x:v>
      </x:c>
      <x:c r="B2007" s="12" t="str">
        <x:v>PromotEdge</x:v>
      </x:c>
      <x:c r="C2007" s="12" t="str">
        <x:v>Business / brand</x:v>
      </x:c>
      <x:c r="D2007" s="12" t="str">
        <x:v>Professional services</x:v>
      </x:c>
      <x:c r="E2007" s="12" t="str">
        <x:v>Marketing, media &amp; research services</x:v>
      </x:c>
      <x:c r="F2007" s="12" t="str">
        <x:v>Medium-scale prospects</x:v>
      </x:c>
      <x:c r="G2007" s="12" t="str">
        <x:v>Indicative growing integrated-agency organization. Its official about page reports a team above 55 and describes growth from an initially small team into a full-service agency. This is organization-level operational evidence.</x:v>
      </x:c>
      <x:c r="H2007" s="11" t="n">
        <x:v>1</x:v>
      </x:c>
      <x:c r="I2007" s="11" t="n">
        <x:v>2</x:v>
      </x:c>
      <x:c r="J2007" s="11" t="n">
        <x:v>2</x:v>
      </x:c>
      <x:c r="K2007" s="11" t="n">
        <x:v>0</x:v>
      </x:c>
      <x:c r="L2007" s="17" t="n">
        <x:f>SUM(SUMIFS('Costing'!$P$9:$P$492,'Costing'!$A$9:$A$492,"MAIN-280"))</x:f>
        <x:v>30000</x:v>
      </x:c>
      <x:c r="M2007" s="17" t="n">
        <x:f>ROUND(L2007*'Costing'!$C$4,2)</x:f>
        <x:v>5400</x:v>
      </x:c>
      <x:c r="N2007" s="17" t="n">
        <x:f>L2007+M2007</x:f>
        <x:v>35400</x:v>
      </x:c>
      <x:c r="O2007" s="12" t="str">
        <x:v>Kolkata</x:v>
      </x:c>
      <x:c r="P2007" s="12" t="str">
        <x:v>CORP-0276</x:v>
      </x:c>
      <x:c r="Q2007" s="12" t="str">
        <x:v>PromotEdge</x:v>
      </x:c>
    </x:row>
    <x:row r="2008" ht="48" customHeight="1">
      <x:c r="A2008" s="2" t="str">
        <x:v>TEN-830632AB0595</x:v>
      </x:c>
      <x:c r="B2008" s="12" t="str">
        <x:v>Propcop Realtors Pvt.Ltd</x:v>
      </x:c>
      <x:c r="C2008" s="12" t="str">
        <x:v>Business / brand</x:v>
      </x:c>
      <x:c r="D2008" s="12" t="str">
        <x:v>Trade, consumer &amp; logistics</x:v>
      </x:c>
      <x:c r="E2008" s="12" t="str">
        <x:v>Real estate, property &amp; construction services</x:v>
      </x:c>
      <x:c r="F2008" s="12" t="str">
        <x:v>Small-scale prospects</x:v>
      </x:c>
      <x:c r="G2008" s="12" t="str">
        <x:v>Trading or consumer-services business; small-scale prospect assumption.</x:v>
      </x:c>
      <x:c r="H2008" s="11" t="n">
        <x:v>2</x:v>
      </x:c>
      <x:c r="I2008" s="11" t="n">
        <x:v>8</x:v>
      </x:c>
      <x:c r="J2008" s="11" t="n">
        <x:v>8</x:v>
      </x:c>
      <x:c r="K2008" s="11" t="n">
        <x:v>0</x:v>
      </x:c>
      <x:c r="L2008" s="17" t="n">
        <x:f>SUM(SUMIFS('Costing'!$P$9:$P$492,'Costing'!$A$9:$A$492,"MAIN-199"),SUMIFS('Costing'!$P$9:$P$492,'Costing'!$A$9:$A$492,"MAIN-200"))</x:f>
        <x:v>145000</x:v>
      </x:c>
      <x:c r="M2008" s="17" t="n">
        <x:f>ROUND(L2008*'Costing'!$C$4,2)</x:f>
        <x:v>26100</x:v>
      </x:c>
      <x:c r="N2008" s="17" t="n">
        <x:f>L2008+M2008</x:f>
        <x:v>171100</x:v>
      </x:c>
      <x:c r="O2008" s="12" t="str">
        <x:v>Delhi NCR</x:v>
      </x:c>
      <x:c r="P2008" s="12" t="str">
        <x:v>CORP-0195, CORP-0196</x:v>
      </x:c>
      <x:c r="Q2008" s="12" t="str">
        <x:v>Propcop Realtors Pvt.Ltd</x:v>
      </x:c>
    </x:row>
    <x:row r="2009" ht="48" customHeight="1">
      <x:c r="A2009" s="2" t="str">
        <x:v>TEN-AFA9827C3A8D</x:v>
      </x:c>
      <x:c r="B2009" s="12" t="str">
        <x:v>Property sulekha</x:v>
      </x:c>
      <x:c r="C2009" s="12" t="str">
        <x:v>Business / brand</x:v>
      </x:c>
      <x:c r="D2009" s="12" t="str">
        <x:v>Trade, consumer &amp; logistics</x:v>
      </x:c>
      <x:c r="E2009" s="12" t="str">
        <x:v>Real estate, property &amp; construction services</x:v>
      </x:c>
      <x:c r="F2009" s="12" t="str">
        <x:v>Small-scale prospects</x:v>
      </x:c>
      <x:c r="G2009" s="12" t="str">
        <x:v>Trading or consumer-services business; small-scale prospect assumption.</x:v>
      </x:c>
      <x:c r="H2009" s="11" t="n">
        <x:v>1</x:v>
      </x:c>
      <x:c r="I2009" s="11" t="n">
        <x:v>1</x:v>
      </x:c>
      <x:c r="J2009" s="11" t="n">
        <x:v>1</x:v>
      </x:c>
      <x:c r="K2009" s="11" t="n">
        <x:v>0</x:v>
      </x:c>
      <x:c r="L2009" s="17" t="n">
        <x:f>SUM(SUMIFS('Costing'!$P$9:$P$492,'Costing'!$A$9:$A$492,"MAIN-160"))</x:f>
        <x:v>15000</x:v>
      </x:c>
      <x:c r="M2009" s="17" t="n">
        <x:f>ROUND(L2009*'Costing'!$C$4,2)</x:f>
        <x:v>2700</x:v>
      </x:c>
      <x:c r="N2009" s="17" t="n">
        <x:f>L2009+M2009</x:f>
        <x:v>17700</x:v>
      </x:c>
      <x:c r="O2009" s="12" t="str">
        <x:v>Chennai</x:v>
      </x:c>
      <x:c r="P2009" s="12" t="str">
        <x:v>CORP-0156</x:v>
      </x:c>
      <x:c r="Q2009" s="12" t="str">
        <x:v>Property sulekha</x:v>
      </x:c>
    </x:row>
    <x:row r="2010" ht="48" customHeight="1">
      <x:c r="A2010" s="2" t="str">
        <x:v>TEN-D0D0FF9462AA</x:v>
      </x:c>
      <x:c r="B2010" s="12" t="str">
        <x:v>prophecy</x:v>
      </x:c>
      <x:c r="C2010" s="12" t="str">
        <x:v>Business / brand</x:v>
      </x:c>
      <x:c r="D2010" s="12" t="str">
        <x:v>IT &amp; digital</x:v>
      </x:c>
      <x:c r="E2010" s="12" t="str">
        <x:v>Enterprise software &amp; digital engineering</x:v>
      </x:c>
      <x:c r="F2010" s="12" t="str">
        <x:v>Small-scale prospects</x:v>
      </x:c>
      <x:c r="G2010" s="12" t="str">
        <x:v>Software or technology-services business; small-scale prospect assumption.</x:v>
      </x:c>
      <x:c r="H2010" s="11" t="n">
        <x:v>1</x:v>
      </x:c>
      <x:c r="I2010" s="11" t="n">
        <x:v>2</x:v>
      </x:c>
      <x:c r="J2010" s="11" t="n">
        <x:v>2</x:v>
      </x:c>
      <x:c r="K2010" s="11" t="n">
        <x:v>0</x:v>
      </x:c>
      <x:c r="L2010" s="17" t="n">
        <x:f>SUM(SUMIFS('Costing'!$P$9:$P$492,'Costing'!$A$9:$A$492,"MAIN-096"))</x:f>
        <x:v>30000</x:v>
      </x:c>
      <x:c r="M2010" s="17" t="n">
        <x:f>ROUND(L2010*'Costing'!$C$4,2)</x:f>
        <x:v>5400</x:v>
      </x:c>
      <x:c r="N2010" s="17" t="n">
        <x:f>L2010+M2010</x:f>
        <x:v>35400</x:v>
      </x:c>
      <x:c r="O2010" s="12" t="str">
        <x:v>Bengaluru</x:v>
      </x:c>
      <x:c r="P2010" s="12" t="str">
        <x:v>CORP-0092</x:v>
      </x:c>
      <x:c r="Q2010" s="12" t="str">
        <x:v>prophecy</x:v>
      </x:c>
    </x:row>
    <x:row r="2011" ht="48" customHeight="1">
      <x:c r="A2011" s="2" t="str">
        <x:v>TEN-56139C97F2DA</x:v>
      </x:c>
      <x:c r="B2011" s="12" t="str">
        <x:v>Proptiger Marketing Service Pvt. Ltd</x:v>
      </x:c>
      <x:c r="C2011" s="12" t="str">
        <x:v>Business / brand</x:v>
      </x:c>
      <x:c r="D2011" s="12" t="str">
        <x:v>Trade, consumer &amp; logistics</x:v>
      </x:c>
      <x:c r="E2011" s="12" t="str">
        <x:v>Real estate, property &amp; construction services</x:v>
      </x:c>
      <x:c r="F2011" s="12" t="str">
        <x:v>Mixed business audience</x:v>
      </x:c>
      <x:c r="G2011" s="12" t="str">
        <x:v>Established brand or business network; local company scale is not established. Use a mixed-business message.</x:v>
      </x:c>
      <x:c r="H2011" s="11" t="n">
        <x:v>1</x:v>
      </x:c>
      <x:c r="I2011" s="11" t="n">
        <x:v>2</x:v>
      </x:c>
      <x:c r="J2011" s="11" t="n">
        <x:v>2</x:v>
      </x:c>
      <x:c r="K2011" s="11" t="n">
        <x:v>0</x:v>
      </x:c>
      <x:c r="L2011" s="17" t="n">
        <x:f>SUM(SUMIFS('Costing'!$P$9:$P$492,'Costing'!$A$9:$A$492,"MAIN-067"))</x:f>
        <x:v>30000</x:v>
      </x:c>
      <x:c r="M2011" s="17" t="n">
        <x:f>ROUND(L2011*'Costing'!$C$4,2)</x:f>
        <x:v>5400</x:v>
      </x:c>
      <x:c r="N2011" s="17" t="n">
        <x:f>L2011+M2011</x:f>
        <x:v>35400</x:v>
      </x:c>
      <x:c r="O2011" s="12" t="str">
        <x:v>Bengaluru</x:v>
      </x:c>
      <x:c r="P2011" s="12" t="str">
        <x:v>CORP-0063</x:v>
      </x:c>
      <x:c r="Q2011" s="12" t="str">
        <x:v>Proptiger Marketing Service Pvt. Ltd</x:v>
      </x:c>
    </x:row>
    <x:row r="2012" ht="48" customHeight="1">
      <x:c r="A2012" s="2" t="str">
        <x:v>TEN-F6F0CA999510</x:v>
      </x:c>
      <x:c r="B2012" s="12" t="str">
        <x:v>Prospera Productions</x:v>
      </x:c>
      <x:c r="C2012" s="12" t="str">
        <x:v>Business / brand</x:v>
      </x:c>
      <x:c r="D2012" s="12" t="str">
        <x:v>Trade, consumer &amp; logistics</x:v>
      </x:c>
      <x:c r="E2012" s="12" t="str">
        <x:v>Entertainment, media &amp; events</x:v>
      </x:c>
      <x:c r="F2012" s="12" t="str">
        <x:v>Small-scale prospects</x:v>
      </x:c>
      <x:c r="G2012" s="12" t="str">
        <x:v>Trading or consumer-services business; small-scale prospect assumption.</x:v>
      </x:c>
      <x:c r="H2012" s="11" t="n">
        <x:v>1</x:v>
      </x:c>
      <x:c r="I2012" s="11" t="n">
        <x:v>8</x:v>
      </x:c>
      <x:c r="J2012" s="11" t="n">
        <x:v>8</x:v>
      </x:c>
      <x:c r="K2012" s="11" t="n">
        <x:v>0</x:v>
      </x:c>
      <x:c r="L2012" s="17" t="n">
        <x:f>SUM(SUMIFS('Costing'!$P$9:$P$492,'Costing'!$A$9:$A$492,"MAIN-356"))</x:f>
        <x:v>200000</x:v>
      </x:c>
      <x:c r="M2012" s="17" t="n">
        <x:f>ROUND(L2012*'Costing'!$C$4,2)</x:f>
        <x:v>36000</x:v>
      </x:c>
      <x:c r="N2012" s="17" t="n">
        <x:f>L2012+M2012</x:f>
        <x:v>236000</x:v>
      </x:c>
      <x:c r="O2012" s="12" t="str">
        <x:v>Mumbai</x:v>
      </x:c>
      <x:c r="P2012" s="12" t="str">
        <x:v>CORP-0352</x:v>
      </x:c>
      <x:c r="Q2012" s="12" t="str">
        <x:v>Prospera Productions</x:v>
      </x:c>
    </x:row>
    <x:row r="2013" ht="48" customHeight="1">
      <x:c r="A2013" s="2" t="str">
        <x:v>TEN-A4DF6C46B83A</x:v>
      </x:c>
      <x:c r="B2013" s="12" t="str">
        <x:v>ProteanTecs</x:v>
      </x:c>
      <x:c r="C2013" s="12" t="str">
        <x:v>Business / brand</x:v>
      </x:c>
      <x:c r="D2013" s="12" t="str">
        <x:v>Engineering &amp; manufacturing</x:v>
      </x:c>
      <x:c r="E2013" s="12" t="str">
        <x:v>Electronics, industrial systems &amp; manufacturing</x:v>
      </x:c>
      <x:c r="F2013" s="12" t="str">
        <x:v>Medium-scale prospects</x:v>
      </x:c>
      <x:c r="G2013" s="12" t="str">
        <x:v>Specialist industrial or engineering business; medium-scale prospect assumption.</x:v>
      </x:c>
      <x:c r="H2013" s="11" t="n">
        <x:v>1</x:v>
      </x:c>
      <x:c r="I2013" s="11" t="n">
        <x:v>7</x:v>
      </x:c>
      <x:c r="J2013" s="11" t="n">
        <x:v>7</x:v>
      </x:c>
      <x:c r="K2013" s="11" t="n">
        <x:v>0</x:v>
      </x:c>
      <x:c r="L2013" s="17" t="n">
        <x:f>SUM(SUMIFS('Costing'!$P$9:$P$492,'Costing'!$A$9:$A$492,"MAIN-116"))</x:f>
        <x:v>175000</x:v>
      </x:c>
      <x:c r="M2013" s="17" t="n">
        <x:f>ROUND(L2013*'Costing'!$C$4,2)</x:f>
        <x:v>31500</x:v>
      </x:c>
      <x:c r="N2013" s="17" t="n">
        <x:f>L2013+M2013</x:f>
        <x:v>206500</x:v>
      </x:c>
      <x:c r="O2013" s="12" t="str">
        <x:v>Bengaluru</x:v>
      </x:c>
      <x:c r="P2013" s="12" t="str">
        <x:v>CORP-0112</x:v>
      </x:c>
      <x:c r="Q2013" s="12" t="str">
        <x:v>ProteanTecs</x:v>
      </x:c>
    </x:row>
    <x:row r="2014" ht="48" customHeight="1">
      <x:c r="A2014" s="2" t="str">
        <x:v>TEN-01198AB1CD80</x:v>
      </x:c>
      <x:c r="B2014" s="12" t="str">
        <x:v>Protecto India Pvt.Ltd</x:v>
      </x:c>
      <x:c r="C2014" s="12" t="str">
        <x:v>Business / brand</x:v>
      </x:c>
      <x:c r="D2014" s="12" t="str">
        <x:v>Unresolved</x:v>
      </x:c>
      <x:c r="E2014" s="12" t="str">
        <x:v>Business activity not established</x:v>
      </x:c>
      <x:c r="F2014" s="12" t="str">
        <x:v>Mixed business audience</x:v>
      </x:c>
      <x:c r="G2014" s="12" t="str">
        <x:v>Business activity and company scale are not established from this name.</x:v>
      </x:c>
      <x:c r="H2014" s="11" t="n">
        <x:v>1</x:v>
      </x:c>
      <x:c r="I2014" s="11" t="n">
        <x:v>6</x:v>
      </x:c>
      <x:c r="J2014" s="11" t="n">
        <x:v>6</x:v>
      </x:c>
      <x:c r="K2014" s="11" t="n">
        <x:v>0</x:v>
      </x:c>
      <x:c r="L2014" s="17" t="n">
        <x:f>SUM(SUMIFS('Costing'!$P$9:$P$492,'Costing'!$A$9:$A$492,"MAIN-030"))</x:f>
        <x:v>90000</x:v>
      </x:c>
      <x:c r="M2014" s="17" t="n">
        <x:f>ROUND(L2014*'Costing'!$C$4,2)</x:f>
        <x:v>16200</x:v>
      </x:c>
      <x:c r="N2014" s="17" t="n">
        <x:f>L2014+M2014</x:f>
        <x:v>106200</x:v>
      </x:c>
      <x:c r="O2014" s="12" t="str">
        <x:v>Bengaluru</x:v>
      </x:c>
      <x:c r="P2014" s="12" t="str">
        <x:v>CORP-0026</x:v>
      </x:c>
      <x:c r="Q2014" s="12" t="str">
        <x:v>Protecto India Pvt.Ltd</x:v>
      </x:c>
    </x:row>
    <x:row r="2015" ht="48" customHeight="1">
      <x:c r="A2015" s="2" t="str">
        <x:v>TEN-5240559B6AFA</x:v>
      </x:c>
      <x:c r="B2015" s="12" t="str">
        <x:v>Protorix India</x:v>
      </x:c>
      <x:c r="C2015" s="12" t="str">
        <x:v>Business / brand</x:v>
      </x:c>
      <x:c r="D2015" s="12" t="str">
        <x:v>Unresolved</x:v>
      </x:c>
      <x:c r="E2015" s="12" t="str">
        <x:v>Business activity not established</x:v>
      </x:c>
      <x:c r="F2015" s="12" t="str">
        <x:v>Mixed business audience</x:v>
      </x:c>
      <x:c r="G2015" s="12" t="str">
        <x:v>Business activity and company scale are not established from this name.</x:v>
      </x:c>
      <x:c r="H2015" s="11" t="n">
        <x:v>1</x:v>
      </x:c>
      <x:c r="I2015" s="11" t="n">
        <x:v>1</x:v>
      </x:c>
      <x:c r="J2015" s="11" t="n">
        <x:v>1</x:v>
      </x:c>
      <x:c r="K2015" s="11" t="n">
        <x:v>0</x:v>
      </x:c>
      <x:c r="L2015" s="17" t="n">
        <x:f>SUM(SUMIFS('Costing'!$P$9:$P$492,'Costing'!$A$9:$A$492,"MAIN-159"))</x:f>
        <x:v>15000</x:v>
      </x:c>
      <x:c r="M2015" s="17" t="n">
        <x:f>ROUND(L2015*'Costing'!$C$4,2)</x:f>
        <x:v>2700</x:v>
      </x:c>
      <x:c r="N2015" s="17" t="n">
        <x:f>L2015+M2015</x:f>
        <x:v>17700</x:v>
      </x:c>
      <x:c r="O2015" s="12" t="str">
        <x:v>Chennai</x:v>
      </x:c>
      <x:c r="P2015" s="12" t="str">
        <x:v>CORP-0155</x:v>
      </x:c>
      <x:c r="Q2015" s="12" t="str">
        <x:v>Protorix India</x:v>
      </x:c>
    </x:row>
    <x:row r="2016" ht="48" customHeight="1">
      <x:c r="A2016" s="2" t="str">
        <x:v>TEN-D616A0BCE12E</x:v>
      </x:c>
      <x:c r="B2016" s="12" t="str">
        <x:v>prsashasti developrs pvt ltd</x:v>
      </x:c>
      <x:c r="C2016" s="12" t="str">
        <x:v>Business / brand</x:v>
      </x:c>
      <x:c r="D2016" s="12" t="str">
        <x:v>Trade, consumer &amp; logistics</x:v>
      </x:c>
      <x:c r="E2016" s="12" t="str">
        <x:v>Real estate, property &amp; construction services</x:v>
      </x:c>
      <x:c r="F2016" s="12" t="str">
        <x:v>Small-scale prospects</x:v>
      </x:c>
      <x:c r="G2016" s="12" t="str">
        <x:v>Trading or consumer-services business; small-scale prospect assumption.</x:v>
      </x:c>
      <x:c r="H2016" s="11" t="n">
        <x:v>1</x:v>
      </x:c>
      <x:c r="I2016" s="11" t="n">
        <x:v>2</x:v>
      </x:c>
      <x:c r="J2016" s="11" t="n">
        <x:v>2</x:v>
      </x:c>
      <x:c r="K2016" s="11" t="n">
        <x:v>0</x:v>
      </x:c>
      <x:c r="L2016" s="17" t="n">
        <x:f>SUM(SUMIFS('Costing'!$P$9:$P$492,'Costing'!$A$9:$A$492,"MAIN-304"))</x:f>
        <x:v>30000</x:v>
      </x:c>
      <x:c r="M2016" s="17" t="n">
        <x:f>ROUND(L2016*'Costing'!$C$4,2)</x:f>
        <x:v>5400</x:v>
      </x:c>
      <x:c r="N2016" s="17" t="n">
        <x:f>L2016+M2016</x:f>
        <x:v>35400</x:v>
      </x:c>
      <x:c r="O2016" s="12" t="str">
        <x:v>Mumbai</x:v>
      </x:c>
      <x:c r="P2016" s="12" t="str">
        <x:v>CORP-0300</x:v>
      </x:c>
      <x:c r="Q2016" s="12" t="str">
        <x:v>prsashasti developrs pvt ltd</x:v>
      </x:c>
    </x:row>
    <x:row r="2017" ht="48" customHeight="1">
      <x:c r="A2017" s="2" t="str">
        <x:v>TEN-519CA13DFB10</x:v>
      </x:c>
      <x:c r="B2017" s="12" t="str">
        <x:v>PTD Cleantech Solutions Pvt. Ltd</x:v>
      </x:c>
      <x:c r="C2017" s="12" t="str">
        <x:v>Business / brand</x:v>
      </x:c>
      <x:c r="D2017" s="12" t="str">
        <x:v>Engineering &amp; manufacturing</x:v>
      </x:c>
      <x:c r="E2017" s="12" t="str">
        <x:v>Electronics, industrial systems &amp; manufacturing</x:v>
      </x:c>
      <x:c r="F2017" s="12" t="str">
        <x:v>Medium-scale prospects</x:v>
      </x:c>
      <x:c r="G2017" s="12" t="str">
        <x:v>Specialist industrial or engineering business; medium-scale prospect assumption.</x:v>
      </x:c>
      <x:c r="H2017" s="11" t="n">
        <x:v>3</x:v>
      </x:c>
      <x:c r="I2017" s="11" t="n">
        <x:v>3</x:v>
      </x:c>
      <x:c r="J2017" s="11" t="n">
        <x:v>3</x:v>
      </x:c>
      <x:c r="K2017" s="11" t="n">
        <x:v>0</x:v>
      </x:c>
      <x:c r="L2017" s="17" t="n">
        <x:f>SUM(SUMIFS('Costing'!$P$9:$P$492,'Costing'!$A$9:$A$492,"PARTNER-M265"))</x:f>
        <x:v>120000</x:v>
      </x:c>
      <x:c r="M2017" s="17" t="n">
        <x:f>ROUND(L2017*'Costing'!$C$4,2)</x:f>
        <x:v>21600</x:v>
      </x:c>
      <x:c r="N2017" s="17" t="n">
        <x:f>L2017+M2017</x:f>
        <x:v>141600</x:v>
      </x:c>
      <x:c r="O2017" s="12" t="str">
        <x:v>Pune</x:v>
      </x:c>
      <x:c r="P2017" s="12" t="str">
        <x:v>CORP-0681, CORP-0682, CORP-0683</x:v>
      </x:c>
      <x:c r="Q2017" s="12" t="str">
        <x:v>PTD Cleantech Solutions Pvt. Ltd</x:v>
      </x:c>
    </x:row>
    <x:row r="2018" ht="48" customHeight="1">
      <x:c r="A2018" s="2" t="str">
        <x:v>TEN-47542BC197FE</x:v>
      </x:c>
      <x:c r="B2018" s="12" t="str">
        <x:v>ptek multiples pvt ltd</x:v>
      </x:c>
      <x:c r="C2018" s="12" t="str">
        <x:v>Business / brand</x:v>
      </x:c>
      <x:c r="D2018" s="12" t="str">
        <x:v>Unresolved</x:v>
      </x:c>
      <x:c r="E2018" s="12" t="str">
        <x:v>Business activity not established</x:v>
      </x:c>
      <x:c r="F2018" s="12" t="str">
        <x:v>Mixed business audience</x:v>
      </x:c>
      <x:c r="G2018" s="12" t="str">
        <x:v>Business activity and company scale are not established from this name.</x:v>
      </x:c>
      <x:c r="H2018" s="11" t="n">
        <x:v>1</x:v>
      </x:c>
      <x:c r="I2018" s="11" t="n">
        <x:v>8</x:v>
      </x:c>
      <x:c r="J2018" s="11" t="n">
        <x:v>8</x:v>
      </x:c>
      <x:c r="K2018" s="11" t="n">
        <x:v>0</x:v>
      </x:c>
      <x:c r="L2018" s="17" t="n">
        <x:f>SUM(SUMIFS('Costing'!$P$9:$P$492,'Costing'!$A$9:$A$492,"MAIN-126"))</x:f>
        <x:v>200000</x:v>
      </x:c>
      <x:c r="M2018" s="17" t="n">
        <x:f>ROUND(L2018*'Costing'!$C$4,2)</x:f>
        <x:v>36000</x:v>
      </x:c>
      <x:c r="N2018" s="17" t="n">
        <x:f>L2018+M2018</x:f>
        <x:v>236000</x:v>
      </x:c>
      <x:c r="O2018" s="12" t="str">
        <x:v>Bengaluru</x:v>
      </x:c>
      <x:c r="P2018" s="12" t="str">
        <x:v>CORP-0122</x:v>
      </x:c>
      <x:c r="Q2018" s="12" t="str">
        <x:v>ptek multiples pvt ltd</x:v>
      </x:c>
    </x:row>
    <x:row r="2019" ht="48" customHeight="1">
      <x:c r="A2019" s="2" t="str">
        <x:v>TEN-4226BEF8F9C9</x:v>
      </x:c>
      <x:c r="B2019" s="12" t="str">
        <x:v>PUBLICIS MEDIA</x:v>
      </x:c>
      <x:c r="C2019" s="12" t="str">
        <x:v>Business / brand</x:v>
      </x:c>
      <x:c r="D2019" s="12" t="str">
        <x:v>Professional services</x:v>
      </x:c>
      <x:c r="E2019" s="12" t="str">
        <x:v>Marketing, media &amp; research services</x:v>
      </x:c>
      <x:c r="F2019" s="12" t="str">
        <x:v>Large enterprise</x:v>
      </x:c>
      <x:c r="G2019" s="12" t="str">
        <x:v>Explicit Publicis enterprise-family context; see ENTERPRISE_SUPP_027 evidence.</x:v>
      </x:c>
      <x:c r="H2019" s="11" t="n">
        <x:v>4</x:v>
      </x:c>
      <x:c r="I2019" s="11" t="n">
        <x:v>4</x:v>
      </x:c>
      <x:c r="J2019" s="11" t="n">
        <x:v>4</x:v>
      </x:c>
      <x:c r="K2019" s="11" t="n">
        <x:v>0</x:v>
      </x:c>
      <x:c r="L2019" s="17" t="n">
        <x:f>SUM(SUMIFS('Costing'!$P$9:$P$492,'Costing'!$A$9:$A$492,"PARTNER-M188"))</x:f>
        <x:v>160000</x:v>
      </x:c>
      <x:c r="M2019" s="17" t="n">
        <x:f>ROUND(L2019*'Costing'!$C$4,2)</x:f>
        <x:v>28800</x:v>
      </x:c>
      <x:c r="N2019" s="17" t="n">
        <x:f>L2019+M2019</x:f>
        <x:v>188800</x:v>
      </x:c>
      <x:c r="O2019" s="12" t="str">
        <x:v>Mumbai</x:v>
      </x:c>
      <x:c r="P2019" s="12" t="str">
        <x:v>CORP-0605, CORP-0606, CORP-0607, CORP-0608</x:v>
      </x:c>
      <x:c r="Q2019" s="12" t="str">
        <x:v>PUBLICIS MEDIA</x:v>
      </x:c>
    </x:row>
    <x:row r="2020" ht="48" customHeight="1">
      <x:c r="A2020" s="2" t="str">
        <x:v>TEN-0A260D0BDF2D</x:v>
      </x:c>
      <x:c r="B2020" s="12" t="str">
        <x:v>Purnabrahma Restaurant</x:v>
      </x:c>
      <x:c r="C2020" s="12" t="str">
        <x:v>Business / brand</x:v>
      </x:c>
      <x:c r="D2020" s="12" t="str">
        <x:v>Trade, consumer &amp; logistics</x:v>
      </x:c>
      <x:c r="E2020" s="12" t="str">
        <x:v>Travel, hospitality, food &amp; beverages</x:v>
      </x:c>
      <x:c r="F2020" s="12" t="str">
        <x:v>Small-scale prospects</x:v>
      </x:c>
      <x:c r="G2020" s="12" t="str">
        <x:v>Trading or consumer-services business; small-scale prospect assumption.</x:v>
      </x:c>
      <x:c r="H2020" s="11" t="n">
        <x:v>1</x:v>
      </x:c>
      <x:c r="I2020" s="11" t="n">
        <x:v>1</x:v>
      </x:c>
      <x:c r="J2020" s="11" t="n">
        <x:v>1</x:v>
      </x:c>
      <x:c r="K2020" s="11" t="n">
        <x:v>0</x:v>
      </x:c>
      <x:c r="L2020" s="17" t="n">
        <x:f>SUM(SUMIFS('Costing'!$P$9:$P$492,'Costing'!$A$9:$A$492,"MAIN-111"))</x:f>
        <x:v>15000</x:v>
      </x:c>
      <x:c r="M2020" s="17" t="n">
        <x:f>ROUND(L2020*'Costing'!$C$4,2)</x:f>
        <x:v>2700</x:v>
      </x:c>
      <x:c r="N2020" s="17" t="n">
        <x:f>L2020+M2020</x:f>
        <x:v>17700</x:v>
      </x:c>
      <x:c r="O2020" s="12" t="str">
        <x:v>Bengaluru</x:v>
      </x:c>
      <x:c r="P2020" s="12" t="str">
        <x:v>CORP-0107</x:v>
      </x:c>
      <x:c r="Q2020" s="12" t="str">
        <x:v>Purnabrahma Restaurant</x:v>
      </x:c>
    </x:row>
    <x:row r="2021" ht="48" customHeight="1">
      <x:c r="A2021" s="2" t="str">
        <x:v>TEN-42777503B9F4</x:v>
      </x:c>
      <x:c r="B2021" s="12" t="str">
        <x:v>Purple Finance</x:v>
      </x:c>
      <x:c r="C2021" s="12" t="str">
        <x:v>Business / brand</x:v>
      </x:c>
      <x:c r="D2021" s="12" t="str">
        <x:v>Finance &amp; insurance</x:v>
      </x:c>
      <x:c r="E2021" s="12" t="str">
        <x:v>Financial services — specialty unverified</x:v>
      </x:c>
      <x:c r="F2021" s="12" t="str">
        <x:v>Medium-scale prospects</x:v>
      </x:c>
      <x:c r="G2021" s="12" t="str">
        <x:v>Specialist financial-services business; medium-scale prospect assumption.</x:v>
      </x:c>
      <x:c r="H2021" s="11" t="n">
        <x:v>1</x:v>
      </x:c>
      <x:c r="I2021" s="11" t="n">
        <x:v>3</x:v>
      </x:c>
      <x:c r="J2021" s="11" t="n">
        <x:v>3</x:v>
      </x:c>
      <x:c r="K2021" s="11" t="n">
        <x:v>0</x:v>
      </x:c>
      <x:c r="L2021" s="17" t="n">
        <x:f>SUM(SUMIFS('Costing'!$P$9:$P$492,'Costing'!$A$9:$A$492,"MAIN-292"))</x:f>
        <x:v>120000</x:v>
      </x:c>
      <x:c r="M2021" s="17" t="n">
        <x:f>ROUND(L2021*'Costing'!$C$4,2)</x:f>
        <x:v>21600</x:v>
      </x:c>
      <x:c r="N2021" s="17" t="n">
        <x:f>L2021+M2021</x:f>
        <x:v>141600</x:v>
      </x:c>
      <x:c r="O2021" s="12" t="str">
        <x:v>Lucknow</x:v>
      </x:c>
      <x:c r="P2021" s="12" t="str">
        <x:v>CORP-0288</x:v>
      </x:c>
      <x:c r="Q2021" s="12" t="str">
        <x:v>Purple Finance</x:v>
      </x:c>
    </x:row>
    <x:row r="2022" ht="48" customHeight="1">
      <x:c r="A2022" s="2" t="str">
        <x:v>TEN-5B0F75D66A88</x:v>
      </x:c>
      <x:c r="B2022" s="12" t="str">
        <x:v>PZ Medical India Pvt Ltd</x:v>
      </x:c>
      <x:c r="C2022" s="12" t="str">
        <x:v>Business / brand</x:v>
      </x:c>
      <x:c r="D2022" s="12" t="str">
        <x:v>Healthcare &amp; life sciences</x:v>
      </x:c>
      <x:c r="E2022" s="12" t="str">
        <x:v>Clinical, medical &amp; diagnostic services</x:v>
      </x:c>
      <x:c r="F2022" s="12" t="str">
        <x:v>Small-scale prospects</x:v>
      </x:c>
      <x:c r="G2022" s="12" t="str">
        <x:v>Healthcare services business; small-scale prospect assumption.</x:v>
      </x:c>
      <x:c r="H2022" s="11" t="n">
        <x:v>1</x:v>
      </x:c>
      <x:c r="I2022" s="11" t="n">
        <x:v>1</x:v>
      </x:c>
      <x:c r="J2022" s="11" t="n">
        <x:v>1</x:v>
      </x:c>
      <x:c r="K2022" s="11" t="n">
        <x:v>0</x:v>
      </x:c>
      <x:c r="L2022" s="17" t="n">
        <x:f>SUM(SUMIFS('Costing'!$P$9:$P$492,'Costing'!$A$9:$A$492,"MAIN-071"))</x:f>
        <x:v>15000</x:v>
      </x:c>
      <x:c r="M2022" s="17" t="n">
        <x:f>ROUND(L2022*'Costing'!$C$4,2)</x:f>
        <x:v>2700</x:v>
      </x:c>
      <x:c r="N2022" s="17" t="n">
        <x:f>L2022+M2022</x:f>
        <x:v>17700</x:v>
      </x:c>
      <x:c r="O2022" s="12" t="str">
        <x:v>Bengaluru</x:v>
      </x:c>
      <x:c r="P2022" s="12" t="str">
        <x:v>CORP-0067</x:v>
      </x:c>
      <x:c r="Q2022" s="12" t="str">
        <x:v>PZ Medical India Pvt Ltd, PZ Medical India Pvt, Ltd</x:v>
      </x:c>
    </x:row>
    <x:row r="2023" ht="48" customHeight="1">
      <x:c r="A2023" s="2" t="str">
        <x:v>TEN-1218A0632377</x:v>
      </x:c>
      <x:c r="B2023" s="12" t="str">
        <x:v>Qartlz Pvt.Ltd</x:v>
      </x:c>
      <x:c r="C2023" s="12" t="str">
        <x:v>Business / brand</x:v>
      </x:c>
      <x:c r="D2023" s="12" t="str">
        <x:v>Unresolved</x:v>
      </x:c>
      <x:c r="E2023" s="12" t="str">
        <x:v>Business activity not established</x:v>
      </x:c>
      <x:c r="F2023" s="12" t="str">
        <x:v>Mixed business audience</x:v>
      </x:c>
      <x:c r="G2023" s="12" t="str">
        <x:v>Business activity and company scale are not established from this name.</x:v>
      </x:c>
      <x:c r="H2023" s="11" t="n">
        <x:v>1</x:v>
      </x:c>
      <x:c r="I2023" s="11" t="n">
        <x:v>2</x:v>
      </x:c>
      <x:c r="J2023" s="11" t="n">
        <x:v>2</x:v>
      </x:c>
      <x:c r="K2023" s="11" t="n">
        <x:v>0</x:v>
      </x:c>
      <x:c r="L2023" s="17" t="n">
        <x:f>SUM(SUMIFS('Costing'!$P$9:$P$492,'Costing'!$A$9:$A$492,"MAIN-277"))</x:f>
        <x:v>30000</x:v>
      </x:c>
      <x:c r="M2023" s="17" t="n">
        <x:f>ROUND(L2023*'Costing'!$C$4,2)</x:f>
        <x:v>5400</x:v>
      </x:c>
      <x:c r="N2023" s="17" t="n">
        <x:f>L2023+M2023</x:f>
        <x:v>35400</x:v>
      </x:c>
      <x:c r="O2023" s="12" t="str">
        <x:v>Kochi</x:v>
      </x:c>
      <x:c r="P2023" s="12" t="str">
        <x:v>CORP-0273</x:v>
      </x:c>
      <x:c r="Q2023" s="12" t="str">
        <x:v>Qartlz Pvt.Ltd</x:v>
      </x:c>
    </x:row>
    <x:row r="2024" ht="48" customHeight="1">
      <x:c r="A2024" s="2" t="str">
        <x:v>TEN-01DFE5E03500</x:v>
      </x:c>
      <x:c r="B2024" s="12" t="str">
        <x:v>QAssure Technologies India Pvt Ltd</x:v>
      </x:c>
      <x:c r="C2024" s="12" t="str">
        <x:v>Business / brand</x:v>
      </x:c>
      <x:c r="D2024" s="12" t="str">
        <x:v>IT &amp; digital</x:v>
      </x:c>
      <x:c r="E2024" s="12" t="str">
        <x:v>Enterprise software &amp; digital engineering</x:v>
      </x:c>
      <x:c r="F2024" s="12" t="str">
        <x:v>Small-scale prospects</x:v>
      </x:c>
      <x:c r="G2024" s="12" t="str">
        <x:v>Software or technology-services business; small-scale prospect assumption.</x:v>
      </x:c>
      <x:c r="H2024" s="11" t="n">
        <x:v>3</x:v>
      </x:c>
      <x:c r="I2024" s="11" t="n">
        <x:v>3</x:v>
      </x:c>
      <x:c r="J2024" s="11" t="n">
        <x:v>3</x:v>
      </x:c>
      <x:c r="K2024" s="11" t="n">
        <x:v>0</x:v>
      </x:c>
      <x:c r="L2024" s="17" t="n">
        <x:f>SUM(SUMIFS('Costing'!$P$9:$P$492,'Costing'!$A$9:$A$492,"PARTNER-M349"),SUMIFS('Costing'!$P$9:$P$492,'Costing'!$A$9:$A$492,"PARTNER-M350"))</x:f>
        <x:v>120000</x:v>
      </x:c>
      <x:c r="M2024" s="17" t="n">
        <x:f>ROUND(L2024*'Costing'!$C$4,2)</x:f>
        <x:v>21600</x:v>
      </x:c>
      <x:c r="N2024" s="17" t="n">
        <x:f>L2024+M2024</x:f>
        <x:v>141600</x:v>
      </x:c>
      <x:c r="O2024" s="12" t="str">
        <x:v>Chennai</x:v>
      </x:c>
      <x:c r="P2024" s="12" t="str">
        <x:v>CORP-0763, CORP-0764, CORP-0765</x:v>
      </x:c>
      <x:c r="Q2024" s="12" t="str">
        <x:v>QAssure Technologies India Pvt Ltd</x:v>
      </x:c>
    </x:row>
    <x:row r="2025" ht="48" customHeight="1">
      <x:c r="A2025" s="2" t="str">
        <x:v>TEN-238E58E8EF2D</x:v>
      </x:c>
      <x:c r="B2025" s="12" t="str">
        <x:v>Qbrainx India Private Limited</x:v>
      </x:c>
      <x:c r="C2025" s="12" t="str">
        <x:v>Business / brand</x:v>
      </x:c>
      <x:c r="D2025" s="12" t="str">
        <x:v>IT &amp; digital</x:v>
      </x:c>
      <x:c r="E2025" s="12" t="str">
        <x:v>Enterprise software &amp; digital engineering</x:v>
      </x:c>
      <x:c r="F2025" s="12" t="str">
        <x:v>Small-scale prospects</x:v>
      </x:c>
      <x:c r="G2025" s="12" t="str">
        <x:v>Software or technology-services business; small-scale prospect assumption.</x:v>
      </x:c>
      <x:c r="H2025" s="11" t="n">
        <x:v>1</x:v>
      </x:c>
      <x:c r="I2025" s="11" t="n">
        <x:v>1</x:v>
      </x:c>
      <x:c r="J2025" s="11" t="n">
        <x:v>1</x:v>
      </x:c>
      <x:c r="K2025" s="11" t="n">
        <x:v>0</x:v>
      </x:c>
      <x:c r="L2025" s="17" t="n">
        <x:f>SUM(SUMIFS('Costing'!$P$9:$P$492,'Costing'!$A$9:$A$492,"MAIN-259"))</x:f>
        <x:v>20000</x:v>
      </x:c>
      <x:c r="M2025" s="17" t="n">
        <x:f>ROUND(L2025*'Costing'!$C$4,2)</x:f>
        <x:v>3600</x:v>
      </x:c>
      <x:c r="N2025" s="17" t="n">
        <x:f>L2025+M2025</x:f>
        <x:v>23600</x:v>
      </x:c>
      <x:c r="O2025" s="12" t="str">
        <x:v>Hyderabad</x:v>
      </x:c>
      <x:c r="P2025" s="12" t="str">
        <x:v>CORP-0255</x:v>
      </x:c>
      <x:c r="Q2025" s="12" t="str">
        <x:v>Qbrainx India Private Limited</x:v>
      </x:c>
    </x:row>
    <x:row r="2026" ht="48" customHeight="1">
      <x:c r="A2026" s="2" t="str">
        <x:v>TEN-EA0C33070EEE</x:v>
      </x:c>
      <x:c r="B2026" s="12" t="str">
        <x:v>Qbytech Solutions Pvt Ltd</x:v>
      </x:c>
      <x:c r="C2026" s="12" t="str">
        <x:v>Business / brand</x:v>
      </x:c>
      <x:c r="D2026" s="12" t="str">
        <x:v>Unresolved</x:v>
      </x:c>
      <x:c r="E2026" s="12" t="str">
        <x:v>Business activity not established</x:v>
      </x:c>
      <x:c r="F2026" s="12" t="str">
        <x:v>Mixed business audience</x:v>
      </x:c>
      <x:c r="G2026" s="12" t="str">
        <x:v>Business activity and company scale are not established from this name.</x:v>
      </x:c>
      <x:c r="H2026" s="11" t="n">
        <x:v>1</x:v>
      </x:c>
      <x:c r="I2026" s="11" t="n">
        <x:v>26</x:v>
      </x:c>
      <x:c r="J2026" s="11" t="n">
        <x:v>26</x:v>
      </x:c>
      <x:c r="K2026" s="11" t="n">
        <x:v>0</x:v>
      </x:c>
      <x:c r="L2026" s="17" t="n">
        <x:f>SUM(SUMIFS('Costing'!$P$9:$P$492,'Costing'!$A$9:$A$492,"MAIN-342"))</x:f>
        <x:v>390000</x:v>
      </x:c>
      <x:c r="M2026" s="17" t="n">
        <x:f>ROUND(L2026*'Costing'!$C$4,2)</x:f>
        <x:v>70200</x:v>
      </x:c>
      <x:c r="N2026" s="17" t="n">
        <x:f>L2026+M2026</x:f>
        <x:v>460200</x:v>
      </x:c>
      <x:c r="O2026" s="12" t="str">
        <x:v>Mumbai</x:v>
      </x:c>
      <x:c r="P2026" s="12" t="str">
        <x:v>CORP-0338</x:v>
      </x:c>
      <x:c r="Q2026" s="12" t="str">
        <x:v>Qbytech Solutions Pvt Ltd</x:v>
      </x:c>
    </x:row>
    <x:row r="2027" ht="48" customHeight="1">
      <x:c r="A2027" s="2" t="str">
        <x:v>TEN-587750C75D36</x:v>
      </x:c>
      <x:c r="B2027" s="12" t="str">
        <x:v>Qdesq Realtech Private Limited</x:v>
      </x:c>
      <x:c r="C2027" s="12" t="str">
        <x:v>Business / brand</x:v>
      </x:c>
      <x:c r="D2027" s="12" t="str">
        <x:v>Trade, consumer &amp; logistics</x:v>
      </x:c>
      <x:c r="E2027" s="12" t="str">
        <x:v>Real estate, property &amp; construction services</x:v>
      </x:c>
      <x:c r="F2027" s="12" t="str">
        <x:v>Small-scale prospects</x:v>
      </x:c>
      <x:c r="G2027" s="12" t="str">
        <x:v>Trading or consumer-services business; small-scale prospect assumption.</x:v>
      </x:c>
      <x:c r="H2027" s="11" t="n">
        <x:v>1</x:v>
      </x:c>
      <x:c r="I2027" s="11" t="n">
        <x:v>6</x:v>
      </x:c>
      <x:c r="J2027" s="11" t="n">
        <x:v>6</x:v>
      </x:c>
      <x:c r="K2027" s="11" t="n">
        <x:v>0</x:v>
      </x:c>
      <x:c r="L2027" s="17" t="n">
        <x:f>SUM(SUMIFS('Costing'!$P$9:$P$492,'Costing'!$A$9:$A$492,"MAIN-373"))</x:f>
        <x:v>240000</x:v>
      </x:c>
      <x:c r="M2027" s="17" t="n">
        <x:f>ROUND(L2027*'Costing'!$C$4,2)</x:f>
        <x:v>43200</x:v>
      </x:c>
      <x:c r="N2027" s="17" t="n">
        <x:f>L2027+M2027</x:f>
        <x:v>283200</x:v>
      </x:c>
      <x:c r="O2027" s="12" t="str">
        <x:v>Delhi NCR</x:v>
      </x:c>
      <x:c r="P2027" s="12" t="str">
        <x:v>CORP-0369</x:v>
      </x:c>
      <x:c r="Q2027" s="12" t="str">
        <x:v>Qdesq Realtech Private Limited</x:v>
      </x:c>
    </x:row>
    <x:row r="2028" ht="48" customHeight="1">
      <x:c r="A2028" s="2" t="str">
        <x:v>TEN-379CF8E21D6F</x:v>
      </x:c>
      <x:c r="B2028" s="12" t="str">
        <x:v>Qnas Marketing LLP</x:v>
      </x:c>
      <x:c r="C2028" s="12" t="str">
        <x:v>Business / brand</x:v>
      </x:c>
      <x:c r="D2028" s="12" t="str">
        <x:v>Professional services</x:v>
      </x:c>
      <x:c r="E2028" s="12" t="str">
        <x:v>Marketing, media &amp; research services</x:v>
      </x:c>
      <x:c r="F2028" s="12" t="str">
        <x:v>Small-scale prospects</x:v>
      </x:c>
      <x:c r="G2028" s="12" t="str">
        <x:v>Professional service, agency or advisory model; small-scale prospect assumption.</x:v>
      </x:c>
      <x:c r="H2028" s="11" t="n">
        <x:v>1</x:v>
      </x:c>
      <x:c r="I2028" s="11" t="n">
        <x:v>5</x:v>
      </x:c>
      <x:c r="J2028" s="11" t="n">
        <x:v>5</x:v>
      </x:c>
      <x:c r="K2028" s="11" t="n">
        <x:v>0</x:v>
      </x:c>
      <x:c r="L2028" s="17" t="n">
        <x:f>SUM(SUMIFS('Costing'!$P$9:$P$492,'Costing'!$A$9:$A$492,"MAIN-127"))</x:f>
        <x:v>125000</x:v>
      </x:c>
      <x:c r="M2028" s="17" t="n">
        <x:f>ROUND(L2028*'Costing'!$C$4,2)</x:f>
        <x:v>22500</x:v>
      </x:c>
      <x:c r="N2028" s="17" t="n">
        <x:f>L2028+M2028</x:f>
        <x:v>147500</x:v>
      </x:c>
      <x:c r="O2028" s="12" t="str">
        <x:v>Bengaluru</x:v>
      </x:c>
      <x:c r="P2028" s="12" t="str">
        <x:v>CORP-0123</x:v>
      </x:c>
      <x:c r="Q2028" s="12" t="str">
        <x:v>Qnas Marketing LLP</x:v>
      </x:c>
    </x:row>
    <x:row r="2029" ht="48" customHeight="1">
      <x:c r="A2029" s="2" t="str">
        <x:v>TEN-2D844470A22E</x:v>
      </x:c>
      <x:c r="B2029" s="12" t="str">
        <x:v>Qsc</x:v>
      </x:c>
      <x:c r="C2029" s="12" t="str">
        <x:v>Business / brand</x:v>
      </x:c>
      <x:c r="D2029" s="12" t="str">
        <x:v>Unresolved</x:v>
      </x:c>
      <x:c r="E2029" s="12" t="str">
        <x:v>Business activity not established</x:v>
      </x:c>
      <x:c r="F2029" s="12" t="str">
        <x:v>Mixed business audience</x:v>
      </x:c>
      <x:c r="G2029" s="12" t="str">
        <x:v>Business activity and company scale are not established from this name.</x:v>
      </x:c>
      <x:c r="H2029" s="11" t="n">
        <x:v>10</x:v>
      </x:c>
      <x:c r="I2029" s="11" t="n">
        <x:v>10</x:v>
      </x:c>
      <x:c r="J2029" s="11" t="n">
        <x:v>10</x:v>
      </x:c>
      <x:c r="K2029" s="11" t="n">
        <x:v>0</x:v>
      </x:c>
      <x:c r="L2029" s="17" t="n">
        <x:f>SUM(SUMIFS('Costing'!$P$9:$P$492,'Costing'!$A$9:$A$492,"PARTNER-M120"))</x:f>
        <x:v>400000</x:v>
      </x:c>
      <x:c r="M2029" s="17" t="n">
        <x:f>ROUND(L2029*'Costing'!$C$4,2)</x:f>
        <x:v>72000</x:v>
      </x:c>
      <x:c r="N2029" s="17" t="n">
        <x:f>L2029+M2029</x:f>
        <x:v>472000</x:v>
      </x:c>
      <x:c r="O2029" s="12" t="str">
        <x:v>Bengaluru</x:v>
      </x:c>
      <x:c r="P2029" s="12" t="str">
        <x:v>CORP-0538, CORP-0539, CORP-0540, CORP-0541, CORP-0542, CORP-0543, CORP-0544, CORP-0545, CORP-0546, CORP-0547</x:v>
      </x:c>
      <x:c r="Q2029" s="12" t="str">
        <x:v>Qsc</x:v>
      </x:c>
    </x:row>
    <x:row r="2030" ht="48" customHeight="1">
      <x:c r="A2030" s="2" t="str">
        <x:v>TEN-3A6BC54B4437</x:v>
      </x:c>
      <x:c r="B2030" s="12" t="str">
        <x:v>QSOFT Solutions</x:v>
      </x:c>
      <x:c r="C2030" s="12" t="str">
        <x:v>Business / brand</x:v>
      </x:c>
      <x:c r="D2030" s="12" t="str">
        <x:v>IT &amp; digital</x:v>
      </x:c>
      <x:c r="E2030" s="12" t="str">
        <x:v>Enterprise software &amp; digital engineering</x:v>
      </x:c>
      <x:c r="F2030" s="12" t="str">
        <x:v>Small-scale prospects</x:v>
      </x:c>
      <x:c r="G2030" s="12" t="str">
        <x:v>Software or technology-services business; small-scale prospect assumption.</x:v>
      </x:c>
      <x:c r="H2030" s="11" t="n">
        <x:v>1</x:v>
      </x:c>
      <x:c r="I2030" s="11" t="n">
        <x:v>7</x:v>
      </x:c>
      <x:c r="J2030" s="11" t="n">
        <x:v>7</x:v>
      </x:c>
      <x:c r="K2030" s="11" t="n">
        <x:v>0</x:v>
      </x:c>
      <x:c r="L2030" s="17" t="n">
        <x:f>SUM(SUMIFS('Costing'!$P$9:$P$492,'Costing'!$A$9:$A$492,"MAIN-140"))</x:f>
        <x:v>105000</x:v>
      </x:c>
      <x:c r="M2030" s="17" t="n">
        <x:f>ROUND(L2030*'Costing'!$C$4,2)</x:f>
        <x:v>18900</x:v>
      </x:c>
      <x:c r="N2030" s="17" t="n">
        <x:f>L2030+M2030</x:f>
        <x:v>123900</x:v>
      </x:c>
      <x:c r="O2030" s="12" t="str">
        <x:v>Chennai</x:v>
      </x:c>
      <x:c r="P2030" s="12" t="str">
        <x:v>CORP-0136</x:v>
      </x:c>
      <x:c r="Q2030" s="12" t="str">
        <x:v>QSOFT Solutions</x:v>
      </x:c>
    </x:row>
    <x:row r="2031" ht="48" customHeight="1">
      <x:c r="A2031" s="2" t="str">
        <x:v>TEN-4E4EABF6E4C9</x:v>
      </x:c>
      <x:c r="B2031" s="12" t="str">
        <x:v>Qt India Technology Private Limited</x:v>
      </x:c>
      <x:c r="C2031" s="12" t="str">
        <x:v>Business / brand</x:v>
      </x:c>
      <x:c r="D2031" s="12" t="str">
        <x:v>IT &amp; digital</x:v>
      </x:c>
      <x:c r="E2031" s="12" t="str">
        <x:v>Enterprise software &amp; digital engineering</x:v>
      </x:c>
      <x:c r="F2031" s="12" t="str">
        <x:v>Mixed business audience</x:v>
      </x:c>
      <x:c r="G2031" s="12" t="str">
        <x:v>Established brand or business network; local company scale is not established. Use a mixed-business message.</x:v>
      </x:c>
      <x:c r="H2031" s="11" t="n">
        <x:v>1</x:v>
      </x:c>
      <x:c r="I2031" s="11" t="n">
        <x:v>4</x:v>
      </x:c>
      <x:c r="J2031" s="11" t="n">
        <x:v>4</x:v>
      </x:c>
      <x:c r="K2031" s="11" t="n">
        <x:v>0</x:v>
      </x:c>
      <x:c r="L2031" s="17" t="n">
        <x:f>SUM(SUMIFS('Costing'!$P$9:$P$492,'Costing'!$A$9:$A$492,"MAIN-124"))</x:f>
        <x:v>100000</x:v>
      </x:c>
      <x:c r="M2031" s="17" t="n">
        <x:f>ROUND(L2031*'Costing'!$C$4,2)</x:f>
        <x:v>18000</x:v>
      </x:c>
      <x:c r="N2031" s="17" t="n">
        <x:f>L2031+M2031</x:f>
        <x:v>118000</x:v>
      </x:c>
      <x:c r="O2031" s="12" t="str">
        <x:v>Bengaluru</x:v>
      </x:c>
      <x:c r="P2031" s="12" t="str">
        <x:v>CORP-0120</x:v>
      </x:c>
      <x:c r="Q2031" s="12" t="str">
        <x:v>Qt India Technology Private Limited</x:v>
      </x:c>
    </x:row>
    <x:row r="2032" ht="48" customHeight="1">
      <x:c r="A2032" s="2" t="str">
        <x:v>TEN-2120BB66819E</x:v>
      </x:c>
      <x:c r="B2032" s="12" t="str">
        <x:v>QuadGen Engineering Services</x:v>
      </x:c>
      <x:c r="C2032" s="12" t="str">
        <x:v>Business / brand</x:v>
      </x:c>
      <x:c r="D2032" s="12" t="str">
        <x:v>Engineering &amp; manufacturing</x:v>
      </x:c>
      <x:c r="E2032" s="12" t="str">
        <x:v>Energy, electrical &amp; industrial systems</x:v>
      </x:c>
      <x:c r="F2032" s="12" t="str">
        <x:v>Medium-scale prospects</x:v>
      </x:c>
      <x:c r="G2032" s="12" t="str">
        <x:v>Specialist industrial or engineering business; medium-scale prospect assumption.</x:v>
      </x:c>
      <x:c r="H2032" s="11" t="n">
        <x:v>3</x:v>
      </x:c>
      <x:c r="I2032" s="11" t="n">
        <x:v>3</x:v>
      </x:c>
      <x:c r="J2032" s="11" t="n">
        <x:v>3</x:v>
      </x:c>
      <x:c r="K2032" s="11" t="n">
        <x:v>0</x:v>
      </x:c>
      <x:c r="L2032" s="17" t="n">
        <x:f>SUM(SUMIFS('Costing'!$P$9:$P$492,'Costing'!$A$9:$A$492,"PARTNER-M097"))</x:f>
        <x:v>120000</x:v>
      </x:c>
      <x:c r="M2032" s="17" t="n">
        <x:f>ROUND(L2032*'Costing'!$C$4,2)</x:f>
        <x:v>21600</x:v>
      </x:c>
      <x:c r="N2032" s="17" t="n">
        <x:f>L2032+M2032</x:f>
        <x:v>141600</x:v>
      </x:c>
      <x:c r="O2032" s="12" t="str">
        <x:v>Bengaluru</x:v>
      </x:c>
      <x:c r="P2032" s="12" t="str">
        <x:v>CORP-0515, CORP-0516, CORP-0517</x:v>
      </x:c>
      <x:c r="Q2032" s="12" t="str">
        <x:v>QuadGen Engineering Services</x:v>
      </x:c>
    </x:row>
    <x:row r="2033" ht="48" customHeight="1">
      <x:c r="A2033" s="2" t="str">
        <x:v>TEN-3DA83F161DB1</x:v>
      </x:c>
      <x:c r="B2033" s="12" t="str">
        <x:v>QuadGen Technology</x:v>
      </x:c>
      <x:c r="C2033" s="12" t="str">
        <x:v>Business / brand</x:v>
      </x:c>
      <x:c r="D2033" s="12" t="str">
        <x:v>Unresolved</x:v>
      </x:c>
      <x:c r="E2033" s="12" t="str">
        <x:v>Business activity not established</x:v>
      </x:c>
      <x:c r="F2033" s="12" t="str">
        <x:v>Mixed business audience</x:v>
      </x:c>
      <x:c r="G2033" s="12" t="str">
        <x:v>Business activity and company scale are not established from this name.</x:v>
      </x:c>
      <x:c r="H2033" s="11" t="n">
        <x:v>1</x:v>
      </x:c>
      <x:c r="I2033" s="11" t="n">
        <x:v>1</x:v>
      </x:c>
      <x:c r="J2033" s="11" t="n">
        <x:v>1</x:v>
      </x:c>
      <x:c r="K2033" s="11" t="n">
        <x:v>0</x:v>
      </x:c>
      <x:c r="L2033" s="17" t="n">
        <x:f>SUM(SUMIFS('Costing'!$P$9:$P$492,'Costing'!$A$9:$A$492,"MAIN-015"))</x:f>
        <x:v>15000</x:v>
      </x:c>
      <x:c r="M2033" s="17" t="n">
        <x:f>ROUND(L2033*'Costing'!$C$4,2)</x:f>
        <x:v>2700</x:v>
      </x:c>
      <x:c r="N2033" s="17" t="n">
        <x:f>L2033+M2033</x:f>
        <x:v>17700</x:v>
      </x:c>
      <x:c r="O2033" s="12" t="str">
        <x:v>Bengaluru</x:v>
      </x:c>
      <x:c r="P2033" s="12" t="str">
        <x:v>CORP-0011</x:v>
      </x:c>
      <x:c r="Q2033" s="12" t="str">
        <x:v>QuadGen Technology</x:v>
      </x:c>
    </x:row>
    <x:row r="2034" ht="62" customHeight="1">
      <x:c r="A2034" s="2" t="str">
        <x:v>TEN-F31639A23C74</x:v>
      </x:c>
      <x:c r="B2034" s="12" t="str">
        <x:v>Qualcomm</x:v>
      </x:c>
      <x:c r="C2034" s="12" t="str">
        <x:v>Business / brand</x:v>
      </x:c>
      <x:c r="D2034" s="12" t="str">
        <x:v>Engineering &amp; manufacturing</x:v>
      </x:c>
      <x:c r="E2034" s="12" t="str">
        <x:v>Semiconductors, electronics &amp; equipment</x:v>
      </x:c>
      <x:c r="F2034" s="12" t="str">
        <x:v>Large enterprise</x:v>
      </x:c>
      <x:c r="G2034" s="12" t="str">
        <x:v>The official Qualcomm company page reports 170 offices in more than 30 countries and describes its international semiconductor and wireless-technology operations. That extensive footprint supports enterprise-group context.</x:v>
      </x:c>
      <x:c r="H2034" s="11" t="n">
        <x:v>16</x:v>
      </x:c>
      <x:c r="I2034" s="11" t="n">
        <x:v>16</x:v>
      </x:c>
      <x:c r="J2034" s="11" t="n">
        <x:v>16</x:v>
      </x:c>
      <x:c r="K2034" s="11" t="n">
        <x:v>0</x:v>
      </x:c>
      <x:c r="L2034" s="17" t="n">
        <x:f>SUM(SUMIFS('Costing'!$P$9:$P$492,'Costing'!$A$9:$A$492,"PARTNER-M138"),SUMIFS('Costing'!$P$9:$P$492,'Costing'!$A$9:$A$492,"PARTNER-M130"))</x:f>
        <x:v>640000</x:v>
      </x:c>
      <x:c r="M2034" s="17" t="n">
        <x:f>ROUND(L2034*'Costing'!$C$4,2)</x:f>
        <x:v>115200</x:v>
      </x:c>
      <x:c r="N2034" s="17" t="n">
        <x:f>L2034+M2034</x:f>
        <x:v>755200</x:v>
      </x:c>
      <x:c r="O2034" s="12" t="str">
        <x:v>Bengaluru</x:v>
      </x:c>
      <x:c r="P2034" s="12" t="str">
        <x:v>CORP-0548, CORP-0549, CORP-0550, CORP-0551, CORP-0552, CORP-0553, CORP-0554, CORP-0555, CORP-0556, CORP-0557, CORP-0558, CORP-0559, CORP-0560, CORP-0561, CORP-0562, CORP-0563</x:v>
      </x:c>
      <x:c r="Q2034" s="12" t="str">
        <x:v>Qualcomm, Qualcom</x:v>
      </x:c>
    </x:row>
    <x:row r="2035" ht="48" customHeight="1">
      <x:c r="A2035" s="2" t="str">
        <x:v>TEN-8031945A9EFC</x:v>
      </x:c>
      <x:c r="B2035" s="12" t="str">
        <x:v>Qualitrix Technologies</x:v>
      </x:c>
      <x:c r="C2035" s="12" t="str">
        <x:v>Business / brand</x:v>
      </x:c>
      <x:c r="D2035" s="12" t="str">
        <x:v>IT &amp; digital</x:v>
      </x:c>
      <x:c r="E2035" s="12" t="str">
        <x:v>Enterprise software &amp; digital engineering</x:v>
      </x:c>
      <x:c r="F2035" s="12" t="str">
        <x:v>Small-scale prospects</x:v>
      </x:c>
      <x:c r="G2035" s="12" t="str">
        <x:v>Software or technology-services business; small-scale prospect assumption.</x:v>
      </x:c>
      <x:c r="H2035" s="11" t="n">
        <x:v>2</x:v>
      </x:c>
      <x:c r="I2035" s="11" t="n">
        <x:v>2</x:v>
      </x:c>
      <x:c r="J2035" s="11" t="n">
        <x:v>2</x:v>
      </x:c>
      <x:c r="K2035" s="11" t="n">
        <x:v>0</x:v>
      </x:c>
      <x:c r="L2035" s="17" t="n">
        <x:f>SUM(SUMIFS('Costing'!$P$9:$P$492,'Costing'!$A$9:$A$492,"PARTNER-M070"))</x:f>
        <x:v>80000</x:v>
      </x:c>
      <x:c r="M2035" s="17" t="n">
        <x:f>ROUND(L2035*'Costing'!$C$4,2)</x:f>
        <x:v>14400</x:v>
      </x:c>
      <x:c r="N2035" s="17" t="n">
        <x:f>L2035+M2035</x:f>
        <x:v>94400</x:v>
      </x:c>
      <x:c r="O2035" s="12" t="str">
        <x:v>Bengaluru</x:v>
      </x:c>
      <x:c r="P2035" s="12" t="str">
        <x:v>CORP-0488, CORP-0489</x:v>
      </x:c>
      <x:c r="Q2035" s="12" t="str">
        <x:v>Qualitrix Technologies</x:v>
      </x:c>
    </x:row>
    <x:row r="2036" ht="48" customHeight="1">
      <x:c r="A2036" s="2" t="str">
        <x:v>TEN-B4D82B3F4A64</x:v>
      </x:c>
      <x:c r="B2036" s="12" t="str">
        <x:v>Quantela</x:v>
      </x:c>
      <x:c r="C2036" s="12" t="str">
        <x:v>Business / brand</x:v>
      </x:c>
      <x:c r="D2036" s="12" t="str">
        <x:v>IT &amp; digital</x:v>
      </x:c>
      <x:c r="E2036" s="12" t="str">
        <x:v>AI, data &amp; analytics</x:v>
      </x:c>
      <x:c r="F2036" s="12" t="str">
        <x:v>Small-scale prospects</x:v>
      </x:c>
      <x:c r="G2036" s="12" t="str">
        <x:v>Software or technology-services business; small-scale prospect assumption.</x:v>
      </x:c>
      <x:c r="H2036" s="11" t="n">
        <x:v>4</x:v>
      </x:c>
      <x:c r="I2036" s="11" t="n">
        <x:v>4</x:v>
      </x:c>
      <x:c r="J2036" s="11" t="n">
        <x:v>4</x:v>
      </x:c>
      <x:c r="K2036" s="11" t="n">
        <x:v>0</x:v>
      </x:c>
      <x:c r="L2036" s="17" t="n">
        <x:f>SUM(SUMIFS('Costing'!$P$9:$P$492,'Costing'!$A$9:$A$492,"PARTNER-M308"))</x:f>
        <x:v>160000</x:v>
      </x:c>
      <x:c r="M2036" s="17" t="n">
        <x:f>ROUND(L2036*'Costing'!$C$4,2)</x:f>
        <x:v>28800</x:v>
      </x:c>
      <x:c r="N2036" s="17" t="n">
        <x:f>L2036+M2036</x:f>
        <x:v>188800</x:v>
      </x:c>
      <x:c r="O2036" s="12" t="str">
        <x:v>Hyderabad</x:v>
      </x:c>
      <x:c r="P2036" s="12" t="str">
        <x:v>CORP-0723, CORP-0724, CORP-0725, CORP-0726</x:v>
      </x:c>
      <x:c r="Q2036" s="12" t="str">
        <x:v>Quantela</x:v>
      </x:c>
    </x:row>
    <x:row r="2037" ht="48" customHeight="1">
      <x:c r="A2037" s="2" t="str">
        <x:v>TEN-40C9B208C300</x:v>
      </x:c>
      <x:c r="B2037" s="12" t="str">
        <x:v>Quantinio Technologies Private Limited</x:v>
      </x:c>
      <x:c r="C2037" s="12" t="str">
        <x:v>Business / brand</x:v>
      </x:c>
      <x:c r="D2037" s="12" t="str">
        <x:v>Unresolved</x:v>
      </x:c>
      <x:c r="E2037" s="12" t="str">
        <x:v>Business activity not established</x:v>
      </x:c>
      <x:c r="F2037" s="12" t="str">
        <x:v>Mixed business audience</x:v>
      </x:c>
      <x:c r="G2037" s="12" t="str">
        <x:v>Business activity and company scale are not established from this name.</x:v>
      </x:c>
      <x:c r="H2037" s="11" t="n">
        <x:v>1</x:v>
      </x:c>
      <x:c r="I2037" s="11" t="n">
        <x:v>17</x:v>
      </x:c>
      <x:c r="J2037" s="11" t="n">
        <x:v>17</x:v>
      </x:c>
      <x:c r="K2037" s="11" t="n">
        <x:v>0</x:v>
      </x:c>
      <x:c r="L2037" s="17" t="n">
        <x:f>SUM(SUMIFS('Costing'!$P$9:$P$492,'Costing'!$A$9:$A$492,"MAIN-353"))</x:f>
        <x:v>425000</x:v>
      </x:c>
      <x:c r="M2037" s="17" t="n">
        <x:f>ROUND(L2037*'Costing'!$C$4,2)</x:f>
        <x:v>76500</x:v>
      </x:c>
      <x:c r="N2037" s="17" t="n">
        <x:f>L2037+M2037</x:f>
        <x:v>501500</x:v>
      </x:c>
      <x:c r="O2037" s="12" t="str">
        <x:v>Mumbai</x:v>
      </x:c>
      <x:c r="P2037" s="12" t="str">
        <x:v>CORP-0349</x:v>
      </x:c>
      <x:c r="Q2037" s="12" t="str">
        <x:v>Quantinio Technologies Private Limited</x:v>
      </x:c>
    </x:row>
    <x:row r="2038" ht="48" customHeight="1">
      <x:c r="A2038" s="2" t="str">
        <x:v>TEN-AE00016741A7</x:v>
      </x:c>
      <x:c r="B2038" s="12" t="str">
        <x:v>Queen Street</x:v>
      </x:c>
      <x:c r="C2038" s="12" t="str">
        <x:v>Business / brand</x:v>
      </x:c>
      <x:c r="D2038" s="12" t="str">
        <x:v>Unresolved</x:v>
      </x:c>
      <x:c r="E2038" s="12" t="str">
        <x:v>Business activity not established</x:v>
      </x:c>
      <x:c r="F2038" s="12" t="str">
        <x:v>Mixed business audience</x:v>
      </x:c>
      <x:c r="G2038" s="12" t="str">
        <x:v>Business activity and company scale are not established from this name.</x:v>
      </x:c>
      <x:c r="H2038" s="11" t="n">
        <x:v>1</x:v>
      </x:c>
      <x:c r="I2038" s="11" t="n">
        <x:v>2</x:v>
      </x:c>
      <x:c r="J2038" s="11" t="n">
        <x:v>2</x:v>
      </x:c>
      <x:c r="K2038" s="11" t="n">
        <x:v>0</x:v>
      </x:c>
      <x:c r="L2038" s="17" t="n">
        <x:f>SUM(SUMIFS('Costing'!$P$9:$P$492,'Costing'!$A$9:$A$492,"MAIN-413"))</x:f>
        <x:v>80000</x:v>
      </x:c>
      <x:c r="M2038" s="17" t="n">
        <x:f>ROUND(L2038*'Costing'!$C$4,2)</x:f>
        <x:v>14400</x:v>
      </x:c>
      <x:c r="N2038" s="17" t="n">
        <x:f>L2038+M2038</x:f>
        <x:v>94400</x:v>
      </x:c>
      <x:c r="O2038" s="12" t="str">
        <x:v>Pune</x:v>
      </x:c>
      <x:c r="P2038" s="12" t="str">
        <x:v>CORP-0409</x:v>
      </x:c>
      <x:c r="Q2038" s="12" t="str">
        <x:v>Queen Street</x:v>
      </x:c>
    </x:row>
    <x:row r="2039" ht="48" customHeight="1">
      <x:c r="A2039" s="2" t="str">
        <x:v>TEN-20A7D31FBA30</x:v>
      </x:c>
      <x:c r="B2039" s="12" t="str">
        <x:v>QUESS</x:v>
      </x:c>
      <x:c r="C2039" s="12" t="str">
        <x:v>Business / brand</x:v>
      </x:c>
      <x:c r="D2039" s="12" t="str">
        <x:v>Professional services</x:v>
      </x:c>
      <x:c r="E2039" s="12" t="str">
        <x:v>Recruitment, HR &amp; staffing</x:v>
      </x:c>
      <x:c r="F2039" s="12" t="str">
        <x:v>Mixed business audience</x:v>
      </x:c>
      <x:c r="G2039" s="12" t="str">
        <x:v>Recognisable business context; company-scale evidence remains insufficient for a single size band.</x:v>
      </x:c>
      <x:c r="H2039" s="11" t="n">
        <x:v>1</x:v>
      </x:c>
      <x:c r="I2039" s="11" t="n">
        <x:v>2</x:v>
      </x:c>
      <x:c r="J2039" s="11" t="n">
        <x:v>2</x:v>
      </x:c>
      <x:c r="K2039" s="11" t="n">
        <x:v>0</x:v>
      </x:c>
      <x:c r="L2039" s="17" t="n">
        <x:f>SUM(SUMIFS('Costing'!$P$9:$P$492,'Costing'!$A$9:$A$492,"MAIN-271"))</x:f>
        <x:v>40000</x:v>
      </x:c>
      <x:c r="M2039" s="17" t="n">
        <x:f>ROUND(L2039*'Costing'!$C$4,2)</x:f>
        <x:v>7200</x:v>
      </x:c>
      <x:c r="N2039" s="17" t="n">
        <x:f>L2039+M2039</x:f>
        <x:v>47200</x:v>
      </x:c>
      <x:c r="O2039" s="12" t="str">
        <x:v>Indore</x:v>
      </x:c>
      <x:c r="P2039" s="12" t="str">
        <x:v>CORP-0267</x:v>
      </x:c>
      <x:c r="Q2039" s="12" t="str">
        <x:v>QUESS</x:v>
      </x:c>
    </x:row>
    <x:row r="2040" ht="49" customHeight="1">
      <x:c r="A2040" s="2" t="str">
        <x:v>TEN-F17C5FB2D022</x:v>
      </x:c>
      <x:c r="B2040" s="12" t="str">
        <x:v>Quest Offices</x:v>
      </x:c>
      <x:c r="C2040" s="12" t="str">
        <x:v>Workspace operator</x:v>
      </x:c>
      <x:c r="D2040" s="12" t="str">
        <x:v>Workspace &amp; property operations</x:v>
      </x:c>
      <x:c r="E2040" s="12" t="str">
        <x:v>Coworking/workspace operator</x:v>
      </x:c>
      <x:c r="F2040" s="12" t="str">
        <x:v>Mixed business audience</x:v>
      </x:c>
      <x:c r="G2040" s="12" t="str">
        <x:v>Supplied entry is a shared-workspace operator; the business sizes of occupant companies cannot be derived from the operator name.</x:v>
      </x:c>
      <x:c r="H2040" s="11" t="n">
        <x:v>1</x:v>
      </x:c>
      <x:c r="I2040" s="11" t="n">
        <x:v>1</x:v>
      </x:c>
      <x:c r="J2040" s="11" t="n">
        <x:v>1</x:v>
      </x:c>
      <x:c r="K2040" s="11" t="n">
        <x:v>0</x:v>
      </x:c>
      <x:c r="L2040" s="17" t="n">
        <x:f>SUM(SUMIFS('Costing'!$P$9:$P$492,'Costing'!$A$9:$A$492,"MAIN-076"))</x:f>
        <x:v>15000</x:v>
      </x:c>
      <x:c r="M2040" s="17" t="n">
        <x:f>ROUND(L2040*'Costing'!$C$4,2)</x:f>
        <x:v>2700</x:v>
      </x:c>
      <x:c r="N2040" s="17" t="n">
        <x:f>L2040+M2040</x:f>
        <x:v>17700</x:v>
      </x:c>
      <x:c r="O2040" s="12" t="str">
        <x:v>Bengaluru</x:v>
      </x:c>
      <x:c r="P2040" s="12" t="str">
        <x:v>CORP-0072</x:v>
      </x:c>
      <x:c r="Q2040" s="12" t="str">
        <x:v>Quest Offices</x:v>
      </x:c>
    </x:row>
    <x:row r="2041" ht="49" customHeight="1">
      <x:c r="A2041" s="2" t="str">
        <x:v>TEN-B2C75F70B174</x:v>
      </x:c>
      <x:c r="B2041" s="12" t="str">
        <x:v>Quest Offices Pvt Ltd</x:v>
      </x:c>
      <x:c r="C2041" s="12" t="str">
        <x:v>Workspace operator</x:v>
      </x:c>
      <x:c r="D2041" s="12" t="str">
        <x:v>Workspace &amp; property operations</x:v>
      </x:c>
      <x:c r="E2041" s="12" t="str">
        <x:v>Coworking/workspace operator</x:v>
      </x:c>
      <x:c r="F2041" s="12" t="str">
        <x:v>Mixed business audience</x:v>
      </x:c>
      <x:c r="G2041" s="12" t="str">
        <x:v>Supplied entry is a shared-workspace operator; the business sizes of occupant companies cannot be derived from the operator name.</x:v>
      </x:c>
      <x:c r="H2041" s="11" t="n">
        <x:v>1</x:v>
      </x:c>
      <x:c r="I2041" s="11" t="n">
        <x:v>11</x:v>
      </x:c>
      <x:c r="J2041" s="11" t="n">
        <x:v>11</x:v>
      </x:c>
      <x:c r="K2041" s="11" t="n">
        <x:v>0</x:v>
      </x:c>
      <x:c r="L2041" s="17" t="n">
        <x:f>SUM(SUMIFS('Costing'!$P$9:$P$492,'Costing'!$A$9:$A$492,"MAIN-077"))</x:f>
        <x:v>165000</x:v>
      </x:c>
      <x:c r="M2041" s="17" t="n">
        <x:f>ROUND(L2041*'Costing'!$C$4,2)</x:f>
        <x:v>29700</x:v>
      </x:c>
      <x:c r="N2041" s="17" t="n">
        <x:f>L2041+M2041</x:f>
        <x:v>194700</x:v>
      </x:c>
      <x:c r="O2041" s="12" t="str">
        <x:v>Bengaluru</x:v>
      </x:c>
      <x:c r="P2041" s="12" t="str">
        <x:v>CORP-0073</x:v>
      </x:c>
      <x:c r="Q2041" s="12" t="str">
        <x:v>Quest Offices Pvt Ltd</x:v>
      </x:c>
    </x:row>
    <x:row r="2042" ht="48" customHeight="1">
      <x:c r="A2042" s="2" t="str">
        <x:v>TEN-61D7F9904E77</x:v>
      </x:c>
      <x:c r="B2042" s="12" t="str">
        <x:v>Quest Venture Cooordinators Pvt. Ltd</x:v>
      </x:c>
      <x:c r="C2042" s="12" t="str">
        <x:v>Business / brand</x:v>
      </x:c>
      <x:c r="D2042" s="12" t="str">
        <x:v>Unresolved</x:v>
      </x:c>
      <x:c r="E2042" s="12" t="str">
        <x:v>Business activity not established</x:v>
      </x:c>
      <x:c r="F2042" s="12" t="str">
        <x:v>Mixed business audience</x:v>
      </x:c>
      <x:c r="G2042" s="12" t="str">
        <x:v>Business activity and company scale are not established from this name.</x:v>
      </x:c>
      <x:c r="H2042" s="11" t="n">
        <x:v>1</x:v>
      </x:c>
      <x:c r="I2042" s="11" t="n">
        <x:v>3</x:v>
      </x:c>
      <x:c r="J2042" s="11" t="n">
        <x:v>3</x:v>
      </x:c>
      <x:c r="K2042" s="11" t="n">
        <x:v>0</x:v>
      </x:c>
      <x:c r="L2042" s="17" t="n">
        <x:f>SUM(SUMIFS('Costing'!$P$9:$P$492,'Costing'!$A$9:$A$492,"MAIN-206"))</x:f>
        <x:v>120000</x:v>
      </x:c>
      <x:c r="M2042" s="17" t="n">
        <x:f>ROUND(L2042*'Costing'!$C$4,2)</x:f>
        <x:v>21600</x:v>
      </x:c>
      <x:c r="N2042" s="17" t="n">
        <x:f>L2042+M2042</x:f>
        <x:v>141600</x:v>
      </x:c>
      <x:c r="O2042" s="12" t="str">
        <x:v>Delhi NCR</x:v>
      </x:c>
      <x:c r="P2042" s="12" t="str">
        <x:v>CORP-0202</x:v>
      </x:c>
      <x:c r="Q2042" s="12" t="str">
        <x:v>Quest Venture Cooordinators Pvt. Ltd</x:v>
      </x:c>
    </x:row>
    <x:row r="2043" ht="48" customHeight="1">
      <x:c r="A2043" s="2" t="str">
        <x:v>TEN-A320EB654686</x:v>
      </x:c>
      <x:c r="B2043" s="12" t="str">
        <x:v>Questt</x:v>
      </x:c>
      <x:c r="C2043" s="12" t="str">
        <x:v>Business / brand</x:v>
      </x:c>
      <x:c r="D2043" s="12" t="str">
        <x:v>Education</x:v>
      </x:c>
      <x:c r="E2043" s="12" t="str">
        <x:v>Edtech, training &amp; learning</x:v>
      </x:c>
      <x:c r="F2043" s="12" t="str">
        <x:v>Small-scale prospects</x:v>
      </x:c>
      <x:c r="G2043" s="12" t="str">
        <x:v>Training or education-services business; small-scale prospect assumption.</x:v>
      </x:c>
      <x:c r="H2043" s="11" t="n">
        <x:v>1</x:v>
      </x:c>
      <x:c r="I2043" s="11" t="n">
        <x:v>2</x:v>
      </x:c>
      <x:c r="J2043" s="11" t="n">
        <x:v>2</x:v>
      </x:c>
      <x:c r="K2043" s="11" t="n">
        <x:v>0</x:v>
      </x:c>
      <x:c r="L2043" s="17" t="n">
        <x:f>SUM(SUMIFS('Costing'!$P$9:$P$492,'Costing'!$A$9:$A$492,"MAIN-108"))</x:f>
        <x:v>30000</x:v>
      </x:c>
      <x:c r="M2043" s="17" t="n">
        <x:f>ROUND(L2043*'Costing'!$C$4,2)</x:f>
        <x:v>5400</x:v>
      </x:c>
      <x:c r="N2043" s="17" t="n">
        <x:f>L2043+M2043</x:f>
        <x:v>35400</x:v>
      </x:c>
      <x:c r="O2043" s="12" t="str">
        <x:v>Bengaluru</x:v>
      </x:c>
      <x:c r="P2043" s="12" t="str">
        <x:v>CORP-0104</x:v>
      </x:c>
      <x:c r="Q2043" s="12" t="str">
        <x:v>Questt</x:v>
      </x:c>
    </x:row>
    <x:row r="2044" ht="48" customHeight="1">
      <x:c r="A2044" s="2" t="str">
        <x:v>TEN-85A2BCA26E54</x:v>
      </x:c>
      <x:c r="B2044" s="12" t="str">
        <x:v>Quick Logi Technologies Idia Pvt.Ltd</x:v>
      </x:c>
      <x:c r="C2044" s="12" t="str">
        <x:v>Business / brand</x:v>
      </x:c>
      <x:c r="D2044" s="12" t="str">
        <x:v>Unresolved</x:v>
      </x:c>
      <x:c r="E2044" s="12" t="str">
        <x:v>Business activity not established</x:v>
      </x:c>
      <x:c r="F2044" s="12" t="str">
        <x:v>Mixed business audience</x:v>
      </x:c>
      <x:c r="G2044" s="12" t="str">
        <x:v>Business activity and company scale are not established from this name.</x:v>
      </x:c>
      <x:c r="H2044" s="11" t="n">
        <x:v>1</x:v>
      </x:c>
      <x:c r="I2044" s="11" t="n">
        <x:v>1</x:v>
      </x:c>
      <x:c r="J2044" s="11" t="n">
        <x:v>1</x:v>
      </x:c>
      <x:c r="K2044" s="11" t="n">
        <x:v>0</x:v>
      </x:c>
      <x:c r="L2044" s="17" t="n">
        <x:f>SUM(SUMIFS('Costing'!$P$9:$P$492,'Costing'!$A$9:$A$492,"MAIN-071"))</x:f>
        <x:v>15000</x:v>
      </x:c>
      <x:c r="M2044" s="17" t="n">
        <x:f>ROUND(L2044*'Costing'!$C$4,2)</x:f>
        <x:v>2700</x:v>
      </x:c>
      <x:c r="N2044" s="17" t="n">
        <x:f>L2044+M2044</x:f>
        <x:v>17700</x:v>
      </x:c>
      <x:c r="O2044" s="12" t="str">
        <x:v>Bengaluru</x:v>
      </x:c>
      <x:c r="P2044" s="12" t="str">
        <x:v>CORP-0067</x:v>
      </x:c>
      <x:c r="Q2044" s="12" t="str">
        <x:v>Quick Logi Technologies Idia Pvt.Ltd</x:v>
      </x:c>
    </x:row>
    <x:row r="2045" ht="48" customHeight="1">
      <x:c r="A2045" s="2" t="str">
        <x:v>TEN-4DE4E8CC2F04</x:v>
      </x:c>
      <x:c r="B2045" s="12" t="str">
        <x:v>Quickjet cargo airlined</x:v>
      </x:c>
      <x:c r="C2045" s="12" t="str">
        <x:v>Business / brand</x:v>
      </x:c>
      <x:c r="D2045" s="12" t="str">
        <x:v>Trade, consumer &amp; logistics</x:v>
      </x:c>
      <x:c r="E2045" s="12" t="str">
        <x:v>Logistics, shipping &amp; transport</x:v>
      </x:c>
      <x:c r="F2045" s="12" t="str">
        <x:v>Medium-scale prospects</x:v>
      </x:c>
      <x:c r="G2045" s="12" t="str">
        <x:v>Specialist logistics or transport business; medium-scale prospect assumption.</x:v>
      </x:c>
      <x:c r="H2045" s="11" t="n">
        <x:v>1</x:v>
      </x:c>
      <x:c r="I2045" s="11" t="n">
        <x:v>4</x:v>
      </x:c>
      <x:c r="J2045" s="11" t="n">
        <x:v>4</x:v>
      </x:c>
      <x:c r="K2045" s="11" t="n">
        <x:v>0</x:v>
      </x:c>
      <x:c r="L2045" s="17" t="n">
        <x:f>SUM(SUMIFS('Costing'!$P$9:$P$492,'Costing'!$A$9:$A$492,"MAIN-016"))</x:f>
        <x:v>60000</x:v>
      </x:c>
      <x:c r="M2045" s="17" t="n">
        <x:f>ROUND(L2045*'Costing'!$C$4,2)</x:f>
        <x:v>10800</x:v>
      </x:c>
      <x:c r="N2045" s="17" t="n">
        <x:f>L2045+M2045</x:f>
        <x:v>70800</x:v>
      </x:c>
      <x:c r="O2045" s="12" t="str">
        <x:v>Bengaluru</x:v>
      </x:c>
      <x:c r="P2045" s="12" t="str">
        <x:v>CORP-0012</x:v>
      </x:c>
      <x:c r="Q2045" s="12" t="str">
        <x:v>Quickjet cargo airlined</x:v>
      </x:c>
    </x:row>
    <x:row r="2046" ht="48" customHeight="1">
      <x:c r="A2046" s="2" t="str">
        <x:v>TEN-631DCFEADDEF</x:v>
      </x:c>
      <x:c r="B2046" s="12" t="str">
        <x:v>QuickSun Technologies</x:v>
      </x:c>
      <x:c r="C2046" s="12" t="str">
        <x:v>Business / brand</x:v>
      </x:c>
      <x:c r="D2046" s="12" t="str">
        <x:v>Unresolved</x:v>
      </x:c>
      <x:c r="E2046" s="12" t="str">
        <x:v>Business activity not established</x:v>
      </x:c>
      <x:c r="F2046" s="12" t="str">
        <x:v>Mixed business audience</x:v>
      </x:c>
      <x:c r="G2046" s="12" t="str">
        <x:v>Business activity and company scale are not established from this name.</x:v>
      </x:c>
      <x:c r="H2046" s="11" t="n">
        <x:v>1</x:v>
      </x:c>
      <x:c r="I2046" s="11" t="n">
        <x:v>2</x:v>
      </x:c>
      <x:c r="J2046" s="11" t="n">
        <x:v>2</x:v>
      </x:c>
      <x:c r="K2046" s="11" t="n">
        <x:v>0</x:v>
      </x:c>
      <x:c r="L2046" s="17" t="n">
        <x:f>SUM(SUMIFS('Costing'!$P$9:$P$492,'Costing'!$A$9:$A$492,"MAIN-207"))</x:f>
        <x:v>80000</x:v>
      </x:c>
      <x:c r="M2046" s="17" t="n">
        <x:f>ROUND(L2046*'Costing'!$C$4,2)</x:f>
        <x:v>14400</x:v>
      </x:c>
      <x:c r="N2046" s="17" t="n">
        <x:f>L2046+M2046</x:f>
        <x:v>94400</x:v>
      </x:c>
      <x:c r="O2046" s="12" t="str">
        <x:v>Delhi NCR</x:v>
      </x:c>
      <x:c r="P2046" s="12" t="str">
        <x:v>CORP-0203</x:v>
      </x:c>
      <x:c r="Q2046" s="12" t="str">
        <x:v>QuickSun Technologies</x:v>
      </x:c>
    </x:row>
    <x:row r="2047" ht="48" customHeight="1">
      <x:c r="A2047" s="2" t="str">
        <x:v>TEN-2A148617E1B4</x:v>
      </x:c>
      <x:c r="B2047" s="12" t="str">
        <x:v>Quickups PVT.LTD</x:v>
      </x:c>
      <x:c r="C2047" s="12" t="str">
        <x:v>Business / brand</x:v>
      </x:c>
      <x:c r="D2047" s="12" t="str">
        <x:v>Trade, consumer &amp; logistics</x:v>
      </x:c>
      <x:c r="E2047" s="12" t="str">
        <x:v>Logistics, shipping &amp; transport</x:v>
      </x:c>
      <x:c r="F2047" s="12" t="str">
        <x:v>Medium-scale prospects</x:v>
      </x:c>
      <x:c r="G2047" s="12" t="str">
        <x:v>Specialist logistics or transport business; medium-scale prospect assumption.</x:v>
      </x:c>
      <x:c r="H2047" s="11" t="n">
        <x:v>1</x:v>
      </x:c>
      <x:c r="I2047" s="11" t="n">
        <x:v>1</x:v>
      </x:c>
      <x:c r="J2047" s="11" t="n">
        <x:v>1</x:v>
      </x:c>
      <x:c r="K2047" s="11" t="n">
        <x:v>0</x:v>
      </x:c>
      <x:c r="L2047" s="17" t="n">
        <x:f>SUM(SUMIFS('Costing'!$P$9:$P$492,'Costing'!$A$9:$A$492,"MAIN-010"))</x:f>
        <x:v>15000</x:v>
      </x:c>
      <x:c r="M2047" s="17" t="n">
        <x:f>ROUND(L2047*'Costing'!$C$4,2)</x:f>
        <x:v>2700</x:v>
      </x:c>
      <x:c r="N2047" s="17" t="n">
        <x:f>L2047+M2047</x:f>
        <x:v>17700</x:v>
      </x:c>
      <x:c r="O2047" s="12" t="str">
        <x:v>Bengaluru</x:v>
      </x:c>
      <x:c r="P2047" s="12" t="str">
        <x:v>CORP-0006</x:v>
      </x:c>
      <x:c r="Q2047" s="12" t="str">
        <x:v>Quickups PVT.LTD</x:v>
      </x:c>
    </x:row>
    <x:row r="2048" ht="48" customHeight="1">
      <x:c r="A2048" s="2" t="str">
        <x:v>TEN-789301E9239F</x:v>
      </x:c>
      <x:c r="B2048" s="12" t="str">
        <x:v>QUICKYEARNING PRIVATE LIMITED</x:v>
      </x:c>
      <x:c r="C2048" s="12" t="str">
        <x:v>Business / brand</x:v>
      </x:c>
      <x:c r="D2048" s="12" t="str">
        <x:v>Unresolved</x:v>
      </x:c>
      <x:c r="E2048" s="12" t="str">
        <x:v>Business activity not established</x:v>
      </x:c>
      <x:c r="F2048" s="12" t="str">
        <x:v>Mixed business audience</x:v>
      </x:c>
      <x:c r="G2048" s="12" t="str">
        <x:v>Business activity and company scale are not established from this name.</x:v>
      </x:c>
      <x:c r="H2048" s="11" t="n">
        <x:v>1</x:v>
      </x:c>
      <x:c r="I2048" s="11" t="n">
        <x:v>1</x:v>
      </x:c>
      <x:c r="J2048" s="11" t="n">
        <x:v>1</x:v>
      </x:c>
      <x:c r="K2048" s="11" t="n">
        <x:v>0</x:v>
      </x:c>
      <x:c r="L2048" s="17" t="n">
        <x:f>SUM(SUMIFS('Costing'!$P$9:$P$492,'Costing'!$A$9:$A$492,"MAIN-333"))</x:f>
        <x:v>15000</x:v>
      </x:c>
      <x:c r="M2048" s="17" t="n">
        <x:f>ROUND(L2048*'Costing'!$C$4,2)</x:f>
        <x:v>2700</x:v>
      </x:c>
      <x:c r="N2048" s="17" t="n">
        <x:f>L2048+M2048</x:f>
        <x:v>17700</x:v>
      </x:c>
      <x:c r="O2048" s="12" t="str">
        <x:v>Mumbai</x:v>
      </x:c>
      <x:c r="P2048" s="12" t="str">
        <x:v>CORP-0329</x:v>
      </x:c>
      <x:c r="Q2048" s="12" t="str">
        <x:v>QUICKYEARNING PRIVATE LIMITED</x:v>
      </x:c>
    </x:row>
    <x:row r="2049" ht="48" customHeight="1">
      <x:c r="A2049" s="2" t="str">
        <x:v>TEN-EF524E426F94</x:v>
      </x:c>
      <x:c r="B2049" s="12" t="str">
        <x:v>Quiqup Innovation Pvt.Ltd</x:v>
      </x:c>
      <x:c r="C2049" s="12" t="str">
        <x:v>Business / brand</x:v>
      </x:c>
      <x:c r="D2049" s="12" t="str">
        <x:v>Trade, consumer &amp; logistics</x:v>
      </x:c>
      <x:c r="E2049" s="12" t="str">
        <x:v>Logistics, shipping &amp; transport</x:v>
      </x:c>
      <x:c r="F2049" s="12" t="str">
        <x:v>Medium-scale prospects</x:v>
      </x:c>
      <x:c r="G2049" s="12" t="str">
        <x:v>Specialist logistics or transport business; medium-scale prospect assumption.</x:v>
      </x:c>
      <x:c r="H2049" s="11" t="n">
        <x:v>1</x:v>
      </x:c>
      <x:c r="I2049" s="11" t="n">
        <x:v>2</x:v>
      </x:c>
      <x:c r="J2049" s="11" t="n">
        <x:v>2</x:v>
      </x:c>
      <x:c r="K2049" s="11" t="n">
        <x:v>0</x:v>
      </x:c>
      <x:c r="L2049" s="17" t="n">
        <x:f>SUM(SUMIFS('Costing'!$P$9:$P$492,'Costing'!$A$9:$A$492,"MAIN-031"))</x:f>
        <x:v>30000</x:v>
      </x:c>
      <x:c r="M2049" s="17" t="n">
        <x:f>ROUND(L2049*'Costing'!$C$4,2)</x:f>
        <x:v>5400</x:v>
      </x:c>
      <x:c r="N2049" s="17" t="n">
        <x:f>L2049+M2049</x:f>
        <x:v>35400</x:v>
      </x:c>
      <x:c r="O2049" s="12" t="str">
        <x:v>Bengaluru</x:v>
      </x:c>
      <x:c r="P2049" s="12" t="str">
        <x:v>CORP-0027</x:v>
      </x:c>
      <x:c r="Q2049" s="12" t="str">
        <x:v>Quiqup Innovation Pvt.Ltd</x:v>
      </x:c>
    </x:row>
    <x:row r="2050" ht="48" customHeight="1">
      <x:c r="A2050" s="2" t="str">
        <x:v>TEN-D2930875EE54</x:v>
      </x:c>
      <x:c r="B2050" s="12" t="str">
        <x:v>Quiver Infoservices Ltd</x:v>
      </x:c>
      <x:c r="C2050" s="12" t="str">
        <x:v>Business / brand</x:v>
      </x:c>
      <x:c r="D2050" s="12" t="str">
        <x:v>Unresolved</x:v>
      </x:c>
      <x:c r="E2050" s="12" t="str">
        <x:v>Business activity not established</x:v>
      </x:c>
      <x:c r="F2050" s="12" t="str">
        <x:v>Mixed business audience</x:v>
      </x:c>
      <x:c r="G2050" s="12" t="str">
        <x:v>Business activity and company scale are not established from this name.</x:v>
      </x:c>
      <x:c r="H2050" s="11" t="n">
        <x:v>1</x:v>
      </x:c>
      <x:c r="I2050" s="11" t="n">
        <x:v>3</x:v>
      </x:c>
      <x:c r="J2050" s="11" t="n">
        <x:v>3</x:v>
      </x:c>
      <x:c r="K2050" s="11" t="n">
        <x:v>0</x:v>
      </x:c>
      <x:c r="L2050" s="17" t="n">
        <x:f>SUM(SUMIFS('Costing'!$P$9:$P$492,'Costing'!$A$9:$A$492,"MAIN-366"))</x:f>
        <x:v>45000</x:v>
      </x:c>
      <x:c r="M2050" s="17" t="n">
        <x:f>ROUND(L2050*'Costing'!$C$4,2)</x:f>
        <x:v>8100</x:v>
      </x:c>
      <x:c r="N2050" s="17" t="n">
        <x:f>L2050+M2050</x:f>
        <x:v>53100</x:v>
      </x:c>
      <x:c r="O2050" s="12" t="str">
        <x:v>Delhi NCR</x:v>
      </x:c>
      <x:c r="P2050" s="12" t="str">
        <x:v>CORP-0362</x:v>
      </x:c>
      <x:c r="Q2050" s="12" t="str">
        <x:v>Quiver Infoservices Ltd</x:v>
      </x:c>
    </x:row>
    <x:row r="2051" ht="49" customHeight="1">
      <x:c r="A2051" s="2" t="str">
        <x:v>TEN-45562E981863</x:v>
      </x:c>
      <x:c r="B2051" s="12" t="str">
        <x:v>Qumu Corp</x:v>
      </x:c>
      <x:c r="C2051" s="12" t="str">
        <x:v>Business / brand</x:v>
      </x:c>
      <x:c r="D2051" s="12" t="str">
        <x:v>IT &amp; digital</x:v>
      </x:c>
      <x:c r="E2051" s="12" t="str">
        <x:v>Enterprise software &amp; digital engineering</x:v>
      </x:c>
      <x:c r="F2051" s="12" t="str">
        <x:v>Mixed business audience</x:v>
      </x:c>
      <x:c r="G2051" s="12" t="str">
        <x:v>Established brand or business network; local company scale is not established. Use a mixed-business message.</x:v>
      </x:c>
      <x:c r="H2051" s="11" t="n">
        <x:v>15</x:v>
      </x:c>
      <x:c r="I2051" s="11" t="n">
        <x:v>15</x:v>
      </x:c>
      <x:c r="J2051" s="11" t="n">
        <x:v>15</x:v>
      </x:c>
      <x:c r="K2051" s="11" t="n">
        <x:v>0</x:v>
      </x:c>
      <x:c r="L2051" s="17" t="n">
        <x:f>SUM(SUMIFS('Costing'!$P$9:$P$492,'Costing'!$A$9:$A$492,"PARTNER-M317"),SUMIFS('Costing'!$P$9:$P$492,'Costing'!$A$9:$A$492,"PARTNER-M300"))</x:f>
        <x:v>600000</x:v>
      </x:c>
      <x:c r="M2051" s="17" t="n">
        <x:f>ROUND(L2051*'Costing'!$C$4,2)</x:f>
        <x:v>108000</x:v>
      </x:c>
      <x:c r="N2051" s="17" t="n">
        <x:f>L2051+M2051</x:f>
        <x:v>708000</x:v>
      </x:c>
      <x:c r="O2051" s="12" t="str">
        <x:v>Hyderabad</x:v>
      </x:c>
      <x:c r="P2051" s="12" t="str">
        <x:v>CORP-0715, CORP-0716, CORP-0717, CORP-0718, CORP-0719, CORP-0720, CORP-0721, CORP-0722, CORP-0732, CORP-0733, CORP-0734, CORP-0735, CORP-0736, CORP-0737, CORP-0738</x:v>
      </x:c>
      <x:c r="Q2051" s="12" t="str">
        <x:v>Qumu Corp, Qumu Corporation</x:v>
      </x:c>
    </x:row>
    <x:row r="2052" ht="48" customHeight="1">
      <x:c r="A2052" s="2" t="str">
        <x:v>TEN-D861EE362E38</x:v>
      </x:c>
      <x:c r="B2052" s="12" t="str">
        <x:v>Quotient</x:v>
      </x:c>
      <x:c r="C2052" s="12" t="str">
        <x:v>Business / brand</x:v>
      </x:c>
      <x:c r="D2052" s="12" t="str">
        <x:v>Unresolved</x:v>
      </x:c>
      <x:c r="E2052" s="12" t="str">
        <x:v>Business activity not established</x:v>
      </x:c>
      <x:c r="F2052" s="12" t="str">
        <x:v>Mixed business audience</x:v>
      </x:c>
      <x:c r="G2052" s="12" t="str">
        <x:v>Business activity and company scale are not established from this name.</x:v>
      </x:c>
      <x:c r="H2052" s="11" t="n">
        <x:v>10</x:v>
      </x:c>
      <x:c r="I2052" s="11" t="n">
        <x:v>10</x:v>
      </x:c>
      <x:c r="J2052" s="11" t="n">
        <x:v>10</x:v>
      </x:c>
      <x:c r="K2052" s="11" t="n">
        <x:v>0</x:v>
      </x:c>
      <x:c r="L2052" s="17" t="n">
        <x:f>SUM(SUMIFS('Costing'!$P$9:$P$492,'Costing'!$A$9:$A$492,"PARTNER-M120"))</x:f>
        <x:v>400000</x:v>
      </x:c>
      <x:c r="M2052" s="17" t="n">
        <x:f>ROUND(L2052*'Costing'!$C$4,2)</x:f>
        <x:v>72000</x:v>
      </x:c>
      <x:c r="N2052" s="17" t="n">
        <x:f>L2052+M2052</x:f>
        <x:v>472000</x:v>
      </x:c>
      <x:c r="O2052" s="12" t="str">
        <x:v>Bengaluru</x:v>
      </x:c>
      <x:c r="P2052" s="12" t="str">
        <x:v>CORP-0538, CORP-0539, CORP-0540, CORP-0541, CORP-0542, CORP-0543, CORP-0544, CORP-0545, CORP-0546, CORP-0547</x:v>
      </x:c>
      <x:c r="Q2052" s="12" t="str">
        <x:v>Quotient</x:v>
      </x:c>
    </x:row>
    <x:row r="2053" ht="48" customHeight="1">
      <x:c r="A2053" s="2" t="str">
        <x:v>TEN-2082E5C8582B</x:v>
      </x:c>
      <x:c r="B2053" s="12" t="str">
        <x:v>QuScient Technologies Pvt Ltd</x:v>
      </x:c>
      <x:c r="C2053" s="12" t="str">
        <x:v>Business / brand</x:v>
      </x:c>
      <x:c r="D2053" s="12" t="str">
        <x:v>IT &amp; digital</x:v>
      </x:c>
      <x:c r="E2053" s="12" t="str">
        <x:v>Enterprise software &amp; digital engineering</x:v>
      </x:c>
      <x:c r="F2053" s="12" t="str">
        <x:v>Small-scale prospects</x:v>
      </x:c>
      <x:c r="G2053" s="12" t="str">
        <x:v>Software or technology-services business; small-scale prospect assumption.</x:v>
      </x:c>
      <x:c r="H2053" s="11" t="n">
        <x:v>5</x:v>
      </x:c>
      <x:c r="I2053" s="11" t="n">
        <x:v>5</x:v>
      </x:c>
      <x:c r="J2053" s="11" t="n">
        <x:v>5</x:v>
      </x:c>
      <x:c r="K2053" s="11" t="n">
        <x:v>0</x:v>
      </x:c>
      <x:c r="L2053" s="17" t="n">
        <x:f>SUM(SUMIFS('Costing'!$P$9:$P$492,'Costing'!$A$9:$A$492,"PARTNER-M342"))</x:f>
        <x:v>200000</x:v>
      </x:c>
      <x:c r="M2053" s="17" t="n">
        <x:f>ROUND(L2053*'Costing'!$C$4,2)</x:f>
        <x:v>36000</x:v>
      </x:c>
      <x:c r="N2053" s="17" t="n">
        <x:f>L2053+M2053</x:f>
        <x:v>236000</x:v>
      </x:c>
      <x:c r="O2053" s="12" t="str">
        <x:v>Chennai</x:v>
      </x:c>
      <x:c r="P2053" s="12" t="str">
        <x:v>CORP-0756, CORP-0757, CORP-0758, CORP-0759, CORP-0760</x:v>
      </x:c>
      <x:c r="Q2053" s="12" t="str">
        <x:v>QuScient Technologies Pvt Ltd</x:v>
      </x:c>
    </x:row>
    <x:row r="2054" ht="48" customHeight="1">
      <x:c r="A2054" s="2" t="str">
        <x:v>TEN-BE81391BCE95</x:v>
      </x:c>
      <x:c r="B2054" s="12" t="str">
        <x:v>Qx Global Services</x:v>
      </x:c>
      <x:c r="C2054" s="12" t="str">
        <x:v>Business / brand</x:v>
      </x:c>
      <x:c r="D2054" s="12" t="str">
        <x:v>IT &amp; digital</x:v>
      </x:c>
      <x:c r="E2054" s="12" t="str">
        <x:v>Enterprise software &amp; digital engineering</x:v>
      </x:c>
      <x:c r="F2054" s="12" t="str">
        <x:v>Mixed business audience</x:v>
      </x:c>
      <x:c r="G2054" s="12" t="str">
        <x:v>Established brand or business network; local company scale is not established. Use a mixed-business message.</x:v>
      </x:c>
      <x:c r="H2054" s="11" t="n">
        <x:v>2</x:v>
      </x:c>
      <x:c r="I2054" s="11" t="n">
        <x:v>2</x:v>
      </x:c>
      <x:c r="J2054" s="11" t="n">
        <x:v>2</x:v>
      </x:c>
      <x:c r="K2054" s="11" t="n">
        <x:v>0</x:v>
      </x:c>
      <x:c r="L2054" s="17" t="n">
        <x:f>SUM(SUMIFS('Costing'!$P$9:$P$492,'Costing'!$A$9:$A$492,"PARTNER-M241"))</x:f>
        <x:v>80000</x:v>
      </x:c>
      <x:c r="M2054" s="17" t="n">
        <x:f>ROUND(L2054*'Costing'!$C$4,2)</x:f>
        <x:v>14400</x:v>
      </x:c>
      <x:c r="N2054" s="17" t="n">
        <x:f>L2054+M2054</x:f>
        <x:v>94400</x:v>
      </x:c>
      <x:c r="O2054" s="12" t="str">
        <x:v>Mumbai</x:v>
      </x:c>
      <x:c r="P2054" s="12" t="str">
        <x:v>CORP-0658, CORP-0659</x:v>
      </x:c>
      <x:c r="Q2054" s="12" t="str">
        <x:v>Qx Global Services</x:v>
      </x:c>
    </x:row>
    <x:row r="2055" ht="48" customHeight="1">
      <x:c r="A2055" s="2" t="str">
        <x:v>TEN-27700B8C80E5</x:v>
      </x:c>
      <x:c r="B2055" s="12" t="str">
        <x:v>R21</x:v>
      </x:c>
      <x:c r="C2055" s="12" t="str">
        <x:v>Business / brand</x:v>
      </x:c>
      <x:c r="D2055" s="12" t="str">
        <x:v>Unresolved</x:v>
      </x:c>
      <x:c r="E2055" s="12" t="str">
        <x:v>Business activity not established</x:v>
      </x:c>
      <x:c r="F2055" s="12" t="str">
        <x:v>Mixed business audience</x:v>
      </x:c>
      <x:c r="G2055" s="12" t="str">
        <x:v>Business activity and company scale are not established from this name.</x:v>
      </x:c>
      <x:c r="H2055" s="11" t="n">
        <x:v>1</x:v>
      </x:c>
      <x:c r="I2055" s="11" t="n">
        <x:v>2</x:v>
      </x:c>
      <x:c r="J2055" s="11" t="n">
        <x:v>2</x:v>
      </x:c>
      <x:c r="K2055" s="11" t="n">
        <x:v>0</x:v>
      </x:c>
      <x:c r="L2055" s="17" t="n">
        <x:f>SUM(SUMIFS('Costing'!$P$9:$P$492,'Costing'!$A$9:$A$492,"MAIN-268"))</x:f>
        <x:v>80000</x:v>
      </x:c>
      <x:c r="M2055" s="17" t="n">
        <x:f>ROUND(L2055*'Costing'!$C$4,2)</x:f>
        <x:v>14400</x:v>
      </x:c>
      <x:c r="N2055" s="17" t="n">
        <x:f>L2055+M2055</x:f>
        <x:v>94400</x:v>
      </x:c>
      <x:c r="O2055" s="12" t="str">
        <x:v>Indore</x:v>
      </x:c>
      <x:c r="P2055" s="12" t="str">
        <x:v>CORP-0264</x:v>
      </x:c>
      <x:c r="Q2055" s="12" t="str">
        <x:v>R21</x:v>
      </x:c>
    </x:row>
    <x:row r="2056" ht="48" customHeight="1">
      <x:c r="A2056" s="2" t="str">
        <x:v>TEN-ADE48E9316FE</x:v>
      </x:c>
      <x:c r="B2056" s="12" t="str">
        <x:v>Rabrigid Private Limited</x:v>
      </x:c>
      <x:c r="C2056" s="12" t="str">
        <x:v>Business / brand</x:v>
      </x:c>
      <x:c r="D2056" s="12" t="str">
        <x:v>Unresolved</x:v>
      </x:c>
      <x:c r="E2056" s="12" t="str">
        <x:v>Business activity not established</x:v>
      </x:c>
      <x:c r="F2056" s="12" t="str">
        <x:v>Mixed business audience</x:v>
      </x:c>
      <x:c r="G2056" s="12" t="str">
        <x:v>Business activity and company scale are not established from this name.</x:v>
      </x:c>
      <x:c r="H2056" s="11" t="n">
        <x:v>1</x:v>
      </x:c>
      <x:c r="I2056" s="11" t="n">
        <x:v>9</x:v>
      </x:c>
      <x:c r="J2056" s="11" t="n">
        <x:v>9</x:v>
      </x:c>
      <x:c r="K2056" s="11" t="n">
        <x:v>0</x:v>
      </x:c>
      <x:c r="L2056" s="17" t="n">
        <x:f>SUM(SUMIFS('Costing'!$P$9:$P$492,'Costing'!$A$9:$A$492,"MAIN-262"))</x:f>
        <x:v>225000</x:v>
      </x:c>
      <x:c r="M2056" s="17" t="n">
        <x:f>ROUND(L2056*'Costing'!$C$4,2)</x:f>
        <x:v>40500</x:v>
      </x:c>
      <x:c r="N2056" s="17" t="n">
        <x:f>L2056+M2056</x:f>
        <x:v>265500</x:v>
      </x:c>
      <x:c r="O2056" s="12" t="str">
        <x:v>Hyderabad</x:v>
      </x:c>
      <x:c r="P2056" s="12" t="str">
        <x:v>CORP-0258</x:v>
      </x:c>
      <x:c r="Q2056" s="12" t="str">
        <x:v>Rabrigid Private Limited</x:v>
      </x:c>
    </x:row>
    <x:row r="2057" ht="48" customHeight="1">
      <x:c r="A2057" s="2" t="str">
        <x:v>TEN-487AAAFE33F4</x:v>
      </x:c>
      <x:c r="B2057" s="12" t="str">
        <x:v>Racold Thermo Limited</x:v>
      </x:c>
      <x:c r="C2057" s="12" t="str">
        <x:v>Business / brand</x:v>
      </x:c>
      <x:c r="D2057" s="12" t="str">
        <x:v>Engineering &amp; manufacturing</x:v>
      </x:c>
      <x:c r="E2057" s="12" t="str">
        <x:v>Engineering/manufacturing — specialty unverified</x:v>
      </x:c>
      <x:c r="F2057" s="12" t="str">
        <x:v>Mixed business audience</x:v>
      </x:c>
      <x:c r="G2057" s="12" t="str">
        <x:v>Recognisable business context; company-scale evidence remains insufficient for a single size band.</x:v>
      </x:c>
      <x:c r="H2057" s="11" t="n">
        <x:v>1</x:v>
      </x:c>
      <x:c r="I2057" s="11" t="n">
        <x:v>2</x:v>
      </x:c>
      <x:c r="J2057" s="11" t="n">
        <x:v>2</x:v>
      </x:c>
      <x:c r="K2057" s="11" t="n">
        <x:v>0</x:v>
      </x:c>
      <x:c r="L2057" s="17" t="n">
        <x:f>SUM(SUMIFS('Costing'!$P$9:$P$492,'Costing'!$A$9:$A$492,"MAIN-407"))</x:f>
        <x:v>30000</x:v>
      </x:c>
      <x:c r="M2057" s="17" t="n">
        <x:f>ROUND(L2057*'Costing'!$C$4,2)</x:f>
        <x:v>5400</x:v>
      </x:c>
      <x:c r="N2057" s="17" t="n">
        <x:f>L2057+M2057</x:f>
        <x:v>35400</x:v>
      </x:c>
      <x:c r="O2057" s="12" t="str">
        <x:v>Pune</x:v>
      </x:c>
      <x:c r="P2057" s="12" t="str">
        <x:v>CORP-0403</x:v>
      </x:c>
      <x:c r="Q2057" s="12" t="str">
        <x:v>Racold Thermo Limited</x:v>
      </x:c>
    </x:row>
    <x:row r="2058" ht="48" customHeight="1">
      <x:c r="A2058" s="2" t="str">
        <x:v>TEN-DF18A5911CC8</x:v>
      </x:c>
      <x:c r="B2058" s="12" t="str">
        <x:v>Racold Thermo Private Ltd</x:v>
      </x:c>
      <x:c r="C2058" s="12" t="str">
        <x:v>Business / brand</x:v>
      </x:c>
      <x:c r="D2058" s="12" t="str">
        <x:v>Engineering &amp; manufacturing</x:v>
      </x:c>
      <x:c r="E2058" s="12" t="str">
        <x:v>Engineering/manufacturing — specialty unverified</x:v>
      </x:c>
      <x:c r="F2058" s="12" t="str">
        <x:v>Mixed business audience</x:v>
      </x:c>
      <x:c r="G2058" s="12" t="str">
        <x:v>Recognisable business context; company-scale evidence remains insufficient for a single size band.</x:v>
      </x:c>
      <x:c r="H2058" s="11" t="n">
        <x:v>1</x:v>
      </x:c>
      <x:c r="I2058" s="11" t="n">
        <x:v>3</x:v>
      </x:c>
      <x:c r="J2058" s="11" t="n">
        <x:v>3</x:v>
      </x:c>
      <x:c r="K2058" s="11" t="n">
        <x:v>0</x:v>
      </x:c>
      <x:c r="L2058" s="17" t="n">
        <x:f>SUM(SUMIFS('Costing'!$P$9:$P$492,'Costing'!$A$9:$A$492,"MAIN-404"))</x:f>
        <x:v>60000</x:v>
      </x:c>
      <x:c r="M2058" s="17" t="n">
        <x:f>ROUND(L2058*'Costing'!$C$4,2)</x:f>
        <x:v>10800</x:v>
      </x:c>
      <x:c r="N2058" s="17" t="n">
        <x:f>L2058+M2058</x:f>
        <x:v>70800</x:v>
      </x:c>
      <x:c r="O2058" s="12" t="str">
        <x:v>Pune</x:v>
      </x:c>
      <x:c r="P2058" s="12" t="str">
        <x:v>CORP-0400</x:v>
      </x:c>
      <x:c r="Q2058" s="12" t="str">
        <x:v>Racold Thermo Private Ltd</x:v>
      </x:c>
    </x:row>
    <x:row r="2059" ht="48" customHeight="1">
      <x:c r="A2059" s="2" t="str">
        <x:v>TEN-6969B4A0FF58</x:v>
      </x:c>
      <x:c r="B2059" s="12" t="str">
        <x:v>RadarSoft Technologies LLP</x:v>
      </x:c>
      <x:c r="C2059" s="12" t="str">
        <x:v>Business / brand</x:v>
      </x:c>
      <x:c r="D2059" s="12" t="str">
        <x:v>Unresolved</x:v>
      </x:c>
      <x:c r="E2059" s="12" t="str">
        <x:v>Business activity not established</x:v>
      </x:c>
      <x:c r="F2059" s="12" t="str">
        <x:v>Mixed business audience</x:v>
      </x:c>
      <x:c r="G2059" s="12" t="str">
        <x:v>Business activity and company scale are not established from this name.</x:v>
      </x:c>
      <x:c r="H2059" s="11" t="n">
        <x:v>1</x:v>
      </x:c>
      <x:c r="I2059" s="11" t="n">
        <x:v>2</x:v>
      </x:c>
      <x:c r="J2059" s="11" t="n">
        <x:v>2</x:v>
      </x:c>
      <x:c r="K2059" s="11" t="n">
        <x:v>0</x:v>
      </x:c>
      <x:c r="L2059" s="17" t="n">
        <x:f>SUM(SUMIFS('Costing'!$P$9:$P$492,'Costing'!$A$9:$A$492,"MAIN-389"))</x:f>
        <x:v>30000</x:v>
      </x:c>
      <x:c r="M2059" s="17" t="n">
        <x:f>ROUND(L2059*'Costing'!$C$4,2)</x:f>
        <x:v>5400</x:v>
      </x:c>
      <x:c r="N2059" s="17" t="n">
        <x:f>L2059+M2059</x:f>
        <x:v>35400</x:v>
      </x:c>
      <x:c r="O2059" s="12" t="str">
        <x:v>Pune</x:v>
      </x:c>
      <x:c r="P2059" s="12" t="str">
        <x:v>CORP-0385</x:v>
      </x:c>
      <x:c r="Q2059" s="12" t="str">
        <x:v>RadarSoft Technologies LLP</x:v>
      </x:c>
    </x:row>
    <x:row r="2060" ht="48" customHeight="1">
      <x:c r="A2060" s="2" t="str">
        <x:v>TEN-371A223F5468</x:v>
      </x:c>
      <x:c r="B2060" s="12" t="str">
        <x:v>RADCLIFFE EDUCATION PVT LTD</x:v>
      </x:c>
      <x:c r="C2060" s="12" t="str">
        <x:v>Business / brand</x:v>
      </x:c>
      <x:c r="D2060" s="12" t="str">
        <x:v>Education</x:v>
      </x:c>
      <x:c r="E2060" s="12" t="str">
        <x:v>Edtech, training &amp; learning</x:v>
      </x:c>
      <x:c r="F2060" s="12" t="str">
        <x:v>Mixed business audience</x:v>
      </x:c>
      <x:c r="G2060" s="12" t="str">
        <x:v>Established brand or business network; local company scale is not established. Use a mixed-business message.</x:v>
      </x:c>
      <x:c r="H2060" s="11" t="n">
        <x:v>1</x:v>
      </x:c>
      <x:c r="I2060" s="11" t="n">
        <x:v>1</x:v>
      </x:c>
      <x:c r="J2060" s="11" t="n">
        <x:v>1</x:v>
      </x:c>
      <x:c r="K2060" s="11" t="n">
        <x:v>0</x:v>
      </x:c>
      <x:c r="L2060" s="17" t="n">
        <x:f>SUM(SUMIFS('Costing'!$P$9:$P$492,'Costing'!$A$9:$A$492,"MAIN-296"))</x:f>
        <x:v>15000</x:v>
      </x:c>
      <x:c r="M2060" s="17" t="n">
        <x:f>ROUND(L2060*'Costing'!$C$4,2)</x:f>
        <x:v>2700</x:v>
      </x:c>
      <x:c r="N2060" s="17" t="n">
        <x:f>L2060+M2060</x:f>
        <x:v>17700</x:v>
      </x:c>
      <x:c r="O2060" s="12" t="str">
        <x:v>Mumbai</x:v>
      </x:c>
      <x:c r="P2060" s="12" t="str">
        <x:v>CORP-0292</x:v>
      </x:c>
      <x:c r="Q2060" s="12" t="str">
        <x:v>RADCLIFFE EDUCATION PVT LTD</x:v>
      </x:c>
    </x:row>
    <x:row r="2061" ht="48" customHeight="1">
      <x:c r="A2061" s="2" t="str">
        <x:v>TEN-3C41B38ACE41</x:v>
      </x:c>
      <x:c r="B2061" s="12" t="str">
        <x:v>Radix Business Solutions</x:v>
      </x:c>
      <x:c r="C2061" s="12" t="str">
        <x:v>Business / brand</x:v>
      </x:c>
      <x:c r="D2061" s="12" t="str">
        <x:v>IT &amp; digital</x:v>
      </x:c>
      <x:c r="E2061" s="12" t="str">
        <x:v>Enterprise software &amp; digital engineering</x:v>
      </x:c>
      <x:c r="F2061" s="12" t="str">
        <x:v>Small-scale prospects</x:v>
      </x:c>
      <x:c r="G2061" s="12" t="str">
        <x:v>Software or technology-services business; small-scale prospect assumption.</x:v>
      </x:c>
      <x:c r="H2061" s="11" t="n">
        <x:v>1</x:v>
      </x:c>
      <x:c r="I2061" s="11" t="n">
        <x:v>1</x:v>
      </x:c>
      <x:c r="J2061" s="11" t="n">
        <x:v>1</x:v>
      </x:c>
      <x:c r="K2061" s="11" t="n">
        <x:v>0</x:v>
      </x:c>
      <x:c r="L2061" s="17" t="n">
        <x:f>SUM(SUMIFS('Costing'!$P$9:$P$492,'Costing'!$A$9:$A$492,"MAIN-250"))</x:f>
        <x:v>15000</x:v>
      </x:c>
      <x:c r="M2061" s="17" t="n">
        <x:f>ROUND(L2061*'Costing'!$C$4,2)</x:f>
        <x:v>2700</x:v>
      </x:c>
      <x:c r="N2061" s="17" t="n">
        <x:f>L2061+M2061</x:f>
        <x:v>17700</x:v>
      </x:c>
      <x:c r="O2061" s="12" t="str">
        <x:v>Hyderabad</x:v>
      </x:c>
      <x:c r="P2061" s="12" t="str">
        <x:v>CORP-0246</x:v>
      </x:c>
      <x:c r="Q2061" s="12" t="str">
        <x:v>Radix Business Solutions</x:v>
      </x:c>
    </x:row>
    <x:row r="2062" ht="48" customHeight="1">
      <x:c r="A2062" s="2" t="str">
        <x:v>TEN-AAF89E19ACB5</x:v>
      </x:c>
      <x:c r="B2062" s="12" t="str">
        <x:v>Rahul Chaudhry &amp; Partners</x:v>
      </x:c>
      <x:c r="C2062" s="12" t="str">
        <x:v>Business / brand</x:v>
      </x:c>
      <x:c r="D2062" s="12" t="str">
        <x:v>Professional services</x:v>
      </x:c>
      <x:c r="E2062" s="12" t="str">
        <x:v>Research, marketing &amp; professional services</x:v>
      </x:c>
      <x:c r="F2062" s="12" t="str">
        <x:v>Small-scale prospects</x:v>
      </x:c>
      <x:c r="G2062" s="12" t="str">
        <x:v>Professional service, agency or advisory model; small-scale prospect assumption.</x:v>
      </x:c>
      <x:c r="H2062" s="11" t="n">
        <x:v>1</x:v>
      </x:c>
      <x:c r="I2062" s="11" t="n">
        <x:v>1</x:v>
      </x:c>
      <x:c r="J2062" s="11" t="n">
        <x:v>1</x:v>
      </x:c>
      <x:c r="K2062" s="11" t="n">
        <x:v>0</x:v>
      </x:c>
      <x:c r="L2062" s="17" t="n">
        <x:f>SUM(SUMIFS('Costing'!$P$9:$P$492,'Costing'!$A$9:$A$492,"MAIN-191"))</x:f>
        <x:v>40000</x:v>
      </x:c>
      <x:c r="M2062" s="17" t="n">
        <x:f>ROUND(L2062*'Costing'!$C$4,2)</x:f>
        <x:v>7200</x:v>
      </x:c>
      <x:c r="N2062" s="17" t="n">
        <x:f>L2062+M2062</x:f>
        <x:v>47200</x:v>
      </x:c>
      <x:c r="O2062" s="12" t="str">
        <x:v>Delhi NCR</x:v>
      </x:c>
      <x:c r="P2062" s="12" t="str">
        <x:v>CORP-0187</x:v>
      </x:c>
      <x:c r="Q2062" s="12" t="str">
        <x:v>Rahul Chaudhry &amp; Partners</x:v>
      </x:c>
    </x:row>
    <x:row r="2063" ht="48" customHeight="1">
      <x:c r="A2063" s="2" t="str">
        <x:v>TEN-9214F6CD648F</x:v>
      </x:c>
      <x:c r="B2063" s="12" t="str">
        <x:v>Rahul shiksha academy</x:v>
      </x:c>
      <x:c r="C2063" s="12" t="str">
        <x:v>Business / brand</x:v>
      </x:c>
      <x:c r="D2063" s="12" t="str">
        <x:v>Education</x:v>
      </x:c>
      <x:c r="E2063" s="12" t="str">
        <x:v>Schools, childcare &amp; higher education</x:v>
      </x:c>
      <x:c r="F2063" s="12" t="str">
        <x:v>Small-scale prospects</x:v>
      </x:c>
      <x:c r="G2063" s="12" t="str">
        <x:v>Training or education-services business; small-scale prospect assumption.</x:v>
      </x:c>
      <x:c r="H2063" s="11" t="n">
        <x:v>1</x:v>
      </x:c>
      <x:c r="I2063" s="11" t="n">
        <x:v>1</x:v>
      </x:c>
      <x:c r="J2063" s="11" t="n">
        <x:v>1</x:v>
      </x:c>
      <x:c r="K2063" s="11" t="n">
        <x:v>0</x:v>
      </x:c>
      <x:c r="L2063" s="17" t="n">
        <x:f>SUM(SUMIFS('Costing'!$P$9:$P$492,'Costing'!$A$9:$A$492,"MAIN-415"))</x:f>
        <x:v>15000</x:v>
      </x:c>
      <x:c r="M2063" s="17" t="n">
        <x:f>ROUND(L2063*'Costing'!$C$4,2)</x:f>
        <x:v>2700</x:v>
      </x:c>
      <x:c r="N2063" s="17" t="n">
        <x:f>L2063+M2063</x:f>
        <x:v>17700</x:v>
      </x:c>
      <x:c r="O2063" s="12" t="str">
        <x:v>Pune</x:v>
      </x:c>
      <x:c r="P2063" s="12" t="str">
        <x:v>CORP-0411</x:v>
      </x:c>
      <x:c r="Q2063" s="12" t="str">
        <x:v>Rahul shiksha academy</x:v>
      </x:c>
    </x:row>
    <x:row r="2064" ht="48" customHeight="1">
      <x:c r="A2064" s="2" t="str">
        <x:v>TEN-DC1A32B41282</x:v>
      </x:c>
      <x:c r="B2064" s="12" t="str">
        <x:v>RAINSHINE ENTERTAINMENT Pvt.Ltd</x:v>
      </x:c>
      <x:c r="C2064" s="12" t="str">
        <x:v>Business / brand</x:v>
      </x:c>
      <x:c r="D2064" s="12" t="str">
        <x:v>Trade, consumer &amp; logistics</x:v>
      </x:c>
      <x:c r="E2064" s="12" t="str">
        <x:v>Entertainment, media &amp; events</x:v>
      </x:c>
      <x:c r="F2064" s="12" t="str">
        <x:v>Small-scale prospects</x:v>
      </x:c>
      <x:c r="G2064" s="12" t="str">
        <x:v>Trading or consumer-services business; small-scale prospect assumption.</x:v>
      </x:c>
      <x:c r="H2064" s="11" t="n">
        <x:v>1</x:v>
      </x:c>
      <x:c r="I2064" s="11" t="n">
        <x:v>1</x:v>
      </x:c>
      <x:c r="J2064" s="11" t="n">
        <x:v>1</x:v>
      </x:c>
      <x:c r="K2064" s="11" t="n">
        <x:v>0</x:v>
      </x:c>
      <x:c r="L2064" s="17" t="n">
        <x:f>SUM(SUMIFS('Costing'!$P$9:$P$492,'Costing'!$A$9:$A$492,"MAIN-333"))</x:f>
        <x:v>15000</x:v>
      </x:c>
      <x:c r="M2064" s="17" t="n">
        <x:f>ROUND(L2064*'Costing'!$C$4,2)</x:f>
        <x:v>2700</x:v>
      </x:c>
      <x:c r="N2064" s="17" t="n">
        <x:f>L2064+M2064</x:f>
        <x:v>17700</x:v>
      </x:c>
      <x:c r="O2064" s="12" t="str">
        <x:v>Mumbai</x:v>
      </x:c>
      <x:c r="P2064" s="12" t="str">
        <x:v>CORP-0329</x:v>
      </x:c>
      <x:c r="Q2064" s="12" t="str">
        <x:v>RAINSHINE ENTERTAINMENT Pvt.Ltd</x:v>
      </x:c>
    </x:row>
    <x:row r="2065" ht="48" customHeight="1">
      <x:c r="A2065" s="2" t="str">
        <x:v>TEN-E4F62EEBC64C</x:v>
      </x:c>
      <x:c r="B2065" s="12" t="str">
        <x:v>Raj Desigens &amp; exhibitis</x:v>
      </x:c>
      <x:c r="C2065" s="12" t="str">
        <x:v>Business / brand</x:v>
      </x:c>
      <x:c r="D2065" s="12" t="str">
        <x:v>Unresolved</x:v>
      </x:c>
      <x:c r="E2065" s="12" t="str">
        <x:v>Business activity not established</x:v>
      </x:c>
      <x:c r="F2065" s="12" t="str">
        <x:v>Mixed business audience</x:v>
      </x:c>
      <x:c r="G2065" s="12" t="str">
        <x:v>Business activity and company scale are not established from this name.</x:v>
      </x:c>
      <x:c r="H2065" s="11" t="n">
        <x:v>1</x:v>
      </x:c>
      <x:c r="I2065" s="11" t="n">
        <x:v>3</x:v>
      </x:c>
      <x:c r="J2065" s="11" t="n">
        <x:v>3</x:v>
      </x:c>
      <x:c r="K2065" s="11" t="n">
        <x:v>0</x:v>
      </x:c>
      <x:c r="L2065" s="17" t="n">
        <x:f>SUM(SUMIFS('Costing'!$P$9:$P$492,'Costing'!$A$9:$A$492,"MAIN-292"))</x:f>
        <x:v>120000</x:v>
      </x:c>
      <x:c r="M2065" s="17" t="n">
        <x:f>ROUND(L2065*'Costing'!$C$4,2)</x:f>
        <x:v>21600</x:v>
      </x:c>
      <x:c r="N2065" s="17" t="n">
        <x:f>L2065+M2065</x:f>
        <x:v>141600</x:v>
      </x:c>
      <x:c r="O2065" s="12" t="str">
        <x:v>Lucknow</x:v>
      </x:c>
      <x:c r="P2065" s="12" t="str">
        <x:v>CORP-0288</x:v>
      </x:c>
      <x:c r="Q2065" s="12" t="str">
        <x:v>Raj Desigens &amp; exhibitis</x:v>
      </x:c>
    </x:row>
    <x:row r="2066" ht="48" customHeight="1">
      <x:c r="A2066" s="2" t="str">
        <x:v>TEN-5F9DB4EAC423</x:v>
      </x:c>
      <x:c r="B2066" s="12" t="str">
        <x:v>Raja Group</x:v>
      </x:c>
      <x:c r="C2066" s="12" t="str">
        <x:v>Business / brand</x:v>
      </x:c>
      <x:c r="D2066" s="12" t="str">
        <x:v>Unresolved</x:v>
      </x:c>
      <x:c r="E2066" s="12" t="str">
        <x:v>Business activity not established</x:v>
      </x:c>
      <x:c r="F2066" s="12" t="str">
        <x:v>Mixed business audience</x:v>
      </x:c>
      <x:c r="G2066" s="12" t="str">
        <x:v>Business activity and company scale are not established from this name.</x:v>
      </x:c>
      <x:c r="H2066" s="11" t="n">
        <x:v>1</x:v>
      </x:c>
      <x:c r="I2066" s="11" t="n">
        <x:v>1</x:v>
      </x:c>
      <x:c r="J2066" s="11" t="n">
        <x:v>1</x:v>
      </x:c>
      <x:c r="K2066" s="11" t="n">
        <x:v>0</x:v>
      </x:c>
      <x:c r="L2066" s="17" t="n">
        <x:f>SUM(SUMIFS('Costing'!$P$9:$P$492,'Costing'!$A$9:$A$492,"MAIN-015"))</x:f>
        <x:v>15000</x:v>
      </x:c>
      <x:c r="M2066" s="17" t="n">
        <x:f>ROUND(L2066*'Costing'!$C$4,2)</x:f>
        <x:v>2700</x:v>
      </x:c>
      <x:c r="N2066" s="17" t="n">
        <x:f>L2066+M2066</x:f>
        <x:v>17700</x:v>
      </x:c>
      <x:c r="O2066" s="12" t="str">
        <x:v>Bengaluru</x:v>
      </x:c>
      <x:c r="P2066" s="12" t="str">
        <x:v>CORP-0011</x:v>
      </x:c>
      <x:c r="Q2066" s="12" t="str">
        <x:v>Raja Group</x:v>
      </x:c>
    </x:row>
    <x:row r="2067" ht="48" customHeight="1">
      <x:c r="A2067" s="2" t="str">
        <x:v>TEN-FD729CB32F6E</x:v>
      </x:c>
      <x:c r="B2067" s="12" t="str">
        <x:v>Rajesh Builders</x:v>
      </x:c>
      <x:c r="C2067" s="12" t="str">
        <x:v>Business / brand</x:v>
      </x:c>
      <x:c r="D2067" s="12" t="str">
        <x:v>Trade, consumer &amp; logistics</x:v>
      </x:c>
      <x:c r="E2067" s="12" t="str">
        <x:v>Real estate, property &amp; construction services</x:v>
      </x:c>
      <x:c r="F2067" s="12" t="str">
        <x:v>Small-scale prospects</x:v>
      </x:c>
      <x:c r="G2067" s="12" t="str">
        <x:v>Trading or consumer-services business; small-scale prospect assumption.</x:v>
      </x:c>
      <x:c r="H2067" s="11" t="n">
        <x:v>1</x:v>
      </x:c>
      <x:c r="I2067" s="11" t="n">
        <x:v>1</x:v>
      </x:c>
      <x:c r="J2067" s="11" t="n">
        <x:v>1</x:v>
      </x:c>
      <x:c r="K2067" s="11" t="n">
        <x:v>0</x:v>
      </x:c>
      <x:c r="L2067" s="17" t="n">
        <x:f>SUM(SUMIFS('Costing'!$P$9:$P$492,'Costing'!$A$9:$A$492,"MAIN-395"))</x:f>
        <x:v>15000</x:v>
      </x:c>
      <x:c r="M2067" s="17" t="n">
        <x:f>ROUND(L2067*'Costing'!$C$4,2)</x:f>
        <x:v>2700</x:v>
      </x:c>
      <x:c r="N2067" s="17" t="n">
        <x:f>L2067+M2067</x:f>
        <x:v>17700</x:v>
      </x:c>
      <x:c r="O2067" s="12" t="str">
        <x:v>Pune</x:v>
      </x:c>
      <x:c r="P2067" s="12" t="str">
        <x:v>CORP-0391</x:v>
      </x:c>
      <x:c r="Q2067" s="12" t="str">
        <x:v>Rajesh Builders</x:v>
      </x:c>
    </x:row>
    <x:row r="2068" ht="48" customHeight="1">
      <x:c r="A2068" s="2" t="str">
        <x:v>TEN-C3DB07F84AD2</x:v>
      </x:c>
      <x:c r="B2068" s="12" t="str">
        <x:v>Raksha Health Insurance TPA Pvt Ltd</x:v>
      </x:c>
      <x:c r="C2068" s="12" t="str">
        <x:v>Business / brand</x:v>
      </x:c>
      <x:c r="D2068" s="12" t="str">
        <x:v>Finance &amp; insurance</x:v>
      </x:c>
      <x:c r="E2068" s="12" t="str">
        <x:v>Insurance &amp; insurance services</x:v>
      </x:c>
      <x:c r="F2068" s="12" t="str">
        <x:v>Medium-scale prospects</x:v>
      </x:c>
      <x:c r="G2068" s="12" t="str">
        <x:v>Specialist financial-services business; medium-scale prospect assumption.</x:v>
      </x:c>
      <x:c r="H2068" s="11" t="n">
        <x:v>1</x:v>
      </x:c>
      <x:c r="I2068" s="11" t="n">
        <x:v>4</x:v>
      </x:c>
      <x:c r="J2068" s="11" t="n">
        <x:v>4</x:v>
      </x:c>
      <x:c r="K2068" s="11" t="n">
        <x:v>0</x:v>
      </x:c>
      <x:c r="L2068" s="17" t="n">
        <x:f>SUM(SUMIFS('Costing'!$P$9:$P$492,'Costing'!$A$9:$A$492,"MAIN-352"))</x:f>
        <x:v>80000</x:v>
      </x:c>
      <x:c r="M2068" s="17" t="n">
        <x:f>ROUND(L2068*'Costing'!$C$4,2)</x:f>
        <x:v>14400</x:v>
      </x:c>
      <x:c r="N2068" s="17" t="n">
        <x:f>L2068+M2068</x:f>
        <x:v>94400</x:v>
      </x:c>
      <x:c r="O2068" s="12" t="str">
        <x:v>Mumbai</x:v>
      </x:c>
      <x:c r="P2068" s="12" t="str">
        <x:v>CORP-0348</x:v>
      </x:c>
      <x:c r="Q2068" s="12" t="str">
        <x:v>Raksha Health Insurance TPA Pvt Ltd</x:v>
      </x:c>
    </x:row>
    <x:row r="2069" ht="48" customHeight="1">
      <x:c r="A2069" s="2" t="str">
        <x:v>TEN-B8675CD3E646</x:v>
      </x:c>
      <x:c r="B2069" s="12" t="str">
        <x:v>RAMA Corporate &amp; IT Solutions LLP</x:v>
      </x:c>
      <x:c r="C2069" s="12" t="str">
        <x:v>Business / brand</x:v>
      </x:c>
      <x:c r="D2069" s="12" t="str">
        <x:v>IT &amp; digital</x:v>
      </x:c>
      <x:c r="E2069" s="12" t="str">
        <x:v>Enterprise software &amp; digital engineering</x:v>
      </x:c>
      <x:c r="F2069" s="12" t="str">
        <x:v>Small-scale prospects</x:v>
      </x:c>
      <x:c r="G2069" s="12" t="str">
        <x:v>Software or technology-services business; small-scale prospect assumption.</x:v>
      </x:c>
      <x:c r="H2069" s="11" t="n">
        <x:v>1</x:v>
      </x:c>
      <x:c r="I2069" s="11" t="n">
        <x:v>26</x:v>
      </x:c>
      <x:c r="J2069" s="11" t="n">
        <x:v>26</x:v>
      </x:c>
      <x:c r="K2069" s="11" t="n">
        <x:v>0</x:v>
      </x:c>
      <x:c r="L2069" s="17" t="n">
        <x:f>SUM(SUMIFS('Costing'!$P$9:$P$492,'Costing'!$A$9:$A$492,"MAIN-342"))</x:f>
        <x:v>390000</x:v>
      </x:c>
      <x:c r="M2069" s="17" t="n">
        <x:f>ROUND(L2069*'Costing'!$C$4,2)</x:f>
        <x:v>70200</x:v>
      </x:c>
      <x:c r="N2069" s="17" t="n">
        <x:f>L2069+M2069</x:f>
        <x:v>460200</x:v>
      </x:c>
      <x:c r="O2069" s="12" t="str">
        <x:v>Mumbai</x:v>
      </x:c>
      <x:c r="P2069" s="12" t="str">
        <x:v>CORP-0338</x:v>
      </x:c>
      <x:c r="Q2069" s="12" t="str">
        <x:v>RAMA Corporate &amp; IT Solutions LLP</x:v>
      </x:c>
    </x:row>
    <x:row r="2070" ht="48" customHeight="1">
      <x:c r="A2070" s="2" t="str">
        <x:v>TEN-3CA1AAB723EB</x:v>
      </x:c>
      <x:c r="B2070" s="12" t="str">
        <x:v>Ramani Innovative</x:v>
      </x:c>
      <x:c r="C2070" s="12" t="str">
        <x:v>Business / brand</x:v>
      </x:c>
      <x:c r="D2070" s="12" t="str">
        <x:v>Unresolved</x:v>
      </x:c>
      <x:c r="E2070" s="12" t="str">
        <x:v>Business activity not established</x:v>
      </x:c>
      <x:c r="F2070" s="12" t="str">
        <x:v>Mixed business audience</x:v>
      </x:c>
      <x:c r="G2070" s="12" t="str">
        <x:v>Business activity and company scale are not established from this name.</x:v>
      </x:c>
      <x:c r="H2070" s="11" t="n">
        <x:v>1</x:v>
      </x:c>
      <x:c r="I2070" s="11" t="n">
        <x:v>2</x:v>
      </x:c>
      <x:c r="J2070" s="11" t="n">
        <x:v>2</x:v>
      </x:c>
      <x:c r="K2070" s="11" t="n">
        <x:v>0</x:v>
      </x:c>
      <x:c r="L2070" s="17" t="n">
        <x:f>SUM(SUMIFS('Costing'!$P$9:$P$492,'Costing'!$A$9:$A$492,"MAIN-133"))</x:f>
        <x:v>30000</x:v>
      </x:c>
      <x:c r="M2070" s="17" t="n">
        <x:f>ROUND(L2070*'Costing'!$C$4,2)</x:f>
        <x:v>5400</x:v>
      </x:c>
      <x:c r="N2070" s="17" t="n">
        <x:f>L2070+M2070</x:f>
        <x:v>35400</x:v>
      </x:c>
      <x:c r="O2070" s="12" t="str">
        <x:v>Bengaluru</x:v>
      </x:c>
      <x:c r="P2070" s="12" t="str">
        <x:v>CORP-0129</x:v>
      </x:c>
      <x:c r="Q2070" s="12" t="str">
        <x:v>Ramani Innovative</x:v>
      </x:c>
    </x:row>
    <x:row r="2071" ht="48" customHeight="1">
      <x:c r="A2071" s="2" t="str">
        <x:v>TEN-341AA59EDF1F</x:v>
      </x:c>
      <x:c r="B2071" s="12" t="str">
        <x:v>Rareism</x:v>
      </x:c>
      <x:c r="C2071" s="12" t="str">
        <x:v>Business / brand</x:v>
      </x:c>
      <x:c r="D2071" s="12" t="str">
        <x:v>Trade, consumer &amp; logistics</x:v>
      </x:c>
      <x:c r="E2071" s="12" t="str">
        <x:v>Retail, consumer products &amp; ecommerce</x:v>
      </x:c>
      <x:c r="F2071" s="12" t="str">
        <x:v>Mixed business audience</x:v>
      </x:c>
      <x:c r="G2071" s="12" t="str">
        <x:v>Established brand or business network; local company scale is not established. Use a mixed-business message.</x:v>
      </x:c>
      <x:c r="H2071" s="11" t="n">
        <x:v>1</x:v>
      </x:c>
      <x:c r="I2071" s="11" t="n">
        <x:v>2</x:v>
      </x:c>
      <x:c r="J2071" s="11" t="n">
        <x:v>2</x:v>
      </x:c>
      <x:c r="K2071" s="11" t="n">
        <x:v>0</x:v>
      </x:c>
      <x:c r="L2071" s="17" t="n">
        <x:f>SUM(SUMIFS('Costing'!$P$9:$P$492,'Costing'!$A$9:$A$492,"MAIN-013"))</x:f>
        <x:v>30000</x:v>
      </x:c>
      <x:c r="M2071" s="17" t="n">
        <x:f>ROUND(L2071*'Costing'!$C$4,2)</x:f>
        <x:v>5400</x:v>
      </x:c>
      <x:c r="N2071" s="17" t="n">
        <x:f>L2071+M2071</x:f>
        <x:v>35400</x:v>
      </x:c>
      <x:c r="O2071" s="12" t="str">
        <x:v>Bengaluru</x:v>
      </x:c>
      <x:c r="P2071" s="12" t="str">
        <x:v>CORP-0009</x:v>
      </x:c>
      <x:c r="Q2071" s="12" t="str">
        <x:v>Rareism</x:v>
      </x:c>
    </x:row>
    <x:row r="2072" ht="48" customHeight="1">
      <x:c r="A2072" s="2" t="str">
        <x:v>TEN-EEC364C03494</x:v>
      </x:c>
      <x:c r="B2072" s="12" t="str">
        <x:v>RAS Infra</x:v>
      </x:c>
      <x:c r="C2072" s="12" t="str">
        <x:v>Business / brand</x:v>
      </x:c>
      <x:c r="D2072" s="12" t="str">
        <x:v>Engineering &amp; manufacturing</x:v>
      </x:c>
      <x:c r="E2072" s="12" t="str">
        <x:v>Engineering/manufacturing — specialty unverified</x:v>
      </x:c>
      <x:c r="F2072" s="12" t="str">
        <x:v>Medium-scale prospects</x:v>
      </x:c>
      <x:c r="G2072" s="12" t="str">
        <x:v>Specialist industrial or engineering business; medium-scale prospect assumption.</x:v>
      </x:c>
      <x:c r="H2072" s="11" t="n">
        <x:v>1</x:v>
      </x:c>
      <x:c r="I2072" s="11" t="n">
        <x:v>1</x:v>
      </x:c>
      <x:c r="J2072" s="11" t="n">
        <x:v>1</x:v>
      </x:c>
      <x:c r="K2072" s="11" t="n">
        <x:v>0</x:v>
      </x:c>
      <x:c r="L2072" s="17" t="n">
        <x:f>SUM(SUMIFS('Costing'!$P$9:$P$492,'Costing'!$A$9:$A$492,"MAIN-274"))</x:f>
        <x:v>40000</x:v>
      </x:c>
      <x:c r="M2072" s="17" t="n">
        <x:f>ROUND(L2072*'Costing'!$C$4,2)</x:f>
        <x:v>7200</x:v>
      </x:c>
      <x:c r="N2072" s="17" t="n">
        <x:f>L2072+M2072</x:f>
        <x:v>47200</x:v>
      </x:c>
      <x:c r="O2072" s="12" t="str">
        <x:v>Indore</x:v>
      </x:c>
      <x:c r="P2072" s="12" t="str">
        <x:v>CORP-0270</x:v>
      </x:c>
      <x:c r="Q2072" s="12" t="str">
        <x:v>RAS Infra</x:v>
      </x:c>
    </x:row>
    <x:row r="2073" ht="48" customHeight="1">
      <x:c r="A2073" s="2" t="str">
        <x:v>TEN-7AF845A38273</x:v>
      </x:c>
      <x:c r="B2073" s="12" t="str">
        <x:v>Rational services</x:v>
      </x:c>
      <x:c r="C2073" s="12" t="str">
        <x:v>Business / brand</x:v>
      </x:c>
      <x:c r="D2073" s="12" t="str">
        <x:v>Unresolved</x:v>
      </x:c>
      <x:c r="E2073" s="12" t="str">
        <x:v>Business activity not established</x:v>
      </x:c>
      <x:c r="F2073" s="12" t="str">
        <x:v>Mixed business audience</x:v>
      </x:c>
      <x:c r="G2073" s="12" t="str">
        <x:v>Business activity and company scale are not established from this name.</x:v>
      </x:c>
      <x:c r="H2073" s="11" t="n">
        <x:v>1</x:v>
      </x:c>
      <x:c r="I2073" s="11" t="n">
        <x:v>3</x:v>
      </x:c>
      <x:c r="J2073" s="11" t="n">
        <x:v>3</x:v>
      </x:c>
      <x:c r="K2073" s="11" t="n">
        <x:v>0</x:v>
      </x:c>
      <x:c r="L2073" s="17" t="n">
        <x:f>SUM(SUMIFS('Costing'!$P$9:$P$492,'Costing'!$A$9:$A$492,"MAIN-224"))</x:f>
        <x:v>45000</x:v>
      </x:c>
      <x:c r="M2073" s="17" t="n">
        <x:f>ROUND(L2073*'Costing'!$C$4,2)</x:f>
        <x:v>8100</x:v>
      </x:c>
      <x:c r="N2073" s="17" t="n">
        <x:f>L2073+M2073</x:f>
        <x:v>53100</x:v>
      </x:c>
      <x:c r="O2073" s="12" t="str">
        <x:v>Hyderabad</x:v>
      </x:c>
      <x:c r="P2073" s="12" t="str">
        <x:v>CORP-0220</x:v>
      </x:c>
      <x:c r="Q2073" s="12" t="str">
        <x:v>Rational services</x:v>
      </x:c>
    </x:row>
    <x:row r="2074" ht="48" customHeight="1">
      <x:c r="A2074" s="2" t="str">
        <x:v>TEN-7E12240EFC1E</x:v>
      </x:c>
      <x:c r="B2074" s="12" t="str">
        <x:v>Ratnadeep Super Market Pvt. Ltd</x:v>
      </x:c>
      <x:c r="C2074" s="12" t="str">
        <x:v>Business / brand</x:v>
      </x:c>
      <x:c r="D2074" s="12" t="str">
        <x:v>Trade, consumer &amp; logistics</x:v>
      </x:c>
      <x:c r="E2074" s="12" t="str">
        <x:v>Retail, consumer products &amp; ecommerce</x:v>
      </x:c>
      <x:c r="F2074" s="12" t="str">
        <x:v>Mixed business audience</x:v>
      </x:c>
      <x:c r="G2074" s="12" t="str">
        <x:v>Established brand or business network; local company scale is not established. Use a mixed-business message.</x:v>
      </x:c>
      <x:c r="H2074" s="11" t="n">
        <x:v>1</x:v>
      </x:c>
      <x:c r="I2074" s="11" t="n">
        <x:v>3</x:v>
      </x:c>
      <x:c r="J2074" s="11" t="n">
        <x:v>3</x:v>
      </x:c>
      <x:c r="K2074" s="11" t="n">
        <x:v>0</x:v>
      </x:c>
      <x:c r="L2074" s="17" t="n">
        <x:f>SUM(SUMIFS('Costing'!$P$9:$P$492,'Costing'!$A$9:$A$492,"MAIN-249"))</x:f>
        <x:v>45000</x:v>
      </x:c>
      <x:c r="M2074" s="17" t="n">
        <x:f>ROUND(L2074*'Costing'!$C$4,2)</x:f>
        <x:v>8100</x:v>
      </x:c>
      <x:c r="N2074" s="17" t="n">
        <x:f>L2074+M2074</x:f>
        <x:v>53100</x:v>
      </x:c>
      <x:c r="O2074" s="12" t="str">
        <x:v>Hyderabad</x:v>
      </x:c>
      <x:c r="P2074" s="12" t="str">
        <x:v>CORP-0245</x:v>
      </x:c>
      <x:c r="Q2074" s="12" t="str">
        <x:v>Ratnadeep Super Market Pvt. Ltd</x:v>
      </x:c>
    </x:row>
    <x:row r="2075" ht="48" customHeight="1">
      <x:c r="A2075" s="2" t="str">
        <x:v>TEN-0C7FB88C4308</x:v>
      </x:c>
      <x:c r="B2075" s="12" t="str">
        <x:v>Raymond</x:v>
      </x:c>
      <x:c r="C2075" s="12" t="str">
        <x:v>Business / brand</x:v>
      </x:c>
      <x:c r="D2075" s="12" t="str">
        <x:v>Trade, consumer &amp; logistics</x:v>
      </x:c>
      <x:c r="E2075" s="12" t="str">
        <x:v>Consumer/trade services — specialty unverified</x:v>
      </x:c>
      <x:c r="F2075" s="12" t="str">
        <x:v>Mixed business audience</x:v>
      </x:c>
      <x:c r="G2075" s="12" t="str">
        <x:v>Recognisable business context; company-scale evidence remains insufficient for a single size band.</x:v>
      </x:c>
      <x:c r="H2075" s="11" t="n">
        <x:v>2</x:v>
      </x:c>
      <x:c r="I2075" s="11" t="n">
        <x:v>2</x:v>
      </x:c>
      <x:c r="J2075" s="11" t="n">
        <x:v>2</x:v>
      </x:c>
      <x:c r="K2075" s="11" t="n">
        <x:v>0</x:v>
      </x:c>
      <x:c r="L2075" s="17" t="n">
        <x:f>SUM(SUMIFS('Costing'!$P$9:$P$492,'Costing'!$A$9:$A$492,"PARTNER-M233"))</x:f>
        <x:v>80000</x:v>
      </x:c>
      <x:c r="M2075" s="17" t="n">
        <x:f>ROUND(L2075*'Costing'!$C$4,2)</x:f>
        <x:v>14400</x:v>
      </x:c>
      <x:c r="N2075" s="17" t="n">
        <x:f>L2075+M2075</x:f>
        <x:v>94400</x:v>
      </x:c>
      <x:c r="O2075" s="12" t="str">
        <x:v>Mumbai</x:v>
      </x:c>
      <x:c r="P2075" s="12" t="str">
        <x:v>CORP-0650, CORP-0651</x:v>
      </x:c>
      <x:c r="Q2075" s="12" t="str">
        <x:v>Raymond</x:v>
      </x:c>
    </x:row>
    <x:row r="2076" ht="48" customHeight="1">
      <x:c r="A2076" s="2" t="str">
        <x:v>TEN-8918FBD5F4F5</x:v>
      </x:c>
      <x:c r="B2076" s="12" t="str">
        <x:v>Rayonner</x:v>
      </x:c>
      <x:c r="C2076" s="12" t="str">
        <x:v>Business / brand</x:v>
      </x:c>
      <x:c r="D2076" s="12" t="str">
        <x:v>Unresolved</x:v>
      </x:c>
      <x:c r="E2076" s="12" t="str">
        <x:v>Business activity not established</x:v>
      </x:c>
      <x:c r="F2076" s="12" t="str">
        <x:v>Mixed business audience</x:v>
      </x:c>
      <x:c r="G2076" s="12" t="str">
        <x:v>Business activity and company scale are not established from this name.</x:v>
      </x:c>
      <x:c r="H2076" s="11" t="n">
        <x:v>1</x:v>
      </x:c>
      <x:c r="I2076" s="11" t="n">
        <x:v>2</x:v>
      </x:c>
      <x:c r="J2076" s="11" t="n">
        <x:v>2</x:v>
      </x:c>
      <x:c r="K2076" s="11" t="n">
        <x:v>0</x:v>
      </x:c>
      <x:c r="L2076" s="17" t="n">
        <x:f>SUM(SUMIFS('Costing'!$P$9:$P$492,'Costing'!$A$9:$A$492,"MAIN-267"))</x:f>
        <x:v>40000</x:v>
      </x:c>
      <x:c r="M2076" s="17" t="n">
        <x:f>ROUND(L2076*'Costing'!$C$4,2)</x:f>
        <x:v>7200</x:v>
      </x:c>
      <x:c r="N2076" s="17" t="n">
        <x:f>L2076+M2076</x:f>
        <x:v>47200</x:v>
      </x:c>
      <x:c r="O2076" s="12" t="str">
        <x:v>Indore</x:v>
      </x:c>
      <x:c r="P2076" s="12" t="str">
        <x:v>CORP-0263</x:v>
      </x:c>
      <x:c r="Q2076" s="12" t="str">
        <x:v>Rayonner</x:v>
      </x:c>
    </x:row>
    <x:row r="2077" ht="48" customHeight="1">
      <x:c r="A2077" s="2" t="str">
        <x:v>TEN-E2460C5B469B</x:v>
      </x:c>
      <x:c r="B2077" s="12" t="str">
        <x:v>Raytex IT Services</x:v>
      </x:c>
      <x:c r="C2077" s="12" t="str">
        <x:v>Business / brand</x:v>
      </x:c>
      <x:c r="D2077" s="12" t="str">
        <x:v>IT &amp; digital</x:v>
      </x:c>
      <x:c r="E2077" s="12" t="str">
        <x:v>Enterprise software &amp; digital engineering</x:v>
      </x:c>
      <x:c r="F2077" s="12" t="str">
        <x:v>Small-scale prospects</x:v>
      </x:c>
      <x:c r="G2077" s="12" t="str">
        <x:v>Software or technology-services business; small-scale prospect assumption.</x:v>
      </x:c>
      <x:c r="H2077" s="11" t="n">
        <x:v>1</x:v>
      </x:c>
      <x:c r="I2077" s="11" t="n">
        <x:v>1</x:v>
      </x:c>
      <x:c r="J2077" s="11" t="n">
        <x:v>1</x:v>
      </x:c>
      <x:c r="K2077" s="11" t="n">
        <x:v>0</x:v>
      </x:c>
      <x:c r="L2077" s="17" t="n">
        <x:f>SUM(SUMIFS('Costing'!$P$9:$P$492,'Costing'!$A$9:$A$492,"MAIN-006"))</x:f>
        <x:v>15000</x:v>
      </x:c>
      <x:c r="M2077" s="17" t="n">
        <x:f>ROUND(L2077*'Costing'!$C$4,2)</x:f>
        <x:v>2700</x:v>
      </x:c>
      <x:c r="N2077" s="17" t="n">
        <x:f>L2077+M2077</x:f>
        <x:v>17700</x:v>
      </x:c>
      <x:c r="O2077" s="12" t="str">
        <x:v>Ahmedabad</x:v>
      </x:c>
      <x:c r="P2077" s="12" t="str">
        <x:v>CORP-0002</x:v>
      </x:c>
      <x:c r="Q2077" s="12" t="str">
        <x:v>Raytex IT Services</x:v>
      </x:c>
    </x:row>
    <x:row r="2078" ht="48" customHeight="1">
      <x:c r="A2078" s="2" t="str">
        <x:v>TEN-9A29B1AC02B6</x:v>
      </x:c>
      <x:c r="B2078" s="12" t="str">
        <x:v>RBL Bank Ltd</x:v>
      </x:c>
      <x:c r="C2078" s="12" t="str">
        <x:v>Business / brand</x:v>
      </x:c>
      <x:c r="D2078" s="12" t="str">
        <x:v>Finance &amp; insurance</x:v>
      </x:c>
      <x:c r="E2078" s="12" t="str">
        <x:v>Banking &amp; credit</x:v>
      </x:c>
      <x:c r="F2078" s="12" t="str">
        <x:v>Mixed business audience</x:v>
      </x:c>
      <x:c r="G2078" s="12" t="str">
        <x:v>Recognisable business context; company-scale evidence remains insufficient for a single size band.</x:v>
      </x:c>
      <x:c r="H2078" s="11" t="n">
        <x:v>1</x:v>
      </x:c>
      <x:c r="I2078" s="11" t="n">
        <x:v>8</x:v>
      </x:c>
      <x:c r="J2078" s="11" t="n">
        <x:v>8</x:v>
      </x:c>
      <x:c r="K2078" s="11" t="n">
        <x:v>0</x:v>
      </x:c>
      <x:c r="L2078" s="17" t="n">
        <x:f>SUM(SUMIFS('Costing'!$P$9:$P$492,'Costing'!$A$9:$A$492,"MAIN-327"))</x:f>
        <x:v>320000</x:v>
      </x:c>
      <x:c r="M2078" s="17" t="n">
        <x:f>ROUND(L2078*'Costing'!$C$4,2)</x:f>
        <x:v>57600</x:v>
      </x:c>
      <x:c r="N2078" s="17" t="n">
        <x:f>L2078+M2078</x:f>
        <x:v>377600</x:v>
      </x:c>
      <x:c r="O2078" s="12" t="str">
        <x:v>Mumbai</x:v>
      </x:c>
      <x:c r="P2078" s="12" t="str">
        <x:v>CORP-0323</x:v>
      </x:c>
      <x:c r="Q2078" s="12" t="str">
        <x:v>RBL Bank Ltd</x:v>
      </x:c>
    </x:row>
    <x:row r="2079" ht="48" customHeight="1">
      <x:c r="A2079" s="2" t="str">
        <x:v>TEN-0C938E21B4E2</x:v>
      </x:c>
      <x:c r="B2079" s="12" t="str">
        <x:v>RDB Associates</x:v>
      </x:c>
      <x:c r="C2079" s="12" t="str">
        <x:v>Business / brand</x:v>
      </x:c>
      <x:c r="D2079" s="12" t="str">
        <x:v>Unresolved</x:v>
      </x:c>
      <x:c r="E2079" s="12" t="str">
        <x:v>Business activity not established</x:v>
      </x:c>
      <x:c r="F2079" s="12" t="str">
        <x:v>Mixed business audience</x:v>
      </x:c>
      <x:c r="G2079" s="12" t="str">
        <x:v>Business activity and company scale are not established from this name.</x:v>
      </x:c>
      <x:c r="H2079" s="11" t="n">
        <x:v>1</x:v>
      </x:c>
      <x:c r="I2079" s="11" t="n">
        <x:v>7</x:v>
      </x:c>
      <x:c r="J2079" s="11" t="n">
        <x:v>7</x:v>
      </x:c>
      <x:c r="K2079" s="11" t="n">
        <x:v>0</x:v>
      </x:c>
      <x:c r="L2079" s="17" t="n">
        <x:f>SUM(SUMIFS('Costing'!$P$9:$P$492,'Costing'!$A$9:$A$492,"MAIN-129"))</x:f>
        <x:v>175000</x:v>
      </x:c>
      <x:c r="M2079" s="17" t="n">
        <x:f>ROUND(L2079*'Costing'!$C$4,2)</x:f>
        <x:v>31500</x:v>
      </x:c>
      <x:c r="N2079" s="17" t="n">
        <x:f>L2079+M2079</x:f>
        <x:v>206500</x:v>
      </x:c>
      <x:c r="O2079" s="12" t="str">
        <x:v>Bengaluru</x:v>
      </x:c>
      <x:c r="P2079" s="12" t="str">
        <x:v>CORP-0125</x:v>
      </x:c>
      <x:c r="Q2079" s="12" t="str">
        <x:v>RDB Associates</x:v>
      </x:c>
    </x:row>
    <x:row r="2080" ht="48" customHeight="1">
      <x:c r="A2080" s="2" t="str">
        <x:v>TEN-D37CD0DDC792</x:v>
      </x:c>
      <x:c r="B2080" s="12" t="str">
        <x:v>Re Sustainability Limited</x:v>
      </x:c>
      <x:c r="C2080" s="12" t="str">
        <x:v>Business / brand</x:v>
      </x:c>
      <x:c r="D2080" s="12" t="str">
        <x:v>Engineering &amp; manufacturing</x:v>
      </x:c>
      <x:c r="E2080" s="12" t="str">
        <x:v>Electronics, industrial systems &amp; manufacturing</x:v>
      </x:c>
      <x:c r="F2080" s="12" t="str">
        <x:v>Mixed business audience</x:v>
      </x:c>
      <x:c r="G2080" s="12" t="str">
        <x:v>Established brand or business network; local company scale is not established. Use a mixed-business message.</x:v>
      </x:c>
      <x:c r="H2080" s="11" t="n">
        <x:v>4</x:v>
      </x:c>
      <x:c r="I2080" s="11" t="n">
        <x:v>4</x:v>
      </x:c>
      <x:c r="J2080" s="11" t="n">
        <x:v>4</x:v>
      </x:c>
      <x:c r="K2080" s="11" t="n">
        <x:v>0</x:v>
      </x:c>
      <x:c r="L2080" s="17" t="n">
        <x:f>SUM(SUMIFS('Costing'!$P$9:$P$492,'Costing'!$A$9:$A$492,"PARTNER-M308"))</x:f>
        <x:v>160000</x:v>
      </x:c>
      <x:c r="M2080" s="17" t="n">
        <x:f>ROUND(L2080*'Costing'!$C$4,2)</x:f>
        <x:v>28800</x:v>
      </x:c>
      <x:c r="N2080" s="17" t="n">
        <x:f>L2080+M2080</x:f>
        <x:v>188800</x:v>
      </x:c>
      <x:c r="O2080" s="12" t="str">
        <x:v>Hyderabad</x:v>
      </x:c>
      <x:c r="P2080" s="12" t="str">
        <x:v>CORP-0723, CORP-0724, CORP-0725, CORP-0726</x:v>
      </x:c>
      <x:c r="Q2080" s="12" t="str">
        <x:v>Re Sustainability Limited</x:v>
      </x:c>
    </x:row>
    <x:row r="2081" ht="48" customHeight="1">
      <x:c r="A2081" s="2" t="str">
        <x:v>TEN-CBC5887ABFDF</x:v>
      </x:c>
      <x:c r="B2081" s="12" t="str">
        <x:v>Reachout Business Analytics</x:v>
      </x:c>
      <x:c r="C2081" s="12" t="str">
        <x:v>Business / brand</x:v>
      </x:c>
      <x:c r="D2081" s="12" t="str">
        <x:v>IT &amp; digital</x:v>
      </x:c>
      <x:c r="E2081" s="12" t="str">
        <x:v>AI, data &amp; analytics</x:v>
      </x:c>
      <x:c r="F2081" s="12" t="str">
        <x:v>Small-scale prospects</x:v>
      </x:c>
      <x:c r="G2081" s="12" t="str">
        <x:v>Software or technology-services business; small-scale prospect assumption.</x:v>
      </x:c>
      <x:c r="H2081" s="11" t="n">
        <x:v>1</x:v>
      </x:c>
      <x:c r="I2081" s="11" t="n">
        <x:v>1</x:v>
      </x:c>
      <x:c r="J2081" s="11" t="n">
        <x:v>1</x:v>
      </x:c>
      <x:c r="K2081" s="11" t="n">
        <x:v>0</x:v>
      </x:c>
      <x:c r="L2081" s="17" t="n">
        <x:f>SUM(SUMIFS('Costing'!$P$9:$P$492,'Costing'!$A$9:$A$492,"MAIN-250"))</x:f>
        <x:v>15000</x:v>
      </x:c>
      <x:c r="M2081" s="17" t="n">
        <x:f>ROUND(L2081*'Costing'!$C$4,2)</x:f>
        <x:v>2700</x:v>
      </x:c>
      <x:c r="N2081" s="17" t="n">
        <x:f>L2081+M2081</x:f>
        <x:v>17700</x:v>
      </x:c>
      <x:c r="O2081" s="12" t="str">
        <x:v>Hyderabad</x:v>
      </x:c>
      <x:c r="P2081" s="12" t="str">
        <x:v>CORP-0246</x:v>
      </x:c>
      <x:c r="Q2081" s="12" t="str">
        <x:v>Reachout Business Analytics</x:v>
      </x:c>
    </x:row>
    <x:row r="2082" ht="48" customHeight="1">
      <x:c r="A2082" s="2" t="str">
        <x:v>TEN-C41AB9D1B907</x:v>
      </x:c>
      <x:c r="B2082" s="12" t="str">
        <x:v>Realmi Mobile</x:v>
      </x:c>
      <x:c r="C2082" s="12" t="str">
        <x:v>Business / brand</x:v>
      </x:c>
      <x:c r="D2082" s="12" t="str">
        <x:v>Trade, consumer &amp; logistics</x:v>
      </x:c>
      <x:c r="E2082" s="12" t="str">
        <x:v>Retail, consumer products &amp; ecommerce</x:v>
      </x:c>
      <x:c r="F2082" s="12" t="str">
        <x:v>Mixed business audience</x:v>
      </x:c>
      <x:c r="G2082" s="12" t="str">
        <x:v>Established brand or business network; local company scale is not established. Use a mixed-business message.</x:v>
      </x:c>
      <x:c r="H2082" s="11" t="n">
        <x:v>1</x:v>
      </x:c>
      <x:c r="I2082" s="11" t="n">
        <x:v>1</x:v>
      </x:c>
      <x:c r="J2082" s="11" t="n">
        <x:v>1</x:v>
      </x:c>
      <x:c r="K2082" s="11" t="n">
        <x:v>0</x:v>
      </x:c>
      <x:c r="L2082" s="17" t="n">
        <x:f>SUM(SUMIFS('Costing'!$P$9:$P$492,'Costing'!$A$9:$A$492,"MAIN-309"))</x:f>
        <x:v>15000</x:v>
      </x:c>
      <x:c r="M2082" s="17" t="n">
        <x:f>ROUND(L2082*'Costing'!$C$4,2)</x:f>
        <x:v>2700</x:v>
      </x:c>
      <x:c r="N2082" s="17" t="n">
        <x:f>L2082+M2082</x:f>
        <x:v>17700</x:v>
      </x:c>
      <x:c r="O2082" s="12" t="str">
        <x:v>Mumbai</x:v>
      </x:c>
      <x:c r="P2082" s="12" t="str">
        <x:v>CORP-0305</x:v>
      </x:c>
      <x:c r="Q2082" s="12" t="str">
        <x:v>Realmi Mobile</x:v>
      </x:c>
    </x:row>
    <x:row r="2083" ht="48" customHeight="1">
      <x:c r="A2083" s="2" t="str">
        <x:v>TEN-58991ECEAA88</x:v>
      </x:c>
      <x:c r="B2083" s="12" t="str">
        <x:v>Realty Focus</x:v>
      </x:c>
      <x:c r="C2083" s="12" t="str">
        <x:v>Business / brand</x:v>
      </x:c>
      <x:c r="D2083" s="12" t="str">
        <x:v>Trade, consumer &amp; logistics</x:v>
      </x:c>
      <x:c r="E2083" s="12" t="str">
        <x:v>Real estate, property &amp; construction services</x:v>
      </x:c>
      <x:c r="F2083" s="12" t="str">
        <x:v>Small-scale prospects</x:v>
      </x:c>
      <x:c r="G2083" s="12" t="str">
        <x:v>Trading or consumer-services business; small-scale prospect assumption.</x:v>
      </x:c>
      <x:c r="H2083" s="11" t="n">
        <x:v>1</x:v>
      </x:c>
      <x:c r="I2083" s="11" t="n">
        <x:v>2</x:v>
      </x:c>
      <x:c r="J2083" s="11" t="n">
        <x:v>2</x:v>
      </x:c>
      <x:c r="K2083" s="11" t="n">
        <x:v>0</x:v>
      </x:c>
      <x:c r="L2083" s="17" t="n">
        <x:f>SUM(SUMIFS('Costing'!$P$9:$P$492,'Costing'!$A$9:$A$492,"MAIN-045"))</x:f>
        <x:v>30000</x:v>
      </x:c>
      <x:c r="M2083" s="17" t="n">
        <x:f>ROUND(L2083*'Costing'!$C$4,2)</x:f>
        <x:v>5400</x:v>
      </x:c>
      <x:c r="N2083" s="17" t="n">
        <x:f>L2083+M2083</x:f>
        <x:v>35400</x:v>
      </x:c>
      <x:c r="O2083" s="12" t="str">
        <x:v>Bengaluru</x:v>
      </x:c>
      <x:c r="P2083" s="12" t="str">
        <x:v>CORP-0041</x:v>
      </x:c>
      <x:c r="Q2083" s="12" t="str">
        <x:v>Realty Focus</x:v>
      </x:c>
    </x:row>
    <x:row r="2084" ht="48" customHeight="1">
      <x:c r="A2084" s="2" t="str">
        <x:v>TEN-3BBC9DDC0771</x:v>
      </x:c>
      <x:c r="B2084" s="12" t="str">
        <x:v>Realtyroof</x:v>
      </x:c>
      <x:c r="C2084" s="12" t="str">
        <x:v>Business / brand</x:v>
      </x:c>
      <x:c r="D2084" s="12" t="str">
        <x:v>Trade, consumer &amp; logistics</x:v>
      </x:c>
      <x:c r="E2084" s="12" t="str">
        <x:v>Real estate, property &amp; construction services</x:v>
      </x:c>
      <x:c r="F2084" s="12" t="str">
        <x:v>Small-scale prospects</x:v>
      </x:c>
      <x:c r="G2084" s="12" t="str">
        <x:v>Trading or consumer-services business; small-scale prospect assumption.</x:v>
      </x:c>
      <x:c r="H2084" s="11" t="n">
        <x:v>5</x:v>
      </x:c>
      <x:c r="I2084" s="11" t="n">
        <x:v>5</x:v>
      </x:c>
      <x:c r="J2084" s="11" t="n">
        <x:v>5</x:v>
      </x:c>
      <x:c r="K2084" s="11" t="n">
        <x:v>0</x:v>
      </x:c>
      <x:c r="L2084" s="17" t="n">
        <x:f>SUM(SUMIFS('Costing'!$P$9:$P$492,'Costing'!$A$9:$A$492,"PARTNER-M277"))</x:f>
        <x:v>200000</x:v>
      </x:c>
      <x:c r="M2084" s="17" t="n">
        <x:f>ROUND(L2084*'Costing'!$C$4,2)</x:f>
        <x:v>36000</x:v>
      </x:c>
      <x:c r="N2084" s="17" t="n">
        <x:f>L2084+M2084</x:f>
        <x:v>236000</x:v>
      </x:c>
      <x:c r="O2084" s="12" t="str">
        <x:v>Pune</x:v>
      </x:c>
      <x:c r="P2084" s="12" t="str">
        <x:v>CORP-0693, CORP-0694, CORP-0695, CORP-0696, CORP-0697</x:v>
      </x:c>
      <x:c r="Q2084" s="12" t="str">
        <x:v>Realtyroof</x:v>
      </x:c>
    </x:row>
    <x:row r="2085" ht="48" customHeight="1">
      <x:c r="A2085" s="2" t="str">
        <x:v>TEN-FA461A42B5F7</x:v>
      </x:c>
      <x:c r="B2085" s="12" t="str">
        <x:v>REALVERSE PROPTECH PRIVATE LIMITED</x:v>
      </x:c>
      <x:c r="C2085" s="12" t="str">
        <x:v>Business / brand</x:v>
      </x:c>
      <x:c r="D2085" s="12" t="str">
        <x:v>Trade, consumer &amp; logistics</x:v>
      </x:c>
      <x:c r="E2085" s="12" t="str">
        <x:v>Real estate, property &amp; construction services</x:v>
      </x:c>
      <x:c r="F2085" s="12" t="str">
        <x:v>Small-scale prospects</x:v>
      </x:c>
      <x:c r="G2085" s="12" t="str">
        <x:v>Trading or consumer-services business; small-scale prospect assumption.</x:v>
      </x:c>
      <x:c r="H2085" s="11" t="n">
        <x:v>1</x:v>
      </x:c>
      <x:c r="I2085" s="11" t="n">
        <x:v>2</x:v>
      </x:c>
      <x:c r="J2085" s="11" t="n">
        <x:v>2</x:v>
      </x:c>
      <x:c r="K2085" s="11" t="n">
        <x:v>0</x:v>
      </x:c>
      <x:c r="L2085" s="17" t="n">
        <x:f>SUM(SUMIFS('Costing'!$P$9:$P$492,'Costing'!$A$9:$A$492,"MAIN-244"))</x:f>
        <x:v>30000</x:v>
      </x:c>
      <x:c r="M2085" s="17" t="n">
        <x:f>ROUND(L2085*'Costing'!$C$4,2)</x:f>
        <x:v>5400</x:v>
      </x:c>
      <x:c r="N2085" s="17" t="n">
        <x:f>L2085+M2085</x:f>
        <x:v>35400</x:v>
      </x:c>
      <x:c r="O2085" s="12" t="str">
        <x:v>Hyderabad</x:v>
      </x:c>
      <x:c r="P2085" s="12" t="str">
        <x:v>CORP-0240</x:v>
      </x:c>
      <x:c r="Q2085" s="12" t="str">
        <x:v>REALVERSE PROPTECH PRIVATE LIMITED</x:v>
      </x:c>
    </x:row>
    <x:row r="2086" ht="48" customHeight="1">
      <x:c r="A2086" s="2" t="str">
        <x:v>TEN-FD8D253C74F8</x:v>
      </x:c>
      <x:c r="B2086" s="12" t="str">
        <x:v>RealX</x:v>
      </x:c>
      <x:c r="C2086" s="12" t="str">
        <x:v>Business / brand</x:v>
      </x:c>
      <x:c r="D2086" s="12" t="str">
        <x:v>Unresolved</x:v>
      </x:c>
      <x:c r="E2086" s="12" t="str">
        <x:v>Business activity not established</x:v>
      </x:c>
      <x:c r="F2086" s="12" t="str">
        <x:v>Mixed business audience</x:v>
      </x:c>
      <x:c r="G2086" s="12" t="str">
        <x:v>Business activity and company scale are not established from this name.</x:v>
      </x:c>
      <x:c r="H2086" s="11" t="n">
        <x:v>2</x:v>
      </x:c>
      <x:c r="I2086" s="11" t="n">
        <x:v>2</x:v>
      </x:c>
      <x:c r="J2086" s="11" t="n">
        <x:v>2</x:v>
      </x:c>
      <x:c r="K2086" s="11" t="n">
        <x:v>0</x:v>
      </x:c>
      <x:c r="L2086" s="17" t="n">
        <x:f>SUM(SUMIFS('Costing'!$P$9:$P$492,'Costing'!$A$9:$A$492,"MAIN-405"),SUMIFS('Costing'!$P$9:$P$492,'Costing'!$A$9:$A$492,"MAIN-406"))</x:f>
        <x:v>30000</x:v>
      </x:c>
      <x:c r="M2086" s="17" t="n">
        <x:f>ROUND(L2086*'Costing'!$C$4,2)</x:f>
        <x:v>5400</x:v>
      </x:c>
      <x:c r="N2086" s="17" t="n">
        <x:f>L2086+M2086</x:f>
        <x:v>35400</x:v>
      </x:c>
      <x:c r="O2086" s="12" t="str">
        <x:v>Pune</x:v>
      </x:c>
      <x:c r="P2086" s="12" t="str">
        <x:v>CORP-0401, CORP-0402</x:v>
      </x:c>
      <x:c r="Q2086" s="12" t="str">
        <x:v>RealX</x:v>
      </x:c>
    </x:row>
    <x:row r="2087" ht="48" customHeight="1">
      <x:c r="A2087" s="2" t="str">
        <x:v>TEN-2110489FAD91</x:v>
      </x:c>
      <x:c r="B2087" s="12" t="str">
        <x:v>Recvue (I) Pvt Ltd</x:v>
      </x:c>
      <x:c r="C2087" s="12" t="str">
        <x:v>Business / brand</x:v>
      </x:c>
      <x:c r="D2087" s="12" t="str">
        <x:v>IT &amp; digital</x:v>
      </x:c>
      <x:c r="E2087" s="12" t="str">
        <x:v>Enterprise software &amp; digital engineering</x:v>
      </x:c>
      <x:c r="F2087" s="12" t="str">
        <x:v>Small-scale prospects</x:v>
      </x:c>
      <x:c r="G2087" s="12" t="str">
        <x:v>Software or technology-services business; small-scale prospect assumption.</x:v>
      </x:c>
      <x:c r="H2087" s="11" t="n">
        <x:v>1</x:v>
      </x:c>
      <x:c r="I2087" s="11" t="n">
        <x:v>5</x:v>
      </x:c>
      <x:c r="J2087" s="11" t="n">
        <x:v>5</x:v>
      </x:c>
      <x:c r="K2087" s="11" t="n">
        <x:v>0</x:v>
      </x:c>
      <x:c r="L2087" s="17" t="n">
        <x:f>SUM(SUMIFS('Costing'!$P$9:$P$492,'Costing'!$A$9:$A$492,"MAIN-258"))</x:f>
        <x:v>200000</x:v>
      </x:c>
      <x:c r="M2087" s="17" t="n">
        <x:f>ROUND(L2087*'Costing'!$C$4,2)</x:f>
        <x:v>36000</x:v>
      </x:c>
      <x:c r="N2087" s="17" t="n">
        <x:f>L2087+M2087</x:f>
        <x:v>236000</x:v>
      </x:c>
      <x:c r="O2087" s="12" t="str">
        <x:v>Hyderabad</x:v>
      </x:c>
      <x:c r="P2087" s="12" t="str">
        <x:v>CORP-0254</x:v>
      </x:c>
      <x:c r="Q2087" s="12" t="str">
        <x:v>Recvue (I) Pvt Ltd</x:v>
      </x:c>
    </x:row>
    <x:row r="2088" ht="48" customHeight="1">
      <x:c r="A2088" s="2" t="str">
        <x:v>TEN-FDAC38268C21</x:v>
      </x:c>
      <x:c r="B2088" s="12" t="str">
        <x:v>Red FM</x:v>
      </x:c>
      <x:c r="C2088" s="12" t="str">
        <x:v>Business / brand</x:v>
      </x:c>
      <x:c r="D2088" s="12" t="str">
        <x:v>Trade, consumer &amp; logistics</x:v>
      </x:c>
      <x:c r="E2088" s="12" t="str">
        <x:v>Consumer/trade services — specialty unverified</x:v>
      </x:c>
      <x:c r="F2088" s="12" t="str">
        <x:v>Mixed business audience</x:v>
      </x:c>
      <x:c r="G2088" s="12" t="str">
        <x:v>Recognisable business context; company-scale evidence remains insufficient for a single size band.</x:v>
      </x:c>
      <x:c r="H2088" s="11" t="n">
        <x:v>1</x:v>
      </x:c>
      <x:c r="I2088" s="11" t="n">
        <x:v>1</x:v>
      </x:c>
      <x:c r="J2088" s="11" t="n">
        <x:v>1</x:v>
      </x:c>
      <x:c r="K2088" s="11" t="n">
        <x:v>0</x:v>
      </x:c>
      <x:c r="L2088" s="17" t="n">
        <x:f>SUM(SUMIFS('Costing'!$P$9:$P$492,'Costing'!$A$9:$A$492,"MAIN-272"))</x:f>
        <x:v>20000</x:v>
      </x:c>
      <x:c r="M2088" s="17" t="n">
        <x:f>ROUND(L2088*'Costing'!$C$4,2)</x:f>
        <x:v>3600</x:v>
      </x:c>
      <x:c r="N2088" s="17" t="n">
        <x:f>L2088+M2088</x:f>
        <x:v>23600</x:v>
      </x:c>
      <x:c r="O2088" s="12" t="str">
        <x:v>Indore</x:v>
      </x:c>
      <x:c r="P2088" s="12" t="str">
        <x:v>CORP-0268</x:v>
      </x:c>
      <x:c r="Q2088" s="12" t="str">
        <x:v>Red FM</x:v>
      </x:c>
    </x:row>
    <x:row r="2089" ht="62" customHeight="1">
      <x:c r="A2089" s="2" t="str">
        <x:v>TEN-8DFE5E6CF73B</x:v>
      </x:c>
      <x:c r="B2089" s="12" t="str">
        <x:v>Red Hat</x:v>
      </x:c>
      <x:c r="C2089" s="12" t="str">
        <x:v>Business / brand</x:v>
      </x:c>
      <x:c r="D2089" s="12" t="str">
        <x:v>IT &amp; digital</x:v>
      </x:c>
      <x:c r="E2089" s="12" t="str">
        <x:v>Technology services — specialty unverified</x:v>
      </x:c>
      <x:c r="F2089" s="12" t="str">
        <x:v>Large enterprise</x:v>
      </x:c>
      <x:c r="G2089" s="12" t="str">
        <x:v>The official Red Hat overview reports more than 19,000 employees at 100 locations in over 40 countries. This is an established global software enterprise.</x:v>
      </x:c>
      <x:c r="H2089" s="11" t="n">
        <x:v>17</x:v>
      </x:c>
      <x:c r="I2089" s="11" t="n">
        <x:v>17</x:v>
      </x:c>
      <x:c r="J2089" s="11" t="n">
        <x:v>17</x:v>
      </x:c>
      <x:c r="K2089" s="11" t="n">
        <x:v>0</x:v>
      </x:c>
      <x:c r="L2089" s="17" t="n">
        <x:f>SUM(SUMIFS('Costing'!$P$9:$P$492,'Costing'!$A$9:$A$492,"PARTNER-M130"),SUMIFS('Costing'!$P$9:$P$492,'Costing'!$A$9:$A$492,"PARTNER-M252"))</x:f>
        <x:v>680000</x:v>
      </x:c>
      <x:c r="M2089" s="17" t="n">
        <x:f>ROUND(L2089*'Costing'!$C$4,2)</x:f>
        <x:v>122400</x:v>
      </x:c>
      <x:c r="N2089" s="17" t="n">
        <x:f>L2089+M2089</x:f>
        <x:v>802400</x:v>
      </x:c>
      <x:c r="O2089" s="12" t="str">
        <x:v>Bengaluru, Pune</x:v>
      </x:c>
      <x:c r="P2089" s="12" t="str">
        <x:v>CORP-0548, CORP-0549, CORP-0550, CORP-0551, CORP-0552, CORP-0553, CORP-0554, CORP-0555, CORP-0668, CORP-0669, CORP-0670, CORP-0671, CORP-0672, CORP-0673, CORP-0674, CORP-0675, CORP-0676</x:v>
      </x:c>
      <x:c r="Q2089" s="12" t="str">
        <x:v>Red Hat, Redhat</x:v>
      </x:c>
    </x:row>
    <x:row r="2090" ht="48" customHeight="1">
      <x:c r="A2090" s="2" t="str">
        <x:v>TEN-D96307B671BF</x:v>
      </x:c>
      <x:c r="B2090" s="12" t="str">
        <x:v>Redbrick IT Support Limited</x:v>
      </x:c>
      <x:c r="C2090" s="12" t="str">
        <x:v>Business / brand</x:v>
      </x:c>
      <x:c r="D2090" s="12" t="str">
        <x:v>IT &amp; digital</x:v>
      </x:c>
      <x:c r="E2090" s="12" t="str">
        <x:v>Enterprise software &amp; digital engineering</x:v>
      </x:c>
      <x:c r="F2090" s="12" t="str">
        <x:v>Small-scale prospects</x:v>
      </x:c>
      <x:c r="G2090" s="12" t="str">
        <x:v>Software or technology-services business; small-scale prospect assumption.</x:v>
      </x:c>
      <x:c r="H2090" s="11" t="n">
        <x:v>1</x:v>
      </x:c>
      <x:c r="I2090" s="11" t="n">
        <x:v>2</x:v>
      </x:c>
      <x:c r="J2090" s="11" t="n">
        <x:v>2</x:v>
      </x:c>
      <x:c r="K2090" s="11" t="n">
        <x:v>0</x:v>
      </x:c>
      <x:c r="L2090" s="17" t="n">
        <x:f>SUM(SUMIFS('Costing'!$P$9:$P$492,'Costing'!$A$9:$A$492,"MAIN-384"))</x:f>
        <x:v>80000</x:v>
      </x:c>
      <x:c r="M2090" s="17" t="n">
        <x:f>ROUND(L2090*'Costing'!$C$4,2)</x:f>
        <x:v>14400</x:v>
      </x:c>
      <x:c r="N2090" s="17" t="n">
        <x:f>L2090+M2090</x:f>
        <x:v>94400</x:v>
      </x:c>
      <x:c r="O2090" s="12" t="str">
        <x:v>Pune</x:v>
      </x:c>
      <x:c r="P2090" s="12" t="str">
        <x:v>CORP-0380</x:v>
      </x:c>
      <x:c r="Q2090" s="12" t="str">
        <x:v>Redbrick IT Support Limited</x:v>
      </x:c>
    </x:row>
    <x:row r="2091" ht="48" customHeight="1">
      <x:c r="A2091" s="2" t="str">
        <x:v>TEN-1F31C89E234E</x:v>
      </x:c>
      <x:c r="B2091" s="12" t="str">
        <x:v>Reddito Capital Research Private Limited</x:v>
      </x:c>
      <x:c r="C2091" s="12" t="str">
        <x:v>Business / brand</x:v>
      </x:c>
      <x:c r="D2091" s="12" t="str">
        <x:v>Finance &amp; insurance</x:v>
      </x:c>
      <x:c r="E2091" s="12" t="str">
        <x:v>Investments, securities &amp; wealth</x:v>
      </x:c>
      <x:c r="F2091" s="12" t="str">
        <x:v>Medium-scale prospects</x:v>
      </x:c>
      <x:c r="G2091" s="12" t="str">
        <x:v>Specialist financial-services business; medium-scale prospect assumption.</x:v>
      </x:c>
      <x:c r="H2091" s="11" t="n">
        <x:v>1</x:v>
      </x:c>
      <x:c r="I2091" s="11" t="n">
        <x:v>2</x:v>
      </x:c>
      <x:c r="J2091" s="11" t="n">
        <x:v>2</x:v>
      </x:c>
      <x:c r="K2091" s="11" t="n">
        <x:v>0</x:v>
      </x:c>
      <x:c r="L2091" s="17" t="n">
        <x:f>SUM(SUMIFS('Costing'!$P$9:$P$492,'Costing'!$A$9:$A$492,"MAIN-273"))</x:f>
        <x:v>40000</x:v>
      </x:c>
      <x:c r="M2091" s="17" t="n">
        <x:f>ROUND(L2091*'Costing'!$C$4,2)</x:f>
        <x:v>7200</x:v>
      </x:c>
      <x:c r="N2091" s="17" t="n">
        <x:f>L2091+M2091</x:f>
        <x:v>47200</x:v>
      </x:c>
      <x:c r="O2091" s="12" t="str">
        <x:v>Indore</x:v>
      </x:c>
      <x:c r="P2091" s="12" t="str">
        <x:v>CORP-0269</x:v>
      </x:c>
      <x:c r="Q2091" s="12" t="str">
        <x:v>Reddito Capital Research Private Limited</x:v>
      </x:c>
    </x:row>
    <x:row r="2092" ht="48" customHeight="1">
      <x:c r="A2092" s="2" t="str">
        <x:v>TEN-C9DBDD187EBA</x:v>
      </x:c>
      <x:c r="B2092" s="12" t="str">
        <x:v>Redknee</x:v>
      </x:c>
      <x:c r="C2092" s="12" t="str">
        <x:v>Business / brand</x:v>
      </x:c>
      <x:c r="D2092" s="12" t="str">
        <x:v>IT &amp; digital</x:v>
      </x:c>
      <x:c r="E2092" s="12" t="str">
        <x:v>Enterprise software &amp; digital engineering</x:v>
      </x:c>
      <x:c r="F2092" s="12" t="str">
        <x:v>Mixed business audience</x:v>
      </x:c>
      <x:c r="G2092" s="12" t="str">
        <x:v>Established brand or business network; local company scale is not established. Use a mixed-business message.</x:v>
      </x:c>
      <x:c r="H2092" s="11" t="n">
        <x:v>5</x:v>
      </x:c>
      <x:c r="I2092" s="11" t="n">
        <x:v>5</x:v>
      </x:c>
      <x:c r="J2092" s="11" t="n">
        <x:v>5</x:v>
      </x:c>
      <x:c r="K2092" s="11" t="n">
        <x:v>0</x:v>
      </x:c>
      <x:c r="L2092" s="17" t="n">
        <x:f>SUM(SUMIFS('Costing'!$P$9:$P$492,'Costing'!$A$9:$A$492,"PARTNER-M051"))</x:f>
        <x:v>200000</x:v>
      </x:c>
      <x:c r="M2092" s="17" t="n">
        <x:f>ROUND(L2092*'Costing'!$C$4,2)</x:f>
        <x:v>36000</x:v>
      </x:c>
      <x:c r="N2092" s="17" t="n">
        <x:f>L2092+M2092</x:f>
        <x:v>236000</x:v>
      </x:c>
      <x:c r="O2092" s="12" t="str">
        <x:v>Bengaluru</x:v>
      </x:c>
      <x:c r="P2092" s="12" t="str">
        <x:v>CORP-0469, CORP-0470, CORP-0471, CORP-0472, CORP-0473</x:v>
      </x:c>
      <x:c r="Q2092" s="12" t="str">
        <x:v>Redknee</x:v>
      </x:c>
    </x:row>
    <x:row r="2093" ht="48" customHeight="1">
      <x:c r="A2093" s="2" t="str">
        <x:v>TEN-56B8BA98F7F4</x:v>
      </x:c>
      <x:c r="B2093" s="12" t="str">
        <x:v>RedMonk</x:v>
      </x:c>
      <x:c r="C2093" s="12" t="str">
        <x:v>Business / brand</x:v>
      </x:c>
      <x:c r="D2093" s="12" t="str">
        <x:v>Unresolved</x:v>
      </x:c>
      <x:c r="E2093" s="12" t="str">
        <x:v>Business activity not established</x:v>
      </x:c>
      <x:c r="F2093" s="12" t="str">
        <x:v>Mixed business audience</x:v>
      </x:c>
      <x:c r="G2093" s="12" t="str">
        <x:v>Business activity and company scale are not established from this name.</x:v>
      </x:c>
      <x:c r="H2093" s="11" t="n">
        <x:v>1</x:v>
      </x:c>
      <x:c r="I2093" s="11" t="n">
        <x:v>2</x:v>
      </x:c>
      <x:c r="J2093" s="11" t="n">
        <x:v>2</x:v>
      </x:c>
      <x:c r="K2093" s="11" t="n">
        <x:v>0</x:v>
      </x:c>
      <x:c r="L2093" s="17" t="n">
        <x:f>SUM(SUMIFS('Costing'!$P$9:$P$492,'Costing'!$A$9:$A$492,"MAIN-268"))</x:f>
        <x:v>80000</x:v>
      </x:c>
      <x:c r="M2093" s="17" t="n">
        <x:f>ROUND(L2093*'Costing'!$C$4,2)</x:f>
        <x:v>14400</x:v>
      </x:c>
      <x:c r="N2093" s="17" t="n">
        <x:f>L2093+M2093</x:f>
        <x:v>94400</x:v>
      </x:c>
      <x:c r="O2093" s="12" t="str">
        <x:v>Indore</x:v>
      </x:c>
      <x:c r="P2093" s="12" t="str">
        <x:v>CORP-0264</x:v>
      </x:c>
      <x:c r="Q2093" s="12" t="str">
        <x:v>RedMonk</x:v>
      </x:c>
    </x:row>
    <x:row r="2094" ht="48" customHeight="1">
      <x:c r="A2094" s="2" t="str">
        <x:v>TEN-BD31900BEB43</x:v>
      </x:c>
      <x:c r="B2094" s="12" t="str">
        <x:v>Reflexis</x:v>
      </x:c>
      <x:c r="C2094" s="12" t="str">
        <x:v>Business / brand</x:v>
      </x:c>
      <x:c r="D2094" s="12" t="str">
        <x:v>IT &amp; digital</x:v>
      </x:c>
      <x:c r="E2094" s="12" t="str">
        <x:v>Enterprise software &amp; digital engineering</x:v>
      </x:c>
      <x:c r="F2094" s="12" t="str">
        <x:v>Mixed business audience</x:v>
      </x:c>
      <x:c r="G2094" s="12" t="str">
        <x:v>Established brand or business network; local company scale is not established. Use a mixed-business message.</x:v>
      </x:c>
      <x:c r="H2094" s="11" t="n">
        <x:v>9</x:v>
      </x:c>
      <x:c r="I2094" s="11" t="n">
        <x:v>9</x:v>
      </x:c>
      <x:c r="J2094" s="11" t="n">
        <x:v>9</x:v>
      </x:c>
      <x:c r="K2094" s="11" t="n">
        <x:v>0</x:v>
      </x:c>
      <x:c r="L2094" s="17" t="n">
        <x:f>SUM(SUMIFS('Costing'!$P$9:$P$492,'Costing'!$A$9:$A$492,"PARTNER-M252"))</x:f>
        <x:v>360000</x:v>
      </x:c>
      <x:c r="M2094" s="17" t="n">
        <x:f>ROUND(L2094*'Costing'!$C$4,2)</x:f>
        <x:v>64800</x:v>
      </x:c>
      <x:c r="N2094" s="17" t="n">
        <x:f>L2094+M2094</x:f>
        <x:v>424800</x:v>
      </x:c>
      <x:c r="O2094" s="12" t="str">
        <x:v>Pune</x:v>
      </x:c>
      <x:c r="P2094" s="12" t="str">
        <x:v>CORP-0668, CORP-0669, CORP-0670, CORP-0671, CORP-0672, CORP-0673, CORP-0674, CORP-0675, CORP-0676</x:v>
      </x:c>
      <x:c r="Q2094" s="12" t="str">
        <x:v>Reflexis</x:v>
      </x:c>
    </x:row>
    <x:row r="2095" ht="48" customHeight="1">
      <x:c r="A2095" s="2" t="str">
        <x:v>TEN-1A66578C0D36</x:v>
      </x:c>
      <x:c r="B2095" s="12" t="str">
        <x:v>Refpay Media Pvt Ltd</x:v>
      </x:c>
      <x:c r="C2095" s="12" t="str">
        <x:v>Business / brand</x:v>
      </x:c>
      <x:c r="D2095" s="12" t="str">
        <x:v>Trade, consumer &amp; logistics</x:v>
      </x:c>
      <x:c r="E2095" s="12" t="str">
        <x:v>Entertainment, media &amp; events</x:v>
      </x:c>
      <x:c r="F2095" s="12" t="str">
        <x:v>Small-scale prospects</x:v>
      </x:c>
      <x:c r="G2095" s="12" t="str">
        <x:v>Trading or consumer-services business; small-scale prospect assumption.</x:v>
      </x:c>
      <x:c r="H2095" s="11" t="n">
        <x:v>1</x:v>
      </x:c>
      <x:c r="I2095" s="11" t="n">
        <x:v>4</x:v>
      </x:c>
      <x:c r="J2095" s="11" t="n">
        <x:v>4</x:v>
      </x:c>
      <x:c r="K2095" s="11" t="n">
        <x:v>0</x:v>
      </x:c>
      <x:c r="L2095" s="17" t="n">
        <x:f>SUM(SUMIFS('Costing'!$P$9:$P$492,'Costing'!$A$9:$A$492,"MAIN-204"))</x:f>
        <x:v>160000</x:v>
      </x:c>
      <x:c r="M2095" s="17" t="n">
        <x:f>ROUND(L2095*'Costing'!$C$4,2)</x:f>
        <x:v>28800</x:v>
      </x:c>
      <x:c r="N2095" s="17" t="n">
        <x:f>L2095+M2095</x:f>
        <x:v>188800</x:v>
      </x:c>
      <x:c r="O2095" s="12" t="str">
        <x:v>Delhi NCR</x:v>
      </x:c>
      <x:c r="P2095" s="12" t="str">
        <x:v>CORP-0200</x:v>
      </x:c>
      <x:c r="Q2095" s="12" t="str">
        <x:v>Refpay Media Pvt Ltd</x:v>
      </x:c>
    </x:row>
    <x:row r="2096" ht="48" customHeight="1">
      <x:c r="A2096" s="2" t="str">
        <x:v>TEN-44D980DAC028</x:v>
      </x:c>
      <x:c r="B2096" s="12" t="str">
        <x:v>Regal</x:v>
      </x:c>
      <x:c r="C2096" s="12" t="str">
        <x:v>Business / brand</x:v>
      </x:c>
      <x:c r="D2096" s="12" t="str">
        <x:v>Unresolved</x:v>
      </x:c>
      <x:c r="E2096" s="12" t="str">
        <x:v>Business activity not established</x:v>
      </x:c>
      <x:c r="F2096" s="12" t="str">
        <x:v>Mixed business audience</x:v>
      </x:c>
      <x:c r="G2096" s="12" t="str">
        <x:v>Business activity and company scale are not established from this name.</x:v>
      </x:c>
      <x:c r="H2096" s="11" t="n">
        <x:v>1</x:v>
      </x:c>
      <x:c r="I2096" s="11" t="n">
        <x:v>1</x:v>
      </x:c>
      <x:c r="J2096" s="11" t="n">
        <x:v>1</x:v>
      </x:c>
      <x:c r="K2096" s="11" t="n">
        <x:v>0</x:v>
      </x:c>
      <x:c r="L2096" s="17" t="n">
        <x:f>SUM(SUMIFS('Costing'!$P$9:$P$492,'Costing'!$A$9:$A$492,"MAIN-390"))</x:f>
        <x:v>15000</x:v>
      </x:c>
      <x:c r="M2096" s="17" t="n">
        <x:f>ROUND(L2096*'Costing'!$C$4,2)</x:f>
        <x:v>2700</x:v>
      </x:c>
      <x:c r="N2096" s="17" t="n">
        <x:f>L2096+M2096</x:f>
        <x:v>17700</x:v>
      </x:c>
      <x:c r="O2096" s="12" t="str">
        <x:v>Pune</x:v>
      </x:c>
      <x:c r="P2096" s="12" t="str">
        <x:v>CORP-0386</x:v>
      </x:c>
      <x:c r="Q2096" s="12" t="str">
        <x:v>Regal</x:v>
      </x:c>
    </x:row>
    <x:row r="2097" ht="49" customHeight="1">
      <x:c r="A2097" s="2" t="str">
        <x:v>TEN-6FC71948C40F</x:v>
      </x:c>
      <x:c r="B2097" s="12" t="str">
        <x:v>Regus</x:v>
      </x:c>
      <x:c r="C2097" s="12" t="str">
        <x:v>Workspace operator</x:v>
      </x:c>
      <x:c r="D2097" s="12" t="str">
        <x:v>Workspace &amp; property operations</x:v>
      </x:c>
      <x:c r="E2097" s="12" t="str">
        <x:v>Coworking/workspace operator</x:v>
      </x:c>
      <x:c r="F2097" s="12" t="str">
        <x:v>Mixed business audience</x:v>
      </x:c>
      <x:c r="G2097" s="12" t="str">
        <x:v>Supplied entry is a shared-workspace operator; the business sizes of occupant companies cannot be derived from the operator name.</x:v>
      </x:c>
      <x:c r="H2097" s="11" t="n">
        <x:v>11</x:v>
      </x:c>
      <x:c r="I2097" s="11" t="n">
        <x:v>11</x:v>
      </x:c>
      <x:c r="J2097" s="11" t="n">
        <x:v>11</x:v>
      </x:c>
      <x:c r="K2097" s="11" t="n">
        <x:v>0</x:v>
      </x:c>
      <x:c r="L2097" s="17" t="n">
        <x:f>SUM(SUMIFS('Costing'!$P$9:$P$492,'Costing'!$A$9:$A$492,"MAIN-272"),SUMIFS('Costing'!$P$9:$P$492,'Costing'!$A$9:$A$492,"PARTNER-M056"),SUMIFS('Costing'!$P$9:$P$492,'Costing'!$A$9:$A$492,"PARTNER-M283"))</x:f>
        <x:v>420000</x:v>
      </x:c>
      <x:c r="M2097" s="17" t="n">
        <x:f>ROUND(L2097*'Costing'!$C$4,2)</x:f>
        <x:v>75600</x:v>
      </x:c>
      <x:c r="N2097" s="17" t="n">
        <x:f>L2097+M2097</x:f>
        <x:v>495600</x:v>
      </x:c>
      <x:c r="O2097" s="12" t="str">
        <x:v>Indore, Bengaluru, Hyderabad</x:v>
      </x:c>
      <x:c r="P2097" s="12" t="str">
        <x:v>CORP-0268, CORP-0474, CORP-0475, CORP-0476, CORP-0477, CORP-0698, CORP-0699, CORP-0700, CORP-0701, CORP-0702, CORP-0703</x:v>
      </x:c>
      <x:c r="Q2097" s="12" t="str">
        <x:v>Regus</x:v>
      </x:c>
    </x:row>
    <x:row r="2098" ht="49" customHeight="1">
      <x:c r="A2098" s="2" t="str">
        <x:v>TEN-845E172C9D1B</x:v>
      </x:c>
      <x:c r="B2098" s="12" t="str">
        <x:v>regus business centre</x:v>
      </x:c>
      <x:c r="C2098" s="12" t="str">
        <x:v>Workspace operator</x:v>
      </x:c>
      <x:c r="D2098" s="12" t="str">
        <x:v>Workspace &amp; property operations</x:v>
      </x:c>
      <x:c r="E2098" s="12" t="str">
        <x:v>Coworking/workspace operator</x:v>
      </x:c>
      <x:c r="F2098" s="12" t="str">
        <x:v>Mixed business audience</x:v>
      </x:c>
      <x:c r="G2098" s="12" t="str">
        <x:v>Supplied entry is a shared-workspace operator; the business sizes of occupant companies cannot be derived from the operator name.</x:v>
      </x:c>
      <x:c r="H2098" s="11" t="n">
        <x:v>3</x:v>
      </x:c>
      <x:c r="I2098" s="11" t="n">
        <x:v>4</x:v>
      </x:c>
      <x:c r="J2098" s="11" t="n">
        <x:v>4</x:v>
      </x:c>
      <x:c r="K2098" s="11" t="n">
        <x:v>0</x:v>
      </x:c>
      <x:c r="L2098" s="17" t="n">
        <x:f>SUM(SUMIFS('Costing'!$P$9:$P$492,'Costing'!$A$9:$A$492,"MAIN-182"),SUMIFS('Costing'!$P$9:$P$492,'Costing'!$A$9:$A$492,"PARTNER-M241"))</x:f>
        <x:v>110000</x:v>
      </x:c>
      <x:c r="M2098" s="17" t="n">
        <x:f>ROUND(L2098*'Costing'!$C$4,2)</x:f>
        <x:v>19800</x:v>
      </x:c>
      <x:c r="N2098" s="17" t="n">
        <x:f>L2098+M2098</x:f>
        <x:v>129800</x:v>
      </x:c>
      <x:c r="O2098" s="12" t="str">
        <x:v>Delhi NCR, Mumbai</x:v>
      </x:c>
      <x:c r="P2098" s="12" t="str">
        <x:v>CORP-0178, CORP-0658, CORP-0659</x:v>
      </x:c>
      <x:c r="Q2098" s="12" t="str">
        <x:v>regus business centre, Regus Business Centre</x:v>
      </x:c>
    </x:row>
    <x:row r="2099" ht="48" customHeight="1">
      <x:c r="A2099" s="2" t="str">
        <x:v>TEN-9EAAB7C5C964</x:v>
      </x:c>
      <x:c r="B2099" s="12" t="str">
        <x:v>Rein Labs</x:v>
      </x:c>
      <x:c r="C2099" s="12" t="str">
        <x:v>Business / brand</x:v>
      </x:c>
      <x:c r="D2099" s="12" t="str">
        <x:v>Unresolved</x:v>
      </x:c>
      <x:c r="E2099" s="12" t="str">
        <x:v>Business activity not established</x:v>
      </x:c>
      <x:c r="F2099" s="12" t="str">
        <x:v>Mixed business audience</x:v>
      </x:c>
      <x:c r="G2099" s="12" t="str">
        <x:v>Business activity and company scale are not established from this name.</x:v>
      </x:c>
      <x:c r="H2099" s="11" t="n">
        <x:v>10</x:v>
      </x:c>
      <x:c r="I2099" s="11" t="n">
        <x:v>10</x:v>
      </x:c>
      <x:c r="J2099" s="11" t="n">
        <x:v>10</x:v>
      </x:c>
      <x:c r="K2099" s="11" t="n">
        <x:v>0</x:v>
      </x:c>
      <x:c r="L2099" s="17" t="n">
        <x:f>SUM(SUMIFS('Costing'!$P$9:$P$492,'Costing'!$A$9:$A$492,"PARTNER-M205"))</x:f>
        <x:v>400000</x:v>
      </x:c>
      <x:c r="M2099" s="17" t="n">
        <x:f>ROUND(L2099*'Costing'!$C$4,2)</x:f>
        <x:v>72000</x:v>
      </x:c>
      <x:c r="N2099" s="17" t="n">
        <x:f>L2099+M2099</x:f>
        <x:v>472000</x:v>
      </x:c>
      <x:c r="O2099" s="12" t="str">
        <x:v>Mumbai</x:v>
      </x:c>
      <x:c r="P2099" s="12" t="str">
        <x:v>CORP-0622, CORP-0623, CORP-0624, CORP-0625, CORP-0626, CORP-0627, CORP-0628, CORP-0629, CORP-0630, CORP-0631</x:v>
      </x:c>
      <x:c r="Q2099" s="12" t="str">
        <x:v>Rein Labs</x:v>
      </x:c>
    </x:row>
    <x:row r="2100" ht="48" customHeight="1">
      <x:c r="A2100" s="2" t="str">
        <x:v>TEN-FBE4AE7104D0</x:v>
      </x:c>
      <x:c r="B2100" s="12" t="str">
        <x:v>Release Point</x:v>
      </x:c>
      <x:c r="C2100" s="12" t="str">
        <x:v>Business / brand</x:v>
      </x:c>
      <x:c r="D2100" s="12" t="str">
        <x:v>Unresolved</x:v>
      </x:c>
      <x:c r="E2100" s="12" t="str">
        <x:v>Business activity not established</x:v>
      </x:c>
      <x:c r="F2100" s="12" t="str">
        <x:v>Mixed business audience</x:v>
      </x:c>
      <x:c r="G2100" s="12" t="str">
        <x:v>Business activity and company scale are not established from this name.</x:v>
      </x:c>
      <x:c r="H2100" s="11" t="n">
        <x:v>1</x:v>
      </x:c>
      <x:c r="I2100" s="11" t="n">
        <x:v>5</x:v>
      </x:c>
      <x:c r="J2100" s="11" t="n">
        <x:v>5</x:v>
      </x:c>
      <x:c r="K2100" s="11" t="n">
        <x:v>0</x:v>
      </x:c>
      <x:c r="L2100" s="17" t="n">
        <x:f>SUM(SUMIFS('Costing'!$P$9:$P$492,'Costing'!$A$9:$A$492,"MAIN-258"))</x:f>
        <x:v>200000</x:v>
      </x:c>
      <x:c r="M2100" s="17" t="n">
        <x:f>ROUND(L2100*'Costing'!$C$4,2)</x:f>
        <x:v>36000</x:v>
      </x:c>
      <x:c r="N2100" s="17" t="n">
        <x:f>L2100+M2100</x:f>
        <x:v>236000</x:v>
      </x:c>
      <x:c r="O2100" s="12" t="str">
        <x:v>Hyderabad</x:v>
      </x:c>
      <x:c r="P2100" s="12" t="str">
        <x:v>CORP-0254</x:v>
      </x:c>
      <x:c r="Q2100" s="12" t="str">
        <x:v>Release Point</x:v>
      </x:c>
    </x:row>
    <x:row r="2101" ht="48" customHeight="1">
      <x:c r="A2101" s="2" t="str">
        <x:v>TEN-8651A1F195D9</x:v>
      </x:c>
      <x:c r="B2101" s="12" t="str">
        <x:v>Relevance Lab Pvt. Ltd</x:v>
      </x:c>
      <x:c r="C2101" s="12" t="str">
        <x:v>Business / brand</x:v>
      </x:c>
      <x:c r="D2101" s="12" t="str">
        <x:v>IT &amp; digital</x:v>
      </x:c>
      <x:c r="E2101" s="12" t="str">
        <x:v>Enterprise software &amp; digital engineering</x:v>
      </x:c>
      <x:c r="F2101" s="12" t="str">
        <x:v>Small-scale prospects</x:v>
      </x:c>
      <x:c r="G2101" s="12" t="str">
        <x:v>Software or technology-services business; small-scale prospect assumption.</x:v>
      </x:c>
      <x:c r="H2101" s="11" t="n">
        <x:v>5</x:v>
      </x:c>
      <x:c r="I2101" s="11" t="n">
        <x:v>5</x:v>
      </x:c>
      <x:c r="J2101" s="11" t="n">
        <x:v>5</x:v>
      </x:c>
      <x:c r="K2101" s="11" t="n">
        <x:v>0</x:v>
      </x:c>
      <x:c r="L2101" s="17" t="n">
        <x:f>SUM(SUMIFS('Costing'!$P$9:$P$492,'Costing'!$A$9:$A$492,"PARTNER-M034"))</x:f>
        <x:v>200000</x:v>
      </x:c>
      <x:c r="M2101" s="17" t="n">
        <x:f>ROUND(L2101*'Costing'!$C$4,2)</x:f>
        <x:v>36000</x:v>
      </x:c>
      <x:c r="N2101" s="17" t="n">
        <x:f>L2101+M2101</x:f>
        <x:v>236000</x:v>
      </x:c>
      <x:c r="O2101" s="12" t="str">
        <x:v>Bengaluru</x:v>
      </x:c>
      <x:c r="P2101" s="12" t="str">
        <x:v>CORP-0452, CORP-0453, CORP-0454, CORP-0455, CORP-0456</x:v>
      </x:c>
      <x:c r="Q2101" s="12" t="str">
        <x:v>Relevance Lab Pvt. Ltd</x:v>
      </x:c>
    </x:row>
    <x:row r="2102" ht="49" customHeight="1">
      <x:c r="A2102" s="2" t="str">
        <x:v>TEN-423D620322C3</x:v>
      </x:c>
      <x:c r="B2102" s="12" t="str">
        <x:v>Relevel by Unacademy</x:v>
      </x:c>
      <x:c r="C2102" s="12" t="str">
        <x:v>Business / brand</x:v>
      </x:c>
      <x:c r="D2102" s="12" t="str">
        <x:v>Unresolved</x:v>
      </x:c>
      <x:c r="E2102" s="12" t="str">
        <x:v>Business activity not established</x:v>
      </x:c>
      <x:c r="F2102" s="12" t="str">
        <x:v>Mixed business audience</x:v>
      </x:c>
      <x:c r="G2102" s="12" t="str">
        <x:v>Business activity and company scale are not established from this name.</x:v>
      </x:c>
      <x:c r="H2102" s="11" t="n">
        <x:v>12</x:v>
      </x:c>
      <x:c r="I2102" s="11" t="n">
        <x:v>12</x:v>
      </x:c>
      <x:c r="J2102" s="11" t="n">
        <x:v>12</x:v>
      </x:c>
      <x:c r="K2102" s="11" t="n">
        <x:v>0</x:v>
      </x:c>
      <x:c r="L2102" s="17" t="n">
        <x:f>SUM(SUMIFS('Costing'!$P$9:$P$492,'Costing'!$A$9:$A$492,"PARTNER-M162"),SUMIFS('Costing'!$P$9:$P$492,'Costing'!$A$9:$A$492,"PARTNER-M154"))</x:f>
        <x:v>480000</x:v>
      </x:c>
      <x:c r="M2102" s="17" t="n">
        <x:f>ROUND(L2102*'Costing'!$C$4,2)</x:f>
        <x:v>86400</x:v>
      </x:c>
      <x:c r="N2102" s="17" t="n">
        <x:f>L2102+M2102</x:f>
        <x:v>566400</x:v>
      </x:c>
      <x:c r="O2102" s="12" t="str">
        <x:v>Bengaluru</x:v>
      </x:c>
      <x:c r="P2102" s="12" t="str">
        <x:v>CORP-0572, CORP-0573, CORP-0574, CORP-0575, CORP-0576, CORP-0577, CORP-0578, CORP-0579, CORP-0580, CORP-0581, CORP-0582, CORP-0583</x:v>
      </x:c>
      <x:c r="Q2102" s="12" t="str">
        <x:v>Relevel by Unacademy</x:v>
      </x:c>
    </x:row>
    <x:row r="2103" ht="48" customHeight="1">
      <x:c r="A2103" s="2" t="str">
        <x:v>TEN-4BC4BBB1EBF1</x:v>
      </x:c>
      <x:c r="B2103" s="12" t="str">
        <x:v>Reliable Cloud City pvt</x:v>
      </x:c>
      <x:c r="C2103" s="12" t="str">
        <x:v>Business / brand</x:v>
      </x:c>
      <x:c r="D2103" s="12" t="str">
        <x:v>IT &amp; digital</x:v>
      </x:c>
      <x:c r="E2103" s="12" t="str">
        <x:v>Cybersecurity &amp; cloud infrastructure</x:v>
      </x:c>
      <x:c r="F2103" s="12" t="str">
        <x:v>Small-scale prospects</x:v>
      </x:c>
      <x:c r="G2103" s="12" t="str">
        <x:v>Software or technology-services business; small-scale prospect assumption.</x:v>
      </x:c>
      <x:c r="H2103" s="11" t="n">
        <x:v>4</x:v>
      </x:c>
      <x:c r="I2103" s="11" t="n">
        <x:v>4</x:v>
      </x:c>
      <x:c r="J2103" s="11" t="n">
        <x:v>4</x:v>
      </x:c>
      <x:c r="K2103" s="11" t="n">
        <x:v>0</x:v>
      </x:c>
      <x:c r="L2103" s="17" t="n">
        <x:f>SUM(SUMIFS('Costing'!$P$9:$P$492,'Costing'!$A$9:$A$492,"PARTNER-M201"),SUMIFS('Costing'!$P$9:$P$492,'Costing'!$A$9:$A$492,"PARTNER-M203"))</x:f>
        <x:v>160000</x:v>
      </x:c>
      <x:c r="M2103" s="17" t="n">
        <x:f>ROUND(L2103*'Costing'!$C$4,2)</x:f>
        <x:v>28800</x:v>
      </x:c>
      <x:c r="N2103" s="17" t="n">
        <x:f>L2103+M2103</x:f>
        <x:v>188800</x:v>
      </x:c>
      <x:c r="O2103" s="12" t="str">
        <x:v>Mumbai</x:v>
      </x:c>
      <x:c r="P2103" s="12" t="str">
        <x:v>CORP-0618, CORP-0619, CORP-0620, CORP-0621</x:v>
      </x:c>
      <x:c r="Q2103" s="12" t="str">
        <x:v>Reliable Cloud City pvt</x:v>
      </x:c>
    </x:row>
    <x:row r="2104" ht="48" customHeight="1">
      <x:c r="A2104" s="2" t="str">
        <x:v>TEN-0BF923F90AB2</x:v>
      </x:c>
      <x:c r="B2104" s="12" t="str">
        <x:v>Reliance</x:v>
      </x:c>
      <x:c r="C2104" s="12" t="str">
        <x:v>Business / brand</x:v>
      </x:c>
      <x:c r="D2104" s="12" t="str">
        <x:v>Unresolved</x:v>
      </x:c>
      <x:c r="E2104" s="12" t="str">
        <x:v>Business activity not established</x:v>
      </x:c>
      <x:c r="F2104" s="12" t="str">
        <x:v>Mixed business audience</x:v>
      </x:c>
      <x:c r="G2104" s="12" t="str">
        <x:v>Recognisable business context; company-scale evidence remains insufficient for a single size band.</x:v>
      </x:c>
      <x:c r="H2104" s="11" t="n">
        <x:v>10</x:v>
      </x:c>
      <x:c r="I2104" s="11" t="n">
        <x:v>14</x:v>
      </x:c>
      <x:c r="J2104" s="11" t="n">
        <x:v>14</x:v>
      </x:c>
      <x:c r="K2104" s="11" t="n">
        <x:v>0</x:v>
      </x:c>
      <x:c r="L2104" s="17" t="n">
        <x:f>SUM(SUMIFS('Costing'!$P$9:$P$492,'Costing'!$A$9:$A$492,"MAIN-167"),SUMIFS('Costing'!$P$9:$P$492,'Costing'!$A$9:$A$492,"PARTNER-M002"))</x:f>
        <x:v>560000</x:v>
      </x:c>
      <x:c r="M2104" s="17" t="n">
        <x:f>ROUND(L2104*'Costing'!$C$4,2)</x:f>
        <x:v>100800</x:v>
      </x:c>
      <x:c r="N2104" s="17" t="n">
        <x:f>L2104+M2104</x:f>
        <x:v>660800</x:v>
      </x:c>
      <x:c r="O2104" s="12" t="str">
        <x:v>Delhi NCR, Bengaluru</x:v>
      </x:c>
      <x:c r="P2104" s="12" t="str">
        <x:v>CORP-0163, CORP-0420, CORP-0421, CORP-0422, CORP-0423, CORP-0424, CORP-0425, CORP-0426, CORP-0427, CORP-0428</x:v>
      </x:c>
      <x:c r="Q2104" s="12" t="str">
        <x:v>Reliance</x:v>
      </x:c>
    </x:row>
    <x:row r="2105" ht="48" customHeight="1">
      <x:c r="A2105" s="2" t="str">
        <x:v>TEN-0BF65E02B55B</x:v>
      </x:c>
      <x:c r="B2105" s="12" t="str">
        <x:v>Reliance digital</x:v>
      </x:c>
      <x:c r="C2105" s="12" t="str">
        <x:v>Business / brand</x:v>
      </x:c>
      <x:c r="D2105" s="12" t="str">
        <x:v>Trade, consumer &amp; logistics</x:v>
      </x:c>
      <x:c r="E2105" s="12" t="str">
        <x:v>Retail, consumer products &amp; ecommerce</x:v>
      </x:c>
      <x:c r="F2105" s="12" t="str">
        <x:v>Large enterprise</x:v>
      </x:c>
      <x:c r="G2105" s="12" t="str">
        <x:v>Explicit Reliance Industries enterprise-family context; see ENTERPRISE_SUPP_046 evidence.</x:v>
      </x:c>
      <x:c r="H2105" s="11" t="n">
        <x:v>1</x:v>
      </x:c>
      <x:c r="I2105" s="11" t="n">
        <x:v>1</x:v>
      </x:c>
      <x:c r="J2105" s="11" t="n">
        <x:v>1</x:v>
      </x:c>
      <x:c r="K2105" s="11" t="n">
        <x:v>0</x:v>
      </x:c>
      <x:c r="L2105" s="17" t="n">
        <x:f>SUM(SUMIFS('Costing'!$P$9:$P$492,'Costing'!$A$9:$A$492,"MAIN-390"))</x:f>
        <x:v>15000</x:v>
      </x:c>
      <x:c r="M2105" s="17" t="n">
        <x:f>ROUND(L2105*'Costing'!$C$4,2)</x:f>
        <x:v>2700</x:v>
      </x:c>
      <x:c r="N2105" s="17" t="n">
        <x:f>L2105+M2105</x:f>
        <x:v>17700</x:v>
      </x:c>
      <x:c r="O2105" s="12" t="str">
        <x:v>Pune</x:v>
      </x:c>
      <x:c r="P2105" s="12" t="str">
        <x:v>CORP-0386</x:v>
      </x:c>
      <x:c r="Q2105" s="12" t="str">
        <x:v>Reliance digital</x:v>
      </x:c>
    </x:row>
    <x:row r="2106" ht="48" customHeight="1">
      <x:c r="A2106" s="2" t="str">
        <x:v>TEN-29F25A570409</x:v>
      </x:c>
      <x:c r="B2106" s="12" t="str">
        <x:v>Reliance General Insurance</x:v>
      </x:c>
      <x:c r="C2106" s="12" t="str">
        <x:v>Business / brand</x:v>
      </x:c>
      <x:c r="D2106" s="12" t="str">
        <x:v>Finance &amp; insurance</x:v>
      </x:c>
      <x:c r="E2106" s="12" t="str">
        <x:v>Insurance &amp; insurance services</x:v>
      </x:c>
      <x:c r="F2106" s="12" t="str">
        <x:v>Mixed business audience</x:v>
      </x:c>
      <x:c r="G2106" s="12" t="str">
        <x:v>Recognisable business context; company-scale evidence remains insufficient for a single size band.</x:v>
      </x:c>
      <x:c r="H2106" s="11" t="n">
        <x:v>2</x:v>
      </x:c>
      <x:c r="I2106" s="11" t="n">
        <x:v>2</x:v>
      </x:c>
      <x:c r="J2106" s="11" t="n">
        <x:v>2</x:v>
      </x:c>
      <x:c r="K2106" s="11" t="n">
        <x:v>0</x:v>
      </x:c>
      <x:c r="L2106" s="17" t="n">
        <x:f>SUM(SUMIFS('Costing'!$P$9:$P$492,'Costing'!$A$9:$A$492,"PARTNER-M201"))</x:f>
        <x:v>80000</x:v>
      </x:c>
      <x:c r="M2106" s="17" t="n">
        <x:f>ROUND(L2106*'Costing'!$C$4,2)</x:f>
        <x:v>14400</x:v>
      </x:c>
      <x:c r="N2106" s="17" t="n">
        <x:f>L2106+M2106</x:f>
        <x:v>94400</x:v>
      </x:c>
      <x:c r="O2106" s="12" t="str">
        <x:v>Mumbai</x:v>
      </x:c>
      <x:c r="P2106" s="12" t="str">
        <x:v>CORP-0618, CORP-0619</x:v>
      </x:c>
      <x:c r="Q2106" s="12" t="str">
        <x:v>Reliance General Insurance</x:v>
      </x:c>
    </x:row>
    <x:row r="2107" ht="48" customHeight="1">
      <x:c r="A2107" s="2" t="str">
        <x:v>TEN-13BC031717FC</x:v>
      </x:c>
      <x:c r="B2107" s="12" t="str">
        <x:v>Reliance Home Finance</x:v>
      </x:c>
      <x:c r="C2107" s="12" t="str">
        <x:v>Business / brand</x:v>
      </x:c>
      <x:c r="D2107" s="12" t="str">
        <x:v>Finance &amp; insurance</x:v>
      </x:c>
      <x:c r="E2107" s="12" t="str">
        <x:v>Financial services — specialty unverified</x:v>
      </x:c>
      <x:c r="F2107" s="12" t="str">
        <x:v>Mixed business audience</x:v>
      </x:c>
      <x:c r="G2107" s="12" t="str">
        <x:v>Recognisable business context; company-scale evidence remains insufficient for a single size band.</x:v>
      </x:c>
      <x:c r="H2107" s="11" t="n">
        <x:v>1</x:v>
      </x:c>
      <x:c r="I2107" s="11" t="n">
        <x:v>1</x:v>
      </x:c>
      <x:c r="J2107" s="11" t="n">
        <x:v>1</x:v>
      </x:c>
      <x:c r="K2107" s="11" t="n">
        <x:v>0</x:v>
      </x:c>
      <x:c r="L2107" s="17" t="n">
        <x:f>SUM(SUMIFS('Costing'!$P$9:$P$492,'Costing'!$A$9:$A$492,"MAIN-319"))</x:f>
        <x:v>15000</x:v>
      </x:c>
      <x:c r="M2107" s="17" t="n">
        <x:f>ROUND(L2107*'Costing'!$C$4,2)</x:f>
        <x:v>2700</x:v>
      </x:c>
      <x:c r="N2107" s="17" t="n">
        <x:f>L2107+M2107</x:f>
        <x:v>17700</x:v>
      </x:c>
      <x:c r="O2107" s="12" t="str">
        <x:v>Mumbai</x:v>
      </x:c>
      <x:c r="P2107" s="12" t="str">
        <x:v>CORP-0315</x:v>
      </x:c>
      <x:c r="Q2107" s="12" t="str">
        <x:v>Reliance Home Finance</x:v>
      </x:c>
    </x:row>
    <x:row r="2108" ht="48" customHeight="1">
      <x:c r="A2108" s="2" t="str">
        <x:v>TEN-2E0B81FD4E43</x:v>
      </x:c>
      <x:c r="B2108" s="12" t="str">
        <x:v>Reliance Jewels</x:v>
      </x:c>
      <x:c r="C2108" s="12" t="str">
        <x:v>Business / brand</x:v>
      </x:c>
      <x:c r="D2108" s="12" t="str">
        <x:v>Trade, consumer &amp; logistics</x:v>
      </x:c>
      <x:c r="E2108" s="12" t="str">
        <x:v>Retail, consumer products &amp; ecommerce</x:v>
      </x:c>
      <x:c r="F2108" s="12" t="str">
        <x:v>Large enterprise</x:v>
      </x:c>
      <x:c r="G2108" s="12" t="str">
        <x:v>Explicit Reliance Industries enterprise-family context; see ENTERPRISE_SUPP_046 evidence.</x:v>
      </x:c>
      <x:c r="H2108" s="11" t="n">
        <x:v>1</x:v>
      </x:c>
      <x:c r="I2108" s="11" t="n">
        <x:v>1</x:v>
      </x:c>
      <x:c r="J2108" s="11" t="n">
        <x:v>1</x:v>
      </x:c>
      <x:c r="K2108" s="11" t="n">
        <x:v>0</x:v>
      </x:c>
      <x:c r="L2108" s="17" t="n">
        <x:f>SUM(SUMIFS('Costing'!$P$9:$P$492,'Costing'!$A$9:$A$492,"MAIN-276"))</x:f>
        <x:v>20000</x:v>
      </x:c>
      <x:c r="M2108" s="17" t="n">
        <x:f>ROUND(L2108*'Costing'!$C$4,2)</x:f>
        <x:v>3600</x:v>
      </x:c>
      <x:c r="N2108" s="17" t="n">
        <x:f>L2108+M2108</x:f>
        <x:v>23600</x:v>
      </x:c>
      <x:c r="O2108" s="12" t="str">
        <x:v>Indore</x:v>
      </x:c>
      <x:c r="P2108" s="12" t="str">
        <x:v>CORP-0272</x:v>
      </x:c>
      <x:c r="Q2108" s="12" t="str">
        <x:v>Reliance Jewels</x:v>
      </x:c>
    </x:row>
    <x:row r="2109" ht="48" customHeight="1">
      <x:c r="A2109" s="2" t="str">
        <x:v>TEN-B8FB26B4E8C2</x:v>
      </x:c>
      <x:c r="B2109" s="12" t="str">
        <x:v>Reliance Jio</x:v>
      </x:c>
      <x:c r="C2109" s="12" t="str">
        <x:v>Business / brand</x:v>
      </x:c>
      <x:c r="D2109" s="12" t="str">
        <x:v>IT &amp; digital</x:v>
      </x:c>
      <x:c r="E2109" s="12" t="str">
        <x:v>Telecom, networks &amp; connectivity</x:v>
      </x:c>
      <x:c r="F2109" s="12" t="str">
        <x:v>Large enterprise</x:v>
      </x:c>
      <x:c r="G2109" s="12" t="str">
        <x:v>Explicit Reliance Industries enterprise-family context; see ENTERPRISE_SUPP_046 evidence.</x:v>
      </x:c>
      <x:c r="H2109" s="11" t="n">
        <x:v>2</x:v>
      </x:c>
      <x:c r="I2109" s="11" t="n">
        <x:v>2</x:v>
      </x:c>
      <x:c r="J2109" s="11" t="n">
        <x:v>2</x:v>
      </x:c>
      <x:c r="K2109" s="11" t="n">
        <x:v>0</x:v>
      </x:c>
      <x:c r="L2109" s="17" t="n">
        <x:f>SUM(SUMIFS('Costing'!$P$9:$P$492,'Costing'!$A$9:$A$492,"PARTNER-M338"))</x:f>
        <x:v>80000</x:v>
      </x:c>
      <x:c r="M2109" s="17" t="n">
        <x:f>ROUND(L2109*'Costing'!$C$4,2)</x:f>
        <x:v>14400</x:v>
      </x:c>
      <x:c r="N2109" s="17" t="n">
        <x:f>L2109+M2109</x:f>
        <x:v>94400</x:v>
      </x:c>
      <x:c r="O2109" s="12" t="str">
        <x:v>Chennai</x:v>
      </x:c>
      <x:c r="P2109" s="12" t="str">
        <x:v>CORP-0752, CORP-0753</x:v>
      </x:c>
      <x:c r="Q2109" s="12" t="str">
        <x:v>Reliance Jio</x:v>
      </x:c>
    </x:row>
    <x:row r="2110" ht="48" customHeight="1">
      <x:c r="A2110" s="2" t="str">
        <x:v>TEN-E970D13343C8</x:v>
      </x:c>
      <x:c r="B2110" s="12" t="str">
        <x:v>Reliance Retail</x:v>
      </x:c>
      <x:c r="C2110" s="12" t="str">
        <x:v>Business / brand</x:v>
      </x:c>
      <x:c r="D2110" s="12" t="str">
        <x:v>Trade, consumer &amp; logistics</x:v>
      </x:c>
      <x:c r="E2110" s="12" t="str">
        <x:v>Retail, consumer products &amp; ecommerce</x:v>
      </x:c>
      <x:c r="F2110" s="12" t="str">
        <x:v>Large enterprise</x:v>
      </x:c>
      <x:c r="G2110" s="12" t="str">
        <x:v>Explicit Reliance Industries enterprise-family context; see ENTERPRISE_SUPP_046 evidence.</x:v>
      </x:c>
      <x:c r="H2110" s="11" t="n">
        <x:v>1</x:v>
      </x:c>
      <x:c r="I2110" s="11" t="n">
        <x:v>2</x:v>
      </x:c>
      <x:c r="J2110" s="11" t="n">
        <x:v>2</x:v>
      </x:c>
      <x:c r="K2110" s="11" t="n">
        <x:v>0</x:v>
      </x:c>
      <x:c r="L2110" s="17" t="n">
        <x:f>SUM(SUMIFS('Costing'!$P$9:$P$492,'Costing'!$A$9:$A$492,"MAIN-271"))</x:f>
        <x:v>40000</x:v>
      </x:c>
      <x:c r="M2110" s="17" t="n">
        <x:f>ROUND(L2110*'Costing'!$C$4,2)</x:f>
        <x:v>7200</x:v>
      </x:c>
      <x:c r="N2110" s="17" t="n">
        <x:f>L2110+M2110</x:f>
        <x:v>47200</x:v>
      </x:c>
      <x:c r="O2110" s="12" t="str">
        <x:v>Indore</x:v>
      </x:c>
      <x:c r="P2110" s="12" t="str">
        <x:v>CORP-0267</x:v>
      </x:c>
      <x:c r="Q2110" s="12" t="str">
        <x:v>Reliance Retail</x:v>
      </x:c>
    </x:row>
    <x:row r="2111" ht="62" customHeight="1">
      <x:c r="A2111" s="2" t="str">
        <x:v>TEN-A451FD13D198</x:v>
      </x:c>
      <x:c r="B2111" s="12" t="str">
        <x:v>Reliance Retail Limited</x:v>
      </x:c>
      <x:c r="C2111" s="12" t="str">
        <x:v>Business / brand</x:v>
      </x:c>
      <x:c r="D2111" s="12" t="str">
        <x:v>Trade, consumer &amp; logistics</x:v>
      </x:c>
      <x:c r="E2111" s="12" t="str">
        <x:v>Retail, consumer products &amp; ecommerce</x:v>
      </x:c>
      <x:c r="F2111" s="12" t="str">
        <x:v>Large enterprise</x:v>
      </x:c>
      <x:c r="G2111" s="12" t="str">
        <x:v>Reliance Retail reports a network exceeding 20,000 stores as of June 2026. The official Reliance filing identifies Reliance Retail Limited within the retail group. This is enterprise operating context.</x:v>
      </x:c>
      <x:c r="H2111" s="11" t="n">
        <x:v>3</x:v>
      </x:c>
      <x:c r="I2111" s="11" t="n">
        <x:v>25</x:v>
      </x:c>
      <x:c r="J2111" s="11" t="n">
        <x:v>25</x:v>
      </x:c>
      <x:c r="K2111" s="11" t="n">
        <x:v>0</x:v>
      </x:c>
      <x:c r="L2111" s="17" t="n">
        <x:f>SUM(SUMIFS('Costing'!$P$9:$P$492,'Costing'!$A$9:$A$492,"MAIN-237"),SUMIFS('Costing'!$P$9:$P$492,'Costing'!$A$9:$A$492,"MAIN-238"),SUMIFS('Costing'!$P$9:$P$492,'Costing'!$A$9:$A$492,"MAIN-239"))</x:f>
        <x:v>485000</x:v>
      </x:c>
      <x:c r="M2111" s="17" t="n">
        <x:f>ROUND(L2111*'Costing'!$C$4,2)</x:f>
        <x:v>87300</x:v>
      </x:c>
      <x:c r="N2111" s="17" t="n">
        <x:f>L2111+M2111</x:f>
        <x:v>572300</x:v>
      </x:c>
      <x:c r="O2111" s="12" t="str">
        <x:v>Hyderabad</x:v>
      </x:c>
      <x:c r="P2111" s="12" t="str">
        <x:v>CORP-0233, CORP-0234, CORP-0235</x:v>
      </x:c>
      <x:c r="Q2111" s="12" t="str">
        <x:v>Reliance Retail Limited</x:v>
      </x:c>
    </x:row>
    <x:row r="2112" ht="48" customHeight="1">
      <x:c r="A2112" s="2" t="str">
        <x:v>TEN-F877D8925526</x:v>
      </x:c>
      <x:c r="B2112" s="12" t="str">
        <x:v>Religare Securities</x:v>
      </x:c>
      <x:c r="C2112" s="12" t="str">
        <x:v>Business / brand</x:v>
      </x:c>
      <x:c r="D2112" s="12" t="str">
        <x:v>Finance &amp; insurance</x:v>
      </x:c>
      <x:c r="E2112" s="12" t="str">
        <x:v>Investments, securities &amp; wealth</x:v>
      </x:c>
      <x:c r="F2112" s="12" t="str">
        <x:v>Mixed business audience</x:v>
      </x:c>
      <x:c r="G2112" s="12" t="str">
        <x:v>Established brand or business network; local company scale is not established. Use a mixed-business message.</x:v>
      </x:c>
      <x:c r="H2112" s="11" t="n">
        <x:v>1</x:v>
      </x:c>
      <x:c r="I2112" s="11" t="n">
        <x:v>2</x:v>
      </x:c>
      <x:c r="J2112" s="11" t="n">
        <x:v>2</x:v>
      </x:c>
      <x:c r="K2112" s="11" t="n">
        <x:v>0</x:v>
      </x:c>
      <x:c r="L2112" s="17" t="n">
        <x:f>SUM(SUMIFS('Costing'!$P$9:$P$492,'Costing'!$A$9:$A$492,"MAIN-407"))</x:f>
        <x:v>30000</x:v>
      </x:c>
      <x:c r="M2112" s="17" t="n">
        <x:f>ROUND(L2112*'Costing'!$C$4,2)</x:f>
        <x:v>5400</x:v>
      </x:c>
      <x:c r="N2112" s="17" t="n">
        <x:f>L2112+M2112</x:f>
        <x:v>35400</x:v>
      </x:c>
      <x:c r="O2112" s="12" t="str">
        <x:v>Pune</x:v>
      </x:c>
      <x:c r="P2112" s="12" t="str">
        <x:v>CORP-0403</x:v>
      </x:c>
      <x:c r="Q2112" s="12" t="str">
        <x:v>Religare Securities</x:v>
      </x:c>
    </x:row>
    <x:row r="2113" ht="48" customHeight="1">
      <x:c r="A2113" s="2" t="str">
        <x:v>TEN-9A7C16D3F193</x:v>
      </x:c>
      <x:c r="B2113" s="12" t="str">
        <x:v>Renascence Insolvency Resolution Professionals Pvt. Ltd</x:v>
      </x:c>
      <x:c r="C2113" s="12" t="str">
        <x:v>Business / brand</x:v>
      </x:c>
      <x:c r="D2113" s="12" t="str">
        <x:v>Professional services</x:v>
      </x:c>
      <x:c r="E2113" s="12" t="str">
        <x:v>Research, marketing &amp; professional services</x:v>
      </x:c>
      <x:c r="F2113" s="12" t="str">
        <x:v>Small-scale prospects</x:v>
      </x:c>
      <x:c r="G2113" s="12" t="str">
        <x:v>Professional service, agency or advisory model; small-scale prospect assumption.</x:v>
      </x:c>
      <x:c r="H2113" s="11" t="n">
        <x:v>2</x:v>
      </x:c>
      <x:c r="I2113" s="11" t="n">
        <x:v>2</x:v>
      </x:c>
      <x:c r="J2113" s="11" t="n">
        <x:v>2</x:v>
      </x:c>
      <x:c r="K2113" s="11" t="n">
        <x:v>0</x:v>
      </x:c>
      <x:c r="L2113" s="17" t="n">
        <x:f>SUM(SUMIFS('Costing'!$P$9:$P$492,'Costing'!$A$9:$A$492,"PARTNER-M239"))</x:f>
        <x:v>80000</x:v>
      </x:c>
      <x:c r="M2113" s="17" t="n">
        <x:f>ROUND(L2113*'Costing'!$C$4,2)</x:f>
        <x:v>14400</x:v>
      </x:c>
      <x:c r="N2113" s="17" t="n">
        <x:f>L2113+M2113</x:f>
        <x:v>94400</x:v>
      </x:c>
      <x:c r="O2113" s="12" t="str">
        <x:v>Mumbai</x:v>
      </x:c>
      <x:c r="P2113" s="12" t="str">
        <x:v>CORP-0656, CORP-0657</x:v>
      </x:c>
      <x:c r="Q2113" s="12" t="str">
        <x:v>Renascence Insolvency Resolution Professionals Pvt. Ltd</x:v>
      </x:c>
    </x:row>
    <x:row r="2114" ht="48" customHeight="1">
      <x:c r="A2114" s="2" t="str">
        <x:v>TEN-564B6BFAB738</x:v>
      </x:c>
      <x:c r="B2114" s="12" t="str">
        <x:v>Renault Nissan Technology &amp; Business Center India</x:v>
      </x:c>
      <x:c r="C2114" s="12" t="str">
        <x:v>Business / brand</x:v>
      </x:c>
      <x:c r="D2114" s="12" t="str">
        <x:v>Engineering &amp; manufacturing</x:v>
      </x:c>
      <x:c r="E2114" s="12" t="str">
        <x:v>Engineering/manufacturing — specialty unverified</x:v>
      </x:c>
      <x:c r="F2114" s="12" t="str">
        <x:v>Mixed business audience</x:v>
      </x:c>
      <x:c r="G2114" s="12" t="str">
        <x:v>Recognisable business context; company-scale evidence remains insufficient for a single size band.</x:v>
      </x:c>
      <x:c r="H2114" s="11" t="n">
        <x:v>4</x:v>
      </x:c>
      <x:c r="I2114" s="11" t="n">
        <x:v>4</x:v>
      </x:c>
      <x:c r="J2114" s="11" t="n">
        <x:v>4</x:v>
      </x:c>
      <x:c r="K2114" s="11" t="n">
        <x:v>0</x:v>
      </x:c>
      <x:c r="L2114" s="17" t="n">
        <x:f>SUM(SUMIFS('Costing'!$P$9:$P$492,'Costing'!$A$9:$A$492,"PARTNER-M308"))</x:f>
        <x:v>160000</x:v>
      </x:c>
      <x:c r="M2114" s="17" t="n">
        <x:f>ROUND(L2114*'Costing'!$C$4,2)</x:f>
        <x:v>28800</x:v>
      </x:c>
      <x:c r="N2114" s="17" t="n">
        <x:f>L2114+M2114</x:f>
        <x:v>188800</x:v>
      </x:c>
      <x:c r="O2114" s="12" t="str">
        <x:v>Hyderabad</x:v>
      </x:c>
      <x:c r="P2114" s="12" t="str">
        <x:v>CORP-0723, CORP-0724, CORP-0725, CORP-0726</x:v>
      </x:c>
      <x:c r="Q2114" s="12" t="str">
        <x:v>Renault Nissan Technology &amp; Business Center India</x:v>
      </x:c>
    </x:row>
    <x:row r="2115" ht="49" customHeight="1">
      <x:c r="A2115" s="2" t="str">
        <x:v>TEN-98E929C33151</x:v>
      </x:c>
      <x:c r="B2115" s="12" t="str">
        <x:v>Renesas</x:v>
      </x:c>
      <x:c r="C2115" s="12" t="str">
        <x:v>Business / brand</x:v>
      </x:c>
      <x:c r="D2115" s="12" t="str">
        <x:v>Engineering &amp; manufacturing</x:v>
      </x:c>
      <x:c r="E2115" s="12" t="str">
        <x:v>Semiconductors, electronics &amp; equipment</x:v>
      </x:c>
      <x:c r="F2115" s="12" t="str">
        <x:v>Mixed business audience</x:v>
      </x:c>
      <x:c r="G2115" s="12" t="str">
        <x:v>Recognisable business context; company-scale evidence remains insufficient for a single size band.</x:v>
      </x:c>
      <x:c r="H2115" s="11" t="n">
        <x:v>12</x:v>
      </x:c>
      <x:c r="I2115" s="11" t="n">
        <x:v>12</x:v>
      </x:c>
      <x:c r="J2115" s="11" t="n">
        <x:v>12</x:v>
      </x:c>
      <x:c r="K2115" s="11" t="n">
        <x:v>0</x:v>
      </x:c>
      <x:c r="L2115" s="17" t="n">
        <x:f>SUM(SUMIFS('Costing'!$P$9:$P$492,'Costing'!$A$9:$A$492,"PARTNER-M108"))</x:f>
        <x:v>480000</x:v>
      </x:c>
      <x:c r="M2115" s="17" t="n">
        <x:f>ROUND(L2115*'Costing'!$C$4,2)</x:f>
        <x:v>86400</x:v>
      </x:c>
      <x:c r="N2115" s="17" t="n">
        <x:f>L2115+M2115</x:f>
        <x:v>566400</x:v>
      </x:c>
      <x:c r="O2115" s="12" t="str">
        <x:v>Bengaluru</x:v>
      </x:c>
      <x:c r="P2115" s="12" t="str">
        <x:v>CORP-0526, CORP-0527, CORP-0528, CORP-0529, CORP-0530, CORP-0531, CORP-0532, CORP-0533, CORP-0534, CORP-0535, CORP-0536, CORP-0537</x:v>
      </x:c>
      <x:c r="Q2115" s="12" t="str">
        <x:v>Renesas</x:v>
      </x:c>
    </x:row>
    <x:row r="2116" ht="48" customHeight="1">
      <x:c r="A2116" s="2" t="str">
        <x:v>TEN-2CB3DF79B99F</x:v>
      </x:c>
      <x:c r="B2116" s="12" t="str">
        <x:v>renta car</x:v>
      </x:c>
      <x:c r="C2116" s="12" t="str">
        <x:v>Identity unresolved</x:v>
      </x:c>
      <x:c r="D2116" s="12" t="str">
        <x:v>Unresolved</x:v>
      </x:c>
      <x:c r="E2116" s="12" t="str">
        <x:v>Business activity not established</x:v>
      </x:c>
      <x:c r="F2116" s="12" t="str">
        <x:v>Mixed business audience</x:v>
      </x:c>
      <x:c r="G2116" s="12" t="str">
        <x:v>Ambiguous directory record; use the surrounding property audience.</x:v>
      </x:c>
      <x:c r="H2116" s="11" t="n">
        <x:v>2</x:v>
      </x:c>
      <x:c r="I2116" s="11" t="n">
        <x:v>3</x:v>
      </x:c>
      <x:c r="J2116" s="11" t="n">
        <x:v>3</x:v>
      </x:c>
      <x:c r="K2116" s="11" t="n">
        <x:v>0</x:v>
      </x:c>
      <x:c r="L2116" s="17" t="n">
        <x:f>SUM(SUMIFS('Costing'!$P$9:$P$492,'Costing'!$A$9:$A$492,"MAIN-284"),SUMIFS('Costing'!$P$9:$P$492,'Costing'!$A$9:$A$492,"MAIN-285"))</x:f>
        <x:v>45000</x:v>
      </x:c>
      <x:c r="M2116" s="17" t="n">
        <x:f>ROUND(L2116*'Costing'!$C$4,2)</x:f>
        <x:v>8100</x:v>
      </x:c>
      <x:c r="N2116" s="17" t="n">
        <x:f>L2116+M2116</x:f>
        <x:v>53100</x:v>
      </x:c>
      <x:c r="O2116" s="12" t="str">
        <x:v>Kolkata</x:v>
      </x:c>
      <x:c r="P2116" s="12" t="str">
        <x:v>CORP-0280, CORP-0281</x:v>
      </x:c>
      <x:c r="Q2116" s="12" t="str">
        <x:v>renta car</x:v>
      </x:c>
    </x:row>
    <x:row r="2117" ht="48" customHeight="1">
      <x:c r="A2117" s="2" t="str">
        <x:v>TEN-CFB36C1F4640</x:v>
      </x:c>
      <x:c r="B2117" s="12" t="str">
        <x:v>Research Wallet</x:v>
      </x:c>
      <x:c r="C2117" s="12" t="str">
        <x:v>Business / brand</x:v>
      </x:c>
      <x:c r="D2117" s="12" t="str">
        <x:v>Unresolved</x:v>
      </x:c>
      <x:c r="E2117" s="12" t="str">
        <x:v>Business activity not established</x:v>
      </x:c>
      <x:c r="F2117" s="12" t="str">
        <x:v>Mixed business audience</x:v>
      </x:c>
      <x:c r="G2117" s="12" t="str">
        <x:v>Business activity and company scale are not established from this name.</x:v>
      </x:c>
      <x:c r="H2117" s="11" t="n">
        <x:v>8</x:v>
      </x:c>
      <x:c r="I2117" s="11" t="n">
        <x:v>8</x:v>
      </x:c>
      <x:c r="J2117" s="11" t="n">
        <x:v>8</x:v>
      </x:c>
      <x:c r="K2117" s="11" t="n">
        <x:v>0</x:v>
      </x:c>
      <x:c r="L2117" s="17" t="n">
        <x:f>SUM(SUMIFS('Costing'!$P$9:$P$492,'Costing'!$A$9:$A$492,"PARTNER-M300"))</x:f>
        <x:v>320000</x:v>
      </x:c>
      <x:c r="M2117" s="17" t="n">
        <x:f>ROUND(L2117*'Costing'!$C$4,2)</x:f>
        <x:v>57600</x:v>
      </x:c>
      <x:c r="N2117" s="17" t="n">
        <x:f>L2117+M2117</x:f>
        <x:v>377600</x:v>
      </x:c>
      <x:c r="O2117" s="12" t="str">
        <x:v>Hyderabad</x:v>
      </x:c>
      <x:c r="P2117" s="12" t="str">
        <x:v>CORP-0715, CORP-0716, CORP-0717, CORP-0718, CORP-0719, CORP-0720, CORP-0721, CORP-0722</x:v>
      </x:c>
      <x:c r="Q2117" s="12" t="str">
        <x:v>Research Wallet</x:v>
      </x:c>
    </x:row>
    <x:row r="2118" ht="48" customHeight="1">
      <x:c r="A2118" s="2" t="str">
        <x:v>TEN-A5E183486EFD</x:v>
      </x:c>
      <x:c r="B2118" s="12" t="str">
        <x:v>Resident Boost</x:v>
      </x:c>
      <x:c r="C2118" s="12" t="str">
        <x:v>Business / brand</x:v>
      </x:c>
      <x:c r="D2118" s="12" t="str">
        <x:v>Unresolved</x:v>
      </x:c>
      <x:c r="E2118" s="12" t="str">
        <x:v>Business activity not established</x:v>
      </x:c>
      <x:c r="F2118" s="12" t="str">
        <x:v>Mixed business audience</x:v>
      </x:c>
      <x:c r="G2118" s="12" t="str">
        <x:v>Business activity and company scale are not established from this name.</x:v>
      </x:c>
      <x:c r="H2118" s="11" t="n">
        <x:v>1</x:v>
      </x:c>
      <x:c r="I2118" s="11" t="n">
        <x:v>1</x:v>
      </x:c>
      <x:c r="J2118" s="11" t="n">
        <x:v>1</x:v>
      </x:c>
      <x:c r="K2118" s="11" t="n">
        <x:v>0</x:v>
      </x:c>
      <x:c r="L2118" s="17" t="n">
        <x:f>SUM(SUMIFS('Costing'!$P$9:$P$492,'Costing'!$A$9:$A$492,"MAIN-010"))</x:f>
        <x:v>15000</x:v>
      </x:c>
      <x:c r="M2118" s="17" t="n">
        <x:f>ROUND(L2118*'Costing'!$C$4,2)</x:f>
        <x:v>2700</x:v>
      </x:c>
      <x:c r="N2118" s="17" t="n">
        <x:f>L2118+M2118</x:f>
        <x:v>17700</x:v>
      </x:c>
      <x:c r="O2118" s="12" t="str">
        <x:v>Bengaluru</x:v>
      </x:c>
      <x:c r="P2118" s="12" t="str">
        <x:v>CORP-0006</x:v>
      </x:c>
      <x:c r="Q2118" s="12" t="str">
        <x:v>Resident Boost</x:v>
      </x:c>
    </x:row>
    <x:row r="2119" ht="48" customHeight="1">
      <x:c r="A2119" s="2" t="str">
        <x:v>TEN-11C27A52B3EC</x:v>
      </x:c>
      <x:c r="B2119" s="12" t="str">
        <x:v>Resourcespro</x:v>
      </x:c>
      <x:c r="C2119" s="12" t="str">
        <x:v>Business / brand</x:v>
      </x:c>
      <x:c r="D2119" s="12" t="str">
        <x:v>Professional services</x:v>
      </x:c>
      <x:c r="E2119" s="12" t="str">
        <x:v>Research, marketing &amp; professional services</x:v>
      </x:c>
      <x:c r="F2119" s="12" t="str">
        <x:v>Small-scale prospects</x:v>
      </x:c>
      <x:c r="G2119" s="12" t="str">
        <x:v>Professional service, agency or advisory model; small-scale prospect assumption.</x:v>
      </x:c>
      <x:c r="H2119" s="11" t="n">
        <x:v>8</x:v>
      </x:c>
      <x:c r="I2119" s="11" t="n">
        <x:v>8</x:v>
      </x:c>
      <x:c r="J2119" s="11" t="n">
        <x:v>8</x:v>
      </x:c>
      <x:c r="K2119" s="11" t="n">
        <x:v>0</x:v>
      </x:c>
      <x:c r="L2119" s="17" t="n">
        <x:f>SUM(SUMIFS('Costing'!$P$9:$P$492,'Costing'!$A$9:$A$492,"PARTNER-M146"))</x:f>
        <x:v>320000</x:v>
      </x:c>
      <x:c r="M2119" s="17" t="n">
        <x:f>ROUND(L2119*'Costing'!$C$4,2)</x:f>
        <x:v>57600</x:v>
      </x:c>
      <x:c r="N2119" s="17" t="n">
        <x:f>L2119+M2119</x:f>
        <x:v>377600</x:v>
      </x:c>
      <x:c r="O2119" s="12" t="str">
        <x:v>Bengaluru</x:v>
      </x:c>
      <x:c r="P2119" s="12" t="str">
        <x:v>CORP-0564, CORP-0565, CORP-0566, CORP-0567, CORP-0568, CORP-0569, CORP-0570, CORP-0571</x:v>
      </x:c>
      <x:c r="Q2119" s="12" t="str">
        <x:v>Resourcespro</x:v>
      </x:c>
    </x:row>
    <x:row r="2120" ht="48" customHeight="1">
      <x:c r="A2120" s="2" t="str">
        <x:v>TEN-6B6EC1888B41</x:v>
      </x:c>
      <x:c r="B2120" s="12" t="str">
        <x:v>Responsys News And Media</x:v>
      </x:c>
      <x:c r="C2120" s="12" t="str">
        <x:v>Business / brand</x:v>
      </x:c>
      <x:c r="D2120" s="12" t="str">
        <x:v>IT &amp; digital</x:v>
      </x:c>
      <x:c r="E2120" s="12" t="str">
        <x:v>Enterprise software &amp; digital engineering</x:v>
      </x:c>
      <x:c r="F2120" s="12" t="str">
        <x:v>Small-scale prospects</x:v>
      </x:c>
      <x:c r="G2120" s="12" t="str">
        <x:v>Software or technology-services business; small-scale prospect assumption.</x:v>
      </x:c>
      <x:c r="H2120" s="11" t="n">
        <x:v>2</x:v>
      </x:c>
      <x:c r="I2120" s="11" t="n">
        <x:v>2</x:v>
      </x:c>
      <x:c r="J2120" s="11" t="n">
        <x:v>2</x:v>
      </x:c>
      <x:c r="K2120" s="11" t="n">
        <x:v>0</x:v>
      </x:c>
      <x:c r="L2120" s="17" t="n">
        <x:f>SUM(SUMIFS('Costing'!$P$9:$P$492,'Costing'!$A$9:$A$492,"PARTNER-M241"))</x:f>
        <x:v>80000</x:v>
      </x:c>
      <x:c r="M2120" s="17" t="n">
        <x:f>ROUND(L2120*'Costing'!$C$4,2)</x:f>
        <x:v>14400</x:v>
      </x:c>
      <x:c r="N2120" s="17" t="n">
        <x:f>L2120+M2120</x:f>
        <x:v>94400</x:v>
      </x:c>
      <x:c r="O2120" s="12" t="str">
        <x:v>Mumbai</x:v>
      </x:c>
      <x:c r="P2120" s="12" t="str">
        <x:v>CORP-0658, CORP-0659</x:v>
      </x:c>
      <x:c r="Q2120" s="12" t="str">
        <x:v>Responsys News And Media</x:v>
      </x:c>
    </x:row>
    <x:row r="2121" ht="48" customHeight="1">
      <x:c r="A2121" s="2" t="str">
        <x:v>TEN-2FCA526E6EBB</x:v>
      </x:c>
      <x:c r="B2121" s="12" t="str">
        <x:v>RevalAnalytical Services</x:v>
      </x:c>
      <x:c r="C2121" s="12" t="str">
        <x:v>Business / brand</x:v>
      </x:c>
      <x:c r="D2121" s="12" t="str">
        <x:v>IT &amp; digital</x:v>
      </x:c>
      <x:c r="E2121" s="12" t="str">
        <x:v>Enterprise software &amp; digital engineering</x:v>
      </x:c>
      <x:c r="F2121" s="12" t="str">
        <x:v>Small-scale prospects</x:v>
      </x:c>
      <x:c r="G2121" s="12" t="str">
        <x:v>Software or technology-services business; small-scale prospect assumption.</x:v>
      </x:c>
      <x:c r="H2121" s="11" t="n">
        <x:v>1</x:v>
      </x:c>
      <x:c r="I2121" s="11" t="n">
        <x:v>2</x:v>
      </x:c>
      <x:c r="J2121" s="11" t="n">
        <x:v>2</x:v>
      </x:c>
      <x:c r="K2121" s="11" t="n">
        <x:v>0</x:v>
      </x:c>
      <x:c r="L2121" s="17" t="n">
        <x:f>SUM(SUMIFS('Costing'!$P$9:$P$492,'Costing'!$A$9:$A$492,"MAIN-407"))</x:f>
        <x:v>30000</x:v>
      </x:c>
      <x:c r="M2121" s="17" t="n">
        <x:f>ROUND(L2121*'Costing'!$C$4,2)</x:f>
        <x:v>5400</x:v>
      </x:c>
      <x:c r="N2121" s="17" t="n">
        <x:f>L2121+M2121</x:f>
        <x:v>35400</x:v>
      </x:c>
      <x:c r="O2121" s="12" t="str">
        <x:v>Pune</x:v>
      </x:c>
      <x:c r="P2121" s="12" t="str">
        <x:v>CORP-0403</x:v>
      </x:c>
      <x:c r="Q2121" s="12" t="str">
        <x:v>RevalAnalytical Services</x:v>
      </x:c>
    </x:row>
    <x:row r="2122" ht="48" customHeight="1">
      <x:c r="A2122" s="2" t="str">
        <x:v>TEN-59E713BB9B49</x:v>
      </x:c>
      <x:c r="B2122" s="12" t="str">
        <x:v>Revolt Intellicorp Pvt</x:v>
      </x:c>
      <x:c r="C2122" s="12" t="str">
        <x:v>Business / brand</x:v>
      </x:c>
      <x:c r="D2122" s="12" t="str">
        <x:v>Unresolved</x:v>
      </x:c>
      <x:c r="E2122" s="12" t="str">
        <x:v>Business activity not established</x:v>
      </x:c>
      <x:c r="F2122" s="12" t="str">
        <x:v>Mixed business audience</x:v>
      </x:c>
      <x:c r="G2122" s="12" t="str">
        <x:v>Business activity and company scale are not established from this name.</x:v>
      </x:c>
      <x:c r="H2122" s="11" t="n">
        <x:v>9</x:v>
      </x:c>
      <x:c r="I2122" s="11" t="n">
        <x:v>9</x:v>
      </x:c>
      <x:c r="J2122" s="11" t="n">
        <x:v>9</x:v>
      </x:c>
      <x:c r="K2122" s="11" t="n">
        <x:v>0</x:v>
      </x:c>
      <x:c r="L2122" s="17" t="n">
        <x:f>SUM(SUMIFS('Costing'!$P$9:$P$492,'Costing'!$A$9:$A$492,"PARTNER-M002"))</x:f>
        <x:v>360000</x:v>
      </x:c>
      <x:c r="M2122" s="17" t="n">
        <x:f>ROUND(L2122*'Costing'!$C$4,2)</x:f>
        <x:v>64800</x:v>
      </x:c>
      <x:c r="N2122" s="17" t="n">
        <x:f>L2122+M2122</x:f>
        <x:v>424800</x:v>
      </x:c>
      <x:c r="O2122" s="12" t="str">
        <x:v>Bengaluru</x:v>
      </x:c>
      <x:c r="P2122" s="12" t="str">
        <x:v>CORP-0420, CORP-0421, CORP-0422, CORP-0423, CORP-0424, CORP-0425, CORP-0426, CORP-0427, CORP-0428</x:v>
      </x:c>
      <x:c r="Q2122" s="12" t="str">
        <x:v>Revolt Intellicorp Pvt</x:v>
      </x:c>
    </x:row>
    <x:row r="2123" ht="48" customHeight="1">
      <x:c r="A2123" s="2" t="str">
        <x:v>TEN-70B6144FAE4D</x:v>
      </x:c>
      <x:c r="B2123" s="12" t="str">
        <x:v>Revolution</x:v>
      </x:c>
      <x:c r="C2123" s="12" t="str">
        <x:v>Business / brand</x:v>
      </x:c>
      <x:c r="D2123" s="12" t="str">
        <x:v>Unresolved</x:v>
      </x:c>
      <x:c r="E2123" s="12" t="str">
        <x:v>Business activity not established</x:v>
      </x:c>
      <x:c r="F2123" s="12" t="str">
        <x:v>Mixed business audience</x:v>
      </x:c>
      <x:c r="G2123" s="12" t="str">
        <x:v>Business activity and company scale are not established from this name.</x:v>
      </x:c>
      <x:c r="H2123" s="11" t="n">
        <x:v>1</x:v>
      </x:c>
      <x:c r="I2123" s="11" t="n">
        <x:v>2</x:v>
      </x:c>
      <x:c r="J2123" s="11" t="n">
        <x:v>2</x:v>
      </x:c>
      <x:c r="K2123" s="11" t="n">
        <x:v>0</x:v>
      </x:c>
      <x:c r="L2123" s="17" t="n">
        <x:f>SUM(SUMIFS('Costing'!$P$9:$P$492,'Costing'!$A$9:$A$492,"MAIN-268"))</x:f>
        <x:v>80000</x:v>
      </x:c>
      <x:c r="M2123" s="17" t="n">
        <x:f>ROUND(L2123*'Costing'!$C$4,2)</x:f>
        <x:v>14400</x:v>
      </x:c>
      <x:c r="N2123" s="17" t="n">
        <x:f>L2123+M2123</x:f>
        <x:v>94400</x:v>
      </x:c>
      <x:c r="O2123" s="12" t="str">
        <x:v>Indore</x:v>
      </x:c>
      <x:c r="P2123" s="12" t="str">
        <x:v>CORP-0264</x:v>
      </x:c>
      <x:c r="Q2123" s="12" t="str">
        <x:v>Revolution</x:v>
      </x:c>
    </x:row>
    <x:row r="2124" ht="48" customHeight="1">
      <x:c r="A2124" s="2" t="str">
        <x:v>TEN-DCF9DC421B47</x:v>
      </x:c>
      <x:c r="B2124" s="12" t="str">
        <x:v>Rezo.AI</x:v>
      </x:c>
      <x:c r="C2124" s="12" t="str">
        <x:v>Business / brand</x:v>
      </x:c>
      <x:c r="D2124" s="12" t="str">
        <x:v>IT &amp; digital</x:v>
      </x:c>
      <x:c r="E2124" s="12" t="str">
        <x:v>AI, data &amp; analytics</x:v>
      </x:c>
      <x:c r="F2124" s="12" t="str">
        <x:v>Small-scale prospects</x:v>
      </x:c>
      <x:c r="G2124" s="12" t="str">
        <x:v>Software or technology-services business; small-scale prospect assumption.</x:v>
      </x:c>
      <x:c r="H2124" s="11" t="n">
        <x:v>1</x:v>
      </x:c>
      <x:c r="I2124" s="11" t="n">
        <x:v>2</x:v>
      </x:c>
      <x:c r="J2124" s="11" t="n">
        <x:v>2</x:v>
      </x:c>
      <x:c r="K2124" s="11" t="n">
        <x:v>0</x:v>
      </x:c>
      <x:c r="L2124" s="17" t="n">
        <x:f>SUM(SUMIFS('Costing'!$P$9:$P$492,'Costing'!$A$9:$A$492,"MAIN-166"))</x:f>
        <x:v>40000</x:v>
      </x:c>
      <x:c r="M2124" s="17" t="n">
        <x:f>ROUND(L2124*'Costing'!$C$4,2)</x:f>
        <x:v>7200</x:v>
      </x:c>
      <x:c r="N2124" s="17" t="n">
        <x:f>L2124+M2124</x:f>
        <x:v>47200</x:v>
      </x:c>
      <x:c r="O2124" s="12" t="str">
        <x:v>Delhi NCR</x:v>
      </x:c>
      <x:c r="P2124" s="12" t="str">
        <x:v>CORP-0162</x:v>
      </x:c>
      <x:c r="Q2124" s="12" t="str">
        <x:v>Rezo.AI</x:v>
      </x:c>
    </x:row>
    <x:row r="2125" ht="48" customHeight="1">
      <x:c r="A2125" s="2" t="str">
        <x:v>TEN-680C934EABCB</x:v>
      </x:c>
      <x:c r="B2125" s="12" t="str">
        <x:v>RheinBrücke IT Consulting Pvt Ltd</x:v>
      </x:c>
      <x:c r="C2125" s="12" t="str">
        <x:v>Business / brand</x:v>
      </x:c>
      <x:c r="D2125" s="12" t="str">
        <x:v>Professional services</x:v>
      </x:c>
      <x:c r="E2125" s="12" t="str">
        <x:v>Business consulting &amp; advisory</x:v>
      </x:c>
      <x:c r="F2125" s="12" t="str">
        <x:v>Small-scale prospects</x:v>
      </x:c>
      <x:c r="G2125" s="12" t="str">
        <x:v>Professional service, agency or advisory model; small-scale prospect assumption.</x:v>
      </x:c>
      <x:c r="H2125" s="11" t="n">
        <x:v>2</x:v>
      </x:c>
      <x:c r="I2125" s="11" t="n">
        <x:v>3</x:v>
      </x:c>
      <x:c r="J2125" s="11" t="n">
        <x:v>3</x:v>
      </x:c>
      <x:c r="K2125" s="11" t="n">
        <x:v>0</x:v>
      </x:c>
      <x:c r="L2125" s="17" t="n">
        <x:f>SUM(SUMIFS('Costing'!$P$9:$P$492,'Costing'!$A$9:$A$492,"MAIN-143"),SUMIFS('Costing'!$P$9:$P$492,'Costing'!$A$9:$A$492,"MAIN-144"))</x:f>
        <x:v>60000</x:v>
      </x:c>
      <x:c r="M2125" s="17" t="n">
        <x:f>ROUND(L2125*'Costing'!$C$4,2)</x:f>
        <x:v>10800</x:v>
      </x:c>
      <x:c r="N2125" s="17" t="n">
        <x:f>L2125+M2125</x:f>
        <x:v>70800</x:v>
      </x:c>
      <x:c r="O2125" s="12" t="str">
        <x:v>Chennai</x:v>
      </x:c>
      <x:c r="P2125" s="12" t="str">
        <x:v>CORP-0139, CORP-0140</x:v>
      </x:c>
      <x:c r="Q2125" s="12" t="str">
        <x:v>RheinBrücke IT Consulting Pvt Ltd</x:v>
      </x:c>
    </x:row>
    <x:row r="2126" ht="48" customHeight="1">
      <x:c r="A2126" s="2" t="str">
        <x:v>TEN-B8AB53F49765</x:v>
      </x:c>
      <x:c r="B2126" s="12" t="str">
        <x:v>Ribbon Communication Pvt. Ltd</x:v>
      </x:c>
      <x:c r="C2126" s="12" t="str">
        <x:v>Business / brand</x:v>
      </x:c>
      <x:c r="D2126" s="12" t="str">
        <x:v>IT &amp; digital</x:v>
      </x:c>
      <x:c r="E2126" s="12" t="str">
        <x:v>Telecom, networks &amp; connectivity</x:v>
      </x:c>
      <x:c r="F2126" s="12" t="str">
        <x:v>Mixed business audience</x:v>
      </x:c>
      <x:c r="G2126" s="12" t="str">
        <x:v>Recognisable business context; company-scale evidence remains insufficient for a single size band.</x:v>
      </x:c>
      <x:c r="H2126" s="11" t="n">
        <x:v>3</x:v>
      </x:c>
      <x:c r="I2126" s="11" t="n">
        <x:v>3</x:v>
      </x:c>
      <x:c r="J2126" s="11" t="n">
        <x:v>3</x:v>
      </x:c>
      <x:c r="K2126" s="11" t="n">
        <x:v>0</x:v>
      </x:c>
      <x:c r="L2126" s="17" t="n">
        <x:f>SUM(SUMIFS('Costing'!$P$9:$P$492,'Costing'!$A$9:$A$492,"PARTNER-M067"))</x:f>
        <x:v>120000</x:v>
      </x:c>
      <x:c r="M2126" s="17" t="n">
        <x:f>ROUND(L2126*'Costing'!$C$4,2)</x:f>
        <x:v>21600</x:v>
      </x:c>
      <x:c r="N2126" s="17" t="n">
        <x:f>L2126+M2126</x:f>
        <x:v>141600</x:v>
      </x:c>
      <x:c r="O2126" s="12" t="str">
        <x:v>Bengaluru</x:v>
      </x:c>
      <x:c r="P2126" s="12" t="str">
        <x:v>CORP-0485, CORP-0486, CORP-0487</x:v>
      </x:c>
      <x:c r="Q2126" s="12" t="str">
        <x:v>Ribbon Communication Pvt. Ltd</x:v>
      </x:c>
    </x:row>
    <x:row r="2127" ht="48" customHeight="1">
      <x:c r="A2127" s="2" t="str">
        <x:v>TEN-53313CE6DF7D</x:v>
      </x:c>
      <x:c r="B2127" s="12" t="str">
        <x:v>Richer health Nutrition</x:v>
      </x:c>
      <x:c r="C2127" s="12" t="str">
        <x:v>Business / brand</x:v>
      </x:c>
      <x:c r="D2127" s="12" t="str">
        <x:v>Healthcare &amp; life sciences</x:v>
      </x:c>
      <x:c r="E2127" s="12" t="str">
        <x:v>Clinical, medical &amp; diagnostic services</x:v>
      </x:c>
      <x:c r="F2127" s="12" t="str">
        <x:v>Small-scale prospects</x:v>
      </x:c>
      <x:c r="G2127" s="12" t="str">
        <x:v>Healthcare services business; small-scale prospect assumption.</x:v>
      </x:c>
      <x:c r="H2127" s="11" t="n">
        <x:v>1</x:v>
      </x:c>
      <x:c r="I2127" s="11" t="n">
        <x:v>1</x:v>
      </x:c>
      <x:c r="J2127" s="11" t="n">
        <x:v>1</x:v>
      </x:c>
      <x:c r="K2127" s="11" t="n">
        <x:v>0</x:v>
      </x:c>
      <x:c r="L2127" s="17" t="n">
        <x:f>SUM(SUMIFS('Costing'!$P$9:$P$492,'Costing'!$A$9:$A$492,"MAIN-379"))</x:f>
        <x:v>15000</x:v>
      </x:c>
      <x:c r="M2127" s="17" t="n">
        <x:f>ROUND(L2127*'Costing'!$C$4,2)</x:f>
        <x:v>2700</x:v>
      </x:c>
      <x:c r="N2127" s="17" t="n">
        <x:f>L2127+M2127</x:f>
        <x:v>17700</x:v>
      </x:c>
      <x:c r="O2127" s="12" t="str">
        <x:v>Pune</x:v>
      </x:c>
      <x:c r="P2127" s="12" t="str">
        <x:v>CORP-0375</x:v>
      </x:c>
      <x:c r="Q2127" s="12" t="str">
        <x:v>Richer health Nutrition</x:v>
      </x:c>
    </x:row>
    <x:row r="2128" ht="48" customHeight="1">
      <x:c r="A2128" s="2" t="str">
        <x:v>TEN-9F938B95F156</x:v>
      </x:c>
      <x:c r="B2128" s="12" t="str">
        <x:v>RightData Labs Pvt Ltd</x:v>
      </x:c>
      <x:c r="C2128" s="12" t="str">
        <x:v>Business / brand</x:v>
      </x:c>
      <x:c r="D2128" s="12" t="str">
        <x:v>IT &amp; digital</x:v>
      </x:c>
      <x:c r="E2128" s="12" t="str">
        <x:v>AI, data &amp; analytics</x:v>
      </x:c>
      <x:c r="F2128" s="12" t="str">
        <x:v>Small-scale prospects</x:v>
      </x:c>
      <x:c r="G2128" s="12" t="str">
        <x:v>Software or technology-services business; small-scale prospect assumption.</x:v>
      </x:c>
      <x:c r="H2128" s="11" t="n">
        <x:v>4</x:v>
      </x:c>
      <x:c r="I2128" s="11" t="n">
        <x:v>4</x:v>
      </x:c>
      <x:c r="J2128" s="11" t="n">
        <x:v>4</x:v>
      </x:c>
      <x:c r="K2128" s="11" t="n">
        <x:v>0</x:v>
      </x:c>
      <x:c r="L2128" s="17" t="n">
        <x:f>SUM(SUMIFS('Costing'!$P$9:$P$492,'Costing'!$A$9:$A$492,"PARTNER-M308"))</x:f>
        <x:v>160000</x:v>
      </x:c>
      <x:c r="M2128" s="17" t="n">
        <x:f>ROUND(L2128*'Costing'!$C$4,2)</x:f>
        <x:v>28800</x:v>
      </x:c>
      <x:c r="N2128" s="17" t="n">
        <x:f>L2128+M2128</x:f>
        <x:v>188800</x:v>
      </x:c>
      <x:c r="O2128" s="12" t="str">
        <x:v>Hyderabad</x:v>
      </x:c>
      <x:c r="P2128" s="12" t="str">
        <x:v>CORP-0723, CORP-0724, CORP-0725, CORP-0726</x:v>
      </x:c>
      <x:c r="Q2128" s="12" t="str">
        <x:v>RightData Labs Pvt Ltd</x:v>
      </x:c>
    </x:row>
    <x:row r="2129" ht="48" customHeight="1">
      <x:c r="A2129" s="2" t="str">
        <x:v>TEN-0E6A5F7C73CC</x:v>
      </x:c>
      <x:c r="B2129" s="12" t="str">
        <x:v>Righyitfy Solutions</x:v>
      </x:c>
      <x:c r="C2129" s="12" t="str">
        <x:v>Business / brand</x:v>
      </x:c>
      <x:c r="D2129" s="12" t="str">
        <x:v>Unresolved</x:v>
      </x:c>
      <x:c r="E2129" s="12" t="str">
        <x:v>Business activity not established</x:v>
      </x:c>
      <x:c r="F2129" s="12" t="str">
        <x:v>Mixed business audience</x:v>
      </x:c>
      <x:c r="G2129" s="12" t="str">
        <x:v>Business activity and company scale are not established from this name.</x:v>
      </x:c>
      <x:c r="H2129" s="11" t="n">
        <x:v>5</x:v>
      </x:c>
      <x:c r="I2129" s="11" t="n">
        <x:v>5</x:v>
      </x:c>
      <x:c r="J2129" s="11" t="n">
        <x:v>5</x:v>
      </x:c>
      <x:c r="K2129" s="11" t="n">
        <x:v>0</x:v>
      </x:c>
      <x:c r="L2129" s="17" t="n">
        <x:f>SUM(SUMIFS('Costing'!$P$9:$P$492,'Costing'!$A$9:$A$492,"PARTNER-M295"))</x:f>
        <x:v>200000</x:v>
      </x:c>
      <x:c r="M2129" s="17" t="n">
        <x:f>ROUND(L2129*'Costing'!$C$4,2)</x:f>
        <x:v>36000</x:v>
      </x:c>
      <x:c r="N2129" s="17" t="n">
        <x:f>L2129+M2129</x:f>
        <x:v>236000</x:v>
      </x:c>
      <x:c r="O2129" s="12" t="str">
        <x:v>Hyderabad</x:v>
      </x:c>
      <x:c r="P2129" s="12" t="str">
        <x:v>CORP-0710, CORP-0711, CORP-0712, CORP-0713, CORP-0714</x:v>
      </x:c>
      <x:c r="Q2129" s="12" t="str">
        <x:v>Righyitfy Solutions</x:v>
      </x:c>
    </x:row>
    <x:row r="2130" ht="48" customHeight="1">
      <x:c r="A2130" s="2" t="str">
        <x:v>TEN-477AA10EEFDA</x:v>
      </x:c>
      <x:c r="B2130" s="12" t="str">
        <x:v>RippleHR Global Consulting</x:v>
      </x:c>
      <x:c r="C2130" s="12" t="str">
        <x:v>Business / brand</x:v>
      </x:c>
      <x:c r="D2130" s="12" t="str">
        <x:v>Professional services</x:v>
      </x:c>
      <x:c r="E2130" s="12" t="str">
        <x:v>Business consulting &amp; advisory</x:v>
      </x:c>
      <x:c r="F2130" s="12" t="str">
        <x:v>Small-scale prospects</x:v>
      </x:c>
      <x:c r="G2130" s="12" t="str">
        <x:v>Professional service, agency or advisory model; small-scale prospect assumption.</x:v>
      </x:c>
      <x:c r="H2130" s="11" t="n">
        <x:v>1</x:v>
      </x:c>
      <x:c r="I2130" s="11" t="n">
        <x:v>5</x:v>
      </x:c>
      <x:c r="J2130" s="11" t="n">
        <x:v>5</x:v>
      </x:c>
      <x:c r="K2130" s="11" t="n">
        <x:v>0</x:v>
      </x:c>
      <x:c r="L2130" s="17" t="n">
        <x:f>SUM(SUMIFS('Costing'!$P$9:$P$492,'Costing'!$A$9:$A$492,"MAIN-168"))</x:f>
        <x:v>200000</x:v>
      </x:c>
      <x:c r="M2130" s="17" t="n">
        <x:f>ROUND(L2130*'Costing'!$C$4,2)</x:f>
        <x:v>36000</x:v>
      </x:c>
      <x:c r="N2130" s="17" t="n">
        <x:f>L2130+M2130</x:f>
        <x:v>236000</x:v>
      </x:c>
      <x:c r="O2130" s="12" t="str">
        <x:v>Delhi NCR</x:v>
      </x:c>
      <x:c r="P2130" s="12" t="str">
        <x:v>CORP-0164</x:v>
      </x:c>
      <x:c r="Q2130" s="12" t="str">
        <x:v>RippleHR Global Consulting</x:v>
      </x:c>
    </x:row>
    <x:row r="2131" ht="48" customHeight="1">
      <x:c r="A2131" s="2" t="str">
        <x:v>TEN-6D11383E271F</x:v>
      </x:c>
      <x:c r="B2131" s="12" t="str">
        <x:v>Rise Agro Infra Pvt. Ltd</x:v>
      </x:c>
      <x:c r="C2131" s="12" t="str">
        <x:v>Business / brand</x:v>
      </x:c>
      <x:c r="D2131" s="12" t="str">
        <x:v>Engineering &amp; manufacturing</x:v>
      </x:c>
      <x:c r="E2131" s="12" t="str">
        <x:v>Engineering/manufacturing — specialty unverified</x:v>
      </x:c>
      <x:c r="F2131" s="12" t="str">
        <x:v>Medium-scale prospects</x:v>
      </x:c>
      <x:c r="G2131" s="12" t="str">
        <x:v>Specialist industrial or engineering business; medium-scale prospect assumption.</x:v>
      </x:c>
      <x:c r="H2131" s="11" t="n">
        <x:v>1</x:v>
      </x:c>
      <x:c r="I2131" s="11" t="n">
        <x:v>1</x:v>
      </x:c>
      <x:c r="J2131" s="11" t="n">
        <x:v>1</x:v>
      </x:c>
      <x:c r="K2131" s="11" t="n">
        <x:v>0</x:v>
      </x:c>
      <x:c r="L2131" s="17" t="n">
        <x:f>SUM(SUMIFS('Costing'!$P$9:$P$492,'Costing'!$A$9:$A$492,"MAIN-275"))</x:f>
        <x:v>40000</x:v>
      </x:c>
      <x:c r="M2131" s="17" t="n">
        <x:f>ROUND(L2131*'Costing'!$C$4,2)</x:f>
        <x:v>7200</x:v>
      </x:c>
      <x:c r="N2131" s="17" t="n">
        <x:f>L2131+M2131</x:f>
        <x:v>47200</x:v>
      </x:c>
      <x:c r="O2131" s="12" t="str">
        <x:v>Indore</x:v>
      </x:c>
      <x:c r="P2131" s="12" t="str">
        <x:v>CORP-0271</x:v>
      </x:c>
      <x:c r="Q2131" s="12" t="str">
        <x:v>Rise Agro Infra Pvt. Ltd</x:v>
      </x:c>
    </x:row>
    <x:row r="2132" ht="48" customHeight="1">
      <x:c r="A2132" s="2" t="str">
        <x:v>TEN-EC27AEBDBCFB</x:v>
      </x:c>
      <x:c r="B2132" s="12" t="str">
        <x:v>RISE World Limited</x:v>
      </x:c>
      <x:c r="C2132" s="12" t="str">
        <x:v>Business / brand</x:v>
      </x:c>
      <x:c r="D2132" s="12" t="str">
        <x:v>Unresolved</x:v>
      </x:c>
      <x:c r="E2132" s="12" t="str">
        <x:v>Business activity not established</x:v>
      </x:c>
      <x:c r="F2132" s="12" t="str">
        <x:v>Mixed business audience</x:v>
      </x:c>
      <x:c r="G2132" s="12" t="str">
        <x:v>Business activity and company scale are not established from this name.</x:v>
      </x:c>
      <x:c r="H2132" s="11" t="n">
        <x:v>1</x:v>
      </x:c>
      <x:c r="I2132" s="11" t="n">
        <x:v>2</x:v>
      </x:c>
      <x:c r="J2132" s="11" t="n">
        <x:v>2</x:v>
      </x:c>
      <x:c r="K2132" s="11" t="n">
        <x:v>0</x:v>
      </x:c>
      <x:c r="L2132" s="17" t="n">
        <x:f>SUM(SUMIFS('Costing'!$P$9:$P$492,'Costing'!$A$9:$A$492,"MAIN-325"))</x:f>
        <x:v>80000</x:v>
      </x:c>
      <x:c r="M2132" s="17" t="n">
        <x:f>ROUND(L2132*'Costing'!$C$4,2)</x:f>
        <x:v>14400</x:v>
      </x:c>
      <x:c r="N2132" s="17" t="n">
        <x:f>L2132+M2132</x:f>
        <x:v>94400</x:v>
      </x:c>
      <x:c r="O2132" s="12" t="str">
        <x:v>Mumbai</x:v>
      </x:c>
      <x:c r="P2132" s="12" t="str">
        <x:v>CORP-0321</x:v>
      </x:c>
      <x:c r="Q2132" s="12" t="str">
        <x:v>RISE World Limited</x:v>
      </x:c>
    </x:row>
    <x:row r="2133" ht="48" customHeight="1">
      <x:c r="A2133" s="2" t="str">
        <x:v>TEN-EC60AE731320</x:v>
      </x:c>
      <x:c r="B2133" s="12" t="str">
        <x:v>Rishi Group</x:v>
      </x:c>
      <x:c r="C2133" s="12" t="str">
        <x:v>Business / brand</x:v>
      </x:c>
      <x:c r="D2133" s="12" t="str">
        <x:v>Unresolved</x:v>
      </x:c>
      <x:c r="E2133" s="12" t="str">
        <x:v>Business activity not established</x:v>
      </x:c>
      <x:c r="F2133" s="12" t="str">
        <x:v>Mixed business audience</x:v>
      </x:c>
      <x:c r="G2133" s="12" t="str">
        <x:v>Business activity and company scale are not established from this name.</x:v>
      </x:c>
      <x:c r="H2133" s="11" t="n">
        <x:v>1</x:v>
      </x:c>
      <x:c r="I2133" s="11" t="n">
        <x:v>5</x:v>
      </x:c>
      <x:c r="J2133" s="11" t="n">
        <x:v>5</x:v>
      </x:c>
      <x:c r="K2133" s="11" t="n">
        <x:v>0</x:v>
      </x:c>
      <x:c r="L2133" s="17" t="n">
        <x:f>SUM(SUMIFS('Costing'!$P$9:$P$492,'Costing'!$A$9:$A$492,"MAIN-287"))</x:f>
        <x:v>75000</x:v>
      </x:c>
      <x:c r="M2133" s="17" t="n">
        <x:f>ROUND(L2133*'Costing'!$C$4,2)</x:f>
        <x:v>13500</x:v>
      </x:c>
      <x:c r="N2133" s="17" t="n">
        <x:f>L2133+M2133</x:f>
        <x:v>88500</x:v>
      </x:c>
      <x:c r="O2133" s="12" t="str">
        <x:v>Kolkata</x:v>
      </x:c>
      <x:c r="P2133" s="12" t="str">
        <x:v>CORP-0283</x:v>
      </x:c>
      <x:c r="Q2133" s="12" t="str">
        <x:v>Rishi Group</x:v>
      </x:c>
    </x:row>
    <x:row r="2134" ht="48" customHeight="1">
      <x:c r="A2134" s="2" t="str">
        <x:v>TEN-89794163A43F</x:v>
      </x:c>
      <x:c r="B2134" s="12" t="str">
        <x:v>Rivulis Irrigation India Pvt.Ltd</x:v>
      </x:c>
      <x:c r="C2134" s="12" t="str">
        <x:v>Business / brand</x:v>
      </x:c>
      <x:c r="D2134" s="12" t="str">
        <x:v>Engineering &amp; manufacturing</x:v>
      </x:c>
      <x:c r="E2134" s="12" t="str">
        <x:v>Electronics, industrial systems &amp; manufacturing</x:v>
      </x:c>
      <x:c r="F2134" s="12" t="str">
        <x:v>Mixed business audience</x:v>
      </x:c>
      <x:c r="G2134" s="12" t="str">
        <x:v>Established brand or business network; local company scale is not established. Use a mixed-business message.</x:v>
      </x:c>
      <x:c r="H2134" s="11" t="n">
        <x:v>1</x:v>
      </x:c>
      <x:c r="I2134" s="11" t="n">
        <x:v>2</x:v>
      </x:c>
      <x:c r="J2134" s="11" t="n">
        <x:v>2</x:v>
      </x:c>
      <x:c r="K2134" s="11" t="n">
        <x:v>0</x:v>
      </x:c>
      <x:c r="L2134" s="17" t="n">
        <x:f>SUM(SUMIFS('Costing'!$P$9:$P$492,'Costing'!$A$9:$A$492,"MAIN-407"))</x:f>
        <x:v>30000</x:v>
      </x:c>
      <x:c r="M2134" s="17" t="n">
        <x:f>ROUND(L2134*'Costing'!$C$4,2)</x:f>
        <x:v>5400</x:v>
      </x:c>
      <x:c r="N2134" s="17" t="n">
        <x:f>L2134+M2134</x:f>
        <x:v>35400</x:v>
      </x:c>
      <x:c r="O2134" s="12" t="str">
        <x:v>Pune</x:v>
      </x:c>
      <x:c r="P2134" s="12" t="str">
        <x:v>CORP-0403</x:v>
      </x:c>
      <x:c r="Q2134" s="12" t="str">
        <x:v>Rivulis Irrigation India Pvt.Ltd</x:v>
      </x:c>
    </x:row>
    <x:row r="2135" ht="48" customHeight="1">
      <x:c r="A2135" s="2" t="str">
        <x:v>TEN-5DD986B04CFE</x:v>
      </x:c>
      <x:c r="B2135" s="12" t="str">
        <x:v>RKD Studious</x:v>
      </x:c>
      <x:c r="C2135" s="12" t="str">
        <x:v>Business / brand</x:v>
      </x:c>
      <x:c r="D2135" s="12" t="str">
        <x:v>Trade, consumer &amp; logistics</x:v>
      </x:c>
      <x:c r="E2135" s="12" t="str">
        <x:v>Entertainment, media &amp; events</x:v>
      </x:c>
      <x:c r="F2135" s="12" t="str">
        <x:v>Small-scale prospects</x:v>
      </x:c>
      <x:c r="G2135" s="12" t="str">
        <x:v>Trading or consumer-services business; small-scale prospect assumption.</x:v>
      </x:c>
      <x:c r="H2135" s="11" t="n">
        <x:v>1</x:v>
      </x:c>
      <x:c r="I2135" s="11" t="n">
        <x:v>1</x:v>
      </x:c>
      <x:c r="J2135" s="11" t="n">
        <x:v>1</x:v>
      </x:c>
      <x:c r="K2135" s="11" t="n">
        <x:v>0</x:v>
      </x:c>
      <x:c r="L2135" s="17" t="n">
        <x:f>SUM(SUMIFS('Costing'!$P$9:$P$492,'Costing'!$A$9:$A$492,"MAIN-300"))</x:f>
        <x:v>15000</x:v>
      </x:c>
      <x:c r="M2135" s="17" t="n">
        <x:f>ROUND(L2135*'Costing'!$C$4,2)</x:f>
        <x:v>2700</x:v>
      </x:c>
      <x:c r="N2135" s="17" t="n">
        <x:f>L2135+M2135</x:f>
        <x:v>17700</x:v>
      </x:c>
      <x:c r="O2135" s="12" t="str">
        <x:v>Mumbai</x:v>
      </x:c>
      <x:c r="P2135" s="12" t="str">
        <x:v>CORP-0296</x:v>
      </x:c>
      <x:c r="Q2135" s="12" t="str">
        <x:v>RKD Studious</x:v>
      </x:c>
    </x:row>
    <x:row r="2136" ht="48" customHeight="1">
      <x:c r="A2136" s="2" t="str">
        <x:v>TEN-43BD5FC2D8E2</x:v>
      </x:c>
      <x:c r="B2136" s="12" t="str">
        <x:v>RLE</x:v>
      </x:c>
      <x:c r="C2136" s="12" t="str">
        <x:v>Business / brand</x:v>
      </x:c>
      <x:c r="D2136" s="12" t="str">
        <x:v>Unresolved</x:v>
      </x:c>
      <x:c r="E2136" s="12" t="str">
        <x:v>Business activity not established</x:v>
      </x:c>
      <x:c r="F2136" s="12" t="str">
        <x:v>Mixed business audience</x:v>
      </x:c>
      <x:c r="G2136" s="12" t="str">
        <x:v>Business activity and company scale are not established from this name.</x:v>
      </x:c>
      <x:c r="H2136" s="11" t="n">
        <x:v>9</x:v>
      </x:c>
      <x:c r="I2136" s="11" t="n">
        <x:v>9</x:v>
      </x:c>
      <x:c r="J2136" s="11" t="n">
        <x:v>9</x:v>
      </x:c>
      <x:c r="K2136" s="11" t="n">
        <x:v>0</x:v>
      </x:c>
      <x:c r="L2136" s="17" t="n">
        <x:f>SUM(SUMIFS('Costing'!$P$9:$P$492,'Costing'!$A$9:$A$492,"PARTNER-M002"))</x:f>
        <x:v>360000</x:v>
      </x:c>
      <x:c r="M2136" s="17" t="n">
        <x:f>ROUND(L2136*'Costing'!$C$4,2)</x:f>
        <x:v>64800</x:v>
      </x:c>
      <x:c r="N2136" s="17" t="n">
        <x:f>L2136+M2136</x:f>
        <x:v>424800</x:v>
      </x:c>
      <x:c r="O2136" s="12" t="str">
        <x:v>Bengaluru</x:v>
      </x:c>
      <x:c r="P2136" s="12" t="str">
        <x:v>CORP-0420, CORP-0421, CORP-0422, CORP-0423, CORP-0424, CORP-0425, CORP-0426, CORP-0427, CORP-0428</x:v>
      </x:c>
      <x:c r="Q2136" s="12" t="str">
        <x:v>RLE</x:v>
      </x:c>
    </x:row>
    <x:row r="2137" ht="48" customHeight="1">
      <x:c r="A2137" s="2" t="str">
        <x:v>TEN-EFC60595AA04</x:v>
      </x:c>
      <x:c r="B2137" s="12" t="str">
        <x:v>RMSI Pvt Limited</x:v>
      </x:c>
      <x:c r="C2137" s="12" t="str">
        <x:v>Business / brand</x:v>
      </x:c>
      <x:c r="D2137" s="12" t="str">
        <x:v>IT &amp; digital</x:v>
      </x:c>
      <x:c r="E2137" s="12" t="str">
        <x:v>Enterprise software &amp; digital engineering</x:v>
      </x:c>
      <x:c r="F2137" s="12" t="str">
        <x:v>Mixed business audience</x:v>
      </x:c>
      <x:c r="G2137" s="12" t="str">
        <x:v>Established brand or business network; local company scale is not established. Use a mixed-business message.</x:v>
      </x:c>
      <x:c r="H2137" s="11" t="n">
        <x:v>8</x:v>
      </x:c>
      <x:c r="I2137" s="11" t="n">
        <x:v>8</x:v>
      </x:c>
      <x:c r="J2137" s="11" t="n">
        <x:v>8</x:v>
      </x:c>
      <x:c r="K2137" s="11" t="n">
        <x:v>0</x:v>
      </x:c>
      <x:c r="L2137" s="17" t="n">
        <x:f>SUM(SUMIFS('Costing'!$P$9:$P$492,'Costing'!$A$9:$A$492,"PARTNER-M300"))</x:f>
        <x:v>320000</x:v>
      </x:c>
      <x:c r="M2137" s="17" t="n">
        <x:f>ROUND(L2137*'Costing'!$C$4,2)</x:f>
        <x:v>57600</x:v>
      </x:c>
      <x:c r="N2137" s="17" t="n">
        <x:f>L2137+M2137</x:f>
        <x:v>377600</x:v>
      </x:c>
      <x:c r="O2137" s="12" t="str">
        <x:v>Hyderabad</x:v>
      </x:c>
      <x:c r="P2137" s="12" t="str">
        <x:v>CORP-0715, CORP-0716, CORP-0717, CORP-0718, CORP-0719, CORP-0720, CORP-0721, CORP-0722</x:v>
      </x:c>
      <x:c r="Q2137" s="12" t="str">
        <x:v>RMSI Pvt Limited</x:v>
      </x:c>
    </x:row>
    <x:row r="2138" ht="48" customHeight="1">
      <x:c r="A2138" s="2" t="str">
        <x:v>TEN-C84BDABCAA71</x:v>
      </x:c>
      <x:c r="B2138" s="12" t="str">
        <x:v>ROADSIDE VENTURES PRIVATE LIMITED</x:v>
      </x:c>
      <x:c r="C2138" s="12" t="str">
        <x:v>Business / brand</x:v>
      </x:c>
      <x:c r="D2138" s="12" t="str">
        <x:v>Unresolved</x:v>
      </x:c>
      <x:c r="E2138" s="12" t="str">
        <x:v>Business activity not established</x:v>
      </x:c>
      <x:c r="F2138" s="12" t="str">
        <x:v>Mixed business audience</x:v>
      </x:c>
      <x:c r="G2138" s="12" t="str">
        <x:v>Business activity and company scale are not established from this name.</x:v>
      </x:c>
      <x:c r="H2138" s="11" t="n">
        <x:v>1</x:v>
      </x:c>
      <x:c r="I2138" s="11" t="n">
        <x:v>2</x:v>
      </x:c>
      <x:c r="J2138" s="11" t="n">
        <x:v>2</x:v>
      </x:c>
      <x:c r="K2138" s="11" t="n">
        <x:v>0</x:v>
      </x:c>
      <x:c r="L2138" s="17" t="n">
        <x:f>SUM(SUMIFS('Costing'!$P$9:$P$492,'Costing'!$A$9:$A$492,"MAIN-244"))</x:f>
        <x:v>30000</x:v>
      </x:c>
      <x:c r="M2138" s="17" t="n">
        <x:f>ROUND(L2138*'Costing'!$C$4,2)</x:f>
        <x:v>5400</x:v>
      </x:c>
      <x:c r="N2138" s="17" t="n">
        <x:f>L2138+M2138</x:f>
        <x:v>35400</x:v>
      </x:c>
      <x:c r="O2138" s="12" t="str">
        <x:v>Hyderabad</x:v>
      </x:c>
      <x:c r="P2138" s="12" t="str">
        <x:v>CORP-0240</x:v>
      </x:c>
      <x:c r="Q2138" s="12" t="str">
        <x:v>ROADSIDE VENTURES PRIVATE LIMITED</x:v>
      </x:c>
    </x:row>
    <x:row r="2139" ht="48" customHeight="1">
      <x:c r="A2139" s="2" t="str">
        <x:v>TEN-28D7AE9C8DBC</x:v>
      </x:c>
      <x:c r="B2139" s="12" t="str">
        <x:v>Robert Bosch</x:v>
      </x:c>
      <x:c r="C2139" s="12" t="str">
        <x:v>Business / brand</x:v>
      </x:c>
      <x:c r="D2139" s="12" t="str">
        <x:v>Engineering &amp; manufacturing</x:v>
      </x:c>
      <x:c r="E2139" s="12" t="str">
        <x:v>Engineering/manufacturing — specialty unverified</x:v>
      </x:c>
      <x:c r="F2139" s="12" t="str">
        <x:v>Large enterprise</x:v>
      </x:c>
      <x:c r="G2139" s="12" t="str">
        <x:v>Explicit Bosch enterprise-family context; see ENTERPRISE_SUPP_005 evidence.</x:v>
      </x:c>
      <x:c r="H2139" s="11" t="n">
        <x:v>6</x:v>
      </x:c>
      <x:c r="I2139" s="11" t="n">
        <x:v>6</x:v>
      </x:c>
      <x:c r="J2139" s="11" t="n">
        <x:v>6</x:v>
      </x:c>
      <x:c r="K2139" s="11" t="n">
        <x:v>0</x:v>
      </x:c>
      <x:c r="L2139" s="17" t="n">
        <x:f>SUM(SUMIFS('Costing'!$P$9:$P$492,'Costing'!$A$9:$A$492,"PARTNER-M039"))</x:f>
        <x:v>240000</x:v>
      </x:c>
      <x:c r="M2139" s="17" t="n">
        <x:f>ROUND(L2139*'Costing'!$C$4,2)</x:f>
        <x:v>43200</x:v>
      </x:c>
      <x:c r="N2139" s="17" t="n">
        <x:f>L2139+M2139</x:f>
        <x:v>283200</x:v>
      </x:c>
      <x:c r="O2139" s="12" t="str">
        <x:v>Bengaluru</x:v>
      </x:c>
      <x:c r="P2139" s="12" t="str">
        <x:v>CORP-0457, CORP-0458, CORP-0459, CORP-0460, CORP-0461, CORP-0462</x:v>
      </x:c>
      <x:c r="Q2139" s="12" t="str">
        <x:v>Robert Bosch</x:v>
      </x:c>
    </x:row>
    <x:row r="2140" ht="48" customHeight="1">
      <x:c r="A2140" s="2" t="str">
        <x:v>TEN-0E9A282DFFCB</x:v>
      </x:c>
      <x:c r="B2140" s="12" t="str">
        <x:v>ROBORA</x:v>
      </x:c>
      <x:c r="C2140" s="12" t="str">
        <x:v>Business / brand</x:v>
      </x:c>
      <x:c r="D2140" s="12" t="str">
        <x:v>Unresolved</x:v>
      </x:c>
      <x:c r="E2140" s="12" t="str">
        <x:v>Business activity not established</x:v>
      </x:c>
      <x:c r="F2140" s="12" t="str">
        <x:v>Mixed business audience</x:v>
      </x:c>
      <x:c r="G2140" s="12" t="str">
        <x:v>Business activity and company scale are not established from this name.</x:v>
      </x:c>
      <x:c r="H2140" s="11" t="n">
        <x:v>1</x:v>
      </x:c>
      <x:c r="I2140" s="11" t="n">
        <x:v>1</x:v>
      </x:c>
      <x:c r="J2140" s="11" t="n">
        <x:v>1</x:v>
      </x:c>
      <x:c r="K2140" s="11" t="n">
        <x:v>0</x:v>
      </x:c>
      <x:c r="L2140" s="17" t="n">
        <x:f>SUM(SUMIFS('Costing'!$P$9:$P$492,'Costing'!$A$9:$A$492,"MAIN-028"))</x:f>
        <x:v>15000</x:v>
      </x:c>
      <x:c r="M2140" s="17" t="n">
        <x:f>ROUND(L2140*'Costing'!$C$4,2)</x:f>
        <x:v>2700</x:v>
      </x:c>
      <x:c r="N2140" s="17" t="n">
        <x:f>L2140+M2140</x:f>
        <x:v>17700</x:v>
      </x:c>
      <x:c r="O2140" s="12" t="str">
        <x:v>Bengaluru</x:v>
      </x:c>
      <x:c r="P2140" s="12" t="str">
        <x:v>CORP-0024</x:v>
      </x:c>
      <x:c r="Q2140" s="12" t="str">
        <x:v>ROBORA</x:v>
      </x:c>
    </x:row>
    <x:row r="2141" ht="48" customHeight="1">
      <x:c r="A2141" s="2" t="str">
        <x:v>TEN-D5D133305413</x:v>
      </x:c>
      <x:c r="B2141" s="12" t="str">
        <x:v>Robosurg MedTech Pvt Ltd</x:v>
      </x:c>
      <x:c r="C2141" s="12" t="str">
        <x:v>Business / brand</x:v>
      </x:c>
      <x:c r="D2141" s="12" t="str">
        <x:v>Healthcare &amp; life sciences</x:v>
      </x:c>
      <x:c r="E2141" s="12" t="str">
        <x:v>Clinical, medical &amp; diagnostic services</x:v>
      </x:c>
      <x:c r="F2141" s="12" t="str">
        <x:v>Small-scale prospects</x:v>
      </x:c>
      <x:c r="G2141" s="12" t="str">
        <x:v>Healthcare services business; small-scale prospect assumption.</x:v>
      </x:c>
      <x:c r="H2141" s="11" t="n">
        <x:v>6</x:v>
      </x:c>
      <x:c r="I2141" s="11" t="n">
        <x:v>10</x:v>
      </x:c>
      <x:c r="J2141" s="11" t="n">
        <x:v>10</x:v>
      </x:c>
      <x:c r="K2141" s="11" t="n">
        <x:v>0</x:v>
      </x:c>
      <x:c r="L2141" s="17" t="n">
        <x:f>SUM(SUMIFS('Costing'!$P$9:$P$492,'Costing'!$A$9:$A$492,"MAIN-196"),SUMIFS('Costing'!$P$9:$P$492,'Costing'!$A$9:$A$492,"PARTNER-M353"))</x:f>
        <x:v>400000</x:v>
      </x:c>
      <x:c r="M2141" s="17" t="n">
        <x:f>ROUND(L2141*'Costing'!$C$4,2)</x:f>
        <x:v>72000</x:v>
      </x:c>
      <x:c r="N2141" s="17" t="n">
        <x:f>L2141+M2141</x:f>
        <x:v>472000</x:v>
      </x:c>
      <x:c r="O2141" s="12" t="str">
        <x:v>Delhi NCR</x:v>
      </x:c>
      <x:c r="P2141" s="12" t="str">
        <x:v>CORP-0192, CORP-0766, CORP-0767, CORP-0768, CORP-0769, CORP-0770</x:v>
      </x:c>
      <x:c r="Q2141" s="12" t="str">
        <x:v>Robosurg MedTech Pvt Ltd</x:v>
      </x:c>
    </x:row>
    <x:row r="2142" ht="48" customHeight="1">
      <x:c r="A2142" s="2" t="str">
        <x:v>TEN-D6C66DBDE5EB</x:v>
      </x:c>
      <x:c r="B2142" s="12" t="str">
        <x:v>Robotouch</x:v>
      </x:c>
      <x:c r="C2142" s="12" t="str">
        <x:v>Business / brand</x:v>
      </x:c>
      <x:c r="D2142" s="12" t="str">
        <x:v>Unresolved</x:v>
      </x:c>
      <x:c r="E2142" s="12" t="str">
        <x:v>Business activity not established</x:v>
      </x:c>
      <x:c r="F2142" s="12" t="str">
        <x:v>Mixed business audience</x:v>
      </x:c>
      <x:c r="G2142" s="12" t="str">
        <x:v>Business activity and company scale are not established from this name.</x:v>
      </x:c>
      <x:c r="H2142" s="11" t="n">
        <x:v>1</x:v>
      </x:c>
      <x:c r="I2142" s="11" t="n">
        <x:v>1</x:v>
      </x:c>
      <x:c r="J2142" s="11" t="n">
        <x:v>1</x:v>
      </x:c>
      <x:c r="K2142" s="11" t="n">
        <x:v>0</x:v>
      </x:c>
      <x:c r="L2142" s="17" t="n">
        <x:f>SUM(SUMIFS('Costing'!$P$9:$P$492,'Costing'!$A$9:$A$492,"MAIN-390"))</x:f>
        <x:v>15000</x:v>
      </x:c>
      <x:c r="M2142" s="17" t="n">
        <x:f>ROUND(L2142*'Costing'!$C$4,2)</x:f>
        <x:v>2700</x:v>
      </x:c>
      <x:c r="N2142" s="17" t="n">
        <x:f>L2142+M2142</x:f>
        <x:v>17700</x:v>
      </x:c>
      <x:c r="O2142" s="12" t="str">
        <x:v>Pune</x:v>
      </x:c>
      <x:c r="P2142" s="12" t="str">
        <x:v>CORP-0386</x:v>
      </x:c>
      <x:c r="Q2142" s="12" t="str">
        <x:v>Robotouch</x:v>
      </x:c>
    </x:row>
    <x:row r="2143" ht="48" customHeight="1">
      <x:c r="A2143" s="2" t="str">
        <x:v>TEN-D850894DB864</x:v>
      </x:c>
      <x:c r="B2143" s="12" t="str">
        <x:v>Rockstar Games India</x:v>
      </x:c>
      <x:c r="C2143" s="12" t="str">
        <x:v>Business / brand</x:v>
      </x:c>
      <x:c r="D2143" s="12" t="str">
        <x:v>Trade, consumer &amp; logistics</x:v>
      </x:c>
      <x:c r="E2143" s="12" t="str">
        <x:v>Entertainment, media &amp; events</x:v>
      </x:c>
      <x:c r="F2143" s="12" t="str">
        <x:v>Mixed business audience</x:v>
      </x:c>
      <x:c r="G2143" s="12" t="str">
        <x:v>Established brand or business network; local company scale is not established. Use a mixed-business message.</x:v>
      </x:c>
      <x:c r="H2143" s="11" t="n">
        <x:v>7</x:v>
      </x:c>
      <x:c r="I2143" s="11" t="n">
        <x:v>7</x:v>
      </x:c>
      <x:c r="J2143" s="11" t="n">
        <x:v>7</x:v>
      </x:c>
      <x:c r="K2143" s="11" t="n">
        <x:v>0</x:v>
      </x:c>
      <x:c r="L2143" s="17" t="n">
        <x:f>SUM(SUMIFS('Costing'!$P$9:$P$492,'Costing'!$A$9:$A$492,"PARTNER-M027"))</x:f>
        <x:v>280000</x:v>
      </x:c>
      <x:c r="M2143" s="17" t="n">
        <x:f>ROUND(L2143*'Costing'!$C$4,2)</x:f>
        <x:v>50400</x:v>
      </x:c>
      <x:c r="N2143" s="17" t="n">
        <x:f>L2143+M2143</x:f>
        <x:v>330400</x:v>
      </x:c>
      <x:c r="O2143" s="12" t="str">
        <x:v>Bengaluru</x:v>
      </x:c>
      <x:c r="P2143" s="12" t="str">
        <x:v>CORP-0445, CORP-0446, CORP-0447, CORP-0448, CORP-0449, CORP-0450, CORP-0451</x:v>
      </x:c>
      <x:c r="Q2143" s="12" t="str">
        <x:v>Rockstar Games India</x:v>
      </x:c>
    </x:row>
    <x:row r="2144" ht="48" customHeight="1">
      <x:c r="A2144" s="2" t="str">
        <x:v>TEN-3FAC3110656F</x:v>
      </x:c>
      <x:c r="B2144" s="12" t="str">
        <x:v>Rockwell Automation</x:v>
      </x:c>
      <x:c r="C2144" s="12" t="str">
        <x:v>Business / brand</x:v>
      </x:c>
      <x:c r="D2144" s="12" t="str">
        <x:v>Engineering &amp; manufacturing</x:v>
      </x:c>
      <x:c r="E2144" s="12" t="str">
        <x:v>Energy, electrical &amp; industrial systems</x:v>
      </x:c>
      <x:c r="F2144" s="12" t="str">
        <x:v>Mixed business audience</x:v>
      </x:c>
      <x:c r="G2144" s="12" t="str">
        <x:v>Recognisable business context; company-scale evidence remains insufficient for a single size band.</x:v>
      </x:c>
      <x:c r="H2144" s="11" t="n">
        <x:v>1</x:v>
      </x:c>
      <x:c r="I2144" s="11" t="n">
        <x:v>1</x:v>
      </x:c>
      <x:c r="J2144" s="11" t="n">
        <x:v>1</x:v>
      </x:c>
      <x:c r="K2144" s="11" t="n">
        <x:v>0</x:v>
      </x:c>
      <x:c r="L2144" s="17" t="n">
        <x:f>SUM(SUMIFS('Costing'!$P$9:$P$492,'Costing'!$A$9:$A$492,"MAIN-410"))</x:f>
        <x:v>15000</x:v>
      </x:c>
      <x:c r="M2144" s="17" t="n">
        <x:f>ROUND(L2144*'Costing'!$C$4,2)</x:f>
        <x:v>2700</x:v>
      </x:c>
      <x:c r="N2144" s="17" t="n">
        <x:f>L2144+M2144</x:f>
        <x:v>17700</x:v>
      </x:c>
      <x:c r="O2144" s="12" t="str">
        <x:v>Pune</x:v>
      </x:c>
      <x:c r="P2144" s="12" t="str">
        <x:v>CORP-0406</x:v>
      </x:c>
      <x:c r="Q2144" s="12" t="str">
        <x:v>Rockwell Automation</x:v>
      </x:c>
    </x:row>
    <x:row r="2145" ht="48" customHeight="1">
      <x:c r="A2145" s="2" t="str">
        <x:v>TEN-5E520C1DF23A</x:v>
      </x:c>
      <x:c r="B2145" s="12" t="str">
        <x:v>Rockworth Systems Furniture India Private Limited</x:v>
      </x:c>
      <x:c r="C2145" s="12" t="str">
        <x:v>Business / brand</x:v>
      </x:c>
      <x:c r="D2145" s="12" t="str">
        <x:v>Trade, consumer &amp; logistics</x:v>
      </x:c>
      <x:c r="E2145" s="12" t="str">
        <x:v>Retail, consumer products &amp; ecommerce</x:v>
      </x:c>
      <x:c r="F2145" s="12" t="str">
        <x:v>Small-scale prospects</x:v>
      </x:c>
      <x:c r="G2145" s="12" t="str">
        <x:v>Trading or consumer-services business; small-scale prospect assumption.</x:v>
      </x:c>
      <x:c r="H2145" s="11" t="n">
        <x:v>1</x:v>
      </x:c>
      <x:c r="I2145" s="11" t="n">
        <x:v>19</x:v>
      </x:c>
      <x:c r="J2145" s="11" t="n">
        <x:v>19</x:v>
      </x:c>
      <x:c r="K2145" s="11" t="n">
        <x:v>0</x:v>
      </x:c>
      <x:c r="L2145" s="17" t="n">
        <x:f>SUM(SUMIFS('Costing'!$P$9:$P$492,'Costing'!$A$9:$A$492,"MAIN-357"))</x:f>
        <x:v>475000</x:v>
      </x:c>
      <x:c r="M2145" s="17" t="n">
        <x:f>ROUND(L2145*'Costing'!$C$4,2)</x:f>
        <x:v>85500</x:v>
      </x:c>
      <x:c r="N2145" s="17" t="n">
        <x:f>L2145+M2145</x:f>
        <x:v>560500</x:v>
      </x:c>
      <x:c r="O2145" s="12" t="str">
        <x:v>Mumbai</x:v>
      </x:c>
      <x:c r="P2145" s="12" t="str">
        <x:v>CORP-0353</x:v>
      </x:c>
      <x:c r="Q2145" s="12" t="str">
        <x:v>Rockworth Systems Furniture India Private Limited</x:v>
      </x:c>
    </x:row>
    <x:row r="2146" ht="48" customHeight="1">
      <x:c r="A2146" s="2" t="str">
        <x:v>TEN-40F1C7433997</x:v>
      </x:c>
      <x:c r="B2146" s="12" t="str">
        <x:v>Rocmob Performance Private Limited</x:v>
      </x:c>
      <x:c r="C2146" s="12" t="str">
        <x:v>Business / brand</x:v>
      </x:c>
      <x:c r="D2146" s="12" t="str">
        <x:v>Unresolved</x:v>
      </x:c>
      <x:c r="E2146" s="12" t="str">
        <x:v>Business activity not established</x:v>
      </x:c>
      <x:c r="F2146" s="12" t="str">
        <x:v>Mixed business audience</x:v>
      </x:c>
      <x:c r="G2146" s="12" t="str">
        <x:v>Business activity and company scale are not established from this name.</x:v>
      </x:c>
      <x:c r="H2146" s="11" t="n">
        <x:v>1</x:v>
      </x:c>
      <x:c r="I2146" s="11" t="n">
        <x:v>2</x:v>
      </x:c>
      <x:c r="J2146" s="11" t="n">
        <x:v>2</x:v>
      </x:c>
      <x:c r="K2146" s="11" t="n">
        <x:v>0</x:v>
      </x:c>
      <x:c r="L2146" s="17" t="n">
        <x:f>SUM(SUMIFS('Costing'!$P$9:$P$492,'Costing'!$A$9:$A$492,"MAIN-280"))</x:f>
        <x:v>30000</x:v>
      </x:c>
      <x:c r="M2146" s="17" t="n">
        <x:f>ROUND(L2146*'Costing'!$C$4,2)</x:f>
        <x:v>5400</x:v>
      </x:c>
      <x:c r="N2146" s="17" t="n">
        <x:f>L2146+M2146</x:f>
        <x:v>35400</x:v>
      </x:c>
      <x:c r="O2146" s="12" t="str">
        <x:v>Kolkata</x:v>
      </x:c>
      <x:c r="P2146" s="12" t="str">
        <x:v>CORP-0276</x:v>
      </x:c>
      <x:c r="Q2146" s="12" t="str">
        <x:v>Rocmob Performance Private Limited</x:v>
      </x:c>
    </x:row>
    <x:row r="2147" ht="49" customHeight="1">
      <x:c r="A2147" s="2" t="str">
        <x:v>TEN-C2ECB55DC1D4</x:v>
      </x:c>
      <x:c r="B2147" s="12" t="str">
        <x:v>ROHM</x:v>
      </x:c>
      <x:c r="C2147" s="12" t="str">
        <x:v>Business / brand</x:v>
      </x:c>
      <x:c r="D2147" s="12" t="str">
        <x:v>Engineering &amp; manufacturing</x:v>
      </x:c>
      <x:c r="E2147" s="12" t="str">
        <x:v>Semiconductors, electronics &amp; equipment</x:v>
      </x:c>
      <x:c r="F2147" s="12" t="str">
        <x:v>Mixed business audience</x:v>
      </x:c>
      <x:c r="G2147" s="12" t="str">
        <x:v>Recognisable business context; company-scale evidence remains insufficient for a single size band.</x:v>
      </x:c>
      <x:c r="H2147" s="11" t="n">
        <x:v>12</x:v>
      </x:c>
      <x:c r="I2147" s="11" t="n">
        <x:v>12</x:v>
      </x:c>
      <x:c r="J2147" s="11" t="n">
        <x:v>12</x:v>
      </x:c>
      <x:c r="K2147" s="11" t="n">
        <x:v>0</x:v>
      </x:c>
      <x:c r="L2147" s="17" t="n">
        <x:f>SUM(SUMIFS('Costing'!$P$9:$P$492,'Costing'!$A$9:$A$492,"PARTNER-M108"))</x:f>
        <x:v>480000</x:v>
      </x:c>
      <x:c r="M2147" s="17" t="n">
        <x:f>ROUND(L2147*'Costing'!$C$4,2)</x:f>
        <x:v>86400</x:v>
      </x:c>
      <x:c r="N2147" s="17" t="n">
        <x:f>L2147+M2147</x:f>
        <x:v>566400</x:v>
      </x:c>
      <x:c r="O2147" s="12" t="str">
        <x:v>Bengaluru</x:v>
      </x:c>
      <x:c r="P2147" s="12" t="str">
        <x:v>CORP-0526, CORP-0527, CORP-0528, CORP-0529, CORP-0530, CORP-0531, CORP-0532, CORP-0533, CORP-0534, CORP-0535, CORP-0536, CORP-0537</x:v>
      </x:c>
      <x:c r="Q2147" s="12" t="str">
        <x:v>ROHM</x:v>
      </x:c>
    </x:row>
    <x:row r="2148" ht="48" customHeight="1">
      <x:c r="A2148" s="2" t="str">
        <x:v>TEN-E457419AAEE3</x:v>
      </x:c>
      <x:c r="B2148" s="12" t="str">
        <x:v>Roling Arrays Consulting Pvt.Ltd</x:v>
      </x:c>
      <x:c r="C2148" s="12" t="str">
        <x:v>Business / brand</x:v>
      </x:c>
      <x:c r="D2148" s="12" t="str">
        <x:v>Professional services</x:v>
      </x:c>
      <x:c r="E2148" s="12" t="str">
        <x:v>Business consulting &amp; advisory</x:v>
      </x:c>
      <x:c r="F2148" s="12" t="str">
        <x:v>Small-scale prospects</x:v>
      </x:c>
      <x:c r="G2148" s="12" t="str">
        <x:v>Professional service, agency or advisory model; small-scale prospect assumption.</x:v>
      </x:c>
      <x:c r="H2148" s="11" t="n">
        <x:v>1</x:v>
      </x:c>
      <x:c r="I2148" s="11" t="n">
        <x:v>6</x:v>
      </x:c>
      <x:c r="J2148" s="11" t="n">
        <x:v>6</x:v>
      </x:c>
      <x:c r="K2148" s="11" t="n">
        <x:v>0</x:v>
      </x:c>
      <x:c r="L2148" s="17" t="n">
        <x:f>SUM(SUMIFS('Costing'!$P$9:$P$492,'Costing'!$A$9:$A$492,"MAIN-030"))</x:f>
        <x:v>90000</x:v>
      </x:c>
      <x:c r="M2148" s="17" t="n">
        <x:f>ROUND(L2148*'Costing'!$C$4,2)</x:f>
        <x:v>16200</x:v>
      </x:c>
      <x:c r="N2148" s="17" t="n">
        <x:f>L2148+M2148</x:f>
        <x:v>106200</x:v>
      </x:c>
      <x:c r="O2148" s="12" t="str">
        <x:v>Bengaluru</x:v>
      </x:c>
      <x:c r="P2148" s="12" t="str">
        <x:v>CORP-0026</x:v>
      </x:c>
      <x:c r="Q2148" s="12" t="str">
        <x:v>Roling Arrays Consulting Pvt.Ltd</x:v>
      </x:c>
    </x:row>
    <x:row r="2149" ht="48" customHeight="1">
      <x:c r="A2149" s="2" t="str">
        <x:v>TEN-DB33228CD9A7</x:v>
      </x:c>
      <x:c r="B2149" s="12" t="str">
        <x:v>Rolls Royce Power Systems</x:v>
      </x:c>
      <x:c r="C2149" s="12" t="str">
        <x:v>Business / brand</x:v>
      </x:c>
      <x:c r="D2149" s="12" t="str">
        <x:v>Engineering &amp; manufacturing</x:v>
      </x:c>
      <x:c r="E2149" s="12" t="str">
        <x:v>Energy, electrical &amp; industrial systems</x:v>
      </x:c>
      <x:c r="F2149" s="12" t="str">
        <x:v>Large enterprise</x:v>
      </x:c>
      <x:c r="G2149" s="12" t="str">
        <x:v>Explicit Rolls-Royce enterprise-family context; see ENTERPRISE_SUPP_034 evidence.</x:v>
      </x:c>
      <x:c r="H2149" s="11" t="n">
        <x:v>5</x:v>
      </x:c>
      <x:c r="I2149" s="11" t="n">
        <x:v>5</x:v>
      </x:c>
      <x:c r="J2149" s="11" t="n">
        <x:v>5</x:v>
      </x:c>
      <x:c r="K2149" s="11" t="n">
        <x:v>0</x:v>
      </x:c>
      <x:c r="L2149" s="17" t="n">
        <x:f>SUM(SUMIFS('Costing'!$P$9:$P$492,'Costing'!$A$9:$A$492,"PARTNER-M268"))</x:f>
        <x:v>200000</x:v>
      </x:c>
      <x:c r="M2149" s="17" t="n">
        <x:f>ROUND(L2149*'Costing'!$C$4,2)</x:f>
        <x:v>36000</x:v>
      </x:c>
      <x:c r="N2149" s="17" t="n">
        <x:f>L2149+M2149</x:f>
        <x:v>236000</x:v>
      </x:c>
      <x:c r="O2149" s="12" t="str">
        <x:v>Pune</x:v>
      </x:c>
      <x:c r="P2149" s="12" t="str">
        <x:v>CORP-0684, CORP-0685, CORP-0686, CORP-0687, CORP-0688</x:v>
      </x:c>
      <x:c r="Q2149" s="12" t="str">
        <x:v>Rolls Royce Power Systems</x:v>
      </x:c>
    </x:row>
    <x:row r="2150" ht="48" customHeight="1">
      <x:c r="A2150" s="2" t="str">
        <x:v>TEN-B19CA7C8E2F1</x:v>
      </x:c>
      <x:c r="B2150" s="12" t="str">
        <x:v>Rolls-Royce</x:v>
      </x:c>
      <x:c r="C2150" s="12" t="str">
        <x:v>Business / brand</x:v>
      </x:c>
      <x:c r="D2150" s="12" t="str">
        <x:v>Engineering &amp; manufacturing</x:v>
      </x:c>
      <x:c r="E2150" s="12" t="str">
        <x:v>Automotive, mobility &amp; aerospace</x:v>
      </x:c>
      <x:c r="F2150" s="12" t="str">
        <x:v>Large enterprise</x:v>
      </x:c>
      <x:c r="G2150" s="12" t="str">
        <x:v>Explicit Rolls-Royce enterprise-family context; see ENTERPRISE_SUPP_034 evidence.</x:v>
      </x:c>
      <x:c r="H2150" s="11" t="n">
        <x:v>5</x:v>
      </x:c>
      <x:c r="I2150" s="11" t="n">
        <x:v>5</x:v>
      </x:c>
      <x:c r="J2150" s="11" t="n">
        <x:v>5</x:v>
      </x:c>
      <x:c r="K2150" s="11" t="n">
        <x:v>0</x:v>
      </x:c>
      <x:c r="L2150" s="17" t="n">
        <x:f>SUM(SUMIFS('Costing'!$P$9:$P$492,'Costing'!$A$9:$A$492,"PARTNER-M051"))</x:f>
        <x:v>200000</x:v>
      </x:c>
      <x:c r="M2150" s="17" t="n">
        <x:f>ROUND(L2150*'Costing'!$C$4,2)</x:f>
        <x:v>36000</x:v>
      </x:c>
      <x:c r="N2150" s="17" t="n">
        <x:f>L2150+M2150</x:f>
        <x:v>236000</x:v>
      </x:c>
      <x:c r="O2150" s="12" t="str">
        <x:v>Bengaluru</x:v>
      </x:c>
      <x:c r="P2150" s="12" t="str">
        <x:v>CORP-0469, CORP-0470, CORP-0471, CORP-0472, CORP-0473</x:v>
      </x:c>
      <x:c r="Q2150" s="12" t="str">
        <x:v>Rolls-Royce</x:v>
      </x:c>
    </x:row>
    <x:row r="2151" ht="48" customHeight="1">
      <x:c r="A2151" s="2" t="str">
        <x:v>TEN-D010DD4A03E6</x:v>
      </x:c>
      <x:c r="B2151" s="12" t="str">
        <x:v>Rotex automation</x:v>
      </x:c>
      <x:c r="C2151" s="12" t="str">
        <x:v>Business / brand</x:v>
      </x:c>
      <x:c r="D2151" s="12" t="str">
        <x:v>Engineering &amp; manufacturing</x:v>
      </x:c>
      <x:c r="E2151" s="12" t="str">
        <x:v>Energy, electrical &amp; industrial systems</x:v>
      </x:c>
      <x:c r="F2151" s="12" t="str">
        <x:v>Medium-scale prospects</x:v>
      </x:c>
      <x:c r="G2151" s="12" t="str">
        <x:v>Specialist industrial or engineering business; medium-scale prospect assumption.</x:v>
      </x:c>
      <x:c r="H2151" s="11" t="n">
        <x:v>1</x:v>
      </x:c>
      <x:c r="I2151" s="11" t="n">
        <x:v>39</x:v>
      </x:c>
      <x:c r="J2151" s="11" t="n">
        <x:v>39</x:v>
      </x:c>
      <x:c r="K2151" s="11" t="n">
        <x:v>0</x:v>
      </x:c>
      <x:c r="L2151" s="17" t="n">
        <x:f>SUM(SUMIFS('Costing'!$P$9:$P$492,'Costing'!$A$9:$A$492,"MAIN-351"))</x:f>
        <x:v>585000</x:v>
      </x:c>
      <x:c r="M2151" s="17" t="n">
        <x:f>ROUND(L2151*'Costing'!$C$4,2)</x:f>
        <x:v>105300</x:v>
      </x:c>
      <x:c r="N2151" s="17" t="n">
        <x:f>L2151+M2151</x:f>
        <x:v>690300</x:v>
      </x:c>
      <x:c r="O2151" s="12" t="str">
        <x:v>Mumbai</x:v>
      </x:c>
      <x:c r="P2151" s="12" t="str">
        <x:v>CORP-0347</x:v>
      </x:c>
      <x:c r="Q2151" s="12" t="str">
        <x:v>Rotex automation</x:v>
      </x:c>
    </x:row>
    <x:row r="2152" ht="48" customHeight="1">
      <x:c r="A2152" s="2" t="str">
        <x:v>TEN-3A1978BEBDE0</x:v>
      </x:c>
      <x:c r="B2152" s="12" t="str">
        <x:v>Route Mobile Limited (RouteLab unit)</x:v>
      </x:c>
      <x:c r="C2152" s="12" t="str">
        <x:v>Business / brand</x:v>
      </x:c>
      <x:c r="D2152" s="12" t="str">
        <x:v>IT &amp; digital</x:v>
      </x:c>
      <x:c r="E2152" s="12" t="str">
        <x:v>Technology services — specialty unverified</x:v>
      </x:c>
      <x:c r="F2152" s="12" t="str">
        <x:v>Mixed business audience</x:v>
      </x:c>
      <x:c r="G2152" s="12" t="str">
        <x:v>Recognisable business context; company-scale evidence remains insufficient for a single size band.</x:v>
      </x:c>
      <x:c r="H2152" s="11" t="n">
        <x:v>5</x:v>
      </x:c>
      <x:c r="I2152" s="11" t="n">
        <x:v>5</x:v>
      </x:c>
      <x:c r="J2152" s="11" t="n">
        <x:v>5</x:v>
      </x:c>
      <x:c r="K2152" s="11" t="n">
        <x:v>0</x:v>
      </x:c>
      <x:c r="L2152" s="17" t="n">
        <x:f>SUM(SUMIFS('Costing'!$P$9:$P$492,'Costing'!$A$9:$A$492,"PARTNER-M034"))</x:f>
        <x:v>200000</x:v>
      </x:c>
      <x:c r="M2152" s="17" t="n">
        <x:f>ROUND(L2152*'Costing'!$C$4,2)</x:f>
        <x:v>36000</x:v>
      </x:c>
      <x:c r="N2152" s="17" t="n">
        <x:f>L2152+M2152</x:f>
        <x:v>236000</x:v>
      </x:c>
      <x:c r="O2152" s="12" t="str">
        <x:v>Bengaluru</x:v>
      </x:c>
      <x:c r="P2152" s="12" t="str">
        <x:v>CORP-0452, CORP-0453, CORP-0454, CORP-0455, CORP-0456</x:v>
      </x:c>
      <x:c r="Q2152" s="12" t="str">
        <x:v>Route Mobile Limited (RouteLab unit)</x:v>
      </x:c>
    </x:row>
    <x:row r="2153" ht="48" customHeight="1">
      <x:c r="A2153" s="2" t="str">
        <x:v>TEN-5045ABCEFDBB</x:v>
      </x:c>
      <x:c r="B2153" s="12" t="str">
        <x:v>Roxul Rockwool</x:v>
      </x:c>
      <x:c r="C2153" s="12" t="str">
        <x:v>Business / brand</x:v>
      </x:c>
      <x:c r="D2153" s="12" t="str">
        <x:v>Engineering &amp; manufacturing</x:v>
      </x:c>
      <x:c r="E2153" s="12" t="str">
        <x:v>Electronics, industrial systems &amp; manufacturing</x:v>
      </x:c>
      <x:c r="F2153" s="12" t="str">
        <x:v>Mixed business audience</x:v>
      </x:c>
      <x:c r="G2153" s="12" t="str">
        <x:v>Established brand or business network; local company scale is not established. Use a mixed-business message.</x:v>
      </x:c>
      <x:c r="H2153" s="11" t="n">
        <x:v>6</x:v>
      </x:c>
      <x:c r="I2153" s="11" t="n">
        <x:v>6</x:v>
      </x:c>
      <x:c r="J2153" s="11" t="n">
        <x:v>6</x:v>
      </x:c>
      <x:c r="K2153" s="11" t="n">
        <x:v>0</x:v>
      </x:c>
      <x:c r="L2153" s="17" t="n">
        <x:f>SUM(SUMIFS('Costing'!$P$9:$P$492,'Costing'!$A$9:$A$492,"PARTNER-M179"))</x:f>
        <x:v>240000</x:v>
      </x:c>
      <x:c r="M2153" s="17" t="n">
        <x:f>ROUND(L2153*'Costing'!$C$4,2)</x:f>
        <x:v>43200</x:v>
      </x:c>
      <x:c r="N2153" s="17" t="n">
        <x:f>L2153+M2153</x:f>
        <x:v>283200</x:v>
      </x:c>
      <x:c r="O2153" s="12" t="str">
        <x:v>Mumbai</x:v>
      </x:c>
      <x:c r="P2153" s="12" t="str">
        <x:v>CORP-0596, CORP-0597, CORP-0598, CORP-0599, CORP-0600, CORP-0601</x:v>
      </x:c>
      <x:c r="Q2153" s="12" t="str">
        <x:v>Roxul Rockwool</x:v>
      </x:c>
    </x:row>
    <x:row r="2154" ht="48" customHeight="1">
      <x:c r="A2154" s="2" t="str">
        <x:v>TEN-254BC0A18FC5</x:v>
      </x:c>
      <x:c r="B2154" s="12" t="str">
        <x:v>RP Telebuy Skyshop Private Limited</x:v>
      </x:c>
      <x:c r="C2154" s="12" t="str">
        <x:v>Business / brand</x:v>
      </x:c>
      <x:c r="D2154" s="12" t="str">
        <x:v>Trade, consumer &amp; logistics</x:v>
      </x:c>
      <x:c r="E2154" s="12" t="str">
        <x:v>Retail, consumer products &amp; ecommerce</x:v>
      </x:c>
      <x:c r="F2154" s="12" t="str">
        <x:v>Small-scale prospects</x:v>
      </x:c>
      <x:c r="G2154" s="12" t="str">
        <x:v>Trading or consumer-services business; small-scale prospect assumption.</x:v>
      </x:c>
      <x:c r="H2154" s="11" t="n">
        <x:v>3</x:v>
      </x:c>
      <x:c r="I2154" s="11" t="n">
        <x:v>3</x:v>
      </x:c>
      <x:c r="J2154" s="11" t="n">
        <x:v>3</x:v>
      </x:c>
      <x:c r="K2154" s="11" t="n">
        <x:v>0</x:v>
      </x:c>
      <x:c r="L2154" s="17" t="n">
        <x:f>SUM(SUMIFS('Costing'!$P$9:$P$492,'Costing'!$A$9:$A$492,"PARTNER-M349"),SUMIFS('Costing'!$P$9:$P$492,'Costing'!$A$9:$A$492,"PARTNER-M350"))</x:f>
        <x:v>120000</x:v>
      </x:c>
      <x:c r="M2154" s="17" t="n">
        <x:f>ROUND(L2154*'Costing'!$C$4,2)</x:f>
        <x:v>21600</x:v>
      </x:c>
      <x:c r="N2154" s="17" t="n">
        <x:f>L2154+M2154</x:f>
        <x:v>141600</x:v>
      </x:c>
      <x:c r="O2154" s="12" t="str">
        <x:v>Chennai</x:v>
      </x:c>
      <x:c r="P2154" s="12" t="str">
        <x:v>CORP-0763, CORP-0764, CORP-0765</x:v>
      </x:c>
      <x:c r="Q2154" s="12" t="str">
        <x:v>RP Telebuy Skyshop Private Limited</x:v>
      </x:c>
    </x:row>
    <x:row r="2155" ht="48" customHeight="1">
      <x:c r="A2155" s="2" t="str">
        <x:v>TEN-A8E8785BC584</x:v>
      </x:c>
      <x:c r="B2155" s="12" t="str">
        <x:v>RR Donnelley</x:v>
      </x:c>
      <x:c r="C2155" s="12" t="str">
        <x:v>Business / brand</x:v>
      </x:c>
      <x:c r="D2155" s="12" t="str">
        <x:v>Unresolved</x:v>
      </x:c>
      <x:c r="E2155" s="12" t="str">
        <x:v>Business activity not established</x:v>
      </x:c>
      <x:c r="F2155" s="12" t="str">
        <x:v>Mixed business audience</x:v>
      </x:c>
      <x:c r="G2155" s="12" t="str">
        <x:v>Business activity and company scale are not established from this name.</x:v>
      </x:c>
      <x:c r="H2155" s="11" t="n">
        <x:v>2</x:v>
      </x:c>
      <x:c r="I2155" s="11" t="n">
        <x:v>4</x:v>
      </x:c>
      <x:c r="J2155" s="11" t="n">
        <x:v>4</x:v>
      </x:c>
      <x:c r="K2155" s="11" t="n">
        <x:v>0</x:v>
      </x:c>
      <x:c r="L2155" s="17" t="n">
        <x:f>SUM(SUMIFS('Costing'!$P$9:$P$492,'Costing'!$A$9:$A$492,"MAIN-156"),SUMIFS('Costing'!$P$9:$P$492,'Costing'!$A$9:$A$492,"MAIN-157"))</x:f>
        <x:v>117500</x:v>
      </x:c>
      <x:c r="M2155" s="17" t="n">
        <x:f>ROUND(L2155*'Costing'!$C$4,2)</x:f>
        <x:v>21150</x:v>
      </x:c>
      <x:c r="N2155" s="17" t="n">
        <x:f>L2155+M2155</x:f>
        <x:v>138650</x:v>
      </x:c>
      <x:c r="O2155" s="12" t="str">
        <x:v>Chennai</x:v>
      </x:c>
      <x:c r="P2155" s="12" t="str">
        <x:v>CORP-0152, CORP-0153</x:v>
      </x:c>
      <x:c r="Q2155" s="12" t="str">
        <x:v>RR Donnelley</x:v>
      </x:c>
    </x:row>
    <x:row r="2156" ht="48" customHeight="1">
      <x:c r="A2156" s="2" t="str">
        <x:v>TEN-0333C4F2B8CC</x:v>
      </x:c>
      <x:c r="B2156" s="12" t="str">
        <x:v>RR Kabel</x:v>
      </x:c>
      <x:c r="C2156" s="12" t="str">
        <x:v>Business / brand</x:v>
      </x:c>
      <x:c r="D2156" s="12" t="str">
        <x:v>Engineering &amp; manufacturing</x:v>
      </x:c>
      <x:c r="E2156" s="12" t="str">
        <x:v>Engineering/manufacturing — specialty unverified</x:v>
      </x:c>
      <x:c r="F2156" s="12" t="str">
        <x:v>Mixed business audience</x:v>
      </x:c>
      <x:c r="G2156" s="12" t="str">
        <x:v>Recognisable business context; company-scale evidence remains insufficient for a single size band.</x:v>
      </x:c>
      <x:c r="H2156" s="11" t="n">
        <x:v>1</x:v>
      </x:c>
      <x:c r="I2156" s="11" t="n">
        <x:v>1</x:v>
      </x:c>
      <x:c r="J2156" s="11" t="n">
        <x:v>1</x:v>
      </x:c>
      <x:c r="K2156" s="11" t="n">
        <x:v>0</x:v>
      </x:c>
      <x:c r="L2156" s="17" t="n">
        <x:f>SUM(SUMIFS('Costing'!$P$9:$P$492,'Costing'!$A$9:$A$492,"MAIN-303"))</x:f>
        <x:v>15000</x:v>
      </x:c>
      <x:c r="M2156" s="17" t="n">
        <x:f>ROUND(L2156*'Costing'!$C$4,2)</x:f>
        <x:v>2700</x:v>
      </x:c>
      <x:c r="N2156" s="17" t="n">
        <x:f>L2156+M2156</x:f>
        <x:v>17700</x:v>
      </x:c>
      <x:c r="O2156" s="12" t="str">
        <x:v>Mumbai</x:v>
      </x:c>
      <x:c r="P2156" s="12" t="str">
        <x:v>CORP-0299</x:v>
      </x:c>
      <x:c r="Q2156" s="12" t="str">
        <x:v>RR Kabel</x:v>
      </x:c>
    </x:row>
    <x:row r="2157" ht="48" customHeight="1">
      <x:c r="A2157" s="2" t="str">
        <x:v>TEN-C3CA7D8DCA22</x:v>
      </x:c>
      <x:c r="B2157" s="12" t="str">
        <x:v>RRD</x:v>
      </x:c>
      <x:c r="C2157" s="12" t="str">
        <x:v>Business / brand</x:v>
      </x:c>
      <x:c r="D2157" s="12" t="str">
        <x:v>Unresolved</x:v>
      </x:c>
      <x:c r="E2157" s="12" t="str">
        <x:v>Business activity not established</x:v>
      </x:c>
      <x:c r="F2157" s="12" t="str">
        <x:v>Mixed business audience</x:v>
      </x:c>
      <x:c r="G2157" s="12" t="str">
        <x:v>Business activity and company scale are not established from this name.</x:v>
      </x:c>
      <x:c r="H2157" s="11" t="n">
        <x:v>4</x:v>
      </x:c>
      <x:c r="I2157" s="11" t="n">
        <x:v>6</x:v>
      </x:c>
      <x:c r="J2157" s="11" t="n">
        <x:v>6</x:v>
      </x:c>
      <x:c r="K2157" s="11" t="n">
        <x:v>0</x:v>
      </x:c>
      <x:c r="L2157" s="17" t="n">
        <x:f>SUM(SUMIFS('Costing'!$P$9:$P$492,'Costing'!$A$9:$A$492,"MAIN-156"),SUMIFS('Costing'!$P$9:$P$492,'Costing'!$A$9:$A$492,"MAIN-157"),SUMIFS('Costing'!$P$9:$P$492,'Costing'!$A$9:$A$492,"PARTNER-M332"))</x:f>
        <x:v>197500</x:v>
      </x:c>
      <x:c r="M2157" s="17" t="n">
        <x:f>ROUND(L2157*'Costing'!$C$4,2)</x:f>
        <x:v>35550</x:v>
      </x:c>
      <x:c r="N2157" s="17" t="n">
        <x:f>L2157+M2157</x:f>
        <x:v>233050</x:v>
      </x:c>
      <x:c r="O2157" s="12" t="str">
        <x:v>Chennai</x:v>
      </x:c>
      <x:c r="P2157" s="12" t="str">
        <x:v>CORP-0152, CORP-0153, CORP-0746, CORP-0747</x:v>
      </x:c>
      <x:c r="Q2157" s="12" t="str">
        <x:v>RRD</x:v>
      </x:c>
    </x:row>
    <x:row r="2158" ht="49" customHeight="1">
      <x:c r="A2158" s="2" t="str">
        <x:v>TEN-EA5C473E1C47</x:v>
      </x:c>
      <x:c r="B2158" s="12" t="str">
        <x:v>RRDL and Associates</x:v>
      </x:c>
      <x:c r="C2158" s="12" t="str">
        <x:v>Business / brand</x:v>
      </x:c>
      <x:c r="D2158" s="12" t="str">
        <x:v>Unresolved</x:v>
      </x:c>
      <x:c r="E2158" s="12" t="str">
        <x:v>Business activity not established</x:v>
      </x:c>
      <x:c r="F2158" s="12" t="str">
        <x:v>Mixed business audience</x:v>
      </x:c>
      <x:c r="G2158" s="12" t="str">
        <x:v>RRDL and Associates is an unresolved identity; Associates is not enough to infer local professional-practice size.</x:v>
      </x:c>
      <x:c r="H2158" s="11" t="n">
        <x:v>1</x:v>
      </x:c>
      <x:c r="I2158" s="11" t="n">
        <x:v>70</x:v>
      </x:c>
      <x:c r="J2158" s="11" t="n">
        <x:v>70</x:v>
      </x:c>
      <x:c r="K2158" s="11" t="n">
        <x:v>0</x:v>
      </x:c>
      <x:c r="L2158" s="17" t="n">
        <x:f>SUM(SUMIFS('Costing'!$P$9:$P$492,'Costing'!$A$9:$A$492,"MAIN-350"))</x:f>
        <x:v>1050000</x:v>
      </x:c>
      <x:c r="M2158" s="17" t="n">
        <x:f>ROUND(L2158*'Costing'!$C$4,2)</x:f>
        <x:v>189000</x:v>
      </x:c>
      <x:c r="N2158" s="17" t="n">
        <x:f>L2158+M2158</x:f>
        <x:v>1239000</x:v>
      </x:c>
      <x:c r="O2158" s="12" t="str">
        <x:v>Mumbai</x:v>
      </x:c>
      <x:c r="P2158" s="12" t="str">
        <x:v>CORP-0346</x:v>
      </x:c>
      <x:c r="Q2158" s="12" t="str">
        <x:v>RRDL and Associates</x:v>
      </x:c>
    </x:row>
    <x:row r="2159" ht="48" customHeight="1">
      <x:c r="A2159" s="2" t="str">
        <x:v>TEN-676DC956336D</x:v>
      </x:c>
      <x:c r="B2159" s="12" t="str">
        <x:v>Rsab</x:v>
      </x:c>
      <x:c r="C2159" s="12" t="str">
        <x:v>Business / brand</x:v>
      </x:c>
      <x:c r="D2159" s="12" t="str">
        <x:v>Unresolved</x:v>
      </x:c>
      <x:c r="E2159" s="12" t="str">
        <x:v>Business activity not established</x:v>
      </x:c>
      <x:c r="F2159" s="12" t="str">
        <x:v>Mixed business audience</x:v>
      </x:c>
      <x:c r="G2159" s="12" t="str">
        <x:v>Business activity and company scale are not established from this name.</x:v>
      </x:c>
      <x:c r="H2159" s="11" t="n">
        <x:v>9</x:v>
      </x:c>
      <x:c r="I2159" s="11" t="n">
        <x:v>9</x:v>
      </x:c>
      <x:c r="J2159" s="11" t="n">
        <x:v>9</x:v>
      </x:c>
      <x:c r="K2159" s="11" t="n">
        <x:v>0</x:v>
      </x:c>
      <x:c r="L2159" s="17" t="n">
        <x:f>SUM(SUMIFS('Costing'!$P$9:$P$492,'Costing'!$A$9:$A$492,"PARTNER-M002"))</x:f>
        <x:v>360000</x:v>
      </x:c>
      <x:c r="M2159" s="17" t="n">
        <x:f>ROUND(L2159*'Costing'!$C$4,2)</x:f>
        <x:v>64800</x:v>
      </x:c>
      <x:c r="N2159" s="17" t="n">
        <x:f>L2159+M2159</x:f>
        <x:v>424800</x:v>
      </x:c>
      <x:c r="O2159" s="12" t="str">
        <x:v>Bengaluru</x:v>
      </x:c>
      <x:c r="P2159" s="12" t="str">
        <x:v>CORP-0420, CORP-0421, CORP-0422, CORP-0423, CORP-0424, CORP-0425, CORP-0426, CORP-0427, CORP-0428</x:v>
      </x:c>
      <x:c r="Q2159" s="12" t="str">
        <x:v>Rsab</x:v>
      </x:c>
    </x:row>
    <x:row r="2160" ht="48" customHeight="1">
      <x:c r="A2160" s="2" t="str">
        <x:v>TEN-115B79902469</x:v>
      </x:c>
      <x:c r="B2160" s="12" t="str">
        <x:v>Ruhi Enterprises</x:v>
      </x:c>
      <x:c r="C2160" s="12" t="str">
        <x:v>Business / brand</x:v>
      </x:c>
      <x:c r="D2160" s="12" t="str">
        <x:v>Unresolved</x:v>
      </x:c>
      <x:c r="E2160" s="12" t="str">
        <x:v>Business activity not established</x:v>
      </x:c>
      <x:c r="F2160" s="12" t="str">
        <x:v>Mixed business audience</x:v>
      </x:c>
      <x:c r="G2160" s="12" t="str">
        <x:v>Business activity and company scale are not established from this name.</x:v>
      </x:c>
      <x:c r="H2160" s="11" t="n">
        <x:v>1</x:v>
      </x:c>
      <x:c r="I2160" s="11" t="n">
        <x:v>1</x:v>
      </x:c>
      <x:c r="J2160" s="11" t="n">
        <x:v>1</x:v>
      </x:c>
      <x:c r="K2160" s="11" t="n">
        <x:v>0</x:v>
      </x:c>
      <x:c r="L2160" s="17" t="n">
        <x:f>SUM(SUMIFS('Costing'!$P$9:$P$492,'Costing'!$A$9:$A$492,"MAIN-272"))</x:f>
        <x:v>20000</x:v>
      </x:c>
      <x:c r="M2160" s="17" t="n">
        <x:f>ROUND(L2160*'Costing'!$C$4,2)</x:f>
        <x:v>3600</x:v>
      </x:c>
      <x:c r="N2160" s="17" t="n">
        <x:f>L2160+M2160</x:f>
        <x:v>23600</x:v>
      </x:c>
      <x:c r="O2160" s="12" t="str">
        <x:v>Indore</x:v>
      </x:c>
      <x:c r="P2160" s="12" t="str">
        <x:v>CORP-0268</x:v>
      </x:c>
      <x:c r="Q2160" s="12" t="str">
        <x:v>Ruhi Enterprises</x:v>
      </x:c>
    </x:row>
    <x:row r="2161" ht="48" customHeight="1">
      <x:c r="A2161" s="2" t="str">
        <x:v>TEN-753F2A7D1BCF</x:v>
      </x:c>
      <x:c r="B2161" s="12" t="str">
        <x:v>RULoans</x:v>
      </x:c>
      <x:c r="C2161" s="12" t="str">
        <x:v>Business / brand</x:v>
      </x:c>
      <x:c r="D2161" s="12" t="str">
        <x:v>Finance &amp; insurance</x:v>
      </x:c>
      <x:c r="E2161" s="12" t="str">
        <x:v>Banking, insurance, investments &amp; financial services</x:v>
      </x:c>
      <x:c r="F2161" s="12" t="str">
        <x:v>Medium-scale prospects</x:v>
      </x:c>
      <x:c r="G2161" s="12" t="str">
        <x:v>Specialist financial-services business; medium-scale prospect assumption.</x:v>
      </x:c>
      <x:c r="H2161" s="11" t="n">
        <x:v>1</x:v>
      </x:c>
      <x:c r="I2161" s="11" t="n">
        <x:v>1</x:v>
      </x:c>
      <x:c r="J2161" s="11" t="n">
        <x:v>1</x:v>
      </x:c>
      <x:c r="K2161" s="11" t="n">
        <x:v>0</x:v>
      </x:c>
      <x:c r="L2161" s="17" t="n">
        <x:f>SUM(SUMIFS('Costing'!$P$9:$P$492,'Costing'!$A$9:$A$492,"MAIN-270"))</x:f>
        <x:v>20000</x:v>
      </x:c>
      <x:c r="M2161" s="17" t="n">
        <x:f>ROUND(L2161*'Costing'!$C$4,2)</x:f>
        <x:v>3600</x:v>
      </x:c>
      <x:c r="N2161" s="17" t="n">
        <x:f>L2161+M2161</x:f>
        <x:v>23600</x:v>
      </x:c>
      <x:c r="O2161" s="12" t="str">
        <x:v>Indore</x:v>
      </x:c>
      <x:c r="P2161" s="12" t="str">
        <x:v>CORP-0266</x:v>
      </x:c>
      <x:c r="Q2161" s="12" t="str">
        <x:v>RULoans</x:v>
      </x:c>
    </x:row>
    <x:row r="2162" ht="48" customHeight="1">
      <x:c r="A2162" s="2" t="str">
        <x:v>TEN-9C57863DFC76</x:v>
      </x:c>
      <x:c r="B2162" s="12" t="str">
        <x:v>Rummy verse</x:v>
      </x:c>
      <x:c r="C2162" s="12" t="str">
        <x:v>Business / brand</x:v>
      </x:c>
      <x:c r="D2162" s="12" t="str">
        <x:v>Trade, consumer &amp; logistics</x:v>
      </x:c>
      <x:c r="E2162" s="12" t="str">
        <x:v>Entertainment, media &amp; events</x:v>
      </x:c>
      <x:c r="F2162" s="12" t="str">
        <x:v>Small-scale prospects</x:v>
      </x:c>
      <x:c r="G2162" s="12" t="str">
        <x:v>Trading or consumer-services business; small-scale prospect assumption.</x:v>
      </x:c>
      <x:c r="H2162" s="11" t="n">
        <x:v>1</x:v>
      </x:c>
      <x:c r="I2162" s="11" t="n">
        <x:v>2</x:v>
      </x:c>
      <x:c r="J2162" s="11" t="n">
        <x:v>2</x:v>
      </x:c>
      <x:c r="K2162" s="11" t="n">
        <x:v>0</x:v>
      </x:c>
      <x:c r="L2162" s="17" t="n">
        <x:f>SUM(SUMIFS('Costing'!$P$9:$P$492,'Costing'!$A$9:$A$492,"MAIN-108"))</x:f>
        <x:v>30000</x:v>
      </x:c>
      <x:c r="M2162" s="17" t="n">
        <x:f>ROUND(L2162*'Costing'!$C$4,2)</x:f>
        <x:v>5400</x:v>
      </x:c>
      <x:c r="N2162" s="17" t="n">
        <x:f>L2162+M2162</x:f>
        <x:v>35400</x:v>
      </x:c>
      <x:c r="O2162" s="12" t="str">
        <x:v>Bengaluru</x:v>
      </x:c>
      <x:c r="P2162" s="12" t="str">
        <x:v>CORP-0104</x:v>
      </x:c>
      <x:c r="Q2162" s="12" t="str">
        <x:v>Rummy verse</x:v>
      </x:c>
    </x:row>
    <x:row r="2163" ht="48" customHeight="1">
      <x:c r="A2163" s="2" t="str">
        <x:v>TEN-EC87D0E0735C</x:v>
      </x:c>
      <x:c r="B2163" s="12" t="str">
        <x:v>RUSSELL</x:v>
      </x:c>
      <x:c r="C2163" s="12" t="str">
        <x:v>Business / brand</x:v>
      </x:c>
      <x:c r="D2163" s="12" t="str">
        <x:v>Unresolved</x:v>
      </x:c>
      <x:c r="E2163" s="12" t="str">
        <x:v>Business activity not established</x:v>
      </x:c>
      <x:c r="F2163" s="12" t="str">
        <x:v>Mixed business audience</x:v>
      </x:c>
      <x:c r="G2163" s="12" t="str">
        <x:v>Business activity and company scale are not established from this name.</x:v>
      </x:c>
      <x:c r="H2163" s="11" t="n">
        <x:v>1</x:v>
      </x:c>
      <x:c r="I2163" s="11" t="n">
        <x:v>2</x:v>
      </x:c>
      <x:c r="J2163" s="11" t="n">
        <x:v>2</x:v>
      </x:c>
      <x:c r="K2163" s="11" t="n">
        <x:v>0</x:v>
      </x:c>
      <x:c r="L2163" s="17" t="n">
        <x:f>SUM(SUMIFS('Costing'!$P$9:$P$492,'Costing'!$A$9:$A$492,"MAIN-162"))</x:f>
        <x:v>30000</x:v>
      </x:c>
      <x:c r="M2163" s="17" t="n">
        <x:f>ROUND(L2163*'Costing'!$C$4,2)</x:f>
        <x:v>5400</x:v>
      </x:c>
      <x:c r="N2163" s="17" t="n">
        <x:f>L2163+M2163</x:f>
        <x:v>35400</x:v>
      </x:c>
      <x:c r="O2163" s="12" t="str">
        <x:v>Delhi NCR</x:v>
      </x:c>
      <x:c r="P2163" s="12" t="str">
        <x:v>CORP-0158</x:v>
      </x:c>
      <x:c r="Q2163" s="12" t="str">
        <x:v>RUSSELL</x:v>
      </x:c>
    </x:row>
    <x:row r="2164" ht="48" customHeight="1">
      <x:c r="A2164" s="2" t="str">
        <x:v>TEN-9C77A4603B32</x:v>
      </x:c>
      <x:c r="B2164" s="12" t="str">
        <x:v>Rustic Earth</x:v>
      </x:c>
      <x:c r="C2164" s="12" t="str">
        <x:v>Business / brand</x:v>
      </x:c>
      <x:c r="D2164" s="12" t="str">
        <x:v>Unresolved</x:v>
      </x:c>
      <x:c r="E2164" s="12" t="str">
        <x:v>Business activity not established</x:v>
      </x:c>
      <x:c r="F2164" s="12" t="str">
        <x:v>Mixed business audience</x:v>
      </x:c>
      <x:c r="G2164" s="12" t="str">
        <x:v>Business activity and company scale are not established from this name.</x:v>
      </x:c>
      <x:c r="H2164" s="11" t="n">
        <x:v>1</x:v>
      </x:c>
      <x:c r="I2164" s="11" t="n">
        <x:v>2</x:v>
      </x:c>
      <x:c r="J2164" s="11" t="n">
        <x:v>2</x:v>
      </x:c>
      <x:c r="K2164" s="11" t="n">
        <x:v>0</x:v>
      </x:c>
      <x:c r="L2164" s="17" t="n">
        <x:f>SUM(SUMIFS('Costing'!$P$9:$P$492,'Costing'!$A$9:$A$492,"MAIN-305"))</x:f>
        <x:v>30000</x:v>
      </x:c>
      <x:c r="M2164" s="17" t="n">
        <x:f>ROUND(L2164*'Costing'!$C$4,2)</x:f>
        <x:v>5400</x:v>
      </x:c>
      <x:c r="N2164" s="17" t="n">
        <x:f>L2164+M2164</x:f>
        <x:v>35400</x:v>
      </x:c>
      <x:c r="O2164" s="12" t="str">
        <x:v>Mumbai</x:v>
      </x:c>
      <x:c r="P2164" s="12" t="str">
        <x:v>CORP-0301</x:v>
      </x:c>
      <x:c r="Q2164" s="12" t="str">
        <x:v>Rustic Earth</x:v>
      </x:c>
    </x:row>
    <x:row r="2165" ht="48" customHeight="1">
      <x:c r="A2165" s="2" t="str">
        <x:v>TEN-1C04181154C3</x:v>
      </x:c>
      <x:c r="B2165" s="12" t="str">
        <x:v>Rutakshi Technologies Private Limited</x:v>
      </x:c>
      <x:c r="C2165" s="12" t="str">
        <x:v>Business / brand</x:v>
      </x:c>
      <x:c r="D2165" s="12" t="str">
        <x:v>Unresolved</x:v>
      </x:c>
      <x:c r="E2165" s="12" t="str">
        <x:v>Business activity not established</x:v>
      </x:c>
      <x:c r="F2165" s="12" t="str">
        <x:v>Mixed business audience</x:v>
      </x:c>
      <x:c r="G2165" s="12" t="str">
        <x:v>Business activity and company scale are not established from this name.</x:v>
      </x:c>
      <x:c r="H2165" s="11" t="n">
        <x:v>6</x:v>
      </x:c>
      <x:c r="I2165" s="11" t="n">
        <x:v>6</x:v>
      </x:c>
      <x:c r="J2165" s="11" t="n">
        <x:v>6</x:v>
      </x:c>
      <x:c r="K2165" s="11" t="n">
        <x:v>0</x:v>
      </x:c>
      <x:c r="L2165" s="17" t="n">
        <x:f>SUM(SUMIFS('Costing'!$P$9:$P$492,'Costing'!$A$9:$A$492,"PARTNER-M289"))</x:f>
        <x:v>240000</x:v>
      </x:c>
      <x:c r="M2165" s="17" t="n">
        <x:f>ROUND(L2165*'Costing'!$C$4,2)</x:f>
        <x:v>43200</x:v>
      </x:c>
      <x:c r="N2165" s="17" t="n">
        <x:f>L2165+M2165</x:f>
        <x:v>283200</x:v>
      </x:c>
      <x:c r="O2165" s="12" t="str">
        <x:v>Hyderabad</x:v>
      </x:c>
      <x:c r="P2165" s="12" t="str">
        <x:v>CORP-0704, CORP-0705, CORP-0706, CORP-0707, CORP-0708, CORP-0709</x:v>
      </x:c>
      <x:c r="Q2165" s="12" t="str">
        <x:v>Rutakshi Technologies Private Limited</x:v>
      </x:c>
    </x:row>
    <x:row r="2166" ht="48" customHeight="1">
      <x:c r="A2166" s="2" t="str">
        <x:v>TEN-F064C5D05AD3</x:v>
      </x:c>
      <x:c r="B2166" s="12" t="str">
        <x:v>RVR ADGAMEFILM STUDIOS</x:v>
      </x:c>
      <x:c r="C2166" s="12" t="str">
        <x:v>Business / brand</x:v>
      </x:c>
      <x:c r="D2166" s="12" t="str">
        <x:v>Trade, consumer &amp; logistics</x:v>
      </x:c>
      <x:c r="E2166" s="12" t="str">
        <x:v>Entertainment, media &amp; events</x:v>
      </x:c>
      <x:c r="F2166" s="12" t="str">
        <x:v>Small-scale prospects</x:v>
      </x:c>
      <x:c r="G2166" s="12" t="str">
        <x:v>Trading or consumer-services business; small-scale prospect assumption.</x:v>
      </x:c>
      <x:c r="H2166" s="11" t="n">
        <x:v>1</x:v>
      </x:c>
      <x:c r="I2166" s="11" t="n">
        <x:v>4</x:v>
      </x:c>
      <x:c r="J2166" s="11" t="n">
        <x:v>4</x:v>
      </x:c>
      <x:c r="K2166" s="11" t="n">
        <x:v>0</x:v>
      </x:c>
      <x:c r="L2166" s="17" t="n">
        <x:f>SUM(SUMIFS('Costing'!$P$9:$P$492,'Costing'!$A$9:$A$492,"MAIN-265"))</x:f>
        <x:v>100000</x:v>
      </x:c>
      <x:c r="M2166" s="17" t="n">
        <x:f>ROUND(L2166*'Costing'!$C$4,2)</x:f>
        <x:v>18000</x:v>
      </x:c>
      <x:c r="N2166" s="17" t="n">
        <x:f>L2166+M2166</x:f>
        <x:v>118000</x:v>
      </x:c>
      <x:c r="O2166" s="12" t="str">
        <x:v>Hyderabad</x:v>
      </x:c>
      <x:c r="P2166" s="12" t="str">
        <x:v>CORP-0261</x:v>
      </x:c>
      <x:c r="Q2166" s="12" t="str">
        <x:v>RVR ADGAMEFILM STUDIOS</x:v>
      </x:c>
    </x:row>
    <x:row r="2167" ht="48" customHeight="1">
      <x:c r="A2167" s="2" t="str">
        <x:v>TEN-AB43FD6C420A</x:v>
      </x:c>
      <x:c r="B2167" s="12" t="str">
        <x:v>Rystad Energy India Pvt Ltd</x:v>
      </x:c>
      <x:c r="C2167" s="12" t="str">
        <x:v>Business / brand</x:v>
      </x:c>
      <x:c r="D2167" s="12" t="str">
        <x:v>Professional services</x:v>
      </x:c>
      <x:c r="E2167" s="12" t="str">
        <x:v>Professional services — specialty unverified</x:v>
      </x:c>
      <x:c r="F2167" s="12" t="str">
        <x:v>Mixed business audience</x:v>
      </x:c>
      <x:c r="G2167" s="12" t="str">
        <x:v>Recognisable business context; company-scale evidence remains insufficient for a single size band.</x:v>
      </x:c>
      <x:c r="H2167" s="11" t="n">
        <x:v>1</x:v>
      </x:c>
      <x:c r="I2167" s="11" t="n">
        <x:v>8</x:v>
      </x:c>
      <x:c r="J2167" s="11" t="n">
        <x:v>8</x:v>
      </x:c>
      <x:c r="K2167" s="11" t="n">
        <x:v>0</x:v>
      </x:c>
      <x:c r="L2167" s="17" t="n">
        <x:f>SUM(SUMIFS('Costing'!$P$9:$P$492,'Costing'!$A$9:$A$492,"MAIN-126"))</x:f>
        <x:v>200000</x:v>
      </x:c>
      <x:c r="M2167" s="17" t="n">
        <x:f>ROUND(L2167*'Costing'!$C$4,2)</x:f>
        <x:v>36000</x:v>
      </x:c>
      <x:c r="N2167" s="17" t="n">
        <x:f>L2167+M2167</x:f>
        <x:v>236000</x:v>
      </x:c>
      <x:c r="O2167" s="12" t="str">
        <x:v>Bengaluru</x:v>
      </x:c>
      <x:c r="P2167" s="12" t="str">
        <x:v>CORP-0122</x:v>
      </x:c>
      <x:c r="Q2167" s="12" t="str">
        <x:v>Rystad Energy India Pvt Ltd</x:v>
      </x:c>
    </x:row>
    <x:row r="2168" ht="48" customHeight="1">
      <x:c r="A2168" s="2" t="str">
        <x:v>TEN-0A5ECD30C1C6</x:v>
      </x:c>
      <x:c r="B2168" s="12" t="str">
        <x:v>Rythmos India</x:v>
      </x:c>
      <x:c r="C2168" s="12" t="str">
        <x:v>Business / brand</x:v>
      </x:c>
      <x:c r="D2168" s="12" t="str">
        <x:v>IT &amp; digital</x:v>
      </x:c>
      <x:c r="E2168" s="12" t="str">
        <x:v>Enterprise software &amp; digital engineering</x:v>
      </x:c>
      <x:c r="F2168" s="12" t="str">
        <x:v>Small-scale prospects</x:v>
      </x:c>
      <x:c r="G2168" s="12" t="str">
        <x:v>Software or technology-services business; small-scale prospect assumption.</x:v>
      </x:c>
      <x:c r="H2168" s="11" t="n">
        <x:v>7</x:v>
      </x:c>
      <x:c r="I2168" s="11" t="n">
        <x:v>7</x:v>
      </x:c>
      <x:c r="J2168" s="11" t="n">
        <x:v>7</x:v>
      </x:c>
      <x:c r="K2168" s="11" t="n">
        <x:v>0</x:v>
      </x:c>
      <x:c r="L2168" s="17" t="n">
        <x:f>SUM(SUMIFS('Costing'!$P$9:$P$492,'Costing'!$A$9:$A$492,"PARTNER-M317"))</x:f>
        <x:v>280000</x:v>
      </x:c>
      <x:c r="M2168" s="17" t="n">
        <x:f>ROUND(L2168*'Costing'!$C$4,2)</x:f>
        <x:v>50400</x:v>
      </x:c>
      <x:c r="N2168" s="17" t="n">
        <x:f>L2168+M2168</x:f>
        <x:v>330400</x:v>
      </x:c>
      <x:c r="O2168" s="12" t="str">
        <x:v>Hyderabad</x:v>
      </x:c>
      <x:c r="P2168" s="12" t="str">
        <x:v>CORP-0732, CORP-0733, CORP-0734, CORP-0735, CORP-0736, CORP-0737, CORP-0738</x:v>
      </x:c>
      <x:c r="Q2168" s="12" t="str">
        <x:v>Rythmos India</x:v>
      </x:c>
    </x:row>
    <x:row r="2169" ht="48" customHeight="1">
      <x:c r="A2169" s="2" t="str">
        <x:v>TEN-52BE44FF1D72</x:v>
      </x:c>
      <x:c r="B2169" s="12" t="str">
        <x:v>S R K Tele Energy India Private Limited</x:v>
      </x:c>
      <x:c r="C2169" s="12" t="str">
        <x:v>Business / brand</x:v>
      </x:c>
      <x:c r="D2169" s="12" t="str">
        <x:v>Engineering &amp; manufacturing</x:v>
      </x:c>
      <x:c r="E2169" s="12" t="str">
        <x:v>Energy, electrical &amp; industrial systems</x:v>
      </x:c>
      <x:c r="F2169" s="12" t="str">
        <x:v>Medium-scale prospects</x:v>
      </x:c>
      <x:c r="G2169" s="12" t="str">
        <x:v>Specialist industrial or engineering business; medium-scale prospect assumption.</x:v>
      </x:c>
      <x:c r="H2169" s="11" t="n">
        <x:v>1</x:v>
      </x:c>
      <x:c r="I2169" s="11" t="n">
        <x:v>4</x:v>
      </x:c>
      <x:c r="J2169" s="11" t="n">
        <x:v>4</x:v>
      </x:c>
      <x:c r="K2169" s="11" t="n">
        <x:v>0</x:v>
      </x:c>
      <x:c r="L2169" s="17" t="n">
        <x:f>SUM(SUMIFS('Costing'!$P$9:$P$492,'Costing'!$A$9:$A$492,"MAIN-202"))</x:f>
        <x:v>160000</x:v>
      </x:c>
      <x:c r="M2169" s="17" t="n">
        <x:f>ROUND(L2169*'Costing'!$C$4,2)</x:f>
        <x:v>28800</x:v>
      </x:c>
      <x:c r="N2169" s="17" t="n">
        <x:f>L2169+M2169</x:f>
        <x:v>188800</x:v>
      </x:c>
      <x:c r="O2169" s="12" t="str">
        <x:v>Delhi NCR</x:v>
      </x:c>
      <x:c r="P2169" s="12" t="str">
        <x:v>CORP-0198</x:v>
      </x:c>
      <x:c r="Q2169" s="12" t="str">
        <x:v>S R K Tele Energy India Private Limited</x:v>
      </x:c>
    </x:row>
    <x:row r="2170" ht="48" customHeight="1">
      <x:c r="A2170" s="2" t="str">
        <x:v>TEN-FE5A685BB3BA</x:v>
      </x:c>
      <x:c r="B2170" s="12" t="str">
        <x:v>S SHARMA &amp; ASSOCIATES</x:v>
      </x:c>
      <x:c r="C2170" s="12" t="str">
        <x:v>Business / brand</x:v>
      </x:c>
      <x:c r="D2170" s="12" t="str">
        <x:v>Unresolved</x:v>
      </x:c>
      <x:c r="E2170" s="12" t="str">
        <x:v>Business activity not established</x:v>
      </x:c>
      <x:c r="F2170" s="12" t="str">
        <x:v>Mixed business audience</x:v>
      </x:c>
      <x:c r="G2170" s="12" t="str">
        <x:v>Business activity and company scale are not established from this name.</x:v>
      </x:c>
      <x:c r="H2170" s="11" t="n">
        <x:v>2</x:v>
      </x:c>
      <x:c r="I2170" s="11" t="n">
        <x:v>2</x:v>
      </x:c>
      <x:c r="J2170" s="11" t="n">
        <x:v>2</x:v>
      </x:c>
      <x:c r="K2170" s="11" t="n">
        <x:v>0</x:v>
      </x:c>
      <x:c r="L2170" s="17" t="n">
        <x:f>SUM(SUMIFS('Costing'!$P$9:$P$492,'Costing'!$A$9:$A$492,"PARTNER-M245"))</x:f>
        <x:v>80000</x:v>
      </x:c>
      <x:c r="M2170" s="17" t="n">
        <x:f>ROUND(L2170*'Costing'!$C$4,2)</x:f>
        <x:v>14400</x:v>
      </x:c>
      <x:c r="N2170" s="17" t="n">
        <x:f>L2170+M2170</x:f>
        <x:v>94400</x:v>
      </x:c>
      <x:c r="O2170" s="12" t="str">
        <x:v>Mumbai</x:v>
      </x:c>
      <x:c r="P2170" s="12" t="str">
        <x:v>CORP-0662, CORP-0663</x:v>
      </x:c>
      <x:c r="Q2170" s="12" t="str">
        <x:v>S SHARMA &amp; ASSOCIATES</x:v>
      </x:c>
    </x:row>
    <x:row r="2171" ht="49" customHeight="1">
      <x:c r="A2171" s="2" t="str">
        <x:v>TEN-76F6B4C9D608</x:v>
      </x:c>
      <x:c r="B2171" s="12" t="str">
        <x:v>Saama Capital India Advisors LLP</x:v>
      </x:c>
      <x:c r="C2171" s="12" t="str">
        <x:v>Business / brand</x:v>
      </x:c>
      <x:c r="D2171" s="12" t="str">
        <x:v>Finance &amp; insurance</x:v>
      </x:c>
      <x:c r="E2171" s="12" t="str">
        <x:v>Investments, securities &amp; wealth</x:v>
      </x:c>
      <x:c r="F2171" s="12" t="str">
        <x:v>Small-scale prospects</x:v>
      </x:c>
      <x:c r="G2171" s="12" t="str">
        <x:v>Financial intermediary or advisory business; small-scale prospect assumption.</x:v>
      </x:c>
      <x:c r="H2171" s="11" t="n">
        <x:v>11</x:v>
      </x:c>
      <x:c r="I2171" s="11" t="n">
        <x:v>11</x:v>
      </x:c>
      <x:c r="J2171" s="11" t="n">
        <x:v>11</x:v>
      </x:c>
      <x:c r="K2171" s="11" t="n">
        <x:v>0</x:v>
      </x:c>
      <x:c r="L2171" s="17" t="n">
        <x:f>SUM(SUMIFS('Costing'!$P$9:$P$492,'Costing'!$A$9:$A$492,"PARTNER-M082"))</x:f>
        <x:v>440000</x:v>
      </x:c>
      <x:c r="M2171" s="17" t="n">
        <x:f>ROUND(L2171*'Costing'!$C$4,2)</x:f>
        <x:v>79200</x:v>
      </x:c>
      <x:c r="N2171" s="17" t="n">
        <x:f>L2171+M2171</x:f>
        <x:v>519200</x:v>
      </x:c>
      <x:c r="O2171" s="12" t="str">
        <x:v>Bengaluru</x:v>
      </x:c>
      <x:c r="P2171" s="12" t="str">
        <x:v>CORP-0500, CORP-0501, CORP-0502, CORP-0503, CORP-0504, CORP-0505, CORP-0506, CORP-0507, CORP-0508, CORP-0509, CORP-0510</x:v>
      </x:c>
      <x:c r="Q2171" s="12" t="str">
        <x:v>Saama Capital India Advisors LLP</x:v>
      </x:c>
    </x:row>
    <x:row r="2172" ht="48" customHeight="1">
      <x:c r="A2172" s="2" t="str">
        <x:v>TEN-C034EAA2E032</x:v>
      </x:c>
      <x:c r="B2172" s="12" t="str">
        <x:v>SaaS Sauce</x:v>
      </x:c>
      <x:c r="C2172" s="12" t="str">
        <x:v>Business / brand</x:v>
      </x:c>
      <x:c r="D2172" s="12" t="str">
        <x:v>IT &amp; digital</x:v>
      </x:c>
      <x:c r="E2172" s="12" t="str">
        <x:v>Enterprise software &amp; digital engineering</x:v>
      </x:c>
      <x:c r="F2172" s="12" t="str">
        <x:v>Small-scale prospects</x:v>
      </x:c>
      <x:c r="G2172" s="12" t="str">
        <x:v>Software or technology-services business; small-scale prospect assumption.</x:v>
      </x:c>
      <x:c r="H2172" s="11" t="n">
        <x:v>1</x:v>
      </x:c>
      <x:c r="I2172" s="11" t="n">
        <x:v>5</x:v>
      </x:c>
      <x:c r="J2172" s="11" t="n">
        <x:v>5</x:v>
      </x:c>
      <x:c r="K2172" s="11" t="n">
        <x:v>0</x:v>
      </x:c>
      <x:c r="L2172" s="17" t="n">
        <x:f>SUM(SUMIFS('Costing'!$P$9:$P$492,'Costing'!$A$9:$A$492,"MAIN-119"))</x:f>
        <x:v>125000</x:v>
      </x:c>
      <x:c r="M2172" s="17" t="n">
        <x:f>ROUND(L2172*'Costing'!$C$4,2)</x:f>
        <x:v>22500</x:v>
      </x:c>
      <x:c r="N2172" s="17" t="n">
        <x:f>L2172+M2172</x:f>
        <x:v>147500</x:v>
      </x:c>
      <x:c r="O2172" s="12" t="str">
        <x:v>Bengaluru</x:v>
      </x:c>
      <x:c r="P2172" s="12" t="str">
        <x:v>CORP-0115</x:v>
      </x:c>
      <x:c r="Q2172" s="12" t="str">
        <x:v>SaaS Sauce</x:v>
      </x:c>
    </x:row>
    <x:row r="2173" ht="48" customHeight="1">
      <x:c r="A2173" s="2" t="str">
        <x:v>TEN-5C8734A6943D</x:v>
      </x:c>
      <x:c r="B2173" s="12" t="str">
        <x:v>SabMiller India</x:v>
      </x:c>
      <x:c r="C2173" s="12" t="str">
        <x:v>Business / brand</x:v>
      </x:c>
      <x:c r="D2173" s="12" t="str">
        <x:v>Trade, consumer &amp; logistics</x:v>
      </x:c>
      <x:c r="E2173" s="12" t="str">
        <x:v>Travel, hospitality, food &amp; beverages</x:v>
      </x:c>
      <x:c r="F2173" s="12" t="str">
        <x:v>Mixed business audience</x:v>
      </x:c>
      <x:c r="G2173" s="12" t="str">
        <x:v>Established brand or business network; local company scale is not established. Use a mixed-business message.</x:v>
      </x:c>
      <x:c r="H2173" s="11" t="n">
        <x:v>2</x:v>
      </x:c>
      <x:c r="I2173" s="11" t="n">
        <x:v>2</x:v>
      </x:c>
      <x:c r="J2173" s="11" t="n">
        <x:v>2</x:v>
      </x:c>
      <x:c r="K2173" s="11" t="n">
        <x:v>0</x:v>
      </x:c>
      <x:c r="L2173" s="17" t="n">
        <x:f>SUM(SUMIFS('Costing'!$P$9:$P$492,'Costing'!$A$9:$A$492,"PARTNER-M241"))</x:f>
        <x:v>80000</x:v>
      </x:c>
      <x:c r="M2173" s="17" t="n">
        <x:f>ROUND(L2173*'Costing'!$C$4,2)</x:f>
        <x:v>14400</x:v>
      </x:c>
      <x:c r="N2173" s="17" t="n">
        <x:f>L2173+M2173</x:f>
        <x:v>94400</x:v>
      </x:c>
      <x:c r="O2173" s="12" t="str">
        <x:v>Mumbai</x:v>
      </x:c>
      <x:c r="P2173" s="12" t="str">
        <x:v>CORP-0658, CORP-0659</x:v>
      </x:c>
      <x:c r="Q2173" s="12" t="str">
        <x:v>SabMiller India</x:v>
      </x:c>
    </x:row>
    <x:row r="2174" ht="48" customHeight="1">
      <x:c r="A2174" s="2" t="str">
        <x:v>TEN-316635638FCB</x:v>
      </x:c>
      <x:c r="B2174" s="12" t="str">
        <x:v>Sabre Travel</x:v>
      </x:c>
      <x:c r="C2174" s="12" t="str">
        <x:v>Business / brand</x:v>
      </x:c>
      <x:c r="D2174" s="12" t="str">
        <x:v>IT &amp; digital</x:v>
      </x:c>
      <x:c r="E2174" s="12" t="str">
        <x:v>Technology services — specialty unverified</x:v>
      </x:c>
      <x:c r="F2174" s="12" t="str">
        <x:v>Mixed business audience</x:v>
      </x:c>
      <x:c r="G2174" s="12" t="str">
        <x:v>Recognisable business context; company-scale evidence remains insufficient for a single size band.</x:v>
      </x:c>
      <x:c r="H2174" s="11" t="n">
        <x:v>9</x:v>
      </x:c>
      <x:c r="I2174" s="11" t="n">
        <x:v>9</x:v>
      </x:c>
      <x:c r="J2174" s="11" t="n">
        <x:v>9</x:v>
      </x:c>
      <x:c r="K2174" s="11" t="n">
        <x:v>0</x:v>
      </x:c>
      <x:c r="L2174" s="17" t="n">
        <x:f>SUM(SUMIFS('Costing'!$P$9:$P$492,'Costing'!$A$9:$A$492,"PARTNER-M002"))</x:f>
        <x:v>360000</x:v>
      </x:c>
      <x:c r="M2174" s="17" t="n">
        <x:f>ROUND(L2174*'Costing'!$C$4,2)</x:f>
        <x:v>64800</x:v>
      </x:c>
      <x:c r="N2174" s="17" t="n">
        <x:f>L2174+M2174</x:f>
        <x:v>424800</x:v>
      </x:c>
      <x:c r="O2174" s="12" t="str">
        <x:v>Bengaluru</x:v>
      </x:c>
      <x:c r="P2174" s="12" t="str">
        <x:v>CORP-0420, CORP-0421, CORP-0422, CORP-0423, CORP-0424, CORP-0425, CORP-0426, CORP-0427, CORP-0428</x:v>
      </x:c>
      <x:c r="Q2174" s="12" t="str">
        <x:v>Sabre Travel</x:v>
      </x:c>
    </x:row>
    <x:row r="2175" ht="48" customHeight="1">
      <x:c r="A2175" s="2" t="str">
        <x:v>TEN-6994CDC0D34E</x:v>
      </x:c>
      <x:c r="B2175" s="12" t="str">
        <x:v>Sacha Engineering</x:v>
      </x:c>
      <x:c r="C2175" s="12" t="str">
        <x:v>Business / brand</x:v>
      </x:c>
      <x:c r="D2175" s="12" t="str">
        <x:v>Engineering &amp; manufacturing</x:v>
      </x:c>
      <x:c r="E2175" s="12" t="str">
        <x:v>Energy, electrical &amp; industrial systems</x:v>
      </x:c>
      <x:c r="F2175" s="12" t="str">
        <x:v>Medium-scale prospects</x:v>
      </x:c>
      <x:c r="G2175" s="12" t="str">
        <x:v>Specialist industrial or engineering business; medium-scale prospect assumption.</x:v>
      </x:c>
      <x:c r="H2175" s="11" t="n">
        <x:v>9</x:v>
      </x:c>
      <x:c r="I2175" s="11" t="n">
        <x:v>9</x:v>
      </x:c>
      <x:c r="J2175" s="11" t="n">
        <x:v>9</x:v>
      </x:c>
      <x:c r="K2175" s="11" t="n">
        <x:v>0</x:v>
      </x:c>
      <x:c r="L2175" s="17" t="n">
        <x:f>SUM(SUMIFS('Costing'!$P$9:$P$492,'Costing'!$A$9:$A$492,"PARTNER-M002"))</x:f>
        <x:v>360000</x:v>
      </x:c>
      <x:c r="M2175" s="17" t="n">
        <x:f>ROUND(L2175*'Costing'!$C$4,2)</x:f>
        <x:v>64800</x:v>
      </x:c>
      <x:c r="N2175" s="17" t="n">
        <x:f>L2175+M2175</x:f>
        <x:v>424800</x:v>
      </x:c>
      <x:c r="O2175" s="12" t="str">
        <x:v>Bengaluru</x:v>
      </x:c>
      <x:c r="P2175" s="12" t="str">
        <x:v>CORP-0420, CORP-0421, CORP-0422, CORP-0423, CORP-0424, CORP-0425, CORP-0426, CORP-0427, CORP-0428</x:v>
      </x:c>
      <x:c r="Q2175" s="12" t="str">
        <x:v>Sacha Engineering</x:v>
      </x:c>
    </x:row>
    <x:row r="2176" ht="48" customHeight="1">
      <x:c r="A2176" s="2" t="str">
        <x:v>TEN-83E66BCA4229</x:v>
      </x:c>
      <x:c r="B2176" s="12" t="str">
        <x:v>Safety Zone (AMP Services)</x:v>
      </x:c>
      <x:c r="C2176" s="12" t="str">
        <x:v>Business / brand</x:v>
      </x:c>
      <x:c r="D2176" s="12" t="str">
        <x:v>Unresolved</x:v>
      </x:c>
      <x:c r="E2176" s="12" t="str">
        <x:v>Business activity not established</x:v>
      </x:c>
      <x:c r="F2176" s="12" t="str">
        <x:v>Mixed business audience</x:v>
      </x:c>
      <x:c r="G2176" s="12" t="str">
        <x:v>Business activity and company scale are not established from this name.</x:v>
      </x:c>
      <x:c r="H2176" s="11" t="n">
        <x:v>1</x:v>
      </x:c>
      <x:c r="I2176" s="11" t="n">
        <x:v>1</x:v>
      </x:c>
      <x:c r="J2176" s="11" t="n">
        <x:v>1</x:v>
      </x:c>
      <x:c r="K2176" s="11" t="n">
        <x:v>0</x:v>
      </x:c>
      <x:c r="L2176" s="17" t="n">
        <x:f>SUM(SUMIFS('Costing'!$P$9:$P$492,'Costing'!$A$9:$A$492,"MAIN-290"))</x:f>
        <x:v>40000</x:v>
      </x:c>
      <x:c r="M2176" s="17" t="n">
        <x:f>ROUND(L2176*'Costing'!$C$4,2)</x:f>
        <x:v>7200</x:v>
      </x:c>
      <x:c r="N2176" s="17" t="n">
        <x:f>L2176+M2176</x:f>
        <x:v>47200</x:v>
      </x:c>
      <x:c r="O2176" s="12" t="str">
        <x:v>Lucknow</x:v>
      </x:c>
      <x:c r="P2176" s="12" t="str">
        <x:v>CORP-0286</x:v>
      </x:c>
      <x:c r="Q2176" s="12" t="str">
        <x:v>Safety Zone (AMP Services)</x:v>
      </x:c>
    </x:row>
    <x:row r="2177" ht="48" customHeight="1">
      <x:c r="A2177" s="2" t="str">
        <x:v>TEN-D4A0022B593B</x:v>
      </x:c>
      <x:c r="B2177" s="12" t="str">
        <x:v>Sagacious IP Bangalore</x:v>
      </x:c>
      <x:c r="C2177" s="12" t="str">
        <x:v>Business / brand</x:v>
      </x:c>
      <x:c r="D2177" s="12" t="str">
        <x:v>Professional services</x:v>
      </x:c>
      <x:c r="E2177" s="12" t="str">
        <x:v>Legal &amp; intellectual property</x:v>
      </x:c>
      <x:c r="F2177" s="12" t="str">
        <x:v>Small-scale prospects</x:v>
      </x:c>
      <x:c r="G2177" s="12" t="str">
        <x:v>Professional service, agency or advisory model; small-scale prospect assumption.</x:v>
      </x:c>
      <x:c r="H2177" s="11" t="n">
        <x:v>1</x:v>
      </x:c>
      <x:c r="I2177" s="11" t="n">
        <x:v>8</x:v>
      </x:c>
      <x:c r="J2177" s="11" t="n">
        <x:v>8</x:v>
      </x:c>
      <x:c r="K2177" s="11" t="n">
        <x:v>0</x:v>
      </x:c>
      <x:c r="L2177" s="17" t="n">
        <x:f>SUM(SUMIFS('Costing'!$P$9:$P$492,'Costing'!$A$9:$A$492,"MAIN-009"))</x:f>
        <x:v>120000</x:v>
      </x:c>
      <x:c r="M2177" s="17" t="n">
        <x:f>ROUND(L2177*'Costing'!$C$4,2)</x:f>
        <x:v>21600</x:v>
      </x:c>
      <x:c r="N2177" s="17" t="n">
        <x:f>L2177+M2177</x:f>
        <x:v>141600</x:v>
      </x:c>
      <x:c r="O2177" s="12" t="str">
        <x:v>Bengaluru</x:v>
      </x:c>
      <x:c r="P2177" s="12" t="str">
        <x:v>CORP-0005</x:v>
      </x:c>
      <x:c r="Q2177" s="12" t="str">
        <x:v>Sagacious IP Bangalore</x:v>
      </x:c>
    </x:row>
    <x:row r="2178" ht="48" customHeight="1">
      <x:c r="A2178" s="2" t="str">
        <x:v>TEN-B1D3552541D5</x:v>
      </x:c>
      <x:c r="B2178" s="12" t="str">
        <x:v>Sagar Cements</x:v>
      </x:c>
      <x:c r="C2178" s="12" t="str">
        <x:v>Business / brand</x:v>
      </x:c>
      <x:c r="D2178" s="12" t="str">
        <x:v>Engineering &amp; manufacturing</x:v>
      </x:c>
      <x:c r="E2178" s="12" t="str">
        <x:v>Chemicals, materials &amp; industrial manufacturing</x:v>
      </x:c>
      <x:c r="F2178" s="12" t="str">
        <x:v>Mixed business audience</x:v>
      </x:c>
      <x:c r="G2178" s="12" t="str">
        <x:v>Recognisable business context; company-scale evidence remains insufficient for a single size band.</x:v>
      </x:c>
      <x:c r="H2178" s="11" t="n">
        <x:v>1</x:v>
      </x:c>
      <x:c r="I2178" s="11" t="n">
        <x:v>1</x:v>
      </x:c>
      <x:c r="J2178" s="11" t="n">
        <x:v>1</x:v>
      </x:c>
      <x:c r="K2178" s="11" t="n">
        <x:v>0</x:v>
      </x:c>
      <x:c r="L2178" s="17" t="n">
        <x:f>SUM(SUMIFS('Costing'!$P$9:$P$492,'Costing'!$A$9:$A$492,"MAIN-266"))</x:f>
        <x:v>20000</x:v>
      </x:c>
      <x:c r="M2178" s="17" t="n">
        <x:f>ROUND(L2178*'Costing'!$C$4,2)</x:f>
        <x:v>3600</x:v>
      </x:c>
      <x:c r="N2178" s="17" t="n">
        <x:f>L2178+M2178</x:f>
        <x:v>23600</x:v>
      </x:c>
      <x:c r="O2178" s="12" t="str">
        <x:v>Indore</x:v>
      </x:c>
      <x:c r="P2178" s="12" t="str">
        <x:v>CORP-0262</x:v>
      </x:c>
      <x:c r="Q2178" s="12" t="str">
        <x:v>Sagar Cements</x:v>
      </x:c>
    </x:row>
    <x:row r="2179" ht="48" customHeight="1">
      <x:c r="A2179" s="2" t="str">
        <x:v>TEN-A79DD0F512DB</x:v>
      </x:c>
      <x:c r="B2179" s="12" t="str">
        <x:v>Sagar Cements Ltd</x:v>
      </x:c>
      <x:c r="C2179" s="12" t="str">
        <x:v>Business / brand</x:v>
      </x:c>
      <x:c r="D2179" s="12" t="str">
        <x:v>Engineering &amp; manufacturing</x:v>
      </x:c>
      <x:c r="E2179" s="12" t="str">
        <x:v>Chemicals, materials &amp; industrial manufacturing</x:v>
      </x:c>
      <x:c r="F2179" s="12" t="str">
        <x:v>Mixed business audience</x:v>
      </x:c>
      <x:c r="G2179" s="12" t="str">
        <x:v>Recognisable business context; company-scale evidence remains insufficient for a single size band.</x:v>
      </x:c>
      <x:c r="H2179" s="11" t="n">
        <x:v>1</x:v>
      </x:c>
      <x:c r="I2179" s="11" t="n">
        <x:v>2</x:v>
      </x:c>
      <x:c r="J2179" s="11" t="n">
        <x:v>2</x:v>
      </x:c>
      <x:c r="K2179" s="11" t="n">
        <x:v>0</x:v>
      </x:c>
      <x:c r="L2179" s="17" t="n">
        <x:f>SUM(SUMIFS('Costing'!$P$9:$P$492,'Costing'!$A$9:$A$492,"MAIN-267"))</x:f>
        <x:v>40000</x:v>
      </x:c>
      <x:c r="M2179" s="17" t="n">
        <x:f>ROUND(L2179*'Costing'!$C$4,2)</x:f>
        <x:v>7200</x:v>
      </x:c>
      <x:c r="N2179" s="17" t="n">
        <x:f>L2179+M2179</x:f>
        <x:v>47200</x:v>
      </x:c>
      <x:c r="O2179" s="12" t="str">
        <x:v>Indore</x:v>
      </x:c>
      <x:c r="P2179" s="12" t="str">
        <x:v>CORP-0263</x:v>
      </x:c>
      <x:c r="Q2179" s="12" t="str">
        <x:v>Sagar Cements Ltd</x:v>
      </x:c>
    </x:row>
    <x:row r="2180" ht="48" customHeight="1">
      <x:c r="A2180" s="2" t="str">
        <x:v>TEN-2EF84D923835</x:v>
      </x:c>
      <x:c r="B2180" s="12" t="str">
        <x:v>Sage Software Solutions Pvt Ltd</x:v>
      </x:c>
      <x:c r="C2180" s="12" t="str">
        <x:v>Business / brand</x:v>
      </x:c>
      <x:c r="D2180" s="12" t="str">
        <x:v>IT &amp; digital</x:v>
      </x:c>
      <x:c r="E2180" s="12" t="str">
        <x:v>Enterprise software &amp; digital engineering</x:v>
      </x:c>
      <x:c r="F2180" s="12" t="str">
        <x:v>Mixed business audience</x:v>
      </x:c>
      <x:c r="G2180" s="12" t="str">
        <x:v>Established brand or business network; local company scale is not established. Use a mixed-business message.</x:v>
      </x:c>
      <x:c r="H2180" s="11" t="n">
        <x:v>1</x:v>
      </x:c>
      <x:c r="I2180" s="11" t="n">
        <x:v>21</x:v>
      </x:c>
      <x:c r="J2180" s="11" t="n">
        <x:v>21</x:v>
      </x:c>
      <x:c r="K2180" s="11" t="n">
        <x:v>0</x:v>
      </x:c>
      <x:c r="L2180" s="17" t="n">
        <x:f>SUM(SUMIFS('Costing'!$P$9:$P$492,'Costing'!$A$9:$A$492,"MAIN-313"))</x:f>
        <x:v>315000</x:v>
      </x:c>
      <x:c r="M2180" s="17" t="n">
        <x:f>ROUND(L2180*'Costing'!$C$4,2)</x:f>
        <x:v>56700</x:v>
      </x:c>
      <x:c r="N2180" s="17" t="n">
        <x:f>L2180+M2180</x:f>
        <x:v>371700</x:v>
      </x:c>
      <x:c r="O2180" s="12" t="str">
        <x:v>Mumbai</x:v>
      </x:c>
      <x:c r="P2180" s="12" t="str">
        <x:v>CORP-0309</x:v>
      </x:c>
      <x:c r="Q2180" s="12" t="str">
        <x:v>Sage Software Solutions Pvt Ltd</x:v>
      </x:c>
    </x:row>
    <x:row r="2181" ht="48" customHeight="1">
      <x:c r="A2181" s="2" t="str">
        <x:v>TEN-584343DF6352</x:v>
      </x:c>
      <x:c r="B2181" s="12" t="str">
        <x:v>Sahajanand Medical Technologies Pvt Ltd</x:v>
      </x:c>
      <x:c r="C2181" s="12" t="str">
        <x:v>Business / brand</x:v>
      </x:c>
      <x:c r="D2181" s="12" t="str">
        <x:v>Healthcare &amp; life sciences</x:v>
      </x:c>
      <x:c r="E2181" s="12" t="str">
        <x:v>Clinical, medical &amp; diagnostic services</x:v>
      </x:c>
      <x:c r="F2181" s="12" t="str">
        <x:v>Mixed business audience</x:v>
      </x:c>
      <x:c r="G2181" s="12" t="str">
        <x:v>Established brand or business network; local company scale is not established. Use a mixed-business message.</x:v>
      </x:c>
      <x:c r="H2181" s="11" t="n">
        <x:v>4</x:v>
      </x:c>
      <x:c r="I2181" s="11" t="n">
        <x:v>4</x:v>
      </x:c>
      <x:c r="J2181" s="11" t="n">
        <x:v>4</x:v>
      </x:c>
      <x:c r="K2181" s="11" t="n">
        <x:v>0</x:v>
      </x:c>
      <x:c r="L2181" s="17" t="n">
        <x:f>SUM(SUMIFS('Costing'!$P$9:$P$492,'Costing'!$A$9:$A$492,"PARTNER-M235"))</x:f>
        <x:v>160000</x:v>
      </x:c>
      <x:c r="M2181" s="17" t="n">
        <x:f>ROUND(L2181*'Costing'!$C$4,2)</x:f>
        <x:v>28800</x:v>
      </x:c>
      <x:c r="N2181" s="17" t="n">
        <x:f>L2181+M2181</x:f>
        <x:v>188800</x:v>
      </x:c>
      <x:c r="O2181" s="12" t="str">
        <x:v>Mumbai</x:v>
      </x:c>
      <x:c r="P2181" s="12" t="str">
        <x:v>CORP-0652, CORP-0653, CORP-0654, CORP-0655</x:v>
      </x:c>
      <x:c r="Q2181" s="12" t="str">
        <x:v>Sahajanand Medical Technologies Pvt Ltd</x:v>
      </x:c>
    </x:row>
    <x:row r="2182" ht="48" customHeight="1">
      <x:c r="A2182" s="2" t="str">
        <x:v>TEN-05BAAC1A6C05</x:v>
      </x:c>
      <x:c r="B2182" s="12" t="str">
        <x:v>Sai baba autowheels</x:v>
      </x:c>
      <x:c r="C2182" s="12" t="str">
        <x:v>Business / brand</x:v>
      </x:c>
      <x:c r="D2182" s="12" t="str">
        <x:v>Unresolved</x:v>
      </x:c>
      <x:c r="E2182" s="12" t="str">
        <x:v>Business activity not established</x:v>
      </x:c>
      <x:c r="F2182" s="12" t="str">
        <x:v>Mixed business audience</x:v>
      </x:c>
      <x:c r="G2182" s="12" t="str">
        <x:v>Business activity and company scale are not established from this name.</x:v>
      </x:c>
      <x:c r="H2182" s="11" t="n">
        <x:v>1</x:v>
      </x:c>
      <x:c r="I2182" s="11" t="n">
        <x:v>2</x:v>
      </x:c>
      <x:c r="J2182" s="11" t="n">
        <x:v>2</x:v>
      </x:c>
      <x:c r="K2182" s="11" t="n">
        <x:v>0</x:v>
      </x:c>
      <x:c r="L2182" s="17" t="n">
        <x:f>SUM(SUMIFS('Costing'!$P$9:$P$492,'Costing'!$A$9:$A$492,"MAIN-419"))</x:f>
        <x:v>50000</x:v>
      </x:c>
      <x:c r="M2182" s="17" t="n">
        <x:f>ROUND(L2182*'Costing'!$C$4,2)</x:f>
        <x:v>9000</x:v>
      </x:c>
      <x:c r="N2182" s="17" t="n">
        <x:f>L2182+M2182</x:f>
        <x:v>59000</x:v>
      </x:c>
      <x:c r="O2182" s="12" t="str">
        <x:v>Pune</x:v>
      </x:c>
      <x:c r="P2182" s="12" t="str">
        <x:v>CORP-0415</x:v>
      </x:c>
      <x:c r="Q2182" s="12" t="str">
        <x:v>Sai baba autowheels</x:v>
      </x:c>
    </x:row>
    <x:row r="2183" ht="48" customHeight="1">
      <x:c r="A2183" s="2" t="str">
        <x:v>TEN-5E23D7683439</x:v>
      </x:c>
      <x:c r="B2183" s="12" t="str">
        <x:v>Saify Construction Co</x:v>
      </x:c>
      <x:c r="C2183" s="12" t="str">
        <x:v>Business / brand</x:v>
      </x:c>
      <x:c r="D2183" s="12" t="str">
        <x:v>Engineering &amp; manufacturing</x:v>
      </x:c>
      <x:c r="E2183" s="12" t="str">
        <x:v>Engineering/manufacturing — specialty unverified</x:v>
      </x:c>
      <x:c r="F2183" s="12" t="str">
        <x:v>Medium-scale prospects</x:v>
      </x:c>
      <x:c r="G2183" s="12" t="str">
        <x:v>Specialist industrial or engineering business; medium-scale prospect assumption.</x:v>
      </x:c>
      <x:c r="H2183" s="11" t="n">
        <x:v>1</x:v>
      </x:c>
      <x:c r="I2183" s="11" t="n">
        <x:v>2</x:v>
      </x:c>
      <x:c r="J2183" s="11" t="n">
        <x:v>2</x:v>
      </x:c>
      <x:c r="K2183" s="11" t="n">
        <x:v>0</x:v>
      </x:c>
      <x:c r="L2183" s="17" t="n">
        <x:f>SUM(SUMIFS('Costing'!$P$9:$P$492,'Costing'!$A$9:$A$492,"MAIN-268"))</x:f>
        <x:v>80000</x:v>
      </x:c>
      <x:c r="M2183" s="17" t="n">
        <x:f>ROUND(L2183*'Costing'!$C$4,2)</x:f>
        <x:v>14400</x:v>
      </x:c>
      <x:c r="N2183" s="17" t="n">
        <x:f>L2183+M2183</x:f>
        <x:v>94400</x:v>
      </x:c>
      <x:c r="O2183" s="12" t="str">
        <x:v>Indore</x:v>
      </x:c>
      <x:c r="P2183" s="12" t="str">
        <x:v>CORP-0264</x:v>
      </x:c>
      <x:c r="Q2183" s="12" t="str">
        <x:v>Saify Construction Co</x:v>
      </x:c>
    </x:row>
    <x:row r="2184" ht="48" customHeight="1">
      <x:c r="A2184" s="2" t="str">
        <x:v>TEN-F498E1746FB4</x:v>
      </x:c>
      <x:c r="B2184" s="12" t="str">
        <x:v>SALIGRAM TECHNOLOGIES PVT LTD</x:v>
      </x:c>
      <x:c r="C2184" s="12" t="str">
        <x:v>Business / brand</x:v>
      </x:c>
      <x:c r="D2184" s="12" t="str">
        <x:v>Unresolved</x:v>
      </x:c>
      <x:c r="E2184" s="12" t="str">
        <x:v>Business activity not established</x:v>
      </x:c>
      <x:c r="F2184" s="12" t="str">
        <x:v>Mixed business audience</x:v>
      </x:c>
      <x:c r="G2184" s="12" t="str">
        <x:v>Business activity and company scale are not established from this name.</x:v>
      </x:c>
      <x:c r="H2184" s="11" t="n">
        <x:v>1</x:v>
      </x:c>
      <x:c r="I2184" s="11" t="n">
        <x:v>2</x:v>
      </x:c>
      <x:c r="J2184" s="11" t="n">
        <x:v>2</x:v>
      </x:c>
      <x:c r="K2184" s="11" t="n">
        <x:v>0</x:v>
      </x:c>
      <x:c r="L2184" s="17" t="n">
        <x:f>SUM(SUMIFS('Costing'!$P$9:$P$492,'Costing'!$A$9:$A$492,"MAIN-216"))</x:f>
        <x:v>30000</x:v>
      </x:c>
      <x:c r="M2184" s="17" t="n">
        <x:f>ROUND(L2184*'Costing'!$C$4,2)</x:f>
        <x:v>5400</x:v>
      </x:c>
      <x:c r="N2184" s="17" t="n">
        <x:f>L2184+M2184</x:f>
        <x:v>35400</x:v>
      </x:c>
      <x:c r="O2184" s="12" t="str">
        <x:v>Hyderabad</x:v>
      </x:c>
      <x:c r="P2184" s="12" t="str">
        <x:v>CORP-0212</x:v>
      </x:c>
      <x:c r="Q2184" s="12" t="str">
        <x:v>SALIGRAM TECHNOLOGIES PVT LTD</x:v>
      </x:c>
    </x:row>
    <x:row r="2185" ht="48" customHeight="1">
      <x:c r="A2185" s="2" t="str">
        <x:v>TEN-D580AF912CAD</x:v>
      </x:c>
      <x:c r="B2185" s="12" t="str">
        <x:v>Samarth Finance Consultant</x:v>
      </x:c>
      <x:c r="C2185" s="12" t="str">
        <x:v>Business / brand</x:v>
      </x:c>
      <x:c r="D2185" s="12" t="str">
        <x:v>Professional services</x:v>
      </x:c>
      <x:c r="E2185" s="12" t="str">
        <x:v>Business consulting &amp; advisory</x:v>
      </x:c>
      <x:c r="F2185" s="12" t="str">
        <x:v>Small-scale prospects</x:v>
      </x:c>
      <x:c r="G2185" s="12" t="str">
        <x:v>Professional service, agency or advisory model; small-scale prospect assumption.</x:v>
      </x:c>
      <x:c r="H2185" s="11" t="n">
        <x:v>4</x:v>
      </x:c>
      <x:c r="I2185" s="11" t="n">
        <x:v>4</x:v>
      </x:c>
      <x:c r="J2185" s="11" t="n">
        <x:v>4</x:v>
      </x:c>
      <x:c r="K2185" s="11" t="n">
        <x:v>0</x:v>
      </x:c>
      <x:c r="L2185" s="17" t="n">
        <x:f>SUM(SUMIFS('Costing'!$P$9:$P$492,'Costing'!$A$9:$A$492,"PARTNER-M247"))</x:f>
        <x:v>160000</x:v>
      </x:c>
      <x:c r="M2185" s="17" t="n">
        <x:f>ROUND(L2185*'Costing'!$C$4,2)</x:f>
        <x:v>28800</x:v>
      </x:c>
      <x:c r="N2185" s="17" t="n">
        <x:f>L2185+M2185</x:f>
        <x:v>188800</x:v>
      </x:c>
      <x:c r="O2185" s="12" t="str">
        <x:v>Mumbai</x:v>
      </x:c>
      <x:c r="P2185" s="12" t="str">
        <x:v>CORP-0664, CORP-0665, CORP-0666, CORP-0667</x:v>
      </x:c>
      <x:c r="Q2185" s="12" t="str">
        <x:v>Samarth Finance Consultant</x:v>
      </x:c>
    </x:row>
    <x:row r="2186" ht="62" customHeight="1">
      <x:c r="A2186" s="2" t="str">
        <x:v>TEN-968E2D5B0868</x:v>
      </x:c>
      <x:c r="B2186" s="12" t="str">
        <x:v>Samsung</x:v>
      </x:c>
      <x:c r="C2186" s="12" t="str">
        <x:v>Business / brand</x:v>
      </x:c>
      <x:c r="D2186" s="12" t="str">
        <x:v>Engineering &amp; manufacturing</x:v>
      </x:c>
      <x:c r="E2186" s="12" t="str">
        <x:v>Semiconductors, electronics &amp; equipment</x:v>
      </x:c>
      <x:c r="F2186" s="12" t="str">
        <x:v>Large enterprise</x:v>
      </x:c>
      <x:c r="G2186" s="12" t="str">
        <x:v>Samsung Electronics reports 259,149 employees and 221 bases across 76 countries at end-2025. The supplied Samsung brand and reviewed spelling variants therefore carry enterprise-group context.</x:v>
      </x:c>
      <x:c r="H2186" s="11" t="n">
        <x:v>19</x:v>
      </x:c>
      <x:c r="I2186" s="11" t="n">
        <x:v>20</x:v>
      </x:c>
      <x:c r="J2186" s="11" t="n">
        <x:v>20</x:v>
      </x:c>
      <x:c r="K2186" s="11" t="n">
        <x:v>0</x:v>
      </x:c>
      <x:c r="L2186" s="17" t="n">
        <x:f>SUM(SUMIFS('Costing'!$P$9:$P$492,'Costing'!$A$9:$A$492,"MAIN-267"),SUMIFS('Costing'!$P$9:$P$492,'Costing'!$A$9:$A$492,"PARTNER-M130"),SUMIFS('Costing'!$P$9:$P$492,'Costing'!$A$9:$A$492,"PARTNER-M120"))</x:f>
        <x:v>760000</x:v>
      </x:c>
      <x:c r="M2186" s="17" t="n">
        <x:f>ROUND(L2186*'Costing'!$C$4,2)</x:f>
        <x:v>136800</x:v>
      </x:c>
      <x:c r="N2186" s="17" t="n">
        <x:f>L2186+M2186</x:f>
        <x:v>896800</x:v>
      </x:c>
      <x:c r="O2186" s="12" t="str">
        <x:v>Indore, Bengaluru</x:v>
      </x:c>
      <x:c r="P2186" s="12" t="str">
        <x:v>CORP-0263, CORP-0538, CORP-0539, CORP-0540, CORP-0541, CORP-0542, CORP-0543, CORP-0544, CORP-0545, CORP-0546, CORP-0547, CORP-0548, CORP-0549, CORP-0550, CORP-0551, CORP-0552, CORP-0553, CORP-0554, CORP-0555</x:v>
      </x:c>
      <x:c r="Q2186" s="12" t="str">
        <x:v>Samsung, samusung, samsung</x:v>
      </x:c>
    </x:row>
    <x:row r="2187" ht="48" customHeight="1">
      <x:c r="A2187" s="2" t="str">
        <x:v>TEN-42D9546A54E2</x:v>
      </x:c>
      <x:c r="B2187" s="12" t="str">
        <x:v>SamX Motion Pictures</x:v>
      </x:c>
      <x:c r="C2187" s="12" t="str">
        <x:v>Business / brand</x:v>
      </x:c>
      <x:c r="D2187" s="12" t="str">
        <x:v>Trade, consumer &amp; logistics</x:v>
      </x:c>
      <x:c r="E2187" s="12" t="str">
        <x:v>Entertainment, media &amp; events</x:v>
      </x:c>
      <x:c r="F2187" s="12" t="str">
        <x:v>Small-scale prospects</x:v>
      </x:c>
      <x:c r="G2187" s="12" t="str">
        <x:v>Trading or consumer-services business; small-scale prospect assumption.</x:v>
      </x:c>
      <x:c r="H2187" s="11" t="n">
        <x:v>2</x:v>
      </x:c>
      <x:c r="I2187" s="11" t="n">
        <x:v>2</x:v>
      </x:c>
      <x:c r="J2187" s="11" t="n">
        <x:v>2</x:v>
      </x:c>
      <x:c r="K2187" s="11" t="n">
        <x:v>0</x:v>
      </x:c>
      <x:c r="L2187" s="17" t="n">
        <x:f>SUM(SUMIFS('Costing'!$P$9:$P$492,'Costing'!$A$9:$A$492,"PARTNER-M201"))</x:f>
        <x:v>80000</x:v>
      </x:c>
      <x:c r="M2187" s="17" t="n">
        <x:f>ROUND(L2187*'Costing'!$C$4,2)</x:f>
        <x:v>14400</x:v>
      </x:c>
      <x:c r="N2187" s="17" t="n">
        <x:f>L2187+M2187</x:f>
        <x:v>94400</x:v>
      </x:c>
      <x:c r="O2187" s="12" t="str">
        <x:v>Mumbai</x:v>
      </x:c>
      <x:c r="P2187" s="12" t="str">
        <x:v>CORP-0618, CORP-0619</x:v>
      </x:c>
      <x:c r="Q2187" s="12" t="str">
        <x:v>SamX Motion Pictures</x:v>
      </x:c>
    </x:row>
    <x:row r="2188" ht="48" customHeight="1">
      <x:c r="A2188" s="2" t="str">
        <x:v>TEN-0BA55CDDBBF9</x:v>
      </x:c>
      <x:c r="B2188" s="12" t="str">
        <x:v>Sanchar india news</x:v>
      </x:c>
      <x:c r="C2188" s="12" t="str">
        <x:v>Business / brand</x:v>
      </x:c>
      <x:c r="D2188" s="12" t="str">
        <x:v>Trade, consumer &amp; logistics</x:v>
      </x:c>
      <x:c r="E2188" s="12" t="str">
        <x:v>Entertainment, media &amp; events</x:v>
      </x:c>
      <x:c r="F2188" s="12" t="str">
        <x:v>Small-scale prospects</x:v>
      </x:c>
      <x:c r="G2188" s="12" t="str">
        <x:v>Trading or consumer-services business; small-scale prospect assumption.</x:v>
      </x:c>
      <x:c r="H2188" s="11" t="n">
        <x:v>4</x:v>
      </x:c>
      <x:c r="I2188" s="11" t="n">
        <x:v>4</x:v>
      </x:c>
      <x:c r="J2188" s="11" t="n">
        <x:v>4</x:v>
      </x:c>
      <x:c r="K2188" s="11" t="n">
        <x:v>0</x:v>
      </x:c>
      <x:c r="L2188" s="17" t="n">
        <x:f>SUM(SUMIFS('Costing'!$P$9:$P$492,'Costing'!$A$9:$A$492,"PARTNER-M078"))</x:f>
        <x:v>160000</x:v>
      </x:c>
      <x:c r="M2188" s="17" t="n">
        <x:f>ROUND(L2188*'Costing'!$C$4,2)</x:f>
        <x:v>28800</x:v>
      </x:c>
      <x:c r="N2188" s="17" t="n">
        <x:f>L2188+M2188</x:f>
        <x:v>188800</x:v>
      </x:c>
      <x:c r="O2188" s="12" t="str">
        <x:v>Bengaluru</x:v>
      </x:c>
      <x:c r="P2188" s="12" t="str">
        <x:v>CORP-0496, CORP-0497, CORP-0498, CORP-0499</x:v>
      </x:c>
      <x:c r="Q2188" s="12" t="str">
        <x:v>Sanchar india news</x:v>
      </x:c>
    </x:row>
    <x:row r="2189" ht="48" customHeight="1">
      <x:c r="A2189" s="2" t="str">
        <x:v>TEN-F640633E9C84</x:v>
      </x:c>
      <x:c r="B2189" s="12" t="str">
        <x:v>SANEG ENGINEERING PRIVATE LIMITED</x:v>
      </x:c>
      <x:c r="C2189" s="12" t="str">
        <x:v>Business / brand</x:v>
      </x:c>
      <x:c r="D2189" s="12" t="str">
        <x:v>Engineering &amp; manufacturing</x:v>
      </x:c>
      <x:c r="E2189" s="12" t="str">
        <x:v>Energy, electrical &amp; industrial systems</x:v>
      </x:c>
      <x:c r="F2189" s="12" t="str">
        <x:v>Medium-scale prospects</x:v>
      </x:c>
      <x:c r="G2189" s="12" t="str">
        <x:v>Specialist industrial or engineering business; medium-scale prospect assumption.</x:v>
      </x:c>
      <x:c r="H2189" s="11" t="n">
        <x:v>1</x:v>
      </x:c>
      <x:c r="I2189" s="11" t="n">
        <x:v>6</x:v>
      </x:c>
      <x:c r="J2189" s="11" t="n">
        <x:v>6</x:v>
      </x:c>
      <x:c r="K2189" s="11" t="n">
        <x:v>0</x:v>
      </x:c>
      <x:c r="L2189" s="17" t="n">
        <x:f>SUM(SUMIFS('Costing'!$P$9:$P$492,'Costing'!$A$9:$A$492,"MAIN-373"))</x:f>
        <x:v>240000</x:v>
      </x:c>
      <x:c r="M2189" s="17" t="n">
        <x:f>ROUND(L2189*'Costing'!$C$4,2)</x:f>
        <x:v>43200</x:v>
      </x:c>
      <x:c r="N2189" s="17" t="n">
        <x:f>L2189+M2189</x:f>
        <x:v>283200</x:v>
      </x:c>
      <x:c r="O2189" s="12" t="str">
        <x:v>Delhi NCR</x:v>
      </x:c>
      <x:c r="P2189" s="12" t="str">
        <x:v>CORP-0369</x:v>
      </x:c>
      <x:c r="Q2189" s="12" t="str">
        <x:v>SANEG ENGINEERING PRIVATE LIMITED</x:v>
      </x:c>
    </x:row>
    <x:row r="2190" ht="48" customHeight="1">
      <x:c r="A2190" s="2" t="str">
        <x:v>TEN-039E9F1061C0</x:v>
      </x:c>
      <x:c r="B2190" s="12" t="str">
        <x:v>Sanganaky Technology</x:v>
      </x:c>
      <x:c r="C2190" s="12" t="str">
        <x:v>Business / brand</x:v>
      </x:c>
      <x:c r="D2190" s="12" t="str">
        <x:v>Unresolved</x:v>
      </x:c>
      <x:c r="E2190" s="12" t="str">
        <x:v>Business activity not established</x:v>
      </x:c>
      <x:c r="F2190" s="12" t="str">
        <x:v>Mixed business audience</x:v>
      </x:c>
      <x:c r="G2190" s="12" t="str">
        <x:v>Business activity and company scale are not established from this name.</x:v>
      </x:c>
      <x:c r="H2190" s="11" t="n">
        <x:v>4</x:v>
      </x:c>
      <x:c r="I2190" s="11" t="n">
        <x:v>4</x:v>
      </x:c>
      <x:c r="J2190" s="11" t="n">
        <x:v>4</x:v>
      </x:c>
      <x:c r="K2190" s="11" t="n">
        <x:v>0</x:v>
      </x:c>
      <x:c r="L2190" s="17" t="n">
        <x:f>SUM(SUMIFS('Costing'!$P$9:$P$492,'Costing'!$A$9:$A$492,"PARTNER-M261"))</x:f>
        <x:v>160000</x:v>
      </x:c>
      <x:c r="M2190" s="17" t="n">
        <x:f>ROUND(L2190*'Costing'!$C$4,2)</x:f>
        <x:v>28800</x:v>
      </x:c>
      <x:c r="N2190" s="17" t="n">
        <x:f>L2190+M2190</x:f>
        <x:v>188800</x:v>
      </x:c>
      <x:c r="O2190" s="12" t="str">
        <x:v>Pune</x:v>
      </x:c>
      <x:c r="P2190" s="12" t="str">
        <x:v>CORP-0677, CORP-0678, CORP-0679, CORP-0680</x:v>
      </x:c>
      <x:c r="Q2190" s="12" t="str">
        <x:v>Sanganaky Technology</x:v>
      </x:c>
    </x:row>
    <x:row r="2191" ht="48" customHeight="1">
      <x:c r="A2191" s="2" t="str">
        <x:v>TEN-AF0213D0C54B</x:v>
      </x:c>
      <x:c r="B2191" s="12" t="str">
        <x:v>Sankalp Bharat</x:v>
      </x:c>
      <x:c r="C2191" s="12" t="str">
        <x:v>Business / brand</x:v>
      </x:c>
      <x:c r="D2191" s="12" t="str">
        <x:v>Education</x:v>
      </x:c>
      <x:c r="E2191" s="12" t="str">
        <x:v>Edtech, training &amp; learning</x:v>
      </x:c>
      <x:c r="F2191" s="12" t="str">
        <x:v>Small-scale prospects</x:v>
      </x:c>
      <x:c r="G2191" s="12" t="str">
        <x:v>Training or education-services business; small-scale prospect assumption.</x:v>
      </x:c>
      <x:c r="H2191" s="11" t="n">
        <x:v>1</x:v>
      </x:c>
      <x:c r="I2191" s="11" t="n">
        <x:v>4</x:v>
      </x:c>
      <x:c r="J2191" s="11" t="n">
        <x:v>4</x:v>
      </x:c>
      <x:c r="K2191" s="11" t="n">
        <x:v>0</x:v>
      </x:c>
      <x:c r="L2191" s="17" t="n">
        <x:f>SUM(SUMIFS('Costing'!$P$9:$P$492,'Costing'!$A$9:$A$492,"MAIN-204"))</x:f>
        <x:v>160000</x:v>
      </x:c>
      <x:c r="M2191" s="17" t="n">
        <x:f>ROUND(L2191*'Costing'!$C$4,2)</x:f>
        <x:v>28800</x:v>
      </x:c>
      <x:c r="N2191" s="17" t="n">
        <x:f>L2191+M2191</x:f>
        <x:v>188800</x:v>
      </x:c>
      <x:c r="O2191" s="12" t="str">
        <x:v>Delhi NCR</x:v>
      </x:c>
      <x:c r="P2191" s="12" t="str">
        <x:v>CORP-0200</x:v>
      </x:c>
      <x:c r="Q2191" s="12" t="str">
        <x:v>Sankalp Bharat</x:v>
      </x:c>
    </x:row>
    <x:row r="2192" ht="49" customHeight="1">
      <x:c r="A2192" s="2" t="str">
        <x:v>TEN-9387E476D00B</x:v>
      </x:c>
      <x:c r="B2192" s="12" t="str">
        <x:v>SAP concur</x:v>
      </x:c>
      <x:c r="C2192" s="12" t="str">
        <x:v>Business / brand</x:v>
      </x:c>
      <x:c r="D2192" s="12" t="str">
        <x:v>IT &amp; digital</x:v>
      </x:c>
      <x:c r="E2192" s="12" t="str">
        <x:v>Technology services — specialty unverified</x:v>
      </x:c>
      <x:c r="F2192" s="12" t="str">
        <x:v>Large enterprise</x:v>
      </x:c>
      <x:c r="G2192" s="12" t="str">
        <x:v>Explicit SAP enterprise-family context; see ENTERPRISE_SUPP_036 evidence.</x:v>
      </x:c>
      <x:c r="H2192" s="11" t="n">
        <x:v>12</x:v>
      </x:c>
      <x:c r="I2192" s="11" t="n">
        <x:v>12</x:v>
      </x:c>
      <x:c r="J2192" s="11" t="n">
        <x:v>12</x:v>
      </x:c>
      <x:c r="K2192" s="11" t="n">
        <x:v>0</x:v>
      </x:c>
      <x:c r="L2192" s="17" t="n">
        <x:f>SUM(SUMIFS('Costing'!$P$9:$P$492,'Costing'!$A$9:$A$492,"PARTNER-M108"))</x:f>
        <x:v>480000</x:v>
      </x:c>
      <x:c r="M2192" s="17" t="n">
        <x:f>ROUND(L2192*'Costing'!$C$4,2)</x:f>
        <x:v>86400</x:v>
      </x:c>
      <x:c r="N2192" s="17" t="n">
        <x:f>L2192+M2192</x:f>
        <x:v>566400</x:v>
      </x:c>
      <x:c r="O2192" s="12" t="str">
        <x:v>Bengaluru</x:v>
      </x:c>
      <x:c r="P2192" s="12" t="str">
        <x:v>CORP-0526, CORP-0527, CORP-0528, CORP-0529, CORP-0530, CORP-0531, CORP-0532, CORP-0533, CORP-0534, CORP-0535, CORP-0536, CORP-0537</x:v>
      </x:c>
      <x:c r="Q2192" s="12" t="str">
        <x:v>SAP concur</x:v>
      </x:c>
    </x:row>
    <x:row r="2193" ht="48" customHeight="1">
      <x:c r="A2193" s="2" t="str">
        <x:v>TEN-3E451D4C362B</x:v>
      </x:c>
      <x:c r="B2193" s="12" t="str">
        <x:v>Sapient</x:v>
      </x:c>
      <x:c r="C2193" s="12" t="str">
        <x:v>Business / brand</x:v>
      </x:c>
      <x:c r="D2193" s="12" t="str">
        <x:v>Unresolved</x:v>
      </x:c>
      <x:c r="E2193" s="12" t="str">
        <x:v>Business activity not established</x:v>
      </x:c>
      <x:c r="F2193" s="12" t="str">
        <x:v>Large enterprise</x:v>
      </x:c>
      <x:c r="G2193" s="12" t="str">
        <x:v>Explicit Publicis enterprise-family context; see ENTERPRISE_SUPP_027 evidence.</x:v>
      </x:c>
      <x:c r="H2193" s="11" t="n">
        <x:v>8</x:v>
      </x:c>
      <x:c r="I2193" s="11" t="n">
        <x:v>8</x:v>
      </x:c>
      <x:c r="J2193" s="11" t="n">
        <x:v>8</x:v>
      </x:c>
      <x:c r="K2193" s="11" t="n">
        <x:v>0</x:v>
      </x:c>
      <x:c r="L2193" s="17" t="n">
        <x:f>SUM(SUMIFS('Costing'!$P$9:$P$492,'Costing'!$A$9:$A$492,"PARTNER-M130"))</x:f>
        <x:v>320000</x:v>
      </x:c>
      <x:c r="M2193" s="17" t="n">
        <x:f>ROUND(L2193*'Costing'!$C$4,2)</x:f>
        <x:v>57600</x:v>
      </x:c>
      <x:c r="N2193" s="17" t="n">
        <x:f>L2193+M2193</x:f>
        <x:v>377600</x:v>
      </x:c>
      <x:c r="O2193" s="12" t="str">
        <x:v>Bengaluru</x:v>
      </x:c>
      <x:c r="P2193" s="12" t="str">
        <x:v>CORP-0548, CORP-0549, CORP-0550, CORP-0551, CORP-0552, CORP-0553, CORP-0554, CORP-0555</x:v>
      </x:c>
      <x:c r="Q2193" s="12" t="str">
        <x:v>Sapient</x:v>
      </x:c>
    </x:row>
    <x:row r="2194" ht="48" customHeight="1">
      <x:c r="A2194" s="2" t="str">
        <x:v>TEN-01CDE5809600</x:v>
      </x:c>
      <x:c r="B2194" s="12" t="str">
        <x:v>Sapio Analytics</x:v>
      </x:c>
      <x:c r="C2194" s="12" t="str">
        <x:v>Business / brand</x:v>
      </x:c>
      <x:c r="D2194" s="12" t="str">
        <x:v>IT &amp; digital</x:v>
      </x:c>
      <x:c r="E2194" s="12" t="str">
        <x:v>AI, data &amp; analytics</x:v>
      </x:c>
      <x:c r="F2194" s="12" t="str">
        <x:v>Small-scale prospects</x:v>
      </x:c>
      <x:c r="G2194" s="12" t="str">
        <x:v>Software or technology-services business; small-scale prospect assumption.</x:v>
      </x:c>
      <x:c r="H2194" s="11" t="n">
        <x:v>1</x:v>
      </x:c>
      <x:c r="I2194" s="11" t="n">
        <x:v>2</x:v>
      </x:c>
      <x:c r="J2194" s="11" t="n">
        <x:v>2</x:v>
      </x:c>
      <x:c r="K2194" s="11" t="n">
        <x:v>0</x:v>
      </x:c>
      <x:c r="L2194" s="17" t="n">
        <x:f>SUM(SUMIFS('Costing'!$P$9:$P$492,'Costing'!$A$9:$A$492,"MAIN-318"))</x:f>
        <x:v>30000</x:v>
      </x:c>
      <x:c r="M2194" s="17" t="n">
        <x:f>ROUND(L2194*'Costing'!$C$4,2)</x:f>
        <x:v>5400</x:v>
      </x:c>
      <x:c r="N2194" s="17" t="n">
        <x:f>L2194+M2194</x:f>
        <x:v>35400</x:v>
      </x:c>
      <x:c r="O2194" s="12" t="str">
        <x:v>Mumbai</x:v>
      </x:c>
      <x:c r="P2194" s="12" t="str">
        <x:v>CORP-0314</x:v>
      </x:c>
      <x:c r="Q2194" s="12" t="str">
        <x:v>Sapio Analytics</x:v>
      </x:c>
    </x:row>
    <x:row r="2195" ht="48" customHeight="1">
      <x:c r="A2195" s="2" t="str">
        <x:v>TEN-E4218F5619DB</x:v>
      </x:c>
      <x:c r="B2195" s="12" t="str">
        <x:v>Sardius Technologies</x:v>
      </x:c>
      <x:c r="C2195" s="12" t="str">
        <x:v>Business / brand</x:v>
      </x:c>
      <x:c r="D2195" s="12" t="str">
        <x:v>Unresolved</x:v>
      </x:c>
      <x:c r="E2195" s="12" t="str">
        <x:v>Business activity not established</x:v>
      </x:c>
      <x:c r="F2195" s="12" t="str">
        <x:v>Mixed business audience</x:v>
      </x:c>
      <x:c r="G2195" s="12" t="str">
        <x:v>Business activity and company scale are not established from this name.</x:v>
      </x:c>
      <x:c r="H2195" s="11" t="n">
        <x:v>5</x:v>
      </x:c>
      <x:c r="I2195" s="11" t="n">
        <x:v>5</x:v>
      </x:c>
      <x:c r="J2195" s="11" t="n">
        <x:v>5</x:v>
      </x:c>
      <x:c r="K2195" s="11" t="n">
        <x:v>0</x:v>
      </x:c>
      <x:c r="L2195" s="17" t="n">
        <x:f>SUM(SUMIFS('Costing'!$P$9:$P$492,'Costing'!$A$9:$A$492,"PARTNER-M342"))</x:f>
        <x:v>200000</x:v>
      </x:c>
      <x:c r="M2195" s="17" t="n">
        <x:f>ROUND(L2195*'Costing'!$C$4,2)</x:f>
        <x:v>36000</x:v>
      </x:c>
      <x:c r="N2195" s="17" t="n">
        <x:f>L2195+M2195</x:f>
        <x:v>236000</x:v>
      </x:c>
      <x:c r="O2195" s="12" t="str">
        <x:v>Chennai</x:v>
      </x:c>
      <x:c r="P2195" s="12" t="str">
        <x:v>CORP-0756, CORP-0757, CORP-0758, CORP-0759, CORP-0760</x:v>
      </x:c>
      <x:c r="Q2195" s="12" t="str">
        <x:v>Sardius Technologies</x:v>
      </x:c>
    </x:row>
    <x:row r="2196" ht="48" customHeight="1">
      <x:c r="A2196" s="2" t="str">
        <x:v>TEN-BA99DD73577A</x:v>
      </x:c>
      <x:c r="B2196" s="12" t="str">
        <x:v>SARFINS CARE</x:v>
      </x:c>
      <x:c r="C2196" s="12" t="str">
        <x:v>Business / brand</x:v>
      </x:c>
      <x:c r="D2196" s="12" t="str">
        <x:v>Unresolved</x:v>
      </x:c>
      <x:c r="E2196" s="12" t="str">
        <x:v>Business activity not established</x:v>
      </x:c>
      <x:c r="F2196" s="12" t="str">
        <x:v>Mixed business audience</x:v>
      </x:c>
      <x:c r="G2196" s="12" t="str">
        <x:v>Business activity and company scale are not established from this name.</x:v>
      </x:c>
      <x:c r="H2196" s="11" t="n">
        <x:v>1</x:v>
      </x:c>
      <x:c r="I2196" s="11" t="n">
        <x:v>1</x:v>
      </x:c>
      <x:c r="J2196" s="11" t="n">
        <x:v>1</x:v>
      </x:c>
      <x:c r="K2196" s="11" t="n">
        <x:v>0</x:v>
      </x:c>
      <x:c r="L2196" s="17" t="n">
        <x:f>SUM(SUMIFS('Costing'!$P$9:$P$492,'Costing'!$A$9:$A$492,"MAIN-203"))</x:f>
        <x:v>40000</x:v>
      </x:c>
      <x:c r="M2196" s="17" t="n">
        <x:f>ROUND(L2196*'Costing'!$C$4,2)</x:f>
        <x:v>7200</x:v>
      </x:c>
      <x:c r="N2196" s="17" t="n">
        <x:f>L2196+M2196</x:f>
        <x:v>47200</x:v>
      </x:c>
      <x:c r="O2196" s="12" t="str">
        <x:v>Delhi NCR</x:v>
      </x:c>
      <x:c r="P2196" s="12" t="str">
        <x:v>CORP-0199</x:v>
      </x:c>
      <x:c r="Q2196" s="12" t="str">
        <x:v>SARFINS CARE</x:v>
      </x:c>
    </x:row>
    <x:row r="2197" ht="48" customHeight="1">
      <x:c r="A2197" s="2" t="str">
        <x:v>TEN-5F95F2022E30</x:v>
      </x:c>
      <x:c r="B2197" s="12" t="str">
        <x:v>Sarla Advantech Pvt. Ltd</x:v>
      </x:c>
      <x:c r="C2197" s="12" t="str">
        <x:v>Business / brand</x:v>
      </x:c>
      <x:c r="D2197" s="12" t="str">
        <x:v>IT &amp; digital</x:v>
      </x:c>
      <x:c r="E2197" s="12" t="str">
        <x:v>Enterprise software &amp; digital engineering</x:v>
      </x:c>
      <x:c r="F2197" s="12" t="str">
        <x:v>Small-scale prospects</x:v>
      </x:c>
      <x:c r="G2197" s="12" t="str">
        <x:v>Software or technology-services business; small-scale prospect assumption.</x:v>
      </x:c>
      <x:c r="H2197" s="11" t="n">
        <x:v>10</x:v>
      </x:c>
      <x:c r="I2197" s="11" t="n">
        <x:v>10</x:v>
      </x:c>
      <x:c r="J2197" s="11" t="n">
        <x:v>10</x:v>
      </x:c>
      <x:c r="K2197" s="11" t="n">
        <x:v>0</x:v>
      </x:c>
      <x:c r="L2197" s="17" t="n">
        <x:f>SUM(SUMIFS('Costing'!$P$9:$P$492,'Costing'!$A$9:$A$492,"PARTNER-M205"))</x:f>
        <x:v>400000</x:v>
      </x:c>
      <x:c r="M2197" s="17" t="n">
        <x:f>ROUND(L2197*'Costing'!$C$4,2)</x:f>
        <x:v>72000</x:v>
      </x:c>
      <x:c r="N2197" s="17" t="n">
        <x:f>L2197+M2197</x:f>
        <x:v>472000</x:v>
      </x:c>
      <x:c r="O2197" s="12" t="str">
        <x:v>Mumbai</x:v>
      </x:c>
      <x:c r="P2197" s="12" t="str">
        <x:v>CORP-0622, CORP-0623, CORP-0624, CORP-0625, CORP-0626, CORP-0627, CORP-0628, CORP-0629, CORP-0630, CORP-0631</x:v>
      </x:c>
      <x:c r="Q2197" s="12" t="str">
        <x:v>Sarla Advantech Pvt. Ltd</x:v>
      </x:c>
    </x:row>
    <x:row r="2198" ht="48" customHeight="1">
      <x:c r="A2198" s="2" t="str">
        <x:v>TEN-4DA6C6809231</x:v>
      </x:c>
      <x:c r="B2198" s="12" t="str">
        <x:v>Satguru</x:v>
      </x:c>
      <x:c r="C2198" s="12" t="str">
        <x:v>Business / brand</x:v>
      </x:c>
      <x:c r="D2198" s="12" t="str">
        <x:v>Unresolved</x:v>
      </x:c>
      <x:c r="E2198" s="12" t="str">
        <x:v>Business activity not established</x:v>
      </x:c>
      <x:c r="F2198" s="12" t="str">
        <x:v>Mixed business audience</x:v>
      </x:c>
      <x:c r="G2198" s="12" t="str">
        <x:v>Business activity and company scale are not established from this name.</x:v>
      </x:c>
      <x:c r="H2198" s="11" t="n">
        <x:v>1</x:v>
      </x:c>
      <x:c r="I2198" s="11" t="n">
        <x:v>1</x:v>
      </x:c>
      <x:c r="J2198" s="11" t="n">
        <x:v>1</x:v>
      </x:c>
      <x:c r="K2198" s="11" t="n">
        <x:v>0</x:v>
      </x:c>
      <x:c r="L2198" s="17" t="n">
        <x:f>SUM(SUMIFS('Costing'!$P$9:$P$492,'Costing'!$A$9:$A$492,"MAIN-266"))</x:f>
        <x:v>20000</x:v>
      </x:c>
      <x:c r="M2198" s="17" t="n">
        <x:f>ROUND(L2198*'Costing'!$C$4,2)</x:f>
        <x:v>3600</x:v>
      </x:c>
      <x:c r="N2198" s="17" t="n">
        <x:f>L2198+M2198</x:f>
        <x:v>23600</x:v>
      </x:c>
      <x:c r="O2198" s="12" t="str">
        <x:v>Indore</x:v>
      </x:c>
      <x:c r="P2198" s="12" t="str">
        <x:v>CORP-0262</x:v>
      </x:c>
      <x:c r="Q2198" s="12" t="str">
        <x:v>Satguru</x:v>
      </x:c>
    </x:row>
    <x:row r="2199" ht="48" customHeight="1">
      <x:c r="A2199" s="2" t="str">
        <x:v>TEN-9EC6F680C0E5</x:v>
      </x:c>
      <x:c r="B2199" s="12" t="str">
        <x:v>Sathya Technosoft India Pvt Ltd</x:v>
      </x:c>
      <x:c r="C2199" s="12" t="str">
        <x:v>Business / brand</x:v>
      </x:c>
      <x:c r="D2199" s="12" t="str">
        <x:v>IT &amp; digital</x:v>
      </x:c>
      <x:c r="E2199" s="12" t="str">
        <x:v>Enterprise software &amp; digital engineering</x:v>
      </x:c>
      <x:c r="F2199" s="12" t="str">
        <x:v>Small-scale prospects</x:v>
      </x:c>
      <x:c r="G2199" s="12" t="str">
        <x:v>Software or technology-services business; small-scale prospect assumption.</x:v>
      </x:c>
      <x:c r="H2199" s="11" t="n">
        <x:v>1</x:v>
      </x:c>
      <x:c r="I2199" s="11" t="n">
        <x:v>8</x:v>
      </x:c>
      <x:c r="J2199" s="11" t="n">
        <x:v>8</x:v>
      </x:c>
      <x:c r="K2199" s="11" t="n">
        <x:v>0</x:v>
      </x:c>
      <x:c r="L2199" s="17" t="n">
        <x:f>SUM(SUMIFS('Costing'!$P$9:$P$492,'Costing'!$A$9:$A$492,"MAIN-059"))</x:f>
        <x:v>120000</x:v>
      </x:c>
      <x:c r="M2199" s="17" t="n">
        <x:f>ROUND(L2199*'Costing'!$C$4,2)</x:f>
        <x:v>21600</x:v>
      </x:c>
      <x:c r="N2199" s="17" t="n">
        <x:f>L2199+M2199</x:f>
        <x:v>141600</x:v>
      </x:c>
      <x:c r="O2199" s="12" t="str">
        <x:v>Bengaluru</x:v>
      </x:c>
      <x:c r="P2199" s="12" t="str">
        <x:v>CORP-0055</x:v>
      </x:c>
      <x:c r="Q2199" s="12" t="str">
        <x:v>Sathya Technosoft India Pvt Ltd</x:v>
      </x:c>
    </x:row>
    <x:row r="2200" ht="48" customHeight="1">
      <x:c r="A2200" s="2" t="str">
        <x:v>TEN-4B1E6BDB3887</x:v>
      </x:c>
      <x:c r="B2200" s="12" t="str">
        <x:v>Satin Housing Finance Ltd</x:v>
      </x:c>
      <x:c r="C2200" s="12" t="str">
        <x:v>Business / brand</x:v>
      </x:c>
      <x:c r="D2200" s="12" t="str">
        <x:v>Finance &amp; insurance</x:v>
      </x:c>
      <x:c r="E2200" s="12" t="str">
        <x:v>Banking &amp; credit</x:v>
      </x:c>
      <x:c r="F2200" s="12" t="str">
        <x:v>Mixed business audience</x:v>
      </x:c>
      <x:c r="G2200" s="12" t="str">
        <x:v>Established brand or business network; local company scale is not established. Use a mixed-business message.</x:v>
      </x:c>
      <x:c r="H2200" s="11" t="n">
        <x:v>1</x:v>
      </x:c>
      <x:c r="I2200" s="11" t="n">
        <x:v>1</x:v>
      </x:c>
      <x:c r="J2200" s="11" t="n">
        <x:v>1</x:v>
      </x:c>
      <x:c r="K2200" s="11" t="n">
        <x:v>0</x:v>
      </x:c>
      <x:c r="L2200" s="17" t="n">
        <x:f>SUM(SUMIFS('Costing'!$P$9:$P$492,'Costing'!$A$9:$A$492,"MAIN-270"))</x:f>
        <x:v>20000</x:v>
      </x:c>
      <x:c r="M2200" s="17" t="n">
        <x:f>ROUND(L2200*'Costing'!$C$4,2)</x:f>
        <x:v>3600</x:v>
      </x:c>
      <x:c r="N2200" s="17" t="n">
        <x:f>L2200+M2200</x:f>
        <x:v>23600</x:v>
      </x:c>
      <x:c r="O2200" s="12" t="str">
        <x:v>Indore</x:v>
      </x:c>
      <x:c r="P2200" s="12" t="str">
        <x:v>CORP-0266</x:v>
      </x:c>
      <x:c r="Q2200" s="12" t="str">
        <x:v>Satin Housing Finance Ltd</x:v>
      </x:c>
    </x:row>
    <x:row r="2201" ht="48" customHeight="1">
      <x:c r="A2201" s="2" t="str">
        <x:v>TEN-0E22A9EB7739</x:v>
      </x:c>
      <x:c r="B2201" s="12" t="str">
        <x:v>Sato argox india pvt ltd</x:v>
      </x:c>
      <x:c r="C2201" s="12" t="str">
        <x:v>Business / brand</x:v>
      </x:c>
      <x:c r="D2201" s="12" t="str">
        <x:v>Engineering &amp; manufacturing</x:v>
      </x:c>
      <x:c r="E2201" s="12" t="str">
        <x:v>Electronics, industrial systems &amp; manufacturing</x:v>
      </x:c>
      <x:c r="F2201" s="12" t="str">
        <x:v>Mixed business audience</x:v>
      </x:c>
      <x:c r="G2201" s="12" t="str">
        <x:v>Established brand or business network; local company scale is not established. Use a mixed-business message.</x:v>
      </x:c>
      <x:c r="H2201" s="11" t="n">
        <x:v>1</x:v>
      </x:c>
      <x:c r="I2201" s="11" t="n">
        <x:v>2</x:v>
      </x:c>
      <x:c r="J2201" s="11" t="n">
        <x:v>2</x:v>
      </x:c>
      <x:c r="K2201" s="11" t="n">
        <x:v>0</x:v>
      </x:c>
      <x:c r="L2201" s="17" t="n">
        <x:f>SUM(SUMIFS('Costing'!$P$9:$P$492,'Costing'!$A$9:$A$492,"MAIN-182"))</x:f>
        <x:v>30000</x:v>
      </x:c>
      <x:c r="M2201" s="17" t="n">
        <x:f>ROUND(L2201*'Costing'!$C$4,2)</x:f>
        <x:v>5400</x:v>
      </x:c>
      <x:c r="N2201" s="17" t="n">
        <x:f>L2201+M2201</x:f>
        <x:v>35400</x:v>
      </x:c>
      <x:c r="O2201" s="12" t="str">
        <x:v>Delhi NCR</x:v>
      </x:c>
      <x:c r="P2201" s="12" t="str">
        <x:v>CORP-0178</x:v>
      </x:c>
      <x:c r="Q2201" s="12" t="str">
        <x:v>Sato argox india pvt ltd</x:v>
      </x:c>
    </x:row>
    <x:row r="2202" ht="48" customHeight="1">
      <x:c r="A2202" s="2" t="str">
        <x:v>TEN-A6A693646399</x:v>
      </x:c>
      <x:c r="B2202" s="12" t="str">
        <x:v>Satya Nora</x:v>
      </x:c>
      <x:c r="C2202" s="12" t="str">
        <x:v>Business / brand</x:v>
      </x:c>
      <x:c r="D2202" s="12" t="str">
        <x:v>Unresolved</x:v>
      </x:c>
      <x:c r="E2202" s="12" t="str">
        <x:v>Business activity not established</x:v>
      </x:c>
      <x:c r="F2202" s="12" t="str">
        <x:v>Mixed business audience</x:v>
      </x:c>
      <x:c r="G2202" s="12" t="str">
        <x:v>Business activity and company scale are not established from this name.</x:v>
      </x:c>
      <x:c r="H2202" s="11" t="n">
        <x:v>1</x:v>
      </x:c>
      <x:c r="I2202" s="11" t="n">
        <x:v>1</x:v>
      </x:c>
      <x:c r="J2202" s="11" t="n">
        <x:v>1</x:v>
      </x:c>
      <x:c r="K2202" s="11" t="n">
        <x:v>0</x:v>
      </x:c>
      <x:c r="L2202" s="17" t="n">
        <x:f>SUM(SUMIFS('Costing'!$P$9:$P$492,'Costing'!$A$9:$A$492,"MAIN-191"))</x:f>
        <x:v>40000</x:v>
      </x:c>
      <x:c r="M2202" s="17" t="n">
        <x:f>ROUND(L2202*'Costing'!$C$4,2)</x:f>
        <x:v>7200</x:v>
      </x:c>
      <x:c r="N2202" s="17" t="n">
        <x:f>L2202+M2202</x:f>
        <x:v>47200</x:v>
      </x:c>
      <x:c r="O2202" s="12" t="str">
        <x:v>Delhi NCR</x:v>
      </x:c>
      <x:c r="P2202" s="12" t="str">
        <x:v>CORP-0187</x:v>
      </x:c>
      <x:c r="Q2202" s="12" t="str">
        <x:v>Satya Nora</x:v>
      </x:c>
    </x:row>
    <x:row r="2203" ht="48" customHeight="1">
      <x:c r="A2203" s="2" t="str">
        <x:v>TEN-E7BD224184BE</x:v>
      </x:c>
      <x:c r="B2203" s="12" t="str">
        <x:v>Satyam Infoway</x:v>
      </x:c>
      <x:c r="C2203" s="12" t="str">
        <x:v>Business / brand</x:v>
      </x:c>
      <x:c r="D2203" s="12" t="str">
        <x:v>IT &amp; digital</x:v>
      </x:c>
      <x:c r="E2203" s="12" t="str">
        <x:v>Enterprise software &amp; digital engineering</x:v>
      </x:c>
      <x:c r="F2203" s="12" t="str">
        <x:v>Mixed business audience</x:v>
      </x:c>
      <x:c r="G2203" s="12" t="str">
        <x:v>Established brand or business network; local company scale is not established. Use a mixed-business message.</x:v>
      </x:c>
      <x:c r="H2203" s="11" t="n">
        <x:v>2</x:v>
      </x:c>
      <x:c r="I2203" s="11" t="n">
        <x:v>2</x:v>
      </x:c>
      <x:c r="J2203" s="11" t="n">
        <x:v>2</x:v>
      </x:c>
      <x:c r="K2203" s="11" t="n">
        <x:v>0</x:v>
      </x:c>
      <x:c r="L2203" s="17" t="n">
        <x:f>SUM(SUMIFS('Costing'!$P$9:$P$492,'Costing'!$A$9:$A$492,"PARTNER-M241"))</x:f>
        <x:v>80000</x:v>
      </x:c>
      <x:c r="M2203" s="17" t="n">
        <x:f>ROUND(L2203*'Costing'!$C$4,2)</x:f>
        <x:v>14400</x:v>
      </x:c>
      <x:c r="N2203" s="17" t="n">
        <x:f>L2203+M2203</x:f>
        <x:v>94400</x:v>
      </x:c>
      <x:c r="O2203" s="12" t="str">
        <x:v>Mumbai</x:v>
      </x:c>
      <x:c r="P2203" s="12" t="str">
        <x:v>CORP-0658, CORP-0659</x:v>
      </x:c>
      <x:c r="Q2203" s="12" t="str">
        <x:v>Satyam Infoway</x:v>
      </x:c>
    </x:row>
    <x:row r="2204" ht="48" customHeight="1">
      <x:c r="A2204" s="2" t="str">
        <x:v>TEN-DC70656A098D</x:v>
      </x:c>
      <x:c r="B2204" s="12" t="str">
        <x:v>SAVEMAX</x:v>
      </x:c>
      <x:c r="C2204" s="12" t="str">
        <x:v>Business / brand</x:v>
      </x:c>
      <x:c r="D2204" s="12" t="str">
        <x:v>Trade, consumer &amp; logistics</x:v>
      </x:c>
      <x:c r="E2204" s="12" t="str">
        <x:v>Real estate, property &amp; construction services</x:v>
      </x:c>
      <x:c r="F2204" s="12" t="str">
        <x:v>Small-scale prospects</x:v>
      </x:c>
      <x:c r="G2204" s="12" t="str">
        <x:v>Trading or consumer-services business; small-scale prospect assumption.</x:v>
      </x:c>
      <x:c r="H2204" s="11" t="n">
        <x:v>1</x:v>
      </x:c>
      <x:c r="I2204" s="11" t="n">
        <x:v>1</x:v>
      </x:c>
      <x:c r="J2204" s="11" t="n">
        <x:v>1</x:v>
      </x:c>
      <x:c r="K2204" s="11" t="n">
        <x:v>0</x:v>
      </x:c>
      <x:c r="L2204" s="17" t="n">
        <x:f>SUM(SUMIFS('Costing'!$P$9:$P$492,'Costing'!$A$9:$A$492,"MAIN-385"))</x:f>
        <x:v>15000</x:v>
      </x:c>
      <x:c r="M2204" s="17" t="n">
        <x:f>ROUND(L2204*'Costing'!$C$4,2)</x:f>
        <x:v>2700</x:v>
      </x:c>
      <x:c r="N2204" s="17" t="n">
        <x:f>L2204+M2204</x:f>
        <x:v>17700</x:v>
      </x:c>
      <x:c r="O2204" s="12" t="str">
        <x:v>Pune</x:v>
      </x:c>
      <x:c r="P2204" s="12" t="str">
        <x:v>CORP-0381</x:v>
      </x:c>
      <x:c r="Q2204" s="12" t="str">
        <x:v>SAVEMAX</x:v>
      </x:c>
    </x:row>
    <x:row r="2205" ht="48" customHeight="1">
      <x:c r="A2205" s="2" t="str">
        <x:v>TEN-91C2E0669804</x:v>
      </x:c>
      <x:c r="B2205" s="12" t="str">
        <x:v>Saviynt</x:v>
      </x:c>
      <x:c r="C2205" s="12" t="str">
        <x:v>Business / brand</x:v>
      </x:c>
      <x:c r="D2205" s="12" t="str">
        <x:v>IT &amp; digital</x:v>
      </x:c>
      <x:c r="E2205" s="12" t="str">
        <x:v>Cybersecurity &amp; cloud infrastructure</x:v>
      </x:c>
      <x:c r="F2205" s="12" t="str">
        <x:v>Small-scale prospects</x:v>
      </x:c>
      <x:c r="G2205" s="12" t="str">
        <x:v>Software or technology-services business; small-scale prospect assumption.</x:v>
      </x:c>
      <x:c r="H2205" s="11" t="n">
        <x:v>5</x:v>
      </x:c>
      <x:c r="I2205" s="11" t="n">
        <x:v>5</x:v>
      </x:c>
      <x:c r="J2205" s="11" t="n">
        <x:v>5</x:v>
      </x:c>
      <x:c r="K2205" s="11" t="n">
        <x:v>0</x:v>
      </x:c>
      <x:c r="L2205" s="17" t="n">
        <x:f>SUM(SUMIFS('Costing'!$P$9:$P$492,'Costing'!$A$9:$A$492,"PARTNER-M060"))</x:f>
        <x:v>200000</x:v>
      </x:c>
      <x:c r="M2205" s="17" t="n">
        <x:f>ROUND(L2205*'Costing'!$C$4,2)</x:f>
        <x:v>36000</x:v>
      </x:c>
      <x:c r="N2205" s="17" t="n">
        <x:f>L2205+M2205</x:f>
        <x:v>236000</x:v>
      </x:c>
      <x:c r="O2205" s="12" t="str">
        <x:v>Bengaluru</x:v>
      </x:c>
      <x:c r="P2205" s="12" t="str">
        <x:v>CORP-0478, CORP-0479, CORP-0480, CORP-0481, CORP-0482</x:v>
      </x:c>
      <x:c r="Q2205" s="12" t="str">
        <x:v>Saviynt</x:v>
      </x:c>
    </x:row>
    <x:row r="2206" ht="48" customHeight="1">
      <x:c r="A2206" s="2" t="str">
        <x:v>TEN-1D36B3EBD188</x:v>
      </x:c>
      <x:c r="B2206" s="12" t="str">
        <x:v>Sawariya Futureworks Limited</x:v>
      </x:c>
      <x:c r="C2206" s="12" t="str">
        <x:v>Business / brand</x:v>
      </x:c>
      <x:c r="D2206" s="12" t="str">
        <x:v>Unresolved</x:v>
      </x:c>
      <x:c r="E2206" s="12" t="str">
        <x:v>Business activity not established</x:v>
      </x:c>
      <x:c r="F2206" s="12" t="str">
        <x:v>Mixed business audience</x:v>
      </x:c>
      <x:c r="G2206" s="12" t="str">
        <x:v>Business activity and company scale are not established from this name.</x:v>
      </x:c>
      <x:c r="H2206" s="11" t="n">
        <x:v>1</x:v>
      </x:c>
      <x:c r="I2206" s="11" t="n">
        <x:v>2</x:v>
      </x:c>
      <x:c r="J2206" s="11" t="n">
        <x:v>2</x:v>
      </x:c>
      <x:c r="K2206" s="11" t="n">
        <x:v>0</x:v>
      </x:c>
      <x:c r="L2206" s="17" t="n">
        <x:f>SUM(SUMIFS('Costing'!$P$9:$P$492,'Costing'!$A$9:$A$492,"MAIN-325"))</x:f>
        <x:v>80000</x:v>
      </x:c>
      <x:c r="M2206" s="17" t="n">
        <x:f>ROUND(L2206*'Costing'!$C$4,2)</x:f>
        <x:v>14400</x:v>
      </x:c>
      <x:c r="N2206" s="17" t="n">
        <x:f>L2206+M2206</x:f>
        <x:v>94400</x:v>
      </x:c>
      <x:c r="O2206" s="12" t="str">
        <x:v>Mumbai</x:v>
      </x:c>
      <x:c r="P2206" s="12" t="str">
        <x:v>CORP-0321</x:v>
      </x:c>
      <x:c r="Q2206" s="12" t="str">
        <x:v>Sawariya Futureworks Limited</x:v>
      </x:c>
    </x:row>
    <x:row r="2207" ht="48" customHeight="1">
      <x:c r="A2207" s="2" t="str">
        <x:v>TEN-1719E5D67F49</x:v>
      </x:c>
      <x:c r="B2207" s="12" t="str">
        <x:v>SAY-SO TECHNOLOGIES</x:v>
      </x:c>
      <x:c r="C2207" s="12" t="str">
        <x:v>Business / brand</x:v>
      </x:c>
      <x:c r="D2207" s="12" t="str">
        <x:v>Unresolved</x:v>
      </x:c>
      <x:c r="E2207" s="12" t="str">
        <x:v>Business activity not established</x:v>
      </x:c>
      <x:c r="F2207" s="12" t="str">
        <x:v>Mixed business audience</x:v>
      </x:c>
      <x:c r="G2207" s="12" t="str">
        <x:v>Business activity and company scale are not established from this name.</x:v>
      </x:c>
      <x:c r="H2207" s="11" t="n">
        <x:v>1</x:v>
      </x:c>
      <x:c r="I2207" s="11" t="n">
        <x:v>8</x:v>
      </x:c>
      <x:c r="J2207" s="11" t="n">
        <x:v>8</x:v>
      </x:c>
      <x:c r="K2207" s="11" t="n">
        <x:v>0</x:v>
      </x:c>
      <x:c r="L2207" s="17" t="n">
        <x:f>SUM(SUMIFS('Costing'!$P$9:$P$492,'Costing'!$A$9:$A$492,"MAIN-126"))</x:f>
        <x:v>200000</x:v>
      </x:c>
      <x:c r="M2207" s="17" t="n">
        <x:f>ROUND(L2207*'Costing'!$C$4,2)</x:f>
        <x:v>36000</x:v>
      </x:c>
      <x:c r="N2207" s="17" t="n">
        <x:f>L2207+M2207</x:f>
        <x:v>236000</x:v>
      </x:c>
      <x:c r="O2207" s="12" t="str">
        <x:v>Bengaluru</x:v>
      </x:c>
      <x:c r="P2207" s="12" t="str">
        <x:v>CORP-0122</x:v>
      </x:c>
      <x:c r="Q2207" s="12" t="str">
        <x:v>SAY-SO TECHNOLOGIES</x:v>
      </x:c>
    </x:row>
    <x:row r="2208" ht="48" customHeight="1">
      <x:c r="A2208" s="2" t="str">
        <x:v>TEN-5DBFA12F5818</x:v>
      </x:c>
      <x:c r="B2208" s="12" t="str">
        <x:v>SBI Funds Management Limited</x:v>
      </x:c>
      <x:c r="C2208" s="12" t="str">
        <x:v>Business / brand</x:v>
      </x:c>
      <x:c r="D2208" s="12" t="str">
        <x:v>Finance &amp; insurance</x:v>
      </x:c>
      <x:c r="E2208" s="12" t="str">
        <x:v>Banking, insurance, investments &amp; financial services</x:v>
      </x:c>
      <x:c r="F2208" s="12" t="str">
        <x:v>Large enterprise</x:v>
      </x:c>
      <x:c r="G2208" s="12" t="str">
        <x:v>Explicit State Bank of India enterprise-family context; see ENTERPRISE_SUPP_045 evidence.</x:v>
      </x:c>
      <x:c r="H2208" s="11" t="n">
        <x:v>4</x:v>
      </x:c>
      <x:c r="I2208" s="11" t="n">
        <x:v>4</x:v>
      </x:c>
      <x:c r="J2208" s="11" t="n">
        <x:v>4</x:v>
      </x:c>
      <x:c r="K2208" s="11" t="n">
        <x:v>0</x:v>
      </x:c>
      <x:c r="L2208" s="17" t="n">
        <x:f>SUM(SUMIFS('Costing'!$P$9:$P$492,'Costing'!$A$9:$A$492,"PARTNER-M171"))</x:f>
        <x:v>160000</x:v>
      </x:c>
      <x:c r="M2208" s="17" t="n">
        <x:f>ROUND(L2208*'Costing'!$C$4,2)</x:f>
        <x:v>28800</x:v>
      </x:c>
      <x:c r="N2208" s="17" t="n">
        <x:f>L2208+M2208</x:f>
        <x:v>188800</x:v>
      </x:c>
      <x:c r="O2208" s="12" t="str">
        <x:v>Mumbai</x:v>
      </x:c>
      <x:c r="P2208" s="12" t="str">
        <x:v>CORP-0588, CORP-0589, CORP-0590, CORP-0591</x:v>
      </x:c>
      <x:c r="Q2208" s="12" t="str">
        <x:v>SBI Funds Management Limited</x:v>
      </x:c>
    </x:row>
    <x:row r="2209" ht="48" customHeight="1">
      <x:c r="A2209" s="2" t="str">
        <x:v>TEN-CC51F3504D6F</x:v>
      </x:c>
      <x:c r="B2209" s="12" t="str">
        <x:v>SBI Mutual Funds</x:v>
      </x:c>
      <x:c r="C2209" s="12" t="str">
        <x:v>Business / brand</x:v>
      </x:c>
      <x:c r="D2209" s="12" t="str">
        <x:v>Finance &amp; insurance</x:v>
      </x:c>
      <x:c r="E2209" s="12" t="str">
        <x:v>Investments, securities &amp; wealth</x:v>
      </x:c>
      <x:c r="F2209" s="12" t="str">
        <x:v>Large enterprise</x:v>
      </x:c>
      <x:c r="G2209" s="12" t="str">
        <x:v>Explicit State Bank of India enterprise-family context; see ENTERPRISE_SUPP_045 evidence.</x:v>
      </x:c>
      <x:c r="H2209" s="11" t="n">
        <x:v>1</x:v>
      </x:c>
      <x:c r="I2209" s="11" t="n">
        <x:v>1</x:v>
      </x:c>
      <x:c r="J2209" s="11" t="n">
        <x:v>1</x:v>
      </x:c>
      <x:c r="K2209" s="11" t="n">
        <x:v>0</x:v>
      </x:c>
      <x:c r="L2209" s="17" t="n">
        <x:f>SUM(SUMIFS('Costing'!$P$9:$P$492,'Costing'!$A$9:$A$492,"MAIN-323"))</x:f>
        <x:v>15000</x:v>
      </x:c>
      <x:c r="M2209" s="17" t="n">
        <x:f>ROUND(L2209*'Costing'!$C$4,2)</x:f>
        <x:v>2700</x:v>
      </x:c>
      <x:c r="N2209" s="17" t="n">
        <x:f>L2209+M2209</x:f>
        <x:v>17700</x:v>
      </x:c>
      <x:c r="O2209" s="12" t="str">
        <x:v>Mumbai</x:v>
      </x:c>
      <x:c r="P2209" s="12" t="str">
        <x:v>CORP-0319</x:v>
      </x:c>
      <x:c r="Q2209" s="12" t="str">
        <x:v>SBI Mutual Funds</x:v>
      </x:c>
    </x:row>
    <x:row r="2210" ht="48" customHeight="1">
      <x:c r="A2210" s="2" t="str">
        <x:v>TEN-87650DA43E90</x:v>
      </x:c>
      <x:c r="B2210" s="12" t="str">
        <x:v>SBI Securities</x:v>
      </x:c>
      <x:c r="C2210" s="12" t="str">
        <x:v>Business / brand</x:v>
      </x:c>
      <x:c r="D2210" s="12" t="str">
        <x:v>Finance &amp; insurance</x:v>
      </x:c>
      <x:c r="E2210" s="12" t="str">
        <x:v>Investments, securities &amp; wealth</x:v>
      </x:c>
      <x:c r="F2210" s="12" t="str">
        <x:v>Large enterprise</x:v>
      </x:c>
      <x:c r="G2210" s="12" t="str">
        <x:v>Explicit State Bank of India enterprise-family context; see ENTERPRISE_SUPP_045 evidence.</x:v>
      </x:c>
      <x:c r="H2210" s="11" t="n">
        <x:v>1</x:v>
      </x:c>
      <x:c r="I2210" s="11" t="n">
        <x:v>2</x:v>
      </x:c>
      <x:c r="J2210" s="11" t="n">
        <x:v>2</x:v>
      </x:c>
      <x:c r="K2210" s="11" t="n">
        <x:v>0</x:v>
      </x:c>
      <x:c r="L2210" s="17" t="n">
        <x:f>SUM(SUMIFS('Costing'!$P$9:$P$492,'Costing'!$A$9:$A$492,"MAIN-268"))</x:f>
        <x:v>80000</x:v>
      </x:c>
      <x:c r="M2210" s="17" t="n">
        <x:f>ROUND(L2210*'Costing'!$C$4,2)</x:f>
        <x:v>14400</x:v>
      </x:c>
      <x:c r="N2210" s="17" t="n">
        <x:f>L2210+M2210</x:f>
        <x:v>94400</x:v>
      </x:c>
      <x:c r="O2210" s="12" t="str">
        <x:v>Indore</x:v>
      </x:c>
      <x:c r="P2210" s="12" t="str">
        <x:v>CORP-0264</x:v>
      </x:c>
      <x:c r="Q2210" s="12" t="str">
        <x:v>SBI Securities</x:v>
      </x:c>
    </x:row>
    <x:row r="2211" ht="48" customHeight="1">
      <x:c r="A2211" s="2" t="str">
        <x:v>TEN-918C82EDA072</x:v>
      </x:c>
      <x:c r="B2211" s="12" t="str">
        <x:v>Scalene Works</x:v>
      </x:c>
      <x:c r="C2211" s="12" t="str">
        <x:v>Business / brand</x:v>
      </x:c>
      <x:c r="D2211" s="12" t="str">
        <x:v>Professional services</x:v>
      </x:c>
      <x:c r="E2211" s="12" t="str">
        <x:v>Recruitment, HR &amp; staffing</x:v>
      </x:c>
      <x:c r="F2211" s="12" t="str">
        <x:v>Small-scale prospects</x:v>
      </x:c>
      <x:c r="G2211" s="12" t="str">
        <x:v>Professional service, agency or advisory model; small-scale prospect assumption.</x:v>
      </x:c>
      <x:c r="H2211" s="11" t="n">
        <x:v>1</x:v>
      </x:c>
      <x:c r="I2211" s="11" t="n">
        <x:v>4</x:v>
      </x:c>
      <x:c r="J2211" s="11" t="n">
        <x:v>4</x:v>
      </x:c>
      <x:c r="K2211" s="11" t="n">
        <x:v>0</x:v>
      </x:c>
      <x:c r="L2211" s="17" t="n">
        <x:f>SUM(SUMIFS('Costing'!$P$9:$P$492,'Costing'!$A$9:$A$492,"MAIN-026"))</x:f>
        <x:v>60000</x:v>
      </x:c>
      <x:c r="M2211" s="17" t="n">
        <x:f>ROUND(L2211*'Costing'!$C$4,2)</x:f>
        <x:v>10800</x:v>
      </x:c>
      <x:c r="N2211" s="17" t="n">
        <x:f>L2211+M2211</x:f>
        <x:v>70800</x:v>
      </x:c>
      <x:c r="O2211" s="12" t="str">
        <x:v>Bengaluru</x:v>
      </x:c>
      <x:c r="P2211" s="12" t="str">
        <x:v>CORP-0022</x:v>
      </x:c>
      <x:c r="Q2211" s="12" t="str">
        <x:v>Scalene Works</x:v>
      </x:c>
    </x:row>
    <x:row r="2212" ht="48" customHeight="1">
      <x:c r="A2212" s="2" t="str">
        <x:v>TEN-8D7972B23DAD</x:v>
      </x:c>
      <x:c r="B2212" s="12" t="str">
        <x:v>Scalify India Private Limited</x:v>
      </x:c>
      <x:c r="C2212" s="12" t="str">
        <x:v>Business / brand</x:v>
      </x:c>
      <x:c r="D2212" s="12" t="str">
        <x:v>Unresolved</x:v>
      </x:c>
      <x:c r="E2212" s="12" t="str">
        <x:v>Business activity not established</x:v>
      </x:c>
      <x:c r="F2212" s="12" t="str">
        <x:v>Mixed business audience</x:v>
      </x:c>
      <x:c r="G2212" s="12" t="str">
        <x:v>Business activity and company scale are not established from this name.</x:v>
      </x:c>
      <x:c r="H2212" s="11" t="n">
        <x:v>1</x:v>
      </x:c>
      <x:c r="I2212" s="11" t="n">
        <x:v>1</x:v>
      </x:c>
      <x:c r="J2212" s="11" t="n">
        <x:v>1</x:v>
      </x:c>
      <x:c r="K2212" s="11" t="n">
        <x:v>0</x:v>
      </x:c>
      <x:c r="L2212" s="17" t="n">
        <x:f>SUM(SUMIFS('Costing'!$P$9:$P$492,'Costing'!$A$9:$A$492,"MAIN-259"))</x:f>
        <x:v>20000</x:v>
      </x:c>
      <x:c r="M2212" s="17" t="n">
        <x:f>ROUND(L2212*'Costing'!$C$4,2)</x:f>
        <x:v>3600</x:v>
      </x:c>
      <x:c r="N2212" s="17" t="n">
        <x:f>L2212+M2212</x:f>
        <x:v>23600</x:v>
      </x:c>
      <x:c r="O2212" s="12" t="str">
        <x:v>Hyderabad</x:v>
      </x:c>
      <x:c r="P2212" s="12" t="str">
        <x:v>CORP-0255</x:v>
      </x:c>
      <x:c r="Q2212" s="12" t="str">
        <x:v>Scalify India Private Limited</x:v>
      </x:c>
    </x:row>
    <x:row r="2213" ht="48" customHeight="1">
      <x:c r="A2213" s="2" t="str">
        <x:v>TEN-01272F6C55B7</x:v>
      </x:c>
      <x:c r="B2213" s="12" t="str">
        <x:v>Schaeffler India Limited Corporate Office</x:v>
      </x:c>
      <x:c r="C2213" s="12" t="str">
        <x:v>Business / brand</x:v>
      </x:c>
      <x:c r="D2213" s="12" t="str">
        <x:v>Engineering &amp; manufacturing</x:v>
      </x:c>
      <x:c r="E2213" s="12" t="str">
        <x:v>Engineering/manufacturing — specialty unverified</x:v>
      </x:c>
      <x:c r="F2213" s="12" t="str">
        <x:v>Mixed business audience</x:v>
      </x:c>
      <x:c r="G2213" s="12" t="str">
        <x:v>Recognisable business context; company-scale evidence remains insufficient for a single size band.</x:v>
      </x:c>
      <x:c r="H2213" s="11" t="n">
        <x:v>1</x:v>
      </x:c>
      <x:c r="I2213" s="11" t="n">
        <x:v>7</x:v>
      </x:c>
      <x:c r="J2213" s="11" t="n">
        <x:v>7</x:v>
      </x:c>
      <x:c r="K2213" s="11" t="n">
        <x:v>0</x:v>
      </x:c>
      <x:c r="L2213" s="17" t="n">
        <x:f>SUM(SUMIFS('Costing'!$P$9:$P$492,'Costing'!$A$9:$A$492,"MAIN-382"))</x:f>
        <x:v>140000</x:v>
      </x:c>
      <x:c r="M2213" s="17" t="n">
        <x:f>ROUND(L2213*'Costing'!$C$4,2)</x:f>
        <x:v>25200</x:v>
      </x:c>
      <x:c r="N2213" s="17" t="n">
        <x:f>L2213+M2213</x:f>
        <x:v>165200</x:v>
      </x:c>
      <x:c r="O2213" s="12" t="str">
        <x:v>Pune</x:v>
      </x:c>
      <x:c r="P2213" s="12" t="str">
        <x:v>CORP-0378</x:v>
      </x:c>
      <x:c r="Q2213" s="12" t="str">
        <x:v>Schaeffler India Limited Corporate Office</x:v>
      </x:c>
    </x:row>
    <x:row r="2214" ht="48" customHeight="1">
      <x:c r="A2214" s="2" t="str">
        <x:v>TEN-205EC7DC0390</x:v>
      </x:c>
      <x:c r="B2214" s="12" t="str">
        <x:v>Schenell</x:v>
      </x:c>
      <x:c r="C2214" s="12" t="str">
        <x:v>Business / brand</x:v>
      </x:c>
      <x:c r="D2214" s="12" t="str">
        <x:v>Unresolved</x:v>
      </x:c>
      <x:c r="E2214" s="12" t="str">
        <x:v>Business activity not established</x:v>
      </x:c>
      <x:c r="F2214" s="12" t="str">
        <x:v>Mixed business audience</x:v>
      </x:c>
      <x:c r="G2214" s="12" t="str">
        <x:v>Business activity and company scale are not established from this name.</x:v>
      </x:c>
      <x:c r="H2214" s="11" t="n">
        <x:v>1</x:v>
      </x:c>
      <x:c r="I2214" s="11" t="n">
        <x:v>3</x:v>
      </x:c>
      <x:c r="J2214" s="11" t="n">
        <x:v>3</x:v>
      </x:c>
      <x:c r="K2214" s="11" t="n">
        <x:v>0</x:v>
      </x:c>
      <x:c r="L2214" s="17" t="n">
        <x:f>SUM(SUMIFS('Costing'!$P$9:$P$492,'Costing'!$A$9:$A$492,"MAIN-422"))</x:f>
        <x:v>45000</x:v>
      </x:c>
      <x:c r="M2214" s="17" t="n">
        <x:f>ROUND(L2214*'Costing'!$C$4,2)</x:f>
        <x:v>8100</x:v>
      </x:c>
      <x:c r="N2214" s="17" t="n">
        <x:f>L2214+M2214</x:f>
        <x:v>53100</x:v>
      </x:c>
      <x:c r="O2214" s="12" t="str">
        <x:v>Pune</x:v>
      </x:c>
      <x:c r="P2214" s="12" t="str">
        <x:v>CORP-0418</x:v>
      </x:c>
      <x:c r="Q2214" s="12" t="str">
        <x:v>Schenell</x:v>
      </x:c>
    </x:row>
    <x:row r="2215" ht="48" customHeight="1">
      <x:c r="A2215" s="2" t="str">
        <x:v>TEN-FB73478A8028</x:v>
      </x:c>
      <x:c r="B2215" s="12" t="str">
        <x:v>Schlumberger</x:v>
      </x:c>
      <x:c r="C2215" s="12" t="str">
        <x:v>Business / brand</x:v>
      </x:c>
      <x:c r="D2215" s="12" t="str">
        <x:v>Engineering &amp; manufacturing</x:v>
      </x:c>
      <x:c r="E2215" s="12" t="str">
        <x:v>Engineering/manufacturing — specialty unverified</x:v>
      </x:c>
      <x:c r="F2215" s="12" t="str">
        <x:v>Mixed business audience</x:v>
      </x:c>
      <x:c r="G2215" s="12" t="str">
        <x:v>Recognisable business context; company-scale evidence remains insufficient for a single size band.</x:v>
      </x:c>
      <x:c r="H2215" s="11" t="n">
        <x:v>1</x:v>
      </x:c>
      <x:c r="I2215" s="11" t="n">
        <x:v>2</x:v>
      </x:c>
      <x:c r="J2215" s="11" t="n">
        <x:v>2</x:v>
      </x:c>
      <x:c r="K2215" s="11" t="n">
        <x:v>0</x:v>
      </x:c>
      <x:c r="L2215" s="17" t="n">
        <x:f>SUM(SUMIFS('Costing'!$P$9:$P$492,'Costing'!$A$9:$A$492,"MAIN-413"))</x:f>
        <x:v>80000</x:v>
      </x:c>
      <x:c r="M2215" s="17" t="n">
        <x:f>ROUND(L2215*'Costing'!$C$4,2)</x:f>
        <x:v>14400</x:v>
      </x:c>
      <x:c r="N2215" s="17" t="n">
        <x:f>L2215+M2215</x:f>
        <x:v>94400</x:v>
      </x:c>
      <x:c r="O2215" s="12" t="str">
        <x:v>Pune</x:v>
      </x:c>
      <x:c r="P2215" s="12" t="str">
        <x:v>CORP-0409</x:v>
      </x:c>
      <x:c r="Q2215" s="12" t="str">
        <x:v>Schlumberger</x:v>
      </x:c>
    </x:row>
    <x:row r="2216" ht="48" customHeight="1">
      <x:c r="A2216" s="2" t="str">
        <x:v>TEN-355F52D9EF7F</x:v>
      </x:c>
      <x:c r="B2216" s="12" t="str">
        <x:v>SCHLUMBERGER OILFIELD EASTERN LIMITED</x:v>
      </x:c>
      <x:c r="C2216" s="12" t="str">
        <x:v>Business / brand</x:v>
      </x:c>
      <x:c r="D2216" s="12" t="str">
        <x:v>Engineering &amp; manufacturing</x:v>
      </x:c>
      <x:c r="E2216" s="12" t="str">
        <x:v>Energy, electrical &amp; industrial systems</x:v>
      </x:c>
      <x:c r="F2216" s="12" t="str">
        <x:v>Mixed business audience</x:v>
      </x:c>
      <x:c r="G2216" s="12" t="str">
        <x:v>Recognisable business context; company-scale evidence remains insufficient for a single size band.</x:v>
      </x:c>
      <x:c r="H2216" s="11" t="n">
        <x:v>1</x:v>
      </x:c>
      <x:c r="I2216" s="11" t="n">
        <x:v>1</x:v>
      </x:c>
      <x:c r="J2216" s="11" t="n">
        <x:v>1</x:v>
      </x:c>
      <x:c r="K2216" s="11" t="n">
        <x:v>0</x:v>
      </x:c>
      <x:c r="L2216" s="17" t="n">
        <x:f>SUM(SUMIFS('Costing'!$P$9:$P$492,'Costing'!$A$9:$A$492,"MAIN-296"))</x:f>
        <x:v>15000</x:v>
      </x:c>
      <x:c r="M2216" s="17" t="n">
        <x:f>ROUND(L2216*'Costing'!$C$4,2)</x:f>
        <x:v>2700</x:v>
      </x:c>
      <x:c r="N2216" s="17" t="n">
        <x:f>L2216+M2216</x:f>
        <x:v>17700</x:v>
      </x:c>
      <x:c r="O2216" s="12" t="str">
        <x:v>Mumbai</x:v>
      </x:c>
      <x:c r="P2216" s="12" t="str">
        <x:v>CORP-0292</x:v>
      </x:c>
      <x:c r="Q2216" s="12" t="str">
        <x:v>SCHLUMBERGER OILFIELD EASTERN LIMITED</x:v>
      </x:c>
    </x:row>
    <x:row r="2217" ht="48" customHeight="1">
      <x:c r="A2217" s="2" t="str">
        <x:v>TEN-7E64662BC085</x:v>
      </x:c>
      <x:c r="B2217" s="12" t="str">
        <x:v>SCHLUMBERGER SOLUTIONS PRIVATE LIMITED</x:v>
      </x:c>
      <x:c r="C2217" s="12" t="str">
        <x:v>Business / brand</x:v>
      </x:c>
      <x:c r="D2217" s="12" t="str">
        <x:v>Engineering &amp; manufacturing</x:v>
      </x:c>
      <x:c r="E2217" s="12" t="str">
        <x:v>Engineering/manufacturing — specialty unverified</x:v>
      </x:c>
      <x:c r="F2217" s="12" t="str">
        <x:v>Mixed business audience</x:v>
      </x:c>
      <x:c r="G2217" s="12" t="str">
        <x:v>Recognisable business context; company-scale evidence remains insufficient for a single size band.</x:v>
      </x:c>
      <x:c r="H2217" s="11" t="n">
        <x:v>1</x:v>
      </x:c>
      <x:c r="I2217" s="11" t="n">
        <x:v>1</x:v>
      </x:c>
      <x:c r="J2217" s="11" t="n">
        <x:v>1</x:v>
      </x:c>
      <x:c r="K2217" s="11" t="n">
        <x:v>0</x:v>
      </x:c>
      <x:c r="L2217" s="17" t="n">
        <x:f>SUM(SUMIFS('Costing'!$P$9:$P$492,'Costing'!$A$9:$A$492,"MAIN-296"))</x:f>
        <x:v>15000</x:v>
      </x:c>
      <x:c r="M2217" s="17" t="n">
        <x:f>ROUND(L2217*'Costing'!$C$4,2)</x:f>
        <x:v>2700</x:v>
      </x:c>
      <x:c r="N2217" s="17" t="n">
        <x:f>L2217+M2217</x:f>
        <x:v>17700</x:v>
      </x:c>
      <x:c r="O2217" s="12" t="str">
        <x:v>Mumbai</x:v>
      </x:c>
      <x:c r="P2217" s="12" t="str">
        <x:v>CORP-0292</x:v>
      </x:c>
      <x:c r="Q2217" s="12" t="str">
        <x:v>SCHLUMBERGER SOLUTIONS PRIVATE LIMITED</x:v>
      </x:c>
    </x:row>
    <x:row r="2218" ht="49" customHeight="1">
      <x:c r="A2218" s="2" t="str">
        <x:v>TEN-C5F975B35C72</x:v>
      </x:c>
      <x:c r="B2218" s="12" t="str">
        <x:v>Schneider</x:v>
      </x:c>
      <x:c r="C2218" s="12" t="str">
        <x:v>Business / brand</x:v>
      </x:c>
      <x:c r="D2218" s="12" t="str">
        <x:v>Engineering &amp; manufacturing</x:v>
      </x:c>
      <x:c r="E2218" s="12" t="str">
        <x:v>Energy, electrical &amp; industrial systems</x:v>
      </x:c>
      <x:c r="F2218" s="12" t="str">
        <x:v>Mixed business audience</x:v>
      </x:c>
      <x:c r="G2218" s="12" t="str">
        <x:v>Bare Schneider may refer to Schneider Electric or another company. Do not inherit Schneider Electric size without identifying the business.</x:v>
      </x:c>
      <x:c r="H2218" s="11" t="n">
        <x:v>1</x:v>
      </x:c>
      <x:c r="I2218" s="11" t="n">
        <x:v>21</x:v>
      </x:c>
      <x:c r="J2218" s="11" t="n">
        <x:v>21</x:v>
      </x:c>
      <x:c r="K2218" s="11" t="n">
        <x:v>0</x:v>
      </x:c>
      <x:c r="L2218" s="17" t="n">
        <x:f>SUM(SUMIFS('Costing'!$P$9:$P$492,'Costing'!$A$9:$A$492,"MAIN-253"))</x:f>
        <x:v>840000</x:v>
      </x:c>
      <x:c r="M2218" s="17" t="n">
        <x:f>ROUND(L2218*'Costing'!$C$4,2)</x:f>
        <x:v>151200</x:v>
      </x:c>
      <x:c r="N2218" s="17" t="n">
        <x:f>L2218+M2218</x:f>
        <x:v>991200</x:v>
      </x:c>
      <x:c r="O2218" s="12" t="str">
        <x:v>Hyderabad</x:v>
      </x:c>
      <x:c r="P2218" s="12" t="str">
        <x:v>CORP-0249</x:v>
      </x:c>
      <x:c r="Q2218" s="12" t="str">
        <x:v>Schneider</x:v>
      </x:c>
    </x:row>
    <x:row r="2219" ht="88" customHeight="1">
      <x:c r="A2219" s="2" t="str">
        <x:v>TEN-BC3067AC45DF</x:v>
      </x:c>
      <x:c r="B2219" s="12" t="str">
        <x:v>Schneider Electric</x:v>
      </x:c>
      <x:c r="C2219" s="12" t="str">
        <x:v>Business / brand</x:v>
      </x:c>
      <x:c r="D2219" s="12" t="str">
        <x:v>Engineering &amp; manufacturing</x:v>
      </x:c>
      <x:c r="E2219" s="12" t="str">
        <x:v>Energy, electrical &amp; industrial systems</x:v>
      </x:c>
      <x:c r="F2219" s="12" t="str">
        <x:v>Large enterprise</x:v>
      </x:c>
      <x:c r="G2219" s="12" t="str">
        <x:v>Official profile reports 160,000 employees and operations in more than 100 countries.</x:v>
      </x:c>
      <x:c r="H2219" s="11" t="n">
        <x:v>27</x:v>
      </x:c>
      <x:c r="I2219" s="11" t="n">
        <x:v>30</x:v>
      </x:c>
      <x:c r="J2219" s="11" t="n">
        <x:v>30</x:v>
      </x:c>
      <x:c r="K2219" s="11" t="n">
        <x:v>0</x:v>
      </x:c>
      <x:c r="L2219" s="17" t="n">
        <x:f>SUM(SUMIFS('Costing'!$P$9:$P$492,'Costing'!$A$9:$A$492,"MAIN-072"),SUMIFS('Costing'!$P$9:$P$492,'Costing'!$A$9:$A$492,"MAIN-271"),SUMIFS('Costing'!$P$9:$P$492,'Costing'!$A$9:$A$492,"MAIN-328"),SUMIFS('Costing'!$P$9:$P$492,'Costing'!$A$9:$A$492,"PARTNER-M146"),SUMIFS('Costing'!$P$9:$P$492,'Costing'!$A$9:$A$492,"PARTNER-M039"),SUMIFS('Costing'!$P$9:$P$492,'Costing'!$A$9:$A$492,"PARTNER-M014"))</x:f>
        <x:v>1135000</x:v>
      </x:c>
      <x:c r="M2219" s="17" t="n">
        <x:f>ROUND(L2219*'Costing'!$C$4,2)</x:f>
        <x:v>204300</x:v>
      </x:c>
      <x:c r="N2219" s="17" t="n">
        <x:f>L2219+M2219</x:f>
        <x:v>1339300</x:v>
      </x:c>
      <x:c r="O2219" s="12" t="str">
        <x:v>Bengaluru, Indore, Mumbai</x:v>
      </x:c>
      <x:c r="P2219" s="12" t="str">
        <x:v>CORP-0068, CORP-0267, CORP-0324, CORP-0432, CORP-0433, CORP-0434, CORP-0435, CORP-0436, CORP-0437, CORP-0438, CORP-0439, CORP-0440, CORP-0441, CORP-0457, CORP-0458, CORP-0459, CORP-0460, CORP-0461, CORP-0462, CORP-0564, CORP-0565, CORP-0566, CORP-0567, CORP-0568, CORP-0569, CORP-0570, CORP-0571</x:v>
      </x:c>
      <x:c r="Q2219" s="12" t="str">
        <x:v>Schneider Electric</x:v>
      </x:c>
    </x:row>
    <x:row r="2220" ht="48" customHeight="1">
      <x:c r="A2220" s="2" t="str">
        <x:v>TEN-383935C4C9A2</x:v>
      </x:c>
      <x:c r="B2220" s="12" t="str">
        <x:v>Schreiber Dynamix Dairies Pvt Ltd</x:v>
      </x:c>
      <x:c r="C2220" s="12" t="str">
        <x:v>Business / brand</x:v>
      </x:c>
      <x:c r="D2220" s="12" t="str">
        <x:v>Trade, consumer &amp; logistics</x:v>
      </x:c>
      <x:c r="E2220" s="12" t="str">
        <x:v>Consumer/trade services — specialty unverified</x:v>
      </x:c>
      <x:c r="F2220" s="12" t="str">
        <x:v>Mixed business audience</x:v>
      </x:c>
      <x:c r="G2220" s="12" t="str">
        <x:v>Recognisable business context; company-scale evidence remains insufficient for a single size band.</x:v>
      </x:c>
      <x:c r="H2220" s="11" t="n">
        <x:v>4</x:v>
      </x:c>
      <x:c r="I2220" s="11" t="n">
        <x:v>4</x:v>
      </x:c>
      <x:c r="J2220" s="11" t="n">
        <x:v>4</x:v>
      </x:c>
      <x:c r="K2220" s="11" t="n">
        <x:v>0</x:v>
      </x:c>
      <x:c r="L2220" s="17" t="n">
        <x:f>SUM(SUMIFS('Costing'!$P$9:$P$492,'Costing'!$A$9:$A$492,"PARTNER-M261"))</x:f>
        <x:v>160000</x:v>
      </x:c>
      <x:c r="M2220" s="17" t="n">
        <x:f>ROUND(L2220*'Costing'!$C$4,2)</x:f>
        <x:v>28800</x:v>
      </x:c>
      <x:c r="N2220" s="17" t="n">
        <x:f>L2220+M2220</x:f>
        <x:v>188800</x:v>
      </x:c>
      <x:c r="O2220" s="12" t="str">
        <x:v>Pune</x:v>
      </x:c>
      <x:c r="P2220" s="12" t="str">
        <x:v>CORP-0677, CORP-0678, CORP-0679, CORP-0680</x:v>
      </x:c>
      <x:c r="Q2220" s="12" t="str">
        <x:v>Schreiber Dynamix Dairies Pvt Ltd</x:v>
      </x:c>
    </x:row>
    <x:row r="2221" ht="48" customHeight="1">
      <x:c r="A2221" s="2" t="str">
        <x:v>TEN-53CEEF981FF3</x:v>
      </x:c>
      <x:c r="B2221" s="12" t="str">
        <x:v>Scientiamobile Technologies India Pvt Ltd</x:v>
      </x:c>
      <x:c r="C2221" s="12" t="str">
        <x:v>Business / brand</x:v>
      </x:c>
      <x:c r="D2221" s="12" t="str">
        <x:v>Unresolved</x:v>
      </x:c>
      <x:c r="E2221" s="12" t="str">
        <x:v>Business activity not established</x:v>
      </x:c>
      <x:c r="F2221" s="12" t="str">
        <x:v>Mixed business audience</x:v>
      </x:c>
      <x:c r="G2221" s="12" t="str">
        <x:v>Business activity and company scale are not established from this name.</x:v>
      </x:c>
      <x:c r="H2221" s="11" t="n">
        <x:v>1</x:v>
      </x:c>
      <x:c r="I2221" s="11" t="n">
        <x:v>1</x:v>
      </x:c>
      <x:c r="J2221" s="11" t="n">
        <x:v>1</x:v>
      </x:c>
      <x:c r="K2221" s="11" t="n">
        <x:v>0</x:v>
      </x:c>
      <x:c r="L2221" s="17" t="n">
        <x:f>SUM(SUMIFS('Costing'!$P$9:$P$492,'Costing'!$A$9:$A$492,"MAIN-028"))</x:f>
        <x:v>15000</x:v>
      </x:c>
      <x:c r="M2221" s="17" t="n">
        <x:f>ROUND(L2221*'Costing'!$C$4,2)</x:f>
        <x:v>2700</x:v>
      </x:c>
      <x:c r="N2221" s="17" t="n">
        <x:f>L2221+M2221</x:f>
        <x:v>17700</x:v>
      </x:c>
      <x:c r="O2221" s="12" t="str">
        <x:v>Bengaluru</x:v>
      </x:c>
      <x:c r="P2221" s="12" t="str">
        <x:v>CORP-0024</x:v>
      </x:c>
      <x:c r="Q2221" s="12" t="str">
        <x:v>Scientiamobile Technologies India Pvt Ltd</x:v>
      </x:c>
    </x:row>
    <x:row r="2222" ht="49" customHeight="1">
      <x:c r="A2222" s="2" t="str">
        <x:v>TEN-0F0E714E580D</x:v>
      </x:c>
      <x:c r="B2222" s="12" t="str">
        <x:v>Scientific Games</x:v>
      </x:c>
      <x:c r="C2222" s="12" t="str">
        <x:v>Business / brand</x:v>
      </x:c>
      <x:c r="D2222" s="12" t="str">
        <x:v>Trade, consumer &amp; logistics</x:v>
      </x:c>
      <x:c r="E2222" s="12" t="str">
        <x:v>Entertainment, media &amp; events</x:v>
      </x:c>
      <x:c r="F2222" s="12" t="str">
        <x:v>Mixed business audience</x:v>
      </x:c>
      <x:c r="G2222" s="12" t="str">
        <x:v>Established brand or business network; local company scale is not established. Use a mixed-business message.</x:v>
      </x:c>
      <x:c r="H2222" s="11" t="n">
        <x:v>12</x:v>
      </x:c>
      <x:c r="I2222" s="11" t="n">
        <x:v>12</x:v>
      </x:c>
      <x:c r="J2222" s="11" t="n">
        <x:v>12</x:v>
      </x:c>
      <x:c r="K2222" s="11" t="n">
        <x:v>0</x:v>
      </x:c>
      <x:c r="L2222" s="17" t="n">
        <x:f>SUM(SUMIFS('Costing'!$P$9:$P$492,'Costing'!$A$9:$A$492,"PARTNER-M011"),SUMIFS('Costing'!$P$9:$P$492,'Costing'!$A$9:$A$492,"PARTNER-M002"))</x:f>
        <x:v>480000</x:v>
      </x:c>
      <x:c r="M2222" s="17" t="n">
        <x:f>ROUND(L2222*'Costing'!$C$4,2)</x:f>
        <x:v>86400</x:v>
      </x:c>
      <x:c r="N2222" s="17" t="n">
        <x:f>L2222+M2222</x:f>
        <x:v>566400</x:v>
      </x:c>
      <x:c r="O2222" s="12" t="str">
        <x:v>Bengaluru</x:v>
      </x:c>
      <x:c r="P2222" s="12" t="str">
        <x:v>CORP-0420, CORP-0421, CORP-0422, CORP-0423, CORP-0424, CORP-0425, CORP-0426, CORP-0427, CORP-0428, CORP-0429, CORP-0430, CORP-0431</x:v>
      </x:c>
      <x:c r="Q2222" s="12" t="str">
        <x:v>Scientific Games, Scintific Games, Scirntific games</x:v>
      </x:c>
    </x:row>
    <x:row r="2223" ht="49" customHeight="1">
      <x:c r="A2223" s="2" t="str">
        <x:v>TEN-C8FA2C07840D</x:v>
      </x:c>
      <x:c r="B2223" s="12" t="str">
        <x:v>Scoler</x:v>
      </x:c>
      <x:c r="C2223" s="12" t="str">
        <x:v>Business / brand</x:v>
      </x:c>
      <x:c r="D2223" s="12" t="str">
        <x:v>Unresolved</x:v>
      </x:c>
      <x:c r="E2223" s="12" t="str">
        <x:v>Business activity not established</x:v>
      </x:c>
      <x:c r="F2223" s="12" t="str">
        <x:v>Mixed business audience</x:v>
      </x:c>
      <x:c r="G2223" s="12" t="str">
        <x:v>Business activity and company scale are not established from this name.</x:v>
      </x:c>
      <x:c r="H2223" s="11" t="n">
        <x:v>12</x:v>
      </x:c>
      <x:c r="I2223" s="11" t="n">
        <x:v>12</x:v>
      </x:c>
      <x:c r="J2223" s="11" t="n">
        <x:v>12</x:v>
      </x:c>
      <x:c r="K2223" s="11" t="n">
        <x:v>0</x:v>
      </x:c>
      <x:c r="L2223" s="17" t="n">
        <x:f>SUM(SUMIFS('Costing'!$P$9:$P$492,'Costing'!$A$9:$A$492,"PARTNER-M162"),SUMIFS('Costing'!$P$9:$P$492,'Costing'!$A$9:$A$492,"PARTNER-M154"))</x:f>
        <x:v>480000</x:v>
      </x:c>
      <x:c r="M2223" s="17" t="n">
        <x:f>ROUND(L2223*'Costing'!$C$4,2)</x:f>
        <x:v>86400</x:v>
      </x:c>
      <x:c r="N2223" s="17" t="n">
        <x:f>L2223+M2223</x:f>
        <x:v>566400</x:v>
      </x:c>
      <x:c r="O2223" s="12" t="str">
        <x:v>Bengaluru</x:v>
      </x:c>
      <x:c r="P2223" s="12" t="str">
        <x:v>CORP-0572, CORP-0573, CORP-0574, CORP-0575, CORP-0576, CORP-0577, CORP-0578, CORP-0579, CORP-0580, CORP-0581, CORP-0582, CORP-0583</x:v>
      </x:c>
      <x:c r="Q2223" s="12" t="str">
        <x:v>Scoler</x:v>
      </x:c>
    </x:row>
    <x:row r="2224" ht="48" customHeight="1">
      <x:c r="A2224" s="2" t="str">
        <x:v>TEN-CD0BD7252CCD</x:v>
      </x:c>
      <x:c r="B2224" s="12" t="str">
        <x:v>SCOTCH N WATER INNOVATIONS PVT LTD</x:v>
      </x:c>
      <x:c r="C2224" s="12" t="str">
        <x:v>Business / brand</x:v>
      </x:c>
      <x:c r="D2224" s="12" t="str">
        <x:v>Unresolved</x:v>
      </x:c>
      <x:c r="E2224" s="12" t="str">
        <x:v>Business activity not established</x:v>
      </x:c>
      <x:c r="F2224" s="12" t="str">
        <x:v>Mixed business audience</x:v>
      </x:c>
      <x:c r="G2224" s="12" t="str">
        <x:v>Business activity and company scale are not established from this name.</x:v>
      </x:c>
      <x:c r="H2224" s="11" t="n">
        <x:v>1</x:v>
      </x:c>
      <x:c r="I2224" s="11" t="n">
        <x:v>2</x:v>
      </x:c>
      <x:c r="J2224" s="11" t="n">
        <x:v>2</x:v>
      </x:c>
      <x:c r="K2224" s="11" t="n">
        <x:v>0</x:v>
      </x:c>
      <x:c r="L2224" s="17" t="n">
        <x:f>SUM(SUMIFS('Costing'!$P$9:$P$492,'Costing'!$A$9:$A$492,"MAIN-244"))</x:f>
        <x:v>30000</x:v>
      </x:c>
      <x:c r="M2224" s="17" t="n">
        <x:f>ROUND(L2224*'Costing'!$C$4,2)</x:f>
        <x:v>5400</x:v>
      </x:c>
      <x:c r="N2224" s="17" t="n">
        <x:f>L2224+M2224</x:f>
        <x:v>35400</x:v>
      </x:c>
      <x:c r="O2224" s="12" t="str">
        <x:v>Hyderabad</x:v>
      </x:c>
      <x:c r="P2224" s="12" t="str">
        <x:v>CORP-0240</x:v>
      </x:c>
      <x:c r="Q2224" s="12" t="str">
        <x:v>SCOTCH N WATER INNOVATIONS PVT LTD</x:v>
      </x:c>
    </x:row>
    <x:row r="2225" ht="48" customHeight="1">
      <x:c r="A2225" s="2" t="str">
        <x:v>TEN-5A517687BF13</x:v>
      </x:c>
      <x:c r="B2225" s="12" t="str">
        <x:v>SCYBERS</x:v>
      </x:c>
      <x:c r="C2225" s="12" t="str">
        <x:v>Business / brand</x:v>
      </x:c>
      <x:c r="D2225" s="12" t="str">
        <x:v>Unresolved</x:v>
      </x:c>
      <x:c r="E2225" s="12" t="str">
        <x:v>Business activity not established</x:v>
      </x:c>
      <x:c r="F2225" s="12" t="str">
        <x:v>Mixed business audience</x:v>
      </x:c>
      <x:c r="G2225" s="12" t="str">
        <x:v>Business activity and company scale are not established from this name.</x:v>
      </x:c>
      <x:c r="H2225" s="11" t="n">
        <x:v>1</x:v>
      </x:c>
      <x:c r="I2225" s="11" t="n">
        <x:v>7</x:v>
      </x:c>
      <x:c r="J2225" s="11" t="n">
        <x:v>7</x:v>
      </x:c>
      <x:c r="K2225" s="11" t="n">
        <x:v>0</x:v>
      </x:c>
      <x:c r="L2225" s="17" t="n">
        <x:f>SUM(SUMIFS('Costing'!$P$9:$P$492,'Costing'!$A$9:$A$492,"MAIN-140"))</x:f>
        <x:v>105000</x:v>
      </x:c>
      <x:c r="M2225" s="17" t="n">
        <x:f>ROUND(L2225*'Costing'!$C$4,2)</x:f>
        <x:v>18900</x:v>
      </x:c>
      <x:c r="N2225" s="17" t="n">
        <x:f>L2225+M2225</x:f>
        <x:v>123900</x:v>
      </x:c>
      <x:c r="O2225" s="12" t="str">
        <x:v>Chennai</x:v>
      </x:c>
      <x:c r="P2225" s="12" t="str">
        <x:v>CORP-0136</x:v>
      </x:c>
      <x:c r="Q2225" s="12" t="str">
        <x:v>SCYBERS</x:v>
      </x:c>
    </x:row>
    <x:row r="2226" ht="48" customHeight="1">
      <x:c r="A2226" s="2" t="str">
        <x:v>TEN-AD30C3FBCD6C</x:v>
      </x:c>
      <x:c r="B2226" s="12" t="str">
        <x:v>SD Biosensor Healthcare Pvt Ltd</x:v>
      </x:c>
      <x:c r="C2226" s="12" t="str">
        <x:v>Business / brand</x:v>
      </x:c>
      <x:c r="D2226" s="12" t="str">
        <x:v>Healthcare &amp; life sciences</x:v>
      </x:c>
      <x:c r="E2226" s="12" t="str">
        <x:v>Clinical, medical &amp; diagnostic services</x:v>
      </x:c>
      <x:c r="F2226" s="12" t="str">
        <x:v>Mixed business audience</x:v>
      </x:c>
      <x:c r="G2226" s="12" t="str">
        <x:v>Established brand or business network; local company scale is not established. Use a mixed-business message.</x:v>
      </x:c>
      <x:c r="H2226" s="11" t="n">
        <x:v>1</x:v>
      </x:c>
      <x:c r="I2226" s="11" t="n">
        <x:v>2</x:v>
      </x:c>
      <x:c r="J2226" s="11" t="n">
        <x:v>2</x:v>
      </x:c>
      <x:c r="K2226" s="11" t="n">
        <x:v>0</x:v>
      </x:c>
      <x:c r="L2226" s="17" t="n">
        <x:f>SUM(SUMIFS('Costing'!$P$9:$P$492,'Costing'!$A$9:$A$492,"MAIN-207"))</x:f>
        <x:v>80000</x:v>
      </x:c>
      <x:c r="M2226" s="17" t="n">
        <x:f>ROUND(L2226*'Costing'!$C$4,2)</x:f>
        <x:v>14400</x:v>
      </x:c>
      <x:c r="N2226" s="17" t="n">
        <x:f>L2226+M2226</x:f>
        <x:v>94400</x:v>
      </x:c>
      <x:c r="O2226" s="12" t="str">
        <x:v>Delhi NCR</x:v>
      </x:c>
      <x:c r="P2226" s="12" t="str">
        <x:v>CORP-0203</x:v>
      </x:c>
      <x:c r="Q2226" s="12" t="str">
        <x:v>SD Biosensor Healthcare Pvt Ltd</x:v>
      </x:c>
    </x:row>
    <x:row r="2227" ht="48" customHeight="1">
      <x:c r="A2227" s="2" t="str">
        <x:v>TEN-F0BBFCDE7C5C</x:v>
      </x:c>
      <x:c r="B2227" s="12" t="str">
        <x:v>SDC Clinical (India) Private Limited</x:v>
      </x:c>
      <x:c r="C2227" s="12" t="str">
        <x:v>Business / brand</x:v>
      </x:c>
      <x:c r="D2227" s="12" t="str">
        <x:v>Healthcare &amp; life sciences</x:v>
      </x:c>
      <x:c r="E2227" s="12" t="str">
        <x:v>Clinical, medical &amp; diagnostic services</x:v>
      </x:c>
      <x:c r="F2227" s="12" t="str">
        <x:v>Small-scale prospects</x:v>
      </x:c>
      <x:c r="G2227" s="12" t="str">
        <x:v>Healthcare services business; small-scale prospect assumption.</x:v>
      </x:c>
      <x:c r="H2227" s="11" t="n">
        <x:v>1</x:v>
      </x:c>
      <x:c r="I2227" s="11" t="n">
        <x:v>2</x:v>
      </x:c>
      <x:c r="J2227" s="11" t="n">
        <x:v>2</x:v>
      </x:c>
      <x:c r="K2227" s="11" t="n">
        <x:v>0</x:v>
      </x:c>
      <x:c r="L2227" s="17" t="n">
        <x:f>SUM(SUMIFS('Costing'!$P$9:$P$492,'Costing'!$A$9:$A$492,"MAIN-251"))</x:f>
        <x:v>40000</x:v>
      </x:c>
      <x:c r="M2227" s="17" t="n">
        <x:f>ROUND(L2227*'Costing'!$C$4,2)</x:f>
        <x:v>7200</x:v>
      </x:c>
      <x:c r="N2227" s="17" t="n">
        <x:f>L2227+M2227</x:f>
        <x:v>47200</x:v>
      </x:c>
      <x:c r="O2227" s="12" t="str">
        <x:v>Hyderabad</x:v>
      </x:c>
      <x:c r="P2227" s="12" t="str">
        <x:v>CORP-0247</x:v>
      </x:c>
      <x:c r="Q2227" s="12" t="str">
        <x:v>SDC Clinical (India) Private Limited</x:v>
      </x:c>
    </x:row>
    <x:row r="2228" ht="48" customHeight="1">
      <x:c r="A2228" s="2" t="str">
        <x:v>TEN-40A8DB52D8F5</x:v>
      </x:c>
      <x:c r="B2228" s="12" t="str">
        <x:v>seagate</x:v>
      </x:c>
      <x:c r="C2228" s="12" t="str">
        <x:v>Business / brand</x:v>
      </x:c>
      <x:c r="D2228" s="12" t="str">
        <x:v>Engineering &amp; manufacturing</x:v>
      </x:c>
      <x:c r="E2228" s="12" t="str">
        <x:v>Semiconductors, electronics &amp; equipment</x:v>
      </x:c>
      <x:c r="F2228" s="12" t="str">
        <x:v>Mixed business audience</x:v>
      </x:c>
      <x:c r="G2228" s="12" t="str">
        <x:v>Recognisable business context; company-scale evidence remains insufficient for a single size band.</x:v>
      </x:c>
      <x:c r="H2228" s="11" t="n">
        <x:v>1</x:v>
      </x:c>
      <x:c r="I2228" s="11" t="n">
        <x:v>2</x:v>
      </x:c>
      <x:c r="J2228" s="11" t="n">
        <x:v>2</x:v>
      </x:c>
      <x:c r="K2228" s="11" t="n">
        <x:v>0</x:v>
      </x:c>
      <x:c r="L2228" s="17" t="n">
        <x:f>SUM(SUMIFS('Costing'!$P$9:$P$492,'Costing'!$A$9:$A$492,"MAIN-162"))</x:f>
        <x:v>30000</x:v>
      </x:c>
      <x:c r="M2228" s="17" t="n">
        <x:f>ROUND(L2228*'Costing'!$C$4,2)</x:f>
        <x:v>5400</x:v>
      </x:c>
      <x:c r="N2228" s="17" t="n">
        <x:f>L2228+M2228</x:f>
        <x:v>35400</x:v>
      </x:c>
      <x:c r="O2228" s="12" t="str">
        <x:v>Delhi NCR</x:v>
      </x:c>
      <x:c r="P2228" s="12" t="str">
        <x:v>CORP-0158</x:v>
      </x:c>
      <x:c r="Q2228" s="12" t="str">
        <x:v>seagate</x:v>
      </x:c>
    </x:row>
    <x:row r="2229" ht="48" customHeight="1">
      <x:c r="A2229" s="2" t="str">
        <x:v>TEN-43C65EC0AB55</x:v>
      </x:c>
      <x:c r="B2229" s="12" t="str">
        <x:v>Seamex</x:v>
      </x:c>
      <x:c r="C2229" s="12" t="str">
        <x:v>Business / brand</x:v>
      </x:c>
      <x:c r="D2229" s="12" t="str">
        <x:v>Trade, consumer &amp; logistics</x:v>
      </x:c>
      <x:c r="E2229" s="12" t="str">
        <x:v>Logistics, shipping &amp; transport</x:v>
      </x:c>
      <x:c r="F2229" s="12" t="str">
        <x:v>Medium-scale prospects</x:v>
      </x:c>
      <x:c r="G2229" s="12" t="str">
        <x:v>Specialist logistics or transport business; medium-scale prospect assumption.</x:v>
      </x:c>
      <x:c r="H2229" s="11" t="n">
        <x:v>4</x:v>
      </x:c>
      <x:c r="I2229" s="11" t="n">
        <x:v>4</x:v>
      </x:c>
      <x:c r="J2229" s="11" t="n">
        <x:v>4</x:v>
      </x:c>
      <x:c r="K2229" s="11" t="n">
        <x:v>0</x:v>
      </x:c>
      <x:c r="L2229" s="17" t="n">
        <x:f>SUM(SUMIFS('Costing'!$P$9:$P$492,'Costing'!$A$9:$A$492,"PARTNER-M193"))</x:f>
        <x:v>160000</x:v>
      </x:c>
      <x:c r="M2229" s="17" t="n">
        <x:f>ROUND(L2229*'Costing'!$C$4,2)</x:f>
        <x:v>28800</x:v>
      </x:c>
      <x:c r="N2229" s="17" t="n">
        <x:f>L2229+M2229</x:f>
        <x:v>188800</x:v>
      </x:c>
      <x:c r="O2229" s="12" t="str">
        <x:v>Mumbai</x:v>
      </x:c>
      <x:c r="P2229" s="12" t="str">
        <x:v>CORP-0610, CORP-0611, CORP-0612, CORP-0613</x:v>
      </x:c>
      <x:c r="Q2229" s="12" t="str">
        <x:v>Seamex</x:v>
      </x:c>
    </x:row>
    <x:row r="2230" ht="48" customHeight="1">
      <x:c r="A2230" s="2" t="str">
        <x:v>TEN-182A654853D9</x:v>
      </x:c>
      <x:c r="B2230" s="12" t="str">
        <x:v>Searock International</x:v>
      </x:c>
      <x:c r="C2230" s="12" t="str">
        <x:v>Business / brand</x:v>
      </x:c>
      <x:c r="D2230" s="12" t="str">
        <x:v>Trade, consumer &amp; logistics</x:v>
      </x:c>
      <x:c r="E2230" s="12" t="str">
        <x:v>Logistics, shipping &amp; transport</x:v>
      </x:c>
      <x:c r="F2230" s="12" t="str">
        <x:v>Medium-scale prospects</x:v>
      </x:c>
      <x:c r="G2230" s="12" t="str">
        <x:v>Specialist logistics or transport business; medium-scale prospect assumption.</x:v>
      </x:c>
      <x:c r="H2230" s="11" t="n">
        <x:v>2</x:v>
      </x:c>
      <x:c r="I2230" s="11" t="n">
        <x:v>2</x:v>
      </x:c>
      <x:c r="J2230" s="11" t="n">
        <x:v>2</x:v>
      </x:c>
      <x:c r="K2230" s="11" t="n">
        <x:v>0</x:v>
      </x:c>
      <x:c r="L2230" s="17" t="n">
        <x:f>SUM(SUMIFS('Costing'!$P$9:$P$492,'Costing'!$A$9:$A$492,"PARTNER-M241"))</x:f>
        <x:v>80000</x:v>
      </x:c>
      <x:c r="M2230" s="17" t="n">
        <x:f>ROUND(L2230*'Costing'!$C$4,2)</x:f>
        <x:v>14400</x:v>
      </x:c>
      <x:c r="N2230" s="17" t="n">
        <x:f>L2230+M2230</x:f>
        <x:v>94400</x:v>
      </x:c>
      <x:c r="O2230" s="12" t="str">
        <x:v>Mumbai</x:v>
      </x:c>
      <x:c r="P2230" s="12" t="str">
        <x:v>CORP-0658, CORP-0659</x:v>
      </x:c>
      <x:c r="Q2230" s="12" t="str">
        <x:v>Searock International</x:v>
      </x:c>
    </x:row>
    <x:row r="2231" ht="48" customHeight="1">
      <x:c r="A2231" s="2" t="str">
        <x:v>TEN-9C17595C000B</x:v>
      </x:c>
      <x:c r="B2231" s="12" t="str">
        <x:v>Secure Connection Pvt.Ltd</x:v>
      </x:c>
      <x:c r="C2231" s="12" t="str">
        <x:v>Business / brand</x:v>
      </x:c>
      <x:c r="D2231" s="12" t="str">
        <x:v>Unresolved</x:v>
      </x:c>
      <x:c r="E2231" s="12" t="str">
        <x:v>Business activity not established</x:v>
      </x:c>
      <x:c r="F2231" s="12" t="str">
        <x:v>Mixed business audience</x:v>
      </x:c>
      <x:c r="G2231" s="12" t="str">
        <x:v>Business activity and company scale are not established from this name.</x:v>
      </x:c>
      <x:c r="H2231" s="11" t="n">
        <x:v>1</x:v>
      </x:c>
      <x:c r="I2231" s="11" t="n">
        <x:v>2</x:v>
      </x:c>
      <x:c r="J2231" s="11" t="n">
        <x:v>2</x:v>
      </x:c>
      <x:c r="K2231" s="11" t="n">
        <x:v>0</x:v>
      </x:c>
      <x:c r="L2231" s="17" t="n">
        <x:f>SUM(SUMIFS('Costing'!$P$9:$P$492,'Costing'!$A$9:$A$492,"MAIN-031"))</x:f>
        <x:v>30000</x:v>
      </x:c>
      <x:c r="M2231" s="17" t="n">
        <x:f>ROUND(L2231*'Costing'!$C$4,2)</x:f>
        <x:v>5400</x:v>
      </x:c>
      <x:c r="N2231" s="17" t="n">
        <x:f>L2231+M2231</x:f>
        <x:v>35400</x:v>
      </x:c>
      <x:c r="O2231" s="12" t="str">
        <x:v>Bengaluru</x:v>
      </x:c>
      <x:c r="P2231" s="12" t="str">
        <x:v>CORP-0027</x:v>
      </x:c>
      <x:c r="Q2231" s="12" t="str">
        <x:v>Secure Connection Pvt.Ltd</x:v>
      </x:c>
    </x:row>
    <x:row r="2232" ht="48" customHeight="1">
      <x:c r="A2232" s="2" t="str">
        <x:v>TEN-B500F96CF69E</x:v>
      </x:c>
      <x:c r="B2232" s="12" t="str">
        <x:v>Sekura Energy Private Limited</x:v>
      </x:c>
      <x:c r="C2232" s="12" t="str">
        <x:v>Business / brand</x:v>
      </x:c>
      <x:c r="D2232" s="12" t="str">
        <x:v>Engineering &amp; manufacturing</x:v>
      </x:c>
      <x:c r="E2232" s="12" t="str">
        <x:v>Energy, electrical &amp; industrial systems</x:v>
      </x:c>
      <x:c r="F2232" s="12" t="str">
        <x:v>Medium-scale prospects</x:v>
      </x:c>
      <x:c r="G2232" s="12" t="str">
        <x:v>Specialist industrial or engineering business; medium-scale prospect assumption.</x:v>
      </x:c>
      <x:c r="H2232" s="11" t="n">
        <x:v>6</x:v>
      </x:c>
      <x:c r="I2232" s="11" t="n">
        <x:v>6</x:v>
      </x:c>
      <x:c r="J2232" s="11" t="n">
        <x:v>6</x:v>
      </x:c>
      <x:c r="K2232" s="11" t="n">
        <x:v>0</x:v>
      </x:c>
      <x:c r="L2232" s="17" t="n">
        <x:f>SUM(SUMIFS('Costing'!$P$9:$P$492,'Costing'!$A$9:$A$492,"PARTNER-M227"))</x:f>
        <x:v>240000</x:v>
      </x:c>
      <x:c r="M2232" s="17" t="n">
        <x:f>ROUND(L2232*'Costing'!$C$4,2)</x:f>
        <x:v>43200</x:v>
      </x:c>
      <x:c r="N2232" s="17" t="n">
        <x:f>L2232+M2232</x:f>
        <x:v>283200</x:v>
      </x:c>
      <x:c r="O2232" s="12" t="str">
        <x:v>Mumbai</x:v>
      </x:c>
      <x:c r="P2232" s="12" t="str">
        <x:v>CORP-0644, CORP-0645, CORP-0646, CORP-0647, CORP-0648, CORP-0649</x:v>
      </x:c>
      <x:c r="Q2232" s="12" t="str">
        <x:v>Sekura Energy Private Limited</x:v>
      </x:c>
    </x:row>
    <x:row r="2233" ht="48" customHeight="1">
      <x:c r="A2233" s="2" t="str">
        <x:v>TEN-285CEC965FE7</x:v>
      </x:c>
      <x:c r="B2233" s="12" t="str">
        <x:v>SenecaGlobal IT Services Private Limited</x:v>
      </x:c>
      <x:c r="C2233" s="12" t="str">
        <x:v>Business / brand</x:v>
      </x:c>
      <x:c r="D2233" s="12" t="str">
        <x:v>IT &amp; digital</x:v>
      </x:c>
      <x:c r="E2233" s="12" t="str">
        <x:v>Enterprise software &amp; digital engineering</x:v>
      </x:c>
      <x:c r="F2233" s="12" t="str">
        <x:v>Small-scale prospects</x:v>
      </x:c>
      <x:c r="G2233" s="12" t="str">
        <x:v>Software or technology-services business; small-scale prospect assumption.</x:v>
      </x:c>
      <x:c r="H2233" s="11" t="n">
        <x:v>4</x:v>
      </x:c>
      <x:c r="I2233" s="11" t="n">
        <x:v>4</x:v>
      </x:c>
      <x:c r="J2233" s="11" t="n">
        <x:v>4</x:v>
      </x:c>
      <x:c r="K2233" s="11" t="n">
        <x:v>0</x:v>
      </x:c>
      <x:c r="L2233" s="17" t="n">
        <x:f>SUM(SUMIFS('Costing'!$P$9:$P$492,'Costing'!$A$9:$A$492,"PARTNER-M308"))</x:f>
        <x:v>160000</x:v>
      </x:c>
      <x:c r="M2233" s="17" t="n">
        <x:f>ROUND(L2233*'Costing'!$C$4,2)</x:f>
        <x:v>28800</x:v>
      </x:c>
      <x:c r="N2233" s="17" t="n">
        <x:f>L2233+M2233</x:f>
        <x:v>188800</x:v>
      </x:c>
      <x:c r="O2233" s="12" t="str">
        <x:v>Hyderabad</x:v>
      </x:c>
      <x:c r="P2233" s="12" t="str">
        <x:v>CORP-0723, CORP-0724, CORP-0725, CORP-0726</x:v>
      </x:c>
      <x:c r="Q2233" s="12" t="str">
        <x:v>SenecaGlobal IT Services Private Limited</x:v>
      </x:c>
    </x:row>
    <x:row r="2234" ht="48" customHeight="1">
      <x:c r="A2234" s="2" t="str">
        <x:v>TEN-554414125D75</x:v>
      </x:c>
      <x:c r="B2234" s="12" t="str">
        <x:v>Sequential Technology International</x:v>
      </x:c>
      <x:c r="C2234" s="12" t="str">
        <x:v>Business / brand</x:v>
      </x:c>
      <x:c r="D2234" s="12" t="str">
        <x:v>IT &amp; digital</x:v>
      </x:c>
      <x:c r="E2234" s="12" t="str">
        <x:v>Enterprise software &amp; digital engineering</x:v>
      </x:c>
      <x:c r="F2234" s="12" t="str">
        <x:v>Small-scale prospects</x:v>
      </x:c>
      <x:c r="G2234" s="12" t="str">
        <x:v>Software or technology-services business; small-scale prospect assumption.</x:v>
      </x:c>
      <x:c r="H2234" s="11" t="n">
        <x:v>1</x:v>
      </x:c>
      <x:c r="I2234" s="11" t="n">
        <x:v>4</x:v>
      </x:c>
      <x:c r="J2234" s="11" t="n">
        <x:v>4</x:v>
      </x:c>
      <x:c r="K2234" s="11" t="n">
        <x:v>0</x:v>
      </x:c>
      <x:c r="L2234" s="17" t="n">
        <x:f>SUM(SUMIFS('Costing'!$P$9:$P$492,'Costing'!$A$9:$A$492,"MAIN-204"))</x:f>
        <x:v>160000</x:v>
      </x:c>
      <x:c r="M2234" s="17" t="n">
        <x:f>ROUND(L2234*'Costing'!$C$4,2)</x:f>
        <x:v>28800</x:v>
      </x:c>
      <x:c r="N2234" s="17" t="n">
        <x:f>L2234+M2234</x:f>
        <x:v>188800</x:v>
      </x:c>
      <x:c r="O2234" s="12" t="str">
        <x:v>Delhi NCR</x:v>
      </x:c>
      <x:c r="P2234" s="12" t="str">
        <x:v>CORP-0200</x:v>
      </x:c>
      <x:c r="Q2234" s="12" t="str">
        <x:v>Sequential Technology International</x:v>
      </x:c>
    </x:row>
    <x:row r="2235" ht="48" customHeight="1">
      <x:c r="A2235" s="2" t="str">
        <x:v>TEN-BB8FEC9419FA</x:v>
      </x:c>
      <x:c r="B2235" s="12" t="str">
        <x:v>Serco</x:v>
      </x:c>
      <x:c r="C2235" s="12" t="str">
        <x:v>Business / brand</x:v>
      </x:c>
      <x:c r="D2235" s="12" t="str">
        <x:v>Unresolved</x:v>
      </x:c>
      <x:c r="E2235" s="12" t="str">
        <x:v>Business activity not established</x:v>
      </x:c>
      <x:c r="F2235" s="12" t="str">
        <x:v>Mixed business audience</x:v>
      </x:c>
      <x:c r="G2235" s="12" t="str">
        <x:v>Business activity and company scale are not established from this name.</x:v>
      </x:c>
      <x:c r="H2235" s="11" t="n">
        <x:v>3</x:v>
      </x:c>
      <x:c r="I2235" s="11" t="n">
        <x:v>3</x:v>
      </x:c>
      <x:c r="J2235" s="11" t="n">
        <x:v>3</x:v>
      </x:c>
      <x:c r="K2235" s="11" t="n">
        <x:v>0</x:v>
      </x:c>
      <x:c r="L2235" s="17" t="n">
        <x:f>SUM(SUMIFS('Costing'!$P$9:$P$492,'Costing'!$A$9:$A$492,"PARTNER-M349"),SUMIFS('Costing'!$P$9:$P$492,'Costing'!$A$9:$A$492,"PARTNER-M350"))</x:f>
        <x:v>120000</x:v>
      </x:c>
      <x:c r="M2235" s="17" t="n">
        <x:f>ROUND(L2235*'Costing'!$C$4,2)</x:f>
        <x:v>21600</x:v>
      </x:c>
      <x:c r="N2235" s="17" t="n">
        <x:f>L2235+M2235</x:f>
        <x:v>141600</x:v>
      </x:c>
      <x:c r="O2235" s="12" t="str">
        <x:v>Chennai</x:v>
      </x:c>
      <x:c r="P2235" s="12" t="str">
        <x:v>CORP-0763, CORP-0764, CORP-0765</x:v>
      </x:c>
      <x:c r="Q2235" s="12" t="str">
        <x:v>Serco</x:v>
      </x:c>
    </x:row>
    <x:row r="2236" ht="49" customHeight="1">
      <x:c r="A2236" s="2" t="str">
        <x:v>TEN-24BCCA39B43D</x:v>
      </x:c>
      <x:c r="B2236" s="12" t="str">
        <x:v>Serenia Coworking</x:v>
      </x:c>
      <x:c r="C2236" s="12" t="str">
        <x:v>Workspace operator</x:v>
      </x:c>
      <x:c r="D2236" s="12" t="str">
        <x:v>Workspace &amp; property operations</x:v>
      </x:c>
      <x:c r="E2236" s="12" t="str">
        <x:v>Coworking/workspace operator</x:v>
      </x:c>
      <x:c r="F2236" s="12" t="str">
        <x:v>Mixed business audience</x:v>
      </x:c>
      <x:c r="G2236" s="12" t="str">
        <x:v>Supplied entry is a shared-workspace operator; the business sizes of occupant companies cannot be derived from the operator name.</x:v>
      </x:c>
      <x:c r="H2236" s="11" t="n">
        <x:v>10</x:v>
      </x:c>
      <x:c r="I2236" s="11" t="n">
        <x:v>10</x:v>
      </x:c>
      <x:c r="J2236" s="11" t="n">
        <x:v>10</x:v>
      </x:c>
      <x:c r="K2236" s="11" t="n">
        <x:v>0</x:v>
      </x:c>
      <x:c r="L2236" s="17" t="n">
        <x:f>SUM(SUMIFS('Costing'!$P$9:$P$492,'Costing'!$A$9:$A$492,"PARTNER-M365"))</x:f>
        <x:v>400000</x:v>
      </x:c>
      <x:c r="M2236" s="17" t="n">
        <x:f>ROUND(L2236*'Costing'!$C$4,2)</x:f>
        <x:v>72000</x:v>
      </x:c>
      <x:c r="N2236" s="17" t="n">
        <x:f>L2236+M2236</x:f>
        <x:v>472000</x:v>
      </x:c>
      <x:c r="O2236" s="12" t="str">
        <x:v>Delhi NCR</x:v>
      </x:c>
      <x:c r="P2236" s="12" t="str">
        <x:v>CORP-0778, CORP-0779, CORP-0780, CORP-0781, CORP-0782, CORP-0783, CORP-0784, CORP-0785, CORP-0786, CORP-0787</x:v>
      </x:c>
      <x:c r="Q2236" s="12" t="str">
        <x:v>Serenia Coworking</x:v>
      </x:c>
    </x:row>
    <x:row r="2237" ht="48" customHeight="1">
      <x:c r="A2237" s="2" t="str">
        <x:v>TEN-8FEEAF77AB0E</x:v>
      </x:c>
      <x:c r="B2237" s="12" t="str">
        <x:v>Serviceberry</x:v>
      </x:c>
      <x:c r="C2237" s="12" t="str">
        <x:v>Business / brand</x:v>
      </x:c>
      <x:c r="D2237" s="12" t="str">
        <x:v>IT &amp; digital</x:v>
      </x:c>
      <x:c r="E2237" s="12" t="str">
        <x:v>Enterprise software &amp; digital engineering</x:v>
      </x:c>
      <x:c r="F2237" s="12" t="str">
        <x:v>Small-scale prospects</x:v>
      </x:c>
      <x:c r="G2237" s="12" t="str">
        <x:v>Software or technology-services business; small-scale prospect assumption.</x:v>
      </x:c>
      <x:c r="H2237" s="11" t="n">
        <x:v>1</x:v>
      </x:c>
      <x:c r="I2237" s="11" t="n">
        <x:v>1</x:v>
      </x:c>
      <x:c r="J2237" s="11" t="n">
        <x:v>1</x:v>
      </x:c>
      <x:c r="K2237" s="11" t="n">
        <x:v>0</x:v>
      </x:c>
      <x:c r="L2237" s="17" t="n">
        <x:f>SUM(SUMIFS('Costing'!$P$9:$P$492,'Costing'!$A$9:$A$492,"MAIN-303"))</x:f>
        <x:v>15000</x:v>
      </x:c>
      <x:c r="M2237" s="17" t="n">
        <x:f>ROUND(L2237*'Costing'!$C$4,2)</x:f>
        <x:v>2700</x:v>
      </x:c>
      <x:c r="N2237" s="17" t="n">
        <x:f>L2237+M2237</x:f>
        <x:v>17700</x:v>
      </x:c>
      <x:c r="O2237" s="12" t="str">
        <x:v>Mumbai</x:v>
      </x:c>
      <x:c r="P2237" s="12" t="str">
        <x:v>CORP-0299</x:v>
      </x:c>
      <x:c r="Q2237" s="12" t="str">
        <x:v>Serviceberry</x:v>
      </x:c>
    </x:row>
    <x:row r="2238" ht="48" customHeight="1">
      <x:c r="A2238" s="2" t="str">
        <x:v>TEN-1E2BE5B93DE6</x:v>
      </x:c>
      <x:c r="B2238" s="12" t="str">
        <x:v>Servier India Private Limited</x:v>
      </x:c>
      <x:c r="C2238" s="12" t="str">
        <x:v>Business / brand</x:v>
      </x:c>
      <x:c r="D2238" s="12" t="str">
        <x:v>Healthcare &amp; life sciences</x:v>
      </x:c>
      <x:c r="E2238" s="12" t="str">
        <x:v>Clinical, pharmaceutical &amp; health services</x:v>
      </x:c>
      <x:c r="F2238" s="12" t="str">
        <x:v>Mixed business audience</x:v>
      </x:c>
      <x:c r="G2238" s="12" t="str">
        <x:v>Established brand or business network; local company scale is not established. Use a mixed-business message.</x:v>
      </x:c>
      <x:c r="H2238" s="11" t="n">
        <x:v>4</x:v>
      </x:c>
      <x:c r="I2238" s="11" t="n">
        <x:v>4</x:v>
      </x:c>
      <x:c r="J2238" s="11" t="n">
        <x:v>4</x:v>
      </x:c>
      <x:c r="K2238" s="11" t="n">
        <x:v>0</x:v>
      </x:c>
      <x:c r="L2238" s="17" t="n">
        <x:f>SUM(SUMIFS('Costing'!$P$9:$P$492,'Costing'!$A$9:$A$492,"PARTNER-M171"))</x:f>
        <x:v>160000</x:v>
      </x:c>
      <x:c r="M2238" s="17" t="n">
        <x:f>ROUND(L2238*'Costing'!$C$4,2)</x:f>
        <x:v>28800</x:v>
      </x:c>
      <x:c r="N2238" s="17" t="n">
        <x:f>L2238+M2238</x:f>
        <x:v>188800</x:v>
      </x:c>
      <x:c r="O2238" s="12" t="str">
        <x:v>Mumbai</x:v>
      </x:c>
      <x:c r="P2238" s="12" t="str">
        <x:v>CORP-0588, CORP-0589, CORP-0590, CORP-0591</x:v>
      </x:c>
      <x:c r="Q2238" s="12" t="str">
        <x:v>Servier India Private Limited</x:v>
      </x:c>
    </x:row>
    <x:row r="2239" ht="48" customHeight="1">
      <x:c r="A2239" s="2" t="str">
        <x:v>TEN-1129162334DD</x:v>
      </x:c>
      <x:c r="B2239" s="12" t="str">
        <x:v>Servion Global Solutions</x:v>
      </x:c>
      <x:c r="C2239" s="12" t="str">
        <x:v>Business / brand</x:v>
      </x:c>
      <x:c r="D2239" s="12" t="str">
        <x:v>IT &amp; digital</x:v>
      </x:c>
      <x:c r="E2239" s="12" t="str">
        <x:v>Enterprise software &amp; digital engineering</x:v>
      </x:c>
      <x:c r="F2239" s="12" t="str">
        <x:v>Mixed business audience</x:v>
      </x:c>
      <x:c r="G2239" s="12" t="str">
        <x:v>Established brand or business network; local company scale is not established. Use a mixed-business message.</x:v>
      </x:c>
      <x:c r="H2239" s="11" t="n">
        <x:v>6</x:v>
      </x:c>
      <x:c r="I2239" s="11" t="n">
        <x:v>6</x:v>
      </x:c>
      <x:c r="J2239" s="11" t="n">
        <x:v>6</x:v>
      </x:c>
      <x:c r="K2239" s="11" t="n">
        <x:v>0</x:v>
      </x:c>
      <x:c r="L2239" s="17" t="n">
        <x:f>SUM(SUMIFS('Costing'!$P$9:$P$492,'Costing'!$A$9:$A$492,"PARTNER-M072"))</x:f>
        <x:v>240000</x:v>
      </x:c>
      <x:c r="M2239" s="17" t="n">
        <x:f>ROUND(L2239*'Costing'!$C$4,2)</x:f>
        <x:v>43200</x:v>
      </x:c>
      <x:c r="N2239" s="17" t="n">
        <x:f>L2239+M2239</x:f>
        <x:v>283200</x:v>
      </x:c>
      <x:c r="O2239" s="12" t="str">
        <x:v>Bengaluru</x:v>
      </x:c>
      <x:c r="P2239" s="12" t="str">
        <x:v>CORP-0490, CORP-0491, CORP-0492, CORP-0493, CORP-0494, CORP-0495</x:v>
      </x:c>
      <x:c r="Q2239" s="12" t="str">
        <x:v>Servion Global Solutions</x:v>
      </x:c>
    </x:row>
    <x:row r="2240" ht="48" customHeight="1">
      <x:c r="A2240" s="2" t="str">
        <x:v>TEN-D39F51DEE522</x:v>
      </x:c>
      <x:c r="B2240" s="12" t="str">
        <x:v>servo icon</x:v>
      </x:c>
      <x:c r="C2240" s="12" t="str">
        <x:v>Business / brand</x:v>
      </x:c>
      <x:c r="D2240" s="12" t="str">
        <x:v>Unresolved</x:v>
      </x:c>
      <x:c r="E2240" s="12" t="str">
        <x:v>Business activity not established</x:v>
      </x:c>
      <x:c r="F2240" s="12" t="str">
        <x:v>Mixed business audience</x:v>
      </x:c>
      <x:c r="G2240" s="12" t="str">
        <x:v>Business activity and company scale are not established from this name.</x:v>
      </x:c>
      <x:c r="H2240" s="11" t="n">
        <x:v>1</x:v>
      </x:c>
      <x:c r="I2240" s="11" t="n">
        <x:v>3</x:v>
      </x:c>
      <x:c r="J2240" s="11" t="n">
        <x:v>3</x:v>
      </x:c>
      <x:c r="K2240" s="11" t="n">
        <x:v>0</x:v>
      </x:c>
      <x:c r="L2240" s="17" t="n">
        <x:f>SUM(SUMIFS('Costing'!$P$9:$P$492,'Costing'!$A$9:$A$492,"MAIN-218"))</x:f>
        <x:v>45000</x:v>
      </x:c>
      <x:c r="M2240" s="17" t="n">
        <x:f>ROUND(L2240*'Costing'!$C$4,2)</x:f>
        <x:v>8100</x:v>
      </x:c>
      <x:c r="N2240" s="17" t="n">
        <x:f>L2240+M2240</x:f>
        <x:v>53100</x:v>
      </x:c>
      <x:c r="O2240" s="12" t="str">
        <x:v>Hyderabad</x:v>
      </x:c>
      <x:c r="P2240" s="12" t="str">
        <x:v>CORP-0214</x:v>
      </x:c>
      <x:c r="Q2240" s="12" t="str">
        <x:v>servo icon</x:v>
      </x:c>
    </x:row>
    <x:row r="2241" ht="48" customHeight="1">
      <x:c r="A2241" s="2" t="str">
        <x:v>TEN-3CF00757ED3D</x:v>
      </x:c>
      <x:c r="B2241" s="12" t="str">
        <x:v>Sesderma India Private Limited</x:v>
      </x:c>
      <x:c r="C2241" s="12" t="str">
        <x:v>Business / brand</x:v>
      </x:c>
      <x:c r="D2241" s="12" t="str">
        <x:v>Healthcare &amp; life sciences</x:v>
      </x:c>
      <x:c r="E2241" s="12" t="str">
        <x:v>Clinical, pharmaceutical &amp; health services</x:v>
      </x:c>
      <x:c r="F2241" s="12" t="str">
        <x:v>Mixed business audience</x:v>
      </x:c>
      <x:c r="G2241" s="12" t="str">
        <x:v>Established brand or business network; local company scale is not established. Use a mixed-business message.</x:v>
      </x:c>
      <x:c r="H2241" s="11" t="n">
        <x:v>1</x:v>
      </x:c>
      <x:c r="I2241" s="11" t="n">
        <x:v>3</x:v>
      </x:c>
      <x:c r="J2241" s="11" t="n">
        <x:v>3</x:v>
      </x:c>
      <x:c r="K2241" s="11" t="n">
        <x:v>0</x:v>
      </x:c>
      <x:c r="L2241" s="17" t="n">
        <x:f>SUM(SUMIFS('Costing'!$P$9:$P$492,'Costing'!$A$9:$A$492,"MAIN-206"))</x:f>
        <x:v>120000</x:v>
      </x:c>
      <x:c r="M2241" s="17" t="n">
        <x:f>ROUND(L2241*'Costing'!$C$4,2)</x:f>
        <x:v>21600</x:v>
      </x:c>
      <x:c r="N2241" s="17" t="n">
        <x:f>L2241+M2241</x:f>
        <x:v>141600</x:v>
      </x:c>
      <x:c r="O2241" s="12" t="str">
        <x:v>Delhi NCR</x:v>
      </x:c>
      <x:c r="P2241" s="12" t="str">
        <x:v>CORP-0202</x:v>
      </x:c>
      <x:c r="Q2241" s="12" t="str">
        <x:v>Sesderma India Private Limited</x:v>
      </x:c>
    </x:row>
    <x:row r="2242" ht="48" customHeight="1">
      <x:c r="A2242" s="2" t="str">
        <x:v>TEN-21F20696E755</x:v>
      </x:c>
      <x:c r="B2242" s="12" t="str">
        <x:v>Seventh IT Technology</x:v>
      </x:c>
      <x:c r="C2242" s="12" t="str">
        <x:v>Business / brand</x:v>
      </x:c>
      <x:c r="D2242" s="12" t="str">
        <x:v>Unresolved</x:v>
      </x:c>
      <x:c r="E2242" s="12" t="str">
        <x:v>Business activity not established</x:v>
      </x:c>
      <x:c r="F2242" s="12" t="str">
        <x:v>Mixed business audience</x:v>
      </x:c>
      <x:c r="G2242" s="12" t="str">
        <x:v>Business activity and company scale are not established from this name.</x:v>
      </x:c>
      <x:c r="H2242" s="11" t="n">
        <x:v>1</x:v>
      </x:c>
      <x:c r="I2242" s="11" t="n">
        <x:v>1</x:v>
      </x:c>
      <x:c r="J2242" s="11" t="n">
        <x:v>1</x:v>
      </x:c>
      <x:c r="K2242" s="11" t="n">
        <x:v>0</x:v>
      </x:c>
      <x:c r="L2242" s="17" t="n">
        <x:f>SUM(SUMIFS('Costing'!$P$9:$P$492,'Costing'!$A$9:$A$492,"MAIN-274"))</x:f>
        <x:v>40000</x:v>
      </x:c>
      <x:c r="M2242" s="17" t="n">
        <x:f>ROUND(L2242*'Costing'!$C$4,2)</x:f>
        <x:v>7200</x:v>
      </x:c>
      <x:c r="N2242" s="17" t="n">
        <x:f>L2242+M2242</x:f>
        <x:v>47200</x:v>
      </x:c>
      <x:c r="O2242" s="12" t="str">
        <x:v>Indore</x:v>
      </x:c>
      <x:c r="P2242" s="12" t="str">
        <x:v>CORP-0270</x:v>
      </x:c>
      <x:c r="Q2242" s="12" t="str">
        <x:v>Seventh IT Technology</x:v>
      </x:c>
    </x:row>
    <x:row r="2243" ht="48" customHeight="1">
      <x:c r="A2243" s="2" t="str">
        <x:v>TEN-26974B5A07BB</x:v>
      </x:c>
      <x:c r="B2243" s="12" t="str">
        <x:v>Shaad Agro Private Limited</x:v>
      </x:c>
      <x:c r="C2243" s="12" t="str">
        <x:v>Business / brand</x:v>
      </x:c>
      <x:c r="D2243" s="12" t="str">
        <x:v>Trade, consumer &amp; logistics</x:v>
      </x:c>
      <x:c r="E2243" s="12" t="str">
        <x:v>Retail, consumer products &amp; ecommerce</x:v>
      </x:c>
      <x:c r="F2243" s="12" t="str">
        <x:v>Small-scale prospects</x:v>
      </x:c>
      <x:c r="G2243" s="12" t="str">
        <x:v>Trading or consumer-services business; small-scale prospect assumption.</x:v>
      </x:c>
      <x:c r="H2243" s="11" t="n">
        <x:v>1</x:v>
      </x:c>
      <x:c r="I2243" s="11" t="n">
        <x:v>2</x:v>
      </x:c>
      <x:c r="J2243" s="11" t="n">
        <x:v>2</x:v>
      </x:c>
      <x:c r="K2243" s="11" t="n">
        <x:v>0</x:v>
      </x:c>
      <x:c r="L2243" s="17" t="n">
        <x:f>SUM(SUMIFS('Costing'!$P$9:$P$492,'Costing'!$A$9:$A$492,"MAIN-273"))</x:f>
        <x:v>40000</x:v>
      </x:c>
      <x:c r="M2243" s="17" t="n">
        <x:f>ROUND(L2243*'Costing'!$C$4,2)</x:f>
        <x:v>7200</x:v>
      </x:c>
      <x:c r="N2243" s="17" t="n">
        <x:f>L2243+M2243</x:f>
        <x:v>47200</x:v>
      </x:c>
      <x:c r="O2243" s="12" t="str">
        <x:v>Indore</x:v>
      </x:c>
      <x:c r="P2243" s="12" t="str">
        <x:v>CORP-0269</x:v>
      </x:c>
      <x:c r="Q2243" s="12" t="str">
        <x:v>Shaad Agro Private Limited</x:v>
      </x:c>
    </x:row>
    <x:row r="2244" ht="48" customHeight="1">
      <x:c r="A2244" s="2" t="str">
        <x:v>TEN-4FBD42D10201</x:v>
      </x:c>
      <x:c r="B2244" s="12" t="str">
        <x:v>ShadowFax Mumbai</x:v>
      </x:c>
      <x:c r="C2244" s="12" t="str">
        <x:v>Business / brand</x:v>
      </x:c>
      <x:c r="D2244" s="12" t="str">
        <x:v>Trade, consumer &amp; logistics</x:v>
      </x:c>
      <x:c r="E2244" s="12" t="str">
        <x:v>Logistics, shipping &amp; transport</x:v>
      </x:c>
      <x:c r="F2244" s="12" t="str">
        <x:v>Mixed business audience</x:v>
      </x:c>
      <x:c r="G2244" s="12" t="str">
        <x:v>Recognisable business context; company-scale evidence remains insufficient for a single size band.</x:v>
      </x:c>
      <x:c r="H2244" s="11" t="n">
        <x:v>1</x:v>
      </x:c>
      <x:c r="I2244" s="11" t="n">
        <x:v>1</x:v>
      </x:c>
      <x:c r="J2244" s="11" t="n">
        <x:v>1</x:v>
      </x:c>
      <x:c r="K2244" s="11" t="n">
        <x:v>0</x:v>
      </x:c>
      <x:c r="L2244" s="17" t="n">
        <x:f>SUM(SUMIFS('Costing'!$P$9:$P$492,'Costing'!$A$9:$A$492,"MAIN-309"))</x:f>
        <x:v>15000</x:v>
      </x:c>
      <x:c r="M2244" s="17" t="n">
        <x:f>ROUND(L2244*'Costing'!$C$4,2)</x:f>
        <x:v>2700</x:v>
      </x:c>
      <x:c r="N2244" s="17" t="n">
        <x:f>L2244+M2244</x:f>
        <x:v>17700</x:v>
      </x:c>
      <x:c r="O2244" s="12" t="str">
        <x:v>Mumbai</x:v>
      </x:c>
      <x:c r="P2244" s="12" t="str">
        <x:v>CORP-0305</x:v>
      </x:c>
      <x:c r="Q2244" s="12" t="str">
        <x:v>ShadowFax Mumbai</x:v>
      </x:c>
    </x:row>
    <x:row r="2245" ht="48" customHeight="1">
      <x:c r="A2245" s="2" t="str">
        <x:v>TEN-B046733A1A26</x:v>
      </x:c>
      <x:c r="B2245" s="12" t="str">
        <x:v>Shahaji fortune grp</x:v>
      </x:c>
      <x:c r="C2245" s="12" t="str">
        <x:v>Business / brand</x:v>
      </x:c>
      <x:c r="D2245" s="12" t="str">
        <x:v>Unresolved</x:v>
      </x:c>
      <x:c r="E2245" s="12" t="str">
        <x:v>Business activity not established</x:v>
      </x:c>
      <x:c r="F2245" s="12" t="str">
        <x:v>Mixed business audience</x:v>
      </x:c>
      <x:c r="G2245" s="12" t="str">
        <x:v>Business activity and company scale are not established from this name.</x:v>
      </x:c>
      <x:c r="H2245" s="11" t="n">
        <x:v>1</x:v>
      </x:c>
      <x:c r="I2245" s="11" t="n">
        <x:v>1</x:v>
      </x:c>
      <x:c r="J2245" s="11" t="n">
        <x:v>1</x:v>
      </x:c>
      <x:c r="K2245" s="11" t="n">
        <x:v>0</x:v>
      </x:c>
      <x:c r="L2245" s="17" t="n">
        <x:f>SUM(SUMIFS('Costing'!$P$9:$P$492,'Costing'!$A$9:$A$492,"MAIN-379"))</x:f>
        <x:v>15000</x:v>
      </x:c>
      <x:c r="M2245" s="17" t="n">
        <x:f>ROUND(L2245*'Costing'!$C$4,2)</x:f>
        <x:v>2700</x:v>
      </x:c>
      <x:c r="N2245" s="17" t="n">
        <x:f>L2245+M2245</x:f>
        <x:v>17700</x:v>
      </x:c>
      <x:c r="O2245" s="12" t="str">
        <x:v>Pune</x:v>
      </x:c>
      <x:c r="P2245" s="12" t="str">
        <x:v>CORP-0375</x:v>
      </x:c>
      <x:c r="Q2245" s="12" t="str">
        <x:v>Shahaji fortune grp</x:v>
      </x:c>
    </x:row>
    <x:row r="2246" ht="48" customHeight="1">
      <x:c r="A2246" s="2" t="str">
        <x:v>TEN-13AE387FC0B7</x:v>
      </x:c>
      <x:c r="B2246" s="12" t="str">
        <x:v>shamika heritage</x:v>
      </x:c>
      <x:c r="C2246" s="12" t="str">
        <x:v>Business / brand</x:v>
      </x:c>
      <x:c r="D2246" s="12" t="str">
        <x:v>Unresolved</x:v>
      </x:c>
      <x:c r="E2246" s="12" t="str">
        <x:v>Business activity not established</x:v>
      </x:c>
      <x:c r="F2246" s="12" t="str">
        <x:v>Mixed business audience</x:v>
      </x:c>
      <x:c r="G2246" s="12" t="str">
        <x:v>Business activity and company scale are not established from this name.</x:v>
      </x:c>
      <x:c r="H2246" s="11" t="n">
        <x:v>1</x:v>
      </x:c>
      <x:c r="I2246" s="11" t="n">
        <x:v>1</x:v>
      </x:c>
      <x:c r="J2246" s="11" t="n">
        <x:v>1</x:v>
      </x:c>
      <x:c r="K2246" s="11" t="n">
        <x:v>0</x:v>
      </x:c>
      <x:c r="L2246" s="17" t="n">
        <x:f>SUM(SUMIFS('Costing'!$P$9:$P$492,'Costing'!$A$9:$A$492,"MAIN-087"))</x:f>
        <x:v>15000</x:v>
      </x:c>
      <x:c r="M2246" s="17" t="n">
        <x:f>ROUND(L2246*'Costing'!$C$4,2)</x:f>
        <x:v>2700</x:v>
      </x:c>
      <x:c r="N2246" s="17" t="n">
        <x:f>L2246+M2246</x:f>
        <x:v>17700</x:v>
      </x:c>
      <x:c r="O2246" s="12" t="str">
        <x:v>Bengaluru</x:v>
      </x:c>
      <x:c r="P2246" s="12" t="str">
        <x:v>CORP-0083</x:v>
      </x:c>
      <x:c r="Q2246" s="12" t="str">
        <x:v>shamika heritage</x:v>
      </x:c>
    </x:row>
    <x:row r="2247" ht="48" customHeight="1">
      <x:c r="A2247" s="2" t="str">
        <x:v>TEN-20A53682F801</x:v>
      </x:c>
      <x:c r="B2247" s="12" t="str">
        <x:v>Shardul Amarchand Mangaldas &amp; Company</x:v>
      </x:c>
      <x:c r="C2247" s="12" t="str">
        <x:v>Business / brand</x:v>
      </x:c>
      <x:c r="D2247" s="12" t="str">
        <x:v>Professional services</x:v>
      </x:c>
      <x:c r="E2247" s="12" t="str">
        <x:v>Legal &amp; intellectual property</x:v>
      </x:c>
      <x:c r="F2247" s="12" t="str">
        <x:v>Mixed business audience</x:v>
      </x:c>
      <x:c r="G2247" s="12" t="str">
        <x:v>Recognisable business context; company-scale evidence remains insufficient for a single size band.</x:v>
      </x:c>
      <x:c r="H2247" s="11" t="n">
        <x:v>4</x:v>
      </x:c>
      <x:c r="I2247" s="11" t="n">
        <x:v>4</x:v>
      </x:c>
      <x:c r="J2247" s="11" t="n">
        <x:v>4</x:v>
      </x:c>
      <x:c r="K2247" s="11" t="n">
        <x:v>0</x:v>
      </x:c>
      <x:c r="L2247" s="17" t="n">
        <x:f>SUM(SUMIFS('Costing'!$P$9:$P$492,'Costing'!$A$9:$A$492,"PARTNER-M093"))</x:f>
        <x:v>160000</x:v>
      </x:c>
      <x:c r="M2247" s="17" t="n">
        <x:f>ROUND(L2247*'Costing'!$C$4,2)</x:f>
        <x:v>28800</x:v>
      </x:c>
      <x:c r="N2247" s="17" t="n">
        <x:f>L2247+M2247</x:f>
        <x:v>188800</x:v>
      </x:c>
      <x:c r="O2247" s="12" t="str">
        <x:v>Bengaluru</x:v>
      </x:c>
      <x:c r="P2247" s="12" t="str">
        <x:v>CORP-0511, CORP-0512, CORP-0513, CORP-0514</x:v>
      </x:c>
      <x:c r="Q2247" s="12" t="str">
        <x:v>Shardul Amarchand Mangaldas &amp; Company</x:v>
      </x:c>
    </x:row>
    <x:row r="2248" ht="48" customHeight="1">
      <x:c r="A2248" s="2" t="str">
        <x:v>TEN-B07B67C76413</x:v>
      </x:c>
      <x:c r="B2248" s="12" t="str">
        <x:v>Sharekhan</x:v>
      </x:c>
      <x:c r="C2248" s="12" t="str">
        <x:v>Business / brand</x:v>
      </x:c>
      <x:c r="D2248" s="12" t="str">
        <x:v>Finance &amp; insurance</x:v>
      </x:c>
      <x:c r="E2248" s="12" t="str">
        <x:v>Investments, securities &amp; wealth</x:v>
      </x:c>
      <x:c r="F2248" s="12" t="str">
        <x:v>Mixed business audience</x:v>
      </x:c>
      <x:c r="G2248" s="12" t="str">
        <x:v>Recognisable business context; company-scale evidence remains insufficient for a single size band.</x:v>
      </x:c>
      <x:c r="H2248" s="11" t="n">
        <x:v>2</x:v>
      </x:c>
      <x:c r="I2248" s="11" t="n">
        <x:v>7</x:v>
      </x:c>
      <x:c r="J2248" s="11" t="n">
        <x:v>7</x:v>
      </x:c>
      <x:c r="K2248" s="11" t="n">
        <x:v>0</x:v>
      </x:c>
      <x:c r="L2248" s="17" t="n">
        <x:f>SUM(SUMIFS('Costing'!$P$9:$P$492,'Costing'!$A$9:$A$492,"MAIN-268"),SUMIFS('Costing'!$P$9:$P$492,'Costing'!$A$9:$A$492,"MAIN-338"))</x:f>
        <x:v>280000</x:v>
      </x:c>
      <x:c r="M2248" s="17" t="n">
        <x:f>ROUND(L2248*'Costing'!$C$4,2)</x:f>
        <x:v>50400</x:v>
      </x:c>
      <x:c r="N2248" s="17" t="n">
        <x:f>L2248+M2248</x:f>
        <x:v>330400</x:v>
      </x:c>
      <x:c r="O2248" s="12" t="str">
        <x:v>Indore, Mumbai</x:v>
      </x:c>
      <x:c r="P2248" s="12" t="str">
        <x:v>CORP-0264, CORP-0334</x:v>
      </x:c>
      <x:c r="Q2248" s="12" t="str">
        <x:v>Sharekhan, Share Khan</x:v>
      </x:c>
    </x:row>
    <x:row r="2249" ht="48" customHeight="1">
      <x:c r="A2249" s="2" t="str">
        <x:v>TEN-D3A6CAE33147</x:v>
      </x:c>
      <x:c r="B2249" s="12" t="str">
        <x:v>Sharp Business Systems</x:v>
      </x:c>
      <x:c r="C2249" s="12" t="str">
        <x:v>Business / brand</x:v>
      </x:c>
      <x:c r="D2249" s="12" t="str">
        <x:v>Engineering &amp; manufacturing</x:v>
      </x:c>
      <x:c r="E2249" s="12" t="str">
        <x:v>Electronics, industrial systems &amp; manufacturing</x:v>
      </x:c>
      <x:c r="F2249" s="12" t="str">
        <x:v>Mixed business audience</x:v>
      </x:c>
      <x:c r="G2249" s="12" t="str">
        <x:v>Established brand or business network; local company scale is not established. Use a mixed-business message.</x:v>
      </x:c>
      <x:c r="H2249" s="11" t="n">
        <x:v>2</x:v>
      </x:c>
      <x:c r="I2249" s="11" t="n">
        <x:v>2</x:v>
      </x:c>
      <x:c r="J2249" s="11" t="n">
        <x:v>2</x:v>
      </x:c>
      <x:c r="K2249" s="11" t="n">
        <x:v>0</x:v>
      </x:c>
      <x:c r="L2249" s="17" t="n">
        <x:f>SUM(SUMIFS('Costing'!$P$9:$P$492,'Costing'!$A$9:$A$492,"PARTNER-M241"))</x:f>
        <x:v>80000</x:v>
      </x:c>
      <x:c r="M2249" s="17" t="n">
        <x:f>ROUND(L2249*'Costing'!$C$4,2)</x:f>
        <x:v>14400</x:v>
      </x:c>
      <x:c r="N2249" s="17" t="n">
        <x:f>L2249+M2249</x:f>
        <x:v>94400</x:v>
      </x:c>
      <x:c r="O2249" s="12" t="str">
        <x:v>Mumbai</x:v>
      </x:c>
      <x:c r="P2249" s="12" t="str">
        <x:v>CORP-0658, CORP-0659</x:v>
      </x:c>
      <x:c r="Q2249" s="12" t="str">
        <x:v>Sharp Business Systems</x:v>
      </x:c>
    </x:row>
    <x:row r="2250" ht="48" customHeight="1">
      <x:c r="A2250" s="2" t="str">
        <x:v>TEN-764319AE4FB8</x:v>
      </x:c>
      <x:c r="B2250" s="12" t="str">
        <x:v>Sharp Software</x:v>
      </x:c>
      <x:c r="C2250" s="12" t="str">
        <x:v>Business / brand</x:v>
      </x:c>
      <x:c r="D2250" s="12" t="str">
        <x:v>IT &amp; digital</x:v>
      </x:c>
      <x:c r="E2250" s="12" t="str">
        <x:v>Enterprise software &amp; digital engineering</x:v>
      </x:c>
      <x:c r="F2250" s="12" t="str">
        <x:v>Mixed business audience</x:v>
      </x:c>
      <x:c r="G2250" s="12" t="str">
        <x:v>Established brand or business network; local company scale is not established. Use a mixed-business message.</x:v>
      </x:c>
      <x:c r="H2250" s="11" t="n">
        <x:v>9</x:v>
      </x:c>
      <x:c r="I2250" s="11" t="n">
        <x:v>9</x:v>
      </x:c>
      <x:c r="J2250" s="11" t="n">
        <x:v>9</x:v>
      </x:c>
      <x:c r="K2250" s="11" t="n">
        <x:v>0</x:v>
      </x:c>
      <x:c r="L2250" s="17" t="n">
        <x:f>SUM(SUMIFS('Costing'!$P$9:$P$492,'Costing'!$A$9:$A$492,"PARTNER-M002"))</x:f>
        <x:v>360000</x:v>
      </x:c>
      <x:c r="M2250" s="17" t="n">
        <x:f>ROUND(L2250*'Costing'!$C$4,2)</x:f>
        <x:v>64800</x:v>
      </x:c>
      <x:c r="N2250" s="17" t="n">
        <x:f>L2250+M2250</x:f>
        <x:v>424800</x:v>
      </x:c>
      <x:c r="O2250" s="12" t="str">
        <x:v>Bengaluru</x:v>
      </x:c>
      <x:c r="P2250" s="12" t="str">
        <x:v>CORP-0420, CORP-0421, CORP-0422, CORP-0423, CORP-0424, CORP-0425, CORP-0426, CORP-0427, CORP-0428</x:v>
      </x:c>
      <x:c r="Q2250" s="12" t="str">
        <x:v>Sharp Software</x:v>
      </x:c>
    </x:row>
    <x:row r="2251" ht="48" customHeight="1">
      <x:c r="A2251" s="2" t="str">
        <x:v>TEN-12AA2A79B0A6</x:v>
      </x:c>
      <x:c r="B2251" s="12" t="str">
        <x:v>Sharpsell Technology Pvt.Ltd</x:v>
      </x:c>
      <x:c r="C2251" s="12" t="str">
        <x:v>Business / brand</x:v>
      </x:c>
      <x:c r="D2251" s="12" t="str">
        <x:v>Unresolved</x:v>
      </x:c>
      <x:c r="E2251" s="12" t="str">
        <x:v>Business activity not established</x:v>
      </x:c>
      <x:c r="F2251" s="12" t="str">
        <x:v>Mixed business audience</x:v>
      </x:c>
      <x:c r="G2251" s="12" t="str">
        <x:v>Business activity and company scale are not established from this name.</x:v>
      </x:c>
      <x:c r="H2251" s="11" t="n">
        <x:v>1</x:v>
      </x:c>
      <x:c r="I2251" s="11" t="n">
        <x:v>1</x:v>
      </x:c>
      <x:c r="J2251" s="11" t="n">
        <x:v>1</x:v>
      </x:c>
      <x:c r="K2251" s="11" t="n">
        <x:v>0</x:v>
      </x:c>
      <x:c r="L2251" s="17" t="n">
        <x:f>SUM(SUMIFS('Costing'!$P$9:$P$492,'Costing'!$A$9:$A$492,"MAIN-093"))</x:f>
        <x:v>15000</x:v>
      </x:c>
      <x:c r="M2251" s="17" t="n">
        <x:f>ROUND(L2251*'Costing'!$C$4,2)</x:f>
        <x:v>2700</x:v>
      </x:c>
      <x:c r="N2251" s="17" t="n">
        <x:f>L2251+M2251</x:f>
        <x:v>17700</x:v>
      </x:c>
      <x:c r="O2251" s="12" t="str">
        <x:v>Bengaluru</x:v>
      </x:c>
      <x:c r="P2251" s="12" t="str">
        <x:v>CORP-0089</x:v>
      </x:c>
      <x:c r="Q2251" s="12" t="str">
        <x:v>Sharpsell Technology Pvt.Ltd</x:v>
      </x:c>
    </x:row>
    <x:row r="2252" ht="48" customHeight="1">
      <x:c r="A2252" s="2" t="str">
        <x:v>TEN-DD6C0292E0C6</x:v>
      </x:c>
      <x:c r="B2252" s="12" t="str">
        <x:v>Sharpwiz Technologies Private Limited</x:v>
      </x:c>
      <x:c r="C2252" s="12" t="str">
        <x:v>Business / brand</x:v>
      </x:c>
      <x:c r="D2252" s="12" t="str">
        <x:v>Unresolved</x:v>
      </x:c>
      <x:c r="E2252" s="12" t="str">
        <x:v>Business activity not established</x:v>
      </x:c>
      <x:c r="F2252" s="12" t="str">
        <x:v>Mixed business audience</x:v>
      </x:c>
      <x:c r="G2252" s="12" t="str">
        <x:v>Business activity and company scale are not established from this name.</x:v>
      </x:c>
      <x:c r="H2252" s="11" t="n">
        <x:v>2</x:v>
      </x:c>
      <x:c r="I2252" s="11" t="n">
        <x:v>4</x:v>
      </x:c>
      <x:c r="J2252" s="11" t="n">
        <x:v>4</x:v>
      </x:c>
      <x:c r="K2252" s="11" t="n">
        <x:v>0</x:v>
      </x:c>
      <x:c r="L2252" s="17" t="n">
        <x:f>SUM(SUMIFS('Costing'!$P$9:$P$492,'Costing'!$A$9:$A$492,"MAIN-156"),SUMIFS('Costing'!$P$9:$P$492,'Costing'!$A$9:$A$492,"MAIN-157"))</x:f>
        <x:v>117500</x:v>
      </x:c>
      <x:c r="M2252" s="17" t="n">
        <x:f>ROUND(L2252*'Costing'!$C$4,2)</x:f>
        <x:v>21150</x:v>
      </x:c>
      <x:c r="N2252" s="17" t="n">
        <x:f>L2252+M2252</x:f>
        <x:v>138650</x:v>
      </x:c>
      <x:c r="O2252" s="12" t="str">
        <x:v>Chennai</x:v>
      </x:c>
      <x:c r="P2252" s="12" t="str">
        <x:v>CORP-0152, CORP-0153</x:v>
      </x:c>
      <x:c r="Q2252" s="12" t="str">
        <x:v>Sharpwiz Technologies Private Limited</x:v>
      </x:c>
    </x:row>
    <x:row r="2253" ht="48" customHeight="1">
      <x:c r="A2253" s="2" t="str">
        <x:v>TEN-32A46F0F2FE1</x:v>
      </x:c>
      <x:c r="B2253" s="12" t="str">
        <x:v>Shell India</x:v>
      </x:c>
      <x:c r="C2253" s="12" t="str">
        <x:v>Business / brand</x:v>
      </x:c>
      <x:c r="D2253" s="12" t="str">
        <x:v>Engineering &amp; manufacturing</x:v>
      </x:c>
      <x:c r="E2253" s="12" t="str">
        <x:v>Electronics, industrial systems &amp; manufacturing</x:v>
      </x:c>
      <x:c r="F2253" s="12" t="str">
        <x:v>Mixed business audience</x:v>
      </x:c>
      <x:c r="G2253" s="12" t="str">
        <x:v>Recognisable business context; company-scale evidence remains insufficient for a single size band.</x:v>
      </x:c>
      <x:c r="H2253" s="11" t="n">
        <x:v>8</x:v>
      </x:c>
      <x:c r="I2253" s="11" t="n">
        <x:v>8</x:v>
      </x:c>
      <x:c r="J2253" s="11" t="n">
        <x:v>8</x:v>
      </x:c>
      <x:c r="K2253" s="11" t="n">
        <x:v>0</x:v>
      </x:c>
      <x:c r="L2253" s="17" t="n">
        <x:f>SUM(SUMIFS('Costing'!$P$9:$P$492,'Costing'!$A$9:$A$492,"PARTNER-M146"))</x:f>
        <x:v>320000</x:v>
      </x:c>
      <x:c r="M2253" s="17" t="n">
        <x:f>ROUND(L2253*'Costing'!$C$4,2)</x:f>
        <x:v>57600</x:v>
      </x:c>
      <x:c r="N2253" s="17" t="n">
        <x:f>L2253+M2253</x:f>
        <x:v>377600</x:v>
      </x:c>
      <x:c r="O2253" s="12" t="str">
        <x:v>Bengaluru</x:v>
      </x:c>
      <x:c r="P2253" s="12" t="str">
        <x:v>CORP-0564, CORP-0565, CORP-0566, CORP-0567, CORP-0568, CORP-0569, CORP-0570, CORP-0571</x:v>
      </x:c>
      <x:c r="Q2253" s="12" t="str">
        <x:v>Shell India</x:v>
      </x:c>
    </x:row>
    <x:row r="2254" ht="48" customHeight="1">
      <x:c r="A2254" s="2" t="str">
        <x:v>TEN-BB2996861C7F</x:v>
      </x:c>
      <x:c r="B2254" s="12" t="str">
        <x:v>Shepherd's Hill</x:v>
      </x:c>
      <x:c r="C2254" s="12" t="str">
        <x:v>Business / brand</x:v>
      </x:c>
      <x:c r="D2254" s="12" t="str">
        <x:v>Unresolved</x:v>
      </x:c>
      <x:c r="E2254" s="12" t="str">
        <x:v>Business activity not established</x:v>
      </x:c>
      <x:c r="F2254" s="12" t="str">
        <x:v>Mixed business audience</x:v>
      </x:c>
      <x:c r="G2254" s="12" t="str">
        <x:v>Business activity and company scale are not established from this name.</x:v>
      </x:c>
      <x:c r="H2254" s="11" t="n">
        <x:v>1</x:v>
      </x:c>
      <x:c r="I2254" s="11" t="n">
        <x:v>1</x:v>
      </x:c>
      <x:c r="J2254" s="11" t="n">
        <x:v>1</x:v>
      </x:c>
      <x:c r="K2254" s="11" t="n">
        <x:v>0</x:v>
      </x:c>
      <x:c r="L2254" s="17" t="n">
        <x:f>SUM(SUMIFS('Costing'!$P$9:$P$492,'Costing'!$A$9:$A$492,"MAIN-395"))</x:f>
        <x:v>15000</x:v>
      </x:c>
      <x:c r="M2254" s="17" t="n">
        <x:f>ROUND(L2254*'Costing'!$C$4,2)</x:f>
        <x:v>2700</x:v>
      </x:c>
      <x:c r="N2254" s="17" t="n">
        <x:f>L2254+M2254</x:f>
        <x:v>17700</x:v>
      </x:c>
      <x:c r="O2254" s="12" t="str">
        <x:v>Pune</x:v>
      </x:c>
      <x:c r="P2254" s="12" t="str">
        <x:v>CORP-0391</x:v>
      </x:c>
      <x:c r="Q2254" s="12" t="str">
        <x:v>Shepherd's Hill</x:v>
      </x:c>
    </x:row>
    <x:row r="2255" ht="48" customHeight="1">
      <x:c r="A2255" s="2" t="str">
        <x:v>TEN-B423960A2E90</x:v>
      </x:c>
      <x:c r="B2255" s="12" t="str">
        <x:v>Shervil</x:v>
      </x:c>
      <x:c r="C2255" s="12" t="str">
        <x:v>Business / brand</x:v>
      </x:c>
      <x:c r="D2255" s="12" t="str">
        <x:v>Unresolved</x:v>
      </x:c>
      <x:c r="E2255" s="12" t="str">
        <x:v>Business activity not established</x:v>
      </x:c>
      <x:c r="F2255" s="12" t="str">
        <x:v>Mixed business audience</x:v>
      </x:c>
      <x:c r="G2255" s="12" t="str">
        <x:v>Business activity and company scale are not established from this name.</x:v>
      </x:c>
      <x:c r="H2255" s="11" t="n">
        <x:v>1</x:v>
      </x:c>
      <x:c r="I2255" s="11" t="n">
        <x:v>1</x:v>
      </x:c>
      <x:c r="J2255" s="11" t="n">
        <x:v>1</x:v>
      </x:c>
      <x:c r="K2255" s="11" t="n">
        <x:v>0</x:v>
      </x:c>
      <x:c r="L2255" s="17" t="n">
        <x:f>SUM(SUMIFS('Costing'!$P$9:$P$492,'Costing'!$A$9:$A$492,"MAIN-390"))</x:f>
        <x:v>15000</x:v>
      </x:c>
      <x:c r="M2255" s="17" t="n">
        <x:f>ROUND(L2255*'Costing'!$C$4,2)</x:f>
        <x:v>2700</x:v>
      </x:c>
      <x:c r="N2255" s="17" t="n">
        <x:f>L2255+M2255</x:f>
        <x:v>17700</x:v>
      </x:c>
      <x:c r="O2255" s="12" t="str">
        <x:v>Pune</x:v>
      </x:c>
      <x:c r="P2255" s="12" t="str">
        <x:v>CORP-0386</x:v>
      </x:c>
      <x:c r="Q2255" s="12" t="str">
        <x:v>Shervil</x:v>
      </x:c>
    </x:row>
    <x:row r="2256" ht="48" customHeight="1">
      <x:c r="A2256" s="2" t="str">
        <x:v>TEN-5D217103CFD8</x:v>
      </x:c>
      <x:c r="B2256" s="12" t="str">
        <x:v>Shine projects</x:v>
      </x:c>
      <x:c r="C2256" s="12" t="str">
        <x:v>Business / brand</x:v>
      </x:c>
      <x:c r="D2256" s="12" t="str">
        <x:v>Unresolved</x:v>
      </x:c>
      <x:c r="E2256" s="12" t="str">
        <x:v>Business activity not established</x:v>
      </x:c>
      <x:c r="F2256" s="12" t="str">
        <x:v>Mixed business audience</x:v>
      </x:c>
      <x:c r="G2256" s="12" t="str">
        <x:v>Business activity and company scale are not established from this name.</x:v>
      </x:c>
      <x:c r="H2256" s="11" t="n">
        <x:v>1</x:v>
      </x:c>
      <x:c r="I2256" s="11" t="n">
        <x:v>4</x:v>
      </x:c>
      <x:c r="J2256" s="11" t="n">
        <x:v>4</x:v>
      </x:c>
      <x:c r="K2256" s="11" t="n">
        <x:v>0</x:v>
      </x:c>
      <x:c r="L2256" s="17" t="n">
        <x:f>SUM(SUMIFS('Costing'!$P$9:$P$492,'Costing'!$A$9:$A$492,"MAIN-226"))</x:f>
        <x:v>60000</x:v>
      </x:c>
      <x:c r="M2256" s="17" t="n">
        <x:f>ROUND(L2256*'Costing'!$C$4,2)</x:f>
        <x:v>10800</x:v>
      </x:c>
      <x:c r="N2256" s="17" t="n">
        <x:f>L2256+M2256</x:f>
        <x:v>70800</x:v>
      </x:c>
      <x:c r="O2256" s="12" t="str">
        <x:v>Hyderabad</x:v>
      </x:c>
      <x:c r="P2256" s="12" t="str">
        <x:v>CORP-0222</x:v>
      </x:c>
      <x:c r="Q2256" s="12" t="str">
        <x:v>Shine projects</x:v>
      </x:c>
    </x:row>
    <x:row r="2257" ht="48" customHeight="1">
      <x:c r="A2257" s="2" t="str">
        <x:v>TEN-33BF340ECE27</x:v>
      </x:c>
      <x:c r="B2257" s="12" t="str">
        <x:v>Shipnet Software Private Limited</x:v>
      </x:c>
      <x:c r="C2257" s="12" t="str">
        <x:v>Business / brand</x:v>
      </x:c>
      <x:c r="D2257" s="12" t="str">
        <x:v>IT &amp; digital</x:v>
      </x:c>
      <x:c r="E2257" s="12" t="str">
        <x:v>Enterprise software &amp; digital engineering</x:v>
      </x:c>
      <x:c r="F2257" s="12" t="str">
        <x:v>Small-scale prospects</x:v>
      </x:c>
      <x:c r="G2257" s="12" t="str">
        <x:v>Software or technology-services business; small-scale prospect assumption.</x:v>
      </x:c>
      <x:c r="H2257" s="11" t="n">
        <x:v>1</x:v>
      </x:c>
      <x:c r="I2257" s="11" t="n">
        <x:v>2</x:v>
      </x:c>
      <x:c r="J2257" s="11" t="n">
        <x:v>2</x:v>
      </x:c>
      <x:c r="K2257" s="11" t="n">
        <x:v>0</x:v>
      </x:c>
      <x:c r="L2257" s="17" t="n">
        <x:f>SUM(SUMIFS('Costing'!$P$9:$P$492,'Costing'!$A$9:$A$492,"MAIN-150"))</x:f>
        <x:v>40000</x:v>
      </x:c>
      <x:c r="M2257" s="17" t="n">
        <x:f>ROUND(L2257*'Costing'!$C$4,2)</x:f>
        <x:v>7200</x:v>
      </x:c>
      <x:c r="N2257" s="17" t="n">
        <x:f>L2257+M2257</x:f>
        <x:v>47200</x:v>
      </x:c>
      <x:c r="O2257" s="12" t="str">
        <x:v>Chennai</x:v>
      </x:c>
      <x:c r="P2257" s="12" t="str">
        <x:v>CORP-0146</x:v>
      </x:c>
      <x:c r="Q2257" s="12" t="str">
        <x:v>Shipnet Software Private Limited</x:v>
      </x:c>
    </x:row>
    <x:row r="2258" ht="48" customHeight="1">
      <x:c r="A2258" s="2" t="str">
        <x:v>TEN-CD9B8AD2B916</x:v>
      </x:c>
      <x:c r="B2258" s="12" t="str">
        <x:v>Shivam Logistics Movers and Packers</x:v>
      </x:c>
      <x:c r="C2258" s="12" t="str">
        <x:v>Business / brand</x:v>
      </x:c>
      <x:c r="D2258" s="12" t="str">
        <x:v>Trade, consumer &amp; logistics</x:v>
      </x:c>
      <x:c r="E2258" s="12" t="str">
        <x:v>Logistics, shipping &amp; transport</x:v>
      </x:c>
      <x:c r="F2258" s="12" t="str">
        <x:v>Medium-scale prospects</x:v>
      </x:c>
      <x:c r="G2258" s="12" t="str">
        <x:v>Specialist logistics or transport business; medium-scale prospect assumption.</x:v>
      </x:c>
      <x:c r="H2258" s="11" t="n">
        <x:v>1</x:v>
      </x:c>
      <x:c r="I2258" s="11" t="n">
        <x:v>1</x:v>
      </x:c>
      <x:c r="J2258" s="11" t="n">
        <x:v>1</x:v>
      </x:c>
      <x:c r="K2258" s="11" t="n">
        <x:v>0</x:v>
      </x:c>
      <x:c r="L2258" s="17" t="n">
        <x:f>SUM(SUMIFS('Costing'!$P$9:$P$492,'Costing'!$A$9:$A$492,"MAIN-410"))</x:f>
        <x:v>15000</x:v>
      </x:c>
      <x:c r="M2258" s="17" t="n">
        <x:f>ROUND(L2258*'Costing'!$C$4,2)</x:f>
        <x:v>2700</x:v>
      </x:c>
      <x:c r="N2258" s="17" t="n">
        <x:f>L2258+M2258</x:f>
        <x:v>17700</x:v>
      </x:c>
      <x:c r="O2258" s="12" t="str">
        <x:v>Pune</x:v>
      </x:c>
      <x:c r="P2258" s="12" t="str">
        <x:v>CORP-0406</x:v>
      </x:c>
      <x:c r="Q2258" s="12" t="str">
        <x:v>Shivam Logistics Movers and Packers</x:v>
      </x:c>
    </x:row>
    <x:row r="2259" ht="48" customHeight="1">
      <x:c r="A2259" s="2" t="str">
        <x:v>TEN-EB671BBEA10E</x:v>
      </x:c>
      <x:c r="B2259" s="12" t="str">
        <x:v>Shivangi Steels</x:v>
      </x:c>
      <x:c r="C2259" s="12" t="str">
        <x:v>Business / brand</x:v>
      </x:c>
      <x:c r="D2259" s="12" t="str">
        <x:v>Engineering &amp; manufacturing</x:v>
      </x:c>
      <x:c r="E2259" s="12" t="str">
        <x:v>Chemicals, materials &amp; industrial manufacturing</x:v>
      </x:c>
      <x:c r="F2259" s="12" t="str">
        <x:v>Medium-scale prospects</x:v>
      </x:c>
      <x:c r="G2259" s="12" t="str">
        <x:v>Specialist industrial or engineering business; medium-scale prospect assumption.</x:v>
      </x:c>
      <x:c r="H2259" s="11" t="n">
        <x:v>1</x:v>
      </x:c>
      <x:c r="I2259" s="11" t="n">
        <x:v>1</x:v>
      </x:c>
      <x:c r="J2259" s="11" t="n">
        <x:v>1</x:v>
      </x:c>
      <x:c r="K2259" s="11" t="n">
        <x:v>0</x:v>
      </x:c>
      <x:c r="L2259" s="17" t="n">
        <x:f>SUM(SUMIFS('Costing'!$P$9:$P$492,'Costing'!$A$9:$A$492,"MAIN-266"))</x:f>
        <x:v>20000</x:v>
      </x:c>
      <x:c r="M2259" s="17" t="n">
        <x:f>ROUND(L2259*'Costing'!$C$4,2)</x:f>
        <x:v>3600</x:v>
      </x:c>
      <x:c r="N2259" s="17" t="n">
        <x:f>L2259+M2259</x:f>
        <x:v>23600</x:v>
      </x:c>
      <x:c r="O2259" s="12" t="str">
        <x:v>Indore</x:v>
      </x:c>
      <x:c r="P2259" s="12" t="str">
        <x:v>CORP-0262</x:v>
      </x:c>
      <x:c r="Q2259" s="12" t="str">
        <x:v>Shivangi Steels</x:v>
      </x:c>
    </x:row>
    <x:row r="2260" ht="48" customHeight="1">
      <x:c r="A2260" s="2" t="str">
        <x:v>TEN-3702E185B519</x:v>
      </x:c>
      <x:c r="B2260" s="12" t="str">
        <x:v>Shobhas World</x:v>
      </x:c>
      <x:c r="C2260" s="12" t="str">
        <x:v>Business / brand</x:v>
      </x:c>
      <x:c r="D2260" s="12" t="str">
        <x:v>Unresolved</x:v>
      </x:c>
      <x:c r="E2260" s="12" t="str">
        <x:v>Business activity not established</x:v>
      </x:c>
      <x:c r="F2260" s="12" t="str">
        <x:v>Mixed business audience</x:v>
      </x:c>
      <x:c r="G2260" s="12" t="str">
        <x:v>Business activity and company scale are not established from this name.</x:v>
      </x:c>
      <x:c r="H2260" s="11" t="n">
        <x:v>1</x:v>
      </x:c>
      <x:c r="I2260" s="11" t="n">
        <x:v>2</x:v>
      </x:c>
      <x:c r="J2260" s="11" t="n">
        <x:v>2</x:v>
      </x:c>
      <x:c r="K2260" s="11" t="n">
        <x:v>0</x:v>
      </x:c>
      <x:c r="L2260" s="17" t="n">
        <x:f>SUM(SUMIFS('Costing'!$P$9:$P$492,'Costing'!$A$9:$A$492,"MAIN-298"))</x:f>
        <x:v>30000</x:v>
      </x:c>
      <x:c r="M2260" s="17" t="n">
        <x:f>ROUND(L2260*'Costing'!$C$4,2)</x:f>
        <x:v>5400</x:v>
      </x:c>
      <x:c r="N2260" s="17" t="n">
        <x:f>L2260+M2260</x:f>
        <x:v>35400</x:v>
      </x:c>
      <x:c r="O2260" s="12" t="str">
        <x:v>Mumbai</x:v>
      </x:c>
      <x:c r="P2260" s="12" t="str">
        <x:v>CORP-0294</x:v>
      </x:c>
      <x:c r="Q2260" s="12" t="str">
        <x:v>Shobhas World</x:v>
      </x:c>
    </x:row>
    <x:row r="2261" ht="48" customHeight="1">
      <x:c r="A2261" s="2" t="str">
        <x:v>TEN-3EDE65EA0CF4</x:v>
      </x:c>
      <x:c r="B2261" s="12" t="str">
        <x:v>ShootOrder</x:v>
      </x:c>
      <x:c r="C2261" s="12" t="str">
        <x:v>Business / brand</x:v>
      </x:c>
      <x:c r="D2261" s="12" t="str">
        <x:v>Professional services</x:v>
      </x:c>
      <x:c r="E2261" s="12" t="str">
        <x:v>Research, marketing &amp; professional services</x:v>
      </x:c>
      <x:c r="F2261" s="12" t="str">
        <x:v>Small-scale prospects</x:v>
      </x:c>
      <x:c r="G2261" s="12" t="str">
        <x:v>Professional service, agency or advisory model; small-scale prospect assumption.</x:v>
      </x:c>
      <x:c r="H2261" s="11" t="n">
        <x:v>8</x:v>
      </x:c>
      <x:c r="I2261" s="11" t="n">
        <x:v>8</x:v>
      </x:c>
      <x:c r="J2261" s="11" t="n">
        <x:v>8</x:v>
      </x:c>
      <x:c r="K2261" s="11" t="n">
        <x:v>0</x:v>
      </x:c>
      <x:c r="L2261" s="17" t="n">
        <x:f>SUM(SUMIFS('Costing'!$P$9:$P$492,'Costing'!$A$9:$A$492,"PARTNER-M300"))</x:f>
        <x:v>320000</x:v>
      </x:c>
      <x:c r="M2261" s="17" t="n">
        <x:f>ROUND(L2261*'Costing'!$C$4,2)</x:f>
        <x:v>57600</x:v>
      </x:c>
      <x:c r="N2261" s="17" t="n">
        <x:f>L2261+M2261</x:f>
        <x:v>377600</x:v>
      </x:c>
      <x:c r="O2261" s="12" t="str">
        <x:v>Hyderabad</x:v>
      </x:c>
      <x:c r="P2261" s="12" t="str">
        <x:v>CORP-0715, CORP-0716, CORP-0717, CORP-0718, CORP-0719, CORP-0720, CORP-0721, CORP-0722</x:v>
      </x:c>
      <x:c r="Q2261" s="12" t="str">
        <x:v>ShootOrder</x:v>
      </x:c>
    </x:row>
    <x:row r="2262" ht="48" customHeight="1">
      <x:c r="A2262" s="2" t="str">
        <x:v>TEN-400B12B9213E</x:v>
      </x:c>
      <x:c r="B2262" s="12" t="str">
        <x:v>Shopper stop</x:v>
      </x:c>
      <x:c r="C2262" s="12" t="str">
        <x:v>Business / brand</x:v>
      </x:c>
      <x:c r="D2262" s="12" t="str">
        <x:v>Trade, consumer &amp; logistics</x:v>
      </x:c>
      <x:c r="E2262" s="12" t="str">
        <x:v>Retail, consumer products &amp; ecommerce</x:v>
      </x:c>
      <x:c r="F2262" s="12" t="str">
        <x:v>Mixed business audience</x:v>
      </x:c>
      <x:c r="G2262" s="12" t="str">
        <x:v>Recognisable business context; company-scale evidence remains insufficient for a single size band.</x:v>
      </x:c>
      <x:c r="H2262" s="11" t="n">
        <x:v>1</x:v>
      </x:c>
      <x:c r="I2262" s="11" t="n">
        <x:v>1</x:v>
      </x:c>
      <x:c r="J2262" s="11" t="n">
        <x:v>1</x:v>
      </x:c>
      <x:c r="K2262" s="11" t="n">
        <x:v>0</x:v>
      </x:c>
      <x:c r="L2262" s="17" t="n">
        <x:f>SUM(SUMIFS('Costing'!$P$9:$P$492,'Costing'!$A$9:$A$492,"MAIN-390"))</x:f>
        <x:v>15000</x:v>
      </x:c>
      <x:c r="M2262" s="17" t="n">
        <x:f>ROUND(L2262*'Costing'!$C$4,2)</x:f>
        <x:v>2700</x:v>
      </x:c>
      <x:c r="N2262" s="17" t="n">
        <x:f>L2262+M2262</x:f>
        <x:v>17700</x:v>
      </x:c>
      <x:c r="O2262" s="12" t="str">
        <x:v>Pune</x:v>
      </x:c>
      <x:c r="P2262" s="12" t="str">
        <x:v>CORP-0386</x:v>
      </x:c>
      <x:c r="Q2262" s="12" t="str">
        <x:v>Shopper stop</x:v>
      </x:c>
    </x:row>
    <x:row r="2263" ht="48" customHeight="1">
      <x:c r="A2263" s="2" t="str">
        <x:v>TEN-DEF227101D5D</x:v>
      </x:c>
      <x:c r="B2263" s="12" t="str">
        <x:v>Shree Laxmi Auto Mobile Engineering Works</x:v>
      </x:c>
      <x:c r="C2263" s="12" t="str">
        <x:v>Business / brand</x:v>
      </x:c>
      <x:c r="D2263" s="12" t="str">
        <x:v>Engineering &amp; manufacturing</x:v>
      </x:c>
      <x:c r="E2263" s="12" t="str">
        <x:v>Energy, electrical &amp; industrial systems</x:v>
      </x:c>
      <x:c r="F2263" s="12" t="str">
        <x:v>Medium-scale prospects</x:v>
      </x:c>
      <x:c r="G2263" s="12" t="str">
        <x:v>Specialist industrial or engineering business; medium-scale prospect assumption.</x:v>
      </x:c>
      <x:c r="H2263" s="11" t="n">
        <x:v>1</x:v>
      </x:c>
      <x:c r="I2263" s="11" t="n">
        <x:v>1</x:v>
      </x:c>
      <x:c r="J2263" s="11" t="n">
        <x:v>1</x:v>
      </x:c>
      <x:c r="K2263" s="11" t="n">
        <x:v>0</x:v>
      </x:c>
      <x:c r="L2263" s="17" t="n">
        <x:f>SUM(SUMIFS('Costing'!$P$9:$P$492,'Costing'!$A$9:$A$492,"MAIN-319"))</x:f>
        <x:v>15000</x:v>
      </x:c>
      <x:c r="M2263" s="17" t="n">
        <x:f>ROUND(L2263*'Costing'!$C$4,2)</x:f>
        <x:v>2700</x:v>
      </x:c>
      <x:c r="N2263" s="17" t="n">
        <x:f>L2263+M2263</x:f>
        <x:v>17700</x:v>
      </x:c>
      <x:c r="O2263" s="12" t="str">
        <x:v>Mumbai</x:v>
      </x:c>
      <x:c r="P2263" s="12" t="str">
        <x:v>CORP-0315</x:v>
      </x:c>
      <x:c r="Q2263" s="12" t="str">
        <x:v>Shree Laxmi Auto Mobile Engineering Works</x:v>
      </x:c>
    </x:row>
    <x:row r="2264" ht="48" customHeight="1">
      <x:c r="A2264" s="2" t="str">
        <x:v>TEN-6AE306FD3DA9</x:v>
      </x:c>
      <x:c r="B2264" s="12" t="str">
        <x:v>Shreeji woodcraft PVT.LTD</x:v>
      </x:c>
      <x:c r="C2264" s="12" t="str">
        <x:v>Business / brand</x:v>
      </x:c>
      <x:c r="D2264" s="12" t="str">
        <x:v>Engineering &amp; manufacturing</x:v>
      </x:c>
      <x:c r="E2264" s="12" t="str">
        <x:v>Electronics, industrial systems &amp; manufacturing</x:v>
      </x:c>
      <x:c r="F2264" s="12" t="str">
        <x:v>Medium-scale prospects</x:v>
      </x:c>
      <x:c r="G2264" s="12" t="str">
        <x:v>Specialist industrial or engineering business; medium-scale prospect assumption.</x:v>
      </x:c>
      <x:c r="H2264" s="11" t="n">
        <x:v>1</x:v>
      </x:c>
      <x:c r="I2264" s="11" t="n">
        <x:v>39</x:v>
      </x:c>
      <x:c r="J2264" s="11" t="n">
        <x:v>39</x:v>
      </x:c>
      <x:c r="K2264" s="11" t="n">
        <x:v>0</x:v>
      </x:c>
      <x:c r="L2264" s="17" t="n">
        <x:f>SUM(SUMIFS('Costing'!$P$9:$P$492,'Costing'!$A$9:$A$492,"MAIN-351"))</x:f>
        <x:v>585000</x:v>
      </x:c>
      <x:c r="M2264" s="17" t="n">
        <x:f>ROUND(L2264*'Costing'!$C$4,2)</x:f>
        <x:v>105300</x:v>
      </x:c>
      <x:c r="N2264" s="17" t="n">
        <x:f>L2264+M2264</x:f>
        <x:v>690300</x:v>
      </x:c>
      <x:c r="O2264" s="12" t="str">
        <x:v>Mumbai</x:v>
      </x:c>
      <x:c r="P2264" s="12" t="str">
        <x:v>CORP-0347</x:v>
      </x:c>
      <x:c r="Q2264" s="12" t="str">
        <x:v>Shreeji woodcraft PVT.LTD</x:v>
      </x:c>
    </x:row>
    <x:row r="2265" ht="48" customHeight="1">
      <x:c r="A2265" s="2" t="str">
        <x:v>TEN-0E6A64179D0F</x:v>
      </x:c>
      <x:c r="B2265" s="12" t="str">
        <x:v>Shreemaya</x:v>
      </x:c>
      <x:c r="C2265" s="12" t="str">
        <x:v>Business / brand</x:v>
      </x:c>
      <x:c r="D2265" s="12" t="str">
        <x:v>Trade, consumer &amp; logistics</x:v>
      </x:c>
      <x:c r="E2265" s="12" t="str">
        <x:v>Travel, hospitality, food &amp; beverages</x:v>
      </x:c>
      <x:c r="F2265" s="12" t="str">
        <x:v>Small-scale prospects</x:v>
      </x:c>
      <x:c r="G2265" s="12" t="str">
        <x:v>Trading or consumer-services business; small-scale prospect assumption.</x:v>
      </x:c>
      <x:c r="H2265" s="11" t="n">
        <x:v>1</x:v>
      </x:c>
      <x:c r="I2265" s="11" t="n">
        <x:v>2</x:v>
      </x:c>
      <x:c r="J2265" s="11" t="n">
        <x:v>2</x:v>
      </x:c>
      <x:c r="K2265" s="11" t="n">
        <x:v>0</x:v>
      </x:c>
      <x:c r="L2265" s="17" t="n">
        <x:f>SUM(SUMIFS('Costing'!$P$9:$P$492,'Costing'!$A$9:$A$492,"MAIN-267"))</x:f>
        <x:v>40000</x:v>
      </x:c>
      <x:c r="M2265" s="17" t="n">
        <x:f>ROUND(L2265*'Costing'!$C$4,2)</x:f>
        <x:v>7200</x:v>
      </x:c>
      <x:c r="N2265" s="17" t="n">
        <x:f>L2265+M2265</x:f>
        <x:v>47200</x:v>
      </x:c>
      <x:c r="O2265" s="12" t="str">
        <x:v>Indore</x:v>
      </x:c>
      <x:c r="P2265" s="12" t="str">
        <x:v>CORP-0263</x:v>
      </x:c>
      <x:c r="Q2265" s="12" t="str">
        <x:v>Shreemaya</x:v>
      </x:c>
    </x:row>
    <x:row r="2266" ht="48" customHeight="1">
      <x:c r="A2266" s="2" t="str">
        <x:v>TEN-C94B4C730018</x:v>
      </x:c>
      <x:c r="B2266" s="12" t="str">
        <x:v>Shreenath Logistics</x:v>
      </x:c>
      <x:c r="C2266" s="12" t="str">
        <x:v>Business / brand</x:v>
      </x:c>
      <x:c r="D2266" s="12" t="str">
        <x:v>Trade, consumer &amp; logistics</x:v>
      </x:c>
      <x:c r="E2266" s="12" t="str">
        <x:v>Logistics, shipping &amp; transport</x:v>
      </x:c>
      <x:c r="F2266" s="12" t="str">
        <x:v>Medium-scale prospects</x:v>
      </x:c>
      <x:c r="G2266" s="12" t="str">
        <x:v>Specialist logistics or transport business; medium-scale prospect assumption.</x:v>
      </x:c>
      <x:c r="H2266" s="11" t="n">
        <x:v>1</x:v>
      </x:c>
      <x:c r="I2266" s="11" t="n">
        <x:v>2</x:v>
      </x:c>
      <x:c r="J2266" s="11" t="n">
        <x:v>2</x:v>
      </x:c>
      <x:c r="K2266" s="11" t="n">
        <x:v>0</x:v>
      </x:c>
      <x:c r="L2266" s="17" t="n">
        <x:f>SUM(SUMIFS('Costing'!$P$9:$P$492,'Costing'!$A$9:$A$492,"MAIN-271"))</x:f>
        <x:v>40000</x:v>
      </x:c>
      <x:c r="M2266" s="17" t="n">
        <x:f>ROUND(L2266*'Costing'!$C$4,2)</x:f>
        <x:v>7200</x:v>
      </x:c>
      <x:c r="N2266" s="17" t="n">
        <x:f>L2266+M2266</x:f>
        <x:v>47200</x:v>
      </x:c>
      <x:c r="O2266" s="12" t="str">
        <x:v>Indore</x:v>
      </x:c>
      <x:c r="P2266" s="12" t="str">
        <x:v>CORP-0267</x:v>
      </x:c>
      <x:c r="Q2266" s="12" t="str">
        <x:v>Shreenath Logistics</x:v>
      </x:c>
    </x:row>
    <x:row r="2267" ht="48" customHeight="1">
      <x:c r="A2267" s="2" t="str">
        <x:v>TEN-526F74215D36</x:v>
      </x:c>
      <x:c r="B2267" s="12" t="str">
        <x:v>Shripadm Global Business</x:v>
      </x:c>
      <x:c r="C2267" s="12" t="str">
        <x:v>Business / brand</x:v>
      </x:c>
      <x:c r="D2267" s="12" t="str">
        <x:v>Unresolved</x:v>
      </x:c>
      <x:c r="E2267" s="12" t="str">
        <x:v>Business activity not established</x:v>
      </x:c>
      <x:c r="F2267" s="12" t="str">
        <x:v>Mixed business audience</x:v>
      </x:c>
      <x:c r="G2267" s="12" t="str">
        <x:v>Business activity and company scale are not established from this name.</x:v>
      </x:c>
      <x:c r="H2267" s="11" t="n">
        <x:v>1</x:v>
      </x:c>
      <x:c r="I2267" s="11" t="n">
        <x:v>2</x:v>
      </x:c>
      <x:c r="J2267" s="11" t="n">
        <x:v>2</x:v>
      </x:c>
      <x:c r="K2267" s="11" t="n">
        <x:v>0</x:v>
      </x:c>
      <x:c r="L2267" s="17" t="n">
        <x:f>SUM(SUMIFS('Costing'!$P$9:$P$492,'Costing'!$A$9:$A$492,"MAIN-268"))</x:f>
        <x:v>80000</x:v>
      </x:c>
      <x:c r="M2267" s="17" t="n">
        <x:f>ROUND(L2267*'Costing'!$C$4,2)</x:f>
        <x:v>14400</x:v>
      </x:c>
      <x:c r="N2267" s="17" t="n">
        <x:f>L2267+M2267</x:f>
        <x:v>94400</x:v>
      </x:c>
      <x:c r="O2267" s="12" t="str">
        <x:v>Indore</x:v>
      </x:c>
      <x:c r="P2267" s="12" t="str">
        <x:v>CORP-0264</x:v>
      </x:c>
      <x:c r="Q2267" s="12" t="str">
        <x:v>Shripadm Global Business</x:v>
      </x:c>
    </x:row>
    <x:row r="2268" ht="48" customHeight="1">
      <x:c r="A2268" s="2" t="str">
        <x:v>TEN-8B9791537146</x:v>
      </x:c>
      <x:c r="B2268" s="12" t="str">
        <x:v>Shubhadha consultancy</x:v>
      </x:c>
      <x:c r="C2268" s="12" t="str">
        <x:v>Business / brand</x:v>
      </x:c>
      <x:c r="D2268" s="12" t="str">
        <x:v>Professional services</x:v>
      </x:c>
      <x:c r="E2268" s="12" t="str">
        <x:v>Business consulting &amp; advisory</x:v>
      </x:c>
      <x:c r="F2268" s="12" t="str">
        <x:v>Small-scale prospects</x:v>
      </x:c>
      <x:c r="G2268" s="12" t="str">
        <x:v>Professional service, agency or advisory model; small-scale prospect assumption.</x:v>
      </x:c>
      <x:c r="H2268" s="11" t="n">
        <x:v>1</x:v>
      </x:c>
      <x:c r="I2268" s="11" t="n">
        <x:v>2</x:v>
      </x:c>
      <x:c r="J2268" s="11" t="n">
        <x:v>2</x:v>
      </x:c>
      <x:c r="K2268" s="11" t="n">
        <x:v>0</x:v>
      </x:c>
      <x:c r="L2268" s="17" t="n">
        <x:f>SUM(SUMIFS('Costing'!$P$9:$P$492,'Costing'!$A$9:$A$492,"MAIN-081"))</x:f>
        <x:v>30000</x:v>
      </x:c>
      <x:c r="M2268" s="17" t="n">
        <x:f>ROUND(L2268*'Costing'!$C$4,2)</x:f>
        <x:v>5400</x:v>
      </x:c>
      <x:c r="N2268" s="17" t="n">
        <x:f>L2268+M2268</x:f>
        <x:v>35400</x:v>
      </x:c>
      <x:c r="O2268" s="12" t="str">
        <x:v>Bengaluru</x:v>
      </x:c>
      <x:c r="P2268" s="12" t="str">
        <x:v>CORP-0077</x:v>
      </x:c>
      <x:c r="Q2268" s="12" t="str">
        <x:v>Shubhadha consultancy</x:v>
      </x:c>
    </x:row>
    <x:row r="2269" ht="48" customHeight="1">
      <x:c r="A2269" s="2" t="str">
        <x:v>TEN-DE5E974C017A</x:v>
      </x:c>
      <x:c r="B2269" s="12" t="str">
        <x:v>Shulkway Fees management systwms</x:v>
      </x:c>
      <x:c r="C2269" s="12" t="str">
        <x:v>Business / brand</x:v>
      </x:c>
      <x:c r="D2269" s="12" t="str">
        <x:v>Unresolved</x:v>
      </x:c>
      <x:c r="E2269" s="12" t="str">
        <x:v>Business activity not established</x:v>
      </x:c>
      <x:c r="F2269" s="12" t="str">
        <x:v>Mixed business audience</x:v>
      </x:c>
      <x:c r="G2269" s="12" t="str">
        <x:v>Business activity and company scale are not established from this name.</x:v>
      </x:c>
      <x:c r="H2269" s="11" t="n">
        <x:v>1</x:v>
      </x:c>
      <x:c r="I2269" s="11" t="n">
        <x:v>1</x:v>
      </x:c>
      <x:c r="J2269" s="11" t="n">
        <x:v>1</x:v>
      </x:c>
      <x:c r="K2269" s="11" t="n">
        <x:v>0</x:v>
      </x:c>
      <x:c r="L2269" s="17" t="n">
        <x:f>SUM(SUMIFS('Costing'!$P$9:$P$492,'Costing'!$A$9:$A$492,"MAIN-010"))</x:f>
        <x:v>15000</x:v>
      </x:c>
      <x:c r="M2269" s="17" t="n">
        <x:f>ROUND(L2269*'Costing'!$C$4,2)</x:f>
        <x:v>2700</x:v>
      </x:c>
      <x:c r="N2269" s="17" t="n">
        <x:f>L2269+M2269</x:f>
        <x:v>17700</x:v>
      </x:c>
      <x:c r="O2269" s="12" t="str">
        <x:v>Bengaluru</x:v>
      </x:c>
      <x:c r="P2269" s="12" t="str">
        <x:v>CORP-0006</x:v>
      </x:c>
      <x:c r="Q2269" s="12" t="str">
        <x:v>Shulkway Fees management systwms</x:v>
      </x:c>
    </x:row>
    <x:row r="2270" ht="62" customHeight="1">
      <x:c r="A2270" s="2" t="str">
        <x:v>TEN-AF407DAC656E</x:v>
      </x:c>
      <x:c r="B2270" s="12" t="str">
        <x:v>Sick india pvt ltd</x:v>
      </x:c>
      <x:c r="C2270" s="12" t="str">
        <x:v>Business / brand</x:v>
      </x:c>
      <x:c r="D2270" s="12" t="str">
        <x:v>Engineering &amp; manufacturing</x:v>
      </x:c>
      <x:c r="E2270" s="12" t="str">
        <x:v>Electronics, industrial systems &amp; manufacturing</x:v>
      </x:c>
      <x:c r="F2270" s="12" t="str">
        <x:v>Large enterprise</x:v>
      </x:c>
      <x:c r="G2270" s="12" t="str">
        <x:v>SICK reports 10,158 group employees and approximately EUR1.85 billion in 2025 sales. The explicit SICK India tenant name therefore supports enterprise-group context, without certifying the subsidiary separately.</x:v>
      </x:c>
      <x:c r="H2270" s="11" t="n">
        <x:v>1</x:v>
      </x:c>
      <x:c r="I2270" s="11" t="n">
        <x:v>39</x:v>
      </x:c>
      <x:c r="J2270" s="11" t="n">
        <x:v>39</x:v>
      </x:c>
      <x:c r="K2270" s="11" t="n">
        <x:v>0</x:v>
      </x:c>
      <x:c r="L2270" s="17" t="n">
        <x:f>SUM(SUMIFS('Costing'!$P$9:$P$492,'Costing'!$A$9:$A$492,"MAIN-351"))</x:f>
        <x:v>585000</x:v>
      </x:c>
      <x:c r="M2270" s="17" t="n">
        <x:f>ROUND(L2270*'Costing'!$C$4,2)</x:f>
        <x:v>105300</x:v>
      </x:c>
      <x:c r="N2270" s="17" t="n">
        <x:f>L2270+M2270</x:f>
        <x:v>690300</x:v>
      </x:c>
      <x:c r="O2270" s="12" t="str">
        <x:v>Mumbai</x:v>
      </x:c>
      <x:c r="P2270" s="12" t="str">
        <x:v>CORP-0347</x:v>
      </x:c>
      <x:c r="Q2270" s="12" t="str">
        <x:v>Sick india pvt ltd</x:v>
      </x:c>
    </x:row>
    <x:row r="2271" ht="48" customHeight="1">
      <x:c r="A2271" s="2" t="str">
        <x:v>TEN-305094995AAD</x:v>
      </x:c>
      <x:c r="B2271" s="12" t="str">
        <x:v>SIDBI</x:v>
      </x:c>
      <x:c r="C2271" s="12" t="str">
        <x:v>Business / brand</x:v>
      </x:c>
      <x:c r="D2271" s="12" t="str">
        <x:v>Finance &amp; insurance</x:v>
      </x:c>
      <x:c r="E2271" s="12" t="str">
        <x:v>Financial services — specialty unverified</x:v>
      </x:c>
      <x:c r="F2271" s="12" t="str">
        <x:v>Mixed business audience</x:v>
      </x:c>
      <x:c r="G2271" s="12" t="str">
        <x:v>Recognisable business context; company-scale evidence remains insufficient for a single size band.</x:v>
      </x:c>
      <x:c r="H2271" s="11" t="n">
        <x:v>1</x:v>
      </x:c>
      <x:c r="I2271" s="11" t="n">
        <x:v>2</x:v>
      </x:c>
      <x:c r="J2271" s="11" t="n">
        <x:v>2</x:v>
      </x:c>
      <x:c r="K2271" s="11" t="n">
        <x:v>0</x:v>
      </x:c>
      <x:c r="L2271" s="17" t="n">
        <x:f>SUM(SUMIFS('Costing'!$P$9:$P$492,'Costing'!$A$9:$A$492,"MAIN-271"))</x:f>
        <x:v>40000</x:v>
      </x:c>
      <x:c r="M2271" s="17" t="n">
        <x:f>ROUND(L2271*'Costing'!$C$4,2)</x:f>
        <x:v>7200</x:v>
      </x:c>
      <x:c r="N2271" s="17" t="n">
        <x:f>L2271+M2271</x:f>
        <x:v>47200</x:v>
      </x:c>
      <x:c r="O2271" s="12" t="str">
        <x:v>Indore</x:v>
      </x:c>
      <x:c r="P2271" s="12" t="str">
        <x:v>CORP-0267</x:v>
      </x:c>
      <x:c r="Q2271" s="12" t="str">
        <x:v>SIDBI</x:v>
      </x:c>
    </x:row>
    <x:row r="2272" ht="49" customHeight="1">
      <x:c r="A2272" s="2" t="str">
        <x:v>TEN-30E363D3E8C5</x:v>
      </x:c>
      <x:c r="B2272" s="12" t="str">
        <x:v>Siemens</x:v>
      </x:c>
      <x:c r="C2272" s="12" t="str">
        <x:v>Business / brand</x:v>
      </x:c>
      <x:c r="D2272" s="12" t="str">
        <x:v>Engineering &amp; manufacturing</x:v>
      </x:c>
      <x:c r="E2272" s="12" t="str">
        <x:v>Energy, electrical &amp; industrial systems</x:v>
      </x:c>
      <x:c r="F2272" s="12" t="str">
        <x:v>Large enterprise</x:v>
      </x:c>
      <x:c r="G2272" s="12" t="str">
        <x:v>Siemens reports approximately 318,000 employees worldwide and EUR78.9 billion in FY2025 revenue. This establishes enterprise-group audience scale. </x:v>
      </x:c>
      <x:c r="H2272" s="11" t="n">
        <x:v>15</x:v>
      </x:c>
      <x:c r="I2272" s="11" t="n">
        <x:v>15</x:v>
      </x:c>
      <x:c r="J2272" s="11" t="n">
        <x:v>15</x:v>
      </x:c>
      <x:c r="K2272" s="11" t="n">
        <x:v>0</x:v>
      </x:c>
      <x:c r="L2272" s="17" t="n">
        <x:f>SUM(SUMIFS('Costing'!$P$9:$P$492,'Costing'!$A$9:$A$492,"PARTNER-M002"),SUMIFS('Costing'!$P$9:$P$492,'Costing'!$A$9:$A$492,"PARTNER-M045"))</x:f>
        <x:v>600000</x:v>
      </x:c>
      <x:c r="M2272" s="17" t="n">
        <x:f>ROUND(L2272*'Costing'!$C$4,2)</x:f>
        <x:v>108000</x:v>
      </x:c>
      <x:c r="N2272" s="17" t="n">
        <x:f>L2272+M2272</x:f>
        <x:v>708000</x:v>
      </x:c>
      <x:c r="O2272" s="12" t="str">
        <x:v>Bengaluru</x:v>
      </x:c>
      <x:c r="P2272" s="12" t="str">
        <x:v>CORP-0420, CORP-0421, CORP-0422, CORP-0423, CORP-0424, CORP-0425, CORP-0426, CORP-0427, CORP-0428, CORP-0463, CORP-0464, CORP-0465, CORP-0466, CORP-0467, CORP-0468</x:v>
      </x:c>
      <x:c r="Q2272" s="12" t="str">
        <x:v>Siemens</x:v>
      </x:c>
    </x:row>
    <x:row r="2273" ht="75" customHeight="1">
      <x:c r="A2273" s="2" t="str">
        <x:v>TEN-F9972B840FFF</x:v>
      </x:c>
      <x:c r="B2273" s="12" t="str">
        <x:v>Siemens Advanta</x:v>
      </x:c>
      <x:c r="C2273" s="12" t="str">
        <x:v>Business / brand</x:v>
      </x:c>
      <x:c r="D2273" s="12" t="str">
        <x:v>Engineering &amp; manufacturing</x:v>
      </x:c>
      <x:c r="E2273" s="12" t="str">
        <x:v>Energy, electrical &amp; industrial systems</x:v>
      </x:c>
      <x:c r="F2273" s="12" t="str">
        <x:v>Large enterprise</x:v>
      </x:c>
      <x:c r="G2273" s="12" t="str">
        <x:v>Siemens identifies Advanta as one of its businesses; Advanta describes global consulting and implementation facilities. The parent reports approximately 318,000 employees worldwide in FY2025, supporting enterprise-group context. </x:v>
      </x:c>
      <x:c r="H2273" s="11" t="n">
        <x:v>1</x:v>
      </x:c>
      <x:c r="I2273" s="11" t="n">
        <x:v>15</x:v>
      </x:c>
      <x:c r="J2273" s="11" t="n">
        <x:v>15</x:v>
      </x:c>
      <x:c r="K2273" s="11" t="n">
        <x:v>0</x:v>
      </x:c>
      <x:c r="L2273" s="17" t="n">
        <x:f>SUM(SUMIFS('Costing'!$P$9:$P$492,'Costing'!$A$9:$A$492,"MAIN-169"))</x:f>
        <x:v>300000</x:v>
      </x:c>
      <x:c r="M2273" s="17" t="n">
        <x:f>ROUND(L2273*'Costing'!$C$4,2)</x:f>
        <x:v>54000</x:v>
      </x:c>
      <x:c r="N2273" s="17" t="n">
        <x:f>L2273+M2273</x:f>
        <x:v>354000</x:v>
      </x:c>
      <x:c r="O2273" s="12" t="str">
        <x:v>Delhi NCR</x:v>
      </x:c>
      <x:c r="P2273" s="12" t="str">
        <x:v>CORP-0165</x:v>
      </x:c>
      <x:c r="Q2273" s="12" t="str">
        <x:v>Siemens Advanta</x:v>
      </x:c>
    </x:row>
    <x:row r="2274" ht="48" customHeight="1">
      <x:c r="A2274" s="2" t="str">
        <x:v>TEN-BCA5D19DA317</x:v>
      </x:c>
      <x:c r="B2274" s="12" t="str">
        <x:v>Siemens EDA India Private Ltd</x:v>
      </x:c>
      <x:c r="C2274" s="12" t="str">
        <x:v>Business / brand</x:v>
      </x:c>
      <x:c r="D2274" s="12" t="str">
        <x:v>IT &amp; digital</x:v>
      </x:c>
      <x:c r="E2274" s="12" t="str">
        <x:v>Technology services — specialty unverified</x:v>
      </x:c>
      <x:c r="F2274" s="12" t="str">
        <x:v>Mixed business audience</x:v>
      </x:c>
      <x:c r="G2274" s="12" t="str">
        <x:v>Recognisable business context; company-scale evidence remains insufficient for a single size band.</x:v>
      </x:c>
      <x:c r="H2274" s="11" t="n">
        <x:v>1</x:v>
      </x:c>
      <x:c r="I2274" s="11" t="n">
        <x:v>3</x:v>
      </x:c>
      <x:c r="J2274" s="11" t="n">
        <x:v>3</x:v>
      </x:c>
      <x:c r="K2274" s="11" t="n">
        <x:v>0</x:v>
      </x:c>
      <x:c r="L2274" s="17" t="n">
        <x:f>SUM(SUMIFS('Costing'!$P$9:$P$492,'Costing'!$A$9:$A$492,"MAIN-255"))</x:f>
        <x:v>45000</x:v>
      </x:c>
      <x:c r="M2274" s="17" t="n">
        <x:f>ROUND(L2274*'Costing'!$C$4,2)</x:f>
        <x:v>8100</x:v>
      </x:c>
      <x:c r="N2274" s="17" t="n">
        <x:f>L2274+M2274</x:f>
        <x:v>53100</x:v>
      </x:c>
      <x:c r="O2274" s="12" t="str">
        <x:v>Hyderabad</x:v>
      </x:c>
      <x:c r="P2274" s="12" t="str">
        <x:v>CORP-0251</x:v>
      </x:c>
      <x:c r="Q2274" s="12" t="str">
        <x:v>Siemens EDA India Private Ltd</x:v>
      </x:c>
    </x:row>
    <x:row r="2275" ht="48" customHeight="1">
      <x:c r="A2275" s="2" t="str">
        <x:v>TEN-0EDD698BAD2E</x:v>
      </x:c>
      <x:c r="B2275" s="12" t="str">
        <x:v>Sierra-Cedar India Pvt. Limited</x:v>
      </x:c>
      <x:c r="C2275" s="12" t="str">
        <x:v>Business / brand</x:v>
      </x:c>
      <x:c r="D2275" s="12" t="str">
        <x:v>IT &amp; digital</x:v>
      </x:c>
      <x:c r="E2275" s="12" t="str">
        <x:v>Enterprise software &amp; digital engineering</x:v>
      </x:c>
      <x:c r="F2275" s="12" t="str">
        <x:v>Mixed business audience</x:v>
      </x:c>
      <x:c r="G2275" s="12" t="str">
        <x:v>Established brand or business network; local company scale is not established. Use a mixed-business message.</x:v>
      </x:c>
      <x:c r="H2275" s="11" t="n">
        <x:v>5</x:v>
      </x:c>
      <x:c r="I2275" s="11" t="n">
        <x:v>5</x:v>
      </x:c>
      <x:c r="J2275" s="11" t="n">
        <x:v>5</x:v>
      </x:c>
      <x:c r="K2275" s="11" t="n">
        <x:v>0</x:v>
      </x:c>
      <x:c r="L2275" s="17" t="n">
        <x:f>SUM(SUMIFS('Costing'!$P$9:$P$492,'Costing'!$A$9:$A$492,"PARTNER-M295"))</x:f>
        <x:v>200000</x:v>
      </x:c>
      <x:c r="M2275" s="17" t="n">
        <x:f>ROUND(L2275*'Costing'!$C$4,2)</x:f>
        <x:v>36000</x:v>
      </x:c>
      <x:c r="N2275" s="17" t="n">
        <x:f>L2275+M2275</x:f>
        <x:v>236000</x:v>
      </x:c>
      <x:c r="O2275" s="12" t="str">
        <x:v>Hyderabad</x:v>
      </x:c>
      <x:c r="P2275" s="12" t="str">
        <x:v>CORP-0710, CORP-0711, CORP-0712, CORP-0713, CORP-0714</x:v>
      </x:c>
      <x:c r="Q2275" s="12" t="str">
        <x:v>Sierra-Cedar India Pvt. Limited</x:v>
      </x:c>
    </x:row>
    <x:row r="2276" ht="48" customHeight="1">
      <x:c r="A2276" s="2" t="str">
        <x:v>TEN-35E87826D332</x:v>
      </x:c>
      <x:c r="B2276" s="12" t="str">
        <x:v>sifive</x:v>
      </x:c>
      <x:c r="C2276" s="12" t="str">
        <x:v>Business / brand</x:v>
      </x:c>
      <x:c r="D2276" s="12" t="str">
        <x:v>Engineering &amp; manufacturing</x:v>
      </x:c>
      <x:c r="E2276" s="12" t="str">
        <x:v>Electronics, industrial systems &amp; manufacturing</x:v>
      </x:c>
      <x:c r="F2276" s="12" t="str">
        <x:v>Mixed business audience</x:v>
      </x:c>
      <x:c r="G2276" s="12" t="str">
        <x:v>Established brand or business network; local company scale is not established. Use a mixed-business message.</x:v>
      </x:c>
      <x:c r="H2276" s="11" t="n">
        <x:v>10</x:v>
      </x:c>
      <x:c r="I2276" s="11" t="n">
        <x:v>10</x:v>
      </x:c>
      <x:c r="J2276" s="11" t="n">
        <x:v>10</x:v>
      </x:c>
      <x:c r="K2276" s="11" t="n">
        <x:v>0</x:v>
      </x:c>
      <x:c r="L2276" s="17" t="n">
        <x:f>SUM(SUMIFS('Costing'!$P$9:$P$492,'Costing'!$A$9:$A$492,"PARTNER-M120"))</x:f>
        <x:v>400000</x:v>
      </x:c>
      <x:c r="M2276" s="17" t="n">
        <x:f>ROUND(L2276*'Costing'!$C$4,2)</x:f>
        <x:v>72000</x:v>
      </x:c>
      <x:c r="N2276" s="17" t="n">
        <x:f>L2276+M2276</x:f>
        <x:v>472000</x:v>
      </x:c>
      <x:c r="O2276" s="12" t="str">
        <x:v>Bengaluru</x:v>
      </x:c>
      <x:c r="P2276" s="12" t="str">
        <x:v>CORP-0538, CORP-0539, CORP-0540, CORP-0541, CORP-0542, CORP-0543, CORP-0544, CORP-0545, CORP-0546, CORP-0547</x:v>
      </x:c>
      <x:c r="Q2276" s="12" t="str">
        <x:v>sifive</x:v>
      </x:c>
    </x:row>
    <x:row r="2277" ht="48" customHeight="1">
      <x:c r="A2277" s="2" t="str">
        <x:v>TEN-CC3B496B4CCE</x:v>
      </x:c>
      <x:c r="B2277" s="12" t="str">
        <x:v>SIFY Technology</x:v>
      </x:c>
      <x:c r="C2277" s="12" t="str">
        <x:v>Business / brand</x:v>
      </x:c>
      <x:c r="D2277" s="12" t="str">
        <x:v>IT &amp; digital</x:v>
      </x:c>
      <x:c r="E2277" s="12" t="str">
        <x:v>Enterprise software &amp; digital engineering</x:v>
      </x:c>
      <x:c r="F2277" s="12" t="str">
        <x:v>Mixed business audience</x:v>
      </x:c>
      <x:c r="G2277" s="12" t="str">
        <x:v>Established brand or business network; local company scale is not established. Use a mixed-business message.</x:v>
      </x:c>
      <x:c r="H2277" s="11" t="n">
        <x:v>2</x:v>
      </x:c>
      <x:c r="I2277" s="11" t="n">
        <x:v>2</x:v>
      </x:c>
      <x:c r="J2277" s="11" t="n">
        <x:v>2</x:v>
      </x:c>
      <x:c r="K2277" s="11" t="n">
        <x:v>0</x:v>
      </x:c>
      <x:c r="L2277" s="17" t="n">
        <x:f>SUM(SUMIFS('Costing'!$P$9:$P$492,'Costing'!$A$9:$A$492,"PARTNER-M201"))</x:f>
        <x:v>80000</x:v>
      </x:c>
      <x:c r="M2277" s="17" t="n">
        <x:f>ROUND(L2277*'Costing'!$C$4,2)</x:f>
        <x:v>14400</x:v>
      </x:c>
      <x:c r="N2277" s="17" t="n">
        <x:f>L2277+M2277</x:f>
        <x:v>94400</x:v>
      </x:c>
      <x:c r="O2277" s="12" t="str">
        <x:v>Mumbai</x:v>
      </x:c>
      <x:c r="P2277" s="12" t="str">
        <x:v>CORP-0618, CORP-0619</x:v>
      </x:c>
      <x:c r="Q2277" s="12" t="str">
        <x:v>SIFY Technology</x:v>
      </x:c>
    </x:row>
    <x:row r="2278" ht="48" customHeight="1">
      <x:c r="A2278" s="2" t="str">
        <x:v>TEN-62FC778E4D9D</x:v>
      </x:c>
      <x:c r="B2278" s="12" t="str">
        <x:v>Signant Health Private Limited</x:v>
      </x:c>
      <x:c r="C2278" s="12" t="str">
        <x:v>Business / brand</x:v>
      </x:c>
      <x:c r="D2278" s="12" t="str">
        <x:v>Healthcare &amp; life sciences</x:v>
      </x:c>
      <x:c r="E2278" s="12" t="str">
        <x:v>Clinical, medical &amp; diagnostic services</x:v>
      </x:c>
      <x:c r="F2278" s="12" t="str">
        <x:v>Mixed business audience</x:v>
      </x:c>
      <x:c r="G2278" s="12" t="str">
        <x:v>Established brand or business network; local company scale is not established. Use a mixed-business message.</x:v>
      </x:c>
      <x:c r="H2278" s="11" t="n">
        <x:v>6</x:v>
      </x:c>
      <x:c r="I2278" s="11" t="n">
        <x:v>6</x:v>
      </x:c>
      <x:c r="J2278" s="11" t="n">
        <x:v>6</x:v>
      </x:c>
      <x:c r="K2278" s="11" t="n">
        <x:v>0</x:v>
      </x:c>
      <x:c r="L2278" s="17" t="n">
        <x:f>SUM(SUMIFS('Costing'!$P$9:$P$492,'Costing'!$A$9:$A$492,"PARTNER-M289"))</x:f>
        <x:v>240000</x:v>
      </x:c>
      <x:c r="M2278" s="17" t="n">
        <x:f>ROUND(L2278*'Costing'!$C$4,2)</x:f>
        <x:v>43200</x:v>
      </x:c>
      <x:c r="N2278" s="17" t="n">
        <x:f>L2278+M2278</x:f>
        <x:v>283200</x:v>
      </x:c>
      <x:c r="O2278" s="12" t="str">
        <x:v>Hyderabad</x:v>
      </x:c>
      <x:c r="P2278" s="12" t="str">
        <x:v>CORP-0704, CORP-0705, CORP-0706, CORP-0707, CORP-0708, CORP-0709</x:v>
      </x:c>
      <x:c r="Q2278" s="12" t="str">
        <x:v>Signant Health Private Limited</x:v>
      </x:c>
    </x:row>
    <x:row r="2279" ht="48" customHeight="1">
      <x:c r="A2279" s="2" t="str">
        <x:v>TEN-0B5D48FD30C7</x:v>
      </x:c>
      <x:c r="B2279" s="12" t="str">
        <x:v>Signify Innovations India Ltd. (Cooper Lighting Solutions)</x:v>
      </x:c>
      <x:c r="C2279" s="12" t="str">
        <x:v>Business / brand</x:v>
      </x:c>
      <x:c r="D2279" s="12" t="str">
        <x:v>Engineering &amp; manufacturing</x:v>
      </x:c>
      <x:c r="E2279" s="12" t="str">
        <x:v>Engineering/manufacturing — specialty unverified</x:v>
      </x:c>
      <x:c r="F2279" s="12" t="str">
        <x:v>Mixed business audience</x:v>
      </x:c>
      <x:c r="G2279" s="12" t="str">
        <x:v>Recognisable business context; company-scale evidence remains insufficient for a single size band.</x:v>
      </x:c>
      <x:c r="H2279" s="11" t="n">
        <x:v>1</x:v>
      </x:c>
      <x:c r="I2279" s="11" t="n">
        <x:v>4</x:v>
      </x:c>
      <x:c r="J2279" s="11" t="n">
        <x:v>4</x:v>
      </x:c>
      <x:c r="K2279" s="11" t="n">
        <x:v>0</x:v>
      </x:c>
      <x:c r="L2279" s="17" t="n">
        <x:f>SUM(SUMIFS('Costing'!$P$9:$P$492,'Costing'!$A$9:$A$492,"MAIN-381"))</x:f>
        <x:v>80000</x:v>
      </x:c>
      <x:c r="M2279" s="17" t="n">
        <x:f>ROUND(L2279*'Costing'!$C$4,2)</x:f>
        <x:v>14400</x:v>
      </x:c>
      <x:c r="N2279" s="17" t="n">
        <x:f>L2279+M2279</x:f>
        <x:v>94400</x:v>
      </x:c>
      <x:c r="O2279" s="12" t="str">
        <x:v>Pune</x:v>
      </x:c>
      <x:c r="P2279" s="12" t="str">
        <x:v>CORP-0377</x:v>
      </x:c>
      <x:c r="Q2279" s="12" t="str">
        <x:v>Signify Innovations India Ltd. (Cooper Lighting Solutions)</x:v>
      </x:c>
    </x:row>
    <x:row r="2280" ht="48" customHeight="1">
      <x:c r="A2280" s="2" t="str">
        <x:v>TEN-B70A6D2260B8</x:v>
      </x:c>
      <x:c r="B2280" s="12" t="str">
        <x:v>Silabs India Private Limited</x:v>
      </x:c>
      <x:c r="C2280" s="12" t="str">
        <x:v>Business / brand</x:v>
      </x:c>
      <x:c r="D2280" s="12" t="str">
        <x:v>Engineering &amp; manufacturing</x:v>
      </x:c>
      <x:c r="E2280" s="12" t="str">
        <x:v>Electronics, industrial systems &amp; manufacturing</x:v>
      </x:c>
      <x:c r="F2280" s="12" t="str">
        <x:v>Mixed business audience</x:v>
      </x:c>
      <x:c r="G2280" s="12" t="str">
        <x:v>Established brand or business network; local company scale is not established. Use a mixed-business message.</x:v>
      </x:c>
      <x:c r="H2280" s="11" t="n">
        <x:v>1</x:v>
      </x:c>
      <x:c r="I2280" s="11" t="n">
        <x:v>1</x:v>
      </x:c>
      <x:c r="J2280" s="11" t="n">
        <x:v>1</x:v>
      </x:c>
      <x:c r="K2280" s="11" t="n">
        <x:v>0</x:v>
      </x:c>
      <x:c r="L2280" s="17" t="n">
        <x:f>SUM(SUMIFS('Costing'!$P$9:$P$492,'Costing'!$A$9:$A$492,"MAIN-254"))</x:f>
        <x:v>15000</x:v>
      </x:c>
      <x:c r="M2280" s="17" t="n">
        <x:f>ROUND(L2280*'Costing'!$C$4,2)</x:f>
        <x:v>2700</x:v>
      </x:c>
      <x:c r="N2280" s="17" t="n">
        <x:f>L2280+M2280</x:f>
        <x:v>17700</x:v>
      </x:c>
      <x:c r="O2280" s="12" t="str">
        <x:v>Hyderabad</x:v>
      </x:c>
      <x:c r="P2280" s="12" t="str">
        <x:v>CORP-0250</x:v>
      </x:c>
      <x:c r="Q2280" s="12" t="str">
        <x:v>Silabs India Private Limited</x:v>
      </x:c>
    </x:row>
    <x:row r="2281" ht="48" customHeight="1">
      <x:c r="A2281" s="2" t="str">
        <x:v>TEN-744696B4409B</x:v>
      </x:c>
      <x:c r="B2281" s="12" t="str">
        <x:v>silox</x:v>
      </x:c>
      <x:c r="C2281" s="12" t="str">
        <x:v>Business / brand</x:v>
      </x:c>
      <x:c r="D2281" s="12" t="str">
        <x:v>Engineering &amp; manufacturing</x:v>
      </x:c>
      <x:c r="E2281" s="12" t="str">
        <x:v>Electronics, industrial systems &amp; manufacturing</x:v>
      </x:c>
      <x:c r="F2281" s="12" t="str">
        <x:v>Medium-scale prospects</x:v>
      </x:c>
      <x:c r="G2281" s="12" t="str">
        <x:v>Specialist industrial or engineering business; medium-scale prospect assumption.</x:v>
      </x:c>
      <x:c r="H2281" s="11" t="n">
        <x:v>1</x:v>
      </x:c>
      <x:c r="I2281" s="11" t="n">
        <x:v>2</x:v>
      </x:c>
      <x:c r="J2281" s="11" t="n">
        <x:v>2</x:v>
      </x:c>
      <x:c r="K2281" s="11" t="n">
        <x:v>0</x:v>
      </x:c>
      <x:c r="L2281" s="17" t="n">
        <x:f>SUM(SUMIFS('Costing'!$P$9:$P$492,'Costing'!$A$9:$A$492,"MAIN-162"))</x:f>
        <x:v>30000</x:v>
      </x:c>
      <x:c r="M2281" s="17" t="n">
        <x:f>ROUND(L2281*'Costing'!$C$4,2)</x:f>
        <x:v>5400</x:v>
      </x:c>
      <x:c r="N2281" s="17" t="n">
        <x:f>L2281+M2281</x:f>
        <x:v>35400</x:v>
      </x:c>
      <x:c r="O2281" s="12" t="str">
        <x:v>Delhi NCR</x:v>
      </x:c>
      <x:c r="P2281" s="12" t="str">
        <x:v>CORP-0158</x:v>
      </x:c>
      <x:c r="Q2281" s="12" t="str">
        <x:v>silox</x:v>
      </x:c>
    </x:row>
    <x:row r="2282" ht="48" customHeight="1">
      <x:c r="A2282" s="2" t="str">
        <x:v>TEN-4E5768573B8D</x:v>
      </x:c>
      <x:c r="B2282" s="12" t="str">
        <x:v>Silverline India</x:v>
      </x:c>
      <x:c r="C2282" s="12" t="str">
        <x:v>Business / brand</x:v>
      </x:c>
      <x:c r="D2282" s="12" t="str">
        <x:v>IT &amp; digital</x:v>
      </x:c>
      <x:c r="E2282" s="12" t="str">
        <x:v>Enterprise software &amp; digital engineering</x:v>
      </x:c>
      <x:c r="F2282" s="12" t="str">
        <x:v>Small-scale prospects</x:v>
      </x:c>
      <x:c r="G2282" s="12" t="str">
        <x:v>Software or technology-services business; small-scale prospect assumption.</x:v>
      </x:c>
      <x:c r="H2282" s="11" t="n">
        <x:v>5</x:v>
      </x:c>
      <x:c r="I2282" s="11" t="n">
        <x:v>5</x:v>
      </x:c>
      <x:c r="J2282" s="11" t="n">
        <x:v>5</x:v>
      </x:c>
      <x:c r="K2282" s="11" t="n">
        <x:v>0</x:v>
      </x:c>
      <x:c r="L2282" s="17" t="n">
        <x:f>SUM(SUMIFS('Costing'!$P$9:$P$492,'Costing'!$A$9:$A$492,"PARTNER-M060"))</x:f>
        <x:v>200000</x:v>
      </x:c>
      <x:c r="M2282" s="17" t="n">
        <x:f>ROUND(L2282*'Costing'!$C$4,2)</x:f>
        <x:v>36000</x:v>
      </x:c>
      <x:c r="N2282" s="17" t="n">
        <x:f>L2282+M2282</x:f>
        <x:v>236000</x:v>
      </x:c>
      <x:c r="O2282" s="12" t="str">
        <x:v>Bengaluru</x:v>
      </x:c>
      <x:c r="P2282" s="12" t="str">
        <x:v>CORP-0478, CORP-0479, CORP-0480, CORP-0481, CORP-0482</x:v>
      </x:c>
      <x:c r="Q2282" s="12" t="str">
        <x:v>Silverline India</x:v>
      </x:c>
    </x:row>
    <x:row r="2283" ht="49" customHeight="1">
      <x:c r="A2283" s="2" t="str">
        <x:v>TEN-1B24400C96AA</x:v>
      </x:c>
      <x:c r="B2283" s="12" t="str">
        <x:v>Sima.ai</x:v>
      </x:c>
      <x:c r="C2283" s="12" t="str">
        <x:v>Business / brand</x:v>
      </x:c>
      <x:c r="D2283" s="12" t="str">
        <x:v>IT &amp; digital</x:v>
      </x:c>
      <x:c r="E2283" s="12" t="str">
        <x:v>AI, data &amp; analytics</x:v>
      </x:c>
      <x:c r="F2283" s="12" t="str">
        <x:v>Small-scale prospects</x:v>
      </x:c>
      <x:c r="G2283" s="12" t="str">
        <x:v>Software or technology-services business; small-scale prospect assumption.</x:v>
      </x:c>
      <x:c r="H2283" s="11" t="n">
        <x:v>12</x:v>
      </x:c>
      <x:c r="I2283" s="11" t="n">
        <x:v>12</x:v>
      </x:c>
      <x:c r="J2283" s="11" t="n">
        <x:v>12</x:v>
      </x:c>
      <x:c r="K2283" s="11" t="n">
        <x:v>0</x:v>
      </x:c>
      <x:c r="L2283" s="17" t="n">
        <x:f>SUM(SUMIFS('Costing'!$P$9:$P$492,'Costing'!$A$9:$A$492,"PARTNER-M108"))</x:f>
        <x:v>480000</x:v>
      </x:c>
      <x:c r="M2283" s="17" t="n">
        <x:f>ROUND(L2283*'Costing'!$C$4,2)</x:f>
        <x:v>86400</x:v>
      </x:c>
      <x:c r="N2283" s="17" t="n">
        <x:f>L2283+M2283</x:f>
        <x:v>566400</x:v>
      </x:c>
      <x:c r="O2283" s="12" t="str">
        <x:v>Bengaluru</x:v>
      </x:c>
      <x:c r="P2283" s="12" t="str">
        <x:v>CORP-0526, CORP-0527, CORP-0528, CORP-0529, CORP-0530, CORP-0531, CORP-0532, CORP-0533, CORP-0534, CORP-0535, CORP-0536, CORP-0537</x:v>
      </x:c>
      <x:c r="Q2283" s="12" t="str">
        <x:v>Sima.ai</x:v>
      </x:c>
    </x:row>
    <x:row r="2284" ht="48" customHeight="1">
      <x:c r="A2284" s="2" t="str">
        <x:v>TEN-2B3CCB1CD4C0</x:v>
      </x:c>
      <x:c r="B2284" s="12" t="str">
        <x:v>Simeio Development Centre</x:v>
      </x:c>
      <x:c r="C2284" s="12" t="str">
        <x:v>Business / brand</x:v>
      </x:c>
      <x:c r="D2284" s="12" t="str">
        <x:v>IT &amp; digital</x:v>
      </x:c>
      <x:c r="E2284" s="12" t="str">
        <x:v>Cybersecurity &amp; cloud infrastructure</x:v>
      </x:c>
      <x:c r="F2284" s="12" t="str">
        <x:v>Small-scale prospects</x:v>
      </x:c>
      <x:c r="G2284" s="12" t="str">
        <x:v>Software or technology-services business; small-scale prospect assumption.</x:v>
      </x:c>
      <x:c r="H2284" s="11" t="n">
        <x:v>6</x:v>
      </x:c>
      <x:c r="I2284" s="11" t="n">
        <x:v>6</x:v>
      </x:c>
      <x:c r="J2284" s="11" t="n">
        <x:v>6</x:v>
      </x:c>
      <x:c r="K2284" s="11" t="n">
        <x:v>0</x:v>
      </x:c>
      <x:c r="L2284" s="17" t="n">
        <x:f>SUM(SUMIFS('Costing'!$P$9:$P$492,'Costing'!$A$9:$A$492,"PARTNER-M072"))</x:f>
        <x:v>240000</x:v>
      </x:c>
      <x:c r="M2284" s="17" t="n">
        <x:f>ROUND(L2284*'Costing'!$C$4,2)</x:f>
        <x:v>43200</x:v>
      </x:c>
      <x:c r="N2284" s="17" t="n">
        <x:f>L2284+M2284</x:f>
        <x:v>283200</x:v>
      </x:c>
      <x:c r="O2284" s="12" t="str">
        <x:v>Bengaluru</x:v>
      </x:c>
      <x:c r="P2284" s="12" t="str">
        <x:v>CORP-0490, CORP-0491, CORP-0492, CORP-0493, CORP-0494, CORP-0495</x:v>
      </x:c>
      <x:c r="Q2284" s="12" t="str">
        <x:v>Simeio Development Centre</x:v>
      </x:c>
    </x:row>
    <x:row r="2285" ht="48" customHeight="1">
      <x:c r="A2285" s="2" t="str">
        <x:v>TEN-0B84B8C86C04</x:v>
      </x:c>
      <x:c r="B2285" s="12" t="str">
        <x:v>Simon Electric pvt Ltd</x:v>
      </x:c>
      <x:c r="C2285" s="12" t="str">
        <x:v>Business / brand</x:v>
      </x:c>
      <x:c r="D2285" s="12" t="str">
        <x:v>Engineering &amp; manufacturing</x:v>
      </x:c>
      <x:c r="E2285" s="12" t="str">
        <x:v>Electronics, industrial systems &amp; manufacturing</x:v>
      </x:c>
      <x:c r="F2285" s="12" t="str">
        <x:v>Medium-scale prospects</x:v>
      </x:c>
      <x:c r="G2285" s="12" t="str">
        <x:v>Specialist industrial or engineering business; medium-scale prospect assumption.</x:v>
      </x:c>
      <x:c r="H2285" s="11" t="n">
        <x:v>10</x:v>
      </x:c>
      <x:c r="I2285" s="11" t="n">
        <x:v>10</x:v>
      </x:c>
      <x:c r="J2285" s="11" t="n">
        <x:v>10</x:v>
      </x:c>
      <x:c r="K2285" s="11" t="n">
        <x:v>0</x:v>
      </x:c>
      <x:c r="L2285" s="17" t="n">
        <x:f>SUM(SUMIFS('Costing'!$P$9:$P$492,'Costing'!$A$9:$A$492,"PARTNER-M365"))</x:f>
        <x:v>400000</x:v>
      </x:c>
      <x:c r="M2285" s="17" t="n">
        <x:f>ROUND(L2285*'Costing'!$C$4,2)</x:f>
        <x:v>72000</x:v>
      </x:c>
      <x:c r="N2285" s="17" t="n">
        <x:f>L2285+M2285</x:f>
        <x:v>472000</x:v>
      </x:c>
      <x:c r="O2285" s="12" t="str">
        <x:v>Delhi NCR</x:v>
      </x:c>
      <x:c r="P2285" s="12" t="str">
        <x:v>CORP-0778, CORP-0779, CORP-0780, CORP-0781, CORP-0782, CORP-0783, CORP-0784, CORP-0785, CORP-0786, CORP-0787</x:v>
      </x:c>
      <x:c r="Q2285" s="12" t="str">
        <x:v>Simon Electric pvt Ltd</x:v>
      </x:c>
    </x:row>
    <x:row r="2286" ht="48" customHeight="1">
      <x:c r="A2286" s="2" t="str">
        <x:v>TEN-3B5F1F4D82D5</x:v>
      </x:c>
      <x:c r="B2286" s="12" t="str">
        <x:v>Simplicity Investing India Private Limited</x:v>
      </x:c>
      <x:c r="C2286" s="12" t="str">
        <x:v>Business / brand</x:v>
      </x:c>
      <x:c r="D2286" s="12" t="str">
        <x:v>Finance &amp; insurance</x:v>
      </x:c>
      <x:c r="E2286" s="12" t="str">
        <x:v>Investments, securities &amp; wealth</x:v>
      </x:c>
      <x:c r="F2286" s="12" t="str">
        <x:v>Medium-scale prospects</x:v>
      </x:c>
      <x:c r="G2286" s="12" t="str">
        <x:v>Specialist financial-services business; medium-scale prospect assumption.</x:v>
      </x:c>
      <x:c r="H2286" s="11" t="n">
        <x:v>1</x:v>
      </x:c>
      <x:c r="I2286" s="11" t="n">
        <x:v>4</x:v>
      </x:c>
      <x:c r="J2286" s="11" t="n">
        <x:v>4</x:v>
      </x:c>
      <x:c r="K2286" s="11" t="n">
        <x:v>0</x:v>
      </x:c>
      <x:c r="L2286" s="17" t="n">
        <x:f>SUM(SUMIFS('Costing'!$P$9:$P$492,'Costing'!$A$9:$A$492,"MAIN-361"))</x:f>
        <x:v>100000</x:v>
      </x:c>
      <x:c r="M2286" s="17" t="n">
        <x:f>ROUND(L2286*'Costing'!$C$4,2)</x:f>
        <x:v>18000</x:v>
      </x:c>
      <x:c r="N2286" s="17" t="n">
        <x:f>L2286+M2286</x:f>
        <x:v>118000</x:v>
      </x:c>
      <x:c r="O2286" s="12" t="str">
        <x:v>Mumbai</x:v>
      </x:c>
      <x:c r="P2286" s="12" t="str">
        <x:v>CORP-0357</x:v>
      </x:c>
      <x:c r="Q2286" s="12" t="str">
        <x:v>Simplicity Investing India Private Limited</x:v>
      </x:c>
    </x:row>
    <x:row r="2287" ht="48" customHeight="1">
      <x:c r="A2287" s="2" t="str">
        <x:v>TEN-B261335C03A3</x:v>
      </x:c>
      <x:c r="B2287" s="12" t="str">
        <x:v>Simplify Healthcare</x:v>
      </x:c>
      <x:c r="C2287" s="12" t="str">
        <x:v>Business / brand</x:v>
      </x:c>
      <x:c r="D2287" s="12" t="str">
        <x:v>Healthcare &amp; life sciences</x:v>
      </x:c>
      <x:c r="E2287" s="12" t="str">
        <x:v>Clinical, medical &amp; diagnostic services</x:v>
      </x:c>
      <x:c r="F2287" s="12" t="str">
        <x:v>Small-scale prospects</x:v>
      </x:c>
      <x:c r="G2287" s="12" t="str">
        <x:v>Healthcare services business; small-scale prospect assumption.</x:v>
      </x:c>
      <x:c r="H2287" s="11" t="n">
        <x:v>4</x:v>
      </x:c>
      <x:c r="I2287" s="11" t="n">
        <x:v>4</x:v>
      </x:c>
      <x:c r="J2287" s="11" t="n">
        <x:v>4</x:v>
      </x:c>
      <x:c r="K2287" s="11" t="n">
        <x:v>0</x:v>
      </x:c>
      <x:c r="L2287" s="17" t="n">
        <x:f>SUM(SUMIFS('Costing'!$P$9:$P$492,'Costing'!$A$9:$A$492,"PARTNER-M261"))</x:f>
        <x:v>160000</x:v>
      </x:c>
      <x:c r="M2287" s="17" t="n">
        <x:f>ROUND(L2287*'Costing'!$C$4,2)</x:f>
        <x:v>28800</x:v>
      </x:c>
      <x:c r="N2287" s="17" t="n">
        <x:f>L2287+M2287</x:f>
        <x:v>188800</x:v>
      </x:c>
      <x:c r="O2287" s="12" t="str">
        <x:v>Pune</x:v>
      </x:c>
      <x:c r="P2287" s="12" t="str">
        <x:v>CORP-0677, CORP-0678, CORP-0679, CORP-0680</x:v>
      </x:c>
      <x:c r="Q2287" s="12" t="str">
        <x:v>Simplify Healthcare</x:v>
      </x:c>
    </x:row>
    <x:row r="2288" ht="48" customHeight="1">
      <x:c r="A2288" s="2" t="str">
        <x:v>TEN-7EB2F6F01F1B</x:v>
      </x:c>
      <x:c r="B2288" s="12" t="str">
        <x:v>Simplotel</x:v>
      </x:c>
      <x:c r="C2288" s="12" t="str">
        <x:v>Business / brand</x:v>
      </x:c>
      <x:c r="D2288" s="12" t="str">
        <x:v>IT &amp; digital</x:v>
      </x:c>
      <x:c r="E2288" s="12" t="str">
        <x:v>Enterprise software &amp; digital engineering</x:v>
      </x:c>
      <x:c r="F2288" s="12" t="str">
        <x:v>Small-scale prospects</x:v>
      </x:c>
      <x:c r="G2288" s="12" t="str">
        <x:v>Software or technology-services business; small-scale prospect assumption.</x:v>
      </x:c>
      <x:c r="H2288" s="11" t="n">
        <x:v>1</x:v>
      </x:c>
      <x:c r="I2288" s="11" t="n">
        <x:v>1</x:v>
      </x:c>
      <x:c r="J2288" s="11" t="n">
        <x:v>1</x:v>
      </x:c>
      <x:c r="K2288" s="11" t="n">
        <x:v>0</x:v>
      </x:c>
      <x:c r="L2288" s="17" t="n">
        <x:f>SUM(SUMIFS('Costing'!$P$9:$P$492,'Costing'!$A$9:$A$492,"MAIN-089"))</x:f>
        <x:v>15000</x:v>
      </x:c>
      <x:c r="M2288" s="17" t="n">
        <x:f>ROUND(L2288*'Costing'!$C$4,2)</x:f>
        <x:v>2700</x:v>
      </x:c>
      <x:c r="N2288" s="17" t="n">
        <x:f>L2288+M2288</x:f>
        <x:v>17700</x:v>
      </x:c>
      <x:c r="O2288" s="12" t="str">
        <x:v>Bengaluru</x:v>
      </x:c>
      <x:c r="P2288" s="12" t="str">
        <x:v>CORP-0085</x:v>
      </x:c>
      <x:c r="Q2288" s="12" t="str">
        <x:v>Simplotel</x:v>
      </x:c>
    </x:row>
    <x:row r="2289" ht="48" customHeight="1">
      <x:c r="A2289" s="2" t="str">
        <x:v>TEN-02307EC68AF1</x:v>
      </x:c>
      <x:c r="B2289" s="12" t="str">
        <x:v>SiS Enterprises</x:v>
      </x:c>
      <x:c r="C2289" s="12" t="str">
        <x:v>Business / brand</x:v>
      </x:c>
      <x:c r="D2289" s="12" t="str">
        <x:v>Trade, consumer &amp; logistics</x:v>
      </x:c>
      <x:c r="E2289" s="12" t="str">
        <x:v>Consumer/trade services — specialty unverified</x:v>
      </x:c>
      <x:c r="F2289" s="12" t="str">
        <x:v>Small-scale prospects</x:v>
      </x:c>
      <x:c r="G2289" s="12" t="str">
        <x:v>Trading or consumer-services business; small-scale prospect assumption.</x:v>
      </x:c>
      <x:c r="H2289" s="11" t="n">
        <x:v>1</x:v>
      </x:c>
      <x:c r="I2289" s="11" t="n">
        <x:v>2</x:v>
      </x:c>
      <x:c r="J2289" s="11" t="n">
        <x:v>2</x:v>
      </x:c>
      <x:c r="K2289" s="11" t="n">
        <x:v>0</x:v>
      </x:c>
      <x:c r="L2289" s="17" t="n">
        <x:f>SUM(SUMIFS('Costing'!$P$9:$P$492,'Costing'!$A$9:$A$492,"MAIN-268"))</x:f>
        <x:v>80000</x:v>
      </x:c>
      <x:c r="M2289" s="17" t="n">
        <x:f>ROUND(L2289*'Costing'!$C$4,2)</x:f>
        <x:v>14400</x:v>
      </x:c>
      <x:c r="N2289" s="17" t="n">
        <x:f>L2289+M2289</x:f>
        <x:v>94400</x:v>
      </x:c>
      <x:c r="O2289" s="12" t="str">
        <x:v>Indore</x:v>
      </x:c>
      <x:c r="P2289" s="12" t="str">
        <x:v>CORP-0264</x:v>
      </x:c>
      <x:c r="Q2289" s="12" t="str">
        <x:v>SiS Enterprises</x:v>
      </x:c>
    </x:row>
    <x:row r="2290" ht="48" customHeight="1">
      <x:c r="A2290" s="2" t="str">
        <x:v>TEN-0A1B7BF36AFB</x:v>
      </x:c>
      <x:c r="B2290" s="12" t="str">
        <x:v>SIS Limited</x:v>
      </x:c>
      <x:c r="C2290" s="12" t="str">
        <x:v>Business / brand</x:v>
      </x:c>
      <x:c r="D2290" s="12" t="str">
        <x:v>Trade, consumer &amp; logistics</x:v>
      </x:c>
      <x:c r="E2290" s="12" t="str">
        <x:v>Consumer/trade services — specialty unverified</x:v>
      </x:c>
      <x:c r="F2290" s="12" t="str">
        <x:v>Mixed business audience</x:v>
      </x:c>
      <x:c r="G2290" s="12" t="str">
        <x:v>Recognisable business context; company-scale evidence remains insufficient for a single size band.</x:v>
      </x:c>
      <x:c r="H2290" s="11" t="n">
        <x:v>1</x:v>
      </x:c>
      <x:c r="I2290" s="11" t="n">
        <x:v>1</x:v>
      </x:c>
      <x:c r="J2290" s="11" t="n">
        <x:v>1</x:v>
      </x:c>
      <x:c r="K2290" s="11" t="n">
        <x:v>0</x:v>
      </x:c>
      <x:c r="L2290" s="17" t="n">
        <x:f>SUM(SUMIFS('Costing'!$P$9:$P$492,'Costing'!$A$9:$A$492,"MAIN-290"))</x:f>
        <x:v>40000</x:v>
      </x:c>
      <x:c r="M2290" s="17" t="n">
        <x:f>ROUND(L2290*'Costing'!$C$4,2)</x:f>
        <x:v>7200</x:v>
      </x:c>
      <x:c r="N2290" s="17" t="n">
        <x:f>L2290+M2290</x:f>
        <x:v>47200</x:v>
      </x:c>
      <x:c r="O2290" s="12" t="str">
        <x:v>Lucknow</x:v>
      </x:c>
      <x:c r="P2290" s="12" t="str">
        <x:v>CORP-0286</x:v>
      </x:c>
      <x:c r="Q2290" s="12" t="str">
        <x:v>SIS Limited</x:v>
      </x:c>
    </x:row>
    <x:row r="2291" ht="48" customHeight="1">
      <x:c r="A2291" s="2" t="str">
        <x:v>TEN-61512E0643A9</x:v>
      </x:c>
      <x:c r="B2291" s="12" t="str">
        <x:v>Sitel India</x:v>
      </x:c>
      <x:c r="C2291" s="12" t="str">
        <x:v>Business / brand</x:v>
      </x:c>
      <x:c r="D2291" s="12" t="str">
        <x:v>IT &amp; digital</x:v>
      </x:c>
      <x:c r="E2291" s="12" t="str">
        <x:v>Business process &amp; customer operations</x:v>
      </x:c>
      <x:c r="F2291" s="12" t="str">
        <x:v>Mixed business audience</x:v>
      </x:c>
      <x:c r="G2291" s="12" t="str">
        <x:v>Recognisable business context; company-scale evidence remains insufficient for a single size band.</x:v>
      </x:c>
      <x:c r="H2291" s="11" t="n">
        <x:v>6</x:v>
      </x:c>
      <x:c r="I2291" s="11" t="n">
        <x:v>6</x:v>
      </x:c>
      <x:c r="J2291" s="11" t="n">
        <x:v>6</x:v>
      </x:c>
      <x:c r="K2291" s="11" t="n">
        <x:v>0</x:v>
      </x:c>
      <x:c r="L2291" s="17" t="n">
        <x:f>SUM(SUMIFS('Costing'!$P$9:$P$492,'Costing'!$A$9:$A$492,"PARTNER-M179"))</x:f>
        <x:v>240000</x:v>
      </x:c>
      <x:c r="M2291" s="17" t="n">
        <x:f>ROUND(L2291*'Costing'!$C$4,2)</x:f>
        <x:v>43200</x:v>
      </x:c>
      <x:c r="N2291" s="17" t="n">
        <x:f>L2291+M2291</x:f>
        <x:v>283200</x:v>
      </x:c>
      <x:c r="O2291" s="12" t="str">
        <x:v>Mumbai</x:v>
      </x:c>
      <x:c r="P2291" s="12" t="str">
        <x:v>CORP-0596, CORP-0597, CORP-0598, CORP-0599, CORP-0600, CORP-0601</x:v>
      </x:c>
      <x:c r="Q2291" s="12" t="str">
        <x:v>Sitel India</x:v>
      </x:c>
    </x:row>
    <x:row r="2292" ht="48" customHeight="1">
      <x:c r="A2292" s="2" t="str">
        <x:v>TEN-F66746C19057</x:v>
      </x:c>
      <x:c r="B2292" s="12" t="str">
        <x:v>Six Red Marbles</x:v>
      </x:c>
      <x:c r="C2292" s="12" t="str">
        <x:v>Business / brand</x:v>
      </x:c>
      <x:c r="D2292" s="12" t="str">
        <x:v>Education</x:v>
      </x:c>
      <x:c r="E2292" s="12" t="str">
        <x:v>Education, training &amp; childcare</x:v>
      </x:c>
      <x:c r="F2292" s="12" t="str">
        <x:v>Small-scale prospects</x:v>
      </x:c>
      <x:c r="G2292" s="12" t="str">
        <x:v>Training or education-services business; small-scale prospect assumption.</x:v>
      </x:c>
      <x:c r="H2292" s="11" t="n">
        <x:v>4</x:v>
      </x:c>
      <x:c r="I2292" s="11" t="n">
        <x:v>8</x:v>
      </x:c>
      <x:c r="J2292" s="11" t="n">
        <x:v>8</x:v>
      </x:c>
      <x:c r="K2292" s="11" t="n">
        <x:v>0</x:v>
      </x:c>
      <x:c r="L2292" s="17" t="n">
        <x:f>SUM(SUMIFS('Costing'!$P$9:$P$492,'Costing'!$A$9:$A$492,"MAIN-163"),SUMIFS('Costing'!$P$9:$P$492,'Costing'!$A$9:$A$492,"MAIN-164"),SUMIFS('Costing'!$P$9:$P$492,'Costing'!$A$9:$A$492,"MAIN-180"),SUMIFS('Costing'!$P$9:$P$492,'Costing'!$A$9:$A$492,"MAIN-208"))</x:f>
        <x:v>145000</x:v>
      </x:c>
      <x:c r="M2292" s="17" t="n">
        <x:f>ROUND(L2292*'Costing'!$C$4,2)</x:f>
        <x:v>26100</x:v>
      </x:c>
      <x:c r="N2292" s="17" t="n">
        <x:f>L2292+M2292</x:f>
        <x:v>171100</x:v>
      </x:c>
      <x:c r="O2292" s="12" t="str">
        <x:v>Delhi NCR</x:v>
      </x:c>
      <x:c r="P2292" s="12" t="str">
        <x:v>CORP-0159, CORP-0160, CORP-0176, CORP-0204</x:v>
      </x:c>
      <x:c r="Q2292" s="12" t="str">
        <x:v>Six Red Marbles, sixredmarbles</x:v>
      </x:c>
    </x:row>
    <x:row r="2293" ht="48" customHeight="1">
      <x:c r="A2293" s="2" t="str">
        <x:v>TEN-081CE58110FF</x:v>
      </x:c>
      <x:c r="B2293" s="12" t="str">
        <x:v>SK Finance</x:v>
      </x:c>
      <x:c r="C2293" s="12" t="str">
        <x:v>Business / brand</x:v>
      </x:c>
      <x:c r="D2293" s="12" t="str">
        <x:v>Finance &amp; insurance</x:v>
      </x:c>
      <x:c r="E2293" s="12" t="str">
        <x:v>Financial services — specialty unverified</x:v>
      </x:c>
      <x:c r="F2293" s="12" t="str">
        <x:v>Medium-scale prospects</x:v>
      </x:c>
      <x:c r="G2293" s="12" t="str">
        <x:v>Specialist financial-services business; medium-scale prospect assumption.</x:v>
      </x:c>
      <x:c r="H2293" s="11" t="n">
        <x:v>1</x:v>
      </x:c>
      <x:c r="I2293" s="11" t="n">
        <x:v>1</x:v>
      </x:c>
      <x:c r="J2293" s="11" t="n">
        <x:v>1</x:v>
      </x:c>
      <x:c r="K2293" s="11" t="n">
        <x:v>0</x:v>
      </x:c>
      <x:c r="L2293" s="17" t="n">
        <x:f>SUM(SUMIFS('Costing'!$P$9:$P$492,'Costing'!$A$9:$A$492,"MAIN-269"))</x:f>
        <x:v>40000</x:v>
      </x:c>
      <x:c r="M2293" s="17" t="n">
        <x:f>ROUND(L2293*'Costing'!$C$4,2)</x:f>
        <x:v>7200</x:v>
      </x:c>
      <x:c r="N2293" s="17" t="n">
        <x:f>L2293+M2293</x:f>
        <x:v>47200</x:v>
      </x:c>
      <x:c r="O2293" s="12" t="str">
        <x:v>Indore</x:v>
      </x:c>
      <x:c r="P2293" s="12" t="str">
        <x:v>CORP-0265</x:v>
      </x:c>
      <x:c r="Q2293" s="12" t="str">
        <x:v>SK Finance</x:v>
      </x:c>
    </x:row>
    <x:row r="2294" ht="48" customHeight="1">
      <x:c r="A2294" s="2" t="str">
        <x:v>TEN-7318D4E0C064</x:v>
      </x:c>
      <x:c r="B2294" s="12" t="str">
        <x:v>Skiva</x:v>
      </x:c>
      <x:c r="C2294" s="12" t="str">
        <x:v>Business / brand</x:v>
      </x:c>
      <x:c r="D2294" s="12" t="str">
        <x:v>Unresolved</x:v>
      </x:c>
      <x:c r="E2294" s="12" t="str">
        <x:v>Business activity not established</x:v>
      </x:c>
      <x:c r="F2294" s="12" t="str">
        <x:v>Mixed business audience</x:v>
      </x:c>
      <x:c r="G2294" s="12" t="str">
        <x:v>Business activity and company scale are not established from this name.</x:v>
      </x:c>
      <x:c r="H2294" s="11" t="n">
        <x:v>9</x:v>
      </x:c>
      <x:c r="I2294" s="11" t="n">
        <x:v>9</x:v>
      </x:c>
      <x:c r="J2294" s="11" t="n">
        <x:v>9</x:v>
      </x:c>
      <x:c r="K2294" s="11" t="n">
        <x:v>0</x:v>
      </x:c>
      <x:c r="L2294" s="17" t="n">
        <x:f>SUM(SUMIFS('Costing'!$P$9:$P$492,'Costing'!$A$9:$A$492,"PARTNER-M002"))</x:f>
        <x:v>360000</x:v>
      </x:c>
      <x:c r="M2294" s="17" t="n">
        <x:f>ROUND(L2294*'Costing'!$C$4,2)</x:f>
        <x:v>64800</x:v>
      </x:c>
      <x:c r="N2294" s="17" t="n">
        <x:f>L2294+M2294</x:f>
        <x:v>424800</x:v>
      </x:c>
      <x:c r="O2294" s="12" t="str">
        <x:v>Bengaluru</x:v>
      </x:c>
      <x:c r="P2294" s="12" t="str">
        <x:v>CORP-0420, CORP-0421, CORP-0422, CORP-0423, CORP-0424, CORP-0425, CORP-0426, CORP-0427, CORP-0428</x:v>
      </x:c>
      <x:c r="Q2294" s="12" t="str">
        <x:v>Skiva</x:v>
      </x:c>
    </x:row>
    <x:row r="2295" ht="48" customHeight="1">
      <x:c r="A2295" s="2" t="str">
        <x:v>TEN-0CDD2A017BE5</x:v>
      </x:c>
      <x:c r="B2295" s="12" t="str">
        <x:v>SKY Engineering &amp; Cleaning Systems</x:v>
      </x:c>
      <x:c r="C2295" s="12" t="str">
        <x:v>Business / brand</x:v>
      </x:c>
      <x:c r="D2295" s="12" t="str">
        <x:v>Engineering &amp; manufacturing</x:v>
      </x:c>
      <x:c r="E2295" s="12" t="str">
        <x:v>Energy, electrical &amp; industrial systems</x:v>
      </x:c>
      <x:c r="F2295" s="12" t="str">
        <x:v>Medium-scale prospects</x:v>
      </x:c>
      <x:c r="G2295" s="12" t="str">
        <x:v>Specialist industrial or engineering business; medium-scale prospect assumption.</x:v>
      </x:c>
      <x:c r="H2295" s="11" t="n">
        <x:v>4</x:v>
      </x:c>
      <x:c r="I2295" s="11" t="n">
        <x:v>4</x:v>
      </x:c>
      <x:c r="J2295" s="11" t="n">
        <x:v>4</x:v>
      </x:c>
      <x:c r="K2295" s="11" t="n">
        <x:v>0</x:v>
      </x:c>
      <x:c r="L2295" s="17" t="n">
        <x:f>SUM(SUMIFS('Costing'!$P$9:$P$492,'Costing'!$A$9:$A$492,"PARTNER-M197"))</x:f>
        <x:v>160000</x:v>
      </x:c>
      <x:c r="M2295" s="17" t="n">
        <x:f>ROUND(L2295*'Costing'!$C$4,2)</x:f>
        <x:v>28800</x:v>
      </x:c>
      <x:c r="N2295" s="17" t="n">
        <x:f>L2295+M2295</x:f>
        <x:v>188800</x:v>
      </x:c>
      <x:c r="O2295" s="12" t="str">
        <x:v>Mumbai</x:v>
      </x:c>
      <x:c r="P2295" s="12" t="str">
        <x:v>CORP-0614, CORP-0615, CORP-0616, CORP-0617</x:v>
      </x:c>
      <x:c r="Q2295" s="12" t="str">
        <x:v>SKY Engineering &amp; Cleaning Systems</x:v>
      </x:c>
    </x:row>
    <x:row r="2296" ht="48" customHeight="1">
      <x:c r="A2296" s="2" t="str">
        <x:v>TEN-53DE01F21DAB</x:v>
      </x:c>
      <x:c r="B2296" s="12" t="str">
        <x:v>Skyewave</x:v>
      </x:c>
      <x:c r="C2296" s="12" t="str">
        <x:v>Business / brand</x:v>
      </x:c>
      <x:c r="D2296" s="12" t="str">
        <x:v>Unresolved</x:v>
      </x:c>
      <x:c r="E2296" s="12" t="str">
        <x:v>Business activity not established</x:v>
      </x:c>
      <x:c r="F2296" s="12" t="str">
        <x:v>Mixed business audience</x:v>
      </x:c>
      <x:c r="G2296" s="12" t="str">
        <x:v>Business activity and company scale are not established from this name.</x:v>
      </x:c>
      <x:c r="H2296" s="11" t="n">
        <x:v>1</x:v>
      </x:c>
      <x:c r="I2296" s="11" t="n">
        <x:v>1</x:v>
      </x:c>
      <x:c r="J2296" s="11" t="n">
        <x:v>1</x:v>
      </x:c>
      <x:c r="K2296" s="11" t="n">
        <x:v>0</x:v>
      </x:c>
      <x:c r="L2296" s="17" t="n">
        <x:f>SUM(SUMIFS('Costing'!$P$9:$P$492,'Costing'!$A$9:$A$492,"MAIN-175"))</x:f>
        <x:v>15000</x:v>
      </x:c>
      <x:c r="M2296" s="17" t="n">
        <x:f>ROUND(L2296*'Costing'!$C$4,2)</x:f>
        <x:v>2700</x:v>
      </x:c>
      <x:c r="N2296" s="17" t="n">
        <x:f>L2296+M2296</x:f>
        <x:v>17700</x:v>
      </x:c>
      <x:c r="O2296" s="12" t="str">
        <x:v>Delhi NCR</x:v>
      </x:c>
      <x:c r="P2296" s="12" t="str">
        <x:v>CORP-0171</x:v>
      </x:c>
      <x:c r="Q2296" s="12" t="str">
        <x:v>Skyewave</x:v>
      </x:c>
    </x:row>
    <x:row r="2297" ht="48" customHeight="1">
      <x:c r="A2297" s="2" t="str">
        <x:v>TEN-60F4EF0E242B</x:v>
      </x:c>
      <x:c r="B2297" s="12" t="str">
        <x:v>Skyhub aero Pvt.Ltd</x:v>
      </x:c>
      <x:c r="C2297" s="12" t="str">
        <x:v>Business / brand</x:v>
      </x:c>
      <x:c r="D2297" s="12" t="str">
        <x:v>Unresolved</x:v>
      </x:c>
      <x:c r="E2297" s="12" t="str">
        <x:v>Business activity not established</x:v>
      </x:c>
      <x:c r="F2297" s="12" t="str">
        <x:v>Mixed business audience</x:v>
      </x:c>
      <x:c r="G2297" s="12" t="str">
        <x:v>Business activity and company scale are not established from this name.</x:v>
      </x:c>
      <x:c r="H2297" s="11" t="n">
        <x:v>1</x:v>
      </x:c>
      <x:c r="I2297" s="11" t="n">
        <x:v>3</x:v>
      </x:c>
      <x:c r="J2297" s="11" t="n">
        <x:v>3</x:v>
      </x:c>
      <x:c r="K2297" s="11" t="n">
        <x:v>0</x:v>
      </x:c>
      <x:c r="L2297" s="17" t="n">
        <x:f>SUM(SUMIFS('Costing'!$P$9:$P$492,'Costing'!$A$9:$A$492,"MAIN-172"))</x:f>
        <x:v>45000</x:v>
      </x:c>
      <x:c r="M2297" s="17" t="n">
        <x:f>ROUND(L2297*'Costing'!$C$4,2)</x:f>
        <x:v>8100</x:v>
      </x:c>
      <x:c r="N2297" s="17" t="n">
        <x:f>L2297+M2297</x:f>
        <x:v>53100</x:v>
      </x:c>
      <x:c r="O2297" s="12" t="str">
        <x:v>Delhi NCR</x:v>
      </x:c>
      <x:c r="P2297" s="12" t="str">
        <x:v>CORP-0168</x:v>
      </x:c>
      <x:c r="Q2297" s="12" t="str">
        <x:v>Skyhub aero Pvt.Ltd</x:v>
      </x:c>
    </x:row>
    <x:row r="2298" ht="48" customHeight="1">
      <x:c r="A2298" s="2" t="str">
        <x:v>TEN-65B3339FFCA4</x:v>
      </x:c>
      <x:c r="B2298" s="12" t="str">
        <x:v>skyland</x:v>
      </x:c>
      <x:c r="C2298" s="12" t="str">
        <x:v>Business / brand</x:v>
      </x:c>
      <x:c r="D2298" s="12" t="str">
        <x:v>Unresolved</x:v>
      </x:c>
      <x:c r="E2298" s="12" t="str">
        <x:v>Business activity not established</x:v>
      </x:c>
      <x:c r="F2298" s="12" t="str">
        <x:v>Mixed business audience</x:v>
      </x:c>
      <x:c r="G2298" s="12" t="str">
        <x:v>Business activity and company scale are not established from this name.</x:v>
      </x:c>
      <x:c r="H2298" s="11" t="n">
        <x:v>1</x:v>
      </x:c>
      <x:c r="I2298" s="11" t="n">
        <x:v>2</x:v>
      </x:c>
      <x:c r="J2298" s="11" t="n">
        <x:v>2</x:v>
      </x:c>
      <x:c r="K2298" s="11" t="n">
        <x:v>0</x:v>
      </x:c>
      <x:c r="L2298" s="17" t="n">
        <x:f>SUM(SUMIFS('Costing'!$P$9:$P$492,'Costing'!$A$9:$A$492,"MAIN-225"))</x:f>
        <x:v>30000</x:v>
      </x:c>
      <x:c r="M2298" s="17" t="n">
        <x:f>ROUND(L2298*'Costing'!$C$4,2)</x:f>
        <x:v>5400</x:v>
      </x:c>
      <x:c r="N2298" s="17" t="n">
        <x:f>L2298+M2298</x:f>
        <x:v>35400</x:v>
      </x:c>
      <x:c r="O2298" s="12" t="str">
        <x:v>Hyderabad</x:v>
      </x:c>
      <x:c r="P2298" s="12" t="str">
        <x:v>CORP-0221</x:v>
      </x:c>
      <x:c r="Q2298" s="12" t="str">
        <x:v>skyland</x:v>
      </x:c>
    </x:row>
    <x:row r="2299" ht="48" customHeight="1">
      <x:c r="A2299" s="2" t="str">
        <x:v>TEN-DAD06958BAD2</x:v>
      </x:c>
      <x:c r="B2299" s="12" t="str">
        <x:v>Skyland Immigration and Careers</x:v>
      </x:c>
      <x:c r="C2299" s="12" t="str">
        <x:v>Business / brand</x:v>
      </x:c>
      <x:c r="D2299" s="12" t="str">
        <x:v>Professional services</x:v>
      </x:c>
      <x:c r="E2299" s="12" t="str">
        <x:v>Immigration &amp; relocation services</x:v>
      </x:c>
      <x:c r="F2299" s="12" t="str">
        <x:v>Small-scale prospects</x:v>
      </x:c>
      <x:c r="G2299" s="12" t="str">
        <x:v>Professional service, agency or advisory model; small-scale prospect assumption.</x:v>
      </x:c>
      <x:c r="H2299" s="11" t="n">
        <x:v>1</x:v>
      </x:c>
      <x:c r="I2299" s="11" t="n">
        <x:v>5</x:v>
      </x:c>
      <x:c r="J2299" s="11" t="n">
        <x:v>5</x:v>
      </x:c>
      <x:c r="K2299" s="11" t="n">
        <x:v>0</x:v>
      </x:c>
      <x:c r="L2299" s="17" t="n">
        <x:f>SUM(SUMIFS('Costing'!$P$9:$P$492,'Costing'!$A$9:$A$492,"MAIN-025"))</x:f>
        <x:v>75000</x:v>
      </x:c>
      <x:c r="M2299" s="17" t="n">
        <x:f>ROUND(L2299*'Costing'!$C$4,2)</x:f>
        <x:v>13500</x:v>
      </x:c>
      <x:c r="N2299" s="17" t="n">
        <x:f>L2299+M2299</x:f>
        <x:v>88500</x:v>
      </x:c>
      <x:c r="O2299" s="12" t="str">
        <x:v>Bengaluru</x:v>
      </x:c>
      <x:c r="P2299" s="12" t="str">
        <x:v>CORP-0021</x:v>
      </x:c>
      <x:c r="Q2299" s="12" t="str">
        <x:v>Skyland Immigration and Careers</x:v>
      </x:c>
    </x:row>
    <x:row r="2300" ht="48" customHeight="1">
      <x:c r="A2300" s="2" t="str">
        <x:v>TEN-479084FF9511</x:v>
      </x:c>
      <x:c r="B2300" s="12" t="str">
        <x:v>Skymet Weather Services Pvt</x:v>
      </x:c>
      <x:c r="C2300" s="12" t="str">
        <x:v>Business / brand</x:v>
      </x:c>
      <x:c r="D2300" s="12" t="str">
        <x:v>IT &amp; digital</x:v>
      </x:c>
      <x:c r="E2300" s="12" t="str">
        <x:v>Telecom, networks &amp; connectivity</x:v>
      </x:c>
      <x:c r="F2300" s="12" t="str">
        <x:v>Small-scale prospects</x:v>
      </x:c>
      <x:c r="G2300" s="12" t="str">
        <x:v>Software or technology-services business; small-scale prospect assumption.</x:v>
      </x:c>
      <x:c r="H2300" s="11" t="n">
        <x:v>1</x:v>
      </x:c>
      <x:c r="I2300" s="11" t="n">
        <x:v>1</x:v>
      </x:c>
      <x:c r="J2300" s="11" t="n">
        <x:v>1</x:v>
      </x:c>
      <x:c r="K2300" s="11" t="n">
        <x:v>0</x:v>
      </x:c>
      <x:c r="L2300" s="17" t="n">
        <x:f>SUM(SUMIFS('Costing'!$P$9:$P$492,'Costing'!$A$9:$A$492,"MAIN-296"))</x:f>
        <x:v>15000</x:v>
      </x:c>
      <x:c r="M2300" s="17" t="n">
        <x:f>ROUND(L2300*'Costing'!$C$4,2)</x:f>
        <x:v>2700</x:v>
      </x:c>
      <x:c r="N2300" s="17" t="n">
        <x:f>L2300+M2300</x:f>
        <x:v>17700</x:v>
      </x:c>
      <x:c r="O2300" s="12" t="str">
        <x:v>Mumbai</x:v>
      </x:c>
      <x:c r="P2300" s="12" t="str">
        <x:v>CORP-0292</x:v>
      </x:c>
      <x:c r="Q2300" s="12" t="str">
        <x:v>Skymet Weather Services Pvt</x:v>
      </x:c>
    </x:row>
    <x:row r="2301" ht="48" customHeight="1">
      <x:c r="A2301" s="2" t="str">
        <x:v>TEN-2F36697C1256</x:v>
      </x:c>
      <x:c r="B2301" s="12" t="str">
        <x:v>Skymet Weather Services Pvt. Ltd</x:v>
      </x:c>
      <x:c r="C2301" s="12" t="str">
        <x:v>Business / brand</x:v>
      </x:c>
      <x:c r="D2301" s="12" t="str">
        <x:v>IT &amp; digital</x:v>
      </x:c>
      <x:c r="E2301" s="12" t="str">
        <x:v>Telecom, networks &amp; connectivity</x:v>
      </x:c>
      <x:c r="F2301" s="12" t="str">
        <x:v>Small-scale prospects</x:v>
      </x:c>
      <x:c r="G2301" s="12" t="str">
        <x:v>Software or technology-services business; small-scale prospect assumption.</x:v>
      </x:c>
      <x:c r="H2301" s="11" t="n">
        <x:v>4</x:v>
      </x:c>
      <x:c r="I2301" s="11" t="n">
        <x:v>4</x:v>
      </x:c>
      <x:c r="J2301" s="11" t="n">
        <x:v>4</x:v>
      </x:c>
      <x:c r="K2301" s="11" t="n">
        <x:v>0</x:v>
      </x:c>
      <x:c r="L2301" s="17" t="n">
        <x:f>SUM(SUMIFS('Costing'!$P$9:$P$492,'Costing'!$A$9:$A$492,"PARTNER-M375"))</x:f>
        <x:v>160000</x:v>
      </x:c>
      <x:c r="M2301" s="17" t="n">
        <x:f>ROUND(L2301*'Costing'!$C$4,2)</x:f>
        <x:v>28800</x:v>
      </x:c>
      <x:c r="N2301" s="17" t="n">
        <x:f>L2301+M2301</x:f>
        <x:v>188800</x:v>
      </x:c>
      <x:c r="O2301" s="12" t="str">
        <x:v>Delhi NCR</x:v>
      </x:c>
      <x:c r="P2301" s="12" t="str">
        <x:v>CORP-0788, CORP-0789, CORP-0790, CORP-0791</x:v>
      </x:c>
      <x:c r="Q2301" s="12" t="str">
        <x:v>Skymet Weather Services Pvt. Ltd</x:v>
      </x:c>
    </x:row>
    <x:row r="2302" ht="48" customHeight="1">
      <x:c r="A2302" s="2" t="str">
        <x:v>TEN-B63ABE14A06F</x:v>
      </x:c>
      <x:c r="B2302" s="12" t="str">
        <x:v>Skyonn Technologies</x:v>
      </x:c>
      <x:c r="C2302" s="12" t="str">
        <x:v>Business / brand</x:v>
      </x:c>
      <x:c r="D2302" s="12" t="str">
        <x:v>Unresolved</x:v>
      </x:c>
      <x:c r="E2302" s="12" t="str">
        <x:v>Business activity not established</x:v>
      </x:c>
      <x:c r="F2302" s="12" t="str">
        <x:v>Mixed business audience</x:v>
      </x:c>
      <x:c r="G2302" s="12" t="str">
        <x:v>Business activity and company scale are not established from this name.</x:v>
      </x:c>
      <x:c r="H2302" s="11" t="n">
        <x:v>7</x:v>
      </x:c>
      <x:c r="I2302" s="11" t="n">
        <x:v>7</x:v>
      </x:c>
      <x:c r="J2302" s="11" t="n">
        <x:v>7</x:v>
      </x:c>
      <x:c r="K2302" s="11" t="n">
        <x:v>0</x:v>
      </x:c>
      <x:c r="L2302" s="17" t="n">
        <x:f>SUM(SUMIFS('Costing'!$P$9:$P$492,'Costing'!$A$9:$A$492,"PARTNER-M317"))</x:f>
        <x:v>280000</x:v>
      </x:c>
      <x:c r="M2302" s="17" t="n">
        <x:f>ROUND(L2302*'Costing'!$C$4,2)</x:f>
        <x:v>50400</x:v>
      </x:c>
      <x:c r="N2302" s="17" t="n">
        <x:f>L2302+M2302</x:f>
        <x:v>330400</x:v>
      </x:c>
      <x:c r="O2302" s="12" t="str">
        <x:v>Hyderabad</x:v>
      </x:c>
      <x:c r="P2302" s="12" t="str">
        <x:v>CORP-0732, CORP-0733, CORP-0734, CORP-0735, CORP-0736, CORP-0737, CORP-0738</x:v>
      </x:c>
      <x:c r="Q2302" s="12" t="str">
        <x:v>Skyonn Technologies</x:v>
      </x:c>
    </x:row>
    <x:row r="2303" ht="48" customHeight="1">
      <x:c r="A2303" s="2" t="str">
        <x:v>TEN-E5E8BA3801BC</x:v>
      </x:c>
      <x:c r="B2303" s="12" t="str">
        <x:v>SkyPoint Cloud Inc</x:v>
      </x:c>
      <x:c r="C2303" s="12" t="str">
        <x:v>Business / brand</x:v>
      </x:c>
      <x:c r="D2303" s="12" t="str">
        <x:v>IT &amp; digital</x:v>
      </x:c>
      <x:c r="E2303" s="12" t="str">
        <x:v>Cybersecurity &amp; cloud infrastructure</x:v>
      </x:c>
      <x:c r="F2303" s="12" t="str">
        <x:v>Small-scale prospects</x:v>
      </x:c>
      <x:c r="G2303" s="12" t="str">
        <x:v>Software or technology-services business; small-scale prospect assumption.</x:v>
      </x:c>
      <x:c r="H2303" s="11" t="n">
        <x:v>5</x:v>
      </x:c>
      <x:c r="I2303" s="11" t="n">
        <x:v>5</x:v>
      </x:c>
      <x:c r="J2303" s="11" t="n">
        <x:v>5</x:v>
      </x:c>
      <x:c r="K2303" s="11" t="n">
        <x:v>0</x:v>
      </x:c>
      <x:c r="L2303" s="17" t="n">
        <x:f>SUM(SUMIFS('Costing'!$P$9:$P$492,'Costing'!$A$9:$A$492,"PARTNER-M060"))</x:f>
        <x:v>200000</x:v>
      </x:c>
      <x:c r="M2303" s="17" t="n">
        <x:f>ROUND(L2303*'Costing'!$C$4,2)</x:f>
        <x:v>36000</x:v>
      </x:c>
      <x:c r="N2303" s="17" t="n">
        <x:f>L2303+M2303</x:f>
        <x:v>236000</x:v>
      </x:c>
      <x:c r="O2303" s="12" t="str">
        <x:v>Bengaluru</x:v>
      </x:c>
      <x:c r="P2303" s="12" t="str">
        <x:v>CORP-0478, CORP-0479, CORP-0480, CORP-0481, CORP-0482</x:v>
      </x:c>
      <x:c r="Q2303" s="12" t="str">
        <x:v>SkyPoint Cloud Inc</x:v>
      </x:c>
    </x:row>
    <x:row r="2304" ht="48" customHeight="1">
      <x:c r="A2304" s="2" t="str">
        <x:v>TEN-AABA7A1D0419</x:v>
      </x:c>
      <x:c r="B2304" s="12" t="str">
        <x:v>SKYWORTH INDIA ELECTRONICS PVT LTD</x:v>
      </x:c>
      <x:c r="C2304" s="12" t="str">
        <x:v>Business / brand</x:v>
      </x:c>
      <x:c r="D2304" s="12" t="str">
        <x:v>Engineering &amp; manufacturing</x:v>
      </x:c>
      <x:c r="E2304" s="12" t="str">
        <x:v>Semiconductors, electronics &amp; equipment</x:v>
      </x:c>
      <x:c r="F2304" s="12" t="str">
        <x:v>Mixed business audience</x:v>
      </x:c>
      <x:c r="G2304" s="12" t="str">
        <x:v>Established brand or business network; local company scale is not established. Use a mixed-business message.</x:v>
      </x:c>
      <x:c r="H2304" s="11" t="n">
        <x:v>1</x:v>
      </x:c>
      <x:c r="I2304" s="11" t="n">
        <x:v>2</x:v>
      </x:c>
      <x:c r="J2304" s="11" t="n">
        <x:v>2</x:v>
      </x:c>
      <x:c r="K2304" s="11" t="n">
        <x:v>0</x:v>
      </x:c>
      <x:c r="L2304" s="17" t="n">
        <x:f>SUM(SUMIFS('Costing'!$P$9:$P$492,'Costing'!$A$9:$A$492,"MAIN-216"))</x:f>
        <x:v>30000</x:v>
      </x:c>
      <x:c r="M2304" s="17" t="n">
        <x:f>ROUND(L2304*'Costing'!$C$4,2)</x:f>
        <x:v>5400</x:v>
      </x:c>
      <x:c r="N2304" s="17" t="n">
        <x:f>L2304+M2304</x:f>
        <x:v>35400</x:v>
      </x:c>
      <x:c r="O2304" s="12" t="str">
        <x:v>Hyderabad</x:v>
      </x:c>
      <x:c r="P2304" s="12" t="str">
        <x:v>CORP-0212</x:v>
      </x:c>
      <x:c r="Q2304" s="12" t="str">
        <x:v>SKYWORTH INDIA ELECTRONICS PVT LTD</x:v>
      </x:c>
    </x:row>
    <x:row r="2305" ht="48" customHeight="1">
      <x:c r="A2305" s="2" t="str">
        <x:v>TEN-CBFA5A6E37BE</x:v>
      </x:c>
      <x:c r="B2305" s="12" t="str">
        <x:v>SL4Technology India Pvt.Ltd</x:v>
      </x:c>
      <x:c r="C2305" s="12" t="str">
        <x:v>Business / brand</x:v>
      </x:c>
      <x:c r="D2305" s="12" t="str">
        <x:v>Unresolved</x:v>
      </x:c>
      <x:c r="E2305" s="12" t="str">
        <x:v>Business activity not established</x:v>
      </x:c>
      <x:c r="F2305" s="12" t="str">
        <x:v>Mixed business audience</x:v>
      </x:c>
      <x:c r="G2305" s="12" t="str">
        <x:v>Business activity and company scale are not established from this name.</x:v>
      </x:c>
      <x:c r="H2305" s="11" t="n">
        <x:v>1</x:v>
      </x:c>
      <x:c r="I2305" s="11" t="n">
        <x:v>2</x:v>
      </x:c>
      <x:c r="J2305" s="11" t="n">
        <x:v>2</x:v>
      </x:c>
      <x:c r="K2305" s="11" t="n">
        <x:v>0</x:v>
      </x:c>
      <x:c r="L2305" s="17" t="n">
        <x:f>SUM(SUMIFS('Costing'!$P$9:$P$492,'Costing'!$A$9:$A$492,"MAIN-090"))</x:f>
        <x:v>30000</x:v>
      </x:c>
      <x:c r="M2305" s="17" t="n">
        <x:f>ROUND(L2305*'Costing'!$C$4,2)</x:f>
        <x:v>5400</x:v>
      </x:c>
      <x:c r="N2305" s="17" t="n">
        <x:f>L2305+M2305</x:f>
        <x:v>35400</x:v>
      </x:c>
      <x:c r="O2305" s="12" t="str">
        <x:v>Bengaluru</x:v>
      </x:c>
      <x:c r="P2305" s="12" t="str">
        <x:v>CORP-0086</x:v>
      </x:c>
      <x:c r="Q2305" s="12" t="str">
        <x:v>SL4Technology India Pvt.Ltd</x:v>
      </x:c>
    </x:row>
    <x:row r="2306" ht="48" customHeight="1">
      <x:c r="A2306" s="2" t="str">
        <x:v>TEN-EBC4BBC5D3E0</x:v>
      </x:c>
      <x:c r="B2306" s="12" t="str">
        <x:v>Slash Support</x:v>
      </x:c>
      <x:c r="C2306" s="12" t="str">
        <x:v>Business / brand</x:v>
      </x:c>
      <x:c r="D2306" s="12" t="str">
        <x:v>Unresolved</x:v>
      </x:c>
      <x:c r="E2306" s="12" t="str">
        <x:v>Business activity not established</x:v>
      </x:c>
      <x:c r="F2306" s="12" t="str">
        <x:v>Mixed business audience</x:v>
      </x:c>
      <x:c r="G2306" s="12" t="str">
        <x:v>Business activity and company scale are not established from this name.</x:v>
      </x:c>
      <x:c r="H2306" s="11" t="n">
        <x:v>3</x:v>
      </x:c>
      <x:c r="I2306" s="11" t="n">
        <x:v>3</x:v>
      </x:c>
      <x:c r="J2306" s="11" t="n">
        <x:v>3</x:v>
      </x:c>
      <x:c r="K2306" s="11" t="n">
        <x:v>0</x:v>
      </x:c>
      <x:c r="L2306" s="17" t="n">
        <x:f>SUM(SUMIFS('Costing'!$P$9:$P$492,'Costing'!$A$9:$A$492,"PARTNER-M011"))</x:f>
        <x:v>120000</x:v>
      </x:c>
      <x:c r="M2306" s="17" t="n">
        <x:f>ROUND(L2306*'Costing'!$C$4,2)</x:f>
        <x:v>21600</x:v>
      </x:c>
      <x:c r="N2306" s="17" t="n">
        <x:f>L2306+M2306</x:f>
        <x:v>141600</x:v>
      </x:c>
      <x:c r="O2306" s="12" t="str">
        <x:v>Bengaluru</x:v>
      </x:c>
      <x:c r="P2306" s="12" t="str">
        <x:v>CORP-0429, CORP-0430, CORP-0431</x:v>
      </x:c>
      <x:c r="Q2306" s="12" t="str">
        <x:v>Slash Support</x:v>
      </x:c>
    </x:row>
    <x:row r="2307" ht="48" customHeight="1">
      <x:c r="A2307" s="2" t="str">
        <x:v>TEN-27C9A7B5ECAD</x:v>
      </x:c>
      <x:c r="B2307" s="12" t="str">
        <x:v>SLK Group</x:v>
      </x:c>
      <x:c r="C2307" s="12" t="str">
        <x:v>Business / brand</x:v>
      </x:c>
      <x:c r="D2307" s="12" t="str">
        <x:v>IT &amp; digital</x:v>
      </x:c>
      <x:c r="E2307" s="12" t="str">
        <x:v>Enterprise software &amp; digital engineering</x:v>
      </x:c>
      <x:c r="F2307" s="12" t="str">
        <x:v>Mixed business audience</x:v>
      </x:c>
      <x:c r="G2307" s="12" t="str">
        <x:v>Established brand or business network; local company scale is not established. Use a mixed-business message.</x:v>
      </x:c>
      <x:c r="H2307" s="11" t="n">
        <x:v>5</x:v>
      </x:c>
      <x:c r="I2307" s="11" t="n">
        <x:v>5</x:v>
      </x:c>
      <x:c r="J2307" s="11" t="n">
        <x:v>5</x:v>
      </x:c>
      <x:c r="K2307" s="11" t="n">
        <x:v>0</x:v>
      </x:c>
      <x:c r="L2307" s="17" t="n">
        <x:f>SUM(SUMIFS('Costing'!$P$9:$P$492,'Costing'!$A$9:$A$492,"PARTNER-M051"))</x:f>
        <x:v>200000</x:v>
      </x:c>
      <x:c r="M2307" s="17" t="n">
        <x:f>ROUND(L2307*'Costing'!$C$4,2)</x:f>
        <x:v>36000</x:v>
      </x:c>
      <x:c r="N2307" s="17" t="n">
        <x:f>L2307+M2307</x:f>
        <x:v>236000</x:v>
      </x:c>
      <x:c r="O2307" s="12" t="str">
        <x:v>Bengaluru</x:v>
      </x:c>
      <x:c r="P2307" s="12" t="str">
        <x:v>CORP-0469, CORP-0470, CORP-0471, CORP-0472, CORP-0473</x:v>
      </x:c>
      <x:c r="Q2307" s="12" t="str">
        <x:v>SLK Group</x:v>
      </x:c>
    </x:row>
    <x:row r="2308" ht="48" customHeight="1">
      <x:c r="A2308" s="2" t="str">
        <x:v>TEN-1437B6073554</x:v>
      </x:c>
      <x:c r="B2308" s="12" t="str">
        <x:v>Slow Art</x:v>
      </x:c>
      <x:c r="C2308" s="12" t="str">
        <x:v>Business / brand</x:v>
      </x:c>
      <x:c r="D2308" s="12" t="str">
        <x:v>Unresolved</x:v>
      </x:c>
      <x:c r="E2308" s="12" t="str">
        <x:v>Business activity not established</x:v>
      </x:c>
      <x:c r="F2308" s="12" t="str">
        <x:v>Mixed business audience</x:v>
      </x:c>
      <x:c r="G2308" s="12" t="str">
        <x:v>Business activity and company scale are not established from this name.</x:v>
      </x:c>
      <x:c r="H2308" s="11" t="n">
        <x:v>1</x:v>
      </x:c>
      <x:c r="I2308" s="11" t="n">
        <x:v>2</x:v>
      </x:c>
      <x:c r="J2308" s="11" t="n">
        <x:v>2</x:v>
      </x:c>
      <x:c r="K2308" s="11" t="n">
        <x:v>0</x:v>
      </x:c>
      <x:c r="L2308" s="17" t="n">
        <x:f>SUM(SUMIFS('Costing'!$P$9:$P$492,'Costing'!$A$9:$A$492,"MAIN-134"))</x:f>
        <x:v>30000</x:v>
      </x:c>
      <x:c r="M2308" s="17" t="n">
        <x:f>ROUND(L2308*'Costing'!$C$4,2)</x:f>
        <x:v>5400</x:v>
      </x:c>
      <x:c r="N2308" s="17" t="n">
        <x:f>L2308+M2308</x:f>
        <x:v>35400</x:v>
      </x:c>
      <x:c r="O2308" s="12" t="str">
        <x:v>Bengaluru</x:v>
      </x:c>
      <x:c r="P2308" s="12" t="str">
        <x:v>CORP-0130</x:v>
      </x:c>
      <x:c r="Q2308" s="12" t="str">
        <x:v>Slow Art</x:v>
      </x:c>
    </x:row>
    <x:row r="2309" ht="48" customHeight="1">
      <x:c r="A2309" s="2" t="str">
        <x:v>TEN-9733364DAF39</x:v>
      </x:c>
      <x:c r="B2309" s="12" t="str">
        <x:v>Smart drive</x:v>
      </x:c>
      <x:c r="C2309" s="12" t="str">
        <x:v>Business / brand</x:v>
      </x:c>
      <x:c r="D2309" s="12" t="str">
        <x:v>Unresolved</x:v>
      </x:c>
      <x:c r="E2309" s="12" t="str">
        <x:v>Business activity not established</x:v>
      </x:c>
      <x:c r="F2309" s="12" t="str">
        <x:v>Mixed business audience</x:v>
      </x:c>
      <x:c r="G2309" s="12" t="str">
        <x:v>Business activity and company scale are not established from this name.</x:v>
      </x:c>
      <x:c r="H2309" s="11" t="n">
        <x:v>2</x:v>
      </x:c>
      <x:c r="I2309" s="11" t="n">
        <x:v>23</x:v>
      </x:c>
      <x:c r="J2309" s="11" t="n">
        <x:v>23</x:v>
      </x:c>
      <x:c r="K2309" s="11" t="n">
        <x:v>0</x:v>
      </x:c>
      <x:c r="L2309" s="17" t="n">
        <x:f>SUM(SUMIFS('Costing'!$P$9:$P$492,'Costing'!$A$9:$A$492,"MAIN-238"),SUMIFS('Costing'!$P$9:$P$492,'Costing'!$A$9:$A$492,"MAIN-239"))</x:f>
        <x:v>405000</x:v>
      </x:c>
      <x:c r="M2309" s="17" t="n">
        <x:f>ROUND(L2309*'Costing'!$C$4,2)</x:f>
        <x:v>72900</x:v>
      </x:c>
      <x:c r="N2309" s="17" t="n">
        <x:f>L2309+M2309</x:f>
        <x:v>477900</x:v>
      </x:c>
      <x:c r="O2309" s="12" t="str">
        <x:v>Hyderabad</x:v>
      </x:c>
      <x:c r="P2309" s="12" t="str">
        <x:v>CORP-0234, CORP-0235</x:v>
      </x:c>
      <x:c r="Q2309" s="12" t="str">
        <x:v>Smart drive</x:v>
      </x:c>
    </x:row>
    <x:row r="2310" ht="48" customHeight="1">
      <x:c r="A2310" s="2" t="str">
        <x:v>TEN-0F7677687E72</x:v>
      </x:c>
      <x:c r="B2310" s="12" t="str">
        <x:v>Smart folks</x:v>
      </x:c>
      <x:c r="C2310" s="12" t="str">
        <x:v>Business / brand</x:v>
      </x:c>
      <x:c r="D2310" s="12" t="str">
        <x:v>Unresolved</x:v>
      </x:c>
      <x:c r="E2310" s="12" t="str">
        <x:v>Business activity not established</x:v>
      </x:c>
      <x:c r="F2310" s="12" t="str">
        <x:v>Mixed business audience</x:v>
      </x:c>
      <x:c r="G2310" s="12" t="str">
        <x:v>Business activity and company scale are not established from this name.</x:v>
      </x:c>
      <x:c r="H2310" s="11" t="n">
        <x:v>1</x:v>
      </x:c>
      <x:c r="I2310" s="11" t="n">
        <x:v>13</x:v>
      </x:c>
      <x:c r="J2310" s="11" t="n">
        <x:v>13</x:v>
      </x:c>
      <x:c r="K2310" s="11" t="n">
        <x:v>0</x:v>
      </x:c>
      <x:c r="L2310" s="17" t="n">
        <x:f>SUM(SUMIFS('Costing'!$P$9:$P$492,'Costing'!$A$9:$A$492,"MAIN-240"))</x:f>
        <x:v>195000</x:v>
      </x:c>
      <x:c r="M2310" s="17" t="n">
        <x:f>ROUND(L2310*'Costing'!$C$4,2)</x:f>
        <x:v>35100</x:v>
      </x:c>
      <x:c r="N2310" s="17" t="n">
        <x:f>L2310+M2310</x:f>
        <x:v>230100</x:v>
      </x:c>
      <x:c r="O2310" s="12" t="str">
        <x:v>Hyderabad</x:v>
      </x:c>
      <x:c r="P2310" s="12" t="str">
        <x:v>CORP-0236</x:v>
      </x:c>
      <x:c r="Q2310" s="12" t="str">
        <x:v>Smart folks</x:v>
      </x:c>
    </x:row>
    <x:row r="2311" ht="48" customHeight="1">
      <x:c r="A2311" s="2" t="str">
        <x:v>TEN-9102A007CE45</x:v>
      </x:c>
      <x:c r="B2311" s="12" t="str">
        <x:v>SmartCow AI Technologies Pvt Ltd</x:v>
      </x:c>
      <x:c r="C2311" s="12" t="str">
        <x:v>Business / brand</x:v>
      </x:c>
      <x:c r="D2311" s="12" t="str">
        <x:v>IT &amp; digital</x:v>
      </x:c>
      <x:c r="E2311" s="12" t="str">
        <x:v>AI, data &amp; analytics</x:v>
      </x:c>
      <x:c r="F2311" s="12" t="str">
        <x:v>Small-scale prospects</x:v>
      </x:c>
      <x:c r="G2311" s="12" t="str">
        <x:v>Software or technology-services business; small-scale prospect assumption.</x:v>
      </x:c>
      <x:c r="H2311" s="11" t="n">
        <x:v>1</x:v>
      </x:c>
      <x:c r="I2311" s="11" t="n">
        <x:v>3</x:v>
      </x:c>
      <x:c r="J2311" s="11" t="n">
        <x:v>3</x:v>
      </x:c>
      <x:c r="K2311" s="11" t="n">
        <x:v>0</x:v>
      </x:c>
      <x:c r="L2311" s="17" t="n">
        <x:f>SUM(SUMIFS('Costing'!$P$9:$P$492,'Costing'!$A$9:$A$492,"MAIN-122"))</x:f>
        <x:v>75000</x:v>
      </x:c>
      <x:c r="M2311" s="17" t="n">
        <x:f>ROUND(L2311*'Costing'!$C$4,2)</x:f>
        <x:v>13500</x:v>
      </x:c>
      <x:c r="N2311" s="17" t="n">
        <x:f>L2311+M2311</x:f>
        <x:v>88500</x:v>
      </x:c>
      <x:c r="O2311" s="12" t="str">
        <x:v>Bengaluru</x:v>
      </x:c>
      <x:c r="P2311" s="12" t="str">
        <x:v>CORP-0118</x:v>
      </x:c>
      <x:c r="Q2311" s="12" t="str">
        <x:v>SmartCow AI Technologies Pvt Ltd</x:v>
      </x:c>
    </x:row>
    <x:row r="2312" ht="48" customHeight="1">
      <x:c r="A2312" s="2" t="str">
        <x:v>TEN-DF6860ED534A</x:v>
      </x:c>
      <x:c r="B2312" s="12" t="str">
        <x:v>SmartGig Technologies Private Limited</x:v>
      </x:c>
      <x:c r="C2312" s="12" t="str">
        <x:v>Business / brand</x:v>
      </x:c>
      <x:c r="D2312" s="12" t="str">
        <x:v>Unresolved</x:v>
      </x:c>
      <x:c r="E2312" s="12" t="str">
        <x:v>Business activity not established</x:v>
      </x:c>
      <x:c r="F2312" s="12" t="str">
        <x:v>Mixed business audience</x:v>
      </x:c>
      <x:c r="G2312" s="12" t="str">
        <x:v>Business activity and company scale are not established from this name.</x:v>
      </x:c>
      <x:c r="H2312" s="11" t="n">
        <x:v>4</x:v>
      </x:c>
      <x:c r="I2312" s="11" t="n">
        <x:v>4</x:v>
      </x:c>
      <x:c r="J2312" s="11" t="n">
        <x:v>4</x:v>
      </x:c>
      <x:c r="K2312" s="11" t="n">
        <x:v>0</x:v>
      </x:c>
      <x:c r="L2312" s="17" t="n">
        <x:f>SUM(SUMIFS('Costing'!$P$9:$P$492,'Costing'!$A$9:$A$492,"PARTNER-M056"))</x:f>
        <x:v>160000</x:v>
      </x:c>
      <x:c r="M2312" s="17" t="n">
        <x:f>ROUND(L2312*'Costing'!$C$4,2)</x:f>
        <x:v>28800</x:v>
      </x:c>
      <x:c r="N2312" s="17" t="n">
        <x:f>L2312+M2312</x:f>
        <x:v>188800</x:v>
      </x:c>
      <x:c r="O2312" s="12" t="str">
        <x:v>Bengaluru</x:v>
      </x:c>
      <x:c r="P2312" s="12" t="str">
        <x:v>CORP-0474, CORP-0475, CORP-0476, CORP-0477</x:v>
      </x:c>
      <x:c r="Q2312" s="12" t="str">
        <x:v>SmartGig Technologies Private Limited</x:v>
      </x:c>
    </x:row>
    <x:row r="2313" ht="48" customHeight="1">
      <x:c r="A2313" s="2" t="str">
        <x:v>TEN-E975E0EC9394</x:v>
      </x:c>
      <x:c r="B2313" s="12" t="str">
        <x:v>Smartscripts Private Limited</x:v>
      </x:c>
      <x:c r="C2313" s="12" t="str">
        <x:v>Business / brand</x:v>
      </x:c>
      <x:c r="D2313" s="12" t="str">
        <x:v>Unresolved</x:v>
      </x:c>
      <x:c r="E2313" s="12" t="str">
        <x:v>Business activity not established</x:v>
      </x:c>
      <x:c r="F2313" s="12" t="str">
        <x:v>Mixed business audience</x:v>
      </x:c>
      <x:c r="G2313" s="12" t="str">
        <x:v>Business activity and company scale are not established from this name.</x:v>
      </x:c>
      <x:c r="H2313" s="11" t="n">
        <x:v>2</x:v>
      </x:c>
      <x:c r="I2313" s="11" t="n">
        <x:v>2</x:v>
      </x:c>
      <x:c r="J2313" s="11" t="n">
        <x:v>2</x:v>
      </x:c>
      <x:c r="K2313" s="11" t="n">
        <x:v>0</x:v>
      </x:c>
      <x:c r="L2313" s="17" t="n">
        <x:f>SUM(SUMIFS('Costing'!$P$9:$P$492,'Costing'!$A$9:$A$492,"MAIN-405"),SUMIFS('Costing'!$P$9:$P$492,'Costing'!$A$9:$A$492,"MAIN-406"))</x:f>
        <x:v>30000</x:v>
      </x:c>
      <x:c r="M2313" s="17" t="n">
        <x:f>ROUND(L2313*'Costing'!$C$4,2)</x:f>
        <x:v>5400</x:v>
      </x:c>
      <x:c r="N2313" s="17" t="n">
        <x:f>L2313+M2313</x:f>
        <x:v>35400</x:v>
      </x:c>
      <x:c r="O2313" s="12" t="str">
        <x:v>Pune</x:v>
      </x:c>
      <x:c r="P2313" s="12" t="str">
        <x:v>CORP-0401, CORP-0402</x:v>
      </x:c>
      <x:c r="Q2313" s="12" t="str">
        <x:v>Smartscripts Private Limited</x:v>
      </x:c>
    </x:row>
    <x:row r="2314" ht="48" customHeight="1">
      <x:c r="A2314" s="2" t="str">
        <x:v>TEN-593912EBC21F</x:v>
      </x:c>
      <x:c r="B2314" s="12" t="str">
        <x:v>Smartstream</x:v>
      </x:c>
      <x:c r="C2314" s="12" t="str">
        <x:v>Business / brand</x:v>
      </x:c>
      <x:c r="D2314" s="12" t="str">
        <x:v>Finance &amp; insurance</x:v>
      </x:c>
      <x:c r="E2314" s="12" t="str">
        <x:v>Banking, insurance, investments &amp; financial services</x:v>
      </x:c>
      <x:c r="F2314" s="12" t="str">
        <x:v>Mixed business audience</x:v>
      </x:c>
      <x:c r="G2314" s="12" t="str">
        <x:v>Established brand or business network; local company scale is not established. Use a mixed-business message.</x:v>
      </x:c>
      <x:c r="H2314" s="11" t="n">
        <x:v>1</x:v>
      </x:c>
      <x:c r="I2314" s="11" t="n">
        <x:v>1</x:v>
      </x:c>
      <x:c r="J2314" s="11" t="n">
        <x:v>1</x:v>
      </x:c>
      <x:c r="K2314" s="11" t="n">
        <x:v>0</x:v>
      </x:c>
      <x:c r="L2314" s="17" t="n">
        <x:f>SUM(SUMIFS('Costing'!$P$9:$P$492,'Costing'!$A$9:$A$492,"MAIN-015"))</x:f>
        <x:v>15000</x:v>
      </x:c>
      <x:c r="M2314" s="17" t="n">
        <x:f>ROUND(L2314*'Costing'!$C$4,2)</x:f>
        <x:v>2700</x:v>
      </x:c>
      <x:c r="N2314" s="17" t="n">
        <x:f>L2314+M2314</x:f>
        <x:v>17700</x:v>
      </x:c>
      <x:c r="O2314" s="12" t="str">
        <x:v>Bengaluru</x:v>
      </x:c>
      <x:c r="P2314" s="12" t="str">
        <x:v>CORP-0011</x:v>
      </x:c>
      <x:c r="Q2314" s="12" t="str">
        <x:v>Smartstream</x:v>
      </x:c>
    </x:row>
    <x:row r="2315" ht="48" customHeight="1">
      <x:c r="A2315" s="2" t="str">
        <x:v>TEN-351F2133C349</x:v>
      </x:c>
      <x:c r="B2315" s="12" t="str">
        <x:v>SmartTech Messaging</x:v>
      </x:c>
      <x:c r="C2315" s="12" t="str">
        <x:v>Business / brand</x:v>
      </x:c>
      <x:c r="D2315" s="12" t="str">
        <x:v>Unresolved</x:v>
      </x:c>
      <x:c r="E2315" s="12" t="str">
        <x:v>Business activity not established</x:v>
      </x:c>
      <x:c r="F2315" s="12" t="str">
        <x:v>Mixed business audience</x:v>
      </x:c>
      <x:c r="G2315" s="12" t="str">
        <x:v>Business activity and company scale are not established from this name.</x:v>
      </x:c>
      <x:c r="H2315" s="11" t="n">
        <x:v>10</x:v>
      </x:c>
      <x:c r="I2315" s="11" t="n">
        <x:v>10</x:v>
      </x:c>
      <x:c r="J2315" s="11" t="n">
        <x:v>10</x:v>
      </x:c>
      <x:c r="K2315" s="11" t="n">
        <x:v>0</x:v>
      </x:c>
      <x:c r="L2315" s="17" t="n">
        <x:f>SUM(SUMIFS('Costing'!$P$9:$P$492,'Costing'!$A$9:$A$492,"PARTNER-M365"))</x:f>
        <x:v>400000</x:v>
      </x:c>
      <x:c r="M2315" s="17" t="n">
        <x:f>ROUND(L2315*'Costing'!$C$4,2)</x:f>
        <x:v>72000</x:v>
      </x:c>
      <x:c r="N2315" s="17" t="n">
        <x:f>L2315+M2315</x:f>
        <x:v>472000</x:v>
      </x:c>
      <x:c r="O2315" s="12" t="str">
        <x:v>Delhi NCR</x:v>
      </x:c>
      <x:c r="P2315" s="12" t="str">
        <x:v>CORP-0778, CORP-0779, CORP-0780, CORP-0781, CORP-0782, CORP-0783, CORP-0784, CORP-0785, CORP-0786, CORP-0787</x:v>
      </x:c>
      <x:c r="Q2315" s="12" t="str">
        <x:v>SmartTech Messaging</x:v>
      </x:c>
    </x:row>
    <x:row r="2316" ht="49" customHeight="1">
      <x:c r="A2316" s="2" t="str">
        <x:v>TEN-B68EE3D6C8CA</x:v>
      </x:c>
      <x:c r="B2316" s="12" t="str">
        <x:v>Smartworks</x:v>
      </x:c>
      <x:c r="C2316" s="12" t="str">
        <x:v>Workspace operator</x:v>
      </x:c>
      <x:c r="D2316" s="12" t="str">
        <x:v>Workspace &amp; property operations</x:v>
      </x:c>
      <x:c r="E2316" s="12" t="str">
        <x:v>Coworking/workspace operator</x:v>
      </x:c>
      <x:c r="F2316" s="12" t="str">
        <x:v>Mixed business audience</x:v>
      </x:c>
      <x:c r="G2316" s="12" t="str">
        <x:v>Supplied entry is a shared-workspace operator; the business sizes of occupant companies cannot be derived from the operator name.</x:v>
      </x:c>
      <x:c r="H2316" s="11" t="n">
        <x:v>6</x:v>
      </x:c>
      <x:c r="I2316" s="11" t="n">
        <x:v>6</x:v>
      </x:c>
      <x:c r="J2316" s="11" t="n">
        <x:v>6</x:v>
      </x:c>
      <x:c r="K2316" s="11" t="n">
        <x:v>0</x:v>
      </x:c>
      <x:c r="L2316" s="17" t="n">
        <x:f>SUM(SUMIFS('Costing'!$P$9:$P$492,'Costing'!$A$9:$A$492,"PARTNER-M332"),SUMIFS('Costing'!$P$9:$P$492,'Costing'!$A$9:$A$492,"PARTNER-M308"))</x:f>
        <x:v>240000</x:v>
      </x:c>
      <x:c r="M2316" s="17" t="n">
        <x:f>ROUND(L2316*'Costing'!$C$4,2)</x:f>
        <x:v>43200</x:v>
      </x:c>
      <x:c r="N2316" s="17" t="n">
        <x:f>L2316+M2316</x:f>
        <x:v>283200</x:v>
      </x:c>
      <x:c r="O2316" s="12" t="str">
        <x:v>Hyderabad, Chennai</x:v>
      </x:c>
      <x:c r="P2316" s="12" t="str">
        <x:v>CORP-0723, CORP-0724, CORP-0725, CORP-0726, CORP-0746, CORP-0747</x:v>
      </x:c>
      <x:c r="Q2316" s="12" t="str">
        <x:v>Smartworks, SmartWorks</x:v>
      </x:c>
    </x:row>
    <x:row r="2317" ht="49" customHeight="1">
      <x:c r="A2317" s="2" t="str">
        <x:v>TEN-13EBE574DFA2</x:v>
      </x:c>
      <x:c r="B2317" s="12" t="str">
        <x:v>Smartworks Business Centre</x:v>
      </x:c>
      <x:c r="C2317" s="12" t="str">
        <x:v>Workspace operator</x:v>
      </x:c>
      <x:c r="D2317" s="12" t="str">
        <x:v>Workspace &amp; property operations</x:v>
      </x:c>
      <x:c r="E2317" s="12" t="str">
        <x:v>Coworking/workspace operator</x:v>
      </x:c>
      <x:c r="F2317" s="12" t="str">
        <x:v>Mixed business audience</x:v>
      </x:c>
      <x:c r="G2317" s="12" t="str">
        <x:v>Supplied entry is a shared-workspace operator; the business sizes of occupant companies cannot be derived from the operator name.</x:v>
      </x:c>
      <x:c r="H2317" s="11" t="n">
        <x:v>6</x:v>
      </x:c>
      <x:c r="I2317" s="11" t="n">
        <x:v>6</x:v>
      </x:c>
      <x:c r="J2317" s="11" t="n">
        <x:v>6</x:v>
      </x:c>
      <x:c r="K2317" s="11" t="n">
        <x:v>0</x:v>
      </x:c>
      <x:c r="L2317" s="17" t="n">
        <x:f>SUM(SUMIFS('Costing'!$P$9:$P$492,'Costing'!$A$9:$A$492,"PARTNER-M072"))</x:f>
        <x:v>240000</x:v>
      </x:c>
      <x:c r="M2317" s="17" t="n">
        <x:f>ROUND(L2317*'Costing'!$C$4,2)</x:f>
        <x:v>43200</x:v>
      </x:c>
      <x:c r="N2317" s="17" t="n">
        <x:f>L2317+M2317</x:f>
        <x:v>283200</x:v>
      </x:c>
      <x:c r="O2317" s="12" t="str">
        <x:v>Bengaluru</x:v>
      </x:c>
      <x:c r="P2317" s="12" t="str">
        <x:v>CORP-0490, CORP-0491, CORP-0492, CORP-0493, CORP-0494, CORP-0495</x:v>
      </x:c>
      <x:c r="Q2317" s="12" t="str">
        <x:v>Smartworks Business Centre</x:v>
      </x:c>
    </x:row>
    <x:row r="2318" ht="48" customHeight="1">
      <x:c r="A2318" s="2" t="str">
        <x:v>TEN-D16A96037885</x:v>
      </x:c>
      <x:c r="B2318" s="12" t="str">
        <x:v>SMFG India Credit</x:v>
      </x:c>
      <x:c r="C2318" s="12" t="str">
        <x:v>Business / brand</x:v>
      </x:c>
      <x:c r="D2318" s="12" t="str">
        <x:v>Finance &amp; insurance</x:v>
      </x:c>
      <x:c r="E2318" s="12" t="str">
        <x:v>Banking &amp; credit</x:v>
      </x:c>
      <x:c r="F2318" s="12" t="str">
        <x:v>Mixed business audience</x:v>
      </x:c>
      <x:c r="G2318" s="12" t="str">
        <x:v>Established brand or business network; local company scale is not established. Use a mixed-business message.</x:v>
      </x:c>
      <x:c r="H2318" s="11" t="n">
        <x:v>1</x:v>
      </x:c>
      <x:c r="I2318" s="11" t="n">
        <x:v>1</x:v>
      </x:c>
      <x:c r="J2318" s="11" t="n">
        <x:v>1</x:v>
      </x:c>
      <x:c r="K2318" s="11" t="n">
        <x:v>0</x:v>
      </x:c>
      <x:c r="L2318" s="17" t="n">
        <x:f>SUM(SUMIFS('Costing'!$P$9:$P$492,'Costing'!$A$9:$A$492,"MAIN-269"))</x:f>
        <x:v>40000</x:v>
      </x:c>
      <x:c r="M2318" s="17" t="n">
        <x:f>ROUND(L2318*'Costing'!$C$4,2)</x:f>
        <x:v>7200</x:v>
      </x:c>
      <x:c r="N2318" s="17" t="n">
        <x:f>L2318+M2318</x:f>
        <x:v>47200</x:v>
      </x:c>
      <x:c r="O2318" s="12" t="str">
        <x:v>Indore</x:v>
      </x:c>
      <x:c r="P2318" s="12" t="str">
        <x:v>CORP-0265</x:v>
      </x:c>
      <x:c r="Q2318" s="12" t="str">
        <x:v>SMFG India Credit</x:v>
      </x:c>
    </x:row>
    <x:row r="2319" ht="48" customHeight="1">
      <x:c r="A2319" s="2" t="str">
        <x:v>TEN-332F87BC5E89</x:v>
      </x:c>
      <x:c r="B2319" s="12" t="str">
        <x:v>Smile Please Media</x:v>
      </x:c>
      <x:c r="C2319" s="12" t="str">
        <x:v>Business / brand</x:v>
      </x:c>
      <x:c r="D2319" s="12" t="str">
        <x:v>Trade, consumer &amp; logistics</x:v>
      </x:c>
      <x:c r="E2319" s="12" t="str">
        <x:v>Entertainment, media &amp; events</x:v>
      </x:c>
      <x:c r="F2319" s="12" t="str">
        <x:v>Small-scale prospects</x:v>
      </x:c>
      <x:c r="G2319" s="12" t="str">
        <x:v>Trading or consumer-services business; small-scale prospect assumption.</x:v>
      </x:c>
      <x:c r="H2319" s="11" t="n">
        <x:v>1</x:v>
      </x:c>
      <x:c r="I2319" s="11" t="n">
        <x:v>26</x:v>
      </x:c>
      <x:c r="J2319" s="11" t="n">
        <x:v>26</x:v>
      </x:c>
      <x:c r="K2319" s="11" t="n">
        <x:v>0</x:v>
      </x:c>
      <x:c r="L2319" s="17" t="n">
        <x:f>SUM(SUMIFS('Costing'!$P$9:$P$492,'Costing'!$A$9:$A$492,"MAIN-342"))</x:f>
        <x:v>390000</x:v>
      </x:c>
      <x:c r="M2319" s="17" t="n">
        <x:f>ROUND(L2319*'Costing'!$C$4,2)</x:f>
        <x:v>70200</x:v>
      </x:c>
      <x:c r="N2319" s="17" t="n">
        <x:f>L2319+M2319</x:f>
        <x:v>460200</x:v>
      </x:c>
      <x:c r="O2319" s="12" t="str">
        <x:v>Mumbai</x:v>
      </x:c>
      <x:c r="P2319" s="12" t="str">
        <x:v>CORP-0338</x:v>
      </x:c>
      <x:c r="Q2319" s="12" t="str">
        <x:v>Smile Please Media</x:v>
      </x:c>
    </x:row>
    <x:row r="2320" ht="48" customHeight="1">
      <x:c r="A2320" s="2" t="str">
        <x:v>TEN-2F2EE24ED078</x:v>
      </x:c>
      <x:c r="B2320" s="12" t="str">
        <x:v>SMSCountry</x:v>
      </x:c>
      <x:c r="C2320" s="12" t="str">
        <x:v>Business / brand</x:v>
      </x:c>
      <x:c r="D2320" s="12" t="str">
        <x:v>IT &amp; digital</x:v>
      </x:c>
      <x:c r="E2320" s="12" t="str">
        <x:v>Enterprise software &amp; digital engineering</x:v>
      </x:c>
      <x:c r="F2320" s="12" t="str">
        <x:v>Small-scale prospects</x:v>
      </x:c>
      <x:c r="G2320" s="12" t="str">
        <x:v>Software or technology-services business; small-scale prospect assumption.</x:v>
      </x:c>
      <x:c r="H2320" s="11" t="n">
        <x:v>4</x:v>
      </x:c>
      <x:c r="I2320" s="11" t="n">
        <x:v>4</x:v>
      </x:c>
      <x:c r="J2320" s="11" t="n">
        <x:v>4</x:v>
      </x:c>
      <x:c r="K2320" s="11" t="n">
        <x:v>0</x:v>
      </x:c>
      <x:c r="L2320" s="17" t="n">
        <x:f>SUM(SUMIFS('Costing'!$P$9:$P$492,'Costing'!$A$9:$A$492,"PARTNER-M308"))</x:f>
        <x:v>160000</x:v>
      </x:c>
      <x:c r="M2320" s="17" t="n">
        <x:f>ROUND(L2320*'Costing'!$C$4,2)</x:f>
        <x:v>28800</x:v>
      </x:c>
      <x:c r="N2320" s="17" t="n">
        <x:f>L2320+M2320</x:f>
        <x:v>188800</x:v>
      </x:c>
      <x:c r="O2320" s="12" t="str">
        <x:v>Hyderabad</x:v>
      </x:c>
      <x:c r="P2320" s="12" t="str">
        <x:v>CORP-0723, CORP-0724, CORP-0725, CORP-0726</x:v>
      </x:c>
      <x:c r="Q2320" s="12" t="str">
        <x:v>SMSCountry</x:v>
      </x:c>
    </x:row>
    <x:row r="2321" ht="48" customHeight="1">
      <x:c r="A2321" s="2" t="str">
        <x:v>TEN-D56060015633</x:v>
      </x:c>
      <x:c r="B2321" s="12" t="str">
        <x:v>SMSRC Private Limited</x:v>
      </x:c>
      <x:c r="C2321" s="12" t="str">
        <x:v>Business / brand</x:v>
      </x:c>
      <x:c r="D2321" s="12" t="str">
        <x:v>Unresolved</x:v>
      </x:c>
      <x:c r="E2321" s="12" t="str">
        <x:v>Business activity not established</x:v>
      </x:c>
      <x:c r="F2321" s="12" t="str">
        <x:v>Mixed business audience</x:v>
      </x:c>
      <x:c r="G2321" s="12" t="str">
        <x:v>Business activity and company scale are not established from this name.</x:v>
      </x:c>
      <x:c r="H2321" s="11" t="n">
        <x:v>1</x:v>
      </x:c>
      <x:c r="I2321" s="11" t="n">
        <x:v>1</x:v>
      </x:c>
      <x:c r="J2321" s="11" t="n">
        <x:v>1</x:v>
      </x:c>
      <x:c r="K2321" s="11" t="n">
        <x:v>0</x:v>
      </x:c>
      <x:c r="L2321" s="17" t="n">
        <x:f>SUM(SUMIFS('Costing'!$P$9:$P$492,'Costing'!$A$9:$A$492,"MAIN-278"))</x:f>
        <x:v>15000</x:v>
      </x:c>
      <x:c r="M2321" s="17" t="n">
        <x:f>ROUND(L2321*'Costing'!$C$4,2)</x:f>
        <x:v>2700</x:v>
      </x:c>
      <x:c r="N2321" s="17" t="n">
        <x:f>L2321+M2321</x:f>
        <x:v>17700</x:v>
      </x:c>
      <x:c r="O2321" s="12" t="str">
        <x:v>Kolkata</x:v>
      </x:c>
      <x:c r="P2321" s="12" t="str">
        <x:v>CORP-0274</x:v>
      </x:c>
      <x:c r="Q2321" s="12" t="str">
        <x:v>SMSRC Private Limited</x:v>
      </x:c>
    </x:row>
    <x:row r="2322" ht="48" customHeight="1">
      <x:c r="A2322" s="2" t="str">
        <x:v>TEN-8027B5AD4104</x:v>
      </x:c>
      <x:c r="B2322" s="12" t="str">
        <x:v>SNAP2INSIGHT</x:v>
      </x:c>
      <x:c r="C2322" s="12" t="str">
        <x:v>Business / brand</x:v>
      </x:c>
      <x:c r="D2322" s="12" t="str">
        <x:v>IT &amp; digital</x:v>
      </x:c>
      <x:c r="E2322" s="12" t="str">
        <x:v>AI, data &amp; analytics</x:v>
      </x:c>
      <x:c r="F2322" s="12" t="str">
        <x:v>Small-scale prospects</x:v>
      </x:c>
      <x:c r="G2322" s="12" t="str">
        <x:v>Software or technology-services business; small-scale prospect assumption.</x:v>
      </x:c>
      <x:c r="H2322" s="11" t="n">
        <x:v>1</x:v>
      </x:c>
      <x:c r="I2322" s="11" t="n">
        <x:v>2</x:v>
      </x:c>
      <x:c r="J2322" s="11" t="n">
        <x:v>2</x:v>
      </x:c>
      <x:c r="K2322" s="11" t="n">
        <x:v>0</x:v>
      </x:c>
      <x:c r="L2322" s="17" t="n">
        <x:f>SUM(SUMIFS('Costing'!$P$9:$P$492,'Costing'!$A$9:$A$492,"MAIN-107"))</x:f>
        <x:v>30000</x:v>
      </x:c>
      <x:c r="M2322" s="17" t="n">
        <x:f>ROUND(L2322*'Costing'!$C$4,2)</x:f>
        <x:v>5400</x:v>
      </x:c>
      <x:c r="N2322" s="17" t="n">
        <x:f>L2322+M2322</x:f>
        <x:v>35400</x:v>
      </x:c>
      <x:c r="O2322" s="12" t="str">
        <x:v>Bengaluru</x:v>
      </x:c>
      <x:c r="P2322" s="12" t="str">
        <x:v>CORP-0103</x:v>
      </x:c>
      <x:c r="Q2322" s="12" t="str">
        <x:v>SNAP2INSIGHT</x:v>
      </x:c>
    </x:row>
    <x:row r="2323" ht="48" customHeight="1">
      <x:c r="A2323" s="2" t="str">
        <x:v>TEN-095DAC44FBD3</x:v>
      </x:c>
      <x:c r="B2323" s="12" t="str">
        <x:v>SOA IT</x:v>
      </x:c>
      <x:c r="C2323" s="12" t="str">
        <x:v>Business / brand</x:v>
      </x:c>
      <x:c r="D2323" s="12" t="str">
        <x:v>IT &amp; digital</x:v>
      </x:c>
      <x:c r="E2323" s="12" t="str">
        <x:v>Enterprise software &amp; digital engineering</x:v>
      </x:c>
      <x:c r="F2323" s="12" t="str">
        <x:v>Small-scale prospects</x:v>
      </x:c>
      <x:c r="G2323" s="12" t="str">
        <x:v>Software or technology-services business; small-scale prospect assumption.</x:v>
      </x:c>
      <x:c r="H2323" s="11" t="n">
        <x:v>9</x:v>
      </x:c>
      <x:c r="I2323" s="11" t="n">
        <x:v>9</x:v>
      </x:c>
      <x:c r="J2323" s="11" t="n">
        <x:v>9</x:v>
      </x:c>
      <x:c r="K2323" s="11" t="n">
        <x:v>0</x:v>
      </x:c>
      <x:c r="L2323" s="17" t="n">
        <x:f>SUM(SUMIFS('Costing'!$P$9:$P$492,'Costing'!$A$9:$A$492,"PARTNER-M002"))</x:f>
        <x:v>360000</x:v>
      </x:c>
      <x:c r="M2323" s="17" t="n">
        <x:f>ROUND(L2323*'Costing'!$C$4,2)</x:f>
        <x:v>64800</x:v>
      </x:c>
      <x:c r="N2323" s="17" t="n">
        <x:f>L2323+M2323</x:f>
        <x:v>424800</x:v>
      </x:c>
      <x:c r="O2323" s="12" t="str">
        <x:v>Bengaluru</x:v>
      </x:c>
      <x:c r="P2323" s="12" t="str">
        <x:v>CORP-0420, CORP-0421, CORP-0422, CORP-0423, CORP-0424, CORP-0425, CORP-0426, CORP-0427, CORP-0428</x:v>
      </x:c>
      <x:c r="Q2323" s="12" t="str">
        <x:v>SOA IT</x:v>
      </x:c>
    </x:row>
    <x:row r="2324" ht="48" customHeight="1">
      <x:c r="A2324" s="2" t="str">
        <x:v>TEN-F0A871FED375</x:v>
      </x:c>
      <x:c r="B2324" s="12" t="str">
        <x:v>SOBEK GUARDING PVT LTD</x:v>
      </x:c>
      <x:c r="C2324" s="12" t="str">
        <x:v>Business / brand</x:v>
      </x:c>
      <x:c r="D2324" s="12" t="str">
        <x:v>Unresolved</x:v>
      </x:c>
      <x:c r="E2324" s="12" t="str">
        <x:v>Business activity not established</x:v>
      </x:c>
      <x:c r="F2324" s="12" t="str">
        <x:v>Mixed business audience</x:v>
      </x:c>
      <x:c r="G2324" s="12" t="str">
        <x:v>Business activity and company scale are not established from this name.</x:v>
      </x:c>
      <x:c r="H2324" s="11" t="n">
        <x:v>1</x:v>
      </x:c>
      <x:c r="I2324" s="11" t="n">
        <x:v>1</x:v>
      </x:c>
      <x:c r="J2324" s="11" t="n">
        <x:v>1</x:v>
      </x:c>
      <x:c r="K2324" s="11" t="n">
        <x:v>0</x:v>
      </x:c>
      <x:c r="L2324" s="17" t="n">
        <x:f>SUM(SUMIFS('Costing'!$P$9:$P$492,'Costing'!$A$9:$A$492,"MAIN-028"))</x:f>
        <x:v>15000</x:v>
      </x:c>
      <x:c r="M2324" s="17" t="n">
        <x:f>ROUND(L2324*'Costing'!$C$4,2)</x:f>
        <x:v>2700</x:v>
      </x:c>
      <x:c r="N2324" s="17" t="n">
        <x:f>L2324+M2324</x:f>
        <x:v>17700</x:v>
      </x:c>
      <x:c r="O2324" s="12" t="str">
        <x:v>Bengaluru</x:v>
      </x:c>
      <x:c r="P2324" s="12" t="str">
        <x:v>CORP-0024</x:v>
      </x:c>
      <x:c r="Q2324" s="12" t="str">
        <x:v>SOBEK GUARDING PVT LTD</x:v>
      </x:c>
    </x:row>
    <x:row r="2325" ht="48" customHeight="1">
      <x:c r="A2325" s="2" t="str">
        <x:v>TEN-F6768D57BDBC</x:v>
      </x:c>
      <x:c r="B2325" s="12" t="str">
        <x:v>Societe Generale</x:v>
      </x:c>
      <x:c r="C2325" s="12" t="str">
        <x:v>Business / brand</x:v>
      </x:c>
      <x:c r="D2325" s="12" t="str">
        <x:v>Finance &amp; insurance</x:v>
      </x:c>
      <x:c r="E2325" s="12" t="str">
        <x:v>Financial services — specialty unverified</x:v>
      </x:c>
      <x:c r="F2325" s="12" t="str">
        <x:v>Large enterprise</x:v>
      </x:c>
      <x:c r="G2325" s="12" t="str">
        <x:v>Explicit Societe Generale enterprise-family context; see ENTERPRISE_SUPP_043 evidence.</x:v>
      </x:c>
      <x:c r="H2325" s="11" t="n">
        <x:v>3</x:v>
      </x:c>
      <x:c r="I2325" s="11" t="n">
        <x:v>3</x:v>
      </x:c>
      <x:c r="J2325" s="11" t="n">
        <x:v>3</x:v>
      </x:c>
      <x:c r="K2325" s="11" t="n">
        <x:v>0</x:v>
      </x:c>
      <x:c r="L2325" s="17" t="n">
        <x:f>SUM(SUMIFS('Costing'!$P$9:$P$492,'Costing'!$A$9:$A$492,"PARTNER-M011"))</x:f>
        <x:v>120000</x:v>
      </x:c>
      <x:c r="M2325" s="17" t="n">
        <x:f>ROUND(L2325*'Costing'!$C$4,2)</x:f>
        <x:v>21600</x:v>
      </x:c>
      <x:c r="N2325" s="17" t="n">
        <x:f>L2325+M2325</x:f>
        <x:v>141600</x:v>
      </x:c>
      <x:c r="O2325" s="12" t="str">
        <x:v>Bengaluru</x:v>
      </x:c>
      <x:c r="P2325" s="12" t="str">
        <x:v>CORP-0429, CORP-0430, CORP-0431</x:v>
      </x:c>
      <x:c r="Q2325" s="12" t="str">
        <x:v>Societe Generale</x:v>
      </x:c>
    </x:row>
    <x:row r="2326" ht="48" customHeight="1">
      <x:c r="A2326" s="2" t="str">
        <x:v>TEN-8B2321A1E6EF</x:v>
      </x:c>
      <x:c r="B2326" s="12" t="str">
        <x:v>Societe Generale Global Solution Center</x:v>
      </x:c>
      <x:c r="C2326" s="12" t="str">
        <x:v>Business / brand</x:v>
      </x:c>
      <x:c r="D2326" s="12" t="str">
        <x:v>Finance &amp; insurance</x:v>
      </x:c>
      <x:c r="E2326" s="12" t="str">
        <x:v>Financial services — specialty unverified</x:v>
      </x:c>
      <x:c r="F2326" s="12" t="str">
        <x:v>Large enterprise</x:v>
      </x:c>
      <x:c r="G2326" s="12" t="str">
        <x:v>Explicit Societe Generale enterprise-family context; see ENTERPRISE_SUPP_043 evidence.</x:v>
      </x:c>
      <x:c r="H2326" s="11" t="n">
        <x:v>2</x:v>
      </x:c>
      <x:c r="I2326" s="11" t="n">
        <x:v>6</x:v>
      </x:c>
      <x:c r="J2326" s="11" t="n">
        <x:v>6</x:v>
      </x:c>
      <x:c r="K2326" s="11" t="n">
        <x:v>0</x:v>
      </x:c>
      <x:c r="L2326" s="17" t="n">
        <x:f>SUM(SUMIFS('Costing'!$P$9:$P$492,'Costing'!$A$9:$A$492,"MAIN-046"),SUMIFS('Costing'!$P$9:$P$492,'Costing'!$A$9:$A$492,"MAIN-047"))</x:f>
        <x:v>120000</x:v>
      </x:c>
      <x:c r="M2326" s="17" t="n">
        <x:f>ROUND(L2326*'Costing'!$C$4,2)</x:f>
        <x:v>21600</x:v>
      </x:c>
      <x:c r="N2326" s="17" t="n">
        <x:f>L2326+M2326</x:f>
        <x:v>141600</x:v>
      </x:c>
      <x:c r="O2326" s="12" t="str">
        <x:v>Bengaluru</x:v>
      </x:c>
      <x:c r="P2326" s="12" t="str">
        <x:v>CORP-0042, CORP-0043</x:v>
      </x:c>
      <x:c r="Q2326" s="12" t="str">
        <x:v>Societe Generale Global Solution Center</x:v>
      </x:c>
    </x:row>
    <x:row r="2327" ht="75" customHeight="1">
      <x:c r="A2327" s="2" t="str">
        <x:v>TEN-73D4224ED59C</x:v>
      </x:c>
      <x:c r="B2327" s="12" t="str">
        <x:v>Societyfor Mumbai Incubation Lab</x:v>
      </x:c>
      <x:c r="C2327" s="12" t="str">
        <x:v>Public / nonprofit</x:v>
      </x:c>
      <x:c r="D2327" s="12" t="str">
        <x:v>Government &amp; nonprofit</x:v>
      </x:c>
      <x:c r="E2327" s="12" t="str">
        <x:v>Public, nonprofit or membership organization</x:v>
      </x:c>
      <x:c r="F2327" s="12" t="str">
        <x:v>Institutional</x:v>
      </x:c>
      <x:c r="G2327" s="12" t="str">
        <x:v>Existing directory identifies an institutional, government, education, membership or nonprofit organisation rather than an ordinary MSME business prospect. This tag describes audience role and does not assert legal tax status.</x:v>
      </x:c>
      <x:c r="H2327" s="11" t="n">
        <x:v>4</x:v>
      </x:c>
      <x:c r="I2327" s="11" t="n">
        <x:v>4</x:v>
      </x:c>
      <x:c r="J2327" s="11" t="n">
        <x:v>4</x:v>
      </x:c>
      <x:c r="K2327" s="11" t="n">
        <x:v>0</x:v>
      </x:c>
      <x:c r="L2327" s="17" t="n">
        <x:f>SUM(SUMIFS('Costing'!$P$9:$P$492,'Costing'!$A$9:$A$492,"PARTNER-M235"))</x:f>
        <x:v>160000</x:v>
      </x:c>
      <x:c r="M2327" s="17" t="n">
        <x:f>ROUND(L2327*'Costing'!$C$4,2)</x:f>
        <x:v>28800</x:v>
      </x:c>
      <x:c r="N2327" s="17" t="n">
        <x:f>L2327+M2327</x:f>
        <x:v>188800</x:v>
      </x:c>
      <x:c r="O2327" s="12" t="str">
        <x:v>Mumbai</x:v>
      </x:c>
      <x:c r="P2327" s="12" t="str">
        <x:v>CORP-0652, CORP-0653, CORP-0654, CORP-0655</x:v>
      </x:c>
      <x:c r="Q2327" s="12" t="str">
        <x:v>Societyfor Mumbai Incubation Lab</x:v>
      </x:c>
    </x:row>
    <x:row r="2328" ht="48" customHeight="1">
      <x:c r="A2328" s="2" t="str">
        <x:v>TEN-CBF7D0A12825</x:v>
      </x:c>
      <x:c r="B2328" s="12" t="str">
        <x:v>Sodexo</x:v>
      </x:c>
      <x:c r="C2328" s="12" t="str">
        <x:v>Business / brand</x:v>
      </x:c>
      <x:c r="D2328" s="12" t="str">
        <x:v>Trade, consumer &amp; logistics</x:v>
      </x:c>
      <x:c r="E2328" s="12" t="str">
        <x:v>Travel, hospitality, food &amp; beverages</x:v>
      </x:c>
      <x:c r="F2328" s="12" t="str">
        <x:v>Large enterprise</x:v>
      </x:c>
      <x:c r="G2328" s="12" t="str">
        <x:v>Explicit Sodexo enterprise-family context; see ENTERPRISE_SUPP_031 evidence.</x:v>
      </x:c>
      <x:c r="H2328" s="11" t="n">
        <x:v>1</x:v>
      </x:c>
      <x:c r="I2328" s="11" t="n">
        <x:v>2</x:v>
      </x:c>
      <x:c r="J2328" s="11" t="n">
        <x:v>2</x:v>
      </x:c>
      <x:c r="K2328" s="11" t="n">
        <x:v>0</x:v>
      </x:c>
      <x:c r="L2328" s="17" t="n">
        <x:f>SUM(SUMIFS('Costing'!$P$9:$P$492,'Costing'!$A$9:$A$492,"MAIN-022"))</x:f>
        <x:v>30000</x:v>
      </x:c>
      <x:c r="M2328" s="17" t="n">
        <x:f>ROUND(L2328*'Costing'!$C$4,2)</x:f>
        <x:v>5400</x:v>
      </x:c>
      <x:c r="N2328" s="17" t="n">
        <x:f>L2328+M2328</x:f>
        <x:v>35400</x:v>
      </x:c>
      <x:c r="O2328" s="12" t="str">
        <x:v>Bengaluru</x:v>
      </x:c>
      <x:c r="P2328" s="12" t="str">
        <x:v>CORP-0018</x:v>
      </x:c>
      <x:c r="Q2328" s="12" t="str">
        <x:v>Sodexo</x:v>
      </x:c>
    </x:row>
    <x:row r="2329" ht="48" customHeight="1">
      <x:c r="A2329" s="2" t="str">
        <x:v>TEN-87B3B0B3D245</x:v>
      </x:c>
      <x:c r="B2329" s="12" t="str">
        <x:v>Sodexo Hyderabad</x:v>
      </x:c>
      <x:c r="C2329" s="12" t="str">
        <x:v>Business / brand</x:v>
      </x:c>
      <x:c r="D2329" s="12" t="str">
        <x:v>Trade, consumer &amp; logistics</x:v>
      </x:c>
      <x:c r="E2329" s="12" t="str">
        <x:v>Travel, hospitality, food &amp; beverages</x:v>
      </x:c>
      <x:c r="F2329" s="12" t="str">
        <x:v>Large enterprise</x:v>
      </x:c>
      <x:c r="G2329" s="12" t="str">
        <x:v>Explicit Sodexo enterprise-family context; see ENTERPRISE_SUPP_031 evidence.</x:v>
      </x:c>
      <x:c r="H2329" s="11" t="n">
        <x:v>1</x:v>
      </x:c>
      <x:c r="I2329" s="11" t="n">
        <x:v>2</x:v>
      </x:c>
      <x:c r="J2329" s="11" t="n">
        <x:v>2</x:v>
      </x:c>
      <x:c r="K2329" s="11" t="n">
        <x:v>0</x:v>
      </x:c>
      <x:c r="L2329" s="17" t="n">
        <x:f>SUM(SUMIFS('Costing'!$P$9:$P$492,'Costing'!$A$9:$A$492,"MAIN-251"))</x:f>
        <x:v>40000</x:v>
      </x:c>
      <x:c r="M2329" s="17" t="n">
        <x:f>ROUND(L2329*'Costing'!$C$4,2)</x:f>
        <x:v>7200</x:v>
      </x:c>
      <x:c r="N2329" s="17" t="n">
        <x:f>L2329+M2329</x:f>
        <x:v>47200</x:v>
      </x:c>
      <x:c r="O2329" s="12" t="str">
        <x:v>Hyderabad</x:v>
      </x:c>
      <x:c r="P2329" s="12" t="str">
        <x:v>CORP-0247</x:v>
      </x:c>
      <x:c r="Q2329" s="12" t="str">
        <x:v>Sodexo Hyderabad</x:v>
      </x:c>
    </x:row>
    <x:row r="2330" ht="48" customHeight="1">
      <x:c r="A2330" s="2" t="str">
        <x:v>TEN-5FCAB9A3B233</x:v>
      </x:c>
      <x:c r="B2330" s="12" t="str">
        <x:v>Sodhi Super Market Nirvana Sector 50</x:v>
      </x:c>
      <x:c r="C2330" s="12" t="str">
        <x:v>Business / brand</x:v>
      </x:c>
      <x:c r="D2330" s="12" t="str">
        <x:v>Trade, consumer &amp; logistics</x:v>
      </x:c>
      <x:c r="E2330" s="12" t="str">
        <x:v>Retail, consumer products &amp; ecommerce</x:v>
      </x:c>
      <x:c r="F2330" s="12" t="str">
        <x:v>Small-scale prospects</x:v>
      </x:c>
      <x:c r="G2330" s="12" t="str">
        <x:v>Trading or consumer-services business; small-scale prospect assumption.</x:v>
      </x:c>
      <x:c r="H2330" s="11" t="n">
        <x:v>1</x:v>
      </x:c>
      <x:c r="I2330" s="11" t="n">
        <x:v>4</x:v>
      </x:c>
      <x:c r="J2330" s="11" t="n">
        <x:v>4</x:v>
      </x:c>
      <x:c r="K2330" s="11" t="n">
        <x:v>0</x:v>
      </x:c>
      <x:c r="L2330" s="17" t="n">
        <x:f>SUM(SUMIFS('Costing'!$P$9:$P$492,'Costing'!$A$9:$A$492,"MAIN-202"))</x:f>
        <x:v>160000</x:v>
      </x:c>
      <x:c r="M2330" s="17" t="n">
        <x:f>ROUND(L2330*'Costing'!$C$4,2)</x:f>
        <x:v>28800</x:v>
      </x:c>
      <x:c r="N2330" s="17" t="n">
        <x:f>L2330+M2330</x:f>
        <x:v>188800</x:v>
      </x:c>
      <x:c r="O2330" s="12" t="str">
        <x:v>Delhi NCR</x:v>
      </x:c>
      <x:c r="P2330" s="12" t="str">
        <x:v>CORP-0198</x:v>
      </x:c>
      <x:c r="Q2330" s="12" t="str">
        <x:v>Sodhi Super Market Nirvana Sector 50</x:v>
      </x:c>
    </x:row>
    <x:row r="2331" ht="48" customHeight="1">
      <x:c r="A2331" s="2" t="str">
        <x:v>TEN-66DFC81EEFC3</x:v>
      </x:c>
      <x:c r="B2331" s="12" t="str">
        <x:v>Softcell Software Group</x:v>
      </x:c>
      <x:c r="C2331" s="12" t="str">
        <x:v>Business / brand</x:v>
      </x:c>
      <x:c r="D2331" s="12" t="str">
        <x:v>IT &amp; digital</x:v>
      </x:c>
      <x:c r="E2331" s="12" t="str">
        <x:v>Enterprise software &amp; digital engineering</x:v>
      </x:c>
      <x:c r="F2331" s="12" t="str">
        <x:v>Mixed business audience</x:v>
      </x:c>
      <x:c r="G2331" s="12" t="str">
        <x:v>Established brand or business network; local company scale is not established. Use a mixed-business message.</x:v>
      </x:c>
      <x:c r="H2331" s="11" t="n">
        <x:v>1</x:v>
      </x:c>
      <x:c r="I2331" s="11" t="n">
        <x:v>3</x:v>
      </x:c>
      <x:c r="J2331" s="11" t="n">
        <x:v>3</x:v>
      </x:c>
      <x:c r="K2331" s="11" t="n">
        <x:v>0</x:v>
      </x:c>
      <x:c r="L2331" s="17" t="n">
        <x:f>SUM(SUMIFS('Costing'!$P$9:$P$492,'Costing'!$A$9:$A$492,"MAIN-404"))</x:f>
        <x:v>60000</x:v>
      </x:c>
      <x:c r="M2331" s="17" t="n">
        <x:f>ROUND(L2331*'Costing'!$C$4,2)</x:f>
        <x:v>10800</x:v>
      </x:c>
      <x:c r="N2331" s="17" t="n">
        <x:f>L2331+M2331</x:f>
        <x:v>70800</x:v>
      </x:c>
      <x:c r="O2331" s="12" t="str">
        <x:v>Pune</x:v>
      </x:c>
      <x:c r="P2331" s="12" t="str">
        <x:v>CORP-0400</x:v>
      </x:c>
      <x:c r="Q2331" s="12" t="str">
        <x:v>Softcell Software Group</x:v>
      </x:c>
    </x:row>
    <x:row r="2332" ht="48" customHeight="1">
      <x:c r="A2332" s="2" t="str">
        <x:v>TEN-2ACB1A36E6C1</x:v>
      </x:c>
      <x:c r="B2332" s="12" t="str">
        <x:v>Softcell Technologies Global Pvt Ltd</x:v>
      </x:c>
      <x:c r="C2332" s="12" t="str">
        <x:v>Business / brand</x:v>
      </x:c>
      <x:c r="D2332" s="12" t="str">
        <x:v>IT &amp; digital</x:v>
      </x:c>
      <x:c r="E2332" s="12" t="str">
        <x:v>Enterprise software &amp; digital engineering</x:v>
      </x:c>
      <x:c r="F2332" s="12" t="str">
        <x:v>Mixed business audience</x:v>
      </x:c>
      <x:c r="G2332" s="12" t="str">
        <x:v>Established brand or business network; local company scale is not established. Use a mixed-business message.</x:v>
      </x:c>
      <x:c r="H2332" s="11" t="n">
        <x:v>2</x:v>
      </x:c>
      <x:c r="I2332" s="11" t="n">
        <x:v>2</x:v>
      </x:c>
      <x:c r="J2332" s="11" t="n">
        <x:v>2</x:v>
      </x:c>
      <x:c r="K2332" s="11" t="n">
        <x:v>0</x:v>
      </x:c>
      <x:c r="L2332" s="17" t="n">
        <x:f>SUM(SUMIFS('Costing'!$P$9:$P$492,'Costing'!$A$9:$A$492,"PARTNER-M243"))</x:f>
        <x:v>80000</x:v>
      </x:c>
      <x:c r="M2332" s="17" t="n">
        <x:f>ROUND(L2332*'Costing'!$C$4,2)</x:f>
        <x:v>14400</x:v>
      </x:c>
      <x:c r="N2332" s="17" t="n">
        <x:f>L2332+M2332</x:f>
        <x:v>94400</x:v>
      </x:c>
      <x:c r="O2332" s="12" t="str">
        <x:v>Mumbai</x:v>
      </x:c>
      <x:c r="P2332" s="12" t="str">
        <x:v>CORP-0660, CORP-0661</x:v>
      </x:c>
      <x:c r="Q2332" s="12" t="str">
        <x:v>Softcell Technologies Global Pvt Ltd</x:v>
      </x:c>
    </x:row>
    <x:row r="2333" ht="48" customHeight="1">
      <x:c r="A2333" s="2" t="str">
        <x:v>TEN-81BA24BC70DD</x:v>
      </x:c>
      <x:c r="B2333" s="12" t="str">
        <x:v>Softech Technologies Global</x:v>
      </x:c>
      <x:c r="C2333" s="12" t="str">
        <x:v>Business / brand</x:v>
      </x:c>
      <x:c r="D2333" s="12" t="str">
        <x:v>Unresolved</x:v>
      </x:c>
      <x:c r="E2333" s="12" t="str">
        <x:v>Business activity not established</x:v>
      </x:c>
      <x:c r="F2333" s="12" t="str">
        <x:v>Mixed business audience</x:v>
      </x:c>
      <x:c r="G2333" s="12" t="str">
        <x:v>Business activity and company scale are not established from this name.</x:v>
      </x:c>
      <x:c r="H2333" s="11" t="n">
        <x:v>1</x:v>
      </x:c>
      <x:c r="I2333" s="11" t="n">
        <x:v>2</x:v>
      </x:c>
      <x:c r="J2333" s="11" t="n">
        <x:v>2</x:v>
      </x:c>
      <x:c r="K2333" s="11" t="n">
        <x:v>0</x:v>
      </x:c>
      <x:c r="L2333" s="17" t="n">
        <x:f>SUM(SUMIFS('Costing'!$P$9:$P$492,'Costing'!$A$9:$A$492,"MAIN-407"))</x:f>
        <x:v>30000</x:v>
      </x:c>
      <x:c r="M2333" s="17" t="n">
        <x:f>ROUND(L2333*'Costing'!$C$4,2)</x:f>
        <x:v>5400</x:v>
      </x:c>
      <x:c r="N2333" s="17" t="n">
        <x:f>L2333+M2333</x:f>
        <x:v>35400</x:v>
      </x:c>
      <x:c r="O2333" s="12" t="str">
        <x:v>Pune</x:v>
      </x:c>
      <x:c r="P2333" s="12" t="str">
        <x:v>CORP-0403</x:v>
      </x:c>
      <x:c r="Q2333" s="12" t="str">
        <x:v>Softech Technologies Global</x:v>
      </x:c>
    </x:row>
    <x:row r="2334" ht="48" customHeight="1">
      <x:c r="A2334" s="2" t="str">
        <x:v>TEN-6CAB9DFC425C</x:v>
      </x:c>
      <x:c r="B2334" s="12" t="str">
        <x:v>Softility</x:v>
      </x:c>
      <x:c r="C2334" s="12" t="str">
        <x:v>Business / brand</x:v>
      </x:c>
      <x:c r="D2334" s="12" t="str">
        <x:v>IT &amp; digital</x:v>
      </x:c>
      <x:c r="E2334" s="12" t="str">
        <x:v>Enterprise software &amp; digital engineering</x:v>
      </x:c>
      <x:c r="F2334" s="12" t="str">
        <x:v>Small-scale prospects</x:v>
      </x:c>
      <x:c r="G2334" s="12" t="str">
        <x:v>Software or technology-services business; small-scale prospect assumption.</x:v>
      </x:c>
      <x:c r="H2334" s="11" t="n">
        <x:v>5</x:v>
      </x:c>
      <x:c r="I2334" s="11" t="n">
        <x:v>5</x:v>
      </x:c>
      <x:c r="J2334" s="11" t="n">
        <x:v>5</x:v>
      </x:c>
      <x:c r="K2334" s="11" t="n">
        <x:v>0</x:v>
      </x:c>
      <x:c r="L2334" s="17" t="n">
        <x:f>SUM(SUMIFS('Costing'!$P$9:$P$492,'Costing'!$A$9:$A$492,"PARTNER-M295"))</x:f>
        <x:v>200000</x:v>
      </x:c>
      <x:c r="M2334" s="17" t="n">
        <x:f>ROUND(L2334*'Costing'!$C$4,2)</x:f>
        <x:v>36000</x:v>
      </x:c>
      <x:c r="N2334" s="17" t="n">
        <x:f>L2334+M2334</x:f>
        <x:v>236000</x:v>
      </x:c>
      <x:c r="O2334" s="12" t="str">
        <x:v>Hyderabad</x:v>
      </x:c>
      <x:c r="P2334" s="12" t="str">
        <x:v>CORP-0710, CORP-0711, CORP-0712, CORP-0713, CORP-0714</x:v>
      </x:c>
      <x:c r="Q2334" s="12" t="str">
        <x:v>Softility</x:v>
      </x:c>
    </x:row>
    <x:row r="2335" ht="48" customHeight="1">
      <x:c r="A2335" s="2" t="str">
        <x:v>TEN-1FB8742AF01D</x:v>
      </x:c>
      <x:c r="B2335" s="12" t="str">
        <x:v>Softobiz Technologies</x:v>
      </x:c>
      <x:c r="C2335" s="12" t="str">
        <x:v>Business / brand</x:v>
      </x:c>
      <x:c r="D2335" s="12" t="str">
        <x:v>IT &amp; digital</x:v>
      </x:c>
      <x:c r="E2335" s="12" t="str">
        <x:v>Enterprise software &amp; digital engineering</x:v>
      </x:c>
      <x:c r="F2335" s="12" t="str">
        <x:v>Small-scale prospects</x:v>
      </x:c>
      <x:c r="G2335" s="12" t="str">
        <x:v>Software or technology-services business; small-scale prospect assumption.</x:v>
      </x:c>
      <x:c r="H2335" s="11" t="n">
        <x:v>1</x:v>
      </x:c>
      <x:c r="I2335" s="11" t="n">
        <x:v>5</x:v>
      </x:c>
      <x:c r="J2335" s="11" t="n">
        <x:v>5</x:v>
      </x:c>
      <x:c r="K2335" s="11" t="n">
        <x:v>0</x:v>
      </x:c>
      <x:c r="L2335" s="17" t="n">
        <x:f>SUM(SUMIFS('Costing'!$P$9:$P$492,'Costing'!$A$9:$A$492,"MAIN-258"))</x:f>
        <x:v>200000</x:v>
      </x:c>
      <x:c r="M2335" s="17" t="n">
        <x:f>ROUND(L2335*'Costing'!$C$4,2)</x:f>
        <x:v>36000</x:v>
      </x:c>
      <x:c r="N2335" s="17" t="n">
        <x:f>L2335+M2335</x:f>
        <x:v>236000</x:v>
      </x:c>
      <x:c r="O2335" s="12" t="str">
        <x:v>Hyderabad</x:v>
      </x:c>
      <x:c r="P2335" s="12" t="str">
        <x:v>CORP-0254</x:v>
      </x:c>
      <x:c r="Q2335" s="12" t="str">
        <x:v>Softobiz Technologies</x:v>
      </x:c>
    </x:row>
    <x:row r="2336" ht="48" customHeight="1">
      <x:c r="A2336" s="2" t="str">
        <x:v>TEN-3532BE488AD1</x:v>
      </x:c>
      <x:c r="B2336" s="12" t="str">
        <x:v>SOFTOPS</x:v>
      </x:c>
      <x:c r="C2336" s="12" t="str">
        <x:v>Business / brand</x:v>
      </x:c>
      <x:c r="D2336" s="12" t="str">
        <x:v>IT &amp; digital</x:v>
      </x:c>
      <x:c r="E2336" s="12" t="str">
        <x:v>Enterprise software &amp; digital engineering</x:v>
      </x:c>
      <x:c r="F2336" s="12" t="str">
        <x:v>Small-scale prospects</x:v>
      </x:c>
      <x:c r="G2336" s="12" t="str">
        <x:v>Software or technology-services business; small-scale prospect assumption.</x:v>
      </x:c>
      <x:c r="H2336" s="11" t="n">
        <x:v>1</x:v>
      </x:c>
      <x:c r="I2336" s="11" t="n">
        <x:v>1</x:v>
      </x:c>
      <x:c r="J2336" s="11" t="n">
        <x:v>1</x:v>
      </x:c>
      <x:c r="K2336" s="11" t="n">
        <x:v>0</x:v>
      </x:c>
      <x:c r="L2336" s="17" t="n">
        <x:f>SUM(SUMIFS('Costing'!$P$9:$P$492,'Costing'!$A$9:$A$492,"MAIN-274"))</x:f>
        <x:v>40000</x:v>
      </x:c>
      <x:c r="M2336" s="17" t="n">
        <x:f>ROUND(L2336*'Costing'!$C$4,2)</x:f>
        <x:v>7200</x:v>
      </x:c>
      <x:c r="N2336" s="17" t="n">
        <x:f>L2336+M2336</x:f>
        <x:v>47200</x:v>
      </x:c>
      <x:c r="O2336" s="12" t="str">
        <x:v>Indore</x:v>
      </x:c>
      <x:c r="P2336" s="12" t="str">
        <x:v>CORP-0270</x:v>
      </x:c>
      <x:c r="Q2336" s="12" t="str">
        <x:v>SOFTOPS</x:v>
      </x:c>
    </x:row>
    <x:row r="2337" ht="48" customHeight="1">
      <x:c r="A2337" s="2" t="str">
        <x:v>TEN-BB3DCEEAA381</x:v>
      </x:c>
      <x:c r="B2337" s="12" t="str">
        <x:v>Software AG Chennai Development Center</x:v>
      </x:c>
      <x:c r="C2337" s="12" t="str">
        <x:v>Business / brand</x:v>
      </x:c>
      <x:c r="D2337" s="12" t="str">
        <x:v>IT &amp; digital</x:v>
      </x:c>
      <x:c r="E2337" s="12" t="str">
        <x:v>Enterprise software &amp; digital engineering</x:v>
      </x:c>
      <x:c r="F2337" s="12" t="str">
        <x:v>Mixed business audience</x:v>
      </x:c>
      <x:c r="G2337" s="12" t="str">
        <x:v>Recognisable business context; company-scale evidence remains insufficient for a single size band.</x:v>
      </x:c>
      <x:c r="H2337" s="11" t="n">
        <x:v>2</x:v>
      </x:c>
      <x:c r="I2337" s="11" t="n">
        <x:v>6</x:v>
      </x:c>
      <x:c r="J2337" s="11" t="n">
        <x:v>6</x:v>
      </x:c>
      <x:c r="K2337" s="11" t="n">
        <x:v>0</x:v>
      </x:c>
      <x:c r="L2337" s="17" t="n">
        <x:f>SUM(SUMIFS('Costing'!$P$9:$P$492,'Costing'!$A$9:$A$492,"MAIN-148"),SUMIFS('Costing'!$P$9:$P$492,'Costing'!$A$9:$A$492,"MAIN-149"))</x:f>
        <x:v>120000</x:v>
      </x:c>
      <x:c r="M2337" s="17" t="n">
        <x:f>ROUND(L2337*'Costing'!$C$4,2)</x:f>
        <x:v>21600</x:v>
      </x:c>
      <x:c r="N2337" s="17" t="n">
        <x:f>L2337+M2337</x:f>
        <x:v>141600</x:v>
      </x:c>
      <x:c r="O2337" s="12" t="str">
        <x:v>Chennai</x:v>
      </x:c>
      <x:c r="P2337" s="12" t="str">
        <x:v>CORP-0144, CORP-0145</x:v>
      </x:c>
      <x:c r="Q2337" s="12" t="str">
        <x:v>Software AG Chennai Development Center</x:v>
      </x:c>
    </x:row>
    <x:row r="2338" ht="48" customHeight="1">
      <x:c r="A2338" s="2" t="str">
        <x:v>TEN-705C0F9C3F03</x:v>
      </x:c>
      <x:c r="B2338" s="12" t="str">
        <x:v>SOGNUTECHNOLOGIES PVT LTD</x:v>
      </x:c>
      <x:c r="C2338" s="12" t="str">
        <x:v>Business / brand</x:v>
      </x:c>
      <x:c r="D2338" s="12" t="str">
        <x:v>Unresolved</x:v>
      </x:c>
      <x:c r="E2338" s="12" t="str">
        <x:v>Business activity not established</x:v>
      </x:c>
      <x:c r="F2338" s="12" t="str">
        <x:v>Mixed business audience</x:v>
      </x:c>
      <x:c r="G2338" s="12" t="str">
        <x:v>Business activity and company scale are not established from this name.</x:v>
      </x:c>
      <x:c r="H2338" s="11" t="n">
        <x:v>1</x:v>
      </x:c>
      <x:c r="I2338" s="11" t="n">
        <x:v>2</x:v>
      </x:c>
      <x:c r="J2338" s="11" t="n">
        <x:v>2</x:v>
      </x:c>
      <x:c r="K2338" s="11" t="n">
        <x:v>0</x:v>
      </x:c>
      <x:c r="L2338" s="17" t="n">
        <x:f>SUM(SUMIFS('Costing'!$P$9:$P$492,'Costing'!$A$9:$A$492,"MAIN-216"))</x:f>
        <x:v>30000</x:v>
      </x:c>
      <x:c r="M2338" s="17" t="n">
        <x:f>ROUND(L2338*'Costing'!$C$4,2)</x:f>
        <x:v>5400</x:v>
      </x:c>
      <x:c r="N2338" s="17" t="n">
        <x:f>L2338+M2338</x:f>
        <x:v>35400</x:v>
      </x:c>
      <x:c r="O2338" s="12" t="str">
        <x:v>Hyderabad</x:v>
      </x:c>
      <x:c r="P2338" s="12" t="str">
        <x:v>CORP-0212</x:v>
      </x:c>
      <x:c r="Q2338" s="12" t="str">
        <x:v>SOGNUTECHNOLOGIES PVT LTD</x:v>
      </x:c>
    </x:row>
    <x:row r="2339" ht="48" customHeight="1">
      <x:c r="A2339" s="2" t="str">
        <x:v>TEN-E644ABB7D829</x:v>
      </x:c>
      <x:c r="B2339" s="12" t="str">
        <x:v>Sojitz India</x:v>
      </x:c>
      <x:c r="C2339" s="12" t="str">
        <x:v>Business / brand</x:v>
      </x:c>
      <x:c r="D2339" s="12" t="str">
        <x:v>Trade, consumer &amp; logistics</x:v>
      </x:c>
      <x:c r="E2339" s="12" t="str">
        <x:v>Logistics, shipping &amp; transport</x:v>
      </x:c>
      <x:c r="F2339" s="12" t="str">
        <x:v>Mixed business audience</x:v>
      </x:c>
      <x:c r="G2339" s="12" t="str">
        <x:v>Established brand or business network; local company scale is not established. Use a mixed-business message.</x:v>
      </x:c>
      <x:c r="H2339" s="11" t="n">
        <x:v>2</x:v>
      </x:c>
      <x:c r="I2339" s="11" t="n">
        <x:v>2</x:v>
      </x:c>
      <x:c r="J2339" s="11" t="n">
        <x:v>2</x:v>
      </x:c>
      <x:c r="K2339" s="11" t="n">
        <x:v>0</x:v>
      </x:c>
      <x:c r="L2339" s="17" t="n">
        <x:f>SUM(SUMIFS('Costing'!$P$9:$P$492,'Costing'!$A$9:$A$492,"PARTNER-M239"))</x:f>
        <x:v>80000</x:v>
      </x:c>
      <x:c r="M2339" s="17" t="n">
        <x:f>ROUND(L2339*'Costing'!$C$4,2)</x:f>
        <x:v>14400</x:v>
      </x:c>
      <x:c r="N2339" s="17" t="n">
        <x:f>L2339+M2339</x:f>
        <x:v>94400</x:v>
      </x:c>
      <x:c r="O2339" s="12" t="str">
        <x:v>Mumbai</x:v>
      </x:c>
      <x:c r="P2339" s="12" t="str">
        <x:v>CORP-0656, CORP-0657</x:v>
      </x:c>
      <x:c r="Q2339" s="12" t="str">
        <x:v>Sojitz India</x:v>
      </x:c>
    </x:row>
    <x:row r="2340" ht="48" customHeight="1">
      <x:c r="A2340" s="2" t="str">
        <x:v>TEN-9F4CA485123F</x:v>
      </x:c>
      <x:c r="B2340" s="12" t="str">
        <x:v>SolarWinds India Private Limited</x:v>
      </x:c>
      <x:c r="C2340" s="12" t="str">
        <x:v>Business / brand</x:v>
      </x:c>
      <x:c r="D2340" s="12" t="str">
        <x:v>IT &amp; digital</x:v>
      </x:c>
      <x:c r="E2340" s="12" t="str">
        <x:v>Enterprise software &amp; digital engineering</x:v>
      </x:c>
      <x:c r="F2340" s="12" t="str">
        <x:v>Mixed business audience</x:v>
      </x:c>
      <x:c r="G2340" s="12" t="str">
        <x:v>Established brand or business network; local company scale is not established. Use a mixed-business message.</x:v>
      </x:c>
      <x:c r="H2340" s="11" t="n">
        <x:v>1</x:v>
      </x:c>
      <x:c r="I2340" s="11" t="n">
        <x:v>5</x:v>
      </x:c>
      <x:c r="J2340" s="11" t="n">
        <x:v>5</x:v>
      </x:c>
      <x:c r="K2340" s="11" t="n">
        <x:v>0</x:v>
      </x:c>
      <x:c r="L2340" s="17" t="n">
        <x:f>SUM(SUMIFS('Costing'!$P$9:$P$492,'Costing'!$A$9:$A$492,"MAIN-078"))</x:f>
        <x:v>100000</x:v>
      </x:c>
      <x:c r="M2340" s="17" t="n">
        <x:f>ROUND(L2340*'Costing'!$C$4,2)</x:f>
        <x:v>18000</x:v>
      </x:c>
      <x:c r="N2340" s="17" t="n">
        <x:f>L2340+M2340</x:f>
        <x:v>118000</x:v>
      </x:c>
      <x:c r="O2340" s="12" t="str">
        <x:v>Bengaluru</x:v>
      </x:c>
      <x:c r="P2340" s="12" t="str">
        <x:v>CORP-0074</x:v>
      </x:c>
      <x:c r="Q2340" s="12" t="str">
        <x:v>SolarWinds India Private Limited</x:v>
      </x:c>
    </x:row>
    <x:row r="2341" ht="48" customHeight="1">
      <x:c r="A2341" s="2" t="str">
        <x:v>TEN-5F079A2B9BA5</x:v>
      </x:c>
      <x:c r="B2341" s="12" t="str">
        <x:v>Solenis GSS India Private Limited</x:v>
      </x:c>
      <x:c r="C2341" s="12" t="str">
        <x:v>Business / brand</x:v>
      </x:c>
      <x:c r="D2341" s="12" t="str">
        <x:v>Engineering &amp; manufacturing</x:v>
      </x:c>
      <x:c r="E2341" s="12" t="str">
        <x:v>Electronics, industrial systems &amp; manufacturing</x:v>
      </x:c>
      <x:c r="F2341" s="12" t="str">
        <x:v>Mixed business audience</x:v>
      </x:c>
      <x:c r="G2341" s="12" t="str">
        <x:v>Established brand or business network; local company scale is not established. Use a mixed-business message.</x:v>
      </x:c>
      <x:c r="H2341" s="11" t="n">
        <x:v>4</x:v>
      </x:c>
      <x:c r="I2341" s="11" t="n">
        <x:v>4</x:v>
      </x:c>
      <x:c r="J2341" s="11" t="n">
        <x:v>4</x:v>
      </x:c>
      <x:c r="K2341" s="11" t="n">
        <x:v>0</x:v>
      </x:c>
      <x:c r="L2341" s="17" t="n">
        <x:f>SUM(SUMIFS('Costing'!$P$9:$P$492,'Costing'!$A$9:$A$492,"PARTNER-M308"))</x:f>
        <x:v>160000</x:v>
      </x:c>
      <x:c r="M2341" s="17" t="n">
        <x:f>ROUND(L2341*'Costing'!$C$4,2)</x:f>
        <x:v>28800</x:v>
      </x:c>
      <x:c r="N2341" s="17" t="n">
        <x:f>L2341+M2341</x:f>
        <x:v>188800</x:v>
      </x:c>
      <x:c r="O2341" s="12" t="str">
        <x:v>Hyderabad</x:v>
      </x:c>
      <x:c r="P2341" s="12" t="str">
        <x:v>CORP-0723, CORP-0724, CORP-0725, CORP-0726</x:v>
      </x:c>
      <x:c r="Q2341" s="12" t="str">
        <x:v>Solenis GSS India Private Limited</x:v>
      </x:c>
    </x:row>
    <x:row r="2342" ht="48" customHeight="1">
      <x:c r="A2342" s="2" t="str">
        <x:v>TEN-881CB9BE282C</x:v>
      </x:c>
      <x:c r="B2342" s="12" t="str">
        <x:v>Solutionswilcom</x:v>
      </x:c>
      <x:c r="C2342" s="12" t="str">
        <x:v>Business / brand</x:v>
      </x:c>
      <x:c r="D2342" s="12" t="str">
        <x:v>Unresolved</x:v>
      </x:c>
      <x:c r="E2342" s="12" t="str">
        <x:v>Business activity not established</x:v>
      </x:c>
      <x:c r="F2342" s="12" t="str">
        <x:v>Mixed business audience</x:v>
      </x:c>
      <x:c r="G2342" s="12" t="str">
        <x:v>Business activity and company scale are not established from this name.</x:v>
      </x:c>
      <x:c r="H2342" s="11" t="n">
        <x:v>1</x:v>
      </x:c>
      <x:c r="I2342" s="11" t="n">
        <x:v>4</x:v>
      </x:c>
      <x:c r="J2342" s="11" t="n">
        <x:v>4</x:v>
      </x:c>
      <x:c r="K2342" s="11" t="n">
        <x:v>0</x:v>
      </x:c>
      <x:c r="L2342" s="17" t="n">
        <x:f>SUM(SUMIFS('Costing'!$P$9:$P$492,'Costing'!$A$9:$A$492,"MAIN-124"))</x:f>
        <x:v>100000</x:v>
      </x:c>
      <x:c r="M2342" s="17" t="n">
        <x:f>ROUND(L2342*'Costing'!$C$4,2)</x:f>
        <x:v>18000</x:v>
      </x:c>
      <x:c r="N2342" s="17" t="n">
        <x:f>L2342+M2342</x:f>
        <x:v>118000</x:v>
      </x:c>
      <x:c r="O2342" s="12" t="str">
        <x:v>Bengaluru</x:v>
      </x:c>
      <x:c r="P2342" s="12" t="str">
        <x:v>CORP-0120</x:v>
      </x:c>
      <x:c r="Q2342" s="12" t="str">
        <x:v>Solutionswilcom</x:v>
      </x:c>
    </x:row>
    <x:row r="2343" ht="48" customHeight="1">
      <x:c r="A2343" s="2" t="str">
        <x:v>TEN-F790189B8F49</x:v>
      </x:c>
      <x:c r="B2343" s="12" t="str">
        <x:v>Sonal Holland Wine Academy</x:v>
      </x:c>
      <x:c r="C2343" s="12" t="str">
        <x:v>Business / brand</x:v>
      </x:c>
      <x:c r="D2343" s="12" t="str">
        <x:v>Education</x:v>
      </x:c>
      <x:c r="E2343" s="12" t="str">
        <x:v>Schools, childcare &amp; higher education</x:v>
      </x:c>
      <x:c r="F2343" s="12" t="str">
        <x:v>Small-scale prospects</x:v>
      </x:c>
      <x:c r="G2343" s="12" t="str">
        <x:v>Training or education-services business; small-scale prospect assumption.</x:v>
      </x:c>
      <x:c r="H2343" s="11" t="n">
        <x:v>1</x:v>
      </x:c>
      <x:c r="I2343" s="11" t="n">
        <x:v>3</x:v>
      </x:c>
      <x:c r="J2343" s="11" t="n">
        <x:v>3</x:v>
      </x:c>
      <x:c r="K2343" s="11" t="n">
        <x:v>0</x:v>
      </x:c>
      <x:c r="L2343" s="17" t="n">
        <x:f>SUM(SUMIFS('Costing'!$P$9:$P$492,'Costing'!$A$9:$A$492,"MAIN-359"))</x:f>
        <x:v>75000</x:v>
      </x:c>
      <x:c r="M2343" s="17" t="n">
        <x:f>ROUND(L2343*'Costing'!$C$4,2)</x:f>
        <x:v>13500</x:v>
      </x:c>
      <x:c r="N2343" s="17" t="n">
        <x:f>L2343+M2343</x:f>
        <x:v>88500</x:v>
      </x:c>
      <x:c r="O2343" s="12" t="str">
        <x:v>Mumbai</x:v>
      </x:c>
      <x:c r="P2343" s="12" t="str">
        <x:v>CORP-0355</x:v>
      </x:c>
      <x:c r="Q2343" s="12" t="str">
        <x:v>Sonal Holland Wine Academy</x:v>
      </x:c>
    </x:row>
    <x:row r="2344" ht="49" customHeight="1">
      <x:c r="A2344" s="2" t="str">
        <x:v>TEN-BF2CB5C4CB25</x:v>
      </x:c>
      <x:c r="B2344" s="12" t="str">
        <x:v>Sonata Software</x:v>
      </x:c>
      <x:c r="C2344" s="12" t="str">
        <x:v>Business / brand</x:v>
      </x:c>
      <x:c r="D2344" s="12" t="str">
        <x:v>IT &amp; digital</x:v>
      </x:c>
      <x:c r="E2344" s="12" t="str">
        <x:v>Enterprise software &amp; digital engineering</x:v>
      </x:c>
      <x:c r="F2344" s="12" t="str">
        <x:v>Large enterprise</x:v>
      </x:c>
      <x:c r="G2344" s="12" t="str">
        <x:v>Sonata describes a listed global IT business with more than 6,500 engineers. Large-enterprise campaign context; no statutory MSME status asserted.</x:v>
      </x:c>
      <x:c r="H2344" s="11" t="n">
        <x:v>1</x:v>
      </x:c>
      <x:c r="I2344" s="11" t="n">
        <x:v>6</x:v>
      </x:c>
      <x:c r="J2344" s="11" t="n">
        <x:v>6</x:v>
      </x:c>
      <x:c r="K2344" s="11" t="n">
        <x:v>0</x:v>
      </x:c>
      <x:c r="L2344" s="17" t="n">
        <x:f>SUM(SUMIFS('Costing'!$P$9:$P$492,'Costing'!$A$9:$A$492,"MAIN-023"))</x:f>
        <x:v>90000</x:v>
      </x:c>
      <x:c r="M2344" s="17" t="n">
        <x:f>ROUND(L2344*'Costing'!$C$4,2)</x:f>
        <x:v>16200</x:v>
      </x:c>
      <x:c r="N2344" s="17" t="n">
        <x:f>L2344+M2344</x:f>
        <x:v>106200</x:v>
      </x:c>
      <x:c r="O2344" s="12" t="str">
        <x:v>Bengaluru</x:v>
      </x:c>
      <x:c r="P2344" s="12" t="str">
        <x:v>CORP-0019</x:v>
      </x:c>
      <x:c r="Q2344" s="12" t="str">
        <x:v>Sonata Software</x:v>
      </x:c>
    </x:row>
    <x:row r="2345" ht="48" customHeight="1">
      <x:c r="A2345" s="2" t="str">
        <x:v>TEN-8ADA0F71C1EF</x:v>
      </x:c>
      <x:c r="B2345" s="12" t="str">
        <x:v>Sonel Instruments India Pvt Ltd</x:v>
      </x:c>
      <x:c r="C2345" s="12" t="str">
        <x:v>Business / brand</x:v>
      </x:c>
      <x:c r="D2345" s="12" t="str">
        <x:v>Engineering &amp; manufacturing</x:v>
      </x:c>
      <x:c r="E2345" s="12" t="str">
        <x:v>Electronics, industrial systems &amp; manufacturing</x:v>
      </x:c>
      <x:c r="F2345" s="12" t="str">
        <x:v>Medium-scale prospects</x:v>
      </x:c>
      <x:c r="G2345" s="12" t="str">
        <x:v>Specialist industrial or engineering business; medium-scale prospect assumption.</x:v>
      </x:c>
      <x:c r="H2345" s="11" t="n">
        <x:v>1</x:v>
      </x:c>
      <x:c r="I2345" s="11" t="n">
        <x:v>3</x:v>
      </x:c>
      <x:c r="J2345" s="11" t="n">
        <x:v>3</x:v>
      </x:c>
      <x:c r="K2345" s="11" t="n">
        <x:v>0</x:v>
      </x:c>
      <x:c r="L2345" s="17" t="n">
        <x:f>SUM(SUMIFS('Costing'!$P$9:$P$492,'Costing'!$A$9:$A$492,"MAIN-142"))</x:f>
        <x:v>45000</x:v>
      </x:c>
      <x:c r="M2345" s="17" t="n">
        <x:f>ROUND(L2345*'Costing'!$C$4,2)</x:f>
        <x:v>8100</x:v>
      </x:c>
      <x:c r="N2345" s="17" t="n">
        <x:f>L2345+M2345</x:f>
        <x:v>53100</x:v>
      </x:c>
      <x:c r="O2345" s="12" t="str">
        <x:v>Chennai</x:v>
      </x:c>
      <x:c r="P2345" s="12" t="str">
        <x:v>CORP-0138</x:v>
      </x:c>
      <x:c r="Q2345" s="12" t="str">
        <x:v>Sonel Instruments India Pvt Ltd</x:v>
      </x:c>
    </x:row>
    <x:row r="2346" ht="48" customHeight="1">
      <x:c r="A2346" s="2" t="str">
        <x:v>TEN-9CEA2EBE4EB1</x:v>
      </x:c>
      <x:c r="B2346" s="12" t="str">
        <x:v>Soni Agriculture &amp; Live Stock Private Limited</x:v>
      </x:c>
      <x:c r="C2346" s="12" t="str">
        <x:v>Business / brand</x:v>
      </x:c>
      <x:c r="D2346" s="12" t="str">
        <x:v>Trade, consumer &amp; logistics</x:v>
      </x:c>
      <x:c r="E2346" s="12" t="str">
        <x:v>Retail, consumer products &amp; ecommerce</x:v>
      </x:c>
      <x:c r="F2346" s="12" t="str">
        <x:v>Small-scale prospects</x:v>
      </x:c>
      <x:c r="G2346" s="12" t="str">
        <x:v>Trading or consumer-services business; small-scale prospect assumption.</x:v>
      </x:c>
      <x:c r="H2346" s="11" t="n">
        <x:v>1</x:v>
      </x:c>
      <x:c r="I2346" s="11" t="n">
        <x:v>2</x:v>
      </x:c>
      <x:c r="J2346" s="11" t="n">
        <x:v>2</x:v>
      </x:c>
      <x:c r="K2346" s="11" t="n">
        <x:v>0</x:v>
      </x:c>
      <x:c r="L2346" s="17" t="n">
        <x:f>SUM(SUMIFS('Costing'!$P$9:$P$492,'Costing'!$A$9:$A$492,"MAIN-273"))</x:f>
        <x:v>40000</x:v>
      </x:c>
      <x:c r="M2346" s="17" t="n">
        <x:f>ROUND(L2346*'Costing'!$C$4,2)</x:f>
        <x:v>7200</x:v>
      </x:c>
      <x:c r="N2346" s="17" t="n">
        <x:f>L2346+M2346</x:f>
        <x:v>47200</x:v>
      </x:c>
      <x:c r="O2346" s="12" t="str">
        <x:v>Indore</x:v>
      </x:c>
      <x:c r="P2346" s="12" t="str">
        <x:v>CORP-0269</x:v>
      </x:c>
      <x:c r="Q2346" s="12" t="str">
        <x:v>Soni Agriculture &amp; Live Stock Private Limited</x:v>
      </x:c>
    </x:row>
    <x:row r="2347" ht="48" customHeight="1">
      <x:c r="A2347" s="2" t="str">
        <x:v>TEN-49A09B6192AC</x:v>
      </x:c>
      <x:c r="B2347" s="12" t="str">
        <x:v>Sonix Human Capital Solutions Pvt. Ltd</x:v>
      </x:c>
      <x:c r="C2347" s="12" t="str">
        <x:v>Business / brand</x:v>
      </x:c>
      <x:c r="D2347" s="12" t="str">
        <x:v>Professional services</x:v>
      </x:c>
      <x:c r="E2347" s="12" t="str">
        <x:v>Recruitment, HR &amp; staffing</x:v>
      </x:c>
      <x:c r="F2347" s="12" t="str">
        <x:v>Small-scale prospects</x:v>
      </x:c>
      <x:c r="G2347" s="12" t="str">
        <x:v>Professional service, agency or advisory model; small-scale prospect assumption.</x:v>
      </x:c>
      <x:c r="H2347" s="11" t="n">
        <x:v>6</x:v>
      </x:c>
      <x:c r="I2347" s="11" t="n">
        <x:v>6</x:v>
      </x:c>
      <x:c r="J2347" s="11" t="n">
        <x:v>6</x:v>
      </x:c>
      <x:c r="K2347" s="11" t="n">
        <x:v>0</x:v>
      </x:c>
      <x:c r="L2347" s="17" t="n">
        <x:f>SUM(SUMIFS('Costing'!$P$9:$P$492,'Costing'!$A$9:$A$492,"PARTNER-M289"))</x:f>
        <x:v>240000</x:v>
      </x:c>
      <x:c r="M2347" s="17" t="n">
        <x:f>ROUND(L2347*'Costing'!$C$4,2)</x:f>
        <x:v>43200</x:v>
      </x:c>
      <x:c r="N2347" s="17" t="n">
        <x:f>L2347+M2347</x:f>
        <x:v>283200</x:v>
      </x:c>
      <x:c r="O2347" s="12" t="str">
        <x:v>Hyderabad</x:v>
      </x:c>
      <x:c r="P2347" s="12" t="str">
        <x:v>CORP-0704, CORP-0705, CORP-0706, CORP-0707, CORP-0708, CORP-0709</x:v>
      </x:c>
      <x:c r="Q2347" s="12" t="str">
        <x:v>Sonix Human Capital Solutions Pvt. Ltd</x:v>
      </x:c>
    </x:row>
    <x:row r="2348" ht="48" customHeight="1">
      <x:c r="A2348" s="2" t="str">
        <x:v>TEN-3546C13C4818</x:v>
      </x:c>
      <x:c r="B2348" s="12" t="str">
        <x:v>Sonus Networks</x:v>
      </x:c>
      <x:c r="C2348" s="12" t="str">
        <x:v>Business / brand</x:v>
      </x:c>
      <x:c r="D2348" s="12" t="str">
        <x:v>IT &amp; digital</x:v>
      </x:c>
      <x:c r="E2348" s="12" t="str">
        <x:v>Telecom, networks &amp; connectivity</x:v>
      </x:c>
      <x:c r="F2348" s="12" t="str">
        <x:v>Mixed business audience</x:v>
      </x:c>
      <x:c r="G2348" s="12" t="str">
        <x:v>Recognisable business context; company-scale evidence remains insufficient for a single size band.</x:v>
      </x:c>
      <x:c r="H2348" s="11" t="n">
        <x:v>6</x:v>
      </x:c>
      <x:c r="I2348" s="11" t="n">
        <x:v>6</x:v>
      </x:c>
      <x:c r="J2348" s="11" t="n">
        <x:v>6</x:v>
      </x:c>
      <x:c r="K2348" s="11" t="n">
        <x:v>0</x:v>
      </x:c>
      <x:c r="L2348" s="17" t="n">
        <x:f>SUM(SUMIFS('Costing'!$P$9:$P$492,'Costing'!$A$9:$A$492,"PARTNER-M072"))</x:f>
        <x:v>240000</x:v>
      </x:c>
      <x:c r="M2348" s="17" t="n">
        <x:f>ROUND(L2348*'Costing'!$C$4,2)</x:f>
        <x:v>43200</x:v>
      </x:c>
      <x:c r="N2348" s="17" t="n">
        <x:f>L2348+M2348</x:f>
        <x:v>283200</x:v>
      </x:c>
      <x:c r="O2348" s="12" t="str">
        <x:v>Bengaluru</x:v>
      </x:c>
      <x:c r="P2348" s="12" t="str">
        <x:v>CORP-0490, CORP-0491, CORP-0492, CORP-0493, CORP-0494, CORP-0495</x:v>
      </x:c>
      <x:c r="Q2348" s="12" t="str">
        <x:v>Sonus Networks</x:v>
      </x:c>
    </x:row>
    <x:row r="2349" ht="48" customHeight="1">
      <x:c r="A2349" s="2" t="str">
        <x:v>TEN-587D392B6C76</x:v>
      </x:c>
      <x:c r="B2349" s="12" t="str">
        <x:v>Sony</x:v>
      </x:c>
      <x:c r="C2349" s="12" t="str">
        <x:v>Business / brand</x:v>
      </x:c>
      <x:c r="D2349" s="12" t="str">
        <x:v>Engineering &amp; manufacturing</x:v>
      </x:c>
      <x:c r="E2349" s="12" t="str">
        <x:v>Engineering/manufacturing — specialty unverified</x:v>
      </x:c>
      <x:c r="F2349" s="12" t="str">
        <x:v>Mixed business audience</x:v>
      </x:c>
      <x:c r="G2349" s="12" t="str">
        <x:v>Recognisable business context; company-scale evidence remains insufficient for a single size band.</x:v>
      </x:c>
      <x:c r="H2349" s="11" t="n">
        <x:v>1</x:v>
      </x:c>
      <x:c r="I2349" s="11" t="n">
        <x:v>5</x:v>
      </x:c>
      <x:c r="J2349" s="11" t="n">
        <x:v>5</x:v>
      </x:c>
      <x:c r="K2349" s="11" t="n">
        <x:v>0</x:v>
      </x:c>
      <x:c r="L2349" s="17" t="n">
        <x:f>SUM(SUMIFS('Costing'!$P$9:$P$492,'Costing'!$A$9:$A$492,"MAIN-167"))</x:f>
        <x:v>200000</x:v>
      </x:c>
      <x:c r="M2349" s="17" t="n">
        <x:f>ROUND(L2349*'Costing'!$C$4,2)</x:f>
        <x:v>36000</x:v>
      </x:c>
      <x:c r="N2349" s="17" t="n">
        <x:f>L2349+M2349</x:f>
        <x:v>236000</x:v>
      </x:c>
      <x:c r="O2349" s="12" t="str">
        <x:v>Delhi NCR</x:v>
      </x:c>
      <x:c r="P2349" s="12" t="str">
        <x:v>CORP-0163</x:v>
      </x:c>
      <x:c r="Q2349" s="12" t="str">
        <x:v>Sony</x:v>
      </x:c>
    </x:row>
    <x:row r="2350" ht="48" customHeight="1">
      <x:c r="A2350" s="2" t="str">
        <x:v>TEN-9E5953867F35</x:v>
      </x:c>
      <x:c r="B2350" s="12" t="str">
        <x:v>Sony Pictures</x:v>
      </x:c>
      <x:c r="C2350" s="12" t="str">
        <x:v>Business / brand</x:v>
      </x:c>
      <x:c r="D2350" s="12" t="str">
        <x:v>Trade, consumer &amp; logistics</x:v>
      </x:c>
      <x:c r="E2350" s="12" t="str">
        <x:v>Consumer/trade services — specialty unverified</x:v>
      </x:c>
      <x:c r="F2350" s="12" t="str">
        <x:v>Mixed business audience</x:v>
      </x:c>
      <x:c r="G2350" s="12" t="str">
        <x:v>Recognisable business context; company-scale evidence remains insufficient for a single size band.</x:v>
      </x:c>
      <x:c r="H2350" s="11" t="n">
        <x:v>1</x:v>
      </x:c>
      <x:c r="I2350" s="11" t="n">
        <x:v>1</x:v>
      </x:c>
      <x:c r="J2350" s="11" t="n">
        <x:v>1</x:v>
      </x:c>
      <x:c r="K2350" s="11" t="n">
        <x:v>0</x:v>
      </x:c>
      <x:c r="L2350" s="17" t="n">
        <x:f>SUM(SUMIFS('Costing'!$P$9:$P$492,'Costing'!$A$9:$A$492,"MAIN-275"))</x:f>
        <x:v>40000</x:v>
      </x:c>
      <x:c r="M2350" s="17" t="n">
        <x:f>ROUND(L2350*'Costing'!$C$4,2)</x:f>
        <x:v>7200</x:v>
      </x:c>
      <x:c r="N2350" s="17" t="n">
        <x:f>L2350+M2350</x:f>
        <x:v>47200</x:v>
      </x:c>
      <x:c r="O2350" s="12" t="str">
        <x:v>Indore</x:v>
      </x:c>
      <x:c r="P2350" s="12" t="str">
        <x:v>CORP-0271</x:v>
      </x:c>
      <x:c r="Q2350" s="12" t="str">
        <x:v>Sony Pictures</x:v>
      </x:c>
    </x:row>
    <x:row r="2351" ht="48" customHeight="1">
      <x:c r="A2351" s="2" t="str">
        <x:v>TEN-DFB64AC34C6A</x:v>
      </x:c>
      <x:c r="B2351" s="12" t="str">
        <x:v>sophisTex Pvt. Ltd</x:v>
      </x:c>
      <x:c r="C2351" s="12" t="str">
        <x:v>Business / brand</x:v>
      </x:c>
      <x:c r="D2351" s="12" t="str">
        <x:v>Unresolved</x:v>
      </x:c>
      <x:c r="E2351" s="12" t="str">
        <x:v>Business activity not established</x:v>
      </x:c>
      <x:c r="F2351" s="12" t="str">
        <x:v>Mixed business audience</x:v>
      </x:c>
      <x:c r="G2351" s="12" t="str">
        <x:v>Business activity and company scale are not established from this name.</x:v>
      </x:c>
      <x:c r="H2351" s="11" t="n">
        <x:v>5</x:v>
      </x:c>
      <x:c r="I2351" s="11" t="n">
        <x:v>5</x:v>
      </x:c>
      <x:c r="J2351" s="11" t="n">
        <x:v>5</x:v>
      </x:c>
      <x:c r="K2351" s="11" t="n">
        <x:v>0</x:v>
      </x:c>
      <x:c r="L2351" s="17" t="n">
        <x:f>SUM(SUMIFS('Costing'!$P$9:$P$492,'Costing'!$A$9:$A$492,"PARTNER-M034"))</x:f>
        <x:v>200000</x:v>
      </x:c>
      <x:c r="M2351" s="17" t="n">
        <x:f>ROUND(L2351*'Costing'!$C$4,2)</x:f>
        <x:v>36000</x:v>
      </x:c>
      <x:c r="N2351" s="17" t="n">
        <x:f>L2351+M2351</x:f>
        <x:v>236000</x:v>
      </x:c>
      <x:c r="O2351" s="12" t="str">
        <x:v>Bengaluru</x:v>
      </x:c>
      <x:c r="P2351" s="12" t="str">
        <x:v>CORP-0452, CORP-0453, CORP-0454, CORP-0455, CORP-0456</x:v>
      </x:c>
      <x:c r="Q2351" s="12" t="str">
        <x:v>sophisTex Pvt. Ltd</x:v>
      </x:c>
    </x:row>
    <x:row r="2352" ht="48" customHeight="1">
      <x:c r="A2352" s="2" t="str">
        <x:v>TEN-FFF9B8935849</x:v>
      </x:c>
      <x:c r="B2352" s="12" t="str">
        <x:v>Sophos Technologies</x:v>
      </x:c>
      <x:c r="C2352" s="12" t="str">
        <x:v>Business / brand</x:v>
      </x:c>
      <x:c r="D2352" s="12" t="str">
        <x:v>IT &amp; digital</x:v>
      </x:c>
      <x:c r="E2352" s="12" t="str">
        <x:v>Cybersecurity &amp; cloud infrastructure</x:v>
      </x:c>
      <x:c r="F2352" s="12" t="str">
        <x:v>Mixed business audience</x:v>
      </x:c>
      <x:c r="G2352" s="12" t="str">
        <x:v>Established brand or business network; local company scale is not established. Use a mixed-business message.</x:v>
      </x:c>
      <x:c r="H2352" s="11" t="n">
        <x:v>9</x:v>
      </x:c>
      <x:c r="I2352" s="11" t="n">
        <x:v>9</x:v>
      </x:c>
      <x:c r="J2352" s="11" t="n">
        <x:v>9</x:v>
      </x:c>
      <x:c r="K2352" s="11" t="n">
        <x:v>0</x:v>
      </x:c>
      <x:c r="L2352" s="17" t="n">
        <x:f>SUM(SUMIFS('Costing'!$P$9:$P$492,'Costing'!$A$9:$A$492,"PARTNER-M166"),SUMIFS('Costing'!$P$9:$P$492,'Costing'!$A$9:$A$492,"PARTNER-M072"))</x:f>
        <x:v>360000</x:v>
      </x:c>
      <x:c r="M2352" s="17" t="n">
        <x:f>ROUND(L2352*'Costing'!$C$4,2)</x:f>
        <x:v>64800</x:v>
      </x:c>
      <x:c r="N2352" s="17" t="n">
        <x:f>L2352+M2352</x:f>
        <x:v>424800</x:v>
      </x:c>
      <x:c r="O2352" s="12" t="str">
        <x:v>Bengaluru</x:v>
      </x:c>
      <x:c r="P2352" s="12" t="str">
        <x:v>CORP-0490, CORP-0491, CORP-0492, CORP-0493, CORP-0494, CORP-0495, CORP-0584, CORP-0585, CORP-0586</x:v>
      </x:c>
      <x:c r="Q2352" s="12" t="str">
        <x:v>Sophos Technologies</x:v>
      </x:c>
    </x:row>
    <x:row r="2353" ht="48" customHeight="1">
      <x:c r="A2353" s="2" t="str">
        <x:v>TEN-6D85929AD09C</x:v>
      </x:c>
      <x:c r="B2353" s="12" t="str">
        <x:v>SORIL Infra Resources Limited</x:v>
      </x:c>
      <x:c r="C2353" s="12" t="str">
        <x:v>Business / brand</x:v>
      </x:c>
      <x:c r="D2353" s="12" t="str">
        <x:v>Engineering &amp; manufacturing</x:v>
      </x:c>
      <x:c r="E2353" s="12" t="str">
        <x:v>Engineering/manufacturing — specialty unverified</x:v>
      </x:c>
      <x:c r="F2353" s="12" t="str">
        <x:v>Mixed business audience</x:v>
      </x:c>
      <x:c r="G2353" s="12" t="str">
        <x:v>Established brand or business network; local company scale is not established. Use a mixed-business message.</x:v>
      </x:c>
      <x:c r="H2353" s="11" t="n">
        <x:v>1</x:v>
      </x:c>
      <x:c r="I2353" s="11" t="n">
        <x:v>1</x:v>
      </x:c>
      <x:c r="J2353" s="11" t="n">
        <x:v>1</x:v>
      </x:c>
      <x:c r="K2353" s="11" t="n">
        <x:v>0</x:v>
      </x:c>
      <x:c r="L2353" s="17" t="n">
        <x:f>SUM(SUMIFS('Costing'!$P$9:$P$492,'Costing'!$A$9:$A$492,"MAIN-331"))</x:f>
        <x:v>15000</x:v>
      </x:c>
      <x:c r="M2353" s="17" t="n">
        <x:f>ROUND(L2353*'Costing'!$C$4,2)</x:f>
        <x:v>2700</x:v>
      </x:c>
      <x:c r="N2353" s="17" t="n">
        <x:f>L2353+M2353</x:f>
        <x:v>17700</x:v>
      </x:c>
      <x:c r="O2353" s="12" t="str">
        <x:v>Mumbai</x:v>
      </x:c>
      <x:c r="P2353" s="12" t="str">
        <x:v>CORP-0327</x:v>
      </x:c>
      <x:c r="Q2353" s="12" t="str">
        <x:v>SORIL Infra Resources Limited</x:v>
      </x:c>
    </x:row>
    <x:row r="2354" ht="48" customHeight="1">
      <x:c r="A2354" s="2" t="str">
        <x:v>TEN-D2D88D6E7476</x:v>
      </x:c>
      <x:c r="B2354" s="12" t="str">
        <x:v>Sourcefuse</x:v>
      </x:c>
      <x:c r="C2354" s="12" t="str">
        <x:v>Business / brand</x:v>
      </x:c>
      <x:c r="D2354" s="12" t="str">
        <x:v>IT &amp; digital</x:v>
      </x:c>
      <x:c r="E2354" s="12" t="str">
        <x:v>Enterprise software &amp; digital engineering</x:v>
      </x:c>
      <x:c r="F2354" s="12" t="str">
        <x:v>Small-scale prospects</x:v>
      </x:c>
      <x:c r="G2354" s="12" t="str">
        <x:v>Software or technology-services business; small-scale prospect assumption.</x:v>
      </x:c>
      <x:c r="H2354" s="11" t="n">
        <x:v>4</x:v>
      </x:c>
      <x:c r="I2354" s="11" t="n">
        <x:v>4</x:v>
      </x:c>
      <x:c r="J2354" s="11" t="n">
        <x:v>4</x:v>
      </x:c>
      <x:c r="K2354" s="11" t="n">
        <x:v>0</x:v>
      </x:c>
      <x:c r="L2354" s="17" t="n">
        <x:f>SUM(SUMIFS('Costing'!$P$9:$P$492,'Costing'!$A$9:$A$492,"PARTNER-M308"))</x:f>
        <x:v>160000</x:v>
      </x:c>
      <x:c r="M2354" s="17" t="n">
        <x:f>ROUND(L2354*'Costing'!$C$4,2)</x:f>
        <x:v>28800</x:v>
      </x:c>
      <x:c r="N2354" s="17" t="n">
        <x:f>L2354+M2354</x:f>
        <x:v>188800</x:v>
      </x:c>
      <x:c r="O2354" s="12" t="str">
        <x:v>Hyderabad</x:v>
      </x:c>
      <x:c r="P2354" s="12" t="str">
        <x:v>CORP-0723, CORP-0724, CORP-0725, CORP-0726</x:v>
      </x:c>
      <x:c r="Q2354" s="12" t="str">
        <x:v>Sourcefuse</x:v>
      </x:c>
    </x:row>
    <x:row r="2355" ht="48" customHeight="1">
      <x:c r="A2355" s="2" t="str">
        <x:v>TEN-E4D518380716</x:v>
      </x:c>
      <x:c r="B2355" s="12" t="str">
        <x:v>SourceFuse Technologies India</x:v>
      </x:c>
      <x:c r="C2355" s="12" t="str">
        <x:v>Business / brand</x:v>
      </x:c>
      <x:c r="D2355" s="12" t="str">
        <x:v>IT &amp; digital</x:v>
      </x:c>
      <x:c r="E2355" s="12" t="str">
        <x:v>Enterprise software &amp; digital engineering</x:v>
      </x:c>
      <x:c r="F2355" s="12" t="str">
        <x:v>Small-scale prospects</x:v>
      </x:c>
      <x:c r="G2355" s="12" t="str">
        <x:v>Software or technology-services business; small-scale prospect assumption.</x:v>
      </x:c>
      <x:c r="H2355" s="11" t="n">
        <x:v>1</x:v>
      </x:c>
      <x:c r="I2355" s="11" t="n">
        <x:v>2</x:v>
      </x:c>
      <x:c r="J2355" s="11" t="n">
        <x:v>2</x:v>
      </x:c>
      <x:c r="K2355" s="11" t="n">
        <x:v>0</x:v>
      </x:c>
      <x:c r="L2355" s="17" t="n">
        <x:f>SUM(SUMIFS('Costing'!$P$9:$P$492,'Costing'!$A$9:$A$492,"MAIN-166"))</x:f>
        <x:v>40000</x:v>
      </x:c>
      <x:c r="M2355" s="17" t="n">
        <x:f>ROUND(L2355*'Costing'!$C$4,2)</x:f>
        <x:v>7200</x:v>
      </x:c>
      <x:c r="N2355" s="17" t="n">
        <x:f>L2355+M2355</x:f>
        <x:v>47200</x:v>
      </x:c>
      <x:c r="O2355" s="12" t="str">
        <x:v>Delhi NCR</x:v>
      </x:c>
      <x:c r="P2355" s="12" t="str">
        <x:v>CORP-0162</x:v>
      </x:c>
      <x:c r="Q2355" s="12" t="str">
        <x:v>SourceFuse Technologies India</x:v>
      </x:c>
    </x:row>
    <x:row r="2356" ht="48" customHeight="1">
      <x:c r="A2356" s="2" t="str">
        <x:v>TEN-B1431D1B5AF5</x:v>
      </x:c>
      <x:c r="B2356" s="12" t="str">
        <x:v>South India bank</x:v>
      </x:c>
      <x:c r="C2356" s="12" t="str">
        <x:v>Business / brand</x:v>
      </x:c>
      <x:c r="D2356" s="12" t="str">
        <x:v>Finance &amp; insurance</x:v>
      </x:c>
      <x:c r="E2356" s="12" t="str">
        <x:v>Banking &amp; credit</x:v>
      </x:c>
      <x:c r="F2356" s="12" t="str">
        <x:v>Mixed business audience</x:v>
      </x:c>
      <x:c r="G2356" s="12" t="str">
        <x:v>Recognisable business context; company-scale evidence remains insufficient for a single size band.</x:v>
      </x:c>
      <x:c r="H2356" s="11" t="n">
        <x:v>1</x:v>
      </x:c>
      <x:c r="I2356" s="11" t="n">
        <x:v>8</x:v>
      </x:c>
      <x:c r="J2356" s="11" t="n">
        <x:v>8</x:v>
      </x:c>
      <x:c r="K2356" s="11" t="n">
        <x:v>0</x:v>
      </x:c>
      <x:c r="L2356" s="17" t="n">
        <x:f>SUM(SUMIFS('Costing'!$P$9:$P$492,'Costing'!$A$9:$A$492,"MAIN-009"))</x:f>
        <x:v>120000</x:v>
      </x:c>
      <x:c r="M2356" s="17" t="n">
        <x:f>ROUND(L2356*'Costing'!$C$4,2)</x:f>
        <x:v>21600</x:v>
      </x:c>
      <x:c r="N2356" s="17" t="n">
        <x:f>L2356+M2356</x:f>
        <x:v>141600</x:v>
      </x:c>
      <x:c r="O2356" s="12" t="str">
        <x:v>Bengaluru</x:v>
      </x:c>
      <x:c r="P2356" s="12" t="str">
        <x:v>CORP-0005</x:v>
      </x:c>
      <x:c r="Q2356" s="12" t="str">
        <x:v>South India bank</x:v>
      </x:c>
    </x:row>
    <x:row r="2357" ht="48" customHeight="1">
      <x:c r="A2357" s="2" t="str">
        <x:v>TEN-48C0B7EF7437</x:v>
      </x:c>
      <x:c r="B2357" s="12" t="str">
        <x:v>Sovika Aviation Services</x:v>
      </x:c>
      <x:c r="C2357" s="12" t="str">
        <x:v>Business / brand</x:v>
      </x:c>
      <x:c r="D2357" s="12" t="str">
        <x:v>Trade, consumer &amp; logistics</x:v>
      </x:c>
      <x:c r="E2357" s="12" t="str">
        <x:v>Travel, hospitality, food &amp; beverages</x:v>
      </x:c>
      <x:c r="F2357" s="12" t="str">
        <x:v>Small-scale prospects</x:v>
      </x:c>
      <x:c r="G2357" s="12" t="str">
        <x:v>Trading or consumer-services business; small-scale prospect assumption.</x:v>
      </x:c>
      <x:c r="H2357" s="11" t="n">
        <x:v>2</x:v>
      </x:c>
      <x:c r="I2357" s="11" t="n">
        <x:v>2</x:v>
      </x:c>
      <x:c r="J2357" s="11" t="n">
        <x:v>2</x:v>
      </x:c>
      <x:c r="K2357" s="11" t="n">
        <x:v>0</x:v>
      </x:c>
      <x:c r="L2357" s="17" t="n">
        <x:f>SUM(SUMIFS('Costing'!$P$9:$P$492,'Costing'!$A$9:$A$492,"PARTNER-M241"))</x:f>
        <x:v>80000</x:v>
      </x:c>
      <x:c r="M2357" s="17" t="n">
        <x:f>ROUND(L2357*'Costing'!$C$4,2)</x:f>
        <x:v>14400</x:v>
      </x:c>
      <x:c r="N2357" s="17" t="n">
        <x:f>L2357+M2357</x:f>
        <x:v>94400</x:v>
      </x:c>
      <x:c r="O2357" s="12" t="str">
        <x:v>Mumbai</x:v>
      </x:c>
      <x:c r="P2357" s="12" t="str">
        <x:v>CORP-0658, CORP-0659</x:v>
      </x:c>
      <x:c r="Q2357" s="12" t="str">
        <x:v>Sovika Aviation Services</x:v>
      </x:c>
    </x:row>
    <x:row r="2358" ht="48" customHeight="1">
      <x:c r="A2358" s="2" t="str">
        <x:v>TEN-C911002E4318</x:v>
      </x:c>
      <x:c r="B2358" s="12" t="str">
        <x:v>SowTechno Consulting Pvt. Ltd</x:v>
      </x:c>
      <x:c r="C2358" s="12" t="str">
        <x:v>Business / brand</x:v>
      </x:c>
      <x:c r="D2358" s="12" t="str">
        <x:v>Professional services</x:v>
      </x:c>
      <x:c r="E2358" s="12" t="str">
        <x:v>Business consulting &amp; advisory</x:v>
      </x:c>
      <x:c r="F2358" s="12" t="str">
        <x:v>Small-scale prospects</x:v>
      </x:c>
      <x:c r="G2358" s="12" t="str">
        <x:v>Professional service, agency or advisory model; small-scale prospect assumption.</x:v>
      </x:c>
      <x:c r="H2358" s="11" t="n">
        <x:v>1</x:v>
      </x:c>
      <x:c r="I2358" s="11" t="n">
        <x:v>7</x:v>
      </x:c>
      <x:c r="J2358" s="11" t="n">
        <x:v>7</x:v>
      </x:c>
      <x:c r="K2358" s="11" t="n">
        <x:v>0</x:v>
      </x:c>
      <x:c r="L2358" s="17" t="n">
        <x:f>SUM(SUMIFS('Costing'!$P$9:$P$492,'Costing'!$A$9:$A$492,"MAIN-116"))</x:f>
        <x:v>175000</x:v>
      </x:c>
      <x:c r="M2358" s="17" t="n">
        <x:f>ROUND(L2358*'Costing'!$C$4,2)</x:f>
        <x:v>31500</x:v>
      </x:c>
      <x:c r="N2358" s="17" t="n">
        <x:f>L2358+M2358</x:f>
        <x:v>206500</x:v>
      </x:c>
      <x:c r="O2358" s="12" t="str">
        <x:v>Bengaluru</x:v>
      </x:c>
      <x:c r="P2358" s="12" t="str">
        <x:v>CORP-0112</x:v>
      </x:c>
      <x:c r="Q2358" s="12" t="str">
        <x:v>SowTechno Consulting Pvt. Ltd</x:v>
      </x:c>
    </x:row>
    <x:row r="2359" ht="48" customHeight="1">
      <x:c r="A2359" s="2" t="str">
        <x:v>TEN-0C640AA2B409</x:v>
      </x:c>
      <x:c r="B2359" s="12" t="str">
        <x:v>Spa Lavish Massage Center-Thai Spa in Sector 49 Gurgaon</x:v>
      </x:c>
      <x:c r="C2359" s="12" t="str">
        <x:v>Business / brand</x:v>
      </x:c>
      <x:c r="D2359" s="12" t="str">
        <x:v>Trade, consumer &amp; logistics</x:v>
      </x:c>
      <x:c r="E2359" s="12" t="str">
        <x:v>Retail, consumer products &amp; ecommerce</x:v>
      </x:c>
      <x:c r="F2359" s="12" t="str">
        <x:v>Small-scale prospects</x:v>
      </x:c>
      <x:c r="G2359" s="12" t="str">
        <x:v>Trading or consumer-services business; small-scale prospect assumption.</x:v>
      </x:c>
      <x:c r="H2359" s="11" t="n">
        <x:v>1</x:v>
      </x:c>
      <x:c r="I2359" s="11" t="n">
        <x:v>4</x:v>
      </x:c>
      <x:c r="J2359" s="11" t="n">
        <x:v>4</x:v>
      </x:c>
      <x:c r="K2359" s="11" t="n">
        <x:v>0</x:v>
      </x:c>
      <x:c r="L2359" s="17" t="n">
        <x:f>SUM(SUMIFS('Costing'!$P$9:$P$492,'Costing'!$A$9:$A$492,"MAIN-198"))</x:f>
        <x:v>60000</x:v>
      </x:c>
      <x:c r="M2359" s="17" t="n">
        <x:f>ROUND(L2359*'Costing'!$C$4,2)</x:f>
        <x:v>10800</x:v>
      </x:c>
      <x:c r="N2359" s="17" t="n">
        <x:f>L2359+M2359</x:f>
        <x:v>70800</x:v>
      </x:c>
      <x:c r="O2359" s="12" t="str">
        <x:v>Delhi NCR</x:v>
      </x:c>
      <x:c r="P2359" s="12" t="str">
        <x:v>CORP-0194</x:v>
      </x:c>
      <x:c r="Q2359" s="12" t="str">
        <x:v>Spa Lavish Massage Center-Thai Spa in Sector 49 Gurgaon</x:v>
      </x:c>
    </x:row>
    <x:row r="2360" ht="48" customHeight="1">
      <x:c r="A2360" s="2" t="str">
        <x:v>TEN-29E4A775BC88</x:v>
      </x:c>
      <x:c r="B2360" s="12" t="str">
        <x:v>SPACE OIL AND GAS</x:v>
      </x:c>
      <x:c r="C2360" s="12" t="str">
        <x:v>Business / brand</x:v>
      </x:c>
      <x:c r="D2360" s="12" t="str">
        <x:v>Engineering &amp; manufacturing</x:v>
      </x:c>
      <x:c r="E2360" s="12" t="str">
        <x:v>Energy, electrical &amp; industrial systems</x:v>
      </x:c>
      <x:c r="F2360" s="12" t="str">
        <x:v>Medium-scale prospects</x:v>
      </x:c>
      <x:c r="G2360" s="12" t="str">
        <x:v>Specialist industrial or engineering business; medium-scale prospect assumption.</x:v>
      </x:c>
      <x:c r="H2360" s="11" t="n">
        <x:v>1</x:v>
      </x:c>
      <x:c r="I2360" s="11" t="n">
        <x:v>2</x:v>
      </x:c>
      <x:c r="J2360" s="11" t="n">
        <x:v>2</x:v>
      </x:c>
      <x:c r="K2360" s="11" t="n">
        <x:v>0</x:v>
      </x:c>
      <x:c r="L2360" s="17" t="n">
        <x:f>SUM(SUMIFS('Costing'!$P$9:$P$492,'Costing'!$A$9:$A$492,"MAIN-216"))</x:f>
        <x:v>30000</x:v>
      </x:c>
      <x:c r="M2360" s="17" t="n">
        <x:f>ROUND(L2360*'Costing'!$C$4,2)</x:f>
        <x:v>5400</x:v>
      </x:c>
      <x:c r="N2360" s="17" t="n">
        <x:f>L2360+M2360</x:f>
        <x:v>35400</x:v>
      </x:c>
      <x:c r="O2360" s="12" t="str">
        <x:v>Hyderabad</x:v>
      </x:c>
      <x:c r="P2360" s="12" t="str">
        <x:v>CORP-0212</x:v>
      </x:c>
      <x:c r="Q2360" s="12" t="str">
        <x:v>SPACE OIL AND GAS</x:v>
      </x:c>
    </x:row>
    <x:row r="2361" ht="48" customHeight="1">
      <x:c r="A2361" s="2" t="str">
        <x:v>TEN-DF08715E63C4</x:v>
      </x:c>
      <x:c r="B2361" s="12" t="str">
        <x:v>SpaceAtlas Proptech LLP</x:v>
      </x:c>
      <x:c r="C2361" s="12" t="str">
        <x:v>Business / brand</x:v>
      </x:c>
      <x:c r="D2361" s="12" t="str">
        <x:v>Trade, consumer &amp; logistics</x:v>
      </x:c>
      <x:c r="E2361" s="12" t="str">
        <x:v>Real estate, property &amp; construction services</x:v>
      </x:c>
      <x:c r="F2361" s="12" t="str">
        <x:v>Small-scale prospects</x:v>
      </x:c>
      <x:c r="G2361" s="12" t="str">
        <x:v>Trading or consumer-services business; small-scale prospect assumption.</x:v>
      </x:c>
      <x:c r="H2361" s="11" t="n">
        <x:v>1</x:v>
      </x:c>
      <x:c r="I2361" s="11" t="n">
        <x:v>3</x:v>
      </x:c>
      <x:c r="J2361" s="11" t="n">
        <x:v>3</x:v>
      </x:c>
      <x:c r="K2361" s="11" t="n">
        <x:v>0</x:v>
      </x:c>
      <x:c r="L2361" s="17" t="n">
        <x:f>SUM(SUMIFS('Costing'!$P$9:$P$492,'Costing'!$A$9:$A$492,"MAIN-029"))</x:f>
        <x:v>45000</x:v>
      </x:c>
      <x:c r="M2361" s="17" t="n">
        <x:f>ROUND(L2361*'Costing'!$C$4,2)</x:f>
        <x:v>8100</x:v>
      </x:c>
      <x:c r="N2361" s="17" t="n">
        <x:f>L2361+M2361</x:f>
        <x:v>53100</x:v>
      </x:c>
      <x:c r="O2361" s="12" t="str">
        <x:v>Bengaluru</x:v>
      </x:c>
      <x:c r="P2361" s="12" t="str">
        <x:v>CORP-0025</x:v>
      </x:c>
      <x:c r="Q2361" s="12" t="str">
        <x:v>SpaceAtlas Proptech LLP</x:v>
      </x:c>
    </x:row>
    <x:row r="2362" ht="48" customHeight="1">
      <x:c r="A2362" s="2" t="str">
        <x:v>TEN-637CB01B6C0E</x:v>
      </x:c>
      <x:c r="B2362" s="12" t="str">
        <x:v>SpaceN</x:v>
      </x:c>
      <x:c r="C2362" s="12" t="str">
        <x:v>Business / brand</x:v>
      </x:c>
      <x:c r="D2362" s="12" t="str">
        <x:v>Trade, consumer &amp; logistics</x:v>
      </x:c>
      <x:c r="E2362" s="12" t="str">
        <x:v>Retail, consumer products &amp; ecommerce</x:v>
      </x:c>
      <x:c r="F2362" s="12" t="str">
        <x:v>Small-scale prospects</x:v>
      </x:c>
      <x:c r="G2362" s="12" t="str">
        <x:v>Trading or consumer-services business; small-scale prospect assumption.</x:v>
      </x:c>
      <x:c r="H2362" s="11" t="n">
        <x:v>1</x:v>
      </x:c>
      <x:c r="I2362" s="11" t="n">
        <x:v>2</x:v>
      </x:c>
      <x:c r="J2362" s="11" t="n">
        <x:v>2</x:v>
      </x:c>
      <x:c r="K2362" s="11" t="n">
        <x:v>0</x:v>
      </x:c>
      <x:c r="L2362" s="17" t="n">
        <x:f>SUM(SUMIFS('Costing'!$P$9:$P$492,'Costing'!$A$9:$A$492,"MAIN-288"))</x:f>
        <x:v>40000</x:v>
      </x:c>
      <x:c r="M2362" s="17" t="n">
        <x:f>ROUND(L2362*'Costing'!$C$4,2)</x:f>
        <x:v>7200</x:v>
      </x:c>
      <x:c r="N2362" s="17" t="n">
        <x:f>L2362+M2362</x:f>
        <x:v>47200</x:v>
      </x:c>
      <x:c r="O2362" s="12" t="str">
        <x:v>Lucknow</x:v>
      </x:c>
      <x:c r="P2362" s="12" t="str">
        <x:v>CORP-0284</x:v>
      </x:c>
      <x:c r="Q2362" s="12" t="str">
        <x:v>SpaceN</x:v>
      </x:c>
    </x:row>
    <x:row r="2363" ht="48" customHeight="1">
      <x:c r="A2363" s="2" t="str">
        <x:v>TEN-676234A77596</x:v>
      </x:c>
      <x:c r="B2363" s="12" t="str">
        <x:v>span workz</x:v>
      </x:c>
      <x:c r="C2363" s="12" t="str">
        <x:v>Business / brand</x:v>
      </x:c>
      <x:c r="D2363" s="12" t="str">
        <x:v>Trade, consumer &amp; logistics</x:v>
      </x:c>
      <x:c r="E2363" s="12" t="str">
        <x:v>Retail, consumer products &amp; ecommerce</x:v>
      </x:c>
      <x:c r="F2363" s="12" t="str">
        <x:v>Small-scale prospects</x:v>
      </x:c>
      <x:c r="G2363" s="12" t="str">
        <x:v>Trading or consumer-services business; small-scale prospect assumption.</x:v>
      </x:c>
      <x:c r="H2363" s="11" t="n">
        <x:v>1</x:v>
      </x:c>
      <x:c r="I2363" s="11" t="n">
        <x:v>2</x:v>
      </x:c>
      <x:c r="J2363" s="11" t="n">
        <x:v>2</x:v>
      </x:c>
      <x:c r="K2363" s="11" t="n">
        <x:v>0</x:v>
      </x:c>
      <x:c r="L2363" s="17" t="n">
        <x:f>SUM(SUMIFS('Costing'!$P$9:$P$492,'Costing'!$A$9:$A$492,"MAIN-045"))</x:f>
        <x:v>30000</x:v>
      </x:c>
      <x:c r="M2363" s="17" t="n">
        <x:f>ROUND(L2363*'Costing'!$C$4,2)</x:f>
        <x:v>5400</x:v>
      </x:c>
      <x:c r="N2363" s="17" t="n">
        <x:f>L2363+M2363</x:f>
        <x:v>35400</x:v>
      </x:c>
      <x:c r="O2363" s="12" t="str">
        <x:v>Bengaluru</x:v>
      </x:c>
      <x:c r="P2363" s="12" t="str">
        <x:v>CORP-0041</x:v>
      </x:c>
      <x:c r="Q2363" s="12" t="str">
        <x:v>span workz</x:v>
      </x:c>
    </x:row>
    <x:row r="2364" ht="48" customHeight="1">
      <x:c r="A2364" s="2" t="str">
        <x:v>TEN-054BC589EE9E</x:v>
      </x:c>
      <x:c r="B2364" s="12" t="str">
        <x:v>Spectraforce Technologies (India) Pvt. Ltd</x:v>
      </x:c>
      <x:c r="C2364" s="12" t="str">
        <x:v>Business / brand</x:v>
      </x:c>
      <x:c r="D2364" s="12" t="str">
        <x:v>Professional services</x:v>
      </x:c>
      <x:c r="E2364" s="12" t="str">
        <x:v>Research, marketing &amp; professional services</x:v>
      </x:c>
      <x:c r="F2364" s="12" t="str">
        <x:v>Mixed business audience</x:v>
      </x:c>
      <x:c r="G2364" s="12" t="str">
        <x:v>Established brand or business network; local company scale is not established. Use a mixed-business message.</x:v>
      </x:c>
      <x:c r="H2364" s="11" t="n">
        <x:v>4</x:v>
      </x:c>
      <x:c r="I2364" s="11" t="n">
        <x:v>4</x:v>
      </x:c>
      <x:c r="J2364" s="11" t="n">
        <x:v>4</x:v>
      </x:c>
      <x:c r="K2364" s="11" t="n">
        <x:v>0</x:v>
      </x:c>
      <x:c r="L2364" s="17" t="n">
        <x:f>SUM(SUMIFS('Costing'!$P$9:$P$492,'Costing'!$A$9:$A$492,"PARTNER-M261"))</x:f>
        <x:v>160000</x:v>
      </x:c>
      <x:c r="M2364" s="17" t="n">
        <x:f>ROUND(L2364*'Costing'!$C$4,2)</x:f>
        <x:v>28800</x:v>
      </x:c>
      <x:c r="N2364" s="17" t="n">
        <x:f>L2364+M2364</x:f>
        <x:v>188800</x:v>
      </x:c>
      <x:c r="O2364" s="12" t="str">
        <x:v>Pune</x:v>
      </x:c>
      <x:c r="P2364" s="12" t="str">
        <x:v>CORP-0677, CORP-0678, CORP-0679, CORP-0680</x:v>
      </x:c>
      <x:c r="Q2364" s="12" t="str">
        <x:v>Spectraforce Technologies (India) Pvt. Ltd</x:v>
      </x:c>
    </x:row>
    <x:row r="2365" ht="48" customHeight="1">
      <x:c r="A2365" s="2" t="str">
        <x:v>TEN-BC728F0E1BE2</x:v>
      </x:c>
      <x:c r="B2365" s="12" t="str">
        <x:v>Sphyrna</x:v>
      </x:c>
      <x:c r="C2365" s="12" t="str">
        <x:v>Business / brand</x:v>
      </x:c>
      <x:c r="D2365" s="12" t="str">
        <x:v>Unresolved</x:v>
      </x:c>
      <x:c r="E2365" s="12" t="str">
        <x:v>Business activity not established</x:v>
      </x:c>
      <x:c r="F2365" s="12" t="str">
        <x:v>Mixed business audience</x:v>
      </x:c>
      <x:c r="G2365" s="12" t="str">
        <x:v>Business activity and company scale are not established from this name.</x:v>
      </x:c>
      <x:c r="H2365" s="11" t="n">
        <x:v>1</x:v>
      </x:c>
      <x:c r="I2365" s="11" t="n">
        <x:v>5</x:v>
      </x:c>
      <x:c r="J2365" s="11" t="n">
        <x:v>5</x:v>
      </x:c>
      <x:c r="K2365" s="11" t="n">
        <x:v>0</x:v>
      </x:c>
      <x:c r="L2365" s="17" t="n">
        <x:f>SUM(SUMIFS('Costing'!$P$9:$P$492,'Costing'!$A$9:$A$492,"MAIN-119"))</x:f>
        <x:v>125000</x:v>
      </x:c>
      <x:c r="M2365" s="17" t="n">
        <x:f>ROUND(L2365*'Costing'!$C$4,2)</x:f>
        <x:v>22500</x:v>
      </x:c>
      <x:c r="N2365" s="17" t="n">
        <x:f>L2365+M2365</x:f>
        <x:v>147500</x:v>
      </x:c>
      <x:c r="O2365" s="12" t="str">
        <x:v>Bengaluru</x:v>
      </x:c>
      <x:c r="P2365" s="12" t="str">
        <x:v>CORP-0115</x:v>
      </x:c>
      <x:c r="Q2365" s="12" t="str">
        <x:v>Sphyrna</x:v>
      </x:c>
    </x:row>
    <x:row r="2366" ht="48" customHeight="1">
      <x:c r="A2366" s="2" t="str">
        <x:v>TEN-38DA413E1AFF</x:v>
      </x:c>
      <x:c r="B2366" s="12" t="str">
        <x:v>spiny</x:v>
      </x:c>
      <x:c r="C2366" s="12" t="str">
        <x:v>Business / brand</x:v>
      </x:c>
      <x:c r="D2366" s="12" t="str">
        <x:v>Unresolved</x:v>
      </x:c>
      <x:c r="E2366" s="12" t="str">
        <x:v>Business activity not established</x:v>
      </x:c>
      <x:c r="F2366" s="12" t="str">
        <x:v>Mixed business audience</x:v>
      </x:c>
      <x:c r="G2366" s="12" t="str">
        <x:v>Business activity and company scale are not established from this name.</x:v>
      </x:c>
      <x:c r="H2366" s="11" t="n">
        <x:v>1</x:v>
      </x:c>
      <x:c r="I2366" s="11" t="n">
        <x:v>2</x:v>
      </x:c>
      <x:c r="J2366" s="11" t="n">
        <x:v>2</x:v>
      </x:c>
      <x:c r="K2366" s="11" t="n">
        <x:v>0</x:v>
      </x:c>
      <x:c r="L2366" s="17" t="n">
        <x:f>SUM(SUMIFS('Costing'!$P$9:$P$492,'Costing'!$A$9:$A$492,"MAIN-288"))</x:f>
        <x:v>40000</x:v>
      </x:c>
      <x:c r="M2366" s="17" t="n">
        <x:f>ROUND(L2366*'Costing'!$C$4,2)</x:f>
        <x:v>7200</x:v>
      </x:c>
      <x:c r="N2366" s="17" t="n">
        <x:f>L2366+M2366</x:f>
        <x:v>47200</x:v>
      </x:c>
      <x:c r="O2366" s="12" t="str">
        <x:v>Lucknow</x:v>
      </x:c>
      <x:c r="P2366" s="12" t="str">
        <x:v>CORP-0284</x:v>
      </x:c>
      <x:c r="Q2366" s="12" t="str">
        <x:v>spiny</x:v>
      </x:c>
    </x:row>
    <x:row r="2367" ht="48" customHeight="1">
      <x:c r="A2367" s="2" t="str">
        <x:v>TEN-345FC99B9620</x:v>
      </x:c>
      <x:c r="B2367" s="12" t="str">
        <x:v>Spirent Communications</x:v>
      </x:c>
      <x:c r="C2367" s="12" t="str">
        <x:v>Business / brand</x:v>
      </x:c>
      <x:c r="D2367" s="12" t="str">
        <x:v>IT &amp; digital</x:v>
      </x:c>
      <x:c r="E2367" s="12" t="str">
        <x:v>Telecom, networks &amp; connectivity</x:v>
      </x:c>
      <x:c r="F2367" s="12" t="str">
        <x:v>Mixed business audience</x:v>
      </x:c>
      <x:c r="G2367" s="12" t="str">
        <x:v>Established brand or business network; local company scale is not established. Use a mixed-business message.</x:v>
      </x:c>
      <x:c r="H2367" s="11" t="n">
        <x:v>6</x:v>
      </x:c>
      <x:c r="I2367" s="11" t="n">
        <x:v>6</x:v>
      </x:c>
      <x:c r="J2367" s="11" t="n">
        <x:v>6</x:v>
      </x:c>
      <x:c r="K2367" s="11" t="n">
        <x:v>0</x:v>
      </x:c>
      <x:c r="L2367" s="17" t="n">
        <x:f>SUM(SUMIFS('Costing'!$P$9:$P$492,'Costing'!$A$9:$A$492,"PARTNER-M072"))</x:f>
        <x:v>240000</x:v>
      </x:c>
      <x:c r="M2367" s="17" t="n">
        <x:f>ROUND(L2367*'Costing'!$C$4,2)</x:f>
        <x:v>43200</x:v>
      </x:c>
      <x:c r="N2367" s="17" t="n">
        <x:f>L2367+M2367</x:f>
        <x:v>283200</x:v>
      </x:c>
      <x:c r="O2367" s="12" t="str">
        <x:v>Bengaluru</x:v>
      </x:c>
      <x:c r="P2367" s="12" t="str">
        <x:v>CORP-0490, CORP-0491, CORP-0492, CORP-0493, CORP-0494, CORP-0495</x:v>
      </x:c>
      <x:c r="Q2367" s="12" t="str">
        <x:v>Spirent Communications</x:v>
      </x:c>
    </x:row>
    <x:row r="2368" ht="48" customHeight="1">
      <x:c r="A2368" s="2" t="str">
        <x:v>TEN-39E8C5B4595F</x:v>
      </x:c>
      <x:c r="B2368" s="12" t="str">
        <x:v>Spiro Lifecare Pvt. Ltd</x:v>
      </x:c>
      <x:c r="C2368" s="12" t="str">
        <x:v>Business / brand</x:v>
      </x:c>
      <x:c r="D2368" s="12" t="str">
        <x:v>Healthcare &amp; life sciences</x:v>
      </x:c>
      <x:c r="E2368" s="12" t="str">
        <x:v>Clinical, pharmaceutical &amp; health services</x:v>
      </x:c>
      <x:c r="F2368" s="12" t="str">
        <x:v>Medium-scale prospects</x:v>
      </x:c>
      <x:c r="G2368" s="12" t="str">
        <x:v>Specialist life-sciences business; medium-scale prospect assumption.</x:v>
      </x:c>
      <x:c r="H2368" s="11" t="n">
        <x:v>2</x:v>
      </x:c>
      <x:c r="I2368" s="11" t="n">
        <x:v>2</x:v>
      </x:c>
      <x:c r="J2368" s="11" t="n">
        <x:v>2</x:v>
      </x:c>
      <x:c r="K2368" s="11" t="n">
        <x:v>0</x:v>
      </x:c>
      <x:c r="L2368" s="17" t="n">
        <x:f>SUM(SUMIFS('Costing'!$P$9:$P$492,'Costing'!$A$9:$A$492,"PARTNER-M239"))</x:f>
        <x:v>80000</x:v>
      </x:c>
      <x:c r="M2368" s="17" t="n">
        <x:f>ROUND(L2368*'Costing'!$C$4,2)</x:f>
        <x:v>14400</x:v>
      </x:c>
      <x:c r="N2368" s="17" t="n">
        <x:f>L2368+M2368</x:f>
        <x:v>94400</x:v>
      </x:c>
      <x:c r="O2368" s="12" t="str">
        <x:v>Mumbai</x:v>
      </x:c>
      <x:c r="P2368" s="12" t="str">
        <x:v>CORP-0656, CORP-0657</x:v>
      </x:c>
      <x:c r="Q2368" s="12" t="str">
        <x:v>Spiro Lifecare Pvt. Ltd</x:v>
      </x:c>
    </x:row>
    <x:row r="2369" ht="48" customHeight="1">
      <x:c r="A2369" s="2" t="str">
        <x:v>TEN-4430DECF01B7</x:v>
      </x:c>
      <x:c r="B2369" s="12" t="str">
        <x:v>Splunk Services India Private Limited</x:v>
      </x:c>
      <x:c r="C2369" s="12" t="str">
        <x:v>Business / brand</x:v>
      </x:c>
      <x:c r="D2369" s="12" t="str">
        <x:v>IT &amp; digital</x:v>
      </x:c>
      <x:c r="E2369" s="12" t="str">
        <x:v>Technology services — specialty unverified</x:v>
      </x:c>
      <x:c r="F2369" s="12" t="str">
        <x:v>Mixed business audience</x:v>
      </x:c>
      <x:c r="G2369" s="12" t="str">
        <x:v>Recognisable business context; company-scale evidence remains insufficient for a single size band.</x:v>
      </x:c>
      <x:c r="H2369" s="11" t="n">
        <x:v>1</x:v>
      </x:c>
      <x:c r="I2369" s="11" t="n">
        <x:v>1</x:v>
      </x:c>
      <x:c r="J2369" s="11" t="n">
        <x:v>1</x:v>
      </x:c>
      <x:c r="K2369" s="11" t="n">
        <x:v>0</x:v>
      </x:c>
      <x:c r="L2369" s="17" t="n">
        <x:f>SUM(SUMIFS('Costing'!$P$9:$P$492,'Costing'!$A$9:$A$492,"MAIN-254"))</x:f>
        <x:v>15000</x:v>
      </x:c>
      <x:c r="M2369" s="17" t="n">
        <x:f>ROUND(L2369*'Costing'!$C$4,2)</x:f>
        <x:v>2700</x:v>
      </x:c>
      <x:c r="N2369" s="17" t="n">
        <x:f>L2369+M2369</x:f>
        <x:v>17700</x:v>
      </x:c>
      <x:c r="O2369" s="12" t="str">
        <x:v>Hyderabad</x:v>
      </x:c>
      <x:c r="P2369" s="12" t="str">
        <x:v>CORP-0250</x:v>
      </x:c>
      <x:c r="Q2369" s="12" t="str">
        <x:v>Splunk Services India Private Limited</x:v>
      </x:c>
    </x:row>
    <x:row r="2370" ht="48" customHeight="1">
      <x:c r="A2370" s="2" t="str">
        <x:v>TEN-2AD8BDD748C5</x:v>
      </x:c>
      <x:c r="B2370" s="12" t="str">
        <x:v>Sportiva lifestyle pvt ltd</x:v>
      </x:c>
      <x:c r="C2370" s="12" t="str">
        <x:v>Business / brand</x:v>
      </x:c>
      <x:c r="D2370" s="12" t="str">
        <x:v>Trade, consumer &amp; logistics</x:v>
      </x:c>
      <x:c r="E2370" s="12" t="str">
        <x:v>Retail, consumer products &amp; ecommerce</x:v>
      </x:c>
      <x:c r="F2370" s="12" t="str">
        <x:v>Small-scale prospects</x:v>
      </x:c>
      <x:c r="G2370" s="12" t="str">
        <x:v>Trading or consumer-services business; small-scale prospect assumption.</x:v>
      </x:c>
      <x:c r="H2370" s="11" t="n">
        <x:v>1</x:v>
      </x:c>
      <x:c r="I2370" s="11" t="n">
        <x:v>3</x:v>
      </x:c>
      <x:c r="J2370" s="11" t="n">
        <x:v>3</x:v>
      </x:c>
      <x:c r="K2370" s="11" t="n">
        <x:v>0</x:v>
      </x:c>
      <x:c r="L2370" s="17" t="n">
        <x:f>SUM(SUMIFS('Costing'!$P$9:$P$492,'Costing'!$A$9:$A$492,"MAIN-180"))</x:f>
        <x:v>45000</x:v>
      </x:c>
      <x:c r="M2370" s="17" t="n">
        <x:f>ROUND(L2370*'Costing'!$C$4,2)</x:f>
        <x:v>8100</x:v>
      </x:c>
      <x:c r="N2370" s="17" t="n">
        <x:f>L2370+M2370</x:f>
        <x:v>53100</x:v>
      </x:c>
      <x:c r="O2370" s="12" t="str">
        <x:v>Delhi NCR</x:v>
      </x:c>
      <x:c r="P2370" s="12" t="str">
        <x:v>CORP-0176</x:v>
      </x:c>
      <x:c r="Q2370" s="12" t="str">
        <x:v>Sportiva lifestyle pvt ltd</x:v>
      </x:c>
    </x:row>
    <x:row r="2371" ht="48" customHeight="1">
      <x:c r="A2371" s="2" t="str">
        <x:v>TEN-50B0085E2E91</x:v>
      </x:c>
      <x:c r="B2371" s="12" t="str">
        <x:v>SPOTDRAFT</x:v>
      </x:c>
      <x:c r="C2371" s="12" t="str">
        <x:v>Business / brand</x:v>
      </x:c>
      <x:c r="D2371" s="12" t="str">
        <x:v>IT &amp; digital</x:v>
      </x:c>
      <x:c r="E2371" s="12" t="str">
        <x:v>Enterprise software &amp; digital engineering</x:v>
      </x:c>
      <x:c r="F2371" s="12" t="str">
        <x:v>Small-scale prospects</x:v>
      </x:c>
      <x:c r="G2371" s="12" t="str">
        <x:v>Software or technology-services business; small-scale prospect assumption.</x:v>
      </x:c>
      <x:c r="H2371" s="11" t="n">
        <x:v>1</x:v>
      </x:c>
      <x:c r="I2371" s="11" t="n">
        <x:v>1</x:v>
      </x:c>
      <x:c r="J2371" s="11" t="n">
        <x:v>1</x:v>
      </x:c>
      <x:c r="K2371" s="11" t="n">
        <x:v>0</x:v>
      </x:c>
      <x:c r="L2371" s="17" t="n">
        <x:f>SUM(SUMIFS('Costing'!$P$9:$P$492,'Costing'!$A$9:$A$492,"MAIN-097"))</x:f>
        <x:v>15000</x:v>
      </x:c>
      <x:c r="M2371" s="17" t="n">
        <x:f>ROUND(L2371*'Costing'!$C$4,2)</x:f>
        <x:v>2700</x:v>
      </x:c>
      <x:c r="N2371" s="17" t="n">
        <x:f>L2371+M2371</x:f>
        <x:v>17700</x:v>
      </x:c>
      <x:c r="O2371" s="12" t="str">
        <x:v>Bengaluru</x:v>
      </x:c>
      <x:c r="P2371" s="12" t="str">
        <x:v>CORP-0093</x:v>
      </x:c>
      <x:c r="Q2371" s="12" t="str">
        <x:v>SPOTDRAFT</x:v>
      </x:c>
    </x:row>
    <x:row r="2372" ht="48" customHeight="1">
      <x:c r="A2372" s="2" t="str">
        <x:v>TEN-4E3ADD43CDF9</x:v>
      </x:c>
      <x:c r="B2372" s="12" t="str">
        <x:v>Springboard</x:v>
      </x:c>
      <x:c r="C2372" s="12" t="str">
        <x:v>Business / brand</x:v>
      </x:c>
      <x:c r="D2372" s="12" t="str">
        <x:v>Education</x:v>
      </x:c>
      <x:c r="E2372" s="12" t="str">
        <x:v>Edtech, training &amp; learning</x:v>
      </x:c>
      <x:c r="F2372" s="12" t="str">
        <x:v>Small-scale prospects</x:v>
      </x:c>
      <x:c r="G2372" s="12" t="str">
        <x:v>Training or education-services business; small-scale prospect assumption.</x:v>
      </x:c>
      <x:c r="H2372" s="11" t="n">
        <x:v>1</x:v>
      </x:c>
      <x:c r="I2372" s="11" t="n">
        <x:v>5</x:v>
      </x:c>
      <x:c r="J2372" s="11" t="n">
        <x:v>5</x:v>
      </x:c>
      <x:c r="K2372" s="11" t="n">
        <x:v>0</x:v>
      </x:c>
      <x:c r="L2372" s="17" t="n">
        <x:f>SUM(SUMIFS('Costing'!$P$9:$P$492,'Costing'!$A$9:$A$492,"MAIN-119"))</x:f>
        <x:v>125000</x:v>
      </x:c>
      <x:c r="M2372" s="17" t="n">
        <x:f>ROUND(L2372*'Costing'!$C$4,2)</x:f>
        <x:v>22500</x:v>
      </x:c>
      <x:c r="N2372" s="17" t="n">
        <x:f>L2372+M2372</x:f>
        <x:v>147500</x:v>
      </x:c>
      <x:c r="O2372" s="12" t="str">
        <x:v>Bengaluru</x:v>
      </x:c>
      <x:c r="P2372" s="12" t="str">
        <x:v>CORP-0115</x:v>
      </x:c>
      <x:c r="Q2372" s="12" t="str">
        <x:v>Springboard</x:v>
      </x:c>
    </x:row>
    <x:row r="2373" ht="48" customHeight="1">
      <x:c r="A2373" s="2" t="str">
        <x:v>TEN-9CF1F6CEECDE</x:v>
      </x:c>
      <x:c r="B2373" s="12" t="str">
        <x:v>Springer Nature</x:v>
      </x:c>
      <x:c r="C2373" s="12" t="str">
        <x:v>Business / brand</x:v>
      </x:c>
      <x:c r="D2373" s="12" t="str">
        <x:v>Education</x:v>
      </x:c>
      <x:c r="E2373" s="12" t="str">
        <x:v>Education/learning — specialty unverified</x:v>
      </x:c>
      <x:c r="F2373" s="12" t="str">
        <x:v>Mixed business audience</x:v>
      </x:c>
      <x:c r="G2373" s="12" t="str">
        <x:v>Recognisable business context; company-scale evidence remains insufficient for a single size band.</x:v>
      </x:c>
      <x:c r="H2373" s="11" t="n">
        <x:v>9</x:v>
      </x:c>
      <x:c r="I2373" s="11" t="n">
        <x:v>9</x:v>
      </x:c>
      <x:c r="J2373" s="11" t="n">
        <x:v>9</x:v>
      </x:c>
      <x:c r="K2373" s="11" t="n">
        <x:v>0</x:v>
      </x:c>
      <x:c r="L2373" s="17" t="n">
        <x:f>SUM(SUMIFS('Costing'!$P$9:$P$492,'Costing'!$A$9:$A$492,"PARTNER-M252"))</x:f>
        <x:v>360000</x:v>
      </x:c>
      <x:c r="M2373" s="17" t="n">
        <x:f>ROUND(L2373*'Costing'!$C$4,2)</x:f>
        <x:v>64800</x:v>
      </x:c>
      <x:c r="N2373" s="17" t="n">
        <x:f>L2373+M2373</x:f>
        <x:v>424800</x:v>
      </x:c>
      <x:c r="O2373" s="12" t="str">
        <x:v>Pune</x:v>
      </x:c>
      <x:c r="P2373" s="12" t="str">
        <x:v>CORP-0668, CORP-0669, CORP-0670, CORP-0671, CORP-0672, CORP-0673, CORP-0674, CORP-0675, CORP-0676</x:v>
      </x:c>
      <x:c r="Q2373" s="12" t="str">
        <x:v>Springer Nature</x:v>
      </x:c>
    </x:row>
    <x:row r="2374" ht="48" customHeight="1">
      <x:c r="A2374" s="2" t="str">
        <x:v>TEN-194ABFD5CF0A</x:v>
      </x:c>
      <x:c r="B2374" s="12" t="str">
        <x:v>Sprint Logistics</x:v>
      </x:c>
      <x:c r="C2374" s="12" t="str">
        <x:v>Business / brand</x:v>
      </x:c>
      <x:c r="D2374" s="12" t="str">
        <x:v>Trade, consumer &amp; logistics</x:v>
      </x:c>
      <x:c r="E2374" s="12" t="str">
        <x:v>Logistics, shipping &amp; transport</x:v>
      </x:c>
      <x:c r="F2374" s="12" t="str">
        <x:v>Medium-scale prospects</x:v>
      </x:c>
      <x:c r="G2374" s="12" t="str">
        <x:v>Specialist logistics or transport business; medium-scale prospect assumption.</x:v>
      </x:c>
      <x:c r="H2374" s="11" t="n">
        <x:v>1</x:v>
      </x:c>
      <x:c r="I2374" s="11" t="n">
        <x:v>1</x:v>
      </x:c>
      <x:c r="J2374" s="11" t="n">
        <x:v>1</x:v>
      </x:c>
      <x:c r="K2374" s="11" t="n">
        <x:v>0</x:v>
      </x:c>
      <x:c r="L2374" s="17" t="n">
        <x:f>SUM(SUMIFS('Costing'!$P$9:$P$492,'Costing'!$A$9:$A$492,"MAIN-270"))</x:f>
        <x:v>20000</x:v>
      </x:c>
      <x:c r="M2374" s="17" t="n">
        <x:f>ROUND(L2374*'Costing'!$C$4,2)</x:f>
        <x:v>3600</x:v>
      </x:c>
      <x:c r="N2374" s="17" t="n">
        <x:f>L2374+M2374</x:f>
        <x:v>23600</x:v>
      </x:c>
      <x:c r="O2374" s="12" t="str">
        <x:v>Indore</x:v>
      </x:c>
      <x:c r="P2374" s="12" t="str">
        <x:v>CORP-0266</x:v>
      </x:c>
      <x:c r="Q2374" s="12" t="str">
        <x:v>Sprint Logistics</x:v>
      </x:c>
    </x:row>
    <x:row r="2375" ht="48" customHeight="1">
      <x:c r="A2375" s="2" t="str">
        <x:v>TEN-468F13A024BF</x:v>
      </x:c>
      <x:c r="B2375" s="12" t="str">
        <x:v>SQR INFOTECH PVT LTD</x:v>
      </x:c>
      <x:c r="C2375" s="12" t="str">
        <x:v>Business / brand</x:v>
      </x:c>
      <x:c r="D2375" s="12" t="str">
        <x:v>IT &amp; digital</x:v>
      </x:c>
      <x:c r="E2375" s="12" t="str">
        <x:v>Enterprise software &amp; digital engineering</x:v>
      </x:c>
      <x:c r="F2375" s="12" t="str">
        <x:v>Small-scale prospects</x:v>
      </x:c>
      <x:c r="G2375" s="12" t="str">
        <x:v>Software or technology-services business; small-scale prospect assumption.</x:v>
      </x:c>
      <x:c r="H2375" s="11" t="n">
        <x:v>1</x:v>
      </x:c>
      <x:c r="I2375" s="11" t="n">
        <x:v>1</x:v>
      </x:c>
      <x:c r="J2375" s="11" t="n">
        <x:v>1</x:v>
      </x:c>
      <x:c r="K2375" s="11" t="n">
        <x:v>0</x:v>
      </x:c>
      <x:c r="L2375" s="17" t="n">
        <x:f>SUM(SUMIFS('Costing'!$P$9:$P$492,'Costing'!$A$9:$A$492,"MAIN-386"))</x:f>
        <x:v>15000</x:v>
      </x:c>
      <x:c r="M2375" s="17" t="n">
        <x:f>ROUND(L2375*'Costing'!$C$4,2)</x:f>
        <x:v>2700</x:v>
      </x:c>
      <x:c r="N2375" s="17" t="n">
        <x:f>L2375+M2375</x:f>
        <x:v>17700</x:v>
      </x:c>
      <x:c r="O2375" s="12" t="str">
        <x:v>Pune</x:v>
      </x:c>
      <x:c r="P2375" s="12" t="str">
        <x:v>CORP-0382</x:v>
      </x:c>
      <x:c r="Q2375" s="12" t="str">
        <x:v>SQR INFOTECH PVT LTD</x:v>
      </x:c>
    </x:row>
    <x:row r="2376" ht="48" customHeight="1">
      <x:c r="A2376" s="2" t="str">
        <x:v>TEN-C8E1ABF7F3C8</x:v>
      </x:c>
      <x:c r="B2376" s="12" t="str">
        <x:v>Square Yard</x:v>
      </x:c>
      <x:c r="C2376" s="12" t="str">
        <x:v>Business / brand</x:v>
      </x:c>
      <x:c r="D2376" s="12" t="str">
        <x:v>Trade, consumer &amp; logistics</x:v>
      </x:c>
      <x:c r="E2376" s="12" t="str">
        <x:v>Real estate, property &amp; construction services</x:v>
      </x:c>
      <x:c r="F2376" s="12" t="str">
        <x:v>Mixed business audience</x:v>
      </x:c>
      <x:c r="G2376" s="12" t="str">
        <x:v>Established brand or business network; local company scale is not established. Use a mixed-business message.</x:v>
      </x:c>
      <x:c r="H2376" s="11" t="n">
        <x:v>1</x:v>
      </x:c>
      <x:c r="I2376" s="11" t="n">
        <x:v>4</x:v>
      </x:c>
      <x:c r="J2376" s="11" t="n">
        <x:v>4</x:v>
      </x:c>
      <x:c r="K2376" s="11" t="n">
        <x:v>0</x:v>
      </x:c>
      <x:c r="L2376" s="17" t="n">
        <x:f>SUM(SUMIFS('Costing'!$P$9:$P$492,'Costing'!$A$9:$A$492,"MAIN-291"))</x:f>
        <x:v>160000</x:v>
      </x:c>
      <x:c r="M2376" s="17" t="n">
        <x:f>ROUND(L2376*'Costing'!$C$4,2)</x:f>
        <x:v>28800</x:v>
      </x:c>
      <x:c r="N2376" s="17" t="n">
        <x:f>L2376+M2376</x:f>
        <x:v>188800</x:v>
      </x:c>
      <x:c r="O2376" s="12" t="str">
        <x:v>Lucknow</x:v>
      </x:c>
      <x:c r="P2376" s="12" t="str">
        <x:v>CORP-0287</x:v>
      </x:c>
      <x:c r="Q2376" s="12" t="str">
        <x:v>Square Yard</x:v>
      </x:c>
    </x:row>
    <x:row r="2377" ht="48" customHeight="1">
      <x:c r="A2377" s="2" t="str">
        <x:v>TEN-C044E2C928F5</x:v>
      </x:c>
      <x:c r="B2377" s="12" t="str">
        <x:v>Squarepoint Technologies India Pvt Ltd</x:v>
      </x:c>
      <x:c r="C2377" s="12" t="str">
        <x:v>Business / brand</x:v>
      </x:c>
      <x:c r="D2377" s="12" t="str">
        <x:v>IT &amp; digital</x:v>
      </x:c>
      <x:c r="E2377" s="12" t="str">
        <x:v>Enterprise software &amp; digital engineering</x:v>
      </x:c>
      <x:c r="F2377" s="12" t="str">
        <x:v>Mixed business audience</x:v>
      </x:c>
      <x:c r="G2377" s="12" t="str">
        <x:v>Established brand or business network; local company scale is not established. Use a mixed-business message.</x:v>
      </x:c>
      <x:c r="H2377" s="11" t="n">
        <x:v>2</x:v>
      </x:c>
      <x:c r="I2377" s="11" t="n">
        <x:v>5</x:v>
      </x:c>
      <x:c r="J2377" s="11" t="n">
        <x:v>5</x:v>
      </x:c>
      <x:c r="K2377" s="11" t="n">
        <x:v>0</x:v>
      </x:c>
      <x:c r="L2377" s="17" t="n">
        <x:f>SUM(SUMIFS('Costing'!$P$9:$P$492,'Costing'!$A$9:$A$492,"MAIN-113"),SUMIFS('Costing'!$P$9:$P$492,'Costing'!$A$9:$A$492,"MAIN-128"))</x:f>
        <x:v>125000</x:v>
      </x:c>
      <x:c r="M2377" s="17" t="n">
        <x:f>ROUND(L2377*'Costing'!$C$4,2)</x:f>
        <x:v>22500</x:v>
      </x:c>
      <x:c r="N2377" s="17" t="n">
        <x:f>L2377+M2377</x:f>
        <x:v>147500</x:v>
      </x:c>
      <x:c r="O2377" s="12" t="str">
        <x:v>Bengaluru</x:v>
      </x:c>
      <x:c r="P2377" s="12" t="str">
        <x:v>CORP-0109, CORP-0124</x:v>
      </x:c>
      <x:c r="Q2377" s="12" t="str">
        <x:v>Squarepoint Technologies India Pvt Ltd</x:v>
      </x:c>
    </x:row>
    <x:row r="2378" ht="48" customHeight="1">
      <x:c r="A2378" s="2" t="str">
        <x:v>TEN-E6542CB80A35</x:v>
      </x:c>
      <x:c r="B2378" s="12" t="str">
        <x:v>Srijan Solutions</x:v>
      </x:c>
      <x:c r="C2378" s="12" t="str">
        <x:v>Business / brand</x:v>
      </x:c>
      <x:c r="D2378" s="12" t="str">
        <x:v>Unresolved</x:v>
      </x:c>
      <x:c r="E2378" s="12" t="str">
        <x:v>Business activity not established</x:v>
      </x:c>
      <x:c r="F2378" s="12" t="str">
        <x:v>Mixed business audience</x:v>
      </x:c>
      <x:c r="G2378" s="12" t="str">
        <x:v>Business activity and company scale are not established from this name.</x:v>
      </x:c>
      <x:c r="H2378" s="11" t="n">
        <x:v>1</x:v>
      </x:c>
      <x:c r="I2378" s="11" t="n">
        <x:v>2</x:v>
      </x:c>
      <x:c r="J2378" s="11" t="n">
        <x:v>2</x:v>
      </x:c>
      <x:c r="K2378" s="11" t="n">
        <x:v>0</x:v>
      </x:c>
      <x:c r="L2378" s="17" t="n">
        <x:f>SUM(SUMIFS('Costing'!$P$9:$P$492,'Costing'!$A$9:$A$492,"MAIN-268"))</x:f>
        <x:v>80000</x:v>
      </x:c>
      <x:c r="M2378" s="17" t="n">
        <x:f>ROUND(L2378*'Costing'!$C$4,2)</x:f>
        <x:v>14400</x:v>
      </x:c>
      <x:c r="N2378" s="17" t="n">
        <x:f>L2378+M2378</x:f>
        <x:v>94400</x:v>
      </x:c>
      <x:c r="O2378" s="12" t="str">
        <x:v>Indore</x:v>
      </x:c>
      <x:c r="P2378" s="12" t="str">
        <x:v>CORP-0264</x:v>
      </x:c>
      <x:c r="Q2378" s="12" t="str">
        <x:v>Srijan Solutions</x:v>
      </x:c>
    </x:row>
    <x:row r="2379" ht="48" customHeight="1">
      <x:c r="A2379" s="2" t="str">
        <x:v>TEN-BE60E5F94A8F</x:v>
      </x:c>
      <x:c r="B2379" s="12" t="str">
        <x:v>SRJ GLOBAL SOFTECH</x:v>
      </x:c>
      <x:c r="C2379" s="12" t="str">
        <x:v>Business / brand</x:v>
      </x:c>
      <x:c r="D2379" s="12" t="str">
        <x:v>Unresolved</x:v>
      </x:c>
      <x:c r="E2379" s="12" t="str">
        <x:v>Business activity not established</x:v>
      </x:c>
      <x:c r="F2379" s="12" t="str">
        <x:v>Mixed business audience</x:v>
      </x:c>
      <x:c r="G2379" s="12" t="str">
        <x:v>Business activity and company scale are not established from this name.</x:v>
      </x:c>
      <x:c r="H2379" s="11" t="n">
        <x:v>7</x:v>
      </x:c>
      <x:c r="I2379" s="11" t="n">
        <x:v>7</x:v>
      </x:c>
      <x:c r="J2379" s="11" t="n">
        <x:v>7</x:v>
      </x:c>
      <x:c r="K2379" s="11" t="n">
        <x:v>0</x:v>
      </x:c>
      <x:c r="L2379" s="17" t="n">
        <x:f>SUM(SUMIFS('Costing'!$P$9:$P$492,'Costing'!$A$9:$A$492,"PARTNER-M358"))</x:f>
        <x:v>280000</x:v>
      </x:c>
      <x:c r="M2379" s="17" t="n">
        <x:f>ROUND(L2379*'Costing'!$C$4,2)</x:f>
        <x:v>50400</x:v>
      </x:c>
      <x:c r="N2379" s="17" t="n">
        <x:f>L2379+M2379</x:f>
        <x:v>330400</x:v>
      </x:c>
      <x:c r="O2379" s="12" t="str">
        <x:v>Delhi NCR</x:v>
      </x:c>
      <x:c r="P2379" s="12" t="str">
        <x:v>CORP-0771, CORP-0772, CORP-0773, CORP-0774, CORP-0775, CORP-0776, CORP-0777</x:v>
      </x:c>
      <x:c r="Q2379" s="12" t="str">
        <x:v>SRJ GLOBAL SOFTECH</x:v>
      </x:c>
    </x:row>
    <x:row r="2380" ht="48" customHeight="1">
      <x:c r="A2380" s="2" t="str">
        <x:v>TEN-454101807C26</x:v>
      </x:c>
      <x:c r="B2380" s="12" t="str">
        <x:v>SROTRA TECHNOLOGIES PVT LTD</x:v>
      </x:c>
      <x:c r="C2380" s="12" t="str">
        <x:v>Business / brand</x:v>
      </x:c>
      <x:c r="D2380" s="12" t="str">
        <x:v>Unresolved</x:v>
      </x:c>
      <x:c r="E2380" s="12" t="str">
        <x:v>Business activity not established</x:v>
      </x:c>
      <x:c r="F2380" s="12" t="str">
        <x:v>Mixed business audience</x:v>
      </x:c>
      <x:c r="G2380" s="12" t="str">
        <x:v>Business activity and company scale are not established from this name.</x:v>
      </x:c>
      <x:c r="H2380" s="11" t="n">
        <x:v>4</x:v>
      </x:c>
      <x:c r="I2380" s="11" t="n">
        <x:v>4</x:v>
      </x:c>
      <x:c r="J2380" s="11" t="n">
        <x:v>4</x:v>
      </x:c>
      <x:c r="K2380" s="11" t="n">
        <x:v>0</x:v>
      </x:c>
      <x:c r="L2380" s="17" t="n">
        <x:f>SUM(SUMIFS('Costing'!$P$9:$P$492,'Costing'!$A$9:$A$492,"PARTNER-M056"))</x:f>
        <x:v>160000</x:v>
      </x:c>
      <x:c r="M2380" s="17" t="n">
        <x:f>ROUND(L2380*'Costing'!$C$4,2)</x:f>
        <x:v>28800</x:v>
      </x:c>
      <x:c r="N2380" s="17" t="n">
        <x:f>L2380+M2380</x:f>
        <x:v>188800</x:v>
      </x:c>
      <x:c r="O2380" s="12" t="str">
        <x:v>Bengaluru</x:v>
      </x:c>
      <x:c r="P2380" s="12" t="str">
        <x:v>CORP-0474, CORP-0475, CORP-0476, CORP-0477</x:v>
      </x:c>
      <x:c r="Q2380" s="12" t="str">
        <x:v>SROTRA TECHNOLOGIES PVT LTD</x:v>
      </x:c>
    </x:row>
    <x:row r="2381" ht="48" customHeight="1">
      <x:c r="A2381" s="2" t="str">
        <x:v>TEN-48ED1FD35C3C</x:v>
      </x:c>
      <x:c r="B2381" s="12" t="str">
        <x:v>SS Innovations Private Limited</x:v>
      </x:c>
      <x:c r="C2381" s="12" t="str">
        <x:v>Business / brand</x:v>
      </x:c>
      <x:c r="D2381" s="12" t="str">
        <x:v>Healthcare &amp; life sciences</x:v>
      </x:c>
      <x:c r="E2381" s="12" t="str">
        <x:v>Clinical, pharmaceutical &amp; health services</x:v>
      </x:c>
      <x:c r="F2381" s="12" t="str">
        <x:v>Medium-scale prospects</x:v>
      </x:c>
      <x:c r="G2381" s="12" t="str">
        <x:v>Specialist life-sciences business; medium-scale prospect assumption.</x:v>
      </x:c>
      <x:c r="H2381" s="11" t="n">
        <x:v>5</x:v>
      </x:c>
      <x:c r="I2381" s="11" t="n">
        <x:v>5</x:v>
      </x:c>
      <x:c r="J2381" s="11" t="n">
        <x:v>5</x:v>
      </x:c>
      <x:c r="K2381" s="11" t="n">
        <x:v>0</x:v>
      </x:c>
      <x:c r="L2381" s="17" t="n">
        <x:f>SUM(SUMIFS('Costing'!$P$9:$P$492,'Costing'!$A$9:$A$492,"PARTNER-M353"))</x:f>
        <x:v>200000</x:v>
      </x:c>
      <x:c r="M2381" s="17" t="n">
        <x:f>ROUND(L2381*'Costing'!$C$4,2)</x:f>
        <x:v>36000</x:v>
      </x:c>
      <x:c r="N2381" s="17" t="n">
        <x:f>L2381+M2381</x:f>
        <x:v>236000</x:v>
      </x:c>
      <x:c r="O2381" s="12" t="str">
        <x:v>Delhi NCR</x:v>
      </x:c>
      <x:c r="P2381" s="12" t="str">
        <x:v>CORP-0766, CORP-0767, CORP-0768, CORP-0769, CORP-0770</x:v>
      </x:c>
      <x:c r="Q2381" s="12" t="str">
        <x:v>SS Innovations Private Limited</x:v>
      </x:c>
    </x:row>
    <x:row r="2382" ht="48" customHeight="1">
      <x:c r="A2382" s="2" t="str">
        <x:v>TEN-A636D088018E</x:v>
      </x:c>
      <x:c r="B2382" s="12" t="str">
        <x:v>Stafz IT Services Private Limited</x:v>
      </x:c>
      <x:c r="C2382" s="12" t="str">
        <x:v>Business / brand</x:v>
      </x:c>
      <x:c r="D2382" s="12" t="str">
        <x:v>IT &amp; digital</x:v>
      </x:c>
      <x:c r="E2382" s="12" t="str">
        <x:v>Enterprise software &amp; digital engineering</x:v>
      </x:c>
      <x:c r="F2382" s="12" t="str">
        <x:v>Small-scale prospects</x:v>
      </x:c>
      <x:c r="G2382" s="12" t="str">
        <x:v>Software or technology-services business; small-scale prospect assumption.</x:v>
      </x:c>
      <x:c r="H2382" s="11" t="n">
        <x:v>1</x:v>
      </x:c>
      <x:c r="I2382" s="11" t="n">
        <x:v>5</x:v>
      </x:c>
      <x:c r="J2382" s="11" t="n">
        <x:v>5</x:v>
      </x:c>
      <x:c r="K2382" s="11" t="n">
        <x:v>0</x:v>
      </x:c>
      <x:c r="L2382" s="17" t="n">
        <x:f>SUM(SUMIFS('Costing'!$P$9:$P$492,'Costing'!$A$9:$A$492,"MAIN-127"))</x:f>
        <x:v>125000</x:v>
      </x:c>
      <x:c r="M2382" s="17" t="n">
        <x:f>ROUND(L2382*'Costing'!$C$4,2)</x:f>
        <x:v>22500</x:v>
      </x:c>
      <x:c r="N2382" s="17" t="n">
        <x:f>L2382+M2382</x:f>
        <x:v>147500</x:v>
      </x:c>
      <x:c r="O2382" s="12" t="str">
        <x:v>Bengaluru</x:v>
      </x:c>
      <x:c r="P2382" s="12" t="str">
        <x:v>CORP-0123</x:v>
      </x:c>
      <x:c r="Q2382" s="12" t="str">
        <x:v>Stafz IT Services Private Limited</x:v>
      </x:c>
    </x:row>
    <x:row r="2383" ht="48" customHeight="1">
      <x:c r="A2383" s="2" t="str">
        <x:v>TEN-331FDE4AA88E</x:v>
      </x:c>
      <x:c r="B2383" s="12" t="str">
        <x:v>Standard Chartered</x:v>
      </x:c>
      <x:c r="C2383" s="12" t="str">
        <x:v>Business / brand</x:v>
      </x:c>
      <x:c r="D2383" s="12" t="str">
        <x:v>Finance &amp; insurance</x:v>
      </x:c>
      <x:c r="E2383" s="12" t="str">
        <x:v>Financial services — specialty unverified</x:v>
      </x:c>
      <x:c r="F2383" s="12" t="str">
        <x:v>Large enterprise</x:v>
      </x:c>
      <x:c r="G2383" s="12" t="str">
        <x:v>Official international banking group profile; exclude from specialist finance defaults.</x:v>
      </x:c>
      <x:c r="H2383" s="11" t="n">
        <x:v>4</x:v>
      </x:c>
      <x:c r="I2383" s="11" t="n">
        <x:v>4</x:v>
      </x:c>
      <x:c r="J2383" s="11" t="n">
        <x:v>4</x:v>
      </x:c>
      <x:c r="K2383" s="11" t="n">
        <x:v>0</x:v>
      </x:c>
      <x:c r="L2383" s="17" t="n">
        <x:f>SUM(SUMIFS('Costing'!$P$9:$P$492,'Costing'!$A$9:$A$492,"PARTNER-M171"))</x:f>
        <x:v>160000</x:v>
      </x:c>
      <x:c r="M2383" s="17" t="n">
        <x:f>ROUND(L2383*'Costing'!$C$4,2)</x:f>
        <x:v>28800</x:v>
      </x:c>
      <x:c r="N2383" s="17" t="n">
        <x:f>L2383+M2383</x:f>
        <x:v>188800</x:v>
      </x:c>
      <x:c r="O2383" s="12" t="str">
        <x:v>Mumbai</x:v>
      </x:c>
      <x:c r="P2383" s="12" t="str">
        <x:v>CORP-0588, CORP-0589, CORP-0590, CORP-0591</x:v>
      </x:c>
      <x:c r="Q2383" s="12" t="str">
        <x:v>Standard Chartered</x:v>
      </x:c>
    </x:row>
    <x:row r="2384" ht="48" customHeight="1">
      <x:c r="A2384" s="2" t="str">
        <x:v>TEN-C425191D5D06</x:v>
      </x:c>
      <x:c r="B2384" s="12" t="str">
        <x:v>Staples Office Supplies LLP</x:v>
      </x:c>
      <x:c r="C2384" s="12" t="str">
        <x:v>Business / brand</x:v>
      </x:c>
      <x:c r="D2384" s="12" t="str">
        <x:v>Trade, consumer &amp; logistics</x:v>
      </x:c>
      <x:c r="E2384" s="12" t="str">
        <x:v>Retail, consumer products &amp; ecommerce</x:v>
      </x:c>
      <x:c r="F2384" s="12" t="str">
        <x:v>Mixed business audience</x:v>
      </x:c>
      <x:c r="G2384" s="12" t="str">
        <x:v>Established brand or business network; local company scale is not established. Use a mixed-business message.</x:v>
      </x:c>
      <x:c r="H2384" s="11" t="n">
        <x:v>7</x:v>
      </x:c>
      <x:c r="I2384" s="11" t="n">
        <x:v>7</x:v>
      </x:c>
      <x:c r="J2384" s="11" t="n">
        <x:v>7</x:v>
      </x:c>
      <x:c r="K2384" s="11" t="n">
        <x:v>0</x:v>
      </x:c>
      <x:c r="L2384" s="17" t="n">
        <x:f>SUM(SUMIFS('Costing'!$P$9:$P$492,'Costing'!$A$9:$A$492,"PARTNER-M317"))</x:f>
        <x:v>280000</x:v>
      </x:c>
      <x:c r="M2384" s="17" t="n">
        <x:f>ROUND(L2384*'Costing'!$C$4,2)</x:f>
        <x:v>50400</x:v>
      </x:c>
      <x:c r="N2384" s="17" t="n">
        <x:f>L2384+M2384</x:f>
        <x:v>330400</x:v>
      </x:c>
      <x:c r="O2384" s="12" t="str">
        <x:v>Hyderabad</x:v>
      </x:c>
      <x:c r="P2384" s="12" t="str">
        <x:v>CORP-0732, CORP-0733, CORP-0734, CORP-0735, CORP-0736, CORP-0737, CORP-0738</x:v>
      </x:c>
      <x:c r="Q2384" s="12" t="str">
        <x:v>Staples Office Supplies LLP</x:v>
      </x:c>
    </x:row>
    <x:row r="2385" ht="48" customHeight="1">
      <x:c r="A2385" s="2" t="str">
        <x:v>TEN-5A80E9846757</x:v>
      </x:c>
      <x:c r="B2385" s="12" t="str">
        <x:v>Star India Private Limited</x:v>
      </x:c>
      <x:c r="C2385" s="12" t="str">
        <x:v>Business / brand</x:v>
      </x:c>
      <x:c r="D2385" s="12" t="str">
        <x:v>Trade, consumer &amp; logistics</x:v>
      </x:c>
      <x:c r="E2385" s="12" t="str">
        <x:v>Consumer/trade services — specialty unverified</x:v>
      </x:c>
      <x:c r="F2385" s="12" t="str">
        <x:v>Mixed business audience</x:v>
      </x:c>
      <x:c r="G2385" s="12" t="str">
        <x:v>Recognisable business context; company-scale evidence remains insufficient for a single size band.</x:v>
      </x:c>
      <x:c r="H2385" s="11" t="n">
        <x:v>4</x:v>
      </x:c>
      <x:c r="I2385" s="11" t="n">
        <x:v>4</x:v>
      </x:c>
      <x:c r="J2385" s="11" t="n">
        <x:v>4</x:v>
      </x:c>
      <x:c r="K2385" s="11" t="n">
        <x:v>0</x:v>
      </x:c>
      <x:c r="L2385" s="17" t="n">
        <x:f>SUM(SUMIFS('Costing'!$P$9:$P$492,'Costing'!$A$9:$A$492,"PARTNER-M188"))</x:f>
        <x:v>160000</x:v>
      </x:c>
      <x:c r="M2385" s="17" t="n">
        <x:f>ROUND(L2385*'Costing'!$C$4,2)</x:f>
        <x:v>28800</x:v>
      </x:c>
      <x:c r="N2385" s="17" t="n">
        <x:f>L2385+M2385</x:f>
        <x:v>188800</x:v>
      </x:c>
      <x:c r="O2385" s="12" t="str">
        <x:v>Mumbai</x:v>
      </x:c>
      <x:c r="P2385" s="12" t="str">
        <x:v>CORP-0605, CORP-0606, CORP-0607, CORP-0608</x:v>
      </x:c>
      <x:c r="Q2385" s="12" t="str">
        <x:v>Star India Private Limited</x:v>
      </x:c>
    </x:row>
    <x:row r="2386" ht="48" customHeight="1">
      <x:c r="A2386" s="2" t="str">
        <x:v>TEN-6450FFFEB53D</x:v>
      </x:c>
      <x:c r="B2386" s="12" t="str">
        <x:v>Starfin India Private Limited</x:v>
      </x:c>
      <x:c r="C2386" s="12" t="str">
        <x:v>Business / brand</x:v>
      </x:c>
      <x:c r="D2386" s="12" t="str">
        <x:v>Finance &amp; insurance</x:v>
      </x:c>
      <x:c r="E2386" s="12" t="str">
        <x:v>Banking, insurance, investments &amp; financial services</x:v>
      </x:c>
      <x:c r="F2386" s="12" t="str">
        <x:v>Medium-scale prospects</x:v>
      </x:c>
      <x:c r="G2386" s="12" t="str">
        <x:v>Specialist financial-services business; medium-scale prospect assumption.</x:v>
      </x:c>
      <x:c r="H2386" s="11" t="n">
        <x:v>1</x:v>
      </x:c>
      <x:c r="I2386" s="11" t="n">
        <x:v>4</x:v>
      </x:c>
      <x:c r="J2386" s="11" t="n">
        <x:v>4</x:v>
      </x:c>
      <x:c r="K2386" s="11" t="n">
        <x:v>0</x:v>
      </x:c>
      <x:c r="L2386" s="17" t="n">
        <x:f>SUM(SUMIFS('Costing'!$P$9:$P$492,'Costing'!$A$9:$A$492,"MAIN-202"))</x:f>
        <x:v>160000</x:v>
      </x:c>
      <x:c r="M2386" s="17" t="n">
        <x:f>ROUND(L2386*'Costing'!$C$4,2)</x:f>
        <x:v>28800</x:v>
      </x:c>
      <x:c r="N2386" s="17" t="n">
        <x:f>L2386+M2386</x:f>
        <x:v>188800</x:v>
      </x:c>
      <x:c r="O2386" s="12" t="str">
        <x:v>Delhi NCR</x:v>
      </x:c>
      <x:c r="P2386" s="12" t="str">
        <x:v>CORP-0198</x:v>
      </x:c>
      <x:c r="Q2386" s="12" t="str">
        <x:v>Starfin India Private Limited</x:v>
      </x:c>
    </x:row>
    <x:row r="2387" ht="49" customHeight="1">
      <x:c r="A2387" s="2" t="str">
        <x:v>TEN-65326AA32AB9</x:v>
      </x:c>
      <x:c r="B2387" s="12" t="str">
        <x:v>State Bank of India</x:v>
      </x:c>
      <x:c r="C2387" s="12" t="str">
        <x:v>Business / brand</x:v>
      </x:c>
      <x:c r="D2387" s="12" t="str">
        <x:v>Finance &amp; insurance</x:v>
      </x:c>
      <x:c r="E2387" s="12" t="str">
        <x:v>Financial services — specialty unverified</x:v>
      </x:c>
      <x:c r="F2387" s="12" t="str">
        <x:v>Large enterprise</x:v>
      </x:c>
      <x:c r="G2387" s="12" t="str">
        <x:v>Official national banking institution profile. Commercial bank classified Large enterprise; not Institutional merely because state-owned.</x:v>
      </x:c>
      <x:c r="H2387" s="11" t="n">
        <x:v>4</x:v>
      </x:c>
      <x:c r="I2387" s="11" t="n">
        <x:v>25</x:v>
      </x:c>
      <x:c r="J2387" s="11" t="n">
        <x:v>25</x:v>
      </x:c>
      <x:c r="K2387" s="11" t="n">
        <x:v>0</x:v>
      </x:c>
      <x:c r="L2387" s="17" t="n">
        <x:f>SUM(SUMIFS('Costing'!$P$9:$P$492,'Costing'!$A$9:$A$492,"MAIN-054"),SUMIFS('Costing'!$P$9:$P$492,'Costing'!$A$9:$A$492,"MAIN-136"),SUMIFS('Costing'!$P$9:$P$492,'Costing'!$A$9:$A$492,"MAIN-276"),SUMIFS('Costing'!$P$9:$P$492,'Costing'!$A$9:$A$492,"MAIN-422"))</x:f>
        <x:v>380000</x:v>
      </x:c>
      <x:c r="M2387" s="17" t="n">
        <x:f>ROUND(L2387*'Costing'!$C$4,2)</x:f>
        <x:v>68400</x:v>
      </x:c>
      <x:c r="N2387" s="17" t="n">
        <x:f>L2387+M2387</x:f>
        <x:v>448400</x:v>
      </x:c>
      <x:c r="O2387" s="12" t="str">
        <x:v>Bengaluru, Bhubaneswar, Indore, Pune</x:v>
      </x:c>
      <x:c r="P2387" s="12" t="str">
        <x:v>CORP-0050, CORP-0132, CORP-0272, CORP-0418</x:v>
      </x:c>
      <x:c r="Q2387" s="12" t="str">
        <x:v>State Bank of India, SBI, state bank of India</x:v>
      </x:c>
    </x:row>
    <x:row r="2388" ht="48" customHeight="1">
      <x:c r="A2388" s="2" t="str">
        <x:v>TEN-B46907E2D3AD</x:v>
      </x:c>
      <x:c r="B2388" s="12" t="str">
        <x:v>Steel Consultancy Services</x:v>
      </x:c>
      <x:c r="C2388" s="12" t="str">
        <x:v>Business / brand</x:v>
      </x:c>
      <x:c r="D2388" s="12" t="str">
        <x:v>Engineering &amp; manufacturing</x:v>
      </x:c>
      <x:c r="E2388" s="12" t="str">
        <x:v>Engineering, testing &amp; technical services</x:v>
      </x:c>
      <x:c r="F2388" s="12" t="str">
        <x:v>Medium-scale prospects</x:v>
      </x:c>
      <x:c r="G2388" s="12" t="str">
        <x:v>Specialist industrial or engineering business; medium-scale prospect assumption.</x:v>
      </x:c>
      <x:c r="H2388" s="11" t="n">
        <x:v>1</x:v>
      </x:c>
      <x:c r="I2388" s="11" t="n">
        <x:v>3</x:v>
      </x:c>
      <x:c r="J2388" s="11" t="n">
        <x:v>3</x:v>
      </x:c>
      <x:c r="K2388" s="11" t="n">
        <x:v>0</x:v>
      </x:c>
      <x:c r="L2388" s="17" t="n">
        <x:f>SUM(SUMIFS('Costing'!$P$9:$P$492,'Costing'!$A$9:$A$492,"MAIN-279"))</x:f>
        <x:v>45000</x:v>
      </x:c>
      <x:c r="M2388" s="17" t="n">
        <x:f>ROUND(L2388*'Costing'!$C$4,2)</x:f>
        <x:v>8100</x:v>
      </x:c>
      <x:c r="N2388" s="17" t="n">
        <x:f>L2388+M2388</x:f>
        <x:v>53100</x:v>
      </x:c>
      <x:c r="O2388" s="12" t="str">
        <x:v>Kolkata</x:v>
      </x:c>
      <x:c r="P2388" s="12" t="str">
        <x:v>CORP-0275</x:v>
      </x:c>
      <x:c r="Q2388" s="12" t="str">
        <x:v>Steel Consultancy Services</x:v>
      </x:c>
    </x:row>
    <x:row r="2389" ht="48" customHeight="1">
      <x:c r="A2389" s="2" t="str">
        <x:v>TEN-73D84E96C940</x:v>
      </x:c>
      <x:c r="B2389" s="12" t="str">
        <x:v>STEPSMITH IMMIGRATION SERVICES PVT. LTD</x:v>
      </x:c>
      <x:c r="C2389" s="12" t="str">
        <x:v>Business / brand</x:v>
      </x:c>
      <x:c r="D2389" s="12" t="str">
        <x:v>Professional services</x:v>
      </x:c>
      <x:c r="E2389" s="12" t="str">
        <x:v>Immigration &amp; relocation services</x:v>
      </x:c>
      <x:c r="F2389" s="12" t="str">
        <x:v>Small-scale prospects</x:v>
      </x:c>
      <x:c r="G2389" s="12" t="str">
        <x:v>Professional service, agency or advisory model; small-scale prospect assumption.</x:v>
      </x:c>
      <x:c r="H2389" s="11" t="n">
        <x:v>1</x:v>
      </x:c>
      <x:c r="I2389" s="11" t="n">
        <x:v>6</x:v>
      </x:c>
      <x:c r="J2389" s="11" t="n">
        <x:v>6</x:v>
      </x:c>
      <x:c r="K2389" s="11" t="n">
        <x:v>0</x:v>
      </x:c>
      <x:c r="L2389" s="17" t="n">
        <x:f>SUM(SUMIFS('Costing'!$P$9:$P$492,'Costing'!$A$9:$A$492,"MAIN-194"))</x:f>
        <x:v>240000</x:v>
      </x:c>
      <x:c r="M2389" s="17" t="n">
        <x:f>ROUND(L2389*'Costing'!$C$4,2)</x:f>
        <x:v>43200</x:v>
      </x:c>
      <x:c r="N2389" s="17" t="n">
        <x:f>L2389+M2389</x:f>
        <x:v>283200</x:v>
      </x:c>
      <x:c r="O2389" s="12" t="str">
        <x:v>Delhi NCR</x:v>
      </x:c>
      <x:c r="P2389" s="12" t="str">
        <x:v>CORP-0190</x:v>
      </x:c>
      <x:c r="Q2389" s="12" t="str">
        <x:v>STEPSMITH IMMIGRATION SERVICES PVT. LTD</x:v>
      </x:c>
    </x:row>
    <x:row r="2390" ht="48" customHeight="1">
      <x:c r="A2390" s="2" t="str">
        <x:v>TEN-A107DE23AABA</x:v>
      </x:c>
      <x:c r="B2390" s="12" t="str">
        <x:v>Sterling Talent Solutions</x:v>
      </x:c>
      <x:c r="C2390" s="12" t="str">
        <x:v>Business / brand</x:v>
      </x:c>
      <x:c r="D2390" s="12" t="str">
        <x:v>Professional services</x:v>
      </x:c>
      <x:c r="E2390" s="12" t="str">
        <x:v>Recruitment, HR &amp; staffing</x:v>
      </x:c>
      <x:c r="F2390" s="12" t="str">
        <x:v>Mixed business audience</x:v>
      </x:c>
      <x:c r="G2390" s="12" t="str">
        <x:v>Recognisable business context; company-scale evidence remains insufficient for a single size band.</x:v>
      </x:c>
      <x:c r="H2390" s="11" t="n">
        <x:v>3</x:v>
      </x:c>
      <x:c r="I2390" s="11" t="n">
        <x:v>3</x:v>
      </x:c>
      <x:c r="J2390" s="11" t="n">
        <x:v>3</x:v>
      </x:c>
      <x:c r="K2390" s="11" t="n">
        <x:v>0</x:v>
      </x:c>
      <x:c r="L2390" s="17" t="n">
        <x:f>SUM(SUMIFS('Costing'!$P$9:$P$492,'Costing'!$A$9:$A$492,"PARTNER-M185"))</x:f>
        <x:v>120000</x:v>
      </x:c>
      <x:c r="M2390" s="17" t="n">
        <x:f>ROUND(L2390*'Costing'!$C$4,2)</x:f>
        <x:v>21600</x:v>
      </x:c>
      <x:c r="N2390" s="17" t="n">
        <x:f>L2390+M2390</x:f>
        <x:v>141600</x:v>
      </x:c>
      <x:c r="O2390" s="12" t="str">
        <x:v>Mumbai</x:v>
      </x:c>
      <x:c r="P2390" s="12" t="str">
        <x:v>CORP-0602, CORP-0603, CORP-0604</x:v>
      </x:c>
      <x:c r="Q2390" s="12" t="str">
        <x:v>Sterling Talent Solutions</x:v>
      </x:c>
    </x:row>
    <x:row r="2391" ht="48" customHeight="1">
      <x:c r="A2391" s="2" t="str">
        <x:v>TEN-FC4FE1AF2B46</x:v>
      </x:c>
      <x:c r="B2391" s="12" t="str">
        <x:v>Stewart</x:v>
      </x:c>
      <x:c r="C2391" s="12" t="str">
        <x:v>Business / brand</x:v>
      </x:c>
      <x:c r="D2391" s="12" t="str">
        <x:v>Unresolved</x:v>
      </x:c>
      <x:c r="E2391" s="12" t="str">
        <x:v>Business activity not established</x:v>
      </x:c>
      <x:c r="F2391" s="12" t="str">
        <x:v>Mixed business audience</x:v>
      </x:c>
      <x:c r="G2391" s="12" t="str">
        <x:v>Business activity and company scale are not established from this name.</x:v>
      </x:c>
      <x:c r="H2391" s="11" t="n">
        <x:v>1</x:v>
      </x:c>
      <x:c r="I2391" s="11" t="n">
        <x:v>1</x:v>
      </x:c>
      <x:c r="J2391" s="11" t="n">
        <x:v>1</x:v>
      </x:c>
      <x:c r="K2391" s="11" t="n">
        <x:v>0</x:v>
      </x:c>
      <x:c r="L2391" s="17" t="n">
        <x:f>SUM(SUMIFS('Costing'!$P$9:$P$492,'Costing'!$A$9:$A$492,"MAIN-266"))</x:f>
        <x:v>20000</x:v>
      </x:c>
      <x:c r="M2391" s="17" t="n">
        <x:f>ROUND(L2391*'Costing'!$C$4,2)</x:f>
        <x:v>3600</x:v>
      </x:c>
      <x:c r="N2391" s="17" t="n">
        <x:f>L2391+M2391</x:f>
        <x:v>23600</x:v>
      </x:c>
      <x:c r="O2391" s="12" t="str">
        <x:v>Indore</x:v>
      </x:c>
      <x:c r="P2391" s="12" t="str">
        <x:v>CORP-0262</x:v>
      </x:c>
      <x:c r="Q2391" s="12" t="str">
        <x:v>Stewart</x:v>
      </x:c>
    </x:row>
    <x:row r="2392" ht="48" customHeight="1">
      <x:c r="A2392" s="2" t="str">
        <x:v>TEN-C63644CF5B4D</x:v>
      </x:c>
      <x:c r="B2392" s="12" t="str">
        <x:v>STL Digital</x:v>
      </x:c>
      <x:c r="C2392" s="12" t="str">
        <x:v>Business / brand</x:v>
      </x:c>
      <x:c r="D2392" s="12" t="str">
        <x:v>IT &amp; digital</x:v>
      </x:c>
      <x:c r="E2392" s="12" t="str">
        <x:v>Enterprise software &amp; digital engineering</x:v>
      </x:c>
      <x:c r="F2392" s="12" t="str">
        <x:v>Mixed business audience</x:v>
      </x:c>
      <x:c r="G2392" s="12" t="str">
        <x:v>Established brand or business network; local company scale is not established. Use a mixed-business message.</x:v>
      </x:c>
      <x:c r="H2392" s="11" t="n">
        <x:v>2</x:v>
      </x:c>
      <x:c r="I2392" s="11" t="n">
        <x:v>5</x:v>
      </x:c>
      <x:c r="J2392" s="11" t="n">
        <x:v>5</x:v>
      </x:c>
      <x:c r="K2392" s="11" t="n">
        <x:v>0</x:v>
      </x:c>
      <x:c r="L2392" s="17" t="n">
        <x:f>SUM(SUMIFS('Costing'!$P$9:$P$492,'Costing'!$A$9:$A$492,"MAIN-085"),SUMIFS('Costing'!$P$9:$P$492,'Costing'!$A$9:$A$492,"MAIN-092"))</x:f>
        <x:v>100000</x:v>
      </x:c>
      <x:c r="M2392" s="17" t="n">
        <x:f>ROUND(L2392*'Costing'!$C$4,2)</x:f>
        <x:v>18000</x:v>
      </x:c>
      <x:c r="N2392" s="17" t="n">
        <x:f>L2392+M2392</x:f>
        <x:v>118000</x:v>
      </x:c>
      <x:c r="O2392" s="12" t="str">
        <x:v>Bengaluru</x:v>
      </x:c>
      <x:c r="P2392" s="12" t="str">
        <x:v>CORP-0081, CORP-0088</x:v>
      </x:c>
      <x:c r="Q2392" s="12" t="str">
        <x:v>STL Digital</x:v>
      </x:c>
    </x:row>
    <x:row r="2393" ht="48" customHeight="1">
      <x:c r="A2393" s="2" t="str">
        <x:v>TEN-6AC98C9B1C20</x:v>
      </x:c>
      <x:c r="B2393" s="12" t="str">
        <x:v>Stockbazari NVR Technologies Private Limited</x:v>
      </x:c>
      <x:c r="C2393" s="12" t="str">
        <x:v>Business / brand</x:v>
      </x:c>
      <x:c r="D2393" s="12" t="str">
        <x:v>Finance &amp; insurance</x:v>
      </x:c>
      <x:c r="E2393" s="12" t="str">
        <x:v>Investments, securities &amp; wealth</x:v>
      </x:c>
      <x:c r="F2393" s="12" t="str">
        <x:v>Medium-scale prospects</x:v>
      </x:c>
      <x:c r="G2393" s="12" t="str">
        <x:v>Specialist financial-services business; medium-scale prospect assumption.</x:v>
      </x:c>
      <x:c r="H2393" s="11" t="n">
        <x:v>1</x:v>
      </x:c>
      <x:c r="I2393" s="11" t="n">
        <x:v>2</x:v>
      </x:c>
      <x:c r="J2393" s="11" t="n">
        <x:v>2</x:v>
      </x:c>
      <x:c r="K2393" s="11" t="n">
        <x:v>0</x:v>
      </x:c>
      <x:c r="L2393" s="17" t="n">
        <x:f>SUM(SUMIFS('Costing'!$P$9:$P$492,'Costing'!$A$9:$A$492,"MAIN-273"))</x:f>
        <x:v>40000</x:v>
      </x:c>
      <x:c r="M2393" s="17" t="n">
        <x:f>ROUND(L2393*'Costing'!$C$4,2)</x:f>
        <x:v>7200</x:v>
      </x:c>
      <x:c r="N2393" s="17" t="n">
        <x:f>L2393+M2393</x:f>
        <x:v>47200</x:v>
      </x:c>
      <x:c r="O2393" s="12" t="str">
        <x:v>Indore</x:v>
      </x:c>
      <x:c r="P2393" s="12" t="str">
        <x:v>CORP-0269</x:v>
      </x:c>
      <x:c r="Q2393" s="12" t="str">
        <x:v>Stockbazari NVR Technologies Private Limited</x:v>
      </x:c>
    </x:row>
    <x:row r="2394" ht="48" customHeight="1">
      <x:c r="A2394" s="2" t="str">
        <x:v>TEN-43D26C2AE619</x:v>
      </x:c>
      <x:c r="B2394" s="12" t="str">
        <x:v>Storable India Pvt Ltd</x:v>
      </x:c>
      <x:c r="C2394" s="12" t="str">
        <x:v>Business / brand</x:v>
      </x:c>
      <x:c r="D2394" s="12" t="str">
        <x:v>IT &amp; digital</x:v>
      </x:c>
      <x:c r="E2394" s="12" t="str">
        <x:v>Enterprise software &amp; digital engineering</x:v>
      </x:c>
      <x:c r="F2394" s="12" t="str">
        <x:v>Mixed business audience</x:v>
      </x:c>
      <x:c r="G2394" s="12" t="str">
        <x:v>Established brand or business network; local company scale is not established. Use a mixed-business message.</x:v>
      </x:c>
      <x:c r="H2394" s="11" t="n">
        <x:v>1</x:v>
      </x:c>
      <x:c r="I2394" s="11" t="n">
        <x:v>2</x:v>
      </x:c>
      <x:c r="J2394" s="11" t="n">
        <x:v>2</x:v>
      </x:c>
      <x:c r="K2394" s="11" t="n">
        <x:v>0</x:v>
      </x:c>
      <x:c r="L2394" s="17" t="n">
        <x:f>SUM(SUMIFS('Costing'!$P$9:$P$492,'Costing'!$A$9:$A$492,"MAIN-257"))</x:f>
        <x:v>40000</x:v>
      </x:c>
      <x:c r="M2394" s="17" t="n">
        <x:f>ROUND(L2394*'Costing'!$C$4,2)</x:f>
        <x:v>7200</x:v>
      </x:c>
      <x:c r="N2394" s="17" t="n">
        <x:f>L2394+M2394</x:f>
        <x:v>47200</x:v>
      </x:c>
      <x:c r="O2394" s="12" t="str">
        <x:v>Hyderabad</x:v>
      </x:c>
      <x:c r="P2394" s="12" t="str">
        <x:v>CORP-0253</x:v>
      </x:c>
      <x:c r="Q2394" s="12" t="str">
        <x:v>Storable India Pvt Ltd</x:v>
      </x:c>
    </x:row>
    <x:row r="2395" ht="48" customHeight="1">
      <x:c r="A2395" s="2" t="str">
        <x:v>TEN-91C446C3D4D7</x:v>
      </x:c>
      <x:c r="B2395" s="12" t="str">
        <x:v>Strata Property Management service</x:v>
      </x:c>
      <x:c r="C2395" s="12" t="str">
        <x:v>Business / brand</x:v>
      </x:c>
      <x:c r="D2395" s="12" t="str">
        <x:v>Trade, consumer &amp; logistics</x:v>
      </x:c>
      <x:c r="E2395" s="12" t="str">
        <x:v>Real estate, property &amp; construction services</x:v>
      </x:c>
      <x:c r="F2395" s="12" t="str">
        <x:v>Small-scale prospects</x:v>
      </x:c>
      <x:c r="G2395" s="12" t="str">
        <x:v>Trading or consumer-services business; small-scale prospect assumption.</x:v>
      </x:c>
      <x:c r="H2395" s="11" t="n">
        <x:v>1</x:v>
      </x:c>
      <x:c r="I2395" s="11" t="n">
        <x:v>1</x:v>
      </x:c>
      <x:c r="J2395" s="11" t="n">
        <x:v>1</x:v>
      </x:c>
      <x:c r="K2395" s="11" t="n">
        <x:v>0</x:v>
      </x:c>
      <x:c r="L2395" s="17" t="n">
        <x:f>SUM(SUMIFS('Costing'!$P$9:$P$492,'Costing'!$A$9:$A$492,"MAIN-323"))</x:f>
        <x:v>15000</x:v>
      </x:c>
      <x:c r="M2395" s="17" t="n">
        <x:f>ROUND(L2395*'Costing'!$C$4,2)</x:f>
        <x:v>2700</x:v>
      </x:c>
      <x:c r="N2395" s="17" t="n">
        <x:f>L2395+M2395</x:f>
        <x:v>17700</x:v>
      </x:c>
      <x:c r="O2395" s="12" t="str">
        <x:v>Mumbai</x:v>
      </x:c>
      <x:c r="P2395" s="12" t="str">
        <x:v>CORP-0319</x:v>
      </x:c>
      <x:c r="Q2395" s="12" t="str">
        <x:v>Strata Property Management service</x:v>
      </x:c>
    </x:row>
    <x:row r="2396" ht="48" customHeight="1">
      <x:c r="A2396" s="2" t="str">
        <x:v>TEN-26EB931B4D24</x:v>
      </x:c>
      <x:c r="B2396" s="12" t="str">
        <x:v>Stratmed</x:v>
      </x:c>
      <x:c r="C2396" s="12" t="str">
        <x:v>Business / brand</x:v>
      </x:c>
      <x:c r="D2396" s="12" t="str">
        <x:v>Healthcare &amp; life sciences</x:v>
      </x:c>
      <x:c r="E2396" s="12" t="str">
        <x:v>Clinical, pharmaceutical &amp; health services</x:v>
      </x:c>
      <x:c r="F2396" s="12" t="str">
        <x:v>Medium-scale prospects</x:v>
      </x:c>
      <x:c r="G2396" s="12" t="str">
        <x:v>Specialist life-sciences business; medium-scale prospect assumption.</x:v>
      </x:c>
      <x:c r="H2396" s="11" t="n">
        <x:v>1</x:v>
      </x:c>
      <x:c r="I2396" s="11" t="n">
        <x:v>3</x:v>
      </x:c>
      <x:c r="J2396" s="11" t="n">
        <x:v>3</x:v>
      </x:c>
      <x:c r="K2396" s="11" t="n">
        <x:v>0</x:v>
      </x:c>
      <x:c r="L2396" s="17" t="n">
        <x:f>SUM(SUMIFS('Costing'!$P$9:$P$492,'Costing'!$A$9:$A$492,"MAIN-218"))</x:f>
        <x:v>45000</x:v>
      </x:c>
      <x:c r="M2396" s="17" t="n">
        <x:f>ROUND(L2396*'Costing'!$C$4,2)</x:f>
        <x:v>8100</x:v>
      </x:c>
      <x:c r="N2396" s="17" t="n">
        <x:f>L2396+M2396</x:f>
        <x:v>53100</x:v>
      </x:c>
      <x:c r="O2396" s="12" t="str">
        <x:v>Hyderabad</x:v>
      </x:c>
      <x:c r="P2396" s="12" t="str">
        <x:v>CORP-0214</x:v>
      </x:c>
      <x:c r="Q2396" s="12" t="str">
        <x:v>Stratmed</x:v>
      </x:c>
    </x:row>
    <x:row r="2397" ht="48" customHeight="1">
      <x:c r="A2397" s="2" t="str">
        <x:v>TEN-C003E01D846B</x:v>
      </x:c>
      <x:c r="B2397" s="12" t="str">
        <x:v>Stratus Technologies</x:v>
      </x:c>
      <x:c r="C2397" s="12" t="str">
        <x:v>Business / brand</x:v>
      </x:c>
      <x:c r="D2397" s="12" t="str">
        <x:v>IT &amp; digital</x:v>
      </x:c>
      <x:c r="E2397" s="12" t="str">
        <x:v>Technology services — specialty unverified</x:v>
      </x:c>
      <x:c r="F2397" s="12" t="str">
        <x:v>Mixed business audience</x:v>
      </x:c>
      <x:c r="G2397" s="12" t="str">
        <x:v>Recognisable business context; company-scale evidence remains insufficient for a single size band.</x:v>
      </x:c>
      <x:c r="H2397" s="11" t="n">
        <x:v>5</x:v>
      </x:c>
      <x:c r="I2397" s="11" t="n">
        <x:v>5</x:v>
      </x:c>
      <x:c r="J2397" s="11" t="n">
        <x:v>5</x:v>
      </x:c>
      <x:c r="K2397" s="11" t="n">
        <x:v>0</x:v>
      </x:c>
      <x:c r="L2397" s="17" t="n">
        <x:f>SUM(SUMIFS('Costing'!$P$9:$P$492,'Costing'!$A$9:$A$492,"PARTNER-M034"))</x:f>
        <x:v>200000</x:v>
      </x:c>
      <x:c r="M2397" s="17" t="n">
        <x:f>ROUND(L2397*'Costing'!$C$4,2)</x:f>
        <x:v>36000</x:v>
      </x:c>
      <x:c r="N2397" s="17" t="n">
        <x:f>L2397+M2397</x:f>
        <x:v>236000</x:v>
      </x:c>
      <x:c r="O2397" s="12" t="str">
        <x:v>Bengaluru</x:v>
      </x:c>
      <x:c r="P2397" s="12" t="str">
        <x:v>CORP-0452, CORP-0453, CORP-0454, CORP-0455, CORP-0456</x:v>
      </x:c>
      <x:c r="Q2397" s="12" t="str">
        <x:v>Stratus Technologies</x:v>
      </x:c>
    </x:row>
    <x:row r="2398" ht="48" customHeight="1">
      <x:c r="A2398" s="2" t="str">
        <x:v>TEN-C0CDA80C9315</x:v>
      </x:c>
      <x:c r="B2398" s="12" t="str">
        <x:v>Stryder Cycle Pvt Ltd (Cyc.clic)</x:v>
      </x:c>
      <x:c r="C2398" s="12" t="str">
        <x:v>Business / brand</x:v>
      </x:c>
      <x:c r="D2398" s="12" t="str">
        <x:v>Engineering &amp; manufacturing</x:v>
      </x:c>
      <x:c r="E2398" s="12" t="str">
        <x:v>Chemicals, materials &amp; industrial manufacturing</x:v>
      </x:c>
      <x:c r="F2398" s="12" t="str">
        <x:v>Mixed business audience</x:v>
      </x:c>
      <x:c r="G2398" s="12" t="str">
        <x:v>Established brand or business network; local company scale is not established. Use a mixed-business message.</x:v>
      </x:c>
      <x:c r="H2398" s="11" t="n">
        <x:v>1</x:v>
      </x:c>
      <x:c r="I2398" s="11" t="n">
        <x:v>7</x:v>
      </x:c>
      <x:c r="J2398" s="11" t="n">
        <x:v>7</x:v>
      </x:c>
      <x:c r="K2398" s="11" t="n">
        <x:v>0</x:v>
      </x:c>
      <x:c r="L2398" s="17" t="n">
        <x:f>SUM(SUMIFS('Costing'!$P$9:$P$492,'Costing'!$A$9:$A$492,"MAIN-382"))</x:f>
        <x:v>140000</x:v>
      </x:c>
      <x:c r="M2398" s="17" t="n">
        <x:f>ROUND(L2398*'Costing'!$C$4,2)</x:f>
        <x:v>25200</x:v>
      </x:c>
      <x:c r="N2398" s="17" t="n">
        <x:f>L2398+M2398</x:f>
        <x:v>165200</x:v>
      </x:c>
      <x:c r="O2398" s="12" t="str">
        <x:v>Pune</x:v>
      </x:c>
      <x:c r="P2398" s="12" t="str">
        <x:v>CORP-0378</x:v>
      </x:c>
      <x:c r="Q2398" s="12" t="str">
        <x:v>Stryder Cycle Pvt Ltd (Cyc.clic)</x:v>
      </x:c>
    </x:row>
    <x:row r="2399" ht="48" customHeight="1">
      <x:c r="A2399" s="2" t="str">
        <x:v>TEN-5E0268F6057E</x:v>
      </x:c>
      <x:c r="B2399" s="12" t="str">
        <x:v>Studio Youmania</x:v>
      </x:c>
      <x:c r="C2399" s="12" t="str">
        <x:v>Business / brand</x:v>
      </x:c>
      <x:c r="D2399" s="12" t="str">
        <x:v>Unresolved</x:v>
      </x:c>
      <x:c r="E2399" s="12" t="str">
        <x:v>Business activity not established</x:v>
      </x:c>
      <x:c r="F2399" s="12" t="str">
        <x:v>Mixed business audience</x:v>
      </x:c>
      <x:c r="G2399" s="12" t="str">
        <x:v>Business activity and company scale are not established from this name.</x:v>
      </x:c>
      <x:c r="H2399" s="11" t="n">
        <x:v>1</x:v>
      </x:c>
      <x:c r="I2399" s="11" t="n">
        <x:v>26</x:v>
      </x:c>
      <x:c r="J2399" s="11" t="n">
        <x:v>26</x:v>
      </x:c>
      <x:c r="K2399" s="11" t="n">
        <x:v>0</x:v>
      </x:c>
      <x:c r="L2399" s="17" t="n">
        <x:f>SUM(SUMIFS('Costing'!$P$9:$P$492,'Costing'!$A$9:$A$492,"MAIN-342"))</x:f>
        <x:v>390000</x:v>
      </x:c>
      <x:c r="M2399" s="17" t="n">
        <x:f>ROUND(L2399*'Costing'!$C$4,2)</x:f>
        <x:v>70200</x:v>
      </x:c>
      <x:c r="N2399" s="17" t="n">
        <x:f>L2399+M2399</x:f>
        <x:v>460200</x:v>
      </x:c>
      <x:c r="O2399" s="12" t="str">
        <x:v>Mumbai</x:v>
      </x:c>
      <x:c r="P2399" s="12" t="str">
        <x:v>CORP-0338</x:v>
      </x:c>
      <x:c r="Q2399" s="12" t="str">
        <x:v>Studio Youmania</x:v>
      </x:c>
    </x:row>
    <x:row r="2400" ht="48" customHeight="1">
      <x:c r="A2400" s="2" t="str">
        <x:v>TEN-4DAC977F7C8C</x:v>
      </x:c>
      <x:c r="B2400" s="12" t="str">
        <x:v>Study overseas</x:v>
      </x:c>
      <x:c r="C2400" s="12" t="str">
        <x:v>Business / brand</x:v>
      </x:c>
      <x:c r="D2400" s="12" t="str">
        <x:v>Education</x:v>
      </x:c>
      <x:c r="E2400" s="12" t="str">
        <x:v>Education, training &amp; childcare</x:v>
      </x:c>
      <x:c r="F2400" s="12" t="str">
        <x:v>Small-scale prospects</x:v>
      </x:c>
      <x:c r="G2400" s="12" t="str">
        <x:v>Training or education-services business; small-scale prospect assumption.</x:v>
      </x:c>
      <x:c r="H2400" s="11" t="n">
        <x:v>1</x:v>
      </x:c>
      <x:c r="I2400" s="11" t="n">
        <x:v>2</x:v>
      </x:c>
      <x:c r="J2400" s="11" t="n">
        <x:v>2</x:v>
      </x:c>
      <x:c r="K2400" s="11" t="n">
        <x:v>0</x:v>
      </x:c>
      <x:c r="L2400" s="17" t="n">
        <x:f>SUM(SUMIFS('Costing'!$P$9:$P$492,'Costing'!$A$9:$A$492,"MAIN-225"))</x:f>
        <x:v>30000</x:v>
      </x:c>
      <x:c r="M2400" s="17" t="n">
        <x:f>ROUND(L2400*'Costing'!$C$4,2)</x:f>
        <x:v>5400</x:v>
      </x:c>
      <x:c r="N2400" s="17" t="n">
        <x:f>L2400+M2400</x:f>
        <x:v>35400</x:v>
      </x:c>
      <x:c r="O2400" s="12" t="str">
        <x:v>Hyderabad</x:v>
      </x:c>
      <x:c r="P2400" s="12" t="str">
        <x:v>CORP-0221</x:v>
      </x:c>
      <x:c r="Q2400" s="12" t="str">
        <x:v>Study overseas</x:v>
      </x:c>
    </x:row>
    <x:row r="2401" ht="48" customHeight="1">
      <x:c r="A2401" s="2" t="str">
        <x:v>TEN-C388B75ED68D</x:v>
      </x:c>
      <x:c r="B2401" s="12" t="str">
        <x:v>StudyReach</x:v>
      </x:c>
      <x:c r="C2401" s="12" t="str">
        <x:v>Business / brand</x:v>
      </x:c>
      <x:c r="D2401" s="12" t="str">
        <x:v>Education</x:v>
      </x:c>
      <x:c r="E2401" s="12" t="str">
        <x:v>Education, training &amp; childcare</x:v>
      </x:c>
      <x:c r="F2401" s="12" t="str">
        <x:v>Small-scale prospects</x:v>
      </x:c>
      <x:c r="G2401" s="12" t="str">
        <x:v>Training or education-services business; small-scale prospect assumption.</x:v>
      </x:c>
      <x:c r="H2401" s="11" t="n">
        <x:v>1</x:v>
      </x:c>
      <x:c r="I2401" s="11" t="n">
        <x:v>1</x:v>
      </x:c>
      <x:c r="J2401" s="11" t="n">
        <x:v>1</x:v>
      </x:c>
      <x:c r="K2401" s="11" t="n">
        <x:v>0</x:v>
      </x:c>
      <x:c r="L2401" s="17" t="n">
        <x:f>SUM(SUMIFS('Costing'!$P$9:$P$492,'Costing'!$A$9:$A$492,"MAIN-173"))</x:f>
        <x:v>15000</x:v>
      </x:c>
      <x:c r="M2401" s="17" t="n">
        <x:f>ROUND(L2401*'Costing'!$C$4,2)</x:f>
        <x:v>2700</x:v>
      </x:c>
      <x:c r="N2401" s="17" t="n">
        <x:f>L2401+M2401</x:f>
        <x:v>17700</x:v>
      </x:c>
      <x:c r="O2401" s="12" t="str">
        <x:v>Delhi NCR</x:v>
      </x:c>
      <x:c r="P2401" s="12" t="str">
        <x:v>CORP-0169</x:v>
      </x:c>
      <x:c r="Q2401" s="12" t="str">
        <x:v>StudyReach</x:v>
      </x:c>
    </x:row>
    <x:row r="2402" ht="48" customHeight="1">
      <x:c r="A2402" s="2" t="str">
        <x:v>TEN-534AE61AC6A4</x:v>
      </x:c>
      <x:c r="B2402" s="12" t="str">
        <x:v>Stylus Commercial Services</x:v>
      </x:c>
      <x:c r="C2402" s="12" t="str">
        <x:v>Business / brand</x:v>
      </x:c>
      <x:c r="D2402" s="12" t="str">
        <x:v>Unresolved</x:v>
      </x:c>
      <x:c r="E2402" s="12" t="str">
        <x:v>Business activity not established</x:v>
      </x:c>
      <x:c r="F2402" s="12" t="str">
        <x:v>Mixed business audience</x:v>
      </x:c>
      <x:c r="G2402" s="12" t="str">
        <x:v>Business activity and company scale are not established from this name.</x:v>
      </x:c>
      <x:c r="H2402" s="11" t="n">
        <x:v>5</x:v>
      </x:c>
      <x:c r="I2402" s="11" t="n">
        <x:v>5</x:v>
      </x:c>
      <x:c r="J2402" s="11" t="n">
        <x:v>5</x:v>
      </x:c>
      <x:c r="K2402" s="11" t="n">
        <x:v>0</x:v>
      </x:c>
      <x:c r="L2402" s="17" t="n">
        <x:f>SUM(SUMIFS('Costing'!$P$9:$P$492,'Costing'!$A$9:$A$492,"PARTNER-M051"))</x:f>
        <x:v>200000</x:v>
      </x:c>
      <x:c r="M2402" s="17" t="n">
        <x:f>ROUND(L2402*'Costing'!$C$4,2)</x:f>
        <x:v>36000</x:v>
      </x:c>
      <x:c r="N2402" s="17" t="n">
        <x:f>L2402+M2402</x:f>
        <x:v>236000</x:v>
      </x:c>
      <x:c r="O2402" s="12" t="str">
        <x:v>Bengaluru</x:v>
      </x:c>
      <x:c r="P2402" s="12" t="str">
        <x:v>CORP-0469, CORP-0470, CORP-0471, CORP-0472, CORP-0473</x:v>
      </x:c>
      <x:c r="Q2402" s="12" t="str">
        <x:v>Stylus Commercial Services</x:v>
      </x:c>
    </x:row>
    <x:row r="2403" ht="48" customHeight="1">
      <x:c r="A2403" s="2" t="str">
        <x:v>TEN-84E37ADD7FEC</x:v>
      </x:c>
      <x:c r="B2403" s="12" t="str">
        <x:v>Subman consulting services</x:v>
      </x:c>
      <x:c r="C2403" s="12" t="str">
        <x:v>Business / brand</x:v>
      </x:c>
      <x:c r="D2403" s="12" t="str">
        <x:v>Professional services</x:v>
      </x:c>
      <x:c r="E2403" s="12" t="str">
        <x:v>Business consulting &amp; advisory</x:v>
      </x:c>
      <x:c r="F2403" s="12" t="str">
        <x:v>Small-scale prospects</x:v>
      </x:c>
      <x:c r="G2403" s="12" t="str">
        <x:v>Professional service, agency or advisory model; small-scale prospect assumption.</x:v>
      </x:c>
      <x:c r="H2403" s="11" t="n">
        <x:v>1</x:v>
      </x:c>
      <x:c r="I2403" s="11" t="n">
        <x:v>1</x:v>
      </x:c>
      <x:c r="J2403" s="11" t="n">
        <x:v>1</x:v>
      </x:c>
      <x:c r="K2403" s="11" t="n">
        <x:v>0</x:v>
      </x:c>
      <x:c r="L2403" s="17" t="n">
        <x:f>SUM(SUMIFS('Costing'!$P$9:$P$492,'Costing'!$A$9:$A$492,"MAIN-010"))</x:f>
        <x:v>15000</x:v>
      </x:c>
      <x:c r="M2403" s="17" t="n">
        <x:f>ROUND(L2403*'Costing'!$C$4,2)</x:f>
        <x:v>2700</x:v>
      </x:c>
      <x:c r="N2403" s="17" t="n">
        <x:f>L2403+M2403</x:f>
        <x:v>17700</x:v>
      </x:c>
      <x:c r="O2403" s="12" t="str">
        <x:v>Bengaluru</x:v>
      </x:c>
      <x:c r="P2403" s="12" t="str">
        <x:v>CORP-0006</x:v>
      </x:c>
      <x:c r="Q2403" s="12" t="str">
        <x:v>Subman consulting services</x:v>
      </x:c>
    </x:row>
    <x:row r="2404" ht="48" customHeight="1">
      <x:c r="A2404" s="2" t="str">
        <x:v>TEN-9F3A4329D832</x:v>
      </x:c>
      <x:c r="B2404" s="12" t="str">
        <x:v>SUBWAY</x:v>
      </x:c>
      <x:c r="C2404" s="12" t="str">
        <x:v>Business / brand</x:v>
      </x:c>
      <x:c r="D2404" s="12" t="str">
        <x:v>Trade, consumer &amp; logistics</x:v>
      </x:c>
      <x:c r="E2404" s="12" t="str">
        <x:v>Travel, hospitality, food &amp; beverages</x:v>
      </x:c>
      <x:c r="F2404" s="12" t="str">
        <x:v>Mixed business audience</x:v>
      </x:c>
      <x:c r="G2404" s="12" t="str">
        <x:v>Established brand or business network; local company scale is not established. Use a mixed-business message.</x:v>
      </x:c>
      <x:c r="H2404" s="11" t="n">
        <x:v>3</x:v>
      </x:c>
      <x:c r="I2404" s="11" t="n">
        <x:v>3</x:v>
      </x:c>
      <x:c r="J2404" s="11" t="n">
        <x:v>3</x:v>
      </x:c>
      <x:c r="K2404" s="11" t="n">
        <x:v>0</x:v>
      </x:c>
      <x:c r="L2404" s="17" t="n">
        <x:f>SUM(SUMIFS('Costing'!$P$9:$P$492,'Costing'!$A$9:$A$492,"PARTNER-M175"))</x:f>
        <x:v>120000</x:v>
      </x:c>
      <x:c r="M2404" s="17" t="n">
        <x:f>ROUND(L2404*'Costing'!$C$4,2)</x:f>
        <x:v>21600</x:v>
      </x:c>
      <x:c r="N2404" s="17" t="n">
        <x:f>L2404+M2404</x:f>
        <x:v>141600</x:v>
      </x:c>
      <x:c r="O2404" s="12" t="str">
        <x:v>Mumbai</x:v>
      </x:c>
      <x:c r="P2404" s="12" t="str">
        <x:v>CORP-0592, CORP-0593, CORP-0594</x:v>
      </x:c>
      <x:c r="Q2404" s="12" t="str">
        <x:v>SUBWAY</x:v>
      </x:c>
    </x:row>
    <x:row r="2405" ht="48" customHeight="1">
      <x:c r="A2405" s="2" t="str">
        <x:v>TEN-6E39FF852CB7</x:v>
      </x:c>
      <x:c r="B2405" s="12" t="str">
        <x:v>SUD Life</x:v>
      </x:c>
      <x:c r="C2405" s="12" t="str">
        <x:v>Business / brand</x:v>
      </x:c>
      <x:c r="D2405" s="12" t="str">
        <x:v>Finance &amp; insurance</x:v>
      </x:c>
      <x:c r="E2405" s="12" t="str">
        <x:v>Banking, credit &amp; financial services</x:v>
      </x:c>
      <x:c r="F2405" s="12" t="str">
        <x:v>Mixed business audience</x:v>
      </x:c>
      <x:c r="G2405" s="12" t="str">
        <x:v>Established brand or business network; local company scale is not established. Use a mixed-business message.</x:v>
      </x:c>
      <x:c r="H2405" s="11" t="n">
        <x:v>2</x:v>
      </x:c>
      <x:c r="I2405" s="11" t="n">
        <x:v>2</x:v>
      </x:c>
      <x:c r="J2405" s="11" t="n">
        <x:v>2</x:v>
      </x:c>
      <x:c r="K2405" s="11" t="n">
        <x:v>0</x:v>
      </x:c>
      <x:c r="L2405" s="17" t="n">
        <x:f>SUM(SUMIFS('Costing'!$P$9:$P$492,'Costing'!$A$9:$A$492,"MAIN-269"),SUMIFS('Costing'!$P$9:$P$492,'Costing'!$A$9:$A$492,"MAIN-272"))</x:f>
        <x:v>60000</x:v>
      </x:c>
      <x:c r="M2405" s="17" t="n">
        <x:f>ROUND(L2405*'Costing'!$C$4,2)</x:f>
        <x:v>10800</x:v>
      </x:c>
      <x:c r="N2405" s="17" t="n">
        <x:f>L2405+M2405</x:f>
        <x:v>70800</x:v>
      </x:c>
      <x:c r="O2405" s="12" t="str">
        <x:v>Indore</x:v>
      </x:c>
      <x:c r="P2405" s="12" t="str">
        <x:v>CORP-0265, CORP-0268</x:v>
      </x:c>
      <x:c r="Q2405" s="12" t="str">
        <x:v>SUD Life</x:v>
      </x:c>
    </x:row>
    <x:row r="2406" ht="48" customHeight="1">
      <x:c r="A2406" s="2" t="str">
        <x:v>TEN-40CBF518E84A</x:v>
      </x:c>
      <x:c r="B2406" s="12" t="str">
        <x:v>Sudharsan Chemical industries LTD</x:v>
      </x:c>
      <x:c r="C2406" s="12" t="str">
        <x:v>Business / brand</x:v>
      </x:c>
      <x:c r="D2406" s="12" t="str">
        <x:v>Engineering &amp; manufacturing</x:v>
      </x:c>
      <x:c r="E2406" s="12" t="str">
        <x:v>Chemicals, materials &amp; industrial manufacturing</x:v>
      </x:c>
      <x:c r="F2406" s="12" t="str">
        <x:v>Mixed business audience</x:v>
      </x:c>
      <x:c r="G2406" s="12" t="str">
        <x:v>Established brand or business network; local company scale is not established. Use a mixed-business message.</x:v>
      </x:c>
      <x:c r="H2406" s="11" t="n">
        <x:v>1</x:v>
      </x:c>
      <x:c r="I2406" s="11" t="n">
        <x:v>4</x:v>
      </x:c>
      <x:c r="J2406" s="11" t="n">
        <x:v>4</x:v>
      </x:c>
      <x:c r="K2406" s="11" t="n">
        <x:v>0</x:v>
      </x:c>
      <x:c r="L2406" s="17" t="n">
        <x:f>SUM(SUMIFS('Costing'!$P$9:$P$492,'Costing'!$A$9:$A$492,"MAIN-417"))</x:f>
        <x:v>100000</x:v>
      </x:c>
      <x:c r="M2406" s="17" t="n">
        <x:f>ROUND(L2406*'Costing'!$C$4,2)</x:f>
        <x:v>18000</x:v>
      </x:c>
      <x:c r="N2406" s="17" t="n">
        <x:f>L2406+M2406</x:f>
        <x:v>118000</x:v>
      </x:c>
      <x:c r="O2406" s="12" t="str">
        <x:v>Pune</x:v>
      </x:c>
      <x:c r="P2406" s="12" t="str">
        <x:v>CORP-0413</x:v>
      </x:c>
      <x:c r="Q2406" s="12" t="str">
        <x:v>Sudharsan Chemical industries LTD</x:v>
      </x:c>
    </x:row>
    <x:row r="2407" ht="48" customHeight="1">
      <x:c r="A2407" s="2" t="str">
        <x:v>TEN-9B6EF6DB8E1A</x:v>
      </x:c>
      <x:c r="B2407" s="12" t="str">
        <x:v>Suja Associates Pvt Ltd</x:v>
      </x:c>
      <x:c r="C2407" s="12" t="str">
        <x:v>Business / brand</x:v>
      </x:c>
      <x:c r="D2407" s="12" t="str">
        <x:v>Unresolved</x:v>
      </x:c>
      <x:c r="E2407" s="12" t="str">
        <x:v>Business activity not established</x:v>
      </x:c>
      <x:c r="F2407" s="12" t="str">
        <x:v>Mixed business audience</x:v>
      </x:c>
      <x:c r="G2407" s="12" t="str">
        <x:v>Business activity and company scale are not established from this name.</x:v>
      </x:c>
      <x:c r="H2407" s="11" t="n">
        <x:v>1</x:v>
      </x:c>
      <x:c r="I2407" s="11" t="n">
        <x:v>13</x:v>
      </x:c>
      <x:c r="J2407" s="11" t="n">
        <x:v>13</x:v>
      </x:c>
      <x:c r="K2407" s="11" t="n">
        <x:v>0</x:v>
      </x:c>
      <x:c r="L2407" s="17" t="n">
        <x:f>SUM(SUMIFS('Costing'!$P$9:$P$492,'Costing'!$A$9:$A$492,"MAIN-240"))</x:f>
        <x:v>195000</x:v>
      </x:c>
      <x:c r="M2407" s="17" t="n">
        <x:f>ROUND(L2407*'Costing'!$C$4,2)</x:f>
        <x:v>35100</x:v>
      </x:c>
      <x:c r="N2407" s="17" t="n">
        <x:f>L2407+M2407</x:f>
        <x:v>230100</x:v>
      </x:c>
      <x:c r="O2407" s="12" t="str">
        <x:v>Hyderabad</x:v>
      </x:c>
      <x:c r="P2407" s="12" t="str">
        <x:v>CORP-0236</x:v>
      </x:c>
      <x:c r="Q2407" s="12" t="str">
        <x:v>Suja Associates Pvt Ltd</x:v>
      </x:c>
    </x:row>
    <x:row r="2408" ht="48" customHeight="1">
      <x:c r="A2408" s="2" t="str">
        <x:v>TEN-A321F0CAA709</x:v>
      </x:c>
      <x:c r="B2408" s="12" t="str">
        <x:v>Sulzer Tech India Pvt. Ltd</x:v>
      </x:c>
      <x:c r="C2408" s="12" t="str">
        <x:v>Business / brand</x:v>
      </x:c>
      <x:c r="D2408" s="12" t="str">
        <x:v>Engineering &amp; manufacturing</x:v>
      </x:c>
      <x:c r="E2408" s="12" t="str">
        <x:v>Engineering/manufacturing — specialty unverified</x:v>
      </x:c>
      <x:c r="F2408" s="12" t="str">
        <x:v>Mixed business audience</x:v>
      </x:c>
      <x:c r="G2408" s="12" t="str">
        <x:v>Recognisable business context; company-scale evidence remains insufficient for a single size band.</x:v>
      </x:c>
      <x:c r="H2408" s="11" t="n">
        <x:v>2</x:v>
      </x:c>
      <x:c r="I2408" s="11" t="n">
        <x:v>2</x:v>
      </x:c>
      <x:c r="J2408" s="11" t="n">
        <x:v>2</x:v>
      </x:c>
      <x:c r="K2408" s="11" t="n">
        <x:v>0</x:v>
      </x:c>
      <x:c r="L2408" s="17" t="n">
        <x:f>SUM(SUMIFS('Costing'!$P$9:$P$492,'Costing'!$A$9:$A$492,"PARTNER-M201"))</x:f>
        <x:v>80000</x:v>
      </x:c>
      <x:c r="M2408" s="17" t="n">
        <x:f>ROUND(L2408*'Costing'!$C$4,2)</x:f>
        <x:v>14400</x:v>
      </x:c>
      <x:c r="N2408" s="17" t="n">
        <x:f>L2408+M2408</x:f>
        <x:v>94400</x:v>
      </x:c>
      <x:c r="O2408" s="12" t="str">
        <x:v>Mumbai</x:v>
      </x:c>
      <x:c r="P2408" s="12" t="str">
        <x:v>CORP-0618, CORP-0619</x:v>
      </x:c>
      <x:c r="Q2408" s="12" t="str">
        <x:v>Sulzer Tech India Pvt. Ltd</x:v>
      </x:c>
    </x:row>
    <x:row r="2409" ht="48" customHeight="1">
      <x:c r="A2409" s="2" t="str">
        <x:v>TEN-6F9E06E492D7</x:v>
      </x:c>
      <x:c r="B2409" s="12" t="str">
        <x:v>Sumeru Global</x:v>
      </x:c>
      <x:c r="C2409" s="12" t="str">
        <x:v>Business / brand</x:v>
      </x:c>
      <x:c r="D2409" s="12" t="str">
        <x:v>Unresolved</x:v>
      </x:c>
      <x:c r="E2409" s="12" t="str">
        <x:v>Business activity not established</x:v>
      </x:c>
      <x:c r="F2409" s="12" t="str">
        <x:v>Mixed business audience</x:v>
      </x:c>
      <x:c r="G2409" s="12" t="str">
        <x:v>Business activity and company scale are not established from this name.</x:v>
      </x:c>
      <x:c r="H2409" s="11" t="n">
        <x:v>1</x:v>
      </x:c>
      <x:c r="I2409" s="11" t="n">
        <x:v>1</x:v>
      </x:c>
      <x:c r="J2409" s="11" t="n">
        <x:v>1</x:v>
      </x:c>
      <x:c r="K2409" s="11" t="n">
        <x:v>0</x:v>
      </x:c>
      <x:c r="L2409" s="17" t="n">
        <x:f>SUM(SUMIFS('Costing'!$P$9:$P$492,'Costing'!$A$9:$A$492,"MAIN-274"))</x:f>
        <x:v>40000</x:v>
      </x:c>
      <x:c r="M2409" s="17" t="n">
        <x:f>ROUND(L2409*'Costing'!$C$4,2)</x:f>
        <x:v>7200</x:v>
      </x:c>
      <x:c r="N2409" s="17" t="n">
        <x:f>L2409+M2409</x:f>
        <x:v>47200</x:v>
      </x:c>
      <x:c r="O2409" s="12" t="str">
        <x:v>Indore</x:v>
      </x:c>
      <x:c r="P2409" s="12" t="str">
        <x:v>CORP-0270</x:v>
      </x:c>
      <x:c r="Q2409" s="12" t="str">
        <x:v>Sumeru Global</x:v>
      </x:c>
    </x:row>
    <x:row r="2410" ht="48" customHeight="1">
      <x:c r="A2410" s="2" t="str">
        <x:v>TEN-DE3D6001F138</x:v>
      </x:c>
      <x:c r="B2410" s="12" t="str">
        <x:v>sun positive</x:v>
      </x:c>
      <x:c r="C2410" s="12" t="str">
        <x:v>Business / brand</x:v>
      </x:c>
      <x:c r="D2410" s="12" t="str">
        <x:v>Unresolved</x:v>
      </x:c>
      <x:c r="E2410" s="12" t="str">
        <x:v>Business activity not established</x:v>
      </x:c>
      <x:c r="F2410" s="12" t="str">
        <x:v>Mixed business audience</x:v>
      </x:c>
      <x:c r="G2410" s="12" t="str">
        <x:v>Business activity and company scale are not established from this name.</x:v>
      </x:c>
      <x:c r="H2410" s="11" t="n">
        <x:v>1</x:v>
      </x:c>
      <x:c r="I2410" s="11" t="n">
        <x:v>3</x:v>
      </x:c>
      <x:c r="J2410" s="11" t="n">
        <x:v>3</x:v>
      </x:c>
      <x:c r="K2410" s="11" t="n">
        <x:v>0</x:v>
      </x:c>
      <x:c r="L2410" s="17" t="n">
        <x:f>SUM(SUMIFS('Costing'!$P$9:$P$492,'Costing'!$A$9:$A$492,"MAIN-217"))</x:f>
        <x:v>45000</x:v>
      </x:c>
      <x:c r="M2410" s="17" t="n">
        <x:f>ROUND(L2410*'Costing'!$C$4,2)</x:f>
        <x:v>8100</x:v>
      </x:c>
      <x:c r="N2410" s="17" t="n">
        <x:f>L2410+M2410</x:f>
        <x:v>53100</x:v>
      </x:c>
      <x:c r="O2410" s="12" t="str">
        <x:v>Hyderabad</x:v>
      </x:c>
      <x:c r="P2410" s="12" t="str">
        <x:v>CORP-0213</x:v>
      </x:c>
      <x:c r="Q2410" s="12" t="str">
        <x:v>sun positive</x:v>
      </x:c>
    </x:row>
    <x:row r="2411" ht="48" customHeight="1">
      <x:c r="A2411" s="2" t="str">
        <x:v>TEN-6C4F14749F20</x:v>
      </x:c>
      <x:c r="B2411" s="12" t="str">
        <x:v>SunInfra Energies Private Limited</x:v>
      </x:c>
      <x:c r="C2411" s="12" t="str">
        <x:v>Business / brand</x:v>
      </x:c>
      <x:c r="D2411" s="12" t="str">
        <x:v>Engineering &amp; manufacturing</x:v>
      </x:c>
      <x:c r="E2411" s="12" t="str">
        <x:v>Energy, electrical &amp; industrial systems</x:v>
      </x:c>
      <x:c r="F2411" s="12" t="str">
        <x:v>Medium-scale prospects</x:v>
      </x:c>
      <x:c r="G2411" s="12" t="str">
        <x:v>Specialist industrial or engineering business; medium-scale prospect assumption.</x:v>
      </x:c>
      <x:c r="H2411" s="11" t="n">
        <x:v>1</x:v>
      </x:c>
      <x:c r="I2411" s="11" t="n">
        <x:v>12</x:v>
      </x:c>
      <x:c r="J2411" s="11" t="n">
        <x:v>12</x:v>
      </x:c>
      <x:c r="K2411" s="11" t="n">
        <x:v>0</x:v>
      </x:c>
      <x:c r="L2411" s="17" t="n">
        <x:f>SUM(SUMIFS('Costing'!$P$9:$P$492,'Costing'!$A$9:$A$492,"MAIN-362"))</x:f>
        <x:v>300000</x:v>
      </x:c>
      <x:c r="M2411" s="17" t="n">
        <x:f>ROUND(L2411*'Costing'!$C$4,2)</x:f>
        <x:v>54000</x:v>
      </x:c>
      <x:c r="N2411" s="17" t="n">
        <x:f>L2411+M2411</x:f>
        <x:v>354000</x:v>
      </x:c>
      <x:c r="O2411" s="12" t="str">
        <x:v>Mumbai</x:v>
      </x:c>
      <x:c r="P2411" s="12" t="str">
        <x:v>CORP-0358</x:v>
      </x:c>
      <x:c r="Q2411" s="12" t="str">
        <x:v>SunInfra Energies Private Limited</x:v>
      </x:c>
    </x:row>
    <x:row r="2412" ht="48" customHeight="1">
      <x:c r="A2412" s="2" t="str">
        <x:v>TEN-BBD4EEA83943</x:v>
      </x:c>
      <x:c r="B2412" s="12" t="str">
        <x:v>Sunovaa Tech Pvt. Ltd</x:v>
      </x:c>
      <x:c r="C2412" s="12" t="str">
        <x:v>Business / brand</x:v>
      </x:c>
      <x:c r="D2412" s="12" t="str">
        <x:v>IT &amp; digital</x:v>
      </x:c>
      <x:c r="E2412" s="12" t="str">
        <x:v>Enterprise software &amp; digital engineering</x:v>
      </x:c>
      <x:c r="F2412" s="12" t="str">
        <x:v>Small-scale prospects</x:v>
      </x:c>
      <x:c r="G2412" s="12" t="str">
        <x:v>Software or technology-services business; small-scale prospect assumption.</x:v>
      </x:c>
      <x:c r="H2412" s="11" t="n">
        <x:v>4</x:v>
      </x:c>
      <x:c r="I2412" s="11" t="n">
        <x:v>4</x:v>
      </x:c>
      <x:c r="J2412" s="11" t="n">
        <x:v>4</x:v>
      </x:c>
      <x:c r="K2412" s="11" t="n">
        <x:v>0</x:v>
      </x:c>
      <x:c r="L2412" s="17" t="n">
        <x:f>SUM(SUMIFS('Costing'!$P$9:$P$492,'Costing'!$A$9:$A$492,"PARTNER-M056"))</x:f>
        <x:v>160000</x:v>
      </x:c>
      <x:c r="M2412" s="17" t="n">
        <x:f>ROUND(L2412*'Costing'!$C$4,2)</x:f>
        <x:v>28800</x:v>
      </x:c>
      <x:c r="N2412" s="17" t="n">
        <x:f>L2412+M2412</x:f>
        <x:v>188800</x:v>
      </x:c>
      <x:c r="O2412" s="12" t="str">
        <x:v>Bengaluru</x:v>
      </x:c>
      <x:c r="P2412" s="12" t="str">
        <x:v>CORP-0474, CORP-0475, CORP-0476, CORP-0477</x:v>
      </x:c>
      <x:c r="Q2412" s="12" t="str">
        <x:v>Sunovaa Tech Pvt. Ltd</x:v>
      </x:c>
    </x:row>
    <x:row r="2413" ht="48" customHeight="1">
      <x:c r="A2413" s="2" t="str">
        <x:v>TEN-D718C642648D</x:v>
      </x:c>
      <x:c r="B2413" s="12" t="str">
        <x:v>SUPER V TECHNOLOGIES</x:v>
      </x:c>
      <x:c r="C2413" s="12" t="str">
        <x:v>Business / brand</x:v>
      </x:c>
      <x:c r="D2413" s="12" t="str">
        <x:v>Unresolved</x:v>
      </x:c>
      <x:c r="E2413" s="12" t="str">
        <x:v>Business activity not established</x:v>
      </x:c>
      <x:c r="F2413" s="12" t="str">
        <x:v>Mixed business audience</x:v>
      </x:c>
      <x:c r="G2413" s="12" t="str">
        <x:v>Business activity and company scale are not established from this name.</x:v>
      </x:c>
      <x:c r="H2413" s="11" t="n">
        <x:v>1</x:v>
      </x:c>
      <x:c r="I2413" s="11" t="n">
        <x:v>1</x:v>
      </x:c>
      <x:c r="J2413" s="11" t="n">
        <x:v>1</x:v>
      </x:c>
      <x:c r="K2413" s="11" t="n">
        <x:v>0</x:v>
      </x:c>
      <x:c r="L2413" s="17" t="n">
        <x:f>SUM(SUMIFS('Costing'!$P$9:$P$492,'Costing'!$A$9:$A$492,"MAIN-028"))</x:f>
        <x:v>15000</x:v>
      </x:c>
      <x:c r="M2413" s="17" t="n">
        <x:f>ROUND(L2413*'Costing'!$C$4,2)</x:f>
        <x:v>2700</x:v>
      </x:c>
      <x:c r="N2413" s="17" t="n">
        <x:f>L2413+M2413</x:f>
        <x:v>17700</x:v>
      </x:c>
      <x:c r="O2413" s="12" t="str">
        <x:v>Bengaluru</x:v>
      </x:c>
      <x:c r="P2413" s="12" t="str">
        <x:v>CORP-0024</x:v>
      </x:c>
      <x:c r="Q2413" s="12" t="str">
        <x:v>SUPER V TECHNOLOGIES</x:v>
      </x:c>
    </x:row>
    <x:row r="2414" ht="48" customHeight="1">
      <x:c r="A2414" s="2" t="str">
        <x:v>TEN-1C4CDE20CBE1</x:v>
      </x:c>
      <x:c r="B2414" s="12" t="str">
        <x:v>SuperAdMedia</x:v>
      </x:c>
      <x:c r="C2414" s="12" t="str">
        <x:v>Business / brand</x:v>
      </x:c>
      <x:c r="D2414" s="12" t="str">
        <x:v>Professional services</x:v>
      </x:c>
      <x:c r="E2414" s="12" t="str">
        <x:v>Research, marketing &amp; professional services</x:v>
      </x:c>
      <x:c r="F2414" s="12" t="str">
        <x:v>Small-scale prospects</x:v>
      </x:c>
      <x:c r="G2414" s="12" t="str">
        <x:v>Professional service, agency or advisory model; small-scale prospect assumption.</x:v>
      </x:c>
      <x:c r="H2414" s="11" t="n">
        <x:v>10</x:v>
      </x:c>
      <x:c r="I2414" s="11" t="n">
        <x:v>10</x:v>
      </x:c>
      <x:c r="J2414" s="11" t="n">
        <x:v>10</x:v>
      </x:c>
      <x:c r="K2414" s="11" t="n">
        <x:v>0</x:v>
      </x:c>
      <x:c r="L2414" s="17" t="n">
        <x:f>SUM(SUMIFS('Costing'!$P$9:$P$492,'Costing'!$A$9:$A$492,"PARTNER-M365"))</x:f>
        <x:v>400000</x:v>
      </x:c>
      <x:c r="M2414" s="17" t="n">
        <x:f>ROUND(L2414*'Costing'!$C$4,2)</x:f>
        <x:v>72000</x:v>
      </x:c>
      <x:c r="N2414" s="17" t="n">
        <x:f>L2414+M2414</x:f>
        <x:v>472000</x:v>
      </x:c>
      <x:c r="O2414" s="12" t="str">
        <x:v>Delhi NCR</x:v>
      </x:c>
      <x:c r="P2414" s="12" t="str">
        <x:v>CORP-0778, CORP-0779, CORP-0780, CORP-0781, CORP-0782, CORP-0783, CORP-0784, CORP-0785, CORP-0786, CORP-0787</x:v>
      </x:c>
      <x:c r="Q2414" s="12" t="str">
        <x:v>SuperAdMedia</x:v>
      </x:c>
    </x:row>
    <x:row r="2415" ht="48" customHeight="1">
      <x:c r="A2415" s="2" t="str">
        <x:v>TEN-0533EE71FB65</x:v>
      </x:c>
      <x:c r="B2415" s="12" t="str">
        <x:v>SUPERFONE</x:v>
      </x:c>
      <x:c r="C2415" s="12" t="str">
        <x:v>Business / brand</x:v>
      </x:c>
      <x:c r="D2415" s="12" t="str">
        <x:v>IT &amp; digital</x:v>
      </x:c>
      <x:c r="E2415" s="12" t="str">
        <x:v>Enterprise software &amp; digital engineering</x:v>
      </x:c>
      <x:c r="F2415" s="12" t="str">
        <x:v>Small-scale prospects</x:v>
      </x:c>
      <x:c r="G2415" s="12" t="str">
        <x:v>Software or technology-services business; small-scale prospect assumption.</x:v>
      </x:c>
      <x:c r="H2415" s="11" t="n">
        <x:v>1</x:v>
      </x:c>
      <x:c r="I2415" s="11" t="n">
        <x:v>2</x:v>
      </x:c>
      <x:c r="J2415" s="11" t="n">
        <x:v>2</x:v>
      </x:c>
      <x:c r="K2415" s="11" t="n">
        <x:v>0</x:v>
      </x:c>
      <x:c r="L2415" s="17" t="n">
        <x:f>SUM(SUMIFS('Costing'!$P$9:$P$492,'Costing'!$A$9:$A$492,"MAIN-107"))</x:f>
        <x:v>30000</x:v>
      </x:c>
      <x:c r="M2415" s="17" t="n">
        <x:f>ROUND(L2415*'Costing'!$C$4,2)</x:f>
        <x:v>5400</x:v>
      </x:c>
      <x:c r="N2415" s="17" t="n">
        <x:f>L2415+M2415</x:f>
        <x:v>35400</x:v>
      </x:c>
      <x:c r="O2415" s="12" t="str">
        <x:v>Bengaluru</x:v>
      </x:c>
      <x:c r="P2415" s="12" t="str">
        <x:v>CORP-0103</x:v>
      </x:c>
      <x:c r="Q2415" s="12" t="str">
        <x:v>SUPERFONE</x:v>
      </x:c>
    </x:row>
    <x:row r="2416" ht="48" customHeight="1">
      <x:c r="A2416" s="2" t="str">
        <x:v>TEN-BC80F75880B5</x:v>
      </x:c>
      <x:c r="B2416" s="12" t="str">
        <x:v>Supergrowth investments pvt ltd</x:v>
      </x:c>
      <x:c r="C2416" s="12" t="str">
        <x:v>Business / brand</x:v>
      </x:c>
      <x:c r="D2416" s="12" t="str">
        <x:v>Finance &amp; insurance</x:v>
      </x:c>
      <x:c r="E2416" s="12" t="str">
        <x:v>Investments, securities &amp; wealth</x:v>
      </x:c>
      <x:c r="F2416" s="12" t="str">
        <x:v>Medium-scale prospects</x:v>
      </x:c>
      <x:c r="G2416" s="12" t="str">
        <x:v>Specialist financial-services business; medium-scale prospect assumption.</x:v>
      </x:c>
      <x:c r="H2416" s="11" t="n">
        <x:v>1</x:v>
      </x:c>
      <x:c r="I2416" s="11" t="n">
        <x:v>1</x:v>
      </x:c>
      <x:c r="J2416" s="11" t="n">
        <x:v>1</x:v>
      </x:c>
      <x:c r="K2416" s="11" t="n">
        <x:v>0</x:v>
      </x:c>
      <x:c r="L2416" s="17" t="n">
        <x:f>SUM(SUMIFS('Costing'!$P$9:$P$492,'Costing'!$A$9:$A$492,"MAIN-175"))</x:f>
        <x:v>15000</x:v>
      </x:c>
      <x:c r="M2416" s="17" t="n">
        <x:f>ROUND(L2416*'Costing'!$C$4,2)</x:f>
        <x:v>2700</x:v>
      </x:c>
      <x:c r="N2416" s="17" t="n">
        <x:f>L2416+M2416</x:f>
        <x:v>17700</x:v>
      </x:c>
      <x:c r="O2416" s="12" t="str">
        <x:v>Delhi NCR</x:v>
      </x:c>
      <x:c r="P2416" s="12" t="str">
        <x:v>CORP-0171</x:v>
      </x:c>
      <x:c r="Q2416" s="12" t="str">
        <x:v>Supergrowth investments pvt ltd</x:v>
      </x:c>
    </x:row>
    <x:row r="2417" ht="48" customHeight="1">
      <x:c r="A2417" s="2" t="str">
        <x:v>TEN-F8F474A55BEF</x:v>
      </x:c>
      <x:c r="B2417" s="12" t="str">
        <x:v>Supreme</x:v>
      </x:c>
      <x:c r="C2417" s="12" t="str">
        <x:v>Business / brand</x:v>
      </x:c>
      <x:c r="D2417" s="12" t="str">
        <x:v>Unresolved</x:v>
      </x:c>
      <x:c r="E2417" s="12" t="str">
        <x:v>Business activity not established</x:v>
      </x:c>
      <x:c r="F2417" s="12" t="str">
        <x:v>Mixed business audience</x:v>
      </x:c>
      <x:c r="G2417" s="12" t="str">
        <x:v>Business activity and company scale are not established from this name.</x:v>
      </x:c>
      <x:c r="H2417" s="11" t="n">
        <x:v>1</x:v>
      </x:c>
      <x:c r="I2417" s="11" t="n">
        <x:v>1</x:v>
      </x:c>
      <x:c r="J2417" s="11" t="n">
        <x:v>1</x:v>
      </x:c>
      <x:c r="K2417" s="11" t="n">
        <x:v>0</x:v>
      </x:c>
      <x:c r="L2417" s="17" t="n">
        <x:f>SUM(SUMIFS('Costing'!$P$9:$P$492,'Costing'!$A$9:$A$492,"MAIN-275"))</x:f>
        <x:v>40000</x:v>
      </x:c>
      <x:c r="M2417" s="17" t="n">
        <x:f>ROUND(L2417*'Costing'!$C$4,2)</x:f>
        <x:v>7200</x:v>
      </x:c>
      <x:c r="N2417" s="17" t="n">
        <x:f>L2417+M2417</x:f>
        <x:v>47200</x:v>
      </x:c>
      <x:c r="O2417" s="12" t="str">
        <x:v>Indore</x:v>
      </x:c>
      <x:c r="P2417" s="12" t="str">
        <x:v>CORP-0271</x:v>
      </x:c>
      <x:c r="Q2417" s="12" t="str">
        <x:v>Supreme</x:v>
      </x:c>
    </x:row>
    <x:row r="2418" ht="48" customHeight="1">
      <x:c r="A2418" s="2" t="str">
        <x:v>TEN-97436A7FB207</x:v>
      </x:c>
      <x:c r="B2418" s="12" t="str">
        <x:v>Surtel Technologies Private Limited</x:v>
      </x:c>
      <x:c r="C2418" s="12" t="str">
        <x:v>Business / brand</x:v>
      </x:c>
      <x:c r="D2418" s="12" t="str">
        <x:v>Unresolved</x:v>
      </x:c>
      <x:c r="E2418" s="12" t="str">
        <x:v>Business activity not established</x:v>
      </x:c>
      <x:c r="F2418" s="12" t="str">
        <x:v>Mixed business audience</x:v>
      </x:c>
      <x:c r="G2418" s="12" t="str">
        <x:v>Business activity and company scale are not established from this name.</x:v>
      </x:c>
      <x:c r="H2418" s="11" t="n">
        <x:v>1</x:v>
      </x:c>
      <x:c r="I2418" s="11" t="n">
        <x:v>2</x:v>
      </x:c>
      <x:c r="J2418" s="11" t="n">
        <x:v>2</x:v>
      </x:c>
      <x:c r="K2418" s="11" t="n">
        <x:v>0</x:v>
      </x:c>
      <x:c r="L2418" s="17" t="n">
        <x:f>SUM(SUMIFS('Costing'!$P$9:$P$492,'Costing'!$A$9:$A$492,"MAIN-273"))</x:f>
        <x:v>40000</x:v>
      </x:c>
      <x:c r="M2418" s="17" t="n">
        <x:f>ROUND(L2418*'Costing'!$C$4,2)</x:f>
        <x:v>7200</x:v>
      </x:c>
      <x:c r="N2418" s="17" t="n">
        <x:f>L2418+M2418</x:f>
        <x:v>47200</x:v>
      </x:c>
      <x:c r="O2418" s="12" t="str">
        <x:v>Indore</x:v>
      </x:c>
      <x:c r="P2418" s="12" t="str">
        <x:v>CORP-0269</x:v>
      </x:c>
      <x:c r="Q2418" s="12" t="str">
        <x:v>Surtel Technologies Private Limited</x:v>
      </x:c>
    </x:row>
    <x:row r="2419" ht="48" customHeight="1">
      <x:c r="A2419" s="2" t="str">
        <x:v>TEN-04F457C9EB4D</x:v>
      </x:c>
      <x:c r="B2419" s="12" t="str">
        <x:v>Survey2connect</x:v>
      </x:c>
      <x:c r="C2419" s="12" t="str">
        <x:v>Business / brand</x:v>
      </x:c>
      <x:c r="D2419" s="12" t="str">
        <x:v>IT &amp; digital</x:v>
      </x:c>
      <x:c r="E2419" s="12" t="str">
        <x:v>Enterprise software &amp; digital engineering</x:v>
      </x:c>
      <x:c r="F2419" s="12" t="str">
        <x:v>Small-scale prospects</x:v>
      </x:c>
      <x:c r="G2419" s="12" t="str">
        <x:v>Software or technology-services business; small-scale prospect assumption.</x:v>
      </x:c>
      <x:c r="H2419" s="11" t="n">
        <x:v>1</x:v>
      </x:c>
      <x:c r="I2419" s="11" t="n">
        <x:v>5</x:v>
      </x:c>
      <x:c r="J2419" s="11" t="n">
        <x:v>5</x:v>
      </x:c>
      <x:c r="K2419" s="11" t="n">
        <x:v>0</x:v>
      </x:c>
      <x:c r="L2419" s="17" t="n">
        <x:f>SUM(SUMIFS('Costing'!$P$9:$P$492,'Costing'!$A$9:$A$492,"MAIN-196"))</x:f>
        <x:v>200000</x:v>
      </x:c>
      <x:c r="M2419" s="17" t="n">
        <x:f>ROUND(L2419*'Costing'!$C$4,2)</x:f>
        <x:v>36000</x:v>
      </x:c>
      <x:c r="N2419" s="17" t="n">
        <x:f>L2419+M2419</x:f>
        <x:v>236000</x:v>
      </x:c>
      <x:c r="O2419" s="12" t="str">
        <x:v>Delhi NCR</x:v>
      </x:c>
      <x:c r="P2419" s="12" t="str">
        <x:v>CORP-0192</x:v>
      </x:c>
      <x:c r="Q2419" s="12" t="str">
        <x:v>Survey2connect</x:v>
      </x:c>
    </x:row>
    <x:row r="2420" ht="48" customHeight="1">
      <x:c r="A2420" s="2" t="str">
        <x:v>TEN-2AE6F2F143A1</x:v>
      </x:c>
      <x:c r="B2420" s="12" t="str">
        <x:v>Surya Soft Tech</x:v>
      </x:c>
      <x:c r="C2420" s="12" t="str">
        <x:v>Business / brand</x:v>
      </x:c>
      <x:c r="D2420" s="12" t="str">
        <x:v>IT &amp; digital</x:v>
      </x:c>
      <x:c r="E2420" s="12" t="str">
        <x:v>Enterprise software &amp; digital engineering</x:v>
      </x:c>
      <x:c r="F2420" s="12" t="str">
        <x:v>Small-scale prospects</x:v>
      </x:c>
      <x:c r="G2420" s="12" t="str">
        <x:v>Software or technology-services business; small-scale prospect assumption.</x:v>
      </x:c>
      <x:c r="H2420" s="11" t="n">
        <x:v>1</x:v>
      </x:c>
      <x:c r="I2420" s="11" t="n">
        <x:v>1</x:v>
      </x:c>
      <x:c r="J2420" s="11" t="n">
        <x:v>1</x:v>
      </x:c>
      <x:c r="K2420" s="11" t="n">
        <x:v>0</x:v>
      </x:c>
      <x:c r="L2420" s="17" t="n">
        <x:f>SUM(SUMIFS('Costing'!$P$9:$P$492,'Costing'!$A$9:$A$492,"MAIN-250"))</x:f>
        <x:v>15000</x:v>
      </x:c>
      <x:c r="M2420" s="17" t="n">
        <x:f>ROUND(L2420*'Costing'!$C$4,2)</x:f>
        <x:v>2700</x:v>
      </x:c>
      <x:c r="N2420" s="17" t="n">
        <x:f>L2420+M2420</x:f>
        <x:v>17700</x:v>
      </x:c>
      <x:c r="O2420" s="12" t="str">
        <x:v>Hyderabad</x:v>
      </x:c>
      <x:c r="P2420" s="12" t="str">
        <x:v>CORP-0246</x:v>
      </x:c>
      <x:c r="Q2420" s="12" t="str">
        <x:v>Surya Soft Tech</x:v>
      </x:c>
    </x:row>
    <x:row r="2421" ht="48" customHeight="1">
      <x:c r="A2421" s="2" t="str">
        <x:v>TEN-97ED95A681B4</x:v>
      </x:c>
      <x:c r="B2421" s="12" t="str">
        <x:v>Sutherland</x:v>
      </x:c>
      <x:c r="C2421" s="12" t="str">
        <x:v>Business / brand</x:v>
      </x:c>
      <x:c r="D2421" s="12" t="str">
        <x:v>IT &amp; digital</x:v>
      </x:c>
      <x:c r="E2421" s="12" t="str">
        <x:v>Business process &amp; customer operations</x:v>
      </x:c>
      <x:c r="F2421" s="12" t="str">
        <x:v>Mixed business audience</x:v>
      </x:c>
      <x:c r="G2421" s="12" t="str">
        <x:v>Recognisable business context; company-scale evidence remains insufficient for a single size band.</x:v>
      </x:c>
      <x:c r="H2421" s="11" t="n">
        <x:v>9</x:v>
      </x:c>
      <x:c r="I2421" s="11" t="n">
        <x:v>9</x:v>
      </x:c>
      <x:c r="J2421" s="11" t="n">
        <x:v>9</x:v>
      </x:c>
      <x:c r="K2421" s="11" t="n">
        <x:v>0</x:v>
      </x:c>
      <x:c r="L2421" s="17" t="n">
        <x:f>SUM(SUMIFS('Costing'!$P$9:$P$492,'Costing'!$A$9:$A$492,"PARTNER-M252"))</x:f>
        <x:v>360000</x:v>
      </x:c>
      <x:c r="M2421" s="17" t="n">
        <x:f>ROUND(L2421*'Costing'!$C$4,2)</x:f>
        <x:v>64800</x:v>
      </x:c>
      <x:c r="N2421" s="17" t="n">
        <x:f>L2421+M2421</x:f>
        <x:v>424800</x:v>
      </x:c>
      <x:c r="O2421" s="12" t="str">
        <x:v>Pune</x:v>
      </x:c>
      <x:c r="P2421" s="12" t="str">
        <x:v>CORP-0668, CORP-0669, CORP-0670, CORP-0671, CORP-0672, CORP-0673, CORP-0674, CORP-0675, CORP-0676</x:v>
      </x:c>
      <x:c r="Q2421" s="12" t="str">
        <x:v>Sutherland</x:v>
      </x:c>
    </x:row>
    <x:row r="2422" ht="48" customHeight="1">
      <x:c r="A2422" s="2" t="str">
        <x:v>TEN-80E224094D7E</x:v>
      </x:c>
      <x:c r="B2422" s="12" t="str">
        <x:v>Sutherland Global Services</x:v>
      </x:c>
      <x:c r="C2422" s="12" t="str">
        <x:v>Business / brand</x:v>
      </x:c>
      <x:c r="D2422" s="12" t="str">
        <x:v>IT &amp; digital</x:v>
      </x:c>
      <x:c r="E2422" s="12" t="str">
        <x:v>Business process &amp; customer operations</x:v>
      </x:c>
      <x:c r="F2422" s="12" t="str">
        <x:v>Mixed business audience</x:v>
      </x:c>
      <x:c r="G2422" s="12" t="str">
        <x:v>Recognisable business context; company-scale evidence remains insufficient for a single size band.</x:v>
      </x:c>
      <x:c r="H2422" s="11" t="n">
        <x:v>4</x:v>
      </x:c>
      <x:c r="I2422" s="11" t="n">
        <x:v>6</x:v>
      </x:c>
      <x:c r="J2422" s="11" t="n">
        <x:v>6</x:v>
      </x:c>
      <x:c r="K2422" s="11" t="n">
        <x:v>0</x:v>
      </x:c>
      <x:c r="L2422" s="17" t="n">
        <x:f>SUM(SUMIFS('Costing'!$P$9:$P$492,'Costing'!$A$9:$A$492,"MAIN-345"),SUMIFS('Costing'!$P$9:$P$492,'Costing'!$A$9:$A$492,"MAIN-346"),SUMIFS('Costing'!$P$9:$P$492,'Costing'!$A$9:$A$492,"PARTNER-M201"))</x:f>
        <x:v>140000</x:v>
      </x:c>
      <x:c r="M2422" s="17" t="n">
        <x:f>ROUND(L2422*'Costing'!$C$4,2)</x:f>
        <x:v>25200</x:v>
      </x:c>
      <x:c r="N2422" s="17" t="n">
        <x:f>L2422+M2422</x:f>
        <x:v>165200</x:v>
      </x:c>
      <x:c r="O2422" s="12" t="str">
        <x:v>Mumbai</x:v>
      </x:c>
      <x:c r="P2422" s="12" t="str">
        <x:v>CORP-0341, CORP-0342, CORP-0618, CORP-0619</x:v>
      </x:c>
      <x:c r="Q2422" s="12" t="str">
        <x:v>Sutherland Global Services</x:v>
      </x:c>
    </x:row>
    <x:row r="2423" ht="48" customHeight="1">
      <x:c r="A2423" s="2" t="str">
        <x:v>TEN-86BB95263026</x:v>
      </x:c>
      <x:c r="B2423" s="12" t="str">
        <x:v>Svarna Infrastructre &amp; Builder Pvt Ltd</x:v>
      </x:c>
      <x:c r="C2423" s="12" t="str">
        <x:v>Business / brand</x:v>
      </x:c>
      <x:c r="D2423" s="12" t="str">
        <x:v>Engineering &amp; manufacturing</x:v>
      </x:c>
      <x:c r="E2423" s="12" t="str">
        <x:v>Engineering/manufacturing — specialty unverified</x:v>
      </x:c>
      <x:c r="F2423" s="12" t="str">
        <x:v>Medium-scale prospects</x:v>
      </x:c>
      <x:c r="G2423" s="12" t="str">
        <x:v>Specialist industrial or engineering business; medium-scale prospect assumption.</x:v>
      </x:c>
      <x:c r="H2423" s="11" t="n">
        <x:v>1</x:v>
      </x:c>
      <x:c r="I2423" s="11" t="n">
        <x:v>5</x:v>
      </x:c>
      <x:c r="J2423" s="11" t="n">
        <x:v>5</x:v>
      </x:c>
      <x:c r="K2423" s="11" t="n">
        <x:v>0</x:v>
      </x:c>
      <x:c r="L2423" s="17" t="n">
        <x:f>SUM(SUMIFS('Costing'!$P$9:$P$492,'Costing'!$A$9:$A$492,"MAIN-287"))</x:f>
        <x:v>75000</x:v>
      </x:c>
      <x:c r="M2423" s="17" t="n">
        <x:f>ROUND(L2423*'Costing'!$C$4,2)</x:f>
        <x:v>13500</x:v>
      </x:c>
      <x:c r="N2423" s="17" t="n">
        <x:f>L2423+M2423</x:f>
        <x:v>88500</x:v>
      </x:c>
      <x:c r="O2423" s="12" t="str">
        <x:v>Kolkata</x:v>
      </x:c>
      <x:c r="P2423" s="12" t="str">
        <x:v>CORP-0283</x:v>
      </x:c>
      <x:c r="Q2423" s="12" t="str">
        <x:v>Svarna Infrastructre &amp; Builder Pvt Ltd</x:v>
      </x:c>
    </x:row>
    <x:row r="2424" ht="49" customHeight="1">
      <x:c r="A2424" s="2" t="str">
        <x:v>TEN-D5193353E49E</x:v>
      </x:c>
      <x:c r="B2424" s="12" t="str">
        <x:v>SVB India Advisors Ltd</x:v>
      </x:c>
      <x:c r="C2424" s="12" t="str">
        <x:v>Business / brand</x:v>
      </x:c>
      <x:c r="D2424" s="12" t="str">
        <x:v>Finance &amp; insurance</x:v>
      </x:c>
      <x:c r="E2424" s="12" t="str">
        <x:v>Investments, securities &amp; wealth</x:v>
      </x:c>
      <x:c r="F2424" s="12" t="str">
        <x:v>Mixed business audience</x:v>
      </x:c>
      <x:c r="G2424" s="12" t="str">
        <x:v>Established brand or business network; local company scale is not established. Use a mixed-business message.</x:v>
      </x:c>
      <x:c r="H2424" s="11" t="n">
        <x:v>11</x:v>
      </x:c>
      <x:c r="I2424" s="11" t="n">
        <x:v>11</x:v>
      </x:c>
      <x:c r="J2424" s="11" t="n">
        <x:v>11</x:v>
      </x:c>
      <x:c r="K2424" s="11" t="n">
        <x:v>0</x:v>
      </x:c>
      <x:c r="L2424" s="17" t="n">
        <x:f>SUM(SUMIFS('Costing'!$P$9:$P$492,'Costing'!$A$9:$A$492,"PARTNER-M082"))</x:f>
        <x:v>440000</x:v>
      </x:c>
      <x:c r="M2424" s="17" t="n">
        <x:f>ROUND(L2424*'Costing'!$C$4,2)</x:f>
        <x:v>79200</x:v>
      </x:c>
      <x:c r="N2424" s="17" t="n">
        <x:f>L2424+M2424</x:f>
        <x:v>519200</x:v>
      </x:c>
      <x:c r="O2424" s="12" t="str">
        <x:v>Bengaluru</x:v>
      </x:c>
      <x:c r="P2424" s="12" t="str">
        <x:v>CORP-0500, CORP-0501, CORP-0502, CORP-0503, CORP-0504, CORP-0505, CORP-0506, CORP-0507, CORP-0508, CORP-0509, CORP-0510</x:v>
      </x:c>
      <x:c r="Q2424" s="12" t="str">
        <x:v>SVB India Advisors Ltd</x:v>
      </x:c>
    </x:row>
    <x:row r="2425" ht="48" customHeight="1">
      <x:c r="A2425" s="2" t="str">
        <x:v>TEN-AC9D9F310977</x:v>
      </x:c>
      <x:c r="B2425" s="12" t="str">
        <x:v>Swan Investment Distributors Private Limited</x:v>
      </x:c>
      <x:c r="C2425" s="12" t="str">
        <x:v>Business / brand</x:v>
      </x:c>
      <x:c r="D2425" s="12" t="str">
        <x:v>Finance &amp; insurance</x:v>
      </x:c>
      <x:c r="E2425" s="12" t="str">
        <x:v>Investments, securities &amp; wealth</x:v>
      </x:c>
      <x:c r="F2425" s="12" t="str">
        <x:v>Medium-scale prospects</x:v>
      </x:c>
      <x:c r="G2425" s="12" t="str">
        <x:v>Specialist financial-services business; medium-scale prospect assumption.</x:v>
      </x:c>
      <x:c r="H2425" s="11" t="n">
        <x:v>1</x:v>
      </x:c>
      <x:c r="I2425" s="11" t="n">
        <x:v>2</x:v>
      </x:c>
      <x:c r="J2425" s="11" t="n">
        <x:v>2</x:v>
      </x:c>
      <x:c r="K2425" s="11" t="n">
        <x:v>0</x:v>
      </x:c>
      <x:c r="L2425" s="17" t="n">
        <x:f>SUM(SUMIFS('Costing'!$P$9:$P$492,'Costing'!$A$9:$A$492,"MAIN-273"))</x:f>
        <x:v>40000</x:v>
      </x:c>
      <x:c r="M2425" s="17" t="n">
        <x:f>ROUND(L2425*'Costing'!$C$4,2)</x:f>
        <x:v>7200</x:v>
      </x:c>
      <x:c r="N2425" s="17" t="n">
        <x:f>L2425+M2425</x:f>
        <x:v>47200</x:v>
      </x:c>
      <x:c r="O2425" s="12" t="str">
        <x:v>Indore</x:v>
      </x:c>
      <x:c r="P2425" s="12" t="str">
        <x:v>CORP-0269</x:v>
      </x:c>
      <x:c r="Q2425" s="12" t="str">
        <x:v>Swan Investment Distributors Private Limited</x:v>
      </x:c>
    </x:row>
    <x:row r="2426" ht="48" customHeight="1">
      <x:c r="A2426" s="2" t="str">
        <x:v>TEN-41F8EEA85BA7</x:v>
      </x:c>
      <x:c r="B2426" s="12" t="str">
        <x:v>Swarna Shubha Bhoomi</x:v>
      </x:c>
      <x:c r="C2426" s="12" t="str">
        <x:v>Business / brand</x:v>
      </x:c>
      <x:c r="D2426" s="12" t="str">
        <x:v>Trade, consumer &amp; logistics</x:v>
      </x:c>
      <x:c r="E2426" s="12" t="str">
        <x:v>Real estate, property &amp; construction services</x:v>
      </x:c>
      <x:c r="F2426" s="12" t="str">
        <x:v>Small-scale prospects</x:v>
      </x:c>
      <x:c r="G2426" s="12" t="str">
        <x:v>Trading or consumer-services business; small-scale prospect assumption.</x:v>
      </x:c>
      <x:c r="H2426" s="11" t="n">
        <x:v>1</x:v>
      </x:c>
      <x:c r="I2426" s="11" t="n">
        <x:v>2</x:v>
      </x:c>
      <x:c r="J2426" s="11" t="n">
        <x:v>2</x:v>
      </x:c>
      <x:c r="K2426" s="11" t="n">
        <x:v>0</x:v>
      </x:c>
      <x:c r="L2426" s="17" t="n">
        <x:f>SUM(SUMIFS('Costing'!$P$9:$P$492,'Costing'!$A$9:$A$492,"MAIN-243"))</x:f>
        <x:v>40000</x:v>
      </x:c>
      <x:c r="M2426" s="17" t="n">
        <x:f>ROUND(L2426*'Costing'!$C$4,2)</x:f>
        <x:v>7200</x:v>
      </x:c>
      <x:c r="N2426" s="17" t="n">
        <x:f>L2426+M2426</x:f>
        <x:v>47200</x:v>
      </x:c>
      <x:c r="O2426" s="12" t="str">
        <x:v>Hyderabad</x:v>
      </x:c>
      <x:c r="P2426" s="12" t="str">
        <x:v>CORP-0239</x:v>
      </x:c>
      <x:c r="Q2426" s="12" t="str">
        <x:v>Swarna Shubha Bhoomi</x:v>
      </x:c>
    </x:row>
    <x:row r="2427" ht="48" customHeight="1">
      <x:c r="A2427" s="2" t="str">
        <x:v>TEN-5B3F0160CC24</x:v>
      </x:c>
      <x:c r="B2427" s="12" t="str">
        <x:v>Swelect Pvt.Ltd</x:v>
      </x:c>
      <x:c r="C2427" s="12" t="str">
        <x:v>Business / brand</x:v>
      </x:c>
      <x:c r="D2427" s="12" t="str">
        <x:v>Engineering &amp; manufacturing</x:v>
      </x:c>
      <x:c r="E2427" s="12" t="str">
        <x:v>Electronics, industrial systems &amp; manufacturing</x:v>
      </x:c>
      <x:c r="F2427" s="12" t="str">
        <x:v>Mixed business audience</x:v>
      </x:c>
      <x:c r="G2427" s="12" t="str">
        <x:v>Established brand or business network; local company scale is not established. Use a mixed-business message.</x:v>
      </x:c>
      <x:c r="H2427" s="11" t="n">
        <x:v>1</x:v>
      </x:c>
      <x:c r="I2427" s="11" t="n">
        <x:v>1</x:v>
      </x:c>
      <x:c r="J2427" s="11" t="n">
        <x:v>1</x:v>
      </x:c>
      <x:c r="K2427" s="11" t="n">
        <x:v>0</x:v>
      </x:c>
      <x:c r="L2427" s="17" t="n">
        <x:f>SUM(SUMIFS('Costing'!$P$9:$P$492,'Costing'!$A$9:$A$492,"MAIN-033"))</x:f>
        <x:v>15000</x:v>
      </x:c>
      <x:c r="M2427" s="17" t="n">
        <x:f>ROUND(L2427*'Costing'!$C$4,2)</x:f>
        <x:v>2700</x:v>
      </x:c>
      <x:c r="N2427" s="17" t="n">
        <x:f>L2427+M2427</x:f>
        <x:v>17700</x:v>
      </x:c>
      <x:c r="O2427" s="12" t="str">
        <x:v>Bengaluru</x:v>
      </x:c>
      <x:c r="P2427" s="12" t="str">
        <x:v>CORP-0029</x:v>
      </x:c>
      <x:c r="Q2427" s="12" t="str">
        <x:v>Swelect Pvt.Ltd</x:v>
      </x:c>
    </x:row>
    <x:row r="2428" ht="48" customHeight="1">
      <x:c r="A2428" s="2" t="str">
        <x:v>TEN-A33603BF79F7</x:v>
      </x:c>
      <x:c r="B2428" s="12" t="str">
        <x:v>Swift</x:v>
      </x:c>
      <x:c r="C2428" s="12" t="str">
        <x:v>Business / brand</x:v>
      </x:c>
      <x:c r="D2428" s="12" t="str">
        <x:v>Unresolved</x:v>
      </x:c>
      <x:c r="E2428" s="12" t="str">
        <x:v>Business activity not established</x:v>
      </x:c>
      <x:c r="F2428" s="12" t="str">
        <x:v>Mixed business audience</x:v>
      </x:c>
      <x:c r="G2428" s="12" t="str">
        <x:v>Business activity and company scale are not established from this name.</x:v>
      </x:c>
      <x:c r="H2428" s="11" t="n">
        <x:v>1</x:v>
      </x:c>
      <x:c r="I2428" s="11" t="n">
        <x:v>2</x:v>
      </x:c>
      <x:c r="J2428" s="11" t="n">
        <x:v>2</x:v>
      </x:c>
      <x:c r="K2428" s="11" t="n">
        <x:v>0</x:v>
      </x:c>
      <x:c r="L2428" s="17" t="n">
        <x:f>SUM(SUMIFS('Costing'!$P$9:$P$492,'Costing'!$A$9:$A$492,"MAIN-109"))</x:f>
        <x:v>30000</x:v>
      </x:c>
      <x:c r="M2428" s="17" t="n">
        <x:f>ROUND(L2428*'Costing'!$C$4,2)</x:f>
        <x:v>5400</x:v>
      </x:c>
      <x:c r="N2428" s="17" t="n">
        <x:f>L2428+M2428</x:f>
        <x:v>35400</x:v>
      </x:c>
      <x:c r="O2428" s="12" t="str">
        <x:v>Bengaluru</x:v>
      </x:c>
      <x:c r="P2428" s="12" t="str">
        <x:v>CORP-0105</x:v>
      </x:c>
      <x:c r="Q2428" s="12" t="str">
        <x:v>Swift</x:v>
      </x:c>
    </x:row>
    <x:row r="2429" ht="48" customHeight="1">
      <x:c r="A2429" s="2" t="str">
        <x:v>TEN-1FE83FD8C056</x:v>
      </x:c>
      <x:c r="B2429" s="12" t="str">
        <x:v>Swiggy OMR joining office</x:v>
      </x:c>
      <x:c r="C2429" s="12" t="str">
        <x:v>Business / brand</x:v>
      </x:c>
      <x:c r="D2429" s="12" t="str">
        <x:v>Trade, consumer &amp; logistics</x:v>
      </x:c>
      <x:c r="E2429" s="12" t="str">
        <x:v>Travel, hospitality, food &amp; beverages</x:v>
      </x:c>
      <x:c r="F2429" s="12" t="str">
        <x:v>Mixed business audience</x:v>
      </x:c>
      <x:c r="G2429" s="12" t="str">
        <x:v>Recognisable business context; company-scale evidence remains insufficient for a single size band.</x:v>
      </x:c>
      <x:c r="H2429" s="11" t="n">
        <x:v>1</x:v>
      </x:c>
      <x:c r="I2429" s="11" t="n">
        <x:v>1</x:v>
      </x:c>
      <x:c r="J2429" s="11" t="n">
        <x:v>1</x:v>
      </x:c>
      <x:c r="K2429" s="11" t="n">
        <x:v>0</x:v>
      </x:c>
      <x:c r="L2429" s="17" t="n">
        <x:f>SUM(SUMIFS('Costing'!$P$9:$P$492,'Costing'!$A$9:$A$492,"MAIN-159"))</x:f>
        <x:v>15000</x:v>
      </x:c>
      <x:c r="M2429" s="17" t="n">
        <x:f>ROUND(L2429*'Costing'!$C$4,2)</x:f>
        <x:v>2700</x:v>
      </x:c>
      <x:c r="N2429" s="17" t="n">
        <x:f>L2429+M2429</x:f>
        <x:v>17700</x:v>
      </x:c>
      <x:c r="O2429" s="12" t="str">
        <x:v>Chennai</x:v>
      </x:c>
      <x:c r="P2429" s="12" t="str">
        <x:v>CORP-0155</x:v>
      </x:c>
      <x:c r="Q2429" s="12" t="str">
        <x:v>Swiggy OMR joining office</x:v>
      </x:c>
    </x:row>
    <x:row r="2430" ht="48" customHeight="1">
      <x:c r="A2430" s="2" t="str">
        <x:v>TEN-D383F63EC668</x:v>
      </x:c>
      <x:c r="B2430" s="12" t="str">
        <x:v>Swiss Reinsurance company pvt ltd</x:v>
      </x:c>
      <x:c r="C2430" s="12" t="str">
        <x:v>Business / brand</x:v>
      </x:c>
      <x:c r="D2430" s="12" t="str">
        <x:v>Finance &amp; insurance</x:v>
      </x:c>
      <x:c r="E2430" s="12" t="str">
        <x:v>Insurance &amp; insurance services</x:v>
      </x:c>
      <x:c r="F2430" s="12" t="str">
        <x:v>Large enterprise</x:v>
      </x:c>
      <x:c r="G2430" s="12" t="str">
        <x:v>Explicit Swiss Re enterprise-family context; see ENTERPRISE_SUPP_047 evidence.</x:v>
      </x:c>
      <x:c r="H2430" s="11" t="n">
        <x:v>1</x:v>
      </x:c>
      <x:c r="I2430" s="11" t="n">
        <x:v>2</x:v>
      </x:c>
      <x:c r="J2430" s="11" t="n">
        <x:v>2</x:v>
      </x:c>
      <x:c r="K2430" s="11" t="n">
        <x:v>0</x:v>
      </x:c>
      <x:c r="L2430" s="17" t="n">
        <x:f>SUM(SUMIFS('Costing'!$P$9:$P$492,'Costing'!$A$9:$A$492,"MAIN-325"))</x:f>
        <x:v>80000</x:v>
      </x:c>
      <x:c r="M2430" s="17" t="n">
        <x:f>ROUND(L2430*'Costing'!$C$4,2)</x:f>
        <x:v>14400</x:v>
      </x:c>
      <x:c r="N2430" s="17" t="n">
        <x:f>L2430+M2430</x:f>
        <x:v>94400</x:v>
      </x:c>
      <x:c r="O2430" s="12" t="str">
        <x:v>Mumbai</x:v>
      </x:c>
      <x:c r="P2430" s="12" t="str">
        <x:v>CORP-0321</x:v>
      </x:c>
      <x:c r="Q2430" s="12" t="str">
        <x:v>Swiss Reinsurance company pvt ltd</x:v>
      </x:c>
    </x:row>
    <x:row r="2431" ht="48" customHeight="1">
      <x:c r="A2431" s="2" t="str">
        <x:v>TEN-78B49FB2CC2D</x:v>
      </x:c>
      <x:c r="B2431" s="12" t="str">
        <x:v>SWITCH</x:v>
      </x:c>
      <x:c r="C2431" s="12" t="str">
        <x:v>Business / brand</x:v>
      </x:c>
      <x:c r="D2431" s="12" t="str">
        <x:v>Unresolved</x:v>
      </x:c>
      <x:c r="E2431" s="12" t="str">
        <x:v>Business activity not established</x:v>
      </x:c>
      <x:c r="F2431" s="12" t="str">
        <x:v>Mixed business audience</x:v>
      </x:c>
      <x:c r="G2431" s="12" t="str">
        <x:v>Business activity and company scale are not established from this name.</x:v>
      </x:c>
      <x:c r="H2431" s="11" t="n">
        <x:v>1</x:v>
      </x:c>
      <x:c r="I2431" s="11" t="n">
        <x:v>4</x:v>
      </x:c>
      <x:c r="J2431" s="11" t="n">
        <x:v>4</x:v>
      </x:c>
      <x:c r="K2431" s="11" t="n">
        <x:v>0</x:v>
      </x:c>
      <x:c r="L2431" s="17" t="n">
        <x:f>SUM(SUMIFS('Costing'!$P$9:$P$492,'Costing'!$A$9:$A$492,"MAIN-141"))</x:f>
        <x:v>60000</x:v>
      </x:c>
      <x:c r="M2431" s="17" t="n">
        <x:f>ROUND(L2431*'Costing'!$C$4,2)</x:f>
        <x:v>10800</x:v>
      </x:c>
      <x:c r="N2431" s="17" t="n">
        <x:f>L2431+M2431</x:f>
        <x:v>70800</x:v>
      </x:c>
      <x:c r="O2431" s="12" t="str">
        <x:v>Chennai</x:v>
      </x:c>
      <x:c r="P2431" s="12" t="str">
        <x:v>CORP-0137</x:v>
      </x:c>
      <x:c r="Q2431" s="12" t="str">
        <x:v>SWITCH</x:v>
      </x:c>
    </x:row>
    <x:row r="2432" ht="48" customHeight="1">
      <x:c r="A2432" s="2" t="str">
        <x:v>TEN-2546BF743AD2</x:v>
      </x:c>
      <x:c r="B2432" s="12" t="str">
        <x:v>Switch Mobility Automotive Ltd</x:v>
      </x:c>
      <x:c r="C2432" s="12" t="str">
        <x:v>Business / brand</x:v>
      </x:c>
      <x:c r="D2432" s="12" t="str">
        <x:v>Engineering &amp; manufacturing</x:v>
      </x:c>
      <x:c r="E2432" s="12" t="str">
        <x:v>Automotive, mobility &amp; aerospace</x:v>
      </x:c>
      <x:c r="F2432" s="12" t="str">
        <x:v>Mixed business audience</x:v>
      </x:c>
      <x:c r="G2432" s="12" t="str">
        <x:v>Established brand or business network; local company scale is not established. Use a mixed-business message.</x:v>
      </x:c>
      <x:c r="H2432" s="11" t="n">
        <x:v>2</x:v>
      </x:c>
      <x:c r="I2432" s="11" t="n">
        <x:v>2</x:v>
      </x:c>
      <x:c r="J2432" s="11" t="n">
        <x:v>2</x:v>
      </x:c>
      <x:c r="K2432" s="11" t="n">
        <x:v>0</x:v>
      </x:c>
      <x:c r="L2432" s="17" t="n">
        <x:f>SUM(SUMIFS('Costing'!$P$9:$P$492,'Costing'!$A$9:$A$492,"PARTNER-M340"))</x:f>
        <x:v>80000</x:v>
      </x:c>
      <x:c r="M2432" s="17" t="n">
        <x:f>ROUND(L2432*'Costing'!$C$4,2)</x:f>
        <x:v>14400</x:v>
      </x:c>
      <x:c r="N2432" s="17" t="n">
        <x:f>L2432+M2432</x:f>
        <x:v>94400</x:v>
      </x:c>
      <x:c r="O2432" s="12" t="str">
        <x:v>Chennai</x:v>
      </x:c>
      <x:c r="P2432" s="12" t="str">
        <x:v>CORP-0754, CORP-0755</x:v>
      </x:c>
      <x:c r="Q2432" s="12" t="str">
        <x:v>Switch Mobility Automotive Ltd</x:v>
      </x:c>
    </x:row>
    <x:row r="2433" ht="48" customHeight="1">
      <x:c r="A2433" s="2" t="str">
        <x:v>TEN-E73C14AD497C</x:v>
      </x:c>
      <x:c r="B2433" s="12" t="str">
        <x:v>Sybase</x:v>
      </x:c>
      <x:c r="C2433" s="12" t="str">
        <x:v>Business / brand</x:v>
      </x:c>
      <x:c r="D2433" s="12" t="str">
        <x:v>IT &amp; digital</x:v>
      </x:c>
      <x:c r="E2433" s="12" t="str">
        <x:v>Enterprise software &amp; digital engineering</x:v>
      </x:c>
      <x:c r="F2433" s="12" t="str">
        <x:v>Large enterprise</x:v>
      </x:c>
      <x:c r="G2433" s="12" t="str">
        <x:v>Explicit SAP enterprise-family context; see ENTERPRISE_SUPP_036 evidence.</x:v>
      </x:c>
      <x:c r="H2433" s="11" t="n">
        <x:v>9</x:v>
      </x:c>
      <x:c r="I2433" s="11" t="n">
        <x:v>9</x:v>
      </x:c>
      <x:c r="J2433" s="11" t="n">
        <x:v>9</x:v>
      </x:c>
      <x:c r="K2433" s="11" t="n">
        <x:v>0</x:v>
      </x:c>
      <x:c r="L2433" s="17" t="n">
        <x:f>SUM(SUMIFS('Costing'!$P$9:$P$492,'Costing'!$A$9:$A$492,"PARTNER-M252"))</x:f>
        <x:v>360000</x:v>
      </x:c>
      <x:c r="M2433" s="17" t="n">
        <x:f>ROUND(L2433*'Costing'!$C$4,2)</x:f>
        <x:v>64800</x:v>
      </x:c>
      <x:c r="N2433" s="17" t="n">
        <x:f>L2433+M2433</x:f>
        <x:v>424800</x:v>
      </x:c>
      <x:c r="O2433" s="12" t="str">
        <x:v>Pune</x:v>
      </x:c>
      <x:c r="P2433" s="12" t="str">
        <x:v>CORP-0668, CORP-0669, CORP-0670, CORP-0671, CORP-0672, CORP-0673, CORP-0674, CORP-0675, CORP-0676</x:v>
      </x:c>
      <x:c r="Q2433" s="12" t="str">
        <x:v>Sybase</x:v>
      </x:c>
    </x:row>
    <x:row r="2434" ht="48" customHeight="1">
      <x:c r="A2434" s="2" t="str">
        <x:v>TEN-0EFAB3176540</x:v>
      </x:c>
      <x:c r="B2434" s="12" t="str">
        <x:v>Sycomp</x:v>
      </x:c>
      <x:c r="C2434" s="12" t="str">
        <x:v>Business / brand</x:v>
      </x:c>
      <x:c r="D2434" s="12" t="str">
        <x:v>IT &amp; digital</x:v>
      </x:c>
      <x:c r="E2434" s="12" t="str">
        <x:v>Enterprise software &amp; digital engineering</x:v>
      </x:c>
      <x:c r="F2434" s="12" t="str">
        <x:v>Small-scale prospects</x:v>
      </x:c>
      <x:c r="G2434" s="12" t="str">
        <x:v>Software or technology-services business; small-scale prospect assumption.</x:v>
      </x:c>
      <x:c r="H2434" s="11" t="n">
        <x:v>9</x:v>
      </x:c>
      <x:c r="I2434" s="11" t="n">
        <x:v>9</x:v>
      </x:c>
      <x:c r="J2434" s="11" t="n">
        <x:v>9</x:v>
      </x:c>
      <x:c r="K2434" s="11" t="n">
        <x:v>0</x:v>
      </x:c>
      <x:c r="L2434" s="17" t="n">
        <x:f>SUM(SUMIFS('Costing'!$P$9:$P$492,'Costing'!$A$9:$A$492,"PARTNER-M002"))</x:f>
        <x:v>360000</x:v>
      </x:c>
      <x:c r="M2434" s="17" t="n">
        <x:f>ROUND(L2434*'Costing'!$C$4,2)</x:f>
        <x:v>64800</x:v>
      </x:c>
      <x:c r="N2434" s="17" t="n">
        <x:f>L2434+M2434</x:f>
        <x:v>424800</x:v>
      </x:c>
      <x:c r="O2434" s="12" t="str">
        <x:v>Bengaluru</x:v>
      </x:c>
      <x:c r="P2434" s="12" t="str">
        <x:v>CORP-0420, CORP-0421, CORP-0422, CORP-0423, CORP-0424, CORP-0425, CORP-0426, CORP-0427, CORP-0428</x:v>
      </x:c>
      <x:c r="Q2434" s="12" t="str">
        <x:v>Sycomp</x:v>
      </x:c>
    </x:row>
    <x:row r="2435" ht="48" customHeight="1">
      <x:c r="A2435" s="2" t="str">
        <x:v>TEN-EB2197E38208</x:v>
      </x:c>
      <x:c r="B2435" s="12" t="str">
        <x:v>Sycomp Technologies</x:v>
      </x:c>
      <x:c r="C2435" s="12" t="str">
        <x:v>Business / brand</x:v>
      </x:c>
      <x:c r="D2435" s="12" t="str">
        <x:v>IT &amp; digital</x:v>
      </x:c>
      <x:c r="E2435" s="12" t="str">
        <x:v>Enterprise software &amp; digital engineering</x:v>
      </x:c>
      <x:c r="F2435" s="12" t="str">
        <x:v>Small-scale prospects</x:v>
      </x:c>
      <x:c r="G2435" s="12" t="str">
        <x:v>Software or technology-services business; small-scale prospect assumption.</x:v>
      </x:c>
      <x:c r="H2435" s="11" t="n">
        <x:v>9</x:v>
      </x:c>
      <x:c r="I2435" s="11" t="n">
        <x:v>9</x:v>
      </x:c>
      <x:c r="J2435" s="11" t="n">
        <x:v>9</x:v>
      </x:c>
      <x:c r="K2435" s="11" t="n">
        <x:v>0</x:v>
      </x:c>
      <x:c r="L2435" s="17" t="n">
        <x:f>SUM(SUMIFS('Costing'!$P$9:$P$492,'Costing'!$A$9:$A$492,"PARTNER-M002"))</x:f>
        <x:v>360000</x:v>
      </x:c>
      <x:c r="M2435" s="17" t="n">
        <x:f>ROUND(L2435*'Costing'!$C$4,2)</x:f>
        <x:v>64800</x:v>
      </x:c>
      <x:c r="N2435" s="17" t="n">
        <x:f>L2435+M2435</x:f>
        <x:v>424800</x:v>
      </x:c>
      <x:c r="O2435" s="12" t="str">
        <x:v>Bengaluru</x:v>
      </x:c>
      <x:c r="P2435" s="12" t="str">
        <x:v>CORP-0420, CORP-0421, CORP-0422, CORP-0423, CORP-0424, CORP-0425, CORP-0426, CORP-0427, CORP-0428</x:v>
      </x:c>
      <x:c r="Q2435" s="12" t="str">
        <x:v>Sycomp Technologies, Sycomp Technolofies</x:v>
      </x:c>
    </x:row>
    <x:row r="2436" ht="48" customHeight="1">
      <x:c r="A2436" s="2" t="str">
        <x:v>TEN-82912B769ADD</x:v>
      </x:c>
      <x:c r="B2436" s="12" t="str">
        <x:v>Symbiotic Technology Solutions Pvt Ltd</x:v>
      </x:c>
      <x:c r="C2436" s="12" t="str">
        <x:v>Business / brand</x:v>
      </x:c>
      <x:c r="D2436" s="12" t="str">
        <x:v>IT &amp; digital</x:v>
      </x:c>
      <x:c r="E2436" s="12" t="str">
        <x:v>Enterprise software &amp; digital engineering</x:v>
      </x:c>
      <x:c r="F2436" s="12" t="str">
        <x:v>Small-scale prospects</x:v>
      </x:c>
      <x:c r="G2436" s="12" t="str">
        <x:v>Software or technology-services business; small-scale prospect assumption.</x:v>
      </x:c>
      <x:c r="H2436" s="11" t="n">
        <x:v>1</x:v>
      </x:c>
      <x:c r="I2436" s="11" t="n">
        <x:v>1</x:v>
      </x:c>
      <x:c r="J2436" s="11" t="n">
        <x:v>1</x:v>
      </x:c>
      <x:c r="K2436" s="11" t="n">
        <x:v>0</x:v>
      </x:c>
      <x:c r="L2436" s="17" t="n">
        <x:f>SUM(SUMIFS('Costing'!$P$9:$P$492,'Costing'!$A$9:$A$492,"MAIN-386"))</x:f>
        <x:v>15000</x:v>
      </x:c>
      <x:c r="M2436" s="17" t="n">
        <x:f>ROUND(L2436*'Costing'!$C$4,2)</x:f>
        <x:v>2700</x:v>
      </x:c>
      <x:c r="N2436" s="17" t="n">
        <x:f>L2436+M2436</x:f>
        <x:v>17700</x:v>
      </x:c>
      <x:c r="O2436" s="12" t="str">
        <x:v>Pune</x:v>
      </x:c>
      <x:c r="P2436" s="12" t="str">
        <x:v>CORP-0382</x:v>
      </x:c>
      <x:c r="Q2436" s="12" t="str">
        <x:v>Symbiotic Technology Solutions Pvt Ltd</x:v>
      </x:c>
    </x:row>
    <x:row r="2437" ht="48" customHeight="1">
      <x:c r="A2437" s="2" t="str">
        <x:v>TEN-ADAEE2D21EB8</x:v>
      </x:c>
      <x:c r="B2437" s="12" t="str">
        <x:v>Symbyont Asset Management Pvt Ltd</x:v>
      </x:c>
      <x:c r="C2437" s="12" t="str">
        <x:v>Business / brand</x:v>
      </x:c>
      <x:c r="D2437" s="12" t="str">
        <x:v>Finance &amp; insurance</x:v>
      </x:c>
      <x:c r="E2437" s="12" t="str">
        <x:v>Financial services — specialty unverified</x:v>
      </x:c>
      <x:c r="F2437" s="12" t="str">
        <x:v>Medium-scale prospects</x:v>
      </x:c>
      <x:c r="G2437" s="12" t="str">
        <x:v>Specialist financial-services business; medium-scale prospect assumption.</x:v>
      </x:c>
      <x:c r="H2437" s="11" t="n">
        <x:v>2</x:v>
      </x:c>
      <x:c r="I2437" s="11" t="n">
        <x:v>2</x:v>
      </x:c>
      <x:c r="J2437" s="11" t="n">
        <x:v>2</x:v>
      </x:c>
      <x:c r="K2437" s="11" t="n">
        <x:v>0</x:v>
      </x:c>
      <x:c r="L2437" s="17" t="n">
        <x:f>SUM(SUMIFS('Costing'!$P$9:$P$492,'Costing'!$A$9:$A$492,"PARTNER-M334"))</x:f>
        <x:v>80000</x:v>
      </x:c>
      <x:c r="M2437" s="17" t="n">
        <x:f>ROUND(L2437*'Costing'!$C$4,2)</x:f>
        <x:v>14400</x:v>
      </x:c>
      <x:c r="N2437" s="17" t="n">
        <x:f>L2437+M2437</x:f>
        <x:v>94400</x:v>
      </x:c>
      <x:c r="O2437" s="12" t="str">
        <x:v>Chennai</x:v>
      </x:c>
      <x:c r="P2437" s="12" t="str">
        <x:v>CORP-0748, CORP-0749</x:v>
      </x:c>
      <x:c r="Q2437" s="12" t="str">
        <x:v>Symbyont Asset Management Pvt Ltd</x:v>
      </x:c>
    </x:row>
    <x:row r="2438" ht="48" customHeight="1">
      <x:c r="A2438" s="2" t="str">
        <x:v>TEN-7DF0FE268FFA</x:v>
      </x:c>
      <x:c r="B2438" s="12" t="str">
        <x:v>Symega Technology Centre</x:v>
      </x:c>
      <x:c r="C2438" s="12" t="str">
        <x:v>Business / brand</x:v>
      </x:c>
      <x:c r="D2438" s="12" t="str">
        <x:v>Unresolved</x:v>
      </x:c>
      <x:c r="E2438" s="12" t="str">
        <x:v>Business activity not established</x:v>
      </x:c>
      <x:c r="F2438" s="12" t="str">
        <x:v>Mixed business audience</x:v>
      </x:c>
      <x:c r="G2438" s="12" t="str">
        <x:v>Business activity and company scale are not established from this name.</x:v>
      </x:c>
      <x:c r="H2438" s="11" t="n">
        <x:v>1</x:v>
      </x:c>
      <x:c r="I2438" s="11" t="n">
        <x:v>2</x:v>
      </x:c>
      <x:c r="J2438" s="11" t="n">
        <x:v>2</x:v>
      </x:c>
      <x:c r="K2438" s="11" t="n">
        <x:v>0</x:v>
      </x:c>
      <x:c r="L2438" s="17" t="n">
        <x:f>SUM(SUMIFS('Costing'!$P$9:$P$492,'Costing'!$A$9:$A$492,"MAIN-069"))</x:f>
        <x:v>30000</x:v>
      </x:c>
      <x:c r="M2438" s="17" t="n">
        <x:f>ROUND(L2438*'Costing'!$C$4,2)</x:f>
        <x:v>5400</x:v>
      </x:c>
      <x:c r="N2438" s="17" t="n">
        <x:f>L2438+M2438</x:f>
        <x:v>35400</x:v>
      </x:c>
      <x:c r="O2438" s="12" t="str">
        <x:v>Bengaluru</x:v>
      </x:c>
      <x:c r="P2438" s="12" t="str">
        <x:v>CORP-0065</x:v>
      </x:c>
      <x:c r="Q2438" s="12" t="str">
        <x:v>Symega Technology Centre</x:v>
      </x:c>
    </x:row>
    <x:row r="2439" ht="48" customHeight="1">
      <x:c r="A2439" s="2" t="str">
        <x:v>TEN-CA38967873EE</x:v>
      </x:c>
      <x:c r="B2439" s="12" t="str">
        <x:v>Symplr</x:v>
      </x:c>
      <x:c r="C2439" s="12" t="str">
        <x:v>Business / brand</x:v>
      </x:c>
      <x:c r="D2439" s="12" t="str">
        <x:v>Healthcare &amp; life sciences</x:v>
      </x:c>
      <x:c r="E2439" s="12" t="str">
        <x:v>Clinical, pharmaceutical &amp; health services</x:v>
      </x:c>
      <x:c r="F2439" s="12" t="str">
        <x:v>Mixed business audience</x:v>
      </x:c>
      <x:c r="G2439" s="12" t="str">
        <x:v>Established brand or business network; local company scale is not established. Use a mixed-business message.</x:v>
      </x:c>
      <x:c r="H2439" s="11" t="n">
        <x:v>5</x:v>
      </x:c>
      <x:c r="I2439" s="11" t="n">
        <x:v>5</x:v>
      </x:c>
      <x:c r="J2439" s="11" t="n">
        <x:v>5</x:v>
      </x:c>
      <x:c r="K2439" s="11" t="n">
        <x:v>0</x:v>
      </x:c>
      <x:c r="L2439" s="17" t="n">
        <x:f>SUM(SUMIFS('Costing'!$P$9:$P$492,'Costing'!$A$9:$A$492,"PARTNER-M034"))</x:f>
        <x:v>200000</x:v>
      </x:c>
      <x:c r="M2439" s="17" t="n">
        <x:f>ROUND(L2439*'Costing'!$C$4,2)</x:f>
        <x:v>36000</x:v>
      </x:c>
      <x:c r="N2439" s="17" t="n">
        <x:f>L2439+M2439</x:f>
        <x:v>236000</x:v>
      </x:c>
      <x:c r="O2439" s="12" t="str">
        <x:v>Bengaluru</x:v>
      </x:c>
      <x:c r="P2439" s="12" t="str">
        <x:v>CORP-0452, CORP-0453, CORP-0454, CORP-0455, CORP-0456</x:v>
      </x:c>
      <x:c r="Q2439" s="12" t="str">
        <x:v>Symplr</x:v>
      </x:c>
    </x:row>
    <x:row r="2440" ht="48" customHeight="1">
      <x:c r="A2440" s="2" t="str">
        <x:v>TEN-F208248E5969</x:v>
      </x:c>
      <x:c r="B2440" s="12" t="str">
        <x:v>Synapse</x:v>
      </x:c>
      <x:c r="C2440" s="12" t="str">
        <x:v>Business / brand</x:v>
      </x:c>
      <x:c r="D2440" s="12" t="str">
        <x:v>Unresolved</x:v>
      </x:c>
      <x:c r="E2440" s="12" t="str">
        <x:v>Business activity not established</x:v>
      </x:c>
      <x:c r="F2440" s="12" t="str">
        <x:v>Mixed business audience</x:v>
      </x:c>
      <x:c r="G2440" s="12" t="str">
        <x:v>Business activity and company scale are not established from this name.</x:v>
      </x:c>
      <x:c r="H2440" s="11" t="n">
        <x:v>1</x:v>
      </x:c>
      <x:c r="I2440" s="11" t="n">
        <x:v>2</x:v>
      </x:c>
      <x:c r="J2440" s="11" t="n">
        <x:v>2</x:v>
      </x:c>
      <x:c r="K2440" s="11" t="n">
        <x:v>0</x:v>
      </x:c>
      <x:c r="L2440" s="17" t="n">
        <x:f>SUM(SUMIFS('Costing'!$P$9:$P$492,'Costing'!$A$9:$A$492,"MAIN-268"))</x:f>
        <x:v>80000</x:v>
      </x:c>
      <x:c r="M2440" s="17" t="n">
        <x:f>ROUND(L2440*'Costing'!$C$4,2)</x:f>
        <x:v>14400</x:v>
      </x:c>
      <x:c r="N2440" s="17" t="n">
        <x:f>L2440+M2440</x:f>
        <x:v>94400</x:v>
      </x:c>
      <x:c r="O2440" s="12" t="str">
        <x:v>Indore</x:v>
      </x:c>
      <x:c r="P2440" s="12" t="str">
        <x:v>CORP-0264</x:v>
      </x:c>
      <x:c r="Q2440" s="12" t="str">
        <x:v>Synapse</x:v>
      </x:c>
    </x:row>
    <x:row r="2441" ht="48" customHeight="1">
      <x:c r="A2441" s="2" t="str">
        <x:v>TEN-D860D87EBCF5</x:v>
      </x:c>
      <x:c r="B2441" s="12" t="str">
        <x:v>Synapse Techno Design Innovations Private Limited</x:v>
      </x:c>
      <x:c r="C2441" s="12" t="str">
        <x:v>Business / brand</x:v>
      </x:c>
      <x:c r="D2441" s="12" t="str">
        <x:v>IT &amp; digital</x:v>
      </x:c>
      <x:c r="E2441" s="12" t="str">
        <x:v>Enterprise software &amp; digital engineering</x:v>
      </x:c>
      <x:c r="F2441" s="12" t="str">
        <x:v>Small-scale prospects</x:v>
      </x:c>
      <x:c r="G2441" s="12" t="str">
        <x:v>Software or technology-services business; small-scale prospect assumption.</x:v>
      </x:c>
      <x:c r="H2441" s="11" t="n">
        <x:v>7</x:v>
      </x:c>
      <x:c r="I2441" s="11" t="n">
        <x:v>7</x:v>
      </x:c>
      <x:c r="J2441" s="11" t="n">
        <x:v>7</x:v>
      </x:c>
      <x:c r="K2441" s="11" t="n">
        <x:v>0</x:v>
      </x:c>
      <x:c r="L2441" s="17" t="n">
        <x:f>SUM(SUMIFS('Costing'!$P$9:$P$492,'Costing'!$A$9:$A$492,"PARTNER-M027"))</x:f>
        <x:v>280000</x:v>
      </x:c>
      <x:c r="M2441" s="17" t="n">
        <x:f>ROUND(L2441*'Costing'!$C$4,2)</x:f>
        <x:v>50400</x:v>
      </x:c>
      <x:c r="N2441" s="17" t="n">
        <x:f>L2441+M2441</x:f>
        <x:v>330400</x:v>
      </x:c>
      <x:c r="O2441" s="12" t="str">
        <x:v>Bengaluru</x:v>
      </x:c>
      <x:c r="P2441" s="12" t="str">
        <x:v>CORP-0445, CORP-0446, CORP-0447, CORP-0448, CORP-0449, CORP-0450, CORP-0451</x:v>
      </x:c>
      <x:c r="Q2441" s="12" t="str">
        <x:v>Synapse Techno Design Innovations Private Limited</x:v>
      </x:c>
    </x:row>
    <x:row r="2442" ht="48" customHeight="1">
      <x:c r="A2442" s="2" t="str">
        <x:v>TEN-8566DAFA0898</x:v>
      </x:c>
      <x:c r="B2442" s="12" t="str">
        <x:v>Synapse value tech pvt ltd</x:v>
      </x:c>
      <x:c r="C2442" s="12" t="str">
        <x:v>Business / brand</x:v>
      </x:c>
      <x:c r="D2442" s="12" t="str">
        <x:v>Unresolved</x:v>
      </x:c>
      <x:c r="E2442" s="12" t="str">
        <x:v>Business activity not established</x:v>
      </x:c>
      <x:c r="F2442" s="12" t="str">
        <x:v>Mixed business audience</x:v>
      </x:c>
      <x:c r="G2442" s="12" t="str">
        <x:v>Business activity and company scale are not established from this name.</x:v>
      </x:c>
      <x:c r="H2442" s="11" t="n">
        <x:v>1</x:v>
      </x:c>
      <x:c r="I2442" s="11" t="n">
        <x:v>1</x:v>
      </x:c>
      <x:c r="J2442" s="11" t="n">
        <x:v>1</x:v>
      </x:c>
      <x:c r="K2442" s="11" t="n">
        <x:v>0</x:v>
      </x:c>
      <x:c r="L2442" s="17" t="n">
        <x:f>SUM(SUMIFS('Costing'!$P$9:$P$492,'Costing'!$A$9:$A$492,"MAIN-175"))</x:f>
        <x:v>15000</x:v>
      </x:c>
      <x:c r="M2442" s="17" t="n">
        <x:f>ROUND(L2442*'Costing'!$C$4,2)</x:f>
        <x:v>2700</x:v>
      </x:c>
      <x:c r="N2442" s="17" t="n">
        <x:f>L2442+M2442</x:f>
        <x:v>17700</x:v>
      </x:c>
      <x:c r="O2442" s="12" t="str">
        <x:v>Delhi NCR</x:v>
      </x:c>
      <x:c r="P2442" s="12" t="str">
        <x:v>CORP-0171</x:v>
      </x:c>
      <x:c r="Q2442" s="12" t="str">
        <x:v>Synapse value tech pvt ltd</x:v>
      </x:c>
    </x:row>
    <x:row r="2443" ht="48" customHeight="1">
      <x:c r="A2443" s="2" t="str">
        <x:v>TEN-059368F98DEB</x:v>
      </x:c>
      <x:c r="B2443" s="12" t="str">
        <x:v>Synchrony</x:v>
      </x:c>
      <x:c r="C2443" s="12" t="str">
        <x:v>Business / brand</x:v>
      </x:c>
      <x:c r="D2443" s="12" t="str">
        <x:v>Finance &amp; insurance</x:v>
      </x:c>
      <x:c r="E2443" s="12" t="str">
        <x:v>Banking, insurance, investments &amp; financial services</x:v>
      </x:c>
      <x:c r="F2443" s="12" t="str">
        <x:v>Mixed business audience</x:v>
      </x:c>
      <x:c r="G2443" s="12" t="str">
        <x:v>Established brand or business network; local company scale is not established. Use a mixed-business message.</x:v>
      </x:c>
      <x:c r="H2443" s="11" t="n">
        <x:v>6</x:v>
      </x:c>
      <x:c r="I2443" s="11" t="n">
        <x:v>6</x:v>
      </x:c>
      <x:c r="J2443" s="11" t="n">
        <x:v>6</x:v>
      </x:c>
      <x:c r="K2443" s="11" t="n">
        <x:v>0</x:v>
      </x:c>
      <x:c r="L2443" s="17" t="n">
        <x:f>SUM(SUMIFS('Costing'!$P$9:$P$492,'Costing'!$A$9:$A$492,"PARTNER-M283"))</x:f>
        <x:v>240000</x:v>
      </x:c>
      <x:c r="M2443" s="17" t="n">
        <x:f>ROUND(L2443*'Costing'!$C$4,2)</x:f>
        <x:v>43200</x:v>
      </x:c>
      <x:c r="N2443" s="17" t="n">
        <x:f>L2443+M2443</x:f>
        <x:v>283200</x:v>
      </x:c>
      <x:c r="O2443" s="12" t="str">
        <x:v>Hyderabad</x:v>
      </x:c>
      <x:c r="P2443" s="12" t="str">
        <x:v>CORP-0698, CORP-0699, CORP-0700, CORP-0701, CORP-0702, CORP-0703</x:v>
      </x:c>
      <x:c r="Q2443" s="12" t="str">
        <x:v>Synchrony</x:v>
      </x:c>
    </x:row>
    <x:row r="2444" ht="48" customHeight="1">
      <x:c r="A2444" s="2" t="str">
        <x:v>TEN-B4CCCBDBA7EA</x:v>
      </x:c>
      <x:c r="B2444" s="12" t="str">
        <x:v>Synergic Software</x:v>
      </x:c>
      <x:c r="C2444" s="12" t="str">
        <x:v>Business / brand</x:v>
      </x:c>
      <x:c r="D2444" s="12" t="str">
        <x:v>IT &amp; digital</x:v>
      </x:c>
      <x:c r="E2444" s="12" t="str">
        <x:v>Enterprise software &amp; digital engineering</x:v>
      </x:c>
      <x:c r="F2444" s="12" t="str">
        <x:v>Small-scale prospects</x:v>
      </x:c>
      <x:c r="G2444" s="12" t="str">
        <x:v>Software or technology-services business; small-scale prospect assumption.</x:v>
      </x:c>
      <x:c r="H2444" s="11" t="n">
        <x:v>1</x:v>
      </x:c>
      <x:c r="I2444" s="11" t="n">
        <x:v>8</x:v>
      </x:c>
      <x:c r="J2444" s="11" t="n">
        <x:v>8</x:v>
      </x:c>
      <x:c r="K2444" s="11" t="n">
        <x:v>0</x:v>
      </x:c>
      <x:c r="L2444" s="17" t="n">
        <x:f>SUM(SUMIFS('Costing'!$P$9:$P$492,'Costing'!$A$9:$A$492,"MAIN-059"))</x:f>
        <x:v>120000</x:v>
      </x:c>
      <x:c r="M2444" s="17" t="n">
        <x:f>ROUND(L2444*'Costing'!$C$4,2)</x:f>
        <x:v>21600</x:v>
      </x:c>
      <x:c r="N2444" s="17" t="n">
        <x:f>L2444+M2444</x:f>
        <x:v>141600</x:v>
      </x:c>
      <x:c r="O2444" s="12" t="str">
        <x:v>Bengaluru</x:v>
      </x:c>
      <x:c r="P2444" s="12" t="str">
        <x:v>CORP-0055</x:v>
      </x:c>
      <x:c r="Q2444" s="12" t="str">
        <x:v>Synergic Software</x:v>
      </x:c>
    </x:row>
    <x:row r="2445" ht="48" customHeight="1">
      <x:c r="A2445" s="2" t="str">
        <x:v>TEN-6F8D802453D7</x:v>
      </x:c>
      <x:c r="B2445" s="12" t="str">
        <x:v>Synergy Group</x:v>
      </x:c>
      <x:c r="C2445" s="12" t="str">
        <x:v>Business / brand</x:v>
      </x:c>
      <x:c r="D2445" s="12" t="str">
        <x:v>Unresolved</x:v>
      </x:c>
      <x:c r="E2445" s="12" t="str">
        <x:v>Business activity not established</x:v>
      </x:c>
      <x:c r="F2445" s="12" t="str">
        <x:v>Mixed business audience</x:v>
      </x:c>
      <x:c r="G2445" s="12" t="str">
        <x:v>Business activity and company scale are not established from this name.</x:v>
      </x:c>
      <x:c r="H2445" s="11" t="n">
        <x:v>6</x:v>
      </x:c>
      <x:c r="I2445" s="11" t="n">
        <x:v>6</x:v>
      </x:c>
      <x:c r="J2445" s="11" t="n">
        <x:v>6</x:v>
      </x:c>
      <x:c r="K2445" s="11" t="n">
        <x:v>0</x:v>
      </x:c>
      <x:c r="L2445" s="17" t="n">
        <x:f>SUM(SUMIFS('Costing'!$P$9:$P$492,'Costing'!$A$9:$A$492,"PARTNER-M179"))</x:f>
        <x:v>240000</x:v>
      </x:c>
      <x:c r="M2445" s="17" t="n">
        <x:f>ROUND(L2445*'Costing'!$C$4,2)</x:f>
        <x:v>43200</x:v>
      </x:c>
      <x:c r="N2445" s="17" t="n">
        <x:f>L2445+M2445</x:f>
        <x:v>283200</x:v>
      </x:c>
      <x:c r="O2445" s="12" t="str">
        <x:v>Mumbai</x:v>
      </x:c>
      <x:c r="P2445" s="12" t="str">
        <x:v>CORP-0596, CORP-0597, CORP-0598, CORP-0599, CORP-0600, CORP-0601</x:v>
      </x:c>
      <x:c r="Q2445" s="12" t="str">
        <x:v>Synergy Group</x:v>
      </x:c>
    </x:row>
    <x:row r="2446" ht="48" customHeight="1">
      <x:c r="A2446" s="2" t="str">
        <x:v>TEN-E9E8A907E060</x:v>
      </x:c>
      <x:c r="B2446" s="12" t="str">
        <x:v>Syniverse</x:v>
      </x:c>
      <x:c r="C2446" s="12" t="str">
        <x:v>Business / brand</x:v>
      </x:c>
      <x:c r="D2446" s="12" t="str">
        <x:v>IT &amp; digital</x:v>
      </x:c>
      <x:c r="E2446" s="12" t="str">
        <x:v>Telecom, networks &amp; connectivity</x:v>
      </x:c>
      <x:c r="F2446" s="12" t="str">
        <x:v>Mixed business audience</x:v>
      </x:c>
      <x:c r="G2446" s="12" t="str">
        <x:v>Recognisable business context; company-scale evidence remains insufficient for a single size band.</x:v>
      </x:c>
      <x:c r="H2446" s="11" t="n">
        <x:v>3</x:v>
      </x:c>
      <x:c r="I2446" s="11" t="n">
        <x:v>3</x:v>
      </x:c>
      <x:c r="J2446" s="11" t="n">
        <x:v>3</x:v>
      </x:c>
      <x:c r="K2446" s="11" t="n">
        <x:v>0</x:v>
      </x:c>
      <x:c r="L2446" s="17" t="n">
        <x:f>SUM(SUMIFS('Costing'!$P$9:$P$492,'Costing'!$A$9:$A$492,"PARTNER-M067"))</x:f>
        <x:v>120000</x:v>
      </x:c>
      <x:c r="M2446" s="17" t="n">
        <x:f>ROUND(L2446*'Costing'!$C$4,2)</x:f>
        <x:v>21600</x:v>
      </x:c>
      <x:c r="N2446" s="17" t="n">
        <x:f>L2446+M2446</x:f>
        <x:v>141600</x:v>
      </x:c>
      <x:c r="O2446" s="12" t="str">
        <x:v>Bengaluru</x:v>
      </x:c>
      <x:c r="P2446" s="12" t="str">
        <x:v>CORP-0485, CORP-0486, CORP-0487</x:v>
      </x:c>
      <x:c r="Q2446" s="12" t="str">
        <x:v>Syniverse</x:v>
      </x:c>
    </x:row>
    <x:row r="2447" ht="48" customHeight="1">
      <x:c r="A2447" s="2" t="str">
        <x:v>TEN-43BE6AC0AAE2</x:v>
      </x:c>
      <x:c r="B2447" s="12" t="str">
        <x:v>Syniverse Mobile Solution</x:v>
      </x:c>
      <x:c r="C2447" s="12" t="str">
        <x:v>Business / brand</x:v>
      </x:c>
      <x:c r="D2447" s="12" t="str">
        <x:v>IT &amp; digital</x:v>
      </x:c>
      <x:c r="E2447" s="12" t="str">
        <x:v>Technology services — specialty unverified</x:v>
      </x:c>
      <x:c r="F2447" s="12" t="str">
        <x:v>Mixed business audience</x:v>
      </x:c>
      <x:c r="G2447" s="12" t="str">
        <x:v>Recognisable business context; company-scale evidence remains insufficient for a single size band.</x:v>
      </x:c>
      <x:c r="H2447" s="11" t="n">
        <x:v>6</x:v>
      </x:c>
      <x:c r="I2447" s="11" t="n">
        <x:v>6</x:v>
      </x:c>
      <x:c r="J2447" s="11" t="n">
        <x:v>6</x:v>
      </x:c>
      <x:c r="K2447" s="11" t="n">
        <x:v>0</x:v>
      </x:c>
      <x:c r="L2447" s="17" t="n">
        <x:f>SUM(SUMIFS('Costing'!$P$9:$P$492,'Costing'!$A$9:$A$492,"PARTNER-M283"))</x:f>
        <x:v>240000</x:v>
      </x:c>
      <x:c r="M2447" s="17" t="n">
        <x:f>ROUND(L2447*'Costing'!$C$4,2)</x:f>
        <x:v>43200</x:v>
      </x:c>
      <x:c r="N2447" s="17" t="n">
        <x:f>L2447+M2447</x:f>
        <x:v>283200</x:v>
      </x:c>
      <x:c r="O2447" s="12" t="str">
        <x:v>Hyderabad</x:v>
      </x:c>
      <x:c r="P2447" s="12" t="str">
        <x:v>CORP-0698, CORP-0699, CORP-0700, CORP-0701, CORP-0702, CORP-0703</x:v>
      </x:c>
      <x:c r="Q2447" s="12" t="str">
        <x:v>Syniverse Mobile Solution</x:v>
      </x:c>
    </x:row>
    <x:row r="2448" ht="48" customHeight="1">
      <x:c r="A2448" s="2" t="str">
        <x:v>TEN-98F51CB88BC4</x:v>
      </x:c>
      <x:c r="B2448" s="12" t="str">
        <x:v>Syniverse Technology</x:v>
      </x:c>
      <x:c r="C2448" s="12" t="str">
        <x:v>Business / brand</x:v>
      </x:c>
      <x:c r="D2448" s="12" t="str">
        <x:v>IT &amp; digital</x:v>
      </x:c>
      <x:c r="E2448" s="12" t="str">
        <x:v>Technology services — specialty unverified</x:v>
      </x:c>
      <x:c r="F2448" s="12" t="str">
        <x:v>Mixed business audience</x:v>
      </x:c>
      <x:c r="G2448" s="12" t="str">
        <x:v>Recognisable business context; company-scale evidence remains insufficient for a single size band.</x:v>
      </x:c>
      <x:c r="H2448" s="11" t="n">
        <x:v>6</x:v>
      </x:c>
      <x:c r="I2448" s="11" t="n">
        <x:v>6</x:v>
      </x:c>
      <x:c r="J2448" s="11" t="n">
        <x:v>6</x:v>
      </x:c>
      <x:c r="K2448" s="11" t="n">
        <x:v>0</x:v>
      </x:c>
      <x:c r="L2448" s="17" t="n">
        <x:f>SUM(SUMIFS('Costing'!$P$9:$P$492,'Costing'!$A$9:$A$492,"PARTNER-M283"))</x:f>
        <x:v>240000</x:v>
      </x:c>
      <x:c r="M2448" s="17" t="n">
        <x:f>ROUND(L2448*'Costing'!$C$4,2)</x:f>
        <x:v>43200</x:v>
      </x:c>
      <x:c r="N2448" s="17" t="n">
        <x:f>L2448+M2448</x:f>
        <x:v>283200</x:v>
      </x:c>
      <x:c r="O2448" s="12" t="str">
        <x:v>Hyderabad</x:v>
      </x:c>
      <x:c r="P2448" s="12" t="str">
        <x:v>CORP-0698, CORP-0699, CORP-0700, CORP-0701, CORP-0702, CORP-0703</x:v>
      </x:c>
      <x:c r="Q2448" s="12" t="str">
        <x:v>Syniverse Technology</x:v>
      </x:c>
    </x:row>
    <x:row r="2449" ht="48" customHeight="1">
      <x:c r="A2449" s="2" t="str">
        <x:v>TEN-2E92046B6F07</x:v>
      </x:c>
      <x:c r="B2449" s="12" t="str">
        <x:v>Synopsys</x:v>
      </x:c>
      <x:c r="C2449" s="12" t="str">
        <x:v>Business / brand</x:v>
      </x:c>
      <x:c r="D2449" s="12" t="str">
        <x:v>Engineering &amp; manufacturing</x:v>
      </x:c>
      <x:c r="E2449" s="12" t="str">
        <x:v>Semiconductors, electronics &amp; equipment</x:v>
      </x:c>
      <x:c r="F2449" s="12" t="str">
        <x:v>Mixed business audience</x:v>
      </x:c>
      <x:c r="G2449" s="12" t="str">
        <x:v>Recognisable business context; company-scale evidence remains insufficient for a single size band.</x:v>
      </x:c>
      <x:c r="H2449" s="11" t="n">
        <x:v>5</x:v>
      </x:c>
      <x:c r="I2449" s="11" t="n">
        <x:v>7</x:v>
      </x:c>
      <x:c r="J2449" s="11" t="n">
        <x:v>7</x:v>
      </x:c>
      <x:c r="K2449" s="11" t="n">
        <x:v>0</x:v>
      </x:c>
      <x:c r="L2449" s="17" t="n">
        <x:f>SUM(SUMIFS('Costing'!$P$9:$P$492,'Costing'!$A$9:$A$492,"MAIN-015"),SUMIFS('Costing'!$P$9:$P$492,'Costing'!$A$9:$A$492,"MAIN-255"),SUMIFS('Costing'!$P$9:$P$492,'Costing'!$A$9:$A$492,"PARTNER-M097"))</x:f>
        <x:v>180000</x:v>
      </x:c>
      <x:c r="M2449" s="17" t="n">
        <x:f>ROUND(L2449*'Costing'!$C$4,2)</x:f>
        <x:v>32400</x:v>
      </x:c>
      <x:c r="N2449" s="17" t="n">
        <x:f>L2449+M2449</x:f>
        <x:v>212400</x:v>
      </x:c>
      <x:c r="O2449" s="12" t="str">
        <x:v>Bengaluru, Hyderabad</x:v>
      </x:c>
      <x:c r="P2449" s="12" t="str">
        <x:v>CORP-0011, CORP-0251, CORP-0515, CORP-0516, CORP-0517</x:v>
      </x:c>
      <x:c r="Q2449" s="12" t="str">
        <x:v>Synopsys</x:v>
      </x:c>
    </x:row>
    <x:row r="2450" ht="48" customHeight="1">
      <x:c r="A2450" s="2" t="str">
        <x:v>TEN-8304F5E570A0</x:v>
      </x:c>
      <x:c r="B2450" s="12" t="str">
        <x:v>Synpulse India Pvt Ltd</x:v>
      </x:c>
      <x:c r="C2450" s="12" t="str">
        <x:v>Business / brand</x:v>
      </x:c>
      <x:c r="D2450" s="12" t="str">
        <x:v>Unresolved</x:v>
      </x:c>
      <x:c r="E2450" s="12" t="str">
        <x:v>Business activity not established</x:v>
      </x:c>
      <x:c r="F2450" s="12" t="str">
        <x:v>Mixed business audience</x:v>
      </x:c>
      <x:c r="G2450" s="12" t="str">
        <x:v>Business activity and company scale are not established from this name.</x:v>
      </x:c>
      <x:c r="H2450" s="11" t="n">
        <x:v>1</x:v>
      </x:c>
      <x:c r="I2450" s="11" t="n">
        <x:v>2</x:v>
      </x:c>
      <x:c r="J2450" s="11" t="n">
        <x:v>2</x:v>
      </x:c>
      <x:c r="K2450" s="11" t="n">
        <x:v>0</x:v>
      </x:c>
      <x:c r="L2450" s="17" t="n">
        <x:f>SUM(SUMIFS('Costing'!$P$9:$P$492,'Costing'!$A$9:$A$492,"MAIN-389"))</x:f>
        <x:v>30000</x:v>
      </x:c>
      <x:c r="M2450" s="17" t="n">
        <x:f>ROUND(L2450*'Costing'!$C$4,2)</x:f>
        <x:v>5400</x:v>
      </x:c>
      <x:c r="N2450" s="17" t="n">
        <x:f>L2450+M2450</x:f>
        <x:v>35400</x:v>
      </x:c>
      <x:c r="O2450" s="12" t="str">
        <x:v>Pune</x:v>
      </x:c>
      <x:c r="P2450" s="12" t="str">
        <x:v>CORP-0385</x:v>
      </x:c>
      <x:c r="Q2450" s="12" t="str">
        <x:v>Synpulse India Pvt Ltd</x:v>
      </x:c>
    </x:row>
    <x:row r="2451" ht="48" customHeight="1">
      <x:c r="A2451" s="2" t="str">
        <x:v>TEN-A3B1C08CAD5D</x:v>
      </x:c>
      <x:c r="B2451" s="12" t="str">
        <x:v>Syntel Pvt Ltd</x:v>
      </x:c>
      <x:c r="C2451" s="12" t="str">
        <x:v>Business / brand</x:v>
      </x:c>
      <x:c r="D2451" s="12" t="str">
        <x:v>IT &amp; digital</x:v>
      </x:c>
      <x:c r="E2451" s="12" t="str">
        <x:v>Enterprise software &amp; digital engineering</x:v>
      </x:c>
      <x:c r="F2451" s="12" t="str">
        <x:v>Large enterprise</x:v>
      </x:c>
      <x:c r="G2451" s="12" t="str">
        <x:v>Explicit Atos enterprise-family context; see ENTERPRISE_SUPP_021 evidence.</x:v>
      </x:c>
      <x:c r="H2451" s="11" t="n">
        <x:v>1</x:v>
      </x:c>
      <x:c r="I2451" s="11" t="n">
        <x:v>2</x:v>
      </x:c>
      <x:c r="J2451" s="11" t="n">
        <x:v>2</x:v>
      </x:c>
      <x:c r="K2451" s="11" t="n">
        <x:v>0</x:v>
      </x:c>
      <x:c r="L2451" s="17" t="n">
        <x:f>SUM(SUMIFS('Costing'!$P$9:$P$492,'Costing'!$A$9:$A$492,"MAIN-037"))</x:f>
        <x:v>80000</x:v>
      </x:c>
      <x:c r="M2451" s="17" t="n">
        <x:f>ROUND(L2451*'Costing'!$C$4,2)</x:f>
        <x:v>14400</x:v>
      </x:c>
      <x:c r="N2451" s="17" t="n">
        <x:f>L2451+M2451</x:f>
        <x:v>94400</x:v>
      </x:c>
      <x:c r="O2451" s="12" t="str">
        <x:v>Bengaluru</x:v>
      </x:c>
      <x:c r="P2451" s="12" t="str">
        <x:v>CORP-0033</x:v>
      </x:c>
      <x:c r="Q2451" s="12" t="str">
        <x:v>Syntel Pvt Ltd</x:v>
      </x:c>
    </x:row>
    <x:row r="2452" ht="48" customHeight="1">
      <x:c r="A2452" s="2" t="str">
        <x:v>TEN-6CE8BB6DCAD7</x:v>
      </x:c>
      <x:c r="B2452" s="12" t="str">
        <x:v>Systems Plus</x:v>
      </x:c>
      <x:c r="C2452" s="12" t="str">
        <x:v>Business / brand</x:v>
      </x:c>
      <x:c r="D2452" s="12" t="str">
        <x:v>IT &amp; digital</x:v>
      </x:c>
      <x:c r="E2452" s="12" t="str">
        <x:v>Enterprise software &amp; digital engineering</x:v>
      </x:c>
      <x:c r="F2452" s="12" t="str">
        <x:v>Small-scale prospects</x:v>
      </x:c>
      <x:c r="G2452" s="12" t="str">
        <x:v>Software or technology-services business; small-scale prospect assumption.</x:v>
      </x:c>
      <x:c r="H2452" s="11" t="n">
        <x:v>9</x:v>
      </x:c>
      <x:c r="I2452" s="11" t="n">
        <x:v>9</x:v>
      </x:c>
      <x:c r="J2452" s="11" t="n">
        <x:v>9</x:v>
      </x:c>
      <x:c r="K2452" s="11" t="n">
        <x:v>0</x:v>
      </x:c>
      <x:c r="L2452" s="17" t="n">
        <x:f>SUM(SUMIFS('Costing'!$P$9:$P$492,'Costing'!$A$9:$A$492,"PARTNER-M252"))</x:f>
        <x:v>360000</x:v>
      </x:c>
      <x:c r="M2452" s="17" t="n">
        <x:f>ROUND(L2452*'Costing'!$C$4,2)</x:f>
        <x:v>64800</x:v>
      </x:c>
      <x:c r="N2452" s="17" t="n">
        <x:f>L2452+M2452</x:f>
        <x:v>424800</x:v>
      </x:c>
      <x:c r="O2452" s="12" t="str">
        <x:v>Pune</x:v>
      </x:c>
      <x:c r="P2452" s="12" t="str">
        <x:v>CORP-0668, CORP-0669, CORP-0670, CORP-0671, CORP-0672, CORP-0673, CORP-0674, CORP-0675, CORP-0676</x:v>
      </x:c>
      <x:c r="Q2452" s="12" t="str">
        <x:v>Systems Plus</x:v>
      </x:c>
    </x:row>
    <x:row r="2453" ht="48" customHeight="1">
      <x:c r="A2453" s="2" t="str">
        <x:v>TEN-E47B93135ACE</x:v>
      </x:c>
      <x:c r="B2453" s="12" t="str">
        <x:v>S{PS Global Apostile Services</x:v>
      </x:c>
      <x:c r="C2453" s="12" t="str">
        <x:v>Identity unresolved</x:v>
      </x:c>
      <x:c r="D2453" s="12" t="str">
        <x:v>Unresolved</x:v>
      </x:c>
      <x:c r="E2453" s="12" t="str">
        <x:v>Business activity not established</x:v>
      </x:c>
      <x:c r="F2453" s="12" t="str">
        <x:v>Mixed business audience</x:v>
      </x:c>
      <x:c r="G2453" s="12" t="str">
        <x:v>Ambiguous directory record; use the surrounding property audience.</x:v>
      </x:c>
      <x:c r="H2453" s="11" t="n">
        <x:v>1</x:v>
      </x:c>
      <x:c r="I2453" s="11" t="n">
        <x:v>8</x:v>
      </x:c>
      <x:c r="J2453" s="11" t="n">
        <x:v>8</x:v>
      </x:c>
      <x:c r="K2453" s="11" t="n">
        <x:v>0</x:v>
      </x:c>
      <x:c r="L2453" s="17" t="n">
        <x:f>SUM(SUMIFS('Costing'!$P$9:$P$492,'Costing'!$A$9:$A$492,"MAIN-059"))</x:f>
        <x:v>120000</x:v>
      </x:c>
      <x:c r="M2453" s="17" t="n">
        <x:f>ROUND(L2453*'Costing'!$C$4,2)</x:f>
        <x:v>21600</x:v>
      </x:c>
      <x:c r="N2453" s="17" t="n">
        <x:f>L2453+M2453</x:f>
        <x:v>141600</x:v>
      </x:c>
      <x:c r="O2453" s="12" t="str">
        <x:v>Bengaluru</x:v>
      </x:c>
      <x:c r="P2453" s="12" t="str">
        <x:v>CORP-0055</x:v>
      </x:c>
      <x:c r="Q2453" s="12" t="str">
        <x:v>S{PS Global Apostile Services</x:v>
      </x:c>
    </x:row>
    <x:row r="2454" ht="48" customHeight="1">
      <x:c r="A2454" s="2" t="str">
        <x:v>TEN-CEAA3A09F22D</x:v>
      </x:c>
      <x:c r="B2454" s="12" t="str">
        <x:v>T&amp;K interactive</x:v>
      </x:c>
      <x:c r="C2454" s="12" t="str">
        <x:v>Business / brand</x:v>
      </x:c>
      <x:c r="D2454" s="12" t="str">
        <x:v>Unresolved</x:v>
      </x:c>
      <x:c r="E2454" s="12" t="str">
        <x:v>Business activity not established</x:v>
      </x:c>
      <x:c r="F2454" s="12" t="str">
        <x:v>Mixed business audience</x:v>
      </x:c>
      <x:c r="G2454" s="12" t="str">
        <x:v>Business activity and company scale are not established from this name.</x:v>
      </x:c>
      <x:c r="H2454" s="11" t="n">
        <x:v>1</x:v>
      </x:c>
      <x:c r="I2454" s="11" t="n">
        <x:v>1</x:v>
      </x:c>
      <x:c r="J2454" s="11" t="n">
        <x:v>1</x:v>
      </x:c>
      <x:c r="K2454" s="11" t="n">
        <x:v>0</x:v>
      </x:c>
      <x:c r="L2454" s="17" t="n">
        <x:f>SUM(SUMIFS('Costing'!$P$9:$P$492,'Costing'!$A$9:$A$492,"MAIN-300"))</x:f>
        <x:v>15000</x:v>
      </x:c>
      <x:c r="M2454" s="17" t="n">
        <x:f>ROUND(L2454*'Costing'!$C$4,2)</x:f>
        <x:v>2700</x:v>
      </x:c>
      <x:c r="N2454" s="17" t="n">
        <x:f>L2454+M2454</x:f>
        <x:v>17700</x:v>
      </x:c>
      <x:c r="O2454" s="12" t="str">
        <x:v>Mumbai</x:v>
      </x:c>
      <x:c r="P2454" s="12" t="str">
        <x:v>CORP-0296</x:v>
      </x:c>
      <x:c r="Q2454" s="12" t="str">
        <x:v>T&amp;K interactive</x:v>
      </x:c>
    </x:row>
    <x:row r="2455" ht="62" customHeight="1">
      <x:c r="A2455" s="2" t="str">
        <x:v>TEN-845733A0CA33</x:v>
      </x:c>
      <x:c r="B2455" s="12" t="str">
        <x:v>T-Systems</x:v>
      </x:c>
      <x:c r="C2455" s="12" t="str">
        <x:v>Business / brand</x:v>
      </x:c>
      <x:c r="D2455" s="12" t="str">
        <x:v>IT &amp; digital</x:v>
      </x:c>
      <x:c r="E2455" s="12" t="str">
        <x:v>Enterprise software &amp; digital engineering</x:v>
      </x:c>
      <x:c r="F2455" s="12" t="str">
        <x:v>Large enterprise</x:v>
      </x:c>
      <x:c r="G2455" s="12" t="str">
        <x:v>T-Systems reports 26,000 people and a workforce of more than 3,900 in India in its May 2025 company presentation. Large-enterprise campaign context; no statutory MSME status asserted.</x:v>
      </x:c>
      <x:c r="H2455" s="11" t="n">
        <x:v>6</x:v>
      </x:c>
      <x:c r="I2455" s="11" t="n">
        <x:v>6</x:v>
      </x:c>
      <x:c r="J2455" s="11" t="n">
        <x:v>6</x:v>
      </x:c>
      <x:c r="K2455" s="11" t="n">
        <x:v>0</x:v>
      </x:c>
      <x:c r="L2455" s="17" t="n">
        <x:f>SUM(SUMIFS('Costing'!$P$9:$P$492,'Costing'!$A$9:$A$492,"PARTNER-M072"))</x:f>
        <x:v>240000</x:v>
      </x:c>
      <x:c r="M2455" s="17" t="n">
        <x:f>ROUND(L2455*'Costing'!$C$4,2)</x:f>
        <x:v>43200</x:v>
      </x:c>
      <x:c r="N2455" s="17" t="n">
        <x:f>L2455+M2455</x:f>
        <x:v>283200</x:v>
      </x:c>
      <x:c r="O2455" s="12" t="str">
        <x:v>Bengaluru</x:v>
      </x:c>
      <x:c r="P2455" s="12" t="str">
        <x:v>CORP-0490, CORP-0491, CORP-0492, CORP-0493, CORP-0494, CORP-0495</x:v>
      </x:c>
      <x:c r="Q2455" s="12" t="str">
        <x:v>T-Systems</x:v>
      </x:c>
    </x:row>
    <x:row r="2456" ht="62" customHeight="1">
      <x:c r="A2456" s="2" t="str">
        <x:v>TEN-33E655A82EEA</x:v>
      </x:c>
      <x:c r="B2456" s="12" t="str">
        <x:v>T-Systems ICT</x:v>
      </x:c>
      <x:c r="C2456" s="12" t="str">
        <x:v>Business / brand</x:v>
      </x:c>
      <x:c r="D2456" s="12" t="str">
        <x:v>IT &amp; digital</x:v>
      </x:c>
      <x:c r="E2456" s="12" t="str">
        <x:v>Enterprise software &amp; digital engineering</x:v>
      </x:c>
      <x:c r="F2456" s="12" t="str">
        <x:v>Large enterprise</x:v>
      </x:c>
      <x:c r="G2456" s="12" t="str">
        <x:v>T-Systems reports 26,000 people and a workforce of more than 3,900 in India in its May 2025 company presentation. Large-enterprise campaign context; no statutory MSME status asserted.</x:v>
      </x:c>
      <x:c r="H2456" s="11" t="n">
        <x:v>6</x:v>
      </x:c>
      <x:c r="I2456" s="11" t="n">
        <x:v>6</x:v>
      </x:c>
      <x:c r="J2456" s="11" t="n">
        <x:v>6</x:v>
      </x:c>
      <x:c r="K2456" s="11" t="n">
        <x:v>0</x:v>
      </x:c>
      <x:c r="L2456" s="17" t="n">
        <x:f>SUM(SUMIFS('Costing'!$P$9:$P$492,'Costing'!$A$9:$A$492,"PARTNER-M072"))</x:f>
        <x:v>240000</x:v>
      </x:c>
      <x:c r="M2456" s="17" t="n">
        <x:f>ROUND(L2456*'Costing'!$C$4,2)</x:f>
        <x:v>43200</x:v>
      </x:c>
      <x:c r="N2456" s="17" t="n">
        <x:f>L2456+M2456</x:f>
        <x:v>283200</x:v>
      </x:c>
      <x:c r="O2456" s="12" t="str">
        <x:v>Bengaluru</x:v>
      </x:c>
      <x:c r="P2456" s="12" t="str">
        <x:v>CORP-0490, CORP-0491, CORP-0492, CORP-0493, CORP-0494, CORP-0495</x:v>
      </x:c>
      <x:c r="Q2456" s="12" t="str">
        <x:v>T-Systems ICT</x:v>
      </x:c>
    </x:row>
    <x:row r="2457" ht="48" customHeight="1">
      <x:c r="A2457" s="2" t="str">
        <x:v>TEN-B27BEC4C0CF2</x:v>
      </x:c>
      <x:c r="B2457" s="12" t="str">
        <x:v>Taal Tech India Pvt.Ltd</x:v>
      </x:c>
      <x:c r="C2457" s="12" t="str">
        <x:v>Business / brand</x:v>
      </x:c>
      <x:c r="D2457" s="12" t="str">
        <x:v>Engineering &amp; manufacturing</x:v>
      </x:c>
      <x:c r="E2457" s="12" t="str">
        <x:v>Electronics, industrial systems &amp; manufacturing</x:v>
      </x:c>
      <x:c r="F2457" s="12" t="str">
        <x:v>Medium-scale prospects</x:v>
      </x:c>
      <x:c r="G2457" s="12" t="str">
        <x:v>Specialist industrial or engineering business; medium-scale prospect assumption.</x:v>
      </x:c>
      <x:c r="H2457" s="11" t="n">
        <x:v>1</x:v>
      </x:c>
      <x:c r="I2457" s="11" t="n">
        <x:v>6</x:v>
      </x:c>
      <x:c r="J2457" s="11" t="n">
        <x:v>6</x:v>
      </x:c>
      <x:c r="K2457" s="11" t="n">
        <x:v>0</x:v>
      </x:c>
      <x:c r="L2457" s="17" t="n">
        <x:f>SUM(SUMIFS('Costing'!$P$9:$P$492,'Costing'!$A$9:$A$492,"MAIN-027"))</x:f>
        <x:v>90000</x:v>
      </x:c>
      <x:c r="M2457" s="17" t="n">
        <x:f>ROUND(L2457*'Costing'!$C$4,2)</x:f>
        <x:v>16200</x:v>
      </x:c>
      <x:c r="N2457" s="17" t="n">
        <x:f>L2457+M2457</x:f>
        <x:v>106200</x:v>
      </x:c>
      <x:c r="O2457" s="12" t="str">
        <x:v>Bengaluru</x:v>
      </x:c>
      <x:c r="P2457" s="12" t="str">
        <x:v>CORP-0023</x:v>
      </x:c>
      <x:c r="Q2457" s="12" t="str">
        <x:v>Taal Tech India Pvt.Ltd</x:v>
      </x:c>
    </x:row>
    <x:row r="2458" ht="49" customHeight="1">
      <x:c r="A2458" s="2" t="str">
        <x:v>TEN-4F90BB2CBD83</x:v>
      </x:c>
      <x:c r="B2458" s="12" t="str">
        <x:v>Table Space</x:v>
      </x:c>
      <x:c r="C2458" s="12" t="str">
        <x:v>Workspace operator</x:v>
      </x:c>
      <x:c r="D2458" s="12" t="str">
        <x:v>Workspace &amp; property operations</x:v>
      </x:c>
      <x:c r="E2458" s="12" t="str">
        <x:v>Coworking/workspace operator</x:v>
      </x:c>
      <x:c r="F2458" s="12" t="str">
        <x:v>Mixed business audience</x:v>
      </x:c>
      <x:c r="G2458" s="12" t="str">
        <x:v>Supplied entry is a shared-workspace operator; the business sizes of occupant companies cannot be derived from the operator name.</x:v>
      </x:c>
      <x:c r="H2458" s="11" t="n">
        <x:v>1</x:v>
      </x:c>
      <x:c r="I2458" s="11" t="n">
        <x:v>2</x:v>
      </x:c>
      <x:c r="J2458" s="11" t="n">
        <x:v>2</x:v>
      </x:c>
      <x:c r="K2458" s="11" t="n">
        <x:v>0</x:v>
      </x:c>
      <x:c r="L2458" s="17" t="n">
        <x:f>SUM(SUMIFS('Costing'!$P$9:$P$492,'Costing'!$A$9:$A$492,"MAIN-063"))</x:f>
        <x:v>80000</x:v>
      </x:c>
      <x:c r="M2458" s="17" t="n">
        <x:f>ROUND(L2458*'Costing'!$C$4,2)</x:f>
        <x:v>14400</x:v>
      </x:c>
      <x:c r="N2458" s="17" t="n">
        <x:f>L2458+M2458</x:f>
        <x:v>94400</x:v>
      </x:c>
      <x:c r="O2458" s="12" t="str">
        <x:v>Bengaluru</x:v>
      </x:c>
      <x:c r="P2458" s="12" t="str">
        <x:v>CORP-0059</x:v>
      </x:c>
      <x:c r="Q2458" s="12" t="str">
        <x:v>Table Space</x:v>
      </x:c>
    </x:row>
    <x:row r="2459" ht="48" customHeight="1">
      <x:c r="A2459" s="2" t="str">
        <x:v>TEN-EA94B39D1C72</x:v>
      </x:c>
      <x:c r="B2459" s="12" t="str">
        <x:v>TailorTech</x:v>
      </x:c>
      <x:c r="C2459" s="12" t="str">
        <x:v>Business / brand</x:v>
      </x:c>
      <x:c r="D2459" s="12" t="str">
        <x:v>Unresolved</x:v>
      </x:c>
      <x:c r="E2459" s="12" t="str">
        <x:v>Business activity not established</x:v>
      </x:c>
      <x:c r="F2459" s="12" t="str">
        <x:v>Mixed business audience</x:v>
      </x:c>
      <x:c r="G2459" s="12" t="str">
        <x:v>Business activity and company scale are not established from this name.</x:v>
      </x:c>
      <x:c r="H2459" s="11" t="n">
        <x:v>7</x:v>
      </x:c>
      <x:c r="I2459" s="11" t="n">
        <x:v>7</x:v>
      </x:c>
      <x:c r="J2459" s="11" t="n">
        <x:v>7</x:v>
      </x:c>
      <x:c r="K2459" s="11" t="n">
        <x:v>0</x:v>
      </x:c>
      <x:c r="L2459" s="17" t="n">
        <x:f>SUM(SUMIFS('Costing'!$P$9:$P$492,'Costing'!$A$9:$A$492,"PARTNER-M317"))</x:f>
        <x:v>280000</x:v>
      </x:c>
      <x:c r="M2459" s="17" t="n">
        <x:f>ROUND(L2459*'Costing'!$C$4,2)</x:f>
        <x:v>50400</x:v>
      </x:c>
      <x:c r="N2459" s="17" t="n">
        <x:f>L2459+M2459</x:f>
        <x:v>330400</x:v>
      </x:c>
      <x:c r="O2459" s="12" t="str">
        <x:v>Hyderabad</x:v>
      </x:c>
      <x:c r="P2459" s="12" t="str">
        <x:v>CORP-0732, CORP-0733, CORP-0734, CORP-0735, CORP-0736, CORP-0737, CORP-0738</x:v>
      </x:c>
      <x:c r="Q2459" s="12" t="str">
        <x:v>TailorTech</x:v>
      </x:c>
    </x:row>
    <x:row r="2460" ht="48" customHeight="1">
      <x:c r="A2460" s="2" t="str">
        <x:v>TEN-908C50BA6687</x:v>
      </x:c>
      <x:c r="B2460" s="12" t="str">
        <x:v>TalbotFORCE</x:v>
      </x:c>
      <x:c r="C2460" s="12" t="str">
        <x:v>Business / brand</x:v>
      </x:c>
      <x:c r="D2460" s="12" t="str">
        <x:v>IT &amp; digital</x:v>
      </x:c>
      <x:c r="E2460" s="12" t="str">
        <x:v>Business process &amp; customer operations</x:v>
      </x:c>
      <x:c r="F2460" s="12" t="str">
        <x:v>Small-scale prospects</x:v>
      </x:c>
      <x:c r="G2460" s="12" t="str">
        <x:v>Software or technology-services business; small-scale prospect assumption.</x:v>
      </x:c>
      <x:c r="H2460" s="11" t="n">
        <x:v>5</x:v>
      </x:c>
      <x:c r="I2460" s="11" t="n">
        <x:v>5</x:v>
      </x:c>
      <x:c r="J2460" s="11" t="n">
        <x:v>5</x:v>
      </x:c>
      <x:c r="K2460" s="11" t="n">
        <x:v>0</x:v>
      </x:c>
      <x:c r="L2460" s="17" t="n">
        <x:f>SUM(SUMIFS('Costing'!$P$9:$P$492,'Costing'!$A$9:$A$492,"PARTNER-M060"))</x:f>
        <x:v>200000</x:v>
      </x:c>
      <x:c r="M2460" s="17" t="n">
        <x:f>ROUND(L2460*'Costing'!$C$4,2)</x:f>
        <x:v>36000</x:v>
      </x:c>
      <x:c r="N2460" s="17" t="n">
        <x:f>L2460+M2460</x:f>
        <x:v>236000</x:v>
      </x:c>
      <x:c r="O2460" s="12" t="str">
        <x:v>Bengaluru</x:v>
      </x:c>
      <x:c r="P2460" s="12" t="str">
        <x:v>CORP-0478, CORP-0479, CORP-0480, CORP-0481, CORP-0482</x:v>
      </x:c>
      <x:c r="Q2460" s="12" t="str">
        <x:v>TalbotFORCE</x:v>
      </x:c>
    </x:row>
    <x:row r="2461" ht="48" customHeight="1">
      <x:c r="A2461" s="2" t="str">
        <x:v>TEN-34B4DA2E643E</x:v>
      </x:c>
      <x:c r="B2461" s="12" t="str">
        <x:v>Talentracker Technologies CCW</x:v>
      </x:c>
      <x:c r="C2461" s="12" t="str">
        <x:v>Business / brand</x:v>
      </x:c>
      <x:c r="D2461" s="12" t="str">
        <x:v>Professional services</x:v>
      </x:c>
      <x:c r="E2461" s="12" t="str">
        <x:v>Recruitment, HR &amp; staffing</x:v>
      </x:c>
      <x:c r="F2461" s="12" t="str">
        <x:v>Small-scale prospects</x:v>
      </x:c>
      <x:c r="G2461" s="12" t="str">
        <x:v>Professional service, agency or advisory model; small-scale prospect assumption.</x:v>
      </x:c>
      <x:c r="H2461" s="11" t="n">
        <x:v>1</x:v>
      </x:c>
      <x:c r="I2461" s="11" t="n">
        <x:v>1</x:v>
      </x:c>
      <x:c r="J2461" s="11" t="n">
        <x:v>1</x:v>
      </x:c>
      <x:c r="K2461" s="11" t="n">
        <x:v>0</x:v>
      </x:c>
      <x:c r="L2461" s="17" t="n">
        <x:f>SUM(SUMIFS('Costing'!$P$9:$P$492,'Costing'!$A$9:$A$492,"MAIN-415"))</x:f>
        <x:v>15000</x:v>
      </x:c>
      <x:c r="M2461" s="17" t="n">
        <x:f>ROUND(L2461*'Costing'!$C$4,2)</x:f>
        <x:v>2700</x:v>
      </x:c>
      <x:c r="N2461" s="17" t="n">
        <x:f>L2461+M2461</x:f>
        <x:v>17700</x:v>
      </x:c>
      <x:c r="O2461" s="12" t="str">
        <x:v>Pune</x:v>
      </x:c>
      <x:c r="P2461" s="12" t="str">
        <x:v>CORP-0411</x:v>
      </x:c>
      <x:c r="Q2461" s="12" t="str">
        <x:v>Talentracker Technologies CCW</x:v>
      </x:c>
    </x:row>
    <x:row r="2462" ht="48" customHeight="1">
      <x:c r="A2462" s="2" t="str">
        <x:v>TEN-FC69E443209A</x:v>
      </x:c>
      <x:c r="B2462" s="12" t="str">
        <x:v>TalentShip</x:v>
      </x:c>
      <x:c r="C2462" s="12" t="str">
        <x:v>Business / brand</x:v>
      </x:c>
      <x:c r="D2462" s="12" t="str">
        <x:v>Professional services</x:v>
      </x:c>
      <x:c r="E2462" s="12" t="str">
        <x:v>Recruitment, HR &amp; staffing</x:v>
      </x:c>
      <x:c r="F2462" s="12" t="str">
        <x:v>Small-scale prospects</x:v>
      </x:c>
      <x:c r="G2462" s="12" t="str">
        <x:v>Professional service, agency or advisory model; small-scale prospect assumption.</x:v>
      </x:c>
      <x:c r="H2462" s="11" t="n">
        <x:v>1</x:v>
      </x:c>
      <x:c r="I2462" s="11" t="n">
        <x:v>4</x:v>
      </x:c>
      <x:c r="J2462" s="11" t="n">
        <x:v>4</x:v>
      </x:c>
      <x:c r="K2462" s="11" t="n">
        <x:v>0</x:v>
      </x:c>
      <x:c r="L2462" s="17" t="n">
        <x:f>SUM(SUMIFS('Costing'!$P$9:$P$492,'Costing'!$A$9:$A$492,"MAIN-141"))</x:f>
        <x:v>60000</x:v>
      </x:c>
      <x:c r="M2462" s="17" t="n">
        <x:f>ROUND(L2462*'Costing'!$C$4,2)</x:f>
        <x:v>10800</x:v>
      </x:c>
      <x:c r="N2462" s="17" t="n">
        <x:f>L2462+M2462</x:f>
        <x:v>70800</x:v>
      </x:c>
      <x:c r="O2462" s="12" t="str">
        <x:v>Chennai</x:v>
      </x:c>
      <x:c r="P2462" s="12" t="str">
        <x:v>CORP-0137</x:v>
      </x:c>
      <x:c r="Q2462" s="12" t="str">
        <x:v>TalentShip</x:v>
      </x:c>
    </x:row>
    <x:row r="2463" ht="49" customHeight="1">
      <x:c r="A2463" s="2" t="str">
        <x:v>TEN-A973ADF51E6A</x:v>
      </x:c>
      <x:c r="B2463" s="12" t="str">
        <x:v>Talisma</x:v>
      </x:c>
      <x:c r="C2463" s="12" t="str">
        <x:v>Business / brand</x:v>
      </x:c>
      <x:c r="D2463" s="12" t="str">
        <x:v>IT &amp; digital</x:v>
      </x:c>
      <x:c r="E2463" s="12" t="str">
        <x:v>Enterprise software &amp; digital engineering</x:v>
      </x:c>
      <x:c r="F2463" s="12" t="str">
        <x:v>Mixed business audience</x:v>
      </x:c>
      <x:c r="G2463" s="12" t="str">
        <x:v>Established brand or business network; local company scale is not established. Use a mixed-business message.</x:v>
      </x:c>
      <x:c r="H2463" s="11" t="n">
        <x:v>12</x:v>
      </x:c>
      <x:c r="I2463" s="11" t="n">
        <x:v>12</x:v>
      </x:c>
      <x:c r="J2463" s="11" t="n">
        <x:v>12</x:v>
      </x:c>
      <x:c r="K2463" s="11" t="n">
        <x:v>0</x:v>
      </x:c>
      <x:c r="L2463" s="17" t="n">
        <x:f>SUM(SUMIFS('Costing'!$P$9:$P$492,'Costing'!$A$9:$A$492,"PARTNER-M108"))</x:f>
        <x:v>480000</x:v>
      </x:c>
      <x:c r="M2463" s="17" t="n">
        <x:f>ROUND(L2463*'Costing'!$C$4,2)</x:f>
        <x:v>86400</x:v>
      </x:c>
      <x:c r="N2463" s="17" t="n">
        <x:f>L2463+M2463</x:f>
        <x:v>566400</x:v>
      </x:c>
      <x:c r="O2463" s="12" t="str">
        <x:v>Bengaluru</x:v>
      </x:c>
      <x:c r="P2463" s="12" t="str">
        <x:v>CORP-0526, CORP-0527, CORP-0528, CORP-0529, CORP-0530, CORP-0531, CORP-0532, CORP-0533, CORP-0534, CORP-0535, CORP-0536, CORP-0537</x:v>
      </x:c>
      <x:c r="Q2463" s="12" t="str">
        <x:v>Talisma</x:v>
      </x:c>
    </x:row>
    <x:row r="2464" ht="48" customHeight="1">
      <x:c r="A2464" s="2" t="str">
        <x:v>TEN-894090F78BDD</x:v>
      </x:c>
      <x:c r="B2464" s="12" t="str">
        <x:v>Talisma Corporation Private Limited</x:v>
      </x:c>
      <x:c r="C2464" s="12" t="str">
        <x:v>Business / brand</x:v>
      </x:c>
      <x:c r="D2464" s="12" t="str">
        <x:v>IT &amp; digital</x:v>
      </x:c>
      <x:c r="E2464" s="12" t="str">
        <x:v>Enterprise software &amp; digital engineering</x:v>
      </x:c>
      <x:c r="F2464" s="12" t="str">
        <x:v>Mixed business audience</x:v>
      </x:c>
      <x:c r="G2464" s="12" t="str">
        <x:v>Established brand or business network; local company scale is not established. Use a mixed-business message.</x:v>
      </x:c>
      <x:c r="H2464" s="11" t="n">
        <x:v>1</x:v>
      </x:c>
      <x:c r="I2464" s="11" t="n">
        <x:v>8</x:v>
      </x:c>
      <x:c r="J2464" s="11" t="n">
        <x:v>8</x:v>
      </x:c>
      <x:c r="K2464" s="11" t="n">
        <x:v>0</x:v>
      </x:c>
      <x:c r="L2464" s="17" t="n">
        <x:f>SUM(SUMIFS('Costing'!$P$9:$P$492,'Costing'!$A$9:$A$492,"MAIN-126"))</x:f>
        <x:v>200000</x:v>
      </x:c>
      <x:c r="M2464" s="17" t="n">
        <x:f>ROUND(L2464*'Costing'!$C$4,2)</x:f>
        <x:v>36000</x:v>
      </x:c>
      <x:c r="N2464" s="17" t="n">
        <x:f>L2464+M2464</x:f>
        <x:v>236000</x:v>
      </x:c>
      <x:c r="O2464" s="12" t="str">
        <x:v>Bengaluru</x:v>
      </x:c>
      <x:c r="P2464" s="12" t="str">
        <x:v>CORP-0122</x:v>
      </x:c>
      <x:c r="Q2464" s="12" t="str">
        <x:v>Talisma Corporation Private Limited</x:v>
      </x:c>
    </x:row>
    <x:row r="2465" ht="48" customHeight="1">
      <x:c r="A2465" s="2" t="str">
        <x:v>TEN-43C2D8676CC0</x:v>
      </x:c>
      <x:c r="B2465" s="12" t="str">
        <x:v>Tally Solutions Pvt Ltd</x:v>
      </x:c>
      <x:c r="C2465" s="12" t="str">
        <x:v>Business / brand</x:v>
      </x:c>
      <x:c r="D2465" s="12" t="str">
        <x:v>IT &amp; digital</x:v>
      </x:c>
      <x:c r="E2465" s="12" t="str">
        <x:v>Enterprise software &amp; digital engineering</x:v>
      </x:c>
      <x:c r="F2465" s="12" t="str">
        <x:v>Mixed business audience</x:v>
      </x:c>
      <x:c r="G2465" s="12" t="str">
        <x:v>Established brand or business network; local company scale is not established. Use a mixed-business message.</x:v>
      </x:c>
      <x:c r="H2465" s="11" t="n">
        <x:v>1</x:v>
      </x:c>
      <x:c r="I2465" s="11" t="n">
        <x:v>1</x:v>
      </x:c>
      <x:c r="J2465" s="11" t="n">
        <x:v>1</x:v>
      </x:c>
      <x:c r="K2465" s="11" t="n">
        <x:v>0</x:v>
      </x:c>
      <x:c r="L2465" s="17" t="n">
        <x:f>SUM(SUMIFS('Costing'!$P$9:$P$492,'Costing'!$A$9:$A$492,"MAIN-278"))</x:f>
        <x:v>15000</x:v>
      </x:c>
      <x:c r="M2465" s="17" t="n">
        <x:f>ROUND(L2465*'Costing'!$C$4,2)</x:f>
        <x:v>2700</x:v>
      </x:c>
      <x:c r="N2465" s="17" t="n">
        <x:f>L2465+M2465</x:f>
        <x:v>17700</x:v>
      </x:c>
      <x:c r="O2465" s="12" t="str">
        <x:v>Kolkata</x:v>
      </x:c>
      <x:c r="P2465" s="12" t="str">
        <x:v>CORP-0274</x:v>
      </x:c>
      <x:c r="Q2465" s="12" t="str">
        <x:v>Tally Solutions Pvt Ltd</x:v>
      </x:c>
    </x:row>
    <x:row r="2466" ht="48" customHeight="1">
      <x:c r="A2466" s="2" t="str">
        <x:v>TEN-FB68F107F674</x:v>
      </x:c>
      <x:c r="B2466" s="12" t="str">
        <x:v>Tambora Systems India Pvt. Ltd</x:v>
      </x:c>
      <x:c r="C2466" s="12" t="str">
        <x:v>Business / brand</x:v>
      </x:c>
      <x:c r="D2466" s="12" t="str">
        <x:v>Unresolved</x:v>
      </x:c>
      <x:c r="E2466" s="12" t="str">
        <x:v>Business activity not established</x:v>
      </x:c>
      <x:c r="F2466" s="12" t="str">
        <x:v>Mixed business audience</x:v>
      </x:c>
      <x:c r="G2466" s="12" t="str">
        <x:v>Business activity and company scale are not established from this name.</x:v>
      </x:c>
      <x:c r="H2466" s="11" t="n">
        <x:v>5</x:v>
      </x:c>
      <x:c r="I2466" s="11" t="n">
        <x:v>5</x:v>
      </x:c>
      <x:c r="J2466" s="11" t="n">
        <x:v>5</x:v>
      </x:c>
      <x:c r="K2466" s="11" t="n">
        <x:v>0</x:v>
      </x:c>
      <x:c r="L2466" s="17" t="n">
        <x:f>SUM(SUMIFS('Costing'!$P$9:$P$492,'Costing'!$A$9:$A$492,"PARTNER-M051"))</x:f>
        <x:v>200000</x:v>
      </x:c>
      <x:c r="M2466" s="17" t="n">
        <x:f>ROUND(L2466*'Costing'!$C$4,2)</x:f>
        <x:v>36000</x:v>
      </x:c>
      <x:c r="N2466" s="17" t="n">
        <x:f>L2466+M2466</x:f>
        <x:v>236000</x:v>
      </x:c>
      <x:c r="O2466" s="12" t="str">
        <x:v>Bengaluru</x:v>
      </x:c>
      <x:c r="P2466" s="12" t="str">
        <x:v>CORP-0469, CORP-0470, CORP-0471, CORP-0472, CORP-0473</x:v>
      </x:c>
      <x:c r="Q2466" s="12" t="str">
        <x:v>Tambora Systems India Pvt. Ltd</x:v>
      </x:c>
    </x:row>
    <x:row r="2467" ht="75" customHeight="1">
      <x:c r="A2467" s="2" t="str">
        <x:v>TEN-4EB14676114F</x:v>
      </x:c>
      <x:c r="B2467" s="12" t="str">
        <x:v>Tamil Nadu Guidance</x:v>
      </x:c>
      <x:c r="C2467" s="12" t="str">
        <x:v>Public / nonprofit</x:v>
      </x:c>
      <x:c r="D2467" s="12" t="str">
        <x:v>Government &amp; nonprofit</x:v>
      </x:c>
      <x:c r="E2467" s="12" t="str">
        <x:v>Public, nonprofit or membership organization</x:v>
      </x:c>
      <x:c r="F2467" s="12" t="str">
        <x:v>Institutional</x:v>
      </x:c>
      <x:c r="G2467" s="12" t="str">
        <x:v>Existing directory identifies an institutional, government, education, membership or nonprofit organisation rather than an ordinary MSME business prospect. This tag describes audience role and does not assert legal tax status.</x:v>
      </x:c>
      <x:c r="H2467" s="11" t="n">
        <x:v>2</x:v>
      </x:c>
      <x:c r="I2467" s="11" t="n">
        <x:v>2</x:v>
      </x:c>
      <x:c r="J2467" s="11" t="n">
        <x:v>2</x:v>
      </x:c>
      <x:c r="K2467" s="11" t="n">
        <x:v>0</x:v>
      </x:c>
      <x:c r="L2467" s="17" t="n">
        <x:f>SUM(SUMIFS('Costing'!$P$9:$P$492,'Costing'!$A$9:$A$492,"PARTNER-M332"))</x:f>
        <x:v>80000</x:v>
      </x:c>
      <x:c r="M2467" s="17" t="n">
        <x:f>ROUND(L2467*'Costing'!$C$4,2)</x:f>
        <x:v>14400</x:v>
      </x:c>
      <x:c r="N2467" s="17" t="n">
        <x:f>L2467+M2467</x:f>
        <x:v>94400</x:v>
      </x:c>
      <x:c r="O2467" s="12" t="str">
        <x:v>Chennai</x:v>
      </x:c>
      <x:c r="P2467" s="12" t="str">
        <x:v>CORP-0746, CORP-0747</x:v>
      </x:c>
      <x:c r="Q2467" s="12" t="str">
        <x:v>Tamil Nadu Guidance</x:v>
      </x:c>
    </x:row>
    <x:row r="2468" ht="48" customHeight="1">
      <x:c r="A2468" s="2" t="str">
        <x:v>TEN-746A33411251</x:v>
      </x:c>
      <x:c r="B2468" s="12" t="str">
        <x:v>Tangoe India Softek Services Pvt Ltd</x:v>
      </x:c>
      <x:c r="C2468" s="12" t="str">
        <x:v>Business / brand</x:v>
      </x:c>
      <x:c r="D2468" s="12" t="str">
        <x:v>IT &amp; digital</x:v>
      </x:c>
      <x:c r="E2468" s="12" t="str">
        <x:v>Enterprise software &amp; digital engineering</x:v>
      </x:c>
      <x:c r="F2468" s="12" t="str">
        <x:v>Mixed business audience</x:v>
      </x:c>
      <x:c r="G2468" s="12" t="str">
        <x:v>Established brand or business network; local company scale is not established. Use a mixed-business message.</x:v>
      </x:c>
      <x:c r="H2468" s="11" t="n">
        <x:v>5</x:v>
      </x:c>
      <x:c r="I2468" s="11" t="n">
        <x:v>5</x:v>
      </x:c>
      <x:c r="J2468" s="11" t="n">
        <x:v>5</x:v>
      </x:c>
      <x:c r="K2468" s="11" t="n">
        <x:v>0</x:v>
      </x:c>
      <x:c r="L2468" s="17" t="n">
        <x:f>SUM(SUMIFS('Costing'!$P$9:$P$492,'Costing'!$A$9:$A$492,"PARTNER-M060"))</x:f>
        <x:v>200000</x:v>
      </x:c>
      <x:c r="M2468" s="17" t="n">
        <x:f>ROUND(L2468*'Costing'!$C$4,2)</x:f>
        <x:v>36000</x:v>
      </x:c>
      <x:c r="N2468" s="17" t="n">
        <x:f>L2468+M2468</x:f>
        <x:v>236000</x:v>
      </x:c>
      <x:c r="O2468" s="12" t="str">
        <x:v>Bengaluru</x:v>
      </x:c>
      <x:c r="P2468" s="12" t="str">
        <x:v>CORP-0478, CORP-0479, CORP-0480, CORP-0481, CORP-0482</x:v>
      </x:c>
      <x:c r="Q2468" s="12" t="str">
        <x:v>Tangoe India Softek Services Pvt Ltd</x:v>
      </x:c>
    </x:row>
    <x:row r="2469" ht="48" customHeight="1">
      <x:c r="A2469" s="2" t="str">
        <x:v>TEN-6BF6072410B7</x:v>
      </x:c>
      <x:c r="B2469" s="12" t="str">
        <x:v>Tanishq</x:v>
      </x:c>
      <x:c r="C2469" s="12" t="str">
        <x:v>Business / brand</x:v>
      </x:c>
      <x:c r="D2469" s="12" t="str">
        <x:v>Trade, consumer &amp; logistics</x:v>
      </x:c>
      <x:c r="E2469" s="12" t="str">
        <x:v>Consumer/trade services — specialty unverified</x:v>
      </x:c>
      <x:c r="F2469" s="12" t="str">
        <x:v>Large enterprise</x:v>
      </x:c>
      <x:c r="G2469" s="12" t="str">
        <x:v>Explicit Tata enterprise-family context; see ENTERPRISE_SUPP_006 evidence.</x:v>
      </x:c>
      <x:c r="H2469" s="11" t="n">
        <x:v>1</x:v>
      </x:c>
      <x:c r="I2469" s="11" t="n">
        <x:v>1</x:v>
      </x:c>
      <x:c r="J2469" s="11" t="n">
        <x:v>1</x:v>
      </x:c>
      <x:c r="K2469" s="11" t="n">
        <x:v>0</x:v>
      </x:c>
      <x:c r="L2469" s="17" t="n">
        <x:f>SUM(SUMIFS('Costing'!$P$9:$P$492,'Costing'!$A$9:$A$492,"MAIN-275"))</x:f>
        <x:v>40000</x:v>
      </x:c>
      <x:c r="M2469" s="17" t="n">
        <x:f>ROUND(L2469*'Costing'!$C$4,2)</x:f>
        <x:v>7200</x:v>
      </x:c>
      <x:c r="N2469" s="17" t="n">
        <x:f>L2469+M2469</x:f>
        <x:v>47200</x:v>
      </x:c>
      <x:c r="O2469" s="12" t="str">
        <x:v>Indore</x:v>
      </x:c>
      <x:c r="P2469" s="12" t="str">
        <x:v>CORP-0271</x:v>
      </x:c>
      <x:c r="Q2469" s="12" t="str">
        <x:v>Tanishq</x:v>
      </x:c>
    </x:row>
    <x:row r="2470" ht="48" customHeight="1">
      <x:c r="A2470" s="2" t="str">
        <x:v>TEN-0C16B6E2E745</x:v>
      </x:c>
      <x:c r="B2470" s="12" t="str">
        <x:v>Target Corporation India</x:v>
      </x:c>
      <x:c r="C2470" s="12" t="str">
        <x:v>Business / brand</x:v>
      </x:c>
      <x:c r="D2470" s="12" t="str">
        <x:v>Trade, consumer &amp; logistics</x:v>
      </x:c>
      <x:c r="E2470" s="12" t="str">
        <x:v>Retail, consumer products &amp; ecommerce</x:v>
      </x:c>
      <x:c r="F2470" s="12" t="str">
        <x:v>Mixed business audience</x:v>
      </x:c>
      <x:c r="G2470" s="12" t="str">
        <x:v>Recognisable business context; company-scale evidence remains insufficient for a single size band.</x:v>
      </x:c>
      <x:c r="H2470" s="11" t="n">
        <x:v>5</x:v>
      </x:c>
      <x:c r="I2470" s="11" t="n">
        <x:v>5</x:v>
      </x:c>
      <x:c r="J2470" s="11" t="n">
        <x:v>5</x:v>
      </x:c>
      <x:c r="K2470" s="11" t="n">
        <x:v>0</x:v>
      </x:c>
      <x:c r="L2470" s="17" t="n">
        <x:f>SUM(SUMIFS('Costing'!$P$9:$P$492,'Costing'!$A$9:$A$492,"PARTNER-M051"))</x:f>
        <x:v>200000</x:v>
      </x:c>
      <x:c r="M2470" s="17" t="n">
        <x:f>ROUND(L2470*'Costing'!$C$4,2)</x:f>
        <x:v>36000</x:v>
      </x:c>
      <x:c r="N2470" s="17" t="n">
        <x:f>L2470+M2470</x:f>
        <x:v>236000</x:v>
      </x:c>
      <x:c r="O2470" s="12" t="str">
        <x:v>Bengaluru</x:v>
      </x:c>
      <x:c r="P2470" s="12" t="str">
        <x:v>CORP-0469, CORP-0470, CORP-0471, CORP-0472, CORP-0473</x:v>
      </x:c>
      <x:c r="Q2470" s="12" t="str">
        <x:v>Target Corporation India</x:v>
      </x:c>
    </x:row>
    <x:row r="2471" ht="48" customHeight="1">
      <x:c r="A2471" s="2" t="str">
        <x:v>TEN-458F293830E4</x:v>
      </x:c>
      <x:c r="B2471" s="12" t="str">
        <x:v>TaskUs India Private Limited</x:v>
      </x:c>
      <x:c r="C2471" s="12" t="str">
        <x:v>Business / brand</x:v>
      </x:c>
      <x:c r="D2471" s="12" t="str">
        <x:v>IT &amp; digital</x:v>
      </x:c>
      <x:c r="E2471" s="12" t="str">
        <x:v>Business process &amp; customer operations</x:v>
      </x:c>
      <x:c r="F2471" s="12" t="str">
        <x:v>Mixed business audience</x:v>
      </x:c>
      <x:c r="G2471" s="12" t="str">
        <x:v>Recognisable business context; company-scale evidence remains insufficient for a single size band.</x:v>
      </x:c>
      <x:c r="H2471" s="11" t="n">
        <x:v>1</x:v>
      </x:c>
      <x:c r="I2471" s="11" t="n">
        <x:v>1</x:v>
      </x:c>
      <x:c r="J2471" s="11" t="n">
        <x:v>1</x:v>
      </x:c>
      <x:c r="K2471" s="11" t="n">
        <x:v>0</x:v>
      </x:c>
      <x:c r="L2471" s="17" t="n">
        <x:f>SUM(SUMIFS('Costing'!$P$9:$P$492,'Costing'!$A$9:$A$492,"MAIN-297"))</x:f>
        <x:v>15000</x:v>
      </x:c>
      <x:c r="M2471" s="17" t="n">
        <x:f>ROUND(L2471*'Costing'!$C$4,2)</x:f>
        <x:v>2700</x:v>
      </x:c>
      <x:c r="N2471" s="17" t="n">
        <x:f>L2471+M2471</x:f>
        <x:v>17700</x:v>
      </x:c>
      <x:c r="O2471" s="12" t="str">
        <x:v>Mumbai</x:v>
      </x:c>
      <x:c r="P2471" s="12" t="str">
        <x:v>CORP-0293</x:v>
      </x:c>
      <x:c r="Q2471" s="12" t="str">
        <x:v>TaskUs India Private Limited</x:v>
      </x:c>
    </x:row>
    <x:row r="2472" ht="48" customHeight="1">
      <x:c r="A2472" s="2" t="str">
        <x:v>TEN-982D8CD25EC5</x:v>
      </x:c>
      <x:c r="B2472" s="12" t="str">
        <x:v>TaskUs Mystiqa</x:v>
      </x:c>
      <x:c r="C2472" s="12" t="str">
        <x:v>Business / brand</x:v>
      </x:c>
      <x:c r="D2472" s="12" t="str">
        <x:v>IT &amp; digital</x:v>
      </x:c>
      <x:c r="E2472" s="12" t="str">
        <x:v>Business process &amp; customer operations</x:v>
      </x:c>
      <x:c r="F2472" s="12" t="str">
        <x:v>Mixed business audience</x:v>
      </x:c>
      <x:c r="G2472" s="12" t="str">
        <x:v>Recognisable business context; company-scale evidence remains insufficient for a single size band.</x:v>
      </x:c>
      <x:c r="H2472" s="11" t="n">
        <x:v>5</x:v>
      </x:c>
      <x:c r="I2472" s="11" t="n">
        <x:v>5</x:v>
      </x:c>
      <x:c r="J2472" s="11" t="n">
        <x:v>5</x:v>
      </x:c>
      <x:c r="K2472" s="11" t="n">
        <x:v>0</x:v>
      </x:c>
      <x:c r="L2472" s="17" t="n">
        <x:f>SUM(SUMIFS('Costing'!$P$9:$P$492,'Costing'!$A$9:$A$492,"PARTNER-M353"))</x:f>
        <x:v>200000</x:v>
      </x:c>
      <x:c r="M2472" s="17" t="n">
        <x:f>ROUND(L2472*'Costing'!$C$4,2)</x:f>
        <x:v>36000</x:v>
      </x:c>
      <x:c r="N2472" s="17" t="n">
        <x:f>L2472+M2472</x:f>
        <x:v>236000</x:v>
      </x:c>
      <x:c r="O2472" s="12" t="str">
        <x:v>Delhi NCR</x:v>
      </x:c>
      <x:c r="P2472" s="12" t="str">
        <x:v>CORP-0766, CORP-0767, CORP-0768, CORP-0769, CORP-0770</x:v>
      </x:c>
      <x:c r="Q2472" s="12" t="str">
        <x:v>TaskUs Mystiqa</x:v>
      </x:c>
    </x:row>
    <x:row r="2473" ht="48" customHeight="1">
      <x:c r="A2473" s="2" t="str">
        <x:v>TEN-B9280E6ABABB</x:v>
      </x:c>
      <x:c r="B2473" s="12" t="str">
        <x:v>TaskUs Mystiqa–Gurugram</x:v>
      </x:c>
      <x:c r="C2473" s="12" t="str">
        <x:v>Business / brand</x:v>
      </x:c>
      <x:c r="D2473" s="12" t="str">
        <x:v>IT &amp; digital</x:v>
      </x:c>
      <x:c r="E2473" s="12" t="str">
        <x:v>Business process &amp; customer operations</x:v>
      </x:c>
      <x:c r="F2473" s="12" t="str">
        <x:v>Mixed business audience</x:v>
      </x:c>
      <x:c r="G2473" s="12" t="str">
        <x:v>Recognisable business context; company-scale evidence remains insufficient for a single size band.</x:v>
      </x:c>
      <x:c r="H2473" s="11" t="n">
        <x:v>1</x:v>
      </x:c>
      <x:c r="I2473" s="11" t="n">
        <x:v>5</x:v>
      </x:c>
      <x:c r="J2473" s="11" t="n">
        <x:v>5</x:v>
      </x:c>
      <x:c r="K2473" s="11" t="n">
        <x:v>0</x:v>
      </x:c>
      <x:c r="L2473" s="17" t="n">
        <x:f>SUM(SUMIFS('Costing'!$P$9:$P$492,'Costing'!$A$9:$A$492,"MAIN-196"))</x:f>
        <x:v>200000</x:v>
      </x:c>
      <x:c r="M2473" s="17" t="n">
        <x:f>ROUND(L2473*'Costing'!$C$4,2)</x:f>
        <x:v>36000</x:v>
      </x:c>
      <x:c r="N2473" s="17" t="n">
        <x:f>L2473+M2473</x:f>
        <x:v>236000</x:v>
      </x:c>
      <x:c r="O2473" s="12" t="str">
        <x:v>Delhi NCR</x:v>
      </x:c>
      <x:c r="P2473" s="12" t="str">
        <x:v>CORP-0192</x:v>
      </x:c>
      <x:c r="Q2473" s="12" t="str">
        <x:v>TaskUs Mystiqa–Gurugram</x:v>
      </x:c>
    </x:row>
    <x:row r="2474" ht="48" customHeight="1">
      <x:c r="A2474" s="2" t="str">
        <x:v>TEN-0A337D28CD0B</x:v>
      </x:c>
      <x:c r="B2474" s="12" t="str">
        <x:v>Tasty Bite Eatables Limited</x:v>
      </x:c>
      <x:c r="C2474" s="12" t="str">
        <x:v>Business / brand</x:v>
      </x:c>
      <x:c r="D2474" s="12" t="str">
        <x:v>Trade, consumer &amp; logistics</x:v>
      </x:c>
      <x:c r="E2474" s="12" t="str">
        <x:v>Travel, hospitality, food &amp; beverages</x:v>
      </x:c>
      <x:c r="F2474" s="12" t="str">
        <x:v>Mixed business audience</x:v>
      </x:c>
      <x:c r="G2474" s="12" t="str">
        <x:v>Established brand or business network; local company scale is not established. Use a mixed-business message.</x:v>
      </x:c>
      <x:c r="H2474" s="11" t="n">
        <x:v>1</x:v>
      </x:c>
      <x:c r="I2474" s="11" t="n">
        <x:v>2</x:v>
      </x:c>
      <x:c r="J2474" s="11" t="n">
        <x:v>2</x:v>
      </x:c>
      <x:c r="K2474" s="11" t="n">
        <x:v>0</x:v>
      </x:c>
      <x:c r="L2474" s="17" t="n">
        <x:f>SUM(SUMIFS('Costing'!$P$9:$P$492,'Costing'!$A$9:$A$492,"MAIN-407"))</x:f>
        <x:v>30000</x:v>
      </x:c>
      <x:c r="M2474" s="17" t="n">
        <x:f>ROUND(L2474*'Costing'!$C$4,2)</x:f>
        <x:v>5400</x:v>
      </x:c>
      <x:c r="N2474" s="17" t="n">
        <x:f>L2474+M2474</x:f>
        <x:v>35400</x:v>
      </x:c>
      <x:c r="O2474" s="12" t="str">
        <x:v>Pune</x:v>
      </x:c>
      <x:c r="P2474" s="12" t="str">
        <x:v>CORP-0403</x:v>
      </x:c>
      <x:c r="Q2474" s="12" t="str">
        <x:v>Tasty Bite Eatables Limited</x:v>
      </x:c>
    </x:row>
    <x:row r="2475" ht="49" customHeight="1">
      <x:c r="A2475" s="2" t="str">
        <x:v>TEN-D1C7C99C6E2E</x:v>
      </x:c>
      <x:c r="B2475" s="12" t="str">
        <x:v>Tata</x:v>
      </x:c>
      <x:c r="C2475" s="12" t="str">
        <x:v>Business / brand</x:v>
      </x:c>
      <x:c r="D2475" s="12" t="str">
        <x:v>Unresolved</x:v>
      </x:c>
      <x:c r="E2475" s="12" t="str">
        <x:v>Business activity not established</x:v>
      </x:c>
      <x:c r="F2475" s="12" t="str">
        <x:v>Large enterprise</x:v>
      </x:c>
      <x:c r="G2475" s="12" t="str">
        <x:v>Explicit Tata enterprise-family context; see ENTERPRISE_SUPP_006 evidence.</x:v>
      </x:c>
      <x:c r="H2475" s="11" t="n">
        <x:v>15</x:v>
      </x:c>
      <x:c r="I2475" s="11" t="n">
        <x:v>15</x:v>
      </x:c>
      <x:c r="J2475" s="11" t="n">
        <x:v>15</x:v>
      </x:c>
      <x:c r="K2475" s="11" t="n">
        <x:v>0</x:v>
      </x:c>
      <x:c r="L2475" s="17" t="n">
        <x:f>SUM(SUMIFS('Costing'!$P$9:$P$492,'Costing'!$A$9:$A$492,"PARTNER-M002"),SUMIFS('Costing'!$P$9:$P$492,'Costing'!$A$9:$A$492,"PARTNER-M039"))</x:f>
        <x:v>600000</x:v>
      </x:c>
      <x:c r="M2475" s="17" t="n">
        <x:f>ROUND(L2475*'Costing'!$C$4,2)</x:f>
        <x:v>108000</x:v>
      </x:c>
      <x:c r="N2475" s="17" t="n">
        <x:f>L2475+M2475</x:f>
        <x:v>708000</x:v>
      </x:c>
      <x:c r="O2475" s="12" t="str">
        <x:v>Bengaluru</x:v>
      </x:c>
      <x:c r="P2475" s="12" t="str">
        <x:v>CORP-0420, CORP-0421, CORP-0422, CORP-0423, CORP-0424, CORP-0425, CORP-0426, CORP-0427, CORP-0428, CORP-0457, CORP-0458, CORP-0459, CORP-0460, CORP-0461, CORP-0462</x:v>
      </x:c>
      <x:c r="Q2475" s="12" t="str">
        <x:v>Tata</x:v>
      </x:c>
    </x:row>
    <x:row r="2476" ht="48" customHeight="1">
      <x:c r="A2476" s="2" t="str">
        <x:v>TEN-BB9D93D4756A</x:v>
      </x:c>
      <x:c r="B2476" s="12" t="str">
        <x:v>Tata AIA</x:v>
      </x:c>
      <x:c r="C2476" s="12" t="str">
        <x:v>Business / brand</x:v>
      </x:c>
      <x:c r="D2476" s="12" t="str">
        <x:v>Finance &amp; insurance</x:v>
      </x:c>
      <x:c r="E2476" s="12" t="str">
        <x:v>Financial services — specialty unverified</x:v>
      </x:c>
      <x:c r="F2476" s="12" t="str">
        <x:v>Large enterprise</x:v>
      </x:c>
      <x:c r="G2476" s="12" t="str">
        <x:v>Explicit Tata enterprise-family context; see ENTERPRISE_SUPP_006 evidence.</x:v>
      </x:c>
      <x:c r="H2476" s="11" t="n">
        <x:v>1</x:v>
      </x:c>
      <x:c r="I2476" s="11" t="n">
        <x:v>2</x:v>
      </x:c>
      <x:c r="J2476" s="11" t="n">
        <x:v>2</x:v>
      </x:c>
      <x:c r="K2476" s="11" t="n">
        <x:v>0</x:v>
      </x:c>
      <x:c r="L2476" s="17" t="n">
        <x:f>SUM(SUMIFS('Costing'!$P$9:$P$492,'Costing'!$A$9:$A$492,"MAIN-271"))</x:f>
        <x:v>40000</x:v>
      </x:c>
      <x:c r="M2476" s="17" t="n">
        <x:f>ROUND(L2476*'Costing'!$C$4,2)</x:f>
        <x:v>7200</x:v>
      </x:c>
      <x:c r="N2476" s="17" t="n">
        <x:f>L2476+M2476</x:f>
        <x:v>47200</x:v>
      </x:c>
      <x:c r="O2476" s="12" t="str">
        <x:v>Indore</x:v>
      </x:c>
      <x:c r="P2476" s="12" t="str">
        <x:v>CORP-0267</x:v>
      </x:c>
      <x:c r="Q2476" s="12" t="str">
        <x:v>Tata AIA</x:v>
      </x:c>
    </x:row>
    <x:row r="2477" ht="48" customHeight="1">
      <x:c r="A2477" s="2" t="str">
        <x:v>TEN-92968129C75E</x:v>
      </x:c>
      <x:c r="B2477" s="12" t="str">
        <x:v>TATA Asset management services</x:v>
      </x:c>
      <x:c r="C2477" s="12" t="str">
        <x:v>Business / brand</x:v>
      </x:c>
      <x:c r="D2477" s="12" t="str">
        <x:v>Finance &amp; insurance</x:v>
      </x:c>
      <x:c r="E2477" s="12" t="str">
        <x:v>Financial services — specialty unverified</x:v>
      </x:c>
      <x:c r="F2477" s="12" t="str">
        <x:v>Large enterprise</x:v>
      </x:c>
      <x:c r="G2477" s="12" t="str">
        <x:v>Explicit Tata enterprise-family context; see ENTERPRISE_SUPP_006 evidence.</x:v>
      </x:c>
      <x:c r="H2477" s="11" t="n">
        <x:v>1</x:v>
      </x:c>
      <x:c r="I2477" s="11" t="n">
        <x:v>1</x:v>
      </x:c>
      <x:c r="J2477" s="11" t="n">
        <x:v>1</x:v>
      </x:c>
      <x:c r="K2477" s="11" t="n">
        <x:v>0</x:v>
      </x:c>
      <x:c r="L2477" s="17" t="n">
        <x:f>SUM(SUMIFS('Costing'!$P$9:$P$492,'Costing'!$A$9:$A$492,"MAIN-323"))</x:f>
        <x:v>15000</x:v>
      </x:c>
      <x:c r="M2477" s="17" t="n">
        <x:f>ROUND(L2477*'Costing'!$C$4,2)</x:f>
        <x:v>2700</x:v>
      </x:c>
      <x:c r="N2477" s="17" t="n">
        <x:f>L2477+M2477</x:f>
        <x:v>17700</x:v>
      </x:c>
      <x:c r="O2477" s="12" t="str">
        <x:v>Mumbai</x:v>
      </x:c>
      <x:c r="P2477" s="12" t="str">
        <x:v>CORP-0319</x:v>
      </x:c>
      <x:c r="Q2477" s="12" t="str">
        <x:v>TATA Asset management services</x:v>
      </x:c>
    </x:row>
    <x:row r="2478" ht="48" customHeight="1">
      <x:c r="A2478" s="2" t="str">
        <x:v>TEN-0599633AC599</x:v>
      </x:c>
      <x:c r="B2478" s="12" t="str">
        <x:v>TATA Capital</x:v>
      </x:c>
      <x:c r="C2478" s="12" t="str">
        <x:v>Business / brand</x:v>
      </x:c>
      <x:c r="D2478" s="12" t="str">
        <x:v>Finance &amp; insurance</x:v>
      </x:c>
      <x:c r="E2478" s="12" t="str">
        <x:v>Investments, securities &amp; wealth</x:v>
      </x:c>
      <x:c r="F2478" s="12" t="str">
        <x:v>Large enterprise</x:v>
      </x:c>
      <x:c r="G2478" s="12" t="str">
        <x:v>Explicit Tata enterprise-family context; see ENTERPRISE_SUPP_006 evidence.</x:v>
      </x:c>
      <x:c r="H2478" s="11" t="n">
        <x:v>1</x:v>
      </x:c>
      <x:c r="I2478" s="11" t="n">
        <x:v>1</x:v>
      </x:c>
      <x:c r="J2478" s="11" t="n">
        <x:v>1</x:v>
      </x:c>
      <x:c r="K2478" s="11" t="n">
        <x:v>0</x:v>
      </x:c>
      <x:c r="L2478" s="17" t="n">
        <x:f>SUM(SUMIFS('Costing'!$P$9:$P$492,'Costing'!$A$9:$A$492,"MAIN-270"))</x:f>
        <x:v>20000</x:v>
      </x:c>
      <x:c r="M2478" s="17" t="n">
        <x:f>ROUND(L2478*'Costing'!$C$4,2)</x:f>
        <x:v>3600</x:v>
      </x:c>
      <x:c r="N2478" s="17" t="n">
        <x:f>L2478+M2478</x:f>
        <x:v>23600</x:v>
      </x:c>
      <x:c r="O2478" s="12" t="str">
        <x:v>Indore</x:v>
      </x:c>
      <x:c r="P2478" s="12" t="str">
        <x:v>CORP-0266</x:v>
      </x:c>
      <x:c r="Q2478" s="12" t="str">
        <x:v>TATA Capital</x:v>
      </x:c>
    </x:row>
    <x:row r="2479" ht="48" customHeight="1">
      <x:c r="A2479" s="2" t="str">
        <x:v>TEN-5B5245AFFE44</x:v>
      </x:c>
      <x:c r="B2479" s="12" t="str">
        <x:v>Tata Communications</x:v>
      </x:c>
      <x:c r="C2479" s="12" t="str">
        <x:v>Business / brand</x:v>
      </x:c>
      <x:c r="D2479" s="12" t="str">
        <x:v>IT &amp; digital</x:v>
      </x:c>
      <x:c r="E2479" s="12" t="str">
        <x:v>Telecom, networks &amp; connectivity</x:v>
      </x:c>
      <x:c r="F2479" s="12" t="str">
        <x:v>Large enterprise</x:v>
      </x:c>
      <x:c r="G2479" s="12" t="str">
        <x:v>Explicit Tata enterprise-family context; see ENTERPRISE_SUPP_006 evidence.</x:v>
      </x:c>
      <x:c r="H2479" s="11" t="n">
        <x:v>9</x:v>
      </x:c>
      <x:c r="I2479" s="11" t="n">
        <x:v>9</x:v>
      </x:c>
      <x:c r="J2479" s="11" t="n">
        <x:v>9</x:v>
      </x:c>
      <x:c r="K2479" s="11" t="n">
        <x:v>0</x:v>
      </x:c>
      <x:c r="L2479" s="17" t="n">
        <x:f>SUM(SUMIFS('Costing'!$P$9:$P$492,'Costing'!$A$9:$A$492,"PARTNER-M002"))</x:f>
        <x:v>360000</x:v>
      </x:c>
      <x:c r="M2479" s="17" t="n">
        <x:f>ROUND(L2479*'Costing'!$C$4,2)</x:f>
        <x:v>64800</x:v>
      </x:c>
      <x:c r="N2479" s="17" t="n">
        <x:f>L2479+M2479</x:f>
        <x:v>424800</x:v>
      </x:c>
      <x:c r="O2479" s="12" t="str">
        <x:v>Bengaluru</x:v>
      </x:c>
      <x:c r="P2479" s="12" t="str">
        <x:v>CORP-0420, CORP-0421, CORP-0422, CORP-0423, CORP-0424, CORP-0425, CORP-0426, CORP-0427, CORP-0428</x:v>
      </x:c>
      <x:c r="Q2479" s="12" t="str">
        <x:v>Tata Communications</x:v>
      </x:c>
    </x:row>
    <x:row r="2480" ht="75" customHeight="1">
      <x:c r="A2480" s="2" t="str">
        <x:v>TEN-047619AF3AB9</x:v>
      </x:c>
      <x:c r="B2480" s="12" t="str">
        <x:v>TATA Community Initiatives Trust</x:v>
      </x:c>
      <x:c r="C2480" s="12" t="str">
        <x:v>Public / nonprofit</x:v>
      </x:c>
      <x:c r="D2480" s="12" t="str">
        <x:v>Government &amp; nonprofit</x:v>
      </x:c>
      <x:c r="E2480" s="12" t="str">
        <x:v>Public, nonprofit or membership organization</x:v>
      </x:c>
      <x:c r="F2480" s="12" t="str">
        <x:v>Institutional</x:v>
      </x:c>
      <x:c r="G2480" s="12" t="str">
        <x:v>Existing directory identifies an institutional, government, education, membership or nonprofit organisation rather than an ordinary MSME business prospect. This tag describes audience role and does not assert legal tax status.</x:v>
      </x:c>
      <x:c r="H2480" s="11" t="n">
        <x:v>1</x:v>
      </x:c>
      <x:c r="I2480" s="11" t="n">
        <x:v>2</x:v>
      </x:c>
      <x:c r="J2480" s="11" t="n">
        <x:v>2</x:v>
      </x:c>
      <x:c r="K2480" s="11" t="n">
        <x:v>0</x:v>
      </x:c>
      <x:c r="L2480" s="17" t="n">
        <x:f>SUM(SUMIFS('Costing'!$P$9:$P$492,'Costing'!$A$9:$A$492,"MAIN-407"))</x:f>
        <x:v>30000</x:v>
      </x:c>
      <x:c r="M2480" s="17" t="n">
        <x:f>ROUND(L2480*'Costing'!$C$4,2)</x:f>
        <x:v>5400</x:v>
      </x:c>
      <x:c r="N2480" s="17" t="n">
        <x:f>L2480+M2480</x:f>
        <x:v>35400</x:v>
      </x:c>
      <x:c r="O2480" s="12" t="str">
        <x:v>Pune</x:v>
      </x:c>
      <x:c r="P2480" s="12" t="str">
        <x:v>CORP-0403</x:v>
      </x:c>
      <x:c r="Q2480" s="12" t="str">
        <x:v>TATA Community Initiatives Trust</x:v>
      </x:c>
    </x:row>
    <x:row r="2481" ht="101" customHeight="1">
      <x:c r="A2481" s="2" t="str">
        <x:v>TEN-5FA790F3630F</x:v>
      </x:c>
      <x:c r="B2481" s="12" t="str">
        <x:v>Tata Consultancy Services</x:v>
      </x:c>
      <x:c r="C2481" s="12" t="str">
        <x:v>Business / brand</x:v>
      </x:c>
      <x:c r="D2481" s="12" t="str">
        <x:v>IT &amp; digital</x:v>
      </x:c>
      <x:c r="E2481" s="12" t="str">
        <x:v>Technology services — specialty unverified</x:v>
      </x:c>
      <x:c r="F2481" s="12" t="str">
        <x:v>Large enterprise</x:v>
      </x:c>
      <x:c r="G2481" s="12" t="str">
        <x:v>Official profile reports 584K+ employees, 56 countries and over USD30B FY2026 revenue.</x:v>
      </x:c>
      <x:c r="H2481" s="11" t="n">
        <x:v>36</x:v>
      </x:c>
      <x:c r="I2481" s="11" t="n">
        <x:v>44</x:v>
      </x:c>
      <x:c r="J2481" s="11" t="n">
        <x:v>44</x:v>
      </x:c>
      <x:c r="K2481" s="11" t="n">
        <x:v>0</x:v>
      </x:c>
      <x:c r="L2481" s="17" t="n">
        <x:f>SUM(SUMIFS('Costing'!$P$9:$P$492,'Costing'!$A$9:$A$492,"MAIN-126"),SUMIFS('Costing'!$P$9:$P$492,'Costing'!$A$9:$A$492,"MAIN-281"),SUMIFS('Costing'!$P$9:$P$492,'Costing'!$A$9:$A$492,"MAIN-413"),SUMIFS('Costing'!$P$9:$P$492,'Costing'!$A$9:$A$492,"PARTNER-M011"),SUMIFS('Costing'!$P$9:$P$492,'Costing'!$A$9:$A$492,"PARTNER-M002"),SUMIFS('Costing'!$P$9:$P$492,'Costing'!$A$9:$A$492,"PARTNER-M027"),SUMIFS('Costing'!$P$9:$P$492,'Costing'!$A$9:$A$492,"PARTNER-M039"),SUMIFS('Costing'!$P$9:$P$492,'Costing'!$A$9:$A$492,"PARTNER-M300"))</x:f>
        <x:v>1615000</x:v>
      </x:c>
      <x:c r="M2481" s="17" t="n">
        <x:f>ROUND(L2481*'Costing'!$C$4,2)</x:f>
        <x:v>290700</x:v>
      </x:c>
      <x:c r="N2481" s="17" t="n">
        <x:f>L2481+M2481</x:f>
        <x:v>1905700</x:v>
      </x:c>
      <x:c r="O2481" s="12" t="str">
        <x:v>Bengaluru, Kolkata, Pune, Hyderabad</x:v>
      </x:c>
      <x:c r="P2481" s="12" t="str">
        <x:v>CORP-0122, CORP-0277, CORP-0409, CORP-0420, CORP-0421, CORP-0422, CORP-0423, CORP-0424, CORP-0425, CORP-0426, CORP-0427, CORP-0428, CORP-0429, CORP-0430, CORP-0431, CORP-0445, CORP-0446, CORP-0447, CORP-0448, CORP-0449, CORP-0450, CORP-0451, CORP-0457, CORP-0458, CORP-0459, CORP-0460, CORP-0461, CORP-0462, CORP-0715, CORP-0716, CORP-0717, CORP-0718, CORP-0719, CORP-0720, CORP-0721, CORP-0722</x:v>
      </x:c>
      <x:c r="Q2481" s="12" t="str">
        <x:v>Tata Consultancy Services, TCS, TCS Ecospace 1B, Tata Cosultancy, Tat Cosultancy, Tata Consultancy</x:v>
      </x:c>
    </x:row>
    <x:row r="2482" ht="48" customHeight="1">
      <x:c r="A2482" s="2" t="str">
        <x:v>TEN-4F8C19DB697F</x:v>
      </x:c>
      <x:c r="B2482" s="12" t="str">
        <x:v>Tata Consultancy Services Ltd</x:v>
      </x:c>
      <x:c r="C2482" s="12" t="str">
        <x:v>Business / brand</x:v>
      </x:c>
      <x:c r="D2482" s="12" t="str">
        <x:v>IT &amp; digital</x:v>
      </x:c>
      <x:c r="E2482" s="12" t="str">
        <x:v>Technology services — specialty unverified</x:v>
      </x:c>
      <x:c r="F2482" s="12" t="str">
        <x:v>Large enterprise</x:v>
      </x:c>
      <x:c r="G2482" s="12" t="str">
        <x:v>Official profile reports 584K+ employees, 56 countries and over USD30B FY2026 revenue.</x:v>
      </x:c>
      <x:c r="H2482" s="11" t="n">
        <x:v>5</x:v>
      </x:c>
      <x:c r="I2482" s="11" t="n">
        <x:v>5</x:v>
      </x:c>
      <x:c r="J2482" s="11" t="n">
        <x:v>5</x:v>
      </x:c>
      <x:c r="K2482" s="11" t="n">
        <x:v>0</x:v>
      </x:c>
      <x:c r="L2482" s="17" t="n">
        <x:f>SUM(SUMIFS('Costing'!$P$9:$P$492,'Costing'!$A$9:$A$492,"PARTNER-M051"))</x:f>
        <x:v>200000</x:v>
      </x:c>
      <x:c r="M2482" s="17" t="n">
        <x:f>ROUND(L2482*'Costing'!$C$4,2)</x:f>
        <x:v>36000</x:v>
      </x:c>
      <x:c r="N2482" s="17" t="n">
        <x:f>L2482+M2482</x:f>
        <x:v>236000</x:v>
      </x:c>
      <x:c r="O2482" s="12" t="str">
        <x:v>Bengaluru</x:v>
      </x:c>
      <x:c r="P2482" s="12" t="str">
        <x:v>CORP-0469, CORP-0470, CORP-0471, CORP-0472, CORP-0473</x:v>
      </x:c>
      <x:c r="Q2482" s="12" t="str">
        <x:v>Tata Consultancy Services Ltd</x:v>
      </x:c>
    </x:row>
    <x:row r="2483" ht="48" customHeight="1">
      <x:c r="A2483" s="2" t="str">
        <x:v>TEN-954EFE4DFA16</x:v>
      </x:c>
      <x:c r="B2483" s="12" t="str">
        <x:v>Tata Consulting Engineers Limited</x:v>
      </x:c>
      <x:c r="C2483" s="12" t="str">
        <x:v>Business / brand</x:v>
      </x:c>
      <x:c r="D2483" s="12" t="str">
        <x:v>Engineering &amp; manufacturing</x:v>
      </x:c>
      <x:c r="E2483" s="12" t="str">
        <x:v>Engineering, testing &amp; technical services</x:v>
      </x:c>
      <x:c r="F2483" s="12" t="str">
        <x:v>Large enterprise</x:v>
      </x:c>
      <x:c r="G2483" s="12" t="str">
        <x:v>Explicit Tata enterprise-family context; see ENTERPRISE_SUPP_006 evidence.</x:v>
      </x:c>
      <x:c r="H2483" s="11" t="n">
        <x:v>4</x:v>
      </x:c>
      <x:c r="I2483" s="11" t="n">
        <x:v>4</x:v>
      </x:c>
      <x:c r="J2483" s="11" t="n">
        <x:v>4</x:v>
      </x:c>
      <x:c r="K2483" s="11" t="n">
        <x:v>0</x:v>
      </x:c>
      <x:c r="L2483" s="17" t="n">
        <x:f>SUM(SUMIFS('Costing'!$P$9:$P$492,'Costing'!$A$9:$A$492,"PARTNER-M193"))</x:f>
        <x:v>160000</x:v>
      </x:c>
      <x:c r="M2483" s="17" t="n">
        <x:f>ROUND(L2483*'Costing'!$C$4,2)</x:f>
        <x:v>28800</x:v>
      </x:c>
      <x:c r="N2483" s="17" t="n">
        <x:f>L2483+M2483</x:f>
        <x:v>188800</x:v>
      </x:c>
      <x:c r="O2483" s="12" t="str">
        <x:v>Mumbai</x:v>
      </x:c>
      <x:c r="P2483" s="12" t="str">
        <x:v>CORP-0610, CORP-0611, CORP-0612, CORP-0613</x:v>
      </x:c>
      <x:c r="Q2483" s="12" t="str">
        <x:v>Tata Consulting Engineers Limited</x:v>
      </x:c>
    </x:row>
    <x:row r="2484" ht="48" customHeight="1">
      <x:c r="A2484" s="2" t="str">
        <x:v>TEN-B2E697A06F9A</x:v>
      </x:c>
      <x:c r="B2484" s="12" t="str">
        <x:v>Tata Croma</x:v>
      </x:c>
      <x:c r="C2484" s="12" t="str">
        <x:v>Business / brand</x:v>
      </x:c>
      <x:c r="D2484" s="12" t="str">
        <x:v>Trade, consumer &amp; logistics</x:v>
      </x:c>
      <x:c r="E2484" s="12" t="str">
        <x:v>Retail, consumer products &amp; ecommerce</x:v>
      </x:c>
      <x:c r="F2484" s="12" t="str">
        <x:v>Large enterprise</x:v>
      </x:c>
      <x:c r="G2484" s="12" t="str">
        <x:v>Explicit Tata enterprise-family context; see ENTERPRISE_SUPP_006 evidence.</x:v>
      </x:c>
      <x:c r="H2484" s="11" t="n">
        <x:v>1</x:v>
      </x:c>
      <x:c r="I2484" s="11" t="n">
        <x:v>2</x:v>
      </x:c>
      <x:c r="J2484" s="11" t="n">
        <x:v>2</x:v>
      </x:c>
      <x:c r="K2484" s="11" t="n">
        <x:v>0</x:v>
      </x:c>
      <x:c r="L2484" s="17" t="n">
        <x:f>SUM(SUMIFS('Costing'!$P$9:$P$492,'Costing'!$A$9:$A$492,"MAIN-268"))</x:f>
        <x:v>80000</x:v>
      </x:c>
      <x:c r="M2484" s="17" t="n">
        <x:f>ROUND(L2484*'Costing'!$C$4,2)</x:f>
        <x:v>14400</x:v>
      </x:c>
      <x:c r="N2484" s="17" t="n">
        <x:f>L2484+M2484</x:f>
        <x:v>94400</x:v>
      </x:c>
      <x:c r="O2484" s="12" t="str">
        <x:v>Indore</x:v>
      </x:c>
      <x:c r="P2484" s="12" t="str">
        <x:v>CORP-0264</x:v>
      </x:c>
      <x:c r="Q2484" s="12" t="str">
        <x:v>Tata Croma</x:v>
      </x:c>
    </x:row>
    <x:row r="2485" ht="48" customHeight="1">
      <x:c r="A2485" s="2" t="str">
        <x:v>TEN-45D9225952C7</x:v>
      </x:c>
      <x:c r="B2485" s="12" t="str">
        <x:v>TATA elxsi</x:v>
      </x:c>
      <x:c r="C2485" s="12" t="str">
        <x:v>Business / brand</x:v>
      </x:c>
      <x:c r="D2485" s="12" t="str">
        <x:v>IT &amp; digital</x:v>
      </x:c>
      <x:c r="E2485" s="12" t="str">
        <x:v>Technology services — specialty unverified</x:v>
      </x:c>
      <x:c r="F2485" s="12" t="str">
        <x:v>Large enterprise</x:v>
      </x:c>
      <x:c r="G2485" s="12" t="str">
        <x:v>Explicit Tata enterprise-family context; see ENTERPRISE_SUPP_006 evidence.</x:v>
      </x:c>
      <x:c r="H2485" s="11" t="n">
        <x:v>10</x:v>
      </x:c>
      <x:c r="I2485" s="11" t="n">
        <x:v>12</x:v>
      </x:c>
      <x:c r="J2485" s="11" t="n">
        <x:v>12</x:v>
      </x:c>
      <x:c r="K2485" s="11" t="n">
        <x:v>0</x:v>
      </x:c>
      <x:c r="L2485" s="17" t="n">
        <x:f>SUM(SUMIFS('Costing'!$P$9:$P$492,'Costing'!$A$9:$A$492,"MAIN-224"),SUMIFS('Costing'!$P$9:$P$492,'Costing'!$A$9:$A$492,"PARTNER-M252"))</x:f>
        <x:v>405000</x:v>
      </x:c>
      <x:c r="M2485" s="17" t="n">
        <x:f>ROUND(L2485*'Costing'!$C$4,2)</x:f>
        <x:v>72900</x:v>
      </x:c>
      <x:c r="N2485" s="17" t="n">
        <x:f>L2485+M2485</x:f>
        <x:v>477900</x:v>
      </x:c>
      <x:c r="O2485" s="12" t="str">
        <x:v>Hyderabad, Pune</x:v>
      </x:c>
      <x:c r="P2485" s="12" t="str">
        <x:v>CORP-0220, CORP-0668, CORP-0669, CORP-0670, CORP-0671, CORP-0672, CORP-0673, CORP-0674, CORP-0675, CORP-0676</x:v>
      </x:c>
      <x:c r="Q2485" s="12" t="str">
        <x:v>TATA elxsi, Tata Elxsi</x:v>
      </x:c>
    </x:row>
    <x:row r="2486" ht="48" customHeight="1">
      <x:c r="A2486" s="2" t="str">
        <x:v>TEN-8409366CFBB2</x:v>
      </x:c>
      <x:c r="B2486" s="12" t="str">
        <x:v>Tata Elxsi Limited</x:v>
      </x:c>
      <x:c r="C2486" s="12" t="str">
        <x:v>Business / brand</x:v>
      </x:c>
      <x:c r="D2486" s="12" t="str">
        <x:v>IT &amp; digital</x:v>
      </x:c>
      <x:c r="E2486" s="12" t="str">
        <x:v>Technology services — specialty unverified</x:v>
      </x:c>
      <x:c r="F2486" s="12" t="str">
        <x:v>Large enterprise</x:v>
      </x:c>
      <x:c r="G2486" s="12" t="str">
        <x:v>Explicit Tata enterprise-family context; see ENTERPRISE_SUPP_006 evidence.</x:v>
      </x:c>
      <x:c r="H2486" s="11" t="n">
        <x:v>8</x:v>
      </x:c>
      <x:c r="I2486" s="11" t="n">
        <x:v>9</x:v>
      </x:c>
      <x:c r="J2486" s="11" t="n">
        <x:v>9</x:v>
      </x:c>
      <x:c r="K2486" s="11" t="n">
        <x:v>0</x:v>
      </x:c>
      <x:c r="L2486" s="17" t="n">
        <x:f>SUM(SUMIFS('Costing'!$P$9:$P$492,'Costing'!$A$9:$A$492,"MAIN-017"),SUMIFS('Costing'!$P$9:$P$492,'Costing'!$A$9:$A$492,"PARTNER-M027"))</x:f>
        <x:v>310000</x:v>
      </x:c>
      <x:c r="M2486" s="17" t="n">
        <x:f>ROUND(L2486*'Costing'!$C$4,2)</x:f>
        <x:v>55800</x:v>
      </x:c>
      <x:c r="N2486" s="17" t="n">
        <x:f>L2486+M2486</x:f>
        <x:v>365800</x:v>
      </x:c>
      <x:c r="O2486" s="12" t="str">
        <x:v>Bengaluru</x:v>
      </x:c>
      <x:c r="P2486" s="12" t="str">
        <x:v>CORP-0013, CORP-0445, CORP-0446, CORP-0447, CORP-0448, CORP-0449, CORP-0450, CORP-0451</x:v>
      </x:c>
      <x:c r="Q2486" s="12" t="str">
        <x:v>Tata Elxsi Limited</x:v>
      </x:c>
    </x:row>
    <x:row r="2487" ht="48" customHeight="1">
      <x:c r="A2487" s="2" t="str">
        <x:v>TEN-EFC1A00D0AE7</x:v>
      </x:c>
      <x:c r="B2487" s="12" t="str">
        <x:v>TATA Hitachi</x:v>
      </x:c>
      <x:c r="C2487" s="12" t="str">
        <x:v>Business / brand</x:v>
      </x:c>
      <x:c r="D2487" s="12" t="str">
        <x:v>Engineering &amp; manufacturing</x:v>
      </x:c>
      <x:c r="E2487" s="12" t="str">
        <x:v>Engineering/manufacturing — specialty unverified</x:v>
      </x:c>
      <x:c r="F2487" s="12" t="str">
        <x:v>Large enterprise</x:v>
      </x:c>
      <x:c r="G2487" s="12" t="str">
        <x:v>Explicit Tata enterprise-family context; see ENTERPRISE_SUPP_006 evidence.</x:v>
      </x:c>
      <x:c r="H2487" s="11" t="n">
        <x:v>1</x:v>
      </x:c>
      <x:c r="I2487" s="11" t="n">
        <x:v>1</x:v>
      </x:c>
      <x:c r="J2487" s="11" t="n">
        <x:v>1</x:v>
      </x:c>
      <x:c r="K2487" s="11" t="n">
        <x:v>0</x:v>
      </x:c>
      <x:c r="L2487" s="17" t="n">
        <x:f>SUM(SUMIFS('Costing'!$P$9:$P$492,'Costing'!$A$9:$A$492,"MAIN-272"))</x:f>
        <x:v>20000</x:v>
      </x:c>
      <x:c r="M2487" s="17" t="n">
        <x:f>ROUND(L2487*'Costing'!$C$4,2)</x:f>
        <x:v>3600</x:v>
      </x:c>
      <x:c r="N2487" s="17" t="n">
        <x:f>L2487+M2487</x:f>
        <x:v>23600</x:v>
      </x:c>
      <x:c r="O2487" s="12" t="str">
        <x:v>Indore</x:v>
      </x:c>
      <x:c r="P2487" s="12" t="str">
        <x:v>CORP-0268</x:v>
      </x:c>
      <x:c r="Q2487" s="12" t="str">
        <x:v>TATA Hitachi</x:v>
      </x:c>
    </x:row>
    <x:row r="2488" ht="48" customHeight="1">
      <x:c r="A2488" s="2" t="str">
        <x:v>TEN-1A400B0DD288</x:v>
      </x:c>
      <x:c r="B2488" s="12" t="str">
        <x:v>TATA Medicals</x:v>
      </x:c>
      <x:c r="C2488" s="12" t="str">
        <x:v>Business / brand</x:v>
      </x:c>
      <x:c r="D2488" s="12" t="str">
        <x:v>Healthcare &amp; life sciences</x:v>
      </x:c>
      <x:c r="E2488" s="12" t="str">
        <x:v>Clinical, medical &amp; diagnostic services</x:v>
      </x:c>
      <x:c r="F2488" s="12" t="str">
        <x:v>Mixed business audience</x:v>
      </x:c>
      <x:c r="G2488" s="12" t="str">
        <x:v>Established brand or business network; local company scale is not established. Use a mixed-business message.</x:v>
      </x:c>
      <x:c r="H2488" s="11" t="n">
        <x:v>1</x:v>
      </x:c>
      <x:c r="I2488" s="11" t="n">
        <x:v>1</x:v>
      </x:c>
      <x:c r="J2488" s="11" t="n">
        <x:v>1</x:v>
      </x:c>
      <x:c r="K2488" s="11" t="n">
        <x:v>0</x:v>
      </x:c>
      <x:c r="L2488" s="17" t="n">
        <x:f>SUM(SUMIFS('Costing'!$P$9:$P$492,'Costing'!$A$9:$A$492,"MAIN-323"))</x:f>
        <x:v>15000</x:v>
      </x:c>
      <x:c r="M2488" s="17" t="n">
        <x:f>ROUND(L2488*'Costing'!$C$4,2)</x:f>
        <x:v>2700</x:v>
      </x:c>
      <x:c r="N2488" s="17" t="n">
        <x:f>L2488+M2488</x:f>
        <x:v>17700</x:v>
      </x:c>
      <x:c r="O2488" s="12" t="str">
        <x:v>Mumbai</x:v>
      </x:c>
      <x:c r="P2488" s="12" t="str">
        <x:v>CORP-0319</x:v>
      </x:c>
      <x:c r="Q2488" s="12" t="str">
        <x:v>TATA Medicals</x:v>
      </x:c>
    </x:row>
    <x:row r="2489" ht="48" customHeight="1">
      <x:c r="A2489" s="2" t="str">
        <x:v>TEN-9EC50CBFF08B</x:v>
      </x:c>
      <x:c r="B2489" s="12" t="str">
        <x:v>TATA Play</x:v>
      </x:c>
      <x:c r="C2489" s="12" t="str">
        <x:v>Business / brand</x:v>
      </x:c>
      <x:c r="D2489" s="12" t="str">
        <x:v>IT &amp; digital</x:v>
      </x:c>
      <x:c r="E2489" s="12" t="str">
        <x:v>Telecom, networks &amp; connectivity</x:v>
      </x:c>
      <x:c r="F2489" s="12" t="str">
        <x:v>Large enterprise</x:v>
      </x:c>
      <x:c r="G2489" s="12" t="str">
        <x:v>Explicit Tata enterprise-family context; see ENTERPRISE_SUPP_006 evidence.</x:v>
      </x:c>
      <x:c r="H2489" s="11" t="n">
        <x:v>1</x:v>
      </x:c>
      <x:c r="I2489" s="11" t="n">
        <x:v>1</x:v>
      </x:c>
      <x:c r="J2489" s="11" t="n">
        <x:v>1</x:v>
      </x:c>
      <x:c r="K2489" s="11" t="n">
        <x:v>0</x:v>
      </x:c>
      <x:c r="L2489" s="17" t="n">
        <x:f>SUM(SUMIFS('Costing'!$P$9:$P$492,'Costing'!$A$9:$A$492,"MAIN-274"))</x:f>
        <x:v>40000</x:v>
      </x:c>
      <x:c r="M2489" s="17" t="n">
        <x:f>ROUND(L2489*'Costing'!$C$4,2)</x:f>
        <x:v>7200</x:v>
      </x:c>
      <x:c r="N2489" s="17" t="n">
        <x:f>L2489+M2489</x:f>
        <x:v>47200</x:v>
      </x:c>
      <x:c r="O2489" s="12" t="str">
        <x:v>Indore</x:v>
      </x:c>
      <x:c r="P2489" s="12" t="str">
        <x:v>CORP-0270</x:v>
      </x:c>
      <x:c r="Q2489" s="12" t="str">
        <x:v>TATA Play</x:v>
      </x:c>
    </x:row>
    <x:row r="2490" ht="48" customHeight="1">
      <x:c r="A2490" s="2" t="str">
        <x:v>TEN-6F61DB52A98D</x:v>
      </x:c>
      <x:c r="B2490" s="12" t="str">
        <x:v>Tata STRIVE Skill Development Centre</x:v>
      </x:c>
      <x:c r="C2490" s="12" t="str">
        <x:v>Business / brand</x:v>
      </x:c>
      <x:c r="D2490" s="12" t="str">
        <x:v>Education</x:v>
      </x:c>
      <x:c r="E2490" s="12" t="str">
        <x:v>Education, training &amp; childcare</x:v>
      </x:c>
      <x:c r="F2490" s="12" t="str">
        <x:v>Mixed business audience</x:v>
      </x:c>
      <x:c r="G2490" s="12" t="str">
        <x:v>Established brand or business network; local company scale is not established. Use a mixed-business message.</x:v>
      </x:c>
      <x:c r="H2490" s="11" t="n">
        <x:v>1</x:v>
      </x:c>
      <x:c r="I2490" s="11" t="n">
        <x:v>2</x:v>
      </x:c>
      <x:c r="J2490" s="11" t="n">
        <x:v>2</x:v>
      </x:c>
      <x:c r="K2490" s="11" t="n">
        <x:v>0</x:v>
      </x:c>
      <x:c r="L2490" s="17" t="n">
        <x:f>SUM(SUMIFS('Costing'!$P$9:$P$492,'Costing'!$A$9:$A$492,"MAIN-242"))</x:f>
        <x:v>30000</x:v>
      </x:c>
      <x:c r="M2490" s="17" t="n">
        <x:f>ROUND(L2490*'Costing'!$C$4,2)</x:f>
        <x:v>5400</x:v>
      </x:c>
      <x:c r="N2490" s="17" t="n">
        <x:f>L2490+M2490</x:f>
        <x:v>35400</x:v>
      </x:c>
      <x:c r="O2490" s="12" t="str">
        <x:v>Hyderabad</x:v>
      </x:c>
      <x:c r="P2490" s="12" t="str">
        <x:v>CORP-0238</x:v>
      </x:c>
      <x:c r="Q2490" s="12" t="str">
        <x:v>Tata STRIVE Skill Development Centre</x:v>
      </x:c>
    </x:row>
    <x:row r="2491" ht="48" customHeight="1">
      <x:c r="A2491" s="2" t="str">
        <x:v>TEN-C60ACB58F3DA</x:v>
      </x:c>
      <x:c r="B2491" s="12" t="str">
        <x:v>Tata Teleservices Limited (TTSL Chennai)</x:v>
      </x:c>
      <x:c r="C2491" s="12" t="str">
        <x:v>Business / brand</x:v>
      </x:c>
      <x:c r="D2491" s="12" t="str">
        <x:v>IT &amp; digital</x:v>
      </x:c>
      <x:c r="E2491" s="12" t="str">
        <x:v>Telecom, networks &amp; connectivity</x:v>
      </x:c>
      <x:c r="F2491" s="12" t="str">
        <x:v>Large enterprise</x:v>
      </x:c>
      <x:c r="G2491" s="12" t="str">
        <x:v>Explicit Tata enterprise-family context; see ENTERPRISE_SUPP_006 evidence.</x:v>
      </x:c>
      <x:c r="H2491" s="11" t="n">
        <x:v>5</x:v>
      </x:c>
      <x:c r="I2491" s="11" t="n">
        <x:v>5</x:v>
      </x:c>
      <x:c r="J2491" s="11" t="n">
        <x:v>5</x:v>
      </x:c>
      <x:c r="K2491" s="11" t="n">
        <x:v>0</x:v>
      </x:c>
      <x:c r="L2491" s="17" t="n">
        <x:f>SUM(SUMIFS('Costing'!$P$9:$P$492,'Costing'!$A$9:$A$492,"PARTNER-M342"))</x:f>
        <x:v>200000</x:v>
      </x:c>
      <x:c r="M2491" s="17" t="n">
        <x:f>ROUND(L2491*'Costing'!$C$4,2)</x:f>
        <x:v>36000</x:v>
      </x:c>
      <x:c r="N2491" s="17" t="n">
        <x:f>L2491+M2491</x:f>
        <x:v>236000</x:v>
      </x:c>
      <x:c r="O2491" s="12" t="str">
        <x:v>Chennai</x:v>
      </x:c>
      <x:c r="P2491" s="12" t="str">
        <x:v>CORP-0756, CORP-0757, CORP-0758, CORP-0759, CORP-0760</x:v>
      </x:c>
      <x:c r="Q2491" s="12" t="str">
        <x:v>Tata Teleservices Limited (TTSL Chennai)</x:v>
      </x:c>
    </x:row>
    <x:row r="2492" ht="48" customHeight="1">
      <x:c r="A2492" s="2" t="str">
        <x:v>TEN-23491BCF607A</x:v>
      </x:c>
      <x:c r="B2492" s="12" t="str">
        <x:v>TATWA INFOCOM PRIVATE LIMITED</x:v>
      </x:c>
      <x:c r="C2492" s="12" t="str">
        <x:v>Business / brand</x:v>
      </x:c>
      <x:c r="D2492" s="12" t="str">
        <x:v>IT &amp; digital</x:v>
      </x:c>
      <x:c r="E2492" s="12" t="str">
        <x:v>Enterprise software &amp; digital engineering</x:v>
      </x:c>
      <x:c r="F2492" s="12" t="str">
        <x:v>Small-scale prospects</x:v>
      </x:c>
      <x:c r="G2492" s="12" t="str">
        <x:v>Software or technology-services business; small-scale prospect assumption.</x:v>
      </x:c>
      <x:c r="H2492" s="11" t="n">
        <x:v>1</x:v>
      </x:c>
      <x:c r="I2492" s="11" t="n">
        <x:v>3</x:v>
      </x:c>
      <x:c r="J2492" s="11" t="n">
        <x:v>3</x:v>
      </x:c>
      <x:c r="K2492" s="11" t="n">
        <x:v>0</x:v>
      </x:c>
      <x:c r="L2492" s="17" t="n">
        <x:f>SUM(SUMIFS('Costing'!$P$9:$P$492,'Costing'!$A$9:$A$492,"MAIN-255"))</x:f>
        <x:v>45000</x:v>
      </x:c>
      <x:c r="M2492" s="17" t="n">
        <x:f>ROUND(L2492*'Costing'!$C$4,2)</x:f>
        <x:v>8100</x:v>
      </x:c>
      <x:c r="N2492" s="17" t="n">
        <x:f>L2492+M2492</x:f>
        <x:v>53100</x:v>
      </x:c>
      <x:c r="O2492" s="12" t="str">
        <x:v>Hyderabad</x:v>
      </x:c>
      <x:c r="P2492" s="12" t="str">
        <x:v>CORP-0251</x:v>
      </x:c>
      <x:c r="Q2492" s="12" t="str">
        <x:v>TATWA INFOCOM PRIVATE LIMITED</x:v>
      </x:c>
    </x:row>
    <x:row r="2493" ht="48" customHeight="1">
      <x:c r="A2493" s="2" t="str">
        <x:v>TEN-18DD81D8F636</x:v>
      </x:c>
      <x:c r="B2493" s="12" t="str">
        <x:v>Taza Pay</x:v>
      </x:c>
      <x:c r="C2493" s="12" t="str">
        <x:v>Business / brand</x:v>
      </x:c>
      <x:c r="D2493" s="12" t="str">
        <x:v>Unresolved</x:v>
      </x:c>
      <x:c r="E2493" s="12" t="str">
        <x:v>Business activity not established</x:v>
      </x:c>
      <x:c r="F2493" s="12" t="str">
        <x:v>Mixed business audience</x:v>
      </x:c>
      <x:c r="G2493" s="12" t="str">
        <x:v>Business activity and company scale are not established from this name.</x:v>
      </x:c>
      <x:c r="H2493" s="11" t="n">
        <x:v>1</x:v>
      </x:c>
      <x:c r="I2493" s="11" t="n">
        <x:v>2</x:v>
      </x:c>
      <x:c r="J2493" s="11" t="n">
        <x:v>2</x:v>
      </x:c>
      <x:c r="K2493" s="11" t="n">
        <x:v>0</x:v>
      </x:c>
      <x:c r="L2493" s="17" t="n">
        <x:f>SUM(SUMIFS('Costing'!$P$9:$P$492,'Costing'!$A$9:$A$492,"MAIN-152"))</x:f>
        <x:v>40000</x:v>
      </x:c>
      <x:c r="M2493" s="17" t="n">
        <x:f>ROUND(L2493*'Costing'!$C$4,2)</x:f>
        <x:v>7200</x:v>
      </x:c>
      <x:c r="N2493" s="17" t="n">
        <x:f>L2493+M2493</x:f>
        <x:v>47200</x:v>
      </x:c>
      <x:c r="O2493" s="12" t="str">
        <x:v>Chennai</x:v>
      </x:c>
      <x:c r="P2493" s="12" t="str">
        <x:v>CORP-0148</x:v>
      </x:c>
      <x:c r="Q2493" s="12" t="str">
        <x:v>Taza Pay</x:v>
      </x:c>
    </x:row>
    <x:row r="2494" ht="48" customHeight="1">
      <x:c r="A2494" s="2" t="str">
        <x:v>TEN-9C8100FC00FA</x:v>
      </x:c>
      <x:c r="B2494" s="12" t="str">
        <x:v>TBWA\India</x:v>
      </x:c>
      <x:c r="C2494" s="12" t="str">
        <x:v>Business / brand</x:v>
      </x:c>
      <x:c r="D2494" s="12" t="str">
        <x:v>Professional services</x:v>
      </x:c>
      <x:c r="E2494" s="12" t="str">
        <x:v>Research, marketing &amp; professional services</x:v>
      </x:c>
      <x:c r="F2494" s="12" t="str">
        <x:v>Mixed business audience</x:v>
      </x:c>
      <x:c r="G2494" s="12" t="str">
        <x:v>Established brand or business network; local company scale is not established. Use a mixed-business message.</x:v>
      </x:c>
      <x:c r="H2494" s="11" t="n">
        <x:v>5</x:v>
      </x:c>
      <x:c r="I2494" s="11" t="n">
        <x:v>5</x:v>
      </x:c>
      <x:c r="J2494" s="11" t="n">
        <x:v>5</x:v>
      </x:c>
      <x:c r="K2494" s="11" t="n">
        <x:v>0</x:v>
      </x:c>
      <x:c r="L2494" s="17" t="n">
        <x:f>SUM(SUMIFS('Costing'!$P$9:$P$492,'Costing'!$A$9:$A$492,"PARTNER-M034"))</x:f>
        <x:v>200000</x:v>
      </x:c>
      <x:c r="M2494" s="17" t="n">
        <x:f>ROUND(L2494*'Costing'!$C$4,2)</x:f>
        <x:v>36000</x:v>
      </x:c>
      <x:c r="N2494" s="17" t="n">
        <x:f>L2494+M2494</x:f>
        <x:v>236000</x:v>
      </x:c>
      <x:c r="O2494" s="12" t="str">
        <x:v>Bengaluru</x:v>
      </x:c>
      <x:c r="P2494" s="12" t="str">
        <x:v>CORP-0452, CORP-0453, CORP-0454, CORP-0455, CORP-0456</x:v>
      </x:c>
      <x:c r="Q2494" s="12" t="str">
        <x:v>TBWA\India</x:v>
      </x:c>
    </x:row>
    <x:row r="2495" ht="48" customHeight="1">
      <x:c r="A2495" s="2" t="str">
        <x:v>TEN-EE841894B95B</x:v>
      </x:c>
      <x:c r="B2495" s="12" t="str">
        <x:v>Tea Post</x:v>
      </x:c>
      <x:c r="C2495" s="12" t="str">
        <x:v>Business / brand</x:v>
      </x:c>
      <x:c r="D2495" s="12" t="str">
        <x:v>Trade, consumer &amp; logistics</x:v>
      </x:c>
      <x:c r="E2495" s="12" t="str">
        <x:v>Travel, hospitality, food &amp; beverages</x:v>
      </x:c>
      <x:c r="F2495" s="12" t="str">
        <x:v>Mixed business audience</x:v>
      </x:c>
      <x:c r="G2495" s="12" t="str">
        <x:v>Established brand or business network; local company scale is not established. Use a mixed-business message.</x:v>
      </x:c>
      <x:c r="H2495" s="11" t="n">
        <x:v>1</x:v>
      </x:c>
      <x:c r="I2495" s="11" t="n">
        <x:v>2</x:v>
      </x:c>
      <x:c r="J2495" s="11" t="n">
        <x:v>2</x:v>
      </x:c>
      <x:c r="K2495" s="11" t="n">
        <x:v>0</x:v>
      </x:c>
      <x:c r="L2495" s="17" t="n">
        <x:f>SUM(SUMIFS('Costing'!$P$9:$P$492,'Costing'!$A$9:$A$492,"MAIN-413"))</x:f>
        <x:v>80000</x:v>
      </x:c>
      <x:c r="M2495" s="17" t="n">
        <x:f>ROUND(L2495*'Costing'!$C$4,2)</x:f>
        <x:v>14400</x:v>
      </x:c>
      <x:c r="N2495" s="17" t="n">
        <x:f>L2495+M2495</x:f>
        <x:v>94400</x:v>
      </x:c>
      <x:c r="O2495" s="12" t="str">
        <x:v>Pune</x:v>
      </x:c>
      <x:c r="P2495" s="12" t="str">
        <x:v>CORP-0409</x:v>
      </x:c>
      <x:c r="Q2495" s="12" t="str">
        <x:v>Tea Post</x:v>
      </x:c>
    </x:row>
    <x:row r="2496" ht="48" customHeight="1">
      <x:c r="A2496" s="2" t="str">
        <x:v>TEN-BDCF2FEA9EB0</x:v>
      </x:c>
      <x:c r="B2496" s="12" t="str">
        <x:v>Teachmile</x:v>
      </x:c>
      <x:c r="C2496" s="12" t="str">
        <x:v>Business / brand</x:v>
      </x:c>
      <x:c r="D2496" s="12" t="str">
        <x:v>Education</x:v>
      </x:c>
      <x:c r="E2496" s="12" t="str">
        <x:v>Education, training &amp; childcare</x:v>
      </x:c>
      <x:c r="F2496" s="12" t="str">
        <x:v>Small-scale prospects</x:v>
      </x:c>
      <x:c r="G2496" s="12" t="str">
        <x:v>Training or education-services business; small-scale prospect assumption.</x:v>
      </x:c>
      <x:c r="H2496" s="11" t="n">
        <x:v>1</x:v>
      </x:c>
      <x:c r="I2496" s="11" t="n">
        <x:v>2</x:v>
      </x:c>
      <x:c r="J2496" s="11" t="n">
        <x:v>2</x:v>
      </x:c>
      <x:c r="K2496" s="11" t="n">
        <x:v>0</x:v>
      </x:c>
      <x:c r="L2496" s="17" t="n">
        <x:f>SUM(SUMIFS('Costing'!$P$9:$P$492,'Costing'!$A$9:$A$492,"MAIN-031"))</x:f>
        <x:v>30000</x:v>
      </x:c>
      <x:c r="M2496" s="17" t="n">
        <x:f>ROUND(L2496*'Costing'!$C$4,2)</x:f>
        <x:v>5400</x:v>
      </x:c>
      <x:c r="N2496" s="17" t="n">
        <x:f>L2496+M2496</x:f>
        <x:v>35400</x:v>
      </x:c>
      <x:c r="O2496" s="12" t="str">
        <x:v>Bengaluru</x:v>
      </x:c>
      <x:c r="P2496" s="12" t="str">
        <x:v>CORP-0027</x:v>
      </x:c>
      <x:c r="Q2496" s="12" t="str">
        <x:v>Teachmile</x:v>
      </x:c>
    </x:row>
    <x:row r="2497" ht="88" customHeight="1">
      <x:c r="A2497" s="2" t="str">
        <x:v>TEN-63A06480467E</x:v>
      </x:c>
      <x:c r="B2497" s="12" t="str">
        <x:v>Teamlease edtech ltd</x:v>
      </x:c>
      <x:c r="C2497" s="12" t="str">
        <x:v>Business / brand</x:v>
      </x:c>
      <x:c r="D2497" s="12" t="str">
        <x:v>Education</x:v>
      </x:c>
      <x:c r="E2497" s="12" t="str">
        <x:v>Education, training &amp; childcare</x:v>
      </x:c>
      <x:c r="F2497" s="12" t="str">
        <x:v>Large enterprise</x:v>
      </x:c>
      <x:c r="G2497" s="12" t="str">
        <x:v>The official profile identifies TeamLease EdTech as a TeamLease Services group company with a national higher-education and corporate learning network. Group membership and delivery footprint support enterprise-group audience context, despite the specialised education business model.</x:v>
      </x:c>
      <x:c r="H2497" s="11" t="n">
        <x:v>1</x:v>
      </x:c>
      <x:c r="I2497" s="11" t="n">
        <x:v>39</x:v>
      </x:c>
      <x:c r="J2497" s="11" t="n">
        <x:v>39</x:v>
      </x:c>
      <x:c r="K2497" s="11" t="n">
        <x:v>0</x:v>
      </x:c>
      <x:c r="L2497" s="17" t="n">
        <x:f>SUM(SUMIFS('Costing'!$P$9:$P$492,'Costing'!$A$9:$A$492,"MAIN-351"))</x:f>
        <x:v>585000</x:v>
      </x:c>
      <x:c r="M2497" s="17" t="n">
        <x:f>ROUND(L2497*'Costing'!$C$4,2)</x:f>
        <x:v>105300</x:v>
      </x:c>
      <x:c r="N2497" s="17" t="n">
        <x:f>L2497+M2497</x:f>
        <x:v>690300</x:v>
      </x:c>
      <x:c r="O2497" s="12" t="str">
        <x:v>Mumbai</x:v>
      </x:c>
      <x:c r="P2497" s="12" t="str">
        <x:v>CORP-0347</x:v>
      </x:c>
      <x:c r="Q2497" s="12" t="str">
        <x:v>Teamlease edtech ltd</x:v>
      </x:c>
    </x:row>
    <x:row r="2498" ht="48" customHeight="1">
      <x:c r="A2498" s="2" t="str">
        <x:v>TEN-7BE11149A114</x:v>
      </x:c>
      <x:c r="B2498" s="12" t="str">
        <x:v>tech connect</x:v>
      </x:c>
      <x:c r="C2498" s="12" t="str">
        <x:v>Business / brand</x:v>
      </x:c>
      <x:c r="D2498" s="12" t="str">
        <x:v>Unresolved</x:v>
      </x:c>
      <x:c r="E2498" s="12" t="str">
        <x:v>Business activity not established</x:v>
      </x:c>
      <x:c r="F2498" s="12" t="str">
        <x:v>Mixed business audience</x:v>
      </x:c>
      <x:c r="G2498" s="12" t="str">
        <x:v>Business activity and company scale are not established from this name.</x:v>
      </x:c>
      <x:c r="H2498" s="11" t="n">
        <x:v>3</x:v>
      </x:c>
      <x:c r="I2498" s="11" t="n">
        <x:v>7</x:v>
      </x:c>
      <x:c r="J2498" s="11" t="n">
        <x:v>7</x:v>
      </x:c>
      <x:c r="K2498" s="11" t="n">
        <x:v>0</x:v>
      </x:c>
      <x:c r="L2498" s="17" t="n">
        <x:f>SUM(SUMIFS('Costing'!$P$9:$P$492,'Costing'!$A$9:$A$492,"MAIN-163"),SUMIFS('Costing'!$P$9:$P$492,'Costing'!$A$9:$A$492,"MAIN-164"),SUMIFS('Costing'!$P$9:$P$492,'Costing'!$A$9:$A$492,"MAIN-180"))</x:f>
        <x:v>105000</x:v>
      </x:c>
      <x:c r="M2498" s="17" t="n">
        <x:f>ROUND(L2498*'Costing'!$C$4,2)</x:f>
        <x:v>18900</x:v>
      </x:c>
      <x:c r="N2498" s="17" t="n">
        <x:f>L2498+M2498</x:f>
        <x:v>123900</x:v>
      </x:c>
      <x:c r="O2498" s="12" t="str">
        <x:v>Delhi NCR</x:v>
      </x:c>
      <x:c r="P2498" s="12" t="str">
        <x:v>CORP-0159, CORP-0160, CORP-0176</x:v>
      </x:c>
      <x:c r="Q2498" s="12" t="str">
        <x:v>tech connect</x:v>
      </x:c>
    </x:row>
    <x:row r="2499" ht="62" customHeight="1">
      <x:c r="A2499" s="2" t="str">
        <x:v>TEN-D72EAD2E3D44</x:v>
      </x:c>
      <x:c r="B2499" s="12" t="str">
        <x:v>Tech Mahindra</x:v>
      </x:c>
      <x:c r="C2499" s="12" t="str">
        <x:v>Business / brand</x:v>
      </x:c>
      <x:c r="D2499" s="12" t="str">
        <x:v>IT &amp; digital</x:v>
      </x:c>
      <x:c r="E2499" s="12" t="str">
        <x:v>Technology services — specialty unverified</x:v>
      </x:c>
      <x:c r="F2499" s="12" t="str">
        <x:v>Large enterprise</x:v>
      </x:c>
      <x:c r="G2499" s="12" t="str">
        <x:v>The official profile reports more than 146,000 professionals across 90 countries and identifies Tech Mahindra as a Mahindra Group company. This supports enterprise-scale technology-services context.</x:v>
      </x:c>
      <x:c r="H2499" s="11" t="n">
        <x:v>13</x:v>
      </x:c>
      <x:c r="I2499" s="11" t="n">
        <x:v>13</x:v>
      </x:c>
      <x:c r="J2499" s="11" t="n">
        <x:v>13</x:v>
      </x:c>
      <x:c r="K2499" s="11" t="n">
        <x:v>0</x:v>
      </x:c>
      <x:c r="L2499" s="17" t="n">
        <x:f>SUM(SUMIFS('Costing'!$P$9:$P$492,'Costing'!$A$9:$A$492,"PARTNER-M002"),SUMIFS('Costing'!$P$9:$P$492,'Costing'!$A$9:$A$492,"PARTNER-M193"))</x:f>
        <x:v>520000</x:v>
      </x:c>
      <x:c r="M2499" s="17" t="n">
        <x:f>ROUND(L2499*'Costing'!$C$4,2)</x:f>
        <x:v>93600</x:v>
      </x:c>
      <x:c r="N2499" s="17" t="n">
        <x:f>L2499+M2499</x:f>
        <x:v>613600</x:v>
      </x:c>
      <x:c r="O2499" s="12" t="str">
        <x:v>Bengaluru, Mumbai</x:v>
      </x:c>
      <x:c r="P2499" s="12" t="str">
        <x:v>CORP-0420, CORP-0421, CORP-0422, CORP-0423, CORP-0424, CORP-0425, CORP-0426, CORP-0427, CORP-0428, CORP-0610, CORP-0611, CORP-0612, CORP-0613</x:v>
      </x:c>
      <x:c r="Q2499" s="12" t="str">
        <x:v>Tech Mahindra</x:v>
      </x:c>
    </x:row>
    <x:row r="2500" ht="48" customHeight="1">
      <x:c r="A2500" s="2" t="str">
        <x:v>TEN-65A886E0457A</x:v>
      </x:c>
      <x:c r="B2500" s="12" t="str">
        <x:v>Tech Mahindra Pvt ltd</x:v>
      </x:c>
      <x:c r="C2500" s="12" t="str">
        <x:v>Business / brand</x:v>
      </x:c>
      <x:c r="D2500" s="12" t="str">
        <x:v>IT &amp; digital</x:v>
      </x:c>
      <x:c r="E2500" s="12" t="str">
        <x:v>Technology services — specialty unverified</x:v>
      </x:c>
      <x:c r="F2500" s="12" t="str">
        <x:v>Large enterprise</x:v>
      </x:c>
      <x:c r="G2500" s="12" t="str">
        <x:v>Explicit Mahindra enterprise-family context; see ENTERPRISE_SUPP_024 evidence.</x:v>
      </x:c>
      <x:c r="H2500" s="11" t="n">
        <x:v>4</x:v>
      </x:c>
      <x:c r="I2500" s="11" t="n">
        <x:v>4</x:v>
      </x:c>
      <x:c r="J2500" s="11" t="n">
        <x:v>4</x:v>
      </x:c>
      <x:c r="K2500" s="11" t="n">
        <x:v>0</x:v>
      </x:c>
      <x:c r="L2500" s="17" t="n">
        <x:f>SUM(SUMIFS('Costing'!$P$9:$P$492,'Costing'!$A$9:$A$492,"PARTNER-M197"))</x:f>
        <x:v>160000</x:v>
      </x:c>
      <x:c r="M2500" s="17" t="n">
        <x:f>ROUND(L2500*'Costing'!$C$4,2)</x:f>
        <x:v>28800</x:v>
      </x:c>
      <x:c r="N2500" s="17" t="n">
        <x:f>L2500+M2500</x:f>
        <x:v>188800</x:v>
      </x:c>
      <x:c r="O2500" s="12" t="str">
        <x:v>Mumbai</x:v>
      </x:c>
      <x:c r="P2500" s="12" t="str">
        <x:v>CORP-0614, CORP-0615, CORP-0616, CORP-0617</x:v>
      </x:c>
      <x:c r="Q2500" s="12" t="str">
        <x:v>Tech Mahindra Pvt ltd</x:v>
      </x:c>
    </x:row>
    <x:row r="2501" ht="48" customHeight="1">
      <x:c r="A2501" s="2" t="str">
        <x:v>TEN-3333361BCCFC</x:v>
      </x:c>
      <x:c r="B2501" s="12" t="str">
        <x:v>Tech4billion Media Pvt Ltd</x:v>
      </x:c>
      <x:c r="C2501" s="12" t="str">
        <x:v>Business / brand</x:v>
      </x:c>
      <x:c r="D2501" s="12" t="str">
        <x:v>Trade, consumer &amp; logistics</x:v>
      </x:c>
      <x:c r="E2501" s="12" t="str">
        <x:v>Entertainment, media &amp; events</x:v>
      </x:c>
      <x:c r="F2501" s="12" t="str">
        <x:v>Small-scale prospects</x:v>
      </x:c>
      <x:c r="G2501" s="12" t="str">
        <x:v>Trading or consumer-services business; small-scale prospect assumption.</x:v>
      </x:c>
      <x:c r="H2501" s="11" t="n">
        <x:v>1</x:v>
      </x:c>
      <x:c r="I2501" s="11" t="n">
        <x:v>1</x:v>
      </x:c>
      <x:c r="J2501" s="11" t="n">
        <x:v>1</x:v>
      </x:c>
      <x:c r="K2501" s="11" t="n">
        <x:v>0</x:v>
      </x:c>
      <x:c r="L2501" s="17" t="n">
        <x:f>SUM(SUMIFS('Costing'!$P$9:$P$492,'Costing'!$A$9:$A$492,"MAIN-323"))</x:f>
        <x:v>15000</x:v>
      </x:c>
      <x:c r="M2501" s="17" t="n">
        <x:f>ROUND(L2501*'Costing'!$C$4,2)</x:f>
        <x:v>2700</x:v>
      </x:c>
      <x:c r="N2501" s="17" t="n">
        <x:f>L2501+M2501</x:f>
        <x:v>17700</x:v>
      </x:c>
      <x:c r="O2501" s="12" t="str">
        <x:v>Mumbai</x:v>
      </x:c>
      <x:c r="P2501" s="12" t="str">
        <x:v>CORP-0319</x:v>
      </x:c>
      <x:c r="Q2501" s="12" t="str">
        <x:v>Tech4billion Media Pvt Ltd</x:v>
      </x:c>
    </x:row>
    <x:row r="2502" ht="48" customHeight="1">
      <x:c r="A2502" s="2" t="str">
        <x:v>TEN-3762CDCBB25B</x:v>
      </x:c>
      <x:c r="B2502" s="12" t="str">
        <x:v>TECHFULLY PVT LTD</x:v>
      </x:c>
      <x:c r="C2502" s="12" t="str">
        <x:v>Business / brand</x:v>
      </x:c>
      <x:c r="D2502" s="12" t="str">
        <x:v>Unresolved</x:v>
      </x:c>
      <x:c r="E2502" s="12" t="str">
        <x:v>Business activity not established</x:v>
      </x:c>
      <x:c r="F2502" s="12" t="str">
        <x:v>Mixed business audience</x:v>
      </x:c>
      <x:c r="G2502" s="12" t="str">
        <x:v>Business activity and company scale are not established from this name.</x:v>
      </x:c>
      <x:c r="H2502" s="11" t="n">
        <x:v>2</x:v>
      </x:c>
      <x:c r="I2502" s="11" t="n">
        <x:v>6</x:v>
      </x:c>
      <x:c r="J2502" s="11" t="n">
        <x:v>6</x:v>
      </x:c>
      <x:c r="K2502" s="11" t="n">
        <x:v>0</x:v>
      </x:c>
      <x:c r="L2502" s="17" t="n">
        <x:f>SUM(SUMIFS('Costing'!$P$9:$P$492,'Costing'!$A$9:$A$492,"MAIN-148"),SUMIFS('Costing'!$P$9:$P$492,'Costing'!$A$9:$A$492,"MAIN-149"))</x:f>
        <x:v>120000</x:v>
      </x:c>
      <x:c r="M2502" s="17" t="n">
        <x:f>ROUND(L2502*'Costing'!$C$4,2)</x:f>
        <x:v>21600</x:v>
      </x:c>
      <x:c r="N2502" s="17" t="n">
        <x:f>L2502+M2502</x:f>
        <x:v>141600</x:v>
      </x:c>
      <x:c r="O2502" s="12" t="str">
        <x:v>Chennai</x:v>
      </x:c>
      <x:c r="P2502" s="12" t="str">
        <x:v>CORP-0144, CORP-0145</x:v>
      </x:c>
      <x:c r="Q2502" s="12" t="str">
        <x:v>TECHFULLY PVT LTD</x:v>
      </x:c>
    </x:row>
    <x:row r="2503" ht="48" customHeight="1">
      <x:c r="A2503" s="2" t="str">
        <x:v>TEN-27EBE35B86A3</x:v>
      </x:c>
      <x:c r="B2503" s="12" t="str">
        <x:v>Techinfini</x:v>
      </x:c>
      <x:c r="C2503" s="12" t="str">
        <x:v>Business / brand</x:v>
      </x:c>
      <x:c r="D2503" s="12" t="str">
        <x:v>Unresolved</x:v>
      </x:c>
      <x:c r="E2503" s="12" t="str">
        <x:v>Business activity not established</x:v>
      </x:c>
      <x:c r="F2503" s="12" t="str">
        <x:v>Mixed business audience</x:v>
      </x:c>
      <x:c r="G2503" s="12" t="str">
        <x:v>Business activity and company scale are not established from this name.</x:v>
      </x:c>
      <x:c r="H2503" s="11" t="n">
        <x:v>1</x:v>
      </x:c>
      <x:c r="I2503" s="11" t="n">
        <x:v>1</x:v>
      </x:c>
      <x:c r="J2503" s="11" t="n">
        <x:v>1</x:v>
      </x:c>
      <x:c r="K2503" s="11" t="n">
        <x:v>0</x:v>
      </x:c>
      <x:c r="L2503" s="17" t="n">
        <x:f>SUM(SUMIFS('Costing'!$P$9:$P$492,'Costing'!$A$9:$A$492,"MAIN-266"))</x:f>
        <x:v>20000</x:v>
      </x:c>
      <x:c r="M2503" s="17" t="n">
        <x:f>ROUND(L2503*'Costing'!$C$4,2)</x:f>
        <x:v>3600</x:v>
      </x:c>
      <x:c r="N2503" s="17" t="n">
        <x:f>L2503+M2503</x:f>
        <x:v>23600</x:v>
      </x:c>
      <x:c r="O2503" s="12" t="str">
        <x:v>Indore</x:v>
      </x:c>
      <x:c r="P2503" s="12" t="str">
        <x:v>CORP-0262</x:v>
      </x:c>
      <x:c r="Q2503" s="12" t="str">
        <x:v>Techinfini</x:v>
      </x:c>
    </x:row>
    <x:row r="2504" ht="48" customHeight="1">
      <x:c r="A2504" s="2" t="str">
        <x:v>TEN-859FAA1E34CC</x:v>
      </x:c>
      <x:c r="B2504" s="12" t="str">
        <x:v>Techint India Private Limited</x:v>
      </x:c>
      <x:c r="C2504" s="12" t="str">
        <x:v>Business / brand</x:v>
      </x:c>
      <x:c r="D2504" s="12" t="str">
        <x:v>Engineering &amp; manufacturing</x:v>
      </x:c>
      <x:c r="E2504" s="12" t="str">
        <x:v>Electronics, industrial systems &amp; manufacturing</x:v>
      </x:c>
      <x:c r="F2504" s="12" t="str">
        <x:v>Mixed business audience</x:v>
      </x:c>
      <x:c r="G2504" s="12" t="str">
        <x:v>Established brand or business network; local company scale is not established. Use a mixed-business message.</x:v>
      </x:c>
      <x:c r="H2504" s="11" t="n">
        <x:v>2</x:v>
      </x:c>
      <x:c r="I2504" s="11" t="n">
        <x:v>2</x:v>
      </x:c>
      <x:c r="J2504" s="11" t="n">
        <x:v>2</x:v>
      </x:c>
      <x:c r="K2504" s="11" t="n">
        <x:v>0</x:v>
      </x:c>
      <x:c r="L2504" s="17" t="n">
        <x:f>SUM(SUMIFS('Costing'!$P$9:$P$492,'Costing'!$A$9:$A$492,"MAIN-299"),SUMIFS('Costing'!$P$9:$P$492,'Costing'!$A$9:$A$492,"MAIN-321"))</x:f>
        <x:v>30000</x:v>
      </x:c>
      <x:c r="M2504" s="17" t="n">
        <x:f>ROUND(L2504*'Costing'!$C$4,2)</x:f>
        <x:v>5400</x:v>
      </x:c>
      <x:c r="N2504" s="17" t="n">
        <x:f>L2504+M2504</x:f>
        <x:v>35400</x:v>
      </x:c>
      <x:c r="O2504" s="12" t="str">
        <x:v>Mumbai</x:v>
      </x:c>
      <x:c r="P2504" s="12" t="str">
        <x:v>CORP-0295, CORP-0317</x:v>
      </x:c>
      <x:c r="Q2504" s="12" t="str">
        <x:v>Techint India Private Limited</x:v>
      </x:c>
    </x:row>
    <x:row r="2505" ht="48" customHeight="1">
      <x:c r="A2505" s="2" t="str">
        <x:v>TEN-9D2DD6B8C1DF</x:v>
      </x:c>
      <x:c r="B2505" s="12" t="str">
        <x:v>Techintelli solutions pvt ltd</x:v>
      </x:c>
      <x:c r="C2505" s="12" t="str">
        <x:v>Business / brand</x:v>
      </x:c>
      <x:c r="D2505" s="12" t="str">
        <x:v>IT &amp; digital</x:v>
      </x:c>
      <x:c r="E2505" s="12" t="str">
        <x:v>Enterprise software &amp; digital engineering</x:v>
      </x:c>
      <x:c r="F2505" s="12" t="str">
        <x:v>Small-scale prospects</x:v>
      </x:c>
      <x:c r="G2505" s="12" t="str">
        <x:v>Software or technology-services business; small-scale prospect assumption.</x:v>
      </x:c>
      <x:c r="H2505" s="11" t="n">
        <x:v>1</x:v>
      </x:c>
      <x:c r="I2505" s="11" t="n">
        <x:v>13</x:v>
      </x:c>
      <x:c r="J2505" s="11" t="n">
        <x:v>13</x:v>
      </x:c>
      <x:c r="K2505" s="11" t="n">
        <x:v>0</x:v>
      </x:c>
      <x:c r="L2505" s="17" t="n">
        <x:f>SUM(SUMIFS('Costing'!$P$9:$P$492,'Costing'!$A$9:$A$492,"MAIN-240"))</x:f>
        <x:v>195000</x:v>
      </x:c>
      <x:c r="M2505" s="17" t="n">
        <x:f>ROUND(L2505*'Costing'!$C$4,2)</x:f>
        <x:v>35100</x:v>
      </x:c>
      <x:c r="N2505" s="17" t="n">
        <x:f>L2505+M2505</x:f>
        <x:v>230100</x:v>
      </x:c>
      <x:c r="O2505" s="12" t="str">
        <x:v>Hyderabad</x:v>
      </x:c>
      <x:c r="P2505" s="12" t="str">
        <x:v>CORP-0236</x:v>
      </x:c>
      <x:c r="Q2505" s="12" t="str">
        <x:v>Techintelli solutions pvt ltd</x:v>
      </x:c>
    </x:row>
    <x:row r="2506" ht="48" customHeight="1">
      <x:c r="A2506" s="2" t="str">
        <x:v>TEN-A84075D6CDAD</x:v>
      </x:c>
      <x:c r="B2506" s="12" t="str">
        <x:v>Techknowlabs Pvt Ltd</x:v>
      </x:c>
      <x:c r="C2506" s="12" t="str">
        <x:v>Business / brand</x:v>
      </x:c>
      <x:c r="D2506" s="12" t="str">
        <x:v>Unresolved</x:v>
      </x:c>
      <x:c r="E2506" s="12" t="str">
        <x:v>Business activity not established</x:v>
      </x:c>
      <x:c r="F2506" s="12" t="str">
        <x:v>Mixed business audience</x:v>
      </x:c>
      <x:c r="G2506" s="12" t="str">
        <x:v>Business activity and company scale are not established from this name.</x:v>
      </x:c>
      <x:c r="H2506" s="11" t="n">
        <x:v>10</x:v>
      </x:c>
      <x:c r="I2506" s="11" t="n">
        <x:v>10</x:v>
      </x:c>
      <x:c r="J2506" s="11" t="n">
        <x:v>10</x:v>
      </x:c>
      <x:c r="K2506" s="11" t="n">
        <x:v>0</x:v>
      </x:c>
      <x:c r="L2506" s="17" t="n">
        <x:f>SUM(SUMIFS('Costing'!$P$9:$P$492,'Costing'!$A$9:$A$492,"PARTNER-M365"))</x:f>
        <x:v>400000</x:v>
      </x:c>
      <x:c r="M2506" s="17" t="n">
        <x:f>ROUND(L2506*'Costing'!$C$4,2)</x:f>
        <x:v>72000</x:v>
      </x:c>
      <x:c r="N2506" s="17" t="n">
        <x:f>L2506+M2506</x:f>
        <x:v>472000</x:v>
      </x:c>
      <x:c r="O2506" s="12" t="str">
        <x:v>Delhi NCR</x:v>
      </x:c>
      <x:c r="P2506" s="12" t="str">
        <x:v>CORP-0778, CORP-0779, CORP-0780, CORP-0781, CORP-0782, CORP-0783, CORP-0784, CORP-0785, CORP-0786, CORP-0787</x:v>
      </x:c>
      <x:c r="Q2506" s="12" t="str">
        <x:v>Techknowlabs Pvt Ltd</x:v>
      </x:c>
    </x:row>
    <x:row r="2507" ht="48" customHeight="1">
      <x:c r="A2507" s="2" t="str">
        <x:v>TEN-F49BB10C12ED</x:v>
      </x:c>
      <x:c r="B2507" s="12" t="str">
        <x:v>Techmojo Solutions Pvt Ltd</x:v>
      </x:c>
      <x:c r="C2507" s="12" t="str">
        <x:v>Business / brand</x:v>
      </x:c>
      <x:c r="D2507" s="12" t="str">
        <x:v>IT &amp; digital</x:v>
      </x:c>
      <x:c r="E2507" s="12" t="str">
        <x:v>Enterprise software &amp; digital engineering</x:v>
      </x:c>
      <x:c r="F2507" s="12" t="str">
        <x:v>Small-scale prospects</x:v>
      </x:c>
      <x:c r="G2507" s="12" t="str">
        <x:v>Software or technology-services business; small-scale prospect assumption.</x:v>
      </x:c>
      <x:c r="H2507" s="11" t="n">
        <x:v>5</x:v>
      </x:c>
      <x:c r="I2507" s="11" t="n">
        <x:v>5</x:v>
      </x:c>
      <x:c r="J2507" s="11" t="n">
        <x:v>5</x:v>
      </x:c>
      <x:c r="K2507" s="11" t="n">
        <x:v>0</x:v>
      </x:c>
      <x:c r="L2507" s="17" t="n">
        <x:f>SUM(SUMIFS('Costing'!$P$9:$P$492,'Costing'!$A$9:$A$492,"PARTNER-M295"))</x:f>
        <x:v>200000</x:v>
      </x:c>
      <x:c r="M2507" s="17" t="n">
        <x:f>ROUND(L2507*'Costing'!$C$4,2)</x:f>
        <x:v>36000</x:v>
      </x:c>
      <x:c r="N2507" s="17" t="n">
        <x:f>L2507+M2507</x:f>
        <x:v>236000</x:v>
      </x:c>
      <x:c r="O2507" s="12" t="str">
        <x:v>Hyderabad</x:v>
      </x:c>
      <x:c r="P2507" s="12" t="str">
        <x:v>CORP-0710, CORP-0711, CORP-0712, CORP-0713, CORP-0714</x:v>
      </x:c>
      <x:c r="Q2507" s="12" t="str">
        <x:v>Techmojo Solutions Pvt Ltd</x:v>
      </x:c>
    </x:row>
    <x:row r="2508" ht="48" customHeight="1">
      <x:c r="A2508" s="2" t="str">
        <x:v>TEN-D8D1BC06B2BE</x:v>
      </x:c>
      <x:c r="B2508" s="12" t="str">
        <x:v>Technacle IT Services Pvt Ltd</x:v>
      </x:c>
      <x:c r="C2508" s="12" t="str">
        <x:v>Business / brand</x:v>
      </x:c>
      <x:c r="D2508" s="12" t="str">
        <x:v>IT &amp; digital</x:v>
      </x:c>
      <x:c r="E2508" s="12" t="str">
        <x:v>Enterprise software &amp; digital engineering</x:v>
      </x:c>
      <x:c r="F2508" s="12" t="str">
        <x:v>Small-scale prospects</x:v>
      </x:c>
      <x:c r="G2508" s="12" t="str">
        <x:v>Software or technology-services business; small-scale prospect assumption.</x:v>
      </x:c>
      <x:c r="H2508" s="11" t="n">
        <x:v>1</x:v>
      </x:c>
      <x:c r="I2508" s="11" t="n">
        <x:v>4</x:v>
      </x:c>
      <x:c r="J2508" s="11" t="n">
        <x:v>4</x:v>
      </x:c>
      <x:c r="K2508" s="11" t="n">
        <x:v>0</x:v>
      </x:c>
      <x:c r="L2508" s="17" t="n">
        <x:f>SUM(SUMIFS('Costing'!$P$9:$P$492,'Costing'!$A$9:$A$492,"MAIN-019"))</x:f>
        <x:v>60000</x:v>
      </x:c>
      <x:c r="M2508" s="17" t="n">
        <x:f>ROUND(L2508*'Costing'!$C$4,2)</x:f>
        <x:v>10800</x:v>
      </x:c>
      <x:c r="N2508" s="17" t="n">
        <x:f>L2508+M2508</x:f>
        <x:v>70800</x:v>
      </x:c>
      <x:c r="O2508" s="12" t="str">
        <x:v>Bengaluru</x:v>
      </x:c>
      <x:c r="P2508" s="12" t="str">
        <x:v>CORP-0015</x:v>
      </x:c>
      <x:c r="Q2508" s="12" t="str">
        <x:v>Technacle IT Services Pvt Ltd</x:v>
      </x:c>
    </x:row>
    <x:row r="2509" ht="48" customHeight="1">
      <x:c r="A2509" s="2" t="str">
        <x:v>TEN-5346DFE17486</x:v>
      </x:c>
      <x:c r="B2509" s="12" t="str">
        <x:v>Technicolor</x:v>
      </x:c>
      <x:c r="C2509" s="12" t="str">
        <x:v>Business / brand</x:v>
      </x:c>
      <x:c r="D2509" s="12" t="str">
        <x:v>Trade, consumer &amp; logistics</x:v>
      </x:c>
      <x:c r="E2509" s="12" t="str">
        <x:v>Entertainment, media &amp; events</x:v>
      </x:c>
      <x:c r="F2509" s="12" t="str">
        <x:v>Mixed business audience</x:v>
      </x:c>
      <x:c r="G2509" s="12" t="str">
        <x:v>Established brand or business network; local company scale is not established. Use a mixed-business message.</x:v>
      </x:c>
      <x:c r="H2509" s="11" t="n">
        <x:v>9</x:v>
      </x:c>
      <x:c r="I2509" s="11" t="n">
        <x:v>9</x:v>
      </x:c>
      <x:c r="J2509" s="11" t="n">
        <x:v>9</x:v>
      </x:c>
      <x:c r="K2509" s="11" t="n">
        <x:v>0</x:v>
      </x:c>
      <x:c r="L2509" s="17" t="n">
        <x:f>SUM(SUMIFS('Costing'!$P$9:$P$492,'Costing'!$A$9:$A$492,"PARTNER-M002"))</x:f>
        <x:v>360000</x:v>
      </x:c>
      <x:c r="M2509" s="17" t="n">
        <x:f>ROUND(L2509*'Costing'!$C$4,2)</x:f>
        <x:v>64800</x:v>
      </x:c>
      <x:c r="N2509" s="17" t="n">
        <x:f>L2509+M2509</x:f>
        <x:v>424800</x:v>
      </x:c>
      <x:c r="O2509" s="12" t="str">
        <x:v>Bengaluru</x:v>
      </x:c>
      <x:c r="P2509" s="12" t="str">
        <x:v>CORP-0420, CORP-0421, CORP-0422, CORP-0423, CORP-0424, CORP-0425, CORP-0426, CORP-0427, CORP-0428</x:v>
      </x:c>
      <x:c r="Q2509" s="12" t="str">
        <x:v>Technicolor</x:v>
      </x:c>
    </x:row>
    <x:row r="2510" ht="48" customHeight="1">
      <x:c r="A2510" s="2" t="str">
        <x:v>TEN-2EDD47EC3C4F</x:v>
      </x:c>
      <x:c r="B2510" s="12" t="str">
        <x:v>Technicolor India</x:v>
      </x:c>
      <x:c r="C2510" s="12" t="str">
        <x:v>Business / brand</x:v>
      </x:c>
      <x:c r="D2510" s="12" t="str">
        <x:v>Trade, consumer &amp; logistics</x:v>
      </x:c>
      <x:c r="E2510" s="12" t="str">
        <x:v>Entertainment, media &amp; events</x:v>
      </x:c>
      <x:c r="F2510" s="12" t="str">
        <x:v>Mixed business audience</x:v>
      </x:c>
      <x:c r="G2510" s="12" t="str">
        <x:v>Established brand or business network; local company scale is not established. Use a mixed-business message.</x:v>
      </x:c>
      <x:c r="H2510" s="11" t="n">
        <x:v>9</x:v>
      </x:c>
      <x:c r="I2510" s="11" t="n">
        <x:v>9</x:v>
      </x:c>
      <x:c r="J2510" s="11" t="n">
        <x:v>9</x:v>
      </x:c>
      <x:c r="K2510" s="11" t="n">
        <x:v>0</x:v>
      </x:c>
      <x:c r="L2510" s="17" t="n">
        <x:f>SUM(SUMIFS('Costing'!$P$9:$P$492,'Costing'!$A$9:$A$492,"PARTNER-M002"))</x:f>
        <x:v>360000</x:v>
      </x:c>
      <x:c r="M2510" s="17" t="n">
        <x:f>ROUND(L2510*'Costing'!$C$4,2)</x:f>
        <x:v>64800</x:v>
      </x:c>
      <x:c r="N2510" s="17" t="n">
        <x:f>L2510+M2510</x:f>
        <x:v>424800</x:v>
      </x:c>
      <x:c r="O2510" s="12" t="str">
        <x:v>Bengaluru</x:v>
      </x:c>
      <x:c r="P2510" s="12" t="str">
        <x:v>CORP-0420, CORP-0421, CORP-0422, CORP-0423, CORP-0424, CORP-0425, CORP-0426, CORP-0427, CORP-0428</x:v>
      </x:c>
      <x:c r="Q2510" s="12" t="str">
        <x:v>Technicolor India</x:v>
      </x:c>
    </x:row>
    <x:row r="2511" ht="48" customHeight="1">
      <x:c r="A2511" s="2" t="str">
        <x:v>TEN-DA16E7A8F245</x:v>
      </x:c>
      <x:c r="B2511" s="12" t="str">
        <x:v>Technimount</x:v>
      </x:c>
      <x:c r="C2511" s="12" t="str">
        <x:v>Business / brand</x:v>
      </x:c>
      <x:c r="D2511" s="12" t="str">
        <x:v>Unresolved</x:v>
      </x:c>
      <x:c r="E2511" s="12" t="str">
        <x:v>Business activity not established</x:v>
      </x:c>
      <x:c r="F2511" s="12" t="str">
        <x:v>Mixed business audience</x:v>
      </x:c>
      <x:c r="G2511" s="12" t="str">
        <x:v>Business activity and company scale are not established from this name.</x:v>
      </x:c>
      <x:c r="H2511" s="11" t="n">
        <x:v>1</x:v>
      </x:c>
      <x:c r="I2511" s="11" t="n">
        <x:v>5</x:v>
      </x:c>
      <x:c r="J2511" s="11" t="n">
        <x:v>5</x:v>
      </x:c>
      <x:c r="K2511" s="11" t="n">
        <x:v>0</x:v>
      </x:c>
      <x:c r="L2511" s="17" t="n">
        <x:f>SUM(SUMIFS('Costing'!$P$9:$P$492,'Costing'!$A$9:$A$492,"MAIN-338"))</x:f>
        <x:v>200000</x:v>
      </x:c>
      <x:c r="M2511" s="17" t="n">
        <x:f>ROUND(L2511*'Costing'!$C$4,2)</x:f>
        <x:v>36000</x:v>
      </x:c>
      <x:c r="N2511" s="17" t="n">
        <x:f>L2511+M2511</x:f>
        <x:v>236000</x:v>
      </x:c>
      <x:c r="O2511" s="12" t="str">
        <x:v>Mumbai</x:v>
      </x:c>
      <x:c r="P2511" s="12" t="str">
        <x:v>CORP-0334</x:v>
      </x:c>
      <x:c r="Q2511" s="12" t="str">
        <x:v>Technimount</x:v>
      </x:c>
    </x:row>
    <x:row r="2512" ht="48" customHeight="1">
      <x:c r="A2512" s="2" t="str">
        <x:v>TEN-4421EF3FD27F</x:v>
      </x:c>
      <x:c r="B2512" s="12" t="str">
        <x:v>technominds</x:v>
      </x:c>
      <x:c r="C2512" s="12" t="str">
        <x:v>Business / brand</x:v>
      </x:c>
      <x:c r="D2512" s="12" t="str">
        <x:v>Unresolved</x:v>
      </x:c>
      <x:c r="E2512" s="12" t="str">
        <x:v>Business activity not established</x:v>
      </x:c>
      <x:c r="F2512" s="12" t="str">
        <x:v>Mixed business audience</x:v>
      </x:c>
      <x:c r="G2512" s="12" t="str">
        <x:v>Business activity and company scale are not established from this name.</x:v>
      </x:c>
      <x:c r="H2512" s="11" t="n">
        <x:v>1</x:v>
      </x:c>
      <x:c r="I2512" s="11" t="n">
        <x:v>3</x:v>
      </x:c>
      <x:c r="J2512" s="11" t="n">
        <x:v>3</x:v>
      </x:c>
      <x:c r="K2512" s="11" t="n">
        <x:v>0</x:v>
      </x:c>
      <x:c r="L2512" s="17" t="n">
        <x:f>SUM(SUMIFS('Costing'!$P$9:$P$492,'Costing'!$A$9:$A$492,"MAIN-218"))</x:f>
        <x:v>45000</x:v>
      </x:c>
      <x:c r="M2512" s="17" t="n">
        <x:f>ROUND(L2512*'Costing'!$C$4,2)</x:f>
        <x:v>8100</x:v>
      </x:c>
      <x:c r="N2512" s="17" t="n">
        <x:f>L2512+M2512</x:f>
        <x:v>53100</x:v>
      </x:c>
      <x:c r="O2512" s="12" t="str">
        <x:v>Hyderabad</x:v>
      </x:c>
      <x:c r="P2512" s="12" t="str">
        <x:v>CORP-0214</x:v>
      </x:c>
      <x:c r="Q2512" s="12" t="str">
        <x:v>technominds</x:v>
      </x:c>
    </x:row>
    <x:row r="2513" ht="48" customHeight="1">
      <x:c r="A2513" s="2" t="str">
        <x:v>TEN-B116E9D247D3</x:v>
      </x:c>
      <x:c r="B2513" s="12" t="str">
        <x:v>Technopolis Global Pvt. ltd</x:v>
      </x:c>
      <x:c r="C2513" s="12" t="str">
        <x:v>Business / brand</x:v>
      </x:c>
      <x:c r="D2513" s="12" t="str">
        <x:v>Unresolved</x:v>
      </x:c>
      <x:c r="E2513" s="12" t="str">
        <x:v>Business activity not established</x:v>
      </x:c>
      <x:c r="F2513" s="12" t="str">
        <x:v>Mixed business audience</x:v>
      </x:c>
      <x:c r="G2513" s="12" t="str">
        <x:v>Business activity and company scale are not established from this name.</x:v>
      </x:c>
      <x:c r="H2513" s="11" t="n">
        <x:v>2</x:v>
      </x:c>
      <x:c r="I2513" s="11" t="n">
        <x:v>6</x:v>
      </x:c>
      <x:c r="J2513" s="11" t="n">
        <x:v>6</x:v>
      </x:c>
      <x:c r="K2513" s="11" t="n">
        <x:v>0</x:v>
      </x:c>
      <x:c r="L2513" s="17" t="n">
        <x:f>SUM(SUMIFS('Costing'!$P$9:$P$492,'Costing'!$A$9:$A$492,"MAIN-374"),SUMIFS('Costing'!$P$9:$P$492,'Costing'!$A$9:$A$492,"MAIN-375"))</x:f>
        <x:v>140000</x:v>
      </x:c>
      <x:c r="M2513" s="17" t="n">
        <x:f>ROUND(L2513*'Costing'!$C$4,2)</x:f>
        <x:v>25200</x:v>
      </x:c>
      <x:c r="N2513" s="17" t="n">
        <x:f>L2513+M2513</x:f>
        <x:v>165200</x:v>
      </x:c>
      <x:c r="O2513" s="12" t="str">
        <x:v>Delhi NCR</x:v>
      </x:c>
      <x:c r="P2513" s="12" t="str">
        <x:v>CORP-0370, CORP-0371</x:v>
      </x:c>
      <x:c r="Q2513" s="12" t="str">
        <x:v>Technopolis Global Pvt. ltd</x:v>
      </x:c>
    </x:row>
    <x:row r="2514" ht="48" customHeight="1">
      <x:c r="A2514" s="2" t="str">
        <x:v>TEN-30099B000C5C</x:v>
      </x:c>
      <x:c r="B2514" s="12" t="str">
        <x:v>Technosoft Global Solutions</x:v>
      </x:c>
      <x:c r="C2514" s="12" t="str">
        <x:v>Business / brand</x:v>
      </x:c>
      <x:c r="D2514" s="12" t="str">
        <x:v>IT &amp; digital</x:v>
      </x:c>
      <x:c r="E2514" s="12" t="str">
        <x:v>Enterprise software &amp; digital engineering</x:v>
      </x:c>
      <x:c r="F2514" s="12" t="str">
        <x:v>Small-scale prospects</x:v>
      </x:c>
      <x:c r="G2514" s="12" t="str">
        <x:v>Software or technology-services business; small-scale prospect assumption.</x:v>
      </x:c>
      <x:c r="H2514" s="11" t="n">
        <x:v>5</x:v>
      </x:c>
      <x:c r="I2514" s="11" t="n">
        <x:v>5</x:v>
      </x:c>
      <x:c r="J2514" s="11" t="n">
        <x:v>5</x:v>
      </x:c>
      <x:c r="K2514" s="11" t="n">
        <x:v>0</x:v>
      </x:c>
      <x:c r="L2514" s="17" t="n">
        <x:f>SUM(SUMIFS('Costing'!$P$9:$P$492,'Costing'!$A$9:$A$492,"PARTNER-M295"))</x:f>
        <x:v>200000</x:v>
      </x:c>
      <x:c r="M2514" s="17" t="n">
        <x:f>ROUND(L2514*'Costing'!$C$4,2)</x:f>
        <x:v>36000</x:v>
      </x:c>
      <x:c r="N2514" s="17" t="n">
        <x:f>L2514+M2514</x:f>
        <x:v>236000</x:v>
      </x:c>
      <x:c r="O2514" s="12" t="str">
        <x:v>Hyderabad</x:v>
      </x:c>
      <x:c r="P2514" s="12" t="str">
        <x:v>CORP-0710, CORP-0711, CORP-0712, CORP-0713, CORP-0714</x:v>
      </x:c>
      <x:c r="Q2514" s="12" t="str">
        <x:v>Technosoft Global Solutions</x:v>
      </x:c>
    </x:row>
    <x:row r="2515" ht="48" customHeight="1">
      <x:c r="A2515" s="2" t="str">
        <x:v>TEN-04F202FBF5EA</x:v>
      </x:c>
      <x:c r="B2515" s="12" t="str">
        <x:v>Technosoft India Pvt Ltd</x:v>
      </x:c>
      <x:c r="C2515" s="12" t="str">
        <x:v>Business / brand</x:v>
      </x:c>
      <x:c r="D2515" s="12" t="str">
        <x:v>IT &amp; digital</x:v>
      </x:c>
      <x:c r="E2515" s="12" t="str">
        <x:v>Enterprise software &amp; digital engineering</x:v>
      </x:c>
      <x:c r="F2515" s="12" t="str">
        <x:v>Small-scale prospects</x:v>
      </x:c>
      <x:c r="G2515" s="12" t="str">
        <x:v>Software or technology-services business; small-scale prospect assumption.</x:v>
      </x:c>
      <x:c r="H2515" s="11" t="n">
        <x:v>1</x:v>
      </x:c>
      <x:c r="I2515" s="11" t="n">
        <x:v>8</x:v>
      </x:c>
      <x:c r="J2515" s="11" t="n">
        <x:v>8</x:v>
      </x:c>
      <x:c r="K2515" s="11" t="n">
        <x:v>0</x:v>
      </x:c>
      <x:c r="L2515" s="17" t="n">
        <x:f>SUM(SUMIFS('Costing'!$P$9:$P$492,'Costing'!$A$9:$A$492,"MAIN-059"))</x:f>
        <x:v>120000</x:v>
      </x:c>
      <x:c r="M2515" s="17" t="n">
        <x:f>ROUND(L2515*'Costing'!$C$4,2)</x:f>
        <x:v>21600</x:v>
      </x:c>
      <x:c r="N2515" s="17" t="n">
        <x:f>L2515+M2515</x:f>
        <x:v>141600</x:v>
      </x:c>
      <x:c r="O2515" s="12" t="str">
        <x:v>Bengaluru</x:v>
      </x:c>
      <x:c r="P2515" s="12" t="str">
        <x:v>CORP-0055</x:v>
      </x:c>
      <x:c r="Q2515" s="12" t="str">
        <x:v>Technosoft India Pvt Ltd</x:v>
      </x:c>
    </x:row>
    <x:row r="2516" ht="48" customHeight="1">
      <x:c r="A2516" s="2" t="str">
        <x:v>TEN-558F06B9FFAD</x:v>
      </x:c>
      <x:c r="B2516" s="12" t="str">
        <x:v>Technosprout Systems Pvt. Ltd</x:v>
      </x:c>
      <x:c r="C2516" s="12" t="str">
        <x:v>Business / brand</x:v>
      </x:c>
      <x:c r="D2516" s="12" t="str">
        <x:v>Unresolved</x:v>
      </x:c>
      <x:c r="E2516" s="12" t="str">
        <x:v>Business activity not established</x:v>
      </x:c>
      <x:c r="F2516" s="12" t="str">
        <x:v>Mixed business audience</x:v>
      </x:c>
      <x:c r="G2516" s="12" t="str">
        <x:v>Business activity and company scale are not established from this name.</x:v>
      </x:c>
      <x:c r="H2516" s="11" t="n">
        <x:v>2</x:v>
      </x:c>
      <x:c r="I2516" s="11" t="n">
        <x:v>2</x:v>
      </x:c>
      <x:c r="J2516" s="11" t="n">
        <x:v>2</x:v>
      </x:c>
      <x:c r="K2516" s="11" t="n">
        <x:v>0</x:v>
      </x:c>
      <x:c r="L2516" s="17" t="n">
        <x:f>SUM(SUMIFS('Costing'!$P$9:$P$492,'Costing'!$A$9:$A$492,"PARTNER-M245"))</x:f>
        <x:v>80000</x:v>
      </x:c>
      <x:c r="M2516" s="17" t="n">
        <x:f>ROUND(L2516*'Costing'!$C$4,2)</x:f>
        <x:v>14400</x:v>
      </x:c>
      <x:c r="N2516" s="17" t="n">
        <x:f>L2516+M2516</x:f>
        <x:v>94400</x:v>
      </x:c>
      <x:c r="O2516" s="12" t="str">
        <x:v>Mumbai</x:v>
      </x:c>
      <x:c r="P2516" s="12" t="str">
        <x:v>CORP-0662, CORP-0663</x:v>
      </x:c>
      <x:c r="Q2516" s="12" t="str">
        <x:v>Technosprout Systems Pvt. Ltd</x:v>
      </x:c>
    </x:row>
    <x:row r="2517" ht="48" customHeight="1">
      <x:c r="A2517" s="2" t="str">
        <x:v>TEN-B951544E9D99</x:v>
      </x:c>
      <x:c r="B2517" s="12" t="str">
        <x:v>Techquaint</x:v>
      </x:c>
      <x:c r="C2517" s="12" t="str">
        <x:v>Business / brand</x:v>
      </x:c>
      <x:c r="D2517" s="12" t="str">
        <x:v>Unresolved</x:v>
      </x:c>
      <x:c r="E2517" s="12" t="str">
        <x:v>Business activity not established</x:v>
      </x:c>
      <x:c r="F2517" s="12" t="str">
        <x:v>Mixed business audience</x:v>
      </x:c>
      <x:c r="G2517" s="12" t="str">
        <x:v>Business activity and company scale are not established from this name.</x:v>
      </x:c>
      <x:c r="H2517" s="11" t="n">
        <x:v>1</x:v>
      </x:c>
      <x:c r="I2517" s="11" t="n">
        <x:v>2</x:v>
      </x:c>
      <x:c r="J2517" s="11" t="n">
        <x:v>2</x:v>
      </x:c>
      <x:c r="K2517" s="11" t="n">
        <x:v>0</x:v>
      </x:c>
      <x:c r="L2517" s="17" t="n">
        <x:f>SUM(SUMIFS('Costing'!$P$9:$P$492,'Costing'!$A$9:$A$492,"MAIN-268"))</x:f>
        <x:v>80000</x:v>
      </x:c>
      <x:c r="M2517" s="17" t="n">
        <x:f>ROUND(L2517*'Costing'!$C$4,2)</x:f>
        <x:v>14400</x:v>
      </x:c>
      <x:c r="N2517" s="17" t="n">
        <x:f>L2517+M2517</x:f>
        <x:v>94400</x:v>
      </x:c>
      <x:c r="O2517" s="12" t="str">
        <x:v>Indore</x:v>
      </x:c>
      <x:c r="P2517" s="12" t="str">
        <x:v>CORP-0264</x:v>
      </x:c>
      <x:c r="Q2517" s="12" t="str">
        <x:v>Techquaint</x:v>
      </x:c>
    </x:row>
    <x:row r="2518" ht="48" customHeight="1">
      <x:c r="A2518" s="2" t="str">
        <x:v>TEN-20994E8D41B3</x:v>
      </x:c>
      <x:c r="B2518" s="12" t="str">
        <x:v>TECHSOL</x:v>
      </x:c>
      <x:c r="C2518" s="12" t="str">
        <x:v>Business / brand</x:v>
      </x:c>
      <x:c r="D2518" s="12" t="str">
        <x:v>Unresolved</x:v>
      </x:c>
      <x:c r="E2518" s="12" t="str">
        <x:v>Business activity not established</x:v>
      </x:c>
      <x:c r="F2518" s="12" t="str">
        <x:v>Mixed business audience</x:v>
      </x:c>
      <x:c r="G2518" s="12" t="str">
        <x:v>Business activity and company scale are not established from this name.</x:v>
      </x:c>
      <x:c r="H2518" s="11" t="n">
        <x:v>1</x:v>
      </x:c>
      <x:c r="I2518" s="11" t="n">
        <x:v>8</x:v>
      </x:c>
      <x:c r="J2518" s="11" t="n">
        <x:v>8</x:v>
      </x:c>
      <x:c r="K2518" s="11" t="n">
        <x:v>0</x:v>
      </x:c>
      <x:c r="L2518" s="17" t="n">
        <x:f>SUM(SUMIFS('Costing'!$P$9:$P$492,'Costing'!$A$9:$A$492,"MAIN-215"))</x:f>
        <x:v>120000</x:v>
      </x:c>
      <x:c r="M2518" s="17" t="n">
        <x:f>ROUND(L2518*'Costing'!$C$4,2)</x:f>
        <x:v>21600</x:v>
      </x:c>
      <x:c r="N2518" s="17" t="n">
        <x:f>L2518+M2518</x:f>
        <x:v>141600</x:v>
      </x:c>
      <x:c r="O2518" s="12" t="str">
        <x:v>Hyderabad</x:v>
      </x:c>
      <x:c r="P2518" s="12" t="str">
        <x:v>CORP-0211</x:v>
      </x:c>
      <x:c r="Q2518" s="12" t="str">
        <x:v>TECHSOL</x:v>
      </x:c>
    </x:row>
    <x:row r="2519" ht="48" customHeight="1">
      <x:c r="A2519" s="2" t="str">
        <x:v>TEN-78346E1DD33E</x:v>
      </x:c>
      <x:c r="B2519" s="12" t="str">
        <x:v>Techstars</x:v>
      </x:c>
      <x:c r="C2519" s="12" t="str">
        <x:v>Business / brand</x:v>
      </x:c>
      <x:c r="D2519" s="12" t="str">
        <x:v>Unresolved</x:v>
      </x:c>
      <x:c r="E2519" s="12" t="str">
        <x:v>Business activity not established</x:v>
      </x:c>
      <x:c r="F2519" s="12" t="str">
        <x:v>Mixed business audience</x:v>
      </x:c>
      <x:c r="G2519" s="12" t="str">
        <x:v>Business activity and company scale are not established from this name.</x:v>
      </x:c>
      <x:c r="H2519" s="11" t="n">
        <x:v>2</x:v>
      </x:c>
      <x:c r="I2519" s="11" t="n">
        <x:v>5</x:v>
      </x:c>
      <x:c r="J2519" s="11" t="n">
        <x:v>5</x:v>
      </x:c>
      <x:c r="K2519" s="11" t="n">
        <x:v>0</x:v>
      </x:c>
      <x:c r="L2519" s="17" t="n">
        <x:f>SUM(SUMIFS('Costing'!$P$9:$P$492,'Costing'!$A$9:$A$492,"MAIN-113"),SUMIFS('Costing'!$P$9:$P$492,'Costing'!$A$9:$A$492,"MAIN-128"))</x:f>
        <x:v>125000</x:v>
      </x:c>
      <x:c r="M2519" s="17" t="n">
        <x:f>ROUND(L2519*'Costing'!$C$4,2)</x:f>
        <x:v>22500</x:v>
      </x:c>
      <x:c r="N2519" s="17" t="n">
        <x:f>L2519+M2519</x:f>
        <x:v>147500</x:v>
      </x:c>
      <x:c r="O2519" s="12" t="str">
        <x:v>Bengaluru</x:v>
      </x:c>
      <x:c r="P2519" s="12" t="str">
        <x:v>CORP-0109, CORP-0124</x:v>
      </x:c>
      <x:c r="Q2519" s="12" t="str">
        <x:v>Techstars</x:v>
      </x:c>
    </x:row>
    <x:row r="2520" ht="48" customHeight="1">
      <x:c r="A2520" s="2" t="str">
        <x:v>TEN-AA2312B42CA4</x:v>
      </x:c>
      <x:c r="B2520" s="12" t="str">
        <x:v>Techthota agritech Private Limite</x:v>
      </x:c>
      <x:c r="C2520" s="12" t="str">
        <x:v>Business / brand</x:v>
      </x:c>
      <x:c r="D2520" s="12" t="str">
        <x:v>Unresolved</x:v>
      </x:c>
      <x:c r="E2520" s="12" t="str">
        <x:v>Business activity not established</x:v>
      </x:c>
      <x:c r="F2520" s="12" t="str">
        <x:v>Mixed business audience</x:v>
      </x:c>
      <x:c r="G2520" s="12" t="str">
        <x:v>Business activity and company scale are not established from this name.</x:v>
      </x:c>
      <x:c r="H2520" s="11" t="n">
        <x:v>1</x:v>
      </x:c>
      <x:c r="I2520" s="11" t="n">
        <x:v>1</x:v>
      </x:c>
      <x:c r="J2520" s="11" t="n">
        <x:v>1</x:v>
      </x:c>
      <x:c r="K2520" s="11" t="n">
        <x:v>0</x:v>
      </x:c>
      <x:c r="L2520" s="17" t="n">
        <x:f>SUM(SUMIFS('Costing'!$P$9:$P$492,'Costing'!$A$9:$A$492,"MAIN-050"))</x:f>
        <x:v>15000</x:v>
      </x:c>
      <x:c r="M2520" s="17" t="n">
        <x:f>ROUND(L2520*'Costing'!$C$4,2)</x:f>
        <x:v>2700</x:v>
      </x:c>
      <x:c r="N2520" s="17" t="n">
        <x:f>L2520+M2520</x:f>
        <x:v>17700</x:v>
      </x:c>
      <x:c r="O2520" s="12" t="str">
        <x:v>Bengaluru</x:v>
      </x:c>
      <x:c r="P2520" s="12" t="str">
        <x:v>CORP-0046</x:v>
      </x:c>
      <x:c r="Q2520" s="12" t="str">
        <x:v>Techthota agritech Private Limite</x:v>
      </x:c>
    </x:row>
    <x:row r="2521" ht="48" customHeight="1">
      <x:c r="A2521" s="2" t="str">
        <x:v>TEN-066213415683</x:v>
      </x:c>
      <x:c r="B2521" s="12" t="str">
        <x:v>Techweb IT solutions</x:v>
      </x:c>
      <x:c r="C2521" s="12" t="str">
        <x:v>Business / brand</x:v>
      </x:c>
      <x:c r="D2521" s="12" t="str">
        <x:v>IT &amp; digital</x:v>
      </x:c>
      <x:c r="E2521" s="12" t="str">
        <x:v>Enterprise software &amp; digital engineering</x:v>
      </x:c>
      <x:c r="F2521" s="12" t="str">
        <x:v>Small-scale prospects</x:v>
      </x:c>
      <x:c r="G2521" s="12" t="str">
        <x:v>Software or technology-services business; small-scale prospect assumption.</x:v>
      </x:c>
      <x:c r="H2521" s="11" t="n">
        <x:v>1</x:v>
      </x:c>
      <x:c r="I2521" s="11" t="n">
        <x:v>9</x:v>
      </x:c>
      <x:c r="J2521" s="11" t="n">
        <x:v>9</x:v>
      </x:c>
      <x:c r="K2521" s="11" t="n">
        <x:v>0</x:v>
      </x:c>
      <x:c r="L2521" s="17" t="n">
        <x:f>SUM(SUMIFS('Costing'!$P$9:$P$492,'Costing'!$A$9:$A$492,"MAIN-402"))</x:f>
        <x:v>135000</x:v>
      </x:c>
      <x:c r="M2521" s="17" t="n">
        <x:f>ROUND(L2521*'Costing'!$C$4,2)</x:f>
        <x:v>24300</x:v>
      </x:c>
      <x:c r="N2521" s="17" t="n">
        <x:f>L2521+M2521</x:f>
        <x:v>159300</x:v>
      </x:c>
      <x:c r="O2521" s="12" t="str">
        <x:v>Pune</x:v>
      </x:c>
      <x:c r="P2521" s="12" t="str">
        <x:v>CORP-0398</x:v>
      </x:c>
      <x:c r="Q2521" s="12" t="str">
        <x:v>Techweb IT solutions</x:v>
      </x:c>
    </x:row>
    <x:row r="2522" ht="48" customHeight="1">
      <x:c r="A2522" s="2" t="str">
        <x:v>TEN-C0A298F426FD</x:v>
      </x:c>
      <x:c r="B2522" s="12" t="str">
        <x:v>Tecnimont</x:v>
      </x:c>
      <x:c r="C2522" s="12" t="str">
        <x:v>Business / brand</x:v>
      </x:c>
      <x:c r="D2522" s="12" t="str">
        <x:v>Engineering &amp; manufacturing</x:v>
      </x:c>
      <x:c r="E2522" s="12" t="str">
        <x:v>Engineering/manufacturing — specialty unverified</x:v>
      </x:c>
      <x:c r="F2522" s="12" t="str">
        <x:v>Mixed business audience</x:v>
      </x:c>
      <x:c r="G2522" s="12" t="str">
        <x:v>Recognisable business context; company-scale evidence remains insufficient for a single size band.</x:v>
      </x:c>
      <x:c r="H2522" s="11" t="n">
        <x:v>1</x:v>
      </x:c>
      <x:c r="I2522" s="11" t="n">
        <x:v>1</x:v>
      </x:c>
      <x:c r="J2522" s="11" t="n">
        <x:v>1</x:v>
      </x:c>
      <x:c r="K2522" s="11" t="n">
        <x:v>0</x:v>
      </x:c>
      <x:c r="L2522" s="17" t="n">
        <x:f>SUM(SUMIFS('Costing'!$P$9:$P$492,'Costing'!$A$9:$A$492,"MAIN-205"))</x:f>
        <x:v>40000</x:v>
      </x:c>
      <x:c r="M2522" s="17" t="n">
        <x:f>ROUND(L2522*'Costing'!$C$4,2)</x:f>
        <x:v>7200</x:v>
      </x:c>
      <x:c r="N2522" s="17" t="n">
        <x:f>L2522+M2522</x:f>
        <x:v>47200</x:v>
      </x:c>
      <x:c r="O2522" s="12" t="str">
        <x:v>Delhi NCR</x:v>
      </x:c>
      <x:c r="P2522" s="12" t="str">
        <x:v>CORP-0201</x:v>
      </x:c>
      <x:c r="Q2522" s="12" t="str">
        <x:v>Tecnimont</x:v>
      </x:c>
    </x:row>
    <x:row r="2523" ht="48" customHeight="1">
      <x:c r="A2523" s="2" t="str">
        <x:v>TEN-39DB6EEDD0D0</x:v>
      </x:c>
      <x:c r="B2523" s="12" t="str">
        <x:v>Tectura India</x:v>
      </x:c>
      <x:c r="C2523" s="12" t="str">
        <x:v>Business / brand</x:v>
      </x:c>
      <x:c r="D2523" s="12" t="str">
        <x:v>IT &amp; digital</x:v>
      </x:c>
      <x:c r="E2523" s="12" t="str">
        <x:v>Enterprise software &amp; digital engineering</x:v>
      </x:c>
      <x:c r="F2523" s="12" t="str">
        <x:v>Mixed business audience</x:v>
      </x:c>
      <x:c r="G2523" s="12" t="str">
        <x:v>Established brand or business network; local company scale is not established. Use a mixed-business message.</x:v>
      </x:c>
      <x:c r="H2523" s="11" t="n">
        <x:v>1</x:v>
      </x:c>
      <x:c r="I2523" s="11" t="n">
        <x:v>3</x:v>
      </x:c>
      <x:c r="J2523" s="11" t="n">
        <x:v>3</x:v>
      </x:c>
      <x:c r="K2523" s="11" t="n">
        <x:v>0</x:v>
      </x:c>
      <x:c r="L2523" s="17" t="n">
        <x:f>SUM(SUMIFS('Costing'!$P$9:$P$492,'Costing'!$A$9:$A$492,"MAIN-366"))</x:f>
        <x:v>45000</x:v>
      </x:c>
      <x:c r="M2523" s="17" t="n">
        <x:f>ROUND(L2523*'Costing'!$C$4,2)</x:f>
        <x:v>8100</x:v>
      </x:c>
      <x:c r="N2523" s="17" t="n">
        <x:f>L2523+M2523</x:f>
        <x:v>53100</x:v>
      </x:c>
      <x:c r="O2523" s="12" t="str">
        <x:v>Delhi NCR</x:v>
      </x:c>
      <x:c r="P2523" s="12" t="str">
        <x:v>CORP-0362</x:v>
      </x:c>
      <x:c r="Q2523" s="12" t="str">
        <x:v>Tectura India</x:v>
      </x:c>
    </x:row>
    <x:row r="2524" ht="48" customHeight="1">
      <x:c r="A2524" s="2" t="str">
        <x:v>TEN-142E170DC497</x:v>
      </x:c>
      <x:c r="B2524" s="12" t="str">
        <x:v>Tek Hummingbird Pvt Ltd</x:v>
      </x:c>
      <x:c r="C2524" s="12" t="str">
        <x:v>Business / brand</x:v>
      </x:c>
      <x:c r="D2524" s="12" t="str">
        <x:v>Unresolved</x:v>
      </x:c>
      <x:c r="E2524" s="12" t="str">
        <x:v>Business activity not established</x:v>
      </x:c>
      <x:c r="F2524" s="12" t="str">
        <x:v>Mixed business audience</x:v>
      </x:c>
      <x:c r="G2524" s="12" t="str">
        <x:v>Business activity and company scale are not established from this name.</x:v>
      </x:c>
      <x:c r="H2524" s="11" t="n">
        <x:v>1</x:v>
      </x:c>
      <x:c r="I2524" s="11" t="n">
        <x:v>8</x:v>
      </x:c>
      <x:c r="J2524" s="11" t="n">
        <x:v>8</x:v>
      </x:c>
      <x:c r="K2524" s="11" t="n">
        <x:v>0</x:v>
      </x:c>
      <x:c r="L2524" s="17" t="n">
        <x:f>SUM(SUMIFS('Costing'!$P$9:$P$492,'Costing'!$A$9:$A$492,"MAIN-059"))</x:f>
        <x:v>120000</x:v>
      </x:c>
      <x:c r="M2524" s="17" t="n">
        <x:f>ROUND(L2524*'Costing'!$C$4,2)</x:f>
        <x:v>21600</x:v>
      </x:c>
      <x:c r="N2524" s="17" t="n">
        <x:f>L2524+M2524</x:f>
        <x:v>141600</x:v>
      </x:c>
      <x:c r="O2524" s="12" t="str">
        <x:v>Bengaluru</x:v>
      </x:c>
      <x:c r="P2524" s="12" t="str">
        <x:v>CORP-0055</x:v>
      </x:c>
      <x:c r="Q2524" s="12" t="str">
        <x:v>Tek Hummingbird Pvt Ltd</x:v>
      </x:c>
    </x:row>
    <x:row r="2525" ht="48" customHeight="1">
      <x:c r="A2525" s="2" t="str">
        <x:v>TEN-D23268DCF54E</x:v>
      </x:c>
      <x:c r="B2525" s="12" t="str">
        <x:v>Tek Tree Software Solutions</x:v>
      </x:c>
      <x:c r="C2525" s="12" t="str">
        <x:v>Business / brand</x:v>
      </x:c>
      <x:c r="D2525" s="12" t="str">
        <x:v>IT &amp; digital</x:v>
      </x:c>
      <x:c r="E2525" s="12" t="str">
        <x:v>Enterprise software &amp; digital engineering</x:v>
      </x:c>
      <x:c r="F2525" s="12" t="str">
        <x:v>Small-scale prospects</x:v>
      </x:c>
      <x:c r="G2525" s="12" t="str">
        <x:v>Software or technology-services business; small-scale prospect assumption.</x:v>
      </x:c>
      <x:c r="H2525" s="11" t="n">
        <x:v>1</x:v>
      </x:c>
      <x:c r="I2525" s="11" t="n">
        <x:v>5</x:v>
      </x:c>
      <x:c r="J2525" s="11" t="n">
        <x:v>5</x:v>
      </x:c>
      <x:c r="K2525" s="11" t="n">
        <x:v>0</x:v>
      </x:c>
      <x:c r="L2525" s="17" t="n">
        <x:f>SUM(SUMIFS('Costing'!$P$9:$P$492,'Costing'!$A$9:$A$492,"MAIN-258"))</x:f>
        <x:v>200000</x:v>
      </x:c>
      <x:c r="M2525" s="17" t="n">
        <x:f>ROUND(L2525*'Costing'!$C$4,2)</x:f>
        <x:v>36000</x:v>
      </x:c>
      <x:c r="N2525" s="17" t="n">
        <x:f>L2525+M2525</x:f>
        <x:v>236000</x:v>
      </x:c>
      <x:c r="O2525" s="12" t="str">
        <x:v>Hyderabad</x:v>
      </x:c>
      <x:c r="P2525" s="12" t="str">
        <x:v>CORP-0254</x:v>
      </x:c>
      <x:c r="Q2525" s="12" t="str">
        <x:v>Tek Tree Software Solutions</x:v>
      </x:c>
    </x:row>
    <x:row r="2526" ht="48" customHeight="1">
      <x:c r="A2526" s="2" t="str">
        <x:v>TEN-B2390264A2E8</x:v>
      </x:c>
      <x:c r="B2526" s="12" t="str">
        <x:v>Tekion</x:v>
      </x:c>
      <x:c r="C2526" s="12" t="str">
        <x:v>Business / brand</x:v>
      </x:c>
      <x:c r="D2526" s="12" t="str">
        <x:v>IT &amp; digital</x:v>
      </x:c>
      <x:c r="E2526" s="12" t="str">
        <x:v>Enterprise software &amp; digital engineering</x:v>
      </x:c>
      <x:c r="F2526" s="12" t="str">
        <x:v>Mixed business audience</x:v>
      </x:c>
      <x:c r="G2526" s="12" t="str">
        <x:v>Established brand or business network; local company scale is not established. Use a mixed-business message.</x:v>
      </x:c>
      <x:c r="H2526" s="11" t="n">
        <x:v>8</x:v>
      </x:c>
      <x:c r="I2526" s="11" t="n">
        <x:v>8</x:v>
      </x:c>
      <x:c r="J2526" s="11" t="n">
        <x:v>8</x:v>
      </x:c>
      <x:c r="K2526" s="11" t="n">
        <x:v>0</x:v>
      </x:c>
      <x:c r="L2526" s="17" t="n">
        <x:f>SUM(SUMIFS('Costing'!$P$9:$P$492,'Costing'!$A$9:$A$492,"PARTNER-M146"))</x:f>
        <x:v>320000</x:v>
      </x:c>
      <x:c r="M2526" s="17" t="n">
        <x:f>ROUND(L2526*'Costing'!$C$4,2)</x:f>
        <x:v>57600</x:v>
      </x:c>
      <x:c r="N2526" s="17" t="n">
        <x:f>L2526+M2526</x:f>
        <x:v>377600</x:v>
      </x:c>
      <x:c r="O2526" s="12" t="str">
        <x:v>Bengaluru</x:v>
      </x:c>
      <x:c r="P2526" s="12" t="str">
        <x:v>CORP-0564, CORP-0565, CORP-0566, CORP-0567, CORP-0568, CORP-0569, CORP-0570, CORP-0571</x:v>
      </x:c>
      <x:c r="Q2526" s="12" t="str">
        <x:v>Tekion</x:v>
      </x:c>
    </x:row>
    <x:row r="2527" ht="48" customHeight="1">
      <x:c r="A2527" s="2" t="str">
        <x:v>TEN-30F6A61A31C7</x:v>
      </x:c>
      <x:c r="B2527" s="12" t="str">
        <x:v>Teksystems Global Services</x:v>
      </x:c>
      <x:c r="C2527" s="12" t="str">
        <x:v>Business / brand</x:v>
      </x:c>
      <x:c r="D2527" s="12" t="str">
        <x:v>Professional services</x:v>
      </x:c>
      <x:c r="E2527" s="12" t="str">
        <x:v>Professional services — specialty unverified</x:v>
      </x:c>
      <x:c r="F2527" s="12" t="str">
        <x:v>Mixed business audience</x:v>
      </x:c>
      <x:c r="G2527" s="12" t="str">
        <x:v>Recognisable business context; company-scale evidence remains insufficient for a single size band.</x:v>
      </x:c>
      <x:c r="H2527" s="11" t="n">
        <x:v>5</x:v>
      </x:c>
      <x:c r="I2527" s="11" t="n">
        <x:v>5</x:v>
      </x:c>
      <x:c r="J2527" s="11" t="n">
        <x:v>5</x:v>
      </x:c>
      <x:c r="K2527" s="11" t="n">
        <x:v>0</x:v>
      </x:c>
      <x:c r="L2527" s="17" t="n">
        <x:f>SUM(SUMIFS('Costing'!$P$9:$P$492,'Costing'!$A$9:$A$492,"PARTNER-M295"))</x:f>
        <x:v>200000</x:v>
      </x:c>
      <x:c r="M2527" s="17" t="n">
        <x:f>ROUND(L2527*'Costing'!$C$4,2)</x:f>
        <x:v>36000</x:v>
      </x:c>
      <x:c r="N2527" s="17" t="n">
        <x:f>L2527+M2527</x:f>
        <x:v>236000</x:v>
      </x:c>
      <x:c r="O2527" s="12" t="str">
        <x:v>Hyderabad</x:v>
      </x:c>
      <x:c r="P2527" s="12" t="str">
        <x:v>CORP-0710, CORP-0711, CORP-0712, CORP-0713, CORP-0714</x:v>
      </x:c>
      <x:c r="Q2527" s="12" t="str">
        <x:v>Teksystems Global Services</x:v>
      </x:c>
    </x:row>
    <x:row r="2528" ht="48" customHeight="1">
      <x:c r="A2528" s="2" t="str">
        <x:v>TEN-3A4504E28AA9</x:v>
      </x:c>
      <x:c r="B2528" s="12" t="str">
        <x:v>Telco</x:v>
      </x:c>
      <x:c r="C2528" s="12" t="str">
        <x:v>Business / brand</x:v>
      </x:c>
      <x:c r="D2528" s="12" t="str">
        <x:v>Unresolved</x:v>
      </x:c>
      <x:c r="E2528" s="12" t="str">
        <x:v>Business activity not established</x:v>
      </x:c>
      <x:c r="F2528" s="12" t="str">
        <x:v>Mixed business audience</x:v>
      </x:c>
      <x:c r="G2528" s="12" t="str">
        <x:v>Business activity and company scale are not established from this name.</x:v>
      </x:c>
      <x:c r="H2528" s="11" t="n">
        <x:v>1</x:v>
      </x:c>
      <x:c r="I2528" s="11" t="n">
        <x:v>1</x:v>
      </x:c>
      <x:c r="J2528" s="11" t="n">
        <x:v>1</x:v>
      </x:c>
      <x:c r="K2528" s="11" t="n">
        <x:v>0</x:v>
      </x:c>
      <x:c r="L2528" s="17" t="n">
        <x:f>SUM(SUMIFS('Costing'!$P$9:$P$492,'Costing'!$A$9:$A$492,"MAIN-035"))</x:f>
        <x:v>15000</x:v>
      </x:c>
      <x:c r="M2528" s="17" t="n">
        <x:f>ROUND(L2528*'Costing'!$C$4,2)</x:f>
        <x:v>2700</x:v>
      </x:c>
      <x:c r="N2528" s="17" t="n">
        <x:f>L2528+M2528</x:f>
        <x:v>17700</x:v>
      </x:c>
      <x:c r="O2528" s="12" t="str">
        <x:v>Bengaluru</x:v>
      </x:c>
      <x:c r="P2528" s="12" t="str">
        <x:v>CORP-0031</x:v>
      </x:c>
      <x:c r="Q2528" s="12" t="str">
        <x:v>Telco</x:v>
      </x:c>
    </x:row>
    <x:row r="2529" ht="48" customHeight="1">
      <x:c r="A2529" s="2" t="str">
        <x:v>TEN-E8D0DB07FC5C</x:v>
      </x:c>
      <x:c r="B2529" s="12" t="str">
        <x:v>Teleperformance Hyderabad</x:v>
      </x:c>
      <x:c r="C2529" s="12" t="str">
        <x:v>Business / brand</x:v>
      </x:c>
      <x:c r="D2529" s="12" t="str">
        <x:v>IT &amp; digital</x:v>
      </x:c>
      <x:c r="E2529" s="12" t="str">
        <x:v>Business process &amp; customer operations</x:v>
      </x:c>
      <x:c r="F2529" s="12" t="str">
        <x:v>Mixed business audience</x:v>
      </x:c>
      <x:c r="G2529" s="12" t="str">
        <x:v>Recognisable business context; company-scale evidence remains insufficient for a single size band.</x:v>
      </x:c>
      <x:c r="H2529" s="11" t="n">
        <x:v>1</x:v>
      </x:c>
      <x:c r="I2529" s="11" t="n">
        <x:v>2</x:v>
      </x:c>
      <x:c r="J2529" s="11" t="n">
        <x:v>2</x:v>
      </x:c>
      <x:c r="K2529" s="11" t="n">
        <x:v>0</x:v>
      </x:c>
      <x:c r="L2529" s="17" t="n">
        <x:f>SUM(SUMIFS('Costing'!$P$9:$P$492,'Costing'!$A$9:$A$492,"MAIN-242"))</x:f>
        <x:v>30000</x:v>
      </x:c>
      <x:c r="M2529" s="17" t="n">
        <x:f>ROUND(L2529*'Costing'!$C$4,2)</x:f>
        <x:v>5400</x:v>
      </x:c>
      <x:c r="N2529" s="17" t="n">
        <x:f>L2529+M2529</x:f>
        <x:v>35400</x:v>
      </x:c>
      <x:c r="O2529" s="12" t="str">
        <x:v>Hyderabad</x:v>
      </x:c>
      <x:c r="P2529" s="12" t="str">
        <x:v>CORP-0238</x:v>
      </x:c>
      <x:c r="Q2529" s="12" t="str">
        <x:v>Teleperformance Hyderabad</x:v>
      </x:c>
    </x:row>
    <x:row r="2530" ht="48" customHeight="1">
      <x:c r="A2530" s="2" t="str">
        <x:v>TEN-5D77DB2A2906</x:v>
      </x:c>
      <x:c r="B2530" s="12" t="str">
        <x:v>Telia</x:v>
      </x:c>
      <x:c r="C2530" s="12" t="str">
        <x:v>Business / brand</x:v>
      </x:c>
      <x:c r="D2530" s="12" t="str">
        <x:v>Unresolved</x:v>
      </x:c>
      <x:c r="E2530" s="12" t="str">
        <x:v>Business activity not established</x:v>
      </x:c>
      <x:c r="F2530" s="12" t="str">
        <x:v>Mixed business audience</x:v>
      </x:c>
      <x:c r="G2530" s="12" t="str">
        <x:v>Business activity and company scale are not established from this name.</x:v>
      </x:c>
      <x:c r="H2530" s="11" t="n">
        <x:v>9</x:v>
      </x:c>
      <x:c r="I2530" s="11" t="n">
        <x:v>9</x:v>
      </x:c>
      <x:c r="J2530" s="11" t="n">
        <x:v>9</x:v>
      </x:c>
      <x:c r="K2530" s="11" t="n">
        <x:v>0</x:v>
      </x:c>
      <x:c r="L2530" s="17" t="n">
        <x:f>SUM(SUMIFS('Costing'!$P$9:$P$492,'Costing'!$A$9:$A$492,"PARTNER-M002"))</x:f>
        <x:v>360000</x:v>
      </x:c>
      <x:c r="M2530" s="17" t="n">
        <x:f>ROUND(L2530*'Costing'!$C$4,2)</x:f>
        <x:v>64800</x:v>
      </x:c>
      <x:c r="N2530" s="17" t="n">
        <x:f>L2530+M2530</x:f>
        <x:v>424800</x:v>
      </x:c>
      <x:c r="O2530" s="12" t="str">
        <x:v>Bengaluru</x:v>
      </x:c>
      <x:c r="P2530" s="12" t="str">
        <x:v>CORP-0420, CORP-0421, CORP-0422, CORP-0423, CORP-0424, CORP-0425, CORP-0426, CORP-0427, CORP-0428</x:v>
      </x:c>
      <x:c r="Q2530" s="12" t="str">
        <x:v>Telia</x:v>
      </x:c>
    </x:row>
    <x:row r="2531" ht="48" customHeight="1">
      <x:c r="A2531" s="2" t="str">
        <x:v>TEN-9CF8C9635F36</x:v>
      </x:c>
      <x:c r="B2531" s="12" t="str">
        <x:v>Teradata</x:v>
      </x:c>
      <x:c r="C2531" s="12" t="str">
        <x:v>Business / brand</x:v>
      </x:c>
      <x:c r="D2531" s="12" t="str">
        <x:v>IT &amp; digital</x:v>
      </x:c>
      <x:c r="E2531" s="12" t="str">
        <x:v>Technology services — specialty unverified</x:v>
      </x:c>
      <x:c r="F2531" s="12" t="str">
        <x:v>Mixed business audience</x:v>
      </x:c>
      <x:c r="G2531" s="12" t="str">
        <x:v>Recognisable business context; company-scale evidence remains insufficient for a single size band.</x:v>
      </x:c>
      <x:c r="H2531" s="11" t="n">
        <x:v>10</x:v>
      </x:c>
      <x:c r="I2531" s="11" t="n">
        <x:v>21</x:v>
      </x:c>
      <x:c r="J2531" s="11" t="n">
        <x:v>21</x:v>
      </x:c>
      <x:c r="K2531" s="11" t="n">
        <x:v>0</x:v>
      </x:c>
      <x:c r="L2531" s="17" t="n">
        <x:f>SUM(SUMIFS('Costing'!$P$9:$P$492,'Costing'!$A$9:$A$492,"MAIN-337"),SUMIFS('Costing'!$P$9:$P$492,'Costing'!$A$9:$A$492,"PARTNER-M252"))</x:f>
        <x:v>750000</x:v>
      </x:c>
      <x:c r="M2531" s="17" t="n">
        <x:f>ROUND(L2531*'Costing'!$C$4,2)</x:f>
        <x:v>135000</x:v>
      </x:c>
      <x:c r="N2531" s="17" t="n">
        <x:f>L2531+M2531</x:f>
        <x:v>885000</x:v>
      </x:c>
      <x:c r="O2531" s="12" t="str">
        <x:v>Mumbai, Pune</x:v>
      </x:c>
      <x:c r="P2531" s="12" t="str">
        <x:v>CORP-0333, CORP-0668, CORP-0669, CORP-0670, CORP-0671, CORP-0672, CORP-0673, CORP-0674, CORP-0675, CORP-0676</x:v>
      </x:c>
      <x:c r="Q2531" s="12" t="str">
        <x:v>Teradata</x:v>
      </x:c>
    </x:row>
    <x:row r="2532" ht="48" customHeight="1">
      <x:c r="A2532" s="2" t="str">
        <x:v>TEN-0C9871ACDD81</x:v>
      </x:c>
      <x:c r="B2532" s="12" t="str">
        <x:v>Terkar Capital Mumbai</x:v>
      </x:c>
      <x:c r="C2532" s="12" t="str">
        <x:v>Business / brand</x:v>
      </x:c>
      <x:c r="D2532" s="12" t="str">
        <x:v>Finance &amp; insurance</x:v>
      </x:c>
      <x:c r="E2532" s="12" t="str">
        <x:v>Investments, securities &amp; wealth</x:v>
      </x:c>
      <x:c r="F2532" s="12" t="str">
        <x:v>Medium-scale prospects</x:v>
      </x:c>
      <x:c r="G2532" s="12" t="str">
        <x:v>Specialist financial-services business; medium-scale prospect assumption.</x:v>
      </x:c>
      <x:c r="H2532" s="11" t="n">
        <x:v>3</x:v>
      </x:c>
      <x:c r="I2532" s="11" t="n">
        <x:v>3</x:v>
      </x:c>
      <x:c r="J2532" s="11" t="n">
        <x:v>3</x:v>
      </x:c>
      <x:c r="K2532" s="11" t="n">
        <x:v>0</x:v>
      </x:c>
      <x:c r="L2532" s="17" t="n">
        <x:f>SUM(SUMIFS('Costing'!$P$9:$P$492,'Costing'!$A$9:$A$492,"PARTNER-M175"))</x:f>
        <x:v>120000</x:v>
      </x:c>
      <x:c r="M2532" s="17" t="n">
        <x:f>ROUND(L2532*'Costing'!$C$4,2)</x:f>
        <x:v>21600</x:v>
      </x:c>
      <x:c r="N2532" s="17" t="n">
        <x:f>L2532+M2532</x:f>
        <x:v>141600</x:v>
      </x:c>
      <x:c r="O2532" s="12" t="str">
        <x:v>Mumbai</x:v>
      </x:c>
      <x:c r="P2532" s="12" t="str">
        <x:v>CORP-0592, CORP-0593, CORP-0594</x:v>
      </x:c>
      <x:c r="Q2532" s="12" t="str">
        <x:v>Terkar Capital Mumbai</x:v>
      </x:c>
    </x:row>
    <x:row r="2533" ht="48" customHeight="1">
      <x:c r="A2533" s="2" t="str">
        <x:v>TEN-A2107A1D62E5</x:v>
      </x:c>
      <x:c r="B2533" s="12" t="str">
        <x:v>Terralenze</x:v>
      </x:c>
      <x:c r="C2533" s="12" t="str">
        <x:v>Business / brand</x:v>
      </x:c>
      <x:c r="D2533" s="12" t="str">
        <x:v>Unresolved</x:v>
      </x:c>
      <x:c r="E2533" s="12" t="str">
        <x:v>Business activity not established</x:v>
      </x:c>
      <x:c r="F2533" s="12" t="str">
        <x:v>Mixed business audience</x:v>
      </x:c>
      <x:c r="G2533" s="12" t="str">
        <x:v>Business activity and company scale are not established from this name.</x:v>
      </x:c>
      <x:c r="H2533" s="11" t="n">
        <x:v>1</x:v>
      </x:c>
      <x:c r="I2533" s="11" t="n">
        <x:v>2</x:v>
      </x:c>
      <x:c r="J2533" s="11" t="n">
        <x:v>2</x:v>
      </x:c>
      <x:c r="K2533" s="11" t="n">
        <x:v>0</x:v>
      </x:c>
      <x:c r="L2533" s="17" t="n">
        <x:f>SUM(SUMIFS('Costing'!$P$9:$P$492,'Costing'!$A$9:$A$492,"MAIN-298"))</x:f>
        <x:v>30000</x:v>
      </x:c>
      <x:c r="M2533" s="17" t="n">
        <x:f>ROUND(L2533*'Costing'!$C$4,2)</x:f>
        <x:v>5400</x:v>
      </x:c>
      <x:c r="N2533" s="17" t="n">
        <x:f>L2533+M2533</x:f>
        <x:v>35400</x:v>
      </x:c>
      <x:c r="O2533" s="12" t="str">
        <x:v>Mumbai</x:v>
      </x:c>
      <x:c r="P2533" s="12" t="str">
        <x:v>CORP-0294</x:v>
      </x:c>
      <x:c r="Q2533" s="12" t="str">
        <x:v>Terralenze</x:v>
      </x:c>
    </x:row>
    <x:row r="2534" ht="48" customHeight="1">
      <x:c r="A2534" s="2" t="str">
        <x:v>TEN-A04AEB75F5F5</x:v>
      </x:c>
      <x:c r="B2534" s="12" t="str">
        <x:v>Tessuti Industries</x:v>
      </x:c>
      <x:c r="C2534" s="12" t="str">
        <x:v>Business / brand</x:v>
      </x:c>
      <x:c r="D2534" s="12" t="str">
        <x:v>Engineering &amp; manufacturing</x:v>
      </x:c>
      <x:c r="E2534" s="12" t="str">
        <x:v>Electronics, industrial systems &amp; manufacturing</x:v>
      </x:c>
      <x:c r="F2534" s="12" t="str">
        <x:v>Medium-scale prospects</x:v>
      </x:c>
      <x:c r="G2534" s="12" t="str">
        <x:v>Specialist industrial or engineering business; medium-scale prospect assumption.</x:v>
      </x:c>
      <x:c r="H2534" s="11" t="n">
        <x:v>4</x:v>
      </x:c>
      <x:c r="I2534" s="11" t="n">
        <x:v>4</x:v>
      </x:c>
      <x:c r="J2534" s="11" t="n">
        <x:v>4</x:v>
      </x:c>
      <x:c r="K2534" s="11" t="n">
        <x:v>0</x:v>
      </x:c>
      <x:c r="L2534" s="17" t="n">
        <x:f>SUM(SUMIFS('Costing'!$P$9:$P$492,'Costing'!$A$9:$A$492,"PARTNER-M247"))</x:f>
        <x:v>160000</x:v>
      </x:c>
      <x:c r="M2534" s="17" t="n">
        <x:f>ROUND(L2534*'Costing'!$C$4,2)</x:f>
        <x:v>28800</x:v>
      </x:c>
      <x:c r="N2534" s="17" t="n">
        <x:f>L2534+M2534</x:f>
        <x:v>188800</x:v>
      </x:c>
      <x:c r="O2534" s="12" t="str">
        <x:v>Mumbai</x:v>
      </x:c>
      <x:c r="P2534" s="12" t="str">
        <x:v>CORP-0664, CORP-0665, CORP-0666, CORP-0667</x:v>
      </x:c>
      <x:c r="Q2534" s="12" t="str">
        <x:v>Tessuti Industries</x:v>
      </x:c>
    </x:row>
    <x:row r="2535" ht="48" customHeight="1">
      <x:c r="A2535" s="2" t="str">
        <x:v>TEN-D9B515FBCE89</x:v>
      </x:c>
      <x:c r="B2535" s="12" t="str">
        <x:v>Testrig Technologies</x:v>
      </x:c>
      <x:c r="C2535" s="12" t="str">
        <x:v>Business / brand</x:v>
      </x:c>
      <x:c r="D2535" s="12" t="str">
        <x:v>IT &amp; digital</x:v>
      </x:c>
      <x:c r="E2535" s="12" t="str">
        <x:v>Enterprise software &amp; digital engineering</x:v>
      </x:c>
      <x:c r="F2535" s="12" t="str">
        <x:v>Small-scale prospects</x:v>
      </x:c>
      <x:c r="G2535" s="12" t="str">
        <x:v>Software or technology-services business; small-scale prospect assumption.</x:v>
      </x:c>
      <x:c r="H2535" s="11" t="n">
        <x:v>4</x:v>
      </x:c>
      <x:c r="I2535" s="11" t="n">
        <x:v>4</x:v>
      </x:c>
      <x:c r="J2535" s="11" t="n">
        <x:v>4</x:v>
      </x:c>
      <x:c r="K2535" s="11" t="n">
        <x:v>0</x:v>
      </x:c>
      <x:c r="L2535" s="17" t="n">
        <x:f>SUM(SUMIFS('Costing'!$P$9:$P$492,'Costing'!$A$9:$A$492,"PARTNER-M261"))</x:f>
        <x:v>160000</x:v>
      </x:c>
      <x:c r="M2535" s="17" t="n">
        <x:f>ROUND(L2535*'Costing'!$C$4,2)</x:f>
        <x:v>28800</x:v>
      </x:c>
      <x:c r="N2535" s="17" t="n">
        <x:f>L2535+M2535</x:f>
        <x:v>188800</x:v>
      </x:c>
      <x:c r="O2535" s="12" t="str">
        <x:v>Pune</x:v>
      </x:c>
      <x:c r="P2535" s="12" t="str">
        <x:v>CORP-0677, CORP-0678, CORP-0679, CORP-0680</x:v>
      </x:c>
      <x:c r="Q2535" s="12" t="str">
        <x:v>Testrig Technologies</x:v>
      </x:c>
    </x:row>
    <x:row r="2536" ht="49" customHeight="1">
      <x:c r="A2536" s="2" t="str">
        <x:v>TEN-7AD6D135A07F</x:v>
      </x:c>
      <x:c r="B2536" s="12" t="str">
        <x:v>Texas Instrument</x:v>
      </x:c>
      <x:c r="C2536" s="12" t="str">
        <x:v>Business / brand</x:v>
      </x:c>
      <x:c r="D2536" s="12" t="str">
        <x:v>Engineering &amp; manufacturing</x:v>
      </x:c>
      <x:c r="E2536" s="12" t="str">
        <x:v>Semiconductors, electronics &amp; equipment</x:v>
      </x:c>
      <x:c r="F2536" s="12" t="str">
        <x:v>Mixed business audience</x:v>
      </x:c>
      <x:c r="G2536" s="12" t="str">
        <x:v>Recognisable business context; company-scale evidence remains insufficient for a single size band.</x:v>
      </x:c>
      <x:c r="H2536" s="11" t="n">
        <x:v>12</x:v>
      </x:c>
      <x:c r="I2536" s="11" t="n">
        <x:v>12</x:v>
      </x:c>
      <x:c r="J2536" s="11" t="n">
        <x:v>12</x:v>
      </x:c>
      <x:c r="K2536" s="11" t="n">
        <x:v>0</x:v>
      </x:c>
      <x:c r="L2536" s="17" t="n">
        <x:f>SUM(SUMIFS('Costing'!$P$9:$P$492,'Costing'!$A$9:$A$492,"PARTNER-M108"))</x:f>
        <x:v>480000</x:v>
      </x:c>
      <x:c r="M2536" s="17" t="n">
        <x:f>ROUND(L2536*'Costing'!$C$4,2)</x:f>
        <x:v>86400</x:v>
      </x:c>
      <x:c r="N2536" s="17" t="n">
        <x:f>L2536+M2536</x:f>
        <x:v>566400</x:v>
      </x:c>
      <x:c r="O2536" s="12" t="str">
        <x:v>Bengaluru</x:v>
      </x:c>
      <x:c r="P2536" s="12" t="str">
        <x:v>CORP-0526, CORP-0527, CORP-0528, CORP-0529, CORP-0530, CORP-0531, CORP-0532, CORP-0533, CORP-0534, CORP-0535, CORP-0536, CORP-0537</x:v>
      </x:c>
      <x:c r="Q2536" s="12" t="str">
        <x:v>Texas Instrument</x:v>
      </x:c>
    </x:row>
    <x:row r="2537" ht="48" customHeight="1">
      <x:c r="A2537" s="2" t="str">
        <x:v>TEN-0D3128AFC517</x:v>
      </x:c>
      <x:c r="B2537" s="12" t="str">
        <x:v>Texila Educational &amp; Management Services Pvt Ltd</x:v>
      </x:c>
      <x:c r="C2537" s="12" t="str">
        <x:v>Business / brand</x:v>
      </x:c>
      <x:c r="D2537" s="12" t="str">
        <x:v>Education</x:v>
      </x:c>
      <x:c r="E2537" s="12" t="str">
        <x:v>Edtech, training &amp; learning</x:v>
      </x:c>
      <x:c r="F2537" s="12" t="str">
        <x:v>Small-scale prospects</x:v>
      </x:c>
      <x:c r="G2537" s="12" t="str">
        <x:v>Training or education-services business; small-scale prospect assumption.</x:v>
      </x:c>
      <x:c r="H2537" s="11" t="n">
        <x:v>5</x:v>
      </x:c>
      <x:c r="I2537" s="11" t="n">
        <x:v>5</x:v>
      </x:c>
      <x:c r="J2537" s="11" t="n">
        <x:v>5</x:v>
      </x:c>
      <x:c r="K2537" s="11" t="n">
        <x:v>0</x:v>
      </x:c>
      <x:c r="L2537" s="17" t="n">
        <x:f>SUM(SUMIFS('Costing'!$P$9:$P$492,'Costing'!$A$9:$A$492,"PARTNER-M060"))</x:f>
        <x:v>200000</x:v>
      </x:c>
      <x:c r="M2537" s="17" t="n">
        <x:f>ROUND(L2537*'Costing'!$C$4,2)</x:f>
        <x:v>36000</x:v>
      </x:c>
      <x:c r="N2537" s="17" t="n">
        <x:f>L2537+M2537</x:f>
        <x:v>236000</x:v>
      </x:c>
      <x:c r="O2537" s="12" t="str">
        <x:v>Bengaluru</x:v>
      </x:c>
      <x:c r="P2537" s="12" t="str">
        <x:v>CORP-0478, CORP-0479, CORP-0480, CORP-0481, CORP-0482</x:v>
      </x:c>
      <x:c r="Q2537" s="12" t="str">
        <x:v>Texila Educational &amp; Management Services Pvt Ltd</x:v>
      </x:c>
    </x:row>
    <x:row r="2538" ht="48" customHeight="1">
      <x:c r="A2538" s="2" t="str">
        <x:v>TEN-BCA1134C91EB</x:v>
      </x:c>
      <x:c r="B2538" s="12" t="str">
        <x:v>Texport Syndicate Private Limited</x:v>
      </x:c>
      <x:c r="C2538" s="12" t="str">
        <x:v>Business / brand</x:v>
      </x:c>
      <x:c r="D2538" s="12" t="str">
        <x:v>Engineering &amp; manufacturing</x:v>
      </x:c>
      <x:c r="E2538" s="12" t="str">
        <x:v>Electronics, industrial systems &amp; manufacturing</x:v>
      </x:c>
      <x:c r="F2538" s="12" t="str">
        <x:v>Medium-scale prospects</x:v>
      </x:c>
      <x:c r="G2538" s="12" t="str">
        <x:v>Specialist industrial or engineering business; medium-scale prospect assumption.</x:v>
      </x:c>
      <x:c r="H2538" s="11" t="n">
        <x:v>1</x:v>
      </x:c>
      <x:c r="I2538" s="11" t="n">
        <x:v>2</x:v>
      </x:c>
      <x:c r="J2538" s="11" t="n">
        <x:v>2</x:v>
      </x:c>
      <x:c r="K2538" s="11" t="n">
        <x:v>0</x:v>
      </x:c>
      <x:c r="L2538" s="17" t="n">
        <x:f>SUM(SUMIFS('Costing'!$P$9:$P$492,'Costing'!$A$9:$A$492,"MAIN-316"))</x:f>
        <x:v>40000</x:v>
      </x:c>
      <x:c r="M2538" s="17" t="n">
        <x:f>ROUND(L2538*'Costing'!$C$4,2)</x:f>
        <x:v>7200</x:v>
      </x:c>
      <x:c r="N2538" s="17" t="n">
        <x:f>L2538+M2538</x:f>
        <x:v>47200</x:v>
      </x:c>
      <x:c r="O2538" s="12" t="str">
        <x:v>Mumbai</x:v>
      </x:c>
      <x:c r="P2538" s="12" t="str">
        <x:v>CORP-0312</x:v>
      </x:c>
      <x:c r="Q2538" s="12" t="str">
        <x:v>Texport Syndicate Private Limited</x:v>
      </x:c>
    </x:row>
    <x:row r="2539" ht="48" customHeight="1">
      <x:c r="A2539" s="2" t="str">
        <x:v>TEN-BBC77584AD9B</x:v>
      </x:c>
      <x:c r="B2539" s="12" t="str">
        <x:v>Textbelt Industries Pvt Ltd</x:v>
      </x:c>
      <x:c r="C2539" s="12" t="str">
        <x:v>Business / brand</x:v>
      </x:c>
      <x:c r="D2539" s="12" t="str">
        <x:v>Unresolved</x:v>
      </x:c>
      <x:c r="E2539" s="12" t="str">
        <x:v>Business activity not established</x:v>
      </x:c>
      <x:c r="F2539" s="12" t="str">
        <x:v>Mixed business audience</x:v>
      </x:c>
      <x:c r="G2539" s="12" t="str">
        <x:v>Business activity and company scale are not established from this name.</x:v>
      </x:c>
      <x:c r="H2539" s="11" t="n">
        <x:v>1</x:v>
      </x:c>
      <x:c r="I2539" s="11" t="n">
        <x:v>5</x:v>
      </x:c>
      <x:c r="J2539" s="11" t="n">
        <x:v>5</x:v>
      </x:c>
      <x:c r="K2539" s="11" t="n">
        <x:v>0</x:v>
      </x:c>
      <x:c r="L2539" s="17" t="n">
        <x:f>SUM(SUMIFS('Costing'!$P$9:$P$492,'Costing'!$A$9:$A$492,"MAIN-287"))</x:f>
        <x:v>75000</x:v>
      </x:c>
      <x:c r="M2539" s="17" t="n">
        <x:f>ROUND(L2539*'Costing'!$C$4,2)</x:f>
        <x:v>13500</x:v>
      </x:c>
      <x:c r="N2539" s="17" t="n">
        <x:f>L2539+M2539</x:f>
        <x:v>88500</x:v>
      </x:c>
      <x:c r="O2539" s="12" t="str">
        <x:v>Kolkata</x:v>
      </x:c>
      <x:c r="P2539" s="12" t="str">
        <x:v>CORP-0283</x:v>
      </x:c>
      <x:c r="Q2539" s="12" t="str">
        <x:v>Textbelt Industries Pvt Ltd</x:v>
      </x:c>
    </x:row>
    <x:row r="2540" ht="48" customHeight="1">
      <x:c r="A2540" s="2" t="str">
        <x:v>TEN-DAD83D548056</x:v>
      </x:c>
      <x:c r="B2540" s="12" t="str">
        <x:v>TG10X</x:v>
      </x:c>
      <x:c r="C2540" s="12" t="str">
        <x:v>Business / brand</x:v>
      </x:c>
      <x:c r="D2540" s="12" t="str">
        <x:v>Unresolved</x:v>
      </x:c>
      <x:c r="E2540" s="12" t="str">
        <x:v>Business activity not established</x:v>
      </x:c>
      <x:c r="F2540" s="12" t="str">
        <x:v>Mixed business audience</x:v>
      </x:c>
      <x:c r="G2540" s="12" t="str">
        <x:v>Business activity and company scale are not established from this name.</x:v>
      </x:c>
      <x:c r="H2540" s="11" t="n">
        <x:v>1</x:v>
      </x:c>
      <x:c r="I2540" s="11" t="n">
        <x:v>3</x:v>
      </x:c>
      <x:c r="J2540" s="11" t="n">
        <x:v>3</x:v>
      </x:c>
      <x:c r="K2540" s="11" t="n">
        <x:v>0</x:v>
      </x:c>
      <x:c r="L2540" s="17" t="n">
        <x:f>SUM(SUMIFS('Costing'!$P$9:$P$492,'Costing'!$A$9:$A$492,"MAIN-227"))</x:f>
        <x:v>45000</x:v>
      </x:c>
      <x:c r="M2540" s="17" t="n">
        <x:f>ROUND(L2540*'Costing'!$C$4,2)</x:f>
        <x:v>8100</x:v>
      </x:c>
      <x:c r="N2540" s="17" t="n">
        <x:f>L2540+M2540</x:f>
        <x:v>53100</x:v>
      </x:c>
      <x:c r="O2540" s="12" t="str">
        <x:v>Hyderabad</x:v>
      </x:c>
      <x:c r="P2540" s="12" t="str">
        <x:v>CORP-0223</x:v>
      </x:c>
      <x:c r="Q2540" s="12" t="str">
        <x:v>TG10X</x:v>
      </x:c>
    </x:row>
    <x:row r="2541" ht="48" customHeight="1">
      <x:c r="A2541" s="2" t="str">
        <x:v>TEN-E5ACEA4453C8</x:v>
      </x:c>
      <x:c r="B2541" s="12" t="str">
        <x:v>The BIZ LADY</x:v>
      </x:c>
      <x:c r="C2541" s="12" t="str">
        <x:v>Business / brand</x:v>
      </x:c>
      <x:c r="D2541" s="12" t="str">
        <x:v>Unresolved</x:v>
      </x:c>
      <x:c r="E2541" s="12" t="str">
        <x:v>Business activity not established</x:v>
      </x:c>
      <x:c r="F2541" s="12" t="str">
        <x:v>Mixed business audience</x:v>
      </x:c>
      <x:c r="G2541" s="12" t="str">
        <x:v>Business activity and company scale are not established from this name.</x:v>
      </x:c>
      <x:c r="H2541" s="11" t="n">
        <x:v>1</x:v>
      </x:c>
      <x:c r="I2541" s="11" t="n">
        <x:v>6</x:v>
      </x:c>
      <x:c r="J2541" s="11" t="n">
        <x:v>6</x:v>
      </x:c>
      <x:c r="K2541" s="11" t="n">
        <x:v>0</x:v>
      </x:c>
      <x:c r="L2541" s="17" t="n">
        <x:f>SUM(SUMIFS('Costing'!$P$9:$P$492,'Costing'!$A$9:$A$492,"MAIN-373"))</x:f>
        <x:v>240000</x:v>
      </x:c>
      <x:c r="M2541" s="17" t="n">
        <x:f>ROUND(L2541*'Costing'!$C$4,2)</x:f>
        <x:v>43200</x:v>
      </x:c>
      <x:c r="N2541" s="17" t="n">
        <x:f>L2541+M2541</x:f>
        <x:v>283200</x:v>
      </x:c>
      <x:c r="O2541" s="12" t="str">
        <x:v>Delhi NCR</x:v>
      </x:c>
      <x:c r="P2541" s="12" t="str">
        <x:v>CORP-0369</x:v>
      </x:c>
      <x:c r="Q2541" s="12" t="str">
        <x:v>The BIZ LADY</x:v>
      </x:c>
    </x:row>
    <x:row r="2542" ht="48" customHeight="1">
      <x:c r="A2542" s="2" t="str">
        <x:v>TEN-8A72227343A9</x:v>
      </x:c>
      <x:c r="B2542" s="12" t="str">
        <x:v>The Cash Pharmacy</x:v>
      </x:c>
      <x:c r="C2542" s="12" t="str">
        <x:v>Business / brand</x:v>
      </x:c>
      <x:c r="D2542" s="12" t="str">
        <x:v>Healthcare &amp; life sciences</x:v>
      </x:c>
      <x:c r="E2542" s="12" t="str">
        <x:v>Pharmaceuticals, biotechnology &amp; life sciences</x:v>
      </x:c>
      <x:c r="F2542" s="12" t="str">
        <x:v>Medium-scale prospects</x:v>
      </x:c>
      <x:c r="G2542" s="12" t="str">
        <x:v>Specialist life-sciences business; medium-scale prospect assumption.</x:v>
      </x:c>
      <x:c r="H2542" s="11" t="n">
        <x:v>9</x:v>
      </x:c>
      <x:c r="I2542" s="11" t="n">
        <x:v>9</x:v>
      </x:c>
      <x:c r="J2542" s="11" t="n">
        <x:v>9</x:v>
      </x:c>
      <x:c r="K2542" s="11" t="n">
        <x:v>0</x:v>
      </x:c>
      <x:c r="L2542" s="17" t="n">
        <x:f>SUM(SUMIFS('Costing'!$P$9:$P$492,'Costing'!$A$9:$A$492,"MAIN-073"),SUMIFS('Costing'!$P$9:$P$492,'Costing'!$A$9:$A$492,"PARTNER-M100"))</x:f>
        <x:v>360000</x:v>
      </x:c>
      <x:c r="M2542" s="17" t="n">
        <x:f>ROUND(L2542*'Costing'!$C$4,2)</x:f>
        <x:v>64800</x:v>
      </x:c>
      <x:c r="N2542" s="17" t="n">
        <x:f>L2542+M2542</x:f>
        <x:v>424800</x:v>
      </x:c>
      <x:c r="O2542" s="12" t="str">
        <x:v>Bengaluru</x:v>
      </x:c>
      <x:c r="P2542" s="12" t="str">
        <x:v>CORP-0069, CORP-0518, CORP-0519, CORP-0520, CORP-0521, CORP-0522, CORP-0523, CORP-0524, CORP-0525</x:v>
      </x:c>
      <x:c r="Q2542" s="12" t="str">
        <x:v>The Cash Pharmacy</x:v>
      </x:c>
    </x:row>
    <x:row r="2543" ht="48" customHeight="1">
      <x:c r="A2543" s="2" t="str">
        <x:v>TEN-09DD085FC8CC</x:v>
      </x:c>
      <x:c r="B2543" s="12" t="str">
        <x:v>The Crescent Group</x:v>
      </x:c>
      <x:c r="C2543" s="12" t="str">
        <x:v>Business / brand</x:v>
      </x:c>
      <x:c r="D2543" s="12" t="str">
        <x:v>Unresolved</x:v>
      </x:c>
      <x:c r="E2543" s="12" t="str">
        <x:v>Business activity not established</x:v>
      </x:c>
      <x:c r="F2543" s="12" t="str">
        <x:v>Mixed business audience</x:v>
      </x:c>
      <x:c r="G2543" s="12" t="str">
        <x:v>Business activity and company scale are not established from this name.</x:v>
      </x:c>
      <x:c r="H2543" s="11" t="n">
        <x:v>6</x:v>
      </x:c>
      <x:c r="I2543" s="11" t="n">
        <x:v>6</x:v>
      </x:c>
      <x:c r="J2543" s="11" t="n">
        <x:v>6</x:v>
      </x:c>
      <x:c r="K2543" s="11" t="n">
        <x:v>0</x:v>
      </x:c>
      <x:c r="L2543" s="17" t="n">
        <x:f>SUM(SUMIFS('Costing'!$P$9:$P$492,'Costing'!$A$9:$A$492,"PARTNER-M227"))</x:f>
        <x:v>240000</x:v>
      </x:c>
      <x:c r="M2543" s="17" t="n">
        <x:f>ROUND(L2543*'Costing'!$C$4,2)</x:f>
        <x:v>43200</x:v>
      </x:c>
      <x:c r="N2543" s="17" t="n">
        <x:f>L2543+M2543</x:f>
        <x:v>283200</x:v>
      </x:c>
      <x:c r="O2543" s="12" t="str">
        <x:v>Mumbai</x:v>
      </x:c>
      <x:c r="P2543" s="12" t="str">
        <x:v>CORP-0644, CORP-0645, CORP-0646, CORP-0647, CORP-0648, CORP-0649</x:v>
      </x:c>
      <x:c r="Q2543" s="12" t="str">
        <x:v>The Crescent Group</x:v>
      </x:c>
    </x:row>
    <x:row r="2544" ht="48" customHeight="1">
      <x:c r="A2544" s="2" t="str">
        <x:v>TEN-330E380FC660</x:v>
      </x:c>
      <x:c r="B2544" s="12" t="str">
        <x:v>The Dhanalakshmi Bank</x:v>
      </x:c>
      <x:c r="C2544" s="12" t="str">
        <x:v>Business / brand</x:v>
      </x:c>
      <x:c r="D2544" s="12" t="str">
        <x:v>Finance &amp; insurance</x:v>
      </x:c>
      <x:c r="E2544" s="12" t="str">
        <x:v>Banking &amp; credit</x:v>
      </x:c>
      <x:c r="F2544" s="12" t="str">
        <x:v>Mixed business audience</x:v>
      </x:c>
      <x:c r="G2544" s="12" t="str">
        <x:v>Established brand or business network; local company scale is not established. Use a mixed-business message.</x:v>
      </x:c>
      <x:c r="H2544" s="11" t="n">
        <x:v>9</x:v>
      </x:c>
      <x:c r="I2544" s="11" t="n">
        <x:v>9</x:v>
      </x:c>
      <x:c r="J2544" s="11" t="n">
        <x:v>9</x:v>
      </x:c>
      <x:c r="K2544" s="11" t="n">
        <x:v>0</x:v>
      </x:c>
      <x:c r="L2544" s="17" t="n">
        <x:f>SUM(SUMIFS('Costing'!$P$9:$P$492,'Costing'!$A$9:$A$492,"PARTNER-M002"))</x:f>
        <x:v>360000</x:v>
      </x:c>
      <x:c r="M2544" s="17" t="n">
        <x:f>ROUND(L2544*'Costing'!$C$4,2)</x:f>
        <x:v>64800</x:v>
      </x:c>
      <x:c r="N2544" s="17" t="n">
        <x:f>L2544+M2544</x:f>
        <x:v>424800</x:v>
      </x:c>
      <x:c r="O2544" s="12" t="str">
        <x:v>Bengaluru</x:v>
      </x:c>
      <x:c r="P2544" s="12" t="str">
        <x:v>CORP-0420, CORP-0421, CORP-0422, CORP-0423, CORP-0424, CORP-0425, CORP-0426, CORP-0427, CORP-0428</x:v>
      </x:c>
      <x:c r="Q2544" s="12" t="str">
        <x:v>The Dhanalakshmi Bank</x:v>
      </x:c>
    </x:row>
    <x:row r="2545" ht="48" customHeight="1">
      <x:c r="A2545" s="2" t="str">
        <x:v>TEN-46F3D8FACEF4</x:v>
      </x:c>
      <x:c r="B2545" s="12" t="str">
        <x:v>The Eighteen</x:v>
      </x:c>
      <x:c r="C2545" s="12" t="str">
        <x:v>Business / brand</x:v>
      </x:c>
      <x:c r="D2545" s="12" t="str">
        <x:v>Unresolved</x:v>
      </x:c>
      <x:c r="E2545" s="12" t="str">
        <x:v>Business activity not established</x:v>
      </x:c>
      <x:c r="F2545" s="12" t="str">
        <x:v>Mixed business audience</x:v>
      </x:c>
      <x:c r="G2545" s="12" t="str">
        <x:v>Business activity and company scale are not established from this name.</x:v>
      </x:c>
      <x:c r="H2545" s="11" t="n">
        <x:v>1</x:v>
      </x:c>
      <x:c r="I2545" s="11" t="n">
        <x:v>1</x:v>
      </x:c>
      <x:c r="J2545" s="11" t="n">
        <x:v>1</x:v>
      </x:c>
      <x:c r="K2545" s="11" t="n">
        <x:v>0</x:v>
      </x:c>
      <x:c r="L2545" s="17" t="n">
        <x:f>SUM(SUMIFS('Costing'!$P$9:$P$492,'Costing'!$A$9:$A$492,"MAIN-276"))</x:f>
        <x:v>20000</x:v>
      </x:c>
      <x:c r="M2545" s="17" t="n">
        <x:f>ROUND(L2545*'Costing'!$C$4,2)</x:f>
        <x:v>3600</x:v>
      </x:c>
      <x:c r="N2545" s="17" t="n">
        <x:f>L2545+M2545</x:f>
        <x:v>23600</x:v>
      </x:c>
      <x:c r="O2545" s="12" t="str">
        <x:v>Indore</x:v>
      </x:c>
      <x:c r="P2545" s="12" t="str">
        <x:v>CORP-0272</x:v>
      </x:c>
      <x:c r="Q2545" s="12" t="str">
        <x:v>The Eighteen</x:v>
      </x:c>
    </x:row>
    <x:row r="2546" ht="49" customHeight="1">
      <x:c r="A2546" s="2" t="str">
        <x:v>TEN-3821E9F1FF90</x:v>
      </x:c>
      <x:c r="B2546" s="12" t="str">
        <x:v>The Executive Centre</x:v>
      </x:c>
      <x:c r="C2546" s="12" t="str">
        <x:v>Workspace operator</x:v>
      </x:c>
      <x:c r="D2546" s="12" t="str">
        <x:v>Workspace &amp; property operations</x:v>
      </x:c>
      <x:c r="E2546" s="12" t="str">
        <x:v>Coworking/workspace operator</x:v>
      </x:c>
      <x:c r="F2546" s="12" t="str">
        <x:v>Mixed business audience</x:v>
      </x:c>
      <x:c r="G2546" s="12" t="str">
        <x:v>Supplied entry is a shared-workspace operator; the business sizes of occupant companies cannot be derived from the operator name.</x:v>
      </x:c>
      <x:c r="H2546" s="11" t="n">
        <x:v>6</x:v>
      </x:c>
      <x:c r="I2546" s="11" t="n">
        <x:v>7</x:v>
      </x:c>
      <x:c r="J2546" s="11" t="n">
        <x:v>7</x:v>
      </x:c>
      <x:c r="K2546" s="11" t="n">
        <x:v>0</x:v>
      </x:c>
      <x:c r="L2546" s="17" t="n">
        <x:f>SUM(SUMIFS('Costing'!$P$9:$P$492,'Costing'!$A$9:$A$492,"MAIN-063"),SUMIFS('Costing'!$P$9:$P$492,'Costing'!$A$9:$A$492,"PARTNER-M051"))</x:f>
        <x:v>280000</x:v>
      </x:c>
      <x:c r="M2546" s="17" t="n">
        <x:f>ROUND(L2546*'Costing'!$C$4,2)</x:f>
        <x:v>50400</x:v>
      </x:c>
      <x:c r="N2546" s="17" t="n">
        <x:f>L2546+M2546</x:f>
        <x:v>330400</x:v>
      </x:c>
      <x:c r="O2546" s="12" t="str">
        <x:v>Bengaluru</x:v>
      </x:c>
      <x:c r="P2546" s="12" t="str">
        <x:v>CORP-0059, CORP-0469, CORP-0470, CORP-0471, CORP-0472, CORP-0473</x:v>
      </x:c>
      <x:c r="Q2546" s="12" t="str">
        <x:v>The Executive Centre</x:v>
      </x:c>
    </x:row>
    <x:row r="2547" ht="48" customHeight="1">
      <x:c r="A2547" s="2" t="str">
        <x:v>TEN-3648B43DCA8B</x:v>
      </x:c>
      <x:c r="B2547" s="12" t="str">
        <x:v>The Game Ranch</x:v>
      </x:c>
      <x:c r="C2547" s="12" t="str">
        <x:v>Business / brand</x:v>
      </x:c>
      <x:c r="D2547" s="12" t="str">
        <x:v>Trade, consumer &amp; logistics</x:v>
      </x:c>
      <x:c r="E2547" s="12" t="str">
        <x:v>Entertainment, media &amp; events</x:v>
      </x:c>
      <x:c r="F2547" s="12" t="str">
        <x:v>Small-scale prospects</x:v>
      </x:c>
      <x:c r="G2547" s="12" t="str">
        <x:v>Trading or consumer-services business; small-scale prospect assumption.</x:v>
      </x:c>
      <x:c r="H2547" s="11" t="n">
        <x:v>1</x:v>
      </x:c>
      <x:c r="I2547" s="11" t="n">
        <x:v>1</x:v>
      </x:c>
      <x:c r="J2547" s="11" t="n">
        <x:v>1</x:v>
      </x:c>
      <x:c r="K2547" s="11" t="n">
        <x:v>0</x:v>
      </x:c>
      <x:c r="L2547" s="17" t="n">
        <x:f>SUM(SUMIFS('Costing'!$P$9:$P$492,'Costing'!$A$9:$A$492,"MAIN-334"))</x:f>
        <x:v>20000</x:v>
      </x:c>
      <x:c r="M2547" s="17" t="n">
        <x:f>ROUND(L2547*'Costing'!$C$4,2)</x:f>
        <x:v>3600</x:v>
      </x:c>
      <x:c r="N2547" s="17" t="n">
        <x:f>L2547+M2547</x:f>
        <x:v>23600</x:v>
      </x:c>
      <x:c r="O2547" s="12" t="str">
        <x:v>Mumbai</x:v>
      </x:c>
      <x:c r="P2547" s="12" t="str">
        <x:v>CORP-0330</x:v>
      </x:c>
      <x:c r="Q2547" s="12" t="str">
        <x:v>The Game Ranch</x:v>
      </x:c>
    </x:row>
    <x:row r="2548" ht="48" customHeight="1">
      <x:c r="A2548" s="2" t="str">
        <x:v>TEN-79585655FA86</x:v>
      </x:c>
      <x:c r="B2548" s="12" t="str">
        <x:v>The Holy Kingdom Conference Center</x:v>
      </x:c>
      <x:c r="C2548" s="12" t="str">
        <x:v>Business / brand</x:v>
      </x:c>
      <x:c r="D2548" s="12" t="str">
        <x:v>Unresolved</x:v>
      </x:c>
      <x:c r="E2548" s="12" t="str">
        <x:v>Business activity not established</x:v>
      </x:c>
      <x:c r="F2548" s="12" t="str">
        <x:v>Mixed business audience</x:v>
      </x:c>
      <x:c r="G2548" s="12" t="str">
        <x:v>Business activity and company scale are not established from this name.</x:v>
      </x:c>
      <x:c r="H2548" s="11" t="n">
        <x:v>2</x:v>
      </x:c>
      <x:c r="I2548" s="11" t="n">
        <x:v>8</x:v>
      </x:c>
      <x:c r="J2548" s="11" t="n">
        <x:v>8</x:v>
      </x:c>
      <x:c r="K2548" s="11" t="n">
        <x:v>0</x:v>
      </x:c>
      <x:c r="L2548" s="17" t="n">
        <x:f>SUM(SUMIFS('Costing'!$P$9:$P$492,'Costing'!$A$9:$A$492,"MAIN-199"),SUMIFS('Costing'!$P$9:$P$492,'Costing'!$A$9:$A$492,"MAIN-200"))</x:f>
        <x:v>145000</x:v>
      </x:c>
      <x:c r="M2548" s="17" t="n">
        <x:f>ROUND(L2548*'Costing'!$C$4,2)</x:f>
        <x:v>26100</x:v>
      </x:c>
      <x:c r="N2548" s="17" t="n">
        <x:f>L2548+M2548</x:f>
        <x:v>171100</x:v>
      </x:c>
      <x:c r="O2548" s="12" t="str">
        <x:v>Delhi NCR</x:v>
      </x:c>
      <x:c r="P2548" s="12" t="str">
        <x:v>CORP-0195, CORP-0196</x:v>
      </x:c>
      <x:c r="Q2548" s="12" t="str">
        <x:v>The Holy Kingdom Conference Center</x:v>
      </x:c>
    </x:row>
    <x:row r="2549" ht="48" customHeight="1">
      <x:c r="A2549" s="2" t="str">
        <x:v>TEN-771063175848</x:v>
      </x:c>
      <x:c r="B2549" s="12" t="str">
        <x:v>The India Cements Ltd</x:v>
      </x:c>
      <x:c r="C2549" s="12" t="str">
        <x:v>Business / brand</x:v>
      </x:c>
      <x:c r="D2549" s="12" t="str">
        <x:v>Engineering &amp; manufacturing</x:v>
      </x:c>
      <x:c r="E2549" s="12" t="str">
        <x:v>Chemicals, materials &amp; industrial manufacturing</x:v>
      </x:c>
      <x:c r="F2549" s="12" t="str">
        <x:v>Mixed business audience</x:v>
      </x:c>
      <x:c r="G2549" s="12" t="str">
        <x:v>Established brand or business network; local company scale is not established. Use a mixed-business message.</x:v>
      </x:c>
      <x:c r="H2549" s="11" t="n">
        <x:v>1</x:v>
      </x:c>
      <x:c r="I2549" s="11" t="n">
        <x:v>1</x:v>
      </x:c>
      <x:c r="J2549" s="11" t="n">
        <x:v>1</x:v>
      </x:c>
      <x:c r="K2549" s="11" t="n">
        <x:v>0</x:v>
      </x:c>
      <x:c r="L2549" s="17" t="n">
        <x:f>SUM(SUMIFS('Costing'!$P$9:$P$492,'Costing'!$A$9:$A$492,"MAIN-266"))</x:f>
        <x:v>20000</x:v>
      </x:c>
      <x:c r="M2549" s="17" t="n">
        <x:f>ROUND(L2549*'Costing'!$C$4,2)</x:f>
        <x:v>3600</x:v>
      </x:c>
      <x:c r="N2549" s="17" t="n">
        <x:f>L2549+M2549</x:f>
        <x:v>23600</x:v>
      </x:c>
      <x:c r="O2549" s="12" t="str">
        <x:v>Indore</x:v>
      </x:c>
      <x:c r="P2549" s="12" t="str">
        <x:v>CORP-0262</x:v>
      </x:c>
      <x:c r="Q2549" s="12" t="str">
        <x:v>The India Cements Ltd</x:v>
      </x:c>
    </x:row>
    <x:row r="2550" ht="75" customHeight="1">
      <x:c r="A2550" s="2" t="str">
        <x:v>TEN-DC79DAAE1127</x:v>
      </x:c>
      <x:c r="B2550" s="12" t="str">
        <x:v>The Institution of Engineering and Technology</x:v>
      </x:c>
      <x:c r="C2550" s="12" t="str">
        <x:v>Public / nonprofit</x:v>
      </x:c>
      <x:c r="D2550" s="12" t="str">
        <x:v>Government &amp; nonprofit</x:v>
      </x:c>
      <x:c r="E2550" s="12" t="str">
        <x:v>Public, nonprofit or membership organization</x:v>
      </x:c>
      <x:c r="F2550" s="12" t="str">
        <x:v>Institutional</x:v>
      </x:c>
      <x:c r="G2550" s="12" t="str">
        <x:v>Existing directory identifies an institutional, government, education, membership or nonprofit organisation rather than an ordinary MSME business prospect. This tag describes audience role and does not assert legal tax status.</x:v>
      </x:c>
      <x:c r="H2550" s="11" t="n">
        <x:v>1</x:v>
      </x:c>
      <x:c r="I2550" s="11" t="n">
        <x:v>11</x:v>
      </x:c>
      <x:c r="J2550" s="11" t="n">
        <x:v>11</x:v>
      </x:c>
      <x:c r="K2550" s="11" t="n">
        <x:v>0</x:v>
      </x:c>
      <x:c r="L2550" s="17" t="n">
        <x:f>SUM(SUMIFS('Costing'!$P$9:$P$492,'Costing'!$A$9:$A$492,"MAIN-077"))</x:f>
        <x:v>165000</x:v>
      </x:c>
      <x:c r="M2550" s="17" t="n">
        <x:f>ROUND(L2550*'Costing'!$C$4,2)</x:f>
        <x:v>29700</x:v>
      </x:c>
      <x:c r="N2550" s="17" t="n">
        <x:f>L2550+M2550</x:f>
        <x:v>194700</x:v>
      </x:c>
      <x:c r="O2550" s="12" t="str">
        <x:v>Bengaluru</x:v>
      </x:c>
      <x:c r="P2550" s="12" t="str">
        <x:v>CORP-0073</x:v>
      </x:c>
      <x:c r="Q2550" s="12" t="str">
        <x:v>The Institution of Engineering and Technology</x:v>
      </x:c>
    </x:row>
    <x:row r="2551" ht="48" customHeight="1">
      <x:c r="A2551" s="2" t="str">
        <x:v>TEN-E07EEA591709</x:v>
      </x:c>
      <x:c r="B2551" s="12" t="str">
        <x:v>The Learning Galaxy</x:v>
      </x:c>
      <x:c r="C2551" s="12" t="str">
        <x:v>Business / brand</x:v>
      </x:c>
      <x:c r="D2551" s="12" t="str">
        <x:v>Education</x:v>
      </x:c>
      <x:c r="E2551" s="12" t="str">
        <x:v>Edtech, training &amp; learning</x:v>
      </x:c>
      <x:c r="F2551" s="12" t="str">
        <x:v>Small-scale prospects</x:v>
      </x:c>
      <x:c r="G2551" s="12" t="str">
        <x:v>Training or education-services business; small-scale prospect assumption.</x:v>
      </x:c>
      <x:c r="H2551" s="11" t="n">
        <x:v>4</x:v>
      </x:c>
      <x:c r="I2551" s="11" t="n">
        <x:v>4</x:v>
      </x:c>
      <x:c r="J2551" s="11" t="n">
        <x:v>4</x:v>
      </x:c>
      <x:c r="K2551" s="11" t="n">
        <x:v>0</x:v>
      </x:c>
      <x:c r="L2551" s="17" t="n">
        <x:f>SUM(SUMIFS('Costing'!$P$9:$P$492,'Costing'!$A$9:$A$492,"PARTNER-M188"))</x:f>
        <x:v>160000</x:v>
      </x:c>
      <x:c r="M2551" s="17" t="n">
        <x:f>ROUND(L2551*'Costing'!$C$4,2)</x:f>
        <x:v>28800</x:v>
      </x:c>
      <x:c r="N2551" s="17" t="n">
        <x:f>L2551+M2551</x:f>
        <x:v>188800</x:v>
      </x:c>
      <x:c r="O2551" s="12" t="str">
        <x:v>Mumbai</x:v>
      </x:c>
      <x:c r="P2551" s="12" t="str">
        <x:v>CORP-0605, CORP-0606, CORP-0607, CORP-0608</x:v>
      </x:c>
      <x:c r="Q2551" s="12" t="str">
        <x:v>The Learning Galaxy</x:v>
      </x:c>
    </x:row>
    <x:row r="2552" ht="48" customHeight="1">
      <x:c r="A2552" s="2" t="str">
        <x:v>TEN-6186C00E74F2</x:v>
      </x:c>
      <x:c r="B2552" s="12" t="str">
        <x:v>The LHR Group</x:v>
      </x:c>
      <x:c r="C2552" s="12" t="str">
        <x:v>Business / brand</x:v>
      </x:c>
      <x:c r="D2552" s="12" t="str">
        <x:v>Unresolved</x:v>
      </x:c>
      <x:c r="E2552" s="12" t="str">
        <x:v>Business activity not established</x:v>
      </x:c>
      <x:c r="F2552" s="12" t="str">
        <x:v>Mixed business audience</x:v>
      </x:c>
      <x:c r="G2552" s="12" t="str">
        <x:v>Business activity and company scale are not established from this name.</x:v>
      </x:c>
      <x:c r="H2552" s="11" t="n">
        <x:v>10</x:v>
      </x:c>
      <x:c r="I2552" s="11" t="n">
        <x:v>10</x:v>
      </x:c>
      <x:c r="J2552" s="11" t="n">
        <x:v>10</x:v>
      </x:c>
      <x:c r="K2552" s="11" t="n">
        <x:v>0</x:v>
      </x:c>
      <x:c r="L2552" s="17" t="n">
        <x:f>SUM(SUMIFS('Costing'!$P$9:$P$492,'Costing'!$A$9:$A$492,"PARTNER-M365"))</x:f>
        <x:v>400000</x:v>
      </x:c>
      <x:c r="M2552" s="17" t="n">
        <x:f>ROUND(L2552*'Costing'!$C$4,2)</x:f>
        <x:v>72000</x:v>
      </x:c>
      <x:c r="N2552" s="17" t="n">
        <x:f>L2552+M2552</x:f>
        <x:v>472000</x:v>
      </x:c>
      <x:c r="O2552" s="12" t="str">
        <x:v>Delhi NCR</x:v>
      </x:c>
      <x:c r="P2552" s="12" t="str">
        <x:v>CORP-0778, CORP-0779, CORP-0780, CORP-0781, CORP-0782, CORP-0783, CORP-0784, CORP-0785, CORP-0786, CORP-0787</x:v>
      </x:c>
      <x:c r="Q2552" s="12" t="str">
        <x:v>The LHR Group</x:v>
      </x:c>
    </x:row>
    <x:row r="2553" ht="48" customHeight="1">
      <x:c r="A2553" s="2" t="str">
        <x:v>TEN-8E5EF5C92C7D</x:v>
      </x:c>
      <x:c r="B2553" s="12" t="str">
        <x:v>The Math Company</x:v>
      </x:c>
      <x:c r="C2553" s="12" t="str">
        <x:v>Business / brand</x:v>
      </x:c>
      <x:c r="D2553" s="12" t="str">
        <x:v>IT &amp; digital</x:v>
      </x:c>
      <x:c r="E2553" s="12" t="str">
        <x:v>AI, data &amp; analytics</x:v>
      </x:c>
      <x:c r="F2553" s="12" t="str">
        <x:v>Mixed business audience</x:v>
      </x:c>
      <x:c r="G2553" s="12" t="str">
        <x:v>Established brand or business network; local company scale is not established. Use a mixed-business message.</x:v>
      </x:c>
      <x:c r="H2553" s="11" t="n">
        <x:v>1</x:v>
      </x:c>
      <x:c r="I2553" s="11" t="n">
        <x:v>11</x:v>
      </x:c>
      <x:c r="J2553" s="11" t="n">
        <x:v>11</x:v>
      </x:c>
      <x:c r="K2553" s="11" t="n">
        <x:v>0</x:v>
      </x:c>
      <x:c r="L2553" s="17" t="n">
        <x:f>SUM(SUMIFS('Costing'!$P$9:$P$492,'Costing'!$A$9:$A$492,"MAIN-077"))</x:f>
        <x:v>165000</x:v>
      </x:c>
      <x:c r="M2553" s="17" t="n">
        <x:f>ROUND(L2553*'Costing'!$C$4,2)</x:f>
        <x:v>29700</x:v>
      </x:c>
      <x:c r="N2553" s="17" t="n">
        <x:f>L2553+M2553</x:f>
        <x:v>194700</x:v>
      </x:c>
      <x:c r="O2553" s="12" t="str">
        <x:v>Bengaluru</x:v>
      </x:c>
      <x:c r="P2553" s="12" t="str">
        <x:v>CORP-0073</x:v>
      </x:c>
      <x:c r="Q2553" s="12" t="str">
        <x:v>The Math Company</x:v>
      </x:c>
    </x:row>
    <x:row r="2554" ht="48" customHeight="1">
      <x:c r="A2554" s="2" t="str">
        <x:v>TEN-0AD26213D203</x:v>
      </x:c>
      <x:c r="B2554" s="12" t="str">
        <x:v>The Morpheus Store</x:v>
      </x:c>
      <x:c r="C2554" s="12" t="str">
        <x:v>Business / brand</x:v>
      </x:c>
      <x:c r="D2554" s="12" t="str">
        <x:v>Trade, consumer &amp; logistics</x:v>
      </x:c>
      <x:c r="E2554" s="12" t="str">
        <x:v>Travel, hospitality, food &amp; beverages</x:v>
      </x:c>
      <x:c r="F2554" s="12" t="str">
        <x:v>Small-scale prospects</x:v>
      </x:c>
      <x:c r="G2554" s="12" t="str">
        <x:v>Trading or consumer-services business; small-scale prospect assumption.</x:v>
      </x:c>
      <x:c r="H2554" s="11" t="n">
        <x:v>6</x:v>
      </x:c>
      <x:c r="I2554" s="11" t="n">
        <x:v>6</x:v>
      </x:c>
      <x:c r="J2554" s="11" t="n">
        <x:v>6</x:v>
      </x:c>
      <x:c r="K2554" s="11" t="n">
        <x:v>0</x:v>
      </x:c>
      <x:c r="L2554" s="17" t="n">
        <x:f>SUM(SUMIFS('Costing'!$P$9:$P$492,'Costing'!$A$9:$A$492,"PARTNER-M325"))</x:f>
        <x:v>240000</x:v>
      </x:c>
      <x:c r="M2554" s="17" t="n">
        <x:f>ROUND(L2554*'Costing'!$C$4,2)</x:f>
        <x:v>43200</x:v>
      </x:c>
      <x:c r="N2554" s="17" t="n">
        <x:f>L2554+M2554</x:f>
        <x:v>283200</x:v>
      </x:c>
      <x:c r="O2554" s="12" t="str">
        <x:v>Chennai</x:v>
      </x:c>
      <x:c r="P2554" s="12" t="str">
        <x:v>CORP-0739, CORP-0740, CORP-0741, CORP-0742, CORP-0743, CORP-0744</x:v>
      </x:c>
      <x:c r="Q2554" s="12" t="str">
        <x:v>The Morpheus Store</x:v>
      </x:c>
    </x:row>
    <x:row r="2555" ht="48" customHeight="1">
      <x:c r="A2555" s="2" t="str">
        <x:v>TEN-03D5A073B430</x:v>
      </x:c>
      <x:c r="B2555" s="12" t="str">
        <x:v>The Oriental Insurance Co.Ltd</x:v>
      </x:c>
      <x:c r="C2555" s="12" t="str">
        <x:v>Business / brand</x:v>
      </x:c>
      <x:c r="D2555" s="12" t="str">
        <x:v>Finance &amp; insurance</x:v>
      </x:c>
      <x:c r="E2555" s="12" t="str">
        <x:v>Insurance &amp; insurance services</x:v>
      </x:c>
      <x:c r="F2555" s="12" t="str">
        <x:v>Mixed business audience</x:v>
      </x:c>
      <x:c r="G2555" s="12" t="str">
        <x:v>Established brand or business network; local company scale is not established. Use a mixed-business message.</x:v>
      </x:c>
      <x:c r="H2555" s="11" t="n">
        <x:v>1</x:v>
      </x:c>
      <x:c r="I2555" s="11" t="n">
        <x:v>2</x:v>
      </x:c>
      <x:c r="J2555" s="11" t="n">
        <x:v>2</x:v>
      </x:c>
      <x:c r="K2555" s="11" t="n">
        <x:v>0</x:v>
      </x:c>
      <x:c r="L2555" s="17" t="n">
        <x:f>SUM(SUMIFS('Costing'!$P$9:$P$492,'Costing'!$A$9:$A$492,"MAIN-407"))</x:f>
        <x:v>30000</x:v>
      </x:c>
      <x:c r="M2555" s="17" t="n">
        <x:f>ROUND(L2555*'Costing'!$C$4,2)</x:f>
        <x:v>5400</x:v>
      </x:c>
      <x:c r="N2555" s="17" t="n">
        <x:f>L2555+M2555</x:f>
        <x:v>35400</x:v>
      </x:c>
      <x:c r="O2555" s="12" t="str">
        <x:v>Pune</x:v>
      </x:c>
      <x:c r="P2555" s="12" t="str">
        <x:v>CORP-0403</x:v>
      </x:c>
      <x:c r="Q2555" s="12" t="str">
        <x:v>The Oriental Insurance Co.Ltd</x:v>
      </x:c>
    </x:row>
    <x:row r="2556" ht="48" customHeight="1">
      <x:c r="A2556" s="2" t="str">
        <x:v>TEN-6A551DA31D50</x:v>
      </x:c>
      <x:c r="B2556" s="12" t="str">
        <x:v>The Scalers</x:v>
      </x:c>
      <x:c r="C2556" s="12" t="str">
        <x:v>Business / brand</x:v>
      </x:c>
      <x:c r="D2556" s="12" t="str">
        <x:v>Professional services</x:v>
      </x:c>
      <x:c r="E2556" s="12" t="str">
        <x:v>Recruitment, HR &amp; staffing</x:v>
      </x:c>
      <x:c r="F2556" s="12" t="str">
        <x:v>Small-scale prospects</x:v>
      </x:c>
      <x:c r="G2556" s="12" t="str">
        <x:v>Professional service, agency or advisory model; small-scale prospect assumption.</x:v>
      </x:c>
      <x:c r="H2556" s="11" t="n">
        <x:v>1</x:v>
      </x:c>
      <x:c r="I2556" s="11" t="n">
        <x:v>7</x:v>
      </x:c>
      <x:c r="J2556" s="11" t="n">
        <x:v>7</x:v>
      </x:c>
      <x:c r="K2556" s="11" t="n">
        <x:v>0</x:v>
      </x:c>
      <x:c r="L2556" s="17" t="n">
        <x:f>SUM(SUMIFS('Costing'!$P$9:$P$492,'Costing'!$A$9:$A$492,"MAIN-129"))</x:f>
        <x:v>175000</x:v>
      </x:c>
      <x:c r="M2556" s="17" t="n">
        <x:f>ROUND(L2556*'Costing'!$C$4,2)</x:f>
        <x:v>31500</x:v>
      </x:c>
      <x:c r="N2556" s="17" t="n">
        <x:f>L2556+M2556</x:f>
        <x:v>206500</x:v>
      </x:c>
      <x:c r="O2556" s="12" t="str">
        <x:v>Bengaluru</x:v>
      </x:c>
      <x:c r="P2556" s="12" t="str">
        <x:v>CORP-0125</x:v>
      </x:c>
      <x:c r="Q2556" s="12" t="str">
        <x:v>The Scalers</x:v>
      </x:c>
    </x:row>
    <x:row r="2557" ht="48" customHeight="1">
      <x:c r="A2557" s="2" t="str">
        <x:v>TEN-62CF3B92AF07</x:v>
      </x:c>
      <x:c r="B2557" s="12" t="str">
        <x:v>The sharp kids</x:v>
      </x:c>
      <x:c r="C2557" s="12" t="str">
        <x:v>Business / brand</x:v>
      </x:c>
      <x:c r="D2557" s="12" t="str">
        <x:v>Education</x:v>
      </x:c>
      <x:c r="E2557" s="12" t="str">
        <x:v>Schools, childcare &amp; higher education</x:v>
      </x:c>
      <x:c r="F2557" s="12" t="str">
        <x:v>Small-scale prospects</x:v>
      </x:c>
      <x:c r="G2557" s="12" t="str">
        <x:v>Training or education-services business; small-scale prospect assumption.</x:v>
      </x:c>
      <x:c r="H2557" s="11" t="n">
        <x:v>1</x:v>
      </x:c>
      <x:c r="I2557" s="11" t="n">
        <x:v>10</x:v>
      </x:c>
      <x:c r="J2557" s="11" t="n">
        <x:v>10</x:v>
      </x:c>
      <x:c r="K2557" s="11" t="n">
        <x:v>0</x:v>
      </x:c>
      <x:c r="L2557" s="17" t="n">
        <x:f>SUM(SUMIFS('Costing'!$P$9:$P$492,'Costing'!$A$9:$A$492,"MAIN-349"))</x:f>
        <x:v>150000</x:v>
      </x:c>
      <x:c r="M2557" s="17" t="n">
        <x:f>ROUND(L2557*'Costing'!$C$4,2)</x:f>
        <x:v>27000</x:v>
      </x:c>
      <x:c r="N2557" s="17" t="n">
        <x:f>L2557+M2557</x:f>
        <x:v>177000</x:v>
      </x:c>
      <x:c r="O2557" s="12" t="str">
        <x:v>Mumbai</x:v>
      </x:c>
      <x:c r="P2557" s="12" t="str">
        <x:v>CORP-0345</x:v>
      </x:c>
      <x:c r="Q2557" s="12" t="str">
        <x:v>The sharp kids</x:v>
      </x:c>
    </x:row>
    <x:row r="2558" ht="48" customHeight="1">
      <x:c r="A2558" s="2" t="str">
        <x:v>TEN-6039480EF58D</x:v>
      </x:c>
      <x:c r="B2558" s="12" t="str">
        <x:v>The Sleep Company Experience Store -Amanora</x:v>
      </x:c>
      <x:c r="C2558" s="12" t="str">
        <x:v>Business / brand</x:v>
      </x:c>
      <x:c r="D2558" s="12" t="str">
        <x:v>Trade, consumer &amp; logistics</x:v>
      </x:c>
      <x:c r="E2558" s="12" t="str">
        <x:v>Retail, consumer products &amp; ecommerce</x:v>
      </x:c>
      <x:c r="F2558" s="12" t="str">
        <x:v>Mixed business audience</x:v>
      </x:c>
      <x:c r="G2558" s="12" t="str">
        <x:v>Established brand or business network; local company scale is not established. Use a mixed-business message.</x:v>
      </x:c>
      <x:c r="H2558" s="11" t="n">
        <x:v>1</x:v>
      </x:c>
      <x:c r="I2558" s="11" t="n">
        <x:v>1</x:v>
      </x:c>
      <x:c r="J2558" s="11" t="n">
        <x:v>1</x:v>
      </x:c>
      <x:c r="K2558" s="11" t="n">
        <x:v>0</x:v>
      </x:c>
      <x:c r="L2558" s="17" t="n">
        <x:f>SUM(SUMIFS('Costing'!$P$9:$P$492,'Costing'!$A$9:$A$492,"MAIN-386"))</x:f>
        <x:v>15000</x:v>
      </x:c>
      <x:c r="M2558" s="17" t="n">
        <x:f>ROUND(L2558*'Costing'!$C$4,2)</x:f>
        <x:v>2700</x:v>
      </x:c>
      <x:c r="N2558" s="17" t="n">
        <x:f>L2558+M2558</x:f>
        <x:v>17700</x:v>
      </x:c>
      <x:c r="O2558" s="12" t="str">
        <x:v>Pune</x:v>
      </x:c>
      <x:c r="P2558" s="12" t="str">
        <x:v>CORP-0382</x:v>
      </x:c>
      <x:c r="Q2558" s="12" t="str">
        <x:v>The Sleep Company Experience Store -Amanora</x:v>
      </x:c>
    </x:row>
    <x:row r="2559" ht="48" customHeight="1">
      <x:c r="A2559" s="2" t="str">
        <x:v>TEN-9FD66800C491</x:v>
      </x:c>
      <x:c r="B2559" s="12" t="str">
        <x:v>The Third Eye Films</x:v>
      </x:c>
      <x:c r="C2559" s="12" t="str">
        <x:v>Business / brand</x:v>
      </x:c>
      <x:c r="D2559" s="12" t="str">
        <x:v>Trade, consumer &amp; logistics</x:v>
      </x:c>
      <x:c r="E2559" s="12" t="str">
        <x:v>Entertainment, media &amp; events</x:v>
      </x:c>
      <x:c r="F2559" s="12" t="str">
        <x:v>Small-scale prospects</x:v>
      </x:c>
      <x:c r="G2559" s="12" t="str">
        <x:v>Trading or consumer-services business; small-scale prospect assumption.</x:v>
      </x:c>
      <x:c r="H2559" s="11" t="n">
        <x:v>1</x:v>
      </x:c>
      <x:c r="I2559" s="11" t="n">
        <x:v>5</x:v>
      </x:c>
      <x:c r="J2559" s="11" t="n">
        <x:v>5</x:v>
      </x:c>
      <x:c r="K2559" s="11" t="n">
        <x:v>0</x:v>
      </x:c>
      <x:c r="L2559" s="17" t="n">
        <x:f>SUM(SUMIFS('Costing'!$P$9:$P$492,'Costing'!$A$9:$A$492,"MAIN-127"))</x:f>
        <x:v>125000</x:v>
      </x:c>
      <x:c r="M2559" s="17" t="n">
        <x:f>ROUND(L2559*'Costing'!$C$4,2)</x:f>
        <x:v>22500</x:v>
      </x:c>
      <x:c r="N2559" s="17" t="n">
        <x:f>L2559+M2559</x:f>
        <x:v>147500</x:v>
      </x:c>
      <x:c r="O2559" s="12" t="str">
        <x:v>Bengaluru</x:v>
      </x:c>
      <x:c r="P2559" s="12" t="str">
        <x:v>CORP-0123</x:v>
      </x:c>
      <x:c r="Q2559" s="12" t="str">
        <x:v>The Third Eye Films</x:v>
      </x:c>
    </x:row>
    <x:row r="2560" ht="48" customHeight="1">
      <x:c r="A2560" s="2" t="str">
        <x:v>TEN-30C4D20E1CBE</x:v>
      </x:c>
      <x:c r="B2560" s="12" t="str">
        <x:v>The Vivah Services</x:v>
      </x:c>
      <x:c r="C2560" s="12" t="str">
        <x:v>Business / brand</x:v>
      </x:c>
      <x:c r="D2560" s="12" t="str">
        <x:v>Trade, consumer &amp; logistics</x:v>
      </x:c>
      <x:c r="E2560" s="12" t="str">
        <x:v>Travel, hospitality, food &amp; beverages</x:v>
      </x:c>
      <x:c r="F2560" s="12" t="str">
        <x:v>Small-scale prospects</x:v>
      </x:c>
      <x:c r="G2560" s="12" t="str">
        <x:v>Trading or consumer-services business; small-scale prospect assumption.</x:v>
      </x:c>
      <x:c r="H2560" s="11" t="n">
        <x:v>1</x:v>
      </x:c>
      <x:c r="I2560" s="11" t="n">
        <x:v>1</x:v>
      </x:c>
      <x:c r="J2560" s="11" t="n">
        <x:v>1</x:v>
      </x:c>
      <x:c r="K2560" s="11" t="n">
        <x:v>0</x:v>
      </x:c>
      <x:c r="L2560" s="17" t="n">
        <x:f>SUM(SUMIFS('Costing'!$P$9:$P$492,'Costing'!$A$9:$A$492,"MAIN-086"))</x:f>
        <x:v>15000</x:v>
      </x:c>
      <x:c r="M2560" s="17" t="n">
        <x:f>ROUND(L2560*'Costing'!$C$4,2)</x:f>
        <x:v>2700</x:v>
      </x:c>
      <x:c r="N2560" s="17" t="n">
        <x:f>L2560+M2560</x:f>
        <x:v>17700</x:v>
      </x:c>
      <x:c r="O2560" s="12" t="str">
        <x:v>Bengaluru</x:v>
      </x:c>
      <x:c r="P2560" s="12" t="str">
        <x:v>CORP-0082</x:v>
      </x:c>
      <x:c r="Q2560" s="12" t="str">
        <x:v>The Vivah Services</x:v>
      </x:c>
    </x:row>
    <x:row r="2561" ht="48" customHeight="1">
      <x:c r="A2561" s="2" t="str">
        <x:v>TEN-30E052F4048B</x:v>
      </x:c>
      <x:c r="B2561" s="12" t="str">
        <x:v>The Wardrobe</x:v>
      </x:c>
      <x:c r="C2561" s="12" t="str">
        <x:v>Business / brand</x:v>
      </x:c>
      <x:c r="D2561" s="12" t="str">
        <x:v>Trade, consumer &amp; logistics</x:v>
      </x:c>
      <x:c r="E2561" s="12" t="str">
        <x:v>Retail, consumer products &amp; ecommerce</x:v>
      </x:c>
      <x:c r="F2561" s="12" t="str">
        <x:v>Small-scale prospects</x:v>
      </x:c>
      <x:c r="G2561" s="12" t="str">
        <x:v>Trading or consumer-services business; small-scale prospect assumption.</x:v>
      </x:c>
      <x:c r="H2561" s="11" t="n">
        <x:v>1</x:v>
      </x:c>
      <x:c r="I2561" s="11" t="n">
        <x:v>2</x:v>
      </x:c>
      <x:c r="J2561" s="11" t="n">
        <x:v>2</x:v>
      </x:c>
      <x:c r="K2561" s="11" t="n">
        <x:v>0</x:v>
      </x:c>
      <x:c r="L2561" s="17" t="n">
        <x:f>SUM(SUMIFS('Costing'!$P$9:$P$492,'Costing'!$A$9:$A$492,"MAIN-267"))</x:f>
        <x:v>40000</x:v>
      </x:c>
      <x:c r="M2561" s="17" t="n">
        <x:f>ROUND(L2561*'Costing'!$C$4,2)</x:f>
        <x:v>7200</x:v>
      </x:c>
      <x:c r="N2561" s="17" t="n">
        <x:f>L2561+M2561</x:f>
        <x:v>47200</x:v>
      </x:c>
      <x:c r="O2561" s="12" t="str">
        <x:v>Indore</x:v>
      </x:c>
      <x:c r="P2561" s="12" t="str">
        <x:v>CORP-0263</x:v>
      </x:c>
      <x:c r="Q2561" s="12" t="str">
        <x:v>The Wardrobe</x:v>
      </x:c>
    </x:row>
    <x:row r="2562" ht="49" customHeight="1">
      <x:c r="A2562" s="2" t="str">
        <x:v>TEN-43D8802BE4D6</x:v>
      </x:c>
      <x:c r="B2562" s="12" t="str">
        <x:v>The Work Nation</x:v>
      </x:c>
      <x:c r="C2562" s="12" t="str">
        <x:v>Workspace operator</x:v>
      </x:c>
      <x:c r="D2562" s="12" t="str">
        <x:v>Workspace &amp; property operations</x:v>
      </x:c>
      <x:c r="E2562" s="12" t="str">
        <x:v>Coworking/workspace operator</x:v>
      </x:c>
      <x:c r="F2562" s="12" t="str">
        <x:v>Mixed business audience</x:v>
      </x:c>
      <x:c r="G2562" s="12" t="str">
        <x:v>Supplied entry is a shared-workspace operator; the business sizes of occupant companies cannot be derived from the operator name.</x:v>
      </x:c>
      <x:c r="H2562" s="11" t="n">
        <x:v>1</x:v>
      </x:c>
      <x:c r="I2562" s="11" t="n">
        <x:v>2</x:v>
      </x:c>
      <x:c r="J2562" s="11" t="n">
        <x:v>2</x:v>
      </x:c>
      <x:c r="K2562" s="11" t="n">
        <x:v>0</x:v>
      </x:c>
      <x:c r="L2562" s="17" t="n">
        <x:f>SUM(SUMIFS('Costing'!$P$9:$P$492,'Costing'!$A$9:$A$492,"MAIN-267"))</x:f>
        <x:v>40000</x:v>
      </x:c>
      <x:c r="M2562" s="17" t="n">
        <x:f>ROUND(L2562*'Costing'!$C$4,2)</x:f>
        <x:v>7200</x:v>
      </x:c>
      <x:c r="N2562" s="17" t="n">
        <x:f>L2562+M2562</x:f>
        <x:v>47200</x:v>
      </x:c>
      <x:c r="O2562" s="12" t="str">
        <x:v>Indore</x:v>
      </x:c>
      <x:c r="P2562" s="12" t="str">
        <x:v>CORP-0263</x:v>
      </x:c>
      <x:c r="Q2562" s="12" t="str">
        <x:v>The Work Nation</x:v>
      </x:c>
    </x:row>
    <x:row r="2563" ht="48" customHeight="1">
      <x:c r="A2563" s="2" t="str">
        <x:v>TEN-A7FC7DAF4DA4</x:v>
      </x:c>
      <x:c r="B2563" s="12" t="str">
        <x:v>Thermo Fisher Scientific</x:v>
      </x:c>
      <x:c r="C2563" s="12" t="str">
        <x:v>Business / brand</x:v>
      </x:c>
      <x:c r="D2563" s="12" t="str">
        <x:v>Healthcare &amp; life sciences</x:v>
      </x:c>
      <x:c r="E2563" s="12" t="str">
        <x:v>Clinical, medical &amp; diagnostic services</x:v>
      </x:c>
      <x:c r="F2563" s="12" t="str">
        <x:v>Mixed business audience</x:v>
      </x:c>
      <x:c r="G2563" s="12" t="str">
        <x:v>Recognisable business context; company-scale evidence remains insufficient for a single size band.</x:v>
      </x:c>
      <x:c r="H2563" s="11" t="n">
        <x:v>7</x:v>
      </x:c>
      <x:c r="I2563" s="11" t="n">
        <x:v>7</x:v>
      </x:c>
      <x:c r="J2563" s="11" t="n">
        <x:v>7</x:v>
      </x:c>
      <x:c r="K2563" s="11" t="n">
        <x:v>0</x:v>
      </x:c>
      <x:c r="L2563" s="17" t="n">
        <x:f>SUM(SUMIFS('Costing'!$P$9:$P$492,'Costing'!$A$9:$A$492,"PARTNER-M027"))</x:f>
        <x:v>280000</x:v>
      </x:c>
      <x:c r="M2563" s="17" t="n">
        <x:f>ROUND(L2563*'Costing'!$C$4,2)</x:f>
        <x:v>50400</x:v>
      </x:c>
      <x:c r="N2563" s="17" t="n">
        <x:f>L2563+M2563</x:f>
        <x:v>330400</x:v>
      </x:c>
      <x:c r="O2563" s="12" t="str">
        <x:v>Bengaluru</x:v>
      </x:c>
      <x:c r="P2563" s="12" t="str">
        <x:v>CORP-0445, CORP-0446, CORP-0447, CORP-0448, CORP-0449, CORP-0450, CORP-0451</x:v>
      </x:c>
      <x:c r="Q2563" s="12" t="str">
        <x:v>Thermo Fisher Scientific</x:v>
      </x:c>
    </x:row>
    <x:row r="2564" ht="48" customHeight="1">
      <x:c r="A2564" s="2" t="str">
        <x:v>TEN-7D7278F45745</x:v>
      </x:c>
      <x:c r="B2564" s="12" t="str">
        <x:v>Thermo Fisher Scientific India</x:v>
      </x:c>
      <x:c r="C2564" s="12" t="str">
        <x:v>Business / brand</x:v>
      </x:c>
      <x:c r="D2564" s="12" t="str">
        <x:v>Healthcare &amp; life sciences</x:v>
      </x:c>
      <x:c r="E2564" s="12" t="str">
        <x:v>Clinical, medical &amp; diagnostic services</x:v>
      </x:c>
      <x:c r="F2564" s="12" t="str">
        <x:v>Mixed business audience</x:v>
      </x:c>
      <x:c r="G2564" s="12" t="str">
        <x:v>Recognisable business context; company-scale evidence remains insufficient for a single size band.</x:v>
      </x:c>
      <x:c r="H2564" s="11" t="n">
        <x:v>9</x:v>
      </x:c>
      <x:c r="I2564" s="11" t="n">
        <x:v>9</x:v>
      </x:c>
      <x:c r="J2564" s="11" t="n">
        <x:v>9</x:v>
      </x:c>
      <x:c r="K2564" s="11" t="n">
        <x:v>0</x:v>
      </x:c>
      <x:c r="L2564" s="17" t="n">
        <x:f>SUM(SUMIFS('Costing'!$P$9:$P$492,'Costing'!$A$9:$A$492,"MAIN-073"),SUMIFS('Costing'!$P$9:$P$492,'Costing'!$A$9:$A$492,"PARTNER-M100"))</x:f>
        <x:v>360000</x:v>
      </x:c>
      <x:c r="M2564" s="17" t="n">
        <x:f>ROUND(L2564*'Costing'!$C$4,2)</x:f>
        <x:v>64800</x:v>
      </x:c>
      <x:c r="N2564" s="17" t="n">
        <x:f>L2564+M2564</x:f>
        <x:v>424800</x:v>
      </x:c>
      <x:c r="O2564" s="12" t="str">
        <x:v>Bengaluru</x:v>
      </x:c>
      <x:c r="P2564" s="12" t="str">
        <x:v>CORP-0069, CORP-0518, CORP-0519, CORP-0520, CORP-0521, CORP-0522, CORP-0523, CORP-0524, CORP-0525</x:v>
      </x:c>
      <x:c r="Q2564" s="12" t="str">
        <x:v>Thermo Fisher Scientific India</x:v>
      </x:c>
    </x:row>
    <x:row r="2565" ht="48" customHeight="1">
      <x:c r="A2565" s="2" t="str">
        <x:v>TEN-64E1511D96B7</x:v>
      </x:c>
      <x:c r="B2565" s="12" t="str">
        <x:v>Third Eye Integrated Services Pvt Ltd</x:v>
      </x:c>
      <x:c r="C2565" s="12" t="str">
        <x:v>Business / brand</x:v>
      </x:c>
      <x:c r="D2565" s="12" t="str">
        <x:v>Unresolved</x:v>
      </x:c>
      <x:c r="E2565" s="12" t="str">
        <x:v>Business activity not established</x:v>
      </x:c>
      <x:c r="F2565" s="12" t="str">
        <x:v>Mixed business audience</x:v>
      </x:c>
      <x:c r="G2565" s="12" t="str">
        <x:v>Business activity and company scale are not established from this name.</x:v>
      </x:c>
      <x:c r="H2565" s="11" t="n">
        <x:v>1</x:v>
      </x:c>
      <x:c r="I2565" s="11" t="n">
        <x:v>3</x:v>
      </x:c>
      <x:c r="J2565" s="11" t="n">
        <x:v>3</x:v>
      </x:c>
      <x:c r="K2565" s="11" t="n">
        <x:v>0</x:v>
      </x:c>
      <x:c r="L2565" s="17" t="n">
        <x:f>SUM(SUMIFS('Costing'!$P$9:$P$492,'Costing'!$A$9:$A$492,"MAIN-206"))</x:f>
        <x:v>120000</x:v>
      </x:c>
      <x:c r="M2565" s="17" t="n">
        <x:f>ROUND(L2565*'Costing'!$C$4,2)</x:f>
        <x:v>21600</x:v>
      </x:c>
      <x:c r="N2565" s="17" t="n">
        <x:f>L2565+M2565</x:f>
        <x:v>141600</x:v>
      </x:c>
      <x:c r="O2565" s="12" t="str">
        <x:v>Delhi NCR</x:v>
      </x:c>
      <x:c r="P2565" s="12" t="str">
        <x:v>CORP-0202</x:v>
      </x:c>
      <x:c r="Q2565" s="12" t="str">
        <x:v>Third Eye Integrated Services Pvt Ltd</x:v>
      </x:c>
    </x:row>
    <x:row r="2566" ht="48" customHeight="1">
      <x:c r="A2566" s="2" t="str">
        <x:v>TEN-AF9253804CA3</x:v>
      </x:c>
      <x:c r="B2566" s="12" t="str">
        <x:v>Thomas Cook</x:v>
      </x:c>
      <x:c r="C2566" s="12" t="str">
        <x:v>Business / brand</x:v>
      </x:c>
      <x:c r="D2566" s="12" t="str">
        <x:v>Trade, consumer &amp; logistics</x:v>
      </x:c>
      <x:c r="E2566" s="12" t="str">
        <x:v>Consumer/trade services — specialty unverified</x:v>
      </x:c>
      <x:c r="F2566" s="12" t="str">
        <x:v>Mixed business audience</x:v>
      </x:c>
      <x:c r="G2566" s="12" t="str">
        <x:v>Recognisable business context; company-scale evidence remains insufficient for a single size band.</x:v>
      </x:c>
      <x:c r="H2566" s="11" t="n">
        <x:v>6</x:v>
      </x:c>
      <x:c r="I2566" s="11" t="n">
        <x:v>6</x:v>
      </x:c>
      <x:c r="J2566" s="11" t="n">
        <x:v>6</x:v>
      </x:c>
      <x:c r="K2566" s="11" t="n">
        <x:v>0</x:v>
      </x:c>
      <x:c r="L2566" s="17" t="n">
        <x:f>SUM(SUMIFS('Costing'!$P$9:$P$492,'Costing'!$A$9:$A$492,"PARTNER-M289"))</x:f>
        <x:v>240000</x:v>
      </x:c>
      <x:c r="M2566" s="17" t="n">
        <x:f>ROUND(L2566*'Costing'!$C$4,2)</x:f>
        <x:v>43200</x:v>
      </x:c>
      <x:c r="N2566" s="17" t="n">
        <x:f>L2566+M2566</x:f>
        <x:v>283200</x:v>
      </x:c>
      <x:c r="O2566" s="12" t="str">
        <x:v>Hyderabad</x:v>
      </x:c>
      <x:c r="P2566" s="12" t="str">
        <x:v>CORP-0704, CORP-0705, CORP-0706, CORP-0707, CORP-0708, CORP-0709</x:v>
      </x:c>
      <x:c r="Q2566" s="12" t="str">
        <x:v>Thomas Cook</x:v>
      </x:c>
    </x:row>
    <x:row r="2567" ht="48" customHeight="1">
      <x:c r="A2567" s="2" t="str">
        <x:v>TEN-385E4D0AF812</x:v>
      </x:c>
      <x:c r="B2567" s="12" t="str">
        <x:v>Thome Ship Management</x:v>
      </x:c>
      <x:c r="C2567" s="12" t="str">
        <x:v>Business / brand</x:v>
      </x:c>
      <x:c r="D2567" s="12" t="str">
        <x:v>Trade, consumer &amp; logistics</x:v>
      </x:c>
      <x:c r="E2567" s="12" t="str">
        <x:v>Logistics, shipping &amp; transport</x:v>
      </x:c>
      <x:c r="F2567" s="12" t="str">
        <x:v>Mixed business audience</x:v>
      </x:c>
      <x:c r="G2567" s="12" t="str">
        <x:v>Established brand or business network; local company scale is not established. Use a mixed-business message.</x:v>
      </x:c>
      <x:c r="H2567" s="11" t="n">
        <x:v>1</x:v>
      </x:c>
      <x:c r="I2567" s="11" t="n">
        <x:v>4</x:v>
      </x:c>
      <x:c r="J2567" s="11" t="n">
        <x:v>4</x:v>
      </x:c>
      <x:c r="K2567" s="11" t="n">
        <x:v>0</x:v>
      </x:c>
      <x:c r="L2567" s="17" t="n">
        <x:f>SUM(SUMIFS('Costing'!$P$9:$P$492,'Costing'!$A$9:$A$492,"MAIN-204"))</x:f>
        <x:v>160000</x:v>
      </x:c>
      <x:c r="M2567" s="17" t="n">
        <x:f>ROUND(L2567*'Costing'!$C$4,2)</x:f>
        <x:v>28800</x:v>
      </x:c>
      <x:c r="N2567" s="17" t="n">
        <x:f>L2567+M2567</x:f>
        <x:v>188800</x:v>
      </x:c>
      <x:c r="O2567" s="12" t="str">
        <x:v>Delhi NCR</x:v>
      </x:c>
      <x:c r="P2567" s="12" t="str">
        <x:v>CORP-0200</x:v>
      </x:c>
      <x:c r="Q2567" s="12" t="str">
        <x:v>Thome Ship Management</x:v>
      </x:c>
    </x:row>
    <x:row r="2568" ht="48" customHeight="1">
      <x:c r="A2568" s="2" t="str">
        <x:v>TEN-CB571403F03F</x:v>
      </x:c>
      <x:c r="B2568" s="12" t="str">
        <x:v>Thomson Reuters</x:v>
      </x:c>
      <x:c r="C2568" s="12" t="str">
        <x:v>Business / brand</x:v>
      </x:c>
      <x:c r="D2568" s="12" t="str">
        <x:v>IT &amp; digital</x:v>
      </x:c>
      <x:c r="E2568" s="12" t="str">
        <x:v>Technology services — specialty unverified</x:v>
      </x:c>
      <x:c r="F2568" s="12" t="str">
        <x:v>Large enterprise</x:v>
      </x:c>
      <x:c r="G2568" s="12" t="str">
        <x:v>Official international information and technology company profile; enterprise-group context.</x:v>
      </x:c>
      <x:c r="H2568" s="11" t="n">
        <x:v>2</x:v>
      </x:c>
      <x:c r="I2568" s="11" t="n">
        <x:v>29</x:v>
      </x:c>
      <x:c r="J2568" s="11" t="n">
        <x:v>29</x:v>
      </x:c>
      <x:c r="K2568" s="11" t="n">
        <x:v>0</x:v>
      </x:c>
      <x:c r="L2568" s="17" t="n">
        <x:f>SUM(SUMIFS('Costing'!$P$9:$P$492,'Costing'!$A$9:$A$492,"MAIN-253"),SUMIFS('Costing'!$P$9:$P$492,'Costing'!$A$9:$A$492,"MAIN-327"))</x:f>
        <x:v>1160000</x:v>
      </x:c>
      <x:c r="M2568" s="17" t="n">
        <x:f>ROUND(L2568*'Costing'!$C$4,2)</x:f>
        <x:v>208800</x:v>
      </x:c>
      <x:c r="N2568" s="17" t="n">
        <x:f>L2568+M2568</x:f>
        <x:v>1368800</x:v>
      </x:c>
      <x:c r="O2568" s="12" t="str">
        <x:v>Hyderabad, Mumbai</x:v>
      </x:c>
      <x:c r="P2568" s="12" t="str">
        <x:v>CORP-0249, CORP-0323</x:v>
      </x:c>
      <x:c r="Q2568" s="12" t="str">
        <x:v>Thomson Reuters</x:v>
      </x:c>
    </x:row>
    <x:row r="2569" ht="48" customHeight="1">
      <x:c r="A2569" s="2" t="str">
        <x:v>TEN-20DEB070372D</x:v>
      </x:c>
      <x:c r="B2569" s="12" t="str">
        <x:v>Thoucentric</x:v>
      </x:c>
      <x:c r="C2569" s="12" t="str">
        <x:v>Business / brand</x:v>
      </x:c>
      <x:c r="D2569" s="12" t="str">
        <x:v>IT &amp; digital</x:v>
      </x:c>
      <x:c r="E2569" s="12" t="str">
        <x:v>Enterprise software &amp; digital engineering</x:v>
      </x:c>
      <x:c r="F2569" s="12" t="str">
        <x:v>Mixed business audience</x:v>
      </x:c>
      <x:c r="G2569" s="12" t="str">
        <x:v>Established brand or business network; local company scale is not established. Use a mixed-business message.</x:v>
      </x:c>
      <x:c r="H2569" s="11" t="n">
        <x:v>9</x:v>
      </x:c>
      <x:c r="I2569" s="11" t="n">
        <x:v>9</x:v>
      </x:c>
      <x:c r="J2569" s="11" t="n">
        <x:v>9</x:v>
      </x:c>
      <x:c r="K2569" s="11" t="n">
        <x:v>0</x:v>
      </x:c>
      <x:c r="L2569" s="17" t="n">
        <x:f>SUM(SUMIFS('Costing'!$P$9:$P$492,'Costing'!$A$9:$A$492,"PARTNER-M002"))</x:f>
        <x:v>360000</x:v>
      </x:c>
      <x:c r="M2569" s="17" t="n">
        <x:f>ROUND(L2569*'Costing'!$C$4,2)</x:f>
        <x:v>64800</x:v>
      </x:c>
      <x:c r="N2569" s="17" t="n">
        <x:f>L2569+M2569</x:f>
        <x:v>424800</x:v>
      </x:c>
      <x:c r="O2569" s="12" t="str">
        <x:v>Bengaluru</x:v>
      </x:c>
      <x:c r="P2569" s="12" t="str">
        <x:v>CORP-0420, CORP-0421, CORP-0422, CORP-0423, CORP-0424, CORP-0425, CORP-0426, CORP-0427, CORP-0428</x:v>
      </x:c>
      <x:c r="Q2569" s="12" t="str">
        <x:v>Thoucentric</x:v>
      </x:c>
    </x:row>
    <x:row r="2570" ht="48" customHeight="1">
      <x:c r="A2570" s="2" t="str">
        <x:v>TEN-AF5979674500</x:v>
      </x:c>
      <x:c r="B2570" s="12" t="str">
        <x:v>thoughtworks technologies pvt ltd</x:v>
      </x:c>
      <x:c r="C2570" s="12" t="str">
        <x:v>Business / brand</x:v>
      </x:c>
      <x:c r="D2570" s="12" t="str">
        <x:v>IT &amp; digital</x:v>
      </x:c>
      <x:c r="E2570" s="12" t="str">
        <x:v>Technology services — specialty unverified</x:v>
      </x:c>
      <x:c r="F2570" s="12" t="str">
        <x:v>Mixed business audience</x:v>
      </x:c>
      <x:c r="G2570" s="12" t="str">
        <x:v>Recognisable business context; company-scale evidence remains insufficient for a single size band.</x:v>
      </x:c>
      <x:c r="H2570" s="11" t="n">
        <x:v>1</x:v>
      </x:c>
      <x:c r="I2570" s="11" t="n">
        <x:v>3</x:v>
      </x:c>
      <x:c r="J2570" s="11" t="n">
        <x:v>3</x:v>
      </x:c>
      <x:c r="K2570" s="11" t="n">
        <x:v>0</x:v>
      </x:c>
      <x:c r="L2570" s="17" t="n">
        <x:f>SUM(SUMIFS('Costing'!$P$9:$P$492,'Costing'!$A$9:$A$492,"MAIN-224"))</x:f>
        <x:v>45000</x:v>
      </x:c>
      <x:c r="M2570" s="17" t="n">
        <x:f>ROUND(L2570*'Costing'!$C$4,2)</x:f>
        <x:v>8100</x:v>
      </x:c>
      <x:c r="N2570" s="17" t="n">
        <x:f>L2570+M2570</x:f>
        <x:v>53100</x:v>
      </x:c>
      <x:c r="O2570" s="12" t="str">
        <x:v>Hyderabad</x:v>
      </x:c>
      <x:c r="P2570" s="12" t="str">
        <x:v>CORP-0220</x:v>
      </x:c>
      <x:c r="Q2570" s="12" t="str">
        <x:v>thoughtworks technologies pvt ltd</x:v>
      </x:c>
    </x:row>
    <x:row r="2571" ht="48" customHeight="1">
      <x:c r="A2571" s="2" t="str">
        <x:v>TEN-CBCCDBFD029C</x:v>
      </x:c>
      <x:c r="B2571" s="12" t="str">
        <x:v>Three Sixty Five Business Consultancy Pvt Ltd</x:v>
      </x:c>
      <x:c r="C2571" s="12" t="str">
        <x:v>Business / brand</x:v>
      </x:c>
      <x:c r="D2571" s="12" t="str">
        <x:v>Professional services</x:v>
      </x:c>
      <x:c r="E2571" s="12" t="str">
        <x:v>Business consulting &amp; advisory</x:v>
      </x:c>
      <x:c r="F2571" s="12" t="str">
        <x:v>Small-scale prospects</x:v>
      </x:c>
      <x:c r="G2571" s="12" t="str">
        <x:v>Professional service, agency or advisory model; small-scale prospect assumption.</x:v>
      </x:c>
      <x:c r="H2571" s="11" t="n">
        <x:v>1</x:v>
      </x:c>
      <x:c r="I2571" s="11" t="n">
        <x:v>1</x:v>
      </x:c>
      <x:c r="J2571" s="11" t="n">
        <x:v>1</x:v>
      </x:c>
      <x:c r="K2571" s="11" t="n">
        <x:v>0</x:v>
      </x:c>
      <x:c r="L2571" s="17" t="n">
        <x:f>SUM(SUMIFS('Costing'!$P$9:$P$492,'Costing'!$A$9:$A$492,"MAIN-005"))</x:f>
        <x:v>15000</x:v>
      </x:c>
      <x:c r="M2571" s="17" t="n">
        <x:f>ROUND(L2571*'Costing'!$C$4,2)</x:f>
        <x:v>2700</x:v>
      </x:c>
      <x:c r="N2571" s="17" t="n">
        <x:f>L2571+M2571</x:f>
        <x:v>17700</x:v>
      </x:c>
      <x:c r="O2571" s="12" t="str">
        <x:v>Ahmedabad</x:v>
      </x:c>
      <x:c r="P2571" s="12" t="str">
        <x:v>CORP-0001</x:v>
      </x:c>
      <x:c r="Q2571" s="12" t="str">
        <x:v>Three Sixty Five Business Consultancy Pvt Ltd</x:v>
      </x:c>
    </x:row>
    <x:row r="2572" ht="48" customHeight="1">
      <x:c r="A2572" s="2" t="str">
        <x:v>TEN-FF5ED712C6BE</x:v>
      </x:c>
      <x:c r="B2572" s="12" t="str">
        <x:v>Thundersoft India Pvt Ltd</x:v>
      </x:c>
      <x:c r="C2572" s="12" t="str">
        <x:v>Business / brand</x:v>
      </x:c>
      <x:c r="D2572" s="12" t="str">
        <x:v>IT &amp; digital</x:v>
      </x:c>
      <x:c r="E2572" s="12" t="str">
        <x:v>Enterprise software &amp; digital engineering</x:v>
      </x:c>
      <x:c r="F2572" s="12" t="str">
        <x:v>Mixed business audience</x:v>
      </x:c>
      <x:c r="G2572" s="12" t="str">
        <x:v>Established brand or business network; local company scale is not established. Use a mixed-business message.</x:v>
      </x:c>
      <x:c r="H2572" s="11" t="n">
        <x:v>1</x:v>
      </x:c>
      <x:c r="I2572" s="11" t="n">
        <x:v>1</x:v>
      </x:c>
      <x:c r="J2572" s="11" t="n">
        <x:v>1</x:v>
      </x:c>
      <x:c r="K2572" s="11" t="n">
        <x:v>0</x:v>
      </x:c>
      <x:c r="L2572" s="17" t="n">
        <x:f>SUM(SUMIFS('Costing'!$P$9:$P$492,'Costing'!$A$9:$A$492,"MAIN-250"))</x:f>
        <x:v>15000</x:v>
      </x:c>
      <x:c r="M2572" s="17" t="n">
        <x:f>ROUND(L2572*'Costing'!$C$4,2)</x:f>
        <x:v>2700</x:v>
      </x:c>
      <x:c r="N2572" s="17" t="n">
        <x:f>L2572+M2572</x:f>
        <x:v>17700</x:v>
      </x:c>
      <x:c r="O2572" s="12" t="str">
        <x:v>Hyderabad</x:v>
      </x:c>
      <x:c r="P2572" s="12" t="str">
        <x:v>CORP-0246</x:v>
      </x:c>
      <x:c r="Q2572" s="12" t="str">
        <x:v>Thundersoft India Pvt Ltd</x:v>
      </x:c>
    </x:row>
    <x:row r="2573" ht="48" customHeight="1">
      <x:c r="A2573" s="2" t="str">
        <x:v>TEN-F5D48E8663A5</x:v>
      </x:c>
      <x:c r="B2573" s="12" t="str">
        <x:v>Tibco</x:v>
      </x:c>
      <x:c r="C2573" s="12" t="str">
        <x:v>Business / brand</x:v>
      </x:c>
      <x:c r="D2573" s="12" t="str">
        <x:v>IT &amp; digital</x:v>
      </x:c>
      <x:c r="E2573" s="12" t="str">
        <x:v>Enterprise software &amp; digital engineering</x:v>
      </x:c>
      <x:c r="F2573" s="12" t="str">
        <x:v>Mixed business audience</x:v>
      </x:c>
      <x:c r="G2573" s="12" t="str">
        <x:v>Established brand or business network; local company scale is not established. Use a mixed-business message.</x:v>
      </x:c>
      <x:c r="H2573" s="11" t="n">
        <x:v>1</x:v>
      </x:c>
      <x:c r="I2573" s="11" t="n">
        <x:v>2</x:v>
      </x:c>
      <x:c r="J2573" s="11" t="n">
        <x:v>2</x:v>
      </x:c>
      <x:c r="K2573" s="11" t="n">
        <x:v>0</x:v>
      </x:c>
      <x:c r="L2573" s="17" t="n">
        <x:f>SUM(SUMIFS('Costing'!$P$9:$P$492,'Costing'!$A$9:$A$492,"MAIN-413"))</x:f>
        <x:v>80000</x:v>
      </x:c>
      <x:c r="M2573" s="17" t="n">
        <x:f>ROUND(L2573*'Costing'!$C$4,2)</x:f>
        <x:v>14400</x:v>
      </x:c>
      <x:c r="N2573" s="17" t="n">
        <x:f>L2573+M2573</x:f>
        <x:v>94400</x:v>
      </x:c>
      <x:c r="O2573" s="12" t="str">
        <x:v>Pune</x:v>
      </x:c>
      <x:c r="P2573" s="12" t="str">
        <x:v>CORP-0409</x:v>
      </x:c>
      <x:c r="Q2573" s="12" t="str">
        <x:v>Tibco</x:v>
      </x:c>
    </x:row>
    <x:row r="2574" ht="48" customHeight="1">
      <x:c r="A2574" s="2" t="str">
        <x:v>TEN-DEFF9DF9AA15</x:v>
      </x:c>
      <x:c r="B2574" s="12" t="str">
        <x:v>Tieto Software</x:v>
      </x:c>
      <x:c r="C2574" s="12" t="str">
        <x:v>Business / brand</x:v>
      </x:c>
      <x:c r="D2574" s="12" t="str">
        <x:v>IT &amp; digital</x:v>
      </x:c>
      <x:c r="E2574" s="12" t="str">
        <x:v>Enterprise software &amp; digital engineering</x:v>
      </x:c>
      <x:c r="F2574" s="12" t="str">
        <x:v>Mixed business audience</x:v>
      </x:c>
      <x:c r="G2574" s="12" t="str">
        <x:v>Established brand or business network; local company scale is not established. Use a mixed-business message.</x:v>
      </x:c>
      <x:c r="H2574" s="11" t="n">
        <x:v>6</x:v>
      </x:c>
      <x:c r="I2574" s="11" t="n">
        <x:v>6</x:v>
      </x:c>
      <x:c r="J2574" s="11" t="n">
        <x:v>6</x:v>
      </x:c>
      <x:c r="K2574" s="11" t="n">
        <x:v>0</x:v>
      </x:c>
      <x:c r="L2574" s="17" t="n">
        <x:f>SUM(SUMIFS('Costing'!$P$9:$P$492,'Costing'!$A$9:$A$492,"PARTNER-M072"))</x:f>
        <x:v>240000</x:v>
      </x:c>
      <x:c r="M2574" s="17" t="n">
        <x:f>ROUND(L2574*'Costing'!$C$4,2)</x:f>
        <x:v>43200</x:v>
      </x:c>
      <x:c r="N2574" s="17" t="n">
        <x:f>L2574+M2574</x:f>
        <x:v>283200</x:v>
      </x:c>
      <x:c r="O2574" s="12" t="str">
        <x:v>Bengaluru</x:v>
      </x:c>
      <x:c r="P2574" s="12" t="str">
        <x:v>CORP-0490, CORP-0491, CORP-0492, CORP-0493, CORP-0494, CORP-0495</x:v>
      </x:c>
      <x:c r="Q2574" s="12" t="str">
        <x:v>Tieto Software</x:v>
      </x:c>
    </x:row>
    <x:row r="2575" ht="48" customHeight="1">
      <x:c r="A2575" s="2" t="str">
        <x:v>TEN-FFDA1A899520</x:v>
      </x:c>
      <x:c r="B2575" s="12" t="str">
        <x:v>Tiger Analytics</x:v>
      </x:c>
      <x:c r="C2575" s="12" t="str">
        <x:v>Business / brand</x:v>
      </x:c>
      <x:c r="D2575" s="12" t="str">
        <x:v>IT &amp; digital</x:v>
      </x:c>
      <x:c r="E2575" s="12" t="str">
        <x:v>AI, data &amp; analytics</x:v>
      </x:c>
      <x:c r="F2575" s="12" t="str">
        <x:v>Mixed business audience</x:v>
      </x:c>
      <x:c r="G2575" s="12" t="str">
        <x:v>Established brand or business network; local company scale is not established. Use a mixed-business message.</x:v>
      </x:c>
      <x:c r="H2575" s="11" t="n">
        <x:v>1</x:v>
      </x:c>
      <x:c r="I2575" s="11" t="n">
        <x:v>1</x:v>
      </x:c>
      <x:c r="J2575" s="11" t="n">
        <x:v>1</x:v>
      </x:c>
      <x:c r="K2575" s="11" t="n">
        <x:v>0</x:v>
      </x:c>
      <x:c r="L2575" s="17" t="n">
        <x:f>SUM(SUMIFS('Costing'!$P$9:$P$492,'Costing'!$A$9:$A$492,"MAIN-160"))</x:f>
        <x:v>15000</x:v>
      </x:c>
      <x:c r="M2575" s="17" t="n">
        <x:f>ROUND(L2575*'Costing'!$C$4,2)</x:f>
        <x:v>2700</x:v>
      </x:c>
      <x:c r="N2575" s="17" t="n">
        <x:f>L2575+M2575</x:f>
        <x:v>17700</x:v>
      </x:c>
      <x:c r="O2575" s="12" t="str">
        <x:v>Chennai</x:v>
      </x:c>
      <x:c r="P2575" s="12" t="str">
        <x:v>CORP-0156</x:v>
      </x:c>
      <x:c r="Q2575" s="12" t="str">
        <x:v>Tiger Analytics</x:v>
      </x:c>
    </x:row>
    <x:row r="2576" ht="48" customHeight="1">
      <x:c r="A2576" s="2" t="str">
        <x:v>TEN-1A928963EA58</x:v>
      </x:c>
      <x:c r="B2576" s="12" t="str">
        <x:v>Tilaka Technologies Pvt Ltd</x:v>
      </x:c>
      <x:c r="C2576" s="12" t="str">
        <x:v>Business / brand</x:v>
      </x:c>
      <x:c r="D2576" s="12" t="str">
        <x:v>Unresolved</x:v>
      </x:c>
      <x:c r="E2576" s="12" t="str">
        <x:v>Business activity not established</x:v>
      </x:c>
      <x:c r="F2576" s="12" t="str">
        <x:v>Mixed business audience</x:v>
      </x:c>
      <x:c r="G2576" s="12" t="str">
        <x:v>Business activity and company scale are not established from this name.</x:v>
      </x:c>
      <x:c r="H2576" s="11" t="n">
        <x:v>1</x:v>
      </x:c>
      <x:c r="I2576" s="11" t="n">
        <x:v>4</x:v>
      </x:c>
      <x:c r="J2576" s="11" t="n">
        <x:v>4</x:v>
      </x:c>
      <x:c r="K2576" s="11" t="n">
        <x:v>0</x:v>
      </x:c>
      <x:c r="L2576" s="17" t="n">
        <x:f>SUM(SUMIFS('Costing'!$P$9:$P$492,'Costing'!$A$9:$A$492,"MAIN-124"))</x:f>
        <x:v>100000</x:v>
      </x:c>
      <x:c r="M2576" s="17" t="n">
        <x:f>ROUND(L2576*'Costing'!$C$4,2)</x:f>
        <x:v>18000</x:v>
      </x:c>
      <x:c r="N2576" s="17" t="n">
        <x:f>L2576+M2576</x:f>
        <x:v>118000</x:v>
      </x:c>
      <x:c r="O2576" s="12" t="str">
        <x:v>Bengaluru</x:v>
      </x:c>
      <x:c r="P2576" s="12" t="str">
        <x:v>CORP-0120</x:v>
      </x:c>
      <x:c r="Q2576" s="12" t="str">
        <x:v>Tilaka Technologies Pvt Ltd</x:v>
      </x:c>
    </x:row>
    <x:row r="2577" ht="48" customHeight="1">
      <x:c r="A2577" s="2" t="str">
        <x:v>TEN-F37232276DC6</x:v>
      </x:c>
      <x:c r="B2577" s="12" t="str">
        <x:v>Time Technoplast Ltd</x:v>
      </x:c>
      <x:c r="C2577" s="12" t="str">
        <x:v>Business / brand</x:v>
      </x:c>
      <x:c r="D2577" s="12" t="str">
        <x:v>Engineering &amp; manufacturing</x:v>
      </x:c>
      <x:c r="E2577" s="12" t="str">
        <x:v>Electronics, industrial systems &amp; manufacturing</x:v>
      </x:c>
      <x:c r="F2577" s="12" t="str">
        <x:v>Mixed business audience</x:v>
      </x:c>
      <x:c r="G2577" s="12" t="str">
        <x:v>Established brand or business network; local company scale is not established. Use a mixed-business message.</x:v>
      </x:c>
      <x:c r="H2577" s="11" t="n">
        <x:v>1</x:v>
      </x:c>
      <x:c r="I2577" s="11" t="n">
        <x:v>1</x:v>
      </x:c>
      <x:c r="J2577" s="11" t="n">
        <x:v>1</x:v>
      </x:c>
      <x:c r="K2577" s="11" t="n">
        <x:v>0</x:v>
      </x:c>
      <x:c r="L2577" s="17" t="n">
        <x:f>SUM(SUMIFS('Costing'!$P$9:$P$492,'Costing'!$A$9:$A$492,"MAIN-348"))</x:f>
        <x:v>15000</x:v>
      </x:c>
      <x:c r="M2577" s="17" t="n">
        <x:f>ROUND(L2577*'Costing'!$C$4,2)</x:f>
        <x:v>2700</x:v>
      </x:c>
      <x:c r="N2577" s="17" t="n">
        <x:f>L2577+M2577</x:f>
        <x:v>17700</x:v>
      </x:c>
      <x:c r="O2577" s="12" t="str">
        <x:v>Mumbai</x:v>
      </x:c>
      <x:c r="P2577" s="12" t="str">
        <x:v>CORP-0344</x:v>
      </x:c>
      <x:c r="Q2577" s="12" t="str">
        <x:v>Time Technoplast Ltd</x:v>
      </x:c>
    </x:row>
    <x:row r="2578" ht="48" customHeight="1">
      <x:c r="A2578" s="2" t="str">
        <x:v>TEN-40A7E9ACB062</x:v>
      </x:c>
      <x:c r="B2578" s="12" t="str">
        <x:v>Titan</x:v>
      </x:c>
      <x:c r="C2578" s="12" t="str">
        <x:v>Business / brand</x:v>
      </x:c>
      <x:c r="D2578" s="12" t="str">
        <x:v>Trade, consumer &amp; logistics</x:v>
      </x:c>
      <x:c r="E2578" s="12" t="str">
        <x:v>Consumer/trade services — specialty unverified</x:v>
      </x:c>
      <x:c r="F2578" s="12" t="str">
        <x:v>Large enterprise</x:v>
      </x:c>
      <x:c r="G2578" s="12" t="str">
        <x:v>Explicit Tata enterprise-family context; see ENTERPRISE_SUPP_006 evidence.</x:v>
      </x:c>
      <x:c r="H2578" s="11" t="n">
        <x:v>1</x:v>
      </x:c>
      <x:c r="I2578" s="11" t="n">
        <x:v>1</x:v>
      </x:c>
      <x:c r="J2578" s="11" t="n">
        <x:v>1</x:v>
      </x:c>
      <x:c r="K2578" s="11" t="n">
        <x:v>0</x:v>
      </x:c>
      <x:c r="L2578" s="17" t="n">
        <x:f>SUM(SUMIFS('Costing'!$P$9:$P$492,'Costing'!$A$9:$A$492,"MAIN-275"))</x:f>
        <x:v>40000</x:v>
      </x:c>
      <x:c r="M2578" s="17" t="n">
        <x:f>ROUND(L2578*'Costing'!$C$4,2)</x:f>
        <x:v>7200</x:v>
      </x:c>
      <x:c r="N2578" s="17" t="n">
        <x:f>L2578+M2578</x:f>
        <x:v>47200</x:v>
      </x:c>
      <x:c r="O2578" s="12" t="str">
        <x:v>Indore</x:v>
      </x:c>
      <x:c r="P2578" s="12" t="str">
        <x:v>CORP-0271</x:v>
      </x:c>
      <x:c r="Q2578" s="12" t="str">
        <x:v>Titan</x:v>
      </x:c>
    </x:row>
    <x:row r="2579" ht="48" customHeight="1">
      <x:c r="A2579" s="2" t="str">
        <x:v>TEN-C2ECECEBA97C</x:v>
      </x:c>
      <x:c r="B2579" s="12" t="str">
        <x:v>TMI Group</x:v>
      </x:c>
      <x:c r="C2579" s="12" t="str">
        <x:v>Business / brand</x:v>
      </x:c>
      <x:c r="D2579" s="12" t="str">
        <x:v>IT &amp; digital</x:v>
      </x:c>
      <x:c r="E2579" s="12" t="str">
        <x:v>Enterprise software &amp; digital engineering</x:v>
      </x:c>
      <x:c r="F2579" s="12" t="str">
        <x:v>Small-scale prospects</x:v>
      </x:c>
      <x:c r="G2579" s="12" t="str">
        <x:v>Software or technology-services business; small-scale prospect assumption.</x:v>
      </x:c>
      <x:c r="H2579" s="11" t="n">
        <x:v>1</x:v>
      </x:c>
      <x:c r="I2579" s="11" t="n">
        <x:v>22</x:v>
      </x:c>
      <x:c r="J2579" s="11" t="n">
        <x:v>22</x:v>
      </x:c>
      <x:c r="K2579" s="11" t="n">
        <x:v>0</x:v>
      </x:c>
      <x:c r="L2579" s="17" t="n">
        <x:f>SUM(SUMIFS('Costing'!$P$9:$P$492,'Costing'!$A$9:$A$492,"MAIN-260"))</x:f>
        <x:v>715000</x:v>
      </x:c>
      <x:c r="M2579" s="17" t="n">
        <x:f>ROUND(L2579*'Costing'!$C$4,2)</x:f>
        <x:v>128700</x:v>
      </x:c>
      <x:c r="N2579" s="17" t="n">
        <x:f>L2579+M2579</x:f>
        <x:v>843700</x:v>
      </x:c>
      <x:c r="O2579" s="12" t="str">
        <x:v>Hyderabad</x:v>
      </x:c>
      <x:c r="P2579" s="12" t="str">
        <x:v>CORP-0256</x:v>
      </x:c>
      <x:c r="Q2579" s="12" t="str">
        <x:v>TMI Group</x:v>
      </x:c>
    </x:row>
    <x:row r="2580" ht="48" customHeight="1">
      <x:c r="A2580" s="2" t="str">
        <x:v>TEN-21D1AC1A15C8</x:v>
      </x:c>
      <x:c r="B2580" s="12" t="str">
        <x:v>Tokovr</x:v>
      </x:c>
      <x:c r="C2580" s="12" t="str">
        <x:v>Business / brand</x:v>
      </x:c>
      <x:c r="D2580" s="12" t="str">
        <x:v>Unresolved</x:v>
      </x:c>
      <x:c r="E2580" s="12" t="str">
        <x:v>Business activity not established</x:v>
      </x:c>
      <x:c r="F2580" s="12" t="str">
        <x:v>Mixed business audience</x:v>
      </x:c>
      <x:c r="G2580" s="12" t="str">
        <x:v>Business activity and company scale are not established from this name.</x:v>
      </x:c>
      <x:c r="H2580" s="11" t="n">
        <x:v>1</x:v>
      </x:c>
      <x:c r="I2580" s="11" t="n">
        <x:v>1</x:v>
      </x:c>
      <x:c r="J2580" s="11" t="n">
        <x:v>1</x:v>
      </x:c>
      <x:c r="K2580" s="11" t="n">
        <x:v>0</x:v>
      </x:c>
      <x:c r="L2580" s="17" t="n">
        <x:f>SUM(SUMIFS('Costing'!$P$9:$P$492,'Costing'!$A$9:$A$492,"MAIN-028"))</x:f>
        <x:v>15000</x:v>
      </x:c>
      <x:c r="M2580" s="17" t="n">
        <x:f>ROUND(L2580*'Costing'!$C$4,2)</x:f>
        <x:v>2700</x:v>
      </x:c>
      <x:c r="N2580" s="17" t="n">
        <x:f>L2580+M2580</x:f>
        <x:v>17700</x:v>
      </x:c>
      <x:c r="O2580" s="12" t="str">
        <x:v>Bengaluru</x:v>
      </x:c>
      <x:c r="P2580" s="12" t="str">
        <x:v>CORP-0024</x:v>
      </x:c>
      <x:c r="Q2580" s="12" t="str">
        <x:v>Tokovr</x:v>
      </x:c>
    </x:row>
    <x:row r="2581" ht="48" customHeight="1">
      <x:c r="A2581" s="2" t="str">
        <x:v>TEN-663FA8BBE4DA</x:v>
      </x:c>
      <x:c r="B2581" s="12" t="str">
        <x:v>Toll Global Forwarding (India) Pvt. Ltd</x:v>
      </x:c>
      <x:c r="C2581" s="12" t="str">
        <x:v>Business / brand</x:v>
      </x:c>
      <x:c r="D2581" s="12" t="str">
        <x:v>Trade, consumer &amp; logistics</x:v>
      </x:c>
      <x:c r="E2581" s="12" t="str">
        <x:v>Logistics, shipping &amp; transport</x:v>
      </x:c>
      <x:c r="F2581" s="12" t="str">
        <x:v>Mixed business audience</x:v>
      </x:c>
      <x:c r="G2581" s="12" t="str">
        <x:v>Established brand or business network; local company scale is not established. Use a mixed-business message.</x:v>
      </x:c>
      <x:c r="H2581" s="11" t="n">
        <x:v>1</x:v>
      </x:c>
      <x:c r="I2581" s="11" t="n">
        <x:v>2</x:v>
      </x:c>
      <x:c r="J2581" s="11" t="n">
        <x:v>2</x:v>
      </x:c>
      <x:c r="K2581" s="11" t="n">
        <x:v>0</x:v>
      </x:c>
      <x:c r="L2581" s="17" t="n">
        <x:f>SUM(SUMIFS('Costing'!$P$9:$P$492,'Costing'!$A$9:$A$492,"MAIN-207"))</x:f>
        <x:v>80000</x:v>
      </x:c>
      <x:c r="M2581" s="17" t="n">
        <x:f>ROUND(L2581*'Costing'!$C$4,2)</x:f>
        <x:v>14400</x:v>
      </x:c>
      <x:c r="N2581" s="17" t="n">
        <x:f>L2581+M2581</x:f>
        <x:v>94400</x:v>
      </x:c>
      <x:c r="O2581" s="12" t="str">
        <x:v>Delhi NCR</x:v>
      </x:c>
      <x:c r="P2581" s="12" t="str">
        <x:v>CORP-0203</x:v>
      </x:c>
      <x:c r="Q2581" s="12" t="str">
        <x:v>Toll Global Forwarding (India) Pvt. Ltd</x:v>
      </x:c>
    </x:row>
    <x:row r="2582" ht="48" customHeight="1">
      <x:c r="A2582" s="2" t="str">
        <x:v>TEN-888DA7433392</x:v>
      </x:c>
      <x:c r="B2582" s="12" t="str">
        <x:v>Toll Technology Centre</x:v>
      </x:c>
      <x:c r="C2582" s="12" t="str">
        <x:v>Business / brand</x:v>
      </x:c>
      <x:c r="D2582" s="12" t="str">
        <x:v>IT &amp; digital</x:v>
      </x:c>
      <x:c r="E2582" s="12" t="str">
        <x:v>Enterprise software &amp; digital engineering</x:v>
      </x:c>
      <x:c r="F2582" s="12" t="str">
        <x:v>Mixed business audience</x:v>
      </x:c>
      <x:c r="G2582" s="12" t="str">
        <x:v>Established brand or business network; local company scale is not established. Use a mixed-business message.</x:v>
      </x:c>
      <x:c r="H2582" s="11" t="n">
        <x:v>3</x:v>
      </x:c>
      <x:c r="I2582" s="11" t="n">
        <x:v>3</x:v>
      </x:c>
      <x:c r="J2582" s="11" t="n">
        <x:v>3</x:v>
      </x:c>
      <x:c r="K2582" s="11" t="n">
        <x:v>0</x:v>
      </x:c>
      <x:c r="L2582" s="17" t="n">
        <x:f>SUM(SUMIFS('Costing'!$P$9:$P$492,'Costing'!$A$9:$A$492,"PARTNER-M265"))</x:f>
        <x:v>120000</x:v>
      </x:c>
      <x:c r="M2582" s="17" t="n">
        <x:f>ROUND(L2582*'Costing'!$C$4,2)</x:f>
        <x:v>21600</x:v>
      </x:c>
      <x:c r="N2582" s="17" t="n">
        <x:f>L2582+M2582</x:f>
        <x:v>141600</x:v>
      </x:c>
      <x:c r="O2582" s="12" t="str">
        <x:v>Pune</x:v>
      </x:c>
      <x:c r="P2582" s="12" t="str">
        <x:v>CORP-0681, CORP-0682, CORP-0683</x:v>
      </x:c>
      <x:c r="Q2582" s="12" t="str">
        <x:v>Toll Technology Centre</x:v>
      </x:c>
    </x:row>
    <x:row r="2583" ht="48" customHeight="1">
      <x:c r="A2583" s="2" t="str">
        <x:v>TEN-5AD09C016EC1</x:v>
      </x:c>
      <x:c r="B2583" s="12" t="str">
        <x:v>Top &amp; Town</x:v>
      </x:c>
      <x:c r="C2583" s="12" t="str">
        <x:v>Business / brand</x:v>
      </x:c>
      <x:c r="D2583" s="12" t="str">
        <x:v>Trade, consumer &amp; logistics</x:v>
      </x:c>
      <x:c r="E2583" s="12" t="str">
        <x:v>Retail, consumer products &amp; ecommerce</x:v>
      </x:c>
      <x:c r="F2583" s="12" t="str">
        <x:v>Small-scale prospects</x:v>
      </x:c>
      <x:c r="G2583" s="12" t="str">
        <x:v>Trading or consumer-services business; small-scale prospect assumption.</x:v>
      </x:c>
      <x:c r="H2583" s="11" t="n">
        <x:v>1</x:v>
      </x:c>
      <x:c r="I2583" s="11" t="n">
        <x:v>2</x:v>
      </x:c>
      <x:c r="J2583" s="11" t="n">
        <x:v>2</x:v>
      </x:c>
      <x:c r="K2583" s="11" t="n">
        <x:v>0</x:v>
      </x:c>
      <x:c r="L2583" s="17" t="n">
        <x:f>SUM(SUMIFS('Costing'!$P$9:$P$492,'Costing'!$A$9:$A$492,"MAIN-267"))</x:f>
        <x:v>40000</x:v>
      </x:c>
      <x:c r="M2583" s="17" t="n">
        <x:f>ROUND(L2583*'Costing'!$C$4,2)</x:f>
        <x:v>7200</x:v>
      </x:c>
      <x:c r="N2583" s="17" t="n">
        <x:f>L2583+M2583</x:f>
        <x:v>47200</x:v>
      </x:c>
      <x:c r="O2583" s="12" t="str">
        <x:v>Indore</x:v>
      </x:c>
      <x:c r="P2583" s="12" t="str">
        <x:v>CORP-0263</x:v>
      </x:c>
      <x:c r="Q2583" s="12" t="str">
        <x:v>Top &amp; Town</x:v>
      </x:c>
    </x:row>
    <x:row r="2584" ht="48" customHeight="1">
      <x:c r="A2584" s="2" t="str">
        <x:v>TEN-126A3A0D11EC</x:v>
      </x:c>
      <x:c r="B2584" s="12" t="str">
        <x:v>TopMentor</x:v>
      </x:c>
      <x:c r="C2584" s="12" t="str">
        <x:v>Business / brand</x:v>
      </x:c>
      <x:c r="D2584" s="12" t="str">
        <x:v>Education</x:v>
      </x:c>
      <x:c r="E2584" s="12" t="str">
        <x:v>Edtech, training &amp; learning</x:v>
      </x:c>
      <x:c r="F2584" s="12" t="str">
        <x:v>Small-scale prospects</x:v>
      </x:c>
      <x:c r="G2584" s="12" t="str">
        <x:v>Training or education-services business; small-scale prospect assumption.</x:v>
      </x:c>
      <x:c r="H2584" s="11" t="n">
        <x:v>3</x:v>
      </x:c>
      <x:c r="I2584" s="11" t="n">
        <x:v>3</x:v>
      </x:c>
      <x:c r="J2584" s="11" t="n">
        <x:v>3</x:v>
      </x:c>
      <x:c r="K2584" s="11" t="n">
        <x:v>0</x:v>
      </x:c>
      <x:c r="L2584" s="17" t="n">
        <x:f>SUM(SUMIFS('Costing'!$P$9:$P$492,'Costing'!$A$9:$A$492,"PARTNER-M265"))</x:f>
        <x:v>120000</x:v>
      </x:c>
      <x:c r="M2584" s="17" t="n">
        <x:f>ROUND(L2584*'Costing'!$C$4,2)</x:f>
        <x:v>21600</x:v>
      </x:c>
      <x:c r="N2584" s="17" t="n">
        <x:f>L2584+M2584</x:f>
        <x:v>141600</x:v>
      </x:c>
      <x:c r="O2584" s="12" t="str">
        <x:v>Pune</x:v>
      </x:c>
      <x:c r="P2584" s="12" t="str">
        <x:v>CORP-0681, CORP-0682, CORP-0683</x:v>
      </x:c>
      <x:c r="Q2584" s="12" t="str">
        <x:v>TopMentor</x:v>
      </x:c>
    </x:row>
    <x:row r="2585" ht="48" customHeight="1">
      <x:c r="A2585" s="2" t="str">
        <x:v>TEN-A95FFCA723A6</x:v>
      </x:c>
      <x:c r="B2585" s="12" t="str">
        <x:v>Toprankers Edtech Solutions Pvt Ltd</x:v>
      </x:c>
      <x:c r="C2585" s="12" t="str">
        <x:v>Business / brand</x:v>
      </x:c>
      <x:c r="D2585" s="12" t="str">
        <x:v>Education</x:v>
      </x:c>
      <x:c r="E2585" s="12" t="str">
        <x:v>Edtech, training &amp; learning</x:v>
      </x:c>
      <x:c r="F2585" s="12" t="str">
        <x:v>Mixed business audience</x:v>
      </x:c>
      <x:c r="G2585" s="12" t="str">
        <x:v>Recognisable business context; company-scale evidence remains insufficient for a single size band.</x:v>
      </x:c>
      <x:c r="H2585" s="11" t="n">
        <x:v>1</x:v>
      </x:c>
      <x:c r="I2585" s="11" t="n">
        <x:v>8</x:v>
      </x:c>
      <x:c r="J2585" s="11" t="n">
        <x:v>8</x:v>
      </x:c>
      <x:c r="K2585" s="11" t="n">
        <x:v>0</x:v>
      </x:c>
      <x:c r="L2585" s="17" t="n">
        <x:f>SUM(SUMIFS('Costing'!$P$9:$P$492,'Costing'!$A$9:$A$492,"MAIN-126"))</x:f>
        <x:v>200000</x:v>
      </x:c>
      <x:c r="M2585" s="17" t="n">
        <x:f>ROUND(L2585*'Costing'!$C$4,2)</x:f>
        <x:v>36000</x:v>
      </x:c>
      <x:c r="N2585" s="17" t="n">
        <x:f>L2585+M2585</x:f>
        <x:v>236000</x:v>
      </x:c>
      <x:c r="O2585" s="12" t="str">
        <x:v>Bengaluru</x:v>
      </x:c>
      <x:c r="P2585" s="12" t="str">
        <x:v>CORP-0122</x:v>
      </x:c>
      <x:c r="Q2585" s="12" t="str">
        <x:v>Toprankers Edtech Solutions Pvt Ltd</x:v>
      </x:c>
    </x:row>
    <x:row r="2586" ht="48" customHeight="1">
      <x:c r="A2586" s="2" t="str">
        <x:v>TEN-BC236A8ABD26</x:v>
      </x:c>
      <x:c r="B2586" s="12" t="str">
        <x:v>Toshiba</x:v>
      </x:c>
      <x:c r="C2586" s="12" t="str">
        <x:v>Business / brand</x:v>
      </x:c>
      <x:c r="D2586" s="12" t="str">
        <x:v>Engineering &amp; manufacturing</x:v>
      </x:c>
      <x:c r="E2586" s="12" t="str">
        <x:v>Electronics, industrial systems &amp; manufacturing</x:v>
      </x:c>
      <x:c r="F2586" s="12" t="str">
        <x:v>Mixed business audience</x:v>
      </x:c>
      <x:c r="G2586" s="12" t="str">
        <x:v>Established brand or business network; local company scale is not established. Use a mixed-business message.</x:v>
      </x:c>
      <x:c r="H2586" s="11" t="n">
        <x:v>2</x:v>
      </x:c>
      <x:c r="I2586" s="11" t="n">
        <x:v>3</x:v>
      </x:c>
      <x:c r="J2586" s="11" t="n">
        <x:v>3</x:v>
      </x:c>
      <x:c r="K2586" s="11" t="n">
        <x:v>0</x:v>
      </x:c>
      <x:c r="L2586" s="17" t="n">
        <x:f>SUM(SUMIFS('Costing'!$P$9:$P$492,'Costing'!$A$9:$A$492,"MAIN-284"),SUMIFS('Costing'!$P$9:$P$492,'Costing'!$A$9:$A$492,"MAIN-285"))</x:f>
        <x:v>45000</x:v>
      </x:c>
      <x:c r="M2586" s="17" t="n">
        <x:f>ROUND(L2586*'Costing'!$C$4,2)</x:f>
        <x:v>8100</x:v>
      </x:c>
      <x:c r="N2586" s="17" t="n">
        <x:f>L2586+M2586</x:f>
        <x:v>53100</x:v>
      </x:c>
      <x:c r="O2586" s="12" t="str">
        <x:v>Kolkata</x:v>
      </x:c>
      <x:c r="P2586" s="12" t="str">
        <x:v>CORP-0280, CORP-0281</x:v>
      </x:c>
      <x:c r="Q2586" s="12" t="str">
        <x:v>Toshiba</x:v>
      </x:c>
    </x:row>
    <x:row r="2587" ht="48" customHeight="1">
      <x:c r="A2587" s="2" t="str">
        <x:v>TEN-4217F70FC2FE</x:v>
      </x:c>
      <x:c r="B2587" s="12" t="str">
        <x:v>Toyaja Software India</x:v>
      </x:c>
      <x:c r="C2587" s="12" t="str">
        <x:v>Business / brand</x:v>
      </x:c>
      <x:c r="D2587" s="12" t="str">
        <x:v>IT &amp; digital</x:v>
      </x:c>
      <x:c r="E2587" s="12" t="str">
        <x:v>Enterprise software &amp; digital engineering</x:v>
      </x:c>
      <x:c r="F2587" s="12" t="str">
        <x:v>Small-scale prospects</x:v>
      </x:c>
      <x:c r="G2587" s="12" t="str">
        <x:v>Software or technology-services business; small-scale prospect assumption.</x:v>
      </x:c>
      <x:c r="H2587" s="11" t="n">
        <x:v>7</x:v>
      </x:c>
      <x:c r="I2587" s="11" t="n">
        <x:v>7</x:v>
      </x:c>
      <x:c r="J2587" s="11" t="n">
        <x:v>7</x:v>
      </x:c>
      <x:c r="K2587" s="11" t="n">
        <x:v>0</x:v>
      </x:c>
      <x:c r="L2587" s="17" t="n">
        <x:f>SUM(SUMIFS('Costing'!$P$9:$P$492,'Costing'!$A$9:$A$492,"PARTNER-M317"))</x:f>
        <x:v>280000</x:v>
      </x:c>
      <x:c r="M2587" s="17" t="n">
        <x:f>ROUND(L2587*'Costing'!$C$4,2)</x:f>
        <x:v>50400</x:v>
      </x:c>
      <x:c r="N2587" s="17" t="n">
        <x:f>L2587+M2587</x:f>
        <x:v>330400</x:v>
      </x:c>
      <x:c r="O2587" s="12" t="str">
        <x:v>Hyderabad</x:v>
      </x:c>
      <x:c r="P2587" s="12" t="str">
        <x:v>CORP-0732, CORP-0733, CORP-0734, CORP-0735, CORP-0736, CORP-0737, CORP-0738</x:v>
      </x:c>
      <x:c r="Q2587" s="12" t="str">
        <x:v>Toyaja Software India</x:v>
      </x:c>
    </x:row>
    <x:row r="2588" ht="48" customHeight="1">
      <x:c r="A2588" s="2" t="str">
        <x:v>TEN-81815D26A3F0</x:v>
      </x:c>
      <x:c r="B2588" s="12" t="str">
        <x:v>Toyota Tshusho</x:v>
      </x:c>
      <x:c r="C2588" s="12" t="str">
        <x:v>Business / brand</x:v>
      </x:c>
      <x:c r="D2588" s="12" t="str">
        <x:v>Engineering &amp; manufacturing</x:v>
      </x:c>
      <x:c r="E2588" s="12" t="str">
        <x:v>Automotive, mobility &amp; aerospace</x:v>
      </x:c>
      <x:c r="F2588" s="12" t="str">
        <x:v>Mixed business audience</x:v>
      </x:c>
      <x:c r="G2588" s="12" t="str">
        <x:v>Recognisable business context; company-scale evidence remains insufficient for a single size band.</x:v>
      </x:c>
      <x:c r="H2588" s="11" t="n">
        <x:v>1</x:v>
      </x:c>
      <x:c r="I2588" s="11" t="n">
        <x:v>8</x:v>
      </x:c>
      <x:c r="J2588" s="11" t="n">
        <x:v>8</x:v>
      </x:c>
      <x:c r="K2588" s="11" t="n">
        <x:v>0</x:v>
      </x:c>
      <x:c r="L2588" s="17" t="n">
        <x:f>SUM(SUMIFS('Costing'!$P$9:$P$492,'Costing'!$A$9:$A$492,"MAIN-215"))</x:f>
        <x:v>120000</x:v>
      </x:c>
      <x:c r="M2588" s="17" t="n">
        <x:f>ROUND(L2588*'Costing'!$C$4,2)</x:f>
        <x:v>21600</x:v>
      </x:c>
      <x:c r="N2588" s="17" t="n">
        <x:f>L2588+M2588</x:f>
        <x:v>141600</x:v>
      </x:c>
      <x:c r="O2588" s="12" t="str">
        <x:v>Hyderabad</x:v>
      </x:c>
      <x:c r="P2588" s="12" t="str">
        <x:v>CORP-0211</x:v>
      </x:c>
      <x:c r="Q2588" s="12" t="str">
        <x:v>Toyota Tshusho</x:v>
      </x:c>
    </x:row>
    <x:row r="2589" ht="48" customHeight="1">
      <x:c r="A2589" s="2" t="str">
        <x:v>TEN-2DF4390BE20B</x:v>
      </x:c>
      <x:c r="B2589" s="12" t="str">
        <x:v>Toyota Tsusho India Pvt. Ltd</x:v>
      </x:c>
      <x:c r="C2589" s="12" t="str">
        <x:v>Business / brand</x:v>
      </x:c>
      <x:c r="D2589" s="12" t="str">
        <x:v>Engineering &amp; manufacturing</x:v>
      </x:c>
      <x:c r="E2589" s="12" t="str">
        <x:v>Automotive, mobility &amp; aerospace</x:v>
      </x:c>
      <x:c r="F2589" s="12" t="str">
        <x:v>Mixed business audience</x:v>
      </x:c>
      <x:c r="G2589" s="12" t="str">
        <x:v>Recognisable business context; company-scale evidence remains insufficient for a single size band.</x:v>
      </x:c>
      <x:c r="H2589" s="11" t="n">
        <x:v>4</x:v>
      </x:c>
      <x:c r="I2589" s="11" t="n">
        <x:v>4</x:v>
      </x:c>
      <x:c r="J2589" s="11" t="n">
        <x:v>4</x:v>
      </x:c>
      <x:c r="K2589" s="11" t="n">
        <x:v>0</x:v>
      </x:c>
      <x:c r="L2589" s="17" t="n">
        <x:f>SUM(SUMIFS('Costing'!$P$9:$P$492,'Costing'!$A$9:$A$492,"PARTNER-M235"))</x:f>
        <x:v>160000</x:v>
      </x:c>
      <x:c r="M2589" s="17" t="n">
        <x:f>ROUND(L2589*'Costing'!$C$4,2)</x:f>
        <x:v>28800</x:v>
      </x:c>
      <x:c r="N2589" s="17" t="n">
        <x:f>L2589+M2589</x:f>
        <x:v>188800</x:v>
      </x:c>
      <x:c r="O2589" s="12" t="str">
        <x:v>Mumbai</x:v>
      </x:c>
      <x:c r="P2589" s="12" t="str">
        <x:v>CORP-0652, CORP-0653, CORP-0654, CORP-0655</x:v>
      </x:c>
      <x:c r="Q2589" s="12" t="str">
        <x:v>Toyota Tsusho India Pvt. Ltd</x:v>
      </x:c>
    </x:row>
    <x:row r="2590" ht="48" customHeight="1">
      <x:c r="A2590" s="2" t="str">
        <x:v>TEN-11A73E8A1661</x:v>
      </x:c>
      <x:c r="B2590" s="12" t="str">
        <x:v>TPV Technology</x:v>
      </x:c>
      <x:c r="C2590" s="12" t="str">
        <x:v>Business / brand</x:v>
      </x:c>
      <x:c r="D2590" s="12" t="str">
        <x:v>Engineering &amp; manufacturing</x:v>
      </x:c>
      <x:c r="E2590" s="12" t="str">
        <x:v>Electronics, industrial systems &amp; manufacturing</x:v>
      </x:c>
      <x:c r="F2590" s="12" t="str">
        <x:v>Mixed business audience</x:v>
      </x:c>
      <x:c r="G2590" s="12" t="str">
        <x:v>Established brand or business network; local company scale is not established. Use a mixed-business message.</x:v>
      </x:c>
      <x:c r="H2590" s="11" t="n">
        <x:v>2</x:v>
      </x:c>
      <x:c r="I2590" s="11" t="n">
        <x:v>2</x:v>
      </x:c>
      <x:c r="J2590" s="11" t="n">
        <x:v>2</x:v>
      </x:c>
      <x:c r="K2590" s="11" t="n">
        <x:v>0</x:v>
      </x:c>
      <x:c r="L2590" s="17" t="n">
        <x:f>SUM(SUMIFS('Costing'!$P$9:$P$492,'Costing'!$A$9:$A$492,"PARTNER-M241"))</x:f>
        <x:v>80000</x:v>
      </x:c>
      <x:c r="M2590" s="17" t="n">
        <x:f>ROUND(L2590*'Costing'!$C$4,2)</x:f>
        <x:v>14400</x:v>
      </x:c>
      <x:c r="N2590" s="17" t="n">
        <x:f>L2590+M2590</x:f>
        <x:v>94400</x:v>
      </x:c>
      <x:c r="O2590" s="12" t="str">
        <x:v>Mumbai</x:v>
      </x:c>
      <x:c r="P2590" s="12" t="str">
        <x:v>CORP-0658, CORP-0659</x:v>
      </x:c>
      <x:c r="Q2590" s="12" t="str">
        <x:v>TPV Technology</x:v>
      </x:c>
    </x:row>
    <x:row r="2591" ht="48" customHeight="1">
      <x:c r="A2591" s="2" t="str">
        <x:v>TEN-D22C9DC7EBCB</x:v>
      </x:c>
      <x:c r="B2591" s="12" t="str">
        <x:v>Tracelay Networks GSOC</x:v>
      </x:c>
      <x:c r="C2591" s="12" t="str">
        <x:v>Business / brand</x:v>
      </x:c>
      <x:c r="D2591" s="12" t="str">
        <x:v>IT &amp; digital</x:v>
      </x:c>
      <x:c r="E2591" s="12" t="str">
        <x:v>Telecom, networks &amp; connectivity</x:v>
      </x:c>
      <x:c r="F2591" s="12" t="str">
        <x:v>Small-scale prospects</x:v>
      </x:c>
      <x:c r="G2591" s="12" t="str">
        <x:v>Software or technology-services business; small-scale prospect assumption.</x:v>
      </x:c>
      <x:c r="H2591" s="11" t="n">
        <x:v>3</x:v>
      </x:c>
      <x:c r="I2591" s="11" t="n">
        <x:v>3</x:v>
      </x:c>
      <x:c r="J2591" s="11" t="n">
        <x:v>3</x:v>
      </x:c>
      <x:c r="K2591" s="11" t="n">
        <x:v>0</x:v>
      </x:c>
      <x:c r="L2591" s="17" t="n">
        <x:f>SUM(SUMIFS('Costing'!$P$9:$P$492,'Costing'!$A$9:$A$492,"PARTNER-M067"))</x:f>
        <x:v>120000</x:v>
      </x:c>
      <x:c r="M2591" s="17" t="n">
        <x:f>ROUND(L2591*'Costing'!$C$4,2)</x:f>
        <x:v>21600</x:v>
      </x:c>
      <x:c r="N2591" s="17" t="n">
        <x:f>L2591+M2591</x:f>
        <x:v>141600</x:v>
      </x:c>
      <x:c r="O2591" s="12" t="str">
        <x:v>Bengaluru</x:v>
      </x:c>
      <x:c r="P2591" s="12" t="str">
        <x:v>CORP-0485, CORP-0486, CORP-0487</x:v>
      </x:c>
      <x:c r="Q2591" s="12" t="str">
        <x:v>Tracelay Networks GSOC</x:v>
      </x:c>
    </x:row>
    <x:row r="2592" ht="48" customHeight="1">
      <x:c r="A2592" s="2" t="str">
        <x:v>TEN-6400FD4DD74A</x:v>
      </x:c>
      <x:c r="B2592" s="12" t="str">
        <x:v>TrackOlap</x:v>
      </x:c>
      <x:c r="C2592" s="12" t="str">
        <x:v>Business / brand</x:v>
      </x:c>
      <x:c r="D2592" s="12" t="str">
        <x:v>IT &amp; digital</x:v>
      </x:c>
      <x:c r="E2592" s="12" t="str">
        <x:v>Enterprise software &amp; digital engineering</x:v>
      </x:c>
      <x:c r="F2592" s="12" t="str">
        <x:v>Small-scale prospects</x:v>
      </x:c>
      <x:c r="G2592" s="12" t="str">
        <x:v>Software or technology-services business; small-scale prospect assumption.</x:v>
      </x:c>
      <x:c r="H2592" s="11" t="n">
        <x:v>2</x:v>
      </x:c>
      <x:c r="I2592" s="11" t="n">
        <x:v>6</x:v>
      </x:c>
      <x:c r="J2592" s="11" t="n">
        <x:v>6</x:v>
      </x:c>
      <x:c r="K2592" s="11" t="n">
        <x:v>0</x:v>
      </x:c>
      <x:c r="L2592" s="17" t="n">
        <x:f>SUM(SUMIFS('Costing'!$P$9:$P$492,'Costing'!$A$9:$A$492,"MAIN-374"),SUMIFS('Costing'!$P$9:$P$492,'Costing'!$A$9:$A$492,"MAIN-375"))</x:f>
        <x:v>140000</x:v>
      </x:c>
      <x:c r="M2592" s="17" t="n">
        <x:f>ROUND(L2592*'Costing'!$C$4,2)</x:f>
        <x:v>25200</x:v>
      </x:c>
      <x:c r="N2592" s="17" t="n">
        <x:f>L2592+M2592</x:f>
        <x:v>165200</x:v>
      </x:c>
      <x:c r="O2592" s="12" t="str">
        <x:v>Delhi NCR</x:v>
      </x:c>
      <x:c r="P2592" s="12" t="str">
        <x:v>CORP-0370, CORP-0371</x:v>
      </x:c>
      <x:c r="Q2592" s="12" t="str">
        <x:v>TrackOlap</x:v>
      </x:c>
    </x:row>
    <x:row r="2593" ht="48" customHeight="1">
      <x:c r="A2593" s="2" t="str">
        <x:v>TEN-31041A1A1091</x:v>
      </x:c>
      <x:c r="B2593" s="12" t="str">
        <x:v>Trafigura</x:v>
      </x:c>
      <x:c r="C2593" s="12" t="str">
        <x:v>Business / brand</x:v>
      </x:c>
      <x:c r="D2593" s="12" t="str">
        <x:v>Trade, consumer &amp; logistics</x:v>
      </x:c>
      <x:c r="E2593" s="12" t="str">
        <x:v>Logistics, shipping &amp; transport</x:v>
      </x:c>
      <x:c r="F2593" s="12" t="str">
        <x:v>Mixed business audience</x:v>
      </x:c>
      <x:c r="G2593" s="12" t="str">
        <x:v>Established brand or business network; local company scale is not established. Use a mixed-business message.</x:v>
      </x:c>
      <x:c r="H2593" s="11" t="n">
        <x:v>1</x:v>
      </x:c>
      <x:c r="I2593" s="11" t="n">
        <x:v>2</x:v>
      </x:c>
      <x:c r="J2593" s="11" t="n">
        <x:v>2</x:v>
      </x:c>
      <x:c r="K2593" s="11" t="n">
        <x:v>0</x:v>
      </x:c>
      <x:c r="L2593" s="17" t="n">
        <x:f>SUM(SUMIFS('Costing'!$P$9:$P$492,'Costing'!$A$9:$A$492,"MAIN-162"))</x:f>
        <x:v>30000</x:v>
      </x:c>
      <x:c r="M2593" s="17" t="n">
        <x:f>ROUND(L2593*'Costing'!$C$4,2)</x:f>
        <x:v>5400</x:v>
      </x:c>
      <x:c r="N2593" s="17" t="n">
        <x:f>L2593+M2593</x:f>
        <x:v>35400</x:v>
      </x:c>
      <x:c r="O2593" s="12" t="str">
        <x:v>Delhi NCR</x:v>
      </x:c>
      <x:c r="P2593" s="12" t="str">
        <x:v>CORP-0158</x:v>
      </x:c>
      <x:c r="Q2593" s="12" t="str">
        <x:v>Trafigura</x:v>
      </x:c>
    </x:row>
    <x:row r="2594" ht="48" customHeight="1">
      <x:c r="A2594" s="2" t="str">
        <x:v>TEN-D7828298EF2E</x:v>
      </x:c>
      <x:c r="B2594" s="12" t="str">
        <x:v>Trafigura India Pvt Ltd</x:v>
      </x:c>
      <x:c r="C2594" s="12" t="str">
        <x:v>Business / brand</x:v>
      </x:c>
      <x:c r="D2594" s="12" t="str">
        <x:v>Trade, consumer &amp; logistics</x:v>
      </x:c>
      <x:c r="E2594" s="12" t="str">
        <x:v>Logistics, shipping &amp; transport</x:v>
      </x:c>
      <x:c r="F2594" s="12" t="str">
        <x:v>Mixed business audience</x:v>
      </x:c>
      <x:c r="G2594" s="12" t="str">
        <x:v>Established brand or business network; local company scale is not established. Use a mixed-business message.</x:v>
      </x:c>
      <x:c r="H2594" s="11" t="n">
        <x:v>1</x:v>
      </x:c>
      <x:c r="I2594" s="11" t="n">
        <x:v>2</x:v>
      </x:c>
      <x:c r="J2594" s="11" t="n">
        <x:v>2</x:v>
      </x:c>
      <x:c r="K2594" s="11" t="n">
        <x:v>0</x:v>
      </x:c>
      <x:c r="L2594" s="17" t="n">
        <x:f>SUM(SUMIFS('Costing'!$P$9:$P$492,'Costing'!$A$9:$A$492,"MAIN-325"))</x:f>
        <x:v>80000</x:v>
      </x:c>
      <x:c r="M2594" s="17" t="n">
        <x:f>ROUND(L2594*'Costing'!$C$4,2)</x:f>
        <x:v>14400</x:v>
      </x:c>
      <x:c r="N2594" s="17" t="n">
        <x:f>L2594+M2594</x:f>
        <x:v>94400</x:v>
      </x:c>
      <x:c r="O2594" s="12" t="str">
        <x:v>Mumbai</x:v>
      </x:c>
      <x:c r="P2594" s="12" t="str">
        <x:v>CORP-0321</x:v>
      </x:c>
      <x:c r="Q2594" s="12" t="str">
        <x:v>Trafigura India Pvt Ltd</x:v>
      </x:c>
    </x:row>
    <x:row r="2595" ht="48" customHeight="1">
      <x:c r="A2595" s="2" t="str">
        <x:v>TEN-38D920B1B6A2</x:v>
      </x:c>
      <x:c r="B2595" s="12" t="str">
        <x:v>Transactree enterprises pvt ltd</x:v>
      </x:c>
      <x:c r="C2595" s="12" t="str">
        <x:v>Business / brand</x:v>
      </x:c>
      <x:c r="D2595" s="12" t="str">
        <x:v>Unresolved</x:v>
      </x:c>
      <x:c r="E2595" s="12" t="str">
        <x:v>Business activity not established</x:v>
      </x:c>
      <x:c r="F2595" s="12" t="str">
        <x:v>Mixed business audience</x:v>
      </x:c>
      <x:c r="G2595" s="12" t="str">
        <x:v>Business activity and company scale are not established from this name.</x:v>
      </x:c>
      <x:c r="H2595" s="11" t="n">
        <x:v>1</x:v>
      </x:c>
      <x:c r="I2595" s="11" t="n">
        <x:v>1</x:v>
      </x:c>
      <x:c r="J2595" s="11" t="n">
        <x:v>1</x:v>
      </x:c>
      <x:c r="K2595" s="11" t="n">
        <x:v>0</x:v>
      </x:c>
      <x:c r="L2595" s="17" t="n">
        <x:f>SUM(SUMIFS('Costing'!$P$9:$P$492,'Costing'!$A$9:$A$492,"MAIN-175"))</x:f>
        <x:v>15000</x:v>
      </x:c>
      <x:c r="M2595" s="17" t="n">
        <x:f>ROUND(L2595*'Costing'!$C$4,2)</x:f>
        <x:v>2700</x:v>
      </x:c>
      <x:c r="N2595" s="17" t="n">
        <x:f>L2595+M2595</x:f>
        <x:v>17700</x:v>
      </x:c>
      <x:c r="O2595" s="12" t="str">
        <x:v>Delhi NCR</x:v>
      </x:c>
      <x:c r="P2595" s="12" t="str">
        <x:v>CORP-0171</x:v>
      </x:c>
      <x:c r="Q2595" s="12" t="str">
        <x:v>Transactree enterprises pvt ltd</x:v>
      </x:c>
    </x:row>
    <x:row r="2596" ht="48" customHeight="1">
      <x:c r="A2596" s="2" t="str">
        <x:v>TEN-66205FE9281A</x:v>
      </x:c>
      <x:c r="B2596" s="12" t="str">
        <x:v>Transcom</x:v>
      </x:c>
      <x:c r="C2596" s="12" t="str">
        <x:v>Business / brand</x:v>
      </x:c>
      <x:c r="D2596" s="12" t="str">
        <x:v>IT &amp; digital</x:v>
      </x:c>
      <x:c r="E2596" s="12" t="str">
        <x:v>Business process &amp; customer operations</x:v>
      </x:c>
      <x:c r="F2596" s="12" t="str">
        <x:v>Mixed business audience</x:v>
      </x:c>
      <x:c r="G2596" s="12" t="str">
        <x:v>Established brand or business network; local company scale is not established. Use a mixed-business message.</x:v>
      </x:c>
      <x:c r="H2596" s="11" t="n">
        <x:v>5</x:v>
      </x:c>
      <x:c r="I2596" s="11" t="n">
        <x:v>5</x:v>
      </x:c>
      <x:c r="J2596" s="11" t="n">
        <x:v>5</x:v>
      </x:c>
      <x:c r="K2596" s="11" t="n">
        <x:v>0</x:v>
      </x:c>
      <x:c r="L2596" s="17" t="n">
        <x:f>SUM(SUMIFS('Costing'!$P$9:$P$492,'Costing'!$A$9:$A$492,"PARTNER-M277"))</x:f>
        <x:v>200000</x:v>
      </x:c>
      <x:c r="M2596" s="17" t="n">
        <x:f>ROUND(L2596*'Costing'!$C$4,2)</x:f>
        <x:v>36000</x:v>
      </x:c>
      <x:c r="N2596" s="17" t="n">
        <x:f>L2596+M2596</x:f>
        <x:v>236000</x:v>
      </x:c>
      <x:c r="O2596" s="12" t="str">
        <x:v>Pune</x:v>
      </x:c>
      <x:c r="P2596" s="12" t="str">
        <x:v>CORP-0693, CORP-0694, CORP-0695, CORP-0696, CORP-0697</x:v>
      </x:c>
      <x:c r="Q2596" s="12" t="str">
        <x:v>Transcom</x:v>
      </x:c>
    </x:row>
    <x:row r="2597" ht="48" customHeight="1">
      <x:c r="A2597" s="2" t="str">
        <x:v>TEN-F1D95BCB2EFB</x:v>
      </x:c>
      <x:c r="B2597" s="12" t="str">
        <x:v>Transunion Software Services Pvt Ltd</x:v>
      </x:c>
      <x:c r="C2597" s="12" t="str">
        <x:v>Business / brand</x:v>
      </x:c>
      <x:c r="D2597" s="12" t="str">
        <x:v>IT &amp; digital</x:v>
      </x:c>
      <x:c r="E2597" s="12" t="str">
        <x:v>Enterprise software &amp; digital engineering</x:v>
      </x:c>
      <x:c r="F2597" s="12" t="str">
        <x:v>Mixed business audience</x:v>
      </x:c>
      <x:c r="G2597" s="12" t="str">
        <x:v>Recognisable business context; company-scale evidence remains insufficient for a single size band.</x:v>
      </x:c>
      <x:c r="H2597" s="11" t="n">
        <x:v>1</x:v>
      </x:c>
      <x:c r="I2597" s="11" t="n">
        <x:v>8</x:v>
      </x:c>
      <x:c r="J2597" s="11" t="n">
        <x:v>8</x:v>
      </x:c>
      <x:c r="K2597" s="11" t="n">
        <x:v>0</x:v>
      </x:c>
      <x:c r="L2597" s="17" t="n">
        <x:f>SUM(SUMIFS('Costing'!$P$9:$P$492,'Costing'!$A$9:$A$492,"MAIN-327"))</x:f>
        <x:v>320000</x:v>
      </x:c>
      <x:c r="M2597" s="17" t="n">
        <x:f>ROUND(L2597*'Costing'!$C$4,2)</x:f>
        <x:v>57600</x:v>
      </x:c>
      <x:c r="N2597" s="17" t="n">
        <x:f>L2597+M2597</x:f>
        <x:v>377600</x:v>
      </x:c>
      <x:c r="O2597" s="12" t="str">
        <x:v>Mumbai</x:v>
      </x:c>
      <x:c r="P2597" s="12" t="str">
        <x:v>CORP-0323</x:v>
      </x:c>
      <x:c r="Q2597" s="12" t="str">
        <x:v>Transunion Software Services Pvt Ltd</x:v>
      </x:c>
    </x:row>
    <x:row r="2598" ht="48" customHeight="1">
      <x:c r="A2598" s="2" t="str">
        <x:v>TEN-5CF27221D70B</x:v>
      </x:c>
      <x:c r="B2598" s="12" t="str">
        <x:v>Transven Lifestyle Pvt. Ltd</x:v>
      </x:c>
      <x:c r="C2598" s="12" t="str">
        <x:v>Business / brand</x:v>
      </x:c>
      <x:c r="D2598" s="12" t="str">
        <x:v>Trade, consumer &amp; logistics</x:v>
      </x:c>
      <x:c r="E2598" s="12" t="str">
        <x:v>Retail, consumer products &amp; ecommerce</x:v>
      </x:c>
      <x:c r="F2598" s="12" t="str">
        <x:v>Small-scale prospects</x:v>
      </x:c>
      <x:c r="G2598" s="12" t="str">
        <x:v>Trading or consumer-services business; small-scale prospect assumption.</x:v>
      </x:c>
      <x:c r="H2598" s="11" t="n">
        <x:v>6</x:v>
      </x:c>
      <x:c r="I2598" s="11" t="n">
        <x:v>6</x:v>
      </x:c>
      <x:c r="J2598" s="11" t="n">
        <x:v>6</x:v>
      </x:c>
      <x:c r="K2598" s="11" t="n">
        <x:v>0</x:v>
      </x:c>
      <x:c r="L2598" s="17" t="n">
        <x:f>SUM(SUMIFS('Costing'!$P$9:$P$492,'Costing'!$A$9:$A$492,"PARTNER-M179"))</x:f>
        <x:v>240000</x:v>
      </x:c>
      <x:c r="M2598" s="17" t="n">
        <x:f>ROUND(L2598*'Costing'!$C$4,2)</x:f>
        <x:v>43200</x:v>
      </x:c>
      <x:c r="N2598" s="17" t="n">
        <x:f>L2598+M2598</x:f>
        <x:v>283200</x:v>
      </x:c>
      <x:c r="O2598" s="12" t="str">
        <x:v>Mumbai</x:v>
      </x:c>
      <x:c r="P2598" s="12" t="str">
        <x:v>CORP-0596, CORP-0597, CORP-0598, CORP-0599, CORP-0600, CORP-0601</x:v>
      </x:c>
      <x:c r="Q2598" s="12" t="str">
        <x:v>Transven Lifestyle Pvt. Ltd</x:v>
      </x:c>
    </x:row>
    <x:row r="2599" ht="48" customHeight="1">
      <x:c r="A2599" s="2" t="str">
        <x:v>TEN-F4CEA31C825C</x:v>
      </x:c>
      <x:c r="B2599" s="12" t="str">
        <x:v>Transworld Systems India</x:v>
      </x:c>
      <x:c r="C2599" s="12" t="str">
        <x:v>Business / brand</x:v>
      </x:c>
      <x:c r="D2599" s="12" t="str">
        <x:v>IT &amp; digital</x:v>
      </x:c>
      <x:c r="E2599" s="12" t="str">
        <x:v>Business process &amp; customer operations</x:v>
      </x:c>
      <x:c r="F2599" s="12" t="str">
        <x:v>Mixed business audience</x:v>
      </x:c>
      <x:c r="G2599" s="12" t="str">
        <x:v>Recognisable business context; company-scale evidence remains insufficient for a single size band.</x:v>
      </x:c>
      <x:c r="H2599" s="11" t="n">
        <x:v>2</x:v>
      </x:c>
      <x:c r="I2599" s="11" t="n">
        <x:v>6</x:v>
      </x:c>
      <x:c r="J2599" s="11" t="n">
        <x:v>6</x:v>
      </x:c>
      <x:c r="K2599" s="11" t="n">
        <x:v>0</x:v>
      </x:c>
      <x:c r="L2599" s="17" t="n">
        <x:f>SUM(SUMIFS('Costing'!$P$9:$P$492,'Costing'!$A$9:$A$492,"MAIN-046"),SUMIFS('Costing'!$P$9:$P$492,'Costing'!$A$9:$A$492,"MAIN-047"))</x:f>
        <x:v>120000</x:v>
      </x:c>
      <x:c r="M2599" s="17" t="n">
        <x:f>ROUND(L2599*'Costing'!$C$4,2)</x:f>
        <x:v>21600</x:v>
      </x:c>
      <x:c r="N2599" s="17" t="n">
        <x:f>L2599+M2599</x:f>
        <x:v>141600</x:v>
      </x:c>
      <x:c r="O2599" s="12" t="str">
        <x:v>Bengaluru</x:v>
      </x:c>
      <x:c r="P2599" s="12" t="str">
        <x:v>CORP-0042, CORP-0043</x:v>
      </x:c>
      <x:c r="Q2599" s="12" t="str">
        <x:v>Transworld Systems India</x:v>
      </x:c>
    </x:row>
    <x:row r="2600" ht="48" customHeight="1">
      <x:c r="A2600" s="2" t="str">
        <x:v>TEN-78E3559A99F9</x:v>
      </x:c>
      <x:c r="B2600" s="12" t="str">
        <x:v>Travelex India Pvt Ltd</x:v>
      </x:c>
      <x:c r="C2600" s="12" t="str">
        <x:v>Business / brand</x:v>
      </x:c>
      <x:c r="D2600" s="12" t="str">
        <x:v>Trade, consumer &amp; logistics</x:v>
      </x:c>
      <x:c r="E2600" s="12" t="str">
        <x:v>Travel, hospitality, food &amp; beverages</x:v>
      </x:c>
      <x:c r="F2600" s="12" t="str">
        <x:v>Mixed business audience</x:v>
      </x:c>
      <x:c r="G2600" s="12" t="str">
        <x:v>Established brand or business network; local company scale is not established. Use a mixed-business message.</x:v>
      </x:c>
      <x:c r="H2600" s="11" t="n">
        <x:v>1</x:v>
      </x:c>
      <x:c r="I2600" s="11" t="n">
        <x:v>1</x:v>
      </x:c>
      <x:c r="J2600" s="11" t="n">
        <x:v>1</x:v>
      </x:c>
      <x:c r="K2600" s="11" t="n">
        <x:v>0</x:v>
      </x:c>
      <x:c r="L2600" s="17" t="n">
        <x:f>SUM(SUMIFS('Costing'!$P$9:$P$492,'Costing'!$A$9:$A$492,"MAIN-334"))</x:f>
        <x:v>20000</x:v>
      </x:c>
      <x:c r="M2600" s="17" t="n">
        <x:f>ROUND(L2600*'Costing'!$C$4,2)</x:f>
        <x:v>3600</x:v>
      </x:c>
      <x:c r="N2600" s="17" t="n">
        <x:f>L2600+M2600</x:f>
        <x:v>23600</x:v>
      </x:c>
      <x:c r="O2600" s="12" t="str">
        <x:v>Mumbai</x:v>
      </x:c>
      <x:c r="P2600" s="12" t="str">
        <x:v>CORP-0330</x:v>
      </x:c>
      <x:c r="Q2600" s="12" t="str">
        <x:v>Travelex India Pvt Ltd</x:v>
      </x:c>
    </x:row>
    <x:row r="2601" ht="48" customHeight="1">
      <x:c r="A2601" s="2" t="str">
        <x:v>TEN-4DEC05E892A7</x:v>
      </x:c>
      <x:c r="B2601" s="12" t="str">
        <x:v>trends</x:v>
      </x:c>
      <x:c r="C2601" s="12" t="str">
        <x:v>Business / brand</x:v>
      </x:c>
      <x:c r="D2601" s="12" t="str">
        <x:v>Trade, consumer &amp; logistics</x:v>
      </x:c>
      <x:c r="E2601" s="12" t="str">
        <x:v>Retail, consumer products &amp; ecommerce</x:v>
      </x:c>
      <x:c r="F2601" s="12" t="str">
        <x:v>Small-scale prospects</x:v>
      </x:c>
      <x:c r="G2601" s="12" t="str">
        <x:v>Trading or consumer-services business; small-scale prospect assumption.</x:v>
      </x:c>
      <x:c r="H2601" s="11" t="n">
        <x:v>1</x:v>
      </x:c>
      <x:c r="I2601" s="11" t="n">
        <x:v>1</x:v>
      </x:c>
      <x:c r="J2601" s="11" t="n">
        <x:v>1</x:v>
      </x:c>
      <x:c r="K2601" s="11" t="n">
        <x:v>0</x:v>
      </x:c>
      <x:c r="L2601" s="17" t="n">
        <x:f>SUM(SUMIFS('Costing'!$P$9:$P$492,'Costing'!$A$9:$A$492,"MAIN-390"))</x:f>
        <x:v>15000</x:v>
      </x:c>
      <x:c r="M2601" s="17" t="n">
        <x:f>ROUND(L2601*'Costing'!$C$4,2)</x:f>
        <x:v>2700</x:v>
      </x:c>
      <x:c r="N2601" s="17" t="n">
        <x:f>L2601+M2601</x:f>
        <x:v>17700</x:v>
      </x:c>
      <x:c r="O2601" s="12" t="str">
        <x:v>Pune</x:v>
      </x:c>
      <x:c r="P2601" s="12" t="str">
        <x:v>CORP-0386</x:v>
      </x:c>
      <x:c r="Q2601" s="12" t="str">
        <x:v>trends</x:v>
      </x:c>
    </x:row>
    <x:row r="2602" ht="48" customHeight="1">
      <x:c r="A2602" s="2" t="str">
        <x:v>TEN-F56CF5CC1A07</x:v>
      </x:c>
      <x:c r="B2602" s="12" t="str">
        <x:v>Tridiagonal Solution Pvt. Ltd</x:v>
      </x:c>
      <x:c r="C2602" s="12" t="str">
        <x:v>Business / brand</x:v>
      </x:c>
      <x:c r="D2602" s="12" t="str">
        <x:v>Engineering &amp; manufacturing</x:v>
      </x:c>
      <x:c r="E2602" s="12" t="str">
        <x:v>Electronics, industrial systems &amp; manufacturing</x:v>
      </x:c>
      <x:c r="F2602" s="12" t="str">
        <x:v>Medium-scale prospects</x:v>
      </x:c>
      <x:c r="G2602" s="12" t="str">
        <x:v>Specialist industrial or engineering business; medium-scale prospect assumption.</x:v>
      </x:c>
      <x:c r="H2602" s="11" t="n">
        <x:v>1</x:v>
      </x:c>
      <x:c r="I2602" s="11" t="n">
        <x:v>3</x:v>
      </x:c>
      <x:c r="J2602" s="11" t="n">
        <x:v>3</x:v>
      </x:c>
      <x:c r="K2602" s="11" t="n">
        <x:v>0</x:v>
      </x:c>
      <x:c r="L2602" s="17" t="n">
        <x:f>SUM(SUMIFS('Costing'!$P$9:$P$492,'Costing'!$A$9:$A$492,"MAIN-414"))</x:f>
        <x:v>60000</x:v>
      </x:c>
      <x:c r="M2602" s="17" t="n">
        <x:f>ROUND(L2602*'Costing'!$C$4,2)</x:f>
        <x:v>10800</x:v>
      </x:c>
      <x:c r="N2602" s="17" t="n">
        <x:f>L2602+M2602</x:f>
        <x:v>70800</x:v>
      </x:c>
      <x:c r="O2602" s="12" t="str">
        <x:v>Pune</x:v>
      </x:c>
      <x:c r="P2602" s="12" t="str">
        <x:v>CORP-0410</x:v>
      </x:c>
      <x:c r="Q2602" s="12" t="str">
        <x:v>Tridiagonal Solution Pvt. Ltd</x:v>
      </x:c>
    </x:row>
    <x:row r="2603" ht="48" customHeight="1">
      <x:c r="A2603" s="2" t="str">
        <x:v>TEN-59DF3EFE3F23</x:v>
      </x:c>
      <x:c r="B2603" s="12" t="str">
        <x:v>triggerise</x:v>
      </x:c>
      <x:c r="C2603" s="12" t="str">
        <x:v>Business / brand</x:v>
      </x:c>
      <x:c r="D2603" s="12" t="str">
        <x:v>Unresolved</x:v>
      </x:c>
      <x:c r="E2603" s="12" t="str">
        <x:v>Business activity not established</x:v>
      </x:c>
      <x:c r="F2603" s="12" t="str">
        <x:v>Mixed business audience</x:v>
      </x:c>
      <x:c r="G2603" s="12" t="str">
        <x:v>Business activity and company scale are not established from this name.</x:v>
      </x:c>
      <x:c r="H2603" s="11" t="n">
        <x:v>1</x:v>
      </x:c>
      <x:c r="I2603" s="11" t="n">
        <x:v>2</x:v>
      </x:c>
      <x:c r="J2603" s="11" t="n">
        <x:v>2</x:v>
      </x:c>
      <x:c r="K2603" s="11" t="n">
        <x:v>0</x:v>
      </x:c>
      <x:c r="L2603" s="17" t="n">
        <x:f>SUM(SUMIFS('Costing'!$P$9:$P$492,'Costing'!$A$9:$A$492,"MAIN-162"))</x:f>
        <x:v>30000</x:v>
      </x:c>
      <x:c r="M2603" s="17" t="n">
        <x:f>ROUND(L2603*'Costing'!$C$4,2)</x:f>
        <x:v>5400</x:v>
      </x:c>
      <x:c r="N2603" s="17" t="n">
        <x:f>L2603+M2603</x:f>
        <x:v>35400</x:v>
      </x:c>
      <x:c r="O2603" s="12" t="str">
        <x:v>Delhi NCR</x:v>
      </x:c>
      <x:c r="P2603" s="12" t="str">
        <x:v>CORP-0158</x:v>
      </x:c>
      <x:c r="Q2603" s="12" t="str">
        <x:v>triggerise</x:v>
      </x:c>
    </x:row>
    <x:row r="2604" ht="48" customHeight="1">
      <x:c r="A2604" s="2" t="str">
        <x:v>TEN-F4594632ACFC</x:v>
      </x:c>
      <x:c r="B2604" s="12" t="str">
        <x:v>Trinity Infratech</x:v>
      </x:c>
      <x:c r="C2604" s="12" t="str">
        <x:v>Business / brand</x:v>
      </x:c>
      <x:c r="D2604" s="12" t="str">
        <x:v>Trade, consumer &amp; logistics</x:v>
      </x:c>
      <x:c r="E2604" s="12" t="str">
        <x:v>Real estate, property &amp; construction services</x:v>
      </x:c>
      <x:c r="F2604" s="12" t="str">
        <x:v>Small-scale prospects</x:v>
      </x:c>
      <x:c r="G2604" s="12" t="str">
        <x:v>Trading or consumer-services business; small-scale prospect assumption.</x:v>
      </x:c>
      <x:c r="H2604" s="11" t="n">
        <x:v>1</x:v>
      </x:c>
      <x:c r="I2604" s="11" t="n">
        <x:v>4</x:v>
      </x:c>
      <x:c r="J2604" s="11" t="n">
        <x:v>4</x:v>
      </x:c>
      <x:c r="K2604" s="11" t="n">
        <x:v>0</x:v>
      </x:c>
      <x:c r="L2604" s="17" t="n">
        <x:f>SUM(SUMIFS('Costing'!$P$9:$P$492,'Costing'!$A$9:$A$492,"MAIN-202"))</x:f>
        <x:v>160000</x:v>
      </x:c>
      <x:c r="M2604" s="17" t="n">
        <x:f>ROUND(L2604*'Costing'!$C$4,2)</x:f>
        <x:v>28800</x:v>
      </x:c>
      <x:c r="N2604" s="17" t="n">
        <x:f>L2604+M2604</x:f>
        <x:v>188800</x:v>
      </x:c>
      <x:c r="O2604" s="12" t="str">
        <x:v>Delhi NCR</x:v>
      </x:c>
      <x:c r="P2604" s="12" t="str">
        <x:v>CORP-0198</x:v>
      </x:c>
      <x:c r="Q2604" s="12" t="str">
        <x:v>Trinity Infratech</x:v>
      </x:c>
    </x:row>
    <x:row r="2605" ht="48" customHeight="1">
      <x:c r="A2605" s="2" t="str">
        <x:v>TEN-BEBC85511125</x:v>
      </x:c>
      <x:c r="B2605" s="12" t="str">
        <x:v>Trinity Insurance Services</x:v>
      </x:c>
      <x:c r="C2605" s="12" t="str">
        <x:v>Business / brand</x:v>
      </x:c>
      <x:c r="D2605" s="12" t="str">
        <x:v>Finance &amp; insurance</x:v>
      </x:c>
      <x:c r="E2605" s="12" t="str">
        <x:v>Insurance &amp; insurance services</x:v>
      </x:c>
      <x:c r="F2605" s="12" t="str">
        <x:v>Medium-scale prospects</x:v>
      </x:c>
      <x:c r="G2605" s="12" t="str">
        <x:v>Specialist financial-services business; medium-scale prospect assumption.</x:v>
      </x:c>
      <x:c r="H2605" s="11" t="n">
        <x:v>4</x:v>
      </x:c>
      <x:c r="I2605" s="11" t="n">
        <x:v>4</x:v>
      </x:c>
      <x:c r="J2605" s="11" t="n">
        <x:v>4</x:v>
      </x:c>
      <x:c r="K2605" s="11" t="n">
        <x:v>0</x:v>
      </x:c>
      <x:c r="L2605" s="17" t="n">
        <x:f>SUM(SUMIFS('Costing'!$P$9:$P$492,'Costing'!$A$9:$A$492,"PARTNER-M247"))</x:f>
        <x:v>160000</x:v>
      </x:c>
      <x:c r="M2605" s="17" t="n">
        <x:f>ROUND(L2605*'Costing'!$C$4,2)</x:f>
        <x:v>28800</x:v>
      </x:c>
      <x:c r="N2605" s="17" t="n">
        <x:f>L2605+M2605</x:f>
        <x:v>188800</x:v>
      </x:c>
      <x:c r="O2605" s="12" t="str">
        <x:v>Mumbai</x:v>
      </x:c>
      <x:c r="P2605" s="12" t="str">
        <x:v>CORP-0664, CORP-0665, CORP-0666, CORP-0667</x:v>
      </x:c>
      <x:c r="Q2605" s="12" t="str">
        <x:v>Trinity Insurance Services</x:v>
      </x:c>
    </x:row>
    <x:row r="2606" ht="48" customHeight="1">
      <x:c r="A2606" s="2" t="str">
        <x:v>TEN-36266ED012C5</x:v>
      </x:c>
      <x:c r="B2606" s="12" t="str">
        <x:v>Triomics</x:v>
      </x:c>
      <x:c r="C2606" s="12" t="str">
        <x:v>Business / brand</x:v>
      </x:c>
      <x:c r="D2606" s="12" t="str">
        <x:v>Healthcare &amp; life sciences</x:v>
      </x:c>
      <x:c r="E2606" s="12" t="str">
        <x:v>Clinical, pharmaceutical &amp; health services</x:v>
      </x:c>
      <x:c r="F2606" s="12" t="str">
        <x:v>Medium-scale prospects</x:v>
      </x:c>
      <x:c r="G2606" s="12" t="str">
        <x:v>Specialist life-sciences business; medium-scale prospect assumption.</x:v>
      </x:c>
      <x:c r="H2606" s="11" t="n">
        <x:v>1</x:v>
      </x:c>
      <x:c r="I2606" s="11" t="n">
        <x:v>2</x:v>
      </x:c>
      <x:c r="J2606" s="11" t="n">
        <x:v>2</x:v>
      </x:c>
      <x:c r="K2606" s="11" t="n">
        <x:v>0</x:v>
      </x:c>
      <x:c r="L2606" s="17" t="n">
        <x:f>SUM(SUMIFS('Costing'!$P$9:$P$492,'Costing'!$A$9:$A$492,"MAIN-098"))</x:f>
        <x:v>30000</x:v>
      </x:c>
      <x:c r="M2606" s="17" t="n">
        <x:f>ROUND(L2606*'Costing'!$C$4,2)</x:f>
        <x:v>5400</x:v>
      </x:c>
      <x:c r="N2606" s="17" t="n">
        <x:f>L2606+M2606</x:f>
        <x:v>35400</x:v>
      </x:c>
      <x:c r="O2606" s="12" t="str">
        <x:v>Bengaluru</x:v>
      </x:c>
      <x:c r="P2606" s="12" t="str">
        <x:v>CORP-0094</x:v>
      </x:c>
      <x:c r="Q2606" s="12" t="str">
        <x:v>Triomics</x:v>
      </x:c>
    </x:row>
    <x:row r="2607" ht="48" customHeight="1">
      <x:c r="A2607" s="2" t="str">
        <x:v>TEN-2360B838D6B9</x:v>
      </x:c>
      <x:c r="B2607" s="12" t="str">
        <x:v>Triss Salon Gurugram</x:v>
      </x:c>
      <x:c r="C2607" s="12" t="str">
        <x:v>Business / brand</x:v>
      </x:c>
      <x:c r="D2607" s="12" t="str">
        <x:v>Trade, consumer &amp; logistics</x:v>
      </x:c>
      <x:c r="E2607" s="12" t="str">
        <x:v>Retail, consumer products &amp; ecommerce</x:v>
      </x:c>
      <x:c r="F2607" s="12" t="str">
        <x:v>Small-scale prospects</x:v>
      </x:c>
      <x:c r="G2607" s="12" t="str">
        <x:v>Trading or consumer-services business; small-scale prospect assumption.</x:v>
      </x:c>
      <x:c r="H2607" s="11" t="n">
        <x:v>1</x:v>
      </x:c>
      <x:c r="I2607" s="11" t="n">
        <x:v>4</x:v>
      </x:c>
      <x:c r="J2607" s="11" t="n">
        <x:v>4</x:v>
      </x:c>
      <x:c r="K2607" s="11" t="n">
        <x:v>0</x:v>
      </x:c>
      <x:c r="L2607" s="17" t="n">
        <x:f>SUM(SUMIFS('Costing'!$P$9:$P$492,'Costing'!$A$9:$A$492,"MAIN-198"))</x:f>
        <x:v>60000</x:v>
      </x:c>
      <x:c r="M2607" s="17" t="n">
        <x:f>ROUND(L2607*'Costing'!$C$4,2)</x:f>
        <x:v>10800</x:v>
      </x:c>
      <x:c r="N2607" s="17" t="n">
        <x:f>L2607+M2607</x:f>
        <x:v>70800</x:v>
      </x:c>
      <x:c r="O2607" s="12" t="str">
        <x:v>Delhi NCR</x:v>
      </x:c>
      <x:c r="P2607" s="12" t="str">
        <x:v>CORP-0194</x:v>
      </x:c>
      <x:c r="Q2607" s="12" t="str">
        <x:v>Triss Salon Gurugram</x:v>
      </x:c>
    </x:row>
    <x:row r="2608" ht="48" customHeight="1">
      <x:c r="A2608" s="2" t="str">
        <x:v>TEN-BF501ACCCD71</x:v>
      </x:c>
      <x:c r="B2608" s="12" t="str">
        <x:v>Tristar Infinity Services</x:v>
      </x:c>
      <x:c r="C2608" s="12" t="str">
        <x:v>Business / brand</x:v>
      </x:c>
      <x:c r="D2608" s="12" t="str">
        <x:v>Unresolved</x:v>
      </x:c>
      <x:c r="E2608" s="12" t="str">
        <x:v>Business activity not established</x:v>
      </x:c>
      <x:c r="F2608" s="12" t="str">
        <x:v>Mixed business audience</x:v>
      </x:c>
      <x:c r="G2608" s="12" t="str">
        <x:v>Business activity and company scale are not established from this name.</x:v>
      </x:c>
      <x:c r="H2608" s="11" t="n">
        <x:v>1</x:v>
      </x:c>
      <x:c r="I2608" s="11" t="n">
        <x:v>1</x:v>
      </x:c>
      <x:c r="J2608" s="11" t="n">
        <x:v>1</x:v>
      </x:c>
      <x:c r="K2608" s="11" t="n">
        <x:v>0</x:v>
      </x:c>
      <x:c r="L2608" s="17" t="n">
        <x:f>SUM(SUMIFS('Costing'!$P$9:$P$492,'Costing'!$A$9:$A$492,"MAIN-086"))</x:f>
        <x:v>15000</x:v>
      </x:c>
      <x:c r="M2608" s="17" t="n">
        <x:f>ROUND(L2608*'Costing'!$C$4,2)</x:f>
        <x:v>2700</x:v>
      </x:c>
      <x:c r="N2608" s="17" t="n">
        <x:f>L2608+M2608</x:f>
        <x:v>17700</x:v>
      </x:c>
      <x:c r="O2608" s="12" t="str">
        <x:v>Bengaluru</x:v>
      </x:c>
      <x:c r="P2608" s="12" t="str">
        <x:v>CORP-0082</x:v>
      </x:c>
      <x:c r="Q2608" s="12" t="str">
        <x:v>Tristar Infinity Services</x:v>
      </x:c>
    </x:row>
    <x:row r="2609" ht="48" customHeight="1">
      <x:c r="A2609" s="2" t="str">
        <x:v>TEN-CB8CE351BDF8</x:v>
      </x:c>
      <x:c r="B2609" s="12" t="str">
        <x:v>Triyam Technologie</x:v>
      </x:c>
      <x:c r="C2609" s="12" t="str">
        <x:v>Business / brand</x:v>
      </x:c>
      <x:c r="D2609" s="12" t="str">
        <x:v>Healthcare &amp; life sciences</x:v>
      </x:c>
      <x:c r="E2609" s="12" t="str">
        <x:v>Clinical, pharmaceutical &amp; health services</x:v>
      </x:c>
      <x:c r="F2609" s="12" t="str">
        <x:v>Medium-scale prospects</x:v>
      </x:c>
      <x:c r="G2609" s="12" t="str">
        <x:v>Specialist life-sciences business; medium-scale prospect assumption.</x:v>
      </x:c>
      <x:c r="H2609" s="11" t="n">
        <x:v>1</x:v>
      </x:c>
      <x:c r="I2609" s="11" t="n">
        <x:v>2</x:v>
      </x:c>
      <x:c r="J2609" s="11" t="n">
        <x:v>2</x:v>
      </x:c>
      <x:c r="K2609" s="11" t="n">
        <x:v>0</x:v>
      </x:c>
      <x:c r="L2609" s="17" t="n">
        <x:f>SUM(SUMIFS('Costing'!$P$9:$P$492,'Costing'!$A$9:$A$492,"MAIN-152"))</x:f>
        <x:v>40000</x:v>
      </x:c>
      <x:c r="M2609" s="17" t="n">
        <x:f>ROUND(L2609*'Costing'!$C$4,2)</x:f>
        <x:v>7200</x:v>
      </x:c>
      <x:c r="N2609" s="17" t="n">
        <x:f>L2609+M2609</x:f>
        <x:v>47200</x:v>
      </x:c>
      <x:c r="O2609" s="12" t="str">
        <x:v>Chennai</x:v>
      </x:c>
      <x:c r="P2609" s="12" t="str">
        <x:v>CORP-0148</x:v>
      </x:c>
      <x:c r="Q2609" s="12" t="str">
        <x:v>Triyam Technologie</x:v>
      </x:c>
    </x:row>
    <x:row r="2610" ht="49" customHeight="1">
      <x:c r="A2610" s="2" t="str">
        <x:v>TEN-A4AC77C95ACC</x:v>
      </x:c>
      <x:c r="B2610" s="12" t="str">
        <x:v>TRUGlobal Software India</x:v>
      </x:c>
      <x:c r="C2610" s="12" t="str">
        <x:v>Business / brand</x:v>
      </x:c>
      <x:c r="D2610" s="12" t="str">
        <x:v>IT &amp; digital</x:v>
      </x:c>
      <x:c r="E2610" s="12" t="str">
        <x:v>Enterprise software &amp; digital engineering</x:v>
      </x:c>
      <x:c r="F2610" s="12" t="str">
        <x:v>Small-scale prospects</x:v>
      </x:c>
      <x:c r="G2610" s="12" t="str">
        <x:v>Software or technology-services business; small-scale prospect assumption.</x:v>
      </x:c>
      <x:c r="H2610" s="11" t="n">
        <x:v>11</x:v>
      </x:c>
      <x:c r="I2610" s="11" t="n">
        <x:v>11</x:v>
      </x:c>
      <x:c r="J2610" s="11" t="n">
        <x:v>11</x:v>
      </x:c>
      <x:c r="K2610" s="11" t="n">
        <x:v>0</x:v>
      </x:c>
      <x:c r="L2610" s="17" t="n">
        <x:f>SUM(SUMIFS('Costing'!$P$9:$P$492,'Costing'!$A$9:$A$492,"PARTNER-M082"))</x:f>
        <x:v>440000</x:v>
      </x:c>
      <x:c r="M2610" s="17" t="n">
        <x:f>ROUND(L2610*'Costing'!$C$4,2)</x:f>
        <x:v>79200</x:v>
      </x:c>
      <x:c r="N2610" s="17" t="n">
        <x:f>L2610+M2610</x:f>
        <x:v>519200</x:v>
      </x:c>
      <x:c r="O2610" s="12" t="str">
        <x:v>Bengaluru</x:v>
      </x:c>
      <x:c r="P2610" s="12" t="str">
        <x:v>CORP-0500, CORP-0501, CORP-0502, CORP-0503, CORP-0504, CORP-0505, CORP-0506, CORP-0507, CORP-0508, CORP-0509, CORP-0510</x:v>
      </x:c>
      <x:c r="Q2610" s="12" t="str">
        <x:v>TRUGlobal Software India</x:v>
      </x:c>
    </x:row>
    <x:row r="2611" ht="48" customHeight="1">
      <x:c r="A2611" s="2" t="str">
        <x:v>TEN-7AA934A270B5</x:v>
      </x:c>
      <x:c r="B2611" s="12" t="str">
        <x:v>Truminds Software Systems</x:v>
      </x:c>
      <x:c r="C2611" s="12" t="str">
        <x:v>Business / brand</x:v>
      </x:c>
      <x:c r="D2611" s="12" t="str">
        <x:v>IT &amp; digital</x:v>
      </x:c>
      <x:c r="E2611" s="12" t="str">
        <x:v>Enterprise software &amp; digital engineering</x:v>
      </x:c>
      <x:c r="F2611" s="12" t="str">
        <x:v>Small-scale prospects</x:v>
      </x:c>
      <x:c r="G2611" s="12" t="str">
        <x:v>Software or technology-services business; small-scale prospect assumption.</x:v>
      </x:c>
      <x:c r="H2611" s="11" t="n">
        <x:v>1</x:v>
      </x:c>
      <x:c r="I2611" s="11" t="n">
        <x:v>4</x:v>
      </x:c>
      <x:c r="J2611" s="11" t="n">
        <x:v>4</x:v>
      </x:c>
      <x:c r="K2611" s="11" t="n">
        <x:v>0</x:v>
      </x:c>
      <x:c r="L2611" s="17" t="n">
        <x:f>SUM(SUMIFS('Costing'!$P$9:$P$492,'Costing'!$A$9:$A$492,"MAIN-026"))</x:f>
        <x:v>60000</x:v>
      </x:c>
      <x:c r="M2611" s="17" t="n">
        <x:f>ROUND(L2611*'Costing'!$C$4,2)</x:f>
        <x:v>10800</x:v>
      </x:c>
      <x:c r="N2611" s="17" t="n">
        <x:f>L2611+M2611</x:f>
        <x:v>70800</x:v>
      </x:c>
      <x:c r="O2611" s="12" t="str">
        <x:v>Bengaluru</x:v>
      </x:c>
      <x:c r="P2611" s="12" t="str">
        <x:v>CORP-0022</x:v>
      </x:c>
      <x:c r="Q2611" s="12" t="str">
        <x:v>Truminds Software Systems, Truminds software systems</x:v>
      </x:c>
    </x:row>
    <x:row r="2612" ht="48" customHeight="1">
      <x:c r="A2612" s="2" t="str">
        <x:v>TEN-B73878E16AE9</x:v>
      </x:c>
      <x:c r="B2612" s="12" t="str">
        <x:v>Truspeq</x:v>
      </x:c>
      <x:c r="C2612" s="12" t="str">
        <x:v>Business / brand</x:v>
      </x:c>
      <x:c r="D2612" s="12" t="str">
        <x:v>IT &amp; digital</x:v>
      </x:c>
      <x:c r="E2612" s="12" t="str">
        <x:v>Enterprise software &amp; digital engineering</x:v>
      </x:c>
      <x:c r="F2612" s="12" t="str">
        <x:v>Small-scale prospects</x:v>
      </x:c>
      <x:c r="G2612" s="12" t="str">
        <x:v>Software or technology-services business; small-scale prospect assumption.</x:v>
      </x:c>
      <x:c r="H2612" s="11" t="n">
        <x:v>9</x:v>
      </x:c>
      <x:c r="I2612" s="11" t="n">
        <x:v>9</x:v>
      </x:c>
      <x:c r="J2612" s="11" t="n">
        <x:v>9</x:v>
      </x:c>
      <x:c r="K2612" s="11" t="n">
        <x:v>0</x:v>
      </x:c>
      <x:c r="L2612" s="17" t="n">
        <x:f>SUM(SUMIFS('Costing'!$P$9:$P$492,'Costing'!$A$9:$A$492,"PARTNER-M002"))</x:f>
        <x:v>360000</x:v>
      </x:c>
      <x:c r="M2612" s="17" t="n">
        <x:f>ROUND(L2612*'Costing'!$C$4,2)</x:f>
        <x:v>64800</x:v>
      </x:c>
      <x:c r="N2612" s="17" t="n">
        <x:f>L2612+M2612</x:f>
        <x:v>424800</x:v>
      </x:c>
      <x:c r="O2612" s="12" t="str">
        <x:v>Bengaluru</x:v>
      </x:c>
      <x:c r="P2612" s="12" t="str">
        <x:v>CORP-0420, CORP-0421, CORP-0422, CORP-0423, CORP-0424, CORP-0425, CORP-0426, CORP-0427, CORP-0428</x:v>
      </x:c>
      <x:c r="Q2612" s="12" t="str">
        <x:v>Truspeq</x:v>
      </x:c>
    </x:row>
    <x:row r="2613" ht="48" customHeight="1">
      <x:c r="A2613" s="2" t="str">
        <x:v>TEN-E69A3E303D06</x:v>
      </x:c>
      <x:c r="B2613" s="12" t="str">
        <x:v>Truvoices reaserch and cunusutant Pvt.Ltd</x:v>
      </x:c>
      <x:c r="C2613" s="12" t="str">
        <x:v>Business / brand</x:v>
      </x:c>
      <x:c r="D2613" s="12" t="str">
        <x:v>Professional services</x:v>
      </x:c>
      <x:c r="E2613" s="12" t="str">
        <x:v>Research, marketing &amp; professional services</x:v>
      </x:c>
      <x:c r="F2613" s="12" t="str">
        <x:v>Small-scale prospects</x:v>
      </x:c>
      <x:c r="G2613" s="12" t="str">
        <x:v>Professional service, agency or advisory model; small-scale prospect assumption.</x:v>
      </x:c>
      <x:c r="H2613" s="11" t="n">
        <x:v>1</x:v>
      </x:c>
      <x:c r="I2613" s="11" t="n">
        <x:v>1</x:v>
      </x:c>
      <x:c r="J2613" s="11" t="n">
        <x:v>1</x:v>
      </x:c>
      <x:c r="K2613" s="11" t="n">
        <x:v>0</x:v>
      </x:c>
      <x:c r="L2613" s="17" t="n">
        <x:f>SUM(SUMIFS('Costing'!$P$9:$P$492,'Costing'!$A$9:$A$492,"MAIN-333"))</x:f>
        <x:v>15000</x:v>
      </x:c>
      <x:c r="M2613" s="17" t="n">
        <x:f>ROUND(L2613*'Costing'!$C$4,2)</x:f>
        <x:v>2700</x:v>
      </x:c>
      <x:c r="N2613" s="17" t="n">
        <x:f>L2613+M2613</x:f>
        <x:v>17700</x:v>
      </x:c>
      <x:c r="O2613" s="12" t="str">
        <x:v>Mumbai</x:v>
      </x:c>
      <x:c r="P2613" s="12" t="str">
        <x:v>CORP-0329</x:v>
      </x:c>
      <x:c r="Q2613" s="12" t="str">
        <x:v>Truvoices reaserch and cunusutant Pvt.Ltd</x:v>
      </x:c>
    </x:row>
    <x:row r="2614" ht="48" customHeight="1">
      <x:c r="A2614" s="2" t="str">
        <x:v>TEN-CBE8E62BDCBE</x:v>
      </x:c>
      <x:c r="B2614" s="12" t="str">
        <x:v>TTK Global Mobility Services</x:v>
      </x:c>
      <x:c r="C2614" s="12" t="str">
        <x:v>Business / brand</x:v>
      </x:c>
      <x:c r="D2614" s="12" t="str">
        <x:v>Professional services</x:v>
      </x:c>
      <x:c r="E2614" s="12" t="str">
        <x:v>Research, marketing &amp; professional services</x:v>
      </x:c>
      <x:c r="F2614" s="12" t="str">
        <x:v>Small-scale prospects</x:v>
      </x:c>
      <x:c r="G2614" s="12" t="str">
        <x:v>Professional service, agency or advisory model; small-scale prospect assumption.</x:v>
      </x:c>
      <x:c r="H2614" s="11" t="n">
        <x:v>1</x:v>
      </x:c>
      <x:c r="I2614" s="11" t="n">
        <x:v>2</x:v>
      </x:c>
      <x:c r="J2614" s="11" t="n">
        <x:v>2</x:v>
      </x:c>
      <x:c r="K2614" s="11" t="n">
        <x:v>0</x:v>
      </x:c>
      <x:c r="L2614" s="17" t="n">
        <x:f>SUM(SUMIFS('Costing'!$P$9:$P$492,'Costing'!$A$9:$A$492,"MAIN-044"))</x:f>
        <x:v>40000</x:v>
      </x:c>
      <x:c r="M2614" s="17" t="n">
        <x:f>ROUND(L2614*'Costing'!$C$4,2)</x:f>
        <x:v>7200</x:v>
      </x:c>
      <x:c r="N2614" s="17" t="n">
        <x:f>L2614+M2614</x:f>
        <x:v>47200</x:v>
      </x:c>
      <x:c r="O2614" s="12" t="str">
        <x:v>Bengaluru</x:v>
      </x:c>
      <x:c r="P2614" s="12" t="str">
        <x:v>CORP-0040</x:v>
      </x:c>
      <x:c r="Q2614" s="12" t="str">
        <x:v>TTK Global Mobility Services</x:v>
      </x:c>
    </x:row>
    <x:row r="2615" ht="48" customHeight="1">
      <x:c r="A2615" s="2" t="str">
        <x:v>TEN-1AA929D469F6</x:v>
      </x:c>
      <x:c r="B2615" s="12" t="str">
        <x:v>TUNGALOY India pvt ltd</x:v>
      </x:c>
      <x:c r="C2615" s="12" t="str">
        <x:v>Business / brand</x:v>
      </x:c>
      <x:c r="D2615" s="12" t="str">
        <x:v>Engineering &amp; manufacturing</x:v>
      </x:c>
      <x:c r="E2615" s="12" t="str">
        <x:v>Electronics, industrial systems &amp; manufacturing</x:v>
      </x:c>
      <x:c r="F2615" s="12" t="str">
        <x:v>Mixed business audience</x:v>
      </x:c>
      <x:c r="G2615" s="12" t="str">
        <x:v>Established brand or business network; local company scale is not established. Use a mixed-business message.</x:v>
      </x:c>
      <x:c r="H2615" s="11" t="n">
        <x:v>1</x:v>
      </x:c>
      <x:c r="I2615" s="11" t="n">
        <x:v>9</x:v>
      </x:c>
      <x:c r="J2615" s="11" t="n">
        <x:v>9</x:v>
      </x:c>
      <x:c r="K2615" s="11" t="n">
        <x:v>0</x:v>
      </x:c>
      <x:c r="L2615" s="17" t="n">
        <x:f>SUM(SUMIFS('Costing'!$P$9:$P$492,'Costing'!$A$9:$A$492,"MAIN-326"))</x:f>
        <x:v>360000</x:v>
      </x:c>
      <x:c r="M2615" s="17" t="n">
        <x:f>ROUND(L2615*'Costing'!$C$4,2)</x:f>
        <x:v>64800</x:v>
      </x:c>
      <x:c r="N2615" s="17" t="n">
        <x:f>L2615+M2615</x:f>
        <x:v>424800</x:v>
      </x:c>
      <x:c r="O2615" s="12" t="str">
        <x:v>Mumbai</x:v>
      </x:c>
      <x:c r="P2615" s="12" t="str">
        <x:v>CORP-0322</x:v>
      </x:c>
      <x:c r="Q2615" s="12" t="str">
        <x:v>TUNGALOY India pvt ltd</x:v>
      </x:c>
    </x:row>
    <x:row r="2616" ht="48" customHeight="1">
      <x:c r="A2616" s="2" t="str">
        <x:v>TEN-01E660DEC960</x:v>
      </x:c>
      <x:c r="B2616" s="12" t="str">
        <x:v>Turvo India Pvt Ltd</x:v>
      </x:c>
      <x:c r="C2616" s="12" t="str">
        <x:v>Business / brand</x:v>
      </x:c>
      <x:c r="D2616" s="12" t="str">
        <x:v>IT &amp; digital</x:v>
      </x:c>
      <x:c r="E2616" s="12" t="str">
        <x:v>Enterprise software &amp; digital engineering</x:v>
      </x:c>
      <x:c r="F2616" s="12" t="str">
        <x:v>Small-scale prospects</x:v>
      </x:c>
      <x:c r="G2616" s="12" t="str">
        <x:v>Software or technology-services business; small-scale prospect assumption.</x:v>
      </x:c>
      <x:c r="H2616" s="11" t="n">
        <x:v>1</x:v>
      </x:c>
      <x:c r="I2616" s="11" t="n">
        <x:v>1</x:v>
      </x:c>
      <x:c r="J2616" s="11" t="n">
        <x:v>1</x:v>
      </x:c>
      <x:c r="K2616" s="11" t="n">
        <x:v>0</x:v>
      </x:c>
      <x:c r="L2616" s="17" t="n">
        <x:f>SUM(SUMIFS('Costing'!$P$9:$P$492,'Costing'!$A$9:$A$492,"MAIN-259"))</x:f>
        <x:v>20000</x:v>
      </x:c>
      <x:c r="M2616" s="17" t="n">
        <x:f>ROUND(L2616*'Costing'!$C$4,2)</x:f>
        <x:v>3600</x:v>
      </x:c>
      <x:c r="N2616" s="17" t="n">
        <x:f>L2616+M2616</x:f>
        <x:v>23600</x:v>
      </x:c>
      <x:c r="O2616" s="12" t="str">
        <x:v>Hyderabad</x:v>
      </x:c>
      <x:c r="P2616" s="12" t="str">
        <x:v>CORP-0255</x:v>
      </x:c>
      <x:c r="Q2616" s="12" t="str">
        <x:v>Turvo India Pvt Ltd</x:v>
      </x:c>
    </x:row>
    <x:row r="2617" ht="49" customHeight="1">
      <x:c r="A2617" s="2" t="str">
        <x:v>TEN-912465DAB3C4</x:v>
      </x:c>
      <x:c r="B2617" s="12" t="str">
        <x:v>TuskerWorkspace Pvt.Ltd</x:v>
      </x:c>
      <x:c r="C2617" s="12" t="str">
        <x:v>Workspace operator</x:v>
      </x:c>
      <x:c r="D2617" s="12" t="str">
        <x:v>Workspace &amp; property operations</x:v>
      </x:c>
      <x:c r="E2617" s="12" t="str">
        <x:v>Coworking/workspace operator</x:v>
      </x:c>
      <x:c r="F2617" s="12" t="str">
        <x:v>Mixed business audience</x:v>
      </x:c>
      <x:c r="G2617" s="12" t="str">
        <x:v>Supplied entry is a shared-workspace operator; the business sizes of occupant companies cannot be derived from the operator name.</x:v>
      </x:c>
      <x:c r="H2617" s="11" t="n">
        <x:v>1</x:v>
      </x:c>
      <x:c r="I2617" s="11" t="n">
        <x:v>3</x:v>
      </x:c>
      <x:c r="J2617" s="11" t="n">
        <x:v>3</x:v>
      </x:c>
      <x:c r="K2617" s="11" t="n">
        <x:v>0</x:v>
      </x:c>
      <x:c r="L2617" s="17" t="n">
        <x:f>SUM(SUMIFS('Costing'!$P$9:$P$492,'Costing'!$A$9:$A$492,"MAIN-029"))</x:f>
        <x:v>45000</x:v>
      </x:c>
      <x:c r="M2617" s="17" t="n">
        <x:f>ROUND(L2617*'Costing'!$C$4,2)</x:f>
        <x:v>8100</x:v>
      </x:c>
      <x:c r="N2617" s="17" t="n">
        <x:f>L2617+M2617</x:f>
        <x:v>53100</x:v>
      </x:c>
      <x:c r="O2617" s="12" t="str">
        <x:v>Bengaluru</x:v>
      </x:c>
      <x:c r="P2617" s="12" t="str">
        <x:v>CORP-0025</x:v>
      </x:c>
      <x:c r="Q2617" s="12" t="str">
        <x:v>TuskerWorkspace Pvt.Ltd</x:v>
      </x:c>
    </x:row>
    <x:row r="2618" ht="48" customHeight="1">
      <x:c r="A2618" s="2" t="str">
        <x:v>TEN-6D88C170876C</x:v>
      </x:c>
      <x:c r="B2618" s="12" t="str">
        <x:v>Tvarana Software Solution Pvt Ltd</x:v>
      </x:c>
      <x:c r="C2618" s="12" t="str">
        <x:v>Business / brand</x:v>
      </x:c>
      <x:c r="D2618" s="12" t="str">
        <x:v>IT &amp; digital</x:v>
      </x:c>
      <x:c r="E2618" s="12" t="str">
        <x:v>Enterprise software &amp; digital engineering</x:v>
      </x:c>
      <x:c r="F2618" s="12" t="str">
        <x:v>Small-scale prospects</x:v>
      </x:c>
      <x:c r="G2618" s="12" t="str">
        <x:v>Software or technology-services business; small-scale prospect assumption.</x:v>
      </x:c>
      <x:c r="H2618" s="11" t="n">
        <x:v>6</x:v>
      </x:c>
      <x:c r="I2618" s="11" t="n">
        <x:v>6</x:v>
      </x:c>
      <x:c r="J2618" s="11" t="n">
        <x:v>6</x:v>
      </x:c>
      <x:c r="K2618" s="11" t="n">
        <x:v>0</x:v>
      </x:c>
      <x:c r="L2618" s="17" t="n">
        <x:f>SUM(SUMIFS('Costing'!$P$9:$P$492,'Costing'!$A$9:$A$492,"PARTNER-M289"))</x:f>
        <x:v>240000</x:v>
      </x:c>
      <x:c r="M2618" s="17" t="n">
        <x:f>ROUND(L2618*'Costing'!$C$4,2)</x:f>
        <x:v>43200</x:v>
      </x:c>
      <x:c r="N2618" s="17" t="n">
        <x:f>L2618+M2618</x:f>
        <x:v>283200</x:v>
      </x:c>
      <x:c r="O2618" s="12" t="str">
        <x:v>Hyderabad</x:v>
      </x:c>
      <x:c r="P2618" s="12" t="str">
        <x:v>CORP-0704, CORP-0705, CORP-0706, CORP-0707, CORP-0708, CORP-0709</x:v>
      </x:c>
      <x:c r="Q2618" s="12" t="str">
        <x:v>Tvarana Software Solution Pvt Ltd</x:v>
      </x:c>
    </x:row>
    <x:row r="2619" ht="48" customHeight="1">
      <x:c r="A2619" s="2" t="str">
        <x:v>TEN-593C230D0BE4</x:v>
      </x:c>
      <x:c r="B2619" s="12" t="str">
        <x:v>two dot seven</x:v>
      </x:c>
      <x:c r="C2619" s="12" t="str">
        <x:v>Business / brand</x:v>
      </x:c>
      <x:c r="D2619" s="12" t="str">
        <x:v>Unresolved</x:v>
      </x:c>
      <x:c r="E2619" s="12" t="str">
        <x:v>Business activity not established</x:v>
      </x:c>
      <x:c r="F2619" s="12" t="str">
        <x:v>Mixed business audience</x:v>
      </x:c>
      <x:c r="G2619" s="12" t="str">
        <x:v>Business activity and company scale are not established from this name.</x:v>
      </x:c>
      <x:c r="H2619" s="11" t="n">
        <x:v>1</x:v>
      </x:c>
      <x:c r="I2619" s="11" t="n">
        <x:v>2</x:v>
      </x:c>
      <x:c r="J2619" s="11" t="n">
        <x:v>2</x:v>
      </x:c>
      <x:c r="K2619" s="11" t="n">
        <x:v>0</x:v>
      </x:c>
      <x:c r="L2619" s="17" t="n">
        <x:f>SUM(SUMIFS('Costing'!$P$9:$P$492,'Costing'!$A$9:$A$492,"MAIN-100"))</x:f>
        <x:v>30000</x:v>
      </x:c>
      <x:c r="M2619" s="17" t="n">
        <x:f>ROUND(L2619*'Costing'!$C$4,2)</x:f>
        <x:v>5400</x:v>
      </x:c>
      <x:c r="N2619" s="17" t="n">
        <x:f>L2619+M2619</x:f>
        <x:v>35400</x:v>
      </x:c>
      <x:c r="O2619" s="12" t="str">
        <x:v>Bengaluru</x:v>
      </x:c>
      <x:c r="P2619" s="12" t="str">
        <x:v>CORP-0096</x:v>
      </x:c>
      <x:c r="Q2619" s="12" t="str">
        <x:v>two dot seven</x:v>
      </x:c>
    </x:row>
    <x:row r="2620" ht="48" customHeight="1">
      <x:c r="A2620" s="2" t="str">
        <x:v>TEN-514C228FF85C</x:v>
      </x:c>
      <x:c r="B2620" s="12" t="str">
        <x:v>Twvlv Lifestyle Private Limited</x:v>
      </x:c>
      <x:c r="C2620" s="12" t="str">
        <x:v>Business / brand</x:v>
      </x:c>
      <x:c r="D2620" s="12" t="str">
        <x:v>Trade, consumer &amp; logistics</x:v>
      </x:c>
      <x:c r="E2620" s="12" t="str">
        <x:v>Retail, consumer products &amp; ecommerce</x:v>
      </x:c>
      <x:c r="F2620" s="12" t="str">
        <x:v>Small-scale prospects</x:v>
      </x:c>
      <x:c r="G2620" s="12" t="str">
        <x:v>Trading or consumer-services business; small-scale prospect assumption.</x:v>
      </x:c>
      <x:c r="H2620" s="11" t="n">
        <x:v>5</x:v>
      </x:c>
      <x:c r="I2620" s="11" t="n">
        <x:v>5</x:v>
      </x:c>
      <x:c r="J2620" s="11" t="n">
        <x:v>5</x:v>
      </x:c>
      <x:c r="K2620" s="11" t="n">
        <x:v>0</x:v>
      </x:c>
      <x:c r="L2620" s="17" t="n">
        <x:f>SUM(SUMIFS('Costing'!$P$9:$P$492,'Costing'!$A$9:$A$492,"PARTNER-M384"))</x:f>
        <x:v>200000</x:v>
      </x:c>
      <x:c r="M2620" s="17" t="n">
        <x:f>ROUND(L2620*'Costing'!$C$4,2)</x:f>
        <x:v>36000</x:v>
      </x:c>
      <x:c r="N2620" s="17" t="n">
        <x:f>L2620+M2620</x:f>
        <x:v>236000</x:v>
      </x:c>
      <x:c r="O2620" s="12" t="str">
        <x:v>Delhi NCR</x:v>
      </x:c>
      <x:c r="P2620" s="12" t="str">
        <x:v>CORP-0797, CORP-0798, CORP-0799, CORP-0800, CORP-0801</x:v>
      </x:c>
      <x:c r="Q2620" s="12" t="str">
        <x:v>Twvlv Lifestyle Private Limited</x:v>
      </x:c>
    </x:row>
    <x:row r="2621" ht="48" customHeight="1">
      <x:c r="A2621" s="2" t="str">
        <x:v>TEN-4B42B5258CA7</x:v>
      </x:c>
      <x:c r="B2621" s="12" t="str">
        <x:v>Tyfone</x:v>
      </x:c>
      <x:c r="C2621" s="12" t="str">
        <x:v>Business / brand</x:v>
      </x:c>
      <x:c r="D2621" s="12" t="str">
        <x:v>IT &amp; digital</x:v>
      </x:c>
      <x:c r="E2621" s="12" t="str">
        <x:v>Enterprise software &amp; digital engineering</x:v>
      </x:c>
      <x:c r="F2621" s="12" t="str">
        <x:v>Small-scale prospects</x:v>
      </x:c>
      <x:c r="G2621" s="12" t="str">
        <x:v>Software or technology-services business; small-scale prospect assumption.</x:v>
      </x:c>
      <x:c r="H2621" s="11" t="n">
        <x:v>9</x:v>
      </x:c>
      <x:c r="I2621" s="11" t="n">
        <x:v>9</x:v>
      </x:c>
      <x:c r="J2621" s="11" t="n">
        <x:v>9</x:v>
      </x:c>
      <x:c r="K2621" s="11" t="n">
        <x:v>0</x:v>
      </x:c>
      <x:c r="L2621" s="17" t="n">
        <x:f>SUM(SUMIFS('Costing'!$P$9:$P$492,'Costing'!$A$9:$A$492,"PARTNER-M002"))</x:f>
        <x:v>360000</x:v>
      </x:c>
      <x:c r="M2621" s="17" t="n">
        <x:f>ROUND(L2621*'Costing'!$C$4,2)</x:f>
        <x:v>64800</x:v>
      </x:c>
      <x:c r="N2621" s="17" t="n">
        <x:f>L2621+M2621</x:f>
        <x:v>424800</x:v>
      </x:c>
      <x:c r="O2621" s="12" t="str">
        <x:v>Bengaluru</x:v>
      </x:c>
      <x:c r="P2621" s="12" t="str">
        <x:v>CORP-0420, CORP-0421, CORP-0422, CORP-0423, CORP-0424, CORP-0425, CORP-0426, CORP-0427, CORP-0428</x:v>
      </x:c>
      <x:c r="Q2621" s="12" t="str">
        <x:v>Tyfone</x:v>
      </x:c>
    </x:row>
    <x:row r="2622" ht="48" customHeight="1">
      <x:c r="A2622" s="2" t="str">
        <x:v>TEN-0BF40938E92E</x:v>
      </x:c>
      <x:c r="B2622" s="12" t="str">
        <x:v>Typeface AI</x:v>
      </x:c>
      <x:c r="C2622" s="12" t="str">
        <x:v>Business / brand</x:v>
      </x:c>
      <x:c r="D2622" s="12" t="str">
        <x:v>IT &amp; digital</x:v>
      </x:c>
      <x:c r="E2622" s="12" t="str">
        <x:v>AI, data &amp; analytics</x:v>
      </x:c>
      <x:c r="F2622" s="12" t="str">
        <x:v>Small-scale prospects</x:v>
      </x:c>
      <x:c r="G2622" s="12" t="str">
        <x:v>Software or technology-services business; small-scale prospect assumption.</x:v>
      </x:c>
      <x:c r="H2622" s="11" t="n">
        <x:v>1</x:v>
      </x:c>
      <x:c r="I2622" s="11" t="n">
        <x:v>1</x:v>
      </x:c>
      <x:c r="J2622" s="11" t="n">
        <x:v>1</x:v>
      </x:c>
      <x:c r="K2622" s="11" t="n">
        <x:v>0</x:v>
      </x:c>
      <x:c r="L2622" s="17" t="n">
        <x:f>SUM(SUMIFS('Costing'!$P$9:$P$492,'Costing'!$A$9:$A$492,"MAIN-259"))</x:f>
        <x:v>20000</x:v>
      </x:c>
      <x:c r="M2622" s="17" t="n">
        <x:f>ROUND(L2622*'Costing'!$C$4,2)</x:f>
        <x:v>3600</x:v>
      </x:c>
      <x:c r="N2622" s="17" t="n">
        <x:f>L2622+M2622</x:f>
        <x:v>23600</x:v>
      </x:c>
      <x:c r="O2622" s="12" t="str">
        <x:v>Hyderabad</x:v>
      </x:c>
      <x:c r="P2622" s="12" t="str">
        <x:v>CORP-0255</x:v>
      </x:c>
      <x:c r="Q2622" s="12" t="str">
        <x:v>Typeface AI</x:v>
      </x:c>
    </x:row>
    <x:row r="2623" ht="48" customHeight="1">
      <x:c r="A2623" s="2" t="str">
        <x:v>TEN-91B387646AE7</x:v>
      </x:c>
      <x:c r="B2623" s="12" t="str">
        <x:v>Tyreplex Technologies Pvt.Ltd</x:v>
      </x:c>
      <x:c r="C2623" s="12" t="str">
        <x:v>Business / brand</x:v>
      </x:c>
      <x:c r="D2623" s="12" t="str">
        <x:v>Trade, consumer &amp; logistics</x:v>
      </x:c>
      <x:c r="E2623" s="12" t="str">
        <x:v>Retail, consumer products &amp; ecommerce</x:v>
      </x:c>
      <x:c r="F2623" s="12" t="str">
        <x:v>Small-scale prospects</x:v>
      </x:c>
      <x:c r="G2623" s="12" t="str">
        <x:v>Trading or consumer-services business; small-scale prospect assumption.</x:v>
      </x:c>
      <x:c r="H2623" s="11" t="n">
        <x:v>1</x:v>
      </x:c>
      <x:c r="I2623" s="11" t="n">
        <x:v>2</x:v>
      </x:c>
      <x:c r="J2623" s="11" t="n">
        <x:v>2</x:v>
      </x:c>
      <x:c r="K2623" s="11" t="n">
        <x:v>0</x:v>
      </x:c>
      <x:c r="L2623" s="17" t="n">
        <x:f>SUM(SUMIFS('Costing'!$P$9:$P$492,'Costing'!$A$9:$A$492,"MAIN-031"))</x:f>
        <x:v>30000</x:v>
      </x:c>
      <x:c r="M2623" s="17" t="n">
        <x:f>ROUND(L2623*'Costing'!$C$4,2)</x:f>
        <x:v>5400</x:v>
      </x:c>
      <x:c r="N2623" s="17" t="n">
        <x:f>L2623+M2623</x:f>
        <x:v>35400</x:v>
      </x:c>
      <x:c r="O2623" s="12" t="str">
        <x:v>Bengaluru</x:v>
      </x:c>
      <x:c r="P2623" s="12" t="str">
        <x:v>CORP-0027</x:v>
      </x:c>
      <x:c r="Q2623" s="12" t="str">
        <x:v>Tyreplex Technologies Pvt.Ltd</x:v>
      </x:c>
    </x:row>
    <x:row r="2624" ht="48" customHeight="1">
      <x:c r="A2624" s="2" t="str">
        <x:v>TEN-45DAE655BCBD</x:v>
      </x:c>
      <x:c r="B2624" s="12" t="str">
        <x:v>U.Y Industries PVT. LTD</x:v>
      </x:c>
      <x:c r="C2624" s="12" t="str">
        <x:v>Business / brand</x:v>
      </x:c>
      <x:c r="D2624" s="12" t="str">
        <x:v>Unresolved</x:v>
      </x:c>
      <x:c r="E2624" s="12" t="str">
        <x:v>Business activity not established</x:v>
      </x:c>
      <x:c r="F2624" s="12" t="str">
        <x:v>Mixed business audience</x:v>
      </x:c>
      <x:c r="G2624" s="12" t="str">
        <x:v>Business activity and company scale are not established from this name.</x:v>
      </x:c>
      <x:c r="H2624" s="11" t="n">
        <x:v>1</x:v>
      </x:c>
      <x:c r="I2624" s="11" t="n">
        <x:v>2</x:v>
      </x:c>
      <x:c r="J2624" s="11" t="n">
        <x:v>2</x:v>
      </x:c>
      <x:c r="K2624" s="11" t="n">
        <x:v>0</x:v>
      </x:c>
      <x:c r="L2624" s="17" t="n">
        <x:f>SUM(SUMIFS('Costing'!$P$9:$P$492,'Costing'!$A$9:$A$492,"MAIN-305"))</x:f>
        <x:v>30000</x:v>
      </x:c>
      <x:c r="M2624" s="17" t="n">
        <x:f>ROUND(L2624*'Costing'!$C$4,2)</x:f>
        <x:v>5400</x:v>
      </x:c>
      <x:c r="N2624" s="17" t="n">
        <x:f>L2624+M2624</x:f>
        <x:v>35400</x:v>
      </x:c>
      <x:c r="O2624" s="12" t="str">
        <x:v>Mumbai</x:v>
      </x:c>
      <x:c r="P2624" s="12" t="str">
        <x:v>CORP-0301</x:v>
      </x:c>
      <x:c r="Q2624" s="12" t="str">
        <x:v>U.Y Industries PVT. LTD</x:v>
      </x:c>
    </x:row>
    <x:row r="2625" ht="48" customHeight="1">
      <x:c r="A2625" s="2" t="str">
        <x:v>TEN-D38B042527EB</x:v>
      </x:c>
      <x:c r="B2625" s="12" t="str">
        <x:v>UAS International Holidays Pvt Ltd</x:v>
      </x:c>
      <x:c r="C2625" s="12" t="str">
        <x:v>Business / brand</x:v>
      </x:c>
      <x:c r="D2625" s="12" t="str">
        <x:v>Trade, consumer &amp; logistics</x:v>
      </x:c>
      <x:c r="E2625" s="12" t="str">
        <x:v>Travel, hospitality, food &amp; beverages</x:v>
      </x:c>
      <x:c r="F2625" s="12" t="str">
        <x:v>Small-scale prospects</x:v>
      </x:c>
      <x:c r="G2625" s="12" t="str">
        <x:v>Trading or consumer-services business; small-scale prospect assumption.</x:v>
      </x:c>
      <x:c r="H2625" s="11" t="n">
        <x:v>1</x:v>
      </x:c>
      <x:c r="I2625" s="11" t="n">
        <x:v>3</x:v>
      </x:c>
      <x:c r="J2625" s="11" t="n">
        <x:v>3</x:v>
      </x:c>
      <x:c r="K2625" s="11" t="n">
        <x:v>0</x:v>
      </x:c>
      <x:c r="L2625" s="17" t="n">
        <x:f>SUM(SUMIFS('Costing'!$P$9:$P$492,'Costing'!$A$9:$A$492,"MAIN-195"))</x:f>
        <x:v>60000</x:v>
      </x:c>
      <x:c r="M2625" s="17" t="n">
        <x:f>ROUND(L2625*'Costing'!$C$4,2)</x:f>
        <x:v>10800</x:v>
      </x:c>
      <x:c r="N2625" s="17" t="n">
        <x:f>L2625+M2625</x:f>
        <x:v>70800</x:v>
      </x:c>
      <x:c r="O2625" s="12" t="str">
        <x:v>Delhi NCR</x:v>
      </x:c>
      <x:c r="P2625" s="12" t="str">
        <x:v>CORP-0191</x:v>
      </x:c>
      <x:c r="Q2625" s="12" t="str">
        <x:v>UAS International Holidays Pvt Ltd</x:v>
      </x:c>
    </x:row>
    <x:row r="2626" ht="62" customHeight="1">
      <x:c r="A2626" s="2" t="str">
        <x:v>TEN-74881CF03C29</x:v>
      </x:c>
      <x:c r="B2626" s="12" t="str">
        <x:v>Uber Development Center Hyderabad</x:v>
      </x:c>
      <x:c r="C2626" s="12" t="str">
        <x:v>Business / brand</x:v>
      </x:c>
      <x:c r="D2626" s="12" t="str">
        <x:v>IT &amp; digital</x:v>
      </x:c>
      <x:c r="E2626" s="12" t="str">
        <x:v>Enterprise software &amp; digital engineering</x:v>
      </x:c>
      <x:c r="F2626" s="12" t="str">
        <x:v>Large enterprise</x:v>
      </x:c>
      <x:c r="G2626" s="12" t="str">
        <x:v>Uber reports approximately 34,000 employees globally at December 2025 and operations across more than 70 countries. Large-enterprise campaign context; no statutory MSME status asserted.</x:v>
      </x:c>
      <x:c r="H2626" s="11" t="n">
        <x:v>1</x:v>
      </x:c>
      <x:c r="I2626" s="11" t="n">
        <x:v>1</x:v>
      </x:c>
      <x:c r="J2626" s="11" t="n">
        <x:v>1</x:v>
      </x:c>
      <x:c r="K2626" s="11" t="n">
        <x:v>0</x:v>
      </x:c>
      <x:c r="L2626" s="17" t="n">
        <x:f>SUM(SUMIFS('Costing'!$P$9:$P$492,'Costing'!$A$9:$A$492,"MAIN-246"))</x:f>
        <x:v>20000</x:v>
      </x:c>
      <x:c r="M2626" s="17" t="n">
        <x:f>ROUND(L2626*'Costing'!$C$4,2)</x:f>
        <x:v>3600</x:v>
      </x:c>
      <x:c r="N2626" s="17" t="n">
        <x:f>L2626+M2626</x:f>
        <x:v>23600</x:v>
      </x:c>
      <x:c r="O2626" s="12" t="str">
        <x:v>Hyderabad</x:v>
      </x:c>
      <x:c r="P2626" s="12" t="str">
        <x:v>CORP-0242</x:v>
      </x:c>
      <x:c r="Q2626" s="12" t="str">
        <x:v>Uber Development Center Hyderabad</x:v>
      </x:c>
    </x:row>
    <x:row r="2627" ht="48" customHeight="1">
      <x:c r="A2627" s="2" t="str">
        <x:v>TEN-2F98BAE5C1A1</x:v>
      </x:c>
      <x:c r="B2627" s="12" t="str">
        <x:v>UBM India</x:v>
      </x:c>
      <x:c r="C2627" s="12" t="str">
        <x:v>Business / brand</x:v>
      </x:c>
      <x:c r="D2627" s="12" t="str">
        <x:v>Trade, consumer &amp; logistics</x:v>
      </x:c>
      <x:c r="E2627" s="12" t="str">
        <x:v>Entertainment, media &amp; events</x:v>
      </x:c>
      <x:c r="F2627" s="12" t="str">
        <x:v>Mixed business audience</x:v>
      </x:c>
      <x:c r="G2627" s="12" t="str">
        <x:v>Established brand or business network; local company scale is not established. Use a mixed-business message.</x:v>
      </x:c>
      <x:c r="H2627" s="11" t="n">
        <x:v>1</x:v>
      </x:c>
      <x:c r="I2627" s="11" t="n">
        <x:v>2</x:v>
      </x:c>
      <x:c r="J2627" s="11" t="n">
        <x:v>2</x:v>
      </x:c>
      <x:c r="K2627" s="11" t="n">
        <x:v>0</x:v>
      </x:c>
      <x:c r="L2627" s="17" t="n">
        <x:f>SUM(SUMIFS('Costing'!$P$9:$P$492,'Costing'!$A$9:$A$492,"MAIN-343"))</x:f>
        <x:v>30000</x:v>
      </x:c>
      <x:c r="M2627" s="17" t="n">
        <x:f>ROUND(L2627*'Costing'!$C$4,2)</x:f>
        <x:v>5400</x:v>
      </x:c>
      <x:c r="N2627" s="17" t="n">
        <x:f>L2627+M2627</x:f>
        <x:v>35400</x:v>
      </x:c>
      <x:c r="O2627" s="12" t="str">
        <x:v>Mumbai</x:v>
      </x:c>
      <x:c r="P2627" s="12" t="str">
        <x:v>CORP-0339</x:v>
      </x:c>
      <x:c r="Q2627" s="12" t="str">
        <x:v>UBM India</x:v>
      </x:c>
    </x:row>
    <x:row r="2628" ht="48" customHeight="1">
      <x:c r="A2628" s="2" t="str">
        <x:v>TEN-66035669957D</x:v>
      </x:c>
      <x:c r="B2628" s="12" t="str">
        <x:v>UBM India (Events &amp; Exhibitions)</x:v>
      </x:c>
      <x:c r="C2628" s="12" t="str">
        <x:v>Business / brand</x:v>
      </x:c>
      <x:c r="D2628" s="12" t="str">
        <x:v>Trade, consumer &amp; logistics</x:v>
      </x:c>
      <x:c r="E2628" s="12" t="str">
        <x:v>Entertainment, media &amp; events</x:v>
      </x:c>
      <x:c r="F2628" s="12" t="str">
        <x:v>Mixed business audience</x:v>
      </x:c>
      <x:c r="G2628" s="12" t="str">
        <x:v>Established brand or business network; local company scale is not established. Use a mixed-business message.</x:v>
      </x:c>
      <x:c r="H2628" s="11" t="n">
        <x:v>1</x:v>
      </x:c>
      <x:c r="I2628" s="11" t="n">
        <x:v>3</x:v>
      </x:c>
      <x:c r="J2628" s="11" t="n">
        <x:v>3</x:v>
      </x:c>
      <x:c r="K2628" s="11" t="n">
        <x:v>0</x:v>
      </x:c>
      <x:c r="L2628" s="17" t="n">
        <x:f>SUM(SUMIFS('Costing'!$P$9:$P$492,'Costing'!$A$9:$A$492,"MAIN-344"))</x:f>
        <x:v>45000</x:v>
      </x:c>
      <x:c r="M2628" s="17" t="n">
        <x:f>ROUND(L2628*'Costing'!$C$4,2)</x:f>
        <x:v>8100</x:v>
      </x:c>
      <x:c r="N2628" s="17" t="n">
        <x:f>L2628+M2628</x:f>
        <x:v>53100</x:v>
      </x:c>
      <x:c r="O2628" s="12" t="str">
        <x:v>Mumbai</x:v>
      </x:c>
      <x:c r="P2628" s="12" t="str">
        <x:v>CORP-0340</x:v>
      </x:c>
      <x:c r="Q2628" s="12" t="str">
        <x:v>UBM India (Events &amp; Exhibitions)</x:v>
      </x:c>
    </x:row>
    <x:row r="2629" ht="48" customHeight="1">
      <x:c r="A2629" s="2" t="str">
        <x:v>TEN-0D8D7B583F99</x:v>
      </x:c>
      <x:c r="B2629" s="12" t="str">
        <x:v>UBS</x:v>
      </x:c>
      <x:c r="C2629" s="12" t="str">
        <x:v>Business / brand</x:v>
      </x:c>
      <x:c r="D2629" s="12" t="str">
        <x:v>Finance &amp; insurance</x:v>
      </x:c>
      <x:c r="E2629" s="12" t="str">
        <x:v>Financial services — specialty unverified</x:v>
      </x:c>
      <x:c r="F2629" s="12" t="str">
        <x:v>Mixed business audience</x:v>
      </x:c>
      <x:c r="G2629" s="12" t="str">
        <x:v>Recognisable business context; company-scale evidence remains insufficient for a single size band.</x:v>
      </x:c>
      <x:c r="H2629" s="11" t="n">
        <x:v>2</x:v>
      </x:c>
      <x:c r="I2629" s="11" t="n">
        <x:v>7</x:v>
      </x:c>
      <x:c r="J2629" s="11" t="n">
        <x:v>7</x:v>
      </x:c>
      <x:c r="K2629" s="11" t="n">
        <x:v>0</x:v>
      </x:c>
      <x:c r="L2629" s="17" t="n">
        <x:f>SUM(SUMIFS('Costing'!$P$9:$P$492,'Costing'!$A$9:$A$492,"MAIN-338"),SUMIFS('Costing'!$P$9:$P$492,'Costing'!$A$9:$A$492,"MAIN-413"))</x:f>
        <x:v>280000</x:v>
      </x:c>
      <x:c r="M2629" s="17" t="n">
        <x:f>ROUND(L2629*'Costing'!$C$4,2)</x:f>
        <x:v>50400</x:v>
      </x:c>
      <x:c r="N2629" s="17" t="n">
        <x:f>L2629+M2629</x:f>
        <x:v>330400</x:v>
      </x:c>
      <x:c r="O2629" s="12" t="str">
        <x:v>Mumbai, Pune</x:v>
      </x:c>
      <x:c r="P2629" s="12" t="str">
        <x:v>CORP-0334, CORP-0409</x:v>
      </x:c>
      <x:c r="Q2629" s="12" t="str">
        <x:v>UBS</x:v>
      </x:c>
    </x:row>
    <x:row r="2630" ht="48" customHeight="1">
      <x:c r="A2630" s="2" t="str">
        <x:v>TEN-C3AFC9E0B8DF</x:v>
      </x:c>
      <x:c r="B2630" s="12" t="str">
        <x:v>UGRO Capital</x:v>
      </x:c>
      <x:c r="C2630" s="12" t="str">
        <x:v>Business / brand</x:v>
      </x:c>
      <x:c r="D2630" s="12" t="str">
        <x:v>Finance &amp; insurance</x:v>
      </x:c>
      <x:c r="E2630" s="12" t="str">
        <x:v>Investments, securities &amp; wealth</x:v>
      </x:c>
      <x:c r="F2630" s="12" t="str">
        <x:v>Mixed business audience</x:v>
      </x:c>
      <x:c r="G2630" s="12" t="str">
        <x:v>Recognisable business context; company-scale evidence remains insufficient for a single size band.</x:v>
      </x:c>
      <x:c r="H2630" s="11" t="n">
        <x:v>1</x:v>
      </x:c>
      <x:c r="I2630" s="11" t="n">
        <x:v>2</x:v>
      </x:c>
      <x:c r="J2630" s="11" t="n">
        <x:v>2</x:v>
      </x:c>
      <x:c r="K2630" s="11" t="n">
        <x:v>0</x:v>
      </x:c>
      <x:c r="L2630" s="17" t="n">
        <x:f>SUM(SUMIFS('Costing'!$P$9:$P$492,'Costing'!$A$9:$A$492,"MAIN-271"))</x:f>
        <x:v>40000</x:v>
      </x:c>
      <x:c r="M2630" s="17" t="n">
        <x:f>ROUND(L2630*'Costing'!$C$4,2)</x:f>
        <x:v>7200</x:v>
      </x:c>
      <x:c r="N2630" s="17" t="n">
        <x:f>L2630+M2630</x:f>
        <x:v>47200</x:v>
      </x:c>
      <x:c r="O2630" s="12" t="str">
        <x:v>Indore</x:v>
      </x:c>
      <x:c r="P2630" s="12" t="str">
        <x:v>CORP-0267</x:v>
      </x:c>
      <x:c r="Q2630" s="12" t="str">
        <x:v>UGRO Capital</x:v>
      </x:c>
    </x:row>
    <x:row r="2631" ht="49" customHeight="1">
      <x:c r="A2631" s="2" t="str">
        <x:v>TEN-8D1AE0ED034C</x:v>
      </x:c>
      <x:c r="B2631" s="12" t="str">
        <x:v>UKG</x:v>
      </x:c>
      <x:c r="C2631" s="12" t="str">
        <x:v>Business / brand</x:v>
      </x:c>
      <x:c r="D2631" s="12" t="str">
        <x:v>IT &amp; digital</x:v>
      </x:c>
      <x:c r="E2631" s="12" t="str">
        <x:v>Technology services — specialty unverified</x:v>
      </x:c>
      <x:c r="F2631" s="12" t="str">
        <x:v>Mixed business audience</x:v>
      </x:c>
      <x:c r="G2631" s="12" t="str">
        <x:v>Recognisable business context; company-scale evidence remains insufficient for a single size band.</x:v>
      </x:c>
      <x:c r="H2631" s="11" t="n">
        <x:v>12</x:v>
      </x:c>
      <x:c r="I2631" s="11" t="n">
        <x:v>12</x:v>
      </x:c>
      <x:c r="J2631" s="11" t="n">
        <x:v>12</x:v>
      </x:c>
      <x:c r="K2631" s="11" t="n">
        <x:v>0</x:v>
      </x:c>
      <x:c r="L2631" s="17" t="n">
        <x:f>SUM(SUMIFS('Costing'!$P$9:$P$492,'Costing'!$A$9:$A$492,"PARTNER-M108"))</x:f>
        <x:v>480000</x:v>
      </x:c>
      <x:c r="M2631" s="17" t="n">
        <x:f>ROUND(L2631*'Costing'!$C$4,2)</x:f>
        <x:v>86400</x:v>
      </x:c>
      <x:c r="N2631" s="17" t="n">
        <x:f>L2631+M2631</x:f>
        <x:v>566400</x:v>
      </x:c>
      <x:c r="O2631" s="12" t="str">
        <x:v>Bengaluru</x:v>
      </x:c>
      <x:c r="P2631" s="12" t="str">
        <x:v>CORP-0526, CORP-0527, CORP-0528, CORP-0529, CORP-0530, CORP-0531, CORP-0532, CORP-0533, CORP-0534, CORP-0535, CORP-0536, CORP-0537</x:v>
      </x:c>
      <x:c r="Q2631" s="12" t="str">
        <x:v>UKG</x:v>
      </x:c>
    </x:row>
    <x:row r="2632" ht="48" customHeight="1">
      <x:c r="A2632" s="2" t="str">
        <x:v>TEN-D6CB554DC303</x:v>
      </x:c>
      <x:c r="B2632" s="12" t="str">
        <x:v>Ultimate Bonding Stainless</x:v>
      </x:c>
      <x:c r="C2632" s="12" t="str">
        <x:v>Business / brand</x:v>
      </x:c>
      <x:c r="D2632" s="12" t="str">
        <x:v>Engineering &amp; manufacturing</x:v>
      </x:c>
      <x:c r="E2632" s="12" t="str">
        <x:v>Electronics, industrial systems &amp; manufacturing</x:v>
      </x:c>
      <x:c r="F2632" s="12" t="str">
        <x:v>Medium-scale prospects</x:v>
      </x:c>
      <x:c r="G2632" s="12" t="str">
        <x:v>Specialist industrial or engineering business; medium-scale prospect assumption.</x:v>
      </x:c>
      <x:c r="H2632" s="11" t="n">
        <x:v>5</x:v>
      </x:c>
      <x:c r="I2632" s="11" t="n">
        <x:v>5</x:v>
      </x:c>
      <x:c r="J2632" s="11" t="n">
        <x:v>5</x:v>
      </x:c>
      <x:c r="K2632" s="11" t="n">
        <x:v>0</x:v>
      </x:c>
      <x:c r="L2632" s="17" t="n">
        <x:f>SUM(SUMIFS('Costing'!$P$9:$P$492,'Costing'!$A$9:$A$492,"PARTNER-M295"))</x:f>
        <x:v>200000</x:v>
      </x:c>
      <x:c r="M2632" s="17" t="n">
        <x:f>ROUND(L2632*'Costing'!$C$4,2)</x:f>
        <x:v>36000</x:v>
      </x:c>
      <x:c r="N2632" s="17" t="n">
        <x:f>L2632+M2632</x:f>
        <x:v>236000</x:v>
      </x:c>
      <x:c r="O2632" s="12" t="str">
        <x:v>Hyderabad</x:v>
      </x:c>
      <x:c r="P2632" s="12" t="str">
        <x:v>CORP-0710, CORP-0711, CORP-0712, CORP-0713, CORP-0714</x:v>
      </x:c>
      <x:c r="Q2632" s="12" t="str">
        <x:v>Ultimate Bonding Stainless</x:v>
      </x:c>
    </x:row>
    <x:row r="2633" ht="48" customHeight="1">
      <x:c r="A2633" s="2" t="str">
        <x:v>TEN-75FBE0ACF96A</x:v>
      </x:c>
      <x:c r="B2633" s="12" t="str">
        <x:v>ultra commercia</x:v>
      </x:c>
      <x:c r="C2633" s="12" t="str">
        <x:v>Business / brand</x:v>
      </x:c>
      <x:c r="D2633" s="12" t="str">
        <x:v>Unresolved</x:v>
      </x:c>
      <x:c r="E2633" s="12" t="str">
        <x:v>Business activity not established</x:v>
      </x:c>
      <x:c r="F2633" s="12" t="str">
        <x:v>Mixed business audience</x:v>
      </x:c>
      <x:c r="G2633" s="12" t="str">
        <x:v>Business activity and company scale are not established from this name.</x:v>
      </x:c>
      <x:c r="H2633" s="11" t="n">
        <x:v>1</x:v>
      </x:c>
      <x:c r="I2633" s="11" t="n">
        <x:v>2</x:v>
      </x:c>
      <x:c r="J2633" s="11" t="n">
        <x:v>2</x:v>
      </x:c>
      <x:c r="K2633" s="11" t="n">
        <x:v>0</x:v>
      </x:c>
      <x:c r="L2633" s="17" t="n">
        <x:f>SUM(SUMIFS('Costing'!$P$9:$P$492,'Costing'!$A$9:$A$492,"MAIN-182"))</x:f>
        <x:v>30000</x:v>
      </x:c>
      <x:c r="M2633" s="17" t="n">
        <x:f>ROUND(L2633*'Costing'!$C$4,2)</x:f>
        <x:v>5400</x:v>
      </x:c>
      <x:c r="N2633" s="17" t="n">
        <x:f>L2633+M2633</x:f>
        <x:v>35400</x:v>
      </x:c>
      <x:c r="O2633" s="12" t="str">
        <x:v>Delhi NCR</x:v>
      </x:c>
      <x:c r="P2633" s="12" t="str">
        <x:v>CORP-0178</x:v>
      </x:c>
      <x:c r="Q2633" s="12" t="str">
        <x:v>ultra commercia</x:v>
      </x:c>
    </x:row>
    <x:row r="2634" ht="48" customHeight="1">
      <x:c r="A2634" s="2" t="str">
        <x:v>TEN-7390097A224B</x:v>
      </x:c>
      <x:c r="B2634" s="12" t="str">
        <x:v>Ultrafastchargers</x:v>
      </x:c>
      <x:c r="C2634" s="12" t="str">
        <x:v>Business / brand</x:v>
      </x:c>
      <x:c r="D2634" s="12" t="str">
        <x:v>Engineering &amp; manufacturing</x:v>
      </x:c>
      <x:c r="E2634" s="12" t="str">
        <x:v>Electronics, industrial systems &amp; manufacturing</x:v>
      </x:c>
      <x:c r="F2634" s="12" t="str">
        <x:v>Medium-scale prospects</x:v>
      </x:c>
      <x:c r="G2634" s="12" t="str">
        <x:v>Specialist industrial or engineering business; medium-scale prospect assumption.</x:v>
      </x:c>
      <x:c r="H2634" s="11" t="n">
        <x:v>1</x:v>
      </x:c>
      <x:c r="I2634" s="11" t="n">
        <x:v>8</x:v>
      </x:c>
      <x:c r="J2634" s="11" t="n">
        <x:v>8</x:v>
      </x:c>
      <x:c r="K2634" s="11" t="n">
        <x:v>0</x:v>
      </x:c>
      <x:c r="L2634" s="17" t="n">
        <x:f>SUM(SUMIFS('Costing'!$P$9:$P$492,'Costing'!$A$9:$A$492,"MAIN-059"))</x:f>
        <x:v>120000</x:v>
      </x:c>
      <x:c r="M2634" s="17" t="n">
        <x:f>ROUND(L2634*'Costing'!$C$4,2)</x:f>
        <x:v>21600</x:v>
      </x:c>
      <x:c r="N2634" s="17" t="n">
        <x:f>L2634+M2634</x:f>
        <x:v>141600</x:v>
      </x:c>
      <x:c r="O2634" s="12" t="str">
        <x:v>Bengaluru</x:v>
      </x:c>
      <x:c r="P2634" s="12" t="str">
        <x:v>CORP-0055</x:v>
      </x:c>
      <x:c r="Q2634" s="12" t="str">
        <x:v>Ultrafastchargers</x:v>
      </x:c>
    </x:row>
    <x:row r="2635" ht="75" customHeight="1">
      <x:c r="A2635" s="2" t="str">
        <x:v>TEN-64872098ACA9</x:v>
      </x:c>
      <x:c r="B2635" s="12" t="str">
        <x:v>Ultratech Cement Limited</x:v>
      </x:c>
      <x:c r="C2635" s="12" t="str">
        <x:v>Business / brand</x:v>
      </x:c>
      <x:c r="D2635" s="12" t="str">
        <x:v>Engineering &amp; manufacturing</x:v>
      </x:c>
      <x:c r="E2635" s="12" t="str">
        <x:v>Chemicals, materials &amp; industrial manufacturing</x:v>
      </x:c>
      <x:c r="F2635" s="12" t="str">
        <x:v>Large enterprise</x:v>
      </x:c>
      <x:c r="G2635" s="12" t="str">
        <x:v>The official UltraTech profile identifies it as an Aditya Birla Group company with 205.5 MTPA of consolidated cement capacity and operations across India, UAE, Bahrain and Sri Lanka. This supports enterprise-scale manufacturing context.</x:v>
      </x:c>
      <x:c r="H2635" s="11" t="n">
        <x:v>1</x:v>
      </x:c>
      <x:c r="I2635" s="11" t="n">
        <x:v>13</x:v>
      </x:c>
      <x:c r="J2635" s="11" t="n">
        <x:v>13</x:v>
      </x:c>
      <x:c r="K2635" s="11" t="n">
        <x:v>0</x:v>
      </x:c>
      <x:c r="L2635" s="17" t="n">
        <x:f>SUM(SUMIFS('Costing'!$P$9:$P$492,'Costing'!$A$9:$A$492,"MAIN-378"))</x:f>
        <x:v>260000</x:v>
      </x:c>
      <x:c r="M2635" s="17" t="n">
        <x:f>ROUND(L2635*'Costing'!$C$4,2)</x:f>
        <x:v>46800</x:v>
      </x:c>
      <x:c r="N2635" s="17" t="n">
        <x:f>L2635+M2635</x:f>
        <x:v>306800</x:v>
      </x:c>
      <x:c r="O2635" s="12" t="str">
        <x:v>Delhi NCR</x:v>
      </x:c>
      <x:c r="P2635" s="12" t="str">
        <x:v>CORP-0374</x:v>
      </x:c>
      <x:c r="Q2635" s="12" t="str">
        <x:v>Ultratech Cement Limited</x:v>
      </x:c>
    </x:row>
    <x:row r="2636" ht="48" customHeight="1">
      <x:c r="A2636" s="2" t="str">
        <x:v>TEN-22C64C35E554</x:v>
      </x:c>
      <x:c r="B2636" s="12" t="str">
        <x:v>Unaprime Investment Advisors Private Ltd</x:v>
      </x:c>
      <x:c r="C2636" s="12" t="str">
        <x:v>Business / brand</x:v>
      </x:c>
      <x:c r="D2636" s="12" t="str">
        <x:v>Finance &amp; insurance</x:v>
      </x:c>
      <x:c r="E2636" s="12" t="str">
        <x:v>Investments, securities &amp; wealth</x:v>
      </x:c>
      <x:c r="F2636" s="12" t="str">
        <x:v>Small-scale prospects</x:v>
      </x:c>
      <x:c r="G2636" s="12" t="str">
        <x:v>Financial intermediary or advisory business; small-scale prospect assumption.</x:v>
      </x:c>
      <x:c r="H2636" s="11" t="n">
        <x:v>3</x:v>
      </x:c>
      <x:c r="I2636" s="11" t="n">
        <x:v>3</x:v>
      </x:c>
      <x:c r="J2636" s="11" t="n">
        <x:v>3</x:v>
      </x:c>
      <x:c r="K2636" s="11" t="n">
        <x:v>0</x:v>
      </x:c>
      <x:c r="L2636" s="17" t="n">
        <x:f>SUM(SUMIFS('Costing'!$P$9:$P$492,'Costing'!$A$9:$A$492,"PARTNER-M175"))</x:f>
        <x:v>120000</x:v>
      </x:c>
      <x:c r="M2636" s="17" t="n">
        <x:f>ROUND(L2636*'Costing'!$C$4,2)</x:f>
        <x:v>21600</x:v>
      </x:c>
      <x:c r="N2636" s="17" t="n">
        <x:f>L2636+M2636</x:f>
        <x:v>141600</x:v>
      </x:c>
      <x:c r="O2636" s="12" t="str">
        <x:v>Mumbai</x:v>
      </x:c>
      <x:c r="P2636" s="12" t="str">
        <x:v>CORP-0592, CORP-0593, CORP-0594</x:v>
      </x:c>
      <x:c r="Q2636" s="12" t="str">
        <x:v>Unaprime Investment Advisors Private Ltd</x:v>
      </x:c>
    </x:row>
    <x:row r="2637" ht="48" customHeight="1">
      <x:c r="A2637" s="2" t="str">
        <x:v>TEN-FF527D28FF82</x:v>
      </x:c>
      <x:c r="B2637" s="12" t="str">
        <x:v>Unicharm India Private Limited</x:v>
      </x:c>
      <x:c r="C2637" s="12" t="str">
        <x:v>Business / brand</x:v>
      </x:c>
      <x:c r="D2637" s="12" t="str">
        <x:v>Trade, consumer &amp; logistics</x:v>
      </x:c>
      <x:c r="E2637" s="12" t="str">
        <x:v>Retail, consumer products &amp; ecommerce</x:v>
      </x:c>
      <x:c r="F2637" s="12" t="str">
        <x:v>Mixed business audience</x:v>
      </x:c>
      <x:c r="G2637" s="12" t="str">
        <x:v>Established brand or business network; local company scale is not established. Use a mixed-business message.</x:v>
      </x:c>
      <x:c r="H2637" s="11" t="n">
        <x:v>2</x:v>
      </x:c>
      <x:c r="I2637" s="11" t="n">
        <x:v>4</x:v>
      </x:c>
      <x:c r="J2637" s="11" t="n">
        <x:v>4</x:v>
      </x:c>
      <x:c r="K2637" s="11" t="n">
        <x:v>0</x:v>
      </x:c>
      <x:c r="L2637" s="17" t="n">
        <x:f>SUM(SUMIFS('Costing'!$P$9:$P$492,'Costing'!$A$9:$A$492,"MAIN-183"),SUMIFS('Costing'!$P$9:$P$492,'Costing'!$A$9:$A$492,"MAIN-184"))</x:f>
        <x:v>75000</x:v>
      </x:c>
      <x:c r="M2637" s="17" t="n">
        <x:f>ROUND(L2637*'Costing'!$C$4,2)</x:f>
        <x:v>13500</x:v>
      </x:c>
      <x:c r="N2637" s="17" t="n">
        <x:f>L2637+M2637</x:f>
        <x:v>88500</x:v>
      </x:c>
      <x:c r="O2637" s="12" t="str">
        <x:v>Delhi NCR</x:v>
      </x:c>
      <x:c r="P2637" s="12" t="str">
        <x:v>CORP-0179, CORP-0180</x:v>
      </x:c>
      <x:c r="Q2637" s="12" t="str">
        <x:v>Unicharm India Private Limited</x:v>
      </x:c>
    </x:row>
    <x:row r="2638" ht="48" customHeight="1">
      <x:c r="A2638" s="2" t="str">
        <x:v>TEN-A38C2D7BFC42</x:v>
      </x:c>
      <x:c r="B2638" s="12" t="str">
        <x:v>Unilever</x:v>
      </x:c>
      <x:c r="C2638" s="12" t="str">
        <x:v>Business / brand</x:v>
      </x:c>
      <x:c r="D2638" s="12" t="str">
        <x:v>Trade, consumer &amp; logistics</x:v>
      </x:c>
      <x:c r="E2638" s="12" t="str">
        <x:v>Retail, consumer products &amp; ecommerce</x:v>
      </x:c>
      <x:c r="F2638" s="12" t="str">
        <x:v>Large enterprise</x:v>
      </x:c>
      <x:c r="G2638" s="12" t="str">
        <x:v>Explicit Unilever enterprise-family context; see ENTERPRISE_SUPP_018 evidence.</x:v>
      </x:c>
      <x:c r="H2638" s="11" t="n">
        <x:v>1</x:v>
      </x:c>
      <x:c r="I2638" s="11" t="n">
        <x:v>1</x:v>
      </x:c>
      <x:c r="J2638" s="11" t="n">
        <x:v>1</x:v>
      </x:c>
      <x:c r="K2638" s="11" t="n">
        <x:v>0</x:v>
      </x:c>
      <x:c r="L2638" s="17" t="n">
        <x:f>SUM(SUMIFS('Costing'!$P$9:$P$492,'Costing'!$A$9:$A$492,"MAIN-275"))</x:f>
        <x:v>40000</x:v>
      </x:c>
      <x:c r="M2638" s="17" t="n">
        <x:f>ROUND(L2638*'Costing'!$C$4,2)</x:f>
        <x:v>7200</x:v>
      </x:c>
      <x:c r="N2638" s="17" t="n">
        <x:f>L2638+M2638</x:f>
        <x:v>47200</x:v>
      </x:c>
      <x:c r="O2638" s="12" t="str">
        <x:v>Indore</x:v>
      </x:c>
      <x:c r="P2638" s="12" t="str">
        <x:v>CORP-0271</x:v>
      </x:c>
      <x:c r="Q2638" s="12" t="str">
        <x:v>Unilever</x:v>
      </x:c>
    </x:row>
    <x:row r="2639" ht="48" customHeight="1">
      <x:c r="A2639" s="2" t="str">
        <x:v>TEN-06727277697A</x:v>
      </x:c>
      <x:c r="B2639" s="12" t="str">
        <x:v>Unique School App India LLP</x:v>
      </x:c>
      <x:c r="C2639" s="12" t="str">
        <x:v>Business / brand</x:v>
      </x:c>
      <x:c r="D2639" s="12" t="str">
        <x:v>Education</x:v>
      </x:c>
      <x:c r="E2639" s="12" t="str">
        <x:v>Schools, childcare &amp; higher education</x:v>
      </x:c>
      <x:c r="F2639" s="12" t="str">
        <x:v>Small-scale prospects</x:v>
      </x:c>
      <x:c r="G2639" s="12" t="str">
        <x:v>Training or education-services business; small-scale prospect assumption.</x:v>
      </x:c>
      <x:c r="H2639" s="11" t="n">
        <x:v>1</x:v>
      </x:c>
      <x:c r="I2639" s="11" t="n">
        <x:v>2</x:v>
      </x:c>
      <x:c r="J2639" s="11" t="n">
        <x:v>2</x:v>
      </x:c>
      <x:c r="K2639" s="11" t="n">
        <x:v>0</x:v>
      </x:c>
      <x:c r="L2639" s="17" t="n">
        <x:f>SUM(SUMIFS('Costing'!$P$9:$P$492,'Costing'!$A$9:$A$492,"MAIN-389"))</x:f>
        <x:v>30000</x:v>
      </x:c>
      <x:c r="M2639" s="17" t="n">
        <x:f>ROUND(L2639*'Costing'!$C$4,2)</x:f>
        <x:v>5400</x:v>
      </x:c>
      <x:c r="N2639" s="17" t="n">
        <x:f>L2639+M2639</x:f>
        <x:v>35400</x:v>
      </x:c>
      <x:c r="O2639" s="12" t="str">
        <x:v>Pune</x:v>
      </x:c>
      <x:c r="P2639" s="12" t="str">
        <x:v>CORP-0385</x:v>
      </x:c>
      <x:c r="Q2639" s="12" t="str">
        <x:v>Unique School App India LLP</x:v>
      </x:c>
    </x:row>
    <x:row r="2640" ht="48" customHeight="1">
      <x:c r="A2640" s="2" t="str">
        <x:v>TEN-983B838AAED4</x:v>
      </x:c>
      <x:c r="B2640" s="12" t="str">
        <x:v>Unirac Solar India LLP</x:v>
      </x:c>
      <x:c r="C2640" s="12" t="str">
        <x:v>Business / brand</x:v>
      </x:c>
      <x:c r="D2640" s="12" t="str">
        <x:v>Engineering &amp; manufacturing</x:v>
      </x:c>
      <x:c r="E2640" s="12" t="str">
        <x:v>Energy, electrical &amp; industrial systems</x:v>
      </x:c>
      <x:c r="F2640" s="12" t="str">
        <x:v>Medium-scale prospects</x:v>
      </x:c>
      <x:c r="G2640" s="12" t="str">
        <x:v>Specialist industrial or engineering business; medium-scale prospect assumption.</x:v>
      </x:c>
      <x:c r="H2640" s="11" t="n">
        <x:v>1</x:v>
      </x:c>
      <x:c r="I2640" s="11" t="n">
        <x:v>5</x:v>
      </x:c>
      <x:c r="J2640" s="11" t="n">
        <x:v>5</x:v>
      </x:c>
      <x:c r="K2640" s="11" t="n">
        <x:v>0</x:v>
      </x:c>
      <x:c r="L2640" s="17" t="n">
        <x:f>SUM(SUMIFS('Costing'!$P$9:$P$492,'Costing'!$A$9:$A$492,"MAIN-258"))</x:f>
        <x:v>200000</x:v>
      </x:c>
      <x:c r="M2640" s="17" t="n">
        <x:f>ROUND(L2640*'Costing'!$C$4,2)</x:f>
        <x:v>36000</x:v>
      </x:c>
      <x:c r="N2640" s="17" t="n">
        <x:f>L2640+M2640</x:f>
        <x:v>236000</x:v>
      </x:c>
      <x:c r="O2640" s="12" t="str">
        <x:v>Hyderabad</x:v>
      </x:c>
      <x:c r="P2640" s="12" t="str">
        <x:v>CORP-0254</x:v>
      </x:c>
      <x:c r="Q2640" s="12" t="str">
        <x:v>Unirac Solar India LLP</x:v>
      </x:c>
    </x:row>
    <x:row r="2641" ht="48" customHeight="1">
      <x:c r="A2641" s="2" t="str">
        <x:v>TEN-EA2E8D5F5E0F</x:v>
      </x:c>
      <x:c r="B2641" s="12" t="str">
        <x:v>Unitherm Engineers Limited</x:v>
      </x:c>
      <x:c r="C2641" s="12" t="str">
        <x:v>Business / brand</x:v>
      </x:c>
      <x:c r="D2641" s="12" t="str">
        <x:v>Engineering &amp; manufacturing</x:v>
      </x:c>
      <x:c r="E2641" s="12" t="str">
        <x:v>Energy, electrical &amp; industrial systems</x:v>
      </x:c>
      <x:c r="F2641" s="12" t="str">
        <x:v>Medium-scale prospects</x:v>
      </x:c>
      <x:c r="G2641" s="12" t="str">
        <x:v>Specialist industrial or engineering business; medium-scale prospect assumption.</x:v>
      </x:c>
      <x:c r="H2641" s="11" t="n">
        <x:v>6</x:v>
      </x:c>
      <x:c r="I2641" s="11" t="n">
        <x:v>6</x:v>
      </x:c>
      <x:c r="J2641" s="11" t="n">
        <x:v>6</x:v>
      </x:c>
      <x:c r="K2641" s="11" t="n">
        <x:v>0</x:v>
      </x:c>
      <x:c r="L2641" s="17" t="n">
        <x:f>SUM(SUMIFS('Costing'!$P$9:$P$492,'Costing'!$A$9:$A$492,"PARTNER-M179"))</x:f>
        <x:v>240000</x:v>
      </x:c>
      <x:c r="M2641" s="17" t="n">
        <x:f>ROUND(L2641*'Costing'!$C$4,2)</x:f>
        <x:v>43200</x:v>
      </x:c>
      <x:c r="N2641" s="17" t="n">
        <x:f>L2641+M2641</x:f>
        <x:v>283200</x:v>
      </x:c>
      <x:c r="O2641" s="12" t="str">
        <x:v>Mumbai</x:v>
      </x:c>
      <x:c r="P2641" s="12" t="str">
        <x:v>CORP-0596, CORP-0597, CORP-0598, CORP-0599, CORP-0600, CORP-0601</x:v>
      </x:c>
      <x:c r="Q2641" s="12" t="str">
        <x:v>Unitherm Engineers Limited</x:v>
      </x:c>
    </x:row>
    <x:row r="2642" ht="48" customHeight="1">
      <x:c r="A2642" s="2" t="str">
        <x:v>TEN-A5790B06F63B</x:v>
      </x:c>
      <x:c r="B2642" s="12" t="str">
        <x:v>Unity</x:v>
      </x:c>
      <x:c r="C2642" s="12" t="str">
        <x:v>Business / brand</x:v>
      </x:c>
      <x:c r="D2642" s="12" t="str">
        <x:v>Unresolved</x:v>
      </x:c>
      <x:c r="E2642" s="12" t="str">
        <x:v>Business activity not established</x:v>
      </x:c>
      <x:c r="F2642" s="12" t="str">
        <x:v>Mixed business audience</x:v>
      </x:c>
      <x:c r="G2642" s="12" t="str">
        <x:v>Business activity and company scale are not established from this name.</x:v>
      </x:c>
      <x:c r="H2642" s="11" t="n">
        <x:v>1</x:v>
      </x:c>
      <x:c r="I2642" s="11" t="n">
        <x:v>2</x:v>
      </x:c>
      <x:c r="J2642" s="11" t="n">
        <x:v>2</x:v>
      </x:c>
      <x:c r="K2642" s="11" t="n">
        <x:v>0</x:v>
      </x:c>
      <x:c r="L2642" s="17" t="n">
        <x:f>SUM(SUMIFS('Costing'!$P$9:$P$492,'Costing'!$A$9:$A$492,"MAIN-107"))</x:f>
        <x:v>30000</x:v>
      </x:c>
      <x:c r="M2642" s="17" t="n">
        <x:f>ROUND(L2642*'Costing'!$C$4,2)</x:f>
        <x:v>5400</x:v>
      </x:c>
      <x:c r="N2642" s="17" t="n">
        <x:f>L2642+M2642</x:f>
        <x:v>35400</x:v>
      </x:c>
      <x:c r="O2642" s="12" t="str">
        <x:v>Bengaluru</x:v>
      </x:c>
      <x:c r="P2642" s="12" t="str">
        <x:v>CORP-0103</x:v>
      </x:c>
      <x:c r="Q2642" s="12" t="str">
        <x:v>Unity</x:v>
      </x:c>
    </x:row>
    <x:row r="2643" ht="48" customHeight="1">
      <x:c r="A2643" s="2" t="str">
        <x:v>TEN-BE1735A89BDA</x:v>
      </x:c>
      <x:c r="B2643" s="12" t="str">
        <x:v>Universal Interior Designs</x:v>
      </x:c>
      <x:c r="C2643" s="12" t="str">
        <x:v>Business / brand</x:v>
      </x:c>
      <x:c r="D2643" s="12" t="str">
        <x:v>Professional services</x:v>
      </x:c>
      <x:c r="E2643" s="12" t="str">
        <x:v>Architecture, interiors &amp; design</x:v>
      </x:c>
      <x:c r="F2643" s="12" t="str">
        <x:v>Small-scale prospects</x:v>
      </x:c>
      <x:c r="G2643" s="12" t="str">
        <x:v>Professional service, agency or advisory model; small-scale prospect assumption.</x:v>
      </x:c>
      <x:c r="H2643" s="11" t="n">
        <x:v>1</x:v>
      </x:c>
      <x:c r="I2643" s="11" t="n">
        <x:v>1</x:v>
      </x:c>
      <x:c r="J2643" s="11" t="n">
        <x:v>1</x:v>
      </x:c>
      <x:c r="K2643" s="11" t="n">
        <x:v>0</x:v>
      </x:c>
      <x:c r="L2643" s="17" t="n">
        <x:f>SUM(SUMIFS('Costing'!$P$9:$P$492,'Costing'!$A$9:$A$492,"MAIN-250"))</x:f>
        <x:v>15000</x:v>
      </x:c>
      <x:c r="M2643" s="17" t="n">
        <x:f>ROUND(L2643*'Costing'!$C$4,2)</x:f>
        <x:v>2700</x:v>
      </x:c>
      <x:c r="N2643" s="17" t="n">
        <x:f>L2643+M2643</x:f>
        <x:v>17700</x:v>
      </x:c>
      <x:c r="O2643" s="12" t="str">
        <x:v>Hyderabad</x:v>
      </x:c>
      <x:c r="P2643" s="12" t="str">
        <x:v>CORP-0246</x:v>
      </x:c>
      <x:c r="Q2643" s="12" t="str">
        <x:v>Universal Interior Designs</x:v>
      </x:c>
    </x:row>
    <x:row r="2644" ht="48" customHeight="1">
      <x:c r="A2644" s="2" t="str">
        <x:v>TEN-008C592B5A21</x:v>
      </x:c>
      <x:c r="B2644" s="12" t="str">
        <x:v>Universal NutriScience Pvt Ltd</x:v>
      </x:c>
      <x:c r="C2644" s="12" t="str">
        <x:v>Business / brand</x:v>
      </x:c>
      <x:c r="D2644" s="12" t="str">
        <x:v>Healthcare &amp; life sciences</x:v>
      </x:c>
      <x:c r="E2644" s="12" t="str">
        <x:v>Clinical, pharmaceutical &amp; health services</x:v>
      </x:c>
      <x:c r="F2644" s="12" t="str">
        <x:v>Medium-scale prospects</x:v>
      </x:c>
      <x:c r="G2644" s="12" t="str">
        <x:v>Specialist life-sciences business; medium-scale prospect assumption.</x:v>
      </x:c>
      <x:c r="H2644" s="11" t="n">
        <x:v>1</x:v>
      </x:c>
      <x:c r="I2644" s="11" t="n">
        <x:v>2</x:v>
      </x:c>
      <x:c r="J2644" s="11" t="n">
        <x:v>2</x:v>
      </x:c>
      <x:c r="K2644" s="11" t="n">
        <x:v>0</x:v>
      </x:c>
      <x:c r="L2644" s="17" t="n">
        <x:f>SUM(SUMIFS('Costing'!$P$9:$P$492,'Costing'!$A$9:$A$492,"MAIN-316"))</x:f>
        <x:v>40000</x:v>
      </x:c>
      <x:c r="M2644" s="17" t="n">
        <x:f>ROUND(L2644*'Costing'!$C$4,2)</x:f>
        <x:v>7200</x:v>
      </x:c>
      <x:c r="N2644" s="17" t="n">
        <x:f>L2644+M2644</x:f>
        <x:v>47200</x:v>
      </x:c>
      <x:c r="O2644" s="12" t="str">
        <x:v>Mumbai</x:v>
      </x:c>
      <x:c r="P2644" s="12" t="str">
        <x:v>CORP-0312</x:v>
      </x:c>
      <x:c r="Q2644" s="12" t="str">
        <x:v>Universal NutriScience Pvt Ltd</x:v>
      </x:c>
    </x:row>
    <x:row r="2645" ht="48" customHeight="1">
      <x:c r="A2645" s="2" t="str">
        <x:v>TEN-1DEB513143F7</x:v>
      </x:c>
      <x:c r="B2645" s="12" t="str">
        <x:v>Universal Sompo General Insurance Company Ltd</x:v>
      </x:c>
      <x:c r="C2645" s="12" t="str">
        <x:v>Business / brand</x:v>
      </x:c>
      <x:c r="D2645" s="12" t="str">
        <x:v>Finance &amp; insurance</x:v>
      </x:c>
      <x:c r="E2645" s="12" t="str">
        <x:v>Insurance &amp; insurance services</x:v>
      </x:c>
      <x:c r="F2645" s="12" t="str">
        <x:v>Mixed business audience</x:v>
      </x:c>
      <x:c r="G2645" s="12" t="str">
        <x:v>Established brand or business network; local company scale is not established. Use a mixed-business message.</x:v>
      </x:c>
      <x:c r="H2645" s="11" t="n">
        <x:v>4</x:v>
      </x:c>
      <x:c r="I2645" s="11" t="n">
        <x:v>4</x:v>
      </x:c>
      <x:c r="J2645" s="11" t="n">
        <x:v>4</x:v>
      </x:c>
      <x:c r="K2645" s="11" t="n">
        <x:v>0</x:v>
      </x:c>
      <x:c r="L2645" s="17" t="n">
        <x:f>SUM(SUMIFS('Costing'!$P$9:$P$492,'Costing'!$A$9:$A$492,"PARTNER-M197"))</x:f>
        <x:v>160000</x:v>
      </x:c>
      <x:c r="M2645" s="17" t="n">
        <x:f>ROUND(L2645*'Costing'!$C$4,2)</x:f>
        <x:v>28800</x:v>
      </x:c>
      <x:c r="N2645" s="17" t="n">
        <x:f>L2645+M2645</x:f>
        <x:v>188800</x:v>
      </x:c>
      <x:c r="O2645" s="12" t="str">
        <x:v>Mumbai</x:v>
      </x:c>
      <x:c r="P2645" s="12" t="str">
        <x:v>CORP-0614, CORP-0615, CORP-0616, CORP-0617</x:v>
      </x:c>
      <x:c r="Q2645" s="12" t="str">
        <x:v>Universal Sompo General Insurance Company Ltd</x:v>
      </x:c>
    </x:row>
    <x:row r="2646" ht="48" customHeight="1">
      <x:c r="A2646" s="2" t="str">
        <x:v>TEN-B6572C5BA0FF</x:v>
      </x:c>
      <x:c r="B2646" s="12" t="str">
        <x:v>Unmatched studio</x:v>
      </x:c>
      <x:c r="C2646" s="12" t="str">
        <x:v>Business / brand</x:v>
      </x:c>
      <x:c r="D2646" s="12" t="str">
        <x:v>Professional services</x:v>
      </x:c>
      <x:c r="E2646" s="12" t="str">
        <x:v>Architecture, interiors &amp; design</x:v>
      </x:c>
      <x:c r="F2646" s="12" t="str">
        <x:v>Small-scale prospects</x:v>
      </x:c>
      <x:c r="G2646" s="12" t="str">
        <x:v>Professional service, agency or advisory model; small-scale prospect assumption.</x:v>
      </x:c>
      <x:c r="H2646" s="11" t="n">
        <x:v>1</x:v>
      </x:c>
      <x:c r="I2646" s="11" t="n">
        <x:v>2</x:v>
      </x:c>
      <x:c r="J2646" s="11" t="n">
        <x:v>2</x:v>
      </x:c>
      <x:c r="K2646" s="11" t="n">
        <x:v>0</x:v>
      </x:c>
      <x:c r="L2646" s="17" t="n">
        <x:f>SUM(SUMIFS('Costing'!$P$9:$P$492,'Costing'!$A$9:$A$492,"MAIN-118"))</x:f>
        <x:v>50000</x:v>
      </x:c>
      <x:c r="M2646" s="17" t="n">
        <x:f>ROUND(L2646*'Costing'!$C$4,2)</x:f>
        <x:v>9000</x:v>
      </x:c>
      <x:c r="N2646" s="17" t="n">
        <x:f>L2646+M2646</x:f>
        <x:v>59000</x:v>
      </x:c>
      <x:c r="O2646" s="12" t="str">
        <x:v>Bengaluru</x:v>
      </x:c>
      <x:c r="P2646" s="12" t="str">
        <x:v>CORP-0114</x:v>
      </x:c>
      <x:c r="Q2646" s="12" t="str">
        <x:v>Unmatched studio</x:v>
      </x:c>
    </x:row>
    <x:row r="2647" ht="48" customHeight="1">
      <x:c r="A2647" s="2" t="str">
        <x:v>TEN-74F11F226AA1</x:v>
      </x:c>
      <x:c r="B2647" s="12" t="str">
        <x:v>UNO MINDA Global Centre</x:v>
      </x:c>
      <x:c r="C2647" s="12" t="str">
        <x:v>Business / brand</x:v>
      </x:c>
      <x:c r="D2647" s="12" t="str">
        <x:v>Engineering &amp; manufacturing</x:v>
      </x:c>
      <x:c r="E2647" s="12" t="str">
        <x:v>Engineering/manufacturing — specialty unverified</x:v>
      </x:c>
      <x:c r="F2647" s="12" t="str">
        <x:v>Mixed business audience</x:v>
      </x:c>
      <x:c r="G2647" s="12" t="str">
        <x:v>Recognisable business context; company-scale evidence remains insufficient for a single size band.</x:v>
      </x:c>
      <x:c r="H2647" s="11" t="n">
        <x:v>1</x:v>
      </x:c>
      <x:c r="I2647" s="11" t="n">
        <x:v>1</x:v>
      </x:c>
      <x:c r="J2647" s="11" t="n">
        <x:v>1</x:v>
      </x:c>
      <x:c r="K2647" s="11" t="n">
        <x:v>0</x:v>
      </x:c>
      <x:c r="L2647" s="17" t="n">
        <x:f>SUM(SUMIFS('Costing'!$P$9:$P$492,'Costing'!$A$9:$A$492,"MAIN-020"))</x:f>
        <x:v>15000</x:v>
      </x:c>
      <x:c r="M2647" s="17" t="n">
        <x:f>ROUND(L2647*'Costing'!$C$4,2)</x:f>
        <x:v>2700</x:v>
      </x:c>
      <x:c r="N2647" s="17" t="n">
        <x:f>L2647+M2647</x:f>
        <x:v>17700</x:v>
      </x:c>
      <x:c r="O2647" s="12" t="str">
        <x:v>Bengaluru</x:v>
      </x:c>
      <x:c r="P2647" s="12" t="str">
        <x:v>CORP-0016</x:v>
      </x:c>
      <x:c r="Q2647" s="12" t="str">
        <x:v>UNO MINDA Global Centre</x:v>
      </x:c>
    </x:row>
    <x:row r="2648" ht="48" customHeight="1">
      <x:c r="A2648" s="2" t="str">
        <x:v>TEN-1CFBC06C3B3F</x:v>
      </x:c>
      <x:c r="B2648" s="12" t="str">
        <x:v>Upflex anarock india pvt ltd</x:v>
      </x:c>
      <x:c r="C2648" s="12" t="str">
        <x:v>Business / brand</x:v>
      </x:c>
      <x:c r="D2648" s="12" t="str">
        <x:v>Trade, consumer &amp; logistics</x:v>
      </x:c>
      <x:c r="E2648" s="12" t="str">
        <x:v>Real estate, property &amp; construction services</x:v>
      </x:c>
      <x:c r="F2648" s="12" t="str">
        <x:v>Mixed business audience</x:v>
      </x:c>
      <x:c r="G2648" s="12" t="str">
        <x:v>Established brand or business network; local company scale is not established. Use a mixed-business message.</x:v>
      </x:c>
      <x:c r="H2648" s="11" t="n">
        <x:v>2</x:v>
      </x:c>
      <x:c r="I2648" s="11" t="n">
        <x:v>7</x:v>
      </x:c>
      <x:c r="J2648" s="11" t="n">
        <x:v>7</x:v>
      </x:c>
      <x:c r="K2648" s="11" t="n">
        <x:v>0</x:v>
      </x:c>
      <x:c r="L2648" s="17" t="n">
        <x:f>SUM(SUMIFS('Costing'!$P$9:$P$492,'Costing'!$A$9:$A$492,"MAIN-066"),SUMIFS('Costing'!$P$9:$P$492,'Costing'!$A$9:$A$492,"MAIN-373"))</x:f>
        <x:v>255000</x:v>
      </x:c>
      <x:c r="M2648" s="17" t="n">
        <x:f>ROUND(L2648*'Costing'!$C$4,2)</x:f>
        <x:v>45900</x:v>
      </x:c>
      <x:c r="N2648" s="17" t="n">
        <x:f>L2648+M2648</x:f>
        <x:v>300900</x:v>
      </x:c>
      <x:c r="O2648" s="12" t="str">
        <x:v>Bengaluru, Delhi NCR</x:v>
      </x:c>
      <x:c r="P2648" s="12" t="str">
        <x:v>CORP-0062, CORP-0369</x:v>
      </x:c>
      <x:c r="Q2648" s="12" t="str">
        <x:v>Upflex anarock india pvt ltd, Upflex Anarock India Pvt. Ltd</x:v>
      </x:c>
    </x:row>
    <x:row r="2649" ht="48" customHeight="1">
      <x:c r="A2649" s="2" t="str">
        <x:v>TEN-A98310C4E2EE</x:v>
      </x:c>
      <x:c r="B2649" s="12" t="str">
        <x:v>Upflex- Anarock India Limited</x:v>
      </x:c>
      <x:c r="C2649" s="12" t="str">
        <x:v>Business / brand</x:v>
      </x:c>
      <x:c r="D2649" s="12" t="str">
        <x:v>Trade, consumer &amp; logistics</x:v>
      </x:c>
      <x:c r="E2649" s="12" t="str">
        <x:v>Real estate, property &amp; construction services</x:v>
      </x:c>
      <x:c r="F2649" s="12" t="str">
        <x:v>Mixed business audience</x:v>
      </x:c>
      <x:c r="G2649" s="12" t="str">
        <x:v>Established brand or business network; local company scale is not established. Use a mixed-business message.</x:v>
      </x:c>
      <x:c r="H2649" s="11" t="n">
        <x:v>1</x:v>
      </x:c>
      <x:c r="I2649" s="11" t="n">
        <x:v>1</x:v>
      </x:c>
      <x:c r="J2649" s="11" t="n">
        <x:v>1</x:v>
      </x:c>
      <x:c r="K2649" s="11" t="n">
        <x:v>0</x:v>
      </x:c>
      <x:c r="L2649" s="17" t="n">
        <x:f>SUM(SUMIFS('Costing'!$P$9:$P$492,'Costing'!$A$9:$A$492,"MAIN-070"))</x:f>
        <x:v>15000</x:v>
      </x:c>
      <x:c r="M2649" s="17" t="n">
        <x:f>ROUND(L2649*'Costing'!$C$4,2)</x:f>
        <x:v>2700</x:v>
      </x:c>
      <x:c r="N2649" s="17" t="n">
        <x:f>L2649+M2649</x:f>
        <x:v>17700</x:v>
      </x:c>
      <x:c r="O2649" s="12" t="str">
        <x:v>Bengaluru</x:v>
      </x:c>
      <x:c r="P2649" s="12" t="str">
        <x:v>CORP-0066</x:v>
      </x:c>
      <x:c r="Q2649" s="12" t="str">
        <x:v>Upflex- Anarock India Limited</x:v>
      </x:c>
    </x:row>
    <x:row r="2650" ht="48" customHeight="1">
      <x:c r="A2650" s="2" t="str">
        <x:v>TEN-76CFEC1C272A</x:v>
      </x:c>
      <x:c r="B2650" s="12" t="str">
        <x:v>Upgrad</x:v>
      </x:c>
      <x:c r="C2650" s="12" t="str">
        <x:v>Business / brand</x:v>
      </x:c>
      <x:c r="D2650" s="12" t="str">
        <x:v>Education</x:v>
      </x:c>
      <x:c r="E2650" s="12" t="str">
        <x:v>Education/learning — specialty unverified</x:v>
      </x:c>
      <x:c r="F2650" s="12" t="str">
        <x:v>Mixed business audience</x:v>
      </x:c>
      <x:c r="G2650" s="12" t="str">
        <x:v>Recognisable business context; company-scale evidence remains insufficient for a single size band.</x:v>
      </x:c>
      <x:c r="H2650" s="11" t="n">
        <x:v>1</x:v>
      </x:c>
      <x:c r="I2650" s="11" t="n">
        <x:v>2</x:v>
      </x:c>
      <x:c r="J2650" s="11" t="n">
        <x:v>2</x:v>
      </x:c>
      <x:c r="K2650" s="11" t="n">
        <x:v>0</x:v>
      </x:c>
      <x:c r="L2650" s="17" t="n">
        <x:f>SUM(SUMIFS('Costing'!$P$9:$P$492,'Costing'!$A$9:$A$492,"MAIN-267"))</x:f>
        <x:v>40000</x:v>
      </x:c>
      <x:c r="M2650" s="17" t="n">
        <x:f>ROUND(L2650*'Costing'!$C$4,2)</x:f>
        <x:v>7200</x:v>
      </x:c>
      <x:c r="N2650" s="17" t="n">
        <x:f>L2650+M2650</x:f>
        <x:v>47200</x:v>
      </x:c>
      <x:c r="O2650" s="12" t="str">
        <x:v>Indore</x:v>
      </x:c>
      <x:c r="P2650" s="12" t="str">
        <x:v>CORP-0263</x:v>
      </x:c>
      <x:c r="Q2650" s="12" t="str">
        <x:v>Upgrad</x:v>
      </x:c>
    </x:row>
    <x:row r="2651" ht="48" customHeight="1">
      <x:c r="A2651" s="2" t="str">
        <x:v>TEN-6BC09C13CCE1</x:v>
      </x:c>
      <x:c r="B2651" s="12" t="str">
        <x:v>Upilot</x:v>
      </x:c>
      <x:c r="C2651" s="12" t="str">
        <x:v>Business / brand</x:v>
      </x:c>
      <x:c r="D2651" s="12" t="str">
        <x:v>IT &amp; digital</x:v>
      </x:c>
      <x:c r="E2651" s="12" t="str">
        <x:v>Enterprise software &amp; digital engineering</x:v>
      </x:c>
      <x:c r="F2651" s="12" t="str">
        <x:v>Small-scale prospects</x:v>
      </x:c>
      <x:c r="G2651" s="12" t="str">
        <x:v>Software or technology-services business; small-scale prospect assumption.</x:v>
      </x:c>
      <x:c r="H2651" s="11" t="n">
        <x:v>9</x:v>
      </x:c>
      <x:c r="I2651" s="11" t="n">
        <x:v>9</x:v>
      </x:c>
      <x:c r="J2651" s="11" t="n">
        <x:v>9</x:v>
      </x:c>
      <x:c r="K2651" s="11" t="n">
        <x:v>0</x:v>
      </x:c>
      <x:c r="L2651" s="17" t="n">
        <x:f>SUM(SUMIFS('Costing'!$P$9:$P$492,'Costing'!$A$9:$A$492,"PARTNER-M002"))</x:f>
        <x:v>360000</x:v>
      </x:c>
      <x:c r="M2651" s="17" t="n">
        <x:f>ROUND(L2651*'Costing'!$C$4,2)</x:f>
        <x:v>64800</x:v>
      </x:c>
      <x:c r="N2651" s="17" t="n">
        <x:f>L2651+M2651</x:f>
        <x:v>424800</x:v>
      </x:c>
      <x:c r="O2651" s="12" t="str">
        <x:v>Bengaluru</x:v>
      </x:c>
      <x:c r="P2651" s="12" t="str">
        <x:v>CORP-0420, CORP-0421, CORP-0422, CORP-0423, CORP-0424, CORP-0425, CORP-0426, CORP-0427, CORP-0428</x:v>
      </x:c>
      <x:c r="Q2651" s="12" t="str">
        <x:v>Upilot</x:v>
      </x:c>
    </x:row>
    <x:row r="2652" ht="48" customHeight="1">
      <x:c r="A2652" s="2" t="str">
        <x:v>TEN-B1AD052757E7</x:v>
      </x:c>
      <x:c r="B2652" s="12" t="str">
        <x:v>Uprised</x:v>
      </x:c>
      <x:c r="C2652" s="12" t="str">
        <x:v>Business / brand</x:v>
      </x:c>
      <x:c r="D2652" s="12" t="str">
        <x:v>Unresolved</x:v>
      </x:c>
      <x:c r="E2652" s="12" t="str">
        <x:v>Business activity not established</x:v>
      </x:c>
      <x:c r="F2652" s="12" t="str">
        <x:v>Mixed business audience</x:v>
      </x:c>
      <x:c r="G2652" s="12" t="str">
        <x:v>Business activity and company scale are not established from this name.</x:v>
      </x:c>
      <x:c r="H2652" s="11" t="n">
        <x:v>1</x:v>
      </x:c>
      <x:c r="I2652" s="11" t="n">
        <x:v>2</x:v>
      </x:c>
      <x:c r="J2652" s="11" t="n">
        <x:v>2</x:v>
      </x:c>
      <x:c r="K2652" s="11" t="n">
        <x:v>0</x:v>
      </x:c>
      <x:c r="L2652" s="17" t="n">
        <x:f>SUM(SUMIFS('Costing'!$P$9:$P$492,'Costing'!$A$9:$A$492,"MAIN-095"))</x:f>
        <x:v>30000</x:v>
      </x:c>
      <x:c r="M2652" s="17" t="n">
        <x:f>ROUND(L2652*'Costing'!$C$4,2)</x:f>
        <x:v>5400</x:v>
      </x:c>
      <x:c r="N2652" s="17" t="n">
        <x:f>L2652+M2652</x:f>
        <x:v>35400</x:v>
      </x:c>
      <x:c r="O2652" s="12" t="str">
        <x:v>Bengaluru</x:v>
      </x:c>
      <x:c r="P2652" s="12" t="str">
        <x:v>CORP-0091</x:v>
      </x:c>
      <x:c r="Q2652" s="12" t="str">
        <x:v>Uprised</x:v>
      </x:c>
    </x:row>
    <x:row r="2653" ht="48" customHeight="1">
      <x:c r="A2653" s="2" t="str">
        <x:v>TEN-AB768939C131</x:v>
      </x:c>
      <x:c r="B2653" s="12" t="str">
        <x:v>UPS Logistics</x:v>
      </x:c>
      <x:c r="C2653" s="12" t="str">
        <x:v>Business / brand</x:v>
      </x:c>
      <x:c r="D2653" s="12" t="str">
        <x:v>Trade, consumer &amp; logistics</x:v>
      </x:c>
      <x:c r="E2653" s="12" t="str">
        <x:v>Logistics, shipping &amp; transport</x:v>
      </x:c>
      <x:c r="F2653" s="12" t="str">
        <x:v>Mixed business audience</x:v>
      </x:c>
      <x:c r="G2653" s="12" t="str">
        <x:v>Established brand or business network; local company scale is not established. Use a mixed-business message.</x:v>
      </x:c>
      <x:c r="H2653" s="11" t="n">
        <x:v>9</x:v>
      </x:c>
      <x:c r="I2653" s="11" t="n">
        <x:v>9</x:v>
      </x:c>
      <x:c r="J2653" s="11" t="n">
        <x:v>9</x:v>
      </x:c>
      <x:c r="K2653" s="11" t="n">
        <x:v>0</x:v>
      </x:c>
      <x:c r="L2653" s="17" t="n">
        <x:f>SUM(SUMIFS('Costing'!$P$9:$P$492,'Costing'!$A$9:$A$492,"PARTNER-M252"))</x:f>
        <x:v>360000</x:v>
      </x:c>
      <x:c r="M2653" s="17" t="n">
        <x:f>ROUND(L2653*'Costing'!$C$4,2)</x:f>
        <x:v>64800</x:v>
      </x:c>
      <x:c r="N2653" s="17" t="n">
        <x:f>L2653+M2653</x:f>
        <x:v>424800</x:v>
      </x:c>
      <x:c r="O2653" s="12" t="str">
        <x:v>Pune</x:v>
      </x:c>
      <x:c r="P2653" s="12" t="str">
        <x:v>CORP-0668, CORP-0669, CORP-0670, CORP-0671, CORP-0672, CORP-0673, CORP-0674, CORP-0675, CORP-0676</x:v>
      </x:c>
      <x:c r="Q2653" s="12" t="str">
        <x:v>UPS Logistics</x:v>
      </x:c>
    </x:row>
    <x:row r="2654" ht="48" customHeight="1">
      <x:c r="A2654" s="2" t="str">
        <x:v>TEN-4EE0FA710885</x:v>
      </x:c>
      <x:c r="B2654" s="12" t="str">
        <x:v>upstox</x:v>
      </x:c>
      <x:c r="C2654" s="12" t="str">
        <x:v>Business / brand</x:v>
      </x:c>
      <x:c r="D2654" s="12" t="str">
        <x:v>Finance &amp; insurance</x:v>
      </x:c>
      <x:c r="E2654" s="12" t="str">
        <x:v>Financial services — specialty unverified</x:v>
      </x:c>
      <x:c r="F2654" s="12" t="str">
        <x:v>Mixed business audience</x:v>
      </x:c>
      <x:c r="G2654" s="12" t="str">
        <x:v>Recognisable business context; company-scale evidence remains insufficient for a single size band.</x:v>
      </x:c>
      <x:c r="H2654" s="11" t="n">
        <x:v>1</x:v>
      </x:c>
      <x:c r="I2654" s="11" t="n">
        <x:v>2</x:v>
      </x:c>
      <x:c r="J2654" s="11" t="n">
        <x:v>2</x:v>
      </x:c>
      <x:c r="K2654" s="11" t="n">
        <x:v>0</x:v>
      </x:c>
      <x:c r="L2654" s="17" t="n">
        <x:f>SUM(SUMIFS('Costing'!$P$9:$P$492,'Costing'!$A$9:$A$492,"MAIN-110"))</x:f>
        <x:v>30000</x:v>
      </x:c>
      <x:c r="M2654" s="17" t="n">
        <x:f>ROUND(L2654*'Costing'!$C$4,2)</x:f>
        <x:v>5400</x:v>
      </x:c>
      <x:c r="N2654" s="17" t="n">
        <x:f>L2654+M2654</x:f>
        <x:v>35400</x:v>
      </x:c>
      <x:c r="O2654" s="12" t="str">
        <x:v>Bengaluru</x:v>
      </x:c>
      <x:c r="P2654" s="12" t="str">
        <x:v>CORP-0106</x:v>
      </x:c>
      <x:c r="Q2654" s="12" t="str">
        <x:v>upstox</x:v>
      </x:c>
    </x:row>
    <x:row r="2655" ht="48" customHeight="1">
      <x:c r="A2655" s="2" t="str">
        <x:v>TEN-E44CEBE6EA8C</x:v>
      </x:c>
      <x:c r="B2655" s="12" t="str">
        <x:v>Upstream Talent Management Services Private Limited</x:v>
      </x:c>
      <x:c r="C2655" s="12" t="str">
        <x:v>Business / brand</x:v>
      </x:c>
      <x:c r="D2655" s="12" t="str">
        <x:v>Professional services</x:v>
      </x:c>
      <x:c r="E2655" s="12" t="str">
        <x:v>Recruitment, HR &amp; staffing</x:v>
      </x:c>
      <x:c r="F2655" s="12" t="str">
        <x:v>Small-scale prospects</x:v>
      </x:c>
      <x:c r="G2655" s="12" t="str">
        <x:v>Professional service, agency or advisory model; small-scale prospect assumption.</x:v>
      </x:c>
      <x:c r="H2655" s="11" t="n">
        <x:v>2</x:v>
      </x:c>
      <x:c r="I2655" s="11" t="n">
        <x:v>2</x:v>
      </x:c>
      <x:c r="J2655" s="11" t="n">
        <x:v>2</x:v>
      </x:c>
      <x:c r="K2655" s="11" t="n">
        <x:v>0</x:v>
      </x:c>
      <x:c r="L2655" s="17" t="n">
        <x:f>SUM(SUMIFS('Costing'!$P$9:$P$492,'Costing'!$A$9:$A$492,"PARTNER-M347"))</x:f>
        <x:v>80000</x:v>
      </x:c>
      <x:c r="M2655" s="17" t="n">
        <x:f>ROUND(L2655*'Costing'!$C$4,2)</x:f>
        <x:v>14400</x:v>
      </x:c>
      <x:c r="N2655" s="17" t="n">
        <x:f>L2655+M2655</x:f>
        <x:v>94400</x:v>
      </x:c>
      <x:c r="O2655" s="12" t="str">
        <x:v>Chennai</x:v>
      </x:c>
      <x:c r="P2655" s="12" t="str">
        <x:v>CORP-0761, CORP-0762</x:v>
      </x:c>
      <x:c r="Q2655" s="12" t="str">
        <x:v>Upstream Talent Management Services Private Limited</x:v>
      </x:c>
    </x:row>
    <x:row r="2656" ht="48" customHeight="1">
      <x:c r="A2656" s="2" t="str">
        <x:v>TEN-2CD243D0A3EB</x:v>
      </x:c>
      <x:c r="B2656" s="12" t="str">
        <x:v>urban Developers and Builders</x:v>
      </x:c>
      <x:c r="C2656" s="12" t="str">
        <x:v>Business / brand</x:v>
      </x:c>
      <x:c r="D2656" s="12" t="str">
        <x:v>Engineering &amp; manufacturing</x:v>
      </x:c>
      <x:c r="E2656" s="12" t="str">
        <x:v>Engineering/manufacturing — specialty unverified</x:v>
      </x:c>
      <x:c r="F2656" s="12" t="str">
        <x:v>Medium-scale prospects</x:v>
      </x:c>
      <x:c r="G2656" s="12" t="str">
        <x:v>Specialist industrial or engineering business; medium-scale prospect assumption.</x:v>
      </x:c>
      <x:c r="H2656" s="11" t="n">
        <x:v>1</x:v>
      </x:c>
      <x:c r="I2656" s="11" t="n">
        <x:v>2</x:v>
      </x:c>
      <x:c r="J2656" s="11" t="n">
        <x:v>2</x:v>
      </x:c>
      <x:c r="K2656" s="11" t="n">
        <x:v>0</x:v>
      </x:c>
      <x:c r="L2656" s="17" t="n">
        <x:f>SUM(SUMIFS('Costing'!$P$9:$P$492,'Costing'!$A$9:$A$492,"MAIN-137"))</x:f>
        <x:v>30000</x:v>
      </x:c>
      <x:c r="M2656" s="17" t="n">
        <x:f>ROUND(L2656*'Costing'!$C$4,2)</x:f>
        <x:v>5400</x:v>
      </x:c>
      <x:c r="N2656" s="17" t="n">
        <x:f>L2656+M2656</x:f>
        <x:v>35400</x:v>
      </x:c>
      <x:c r="O2656" s="12" t="str">
        <x:v>Bhubaneswar</x:v>
      </x:c>
      <x:c r="P2656" s="12" t="str">
        <x:v>CORP-0133</x:v>
      </x:c>
      <x:c r="Q2656" s="12" t="str">
        <x:v>urban Developers and Builders</x:v>
      </x:c>
    </x:row>
    <x:row r="2657" ht="48" customHeight="1">
      <x:c r="A2657" s="2" t="str">
        <x:v>TEN-75F5370EFA4D</x:v>
      </x:c>
      <x:c r="B2657" s="12" t="str">
        <x:v>Urban School</x:v>
      </x:c>
      <x:c r="C2657" s="12" t="str">
        <x:v>Business / brand</x:v>
      </x:c>
      <x:c r="D2657" s="12" t="str">
        <x:v>Education</x:v>
      </x:c>
      <x:c r="E2657" s="12" t="str">
        <x:v>Schools, childcare &amp; higher education</x:v>
      </x:c>
      <x:c r="F2657" s="12" t="str">
        <x:v>Small-scale prospects</x:v>
      </x:c>
      <x:c r="G2657" s="12" t="str">
        <x:v>Training or education-services business; small-scale prospect assumption.</x:v>
      </x:c>
      <x:c r="H2657" s="11" t="n">
        <x:v>1</x:v>
      </x:c>
      <x:c r="I2657" s="11" t="n">
        <x:v>4</x:v>
      </x:c>
      <x:c r="J2657" s="11" t="n">
        <x:v>4</x:v>
      </x:c>
      <x:c r="K2657" s="11" t="n">
        <x:v>0</x:v>
      </x:c>
      <x:c r="L2657" s="17" t="n">
        <x:f>SUM(SUMIFS('Costing'!$P$9:$P$492,'Costing'!$A$9:$A$492,"MAIN-265"))</x:f>
        <x:v>100000</x:v>
      </x:c>
      <x:c r="M2657" s="17" t="n">
        <x:f>ROUND(L2657*'Costing'!$C$4,2)</x:f>
        <x:v>18000</x:v>
      </x:c>
      <x:c r="N2657" s="17" t="n">
        <x:f>L2657+M2657</x:f>
        <x:v>118000</x:v>
      </x:c>
      <x:c r="O2657" s="12" t="str">
        <x:v>Hyderabad</x:v>
      </x:c>
      <x:c r="P2657" s="12" t="str">
        <x:v>CORP-0261</x:v>
      </x:c>
      <x:c r="Q2657" s="12" t="str">
        <x:v>Urban School</x:v>
      </x:c>
    </x:row>
    <x:row r="2658" ht="49" customHeight="1">
      <x:c r="A2658" s="2" t="str">
        <x:v>TEN-13258F6CB706</x:v>
      </x:c>
      <x:c r="B2658" s="12" t="str">
        <x:v>Urban Vault</x:v>
      </x:c>
      <x:c r="C2658" s="12" t="str">
        <x:v>Workspace operator</x:v>
      </x:c>
      <x:c r="D2658" s="12" t="str">
        <x:v>Workspace &amp; property operations</x:v>
      </x:c>
      <x:c r="E2658" s="12" t="str">
        <x:v>Coworking/workspace operator</x:v>
      </x:c>
      <x:c r="F2658" s="12" t="str">
        <x:v>Mixed business audience</x:v>
      </x:c>
      <x:c r="G2658" s="12" t="str">
        <x:v>Supplied entry is a shared-workspace operator; the business sizes of occupant companies cannot be derived from the operator name.</x:v>
      </x:c>
      <x:c r="H2658" s="11" t="n">
        <x:v>9</x:v>
      </x:c>
      <x:c r="I2658" s="11" t="n">
        <x:v>9</x:v>
      </x:c>
      <x:c r="J2658" s="11" t="n">
        <x:v>9</x:v>
      </x:c>
      <x:c r="K2658" s="11" t="n">
        <x:v>0</x:v>
      </x:c>
      <x:c r="L2658" s="17" t="n">
        <x:f>SUM(SUMIFS('Costing'!$P$9:$P$492,'Costing'!$A$9:$A$492,"MAIN-073"),SUMIFS('Costing'!$P$9:$P$492,'Costing'!$A$9:$A$492,"PARTNER-M100"))</x:f>
        <x:v>360000</x:v>
      </x:c>
      <x:c r="M2658" s="17" t="n">
        <x:f>ROUND(L2658*'Costing'!$C$4,2)</x:f>
        <x:v>64800</x:v>
      </x:c>
      <x:c r="N2658" s="17" t="n">
        <x:f>L2658+M2658</x:f>
        <x:v>424800</x:v>
      </x:c>
      <x:c r="O2658" s="12" t="str">
        <x:v>Bengaluru</x:v>
      </x:c>
      <x:c r="P2658" s="12" t="str">
        <x:v>CORP-0069, CORP-0518, CORP-0519, CORP-0520, CORP-0521, CORP-0522, CORP-0523, CORP-0524, CORP-0525</x:v>
      </x:c>
      <x:c r="Q2658" s="12" t="str">
        <x:v>Urban Vault</x:v>
      </x:c>
    </x:row>
    <x:row r="2659" ht="48" customHeight="1">
      <x:c r="A2659" s="2" t="str">
        <x:v>TEN-D4A1061B292B</x:v>
      </x:c>
      <x:c r="B2659" s="12" t="str">
        <x:v>UrbanPiper</x:v>
      </x:c>
      <x:c r="C2659" s="12" t="str">
        <x:v>Business / brand</x:v>
      </x:c>
      <x:c r="D2659" s="12" t="str">
        <x:v>IT &amp; digital</x:v>
      </x:c>
      <x:c r="E2659" s="12" t="str">
        <x:v>Enterprise software &amp; digital engineering</x:v>
      </x:c>
      <x:c r="F2659" s="12" t="str">
        <x:v>Small-scale prospects</x:v>
      </x:c>
      <x:c r="G2659" s="12" t="str">
        <x:v>Software or technology-services business; small-scale prospect assumption.</x:v>
      </x:c>
      <x:c r="H2659" s="11" t="n">
        <x:v>4</x:v>
      </x:c>
      <x:c r="I2659" s="11" t="n">
        <x:v>4</x:v>
      </x:c>
      <x:c r="J2659" s="11" t="n">
        <x:v>4</x:v>
      </x:c>
      <x:c r="K2659" s="11" t="n">
        <x:v>0</x:v>
      </x:c>
      <x:c r="L2659" s="17" t="n">
        <x:f>SUM(SUMIFS('Costing'!$P$9:$P$492,'Costing'!$A$9:$A$492,"PARTNER-M056"))</x:f>
        <x:v>160000</x:v>
      </x:c>
      <x:c r="M2659" s="17" t="n">
        <x:f>ROUND(L2659*'Costing'!$C$4,2)</x:f>
        <x:v>28800</x:v>
      </x:c>
      <x:c r="N2659" s="17" t="n">
        <x:f>L2659+M2659</x:f>
        <x:v>188800</x:v>
      </x:c>
      <x:c r="O2659" s="12" t="str">
        <x:v>Bengaluru</x:v>
      </x:c>
      <x:c r="P2659" s="12" t="str">
        <x:v>CORP-0474, CORP-0475, CORP-0476, CORP-0477</x:v>
      </x:c>
      <x:c r="Q2659" s="12" t="str">
        <x:v>UrbanPiper</x:v>
      </x:c>
    </x:row>
    <x:row r="2660" ht="48" customHeight="1">
      <x:c r="A2660" s="2" t="str">
        <x:v>TEN-C28DCC1AC830</x:v>
      </x:c>
      <x:c r="B2660" s="12" t="str">
        <x:v>urvo india symbyont smart spaces</x:v>
      </x:c>
      <x:c r="C2660" s="12" t="str">
        <x:v>Business / brand</x:v>
      </x:c>
      <x:c r="D2660" s="12" t="str">
        <x:v>Trade, consumer &amp; logistics</x:v>
      </x:c>
      <x:c r="E2660" s="12" t="str">
        <x:v>Retail, consumer products &amp; ecommerce</x:v>
      </x:c>
      <x:c r="F2660" s="12" t="str">
        <x:v>Small-scale prospects</x:v>
      </x:c>
      <x:c r="G2660" s="12" t="str">
        <x:v>Trading or consumer-services business; small-scale prospect assumption.</x:v>
      </x:c>
      <x:c r="H2660" s="11" t="n">
        <x:v>1</x:v>
      </x:c>
      <x:c r="I2660" s="11" t="n">
        <x:v>3</x:v>
      </x:c>
      <x:c r="J2660" s="11" t="n">
        <x:v>3</x:v>
      </x:c>
      <x:c r="K2660" s="11" t="n">
        <x:v>0</x:v>
      </x:c>
      <x:c r="L2660" s="17" t="n">
        <x:f>SUM(SUMIFS('Costing'!$P$9:$P$492,'Costing'!$A$9:$A$492,"MAIN-224"))</x:f>
        <x:v>45000</x:v>
      </x:c>
      <x:c r="M2660" s="17" t="n">
        <x:f>ROUND(L2660*'Costing'!$C$4,2)</x:f>
        <x:v>8100</x:v>
      </x:c>
      <x:c r="N2660" s="17" t="n">
        <x:f>L2660+M2660</x:f>
        <x:v>53100</x:v>
      </x:c>
      <x:c r="O2660" s="12" t="str">
        <x:v>Hyderabad</x:v>
      </x:c>
      <x:c r="P2660" s="12" t="str">
        <x:v>CORP-0220</x:v>
      </x:c>
      <x:c r="Q2660" s="12" t="str">
        <x:v>urvo india symbyont smart spaces</x:v>
      </x:c>
    </x:row>
    <x:row r="2661" ht="48" customHeight="1">
      <x:c r="A2661" s="2" t="str">
        <x:v>TEN-99E39EB751AE</x:v>
      </x:c>
      <x:c r="B2661" s="12" t="str">
        <x:v>US Technology</x:v>
      </x:c>
      <x:c r="C2661" s="12" t="str">
        <x:v>Business / brand</x:v>
      </x:c>
      <x:c r="D2661" s="12" t="str">
        <x:v>IT &amp; digital</x:v>
      </x:c>
      <x:c r="E2661" s="12" t="str">
        <x:v>Technology services — specialty unverified</x:v>
      </x:c>
      <x:c r="F2661" s="12" t="str">
        <x:v>Mixed business audience</x:v>
      </x:c>
      <x:c r="G2661" s="12" t="str">
        <x:v>Recognisable business context; company-scale evidence remains insufficient for a single size band.</x:v>
      </x:c>
      <x:c r="H2661" s="11" t="n">
        <x:v>9</x:v>
      </x:c>
      <x:c r="I2661" s="11" t="n">
        <x:v>9</x:v>
      </x:c>
      <x:c r="J2661" s="11" t="n">
        <x:v>9</x:v>
      </x:c>
      <x:c r="K2661" s="11" t="n">
        <x:v>0</x:v>
      </x:c>
      <x:c r="L2661" s="17" t="n">
        <x:f>SUM(SUMIFS('Costing'!$P$9:$P$492,'Costing'!$A$9:$A$492,"PARTNER-M002"))</x:f>
        <x:v>360000</x:v>
      </x:c>
      <x:c r="M2661" s="17" t="n">
        <x:f>ROUND(L2661*'Costing'!$C$4,2)</x:f>
        <x:v>64800</x:v>
      </x:c>
      <x:c r="N2661" s="17" t="n">
        <x:f>L2661+M2661</x:f>
        <x:v>424800</x:v>
      </x:c>
      <x:c r="O2661" s="12" t="str">
        <x:v>Bengaluru</x:v>
      </x:c>
      <x:c r="P2661" s="12" t="str">
        <x:v>CORP-0420, CORP-0421, CORP-0422, CORP-0423, CORP-0424, CORP-0425, CORP-0426, CORP-0427, CORP-0428</x:v>
      </x:c>
      <x:c r="Q2661" s="12" t="str">
        <x:v>US Technology</x:v>
      </x:c>
    </x:row>
    <x:row r="2662" ht="48" customHeight="1">
      <x:c r="A2662" s="2" t="str">
        <x:v>TEN-9CC857B15A66</x:v>
      </x:c>
      <x:c r="B2662" s="12" t="str">
        <x:v>USHA</x:v>
      </x:c>
      <x:c r="C2662" s="12" t="str">
        <x:v>Business / brand</x:v>
      </x:c>
      <x:c r="D2662" s="12" t="str">
        <x:v>Engineering &amp; manufacturing</x:v>
      </x:c>
      <x:c r="E2662" s="12" t="str">
        <x:v>Electronics, industrial systems &amp; manufacturing</x:v>
      </x:c>
      <x:c r="F2662" s="12" t="str">
        <x:v>Mixed business audience</x:v>
      </x:c>
      <x:c r="G2662" s="12" t="str">
        <x:v>Established brand or business network; local company scale is not established. Use a mixed-business message.</x:v>
      </x:c>
      <x:c r="H2662" s="11" t="n">
        <x:v>1</x:v>
      </x:c>
      <x:c r="I2662" s="11" t="n">
        <x:v>1</x:v>
      </x:c>
      <x:c r="J2662" s="11" t="n">
        <x:v>1</x:v>
      </x:c>
      <x:c r="K2662" s="11" t="n">
        <x:v>0</x:v>
      </x:c>
      <x:c r="L2662" s="17" t="n">
        <x:f>SUM(SUMIFS('Costing'!$P$9:$P$492,'Costing'!$A$9:$A$492,"MAIN-275"))</x:f>
        <x:v>40000</x:v>
      </x:c>
      <x:c r="M2662" s="17" t="n">
        <x:f>ROUND(L2662*'Costing'!$C$4,2)</x:f>
        <x:v>7200</x:v>
      </x:c>
      <x:c r="N2662" s="17" t="n">
        <x:f>L2662+M2662</x:f>
        <x:v>47200</x:v>
      </x:c>
      <x:c r="O2662" s="12" t="str">
        <x:v>Indore</x:v>
      </x:c>
      <x:c r="P2662" s="12" t="str">
        <x:v>CORP-0271</x:v>
      </x:c>
      <x:c r="Q2662" s="12" t="str">
        <x:v>USHA</x:v>
      </x:c>
    </x:row>
    <x:row r="2663" ht="48" customHeight="1">
      <x:c r="A2663" s="2" t="str">
        <x:v>TEN-B19C4E0394F9</x:v>
      </x:c>
      <x:c r="B2663" s="12" t="str">
        <x:v>UXDLAB Software</x:v>
      </x:c>
      <x:c r="C2663" s="12" t="str">
        <x:v>Business / brand</x:v>
      </x:c>
      <x:c r="D2663" s="12" t="str">
        <x:v>IT &amp; digital</x:v>
      </x:c>
      <x:c r="E2663" s="12" t="str">
        <x:v>Enterprise software &amp; digital engineering</x:v>
      </x:c>
      <x:c r="F2663" s="12" t="str">
        <x:v>Small-scale prospects</x:v>
      </x:c>
      <x:c r="G2663" s="12" t="str">
        <x:v>Software or technology-services business; small-scale prospect assumption.</x:v>
      </x:c>
      <x:c r="H2663" s="11" t="n">
        <x:v>1</x:v>
      </x:c>
      <x:c r="I2663" s="11" t="n">
        <x:v>2</x:v>
      </x:c>
      <x:c r="J2663" s="11" t="n">
        <x:v>2</x:v>
      </x:c>
      <x:c r="K2663" s="11" t="n">
        <x:v>0</x:v>
      </x:c>
      <x:c r="L2663" s="17" t="n">
        <x:f>SUM(SUMIFS('Costing'!$P$9:$P$492,'Costing'!$A$9:$A$492,"MAIN-367"))</x:f>
        <x:v>30000</x:v>
      </x:c>
      <x:c r="M2663" s="17" t="n">
        <x:f>ROUND(L2663*'Costing'!$C$4,2)</x:f>
        <x:v>5400</x:v>
      </x:c>
      <x:c r="N2663" s="17" t="n">
        <x:f>L2663+M2663</x:f>
        <x:v>35400</x:v>
      </x:c>
      <x:c r="O2663" s="12" t="str">
        <x:v>Delhi NCR</x:v>
      </x:c>
      <x:c r="P2663" s="12" t="str">
        <x:v>CORP-0363</x:v>
      </x:c>
      <x:c r="Q2663" s="12" t="str">
        <x:v>UXDLAB Software</x:v>
      </x:c>
    </x:row>
    <x:row r="2664" ht="48" customHeight="1">
      <x:c r="A2664" s="2" t="str">
        <x:v>TEN-BFE647B51B50</x:v>
      </x:c>
      <x:c r="B2664" s="12" t="str">
        <x:v>V4U</x:v>
      </x:c>
      <x:c r="C2664" s="12" t="str">
        <x:v>Business / brand</x:v>
      </x:c>
      <x:c r="D2664" s="12" t="str">
        <x:v>Unresolved</x:v>
      </x:c>
      <x:c r="E2664" s="12" t="str">
        <x:v>Business activity not established</x:v>
      </x:c>
      <x:c r="F2664" s="12" t="str">
        <x:v>Mixed business audience</x:v>
      </x:c>
      <x:c r="G2664" s="12" t="str">
        <x:v>Business activity and company scale are not established from this name.</x:v>
      </x:c>
      <x:c r="H2664" s="11" t="n">
        <x:v>9</x:v>
      </x:c>
      <x:c r="I2664" s="11" t="n">
        <x:v>9</x:v>
      </x:c>
      <x:c r="J2664" s="11" t="n">
        <x:v>9</x:v>
      </x:c>
      <x:c r="K2664" s="11" t="n">
        <x:v>0</x:v>
      </x:c>
      <x:c r="L2664" s="17" t="n">
        <x:f>SUM(SUMIFS('Costing'!$P$9:$P$492,'Costing'!$A$9:$A$492,"PARTNER-M002"))</x:f>
        <x:v>360000</x:v>
      </x:c>
      <x:c r="M2664" s="17" t="n">
        <x:f>ROUND(L2664*'Costing'!$C$4,2)</x:f>
        <x:v>64800</x:v>
      </x:c>
      <x:c r="N2664" s="17" t="n">
        <x:f>L2664+M2664</x:f>
        <x:v>424800</x:v>
      </x:c>
      <x:c r="O2664" s="12" t="str">
        <x:v>Bengaluru</x:v>
      </x:c>
      <x:c r="P2664" s="12" t="str">
        <x:v>CORP-0420, CORP-0421, CORP-0422, CORP-0423, CORP-0424, CORP-0425, CORP-0426, CORP-0427, CORP-0428</x:v>
      </x:c>
      <x:c r="Q2664" s="12" t="str">
        <x:v>V4U</x:v>
      </x:c>
    </x:row>
    <x:row r="2665" ht="48" customHeight="1">
      <x:c r="A2665" s="2" t="str">
        <x:v>TEN-B51153A92AF3</x:v>
      </x:c>
      <x:c r="B2665" s="12" t="str">
        <x:v>Vaco Binary Semantics</x:v>
      </x:c>
      <x:c r="C2665" s="12" t="str">
        <x:v>Business / brand</x:v>
      </x:c>
      <x:c r="D2665" s="12" t="str">
        <x:v>IT &amp; digital</x:v>
      </x:c>
      <x:c r="E2665" s="12" t="str">
        <x:v>Enterprise software &amp; digital engineering</x:v>
      </x:c>
      <x:c r="F2665" s="12" t="str">
        <x:v>Mixed business audience</x:v>
      </x:c>
      <x:c r="G2665" s="12" t="str">
        <x:v>Established brand or business network; local company scale is not established. Use a mixed-business message.</x:v>
      </x:c>
      <x:c r="H2665" s="11" t="n">
        <x:v>6</x:v>
      </x:c>
      <x:c r="I2665" s="11" t="n">
        <x:v>6</x:v>
      </x:c>
      <x:c r="J2665" s="11" t="n">
        <x:v>6</x:v>
      </x:c>
      <x:c r="K2665" s="11" t="n">
        <x:v>0</x:v>
      </x:c>
      <x:c r="L2665" s="17" t="n">
        <x:f>SUM(SUMIFS('Costing'!$P$9:$P$492,'Costing'!$A$9:$A$492,"PARTNER-M289"))</x:f>
        <x:v>240000</x:v>
      </x:c>
      <x:c r="M2665" s="17" t="n">
        <x:f>ROUND(L2665*'Costing'!$C$4,2)</x:f>
        <x:v>43200</x:v>
      </x:c>
      <x:c r="N2665" s="17" t="n">
        <x:f>L2665+M2665</x:f>
        <x:v>283200</x:v>
      </x:c>
      <x:c r="O2665" s="12" t="str">
        <x:v>Hyderabad</x:v>
      </x:c>
      <x:c r="P2665" s="12" t="str">
        <x:v>CORP-0704, CORP-0705, CORP-0706, CORP-0707, CORP-0708, CORP-0709</x:v>
      </x:c>
      <x:c r="Q2665" s="12" t="str">
        <x:v>Vaco Binary Semantics</x:v>
      </x:c>
    </x:row>
    <x:row r="2666" ht="48" customHeight="1">
      <x:c r="A2666" s="2" t="str">
        <x:v>TEN-6E06B8D9E2A3</x:v>
      </x:c>
      <x:c r="B2666" s="12" t="str">
        <x:v>Vakarangee</x:v>
      </x:c>
      <x:c r="C2666" s="12" t="str">
        <x:v>Business / brand</x:v>
      </x:c>
      <x:c r="D2666" s="12" t="str">
        <x:v>Unresolved</x:v>
      </x:c>
      <x:c r="E2666" s="12" t="str">
        <x:v>Business activity not established</x:v>
      </x:c>
      <x:c r="F2666" s="12" t="str">
        <x:v>Mixed business audience</x:v>
      </x:c>
      <x:c r="G2666" s="12" t="str">
        <x:v>Business activity and company scale are not established from this name.</x:v>
      </x:c>
      <x:c r="H2666" s="11" t="n">
        <x:v>1</x:v>
      </x:c>
      <x:c r="I2666" s="11" t="n">
        <x:v>2</x:v>
      </x:c>
      <x:c r="J2666" s="11" t="n">
        <x:v>2</x:v>
      </x:c>
      <x:c r="K2666" s="11" t="n">
        <x:v>0</x:v>
      </x:c>
      <x:c r="L2666" s="17" t="n">
        <x:f>SUM(SUMIFS('Costing'!$P$9:$P$492,'Costing'!$A$9:$A$492,"MAIN-271"))</x:f>
        <x:v>40000</x:v>
      </x:c>
      <x:c r="M2666" s="17" t="n">
        <x:f>ROUND(L2666*'Costing'!$C$4,2)</x:f>
        <x:v>7200</x:v>
      </x:c>
      <x:c r="N2666" s="17" t="n">
        <x:f>L2666+M2666</x:f>
        <x:v>47200</x:v>
      </x:c>
      <x:c r="O2666" s="12" t="str">
        <x:v>Indore</x:v>
      </x:c>
      <x:c r="P2666" s="12" t="str">
        <x:v>CORP-0267</x:v>
      </x:c>
      <x:c r="Q2666" s="12" t="str">
        <x:v>Vakarangee</x:v>
      </x:c>
    </x:row>
    <x:row r="2667" ht="48" customHeight="1">
      <x:c r="A2667" s="2" t="str">
        <x:v>TEN-8C1ED08A337E</x:v>
      </x:c>
      <x:c r="B2667" s="12" t="str">
        <x:v>Vakilsearch</x:v>
      </x:c>
      <x:c r="C2667" s="12" t="str">
        <x:v>Business / brand</x:v>
      </x:c>
      <x:c r="D2667" s="12" t="str">
        <x:v>IT &amp; digital</x:v>
      </x:c>
      <x:c r="E2667" s="12" t="str">
        <x:v>Enterprise software &amp; digital engineering</x:v>
      </x:c>
      <x:c r="F2667" s="12" t="str">
        <x:v>Small-scale prospects</x:v>
      </x:c>
      <x:c r="G2667" s="12" t="str">
        <x:v>Software or technology-services business; small-scale prospect assumption.</x:v>
      </x:c>
      <x:c r="H2667" s="11" t="n">
        <x:v>3</x:v>
      </x:c>
      <x:c r="I2667" s="11" t="n">
        <x:v>3</x:v>
      </x:c>
      <x:c r="J2667" s="11" t="n">
        <x:v>3</x:v>
      </x:c>
      <x:c r="K2667" s="11" t="n">
        <x:v>0</x:v>
      </x:c>
      <x:c r="L2667" s="17" t="n">
        <x:f>SUM(SUMIFS('Costing'!$P$9:$P$492,'Costing'!$A$9:$A$492,"PARTNER-M349"),SUMIFS('Costing'!$P$9:$P$492,'Costing'!$A$9:$A$492,"PARTNER-M350"))</x:f>
        <x:v>120000</x:v>
      </x:c>
      <x:c r="M2667" s="17" t="n">
        <x:f>ROUND(L2667*'Costing'!$C$4,2)</x:f>
        <x:v>21600</x:v>
      </x:c>
      <x:c r="N2667" s="17" t="n">
        <x:f>L2667+M2667</x:f>
        <x:v>141600</x:v>
      </x:c>
      <x:c r="O2667" s="12" t="str">
        <x:v>Chennai</x:v>
      </x:c>
      <x:c r="P2667" s="12" t="str">
        <x:v>CORP-0763, CORP-0764, CORP-0765</x:v>
      </x:c>
      <x:c r="Q2667" s="12" t="str">
        <x:v>Vakilsearch</x:v>
      </x:c>
    </x:row>
    <x:row r="2668" ht="48" customHeight="1">
      <x:c r="A2668" s="2" t="str">
        <x:v>TEN-57D421286AA8</x:v>
      </x:c>
      <x:c r="B2668" s="12" t="str">
        <x:v>Valar Digital</x:v>
      </x:c>
      <x:c r="C2668" s="12" t="str">
        <x:v>Business / brand</x:v>
      </x:c>
      <x:c r="D2668" s="12" t="str">
        <x:v>IT &amp; digital</x:v>
      </x:c>
      <x:c r="E2668" s="12" t="str">
        <x:v>Enterprise software &amp; digital engineering</x:v>
      </x:c>
      <x:c r="F2668" s="12" t="str">
        <x:v>Small-scale prospects</x:v>
      </x:c>
      <x:c r="G2668" s="12" t="str">
        <x:v>Software or technology-services business; small-scale prospect assumption.</x:v>
      </x:c>
      <x:c r="H2668" s="11" t="n">
        <x:v>5</x:v>
      </x:c>
      <x:c r="I2668" s="11" t="n">
        <x:v>5</x:v>
      </x:c>
      <x:c r="J2668" s="11" t="n">
        <x:v>5</x:v>
      </x:c>
      <x:c r="K2668" s="11" t="n">
        <x:v>0</x:v>
      </x:c>
      <x:c r="L2668" s="17" t="n">
        <x:f>SUM(SUMIFS('Costing'!$P$9:$P$492,'Costing'!$A$9:$A$492,"PARTNER-M277"))</x:f>
        <x:v>200000</x:v>
      </x:c>
      <x:c r="M2668" s="17" t="n">
        <x:f>ROUND(L2668*'Costing'!$C$4,2)</x:f>
        <x:v>36000</x:v>
      </x:c>
      <x:c r="N2668" s="17" t="n">
        <x:f>L2668+M2668</x:f>
        <x:v>236000</x:v>
      </x:c>
      <x:c r="O2668" s="12" t="str">
        <x:v>Pune</x:v>
      </x:c>
      <x:c r="P2668" s="12" t="str">
        <x:v>CORP-0693, CORP-0694, CORP-0695, CORP-0696, CORP-0697</x:v>
      </x:c>
      <x:c r="Q2668" s="12" t="str">
        <x:v>Valar Digital</x:v>
      </x:c>
    </x:row>
    <x:row r="2669" ht="48" customHeight="1">
      <x:c r="A2669" s="2" t="str">
        <x:v>TEN-B5671F0D45A2</x:v>
      </x:c>
      <x:c r="B2669" s="12" t="str">
        <x:v>Value Loans</x:v>
      </x:c>
      <x:c r="C2669" s="12" t="str">
        <x:v>Business / brand</x:v>
      </x:c>
      <x:c r="D2669" s="12" t="str">
        <x:v>Finance &amp; insurance</x:v>
      </x:c>
      <x:c r="E2669" s="12" t="str">
        <x:v>Banking &amp; credit</x:v>
      </x:c>
      <x:c r="F2669" s="12" t="str">
        <x:v>Medium-scale prospects</x:v>
      </x:c>
      <x:c r="G2669" s="12" t="str">
        <x:v>Specialist financial-services business; medium-scale prospect assumption.</x:v>
      </x:c>
      <x:c r="H2669" s="11" t="n">
        <x:v>10</x:v>
      </x:c>
      <x:c r="I2669" s="11" t="n">
        <x:v>10</x:v>
      </x:c>
      <x:c r="J2669" s="11" t="n">
        <x:v>10</x:v>
      </x:c>
      <x:c r="K2669" s="11" t="n">
        <x:v>0</x:v>
      </x:c>
      <x:c r="L2669" s="17" t="n">
        <x:f>SUM(SUMIFS('Costing'!$P$9:$P$492,'Costing'!$A$9:$A$492,"PARTNER-M205"))</x:f>
        <x:v>400000</x:v>
      </x:c>
      <x:c r="M2669" s="17" t="n">
        <x:f>ROUND(L2669*'Costing'!$C$4,2)</x:f>
        <x:v>72000</x:v>
      </x:c>
      <x:c r="N2669" s="17" t="n">
        <x:f>L2669+M2669</x:f>
        <x:v>472000</x:v>
      </x:c>
      <x:c r="O2669" s="12" t="str">
        <x:v>Mumbai</x:v>
      </x:c>
      <x:c r="P2669" s="12" t="str">
        <x:v>CORP-0622, CORP-0623, CORP-0624, CORP-0625, CORP-0626, CORP-0627, CORP-0628, CORP-0629, CORP-0630, CORP-0631</x:v>
      </x:c>
      <x:c r="Q2669" s="12" t="str">
        <x:v>Value Loans</x:v>
      </x:c>
    </x:row>
    <x:row r="2670" ht="48" customHeight="1">
      <x:c r="A2670" s="2" t="str">
        <x:v>TEN-AEB35762B6A7</x:v>
      </x:c>
      <x:c r="B2670" s="12" t="str">
        <x:v>Valuesoft Info Services</x:v>
      </x:c>
      <x:c r="C2670" s="12" t="str">
        <x:v>Business / brand</x:v>
      </x:c>
      <x:c r="D2670" s="12" t="str">
        <x:v>Unresolved</x:v>
      </x:c>
      <x:c r="E2670" s="12" t="str">
        <x:v>Business activity not established</x:v>
      </x:c>
      <x:c r="F2670" s="12" t="str">
        <x:v>Mixed business audience</x:v>
      </x:c>
      <x:c r="G2670" s="12" t="str">
        <x:v>Business activity and company scale are not established from this name.</x:v>
      </x:c>
      <x:c r="H2670" s="11" t="n">
        <x:v>1</x:v>
      </x:c>
      <x:c r="I2670" s="11" t="n">
        <x:v>8</x:v>
      </x:c>
      <x:c r="J2670" s="11" t="n">
        <x:v>8</x:v>
      </x:c>
      <x:c r="K2670" s="11" t="n">
        <x:v>0</x:v>
      </x:c>
      <x:c r="L2670" s="17" t="n">
        <x:f>SUM(SUMIFS('Costing'!$P$9:$P$492,'Costing'!$A$9:$A$492,"MAIN-059"))</x:f>
        <x:v>120000</x:v>
      </x:c>
      <x:c r="M2670" s="17" t="n">
        <x:f>ROUND(L2670*'Costing'!$C$4,2)</x:f>
        <x:v>21600</x:v>
      </x:c>
      <x:c r="N2670" s="17" t="n">
        <x:f>L2670+M2670</x:f>
        <x:v>141600</x:v>
      </x:c>
      <x:c r="O2670" s="12" t="str">
        <x:v>Bengaluru</x:v>
      </x:c>
      <x:c r="P2670" s="12" t="str">
        <x:v>CORP-0055</x:v>
      </x:c>
      <x:c r="Q2670" s="12" t="str">
        <x:v>Valuesoft Info Services, Valuesoft Ibfo Services</x:v>
      </x:c>
    </x:row>
    <x:row r="2671" ht="48" customHeight="1">
      <x:c r="A2671" s="2" t="str">
        <x:v>TEN-C6A6BD76D408</x:v>
      </x:c>
      <x:c r="B2671" s="12" t="str">
        <x:v>Van Heusen</x:v>
      </x:c>
      <x:c r="C2671" s="12" t="str">
        <x:v>Business / brand</x:v>
      </x:c>
      <x:c r="D2671" s="12" t="str">
        <x:v>Trade, consumer &amp; logistics</x:v>
      </x:c>
      <x:c r="E2671" s="12" t="str">
        <x:v>Consumer/trade services — specialty unverified</x:v>
      </x:c>
      <x:c r="F2671" s="12" t="str">
        <x:v>Mixed business audience</x:v>
      </x:c>
      <x:c r="G2671" s="12" t="str">
        <x:v>Recognisable business context; company-scale evidence remains insufficient for a single size band.</x:v>
      </x:c>
      <x:c r="H2671" s="11" t="n">
        <x:v>1</x:v>
      </x:c>
      <x:c r="I2671" s="11" t="n">
        <x:v>1</x:v>
      </x:c>
      <x:c r="J2671" s="11" t="n">
        <x:v>1</x:v>
      </x:c>
      <x:c r="K2671" s="11" t="n">
        <x:v>0</x:v>
      </x:c>
      <x:c r="L2671" s="17" t="n">
        <x:f>SUM(SUMIFS('Costing'!$P$9:$P$492,'Costing'!$A$9:$A$492,"MAIN-269"))</x:f>
        <x:v>40000</x:v>
      </x:c>
      <x:c r="M2671" s="17" t="n">
        <x:f>ROUND(L2671*'Costing'!$C$4,2)</x:f>
        <x:v>7200</x:v>
      </x:c>
      <x:c r="N2671" s="17" t="n">
        <x:f>L2671+M2671</x:f>
        <x:v>47200</x:v>
      </x:c>
      <x:c r="O2671" s="12" t="str">
        <x:v>Indore</x:v>
      </x:c>
      <x:c r="P2671" s="12" t="str">
        <x:v>CORP-0265</x:v>
      </x:c>
      <x:c r="Q2671" s="12" t="str">
        <x:v>Van Heusen</x:v>
      </x:c>
    </x:row>
    <x:row r="2672" ht="48" customHeight="1">
      <x:c r="A2672" s="2" t="str">
        <x:v>TEN-7EEAA5C48638</x:v>
      </x:c>
      <x:c r="B2672" s="12" t="str">
        <x:v>Van lavino</x:v>
      </x:c>
      <x:c r="C2672" s="12" t="str">
        <x:v>Business / brand</x:v>
      </x:c>
      <x:c r="D2672" s="12" t="str">
        <x:v>Trade, consumer &amp; logistics</x:v>
      </x:c>
      <x:c r="E2672" s="12" t="str">
        <x:v>Travel, hospitality, food &amp; beverages</x:v>
      </x:c>
      <x:c r="F2672" s="12" t="str">
        <x:v>Small-scale prospects</x:v>
      </x:c>
      <x:c r="G2672" s="12" t="str">
        <x:v>Trading or consumer-services business; small-scale prospect assumption.</x:v>
      </x:c>
      <x:c r="H2672" s="11" t="n">
        <x:v>1</x:v>
      </x:c>
      <x:c r="I2672" s="11" t="n">
        <x:v>2</x:v>
      </x:c>
      <x:c r="J2672" s="11" t="n">
        <x:v>2</x:v>
      </x:c>
      <x:c r="K2672" s="11" t="n">
        <x:v>0</x:v>
      </x:c>
      <x:c r="L2672" s="17" t="n">
        <x:f>SUM(SUMIFS('Costing'!$P$9:$P$492,'Costing'!$A$9:$A$492,"MAIN-220"))</x:f>
        <x:v>30000</x:v>
      </x:c>
      <x:c r="M2672" s="17" t="n">
        <x:f>ROUND(L2672*'Costing'!$C$4,2)</x:f>
        <x:v>5400</x:v>
      </x:c>
      <x:c r="N2672" s="17" t="n">
        <x:f>L2672+M2672</x:f>
        <x:v>35400</x:v>
      </x:c>
      <x:c r="O2672" s="12" t="str">
        <x:v>Hyderabad</x:v>
      </x:c>
      <x:c r="P2672" s="12" t="str">
        <x:v>CORP-0216</x:v>
      </x:c>
      <x:c r="Q2672" s="12" t="str">
        <x:v>Van lavino</x:v>
      </x:c>
    </x:row>
    <x:row r="2673" ht="48" customHeight="1">
      <x:c r="A2673" s="2" t="str">
        <x:v>TEN-C7CD4D8C8E32</x:v>
      </x:c>
      <x:c r="B2673" s="12" t="str">
        <x:v>Varian</x:v>
      </x:c>
      <x:c r="C2673" s="12" t="str">
        <x:v>Business / brand</x:v>
      </x:c>
      <x:c r="D2673" s="12" t="str">
        <x:v>Healthcare &amp; life sciences</x:v>
      </x:c>
      <x:c r="E2673" s="12" t="str">
        <x:v>Clinical, pharmaceutical &amp; health services</x:v>
      </x:c>
      <x:c r="F2673" s="12" t="str">
        <x:v>Mixed business audience</x:v>
      </x:c>
      <x:c r="G2673" s="12" t="str">
        <x:v>Established brand or business network; local company scale is not established. Use a mixed-business message.</x:v>
      </x:c>
      <x:c r="H2673" s="11" t="n">
        <x:v>9</x:v>
      </x:c>
      <x:c r="I2673" s="11" t="n">
        <x:v>9</x:v>
      </x:c>
      <x:c r="J2673" s="11" t="n">
        <x:v>9</x:v>
      </x:c>
      <x:c r="K2673" s="11" t="n">
        <x:v>0</x:v>
      </x:c>
      <x:c r="L2673" s="17" t="n">
        <x:f>SUM(SUMIFS('Costing'!$P$9:$P$492,'Costing'!$A$9:$A$492,"PARTNER-M252"))</x:f>
        <x:v>360000</x:v>
      </x:c>
      <x:c r="M2673" s="17" t="n">
        <x:f>ROUND(L2673*'Costing'!$C$4,2)</x:f>
        <x:v>64800</x:v>
      </x:c>
      <x:c r="N2673" s="17" t="n">
        <x:f>L2673+M2673</x:f>
        <x:v>424800</x:v>
      </x:c>
      <x:c r="O2673" s="12" t="str">
        <x:v>Pune</x:v>
      </x:c>
      <x:c r="P2673" s="12" t="str">
        <x:v>CORP-0668, CORP-0669, CORP-0670, CORP-0671, CORP-0672, CORP-0673, CORP-0674, CORP-0675, CORP-0676</x:v>
      </x:c>
      <x:c r="Q2673" s="12" t="str">
        <x:v>Varian</x:v>
      </x:c>
    </x:row>
    <x:row r="2674" ht="48" customHeight="1">
      <x:c r="A2674" s="2" t="str">
        <x:v>TEN-A761DC481A8A</x:v>
      </x:c>
      <x:c r="B2674" s="12" t="str">
        <x:v>Vassco Furniture &amp; Home Decors Private Limited</x:v>
      </x:c>
      <x:c r="C2674" s="12" t="str">
        <x:v>Business / brand</x:v>
      </x:c>
      <x:c r="D2674" s="12" t="str">
        <x:v>Trade, consumer &amp; logistics</x:v>
      </x:c>
      <x:c r="E2674" s="12" t="str">
        <x:v>Retail, consumer products &amp; ecommerce</x:v>
      </x:c>
      <x:c r="F2674" s="12" t="str">
        <x:v>Small-scale prospects</x:v>
      </x:c>
      <x:c r="G2674" s="12" t="str">
        <x:v>Trading or consumer-services business; small-scale prospect assumption.</x:v>
      </x:c>
      <x:c r="H2674" s="11" t="n">
        <x:v>4</x:v>
      </x:c>
      <x:c r="I2674" s="11" t="n">
        <x:v>4</x:v>
      </x:c>
      <x:c r="J2674" s="11" t="n">
        <x:v>4</x:v>
      </x:c>
      <x:c r="K2674" s="11" t="n">
        <x:v>0</x:v>
      </x:c>
      <x:c r="L2674" s="17" t="n">
        <x:f>SUM(SUMIFS('Costing'!$P$9:$P$492,'Costing'!$A$9:$A$492,"PARTNER-M056"))</x:f>
        <x:v>160000</x:v>
      </x:c>
      <x:c r="M2674" s="17" t="n">
        <x:f>ROUND(L2674*'Costing'!$C$4,2)</x:f>
        <x:v>28800</x:v>
      </x:c>
      <x:c r="N2674" s="17" t="n">
        <x:f>L2674+M2674</x:f>
        <x:v>188800</x:v>
      </x:c>
      <x:c r="O2674" s="12" t="str">
        <x:v>Bengaluru</x:v>
      </x:c>
      <x:c r="P2674" s="12" t="str">
        <x:v>CORP-0474, CORP-0475, CORP-0476, CORP-0477</x:v>
      </x:c>
      <x:c r="Q2674" s="12" t="str">
        <x:v>Vassco Furniture &amp; Home Decors Private Limited</x:v>
      </x:c>
    </x:row>
    <x:row r="2675" ht="48" customHeight="1">
      <x:c r="A2675" s="2" t="str">
        <x:v>TEN-375E37AB8AEE</x:v>
      </x:c>
      <x:c r="B2675" s="12" t="str">
        <x:v>VAssist Services Pvt. Ltd</x:v>
      </x:c>
      <x:c r="C2675" s="12" t="str">
        <x:v>Business / brand</x:v>
      </x:c>
      <x:c r="D2675" s="12" t="str">
        <x:v>Unresolved</x:v>
      </x:c>
      <x:c r="E2675" s="12" t="str">
        <x:v>Business activity not established</x:v>
      </x:c>
      <x:c r="F2675" s="12" t="str">
        <x:v>Mixed business audience</x:v>
      </x:c>
      <x:c r="G2675" s="12" t="str">
        <x:v>Business activity and company scale are not established from this name.</x:v>
      </x:c>
      <x:c r="H2675" s="11" t="n">
        <x:v>4</x:v>
      </x:c>
      <x:c r="I2675" s="11" t="n">
        <x:v>4</x:v>
      </x:c>
      <x:c r="J2675" s="11" t="n">
        <x:v>4</x:v>
      </x:c>
      <x:c r="K2675" s="11" t="n">
        <x:v>0</x:v>
      </x:c>
      <x:c r="L2675" s="17" t="n">
        <x:f>SUM(SUMIFS('Costing'!$P$9:$P$492,'Costing'!$A$9:$A$492,"PARTNER-M188"))</x:f>
        <x:v>160000</x:v>
      </x:c>
      <x:c r="M2675" s="17" t="n">
        <x:f>ROUND(L2675*'Costing'!$C$4,2)</x:f>
        <x:v>28800</x:v>
      </x:c>
      <x:c r="N2675" s="17" t="n">
        <x:f>L2675+M2675</x:f>
        <x:v>188800</x:v>
      </x:c>
      <x:c r="O2675" s="12" t="str">
        <x:v>Mumbai</x:v>
      </x:c>
      <x:c r="P2675" s="12" t="str">
        <x:v>CORP-0605, CORP-0606, CORP-0607, CORP-0608</x:v>
      </x:c>
      <x:c r="Q2675" s="12" t="str">
        <x:v>VAssist Services Pvt. Ltd</x:v>
      </x:c>
    </x:row>
    <x:row r="2676" ht="48" customHeight="1">
      <x:c r="A2676" s="2" t="str">
        <x:v>TEN-28ACA2C7A273</x:v>
      </x:c>
      <x:c r="B2676" s="12" t="str">
        <x:v>VastuGenesis Architects</x:v>
      </x:c>
      <x:c r="C2676" s="12" t="str">
        <x:v>Business / brand</x:v>
      </x:c>
      <x:c r="D2676" s="12" t="str">
        <x:v>Professional services</x:v>
      </x:c>
      <x:c r="E2676" s="12" t="str">
        <x:v>Architecture, interiors &amp; design</x:v>
      </x:c>
      <x:c r="F2676" s="12" t="str">
        <x:v>Small-scale prospects</x:v>
      </x:c>
      <x:c r="G2676" s="12" t="str">
        <x:v>Professional service, agency or advisory model; small-scale prospect assumption.</x:v>
      </x:c>
      <x:c r="H2676" s="11" t="n">
        <x:v>1</x:v>
      </x:c>
      <x:c r="I2676" s="11" t="n">
        <x:v>1</x:v>
      </x:c>
      <x:c r="J2676" s="11" t="n">
        <x:v>1</x:v>
      </x:c>
      <x:c r="K2676" s="11" t="n">
        <x:v>0</x:v>
      </x:c>
      <x:c r="L2676" s="17" t="n">
        <x:f>SUM(SUMIFS('Costing'!$P$9:$P$492,'Costing'!$A$9:$A$492,"MAIN-290"))</x:f>
        <x:v>40000</x:v>
      </x:c>
      <x:c r="M2676" s="17" t="n">
        <x:f>ROUND(L2676*'Costing'!$C$4,2)</x:f>
        <x:v>7200</x:v>
      </x:c>
      <x:c r="N2676" s="17" t="n">
        <x:f>L2676+M2676</x:f>
        <x:v>47200</x:v>
      </x:c>
      <x:c r="O2676" s="12" t="str">
        <x:v>Lucknow</x:v>
      </x:c>
      <x:c r="P2676" s="12" t="str">
        <x:v>CORP-0286</x:v>
      </x:c>
      <x:c r="Q2676" s="12" t="str">
        <x:v>VastuGenesis Architects</x:v>
      </x:c>
    </x:row>
    <x:row r="2677" ht="48" customHeight="1">
      <x:c r="A2677" s="2" t="str">
        <x:v>TEN-2E0E4384184D</x:v>
      </x:c>
      <x:c r="B2677" s="12" t="str">
        <x:v>Vatika</x:v>
      </x:c>
      <x:c r="C2677" s="12" t="str">
        <x:v>Business / brand</x:v>
      </x:c>
      <x:c r="D2677" s="12" t="str">
        <x:v>Trade, consumer &amp; logistics</x:v>
      </x:c>
      <x:c r="E2677" s="12" t="str">
        <x:v>Real estate, property &amp; construction services</x:v>
      </x:c>
      <x:c r="F2677" s="12" t="str">
        <x:v>Mixed business audience</x:v>
      </x:c>
      <x:c r="G2677" s="12" t="str">
        <x:v>Established brand or business network; local company scale is not established. Use a mixed-business message.</x:v>
      </x:c>
      <x:c r="H2677" s="11" t="n">
        <x:v>2</x:v>
      </x:c>
      <x:c r="I2677" s="11" t="n">
        <x:v>2</x:v>
      </x:c>
      <x:c r="J2677" s="11" t="n">
        <x:v>2</x:v>
      </x:c>
      <x:c r="K2677" s="11" t="n">
        <x:v>0</x:v>
      </x:c>
      <x:c r="L2677" s="17" t="n">
        <x:f>SUM(SUMIFS('Costing'!$P$9:$P$492,'Costing'!$A$9:$A$492,"PARTNER-M332"))</x:f>
        <x:v>80000</x:v>
      </x:c>
      <x:c r="M2677" s="17" t="n">
        <x:f>ROUND(L2677*'Costing'!$C$4,2)</x:f>
        <x:v>14400</x:v>
      </x:c>
      <x:c r="N2677" s="17" t="n">
        <x:f>L2677+M2677</x:f>
        <x:v>94400</x:v>
      </x:c>
      <x:c r="O2677" s="12" t="str">
        <x:v>Chennai</x:v>
      </x:c>
      <x:c r="P2677" s="12" t="str">
        <x:v>CORP-0746, CORP-0747</x:v>
      </x:c>
      <x:c r="Q2677" s="12" t="str">
        <x:v>Vatika</x:v>
      </x:c>
    </x:row>
    <x:row r="2678" ht="48" customHeight="1">
      <x:c r="A2678" s="2" t="str">
        <x:v>TEN-9843CE209EFD</x:v>
      </x:c>
      <x:c r="B2678" s="12" t="str">
        <x:v>Vayu Realty</x:v>
      </x:c>
      <x:c r="C2678" s="12" t="str">
        <x:v>Business / brand</x:v>
      </x:c>
      <x:c r="D2678" s="12" t="str">
        <x:v>Trade, consumer &amp; logistics</x:v>
      </x:c>
      <x:c r="E2678" s="12" t="str">
        <x:v>Real estate, property &amp; construction services</x:v>
      </x:c>
      <x:c r="F2678" s="12" t="str">
        <x:v>Small-scale prospects</x:v>
      </x:c>
      <x:c r="G2678" s="12" t="str">
        <x:v>Trading or consumer-services business; small-scale prospect assumption.</x:v>
      </x:c>
      <x:c r="H2678" s="11" t="n">
        <x:v>1</x:v>
      </x:c>
      <x:c r="I2678" s="11" t="n">
        <x:v>1</x:v>
      </x:c>
      <x:c r="J2678" s="11" t="n">
        <x:v>1</x:v>
      </x:c>
      <x:c r="K2678" s="11" t="n">
        <x:v>0</x:v>
      </x:c>
      <x:c r="L2678" s="17" t="n">
        <x:f>SUM(SUMIFS('Costing'!$P$9:$P$492,'Costing'!$A$9:$A$492,"MAIN-333"))</x:f>
        <x:v>15000</x:v>
      </x:c>
      <x:c r="M2678" s="17" t="n">
        <x:f>ROUND(L2678*'Costing'!$C$4,2)</x:f>
        <x:v>2700</x:v>
      </x:c>
      <x:c r="N2678" s="17" t="n">
        <x:f>L2678+M2678</x:f>
        <x:v>17700</x:v>
      </x:c>
      <x:c r="O2678" s="12" t="str">
        <x:v>Mumbai</x:v>
      </x:c>
      <x:c r="P2678" s="12" t="str">
        <x:v>CORP-0329</x:v>
      </x:c>
      <x:c r="Q2678" s="12" t="str">
        <x:v>Vayu Realty</x:v>
      </x:c>
    </x:row>
    <x:row r="2679" ht="48" customHeight="1">
      <x:c r="A2679" s="2" t="str">
        <x:v>TEN-C8FB87999BD0</x:v>
      </x:c>
      <x:c r="B2679" s="12" t="str">
        <x:v>Vcomply</x:v>
      </x:c>
      <x:c r="C2679" s="12" t="str">
        <x:v>Business / brand</x:v>
      </x:c>
      <x:c r="D2679" s="12" t="str">
        <x:v>Unresolved</x:v>
      </x:c>
      <x:c r="E2679" s="12" t="str">
        <x:v>Business activity not established</x:v>
      </x:c>
      <x:c r="F2679" s="12" t="str">
        <x:v>Mixed business audience</x:v>
      </x:c>
      <x:c r="G2679" s="12" t="str">
        <x:v>Business activity and company scale are not established from this name.</x:v>
      </x:c>
      <x:c r="H2679" s="11" t="n">
        <x:v>2</x:v>
      </x:c>
      <x:c r="I2679" s="11" t="n">
        <x:v>3</x:v>
      </x:c>
      <x:c r="J2679" s="11" t="n">
        <x:v>3</x:v>
      </x:c>
      <x:c r="K2679" s="11" t="n">
        <x:v>0</x:v>
      </x:c>
      <x:c r="L2679" s="17" t="n">
        <x:f>SUM(SUMIFS('Costing'!$P$9:$P$492,'Costing'!$A$9:$A$492,"MAIN-284"),SUMIFS('Costing'!$P$9:$P$492,'Costing'!$A$9:$A$492,"MAIN-285"))</x:f>
        <x:v>45000</x:v>
      </x:c>
      <x:c r="M2679" s="17" t="n">
        <x:f>ROUND(L2679*'Costing'!$C$4,2)</x:f>
        <x:v>8100</x:v>
      </x:c>
      <x:c r="N2679" s="17" t="n">
        <x:f>L2679+M2679</x:f>
        <x:v>53100</x:v>
      </x:c>
      <x:c r="O2679" s="12" t="str">
        <x:v>Kolkata</x:v>
      </x:c>
      <x:c r="P2679" s="12" t="str">
        <x:v>CORP-0280, CORP-0281</x:v>
      </x:c>
      <x:c r="Q2679" s="12" t="str">
        <x:v>Vcomply</x:v>
      </x:c>
    </x:row>
    <x:row r="2680" ht="48" customHeight="1">
      <x:c r="A2680" s="2" t="str">
        <x:v>TEN-8212EE32812B</x:v>
      </x:c>
      <x:c r="B2680" s="12" t="str">
        <x:v>VCrest Enterprise</x:v>
      </x:c>
      <x:c r="C2680" s="12" t="str">
        <x:v>Business / brand</x:v>
      </x:c>
      <x:c r="D2680" s="12" t="str">
        <x:v>Unresolved</x:v>
      </x:c>
      <x:c r="E2680" s="12" t="str">
        <x:v>Business activity not established</x:v>
      </x:c>
      <x:c r="F2680" s="12" t="str">
        <x:v>Mixed business audience</x:v>
      </x:c>
      <x:c r="G2680" s="12" t="str">
        <x:v>Business activity and company scale are not established from this name.</x:v>
      </x:c>
      <x:c r="H2680" s="11" t="n">
        <x:v>1</x:v>
      </x:c>
      <x:c r="I2680" s="11" t="n">
        <x:v>1</x:v>
      </x:c>
      <x:c r="J2680" s="11" t="n">
        <x:v>1</x:v>
      </x:c>
      <x:c r="K2680" s="11" t="n">
        <x:v>0</x:v>
      </x:c>
      <x:c r="L2680" s="17" t="n">
        <x:f>SUM(SUMIFS('Costing'!$P$9:$P$492,'Costing'!$A$9:$A$492,"MAIN-270"))</x:f>
        <x:v>20000</x:v>
      </x:c>
      <x:c r="M2680" s="17" t="n">
        <x:f>ROUND(L2680*'Costing'!$C$4,2)</x:f>
        <x:v>3600</x:v>
      </x:c>
      <x:c r="N2680" s="17" t="n">
        <x:f>L2680+M2680</x:f>
        <x:v>23600</x:v>
      </x:c>
      <x:c r="O2680" s="12" t="str">
        <x:v>Indore</x:v>
      </x:c>
      <x:c r="P2680" s="12" t="str">
        <x:v>CORP-0266</x:v>
      </x:c>
      <x:c r="Q2680" s="12" t="str">
        <x:v>VCrest Enterprise</x:v>
      </x:c>
    </x:row>
    <x:row r="2681" ht="48" customHeight="1">
      <x:c r="A2681" s="2" t="str">
        <x:v>TEN-BF362F202CF6</x:v>
      </x:c>
      <x:c r="B2681" s="12" t="str">
        <x:v>VE10xSOFT india pvt ltd</x:v>
      </x:c>
      <x:c r="C2681" s="12" t="str">
        <x:v>Business / brand</x:v>
      </x:c>
      <x:c r="D2681" s="12" t="str">
        <x:v>Unresolved</x:v>
      </x:c>
      <x:c r="E2681" s="12" t="str">
        <x:v>Business activity not established</x:v>
      </x:c>
      <x:c r="F2681" s="12" t="str">
        <x:v>Mixed business audience</x:v>
      </x:c>
      <x:c r="G2681" s="12" t="str">
        <x:v>Business activity and company scale are not established from this name.</x:v>
      </x:c>
      <x:c r="H2681" s="11" t="n">
        <x:v>1</x:v>
      </x:c>
      <x:c r="I2681" s="11" t="n">
        <x:v>2</x:v>
      </x:c>
      <x:c r="J2681" s="11" t="n">
        <x:v>2</x:v>
      </x:c>
      <x:c r="K2681" s="11" t="n">
        <x:v>0</x:v>
      </x:c>
      <x:c r="L2681" s="17" t="n">
        <x:f>SUM(SUMIFS('Costing'!$P$9:$P$492,'Costing'!$A$9:$A$492,"MAIN-045"))</x:f>
        <x:v>30000</x:v>
      </x:c>
      <x:c r="M2681" s="17" t="n">
        <x:f>ROUND(L2681*'Costing'!$C$4,2)</x:f>
        <x:v>5400</x:v>
      </x:c>
      <x:c r="N2681" s="17" t="n">
        <x:f>L2681+M2681</x:f>
        <x:v>35400</x:v>
      </x:c>
      <x:c r="O2681" s="12" t="str">
        <x:v>Bengaluru</x:v>
      </x:c>
      <x:c r="P2681" s="12" t="str">
        <x:v>CORP-0041</x:v>
      </x:c>
      <x:c r="Q2681" s="12" t="str">
        <x:v>VE10xSOFT india pvt ltd</x:v>
      </x:c>
    </x:row>
    <x:row r="2682" ht="48" customHeight="1">
      <x:c r="A2682" s="2" t="str">
        <x:v>TEN-8D75FBD6F92C</x:v>
      </x:c>
      <x:c r="B2682" s="12" t="str">
        <x:v>Vedam</x:v>
      </x:c>
      <x:c r="C2682" s="12" t="str">
        <x:v>Business / brand</x:v>
      </x:c>
      <x:c r="D2682" s="12" t="str">
        <x:v>Unresolved</x:v>
      </x:c>
      <x:c r="E2682" s="12" t="str">
        <x:v>Business activity not established</x:v>
      </x:c>
      <x:c r="F2682" s="12" t="str">
        <x:v>Mixed business audience</x:v>
      </x:c>
      <x:c r="G2682" s="12" t="str">
        <x:v>Business activity and company scale are not established from this name.</x:v>
      </x:c>
      <x:c r="H2682" s="11" t="n">
        <x:v>1</x:v>
      </x:c>
      <x:c r="I2682" s="11" t="n">
        <x:v>2</x:v>
      </x:c>
      <x:c r="J2682" s="11" t="n">
        <x:v>2</x:v>
      </x:c>
      <x:c r="K2682" s="11" t="n">
        <x:v>0</x:v>
      </x:c>
      <x:c r="L2682" s="17" t="n">
        <x:f>SUM(SUMIFS('Costing'!$P$9:$P$492,'Costing'!$A$9:$A$492,"MAIN-298"))</x:f>
        <x:v>30000</x:v>
      </x:c>
      <x:c r="M2682" s="17" t="n">
        <x:f>ROUND(L2682*'Costing'!$C$4,2)</x:f>
        <x:v>5400</x:v>
      </x:c>
      <x:c r="N2682" s="17" t="n">
        <x:f>L2682+M2682</x:f>
        <x:v>35400</x:v>
      </x:c>
      <x:c r="O2682" s="12" t="str">
        <x:v>Mumbai</x:v>
      </x:c>
      <x:c r="P2682" s="12" t="str">
        <x:v>CORP-0294</x:v>
      </x:c>
      <x:c r="Q2682" s="12" t="str">
        <x:v>Vedam</x:v>
      </x:c>
    </x:row>
    <x:row r="2683" ht="48" customHeight="1">
      <x:c r="A2683" s="2" t="str">
        <x:v>TEN-615F95D34C39</x:v>
      </x:c>
      <x:c r="B2683" s="12" t="str">
        <x:v>Vedang Cellular Service</x:v>
      </x:c>
      <x:c r="C2683" s="12" t="str">
        <x:v>Business / brand</x:v>
      </x:c>
      <x:c r="D2683" s="12" t="str">
        <x:v>Unresolved</x:v>
      </x:c>
      <x:c r="E2683" s="12" t="str">
        <x:v>Business activity not established</x:v>
      </x:c>
      <x:c r="F2683" s="12" t="str">
        <x:v>Mixed business audience</x:v>
      </x:c>
      <x:c r="G2683" s="12" t="str">
        <x:v>Business activity and company scale are not established from this name.</x:v>
      </x:c>
      <x:c r="H2683" s="11" t="n">
        <x:v>1</x:v>
      </x:c>
      <x:c r="I2683" s="11" t="n">
        <x:v>1</x:v>
      </x:c>
      <x:c r="J2683" s="11" t="n">
        <x:v>1</x:v>
      </x:c>
      <x:c r="K2683" s="11" t="n">
        <x:v>0</x:v>
      </x:c>
      <x:c r="L2683" s="17" t="n">
        <x:f>SUM(SUMIFS('Costing'!$P$9:$P$492,'Costing'!$A$9:$A$492,"MAIN-272"))</x:f>
        <x:v>20000</x:v>
      </x:c>
      <x:c r="M2683" s="17" t="n">
        <x:f>ROUND(L2683*'Costing'!$C$4,2)</x:f>
        <x:v>3600</x:v>
      </x:c>
      <x:c r="N2683" s="17" t="n">
        <x:f>L2683+M2683</x:f>
        <x:v>23600</x:v>
      </x:c>
      <x:c r="O2683" s="12" t="str">
        <x:v>Indore</x:v>
      </x:c>
      <x:c r="P2683" s="12" t="str">
        <x:v>CORP-0268</x:v>
      </x:c>
      <x:c r="Q2683" s="12" t="str">
        <x:v>Vedang Cellular Service</x:v>
      </x:c>
    </x:row>
    <x:row r="2684" ht="48" customHeight="1">
      <x:c r="A2684" s="2" t="str">
        <x:v>TEN-1EE64F788B53</x:v>
      </x:c>
      <x:c r="B2684" s="12" t="str">
        <x:v>VEDIKENT BUDDY LLP</x:v>
      </x:c>
      <x:c r="C2684" s="12" t="str">
        <x:v>Business / brand</x:v>
      </x:c>
      <x:c r="D2684" s="12" t="str">
        <x:v>Unresolved</x:v>
      </x:c>
      <x:c r="E2684" s="12" t="str">
        <x:v>Business activity not established</x:v>
      </x:c>
      <x:c r="F2684" s="12" t="str">
        <x:v>Mixed business audience</x:v>
      </x:c>
      <x:c r="G2684" s="12" t="str">
        <x:v>Business activity and company scale are not established from this name.</x:v>
      </x:c>
      <x:c r="H2684" s="11" t="n">
        <x:v>1</x:v>
      </x:c>
      <x:c r="I2684" s="11" t="n">
        <x:v>1</x:v>
      </x:c>
      <x:c r="J2684" s="11" t="n">
        <x:v>1</x:v>
      </x:c>
      <x:c r="K2684" s="11" t="n">
        <x:v>0</x:v>
      </x:c>
      <x:c r="L2684" s="17" t="n">
        <x:f>SUM(SUMIFS('Costing'!$P$9:$P$492,'Costing'!$A$9:$A$492,"MAIN-333"))</x:f>
        <x:v>15000</x:v>
      </x:c>
      <x:c r="M2684" s="17" t="n">
        <x:f>ROUND(L2684*'Costing'!$C$4,2)</x:f>
        <x:v>2700</x:v>
      </x:c>
      <x:c r="N2684" s="17" t="n">
        <x:f>L2684+M2684</x:f>
        <x:v>17700</x:v>
      </x:c>
      <x:c r="O2684" s="12" t="str">
        <x:v>Mumbai</x:v>
      </x:c>
      <x:c r="P2684" s="12" t="str">
        <x:v>CORP-0329</x:v>
      </x:c>
      <x:c r="Q2684" s="12" t="str">
        <x:v>VEDIKENT BUDDY LLP</x:v>
      </x:c>
    </x:row>
    <x:row r="2685" ht="48" customHeight="1">
      <x:c r="A2685" s="2" t="str">
        <x:v>TEN-EDE803F3F786</x:v>
      </x:c>
      <x:c r="B2685" s="12" t="str">
        <x:v>Vehicle Fitness Company</x:v>
      </x:c>
      <x:c r="C2685" s="12" t="str">
        <x:v>Business / brand</x:v>
      </x:c>
      <x:c r="D2685" s="12" t="str">
        <x:v>Engineering &amp; manufacturing</x:v>
      </x:c>
      <x:c r="E2685" s="12" t="str">
        <x:v>Engineering, testing &amp; technical services</x:v>
      </x:c>
      <x:c r="F2685" s="12" t="str">
        <x:v>Medium-scale prospects</x:v>
      </x:c>
      <x:c r="G2685" s="12" t="str">
        <x:v>Specialist industrial or engineering business; medium-scale prospect assumption.</x:v>
      </x:c>
      <x:c r="H2685" s="11" t="n">
        <x:v>8</x:v>
      </x:c>
      <x:c r="I2685" s="11" t="n">
        <x:v>8</x:v>
      </x:c>
      <x:c r="J2685" s="11" t="n">
        <x:v>8</x:v>
      </x:c>
      <x:c r="K2685" s="11" t="n">
        <x:v>0</x:v>
      </x:c>
      <x:c r="L2685" s="17" t="n">
        <x:f>SUM(SUMIFS('Costing'!$P$9:$P$492,'Costing'!$A$9:$A$492,"PARTNER-M300"))</x:f>
        <x:v>320000</x:v>
      </x:c>
      <x:c r="M2685" s="17" t="n">
        <x:f>ROUND(L2685*'Costing'!$C$4,2)</x:f>
        <x:v>57600</x:v>
      </x:c>
      <x:c r="N2685" s="17" t="n">
        <x:f>L2685+M2685</x:f>
        <x:v>377600</x:v>
      </x:c>
      <x:c r="O2685" s="12" t="str">
        <x:v>Hyderabad</x:v>
      </x:c>
      <x:c r="P2685" s="12" t="str">
        <x:v>CORP-0715, CORP-0716, CORP-0717, CORP-0718, CORP-0719, CORP-0720, CORP-0721, CORP-0722</x:v>
      </x:c>
      <x:c r="Q2685" s="12" t="str">
        <x:v>Vehicle Fitness Company</x:v>
      </x:c>
    </x:row>
    <x:row r="2686" ht="48" customHeight="1">
      <x:c r="A2686" s="2" t="str">
        <x:v>TEN-EC31F8A49FA4</x:v>
      </x:c>
      <x:c r="B2686" s="12" t="str">
        <x:v>Vellvette</x:v>
      </x:c>
      <x:c r="C2686" s="12" t="str">
        <x:v>Business / brand</x:v>
      </x:c>
      <x:c r="D2686" s="12" t="str">
        <x:v>Trade, consumer &amp; logistics</x:v>
      </x:c>
      <x:c r="E2686" s="12" t="str">
        <x:v>Retail, consumer products &amp; ecommerce</x:v>
      </x:c>
      <x:c r="F2686" s="12" t="str">
        <x:v>Small-scale prospects</x:v>
      </x:c>
      <x:c r="G2686" s="12" t="str">
        <x:v>Trading or consumer-services business; small-scale prospect assumption.</x:v>
      </x:c>
      <x:c r="H2686" s="11" t="n">
        <x:v>6</x:v>
      </x:c>
      <x:c r="I2686" s="11" t="n">
        <x:v>6</x:v>
      </x:c>
      <x:c r="J2686" s="11" t="n">
        <x:v>6</x:v>
      </x:c>
      <x:c r="K2686" s="11" t="n">
        <x:v>0</x:v>
      </x:c>
      <x:c r="L2686" s="17" t="n">
        <x:f>SUM(SUMIFS('Costing'!$P$9:$P$492,'Costing'!$A$9:$A$492,"PARTNER-M179"))</x:f>
        <x:v>240000</x:v>
      </x:c>
      <x:c r="M2686" s="17" t="n">
        <x:f>ROUND(L2686*'Costing'!$C$4,2)</x:f>
        <x:v>43200</x:v>
      </x:c>
      <x:c r="N2686" s="17" t="n">
        <x:f>L2686+M2686</x:f>
        <x:v>283200</x:v>
      </x:c>
      <x:c r="O2686" s="12" t="str">
        <x:v>Mumbai</x:v>
      </x:c>
      <x:c r="P2686" s="12" t="str">
        <x:v>CORP-0596, CORP-0597, CORP-0598, CORP-0599, CORP-0600, CORP-0601</x:v>
      </x:c>
      <x:c r="Q2686" s="12" t="str">
        <x:v>Vellvette</x:v>
      </x:c>
    </x:row>
    <x:row r="2687" ht="48" customHeight="1">
      <x:c r="A2687" s="2" t="str">
        <x:v>TEN-0269ACD8F795</x:v>
      </x:c>
      <x:c r="B2687" s="12" t="str">
        <x:v>Ventura Securities Ltd</x:v>
      </x:c>
      <x:c r="C2687" s="12" t="str">
        <x:v>Business / brand</x:v>
      </x:c>
      <x:c r="D2687" s="12" t="str">
        <x:v>Finance &amp; insurance</x:v>
      </x:c>
      <x:c r="E2687" s="12" t="str">
        <x:v>Investments, securities &amp; wealth</x:v>
      </x:c>
      <x:c r="F2687" s="12" t="str">
        <x:v>Mixed business audience</x:v>
      </x:c>
      <x:c r="G2687" s="12" t="str">
        <x:v>Established brand or business network; local company scale is not established. Use a mixed-business message.</x:v>
      </x:c>
      <x:c r="H2687" s="11" t="n">
        <x:v>1</x:v>
      </x:c>
      <x:c r="I2687" s="11" t="n">
        <x:v>1</x:v>
      </x:c>
      <x:c r="J2687" s="11" t="n">
        <x:v>1</x:v>
      </x:c>
      <x:c r="K2687" s="11" t="n">
        <x:v>0</x:v>
      </x:c>
      <x:c r="L2687" s="17" t="n">
        <x:f>SUM(SUMIFS('Costing'!$P$9:$P$492,'Costing'!$A$9:$A$492,"MAIN-321"))</x:f>
        <x:v>15000</x:v>
      </x:c>
      <x:c r="M2687" s="17" t="n">
        <x:f>ROUND(L2687*'Costing'!$C$4,2)</x:f>
        <x:v>2700</x:v>
      </x:c>
      <x:c r="N2687" s="17" t="n">
        <x:f>L2687+M2687</x:f>
        <x:v>17700</x:v>
      </x:c>
      <x:c r="O2687" s="12" t="str">
        <x:v>Mumbai</x:v>
      </x:c>
      <x:c r="P2687" s="12" t="str">
        <x:v>CORP-0317</x:v>
      </x:c>
      <x:c r="Q2687" s="12" t="str">
        <x:v>Ventura Securities Ltd</x:v>
      </x:c>
    </x:row>
    <x:row r="2688" ht="48" customHeight="1">
      <x:c r="A2688" s="2" t="str">
        <x:v>TEN-E3B62F0935E9</x:v>
      </x:c>
      <x:c r="B2688" s="12" t="str">
        <x:v>VERDIS</x:v>
      </x:c>
      <x:c r="C2688" s="12" t="str">
        <x:v>Business / brand</x:v>
      </x:c>
      <x:c r="D2688" s="12" t="str">
        <x:v>Unresolved</x:v>
      </x:c>
      <x:c r="E2688" s="12" t="str">
        <x:v>Business activity not established</x:v>
      </x:c>
      <x:c r="F2688" s="12" t="str">
        <x:v>Mixed business audience</x:v>
      </x:c>
      <x:c r="G2688" s="12" t="str">
        <x:v>Business activity and company scale are not established from this name.</x:v>
      </x:c>
      <x:c r="H2688" s="11" t="n">
        <x:v>1</x:v>
      </x:c>
      <x:c r="I2688" s="11" t="n">
        <x:v>4</x:v>
      </x:c>
      <x:c r="J2688" s="11" t="n">
        <x:v>4</x:v>
      </x:c>
      <x:c r="K2688" s="11" t="n">
        <x:v>0</x:v>
      </x:c>
      <x:c r="L2688" s="17" t="n">
        <x:f>SUM(SUMIFS('Costing'!$P$9:$P$492,'Costing'!$A$9:$A$492,"MAIN-202"))</x:f>
        <x:v>160000</x:v>
      </x:c>
      <x:c r="M2688" s="17" t="n">
        <x:f>ROUND(L2688*'Costing'!$C$4,2)</x:f>
        <x:v>28800</x:v>
      </x:c>
      <x:c r="N2688" s="17" t="n">
        <x:f>L2688+M2688</x:f>
        <x:v>188800</x:v>
      </x:c>
      <x:c r="O2688" s="12" t="str">
        <x:v>Delhi NCR</x:v>
      </x:c>
      <x:c r="P2688" s="12" t="str">
        <x:v>CORP-0198</x:v>
      </x:c>
      <x:c r="Q2688" s="12" t="str">
        <x:v>VERDIS</x:v>
      </x:c>
    </x:row>
    <x:row r="2689" ht="48" customHeight="1">
      <x:c r="A2689" s="2" t="str">
        <x:v>TEN-AAE414031EA7</x:v>
      </x:c>
      <x:c r="B2689" s="12" t="str">
        <x:v>Vernost Marketing Technology Solutions Pvt. Ltd</x:v>
      </x:c>
      <x:c r="C2689" s="12" t="str">
        <x:v>Business / brand</x:v>
      </x:c>
      <x:c r="D2689" s="12" t="str">
        <x:v>IT &amp; digital</x:v>
      </x:c>
      <x:c r="E2689" s="12" t="str">
        <x:v>Enterprise software &amp; digital engineering</x:v>
      </x:c>
      <x:c r="F2689" s="12" t="str">
        <x:v>Small-scale prospects</x:v>
      </x:c>
      <x:c r="G2689" s="12" t="str">
        <x:v>Software or technology-services business; small-scale prospect assumption.</x:v>
      </x:c>
      <x:c r="H2689" s="11" t="n">
        <x:v>1</x:v>
      </x:c>
      <x:c r="I2689" s="11" t="n">
        <x:v>2</x:v>
      </x:c>
      <x:c r="J2689" s="11" t="n">
        <x:v>2</x:v>
      </x:c>
      <x:c r="K2689" s="11" t="n">
        <x:v>0</x:v>
      </x:c>
      <x:c r="L2689" s="17" t="n">
        <x:f>SUM(SUMIFS('Costing'!$P$9:$P$492,'Costing'!$A$9:$A$492,"MAIN-347"))</x:f>
        <x:v>24000</x:v>
      </x:c>
      <x:c r="M2689" s="17" t="n">
        <x:f>ROUND(L2689*'Costing'!$C$4,2)</x:f>
        <x:v>4320</x:v>
      </x:c>
      <x:c r="N2689" s="17" t="n">
        <x:f>L2689+M2689</x:f>
        <x:v>28320</x:v>
      </x:c>
      <x:c r="O2689" s="12" t="str">
        <x:v>Mumbai</x:v>
      </x:c>
      <x:c r="P2689" s="12" t="str">
        <x:v>CORP-0343</x:v>
      </x:c>
      <x:c r="Q2689" s="12" t="str">
        <x:v>Vernost Marketing Technology Solutions Pvt. Ltd</x:v>
      </x:c>
    </x:row>
    <x:row r="2690" ht="48" customHeight="1">
      <x:c r="A2690" s="2" t="str">
        <x:v>TEN-B7B27EA467E4</x:v>
      </x:c>
      <x:c r="B2690" s="12" t="str">
        <x:v>Versa Networks</x:v>
      </x:c>
      <x:c r="C2690" s="12" t="str">
        <x:v>Business / brand</x:v>
      </x:c>
      <x:c r="D2690" s="12" t="str">
        <x:v>IT &amp; digital</x:v>
      </x:c>
      <x:c r="E2690" s="12" t="str">
        <x:v>Telecom, networks &amp; connectivity</x:v>
      </x:c>
      <x:c r="F2690" s="12" t="str">
        <x:v>Mixed business audience</x:v>
      </x:c>
      <x:c r="G2690" s="12" t="str">
        <x:v>Established brand or business network; local company scale is not established. Use a mixed-business message.</x:v>
      </x:c>
      <x:c r="H2690" s="11" t="n">
        <x:v>7</x:v>
      </x:c>
      <x:c r="I2690" s="11" t="n">
        <x:v>8</x:v>
      </x:c>
      <x:c r="J2690" s="11" t="n">
        <x:v>8</x:v>
      </x:c>
      <x:c r="K2690" s="11" t="n">
        <x:v>0</x:v>
      </x:c>
      <x:c r="L2690" s="17" t="n">
        <x:f>SUM(SUMIFS('Costing'!$P$9:$P$492,'Costing'!$A$9:$A$492,"MAIN-143"),SUMIFS('Costing'!$P$9:$P$492,'Costing'!$A$9:$A$492,"MAIN-144"),SUMIFS('Costing'!$P$9:$P$492,'Costing'!$A$9:$A$492,"PARTNER-M060"))</x:f>
        <x:v>260000</x:v>
      </x:c>
      <x:c r="M2690" s="17" t="n">
        <x:f>ROUND(L2690*'Costing'!$C$4,2)</x:f>
        <x:v>46800</x:v>
      </x:c>
      <x:c r="N2690" s="17" t="n">
        <x:f>L2690+M2690</x:f>
        <x:v>306800</x:v>
      </x:c>
      <x:c r="O2690" s="12" t="str">
        <x:v>Chennai, Bengaluru</x:v>
      </x:c>
      <x:c r="P2690" s="12" t="str">
        <x:v>CORP-0139, CORP-0140, CORP-0478, CORP-0479, CORP-0480, CORP-0481, CORP-0482</x:v>
      </x:c>
      <x:c r="Q2690" s="12" t="str">
        <x:v>Versa Networks</x:v>
      </x:c>
    </x:row>
    <x:row r="2691" ht="48" customHeight="1">
      <x:c r="A2691" s="2" t="str">
        <x:v>TEN-6A758510FE04</x:v>
      </x:c>
      <x:c r="B2691" s="12" t="str">
        <x:v>VFORM TECHNOPACK PRIVATE LIMITED</x:v>
      </x:c>
      <x:c r="C2691" s="12" t="str">
        <x:v>Business / brand</x:v>
      </x:c>
      <x:c r="D2691" s="12" t="str">
        <x:v>Engineering &amp; manufacturing</x:v>
      </x:c>
      <x:c r="E2691" s="12" t="str">
        <x:v>Electronics, industrial systems &amp; manufacturing</x:v>
      </x:c>
      <x:c r="F2691" s="12" t="str">
        <x:v>Medium-scale prospects</x:v>
      </x:c>
      <x:c r="G2691" s="12" t="str">
        <x:v>Specialist industrial or engineering business; medium-scale prospect assumption.</x:v>
      </x:c>
      <x:c r="H2691" s="11" t="n">
        <x:v>1</x:v>
      </x:c>
      <x:c r="I2691" s="11" t="n">
        <x:v>21</x:v>
      </x:c>
      <x:c r="J2691" s="11" t="n">
        <x:v>21</x:v>
      </x:c>
      <x:c r="K2691" s="11" t="n">
        <x:v>0</x:v>
      </x:c>
      <x:c r="L2691" s="17" t="n">
        <x:f>SUM(SUMIFS('Costing'!$P$9:$P$492,'Costing'!$A$9:$A$492,"MAIN-313"))</x:f>
        <x:v>315000</x:v>
      </x:c>
      <x:c r="M2691" s="17" t="n">
        <x:f>ROUND(L2691*'Costing'!$C$4,2)</x:f>
        <x:v>56700</x:v>
      </x:c>
      <x:c r="N2691" s="17" t="n">
        <x:f>L2691+M2691</x:f>
        <x:v>371700</x:v>
      </x:c>
      <x:c r="O2691" s="12" t="str">
        <x:v>Mumbai</x:v>
      </x:c>
      <x:c r="P2691" s="12" t="str">
        <x:v>CORP-0309</x:v>
      </x:c>
      <x:c r="Q2691" s="12" t="str">
        <x:v>VFORM TECHNOPACK PRIVATE LIMITED</x:v>
      </x:c>
    </x:row>
    <x:row r="2692" ht="48" customHeight="1">
      <x:c r="A2692" s="2" t="str">
        <x:v>TEN-2667DE31EFF0</x:v>
      </x:c>
      <x:c r="B2692" s="12" t="str">
        <x:v>Vguard</x:v>
      </x:c>
      <x:c r="C2692" s="12" t="str">
        <x:v>Business / brand</x:v>
      </x:c>
      <x:c r="D2692" s="12" t="str">
        <x:v>Engineering &amp; manufacturing</x:v>
      </x:c>
      <x:c r="E2692" s="12" t="str">
        <x:v>Electronics, industrial systems &amp; manufacturing</x:v>
      </x:c>
      <x:c r="F2692" s="12" t="str">
        <x:v>Mixed business audience</x:v>
      </x:c>
      <x:c r="G2692" s="12" t="str">
        <x:v>Established brand or business network; local company scale is not established. Use a mixed-business message.</x:v>
      </x:c>
      <x:c r="H2692" s="11" t="n">
        <x:v>1</x:v>
      </x:c>
      <x:c r="I2692" s="11" t="n">
        <x:v>1</x:v>
      </x:c>
      <x:c r="J2692" s="11" t="n">
        <x:v>1</x:v>
      </x:c>
      <x:c r="K2692" s="11" t="n">
        <x:v>0</x:v>
      </x:c>
      <x:c r="L2692" s="17" t="n">
        <x:f>SUM(SUMIFS('Costing'!$P$9:$P$492,'Costing'!$A$9:$A$492,"MAIN-275"))</x:f>
        <x:v>40000</x:v>
      </x:c>
      <x:c r="M2692" s="17" t="n">
        <x:f>ROUND(L2692*'Costing'!$C$4,2)</x:f>
        <x:v>7200</x:v>
      </x:c>
      <x:c r="N2692" s="17" t="n">
        <x:f>L2692+M2692</x:f>
        <x:v>47200</x:v>
      </x:c>
      <x:c r="O2692" s="12" t="str">
        <x:v>Indore</x:v>
      </x:c>
      <x:c r="P2692" s="12" t="str">
        <x:v>CORP-0271</x:v>
      </x:c>
      <x:c r="Q2692" s="12" t="str">
        <x:v>Vguard</x:v>
      </x:c>
    </x:row>
    <x:row r="2693" ht="48" customHeight="1">
      <x:c r="A2693" s="2" t="str">
        <x:v>TEN-C0FF93EA8927</x:v>
      </x:c>
      <x:c r="B2693" s="12" t="str">
        <x:v>VI</x:v>
      </x:c>
      <x:c r="C2693" s="12" t="str">
        <x:v>Business / brand</x:v>
      </x:c>
      <x:c r="D2693" s="12" t="str">
        <x:v>IT &amp; digital</x:v>
      </x:c>
      <x:c r="E2693" s="12" t="str">
        <x:v>Technology services — specialty unverified</x:v>
      </x:c>
      <x:c r="F2693" s="12" t="str">
        <x:v>Mixed business audience</x:v>
      </x:c>
      <x:c r="G2693" s="12" t="str">
        <x:v>Recognisable business context; company-scale evidence remains insufficient for a single size band.</x:v>
      </x:c>
      <x:c r="H2693" s="11" t="n">
        <x:v>1</x:v>
      </x:c>
      <x:c r="I2693" s="11" t="n">
        <x:v>1</x:v>
      </x:c>
      <x:c r="J2693" s="11" t="n">
        <x:v>1</x:v>
      </x:c>
      <x:c r="K2693" s="11" t="n">
        <x:v>0</x:v>
      </x:c>
      <x:c r="L2693" s="17" t="n">
        <x:f>SUM(SUMIFS('Costing'!$P$9:$P$492,'Costing'!$A$9:$A$492,"MAIN-015"))</x:f>
        <x:v>15000</x:v>
      </x:c>
      <x:c r="M2693" s="17" t="n">
        <x:f>ROUND(L2693*'Costing'!$C$4,2)</x:f>
        <x:v>2700</x:v>
      </x:c>
      <x:c r="N2693" s="17" t="n">
        <x:f>L2693+M2693</x:f>
        <x:v>17700</x:v>
      </x:c>
      <x:c r="O2693" s="12" t="str">
        <x:v>Bengaluru</x:v>
      </x:c>
      <x:c r="P2693" s="12" t="str">
        <x:v>CORP-0011</x:v>
      </x:c>
      <x:c r="Q2693" s="12" t="str">
        <x:v>VI</x:v>
      </x:c>
    </x:row>
    <x:row r="2694" ht="48" customHeight="1">
      <x:c r="A2694" s="2" t="str">
        <x:v>TEN-EB0F5FEA7995</x:v>
      </x:c>
      <x:c r="B2694" s="12" t="str">
        <x:v>Viacatalyst Consultancy Pvt.Ltd</x:v>
      </x:c>
      <x:c r="C2694" s="12" t="str">
        <x:v>Business / brand</x:v>
      </x:c>
      <x:c r="D2694" s="12" t="str">
        <x:v>Professional services</x:v>
      </x:c>
      <x:c r="E2694" s="12" t="str">
        <x:v>Business consulting &amp; advisory</x:v>
      </x:c>
      <x:c r="F2694" s="12" t="str">
        <x:v>Small-scale prospects</x:v>
      </x:c>
      <x:c r="G2694" s="12" t="str">
        <x:v>Professional service, agency or advisory model; small-scale prospect assumption.</x:v>
      </x:c>
      <x:c r="H2694" s="11" t="n">
        <x:v>1</x:v>
      </x:c>
      <x:c r="I2694" s="11" t="n">
        <x:v>2</x:v>
      </x:c>
      <x:c r="J2694" s="11" t="n">
        <x:v>2</x:v>
      </x:c>
      <x:c r="K2694" s="11" t="n">
        <x:v>0</x:v>
      </x:c>
      <x:c r="L2694" s="17" t="n">
        <x:f>SUM(SUMIFS('Costing'!$P$9:$P$492,'Costing'!$A$9:$A$492,"MAIN-133"))</x:f>
        <x:v>30000</x:v>
      </x:c>
      <x:c r="M2694" s="17" t="n">
        <x:f>ROUND(L2694*'Costing'!$C$4,2)</x:f>
        <x:v>5400</x:v>
      </x:c>
      <x:c r="N2694" s="17" t="n">
        <x:f>L2694+M2694</x:f>
        <x:v>35400</x:v>
      </x:c>
      <x:c r="O2694" s="12" t="str">
        <x:v>Bengaluru</x:v>
      </x:c>
      <x:c r="P2694" s="12" t="str">
        <x:v>CORP-0129</x:v>
      </x:c>
      <x:c r="Q2694" s="12" t="str">
        <x:v>Viacatalyst Consultancy Pvt.Ltd</x:v>
      </x:c>
    </x:row>
    <x:row r="2695" ht="48" customHeight="1">
      <x:c r="A2695" s="2" t="str">
        <x:v>TEN-43712282FE68</x:v>
      </x:c>
      <x:c r="B2695" s="12" t="str">
        <x:v>Viavi Solutions</x:v>
      </x:c>
      <x:c r="C2695" s="12" t="str">
        <x:v>Business / brand</x:v>
      </x:c>
      <x:c r="D2695" s="12" t="str">
        <x:v>IT &amp; digital</x:v>
      </x:c>
      <x:c r="E2695" s="12" t="str">
        <x:v>Enterprise software &amp; digital engineering</x:v>
      </x:c>
      <x:c r="F2695" s="12" t="str">
        <x:v>Mixed business audience</x:v>
      </x:c>
      <x:c r="G2695" s="12" t="str">
        <x:v>Established brand or business network; local company scale is not established. Use a mixed-business message.</x:v>
      </x:c>
      <x:c r="H2695" s="11" t="n">
        <x:v>2</x:v>
      </x:c>
      <x:c r="I2695" s="11" t="n">
        <x:v>2</x:v>
      </x:c>
      <x:c r="J2695" s="11" t="n">
        <x:v>2</x:v>
      </x:c>
      <x:c r="K2695" s="11" t="n">
        <x:v>0</x:v>
      </x:c>
      <x:c r="L2695" s="17" t="n">
        <x:f>SUM(SUMIFS('Costing'!$P$9:$P$492,'Costing'!$A$9:$A$492,"PARTNER-M243"))</x:f>
        <x:v>80000</x:v>
      </x:c>
      <x:c r="M2695" s="17" t="n">
        <x:f>ROUND(L2695*'Costing'!$C$4,2)</x:f>
        <x:v>14400</x:v>
      </x:c>
      <x:c r="N2695" s="17" t="n">
        <x:f>L2695+M2695</x:f>
        <x:v>94400</x:v>
      </x:c>
      <x:c r="O2695" s="12" t="str">
        <x:v>Mumbai</x:v>
      </x:c>
      <x:c r="P2695" s="12" t="str">
        <x:v>CORP-0660, CORP-0661</x:v>
      </x:c>
      <x:c r="Q2695" s="12" t="str">
        <x:v>Viavi Solutions</x:v>
      </x:c>
    </x:row>
    <x:row r="2696" ht="48" customHeight="1">
      <x:c r="A2696" s="2" t="str">
        <x:v>TEN-F01481C57FC4</x:v>
      </x:c>
      <x:c r="B2696" s="12" t="str">
        <x:v>Vichar Vimarsh</x:v>
      </x:c>
      <x:c r="C2696" s="12" t="str">
        <x:v>Business / brand</x:v>
      </x:c>
      <x:c r="D2696" s="12" t="str">
        <x:v>Unresolved</x:v>
      </x:c>
      <x:c r="E2696" s="12" t="str">
        <x:v>Business activity not established</x:v>
      </x:c>
      <x:c r="F2696" s="12" t="str">
        <x:v>Mixed business audience</x:v>
      </x:c>
      <x:c r="G2696" s="12" t="str">
        <x:v>Business activity and company scale are not established from this name.</x:v>
      </x:c>
      <x:c r="H2696" s="11" t="n">
        <x:v>1</x:v>
      </x:c>
      <x:c r="I2696" s="11" t="n">
        <x:v>2</x:v>
      </x:c>
      <x:c r="J2696" s="11" t="n">
        <x:v>2</x:v>
      </x:c>
      <x:c r="K2696" s="11" t="n">
        <x:v>0</x:v>
      </x:c>
      <x:c r="L2696" s="17" t="n">
        <x:f>SUM(SUMIFS('Costing'!$P$9:$P$492,'Costing'!$A$9:$A$492,"MAIN-007"))</x:f>
        <x:v>30000</x:v>
      </x:c>
      <x:c r="M2696" s="17" t="n">
        <x:f>ROUND(L2696*'Costing'!$C$4,2)</x:f>
        <x:v>5400</x:v>
      </x:c>
      <x:c r="N2696" s="17" t="n">
        <x:f>L2696+M2696</x:f>
        <x:v>35400</x:v>
      </x:c>
      <x:c r="O2696" s="12" t="str">
        <x:v>Ahmedabad</x:v>
      </x:c>
      <x:c r="P2696" s="12" t="str">
        <x:v>CORP-0003</x:v>
      </x:c>
      <x:c r="Q2696" s="12" t="str">
        <x:v>Vichar Vimarsh</x:v>
      </x:c>
    </x:row>
    <x:row r="2697" ht="48" customHeight="1">
      <x:c r="A2697" s="2" t="str">
        <x:v>TEN-E080263FD3AF</x:v>
      </x:c>
      <x:c r="B2697" s="12" t="str">
        <x:v>Victaulic India</x:v>
      </x:c>
      <x:c r="C2697" s="12" t="str">
        <x:v>Business / brand</x:v>
      </x:c>
      <x:c r="D2697" s="12" t="str">
        <x:v>Engineering &amp; manufacturing</x:v>
      </x:c>
      <x:c r="E2697" s="12" t="str">
        <x:v>Engineering/manufacturing — specialty unverified</x:v>
      </x:c>
      <x:c r="F2697" s="12" t="str">
        <x:v>Mixed business audience</x:v>
      </x:c>
      <x:c r="G2697" s="12" t="str">
        <x:v>Recognisable business context; company-scale evidence remains insufficient for a single size band.</x:v>
      </x:c>
      <x:c r="H2697" s="11" t="n">
        <x:v>2</x:v>
      </x:c>
      <x:c r="I2697" s="11" t="n">
        <x:v>5</x:v>
      </x:c>
      <x:c r="J2697" s="11" t="n">
        <x:v>5</x:v>
      </x:c>
      <x:c r="K2697" s="11" t="n">
        <x:v>0</x:v>
      </x:c>
      <x:c r="L2697" s="17" t="n">
        <x:f>SUM(SUMIFS('Costing'!$P$9:$P$492,'Costing'!$A$9:$A$492,"MAIN-343"),SUMIFS('Costing'!$P$9:$P$492,'Costing'!$A$9:$A$492,"MAIN-344"))</x:f>
        <x:v>75000</x:v>
      </x:c>
      <x:c r="M2697" s="17" t="n">
        <x:f>ROUND(L2697*'Costing'!$C$4,2)</x:f>
        <x:v>13500</x:v>
      </x:c>
      <x:c r="N2697" s="17" t="n">
        <x:f>L2697+M2697</x:f>
        <x:v>88500</x:v>
      </x:c>
      <x:c r="O2697" s="12" t="str">
        <x:v>Mumbai</x:v>
      </x:c>
      <x:c r="P2697" s="12" t="str">
        <x:v>CORP-0339, CORP-0340</x:v>
      </x:c>
      <x:c r="Q2697" s="12" t="str">
        <x:v>Victaulic India</x:v>
      </x:c>
    </x:row>
    <x:row r="2698" ht="48" customHeight="1">
      <x:c r="A2698" s="2" t="str">
        <x:v>TEN-C3C9FF9406F1</x:v>
      </x:c>
      <x:c r="B2698" s="12" t="str">
        <x:v>Vidhiniti</x:v>
      </x:c>
      <x:c r="C2698" s="12" t="str">
        <x:v>Business / brand</x:v>
      </x:c>
      <x:c r="D2698" s="12" t="str">
        <x:v>Unresolved</x:v>
      </x:c>
      <x:c r="E2698" s="12" t="str">
        <x:v>Business activity not established</x:v>
      </x:c>
      <x:c r="F2698" s="12" t="str">
        <x:v>Mixed business audience</x:v>
      </x:c>
      <x:c r="G2698" s="12" t="str">
        <x:v>Business activity and company scale are not established from this name.</x:v>
      </x:c>
      <x:c r="H2698" s="11" t="n">
        <x:v>1</x:v>
      </x:c>
      <x:c r="I2698" s="11" t="n">
        <x:v>1</x:v>
      </x:c>
      <x:c r="J2698" s="11" t="n">
        <x:v>1</x:v>
      </x:c>
      <x:c r="K2698" s="11" t="n">
        <x:v>0</x:v>
      </x:c>
      <x:c r="L2698" s="17" t="n">
        <x:f>SUM(SUMIFS('Costing'!$P$9:$P$492,'Costing'!$A$9:$A$492,"MAIN-270"))</x:f>
        <x:v>20000</x:v>
      </x:c>
      <x:c r="M2698" s="17" t="n">
        <x:f>ROUND(L2698*'Costing'!$C$4,2)</x:f>
        <x:v>3600</x:v>
      </x:c>
      <x:c r="N2698" s="17" t="n">
        <x:f>L2698+M2698</x:f>
        <x:v>23600</x:v>
      </x:c>
      <x:c r="O2698" s="12" t="str">
        <x:v>Indore</x:v>
      </x:c>
      <x:c r="P2698" s="12" t="str">
        <x:v>CORP-0266</x:v>
      </x:c>
      <x:c r="Q2698" s="12" t="str">
        <x:v>Vidhiniti</x:v>
      </x:c>
    </x:row>
    <x:row r="2699" ht="48" customHeight="1">
      <x:c r="A2699" s="2" t="str">
        <x:v>TEN-E57705276ACD</x:v>
      </x:c>
      <x:c r="B2699" s="12" t="str">
        <x:v>Vieira Brand Services</x:v>
      </x:c>
      <x:c r="C2699" s="12" t="str">
        <x:v>Business / brand</x:v>
      </x:c>
      <x:c r="D2699" s="12" t="str">
        <x:v>Professional services</x:v>
      </x:c>
      <x:c r="E2699" s="12" t="str">
        <x:v>Research, marketing &amp; professional services</x:v>
      </x:c>
      <x:c r="F2699" s="12" t="str">
        <x:v>Small-scale prospects</x:v>
      </x:c>
      <x:c r="G2699" s="12" t="str">
        <x:v>Professional service, agency or advisory model; small-scale prospect assumption.</x:v>
      </x:c>
      <x:c r="H2699" s="11" t="n">
        <x:v>1</x:v>
      </x:c>
      <x:c r="I2699" s="11" t="n">
        <x:v>11</x:v>
      </x:c>
      <x:c r="J2699" s="11" t="n">
        <x:v>11</x:v>
      </x:c>
      <x:c r="K2699" s="11" t="n">
        <x:v>0</x:v>
      </x:c>
      <x:c r="L2699" s="17" t="n">
        <x:f>SUM(SUMIFS('Costing'!$P$9:$P$492,'Costing'!$A$9:$A$492,"MAIN-077"))</x:f>
        <x:v>165000</x:v>
      </x:c>
      <x:c r="M2699" s="17" t="n">
        <x:f>ROUND(L2699*'Costing'!$C$4,2)</x:f>
        <x:v>29700</x:v>
      </x:c>
      <x:c r="N2699" s="17" t="n">
        <x:f>L2699+M2699</x:f>
        <x:v>194700</x:v>
      </x:c>
      <x:c r="O2699" s="12" t="str">
        <x:v>Bengaluru</x:v>
      </x:c>
      <x:c r="P2699" s="12" t="str">
        <x:v>CORP-0073</x:v>
      </x:c>
      <x:c r="Q2699" s="12" t="str">
        <x:v>Vieira Brand Services</x:v>
      </x:c>
    </x:row>
    <x:row r="2700" ht="48" customHeight="1">
      <x:c r="A2700" s="2" t="str">
        <x:v>TEN-923F68A01FFD</x:v>
      </x:c>
      <x:c r="B2700" s="12" t="str">
        <x:v>Viji</x:v>
      </x:c>
      <x:c r="C2700" s="12" t="str">
        <x:v>Business / brand</x:v>
      </x:c>
      <x:c r="D2700" s="12" t="str">
        <x:v>Unresolved</x:v>
      </x:c>
      <x:c r="E2700" s="12" t="str">
        <x:v>Business activity not established</x:v>
      </x:c>
      <x:c r="F2700" s="12" t="str">
        <x:v>Mixed business audience</x:v>
      </x:c>
      <x:c r="G2700" s="12" t="str">
        <x:v>Business activity and company scale are not established from this name.</x:v>
      </x:c>
      <x:c r="H2700" s="11" t="n">
        <x:v>1</x:v>
      </x:c>
      <x:c r="I2700" s="11" t="n">
        <x:v>1</x:v>
      </x:c>
      <x:c r="J2700" s="11" t="n">
        <x:v>1</x:v>
      </x:c>
      <x:c r="K2700" s="11" t="n">
        <x:v>0</x:v>
      </x:c>
      <x:c r="L2700" s="17" t="n">
        <x:f>SUM(SUMIFS('Costing'!$P$9:$P$492,'Costing'!$A$9:$A$492,"MAIN-266"))</x:f>
        <x:v>20000</x:v>
      </x:c>
      <x:c r="M2700" s="17" t="n">
        <x:f>ROUND(L2700*'Costing'!$C$4,2)</x:f>
        <x:v>3600</x:v>
      </x:c>
      <x:c r="N2700" s="17" t="n">
        <x:f>L2700+M2700</x:f>
        <x:v>23600</x:v>
      </x:c>
      <x:c r="O2700" s="12" t="str">
        <x:v>Indore</x:v>
      </x:c>
      <x:c r="P2700" s="12" t="str">
        <x:v>CORP-0262</x:v>
      </x:c>
      <x:c r="Q2700" s="12" t="str">
        <x:v>Viji</x:v>
      </x:c>
    </x:row>
    <x:row r="2701" ht="48" customHeight="1">
      <x:c r="A2701" s="2" t="str">
        <x:v>TEN-40D61050D2A8</x:v>
      </x:c>
      <x:c r="B2701" s="12" t="str">
        <x:v>VIKAS CHOUDHARY AND COMPANY</x:v>
      </x:c>
      <x:c r="C2701" s="12" t="str">
        <x:v>Business / brand</x:v>
      </x:c>
      <x:c r="D2701" s="12" t="str">
        <x:v>Unresolved</x:v>
      </x:c>
      <x:c r="E2701" s="12" t="str">
        <x:v>Business activity not established</x:v>
      </x:c>
      <x:c r="F2701" s="12" t="str">
        <x:v>Mixed business audience</x:v>
      </x:c>
      <x:c r="G2701" s="12" t="str">
        <x:v>Business activity and company scale are not established from this name.</x:v>
      </x:c>
      <x:c r="H2701" s="11" t="n">
        <x:v>1</x:v>
      </x:c>
      <x:c r="I2701" s="11" t="n">
        <x:v>7</x:v>
      </x:c>
      <x:c r="J2701" s="11" t="n">
        <x:v>7</x:v>
      </x:c>
      <x:c r="K2701" s="11" t="n">
        <x:v>0</x:v>
      </x:c>
      <x:c r="L2701" s="17" t="n">
        <x:f>SUM(SUMIFS('Costing'!$P$9:$P$492,'Costing'!$A$9:$A$492,"MAIN-200"))</x:f>
        <x:v>105000</x:v>
      </x:c>
      <x:c r="M2701" s="17" t="n">
        <x:f>ROUND(L2701*'Costing'!$C$4,2)</x:f>
        <x:v>18900</x:v>
      </x:c>
      <x:c r="N2701" s="17" t="n">
        <x:f>L2701+M2701</x:f>
        <x:v>123900</x:v>
      </x:c>
      <x:c r="O2701" s="12" t="str">
        <x:v>Delhi NCR</x:v>
      </x:c>
      <x:c r="P2701" s="12" t="str">
        <x:v>CORP-0196</x:v>
      </x:c>
      <x:c r="Q2701" s="12" t="str">
        <x:v>VIKAS CHOUDHARY AND COMPANY</x:v>
      </x:c>
    </x:row>
    <x:row r="2702" ht="48" customHeight="1">
      <x:c r="A2702" s="2" t="str">
        <x:v>TEN-D9ADBE0C3AA9</x:v>
      </x:c>
      <x:c r="B2702" s="12" t="str">
        <x:v>Vimta</x:v>
      </x:c>
      <x:c r="C2702" s="12" t="str">
        <x:v>Business / brand</x:v>
      </x:c>
      <x:c r="D2702" s="12" t="str">
        <x:v>Healthcare &amp; life sciences</x:v>
      </x:c>
      <x:c r="E2702" s="12" t="str">
        <x:v>Clinical, pharmaceutical &amp; health services</x:v>
      </x:c>
      <x:c r="F2702" s="12" t="str">
        <x:v>Mixed business audience</x:v>
      </x:c>
      <x:c r="G2702" s="12" t="str">
        <x:v>Established brand or business network; local company scale is not established. Use a mixed-business message.</x:v>
      </x:c>
      <x:c r="H2702" s="11" t="n">
        <x:v>1</x:v>
      </x:c>
      <x:c r="I2702" s="11" t="n">
        <x:v>1</x:v>
      </x:c>
      <x:c r="J2702" s="11" t="n">
        <x:v>1</x:v>
      </x:c>
      <x:c r="K2702" s="11" t="n">
        <x:v>0</x:v>
      </x:c>
      <x:c r="L2702" s="17" t="n">
        <x:f>SUM(SUMIFS('Costing'!$P$9:$P$492,'Costing'!$A$9:$A$492,"MAIN-272"))</x:f>
        <x:v>20000</x:v>
      </x:c>
      <x:c r="M2702" s="17" t="n">
        <x:f>ROUND(L2702*'Costing'!$C$4,2)</x:f>
        <x:v>3600</x:v>
      </x:c>
      <x:c r="N2702" s="17" t="n">
        <x:f>L2702+M2702</x:f>
        <x:v>23600</x:v>
      </x:c>
      <x:c r="O2702" s="12" t="str">
        <x:v>Indore</x:v>
      </x:c>
      <x:c r="P2702" s="12" t="str">
        <x:v>CORP-0268</x:v>
      </x:c>
      <x:c r="Q2702" s="12" t="str">
        <x:v>Vimta</x:v>
      </x:c>
    </x:row>
    <x:row r="2703" ht="48" customHeight="1">
      <x:c r="A2703" s="2" t="str">
        <x:v>TEN-F9505A739A8F</x:v>
      </x:c>
      <x:c r="B2703" s="12" t="str">
        <x:v>VIP</x:v>
      </x:c>
      <x:c r="C2703" s="12" t="str">
        <x:v>Business / brand</x:v>
      </x:c>
      <x:c r="D2703" s="12" t="str">
        <x:v>Trade, consumer &amp; logistics</x:v>
      </x:c>
      <x:c r="E2703" s="12" t="str">
        <x:v>Retail, consumer products &amp; ecommerce</x:v>
      </x:c>
      <x:c r="F2703" s="12" t="str">
        <x:v>Small-scale prospects</x:v>
      </x:c>
      <x:c r="G2703" s="12" t="str">
        <x:v>Trading or consumer-services business; small-scale prospect assumption.</x:v>
      </x:c>
      <x:c r="H2703" s="11" t="n">
        <x:v>1</x:v>
      </x:c>
      <x:c r="I2703" s="11" t="n">
        <x:v>1</x:v>
      </x:c>
      <x:c r="J2703" s="11" t="n">
        <x:v>1</x:v>
      </x:c>
      <x:c r="K2703" s="11" t="n">
        <x:v>0</x:v>
      </x:c>
      <x:c r="L2703" s="17" t="n">
        <x:f>SUM(SUMIFS('Costing'!$P$9:$P$492,'Costing'!$A$9:$A$492,"MAIN-390"))</x:f>
        <x:v>15000</x:v>
      </x:c>
      <x:c r="M2703" s="17" t="n">
        <x:f>ROUND(L2703*'Costing'!$C$4,2)</x:f>
        <x:v>2700</x:v>
      </x:c>
      <x:c r="N2703" s="17" t="n">
        <x:f>L2703+M2703</x:f>
        <x:v>17700</x:v>
      </x:c>
      <x:c r="O2703" s="12" t="str">
        <x:v>Pune</x:v>
      </x:c>
      <x:c r="P2703" s="12" t="str">
        <x:v>CORP-0386</x:v>
      </x:c>
      <x:c r="Q2703" s="12" t="str">
        <x:v>VIP</x:v>
      </x:c>
    </x:row>
    <x:row r="2704" ht="48" customHeight="1">
      <x:c r="A2704" s="2" t="str">
        <x:v>TEN-83F49B1ECB34</x:v>
      </x:c>
      <x:c r="B2704" s="12" t="str">
        <x:v>Virkauf DMC</x:v>
      </x:c>
      <x:c r="C2704" s="12" t="str">
        <x:v>Business / brand</x:v>
      </x:c>
      <x:c r="D2704" s="12" t="str">
        <x:v>Trade, consumer &amp; logistics</x:v>
      </x:c>
      <x:c r="E2704" s="12" t="str">
        <x:v>Travel, hospitality, food &amp; beverages</x:v>
      </x:c>
      <x:c r="F2704" s="12" t="str">
        <x:v>Small-scale prospects</x:v>
      </x:c>
      <x:c r="G2704" s="12" t="str">
        <x:v>Trading or consumer-services business; small-scale prospect assumption.</x:v>
      </x:c>
      <x:c r="H2704" s="11" t="n">
        <x:v>1</x:v>
      </x:c>
      <x:c r="I2704" s="11" t="n">
        <x:v>1</x:v>
      </x:c>
      <x:c r="J2704" s="11" t="n">
        <x:v>1</x:v>
      </x:c>
      <x:c r="K2704" s="11" t="n">
        <x:v>0</x:v>
      </x:c>
      <x:c r="L2704" s="17" t="n">
        <x:f>SUM(SUMIFS('Costing'!$P$9:$P$492,'Costing'!$A$9:$A$492,"MAIN-173"))</x:f>
        <x:v>15000</x:v>
      </x:c>
      <x:c r="M2704" s="17" t="n">
        <x:f>ROUND(L2704*'Costing'!$C$4,2)</x:f>
        <x:v>2700</x:v>
      </x:c>
      <x:c r="N2704" s="17" t="n">
        <x:f>L2704+M2704</x:f>
        <x:v>17700</x:v>
      </x:c>
      <x:c r="O2704" s="12" t="str">
        <x:v>Delhi NCR</x:v>
      </x:c>
      <x:c r="P2704" s="12" t="str">
        <x:v>CORP-0169</x:v>
      </x:c>
      <x:c r="Q2704" s="12" t="str">
        <x:v>Virkauf DMC</x:v>
      </x:c>
    </x:row>
    <x:row r="2705" ht="48" customHeight="1">
      <x:c r="A2705" s="2" t="str">
        <x:v>TEN-EC016BB6297A</x:v>
      </x:c>
      <x:c r="B2705" s="12" t="str">
        <x:v>Virtusa</x:v>
      </x:c>
      <x:c r="C2705" s="12" t="str">
        <x:v>Business / brand</x:v>
      </x:c>
      <x:c r="D2705" s="12" t="str">
        <x:v>IT &amp; digital</x:v>
      </x:c>
      <x:c r="E2705" s="12" t="str">
        <x:v>Technology services — specialty unverified</x:v>
      </x:c>
      <x:c r="F2705" s="12" t="str">
        <x:v>Mixed business audience</x:v>
      </x:c>
      <x:c r="G2705" s="12" t="str">
        <x:v>Recognisable business context; company-scale evidence remains insufficient for a single size band.</x:v>
      </x:c>
      <x:c r="H2705" s="11" t="n">
        <x:v>6</x:v>
      </x:c>
      <x:c r="I2705" s="11" t="n">
        <x:v>6</x:v>
      </x:c>
      <x:c r="J2705" s="11" t="n">
        <x:v>6</x:v>
      </x:c>
      <x:c r="K2705" s="11" t="n">
        <x:v>0</x:v>
      </x:c>
      <x:c r="L2705" s="17" t="n">
        <x:f>SUM(SUMIFS('Costing'!$P$9:$P$492,'Costing'!$A$9:$A$492,"PARTNER-M045"))</x:f>
        <x:v>240000</x:v>
      </x:c>
      <x:c r="M2705" s="17" t="n">
        <x:f>ROUND(L2705*'Costing'!$C$4,2)</x:f>
        <x:v>43200</x:v>
      </x:c>
      <x:c r="N2705" s="17" t="n">
        <x:f>L2705+M2705</x:f>
        <x:v>283200</x:v>
      </x:c>
      <x:c r="O2705" s="12" t="str">
        <x:v>Bengaluru</x:v>
      </x:c>
      <x:c r="P2705" s="12" t="str">
        <x:v>CORP-0463, CORP-0464, CORP-0465, CORP-0466, CORP-0467, CORP-0468</x:v>
      </x:c>
      <x:c r="Q2705" s="12" t="str">
        <x:v>Virtusa</x:v>
      </x:c>
    </x:row>
    <x:row r="2706" ht="48" customHeight="1">
      <x:c r="A2706" s="2" t="str">
        <x:v>TEN-812F14050534</x:v>
      </x:c>
      <x:c r="B2706" s="12" t="str">
        <x:v>Virtusa Consulting Services Private Limited</x:v>
      </x:c>
      <x:c r="C2706" s="12" t="str">
        <x:v>Business / brand</x:v>
      </x:c>
      <x:c r="D2706" s="12" t="str">
        <x:v>IT &amp; digital</x:v>
      </x:c>
      <x:c r="E2706" s="12" t="str">
        <x:v>Technology services — specialty unverified</x:v>
      </x:c>
      <x:c r="F2706" s="12" t="str">
        <x:v>Mixed business audience</x:v>
      </x:c>
      <x:c r="G2706" s="12" t="str">
        <x:v>Recognisable business context; company-scale evidence remains insufficient for a single size band.</x:v>
      </x:c>
      <x:c r="H2706" s="11" t="n">
        <x:v>3</x:v>
      </x:c>
      <x:c r="I2706" s="11" t="n">
        <x:v>3</x:v>
      </x:c>
      <x:c r="J2706" s="11" t="n">
        <x:v>3</x:v>
      </x:c>
      <x:c r="K2706" s="11" t="n">
        <x:v>0</x:v>
      </x:c>
      <x:c r="L2706" s="17" t="n">
        <x:f>SUM(SUMIFS('Costing'!$P$9:$P$492,'Costing'!$A$9:$A$492,"PARTNER-M185"))</x:f>
        <x:v>120000</x:v>
      </x:c>
      <x:c r="M2706" s="17" t="n">
        <x:f>ROUND(L2706*'Costing'!$C$4,2)</x:f>
        <x:v>21600</x:v>
      </x:c>
      <x:c r="N2706" s="17" t="n">
        <x:f>L2706+M2706</x:f>
        <x:v>141600</x:v>
      </x:c>
      <x:c r="O2706" s="12" t="str">
        <x:v>Mumbai</x:v>
      </x:c>
      <x:c r="P2706" s="12" t="str">
        <x:v>CORP-0602, CORP-0603, CORP-0604</x:v>
      </x:c>
      <x:c r="Q2706" s="12" t="str">
        <x:v>Virtusa Consulting Services Private Limited</x:v>
      </x:c>
    </x:row>
    <x:row r="2707" ht="48" customHeight="1">
      <x:c r="A2707" s="2" t="str">
        <x:v>TEN-E759968CA927</x:v>
      </x:c>
      <x:c r="B2707" s="12" t="str">
        <x:v>visa</x:v>
      </x:c>
      <x:c r="C2707" s="12" t="str">
        <x:v>Business / brand</x:v>
      </x:c>
      <x:c r="D2707" s="12" t="str">
        <x:v>Finance &amp; insurance</x:v>
      </x:c>
      <x:c r="E2707" s="12" t="str">
        <x:v>Financial services — specialty unverified</x:v>
      </x:c>
      <x:c r="F2707" s="12" t="str">
        <x:v>Large enterprise</x:v>
      </x:c>
      <x:c r="G2707" s="12" t="str">
        <x:v>Explicit Visa enterprise-family context; see ENTERPRISE_SUPP_044 evidence.</x:v>
      </x:c>
      <x:c r="H2707" s="11" t="n">
        <x:v>10</x:v>
      </x:c>
      <x:c r="I2707" s="11" t="n">
        <x:v>10</x:v>
      </x:c>
      <x:c r="J2707" s="11" t="n">
        <x:v>10</x:v>
      </x:c>
      <x:c r="K2707" s="11" t="n">
        <x:v>0</x:v>
      </x:c>
      <x:c r="L2707" s="17" t="n">
        <x:f>SUM(SUMIFS('Costing'!$P$9:$P$492,'Costing'!$A$9:$A$492,"PARTNER-M120"))</x:f>
        <x:v>400000</x:v>
      </x:c>
      <x:c r="M2707" s="17" t="n">
        <x:f>ROUND(L2707*'Costing'!$C$4,2)</x:f>
        <x:v>72000</x:v>
      </x:c>
      <x:c r="N2707" s="17" t="n">
        <x:f>L2707+M2707</x:f>
        <x:v>472000</x:v>
      </x:c>
      <x:c r="O2707" s="12" t="str">
        <x:v>Bengaluru</x:v>
      </x:c>
      <x:c r="P2707" s="12" t="str">
        <x:v>CORP-0538, CORP-0539, CORP-0540, CORP-0541, CORP-0542, CORP-0543, CORP-0544, CORP-0545, CORP-0546, CORP-0547</x:v>
      </x:c>
      <x:c r="Q2707" s="12" t="str">
        <x:v>visa</x:v>
      </x:c>
    </x:row>
    <x:row r="2708" ht="48" customHeight="1">
      <x:c r="A2708" s="2" t="str">
        <x:v>TEN-285D895E54B2</x:v>
      </x:c>
      <x:c r="B2708" s="12" t="str">
        <x:v>Visa Alliance</x:v>
      </x:c>
      <x:c r="C2708" s="12" t="str">
        <x:v>Business / brand</x:v>
      </x:c>
      <x:c r="D2708" s="12" t="str">
        <x:v>Finance &amp; insurance</x:v>
      </x:c>
      <x:c r="E2708" s="12" t="str">
        <x:v>Financial services — specialty unverified</x:v>
      </x:c>
      <x:c r="F2708" s="12" t="str">
        <x:v>Medium-scale prospects</x:v>
      </x:c>
      <x:c r="G2708" s="12" t="str">
        <x:v>Specialist financial-services business; medium-scale prospect assumption.</x:v>
      </x:c>
      <x:c r="H2708" s="11" t="n">
        <x:v>1</x:v>
      </x:c>
      <x:c r="I2708" s="11" t="n">
        <x:v>1</x:v>
      </x:c>
      <x:c r="J2708" s="11" t="n">
        <x:v>1</x:v>
      </x:c>
      <x:c r="K2708" s="11" t="n">
        <x:v>0</x:v>
      </x:c>
      <x:c r="L2708" s="17" t="n">
        <x:f>SUM(SUMIFS('Costing'!$P$9:$P$492,'Costing'!$A$9:$A$492,"MAIN-274"))</x:f>
        <x:v>40000</x:v>
      </x:c>
      <x:c r="M2708" s="17" t="n">
        <x:f>ROUND(L2708*'Costing'!$C$4,2)</x:f>
        <x:v>7200</x:v>
      </x:c>
      <x:c r="N2708" s="17" t="n">
        <x:f>L2708+M2708</x:f>
        <x:v>47200</x:v>
      </x:c>
      <x:c r="O2708" s="12" t="str">
        <x:v>Indore</x:v>
      </x:c>
      <x:c r="P2708" s="12" t="str">
        <x:v>CORP-0270</x:v>
      </x:c>
      <x:c r="Q2708" s="12" t="str">
        <x:v>Visa Alliance</x:v>
      </x:c>
    </x:row>
    <x:row r="2709" ht="48" customHeight="1">
      <x:c r="A2709" s="2" t="str">
        <x:v>TEN-A09B30E3D0A6</x:v>
      </x:c>
      <x:c r="B2709" s="12" t="str">
        <x:v>Visa Inc</x:v>
      </x:c>
      <x:c r="C2709" s="12" t="str">
        <x:v>Business / brand</x:v>
      </x:c>
      <x:c r="D2709" s="12" t="str">
        <x:v>Finance &amp; insurance</x:v>
      </x:c>
      <x:c r="E2709" s="12" t="str">
        <x:v>Payments &amp; financial technology</x:v>
      </x:c>
      <x:c r="F2709" s="12" t="str">
        <x:v>Large enterprise</x:v>
      </x:c>
      <x:c r="G2709" s="12" t="str">
        <x:v>Explicit Visa enterprise-family context; see ENTERPRISE_SUPP_044 evidence.</x:v>
      </x:c>
      <x:c r="H2709" s="11" t="n">
        <x:v>3</x:v>
      </x:c>
      <x:c r="I2709" s="11" t="n">
        <x:v>3</x:v>
      </x:c>
      <x:c r="J2709" s="11" t="n">
        <x:v>3</x:v>
      </x:c>
      <x:c r="K2709" s="11" t="n">
        <x:v>0</x:v>
      </x:c>
      <x:c r="L2709" s="17" t="n">
        <x:f>SUM(SUMIFS('Costing'!$P$9:$P$492,'Costing'!$A$9:$A$492,"PARTNER-M175"))</x:f>
        <x:v>120000</x:v>
      </x:c>
      <x:c r="M2709" s="17" t="n">
        <x:f>ROUND(L2709*'Costing'!$C$4,2)</x:f>
        <x:v>21600</x:v>
      </x:c>
      <x:c r="N2709" s="17" t="n">
        <x:f>L2709+M2709</x:f>
        <x:v>141600</x:v>
      </x:c>
      <x:c r="O2709" s="12" t="str">
        <x:v>Mumbai</x:v>
      </x:c>
      <x:c r="P2709" s="12" t="str">
        <x:v>CORP-0592, CORP-0593, CORP-0594</x:v>
      </x:c>
      <x:c r="Q2709" s="12" t="str">
        <x:v>Visa Inc</x:v>
      </x:c>
    </x:row>
    <x:row r="2710" ht="48" customHeight="1">
      <x:c r="A2710" s="2" t="str">
        <x:v>TEN-520E38F2296E</x:v>
      </x:c>
      <x:c r="B2710" s="12" t="str">
        <x:v>Visamint</x:v>
      </x:c>
      <x:c r="C2710" s="12" t="str">
        <x:v>Business / brand</x:v>
      </x:c>
      <x:c r="D2710" s="12" t="str">
        <x:v>Professional services</x:v>
      </x:c>
      <x:c r="E2710" s="12" t="str">
        <x:v>Immigration &amp; relocation services</x:v>
      </x:c>
      <x:c r="F2710" s="12" t="str">
        <x:v>Small-scale prospects</x:v>
      </x:c>
      <x:c r="G2710" s="12" t="str">
        <x:v>Professional service, agency or advisory model; small-scale prospect assumption.</x:v>
      </x:c>
      <x:c r="H2710" s="11" t="n">
        <x:v>1</x:v>
      </x:c>
      <x:c r="I2710" s="11" t="n">
        <x:v>3</x:v>
      </x:c>
      <x:c r="J2710" s="11" t="n">
        <x:v>3</x:v>
      </x:c>
      <x:c r="K2710" s="11" t="n">
        <x:v>0</x:v>
      </x:c>
      <x:c r="L2710" s="17" t="n">
        <x:f>SUM(SUMIFS('Costing'!$P$9:$P$492,'Costing'!$A$9:$A$492,"MAIN-221"))</x:f>
        <x:v>45000</x:v>
      </x:c>
      <x:c r="M2710" s="17" t="n">
        <x:f>ROUND(L2710*'Costing'!$C$4,2)</x:f>
        <x:v>8100</x:v>
      </x:c>
      <x:c r="N2710" s="17" t="n">
        <x:f>L2710+M2710</x:f>
        <x:v>53100</x:v>
      </x:c>
      <x:c r="O2710" s="12" t="str">
        <x:v>Hyderabad</x:v>
      </x:c>
      <x:c r="P2710" s="12" t="str">
        <x:v>CORP-0217</x:v>
      </x:c>
      <x:c r="Q2710" s="12" t="str">
        <x:v>Visamint</x:v>
      </x:c>
    </x:row>
    <x:row r="2711" ht="48" customHeight="1">
      <x:c r="A2711" s="2" t="str">
        <x:v>TEN-7CDCC156D8FE</x:v>
      </x:c>
      <x:c r="B2711" s="12" t="str">
        <x:v>Visamint overseas service</x:v>
      </x:c>
      <x:c r="C2711" s="12" t="str">
        <x:v>Business / brand</x:v>
      </x:c>
      <x:c r="D2711" s="12" t="str">
        <x:v>Professional services</x:v>
      </x:c>
      <x:c r="E2711" s="12" t="str">
        <x:v>Immigration &amp; relocation services</x:v>
      </x:c>
      <x:c r="F2711" s="12" t="str">
        <x:v>Small-scale prospects</x:v>
      </x:c>
      <x:c r="G2711" s="12" t="str">
        <x:v>Professional service, agency or advisory model; small-scale prospect assumption.</x:v>
      </x:c>
      <x:c r="H2711" s="11" t="n">
        <x:v>1</x:v>
      </x:c>
      <x:c r="I2711" s="11" t="n">
        <x:v>2</x:v>
      </x:c>
      <x:c r="J2711" s="11" t="n">
        <x:v>2</x:v>
      </x:c>
      <x:c r="K2711" s="11" t="n">
        <x:v>0</x:v>
      </x:c>
      <x:c r="L2711" s="17" t="n">
        <x:f>SUM(SUMIFS('Costing'!$P$9:$P$492,'Costing'!$A$9:$A$492,"MAIN-219"))</x:f>
        <x:v>30000</x:v>
      </x:c>
      <x:c r="M2711" s="17" t="n">
        <x:f>ROUND(L2711*'Costing'!$C$4,2)</x:f>
        <x:v>5400</x:v>
      </x:c>
      <x:c r="N2711" s="17" t="n">
        <x:f>L2711+M2711</x:f>
        <x:v>35400</x:v>
      </x:c>
      <x:c r="O2711" s="12" t="str">
        <x:v>Hyderabad</x:v>
      </x:c>
      <x:c r="P2711" s="12" t="str">
        <x:v>CORP-0215</x:v>
      </x:c>
      <x:c r="Q2711" s="12" t="str">
        <x:v>Visamint overseas service</x:v>
      </x:c>
    </x:row>
    <x:row r="2712" ht="48" customHeight="1">
      <x:c r="A2712" s="2" t="str">
        <x:v>TEN-82ABCD71B901</x:v>
      </x:c>
      <x:c r="B2712" s="12" t="str">
        <x:v>Visible Alpha</x:v>
      </x:c>
      <x:c r="C2712" s="12" t="str">
        <x:v>Business / brand</x:v>
      </x:c>
      <x:c r="D2712" s="12" t="str">
        <x:v>IT &amp; digital</x:v>
      </x:c>
      <x:c r="E2712" s="12" t="str">
        <x:v>Enterprise software &amp; digital engineering</x:v>
      </x:c>
      <x:c r="F2712" s="12" t="str">
        <x:v>Small-scale prospects</x:v>
      </x:c>
      <x:c r="G2712" s="12" t="str">
        <x:v>Software or technology-services business; small-scale prospect assumption.</x:v>
      </x:c>
      <x:c r="H2712" s="11" t="n">
        <x:v>4</x:v>
      </x:c>
      <x:c r="I2712" s="11" t="n">
        <x:v>4</x:v>
      </x:c>
      <x:c r="J2712" s="11" t="n">
        <x:v>4</x:v>
      </x:c>
      <x:c r="K2712" s="11" t="n">
        <x:v>0</x:v>
      </x:c>
      <x:c r="L2712" s="17" t="n">
        <x:f>SUM(SUMIFS('Costing'!$P$9:$P$492,'Costing'!$A$9:$A$492,"PARTNER-M375"))</x:f>
        <x:v>160000</x:v>
      </x:c>
      <x:c r="M2712" s="17" t="n">
        <x:f>ROUND(L2712*'Costing'!$C$4,2)</x:f>
        <x:v>28800</x:v>
      </x:c>
      <x:c r="N2712" s="17" t="n">
        <x:f>L2712+M2712</x:f>
        <x:v>188800</x:v>
      </x:c>
      <x:c r="O2712" s="12" t="str">
        <x:v>Delhi NCR</x:v>
      </x:c>
      <x:c r="P2712" s="12" t="str">
        <x:v>CORP-0788, CORP-0789, CORP-0790, CORP-0791</x:v>
      </x:c>
      <x:c r="Q2712" s="12" t="str">
        <x:v>Visible Alpha</x:v>
      </x:c>
    </x:row>
    <x:row r="2713" ht="48" customHeight="1">
      <x:c r="A2713" s="2" t="str">
        <x:v>TEN-24071FD75C0B</x:v>
      </x:c>
      <x:c r="B2713" s="12" t="str">
        <x:v>Vision Engineering</x:v>
      </x:c>
      <x:c r="C2713" s="12" t="str">
        <x:v>Business / brand</x:v>
      </x:c>
      <x:c r="D2713" s="12" t="str">
        <x:v>Engineering &amp; manufacturing</x:v>
      </x:c>
      <x:c r="E2713" s="12" t="str">
        <x:v>Energy, electrical &amp; industrial systems</x:v>
      </x:c>
      <x:c r="F2713" s="12" t="str">
        <x:v>Medium-scale prospects</x:v>
      </x:c>
      <x:c r="G2713" s="12" t="str">
        <x:v>Specialist industrial or engineering business; medium-scale prospect assumption.</x:v>
      </x:c>
      <x:c r="H2713" s="11" t="n">
        <x:v>3</x:v>
      </x:c>
      <x:c r="I2713" s="11" t="n">
        <x:v>8</x:v>
      </x:c>
      <x:c r="J2713" s="11" t="n">
        <x:v>8</x:v>
      </x:c>
      <x:c r="K2713" s="11" t="n">
        <x:v>0</x:v>
      </x:c>
      <x:c r="L2713" s="17" t="n">
        <x:f>SUM(SUMIFS('Costing'!$P$9:$P$492,'Costing'!$A$9:$A$492,"MAIN-343"),SUMIFS('Costing'!$P$9:$P$492,'Costing'!$A$9:$A$492,"MAIN-344"),SUMIFS('Costing'!$P$9:$P$492,'Costing'!$A$9:$A$492,"MAIN-346"))</x:f>
        <x:v>120000</x:v>
      </x:c>
      <x:c r="M2713" s="17" t="n">
        <x:f>ROUND(L2713*'Costing'!$C$4,2)</x:f>
        <x:v>21600</x:v>
      </x:c>
      <x:c r="N2713" s="17" t="n">
        <x:f>L2713+M2713</x:f>
        <x:v>141600</x:v>
      </x:c>
      <x:c r="O2713" s="12" t="str">
        <x:v>Mumbai</x:v>
      </x:c>
      <x:c r="P2713" s="12" t="str">
        <x:v>CORP-0339, CORP-0340, CORP-0342</x:v>
      </x:c>
      <x:c r="Q2713" s="12" t="str">
        <x:v>Vision Engineering</x:v>
      </x:c>
    </x:row>
    <x:row r="2714" ht="48" customHeight="1">
      <x:c r="A2714" s="2" t="str">
        <x:v>TEN-C180FD5F29F8</x:v>
      </x:c>
      <x:c r="B2714" s="12" t="str">
        <x:v>Vision Tech Private Limited</x:v>
      </x:c>
      <x:c r="C2714" s="12" t="str">
        <x:v>Business / brand</x:v>
      </x:c>
      <x:c r="D2714" s="12" t="str">
        <x:v>Unresolved</x:v>
      </x:c>
      <x:c r="E2714" s="12" t="str">
        <x:v>Business activity not established</x:v>
      </x:c>
      <x:c r="F2714" s="12" t="str">
        <x:v>Mixed business audience</x:v>
      </x:c>
      <x:c r="G2714" s="12" t="str">
        <x:v>Business activity and company scale are not established from this name.</x:v>
      </x:c>
      <x:c r="H2714" s="11" t="n">
        <x:v>1</x:v>
      </x:c>
      <x:c r="I2714" s="11" t="n">
        <x:v>2</x:v>
      </x:c>
      <x:c r="J2714" s="11" t="n">
        <x:v>2</x:v>
      </x:c>
      <x:c r="K2714" s="11" t="n">
        <x:v>0</x:v>
      </x:c>
      <x:c r="L2714" s="17" t="n">
        <x:f>SUM(SUMIFS('Costing'!$P$9:$P$492,'Costing'!$A$9:$A$492,"MAIN-095"))</x:f>
        <x:v>30000</x:v>
      </x:c>
      <x:c r="M2714" s="17" t="n">
        <x:f>ROUND(L2714*'Costing'!$C$4,2)</x:f>
        <x:v>5400</x:v>
      </x:c>
      <x:c r="N2714" s="17" t="n">
        <x:f>L2714+M2714</x:f>
        <x:v>35400</x:v>
      </x:c>
      <x:c r="O2714" s="12" t="str">
        <x:v>Bengaluru</x:v>
      </x:c>
      <x:c r="P2714" s="12" t="str">
        <x:v>CORP-0091</x:v>
      </x:c>
      <x:c r="Q2714" s="12" t="str">
        <x:v>Vision Tech Private Limited</x:v>
      </x:c>
    </x:row>
    <x:row r="2715" ht="48" customHeight="1">
      <x:c r="A2715" s="2" t="str">
        <x:v>TEN-25F7C5FC4BE0</x:v>
      </x:c>
      <x:c r="B2715" s="12" t="str">
        <x:v>Visteon Technical And Services Center</x:v>
      </x:c>
      <x:c r="C2715" s="12" t="str">
        <x:v>Business / brand</x:v>
      </x:c>
      <x:c r="D2715" s="12" t="str">
        <x:v>Engineering &amp; manufacturing</x:v>
      </x:c>
      <x:c r="E2715" s="12" t="str">
        <x:v>Engineering/manufacturing — specialty unverified</x:v>
      </x:c>
      <x:c r="F2715" s="12" t="str">
        <x:v>Mixed business audience</x:v>
      </x:c>
      <x:c r="G2715" s="12" t="str">
        <x:v>Recognisable business context; company-scale evidence remains insufficient for a single size band.</x:v>
      </x:c>
      <x:c r="H2715" s="11" t="n">
        <x:v>5</x:v>
      </x:c>
      <x:c r="I2715" s="11" t="n">
        <x:v>5</x:v>
      </x:c>
      <x:c r="J2715" s="11" t="n">
        <x:v>5</x:v>
      </x:c>
      <x:c r="K2715" s="11" t="n">
        <x:v>0</x:v>
      </x:c>
      <x:c r="L2715" s="17" t="n">
        <x:f>SUM(SUMIFS('Costing'!$P$9:$P$492,'Costing'!$A$9:$A$492,"PARTNER-M268"))</x:f>
        <x:v>200000</x:v>
      </x:c>
      <x:c r="M2715" s="17" t="n">
        <x:f>ROUND(L2715*'Costing'!$C$4,2)</x:f>
        <x:v>36000</x:v>
      </x:c>
      <x:c r="N2715" s="17" t="n">
        <x:f>L2715+M2715</x:f>
        <x:v>236000</x:v>
      </x:c>
      <x:c r="O2715" s="12" t="str">
        <x:v>Pune</x:v>
      </x:c>
      <x:c r="P2715" s="12" t="str">
        <x:v>CORP-0684, CORP-0685, CORP-0686, CORP-0687, CORP-0688</x:v>
      </x:c>
      <x:c r="Q2715" s="12" t="str">
        <x:v>Visteon Technical And Services Center</x:v>
      </x:c>
    </x:row>
    <x:row r="2716" ht="48" customHeight="1">
      <x:c r="A2716" s="2" t="str">
        <x:v>TEN-2043A419E121</x:v>
      </x:c>
      <x:c r="B2716" s="12" t="str">
        <x:v>Visual IT Solutions Pvt Ltd</x:v>
      </x:c>
      <x:c r="C2716" s="12" t="str">
        <x:v>Business / brand</x:v>
      </x:c>
      <x:c r="D2716" s="12" t="str">
        <x:v>IT &amp; digital</x:v>
      </x:c>
      <x:c r="E2716" s="12" t="str">
        <x:v>Enterprise software &amp; digital engineering</x:v>
      </x:c>
      <x:c r="F2716" s="12" t="str">
        <x:v>Small-scale prospects</x:v>
      </x:c>
      <x:c r="G2716" s="12" t="str">
        <x:v>Software or technology-services business; small-scale prospect assumption.</x:v>
      </x:c>
      <x:c r="H2716" s="11" t="n">
        <x:v>5</x:v>
      </x:c>
      <x:c r="I2716" s="11" t="n">
        <x:v>5</x:v>
      </x:c>
      <x:c r="J2716" s="11" t="n">
        <x:v>5</x:v>
      </x:c>
      <x:c r="K2716" s="11" t="n">
        <x:v>0</x:v>
      </x:c>
      <x:c r="L2716" s="17" t="n">
        <x:f>SUM(SUMIFS('Costing'!$P$9:$P$492,'Costing'!$A$9:$A$492,"PARTNER-M295"))</x:f>
        <x:v>200000</x:v>
      </x:c>
      <x:c r="M2716" s="17" t="n">
        <x:f>ROUND(L2716*'Costing'!$C$4,2)</x:f>
        <x:v>36000</x:v>
      </x:c>
      <x:c r="N2716" s="17" t="n">
        <x:f>L2716+M2716</x:f>
        <x:v>236000</x:v>
      </x:c>
      <x:c r="O2716" s="12" t="str">
        <x:v>Hyderabad</x:v>
      </x:c>
      <x:c r="P2716" s="12" t="str">
        <x:v>CORP-0710, CORP-0711, CORP-0712, CORP-0713, CORP-0714</x:v>
      </x:c>
      <x:c r="Q2716" s="12" t="str">
        <x:v>Visual IT Solutions Pvt Ltd</x:v>
      </x:c>
    </x:row>
    <x:row r="2717" ht="48" customHeight="1">
      <x:c r="A2717" s="2" t="str">
        <x:v>TEN-AF4A0F3BF801</x:v>
      </x:c>
      <x:c r="B2717" s="12" t="str">
        <x:v>Visvi Info Private Limited</x:v>
      </x:c>
      <x:c r="C2717" s="12" t="str">
        <x:v>Business / brand</x:v>
      </x:c>
      <x:c r="D2717" s="12" t="str">
        <x:v>Unresolved</x:v>
      </x:c>
      <x:c r="E2717" s="12" t="str">
        <x:v>Business activity not established</x:v>
      </x:c>
      <x:c r="F2717" s="12" t="str">
        <x:v>Mixed business audience</x:v>
      </x:c>
      <x:c r="G2717" s="12" t="str">
        <x:v>Business activity and company scale are not established from this name.</x:v>
      </x:c>
      <x:c r="H2717" s="11" t="n">
        <x:v>1</x:v>
      </x:c>
      <x:c r="I2717" s="11" t="n">
        <x:v>2</x:v>
      </x:c>
      <x:c r="J2717" s="11" t="n">
        <x:v>2</x:v>
      </x:c>
      <x:c r="K2717" s="11" t="n">
        <x:v>0</x:v>
      </x:c>
      <x:c r="L2717" s="17" t="n">
        <x:f>SUM(SUMIFS('Costing'!$P$9:$P$492,'Costing'!$A$9:$A$492,"MAIN-251"))</x:f>
        <x:v>40000</x:v>
      </x:c>
      <x:c r="M2717" s="17" t="n">
        <x:f>ROUND(L2717*'Costing'!$C$4,2)</x:f>
        <x:v>7200</x:v>
      </x:c>
      <x:c r="N2717" s="17" t="n">
        <x:f>L2717+M2717</x:f>
        <x:v>47200</x:v>
      </x:c>
      <x:c r="O2717" s="12" t="str">
        <x:v>Hyderabad</x:v>
      </x:c>
      <x:c r="P2717" s="12" t="str">
        <x:v>CORP-0247</x:v>
      </x:c>
      <x:c r="Q2717" s="12" t="str">
        <x:v>Visvi Info Private Limited</x:v>
      </x:c>
    </x:row>
    <x:row r="2718" ht="48" customHeight="1">
      <x:c r="A2718" s="2" t="str">
        <x:v>TEN-5362C2C3DA52</x:v>
      </x:c>
      <x:c r="B2718" s="12" t="str">
        <x:v>VITO</x:v>
      </x:c>
      <x:c r="C2718" s="12" t="str">
        <x:v>Business / brand</x:v>
      </x:c>
      <x:c r="D2718" s="12" t="str">
        <x:v>Unresolved</x:v>
      </x:c>
      <x:c r="E2718" s="12" t="str">
        <x:v>Business activity not established</x:v>
      </x:c>
      <x:c r="F2718" s="12" t="str">
        <x:v>Mixed business audience</x:v>
      </x:c>
      <x:c r="G2718" s="12" t="str">
        <x:v>Business activity and company scale are not established from this name.</x:v>
      </x:c>
      <x:c r="H2718" s="11" t="n">
        <x:v>1</x:v>
      </x:c>
      <x:c r="I2718" s="11" t="n">
        <x:v>1</x:v>
      </x:c>
      <x:c r="J2718" s="11" t="n">
        <x:v>1</x:v>
      </x:c>
      <x:c r="K2718" s="11" t="n">
        <x:v>0</x:v>
      </x:c>
      <x:c r="L2718" s="17" t="n">
        <x:f>SUM(SUMIFS('Costing'!$P$9:$P$492,'Costing'!$A$9:$A$492,"MAIN-295"))</x:f>
        <x:v>15000</x:v>
      </x:c>
      <x:c r="M2718" s="17" t="n">
        <x:f>ROUND(L2718*'Costing'!$C$4,2)</x:f>
        <x:v>2700</x:v>
      </x:c>
      <x:c r="N2718" s="17" t="n">
        <x:f>L2718+M2718</x:f>
        <x:v>17700</x:v>
      </x:c>
      <x:c r="O2718" s="12" t="str">
        <x:v>Mumbai</x:v>
      </x:c>
      <x:c r="P2718" s="12" t="str">
        <x:v>CORP-0291</x:v>
      </x:c>
      <x:c r="Q2718" s="12" t="str">
        <x:v>VITO</x:v>
      </x:c>
    </x:row>
    <x:row r="2719" ht="48" customHeight="1">
      <x:c r="A2719" s="2" t="str">
        <x:v>TEN-C93E32AC59F9</x:v>
      </x:c>
      <x:c r="B2719" s="12" t="str">
        <x:v>VITS Hotels(Corporate Office)</x:v>
      </x:c>
      <x:c r="C2719" s="12" t="str">
        <x:v>Business / brand</x:v>
      </x:c>
      <x:c r="D2719" s="12" t="str">
        <x:v>Trade, consumer &amp; logistics</x:v>
      </x:c>
      <x:c r="E2719" s="12" t="str">
        <x:v>Travel, hospitality, food &amp; beverages</x:v>
      </x:c>
      <x:c r="F2719" s="12" t="str">
        <x:v>Mixed business audience</x:v>
      </x:c>
      <x:c r="G2719" s="12" t="str">
        <x:v>Established brand or business network; local company scale is not established. Use a mixed-business message.</x:v>
      </x:c>
      <x:c r="H2719" s="11" t="n">
        <x:v>4</x:v>
      </x:c>
      <x:c r="I2719" s="11" t="n">
        <x:v>4</x:v>
      </x:c>
      <x:c r="J2719" s="11" t="n">
        <x:v>4</x:v>
      </x:c>
      <x:c r="K2719" s="11" t="n">
        <x:v>0</x:v>
      </x:c>
      <x:c r="L2719" s="17" t="n">
        <x:f>SUM(SUMIFS('Costing'!$P$9:$P$492,'Costing'!$A$9:$A$492,"PARTNER-M247"))</x:f>
        <x:v>160000</x:v>
      </x:c>
      <x:c r="M2719" s="17" t="n">
        <x:f>ROUND(L2719*'Costing'!$C$4,2)</x:f>
        <x:v>28800</x:v>
      </x:c>
      <x:c r="N2719" s="17" t="n">
        <x:f>L2719+M2719</x:f>
        <x:v>188800</x:v>
      </x:c>
      <x:c r="O2719" s="12" t="str">
        <x:v>Mumbai</x:v>
      </x:c>
      <x:c r="P2719" s="12" t="str">
        <x:v>CORP-0664, CORP-0665, CORP-0666, CORP-0667</x:v>
      </x:c>
      <x:c r="Q2719" s="12" t="str">
        <x:v>VITS Hotels(Corporate Office)</x:v>
      </x:c>
    </x:row>
    <x:row r="2720" ht="48" customHeight="1">
      <x:c r="A2720" s="2" t="str">
        <x:v>TEN-8A7939DD00E0</x:v>
      </x:c>
      <x:c r="B2720" s="12" t="str">
        <x:v>Viva Composite Panel Pvt Ltd</x:v>
      </x:c>
      <x:c r="C2720" s="12" t="str">
        <x:v>Business / brand</x:v>
      </x:c>
      <x:c r="D2720" s="12" t="str">
        <x:v>Engineering &amp; manufacturing</x:v>
      </x:c>
      <x:c r="E2720" s="12" t="str">
        <x:v>Chemicals, materials &amp; industrial manufacturing</x:v>
      </x:c>
      <x:c r="F2720" s="12" t="str">
        <x:v>Medium-scale prospects</x:v>
      </x:c>
      <x:c r="G2720" s="12" t="str">
        <x:v>Specialist industrial or engineering business; medium-scale prospect assumption.</x:v>
      </x:c>
      <x:c r="H2720" s="11" t="n">
        <x:v>1</x:v>
      </x:c>
      <x:c r="I2720" s="11" t="n">
        <x:v>4</x:v>
      </x:c>
      <x:c r="J2720" s="11" t="n">
        <x:v>4</x:v>
      </x:c>
      <x:c r="K2720" s="11" t="n">
        <x:v>0</x:v>
      </x:c>
      <x:c r="L2720" s="17" t="n">
        <x:f>SUM(SUMIFS('Costing'!$P$9:$P$492,'Costing'!$A$9:$A$492,"MAIN-352"))</x:f>
        <x:v>80000</x:v>
      </x:c>
      <x:c r="M2720" s="17" t="n">
        <x:f>ROUND(L2720*'Costing'!$C$4,2)</x:f>
        <x:v>14400</x:v>
      </x:c>
      <x:c r="N2720" s="17" t="n">
        <x:f>L2720+M2720</x:f>
        <x:v>94400</x:v>
      </x:c>
      <x:c r="O2720" s="12" t="str">
        <x:v>Mumbai</x:v>
      </x:c>
      <x:c r="P2720" s="12" t="str">
        <x:v>CORP-0348</x:v>
      </x:c>
      <x:c r="Q2720" s="12" t="str">
        <x:v>Viva Composite Panel Pvt Ltd</x:v>
      </x:c>
    </x:row>
    <x:row r="2721" ht="48" customHeight="1">
      <x:c r="A2721" s="2" t="str">
        <x:v>TEN-508DF31D63FB</x:v>
      </x:c>
      <x:c r="B2721" s="12" t="str">
        <x:v>Vivero International</x:v>
      </x:c>
      <x:c r="C2721" s="12" t="str">
        <x:v>Business / brand</x:v>
      </x:c>
      <x:c r="D2721" s="12" t="str">
        <x:v>Education</x:v>
      </x:c>
      <x:c r="E2721" s="12" t="str">
        <x:v>Education, training &amp; childcare</x:v>
      </x:c>
      <x:c r="F2721" s="12" t="str">
        <x:v>Mixed business audience</x:v>
      </x:c>
      <x:c r="G2721" s="12" t="str">
        <x:v>Established brand or business network; local company scale is not established. Use a mixed-business message.</x:v>
      </x:c>
      <x:c r="H2721" s="11" t="n">
        <x:v>5</x:v>
      </x:c>
      <x:c r="I2721" s="11" t="n">
        <x:v>5</x:v>
      </x:c>
      <x:c r="J2721" s="11" t="n">
        <x:v>5</x:v>
      </x:c>
      <x:c r="K2721" s="11" t="n">
        <x:v>0</x:v>
      </x:c>
      <x:c r="L2721" s="17" t="n">
        <x:f>SUM(SUMIFS('Costing'!$P$9:$P$492,'Costing'!$A$9:$A$492,"PARTNER-M060"))</x:f>
        <x:v>200000</x:v>
      </x:c>
      <x:c r="M2721" s="17" t="n">
        <x:f>ROUND(L2721*'Costing'!$C$4,2)</x:f>
        <x:v>36000</x:v>
      </x:c>
      <x:c r="N2721" s="17" t="n">
        <x:f>L2721+M2721</x:f>
        <x:v>236000</x:v>
      </x:c>
      <x:c r="O2721" s="12" t="str">
        <x:v>Bengaluru</x:v>
      </x:c>
      <x:c r="P2721" s="12" t="str">
        <x:v>CORP-0478, CORP-0479, CORP-0480, CORP-0481, CORP-0482</x:v>
      </x:c>
      <x:c r="Q2721" s="12" t="str">
        <x:v>Vivero International</x:v>
      </x:c>
    </x:row>
    <x:row r="2722" ht="48" customHeight="1">
      <x:c r="A2722" s="2" t="str">
        <x:v>TEN-E99C8208C589</x:v>
      </x:c>
      <x:c r="B2722" s="12" t="str">
        <x:v>Vivriti Asset Management Pvt Ltd</x:v>
      </x:c>
      <x:c r="C2722" s="12" t="str">
        <x:v>Business / brand</x:v>
      </x:c>
      <x:c r="D2722" s="12" t="str">
        <x:v>Finance &amp; insurance</x:v>
      </x:c>
      <x:c r="E2722" s="12" t="str">
        <x:v>Financial services — specialty unverified</x:v>
      </x:c>
      <x:c r="F2722" s="12" t="str">
        <x:v>Mixed business audience</x:v>
      </x:c>
      <x:c r="G2722" s="12" t="str">
        <x:v>Established brand or business network; local company scale is not established. Use a mixed-business message.</x:v>
      </x:c>
      <x:c r="H2722" s="11" t="n">
        <x:v>2</x:v>
      </x:c>
      <x:c r="I2722" s="11" t="n">
        <x:v>2</x:v>
      </x:c>
      <x:c r="J2722" s="11" t="n">
        <x:v>2</x:v>
      </x:c>
      <x:c r="K2722" s="11" t="n">
        <x:v>0</x:v>
      </x:c>
      <x:c r="L2722" s="17" t="n">
        <x:f>SUM(SUMIFS('Costing'!$P$9:$P$492,'Costing'!$A$9:$A$492,"PARTNER-M334"))</x:f>
        <x:v>80000</x:v>
      </x:c>
      <x:c r="M2722" s="17" t="n">
        <x:f>ROUND(L2722*'Costing'!$C$4,2)</x:f>
        <x:v>14400</x:v>
      </x:c>
      <x:c r="N2722" s="17" t="n">
        <x:f>L2722+M2722</x:f>
        <x:v>94400</x:v>
      </x:c>
      <x:c r="O2722" s="12" t="str">
        <x:v>Chennai</x:v>
      </x:c>
      <x:c r="P2722" s="12" t="str">
        <x:v>CORP-0748, CORP-0749</x:v>
      </x:c>
      <x:c r="Q2722" s="12" t="str">
        <x:v>Vivriti Asset Management Pvt Ltd</x:v>
      </x:c>
    </x:row>
    <x:row r="2723" ht="48" customHeight="1">
      <x:c r="A2723" s="2" t="str">
        <x:v>TEN-8AF7B3748A5F</x:v>
      </x:c>
      <x:c r="B2723" s="12" t="str">
        <x:v>Vivriti Capital Pvt Ltd</x:v>
      </x:c>
      <x:c r="C2723" s="12" t="str">
        <x:v>Business / brand</x:v>
      </x:c>
      <x:c r="D2723" s="12" t="str">
        <x:v>Finance &amp; insurance</x:v>
      </x:c>
      <x:c r="E2723" s="12" t="str">
        <x:v>Investments, securities &amp; wealth</x:v>
      </x:c>
      <x:c r="F2723" s="12" t="str">
        <x:v>Mixed business audience</x:v>
      </x:c>
      <x:c r="G2723" s="12" t="str">
        <x:v>Established brand or business network; local company scale is not established. Use a mixed-business message.</x:v>
      </x:c>
      <x:c r="H2723" s="11" t="n">
        <x:v>2</x:v>
      </x:c>
      <x:c r="I2723" s="11" t="n">
        <x:v>2</x:v>
      </x:c>
      <x:c r="J2723" s="11" t="n">
        <x:v>2</x:v>
      </x:c>
      <x:c r="K2723" s="11" t="n">
        <x:v>0</x:v>
      </x:c>
      <x:c r="L2723" s="17" t="n">
        <x:f>SUM(SUMIFS('Costing'!$P$9:$P$492,'Costing'!$A$9:$A$492,"PARTNER-M334"))</x:f>
        <x:v>80000</x:v>
      </x:c>
      <x:c r="M2723" s="17" t="n">
        <x:f>ROUND(L2723*'Costing'!$C$4,2)</x:f>
        <x:v>14400</x:v>
      </x:c>
      <x:c r="N2723" s="17" t="n">
        <x:f>L2723+M2723</x:f>
        <x:v>94400</x:v>
      </x:c>
      <x:c r="O2723" s="12" t="str">
        <x:v>Chennai</x:v>
      </x:c>
      <x:c r="P2723" s="12" t="str">
        <x:v>CORP-0748, CORP-0749</x:v>
      </x:c>
      <x:c r="Q2723" s="12" t="str">
        <x:v>Vivriti Capital Pvt Ltd</x:v>
      </x:c>
    </x:row>
    <x:row r="2724" ht="48" customHeight="1">
      <x:c r="A2724" s="2" t="str">
        <x:v>TEN-8339DA98BD73</x:v>
      </x:c>
      <x:c r="B2724" s="12" t="str">
        <x:v>Vivusoft Technologies</x:v>
      </x:c>
      <x:c r="C2724" s="12" t="str">
        <x:v>Business / brand</x:v>
      </x:c>
      <x:c r="D2724" s="12" t="str">
        <x:v>Unresolved</x:v>
      </x:c>
      <x:c r="E2724" s="12" t="str">
        <x:v>Business activity not established</x:v>
      </x:c>
      <x:c r="F2724" s="12" t="str">
        <x:v>Mixed business audience</x:v>
      </x:c>
      <x:c r="G2724" s="12" t="str">
        <x:v>Business activity and company scale are not established from this name.</x:v>
      </x:c>
      <x:c r="H2724" s="11" t="n">
        <x:v>1</x:v>
      </x:c>
      <x:c r="I2724" s="11" t="n">
        <x:v>4</x:v>
      </x:c>
      <x:c r="J2724" s="11" t="n">
        <x:v>4</x:v>
      </x:c>
      <x:c r="K2724" s="11" t="n">
        <x:v>0</x:v>
      </x:c>
      <x:c r="L2724" s="17" t="n">
        <x:f>SUM(SUMIFS('Costing'!$P$9:$P$492,'Costing'!$A$9:$A$492,"MAIN-124"))</x:f>
        <x:v>100000</x:v>
      </x:c>
      <x:c r="M2724" s="17" t="n">
        <x:f>ROUND(L2724*'Costing'!$C$4,2)</x:f>
        <x:v>18000</x:v>
      </x:c>
      <x:c r="N2724" s="17" t="n">
        <x:f>L2724+M2724</x:f>
        <x:v>118000</x:v>
      </x:c>
      <x:c r="O2724" s="12" t="str">
        <x:v>Bengaluru</x:v>
      </x:c>
      <x:c r="P2724" s="12" t="str">
        <x:v>CORP-0120</x:v>
      </x:c>
      <x:c r="Q2724" s="12" t="str">
        <x:v>Vivusoft Technologies</x:v>
      </x:c>
    </x:row>
    <x:row r="2725" ht="48" customHeight="1">
      <x:c r="A2725" s="2" t="str">
        <x:v>TEN-1D3CF023C580</x:v>
      </x:c>
      <x:c r="B2725" s="12" t="str">
        <x:v>Vlocity Cloud Applications</x:v>
      </x:c>
      <x:c r="C2725" s="12" t="str">
        <x:v>Business / brand</x:v>
      </x:c>
      <x:c r="D2725" s="12" t="str">
        <x:v>IT &amp; digital</x:v>
      </x:c>
      <x:c r="E2725" s="12" t="str">
        <x:v>Cybersecurity &amp; cloud infrastructure</x:v>
      </x:c>
      <x:c r="F2725" s="12" t="str">
        <x:v>Mixed business audience</x:v>
      </x:c>
      <x:c r="G2725" s="12" t="str">
        <x:v>Established brand or business network; local company scale is not established. Use a mixed-business message.</x:v>
      </x:c>
      <x:c r="H2725" s="11" t="n">
        <x:v>6</x:v>
      </x:c>
      <x:c r="I2725" s="11" t="n">
        <x:v>6</x:v>
      </x:c>
      <x:c r="J2725" s="11" t="n">
        <x:v>6</x:v>
      </x:c>
      <x:c r="K2725" s="11" t="n">
        <x:v>0</x:v>
      </x:c>
      <x:c r="L2725" s="17" t="n">
        <x:f>SUM(SUMIFS('Costing'!$P$9:$P$492,'Costing'!$A$9:$A$492,"PARTNER-M072"))</x:f>
        <x:v>240000</x:v>
      </x:c>
      <x:c r="M2725" s="17" t="n">
        <x:f>ROUND(L2725*'Costing'!$C$4,2)</x:f>
        <x:v>43200</x:v>
      </x:c>
      <x:c r="N2725" s="17" t="n">
        <x:f>L2725+M2725</x:f>
        <x:v>283200</x:v>
      </x:c>
      <x:c r="O2725" s="12" t="str">
        <x:v>Bengaluru</x:v>
      </x:c>
      <x:c r="P2725" s="12" t="str">
        <x:v>CORP-0490, CORP-0491, CORP-0492, CORP-0493, CORP-0494, CORP-0495</x:v>
      </x:c>
      <x:c r="Q2725" s="12" t="str">
        <x:v>Vlocity Cloud Applications</x:v>
      </x:c>
    </x:row>
    <x:row r="2726" ht="48" customHeight="1">
      <x:c r="A2726" s="2" t="str">
        <x:v>TEN-0CDB38A6A30B</x:v>
      </x:c>
      <x:c r="B2726" s="12" t="str">
        <x:v>vMobo Mobile Pvt. Ltd</x:v>
      </x:c>
      <x:c r="C2726" s="12" t="str">
        <x:v>Business / brand</x:v>
      </x:c>
      <x:c r="D2726" s="12" t="str">
        <x:v>Unresolved</x:v>
      </x:c>
      <x:c r="E2726" s="12" t="str">
        <x:v>Business activity not established</x:v>
      </x:c>
      <x:c r="F2726" s="12" t="str">
        <x:v>Mixed business audience</x:v>
      </x:c>
      <x:c r="G2726" s="12" t="str">
        <x:v>Business activity and company scale are not established from this name.</x:v>
      </x:c>
      <x:c r="H2726" s="11" t="n">
        <x:v>1</x:v>
      </x:c>
      <x:c r="I2726" s="11" t="n">
        <x:v>7</x:v>
      </x:c>
      <x:c r="J2726" s="11" t="n">
        <x:v>7</x:v>
      </x:c>
      <x:c r="K2726" s="11" t="n">
        <x:v>0</x:v>
      </x:c>
      <x:c r="L2726" s="17" t="n">
        <x:f>SUM(SUMIFS('Costing'!$P$9:$P$492,'Costing'!$A$9:$A$492,"MAIN-129"))</x:f>
        <x:v>175000</x:v>
      </x:c>
      <x:c r="M2726" s="17" t="n">
        <x:f>ROUND(L2726*'Costing'!$C$4,2)</x:f>
        <x:v>31500</x:v>
      </x:c>
      <x:c r="N2726" s="17" t="n">
        <x:f>L2726+M2726</x:f>
        <x:v>206500</x:v>
      </x:c>
      <x:c r="O2726" s="12" t="str">
        <x:v>Bengaluru</x:v>
      </x:c>
      <x:c r="P2726" s="12" t="str">
        <x:v>CORP-0125</x:v>
      </x:c>
      <x:c r="Q2726" s="12" t="str">
        <x:v>vMobo Mobile Pvt. Ltd</x:v>
      </x:c>
    </x:row>
    <x:row r="2727" ht="49" customHeight="1">
      <x:c r="A2727" s="2" t="str">
        <x:v>TEN-592CC302663C</x:v>
      </x:c>
      <x:c r="B2727" s="12" t="str">
        <x:v>Vmware</x:v>
      </x:c>
      <x:c r="C2727" s="12" t="str">
        <x:v>Business / brand</x:v>
      </x:c>
      <x:c r="D2727" s="12" t="str">
        <x:v>IT &amp; digital</x:v>
      </x:c>
      <x:c r="E2727" s="12" t="str">
        <x:v>Cybersecurity &amp; cloud infrastructure</x:v>
      </x:c>
      <x:c r="F2727" s="12" t="str">
        <x:v>Mixed business audience</x:v>
      </x:c>
      <x:c r="G2727" s="12" t="str">
        <x:v>Recognisable business context; company-scale evidence remains insufficient for a single size band.</x:v>
      </x:c>
      <x:c r="H2727" s="11" t="n">
        <x:v>11</x:v>
      </x:c>
      <x:c r="I2727" s="11" t="n">
        <x:v>11</x:v>
      </x:c>
      <x:c r="J2727" s="11" t="n">
        <x:v>11</x:v>
      </x:c>
      <x:c r="K2727" s="11" t="n">
        <x:v>0</x:v>
      </x:c>
      <x:c r="L2727" s="17" t="n">
        <x:f>SUM(SUMIFS('Costing'!$P$9:$P$492,'Costing'!$A$9:$A$492,"PARTNER-M060"),SUMIFS('Costing'!$P$9:$P$492,'Costing'!$A$9:$A$492,"PARTNER-M039"))</x:f>
        <x:v>440000</x:v>
      </x:c>
      <x:c r="M2727" s="17" t="n">
        <x:f>ROUND(L2727*'Costing'!$C$4,2)</x:f>
        <x:v>79200</x:v>
      </x:c>
      <x:c r="N2727" s="17" t="n">
        <x:f>L2727+M2727</x:f>
        <x:v>519200</x:v>
      </x:c>
      <x:c r="O2727" s="12" t="str">
        <x:v>Bengaluru</x:v>
      </x:c>
      <x:c r="P2727" s="12" t="str">
        <x:v>CORP-0457, CORP-0458, CORP-0459, CORP-0460, CORP-0461, CORP-0462, CORP-0478, CORP-0479, CORP-0480, CORP-0481, CORP-0482</x:v>
      </x:c>
      <x:c r="Q2727" s="12" t="str">
        <x:v>Vmware, VMware</x:v>
      </x:c>
    </x:row>
    <x:row r="2728" ht="48" customHeight="1">
      <x:c r="A2728" s="2" t="str">
        <x:v>TEN-C09DEE999673</x:v>
      </x:c>
      <x:c r="B2728" s="12" t="str">
        <x:v>Vodafone</x:v>
      </x:c>
      <x:c r="C2728" s="12" t="str">
        <x:v>Business / brand</x:v>
      </x:c>
      <x:c r="D2728" s="12" t="str">
        <x:v>IT &amp; digital</x:v>
      </x:c>
      <x:c r="E2728" s="12" t="str">
        <x:v>Telecom, networks &amp; connectivity</x:v>
      </x:c>
      <x:c r="F2728" s="12" t="str">
        <x:v>Mixed business audience</x:v>
      </x:c>
      <x:c r="G2728" s="12" t="str">
        <x:v>Recognisable business context; company-scale evidence remains insufficient for a single size band.</x:v>
      </x:c>
      <x:c r="H2728" s="11" t="n">
        <x:v>6</x:v>
      </x:c>
      <x:c r="I2728" s="11" t="n">
        <x:v>7</x:v>
      </x:c>
      <x:c r="J2728" s="11" t="n">
        <x:v>7</x:v>
      </x:c>
      <x:c r="K2728" s="11" t="n">
        <x:v>0</x:v>
      </x:c>
      <x:c r="L2728" s="17" t="n">
        <x:f>SUM(SUMIFS('Costing'!$P$9:$P$492,'Costing'!$A$9:$A$492,"MAIN-413"),SUMIFS('Costing'!$P$9:$P$492,'Costing'!$A$9:$A$492,"PARTNER-M060"))</x:f>
        <x:v>280000</x:v>
      </x:c>
      <x:c r="M2728" s="17" t="n">
        <x:f>ROUND(L2728*'Costing'!$C$4,2)</x:f>
        <x:v>50400</x:v>
      </x:c>
      <x:c r="N2728" s="17" t="n">
        <x:f>L2728+M2728</x:f>
        <x:v>330400</x:v>
      </x:c>
      <x:c r="O2728" s="12" t="str">
        <x:v>Pune, Bengaluru</x:v>
      </x:c>
      <x:c r="P2728" s="12" t="str">
        <x:v>CORP-0409, CORP-0478, CORP-0479, CORP-0480, CORP-0481, CORP-0482</x:v>
      </x:c>
      <x:c r="Q2728" s="12" t="str">
        <x:v>Vodafone</x:v>
      </x:c>
    </x:row>
    <x:row r="2729" ht="48" customHeight="1">
      <x:c r="A2729" s="2" t="str">
        <x:v>TEN-748D67EDE4D7</x:v>
      </x:c>
      <x:c r="B2729" s="12" t="str">
        <x:v>Vodafone Idea store</x:v>
      </x:c>
      <x:c r="C2729" s="12" t="str">
        <x:v>Business / brand</x:v>
      </x:c>
      <x:c r="D2729" s="12" t="str">
        <x:v>IT &amp; digital</x:v>
      </x:c>
      <x:c r="E2729" s="12" t="str">
        <x:v>Telecom, networks &amp; connectivity</x:v>
      </x:c>
      <x:c r="F2729" s="12" t="str">
        <x:v>Mixed business audience</x:v>
      </x:c>
      <x:c r="G2729" s="12" t="str">
        <x:v>Recognisable business context; company-scale evidence remains insufficient for a single size band.</x:v>
      </x:c>
      <x:c r="H2729" s="11" t="n">
        <x:v>1</x:v>
      </x:c>
      <x:c r="I2729" s="11" t="n">
        <x:v>47</x:v>
      </x:c>
      <x:c r="J2729" s="11" t="n">
        <x:v>47</x:v>
      </x:c>
      <x:c r="K2729" s="11" t="n">
        <x:v>0</x:v>
      </x:c>
      <x:c r="L2729" s="17" t="n">
        <x:f>SUM(SUMIFS('Costing'!$P$9:$P$492,'Costing'!$A$9:$A$492,"MAIN-308"))</x:f>
        <x:v>705000</x:v>
      </x:c>
      <x:c r="M2729" s="17" t="n">
        <x:f>ROUND(L2729*'Costing'!$C$4,2)</x:f>
        <x:v>126900</x:v>
      </x:c>
      <x:c r="N2729" s="17" t="n">
        <x:f>L2729+M2729</x:f>
        <x:v>831900</x:v>
      </x:c>
      <x:c r="O2729" s="12" t="str">
        <x:v>Mumbai</x:v>
      </x:c>
      <x:c r="P2729" s="12" t="str">
        <x:v>CORP-0304</x:v>
      </x:c>
      <x:c r="Q2729" s="12" t="str">
        <x:v>Vodafone Idea store</x:v>
      </x:c>
    </x:row>
    <x:row r="2730" ht="48" customHeight="1">
      <x:c r="A2730" s="2" t="str">
        <x:v>TEN-6DC1E5EDD38E</x:v>
      </x:c>
      <x:c r="B2730" s="12" t="str">
        <x:v>VOdafone India ltd</x:v>
      </x:c>
      <x:c r="C2730" s="12" t="str">
        <x:v>Business / brand</x:v>
      </x:c>
      <x:c r="D2730" s="12" t="str">
        <x:v>IT &amp; digital</x:v>
      </x:c>
      <x:c r="E2730" s="12" t="str">
        <x:v>Telecom, networks &amp; connectivity</x:v>
      </x:c>
      <x:c r="F2730" s="12" t="str">
        <x:v>Mixed business audience</x:v>
      </x:c>
      <x:c r="G2730" s="12" t="str">
        <x:v>Recognisable business context; company-scale evidence remains insufficient for a single size band.</x:v>
      </x:c>
      <x:c r="H2730" s="11" t="n">
        <x:v>1</x:v>
      </x:c>
      <x:c r="I2730" s="11" t="n">
        <x:v>2</x:v>
      </x:c>
      <x:c r="J2730" s="11" t="n">
        <x:v>2</x:v>
      </x:c>
      <x:c r="K2730" s="11" t="n">
        <x:v>0</x:v>
      </x:c>
      <x:c r="L2730" s="17" t="n">
        <x:f>SUM(SUMIFS('Costing'!$P$9:$P$492,'Costing'!$A$9:$A$492,"MAIN-304"))</x:f>
        <x:v>30000</x:v>
      </x:c>
      <x:c r="M2730" s="17" t="n">
        <x:f>ROUND(L2730*'Costing'!$C$4,2)</x:f>
        <x:v>5400</x:v>
      </x:c>
      <x:c r="N2730" s="17" t="n">
        <x:f>L2730+M2730</x:f>
        <x:v>35400</x:v>
      </x:c>
      <x:c r="O2730" s="12" t="str">
        <x:v>Mumbai</x:v>
      </x:c>
      <x:c r="P2730" s="12" t="str">
        <x:v>CORP-0300</x:v>
      </x:c>
      <x:c r="Q2730" s="12" t="str">
        <x:v>VOdafone India ltd</x:v>
      </x:c>
    </x:row>
    <x:row r="2731" ht="48" customHeight="1">
      <x:c r="A2731" s="2" t="str">
        <x:v>TEN-792911A1FF69</x:v>
      </x:c>
      <x:c r="B2731" s="12" t="str">
        <x:v>VoerEir India Private Limited</x:v>
      </x:c>
      <x:c r="C2731" s="12" t="str">
        <x:v>Business / brand</x:v>
      </x:c>
      <x:c r="D2731" s="12" t="str">
        <x:v>IT &amp; digital</x:v>
      </x:c>
      <x:c r="E2731" s="12" t="str">
        <x:v>Enterprise software &amp; digital engineering</x:v>
      </x:c>
      <x:c r="F2731" s="12" t="str">
        <x:v>Small-scale prospects</x:v>
      </x:c>
      <x:c r="G2731" s="12" t="str">
        <x:v>Software or technology-services business; small-scale prospect assumption.</x:v>
      </x:c>
      <x:c r="H2731" s="11" t="n">
        <x:v>1</x:v>
      </x:c>
      <x:c r="I2731" s="11" t="n">
        <x:v>2</x:v>
      </x:c>
      <x:c r="J2731" s="11" t="n">
        <x:v>2</x:v>
      </x:c>
      <x:c r="K2731" s="11" t="n">
        <x:v>0</x:v>
      </x:c>
      <x:c r="L2731" s="17" t="n">
        <x:f>SUM(SUMIFS('Costing'!$P$9:$P$492,'Costing'!$A$9:$A$492,"MAIN-166"))</x:f>
        <x:v>40000</x:v>
      </x:c>
      <x:c r="M2731" s="17" t="n">
        <x:f>ROUND(L2731*'Costing'!$C$4,2)</x:f>
        <x:v>7200</x:v>
      </x:c>
      <x:c r="N2731" s="17" t="n">
        <x:f>L2731+M2731</x:f>
        <x:v>47200</x:v>
      </x:c>
      <x:c r="O2731" s="12" t="str">
        <x:v>Delhi NCR</x:v>
      </x:c>
      <x:c r="P2731" s="12" t="str">
        <x:v>CORP-0162</x:v>
      </x:c>
      <x:c r="Q2731" s="12" t="str">
        <x:v>VoerEir India Private Limited</x:v>
      </x:c>
    </x:row>
    <x:row r="2732" ht="48" customHeight="1">
      <x:c r="A2732" s="2" t="str">
        <x:v>TEN-18D2D996398B</x:v>
      </x:c>
      <x:c r="B2732" s="12" t="str">
        <x:v>Voith Paper Technology India Pvt Ltd</x:v>
      </x:c>
      <x:c r="C2732" s="12" t="str">
        <x:v>Business / brand</x:v>
      </x:c>
      <x:c r="D2732" s="12" t="str">
        <x:v>Engineering &amp; manufacturing</x:v>
      </x:c>
      <x:c r="E2732" s="12" t="str">
        <x:v>Electronics, industrial systems &amp; manufacturing</x:v>
      </x:c>
      <x:c r="F2732" s="12" t="str">
        <x:v>Mixed business audience</x:v>
      </x:c>
      <x:c r="G2732" s="12" t="str">
        <x:v>Established brand or business network; local company scale is not established. Use a mixed-business message.</x:v>
      </x:c>
      <x:c r="H2732" s="11" t="n">
        <x:v>1</x:v>
      </x:c>
      <x:c r="I2732" s="11" t="n">
        <x:v>1</x:v>
      </x:c>
      <x:c r="J2732" s="11" t="n">
        <x:v>1</x:v>
      </x:c>
      <x:c r="K2732" s="11" t="n">
        <x:v>0</x:v>
      </x:c>
      <x:c r="L2732" s="17" t="n">
        <x:f>SUM(SUMIFS('Costing'!$P$9:$P$492,'Costing'!$A$9:$A$492,"MAIN-281"))</x:f>
        <x:v>15000</x:v>
      </x:c>
      <x:c r="M2732" s="17" t="n">
        <x:f>ROUND(L2732*'Costing'!$C$4,2)</x:f>
        <x:v>2700</x:v>
      </x:c>
      <x:c r="N2732" s="17" t="n">
        <x:f>L2732+M2732</x:f>
        <x:v>17700</x:v>
      </x:c>
      <x:c r="O2732" s="12" t="str">
        <x:v>Kolkata</x:v>
      </x:c>
      <x:c r="P2732" s="12" t="str">
        <x:v>CORP-0277</x:v>
      </x:c>
      <x:c r="Q2732" s="12" t="str">
        <x:v>Voith Paper Technology India Pvt Ltd</x:v>
      </x:c>
    </x:row>
    <x:row r="2733" ht="49" customHeight="1">
      <x:c r="A2733" s="2" t="str">
        <x:v>TEN-BCCAE4CE7BE6</x:v>
      </x:c>
      <x:c r="B2733" s="12" t="str">
        <x:v>Volvo</x:v>
      </x:c>
      <x:c r="C2733" s="12" t="str">
        <x:v>Business / brand</x:v>
      </x:c>
      <x:c r="D2733" s="12" t="str">
        <x:v>Engineering &amp; manufacturing</x:v>
      </x:c>
      <x:c r="E2733" s="12" t="str">
        <x:v>Automotive, mobility &amp; aerospace</x:v>
      </x:c>
      <x:c r="F2733" s="12" t="str">
        <x:v>Mixed business audience</x:v>
      </x:c>
      <x:c r="G2733" s="12" t="str">
        <x:v>Recognisable business context; company-scale evidence remains insufficient for a single size band.</x:v>
      </x:c>
      <x:c r="H2733" s="11" t="n">
        <x:v>12</x:v>
      </x:c>
      <x:c r="I2733" s="11" t="n">
        <x:v>12</x:v>
      </x:c>
      <x:c r="J2733" s="11" t="n">
        <x:v>12</x:v>
      </x:c>
      <x:c r="K2733" s="11" t="n">
        <x:v>0</x:v>
      </x:c>
      <x:c r="L2733" s="17" t="n">
        <x:f>SUM(SUMIFS('Costing'!$P$9:$P$492,'Costing'!$A$9:$A$492,"PARTNER-M108"))</x:f>
        <x:v>480000</x:v>
      </x:c>
      <x:c r="M2733" s="17" t="n">
        <x:f>ROUND(L2733*'Costing'!$C$4,2)</x:f>
        <x:v>86400</x:v>
      </x:c>
      <x:c r="N2733" s="17" t="n">
        <x:f>L2733+M2733</x:f>
        <x:v>566400</x:v>
      </x:c>
      <x:c r="O2733" s="12" t="str">
        <x:v>Bengaluru</x:v>
      </x:c>
      <x:c r="P2733" s="12" t="str">
        <x:v>CORP-0526, CORP-0527, CORP-0528, CORP-0529, CORP-0530, CORP-0531, CORP-0532, CORP-0533, CORP-0534, CORP-0535, CORP-0536, CORP-0537</x:v>
      </x:c>
      <x:c r="Q2733" s="12" t="str">
        <x:v>Volvo</x:v>
      </x:c>
    </x:row>
    <x:row r="2734" ht="48" customHeight="1">
      <x:c r="A2734" s="2" t="str">
        <x:v>TEN-27D00A6A3558</x:v>
      </x:c>
      <x:c r="B2734" s="12" t="str">
        <x:v>Voonik Technologies Pvt. Ltd</x:v>
      </x:c>
      <x:c r="C2734" s="12" t="str">
        <x:v>Business / brand</x:v>
      </x:c>
      <x:c r="D2734" s="12" t="str">
        <x:v>Trade, consumer &amp; logistics</x:v>
      </x:c>
      <x:c r="E2734" s="12" t="str">
        <x:v>Retail, consumer products &amp; ecommerce</x:v>
      </x:c>
      <x:c r="F2734" s="12" t="str">
        <x:v>Small-scale prospects</x:v>
      </x:c>
      <x:c r="G2734" s="12" t="str">
        <x:v>Trading or consumer-services business; small-scale prospect assumption.</x:v>
      </x:c>
      <x:c r="H2734" s="11" t="n">
        <x:v>5</x:v>
      </x:c>
      <x:c r="I2734" s="11" t="n">
        <x:v>5</x:v>
      </x:c>
      <x:c r="J2734" s="11" t="n">
        <x:v>5</x:v>
      </x:c>
      <x:c r="K2734" s="11" t="n">
        <x:v>0</x:v>
      </x:c>
      <x:c r="L2734" s="17" t="n">
        <x:f>SUM(SUMIFS('Costing'!$P$9:$P$492,'Costing'!$A$9:$A$492,"PARTNER-M051"))</x:f>
        <x:v>200000</x:v>
      </x:c>
      <x:c r="M2734" s="17" t="n">
        <x:f>ROUND(L2734*'Costing'!$C$4,2)</x:f>
        <x:v>36000</x:v>
      </x:c>
      <x:c r="N2734" s="17" t="n">
        <x:f>L2734+M2734</x:f>
        <x:v>236000</x:v>
      </x:c>
      <x:c r="O2734" s="12" t="str">
        <x:v>Bengaluru</x:v>
      </x:c>
      <x:c r="P2734" s="12" t="str">
        <x:v>CORP-0469, CORP-0470, CORP-0471, CORP-0472, CORP-0473</x:v>
      </x:c>
      <x:c r="Q2734" s="12" t="str">
        <x:v>Voonik Technologies Pvt. Ltd</x:v>
      </x:c>
    </x:row>
    <x:row r="2735" ht="48" customHeight="1">
      <x:c r="A2735" s="2" t="str">
        <x:v>TEN-C023C86F4E67</x:v>
      </x:c>
      <x:c r="B2735" s="12" t="str">
        <x:v>Voxo studios</x:v>
      </x:c>
      <x:c r="C2735" s="12" t="str">
        <x:v>Business / brand</x:v>
      </x:c>
      <x:c r="D2735" s="12" t="str">
        <x:v>Unresolved</x:v>
      </x:c>
      <x:c r="E2735" s="12" t="str">
        <x:v>Business activity not established</x:v>
      </x:c>
      <x:c r="F2735" s="12" t="str">
        <x:v>Mixed business audience</x:v>
      </x:c>
      <x:c r="G2735" s="12" t="str">
        <x:v>Business activity and company scale are not established from this name.</x:v>
      </x:c>
      <x:c r="H2735" s="11" t="n">
        <x:v>1</x:v>
      </x:c>
      <x:c r="I2735" s="11" t="n">
        <x:v>1</x:v>
      </x:c>
      <x:c r="J2735" s="11" t="n">
        <x:v>1</x:v>
      </x:c>
      <x:c r="K2735" s="11" t="n">
        <x:v>0</x:v>
      </x:c>
      <x:c r="L2735" s="17" t="n">
        <x:f>SUM(SUMIFS('Costing'!$P$9:$P$492,'Costing'!$A$9:$A$492,"MAIN-175"))</x:f>
        <x:v>15000</x:v>
      </x:c>
      <x:c r="M2735" s="17" t="n">
        <x:f>ROUND(L2735*'Costing'!$C$4,2)</x:f>
        <x:v>2700</x:v>
      </x:c>
      <x:c r="N2735" s="17" t="n">
        <x:f>L2735+M2735</x:f>
        <x:v>17700</x:v>
      </x:c>
      <x:c r="O2735" s="12" t="str">
        <x:v>Delhi NCR</x:v>
      </x:c>
      <x:c r="P2735" s="12" t="str">
        <x:v>CORP-0171</x:v>
      </x:c>
      <x:c r="Q2735" s="12" t="str">
        <x:v>Voxo studios</x:v>
      </x:c>
    </x:row>
    <x:row r="2736" ht="48" customHeight="1">
      <x:c r="A2736" s="2" t="str">
        <x:v>TEN-7DBA31647FAA</x:v>
      </x:c>
      <x:c r="B2736" s="12" t="str">
        <x:v>VRIPL Retail Private Limited</x:v>
      </x:c>
      <x:c r="C2736" s="12" t="str">
        <x:v>Business / brand</x:v>
      </x:c>
      <x:c r="D2736" s="12" t="str">
        <x:v>Trade, consumer &amp; logistics</x:v>
      </x:c>
      <x:c r="E2736" s="12" t="str">
        <x:v>Retail, consumer products &amp; ecommerce</x:v>
      </x:c>
      <x:c r="F2736" s="12" t="str">
        <x:v>Small-scale prospects</x:v>
      </x:c>
      <x:c r="G2736" s="12" t="str">
        <x:v>Trading or consumer-services business; small-scale prospect assumption.</x:v>
      </x:c>
      <x:c r="H2736" s="11" t="n">
        <x:v>6</x:v>
      </x:c>
      <x:c r="I2736" s="11" t="n">
        <x:v>6</x:v>
      </x:c>
      <x:c r="J2736" s="11" t="n">
        <x:v>6</x:v>
      </x:c>
      <x:c r="K2736" s="11" t="n">
        <x:v>0</x:v>
      </x:c>
      <x:c r="L2736" s="17" t="n">
        <x:f>SUM(SUMIFS('Costing'!$P$9:$P$492,'Costing'!$A$9:$A$492,"PARTNER-M179"))</x:f>
        <x:v>240000</x:v>
      </x:c>
      <x:c r="M2736" s="17" t="n">
        <x:f>ROUND(L2736*'Costing'!$C$4,2)</x:f>
        <x:v>43200</x:v>
      </x:c>
      <x:c r="N2736" s="17" t="n">
        <x:f>L2736+M2736</x:f>
        <x:v>283200</x:v>
      </x:c>
      <x:c r="O2736" s="12" t="str">
        <x:v>Mumbai</x:v>
      </x:c>
      <x:c r="P2736" s="12" t="str">
        <x:v>CORP-0596, CORP-0597, CORP-0598, CORP-0599, CORP-0600, CORP-0601</x:v>
      </x:c>
      <x:c r="Q2736" s="12" t="str">
        <x:v>VRIPL Retail Private Limited</x:v>
      </x:c>
    </x:row>
    <x:row r="2737" ht="48" customHeight="1">
      <x:c r="A2737" s="2" t="str">
        <x:v>TEN-14A778EC0824</x:v>
      </x:c>
      <x:c r="B2737" s="12" t="str">
        <x:v>Vulpith.com</x:v>
      </x:c>
      <x:c r="C2737" s="12" t="str">
        <x:v>Business / brand</x:v>
      </x:c>
      <x:c r="D2737" s="12" t="str">
        <x:v>Unresolved</x:v>
      </x:c>
      <x:c r="E2737" s="12" t="str">
        <x:v>Business activity not established</x:v>
      </x:c>
      <x:c r="F2737" s="12" t="str">
        <x:v>Mixed business audience</x:v>
      </x:c>
      <x:c r="G2737" s="12" t="str">
        <x:v>Business activity and company scale are not established from this name.</x:v>
      </x:c>
      <x:c r="H2737" s="11" t="n">
        <x:v>3</x:v>
      </x:c>
      <x:c r="I2737" s="11" t="n">
        <x:v>3</x:v>
      </x:c>
      <x:c r="J2737" s="11" t="n">
        <x:v>3</x:v>
      </x:c>
      <x:c r="K2737" s="11" t="n">
        <x:v>0</x:v>
      </x:c>
      <x:c r="L2737" s="17" t="n">
        <x:f>SUM(SUMIFS('Costing'!$P$9:$P$492,'Costing'!$A$9:$A$492,"PARTNER-M067"))</x:f>
        <x:v>120000</x:v>
      </x:c>
      <x:c r="M2737" s="17" t="n">
        <x:f>ROUND(L2737*'Costing'!$C$4,2)</x:f>
        <x:v>21600</x:v>
      </x:c>
      <x:c r="N2737" s="17" t="n">
        <x:f>L2737+M2737</x:f>
        <x:v>141600</x:v>
      </x:c>
      <x:c r="O2737" s="12" t="str">
        <x:v>Bengaluru</x:v>
      </x:c>
      <x:c r="P2737" s="12" t="str">
        <x:v>CORP-0485, CORP-0486, CORP-0487</x:v>
      </x:c>
      <x:c r="Q2737" s="12" t="str">
        <x:v>Vulpith.com</x:v>
      </x:c>
    </x:row>
    <x:row r="2738" ht="48" customHeight="1">
      <x:c r="A2738" s="2" t="str">
        <x:v>TEN-7E1C21AC33D5</x:v>
      </x:c>
      <x:c r="B2738" s="12" t="str">
        <x:v>Vyomiq School ERP Software</x:v>
      </x:c>
      <x:c r="C2738" s="12" t="str">
        <x:v>Business / brand</x:v>
      </x:c>
      <x:c r="D2738" s="12" t="str">
        <x:v>IT &amp; digital</x:v>
      </x:c>
      <x:c r="E2738" s="12" t="str">
        <x:v>Enterprise software &amp; digital engineering</x:v>
      </x:c>
      <x:c r="F2738" s="12" t="str">
        <x:v>Small-scale prospects</x:v>
      </x:c>
      <x:c r="G2738" s="12" t="str">
        <x:v>Software or technology-services business; small-scale prospect assumption.</x:v>
      </x:c>
      <x:c r="H2738" s="11" t="n">
        <x:v>1</x:v>
      </x:c>
      <x:c r="I2738" s="11" t="n">
        <x:v>1</x:v>
      </x:c>
      <x:c r="J2738" s="11" t="n">
        <x:v>1</x:v>
      </x:c>
      <x:c r="K2738" s="11" t="n">
        <x:v>0</x:v>
      </x:c>
      <x:c r="L2738" s="17" t="n">
        <x:f>SUM(SUMIFS('Costing'!$P$9:$P$492,'Costing'!$A$9:$A$492,"MAIN-159"))</x:f>
        <x:v>15000</x:v>
      </x:c>
      <x:c r="M2738" s="17" t="n">
        <x:f>ROUND(L2738*'Costing'!$C$4,2)</x:f>
        <x:v>2700</x:v>
      </x:c>
      <x:c r="N2738" s="17" t="n">
        <x:f>L2738+M2738</x:f>
        <x:v>17700</x:v>
      </x:c>
      <x:c r="O2738" s="12" t="str">
        <x:v>Chennai</x:v>
      </x:c>
      <x:c r="P2738" s="12" t="str">
        <x:v>CORP-0155</x:v>
      </x:c>
      <x:c r="Q2738" s="12" t="str">
        <x:v>Vyomiq School ERP Software</x:v>
      </x:c>
    </x:row>
    <x:row r="2739" ht="48" customHeight="1">
      <x:c r="A2739" s="2" t="str">
        <x:v>TEN-74EDD6DDC8EC</x:v>
      </x:c>
      <x:c r="B2739" s="12" t="str">
        <x:v>W3SOFTECH INDIA PRIVATE LIMITED</x:v>
      </x:c>
      <x:c r="C2739" s="12" t="str">
        <x:v>Business / brand</x:v>
      </x:c>
      <x:c r="D2739" s="12" t="str">
        <x:v>IT &amp; digital</x:v>
      </x:c>
      <x:c r="E2739" s="12" t="str">
        <x:v>Enterprise software &amp; digital engineering</x:v>
      </x:c>
      <x:c r="F2739" s="12" t="str">
        <x:v>Small-scale prospects</x:v>
      </x:c>
      <x:c r="G2739" s="12" t="str">
        <x:v>Software or technology-services business; small-scale prospect assumption.</x:v>
      </x:c>
      <x:c r="H2739" s="11" t="n">
        <x:v>1</x:v>
      </x:c>
      <x:c r="I2739" s="11" t="n">
        <x:v>1</x:v>
      </x:c>
      <x:c r="J2739" s="11" t="n">
        <x:v>1</x:v>
      </x:c>
      <x:c r="K2739" s="11" t="n">
        <x:v>0</x:v>
      </x:c>
      <x:c r="L2739" s="17" t="n">
        <x:f>SUM(SUMIFS('Costing'!$P$9:$P$492,'Costing'!$A$9:$A$492,"MAIN-247"))</x:f>
        <x:v>15000</x:v>
      </x:c>
      <x:c r="M2739" s="17" t="n">
        <x:f>ROUND(L2739*'Costing'!$C$4,2)</x:f>
        <x:v>2700</x:v>
      </x:c>
      <x:c r="N2739" s="17" t="n">
        <x:f>L2739+M2739</x:f>
        <x:v>17700</x:v>
      </x:c>
      <x:c r="O2739" s="12" t="str">
        <x:v>Hyderabad</x:v>
      </x:c>
      <x:c r="P2739" s="12" t="str">
        <x:v>CORP-0243</x:v>
      </x:c>
      <x:c r="Q2739" s="12" t="str">
        <x:v>W3SOFTECH INDIA PRIVATE LIMITED</x:v>
      </x:c>
    </x:row>
    <x:row r="2740" ht="48" customHeight="1">
      <x:c r="A2740" s="2" t="str">
        <x:v>TEN-53296B6A946C</x:v>
      </x:c>
      <x:c r="B2740" s="12" t="str">
        <x:v>Waif's</x:v>
      </x:c>
      <x:c r="C2740" s="12" t="str">
        <x:v>Identity unresolved</x:v>
      </x:c>
      <x:c r="D2740" s="12" t="str">
        <x:v>Unresolved</x:v>
      </x:c>
      <x:c r="E2740" s="12" t="str">
        <x:v>Business activity not established</x:v>
      </x:c>
      <x:c r="F2740" s="12" t="str">
        <x:v>Mixed business audience</x:v>
      </x:c>
      <x:c r="G2740" s="12" t="str">
        <x:v>Ambiguous directory record; use the surrounding property audience.</x:v>
      </x:c>
      <x:c r="H2740" s="11" t="n">
        <x:v>10</x:v>
      </x:c>
      <x:c r="I2740" s="11" t="n">
        <x:v>10</x:v>
      </x:c>
      <x:c r="J2740" s="11" t="n">
        <x:v>10</x:v>
      </x:c>
      <x:c r="K2740" s="11" t="n">
        <x:v>0</x:v>
      </x:c>
      <x:c r="L2740" s="17" t="n">
        <x:f>SUM(SUMIFS('Costing'!$P$9:$P$492,'Costing'!$A$9:$A$492,"PARTNER-M014"))</x:f>
        <x:v>400000</x:v>
      </x:c>
      <x:c r="M2740" s="17" t="n">
        <x:f>ROUND(L2740*'Costing'!$C$4,2)</x:f>
        <x:v>72000</x:v>
      </x:c>
      <x:c r="N2740" s="17" t="n">
        <x:f>L2740+M2740</x:f>
        <x:v>472000</x:v>
      </x:c>
      <x:c r="O2740" s="12" t="str">
        <x:v>Bengaluru</x:v>
      </x:c>
      <x:c r="P2740" s="12" t="str">
        <x:v>CORP-0432, CORP-0433, CORP-0434, CORP-0435, CORP-0436, CORP-0437, CORP-0438, CORP-0439, CORP-0440, CORP-0441</x:v>
      </x:c>
      <x:c r="Q2740" s="12" t="str">
        <x:v>Waif's</x:v>
      </x:c>
    </x:row>
    <x:row r="2741" ht="49" customHeight="1">
      <x:c r="A2741" s="2" t="str">
        <x:v>TEN-4957DCDAEE1C</x:v>
      </x:c>
      <x:c r="B2741" s="12" t="str">
        <x:v>Walker Chandok</x:v>
      </x:c>
      <x:c r="C2741" s="12" t="str">
        <x:v>Business / brand</x:v>
      </x:c>
      <x:c r="D2741" s="12" t="str">
        <x:v>Professional services</x:v>
      </x:c>
      <x:c r="E2741" s="12" t="str">
        <x:v>Research, marketing &amp; professional services</x:v>
      </x:c>
      <x:c r="F2741" s="12" t="str">
        <x:v>Mixed business audience</x:v>
      </x:c>
      <x:c r="G2741" s="12" t="str">
        <x:v>Established brand or business network; local company scale is not established. Use a mixed-business message.</x:v>
      </x:c>
      <x:c r="H2741" s="11" t="n">
        <x:v>12</x:v>
      </x:c>
      <x:c r="I2741" s="11" t="n">
        <x:v>12</x:v>
      </x:c>
      <x:c r="J2741" s="11" t="n">
        <x:v>12</x:v>
      </x:c>
      <x:c r="K2741" s="11" t="n">
        <x:v>0</x:v>
      </x:c>
      <x:c r="L2741" s="17" t="n">
        <x:f>SUM(SUMIFS('Costing'!$P$9:$P$492,'Costing'!$A$9:$A$492,"PARTNER-M108"))</x:f>
        <x:v>480000</x:v>
      </x:c>
      <x:c r="M2741" s="17" t="n">
        <x:f>ROUND(L2741*'Costing'!$C$4,2)</x:f>
        <x:v>86400</x:v>
      </x:c>
      <x:c r="N2741" s="17" t="n">
        <x:f>L2741+M2741</x:f>
        <x:v>566400</x:v>
      </x:c>
      <x:c r="O2741" s="12" t="str">
        <x:v>Bengaluru</x:v>
      </x:c>
      <x:c r="P2741" s="12" t="str">
        <x:v>CORP-0526, CORP-0527, CORP-0528, CORP-0529, CORP-0530, CORP-0531, CORP-0532, CORP-0533, CORP-0534, CORP-0535, CORP-0536, CORP-0537</x:v>
      </x:c>
      <x:c r="Q2741" s="12" t="str">
        <x:v>Walker Chandok</x:v>
      </x:c>
    </x:row>
    <x:row r="2742" ht="48" customHeight="1">
      <x:c r="A2742" s="2" t="str">
        <x:v>TEN-943C3EEB252D</x:v>
      </x:c>
      <x:c r="B2742" s="12" t="str">
        <x:v>walmart</x:v>
      </x:c>
      <x:c r="C2742" s="12" t="str">
        <x:v>Business / brand</x:v>
      </x:c>
      <x:c r="D2742" s="12" t="str">
        <x:v>Trade, consumer &amp; logistics</x:v>
      </x:c>
      <x:c r="E2742" s="12" t="str">
        <x:v>Retail, consumer products &amp; ecommerce</x:v>
      </x:c>
      <x:c r="F2742" s="12" t="str">
        <x:v>Mixed business audience</x:v>
      </x:c>
      <x:c r="G2742" s="12" t="str">
        <x:v>Recognisable business context; company-scale evidence remains insufficient for a single size band.</x:v>
      </x:c>
      <x:c r="H2742" s="11" t="n">
        <x:v>1</x:v>
      </x:c>
      <x:c r="I2742" s="11" t="n">
        <x:v>6</x:v>
      </x:c>
      <x:c r="J2742" s="11" t="n">
        <x:v>6</x:v>
      </x:c>
      <x:c r="K2742" s="11" t="n">
        <x:v>0</x:v>
      </x:c>
      <x:c r="L2742" s="17" t="n">
        <x:f>SUM(SUMIFS('Costing'!$P$9:$P$492,'Costing'!$A$9:$A$492,"MAIN-060"))</x:f>
        <x:v>240000</x:v>
      </x:c>
      <x:c r="M2742" s="17" t="n">
        <x:f>ROUND(L2742*'Costing'!$C$4,2)</x:f>
        <x:v>43200</x:v>
      </x:c>
      <x:c r="N2742" s="17" t="n">
        <x:f>L2742+M2742</x:f>
        <x:v>283200</x:v>
      </x:c>
      <x:c r="O2742" s="12" t="str">
        <x:v>Bengaluru</x:v>
      </x:c>
      <x:c r="P2742" s="12" t="str">
        <x:v>CORP-0056</x:v>
      </x:c>
      <x:c r="Q2742" s="12" t="str">
        <x:v>walmart</x:v>
      </x:c>
    </x:row>
    <x:row r="2743" ht="48" customHeight="1">
      <x:c r="A2743" s="2" t="str">
        <x:v>TEN-C8390D04D3EE</x:v>
      </x:c>
      <x:c r="B2743" s="12" t="str">
        <x:v>Walmart India</x:v>
      </x:c>
      <x:c r="C2743" s="12" t="str">
        <x:v>Business / brand</x:v>
      </x:c>
      <x:c r="D2743" s="12" t="str">
        <x:v>Trade, consumer &amp; logistics</x:v>
      </x:c>
      <x:c r="E2743" s="12" t="str">
        <x:v>Retail, consumer products &amp; ecommerce</x:v>
      </x:c>
      <x:c r="F2743" s="12" t="str">
        <x:v>Mixed business audience</x:v>
      </x:c>
      <x:c r="G2743" s="12" t="str">
        <x:v>Recognisable business context; company-scale evidence remains insufficient for a single size band.</x:v>
      </x:c>
      <x:c r="H2743" s="11" t="n">
        <x:v>1</x:v>
      </x:c>
      <x:c r="I2743" s="11" t="n">
        <x:v>2</x:v>
      </x:c>
      <x:c r="J2743" s="11" t="n">
        <x:v>2</x:v>
      </x:c>
      <x:c r="K2743" s="11" t="n">
        <x:v>0</x:v>
      </x:c>
      <x:c r="L2743" s="17" t="n">
        <x:f>SUM(SUMIFS('Costing'!$P$9:$P$492,'Costing'!$A$9:$A$492,"MAIN-212"))</x:f>
        <x:v>30000</x:v>
      </x:c>
      <x:c r="M2743" s="17" t="n">
        <x:f>ROUND(L2743*'Costing'!$C$4,2)</x:f>
        <x:v>5400</x:v>
      </x:c>
      <x:c r="N2743" s="17" t="n">
        <x:f>L2743+M2743</x:f>
        <x:v>35400</x:v>
      </x:c>
      <x:c r="O2743" s="12" t="str">
        <x:v>Delhi NCR</x:v>
      </x:c>
      <x:c r="P2743" s="12" t="str">
        <x:v>CORP-0208</x:v>
      </x:c>
      <x:c r="Q2743" s="12" t="str">
        <x:v>Walmart India</x:v>
      </x:c>
    </x:row>
    <x:row r="2744" ht="75" customHeight="1">
      <x:c r="A2744" s="2" t="str">
        <x:v>TEN-D9364FD0A5DE</x:v>
      </x:c>
      <x:c r="B2744" s="12" t="str">
        <x:v>Walmart Labs</x:v>
      </x:c>
      <x:c r="C2744" s="12" t="str">
        <x:v>Business / brand</x:v>
      </x:c>
      <x:c r="D2744" s="12" t="str">
        <x:v>Trade, consumer &amp; logistics</x:v>
      </x:c>
      <x:c r="E2744" s="12" t="str">
        <x:v>Retail, consumer products &amp; ecommerce</x:v>
      </x:c>
      <x:c r="F2744" s="12" t="str">
        <x:v>Large enterprise</x:v>
      </x:c>
      <x:c r="G2744" s="12" t="str">
        <x:v>Walmart's official technology site identifies its global technology organisation as powering the retailer and its global supply chain. The historical Walmart Labs tenant wording belongs in enterprise technology context, not a small laboratory or agency default.</x:v>
      </x:c>
      <x:c r="H2744" s="11" t="n">
        <x:v>10</x:v>
      </x:c>
      <x:c r="I2744" s="11" t="n">
        <x:v>10</x:v>
      </x:c>
      <x:c r="J2744" s="11" t="n">
        <x:v>10</x:v>
      </x:c>
      <x:c r="K2744" s="11" t="n">
        <x:v>0</x:v>
      </x:c>
      <x:c r="L2744" s="17" t="n">
        <x:f>SUM(SUMIFS('Costing'!$P$9:$P$492,'Costing'!$A$9:$A$492,"PARTNER-M014"))</x:f>
        <x:v>400000</x:v>
      </x:c>
      <x:c r="M2744" s="17" t="n">
        <x:f>ROUND(L2744*'Costing'!$C$4,2)</x:f>
        <x:v>72000</x:v>
      </x:c>
      <x:c r="N2744" s="17" t="n">
        <x:f>L2744+M2744</x:f>
        <x:v>472000</x:v>
      </x:c>
      <x:c r="O2744" s="12" t="str">
        <x:v>Bengaluru</x:v>
      </x:c>
      <x:c r="P2744" s="12" t="str">
        <x:v>CORP-0432, CORP-0433, CORP-0434, CORP-0435, CORP-0436, CORP-0437, CORP-0438, CORP-0439, CORP-0440, CORP-0441</x:v>
      </x:c>
      <x:c r="Q2744" s="12" t="str">
        <x:v>Walmart Labs</x:v>
      </x:c>
    </x:row>
    <x:row r="2745" ht="48" customHeight="1">
      <x:c r="A2745" s="2" t="str">
        <x:v>TEN-2B016B188C7A</x:v>
      </x:c>
      <x:c r="B2745" s="12" t="str">
        <x:v>Walworth Reality</x:v>
      </x:c>
      <x:c r="C2745" s="12" t="str">
        <x:v>Business / brand</x:v>
      </x:c>
      <x:c r="D2745" s="12" t="str">
        <x:v>Trade, consumer &amp; logistics</x:v>
      </x:c>
      <x:c r="E2745" s="12" t="str">
        <x:v>Real estate, property &amp; construction services</x:v>
      </x:c>
      <x:c r="F2745" s="12" t="str">
        <x:v>Small-scale prospects</x:v>
      </x:c>
      <x:c r="G2745" s="12" t="str">
        <x:v>Trading or consumer-services business; small-scale prospect assumption.</x:v>
      </x:c>
      <x:c r="H2745" s="11" t="n">
        <x:v>1</x:v>
      </x:c>
      <x:c r="I2745" s="11" t="n">
        <x:v>2</x:v>
      </x:c>
      <x:c r="J2745" s="11" t="n">
        <x:v>2</x:v>
      </x:c>
      <x:c r="K2745" s="11" t="n">
        <x:v>0</x:v>
      </x:c>
      <x:c r="L2745" s="17" t="n">
        <x:f>SUM(SUMIFS('Costing'!$P$9:$P$492,'Costing'!$A$9:$A$492,"MAIN-392"))</x:f>
        <x:v>24000</x:v>
      </x:c>
      <x:c r="M2745" s="17" t="n">
        <x:f>ROUND(L2745*'Costing'!$C$4,2)</x:f>
        <x:v>4320</x:v>
      </x:c>
      <x:c r="N2745" s="17" t="n">
        <x:f>L2745+M2745</x:f>
        <x:v>28320</x:v>
      </x:c>
      <x:c r="O2745" s="12" t="str">
        <x:v>Pune</x:v>
      </x:c>
      <x:c r="P2745" s="12" t="str">
        <x:v>CORP-0388</x:v>
      </x:c>
      <x:c r="Q2745" s="12" t="str">
        <x:v>Walworth Reality</x:v>
      </x:c>
    </x:row>
    <x:row r="2746" ht="62" customHeight="1">
      <x:c r="A2746" s="2" t="str">
        <x:v>TEN-5ED10AC2ED61</x:v>
      </x:c>
      <x:c r="B2746" s="12" t="str">
        <x:v>Wanbury Ltd</x:v>
      </x:c>
      <x:c r="C2746" s="12" t="str">
        <x:v>Business / brand</x:v>
      </x:c>
      <x:c r="D2746" s="12" t="str">
        <x:v>Healthcare &amp; life sciences</x:v>
      </x:c>
      <x:c r="E2746" s="12" t="str">
        <x:v>Healthcare/life sciences — specialty unverified</x:v>
      </x:c>
      <x:c r="F2746" s="12" t="str">
        <x:v>Large enterprise</x:v>
      </x:c>
      <x:c r="G2746" s="12" t="str">
        <x:v>The company profile reports 1,200+ employees, exports to 50+ countries and two USFDA-approved API facilities. These company-wide manufacturing and distribution signals support Large enterprise audience context.</x:v>
      </x:c>
      <x:c r="H2746" s="11" t="n">
        <x:v>1</x:v>
      </x:c>
      <x:c r="I2746" s="11" t="n">
        <x:v>47</x:v>
      </x:c>
      <x:c r="J2746" s="11" t="n">
        <x:v>47</x:v>
      </x:c>
      <x:c r="K2746" s="11" t="n">
        <x:v>0</x:v>
      </x:c>
      <x:c r="L2746" s="17" t="n">
        <x:f>SUM(SUMIFS('Costing'!$P$9:$P$492,'Costing'!$A$9:$A$492,"MAIN-308"))</x:f>
        <x:v>705000</x:v>
      </x:c>
      <x:c r="M2746" s="17" t="n">
        <x:f>ROUND(L2746*'Costing'!$C$4,2)</x:f>
        <x:v>126900</x:v>
      </x:c>
      <x:c r="N2746" s="17" t="n">
        <x:f>L2746+M2746</x:f>
        <x:v>831900</x:v>
      </x:c>
      <x:c r="O2746" s="12" t="str">
        <x:v>Mumbai</x:v>
      </x:c>
      <x:c r="P2746" s="12" t="str">
        <x:v>CORP-0304</x:v>
      </x:c>
      <x:c r="Q2746" s="12" t="str">
        <x:v>Wanbury Ltd</x:v>
      </x:c>
    </x:row>
    <x:row r="2747" ht="48" customHeight="1">
      <x:c r="A2747" s="2" t="str">
        <x:v>TEN-D6F3D69FDAC8</x:v>
      </x:c>
      <x:c r="B2747" s="12" t="str">
        <x:v>WARPP ENGINEERS PVT LTD</x:v>
      </x:c>
      <x:c r="C2747" s="12" t="str">
        <x:v>Business / brand</x:v>
      </x:c>
      <x:c r="D2747" s="12" t="str">
        <x:v>Engineering &amp; manufacturing</x:v>
      </x:c>
      <x:c r="E2747" s="12" t="str">
        <x:v>Energy, electrical &amp; industrial systems</x:v>
      </x:c>
      <x:c r="F2747" s="12" t="str">
        <x:v>Medium-scale prospects</x:v>
      </x:c>
      <x:c r="G2747" s="12" t="str">
        <x:v>Specialist industrial or engineering business; medium-scale prospect assumption.</x:v>
      </x:c>
      <x:c r="H2747" s="11" t="n">
        <x:v>1</x:v>
      </x:c>
      <x:c r="I2747" s="11" t="n">
        <x:v>39</x:v>
      </x:c>
      <x:c r="J2747" s="11" t="n">
        <x:v>39</x:v>
      </x:c>
      <x:c r="K2747" s="11" t="n">
        <x:v>0</x:v>
      </x:c>
      <x:c r="L2747" s="17" t="n">
        <x:f>SUM(SUMIFS('Costing'!$P$9:$P$492,'Costing'!$A$9:$A$492,"MAIN-351"))</x:f>
        <x:v>585000</x:v>
      </x:c>
      <x:c r="M2747" s="17" t="n">
        <x:f>ROUND(L2747*'Costing'!$C$4,2)</x:f>
        <x:v>105300</x:v>
      </x:c>
      <x:c r="N2747" s="17" t="n">
        <x:f>L2747+M2747</x:f>
        <x:v>690300</x:v>
      </x:c>
      <x:c r="O2747" s="12" t="str">
        <x:v>Mumbai</x:v>
      </x:c>
      <x:c r="P2747" s="12" t="str">
        <x:v>CORP-0347</x:v>
      </x:c>
      <x:c r="Q2747" s="12" t="str">
        <x:v>WARPP ENGINEERS PVT LTD</x:v>
      </x:c>
    </x:row>
    <x:row r="2748" ht="48" customHeight="1">
      <x:c r="A2748" s="2" t="str">
        <x:v>TEN-197BE48BE03D</x:v>
      </x:c>
      <x:c r="B2748" s="12" t="str">
        <x:v>WayCool</x:v>
      </x:c>
      <x:c r="C2748" s="12" t="str">
        <x:v>Business / brand</x:v>
      </x:c>
      <x:c r="D2748" s="12" t="str">
        <x:v>Trade, consumer &amp; logistics</x:v>
      </x:c>
      <x:c r="E2748" s="12" t="str">
        <x:v>Retail, consumer products &amp; ecommerce</x:v>
      </x:c>
      <x:c r="F2748" s="12" t="str">
        <x:v>Small-scale prospects</x:v>
      </x:c>
      <x:c r="G2748" s="12" t="str">
        <x:v>Trading or consumer-services business; small-scale prospect assumption.</x:v>
      </x:c>
      <x:c r="H2748" s="11" t="n">
        <x:v>2</x:v>
      </x:c>
      <x:c r="I2748" s="11" t="n">
        <x:v>8</x:v>
      </x:c>
      <x:c r="J2748" s="11" t="n">
        <x:v>8</x:v>
      </x:c>
      <x:c r="K2748" s="11" t="n">
        <x:v>0</x:v>
      </x:c>
      <x:c r="L2748" s="17" t="n">
        <x:f>SUM(SUMIFS('Costing'!$P$9:$P$492,'Costing'!$A$9:$A$492,"MAIN-026"),SUMIFS('Costing'!$P$9:$P$492,'Costing'!$A$9:$A$492,"MAIN-141"))</x:f>
        <x:v>120000</x:v>
      </x:c>
      <x:c r="M2748" s="17" t="n">
        <x:f>ROUND(L2748*'Costing'!$C$4,2)</x:f>
        <x:v>21600</x:v>
      </x:c>
      <x:c r="N2748" s="17" t="n">
        <x:f>L2748+M2748</x:f>
        <x:v>141600</x:v>
      </x:c>
      <x:c r="O2748" s="12" t="str">
        <x:v>Bengaluru, Chennai</x:v>
      </x:c>
      <x:c r="P2748" s="12" t="str">
        <x:v>CORP-0022, CORP-0137</x:v>
      </x:c>
      <x:c r="Q2748" s="12" t="str">
        <x:v>WayCool, Waycool</x:v>
      </x:c>
    </x:row>
    <x:row r="2749" ht="62" customHeight="1">
      <x:c r="A2749" s="2" t="str">
        <x:v>TEN-F6C7E6892C6F</x:v>
      </x:c>
      <x:c r="B2749" s="12" t="str">
        <x:v>Wayfair Global Technology Private Limited</x:v>
      </x:c>
      <x:c r="C2749" s="12" t="str">
        <x:v>Business / brand</x:v>
      </x:c>
      <x:c r="D2749" s="12" t="str">
        <x:v>Trade, consumer &amp; logistics</x:v>
      </x:c>
      <x:c r="E2749" s="12" t="str">
        <x:v>Retail, consumer products &amp; ecommerce</x:v>
      </x:c>
      <x:c r="F2749" s="12" t="str">
        <x:v>Large enterprise</x:v>
      </x:c>
      <x:c r="G2749" s="12" t="str">
        <x:v>Wayfair reports USD12.5 billion of 2025 net revenue, 21.4 million active customers and a global office network including Bangalore. This supports enterprise-group context for Wayfair Global Technology.</x:v>
      </x:c>
      <x:c r="H2749" s="11" t="n">
        <x:v>9</x:v>
      </x:c>
      <x:c r="I2749" s="11" t="n">
        <x:v>15</x:v>
      </x:c>
      <x:c r="J2749" s="11" t="n">
        <x:v>15</x:v>
      </x:c>
      <x:c r="K2749" s="11" t="n">
        <x:v>0</x:v>
      </x:c>
      <x:c r="L2749" s="17" t="n">
        <x:f>SUM(SUMIFS('Costing'!$P$9:$P$492,'Costing'!$A$9:$A$492,"MAIN-116"),SUMIFS('Costing'!$P$9:$P$492,'Costing'!$A$9:$A$492,"PARTNER-M138"))</x:f>
        <x:v>495000</x:v>
      </x:c>
      <x:c r="M2749" s="17" t="n">
        <x:f>ROUND(L2749*'Costing'!$C$4,2)</x:f>
        <x:v>89100</x:v>
      </x:c>
      <x:c r="N2749" s="17" t="n">
        <x:f>L2749+M2749</x:f>
        <x:v>584100</x:v>
      </x:c>
      <x:c r="O2749" s="12" t="str">
        <x:v>Bengaluru</x:v>
      </x:c>
      <x:c r="P2749" s="12" t="str">
        <x:v>CORP-0112, CORP-0556, CORP-0557, CORP-0558, CORP-0559, CORP-0560, CORP-0561, CORP-0562, CORP-0563</x:v>
      </x:c>
      <x:c r="Q2749" s="12" t="str">
        <x:v>Wayfair Global Technology Private Limited</x:v>
      </x:c>
    </x:row>
    <x:row r="2750" ht="48" customHeight="1">
      <x:c r="A2750" s="2" t="str">
        <x:v>TEN-BC5D38FDFD90</x:v>
      </x:c>
      <x:c r="B2750" s="12" t="str">
        <x:v>We Idliwale Baroom</x:v>
      </x:c>
      <x:c r="C2750" s="12" t="str">
        <x:v>Business / brand</x:v>
      </x:c>
      <x:c r="D2750" s="12" t="str">
        <x:v>Trade, consumer &amp; logistics</x:v>
      </x:c>
      <x:c r="E2750" s="12" t="str">
        <x:v>Travel, hospitality, food &amp; beverages</x:v>
      </x:c>
      <x:c r="F2750" s="12" t="str">
        <x:v>Small-scale prospects</x:v>
      </x:c>
      <x:c r="G2750" s="12" t="str">
        <x:v>Trading or consumer-services business; small-scale prospect assumption.</x:v>
      </x:c>
      <x:c r="H2750" s="11" t="n">
        <x:v>1</x:v>
      </x:c>
      <x:c r="I2750" s="11" t="n">
        <x:v>1</x:v>
      </x:c>
      <x:c r="J2750" s="11" t="n">
        <x:v>1</x:v>
      </x:c>
      <x:c r="K2750" s="11" t="n">
        <x:v>0</x:v>
      </x:c>
      <x:c r="L2750" s="17" t="n">
        <x:f>SUM(SUMIFS('Costing'!$P$9:$P$492,'Costing'!$A$9:$A$492,"MAIN-415"))</x:f>
        <x:v>15000</x:v>
      </x:c>
      <x:c r="M2750" s="17" t="n">
        <x:f>ROUND(L2750*'Costing'!$C$4,2)</x:f>
        <x:v>2700</x:v>
      </x:c>
      <x:c r="N2750" s="17" t="n">
        <x:f>L2750+M2750</x:f>
        <x:v>17700</x:v>
      </x:c>
      <x:c r="O2750" s="12" t="str">
        <x:v>Pune</x:v>
      </x:c>
      <x:c r="P2750" s="12" t="str">
        <x:v>CORP-0411</x:v>
      </x:c>
      <x:c r="Q2750" s="12" t="str">
        <x:v>We Idliwale Baroom</x:v>
      </x:c>
    </x:row>
    <x:row r="2751" ht="48" customHeight="1">
      <x:c r="A2751" s="2" t="str">
        <x:v>TEN-38F159E0F563</x:v>
      </x:c>
      <x:c r="B2751" s="12" t="str">
        <x:v>We sure</x:v>
      </x:c>
      <x:c r="C2751" s="12" t="str">
        <x:v>Business / brand</x:v>
      </x:c>
      <x:c r="D2751" s="12" t="str">
        <x:v>Unresolved</x:v>
      </x:c>
      <x:c r="E2751" s="12" t="str">
        <x:v>Business activity not established</x:v>
      </x:c>
      <x:c r="F2751" s="12" t="str">
        <x:v>Mixed business audience</x:v>
      </x:c>
      <x:c r="G2751" s="12" t="str">
        <x:v>Business activity and company scale are not established from this name.</x:v>
      </x:c>
      <x:c r="H2751" s="11" t="n">
        <x:v>1</x:v>
      </x:c>
      <x:c r="I2751" s="11" t="n">
        <x:v>2</x:v>
      </x:c>
      <x:c r="J2751" s="11" t="n">
        <x:v>2</x:v>
      </x:c>
      <x:c r="K2751" s="11" t="n">
        <x:v>0</x:v>
      </x:c>
      <x:c r="L2751" s="17" t="n">
        <x:f>SUM(SUMIFS('Costing'!$P$9:$P$492,'Costing'!$A$9:$A$492,"MAIN-022"))</x:f>
        <x:v>30000</x:v>
      </x:c>
      <x:c r="M2751" s="17" t="n">
        <x:f>ROUND(L2751*'Costing'!$C$4,2)</x:f>
        <x:v>5400</x:v>
      </x:c>
      <x:c r="N2751" s="17" t="n">
        <x:f>L2751+M2751</x:f>
        <x:v>35400</x:v>
      </x:c>
      <x:c r="O2751" s="12" t="str">
        <x:v>Bengaluru</x:v>
      </x:c>
      <x:c r="P2751" s="12" t="str">
        <x:v>CORP-0018</x:v>
      </x:c>
      <x:c r="Q2751" s="12" t="str">
        <x:v>We sure</x:v>
      </x:c>
    </x:row>
    <x:row r="2752" ht="48" customHeight="1">
      <x:c r="A2752" s="2" t="str">
        <x:v>TEN-CB18F9AE9A8C</x:v>
      </x:c>
      <x:c r="B2752" s="12" t="str">
        <x:v>Web Werks India Pvt Ltd</x:v>
      </x:c>
      <x:c r="C2752" s="12" t="str">
        <x:v>Business / brand</x:v>
      </x:c>
      <x:c r="D2752" s="12" t="str">
        <x:v>IT &amp; digital</x:v>
      </x:c>
      <x:c r="E2752" s="12" t="str">
        <x:v>Enterprise software &amp; digital engineering</x:v>
      </x:c>
      <x:c r="F2752" s="12" t="str">
        <x:v>Mixed business audience</x:v>
      </x:c>
      <x:c r="G2752" s="12" t="str">
        <x:v>Established brand or business network; local company scale is not established. Use a mixed-business message.</x:v>
      </x:c>
      <x:c r="H2752" s="11" t="n">
        <x:v>1</x:v>
      </x:c>
      <x:c r="I2752" s="11" t="n">
        <x:v>2</x:v>
      </x:c>
      <x:c r="J2752" s="11" t="n">
        <x:v>2</x:v>
      </x:c>
      <x:c r="K2752" s="11" t="n">
        <x:v>0</x:v>
      </x:c>
      <x:c r="L2752" s="17" t="n">
        <x:f>SUM(SUMIFS('Costing'!$P$9:$P$492,'Costing'!$A$9:$A$492,"MAIN-302"))</x:f>
        <x:v>30000</x:v>
      </x:c>
      <x:c r="M2752" s="17" t="n">
        <x:f>ROUND(L2752*'Costing'!$C$4,2)</x:f>
        <x:v>5400</x:v>
      </x:c>
      <x:c r="N2752" s="17" t="n">
        <x:f>L2752+M2752</x:f>
        <x:v>35400</x:v>
      </x:c>
      <x:c r="O2752" s="12" t="str">
        <x:v>Mumbai</x:v>
      </x:c>
      <x:c r="P2752" s="12" t="str">
        <x:v>CORP-0298</x:v>
      </x:c>
      <x:c r="Q2752" s="12" t="str">
        <x:v>Web Werks India Pvt Ltd</x:v>
      </x:c>
    </x:row>
    <x:row r="2753" ht="48" customHeight="1">
      <x:c r="A2753" s="2" t="str">
        <x:v>TEN-1A88E4F7C46C</x:v>
      </x:c>
      <x:c r="B2753" s="12" t="str">
        <x:v>WebAxis</x:v>
      </x:c>
      <x:c r="C2753" s="12" t="str">
        <x:v>Business / brand</x:v>
      </x:c>
      <x:c r="D2753" s="12" t="str">
        <x:v>Unresolved</x:v>
      </x:c>
      <x:c r="E2753" s="12" t="str">
        <x:v>Business activity not established</x:v>
      </x:c>
      <x:c r="F2753" s="12" t="str">
        <x:v>Mixed business audience</x:v>
      </x:c>
      <x:c r="G2753" s="12" t="str">
        <x:v>Business activity and company scale are not established from this name.</x:v>
      </x:c>
      <x:c r="H2753" s="11" t="n">
        <x:v>1</x:v>
      </x:c>
      <x:c r="I2753" s="11" t="n">
        <x:v>2</x:v>
      </x:c>
      <x:c r="J2753" s="11" t="n">
        <x:v>2</x:v>
      </x:c>
      <x:c r="K2753" s="11" t="n">
        <x:v>0</x:v>
      </x:c>
      <x:c r="L2753" s="17" t="n">
        <x:f>SUM(SUMIFS('Costing'!$P$9:$P$492,'Costing'!$A$9:$A$492,"MAIN-318"))</x:f>
        <x:v>30000</x:v>
      </x:c>
      <x:c r="M2753" s="17" t="n">
        <x:f>ROUND(L2753*'Costing'!$C$4,2)</x:f>
        <x:v>5400</x:v>
      </x:c>
      <x:c r="N2753" s="17" t="n">
        <x:f>L2753+M2753</x:f>
        <x:v>35400</x:v>
      </x:c>
      <x:c r="O2753" s="12" t="str">
        <x:v>Mumbai</x:v>
      </x:c>
      <x:c r="P2753" s="12" t="str">
        <x:v>CORP-0314</x:v>
      </x:c>
      <x:c r="Q2753" s="12" t="str">
        <x:v>WebAxis</x:v>
      </x:c>
    </x:row>
    <x:row r="2754" ht="48" customHeight="1">
      <x:c r="A2754" s="2" t="str">
        <x:v>TEN-64F695501113</x:v>
      </x:c>
      <x:c r="B2754" s="12" t="str">
        <x:v>Webbs Sales Service Pvt Ltd</x:v>
      </x:c>
      <x:c r="C2754" s="12" t="str">
        <x:v>Business / brand</x:v>
      </x:c>
      <x:c r="D2754" s="12" t="str">
        <x:v>Unresolved</x:v>
      </x:c>
      <x:c r="E2754" s="12" t="str">
        <x:v>Business activity not established</x:v>
      </x:c>
      <x:c r="F2754" s="12" t="str">
        <x:v>Mixed business audience</x:v>
      </x:c>
      <x:c r="G2754" s="12" t="str">
        <x:v>Business activity and company scale are not established from this name.</x:v>
      </x:c>
      <x:c r="H2754" s="11" t="n">
        <x:v>1</x:v>
      </x:c>
      <x:c r="I2754" s="11" t="n">
        <x:v>11</x:v>
      </x:c>
      <x:c r="J2754" s="11" t="n">
        <x:v>11</x:v>
      </x:c>
      <x:c r="K2754" s="11" t="n">
        <x:v>0</x:v>
      </x:c>
      <x:c r="L2754" s="17" t="n">
        <x:f>SUM(SUMIFS('Costing'!$P$9:$P$492,'Costing'!$A$9:$A$492,"MAIN-077"))</x:f>
        <x:v>165000</x:v>
      </x:c>
      <x:c r="M2754" s="17" t="n">
        <x:f>ROUND(L2754*'Costing'!$C$4,2)</x:f>
        <x:v>29700</x:v>
      </x:c>
      <x:c r="N2754" s="17" t="n">
        <x:f>L2754+M2754</x:f>
        <x:v>194700</x:v>
      </x:c>
      <x:c r="O2754" s="12" t="str">
        <x:v>Bengaluru</x:v>
      </x:c>
      <x:c r="P2754" s="12" t="str">
        <x:v>CORP-0073</x:v>
      </x:c>
      <x:c r="Q2754" s="12" t="str">
        <x:v>Webbs Sales Service Pvt Ltd</x:v>
      </x:c>
    </x:row>
    <x:row r="2755" ht="48" customHeight="1">
      <x:c r="A2755" s="2" t="str">
        <x:v>TEN-60B66A73DC22</x:v>
      </x:c>
      <x:c r="B2755" s="12" t="str">
        <x:v>Webdunia.com</x:v>
      </x:c>
      <x:c r="C2755" s="12" t="str">
        <x:v>Business / brand</x:v>
      </x:c>
      <x:c r="D2755" s="12" t="str">
        <x:v>IT &amp; digital</x:v>
      </x:c>
      <x:c r="E2755" s="12" t="str">
        <x:v>Enterprise software &amp; digital engineering</x:v>
      </x:c>
      <x:c r="F2755" s="12" t="str">
        <x:v>Small-scale prospects</x:v>
      </x:c>
      <x:c r="G2755" s="12" t="str">
        <x:v>Software or technology-services business; small-scale prospect assumption.</x:v>
      </x:c>
      <x:c r="H2755" s="11" t="n">
        <x:v>9</x:v>
      </x:c>
      <x:c r="I2755" s="11" t="n">
        <x:v>9</x:v>
      </x:c>
      <x:c r="J2755" s="11" t="n">
        <x:v>9</x:v>
      </x:c>
      <x:c r="K2755" s="11" t="n">
        <x:v>0</x:v>
      </x:c>
      <x:c r="L2755" s="17" t="n">
        <x:f>SUM(SUMIFS('Costing'!$P$9:$P$492,'Costing'!$A$9:$A$492,"PARTNER-M002"))</x:f>
        <x:v>360000</x:v>
      </x:c>
      <x:c r="M2755" s="17" t="n">
        <x:f>ROUND(L2755*'Costing'!$C$4,2)</x:f>
        <x:v>64800</x:v>
      </x:c>
      <x:c r="N2755" s="17" t="n">
        <x:f>L2755+M2755</x:f>
        <x:v>424800</x:v>
      </x:c>
      <x:c r="O2755" s="12" t="str">
        <x:v>Bengaluru</x:v>
      </x:c>
      <x:c r="P2755" s="12" t="str">
        <x:v>CORP-0420, CORP-0421, CORP-0422, CORP-0423, CORP-0424, CORP-0425, CORP-0426, CORP-0427, CORP-0428</x:v>
      </x:c>
      <x:c r="Q2755" s="12" t="str">
        <x:v>Webdunia.com</x:v>
      </x:c>
    </x:row>
    <x:row r="2756" ht="48" customHeight="1">
      <x:c r="A2756" s="2" t="str">
        <x:v>TEN-E381635B7337</x:v>
      </x:c>
      <x:c r="B2756" s="12" t="str">
        <x:v>Webllisto</x:v>
      </x:c>
      <x:c r="C2756" s="12" t="str">
        <x:v>Business / brand</x:v>
      </x:c>
      <x:c r="D2756" s="12" t="str">
        <x:v>IT &amp; digital</x:v>
      </x:c>
      <x:c r="E2756" s="12" t="str">
        <x:v>Enterprise software &amp; digital engineering</x:v>
      </x:c>
      <x:c r="F2756" s="12" t="str">
        <x:v>Small-scale prospects</x:v>
      </x:c>
      <x:c r="G2756" s="12" t="str">
        <x:v>Software or technology-services business; small-scale prospect assumption.</x:v>
      </x:c>
      <x:c r="H2756" s="11" t="n">
        <x:v>1</x:v>
      </x:c>
      <x:c r="I2756" s="11" t="n">
        <x:v>1</x:v>
      </x:c>
      <x:c r="J2756" s="11" t="n">
        <x:v>1</x:v>
      </x:c>
      <x:c r="K2756" s="11" t="n">
        <x:v>0</x:v>
      </x:c>
      <x:c r="L2756" s="17" t="n">
        <x:f>SUM(SUMIFS('Costing'!$P$9:$P$492,'Costing'!$A$9:$A$492,"MAIN-266"))</x:f>
        <x:v>20000</x:v>
      </x:c>
      <x:c r="M2756" s="17" t="n">
        <x:f>ROUND(L2756*'Costing'!$C$4,2)</x:f>
        <x:v>3600</x:v>
      </x:c>
      <x:c r="N2756" s="17" t="n">
        <x:f>L2756+M2756</x:f>
        <x:v>23600</x:v>
      </x:c>
      <x:c r="O2756" s="12" t="str">
        <x:v>Indore</x:v>
      </x:c>
      <x:c r="P2756" s="12" t="str">
        <x:v>CORP-0262</x:v>
      </x:c>
      <x:c r="Q2756" s="12" t="str">
        <x:v>Webllisto</x:v>
      </x:c>
    </x:row>
    <x:row r="2757" ht="48" customHeight="1">
      <x:c r="A2757" s="2" t="str">
        <x:v>TEN-03310C19B984</x:v>
      </x:c>
      <x:c r="B2757" s="12" t="str">
        <x:v>WebMD</x:v>
      </x:c>
      <x:c r="C2757" s="12" t="str">
        <x:v>Business / brand</x:v>
      </x:c>
      <x:c r="D2757" s="12" t="str">
        <x:v>Healthcare &amp; life sciences</x:v>
      </x:c>
      <x:c r="E2757" s="12" t="str">
        <x:v>Healthcare/life sciences — specialty unverified</x:v>
      </x:c>
      <x:c r="F2757" s="12" t="str">
        <x:v>Mixed business audience</x:v>
      </x:c>
      <x:c r="G2757" s="12" t="str">
        <x:v>Recognisable business context; company-scale evidence remains insufficient for a single size band.</x:v>
      </x:c>
      <x:c r="H2757" s="11" t="n">
        <x:v>4</x:v>
      </x:c>
      <x:c r="I2757" s="11" t="n">
        <x:v>4</x:v>
      </x:c>
      <x:c r="J2757" s="11" t="n">
        <x:v>4</x:v>
      </x:c>
      <x:c r="K2757" s="11" t="n">
        <x:v>0</x:v>
      </x:c>
      <x:c r="L2757" s="17" t="n">
        <x:f>SUM(SUMIFS('Costing'!$P$9:$P$492,'Costing'!$A$9:$A$492,"PARTNER-M201"),SUMIFS('Costing'!$P$9:$P$492,'Costing'!$A$9:$A$492,"PARTNER-M203"))</x:f>
        <x:v>160000</x:v>
      </x:c>
      <x:c r="M2757" s="17" t="n">
        <x:f>ROUND(L2757*'Costing'!$C$4,2)</x:f>
        <x:v>28800</x:v>
      </x:c>
      <x:c r="N2757" s="17" t="n">
        <x:f>L2757+M2757</x:f>
        <x:v>188800</x:v>
      </x:c>
      <x:c r="O2757" s="12" t="str">
        <x:v>Mumbai</x:v>
      </x:c>
      <x:c r="P2757" s="12" t="str">
        <x:v>CORP-0618, CORP-0619, CORP-0620, CORP-0621</x:v>
      </x:c>
      <x:c r="Q2757" s="12" t="str">
        <x:v>WebMD</x:v>
      </x:c>
    </x:row>
    <x:row r="2758" ht="48" customHeight="1">
      <x:c r="A2758" s="2" t="str">
        <x:v>TEN-85645F258252</x:v>
      </x:c>
      <x:c r="B2758" s="12" t="str">
        <x:v>WEBTELINDIA</x:v>
      </x:c>
      <x:c r="C2758" s="12" t="str">
        <x:v>Business / brand</x:v>
      </x:c>
      <x:c r="D2758" s="12" t="str">
        <x:v>IT &amp; digital</x:v>
      </x:c>
      <x:c r="E2758" s="12" t="str">
        <x:v>Enterprise software &amp; digital engineering</x:v>
      </x:c>
      <x:c r="F2758" s="12" t="str">
        <x:v>Small-scale prospects</x:v>
      </x:c>
      <x:c r="G2758" s="12" t="str">
        <x:v>Software or technology-services business; small-scale prospect assumption.</x:v>
      </x:c>
      <x:c r="H2758" s="11" t="n">
        <x:v>10</x:v>
      </x:c>
      <x:c r="I2758" s="11" t="n">
        <x:v>10</x:v>
      </x:c>
      <x:c r="J2758" s="11" t="n">
        <x:v>10</x:v>
      </x:c>
      <x:c r="K2758" s="11" t="n">
        <x:v>0</x:v>
      </x:c>
      <x:c r="L2758" s="17" t="n">
        <x:f>SUM(SUMIFS('Costing'!$P$9:$P$492,'Costing'!$A$9:$A$492,"PARTNER-M205"))</x:f>
        <x:v>400000</x:v>
      </x:c>
      <x:c r="M2758" s="17" t="n">
        <x:f>ROUND(L2758*'Costing'!$C$4,2)</x:f>
        <x:v>72000</x:v>
      </x:c>
      <x:c r="N2758" s="17" t="n">
        <x:f>L2758+M2758</x:f>
        <x:v>472000</x:v>
      </x:c>
      <x:c r="O2758" s="12" t="str">
        <x:v>Mumbai</x:v>
      </x:c>
      <x:c r="P2758" s="12" t="str">
        <x:v>CORP-0622, CORP-0623, CORP-0624, CORP-0625, CORP-0626, CORP-0627, CORP-0628, CORP-0629, CORP-0630, CORP-0631</x:v>
      </x:c>
      <x:c r="Q2758" s="12" t="str">
        <x:v>WEBTELINDIA</x:v>
      </x:c>
    </x:row>
    <x:row r="2759" ht="48" customHeight="1">
      <x:c r="A2759" s="2" t="str">
        <x:v>TEN-C639481B6C24</x:v>
      </x:c>
      <x:c r="B2759" s="12" t="str">
        <x:v>Webvio Technologies Private Limited</x:v>
      </x:c>
      <x:c r="C2759" s="12" t="str">
        <x:v>Business / brand</x:v>
      </x:c>
      <x:c r="D2759" s="12" t="str">
        <x:v>Trade, consumer &amp; logistics</x:v>
      </x:c>
      <x:c r="E2759" s="12" t="str">
        <x:v>Travel, hospitality, food &amp; beverages</x:v>
      </x:c>
      <x:c r="F2759" s="12" t="str">
        <x:v>Small-scale prospects</x:v>
      </x:c>
      <x:c r="G2759" s="12" t="str">
        <x:v>Trading or consumer-services business; small-scale prospect assumption.</x:v>
      </x:c>
      <x:c r="H2759" s="11" t="n">
        <x:v>1</x:v>
      </x:c>
      <x:c r="I2759" s="11" t="n">
        <x:v>1</x:v>
      </x:c>
      <x:c r="J2759" s="11" t="n">
        <x:v>1</x:v>
      </x:c>
      <x:c r="K2759" s="11" t="n">
        <x:v>0</x:v>
      </x:c>
      <x:c r="L2759" s="17" t="n">
        <x:f>SUM(SUMIFS('Costing'!$P$9:$P$492,'Costing'!$A$9:$A$492,"MAIN-281"))</x:f>
        <x:v>15000</x:v>
      </x:c>
      <x:c r="M2759" s="17" t="n">
        <x:f>ROUND(L2759*'Costing'!$C$4,2)</x:f>
        <x:v>2700</x:v>
      </x:c>
      <x:c r="N2759" s="17" t="n">
        <x:f>L2759+M2759</x:f>
        <x:v>17700</x:v>
      </x:c>
      <x:c r="O2759" s="12" t="str">
        <x:v>Kolkata</x:v>
      </x:c>
      <x:c r="P2759" s="12" t="str">
        <x:v>CORP-0277</x:v>
      </x:c>
      <x:c r="Q2759" s="12" t="str">
        <x:v>Webvio Technologies Private Limited</x:v>
      </x:c>
    </x:row>
    <x:row r="2760" ht="48" customHeight="1">
      <x:c r="A2760" s="2" t="str">
        <x:v>TEN-4819C4E4B5D3</x:v>
      </x:c>
      <x:c r="B2760" s="12" t="str">
        <x:v>Webvistar Technifo pvt ltd</x:v>
      </x:c>
      <x:c r="C2760" s="12" t="str">
        <x:v>Business / brand</x:v>
      </x:c>
      <x:c r="D2760" s="12" t="str">
        <x:v>Unresolved</x:v>
      </x:c>
      <x:c r="E2760" s="12" t="str">
        <x:v>Business activity not established</x:v>
      </x:c>
      <x:c r="F2760" s="12" t="str">
        <x:v>Mixed business audience</x:v>
      </x:c>
      <x:c r="G2760" s="12" t="str">
        <x:v>Business activity and company scale are not established from this name.</x:v>
      </x:c>
      <x:c r="H2760" s="11" t="n">
        <x:v>1</x:v>
      </x:c>
      <x:c r="I2760" s="11" t="n">
        <x:v>47</x:v>
      </x:c>
      <x:c r="J2760" s="11" t="n">
        <x:v>47</x:v>
      </x:c>
      <x:c r="K2760" s="11" t="n">
        <x:v>0</x:v>
      </x:c>
      <x:c r="L2760" s="17" t="n">
        <x:f>SUM(SUMIFS('Costing'!$P$9:$P$492,'Costing'!$A$9:$A$492,"MAIN-308"))</x:f>
        <x:v>705000</x:v>
      </x:c>
      <x:c r="M2760" s="17" t="n">
        <x:f>ROUND(L2760*'Costing'!$C$4,2)</x:f>
        <x:v>126900</x:v>
      </x:c>
      <x:c r="N2760" s="17" t="n">
        <x:f>L2760+M2760</x:f>
        <x:v>831900</x:v>
      </x:c>
      <x:c r="O2760" s="12" t="str">
        <x:v>Mumbai</x:v>
      </x:c>
      <x:c r="P2760" s="12" t="str">
        <x:v>CORP-0304</x:v>
      </x:c>
      <x:c r="Q2760" s="12" t="str">
        <x:v>Webvistar Technifo pvt ltd</x:v>
      </x:c>
    </x:row>
    <x:row r="2761" ht="48" customHeight="1">
      <x:c r="A2761" s="2" t="str">
        <x:v>TEN-ED1ACD68C76E</x:v>
      </x:c>
      <x:c r="B2761" s="12" t="str">
        <x:v>WebWings Global Solutions Pvt. Ltd</x:v>
      </x:c>
      <x:c r="C2761" s="12" t="str">
        <x:v>Business / brand</x:v>
      </x:c>
      <x:c r="D2761" s="12" t="str">
        <x:v>IT &amp; digital</x:v>
      </x:c>
      <x:c r="E2761" s="12" t="str">
        <x:v>Enterprise software &amp; digital engineering</x:v>
      </x:c>
      <x:c r="F2761" s="12" t="str">
        <x:v>Small-scale prospects</x:v>
      </x:c>
      <x:c r="G2761" s="12" t="str">
        <x:v>Software or technology-services business; small-scale prospect assumption.</x:v>
      </x:c>
      <x:c r="H2761" s="11" t="n">
        <x:v>1</x:v>
      </x:c>
      <x:c r="I2761" s="11" t="n">
        <x:v>7</x:v>
      </x:c>
      <x:c r="J2761" s="11" t="n">
        <x:v>7</x:v>
      </x:c>
      <x:c r="K2761" s="11" t="n">
        <x:v>0</x:v>
      </x:c>
      <x:c r="L2761" s="17" t="n">
        <x:f>SUM(SUMIFS('Costing'!$P$9:$P$492,'Costing'!$A$9:$A$492,"MAIN-116"))</x:f>
        <x:v>175000</x:v>
      </x:c>
      <x:c r="M2761" s="17" t="n">
        <x:f>ROUND(L2761*'Costing'!$C$4,2)</x:f>
        <x:v>31500</x:v>
      </x:c>
      <x:c r="N2761" s="17" t="n">
        <x:f>L2761+M2761</x:f>
        <x:v>206500</x:v>
      </x:c>
      <x:c r="O2761" s="12" t="str">
        <x:v>Bengaluru</x:v>
      </x:c>
      <x:c r="P2761" s="12" t="str">
        <x:v>CORP-0112</x:v>
      </x:c>
      <x:c r="Q2761" s="12" t="str">
        <x:v>WebWings Global Solutions Pvt. Ltd</x:v>
      </x:c>
    </x:row>
    <x:row r="2762" ht="48" customHeight="1">
      <x:c r="A2762" s="2" t="str">
        <x:v>TEN-32436E849088</x:v>
      </x:c>
      <x:c r="B2762" s="12" t="str">
        <x:v>WeEn Semiconductors</x:v>
      </x:c>
      <x:c r="C2762" s="12" t="str">
        <x:v>Business / brand</x:v>
      </x:c>
      <x:c r="D2762" s="12" t="str">
        <x:v>Engineering &amp; manufacturing</x:v>
      </x:c>
      <x:c r="E2762" s="12" t="str">
        <x:v>Semiconductors, electronics &amp; equipment</x:v>
      </x:c>
      <x:c r="F2762" s="12" t="str">
        <x:v>Mixed business audience</x:v>
      </x:c>
      <x:c r="G2762" s="12" t="str">
        <x:v>Established brand or business network; local company scale is not established. Use a mixed-business message.</x:v>
      </x:c>
      <x:c r="H2762" s="11" t="n">
        <x:v>1</x:v>
      </x:c>
      <x:c r="I2762" s="11" t="n">
        <x:v>2</x:v>
      </x:c>
      <x:c r="J2762" s="11" t="n">
        <x:v>2</x:v>
      </x:c>
      <x:c r="K2762" s="11" t="n">
        <x:v>0</x:v>
      </x:c>
      <x:c r="L2762" s="17" t="n">
        <x:f>SUM(SUMIFS('Costing'!$P$9:$P$492,'Costing'!$A$9:$A$492,"MAIN-388"))</x:f>
        <x:v>30000</x:v>
      </x:c>
      <x:c r="M2762" s="17" t="n">
        <x:f>ROUND(L2762*'Costing'!$C$4,2)</x:f>
        <x:v>5400</x:v>
      </x:c>
      <x:c r="N2762" s="17" t="n">
        <x:f>L2762+M2762</x:f>
        <x:v>35400</x:v>
      </x:c>
      <x:c r="O2762" s="12" t="str">
        <x:v>Pune</x:v>
      </x:c>
      <x:c r="P2762" s="12" t="str">
        <x:v>CORP-0384</x:v>
      </x:c>
      <x:c r="Q2762" s="12" t="str">
        <x:v>WeEn Semiconductors</x:v>
      </x:c>
    </x:row>
    <x:row r="2763" ht="48" customHeight="1">
      <x:c r="A2763" s="2" t="str">
        <x:v>TEN-FE37A1FFE9AC</x:v>
      </x:c>
      <x:c r="B2763" s="12" t="str">
        <x:v>WEH Ventures</x:v>
      </x:c>
      <x:c r="C2763" s="12" t="str">
        <x:v>Business / brand</x:v>
      </x:c>
      <x:c r="D2763" s="12" t="str">
        <x:v>Finance &amp; insurance</x:v>
      </x:c>
      <x:c r="E2763" s="12" t="str">
        <x:v>Investments, securities &amp; wealth</x:v>
      </x:c>
      <x:c r="F2763" s="12" t="str">
        <x:v>Medium-scale prospects</x:v>
      </x:c>
      <x:c r="G2763" s="12" t="str">
        <x:v>Specialist financial-services business; medium-scale prospect assumption.</x:v>
      </x:c>
      <x:c r="H2763" s="11" t="n">
        <x:v>1</x:v>
      </x:c>
      <x:c r="I2763" s="11" t="n">
        <x:v>19</x:v>
      </x:c>
      <x:c r="J2763" s="11" t="n">
        <x:v>19</x:v>
      </x:c>
      <x:c r="K2763" s="11" t="n">
        <x:v>0</x:v>
      </x:c>
      <x:c r="L2763" s="17" t="n">
        <x:f>SUM(SUMIFS('Costing'!$P$9:$P$492,'Costing'!$A$9:$A$492,"MAIN-357"))</x:f>
        <x:v>475000</x:v>
      </x:c>
      <x:c r="M2763" s="17" t="n">
        <x:f>ROUND(L2763*'Costing'!$C$4,2)</x:f>
        <x:v>85500</x:v>
      </x:c>
      <x:c r="N2763" s="17" t="n">
        <x:f>L2763+M2763</x:f>
        <x:v>560500</x:v>
      </x:c>
      <x:c r="O2763" s="12" t="str">
        <x:v>Mumbai</x:v>
      </x:c>
      <x:c r="P2763" s="12" t="str">
        <x:v>CORP-0353</x:v>
      </x:c>
      <x:c r="Q2763" s="12" t="str">
        <x:v>WEH Ventures</x:v>
      </x:c>
    </x:row>
    <x:row r="2764" ht="62" customHeight="1">
      <x:c r="A2764" s="2" t="str">
        <x:v>TEN-2C08FF12203D</x:v>
      </x:c>
      <x:c r="B2764" s="12" t="str">
        <x:v>Wellness forever</x:v>
      </x:c>
      <x:c r="C2764" s="12" t="str">
        <x:v>Business / brand</x:v>
      </x:c>
      <x:c r="D2764" s="12" t="str">
        <x:v>Healthcare &amp; life sciences</x:v>
      </x:c>
      <x:c r="E2764" s="12" t="str">
        <x:v>Mental health, wellbeing &amp; fitness</x:v>
      </x:c>
      <x:c r="F2764" s="12" t="str">
        <x:v>Large enterprise</x:v>
      </x:c>
      <x:c r="G2764" s="12" t="str">
        <x:v>The official careers site describes a pharmacy network of 390+ stores across four states. This is a substantial multi-state retail chain, supporting enterprise brand context rather than a single-shop business inference.</x:v>
      </x:c>
      <x:c r="H2764" s="11" t="n">
        <x:v>1</x:v>
      </x:c>
      <x:c r="I2764" s="11" t="n">
        <x:v>47</x:v>
      </x:c>
      <x:c r="J2764" s="11" t="n">
        <x:v>47</x:v>
      </x:c>
      <x:c r="K2764" s="11" t="n">
        <x:v>0</x:v>
      </x:c>
      <x:c r="L2764" s="17" t="n">
        <x:f>SUM(SUMIFS('Costing'!$P$9:$P$492,'Costing'!$A$9:$A$492,"MAIN-308"))</x:f>
        <x:v>705000</x:v>
      </x:c>
      <x:c r="M2764" s="17" t="n">
        <x:f>ROUND(L2764*'Costing'!$C$4,2)</x:f>
        <x:v>126900</x:v>
      </x:c>
      <x:c r="N2764" s="17" t="n">
        <x:f>L2764+M2764</x:f>
        <x:v>831900</x:v>
      </x:c>
      <x:c r="O2764" s="12" t="str">
        <x:v>Mumbai</x:v>
      </x:c>
      <x:c r="P2764" s="12" t="str">
        <x:v>CORP-0304</x:v>
      </x:c>
      <x:c r="Q2764" s="12" t="str">
        <x:v>Wellness forever</x:v>
      </x:c>
    </x:row>
    <x:row r="2765" ht="48" customHeight="1">
      <x:c r="A2765" s="2" t="str">
        <x:v>TEN-A69698F6A73D</x:v>
      </x:c>
      <x:c r="B2765" s="12" t="str">
        <x:v>Wenable Technologies</x:v>
      </x:c>
      <x:c r="C2765" s="12" t="str">
        <x:v>Business / brand</x:v>
      </x:c>
      <x:c r="D2765" s="12" t="str">
        <x:v>IT &amp; digital</x:v>
      </x:c>
      <x:c r="E2765" s="12" t="str">
        <x:v>Enterprise software &amp; digital engineering</x:v>
      </x:c>
      <x:c r="F2765" s="12" t="str">
        <x:v>Small-scale prospects</x:v>
      </x:c>
      <x:c r="G2765" s="12" t="str">
        <x:v>Software or technology-services business; small-scale prospect assumption.</x:v>
      </x:c>
      <x:c r="H2765" s="11" t="n">
        <x:v>1</x:v>
      </x:c>
      <x:c r="I2765" s="11" t="n">
        <x:v>2</x:v>
      </x:c>
      <x:c r="J2765" s="11" t="n">
        <x:v>2</x:v>
      </x:c>
      <x:c r="K2765" s="11" t="n">
        <x:v>0</x:v>
      </x:c>
      <x:c r="L2765" s="17" t="n">
        <x:f>SUM(SUMIFS('Costing'!$P$9:$P$492,'Costing'!$A$9:$A$492,"MAIN-256"))</x:f>
        <x:v>80000</x:v>
      </x:c>
      <x:c r="M2765" s="17" t="n">
        <x:f>ROUND(L2765*'Costing'!$C$4,2)</x:f>
        <x:v>14400</x:v>
      </x:c>
      <x:c r="N2765" s="17" t="n">
        <x:f>L2765+M2765</x:f>
        <x:v>94400</x:v>
      </x:c>
      <x:c r="O2765" s="12" t="str">
        <x:v>Hyderabad</x:v>
      </x:c>
      <x:c r="P2765" s="12" t="str">
        <x:v>CORP-0252</x:v>
      </x:c>
      <x:c r="Q2765" s="12" t="str">
        <x:v>Wenable Technologies</x:v>
      </x:c>
    </x:row>
    <x:row r="2766" ht="48" customHeight="1">
      <x:c r="A2766" s="2" t="str">
        <x:v>TEN-B2D5ADC2EC6B</x:v>
      </x:c>
      <x:c r="B2766" s="12" t="str">
        <x:v>Wesco Digital</x:v>
      </x:c>
      <x:c r="C2766" s="12" t="str">
        <x:v>Business / brand</x:v>
      </x:c>
      <x:c r="D2766" s="12" t="str">
        <x:v>IT &amp; digital</x:v>
      </x:c>
      <x:c r="E2766" s="12" t="str">
        <x:v>Enterprise software &amp; digital engineering</x:v>
      </x:c>
      <x:c r="F2766" s="12" t="str">
        <x:v>Mixed business audience</x:v>
      </x:c>
      <x:c r="G2766" s="12" t="str">
        <x:v>Established brand or business network; local company scale is not established. Use a mixed-business message.</x:v>
      </x:c>
      <x:c r="H2766" s="11" t="n">
        <x:v>8</x:v>
      </x:c>
      <x:c r="I2766" s="11" t="n">
        <x:v>8</x:v>
      </x:c>
      <x:c r="J2766" s="11" t="n">
        <x:v>8</x:v>
      </x:c>
      <x:c r="K2766" s="11" t="n">
        <x:v>0</x:v>
      </x:c>
      <x:c r="L2766" s="17" t="n">
        <x:f>SUM(SUMIFS('Costing'!$P$9:$P$492,'Costing'!$A$9:$A$492,"PARTNER-M146"))</x:f>
        <x:v>320000</x:v>
      </x:c>
      <x:c r="M2766" s="17" t="n">
        <x:f>ROUND(L2766*'Costing'!$C$4,2)</x:f>
        <x:v>57600</x:v>
      </x:c>
      <x:c r="N2766" s="17" t="n">
        <x:f>L2766+M2766</x:f>
        <x:v>377600</x:v>
      </x:c>
      <x:c r="O2766" s="12" t="str">
        <x:v>Bengaluru</x:v>
      </x:c>
      <x:c r="P2766" s="12" t="str">
        <x:v>CORP-0564, CORP-0565, CORP-0566, CORP-0567, CORP-0568, CORP-0569, CORP-0570, CORP-0571</x:v>
      </x:c>
      <x:c r="Q2766" s="12" t="str">
        <x:v>Wesco Digital</x:v>
      </x:c>
    </x:row>
    <x:row r="2767" ht="48" customHeight="1">
      <x:c r="A2767" s="2" t="str">
        <x:v>TEN-59997A67C490</x:v>
      </x:c>
      <x:c r="B2767" s="12" t="str">
        <x:v>West Pharmaceutical Services</x:v>
      </x:c>
      <x:c r="C2767" s="12" t="str">
        <x:v>Business / brand</x:v>
      </x:c>
      <x:c r="D2767" s="12" t="str">
        <x:v>Healthcare &amp; life sciences</x:v>
      </x:c>
      <x:c r="E2767" s="12" t="str">
        <x:v>Pharmaceuticals, biotechnology &amp; life sciences</x:v>
      </x:c>
      <x:c r="F2767" s="12" t="str">
        <x:v>Mixed business audience</x:v>
      </x:c>
      <x:c r="G2767" s="12" t="str">
        <x:v>Established brand or business network; local company scale is not established. Use a mixed-business message.</x:v>
      </x:c>
      <x:c r="H2767" s="11" t="n">
        <x:v>5</x:v>
      </x:c>
      <x:c r="I2767" s="11" t="n">
        <x:v>5</x:v>
      </x:c>
      <x:c r="J2767" s="11" t="n">
        <x:v>5</x:v>
      </x:c>
      <x:c r="K2767" s="11" t="n">
        <x:v>0</x:v>
      </x:c>
      <x:c r="L2767" s="17" t="n">
        <x:f>SUM(SUMIFS('Costing'!$P$9:$P$492,'Costing'!$A$9:$A$492,"PARTNER-M060"))</x:f>
        <x:v>200000</x:v>
      </x:c>
      <x:c r="M2767" s="17" t="n">
        <x:f>ROUND(L2767*'Costing'!$C$4,2)</x:f>
        <x:v>36000</x:v>
      </x:c>
      <x:c r="N2767" s="17" t="n">
        <x:f>L2767+M2767</x:f>
        <x:v>236000</x:v>
      </x:c>
      <x:c r="O2767" s="12" t="str">
        <x:v>Bengaluru</x:v>
      </x:c>
      <x:c r="P2767" s="12" t="str">
        <x:v>CORP-0478, CORP-0479, CORP-0480, CORP-0481, CORP-0482</x:v>
      </x:c>
      <x:c r="Q2767" s="12" t="str">
        <x:v>West Pharmaceutical Services</x:v>
      </x:c>
    </x:row>
    <x:row r="2768" ht="48" customHeight="1">
      <x:c r="A2768" s="2" t="str">
        <x:v>TEN-30448EBA2EBE</x:v>
      </x:c>
      <x:c r="B2768" s="12" t="str">
        <x:v>Western Digital</x:v>
      </x:c>
      <x:c r="C2768" s="12" t="str">
        <x:v>Business / brand</x:v>
      </x:c>
      <x:c r="D2768" s="12" t="str">
        <x:v>Engineering &amp; manufacturing</x:v>
      </x:c>
      <x:c r="E2768" s="12" t="str">
        <x:v>Semiconductors, electronics &amp; equipment</x:v>
      </x:c>
      <x:c r="F2768" s="12" t="str">
        <x:v>Mixed business audience</x:v>
      </x:c>
      <x:c r="G2768" s="12" t="str">
        <x:v>Recognisable business context; company-scale evidence remains insufficient for a single size band.</x:v>
      </x:c>
      <x:c r="H2768" s="11" t="n">
        <x:v>6</x:v>
      </x:c>
      <x:c r="I2768" s="11" t="n">
        <x:v>6</x:v>
      </x:c>
      <x:c r="J2768" s="11" t="n">
        <x:v>6</x:v>
      </x:c>
      <x:c r="K2768" s="11" t="n">
        <x:v>0</x:v>
      </x:c>
      <x:c r="L2768" s="17" t="n">
        <x:f>SUM(SUMIFS('Costing'!$P$9:$P$492,'Costing'!$A$9:$A$492,"PARTNER-M039"))</x:f>
        <x:v>240000</x:v>
      </x:c>
      <x:c r="M2768" s="17" t="n">
        <x:f>ROUND(L2768*'Costing'!$C$4,2)</x:f>
        <x:v>43200</x:v>
      </x:c>
      <x:c r="N2768" s="17" t="n">
        <x:f>L2768+M2768</x:f>
        <x:v>283200</x:v>
      </x:c>
      <x:c r="O2768" s="12" t="str">
        <x:v>Bengaluru</x:v>
      </x:c>
      <x:c r="P2768" s="12" t="str">
        <x:v>CORP-0457, CORP-0458, CORP-0459, CORP-0460, CORP-0461, CORP-0462</x:v>
      </x:c>
      <x:c r="Q2768" s="12" t="str">
        <x:v>Western Digital</x:v>
      </x:c>
    </x:row>
    <x:row r="2769" ht="48" customHeight="1">
      <x:c r="A2769" s="2" t="str">
        <x:v>TEN-63E926341C95</x:v>
      </x:c>
      <x:c r="B2769" s="12" t="str">
        <x:v>Westplains</x:v>
      </x:c>
      <x:c r="C2769" s="12" t="str">
        <x:v>Business / brand</x:v>
      </x:c>
      <x:c r="D2769" s="12" t="str">
        <x:v>Unresolved</x:v>
      </x:c>
      <x:c r="E2769" s="12" t="str">
        <x:v>Business activity not established</x:v>
      </x:c>
      <x:c r="F2769" s="12" t="str">
        <x:v>Mixed business audience</x:v>
      </x:c>
      <x:c r="G2769" s="12" t="str">
        <x:v>Business activity and company scale are not established from this name.</x:v>
      </x:c>
      <x:c r="H2769" s="11" t="n">
        <x:v>1</x:v>
      </x:c>
      <x:c r="I2769" s="11" t="n">
        <x:v>1</x:v>
      </x:c>
      <x:c r="J2769" s="11" t="n">
        <x:v>1</x:v>
      </x:c>
      <x:c r="K2769" s="11" t="n">
        <x:v>0</x:v>
      </x:c>
      <x:c r="L2769" s="17" t="n">
        <x:f>SUM(SUMIFS('Costing'!$P$9:$P$492,'Costing'!$A$9:$A$492,"MAIN-266"))</x:f>
        <x:v>20000</x:v>
      </x:c>
      <x:c r="M2769" s="17" t="n">
        <x:f>ROUND(L2769*'Costing'!$C$4,2)</x:f>
        <x:v>3600</x:v>
      </x:c>
      <x:c r="N2769" s="17" t="n">
        <x:f>L2769+M2769</x:f>
        <x:v>23600</x:v>
      </x:c>
      <x:c r="O2769" s="12" t="str">
        <x:v>Indore</x:v>
      </x:c>
      <x:c r="P2769" s="12" t="str">
        <x:v>CORP-0262</x:v>
      </x:c>
      <x:c r="Q2769" s="12" t="str">
        <x:v>Westplains</x:v>
      </x:c>
    </x:row>
    <x:row r="2770" ht="48" customHeight="1">
      <x:c r="A2770" s="2" t="str">
        <x:v>TEN-9DA70176374D</x:v>
      </x:c>
      <x:c r="B2770" s="12" t="str">
        <x:v>Westside</x:v>
      </x:c>
      <x:c r="C2770" s="12" t="str">
        <x:v>Business / brand</x:v>
      </x:c>
      <x:c r="D2770" s="12" t="str">
        <x:v>Trade, consumer &amp; logistics</x:v>
      </x:c>
      <x:c r="E2770" s="12" t="str">
        <x:v>Consumer/trade services — specialty unverified</x:v>
      </x:c>
      <x:c r="F2770" s="12" t="str">
        <x:v>Large enterprise</x:v>
      </x:c>
      <x:c r="G2770" s="12" t="str">
        <x:v>Explicit Tata enterprise-family context; see ENTERPRISE_SUPP_006 evidence.</x:v>
      </x:c>
      <x:c r="H2770" s="11" t="n">
        <x:v>1</x:v>
      </x:c>
      <x:c r="I2770" s="11" t="n">
        <x:v>1</x:v>
      </x:c>
      <x:c r="J2770" s="11" t="n">
        <x:v>1</x:v>
      </x:c>
      <x:c r="K2770" s="11" t="n">
        <x:v>0</x:v>
      </x:c>
      <x:c r="L2770" s="17" t="n">
        <x:f>SUM(SUMIFS('Costing'!$P$9:$P$492,'Costing'!$A$9:$A$492,"MAIN-274"))</x:f>
        <x:v>40000</x:v>
      </x:c>
      <x:c r="M2770" s="17" t="n">
        <x:f>ROUND(L2770*'Costing'!$C$4,2)</x:f>
        <x:v>7200</x:v>
      </x:c>
      <x:c r="N2770" s="17" t="n">
        <x:f>L2770+M2770</x:f>
        <x:v>47200</x:v>
      </x:c>
      <x:c r="O2770" s="12" t="str">
        <x:v>Indore</x:v>
      </x:c>
      <x:c r="P2770" s="12" t="str">
        <x:v>CORP-0270</x:v>
      </x:c>
      <x:c r="Q2770" s="12" t="str">
        <x:v>Westside</x:v>
      </x:c>
    </x:row>
    <x:row r="2771" ht="49" customHeight="1">
      <x:c r="A2771" s="2" t="str">
        <x:v>TEN-5B81D52D4310</x:v>
      </x:c>
      <x:c r="B2771" s="12" t="str">
        <x:v>WeWork</x:v>
      </x:c>
      <x:c r="C2771" s="12" t="str">
        <x:v>Workspace operator</x:v>
      </x:c>
      <x:c r="D2771" s="12" t="str">
        <x:v>Workspace &amp; property operations</x:v>
      </x:c>
      <x:c r="E2771" s="12" t="str">
        <x:v>Coworking/workspace operator</x:v>
      </x:c>
      <x:c r="F2771" s="12" t="str">
        <x:v>Mixed business audience</x:v>
      </x:c>
      <x:c r="G2771" s="12" t="str">
        <x:v>Supplied entry is a shared-workspace operator; the business sizes of occupant companies cannot be derived from the operator name.</x:v>
      </x:c>
      <x:c r="H2771" s="11" t="n">
        <x:v>8</x:v>
      </x:c>
      <x:c r="I2771" s="11" t="n">
        <x:v>27</x:v>
      </x:c>
      <x:c r="J2771" s="11" t="n">
        <x:v>27</x:v>
      </x:c>
      <x:c r="K2771" s="11" t="n">
        <x:v>0</x:v>
      </x:c>
      <x:c r="L2771" s="17" t="n">
        <x:f>SUM(SUMIFS('Costing'!$P$9:$P$492,'Costing'!$A$9:$A$492,"MAIN-120"),SUMIFS('Costing'!$P$9:$P$492,'Costing'!$A$9:$A$492,"MAIN-123"),SUMIFS('Costing'!$P$9:$P$492,'Costing'!$A$9:$A$492,"MAIN-125"),SUMIFS('Costing'!$P$9:$P$492,'Costing'!$A$9:$A$492,"MAIN-132"),SUMIFS('Costing'!$P$9:$P$492,'Costing'!$A$9:$A$492,"MAIN-377"),SUMIFS('Costing'!$P$9:$P$492,'Costing'!$A$9:$A$492,"MAIN-224"),SUMIFS('Costing'!$P$9:$P$492,'Costing'!$A$9:$A$492,"MAIN-416"),SUMIFS('Costing'!$P$9:$P$492,'Costing'!$A$9:$A$492,"MAIN-418"))</x:f>
        <x:v>645000</x:v>
      </x:c>
      <x:c r="M2771" s="17" t="n">
        <x:f>ROUND(L2771*'Costing'!$C$4,2)</x:f>
        <x:v>116100</x:v>
      </x:c>
      <x:c r="N2771" s="17" t="n">
        <x:f>L2771+M2771</x:f>
        <x:v>761100</x:v>
      </x:c>
      <x:c r="O2771" s="12" t="str">
        <x:v>Bengaluru, Hyderabad, Delhi NCR, Pune</x:v>
      </x:c>
      <x:c r="P2771" s="12" t="str">
        <x:v>CORP-0116, CORP-0119, CORP-0121, CORP-0128, CORP-0220, CORP-0373, CORP-0412, CORP-0414</x:v>
      </x:c>
      <x:c r="Q2771" s="12" t="str">
        <x:v>WeWork, Wework</x:v>
      </x:c>
    </x:row>
    <x:row r="2772" ht="48" customHeight="1">
      <x:c r="A2772" s="2" t="str">
        <x:v>TEN-61616DAE58CF</x:v>
      </x:c>
      <x:c r="B2772" s="12" t="str">
        <x:v>Wheelocity Fresh Pvt Ltd</x:v>
      </x:c>
      <x:c r="C2772" s="12" t="str">
        <x:v>Business / brand</x:v>
      </x:c>
      <x:c r="D2772" s="12" t="str">
        <x:v>Trade, consumer &amp; logistics</x:v>
      </x:c>
      <x:c r="E2772" s="12" t="str">
        <x:v>Logistics, shipping &amp; transport</x:v>
      </x:c>
      <x:c r="F2772" s="12" t="str">
        <x:v>Medium-scale prospects</x:v>
      </x:c>
      <x:c r="G2772" s="12" t="str">
        <x:v>Specialist logistics or transport business; medium-scale prospect assumption.</x:v>
      </x:c>
      <x:c r="H2772" s="11" t="n">
        <x:v>2</x:v>
      </x:c>
      <x:c r="I2772" s="11" t="n">
        <x:v>6</x:v>
      </x:c>
      <x:c r="J2772" s="11" t="n">
        <x:v>6</x:v>
      </x:c>
      <x:c r="K2772" s="11" t="n">
        <x:v>0</x:v>
      </x:c>
      <x:c r="L2772" s="17" t="n">
        <x:f>SUM(SUMIFS('Costing'!$P$9:$P$492,'Costing'!$A$9:$A$492,"MAIN-148"),SUMIFS('Costing'!$P$9:$P$492,'Costing'!$A$9:$A$492,"MAIN-149"))</x:f>
        <x:v>120000</x:v>
      </x:c>
      <x:c r="M2772" s="17" t="n">
        <x:f>ROUND(L2772*'Costing'!$C$4,2)</x:f>
        <x:v>21600</x:v>
      </x:c>
      <x:c r="N2772" s="17" t="n">
        <x:f>L2772+M2772</x:f>
        <x:v>141600</x:v>
      </x:c>
      <x:c r="O2772" s="12" t="str">
        <x:v>Chennai</x:v>
      </x:c>
      <x:c r="P2772" s="12" t="str">
        <x:v>CORP-0144, CORP-0145</x:v>
      </x:c>
      <x:c r="Q2772" s="12" t="str">
        <x:v>Wheelocity Fresh Pvt Ltd</x:v>
      </x:c>
    </x:row>
    <x:row r="2773" ht="48" customHeight="1">
      <x:c r="A2773" s="2" t="str">
        <x:v>TEN-950484B1F075</x:v>
      </x:c>
      <x:c r="B2773" s="12" t="str">
        <x:v>Whichfloor</x:v>
      </x:c>
      <x:c r="C2773" s="12" t="str">
        <x:v>Business / brand</x:v>
      </x:c>
      <x:c r="D2773" s="12" t="str">
        <x:v>Unresolved</x:v>
      </x:c>
      <x:c r="E2773" s="12" t="str">
        <x:v>Business activity not established</x:v>
      </x:c>
      <x:c r="F2773" s="12" t="str">
        <x:v>Mixed business audience</x:v>
      </x:c>
      <x:c r="G2773" s="12" t="str">
        <x:v>Business activity and company scale are not established from this name.</x:v>
      </x:c>
      <x:c r="H2773" s="11" t="n">
        <x:v>1</x:v>
      </x:c>
      <x:c r="I2773" s="11" t="n">
        <x:v>2</x:v>
      </x:c>
      <x:c r="J2773" s="11" t="n">
        <x:v>2</x:v>
      </x:c>
      <x:c r="K2773" s="11" t="n">
        <x:v>0</x:v>
      </x:c>
      <x:c r="L2773" s="17" t="n">
        <x:f>SUM(SUMIFS('Costing'!$P$9:$P$492,'Costing'!$A$9:$A$492,"MAIN-268"))</x:f>
        <x:v>80000</x:v>
      </x:c>
      <x:c r="M2773" s="17" t="n">
        <x:f>ROUND(L2773*'Costing'!$C$4,2)</x:f>
        <x:v>14400</x:v>
      </x:c>
      <x:c r="N2773" s="17" t="n">
        <x:f>L2773+M2773</x:f>
        <x:v>94400</x:v>
      </x:c>
      <x:c r="O2773" s="12" t="str">
        <x:v>Indore</x:v>
      </x:c>
      <x:c r="P2773" s="12" t="str">
        <x:v>CORP-0264</x:v>
      </x:c>
      <x:c r="Q2773" s="12" t="str">
        <x:v>Whichfloor</x:v>
      </x:c>
    </x:row>
    <x:row r="2774" ht="48" customHeight="1">
      <x:c r="A2774" s="2" t="str">
        <x:v>TEN-119AAADEDD3A</x:v>
      </x:c>
      <x:c r="B2774" s="12" t="str">
        <x:v>Whisper Media</x:v>
      </x:c>
      <x:c r="C2774" s="12" t="str">
        <x:v>Business / brand</x:v>
      </x:c>
      <x:c r="D2774" s="12" t="str">
        <x:v>Trade, consumer &amp; logistics</x:v>
      </x:c>
      <x:c r="E2774" s="12" t="str">
        <x:v>Entertainment, media &amp; events</x:v>
      </x:c>
      <x:c r="F2774" s="12" t="str">
        <x:v>Small-scale prospects</x:v>
      </x:c>
      <x:c r="G2774" s="12" t="str">
        <x:v>Trading or consumer-services business; small-scale prospect assumption.</x:v>
      </x:c>
      <x:c r="H2774" s="11" t="n">
        <x:v>1</x:v>
      </x:c>
      <x:c r="I2774" s="11" t="n">
        <x:v>2</x:v>
      </x:c>
      <x:c r="J2774" s="11" t="n">
        <x:v>2</x:v>
      </x:c>
      <x:c r="K2774" s="11" t="n">
        <x:v>0</x:v>
      </x:c>
      <x:c r="L2774" s="17" t="n">
        <x:f>SUM(SUMIFS('Costing'!$P$9:$P$492,'Costing'!$A$9:$A$492,"MAIN-277"))</x:f>
        <x:v>30000</x:v>
      </x:c>
      <x:c r="M2774" s="17" t="n">
        <x:f>ROUND(L2774*'Costing'!$C$4,2)</x:f>
        <x:v>5400</x:v>
      </x:c>
      <x:c r="N2774" s="17" t="n">
        <x:f>L2774+M2774</x:f>
        <x:v>35400</x:v>
      </x:c>
      <x:c r="O2774" s="12" t="str">
        <x:v>Kochi</x:v>
      </x:c>
      <x:c r="P2774" s="12" t="str">
        <x:v>CORP-0273</x:v>
      </x:c>
      <x:c r="Q2774" s="12" t="str">
        <x:v>Whisper Media</x:v>
      </x:c>
    </x:row>
    <x:row r="2775" ht="48" customHeight="1">
      <x:c r="A2775" s="2" t="str">
        <x:v>TEN-41ACC4C416AA</x:v>
      </x:c>
      <x:c r="B2775" s="12" t="str">
        <x:v>Whiteoak Capital Group</x:v>
      </x:c>
      <x:c r="C2775" s="12" t="str">
        <x:v>Business / brand</x:v>
      </x:c>
      <x:c r="D2775" s="12" t="str">
        <x:v>Finance &amp; insurance</x:v>
      </x:c>
      <x:c r="E2775" s="12" t="str">
        <x:v>Investments, securities &amp; wealth</x:v>
      </x:c>
      <x:c r="F2775" s="12" t="str">
        <x:v>Mixed business audience</x:v>
      </x:c>
      <x:c r="G2775" s="12" t="str">
        <x:v>Established brand or business network; local company scale is not established. Use a mixed-business message.</x:v>
      </x:c>
      <x:c r="H2775" s="11" t="n">
        <x:v>1</x:v>
      </x:c>
      <x:c r="I2775" s="11" t="n">
        <x:v>2</x:v>
      </x:c>
      <x:c r="J2775" s="11" t="n">
        <x:v>2</x:v>
      </x:c>
      <x:c r="K2775" s="11" t="n">
        <x:v>0</x:v>
      </x:c>
      <x:c r="L2775" s="17" t="n">
        <x:f>SUM(SUMIFS('Costing'!$P$9:$P$492,'Costing'!$A$9:$A$492,"MAIN-219"))</x:f>
        <x:v>30000</x:v>
      </x:c>
      <x:c r="M2775" s="17" t="n">
        <x:f>ROUND(L2775*'Costing'!$C$4,2)</x:f>
        <x:v>5400</x:v>
      </x:c>
      <x:c r="N2775" s="17" t="n">
        <x:f>L2775+M2775</x:f>
        <x:v>35400</x:v>
      </x:c>
      <x:c r="O2775" s="12" t="str">
        <x:v>Hyderabad</x:v>
      </x:c>
      <x:c r="P2775" s="12" t="str">
        <x:v>CORP-0215</x:v>
      </x:c>
      <x:c r="Q2775" s="12" t="str">
        <x:v>Whiteoak Capital Group</x:v>
      </x:c>
    </x:row>
    <x:row r="2776" ht="48" customHeight="1">
      <x:c r="A2776" s="2" t="str">
        <x:v>TEN-52A6BDDA690D</x:v>
      </x:c>
      <x:c r="B2776" s="12" t="str">
        <x:v>Whitestone advisory services llp</x:v>
      </x:c>
      <x:c r="C2776" s="12" t="str">
        <x:v>Business / brand</x:v>
      </x:c>
      <x:c r="D2776" s="12" t="str">
        <x:v>Professional services</x:v>
      </x:c>
      <x:c r="E2776" s="12" t="str">
        <x:v>Business consulting &amp; advisory</x:v>
      </x:c>
      <x:c r="F2776" s="12" t="str">
        <x:v>Small-scale prospects</x:v>
      </x:c>
      <x:c r="G2776" s="12" t="str">
        <x:v>Professional service, agency or advisory model; small-scale prospect assumption.</x:v>
      </x:c>
      <x:c r="H2776" s="11" t="n">
        <x:v>1</x:v>
      </x:c>
      <x:c r="I2776" s="11" t="n">
        <x:v>1</x:v>
      </x:c>
      <x:c r="J2776" s="11" t="n">
        <x:v>1</x:v>
      </x:c>
      <x:c r="K2776" s="11" t="n">
        <x:v>0</x:v>
      </x:c>
      <x:c r="L2776" s="17" t="n">
        <x:f>SUM(SUMIFS('Costing'!$P$9:$P$492,'Costing'!$A$9:$A$492,"MAIN-175"))</x:f>
        <x:v>15000</x:v>
      </x:c>
      <x:c r="M2776" s="17" t="n">
        <x:f>ROUND(L2776*'Costing'!$C$4,2)</x:f>
        <x:v>2700</x:v>
      </x:c>
      <x:c r="N2776" s="17" t="n">
        <x:f>L2776+M2776</x:f>
        <x:v>17700</x:v>
      </x:c>
      <x:c r="O2776" s="12" t="str">
        <x:v>Delhi NCR</x:v>
      </x:c>
      <x:c r="P2776" s="12" t="str">
        <x:v>CORP-0171</x:v>
      </x:c>
      <x:c r="Q2776" s="12" t="str">
        <x:v>Whitestone advisory services llp</x:v>
      </x:c>
    </x:row>
    <x:row r="2777" ht="48" customHeight="1">
      <x:c r="A2777" s="2" t="str">
        <x:v>TEN-34FA47A413A3</x:v>
      </x:c>
      <x:c r="B2777" s="12" t="str">
        <x:v>Whizzmark Business Solutions</x:v>
      </x:c>
      <x:c r="C2777" s="12" t="str">
        <x:v>Business / brand</x:v>
      </x:c>
      <x:c r="D2777" s="12" t="str">
        <x:v>Unresolved</x:v>
      </x:c>
      <x:c r="E2777" s="12" t="str">
        <x:v>Business activity not established</x:v>
      </x:c>
      <x:c r="F2777" s="12" t="str">
        <x:v>Mixed business audience</x:v>
      </x:c>
      <x:c r="G2777" s="12" t="str">
        <x:v>Business activity and company scale are not established from this name.</x:v>
      </x:c>
      <x:c r="H2777" s="11" t="n">
        <x:v>4</x:v>
      </x:c>
      <x:c r="I2777" s="11" t="n">
        <x:v>4</x:v>
      </x:c>
      <x:c r="J2777" s="11" t="n">
        <x:v>4</x:v>
      </x:c>
      <x:c r="K2777" s="11" t="n">
        <x:v>0</x:v>
      </x:c>
      <x:c r="L2777" s="17" t="n">
        <x:f>SUM(SUMIFS('Costing'!$P$9:$P$492,'Costing'!$A$9:$A$492,"PARTNER-M247"))</x:f>
        <x:v>160000</x:v>
      </x:c>
      <x:c r="M2777" s="17" t="n">
        <x:f>ROUND(L2777*'Costing'!$C$4,2)</x:f>
        <x:v>28800</x:v>
      </x:c>
      <x:c r="N2777" s="17" t="n">
        <x:f>L2777+M2777</x:f>
        <x:v>188800</x:v>
      </x:c>
      <x:c r="O2777" s="12" t="str">
        <x:v>Mumbai</x:v>
      </x:c>
      <x:c r="P2777" s="12" t="str">
        <x:v>CORP-0664, CORP-0665, CORP-0666, CORP-0667</x:v>
      </x:c>
      <x:c r="Q2777" s="12" t="str">
        <x:v>Whizzmark Business Solutions</x:v>
      </x:c>
    </x:row>
    <x:row r="2778" ht="48" customHeight="1">
      <x:c r="A2778" s="2" t="str">
        <x:v>TEN-6CA4D108C413</x:v>
      </x:c>
      <x:c r="B2778" s="12" t="str">
        <x:v>Wildhub Designs pvt ltd</x:v>
      </x:c>
      <x:c r="C2778" s="12" t="str">
        <x:v>Business / brand</x:v>
      </x:c>
      <x:c r="D2778" s="12" t="str">
        <x:v>Unresolved</x:v>
      </x:c>
      <x:c r="E2778" s="12" t="str">
        <x:v>Business activity not established</x:v>
      </x:c>
      <x:c r="F2778" s="12" t="str">
        <x:v>Mixed business audience</x:v>
      </x:c>
      <x:c r="G2778" s="12" t="str">
        <x:v>Business activity and company scale are not established from this name.</x:v>
      </x:c>
      <x:c r="H2778" s="11" t="n">
        <x:v>1</x:v>
      </x:c>
      <x:c r="I2778" s="11" t="n">
        <x:v>7</x:v>
      </x:c>
      <x:c r="J2778" s="11" t="n">
        <x:v>7</x:v>
      </x:c>
      <x:c r="K2778" s="11" t="n">
        <x:v>0</x:v>
      </x:c>
      <x:c r="L2778" s="17" t="n">
        <x:f>SUM(SUMIFS('Costing'!$P$9:$P$492,'Costing'!$A$9:$A$492,"MAIN-129"))</x:f>
        <x:v>175000</x:v>
      </x:c>
      <x:c r="M2778" s="17" t="n">
        <x:f>ROUND(L2778*'Costing'!$C$4,2)</x:f>
        <x:v>31500</x:v>
      </x:c>
      <x:c r="N2778" s="17" t="n">
        <x:f>L2778+M2778</x:f>
        <x:v>206500</x:v>
      </x:c>
      <x:c r="O2778" s="12" t="str">
        <x:v>Bengaluru</x:v>
      </x:c>
      <x:c r="P2778" s="12" t="str">
        <x:v>CORP-0125</x:v>
      </x:c>
      <x:c r="Q2778" s="12" t="str">
        <x:v>Wildhub Designs pvt ltd</x:v>
      </x:c>
    </x:row>
    <x:row r="2779" ht="48" customHeight="1">
      <x:c r="A2779" s="2" t="str">
        <x:v>TEN-21A82BF14B76</x:v>
      </x:c>
      <x:c r="B2779" s="12" t="str">
        <x:v>willis towers watson</x:v>
      </x:c>
      <x:c r="C2779" s="12" t="str">
        <x:v>Business / brand</x:v>
      </x:c>
      <x:c r="D2779" s="12" t="str">
        <x:v>Professional services</x:v>
      </x:c>
      <x:c r="E2779" s="12" t="str">
        <x:v>Professional services — specialty unverified</x:v>
      </x:c>
      <x:c r="F2779" s="12" t="str">
        <x:v>Mixed business audience</x:v>
      </x:c>
      <x:c r="G2779" s="12" t="str">
        <x:v>Recognisable business context; company-scale evidence remains insufficient for a single size band.</x:v>
      </x:c>
      <x:c r="H2779" s="11" t="n">
        <x:v>1</x:v>
      </x:c>
      <x:c r="I2779" s="11" t="n">
        <x:v>2</x:v>
      </x:c>
      <x:c r="J2779" s="11" t="n">
        <x:v>2</x:v>
      </x:c>
      <x:c r="K2779" s="11" t="n">
        <x:v>0</x:v>
      </x:c>
      <x:c r="L2779" s="17" t="n">
        <x:f>SUM(SUMIFS('Costing'!$P$9:$P$492,'Costing'!$A$9:$A$492,"MAIN-225"))</x:f>
        <x:v>30000</x:v>
      </x:c>
      <x:c r="M2779" s="17" t="n">
        <x:f>ROUND(L2779*'Costing'!$C$4,2)</x:f>
        <x:v>5400</x:v>
      </x:c>
      <x:c r="N2779" s="17" t="n">
        <x:f>L2779+M2779</x:f>
        <x:v>35400</x:v>
      </x:c>
      <x:c r="O2779" s="12" t="str">
        <x:v>Hyderabad</x:v>
      </x:c>
      <x:c r="P2779" s="12" t="str">
        <x:v>CORP-0221</x:v>
      </x:c>
      <x:c r="Q2779" s="12" t="str">
        <x:v>willis towers watson</x:v>
      </x:c>
    </x:row>
    <x:row r="2780" ht="48" customHeight="1">
      <x:c r="A2780" s="2" t="str">
        <x:v>TEN-071CA7784A7E</x:v>
      </x:c>
      <x:c r="B2780" s="12" t="str">
        <x:v>Win Information Technology Pvt Ltd</x:v>
      </x:c>
      <x:c r="C2780" s="12" t="str">
        <x:v>Business / brand</x:v>
      </x:c>
      <x:c r="D2780" s="12" t="str">
        <x:v>IT &amp; digital</x:v>
      </x:c>
      <x:c r="E2780" s="12" t="str">
        <x:v>Enterprise software &amp; digital engineering</x:v>
      </x:c>
      <x:c r="F2780" s="12" t="str">
        <x:v>Small-scale prospects</x:v>
      </x:c>
      <x:c r="G2780" s="12" t="str">
        <x:v>Software or technology-services business; small-scale prospect assumption.</x:v>
      </x:c>
      <x:c r="H2780" s="11" t="n">
        <x:v>5</x:v>
      </x:c>
      <x:c r="I2780" s="11" t="n">
        <x:v>5</x:v>
      </x:c>
      <x:c r="J2780" s="11" t="n">
        <x:v>5</x:v>
      </x:c>
      <x:c r="K2780" s="11" t="n">
        <x:v>0</x:v>
      </x:c>
      <x:c r="L2780" s="17" t="n">
        <x:f>SUM(SUMIFS('Costing'!$P$9:$P$492,'Costing'!$A$9:$A$492,"PARTNER-M312"))</x:f>
        <x:v>200000</x:v>
      </x:c>
      <x:c r="M2780" s="17" t="n">
        <x:f>ROUND(L2780*'Costing'!$C$4,2)</x:f>
        <x:v>36000</x:v>
      </x:c>
      <x:c r="N2780" s="17" t="n">
        <x:f>L2780+M2780</x:f>
        <x:v>236000</x:v>
      </x:c>
      <x:c r="O2780" s="12" t="str">
        <x:v>Hyderabad</x:v>
      </x:c>
      <x:c r="P2780" s="12" t="str">
        <x:v>CORP-0727, CORP-0728, CORP-0729, CORP-0730, CORP-0731</x:v>
      </x:c>
      <x:c r="Q2780" s="12" t="str">
        <x:v>Win Information Technology Pvt Ltd</x:v>
      </x:c>
    </x:row>
    <x:row r="2781" ht="48" customHeight="1">
      <x:c r="A2781" s="2" t="str">
        <x:v>TEN-70FB189454F7</x:v>
      </x:c>
      <x:c r="B2781" s="12" t="str">
        <x:v>WIND WORLD (INDIA) LTD</x:v>
      </x:c>
      <x:c r="C2781" s="12" t="str">
        <x:v>Business / brand</x:v>
      </x:c>
      <x:c r="D2781" s="12" t="str">
        <x:v>Engineering &amp; manufacturing</x:v>
      </x:c>
      <x:c r="E2781" s="12" t="str">
        <x:v>Chemicals, materials &amp; industrial manufacturing</x:v>
      </x:c>
      <x:c r="F2781" s="12" t="str">
        <x:v>Mixed business audience</x:v>
      </x:c>
      <x:c r="G2781" s="12" t="str">
        <x:v>Established brand or business network; local company scale is not established. Use a mixed-business message.</x:v>
      </x:c>
      <x:c r="H2781" s="11" t="n">
        <x:v>2</x:v>
      </x:c>
      <x:c r="I2781" s="11" t="n">
        <x:v>5</x:v>
      </x:c>
      <x:c r="J2781" s="11" t="n">
        <x:v>5</x:v>
      </x:c>
      <x:c r="K2781" s="11" t="n">
        <x:v>0</x:v>
      </x:c>
      <x:c r="L2781" s="17" t="n">
        <x:f>SUM(SUMIFS('Costing'!$P$9:$P$492,'Costing'!$A$9:$A$492,"MAIN-048"),SUMIFS('Costing'!$P$9:$P$492,'Costing'!$A$9:$A$492,"MAIN-049"))</x:f>
        <x:v>100000</x:v>
      </x:c>
      <x:c r="M2781" s="17" t="n">
        <x:f>ROUND(L2781*'Costing'!$C$4,2)</x:f>
        <x:v>18000</x:v>
      </x:c>
      <x:c r="N2781" s="17" t="n">
        <x:f>L2781+M2781</x:f>
        <x:v>118000</x:v>
      </x:c>
      <x:c r="O2781" s="12" t="str">
        <x:v>Bengaluru</x:v>
      </x:c>
      <x:c r="P2781" s="12" t="str">
        <x:v>CORP-0044, CORP-0045</x:v>
      </x:c>
      <x:c r="Q2781" s="12" t="str">
        <x:v>WIND WORLD (INDIA) LTD</x:v>
      </x:c>
    </x:row>
    <x:row r="2782" ht="48" customHeight="1">
      <x:c r="A2782" s="2" t="str">
        <x:v>TEN-9E587843CD26</x:v>
      </x:c>
      <x:c r="B2782" s="12" t="str">
        <x:v>Windsor Realty Private Ltd</x:v>
      </x:c>
      <x:c r="C2782" s="12" t="str">
        <x:v>Business / brand</x:v>
      </x:c>
      <x:c r="D2782" s="12" t="str">
        <x:v>Trade, consumer &amp; logistics</x:v>
      </x:c>
      <x:c r="E2782" s="12" t="str">
        <x:v>Real estate, property &amp; construction services</x:v>
      </x:c>
      <x:c r="F2782" s="12" t="str">
        <x:v>Small-scale prospects</x:v>
      </x:c>
      <x:c r="G2782" s="12" t="str">
        <x:v>Trading or consumer-services business; small-scale prospect assumption.</x:v>
      </x:c>
      <x:c r="H2782" s="11" t="n">
        <x:v>6</x:v>
      </x:c>
      <x:c r="I2782" s="11" t="n">
        <x:v>6</x:v>
      </x:c>
      <x:c r="J2782" s="11" t="n">
        <x:v>6</x:v>
      </x:c>
      <x:c r="K2782" s="11" t="n">
        <x:v>0</x:v>
      </x:c>
      <x:c r="L2782" s="17" t="n">
        <x:f>SUM(SUMIFS('Costing'!$P$9:$P$492,'Costing'!$A$9:$A$492,"PARTNER-M227"))</x:f>
        <x:v>240000</x:v>
      </x:c>
      <x:c r="M2782" s="17" t="n">
        <x:f>ROUND(L2782*'Costing'!$C$4,2)</x:f>
        <x:v>43200</x:v>
      </x:c>
      <x:c r="N2782" s="17" t="n">
        <x:f>L2782+M2782</x:f>
        <x:v>283200</x:v>
      </x:c>
      <x:c r="O2782" s="12" t="str">
        <x:v>Mumbai</x:v>
      </x:c>
      <x:c r="P2782" s="12" t="str">
        <x:v>CORP-0644, CORP-0645, CORP-0646, CORP-0647, CORP-0648, CORP-0649</x:v>
      </x:c>
      <x:c r="Q2782" s="12" t="str">
        <x:v>Windsor Realty Private Ltd</x:v>
      </x:c>
    </x:row>
    <x:row r="2783" ht="48" customHeight="1">
      <x:c r="A2783" s="2" t="str">
        <x:v>TEN-5D20CA1753A5</x:v>
      </x:c>
      <x:c r="B2783" s="12" t="str">
        <x:v>Winkl HQ</x:v>
      </x:c>
      <x:c r="C2783" s="12" t="str">
        <x:v>Business / brand</x:v>
      </x:c>
      <x:c r="D2783" s="12" t="str">
        <x:v>Professional services</x:v>
      </x:c>
      <x:c r="E2783" s="12" t="str">
        <x:v>Research, marketing &amp; professional services</x:v>
      </x:c>
      <x:c r="F2783" s="12" t="str">
        <x:v>Small-scale prospects</x:v>
      </x:c>
      <x:c r="G2783" s="12" t="str">
        <x:v>Professional service, agency or advisory model; small-scale prospect assumption.</x:v>
      </x:c>
      <x:c r="H2783" s="11" t="n">
        <x:v>1</x:v>
      </x:c>
      <x:c r="I2783" s="11" t="n">
        <x:v>11</x:v>
      </x:c>
      <x:c r="J2783" s="11" t="n">
        <x:v>11</x:v>
      </x:c>
      <x:c r="K2783" s="11" t="n">
        <x:v>0</x:v>
      </x:c>
      <x:c r="L2783" s="17" t="n">
        <x:f>SUM(SUMIFS('Costing'!$P$9:$P$492,'Costing'!$A$9:$A$492,"MAIN-131"))</x:f>
        <x:v>275000</x:v>
      </x:c>
      <x:c r="M2783" s="17" t="n">
        <x:f>ROUND(L2783*'Costing'!$C$4,2)</x:f>
        <x:v>49500</x:v>
      </x:c>
      <x:c r="N2783" s="17" t="n">
        <x:f>L2783+M2783</x:f>
        <x:v>324500</x:v>
      </x:c>
      <x:c r="O2783" s="12" t="str">
        <x:v>Bengaluru</x:v>
      </x:c>
      <x:c r="P2783" s="12" t="str">
        <x:v>CORP-0127</x:v>
      </x:c>
      <x:c r="Q2783" s="12" t="str">
        <x:v>Winkl HQ</x:v>
      </x:c>
    </x:row>
    <x:row r="2784" ht="48" customHeight="1">
      <x:c r="A2784" s="2" t="str">
        <x:v>TEN-05E5855E29EC</x:v>
      </x:c>
      <x:c r="B2784" s="12" t="str">
        <x:v>Winner Games and Technology Pvt.Ltd</x:v>
      </x:c>
      <x:c r="C2784" s="12" t="str">
        <x:v>Business / brand</x:v>
      </x:c>
      <x:c r="D2784" s="12" t="str">
        <x:v>Trade, consumer &amp; logistics</x:v>
      </x:c>
      <x:c r="E2784" s="12" t="str">
        <x:v>Entertainment, media &amp; events</x:v>
      </x:c>
      <x:c r="F2784" s="12" t="str">
        <x:v>Small-scale prospects</x:v>
      </x:c>
      <x:c r="G2784" s="12" t="str">
        <x:v>Trading or consumer-services business; small-scale prospect assumption.</x:v>
      </x:c>
      <x:c r="H2784" s="11" t="n">
        <x:v>1</x:v>
      </x:c>
      <x:c r="I2784" s="11" t="n">
        <x:v>2</x:v>
      </x:c>
      <x:c r="J2784" s="11" t="n">
        <x:v>2</x:v>
      </x:c>
      <x:c r="K2784" s="11" t="n">
        <x:v>0</x:v>
      </x:c>
      <x:c r="L2784" s="17" t="n">
        <x:f>SUM(SUMIFS('Costing'!$P$9:$P$492,'Costing'!$A$9:$A$492,"MAIN-032"))</x:f>
        <x:v>30000</x:v>
      </x:c>
      <x:c r="M2784" s="17" t="n">
        <x:f>ROUND(L2784*'Costing'!$C$4,2)</x:f>
        <x:v>5400</x:v>
      </x:c>
      <x:c r="N2784" s="17" t="n">
        <x:f>L2784+M2784</x:f>
        <x:v>35400</x:v>
      </x:c>
      <x:c r="O2784" s="12" t="str">
        <x:v>Bengaluru</x:v>
      </x:c>
      <x:c r="P2784" s="12" t="str">
        <x:v>CORP-0028</x:v>
      </x:c>
      <x:c r="Q2784" s="12" t="str">
        <x:v>Winner Games and Technology Pvt.Ltd</x:v>
      </x:c>
    </x:row>
    <x:row r="2785" ht="48" customHeight="1">
      <x:c r="A2785" s="2" t="str">
        <x:v>TEN-0519A3DAAF8C</x:v>
      </x:c>
      <x:c r="B2785" s="12" t="str">
        <x:v>Wintech Digital Solutions LLP</x:v>
      </x:c>
      <x:c r="C2785" s="12" t="str">
        <x:v>Business / brand</x:v>
      </x:c>
      <x:c r="D2785" s="12" t="str">
        <x:v>IT &amp; digital</x:v>
      </x:c>
      <x:c r="E2785" s="12" t="str">
        <x:v>Enterprise software &amp; digital engineering</x:v>
      </x:c>
      <x:c r="F2785" s="12" t="str">
        <x:v>Small-scale prospects</x:v>
      </x:c>
      <x:c r="G2785" s="12" t="str">
        <x:v>Software or technology-services business; small-scale prospect assumption.</x:v>
      </x:c>
      <x:c r="H2785" s="11" t="n">
        <x:v>2</x:v>
      </x:c>
      <x:c r="I2785" s="11" t="n">
        <x:v>2</x:v>
      </x:c>
      <x:c r="J2785" s="11" t="n">
        <x:v>2</x:v>
      </x:c>
      <x:c r="K2785" s="11" t="n">
        <x:v>0</x:v>
      </x:c>
      <x:c r="L2785" s="17" t="n">
        <x:f>SUM(SUMIFS('Costing'!$P$9:$P$492,'Costing'!$A$9:$A$492,"MAIN-405"),SUMIFS('Costing'!$P$9:$P$492,'Costing'!$A$9:$A$492,"MAIN-406"))</x:f>
        <x:v>30000</x:v>
      </x:c>
      <x:c r="M2785" s="17" t="n">
        <x:f>ROUND(L2785*'Costing'!$C$4,2)</x:f>
        <x:v>5400</x:v>
      </x:c>
      <x:c r="N2785" s="17" t="n">
        <x:f>L2785+M2785</x:f>
        <x:v>35400</x:v>
      </x:c>
      <x:c r="O2785" s="12" t="str">
        <x:v>Pune</x:v>
      </x:c>
      <x:c r="P2785" s="12" t="str">
        <x:v>CORP-0401, CORP-0402</x:v>
      </x:c>
      <x:c r="Q2785" s="12" t="str">
        <x:v>Wintech Digital Solutions LLP</x:v>
      </x:c>
    </x:row>
    <x:row r="2786" ht="48" customHeight="1">
      <x:c r="A2786" s="2" t="str">
        <x:v>TEN-6C48A85FAF3B</x:v>
      </x:c>
      <x:c r="B2786" s="12" t="str">
        <x:v>winuall</x:v>
      </x:c>
      <x:c r="C2786" s="12" t="str">
        <x:v>Business / brand</x:v>
      </x:c>
      <x:c r="D2786" s="12" t="str">
        <x:v>Education</x:v>
      </x:c>
      <x:c r="E2786" s="12" t="str">
        <x:v>Edtech, training &amp; learning</x:v>
      </x:c>
      <x:c r="F2786" s="12" t="str">
        <x:v>Small-scale prospects</x:v>
      </x:c>
      <x:c r="G2786" s="12" t="str">
        <x:v>Training or education-services business; small-scale prospect assumption.</x:v>
      </x:c>
      <x:c r="H2786" s="11" t="n">
        <x:v>1</x:v>
      </x:c>
      <x:c r="I2786" s="11" t="n">
        <x:v>2</x:v>
      </x:c>
      <x:c r="J2786" s="11" t="n">
        <x:v>2</x:v>
      </x:c>
      <x:c r="K2786" s="11" t="n">
        <x:v>0</x:v>
      </x:c>
      <x:c r="L2786" s="17" t="n">
        <x:f>SUM(SUMIFS('Costing'!$P$9:$P$492,'Costing'!$A$9:$A$492,"MAIN-100"))</x:f>
        <x:v>30000</x:v>
      </x:c>
      <x:c r="M2786" s="17" t="n">
        <x:f>ROUND(L2786*'Costing'!$C$4,2)</x:f>
        <x:v>5400</x:v>
      </x:c>
      <x:c r="N2786" s="17" t="n">
        <x:f>L2786+M2786</x:f>
        <x:v>35400</x:v>
      </x:c>
      <x:c r="O2786" s="12" t="str">
        <x:v>Bengaluru</x:v>
      </x:c>
      <x:c r="P2786" s="12" t="str">
        <x:v>CORP-0096</x:v>
      </x:c>
      <x:c r="Q2786" s="12" t="str">
        <x:v>winuall</x:v>
      </x:c>
    </x:row>
    <x:row r="2787" ht="48" customHeight="1">
      <x:c r="A2787" s="2" t="str">
        <x:v>TEN-5528A266F145</x:v>
      </x:c>
      <x:c r="B2787" s="12" t="str">
        <x:v>Wipro</x:v>
      </x:c>
      <x:c r="C2787" s="12" t="str">
        <x:v>Business / brand</x:v>
      </x:c>
      <x:c r="D2787" s="12" t="str">
        <x:v>IT &amp; digital</x:v>
      </x:c>
      <x:c r="E2787" s="12" t="str">
        <x:v>Technology services — specialty unverified</x:v>
      </x:c>
      <x:c r="F2787" s="12" t="str">
        <x:v>Large enterprise</x:v>
      </x:c>
      <x:c r="G2787" s="12" t="str">
        <x:v>Global technology consulting group; enterprise context overrides generic software-services Small default.</x:v>
      </x:c>
      <x:c r="H2787" s="11" t="n">
        <x:v>3</x:v>
      </x:c>
      <x:c r="I2787" s="11" t="n">
        <x:v>38</x:v>
      </x:c>
      <x:c r="J2787" s="11" t="n">
        <x:v>38</x:v>
      </x:c>
      <x:c r="K2787" s="11" t="n">
        <x:v>0</x:v>
      </x:c>
      <x:c r="L2787" s="17" t="n">
        <x:f>SUM(SUMIFS('Costing'!$P$9:$P$492,'Costing'!$A$9:$A$492,"MAIN-253"),SUMIFS('Costing'!$P$9:$P$492,'Costing'!$A$9:$A$492,"MAIN-337"),SUMIFS('Costing'!$P$9:$P$492,'Costing'!$A$9:$A$492,"MAIN-338"))</x:f>
        <x:v>1430000</x:v>
      </x:c>
      <x:c r="M2787" s="17" t="n">
        <x:f>ROUND(L2787*'Costing'!$C$4,2)</x:f>
        <x:v>257400</x:v>
      </x:c>
      <x:c r="N2787" s="17" t="n">
        <x:f>L2787+M2787</x:f>
        <x:v>1687400</x:v>
      </x:c>
      <x:c r="O2787" s="12" t="str">
        <x:v>Hyderabad, Mumbai</x:v>
      </x:c>
      <x:c r="P2787" s="12" t="str">
        <x:v>CORP-0249, CORP-0333, CORP-0334</x:v>
      </x:c>
      <x:c r="Q2787" s="12" t="str">
        <x:v>Wipro, wipro</x:v>
      </x:c>
    </x:row>
    <x:row r="2788" ht="48" customHeight="1">
      <x:c r="A2788" s="2" t="str">
        <x:v>TEN-2E592B5232A8</x:v>
      </x:c>
      <x:c r="B2788" s="12" t="str">
        <x:v>Wipro GE Healthcare Pvt Ltd</x:v>
      </x:c>
      <x:c r="C2788" s="12" t="str">
        <x:v>Business / brand</x:v>
      </x:c>
      <x:c r="D2788" s="12" t="str">
        <x:v>Healthcare &amp; life sciences</x:v>
      </x:c>
      <x:c r="E2788" s="12" t="str">
        <x:v>Clinical, medical &amp; diagnostic services</x:v>
      </x:c>
      <x:c r="F2788" s="12" t="str">
        <x:v>Mixed business audience</x:v>
      </x:c>
      <x:c r="G2788" s="12" t="str">
        <x:v>Recognisable business context; company-scale evidence remains insufficient for a single size band.</x:v>
      </x:c>
      <x:c r="H2788" s="11" t="n">
        <x:v>3</x:v>
      </x:c>
      <x:c r="I2788" s="11" t="n">
        <x:v>3</x:v>
      </x:c>
      <x:c r="J2788" s="11" t="n">
        <x:v>3</x:v>
      </x:c>
      <x:c r="K2788" s="11" t="n">
        <x:v>0</x:v>
      </x:c>
      <x:c r="L2788" s="17" t="n">
        <x:f>SUM(SUMIFS('Costing'!$P$9:$P$492,'Costing'!$A$9:$A$492,"PARTNER-M175"))</x:f>
        <x:v>120000</x:v>
      </x:c>
      <x:c r="M2788" s="17" t="n">
        <x:f>ROUND(L2788*'Costing'!$C$4,2)</x:f>
        <x:v>21600</x:v>
      </x:c>
      <x:c r="N2788" s="17" t="n">
        <x:f>L2788+M2788</x:f>
        <x:v>141600</x:v>
      </x:c>
      <x:c r="O2788" s="12" t="str">
        <x:v>Mumbai</x:v>
      </x:c>
      <x:c r="P2788" s="12" t="str">
        <x:v>CORP-0592, CORP-0593, CORP-0594</x:v>
      </x:c>
      <x:c r="Q2788" s="12" t="str">
        <x:v>Wipro GE Healthcare Pvt Ltd</x:v>
      </x:c>
    </x:row>
    <x:row r="2789" ht="48" customHeight="1">
      <x:c r="A2789" s="2" t="str">
        <x:v>TEN-4DAB11405DF8</x:v>
      </x:c>
      <x:c r="B2789" s="12" t="str">
        <x:v>Wipro Technologies Limited</x:v>
      </x:c>
      <x:c r="C2789" s="12" t="str">
        <x:v>Business / brand</x:v>
      </x:c>
      <x:c r="D2789" s="12" t="str">
        <x:v>IT &amp; digital</x:v>
      </x:c>
      <x:c r="E2789" s="12" t="str">
        <x:v>Enterprise software &amp; digital engineering</x:v>
      </x:c>
      <x:c r="F2789" s="12" t="str">
        <x:v>Large enterprise</x:v>
      </x:c>
      <x:c r="G2789" s="12" t="str">
        <x:v>Global technology consulting group; enterprise context overrides generic software-services Small default.</x:v>
      </x:c>
      <x:c r="H2789" s="11" t="n">
        <x:v>2</x:v>
      </x:c>
      <x:c r="I2789" s="11" t="n">
        <x:v>2</x:v>
      </x:c>
      <x:c r="J2789" s="11" t="n">
        <x:v>2</x:v>
      </x:c>
      <x:c r="K2789" s="11" t="n">
        <x:v>0</x:v>
      </x:c>
      <x:c r="L2789" s="17" t="n">
        <x:f>SUM(SUMIFS('Costing'!$P$9:$P$492,'Costing'!$A$9:$A$492,"PARTNER-M065"))</x:f>
        <x:v>80000</x:v>
      </x:c>
      <x:c r="M2789" s="17" t="n">
        <x:f>ROUND(L2789*'Costing'!$C$4,2)</x:f>
        <x:v>14400</x:v>
      </x:c>
      <x:c r="N2789" s="17" t="n">
        <x:f>L2789+M2789</x:f>
        <x:v>94400</x:v>
      </x:c>
      <x:c r="O2789" s="12" t="str">
        <x:v>Bengaluru</x:v>
      </x:c>
      <x:c r="P2789" s="12" t="str">
        <x:v>CORP-0483, CORP-0484</x:v>
      </x:c>
      <x:c r="Q2789" s="12" t="str">
        <x:v>Wipro Technologies Limited</x:v>
      </x:c>
    </x:row>
    <x:row r="2790" ht="48" customHeight="1">
      <x:c r="A2790" s="2" t="str">
        <x:v>TEN-4F55DE894B56</x:v>
      </x:c>
      <x:c r="B2790" s="12" t="str">
        <x:v>Wisdom Box Infosystem LLP</x:v>
      </x:c>
      <x:c r="C2790" s="12" t="str">
        <x:v>Business / brand</x:v>
      </x:c>
      <x:c r="D2790" s="12" t="str">
        <x:v>Unresolved</x:v>
      </x:c>
      <x:c r="E2790" s="12" t="str">
        <x:v>Business activity not established</x:v>
      </x:c>
      <x:c r="F2790" s="12" t="str">
        <x:v>Mixed business audience</x:v>
      </x:c>
      <x:c r="G2790" s="12" t="str">
        <x:v>Business activity and company scale are not established from this name.</x:v>
      </x:c>
      <x:c r="H2790" s="11" t="n">
        <x:v>1</x:v>
      </x:c>
      <x:c r="I2790" s="11" t="n">
        <x:v>2</x:v>
      </x:c>
      <x:c r="J2790" s="11" t="n">
        <x:v>2</x:v>
      </x:c>
      <x:c r="K2790" s="11" t="n">
        <x:v>0</x:v>
      </x:c>
      <x:c r="L2790" s="17" t="n">
        <x:f>SUM(SUMIFS('Costing'!$P$9:$P$492,'Costing'!$A$9:$A$492,"MAIN-273"))</x:f>
        <x:v>40000</x:v>
      </x:c>
      <x:c r="M2790" s="17" t="n">
        <x:f>ROUND(L2790*'Costing'!$C$4,2)</x:f>
        <x:v>7200</x:v>
      </x:c>
      <x:c r="N2790" s="17" t="n">
        <x:f>L2790+M2790</x:f>
        <x:v>47200</x:v>
      </x:c>
      <x:c r="O2790" s="12" t="str">
        <x:v>Indore</x:v>
      </x:c>
      <x:c r="P2790" s="12" t="str">
        <x:v>CORP-0269</x:v>
      </x:c>
      <x:c r="Q2790" s="12" t="str">
        <x:v>Wisdom Box Infosystem LLP</x:v>
      </x:c>
    </x:row>
    <x:row r="2791" ht="48" customHeight="1">
      <x:c r="A2791" s="2" t="str">
        <x:v>TEN-A09CDA62FBCB</x:v>
      </x:c>
      <x:c r="B2791" s="12" t="str">
        <x:v>Wisemen</x:v>
      </x:c>
      <x:c r="C2791" s="12" t="str">
        <x:v>Business / brand</x:v>
      </x:c>
      <x:c r="D2791" s="12" t="str">
        <x:v>Unresolved</x:v>
      </x:c>
      <x:c r="E2791" s="12" t="str">
        <x:v>Business activity not established</x:v>
      </x:c>
      <x:c r="F2791" s="12" t="str">
        <x:v>Mixed business audience</x:v>
      </x:c>
      <x:c r="G2791" s="12" t="str">
        <x:v>Business activity and company scale are not established from this name.</x:v>
      </x:c>
      <x:c r="H2791" s="11" t="n">
        <x:v>6</x:v>
      </x:c>
      <x:c r="I2791" s="11" t="n">
        <x:v>6</x:v>
      </x:c>
      <x:c r="J2791" s="11" t="n">
        <x:v>6</x:v>
      </x:c>
      <x:c r="K2791" s="11" t="n">
        <x:v>0</x:v>
      </x:c>
      <x:c r="L2791" s="17" t="n">
        <x:f>SUM(SUMIFS('Costing'!$P$9:$P$492,'Costing'!$A$9:$A$492,"PARTNER-M283"))</x:f>
        <x:v>240000</x:v>
      </x:c>
      <x:c r="M2791" s="17" t="n">
        <x:f>ROUND(L2791*'Costing'!$C$4,2)</x:f>
        <x:v>43200</x:v>
      </x:c>
      <x:c r="N2791" s="17" t="n">
        <x:f>L2791+M2791</x:f>
        <x:v>283200</x:v>
      </x:c>
      <x:c r="O2791" s="12" t="str">
        <x:v>Hyderabad</x:v>
      </x:c>
      <x:c r="P2791" s="12" t="str">
        <x:v>CORP-0698, CORP-0699, CORP-0700, CORP-0701, CORP-0702, CORP-0703</x:v>
      </x:c>
      <x:c r="Q2791" s="12" t="str">
        <x:v>Wisemen</x:v>
      </x:c>
    </x:row>
    <x:row r="2792" ht="48" customHeight="1">
      <x:c r="A2792" s="2" t="str">
        <x:v>TEN-ED83BB1519D2</x:v>
      </x:c>
      <x:c r="B2792" s="12" t="str">
        <x:v>Wissen</x:v>
      </x:c>
      <x:c r="C2792" s="12" t="str">
        <x:v>Business / brand</x:v>
      </x:c>
      <x:c r="D2792" s="12" t="str">
        <x:v>IT &amp; digital</x:v>
      </x:c>
      <x:c r="E2792" s="12" t="str">
        <x:v>Enterprise software &amp; digital engineering</x:v>
      </x:c>
      <x:c r="F2792" s="12" t="str">
        <x:v>Mixed business audience</x:v>
      </x:c>
      <x:c r="G2792" s="12" t="str">
        <x:v>Established brand or business network; local company scale is not established. Use a mixed-business message.</x:v>
      </x:c>
      <x:c r="H2792" s="11" t="n">
        <x:v>1</x:v>
      </x:c>
      <x:c r="I2792" s="11" t="n">
        <x:v>2</x:v>
      </x:c>
      <x:c r="J2792" s="11" t="n">
        <x:v>2</x:v>
      </x:c>
      <x:c r="K2792" s="11" t="n">
        <x:v>0</x:v>
      </x:c>
      <x:c r="L2792" s="17" t="n">
        <x:f>SUM(SUMIFS('Costing'!$P$9:$P$492,'Costing'!$A$9:$A$492,"MAIN-069"))</x:f>
        <x:v>30000</x:v>
      </x:c>
      <x:c r="M2792" s="17" t="n">
        <x:f>ROUND(L2792*'Costing'!$C$4,2)</x:f>
        <x:v>5400</x:v>
      </x:c>
      <x:c r="N2792" s="17" t="n">
        <x:f>L2792+M2792</x:f>
        <x:v>35400</x:v>
      </x:c>
      <x:c r="O2792" s="12" t="str">
        <x:v>Bengaluru</x:v>
      </x:c>
      <x:c r="P2792" s="12" t="str">
        <x:v>CORP-0065</x:v>
      </x:c>
      <x:c r="Q2792" s="12" t="str">
        <x:v>Wissen</x:v>
      </x:c>
    </x:row>
    <x:row r="2793" ht="48" customHeight="1">
      <x:c r="A2793" s="2" t="str">
        <x:v>TEN-C59546E98326</x:v>
      </x:c>
      <x:c r="B2793" s="12" t="str">
        <x:v>Wissen Technology</x:v>
      </x:c>
      <x:c r="C2793" s="12" t="str">
        <x:v>Business / brand</x:v>
      </x:c>
      <x:c r="D2793" s="12" t="str">
        <x:v>IT &amp; digital</x:v>
      </x:c>
      <x:c r="E2793" s="12" t="str">
        <x:v>Enterprise software &amp; digital engineering</x:v>
      </x:c>
      <x:c r="F2793" s="12" t="str">
        <x:v>Mixed business audience</x:v>
      </x:c>
      <x:c r="G2793" s="12" t="str">
        <x:v>Established brand or business network; local company scale is not established. Use a mixed-business message.</x:v>
      </x:c>
      <x:c r="H2793" s="11" t="n">
        <x:v>1</x:v>
      </x:c>
      <x:c r="I2793" s="11" t="n">
        <x:v>4</x:v>
      </x:c>
      <x:c r="J2793" s="11" t="n">
        <x:v>4</x:v>
      </x:c>
      <x:c r="K2793" s="11" t="n">
        <x:v>0</x:v>
      </x:c>
      <x:c r="L2793" s="17" t="n">
        <x:f>SUM(SUMIFS('Costing'!$P$9:$P$492,'Costing'!$A$9:$A$492,"MAIN-403"))</x:f>
        <x:v>80000</x:v>
      </x:c>
      <x:c r="M2793" s="17" t="n">
        <x:f>ROUND(L2793*'Costing'!$C$4,2)</x:f>
        <x:v>14400</x:v>
      </x:c>
      <x:c r="N2793" s="17" t="n">
        <x:f>L2793+M2793</x:f>
        <x:v>94400</x:v>
      </x:c>
      <x:c r="O2793" s="12" t="str">
        <x:v>Pune</x:v>
      </x:c>
      <x:c r="P2793" s="12" t="str">
        <x:v>CORP-0399</x:v>
      </x:c>
      <x:c r="Q2793" s="12" t="str">
        <x:v>Wissen Technology</x:v>
      </x:c>
    </x:row>
    <x:row r="2794" ht="48" customHeight="1">
      <x:c r="A2794" s="2" t="str">
        <x:v>TEN-A6C5ECD8B565</x:v>
      </x:c>
      <x:c r="B2794" s="12" t="str">
        <x:v>WitMates</x:v>
      </x:c>
      <x:c r="C2794" s="12" t="str">
        <x:v>Business / brand</x:v>
      </x:c>
      <x:c r="D2794" s="12" t="str">
        <x:v>Unresolved</x:v>
      </x:c>
      <x:c r="E2794" s="12" t="str">
        <x:v>Business activity not established</x:v>
      </x:c>
      <x:c r="F2794" s="12" t="str">
        <x:v>Mixed business audience</x:v>
      </x:c>
      <x:c r="G2794" s="12" t="str">
        <x:v>Business activity and company scale are not established from this name.</x:v>
      </x:c>
      <x:c r="H2794" s="11" t="n">
        <x:v>1</x:v>
      </x:c>
      <x:c r="I2794" s="11" t="n">
        <x:v>1</x:v>
      </x:c>
      <x:c r="J2794" s="11" t="n">
        <x:v>1</x:v>
      </x:c>
      <x:c r="K2794" s="11" t="n">
        <x:v>0</x:v>
      </x:c>
      <x:c r="L2794" s="17" t="n">
        <x:f>SUM(SUMIFS('Costing'!$P$9:$P$492,'Costing'!$A$9:$A$492,"MAIN-275"))</x:f>
        <x:v>40000</x:v>
      </x:c>
      <x:c r="M2794" s="17" t="n">
        <x:f>ROUND(L2794*'Costing'!$C$4,2)</x:f>
        <x:v>7200</x:v>
      </x:c>
      <x:c r="N2794" s="17" t="n">
        <x:f>L2794+M2794</x:f>
        <x:v>47200</x:v>
      </x:c>
      <x:c r="O2794" s="12" t="str">
        <x:v>Indore</x:v>
      </x:c>
      <x:c r="P2794" s="12" t="str">
        <x:v>CORP-0271</x:v>
      </x:c>
      <x:c r="Q2794" s="12" t="str">
        <x:v>WitMates</x:v>
      </x:c>
    </x:row>
    <x:row r="2795" ht="48" customHeight="1">
      <x:c r="A2795" s="2" t="str">
        <x:v>TEN-6CA190D5260C</x:v>
      </x:c>
      <x:c r="B2795" s="12" t="str">
        <x:v>WNS</x:v>
      </x:c>
      <x:c r="C2795" s="12" t="str">
        <x:v>Business / brand</x:v>
      </x:c>
      <x:c r="D2795" s="12" t="str">
        <x:v>IT &amp; digital</x:v>
      </x:c>
      <x:c r="E2795" s="12" t="str">
        <x:v>Business process &amp; customer operations</x:v>
      </x:c>
      <x:c r="F2795" s="12" t="str">
        <x:v>Mixed business audience</x:v>
      </x:c>
      <x:c r="G2795" s="12" t="str">
        <x:v>Recognisable business context; company-scale evidence remains insufficient for a single size band.</x:v>
      </x:c>
      <x:c r="H2795" s="11" t="n">
        <x:v>9</x:v>
      </x:c>
      <x:c r="I2795" s="11" t="n">
        <x:v>9</x:v>
      </x:c>
      <x:c r="J2795" s="11" t="n">
        <x:v>9</x:v>
      </x:c>
      <x:c r="K2795" s="11" t="n">
        <x:v>0</x:v>
      </x:c>
      <x:c r="L2795" s="17" t="n">
        <x:f>SUM(SUMIFS('Costing'!$P$9:$P$492,'Costing'!$A$9:$A$492,"PARTNER-M252"))</x:f>
        <x:v>360000</x:v>
      </x:c>
      <x:c r="M2795" s="17" t="n">
        <x:f>ROUND(L2795*'Costing'!$C$4,2)</x:f>
        <x:v>64800</x:v>
      </x:c>
      <x:c r="N2795" s="17" t="n">
        <x:f>L2795+M2795</x:f>
        <x:v>424800</x:v>
      </x:c>
      <x:c r="O2795" s="12" t="str">
        <x:v>Pune</x:v>
      </x:c>
      <x:c r="P2795" s="12" t="str">
        <x:v>CORP-0668, CORP-0669, CORP-0670, CORP-0671, CORP-0672, CORP-0673, CORP-0674, CORP-0675, CORP-0676</x:v>
      </x:c>
      <x:c r="Q2795" s="12" t="str">
        <x:v>WNS</x:v>
      </x:c>
    </x:row>
    <x:row r="2796" ht="48" customHeight="1">
      <x:c r="A2796" s="2" t="str">
        <x:v>TEN-413BB748AA81</x:v>
      </x:c>
      <x:c r="B2796" s="12" t="str">
        <x:v>WNS Global Services</x:v>
      </x:c>
      <x:c r="C2796" s="12" t="str">
        <x:v>Business / brand</x:v>
      </x:c>
      <x:c r="D2796" s="12" t="str">
        <x:v>IT &amp; digital</x:v>
      </x:c>
      <x:c r="E2796" s="12" t="str">
        <x:v>Business process &amp; customer operations</x:v>
      </x:c>
      <x:c r="F2796" s="12" t="str">
        <x:v>Mixed business audience</x:v>
      </x:c>
      <x:c r="G2796" s="12" t="str">
        <x:v>Recognisable business context; company-scale evidence remains insufficient for a single size band.</x:v>
      </x:c>
      <x:c r="H2796" s="11" t="n">
        <x:v>7</x:v>
      </x:c>
      <x:c r="I2796" s="11" t="n">
        <x:v>9</x:v>
      </x:c>
      <x:c r="J2796" s="11" t="n">
        <x:v>9</x:v>
      </x:c>
      <x:c r="K2796" s="11" t="n">
        <x:v>0</x:v>
      </x:c>
      <x:c r="L2796" s="17" t="n">
        <x:f>SUM(SUMIFS('Costing'!$P$9:$P$492,'Costing'!$A$9:$A$492,"MAIN-345"),SUMIFS('Costing'!$P$9:$P$492,'Costing'!$A$9:$A$492,"MAIN-346"),SUMIFS('Costing'!$P$9:$P$492,'Costing'!$A$9:$A$492,"PARTNER-M312"))</x:f>
        <x:v>260000</x:v>
      </x:c>
      <x:c r="M2796" s="17" t="n">
        <x:f>ROUND(L2796*'Costing'!$C$4,2)</x:f>
        <x:v>46800</x:v>
      </x:c>
      <x:c r="N2796" s="17" t="n">
        <x:f>L2796+M2796</x:f>
        <x:v>306800</x:v>
      </x:c>
      <x:c r="O2796" s="12" t="str">
        <x:v>Mumbai, Hyderabad</x:v>
      </x:c>
      <x:c r="P2796" s="12" t="str">
        <x:v>CORP-0341, CORP-0342, CORP-0727, CORP-0728, CORP-0729, CORP-0730, CORP-0731</x:v>
      </x:c>
      <x:c r="Q2796" s="12" t="str">
        <x:v>WNS Global Services</x:v>
      </x:c>
    </x:row>
    <x:row r="2797" ht="48" customHeight="1">
      <x:c r="A2797" s="2" t="str">
        <x:v>TEN-3EAEC1212261</x:v>
      </x:c>
      <x:c r="B2797" s="12" t="str">
        <x:v>WNS Global Services Pvt Ltd</x:v>
      </x:c>
      <x:c r="C2797" s="12" t="str">
        <x:v>Business / brand</x:v>
      </x:c>
      <x:c r="D2797" s="12" t="str">
        <x:v>IT &amp; digital</x:v>
      </x:c>
      <x:c r="E2797" s="12" t="str">
        <x:v>Business process &amp; customer operations</x:v>
      </x:c>
      <x:c r="F2797" s="12" t="str">
        <x:v>Mixed business audience</x:v>
      </x:c>
      <x:c r="G2797" s="12" t="str">
        <x:v>Recognisable business context; company-scale evidence remains insufficient for a single size band.</x:v>
      </x:c>
      <x:c r="H2797" s="11" t="n">
        <x:v>2</x:v>
      </x:c>
      <x:c r="I2797" s="11" t="n">
        <x:v>2</x:v>
      </x:c>
      <x:c r="J2797" s="11" t="n">
        <x:v>2</x:v>
      </x:c>
      <x:c r="K2797" s="11" t="n">
        <x:v>0</x:v>
      </x:c>
      <x:c r="L2797" s="17" t="n">
        <x:f>SUM(SUMIFS('Costing'!$P$9:$P$492,'Costing'!$A$9:$A$492,"PARTNER-M336"))</x:f>
        <x:v>80000</x:v>
      </x:c>
      <x:c r="M2797" s="17" t="n">
        <x:f>ROUND(L2797*'Costing'!$C$4,2)</x:f>
        <x:v>14400</x:v>
      </x:c>
      <x:c r="N2797" s="17" t="n">
        <x:f>L2797+M2797</x:f>
        <x:v>94400</x:v>
      </x:c>
      <x:c r="O2797" s="12" t="str">
        <x:v>Chennai</x:v>
      </x:c>
      <x:c r="P2797" s="12" t="str">
        <x:v>CORP-0750, CORP-0751</x:v>
      </x:c>
      <x:c r="Q2797" s="12" t="str">
        <x:v>WNS Global Services Pvt Ltd</x:v>
      </x:c>
    </x:row>
    <x:row r="2798" ht="48" customHeight="1">
      <x:c r="A2798" s="2" t="str">
        <x:v>TEN-830061D89C71</x:v>
      </x:c>
      <x:c r="B2798" s="12" t="str">
        <x:v>Wonder Cement</x:v>
      </x:c>
      <x:c r="C2798" s="12" t="str">
        <x:v>Business / brand</x:v>
      </x:c>
      <x:c r="D2798" s="12" t="str">
        <x:v>Engineering &amp; manufacturing</x:v>
      </x:c>
      <x:c r="E2798" s="12" t="str">
        <x:v>Chemicals, materials &amp; industrial manufacturing</x:v>
      </x:c>
      <x:c r="F2798" s="12" t="str">
        <x:v>Mixed business audience</x:v>
      </x:c>
      <x:c r="G2798" s="12" t="str">
        <x:v>Recognisable business context; company-scale evidence remains insufficient for a single size band.</x:v>
      </x:c>
      <x:c r="H2798" s="11" t="n">
        <x:v>1</x:v>
      </x:c>
      <x:c r="I2798" s="11" t="n">
        <x:v>1</x:v>
      </x:c>
      <x:c r="J2798" s="11" t="n">
        <x:v>1</x:v>
      </x:c>
      <x:c r="K2798" s="11" t="n">
        <x:v>0</x:v>
      </x:c>
      <x:c r="L2798" s="17" t="n">
        <x:f>SUM(SUMIFS('Costing'!$P$9:$P$492,'Costing'!$A$9:$A$492,"MAIN-266"))</x:f>
        <x:v>20000</x:v>
      </x:c>
      <x:c r="M2798" s="17" t="n">
        <x:f>ROUND(L2798*'Costing'!$C$4,2)</x:f>
        <x:v>3600</x:v>
      </x:c>
      <x:c r="N2798" s="17" t="n">
        <x:f>L2798+M2798</x:f>
        <x:v>23600</x:v>
      </x:c>
      <x:c r="O2798" s="12" t="str">
        <x:v>Indore</x:v>
      </x:c>
      <x:c r="P2798" s="12" t="str">
        <x:v>CORP-0262</x:v>
      </x:c>
      <x:c r="Q2798" s="12" t="str">
        <x:v>Wonder Cement</x:v>
      </x:c>
    </x:row>
    <x:row r="2799" ht="48" customHeight="1">
      <x:c r="A2799" s="2" t="str">
        <x:v>TEN-7F5D07BD8295</x:v>
      </x:c>
      <x:c r="B2799" s="12" t="str">
        <x:v>Wood Rap</x:v>
      </x:c>
      <x:c r="C2799" s="12" t="str">
        <x:v>Business / brand</x:v>
      </x:c>
      <x:c r="D2799" s="12" t="str">
        <x:v>Unresolved</x:v>
      </x:c>
      <x:c r="E2799" s="12" t="str">
        <x:v>Business activity not established</x:v>
      </x:c>
      <x:c r="F2799" s="12" t="str">
        <x:v>Mixed business audience</x:v>
      </x:c>
      <x:c r="G2799" s="12" t="str">
        <x:v>Business activity and company scale are not established from this name.</x:v>
      </x:c>
      <x:c r="H2799" s="11" t="n">
        <x:v>1</x:v>
      </x:c>
      <x:c r="I2799" s="11" t="n">
        <x:v>2</x:v>
      </x:c>
      <x:c r="J2799" s="11" t="n">
        <x:v>2</x:v>
      </x:c>
      <x:c r="K2799" s="11" t="n">
        <x:v>0</x:v>
      </x:c>
      <x:c r="L2799" s="17" t="n">
        <x:f>SUM(SUMIFS('Costing'!$P$9:$P$492,'Costing'!$A$9:$A$492,"MAIN-288"))</x:f>
        <x:v>40000</x:v>
      </x:c>
      <x:c r="M2799" s="17" t="n">
        <x:f>ROUND(L2799*'Costing'!$C$4,2)</x:f>
        <x:v>7200</x:v>
      </x:c>
      <x:c r="N2799" s="17" t="n">
        <x:f>L2799+M2799</x:f>
        <x:v>47200</x:v>
      </x:c>
      <x:c r="O2799" s="12" t="str">
        <x:v>Lucknow</x:v>
      </x:c>
      <x:c r="P2799" s="12" t="str">
        <x:v>CORP-0284</x:v>
      </x:c>
      <x:c r="Q2799" s="12" t="str">
        <x:v>Wood Rap</x:v>
      </x:c>
    </x:row>
    <x:row r="2800" ht="48" customHeight="1">
      <x:c r="A2800" s="2" t="str">
        <x:v>TEN-BA9461CED01A</x:v>
      </x:c>
      <x:c r="B2800" s="12" t="str">
        <x:v>Woovly</x:v>
      </x:c>
      <x:c r="C2800" s="12" t="str">
        <x:v>Business / brand</x:v>
      </x:c>
      <x:c r="D2800" s="12" t="str">
        <x:v>Trade, consumer &amp; logistics</x:v>
      </x:c>
      <x:c r="E2800" s="12" t="str">
        <x:v>Retail, consumer products &amp; ecommerce</x:v>
      </x:c>
      <x:c r="F2800" s="12" t="str">
        <x:v>Small-scale prospects</x:v>
      </x:c>
      <x:c r="G2800" s="12" t="str">
        <x:v>Trading or consumer-services business; small-scale prospect assumption.</x:v>
      </x:c>
      <x:c r="H2800" s="11" t="n">
        <x:v>1</x:v>
      </x:c>
      <x:c r="I2800" s="11" t="n">
        <x:v>2</x:v>
      </x:c>
      <x:c r="J2800" s="11" t="n">
        <x:v>2</x:v>
      </x:c>
      <x:c r="K2800" s="11" t="n">
        <x:v>0</x:v>
      </x:c>
      <x:c r="L2800" s="17" t="n">
        <x:f>SUM(SUMIFS('Costing'!$P$9:$P$492,'Costing'!$A$9:$A$492,"MAIN-101"))</x:f>
        <x:v>30000</x:v>
      </x:c>
      <x:c r="M2800" s="17" t="n">
        <x:f>ROUND(L2800*'Costing'!$C$4,2)</x:f>
        <x:v>5400</x:v>
      </x:c>
      <x:c r="N2800" s="17" t="n">
        <x:f>L2800+M2800</x:f>
        <x:v>35400</x:v>
      </x:c>
      <x:c r="O2800" s="12" t="str">
        <x:v>Bengaluru</x:v>
      </x:c>
      <x:c r="P2800" s="12" t="str">
        <x:v>CORP-0097</x:v>
      </x:c>
      <x:c r="Q2800" s="12" t="str">
        <x:v>Woovly</x:v>
      </x:c>
    </x:row>
    <x:row r="2801" ht="48" customHeight="1">
      <x:c r="A2801" s="2" t="str">
        <x:v>TEN-EBEED76FF4AE</x:v>
      </x:c>
      <x:c r="B2801" s="12" t="str">
        <x:v>Work Fox</x:v>
      </x:c>
      <x:c r="C2801" s="12" t="str">
        <x:v>Business / brand</x:v>
      </x:c>
      <x:c r="D2801" s="12" t="str">
        <x:v>Unresolved</x:v>
      </x:c>
      <x:c r="E2801" s="12" t="str">
        <x:v>Business activity not established</x:v>
      </x:c>
      <x:c r="F2801" s="12" t="str">
        <x:v>Mixed business audience</x:v>
      </x:c>
      <x:c r="G2801" s="12" t="str">
        <x:v>Business activity and company scale are not established from this name.</x:v>
      </x:c>
      <x:c r="H2801" s="11" t="n">
        <x:v>1</x:v>
      </x:c>
      <x:c r="I2801" s="11" t="n">
        <x:v>1</x:v>
      </x:c>
      <x:c r="J2801" s="11" t="n">
        <x:v>1</x:v>
      </x:c>
      <x:c r="K2801" s="11" t="n">
        <x:v>0</x:v>
      </x:c>
      <x:c r="L2801" s="17" t="n">
        <x:f>SUM(SUMIFS('Costing'!$P$9:$P$492,'Costing'!$A$9:$A$492,"MAIN-274"))</x:f>
        <x:v>40000</x:v>
      </x:c>
      <x:c r="M2801" s="17" t="n">
        <x:f>ROUND(L2801*'Costing'!$C$4,2)</x:f>
        <x:v>7200</x:v>
      </x:c>
      <x:c r="N2801" s="17" t="n">
        <x:f>L2801+M2801</x:f>
        <x:v>47200</x:v>
      </x:c>
      <x:c r="O2801" s="12" t="str">
        <x:v>Indore</x:v>
      </x:c>
      <x:c r="P2801" s="12" t="str">
        <x:v>CORP-0270</x:v>
      </x:c>
      <x:c r="Q2801" s="12" t="str">
        <x:v>Work Fox</x:v>
      </x:c>
    </x:row>
    <x:row r="2802" ht="49" customHeight="1">
      <x:c r="A2802" s="2" t="str">
        <x:v>TEN-13B3D65B3A89</x:v>
      </x:c>
      <x:c r="B2802" s="12" t="str">
        <x:v>Workie</x:v>
      </x:c>
      <x:c r="C2802" s="12" t="str">
        <x:v>Workspace operator</x:v>
      </x:c>
      <x:c r="D2802" s="12" t="str">
        <x:v>Workspace &amp; property operations</x:v>
      </x:c>
      <x:c r="E2802" s="12" t="str">
        <x:v>Coworking/workspace operator</x:v>
      </x:c>
      <x:c r="F2802" s="12" t="str">
        <x:v>Mixed business audience</x:v>
      </x:c>
      <x:c r="G2802" s="12" t="str">
        <x:v>Supplied entry is a shared-workspace operator; the business sizes of occupant companies cannot be derived from the operator name.</x:v>
      </x:c>
      <x:c r="H2802" s="11" t="n">
        <x:v>1</x:v>
      </x:c>
      <x:c r="I2802" s="11" t="n">
        <x:v>1</x:v>
      </x:c>
      <x:c r="J2802" s="11" t="n">
        <x:v>1</x:v>
      </x:c>
      <x:c r="K2802" s="11" t="n">
        <x:v>0</x:v>
      </x:c>
      <x:c r="L2802" s="17" t="n">
        <x:f>SUM(SUMIFS('Costing'!$P$9:$P$492,'Costing'!$A$9:$A$492,"MAIN-274"))</x:f>
        <x:v>40000</x:v>
      </x:c>
      <x:c r="M2802" s="17" t="n">
        <x:f>ROUND(L2802*'Costing'!$C$4,2)</x:f>
        <x:v>7200</x:v>
      </x:c>
      <x:c r="N2802" s="17" t="n">
        <x:f>L2802+M2802</x:f>
        <x:v>47200</x:v>
      </x:c>
      <x:c r="O2802" s="12" t="str">
        <x:v>Indore</x:v>
      </x:c>
      <x:c r="P2802" s="12" t="str">
        <x:v>CORP-0270</x:v>
      </x:c>
      <x:c r="Q2802" s="12" t="str">
        <x:v>Workie</x:v>
      </x:c>
    </x:row>
    <x:row r="2803" ht="48" customHeight="1">
      <x:c r="A2803" s="2" t="str">
        <x:v>TEN-8061FA4B3B34</x:v>
      </x:c>
      <x:c r="B2803" s="12" t="str">
        <x:v>Worklogix</x:v>
      </x:c>
      <x:c r="C2803" s="12" t="str">
        <x:v>Business / brand</x:v>
      </x:c>
      <x:c r="D2803" s="12" t="str">
        <x:v>IT &amp; digital</x:v>
      </x:c>
      <x:c r="E2803" s="12" t="str">
        <x:v>Enterprise software &amp; digital engineering</x:v>
      </x:c>
      <x:c r="F2803" s="12" t="str">
        <x:v>Small-scale prospects</x:v>
      </x:c>
      <x:c r="G2803" s="12" t="str">
        <x:v>Software or technology-services business; small-scale prospect assumption.</x:v>
      </x:c>
      <x:c r="H2803" s="11" t="n">
        <x:v>5</x:v>
      </x:c>
      <x:c r="I2803" s="11" t="n">
        <x:v>5</x:v>
      </x:c>
      <x:c r="J2803" s="11" t="n">
        <x:v>5</x:v>
      </x:c>
      <x:c r="K2803" s="11" t="n">
        <x:v>0</x:v>
      </x:c>
      <x:c r="L2803" s="17" t="n">
        <x:f>SUM(SUMIFS('Costing'!$P$9:$P$492,'Costing'!$A$9:$A$492,"PARTNER-M342"))</x:f>
        <x:v>200000</x:v>
      </x:c>
      <x:c r="M2803" s="17" t="n">
        <x:f>ROUND(L2803*'Costing'!$C$4,2)</x:f>
        <x:v>36000</x:v>
      </x:c>
      <x:c r="N2803" s="17" t="n">
        <x:f>L2803+M2803</x:f>
        <x:v>236000</x:v>
      </x:c>
      <x:c r="O2803" s="12" t="str">
        <x:v>Chennai</x:v>
      </x:c>
      <x:c r="P2803" s="12" t="str">
        <x:v>CORP-0756, CORP-0757, CORP-0758, CORP-0759, CORP-0760</x:v>
      </x:c>
      <x:c r="Q2803" s="12" t="str">
        <x:v>Worklogix</x:v>
      </x:c>
    </x:row>
    <x:row r="2804" ht="49" customHeight="1">
      <x:c r="A2804" s="2" t="str">
        <x:v>TEN-BBD5210C1E57</x:v>
      </x:c>
      <x:c r="B2804" s="12" t="str">
        <x:v>WorkX Coworking Spaces</x:v>
      </x:c>
      <x:c r="C2804" s="12" t="str">
        <x:v>Workspace operator</x:v>
      </x:c>
      <x:c r="D2804" s="12" t="str">
        <x:v>Workspace &amp; property operations</x:v>
      </x:c>
      <x:c r="E2804" s="12" t="str">
        <x:v>Coworking/workspace operator</x:v>
      </x:c>
      <x:c r="F2804" s="12" t="str">
        <x:v>Mixed business audience</x:v>
      </x:c>
      <x:c r="G2804" s="12" t="str">
        <x:v>Supplied entry is a shared-workspace operator; the business sizes of occupant companies cannot be derived from the operator name.</x:v>
      </x:c>
      <x:c r="H2804" s="11" t="n">
        <x:v>4</x:v>
      </x:c>
      <x:c r="I2804" s="11" t="n">
        <x:v>4</x:v>
      </x:c>
      <x:c r="J2804" s="11" t="n">
        <x:v>4</x:v>
      </x:c>
      <x:c r="K2804" s="11" t="n">
        <x:v>0</x:v>
      </x:c>
      <x:c r="L2804" s="17" t="n">
        <x:f>SUM(SUMIFS('Costing'!$P$9:$P$492,'Costing'!$A$9:$A$492,"PARTNER-M056"))</x:f>
        <x:v>160000</x:v>
      </x:c>
      <x:c r="M2804" s="17" t="n">
        <x:f>ROUND(L2804*'Costing'!$C$4,2)</x:f>
        <x:v>28800</x:v>
      </x:c>
      <x:c r="N2804" s="17" t="n">
        <x:f>L2804+M2804</x:f>
        <x:v>188800</x:v>
      </x:c>
      <x:c r="O2804" s="12" t="str">
        <x:v>Bengaluru</x:v>
      </x:c>
      <x:c r="P2804" s="12" t="str">
        <x:v>CORP-0474, CORP-0475, CORP-0476, CORP-0477</x:v>
      </x:c>
      <x:c r="Q2804" s="12" t="str">
        <x:v>WorkX Coworking Spaces</x:v>
      </x:c>
    </x:row>
    <x:row r="2805" ht="48" customHeight="1">
      <x:c r="A2805" s="2" t="str">
        <x:v>TEN-3EF1EF17F0B1</x:v>
      </x:c>
      <x:c r="B2805" s="12" t="str">
        <x:v>Worl Immigration Consultants</x:v>
      </x:c>
      <x:c r="C2805" s="12" t="str">
        <x:v>Business / brand</x:v>
      </x:c>
      <x:c r="D2805" s="12" t="str">
        <x:v>Professional services</x:v>
      </x:c>
      <x:c r="E2805" s="12" t="str">
        <x:v>Immigration &amp; relocation services</x:v>
      </x:c>
      <x:c r="F2805" s="12" t="str">
        <x:v>Small-scale prospects</x:v>
      </x:c>
      <x:c r="G2805" s="12" t="str">
        <x:v>Professional service, agency or advisory model; small-scale prospect assumption.</x:v>
      </x:c>
      <x:c r="H2805" s="11" t="n">
        <x:v>1</x:v>
      </x:c>
      <x:c r="I2805" s="11" t="n">
        <x:v>2</x:v>
      </x:c>
      <x:c r="J2805" s="11" t="n">
        <x:v>2</x:v>
      </x:c>
      <x:c r="K2805" s="11" t="n">
        <x:v>0</x:v>
      </x:c>
      <x:c r="L2805" s="17" t="n">
        <x:f>SUM(SUMIFS('Costing'!$P$9:$P$492,'Costing'!$A$9:$A$492,"MAIN-219"))</x:f>
        <x:v>30000</x:v>
      </x:c>
      <x:c r="M2805" s="17" t="n">
        <x:f>ROUND(L2805*'Costing'!$C$4,2)</x:f>
        <x:v>5400</x:v>
      </x:c>
      <x:c r="N2805" s="17" t="n">
        <x:f>L2805+M2805</x:f>
        <x:v>35400</x:v>
      </x:c>
      <x:c r="O2805" s="12" t="str">
        <x:v>Hyderabad</x:v>
      </x:c>
      <x:c r="P2805" s="12" t="str">
        <x:v>CORP-0215</x:v>
      </x:c>
      <x:c r="Q2805" s="12" t="str">
        <x:v>Worl Immigration Consultants</x:v>
      </x:c>
    </x:row>
    <x:row r="2806" ht="48" customHeight="1">
      <x:c r="A2806" s="2" t="str">
        <x:v>TEN-92AB83E2F102</x:v>
      </x:c>
      <x:c r="B2806" s="12" t="str">
        <x:v>world immigration consultant</x:v>
      </x:c>
      <x:c r="C2806" s="12" t="str">
        <x:v>Business / brand</x:v>
      </x:c>
      <x:c r="D2806" s="12" t="str">
        <x:v>Professional services</x:v>
      </x:c>
      <x:c r="E2806" s="12" t="str">
        <x:v>Immigration &amp; relocation services</x:v>
      </x:c>
      <x:c r="F2806" s="12" t="str">
        <x:v>Small-scale prospects</x:v>
      </x:c>
      <x:c r="G2806" s="12" t="str">
        <x:v>Professional service, agency or advisory model; small-scale prospect assumption.</x:v>
      </x:c>
      <x:c r="H2806" s="11" t="n">
        <x:v>1</x:v>
      </x:c>
      <x:c r="I2806" s="11" t="n">
        <x:v>3</x:v>
      </x:c>
      <x:c r="J2806" s="11" t="n">
        <x:v>3</x:v>
      </x:c>
      <x:c r="K2806" s="11" t="n">
        <x:v>0</x:v>
      </x:c>
      <x:c r="L2806" s="17" t="n">
        <x:f>SUM(SUMIFS('Costing'!$P$9:$P$492,'Costing'!$A$9:$A$492,"MAIN-221"))</x:f>
        <x:v>45000</x:v>
      </x:c>
      <x:c r="M2806" s="17" t="n">
        <x:f>ROUND(L2806*'Costing'!$C$4,2)</x:f>
        <x:v>8100</x:v>
      </x:c>
      <x:c r="N2806" s="17" t="n">
        <x:f>L2806+M2806</x:f>
        <x:v>53100</x:v>
      </x:c>
      <x:c r="O2806" s="12" t="str">
        <x:v>Hyderabad</x:v>
      </x:c>
      <x:c r="P2806" s="12" t="str">
        <x:v>CORP-0217</x:v>
      </x:c>
      <x:c r="Q2806" s="12" t="str">
        <x:v>world immigration consultant</x:v>
      </x:c>
    </x:row>
    <x:row r="2807" ht="48" customHeight="1">
      <x:c r="A2807" s="2" t="str">
        <x:v>TEN-1CD245F812EB</x:v>
      </x:c>
      <x:c r="B2807" s="12" t="str">
        <x:v>WowExp</x:v>
      </x:c>
      <x:c r="C2807" s="12" t="str">
        <x:v>Business / brand</x:v>
      </x:c>
      <x:c r="D2807" s="12" t="str">
        <x:v>IT &amp; digital</x:v>
      </x:c>
      <x:c r="E2807" s="12" t="str">
        <x:v>Enterprise software &amp; digital engineering</x:v>
      </x:c>
      <x:c r="F2807" s="12" t="str">
        <x:v>Small-scale prospects</x:v>
      </x:c>
      <x:c r="G2807" s="12" t="str">
        <x:v>Software or technology-services business; small-scale prospect assumption.</x:v>
      </x:c>
      <x:c r="H2807" s="11" t="n">
        <x:v>1</x:v>
      </x:c>
      <x:c r="I2807" s="11" t="n">
        <x:v>8</x:v>
      </x:c>
      <x:c r="J2807" s="11" t="n">
        <x:v>8</x:v>
      </x:c>
      <x:c r="K2807" s="11" t="n">
        <x:v>0</x:v>
      </x:c>
      <x:c r="L2807" s="17" t="n">
        <x:f>SUM(SUMIFS('Costing'!$P$9:$P$492,'Costing'!$A$9:$A$492,"MAIN-126"))</x:f>
        <x:v>200000</x:v>
      </x:c>
      <x:c r="M2807" s="17" t="n">
        <x:f>ROUND(L2807*'Costing'!$C$4,2)</x:f>
        <x:v>36000</x:v>
      </x:c>
      <x:c r="N2807" s="17" t="n">
        <x:f>L2807+M2807</x:f>
        <x:v>236000</x:v>
      </x:c>
      <x:c r="O2807" s="12" t="str">
        <x:v>Bengaluru</x:v>
      </x:c>
      <x:c r="P2807" s="12" t="str">
        <x:v>CORP-0122</x:v>
      </x:c>
      <x:c r="Q2807" s="12" t="str">
        <x:v>WowExp</x:v>
      </x:c>
    </x:row>
    <x:row r="2808" ht="48" customHeight="1">
      <x:c r="A2808" s="2" t="str">
        <x:v>TEN-05A1DC3C79FD</x:v>
      </x:c>
      <x:c r="B2808" s="12" t="str">
        <x:v>Wozo Gaming pvt ltd</x:v>
      </x:c>
      <x:c r="C2808" s="12" t="str">
        <x:v>Business / brand</x:v>
      </x:c>
      <x:c r="D2808" s="12" t="str">
        <x:v>Trade, consumer &amp; logistics</x:v>
      </x:c>
      <x:c r="E2808" s="12" t="str">
        <x:v>Entertainment, media &amp; events</x:v>
      </x:c>
      <x:c r="F2808" s="12" t="str">
        <x:v>Small-scale prospects</x:v>
      </x:c>
      <x:c r="G2808" s="12" t="str">
        <x:v>Trading or consumer-services business; small-scale prospect assumption.</x:v>
      </x:c>
      <x:c r="H2808" s="11" t="n">
        <x:v>1</x:v>
      </x:c>
      <x:c r="I2808" s="11" t="n">
        <x:v>1</x:v>
      </x:c>
      <x:c r="J2808" s="11" t="n">
        <x:v>1</x:v>
      </x:c>
      <x:c r="K2808" s="11" t="n">
        <x:v>0</x:v>
      </x:c>
      <x:c r="L2808" s="17" t="n">
        <x:f>SUM(SUMIFS('Costing'!$P$9:$P$492,'Costing'!$A$9:$A$492,"MAIN-175"))</x:f>
        <x:v>15000</x:v>
      </x:c>
      <x:c r="M2808" s="17" t="n">
        <x:f>ROUND(L2808*'Costing'!$C$4,2)</x:f>
        <x:v>2700</x:v>
      </x:c>
      <x:c r="N2808" s="17" t="n">
        <x:f>L2808+M2808</x:f>
        <x:v>17700</x:v>
      </x:c>
      <x:c r="O2808" s="12" t="str">
        <x:v>Delhi NCR</x:v>
      </x:c>
      <x:c r="P2808" s="12" t="str">
        <x:v>CORP-0171</x:v>
      </x:c>
      <x:c r="Q2808" s="12" t="str">
        <x:v>Wozo Gaming pvt ltd</x:v>
      </x:c>
    </x:row>
    <x:row r="2809" ht="48" customHeight="1">
      <x:c r="A2809" s="2" t="str">
        <x:v>TEN-003A9BE2D25C</x:v>
      </x:c>
      <x:c r="B2809" s="12" t="str">
        <x:v>Wurfel</x:v>
      </x:c>
      <x:c r="C2809" s="12" t="str">
        <x:v>Business / brand</x:v>
      </x:c>
      <x:c r="D2809" s="12" t="str">
        <x:v>Trade, consumer &amp; logistics</x:v>
      </x:c>
      <x:c r="E2809" s="12" t="str">
        <x:v>Retail, consumer products &amp; ecommerce</x:v>
      </x:c>
      <x:c r="F2809" s="12" t="str">
        <x:v>Small-scale prospects</x:v>
      </x:c>
      <x:c r="G2809" s="12" t="str">
        <x:v>Trading or consumer-services business; small-scale prospect assumption.</x:v>
      </x:c>
      <x:c r="H2809" s="11" t="n">
        <x:v>1</x:v>
      </x:c>
      <x:c r="I2809" s="11" t="n">
        <x:v>1</x:v>
      </x:c>
      <x:c r="J2809" s="11" t="n">
        <x:v>1</x:v>
      </x:c>
      <x:c r="K2809" s="11" t="n">
        <x:v>0</x:v>
      </x:c>
      <x:c r="L2809" s="17" t="n">
        <x:f>SUM(SUMIFS('Costing'!$P$9:$P$492,'Costing'!$A$9:$A$492,"MAIN-269"))</x:f>
        <x:v>40000</x:v>
      </x:c>
      <x:c r="M2809" s="17" t="n">
        <x:f>ROUND(L2809*'Costing'!$C$4,2)</x:f>
        <x:v>7200</x:v>
      </x:c>
      <x:c r="N2809" s="17" t="n">
        <x:f>L2809+M2809</x:f>
        <x:v>47200</x:v>
      </x:c>
      <x:c r="O2809" s="12" t="str">
        <x:v>Indore</x:v>
      </x:c>
      <x:c r="P2809" s="12" t="str">
        <x:v>CORP-0265</x:v>
      </x:c>
      <x:c r="Q2809" s="12" t="str">
        <x:v>Wurfel</x:v>
      </x:c>
    </x:row>
    <x:row r="2810" ht="48" customHeight="1">
      <x:c r="A2810" s="2" t="str">
        <x:v>TEN-C42EAC9E3B7D</x:v>
      </x:c>
      <x:c r="B2810" s="12" t="str">
        <x:v>x-foN Solutions</x:v>
      </x:c>
      <x:c r="C2810" s="12" t="str">
        <x:v>Business / brand</x:v>
      </x:c>
      <x:c r="D2810" s="12" t="str">
        <x:v>Unresolved</x:v>
      </x:c>
      <x:c r="E2810" s="12" t="str">
        <x:v>Business activity not established</x:v>
      </x:c>
      <x:c r="F2810" s="12" t="str">
        <x:v>Mixed business audience</x:v>
      </x:c>
      <x:c r="G2810" s="12" t="str">
        <x:v>Business activity and company scale are not established from this name.</x:v>
      </x:c>
      <x:c r="H2810" s="11" t="n">
        <x:v>1</x:v>
      </x:c>
      <x:c r="I2810" s="11" t="n">
        <x:v>2</x:v>
      </x:c>
      <x:c r="J2810" s="11" t="n">
        <x:v>2</x:v>
      </x:c>
      <x:c r="K2810" s="11" t="n">
        <x:v>0</x:v>
      </x:c>
      <x:c r="L2810" s="17" t="n">
        <x:f>SUM(SUMIFS('Costing'!$P$9:$P$492,'Costing'!$A$9:$A$492,"MAIN-201"))</x:f>
        <x:v>80000</x:v>
      </x:c>
      <x:c r="M2810" s="17" t="n">
        <x:f>ROUND(L2810*'Costing'!$C$4,2)</x:f>
        <x:v>14400</x:v>
      </x:c>
      <x:c r="N2810" s="17" t="n">
        <x:f>L2810+M2810</x:f>
        <x:v>94400</x:v>
      </x:c>
      <x:c r="O2810" s="12" t="str">
        <x:v>Delhi NCR</x:v>
      </x:c>
      <x:c r="P2810" s="12" t="str">
        <x:v>CORP-0197</x:v>
      </x:c>
      <x:c r="Q2810" s="12" t="str">
        <x:v>x-foN Solutions</x:v>
      </x:c>
    </x:row>
    <x:row r="2811" ht="48" customHeight="1">
      <x:c r="A2811" s="2" t="str">
        <x:v>TEN-71A678C907B2</x:v>
      </x:c>
      <x:c r="B2811" s="12" t="str">
        <x:v>Xactly Technologies</x:v>
      </x:c>
      <x:c r="C2811" s="12" t="str">
        <x:v>Business / brand</x:v>
      </x:c>
      <x:c r="D2811" s="12" t="str">
        <x:v>IT &amp; digital</x:v>
      </x:c>
      <x:c r="E2811" s="12" t="str">
        <x:v>Enterprise software &amp; digital engineering</x:v>
      </x:c>
      <x:c r="F2811" s="12" t="str">
        <x:v>Mixed business audience</x:v>
      </x:c>
      <x:c r="G2811" s="12" t="str">
        <x:v>Established brand or business network; local company scale is not established. Use a mixed-business message.</x:v>
      </x:c>
      <x:c r="H2811" s="11" t="n">
        <x:v>6</x:v>
      </x:c>
      <x:c r="I2811" s="11" t="n">
        <x:v>6</x:v>
      </x:c>
      <x:c r="J2811" s="11" t="n">
        <x:v>6</x:v>
      </x:c>
      <x:c r="K2811" s="11" t="n">
        <x:v>0</x:v>
      </x:c>
      <x:c r="L2811" s="17" t="n">
        <x:f>SUM(SUMIFS('Costing'!$P$9:$P$492,'Costing'!$A$9:$A$492,"PARTNER-M072"))</x:f>
        <x:v>240000</x:v>
      </x:c>
      <x:c r="M2811" s="17" t="n">
        <x:f>ROUND(L2811*'Costing'!$C$4,2)</x:f>
        <x:v>43200</x:v>
      </x:c>
      <x:c r="N2811" s="17" t="n">
        <x:f>L2811+M2811</x:f>
        <x:v>283200</x:v>
      </x:c>
      <x:c r="O2811" s="12" t="str">
        <x:v>Bengaluru</x:v>
      </x:c>
      <x:c r="P2811" s="12" t="str">
        <x:v>CORP-0490, CORP-0491, CORP-0492, CORP-0493, CORP-0494, CORP-0495</x:v>
      </x:c>
      <x:c r="Q2811" s="12" t="str">
        <x:v>Xactly Technologies</x:v>
      </x:c>
    </x:row>
    <x:row r="2812" ht="48" customHeight="1">
      <x:c r="A2812" s="2" t="str">
        <x:v>TEN-22A366EB6CEC</x:v>
      </x:c>
      <x:c r="B2812" s="12" t="str">
        <x:v>Xandr India</x:v>
      </x:c>
      <x:c r="C2812" s="12" t="str">
        <x:v>Business / brand</x:v>
      </x:c>
      <x:c r="D2812" s="12" t="str">
        <x:v>IT &amp; digital</x:v>
      </x:c>
      <x:c r="E2812" s="12" t="str">
        <x:v>Enterprise software &amp; digital engineering</x:v>
      </x:c>
      <x:c r="F2812" s="12" t="str">
        <x:v>Mixed business audience</x:v>
      </x:c>
      <x:c r="G2812" s="12" t="str">
        <x:v>Recognisable business context; company-scale evidence remains insufficient for a single size band.</x:v>
      </x:c>
      <x:c r="H2812" s="11" t="n">
        <x:v>9</x:v>
      </x:c>
      <x:c r="I2812" s="11" t="n">
        <x:v>9</x:v>
      </x:c>
      <x:c r="J2812" s="11" t="n">
        <x:v>9</x:v>
      </x:c>
      <x:c r="K2812" s="11" t="n">
        <x:v>0</x:v>
      </x:c>
      <x:c r="L2812" s="17" t="n">
        <x:f>SUM(SUMIFS('Costing'!$P$9:$P$492,'Costing'!$A$9:$A$492,"PARTNER-M002"))</x:f>
        <x:v>360000</x:v>
      </x:c>
      <x:c r="M2812" s="17" t="n">
        <x:f>ROUND(L2812*'Costing'!$C$4,2)</x:f>
        <x:v>64800</x:v>
      </x:c>
      <x:c r="N2812" s="17" t="n">
        <x:f>L2812+M2812</x:f>
        <x:v>424800</x:v>
      </x:c>
      <x:c r="O2812" s="12" t="str">
        <x:v>Bengaluru</x:v>
      </x:c>
      <x:c r="P2812" s="12" t="str">
        <x:v>CORP-0420, CORP-0421, CORP-0422, CORP-0423, CORP-0424, CORP-0425, CORP-0426, CORP-0427, CORP-0428</x:v>
      </x:c>
      <x:c r="Q2812" s="12" t="str">
        <x:v>Xandr India</x:v>
      </x:c>
    </x:row>
    <x:row r="2813" ht="48" customHeight="1">
      <x:c r="A2813" s="2" t="str">
        <x:v>TEN-06CA3A8EC4E5</x:v>
      </x:c>
      <x:c r="B2813" s="12" t="str">
        <x:v>Xcaliber Infotech Pvt. Ltd</x:v>
      </x:c>
      <x:c r="C2813" s="12" t="str">
        <x:v>Business / brand</x:v>
      </x:c>
      <x:c r="D2813" s="12" t="str">
        <x:v>IT &amp; digital</x:v>
      </x:c>
      <x:c r="E2813" s="12" t="str">
        <x:v>Enterprise software &amp; digital engineering</x:v>
      </x:c>
      <x:c r="F2813" s="12" t="str">
        <x:v>Small-scale prospects</x:v>
      </x:c>
      <x:c r="G2813" s="12" t="str">
        <x:v>Software or technology-services business; small-scale prospect assumption.</x:v>
      </x:c>
      <x:c r="H2813" s="11" t="n">
        <x:v>1</x:v>
      </x:c>
      <x:c r="I2813" s="11" t="n">
        <x:v>1</x:v>
      </x:c>
      <x:c r="J2813" s="11" t="n">
        <x:v>1</x:v>
      </x:c>
      <x:c r="K2813" s="11" t="n">
        <x:v>0</x:v>
      </x:c>
      <x:c r="L2813" s="17" t="n">
        <x:f>SUM(SUMIFS('Costing'!$P$9:$P$492,'Costing'!$A$9:$A$492,"MAIN-409"))</x:f>
        <x:v>15000</x:v>
      </x:c>
      <x:c r="M2813" s="17" t="n">
        <x:f>ROUND(L2813*'Costing'!$C$4,2)</x:f>
        <x:v>2700</x:v>
      </x:c>
      <x:c r="N2813" s="17" t="n">
        <x:f>L2813+M2813</x:f>
        <x:v>17700</x:v>
      </x:c>
      <x:c r="O2813" s="12" t="str">
        <x:v>Pune</x:v>
      </x:c>
      <x:c r="P2813" s="12" t="str">
        <x:v>CORP-0405</x:v>
      </x:c>
      <x:c r="Q2813" s="12" t="str">
        <x:v>Xcaliber Infotech Pvt. Ltd</x:v>
      </x:c>
    </x:row>
    <x:row r="2814" ht="48" customHeight="1">
      <x:c r="A2814" s="2" t="str">
        <x:v>TEN-3D167F220E41</x:v>
      </x:c>
      <x:c r="B2814" s="12" t="str">
        <x:v>XCEL Corp</x:v>
      </x:c>
      <x:c r="C2814" s="12" t="str">
        <x:v>Business / brand</x:v>
      </x:c>
      <x:c r="D2814" s="12" t="str">
        <x:v>Unresolved</x:v>
      </x:c>
      <x:c r="E2814" s="12" t="str">
        <x:v>Business activity not established</x:v>
      </x:c>
      <x:c r="F2814" s="12" t="str">
        <x:v>Mixed business audience</x:v>
      </x:c>
      <x:c r="G2814" s="12" t="str">
        <x:v>Business activity and company scale are not established from this name.</x:v>
      </x:c>
      <x:c r="H2814" s="11" t="n">
        <x:v>3</x:v>
      </x:c>
      <x:c r="I2814" s="11" t="n">
        <x:v>3</x:v>
      </x:c>
      <x:c r="J2814" s="11" t="n">
        <x:v>3</x:v>
      </x:c>
      <x:c r="K2814" s="11" t="n">
        <x:v>0</x:v>
      </x:c>
      <x:c r="L2814" s="17" t="n">
        <x:f>SUM(SUMIFS('Costing'!$P$9:$P$492,'Costing'!$A$9:$A$492,"PARTNER-M349"),SUMIFS('Costing'!$P$9:$P$492,'Costing'!$A$9:$A$492,"PARTNER-M350"))</x:f>
        <x:v>120000</x:v>
      </x:c>
      <x:c r="M2814" s="17" t="n">
        <x:f>ROUND(L2814*'Costing'!$C$4,2)</x:f>
        <x:v>21600</x:v>
      </x:c>
      <x:c r="N2814" s="17" t="n">
        <x:f>L2814+M2814</x:f>
        <x:v>141600</x:v>
      </x:c>
      <x:c r="O2814" s="12" t="str">
        <x:v>Chennai</x:v>
      </x:c>
      <x:c r="P2814" s="12" t="str">
        <x:v>CORP-0763, CORP-0764, CORP-0765</x:v>
      </x:c>
      <x:c r="Q2814" s="12" t="str">
        <x:v>XCEL Corp</x:v>
      </x:c>
    </x:row>
    <x:row r="2815" ht="48" customHeight="1">
      <x:c r="A2815" s="2" t="str">
        <x:v>TEN-ED7BECFECA72</x:v>
      </x:c>
      <x:c r="B2815" s="12" t="str">
        <x:v>Xento</x:v>
      </x:c>
      <x:c r="C2815" s="12" t="str">
        <x:v>Business / brand</x:v>
      </x:c>
      <x:c r="D2815" s="12" t="str">
        <x:v>IT &amp; digital</x:v>
      </x:c>
      <x:c r="E2815" s="12" t="str">
        <x:v>Enterprise software &amp; digital engineering</x:v>
      </x:c>
      <x:c r="F2815" s="12" t="str">
        <x:v>Small-scale prospects</x:v>
      </x:c>
      <x:c r="G2815" s="12" t="str">
        <x:v>Software or technology-services business; small-scale prospect assumption.</x:v>
      </x:c>
      <x:c r="H2815" s="11" t="n">
        <x:v>9</x:v>
      </x:c>
      <x:c r="I2815" s="11" t="n">
        <x:v>9</x:v>
      </x:c>
      <x:c r="J2815" s="11" t="n">
        <x:v>9</x:v>
      </x:c>
      <x:c r="K2815" s="11" t="n">
        <x:v>0</x:v>
      </x:c>
      <x:c r="L2815" s="17" t="n">
        <x:f>SUM(SUMIFS('Costing'!$P$9:$P$492,'Costing'!$A$9:$A$492,"PARTNER-M252"))</x:f>
        <x:v>360000</x:v>
      </x:c>
      <x:c r="M2815" s="17" t="n">
        <x:f>ROUND(L2815*'Costing'!$C$4,2)</x:f>
        <x:v>64800</x:v>
      </x:c>
      <x:c r="N2815" s="17" t="n">
        <x:f>L2815+M2815</x:f>
        <x:v>424800</x:v>
      </x:c>
      <x:c r="O2815" s="12" t="str">
        <x:v>Pune</x:v>
      </x:c>
      <x:c r="P2815" s="12" t="str">
        <x:v>CORP-0668, CORP-0669, CORP-0670, CORP-0671, CORP-0672, CORP-0673, CORP-0674, CORP-0675, CORP-0676</x:v>
      </x:c>
      <x:c r="Q2815" s="12" t="str">
        <x:v>Xento</x:v>
      </x:c>
    </x:row>
    <x:row r="2816" ht="48" customHeight="1">
      <x:c r="A2816" s="2" t="str">
        <x:v>TEN-DFAE2CFCA884</x:v>
      </x:c>
      <x:c r="B2816" s="12" t="str">
        <x:v>Xentrix</x:v>
      </x:c>
      <x:c r="C2816" s="12" t="str">
        <x:v>Business / brand</x:v>
      </x:c>
      <x:c r="D2816" s="12" t="str">
        <x:v>Trade, consumer &amp; logistics</x:v>
      </x:c>
      <x:c r="E2816" s="12" t="str">
        <x:v>Entertainment, media &amp; events</x:v>
      </x:c>
      <x:c r="F2816" s="12" t="str">
        <x:v>Small-scale prospects</x:v>
      </x:c>
      <x:c r="G2816" s="12" t="str">
        <x:v>Trading or consumer-services business; small-scale prospect assumption.</x:v>
      </x:c>
      <x:c r="H2816" s="11" t="n">
        <x:v>10</x:v>
      </x:c>
      <x:c r="I2816" s="11" t="n">
        <x:v>10</x:v>
      </x:c>
      <x:c r="J2816" s="11" t="n">
        <x:v>10</x:v>
      </x:c>
      <x:c r="K2816" s="11" t="n">
        <x:v>0</x:v>
      </x:c>
      <x:c r="L2816" s="17" t="n">
        <x:f>SUM(SUMIFS('Costing'!$P$9:$P$492,'Costing'!$A$9:$A$492,"PARTNER-M120"))</x:f>
        <x:v>400000</x:v>
      </x:c>
      <x:c r="M2816" s="17" t="n">
        <x:f>ROUND(L2816*'Costing'!$C$4,2)</x:f>
        <x:v>72000</x:v>
      </x:c>
      <x:c r="N2816" s="17" t="n">
        <x:f>L2816+M2816</x:f>
        <x:v>472000</x:v>
      </x:c>
      <x:c r="O2816" s="12" t="str">
        <x:v>Bengaluru</x:v>
      </x:c>
      <x:c r="P2816" s="12" t="str">
        <x:v>CORP-0538, CORP-0539, CORP-0540, CORP-0541, CORP-0542, CORP-0543, CORP-0544, CORP-0545, CORP-0546, CORP-0547</x:v>
      </x:c>
      <x:c r="Q2816" s="12" t="str">
        <x:v>Xentrix</x:v>
      </x:c>
    </x:row>
    <x:row r="2817" ht="48" customHeight="1">
      <x:c r="A2817" s="2" t="str">
        <x:v>TEN-A5F5259A3FFE</x:v>
      </x:c>
      <x:c r="B2817" s="12" t="str">
        <x:v>Xerox Technology</x:v>
      </x:c>
      <x:c r="C2817" s="12" t="str">
        <x:v>Business / brand</x:v>
      </x:c>
      <x:c r="D2817" s="12" t="str">
        <x:v>IT &amp; digital</x:v>
      </x:c>
      <x:c r="E2817" s="12" t="str">
        <x:v>Enterprise software &amp; digital engineering</x:v>
      </x:c>
      <x:c r="F2817" s="12" t="str">
        <x:v>Mixed business audience</x:v>
      </x:c>
      <x:c r="G2817" s="12" t="str">
        <x:v>Recognisable business context; company-scale evidence remains insufficient for a single size band.</x:v>
      </x:c>
      <x:c r="H2817" s="11" t="n">
        <x:v>9</x:v>
      </x:c>
      <x:c r="I2817" s="11" t="n">
        <x:v>9</x:v>
      </x:c>
      <x:c r="J2817" s="11" t="n">
        <x:v>9</x:v>
      </x:c>
      <x:c r="K2817" s="11" t="n">
        <x:v>0</x:v>
      </x:c>
      <x:c r="L2817" s="17" t="n">
        <x:f>SUM(SUMIFS('Costing'!$P$9:$P$492,'Costing'!$A$9:$A$492,"PARTNER-M002"))</x:f>
        <x:v>360000</x:v>
      </x:c>
      <x:c r="M2817" s="17" t="n">
        <x:f>ROUND(L2817*'Costing'!$C$4,2)</x:f>
        <x:v>64800</x:v>
      </x:c>
      <x:c r="N2817" s="17" t="n">
        <x:f>L2817+M2817</x:f>
        <x:v>424800</x:v>
      </x:c>
      <x:c r="O2817" s="12" t="str">
        <x:v>Bengaluru</x:v>
      </x:c>
      <x:c r="P2817" s="12" t="str">
        <x:v>CORP-0420, CORP-0421, CORP-0422, CORP-0423, CORP-0424, CORP-0425, CORP-0426, CORP-0427, CORP-0428</x:v>
      </x:c>
      <x:c r="Q2817" s="12" t="str">
        <x:v>Xerox Technology</x:v>
      </x:c>
    </x:row>
    <x:row r="2818" ht="48" customHeight="1">
      <x:c r="A2818" s="2" t="str">
        <x:v>TEN-35116738549F</x:v>
      </x:c>
      <x:c r="B2818" s="12" t="str">
        <x:v>Xetadata Software</x:v>
      </x:c>
      <x:c r="C2818" s="12" t="str">
        <x:v>Business / brand</x:v>
      </x:c>
      <x:c r="D2818" s="12" t="str">
        <x:v>IT &amp; digital</x:v>
      </x:c>
      <x:c r="E2818" s="12" t="str">
        <x:v>Enterprise software &amp; digital engineering</x:v>
      </x:c>
      <x:c r="F2818" s="12" t="str">
        <x:v>Small-scale prospects</x:v>
      </x:c>
      <x:c r="G2818" s="12" t="str">
        <x:v>Software or technology-services business; small-scale prospect assumption.</x:v>
      </x:c>
      <x:c r="H2818" s="11" t="n">
        <x:v>7</x:v>
      </x:c>
      <x:c r="I2818" s="11" t="n">
        <x:v>7</x:v>
      </x:c>
      <x:c r="J2818" s="11" t="n">
        <x:v>7</x:v>
      </x:c>
      <x:c r="K2818" s="11" t="n">
        <x:v>0</x:v>
      </x:c>
      <x:c r="L2818" s="17" t="n">
        <x:f>SUM(SUMIFS('Costing'!$P$9:$P$492,'Costing'!$A$9:$A$492,"PARTNER-M317"))</x:f>
        <x:v>280000</x:v>
      </x:c>
      <x:c r="M2818" s="17" t="n">
        <x:f>ROUND(L2818*'Costing'!$C$4,2)</x:f>
        <x:v>50400</x:v>
      </x:c>
      <x:c r="N2818" s="17" t="n">
        <x:f>L2818+M2818</x:f>
        <x:v>330400</x:v>
      </x:c>
      <x:c r="O2818" s="12" t="str">
        <x:v>Hyderabad</x:v>
      </x:c>
      <x:c r="P2818" s="12" t="str">
        <x:v>CORP-0732, CORP-0733, CORP-0734, CORP-0735, CORP-0736, CORP-0737, CORP-0738</x:v>
      </x:c>
      <x:c r="Q2818" s="12" t="str">
        <x:v>Xetadata Software</x:v>
      </x:c>
    </x:row>
    <x:row r="2819" ht="48" customHeight="1">
      <x:c r="A2819" s="2" t="str">
        <x:v>TEN-E2DF8D4882CE</x:v>
      </x:c>
      <x:c r="B2819" s="12" t="str">
        <x:v>Ximkart</x:v>
      </x:c>
      <x:c r="C2819" s="12" t="str">
        <x:v>Business / brand</x:v>
      </x:c>
      <x:c r="D2819" s="12" t="str">
        <x:v>Trade, consumer &amp; logistics</x:v>
      </x:c>
      <x:c r="E2819" s="12" t="str">
        <x:v>Retail, consumer products &amp; ecommerce</x:v>
      </x:c>
      <x:c r="F2819" s="12" t="str">
        <x:v>Small-scale prospects</x:v>
      </x:c>
      <x:c r="G2819" s="12" t="str">
        <x:v>Trading or consumer-services business; small-scale prospect assumption.</x:v>
      </x:c>
      <x:c r="H2819" s="11" t="n">
        <x:v>1</x:v>
      </x:c>
      <x:c r="I2819" s="11" t="n">
        <x:v>2</x:v>
      </x:c>
      <x:c r="J2819" s="11" t="n">
        <x:v>2</x:v>
      </x:c>
      <x:c r="K2819" s="11" t="n">
        <x:v>0</x:v>
      </x:c>
      <x:c r="L2819" s="17" t="n">
        <x:f>SUM(SUMIFS('Costing'!$P$9:$P$492,'Costing'!$A$9:$A$492,"MAIN-106"))</x:f>
        <x:v>30000</x:v>
      </x:c>
      <x:c r="M2819" s="17" t="n">
        <x:f>ROUND(L2819*'Costing'!$C$4,2)</x:f>
        <x:v>5400</x:v>
      </x:c>
      <x:c r="N2819" s="17" t="n">
        <x:f>L2819+M2819</x:f>
        <x:v>35400</x:v>
      </x:c>
      <x:c r="O2819" s="12" t="str">
        <x:v>Bengaluru</x:v>
      </x:c>
      <x:c r="P2819" s="12" t="str">
        <x:v>CORP-0102</x:v>
      </x:c>
      <x:c r="Q2819" s="12" t="str">
        <x:v>Ximkart</x:v>
      </x:c>
    </x:row>
    <x:row r="2820" ht="48" customHeight="1">
      <x:c r="A2820" s="2" t="str">
        <x:v>TEN-97B053EFF73B</x:v>
      </x:c>
      <x:c r="B2820" s="12" t="str">
        <x:v>Xinthe Technologies</x:v>
      </x:c>
      <x:c r="C2820" s="12" t="str">
        <x:v>Business / brand</x:v>
      </x:c>
      <x:c r="D2820" s="12" t="str">
        <x:v>IT &amp; digital</x:v>
      </x:c>
      <x:c r="E2820" s="12" t="str">
        <x:v>Enterprise software &amp; digital engineering</x:v>
      </x:c>
      <x:c r="F2820" s="12" t="str">
        <x:v>Small-scale prospects</x:v>
      </x:c>
      <x:c r="G2820" s="12" t="str">
        <x:v>Software or technology-services business; small-scale prospect assumption.</x:v>
      </x:c>
      <x:c r="H2820" s="11" t="n">
        <x:v>9</x:v>
      </x:c>
      <x:c r="I2820" s="11" t="n">
        <x:v>9</x:v>
      </x:c>
      <x:c r="J2820" s="11" t="n">
        <x:v>9</x:v>
      </x:c>
      <x:c r="K2820" s="11" t="n">
        <x:v>0</x:v>
      </x:c>
      <x:c r="L2820" s="17" t="n">
        <x:f>SUM(SUMIFS('Costing'!$P$9:$P$492,'Costing'!$A$9:$A$492,"PARTNER-M002"))</x:f>
        <x:v>360000</x:v>
      </x:c>
      <x:c r="M2820" s="17" t="n">
        <x:f>ROUND(L2820*'Costing'!$C$4,2)</x:f>
        <x:v>64800</x:v>
      </x:c>
      <x:c r="N2820" s="17" t="n">
        <x:f>L2820+M2820</x:f>
        <x:v>424800</x:v>
      </x:c>
      <x:c r="O2820" s="12" t="str">
        <x:v>Bengaluru</x:v>
      </x:c>
      <x:c r="P2820" s="12" t="str">
        <x:v>CORP-0420, CORP-0421, CORP-0422, CORP-0423, CORP-0424, CORP-0425, CORP-0426, CORP-0427, CORP-0428</x:v>
      </x:c>
      <x:c r="Q2820" s="12" t="str">
        <x:v>Xinthe Technologies</x:v>
      </x:c>
    </x:row>
    <x:row r="2821" ht="48" customHeight="1">
      <x:c r="A2821" s="2" t="str">
        <x:v>TEN-B76D588EDAE8</x:v>
      </x:c>
      <x:c r="B2821" s="12" t="str">
        <x:v>XL Dynamics India Private Limited</x:v>
      </x:c>
      <x:c r="C2821" s="12" t="str">
        <x:v>Business / brand</x:v>
      </x:c>
      <x:c r="D2821" s="12" t="str">
        <x:v>IT &amp; digital</x:v>
      </x:c>
      <x:c r="E2821" s="12" t="str">
        <x:v>Enterprise software &amp; digital engineering</x:v>
      </x:c>
      <x:c r="F2821" s="12" t="str">
        <x:v>Small-scale prospects</x:v>
      </x:c>
      <x:c r="G2821" s="12" t="str">
        <x:v>Software or technology-services business; small-scale prospect assumption.</x:v>
      </x:c>
      <x:c r="H2821" s="11" t="n">
        <x:v>10</x:v>
      </x:c>
      <x:c r="I2821" s="11" t="n">
        <x:v>10</x:v>
      </x:c>
      <x:c r="J2821" s="11" t="n">
        <x:v>10</x:v>
      </x:c>
      <x:c r="K2821" s="11" t="n">
        <x:v>0</x:v>
      </x:c>
      <x:c r="L2821" s="17" t="n">
        <x:f>SUM(SUMIFS('Costing'!$P$9:$P$492,'Costing'!$A$9:$A$492,"PARTNER-M205"))</x:f>
        <x:v>400000</x:v>
      </x:c>
      <x:c r="M2821" s="17" t="n">
        <x:f>ROUND(L2821*'Costing'!$C$4,2)</x:f>
        <x:v>72000</x:v>
      </x:c>
      <x:c r="N2821" s="17" t="n">
        <x:f>L2821+M2821</x:f>
        <x:v>472000</x:v>
      </x:c>
      <x:c r="O2821" s="12" t="str">
        <x:v>Mumbai</x:v>
      </x:c>
      <x:c r="P2821" s="12" t="str">
        <x:v>CORP-0622, CORP-0623, CORP-0624, CORP-0625, CORP-0626, CORP-0627, CORP-0628, CORP-0629, CORP-0630, CORP-0631</x:v>
      </x:c>
      <x:c r="Q2821" s="12" t="str">
        <x:v>XL Dynamics India Private Limited</x:v>
      </x:c>
    </x:row>
    <x:row r="2822" ht="62" customHeight="1">
      <x:c r="A2822" s="2" t="str">
        <x:v>TEN-A509A9AAC287</x:v>
      </x:c>
      <x:c r="B2822" s="12" t="str">
        <x:v>Xoriant Solutions Pvt Ltd</x:v>
      </x:c>
      <x:c r="C2822" s="12" t="str">
        <x:v>Business / brand</x:v>
      </x:c>
      <x:c r="D2822" s="12" t="str">
        <x:v>IT &amp; digital</x:v>
      </x:c>
      <x:c r="E2822" s="12" t="str">
        <x:v>Technology services — specialty unverified</x:v>
      </x:c>
      <x:c r="F2822" s="12" t="str">
        <x:v>Large enterprise</x:v>
      </x:c>
      <x:c r="G2822" s="12" t="str">
        <x:v>Xoriant's official profile reports 5,000+ employees and more than 20 global locations, supporting enterprise-scale digital-engineering context for the explicit Xoriant Solutions name.</x:v>
      </x:c>
      <x:c r="H2822" s="11" t="n">
        <x:v>9</x:v>
      </x:c>
      <x:c r="I2822" s="11" t="n">
        <x:v>17</x:v>
      </x:c>
      <x:c r="J2822" s="11" t="n">
        <x:v>17</x:v>
      </x:c>
      <x:c r="K2822" s="11" t="n">
        <x:v>0</x:v>
      </x:c>
      <x:c r="L2822" s="17" t="n">
        <x:f>SUM(SUMIFS('Costing'!$P$9:$P$492,'Costing'!$A$9:$A$492,"MAIN-153"),SUMIFS('Costing'!$P$9:$P$492,'Costing'!$A$9:$A$492,"MAIN-154"),SUMIFS('Costing'!$P$9:$P$492,'Costing'!$A$9:$A$492,"MAIN-182"),SUMIFS('Costing'!$P$9:$P$492,'Costing'!$A$9:$A$492,"MAIN-204"),SUMIFS('Costing'!$P$9:$P$492,'Costing'!$A$9:$A$492,"PARTNER-M295"))</x:f>
        <x:v>510000</x:v>
      </x:c>
      <x:c r="M2822" s="17" t="n">
        <x:f>ROUND(L2822*'Costing'!$C$4,2)</x:f>
        <x:v>91800</x:v>
      </x:c>
      <x:c r="N2822" s="17" t="n">
        <x:f>L2822+M2822</x:f>
        <x:v>601800</x:v>
      </x:c>
      <x:c r="O2822" s="12" t="str">
        <x:v>Chennai, Delhi NCR, Hyderabad</x:v>
      </x:c>
      <x:c r="P2822" s="12" t="str">
        <x:v>CORP-0149, CORP-0150, CORP-0178, CORP-0200, CORP-0710, CORP-0711, CORP-0712, CORP-0713, CORP-0714</x:v>
      </x:c>
      <x:c r="Q2822" s="12" t="str">
        <x:v>Xoriant Solutions Pvt Ltd, xoriant solutions pvt ltd, Xoriant Solutions Pvt. Ltd</x:v>
      </x:c>
    </x:row>
    <x:row r="2823" ht="48" customHeight="1">
      <x:c r="A2823" s="2" t="str">
        <x:v>TEN-DA5DBDFC224C</x:v>
      </x:c>
      <x:c r="B2823" s="12" t="str">
        <x:v>Xseven Marketing</x:v>
      </x:c>
      <x:c r="C2823" s="12" t="str">
        <x:v>Business / brand</x:v>
      </x:c>
      <x:c r="D2823" s="12" t="str">
        <x:v>Professional services</x:v>
      </x:c>
      <x:c r="E2823" s="12" t="str">
        <x:v>Marketing, media &amp; research services</x:v>
      </x:c>
      <x:c r="F2823" s="12" t="str">
        <x:v>Small-scale prospects</x:v>
      </x:c>
      <x:c r="G2823" s="12" t="str">
        <x:v>Professional service, agency or advisory model; small-scale prospect assumption.</x:v>
      </x:c>
      <x:c r="H2823" s="11" t="n">
        <x:v>1</x:v>
      </x:c>
      <x:c r="I2823" s="11" t="n">
        <x:v>1</x:v>
      </x:c>
      <x:c r="J2823" s="11" t="n">
        <x:v>1</x:v>
      </x:c>
      <x:c r="K2823" s="11" t="n">
        <x:v>0</x:v>
      </x:c>
      <x:c r="L2823" s="17" t="n">
        <x:f>SUM(SUMIFS('Costing'!$P$9:$P$492,'Costing'!$A$9:$A$492,"MAIN-410"))</x:f>
        <x:v>15000</x:v>
      </x:c>
      <x:c r="M2823" s="17" t="n">
        <x:f>ROUND(L2823*'Costing'!$C$4,2)</x:f>
        <x:v>2700</x:v>
      </x:c>
      <x:c r="N2823" s="17" t="n">
        <x:f>L2823+M2823</x:f>
        <x:v>17700</x:v>
      </x:c>
      <x:c r="O2823" s="12" t="str">
        <x:v>Pune</x:v>
      </x:c>
      <x:c r="P2823" s="12" t="str">
        <x:v>CORP-0406</x:v>
      </x:c>
      <x:c r="Q2823" s="12" t="str">
        <x:v>Xseven Marketing</x:v>
      </x:c>
    </x:row>
    <x:row r="2824" ht="48" customHeight="1">
      <x:c r="A2824" s="2" t="str">
        <x:v>TEN-80C6959D554D</x:v>
      </x:c>
      <x:c r="B2824" s="12" t="str">
        <x:v>XT Ships Management</x:v>
      </x:c>
      <x:c r="C2824" s="12" t="str">
        <x:v>Business / brand</x:v>
      </x:c>
      <x:c r="D2824" s="12" t="str">
        <x:v>Trade, consumer &amp; logistics</x:v>
      </x:c>
      <x:c r="E2824" s="12" t="str">
        <x:v>Logistics, shipping &amp; transport</x:v>
      </x:c>
      <x:c r="F2824" s="12" t="str">
        <x:v>Medium-scale prospects</x:v>
      </x:c>
      <x:c r="G2824" s="12" t="str">
        <x:v>Specialist logistics or transport business; medium-scale prospect assumption.</x:v>
      </x:c>
      <x:c r="H2824" s="11" t="n">
        <x:v>2</x:v>
      </x:c>
      <x:c r="I2824" s="11" t="n">
        <x:v>2</x:v>
      </x:c>
      <x:c r="J2824" s="11" t="n">
        <x:v>2</x:v>
      </x:c>
      <x:c r="K2824" s="11" t="n">
        <x:v>0</x:v>
      </x:c>
      <x:c r="L2824" s="17" t="n">
        <x:f>SUM(SUMIFS('Costing'!$P$9:$P$492,'Costing'!$A$9:$A$492,"PARTNER-M241"))</x:f>
        <x:v>80000</x:v>
      </x:c>
      <x:c r="M2824" s="17" t="n">
        <x:f>ROUND(L2824*'Costing'!$C$4,2)</x:f>
        <x:v>14400</x:v>
      </x:c>
      <x:c r="N2824" s="17" t="n">
        <x:f>L2824+M2824</x:f>
        <x:v>94400</x:v>
      </x:c>
      <x:c r="O2824" s="12" t="str">
        <x:v>Mumbai</x:v>
      </x:c>
      <x:c r="P2824" s="12" t="str">
        <x:v>CORP-0658, CORP-0659</x:v>
      </x:c>
      <x:c r="Q2824" s="12" t="str">
        <x:v>XT Ships Management</x:v>
      </x:c>
    </x:row>
    <x:row r="2825" ht="48" customHeight="1">
      <x:c r="A2825" s="2" t="str">
        <x:v>TEN-3FB64171B8B2</x:v>
      </x:c>
      <x:c r="B2825" s="12" t="str">
        <x:v>Y axis</x:v>
      </x:c>
      <x:c r="C2825" s="12" t="str">
        <x:v>Business / brand</x:v>
      </x:c>
      <x:c r="D2825" s="12" t="str">
        <x:v>Professional services</x:v>
      </x:c>
      <x:c r="E2825" s="12" t="str">
        <x:v>Immigration &amp; relocation services</x:v>
      </x:c>
      <x:c r="F2825" s="12" t="str">
        <x:v>Mixed business audience</x:v>
      </x:c>
      <x:c r="G2825" s="12" t="str">
        <x:v>Established brand or business network; local company scale is not established. Use a mixed-business message.</x:v>
      </x:c>
      <x:c r="H2825" s="11" t="n">
        <x:v>5</x:v>
      </x:c>
      <x:c r="I2825" s="11" t="n">
        <x:v>5</x:v>
      </x:c>
      <x:c r="J2825" s="11" t="n">
        <x:v>5</x:v>
      </x:c>
      <x:c r="K2825" s="11" t="n">
        <x:v>0</x:v>
      </x:c>
      <x:c r="L2825" s="17" t="n">
        <x:f>SUM(SUMIFS('Costing'!$P$9:$P$492,'Costing'!$A$9:$A$492,"MAIN-300"),SUMIFS('Costing'!$P$9:$P$492,'Costing'!$A$9:$A$492,"PARTNER-M056"))</x:f>
        <x:v>175000</x:v>
      </x:c>
      <x:c r="M2825" s="17" t="n">
        <x:f>ROUND(L2825*'Costing'!$C$4,2)</x:f>
        <x:v>31500</x:v>
      </x:c>
      <x:c r="N2825" s="17" t="n">
        <x:f>L2825+M2825</x:f>
        <x:v>206500</x:v>
      </x:c>
      <x:c r="O2825" s="12" t="str">
        <x:v>Mumbai, Bengaluru</x:v>
      </x:c>
      <x:c r="P2825" s="12" t="str">
        <x:v>CORP-0296, CORP-0474, CORP-0475, CORP-0476, CORP-0477</x:v>
      </x:c>
      <x:c r="Q2825" s="12" t="str">
        <x:v>Y axis, Y-Axis</x:v>
      </x:c>
    </x:row>
    <x:row r="2826" ht="48" customHeight="1">
      <x:c r="A2826" s="2" t="str">
        <x:v>TEN-47445949BEEF</x:v>
      </x:c>
      <x:c r="B2826" s="12" t="str">
        <x:v>Yamazaki Mazak India Pvt. Ltd</x:v>
      </x:c>
      <x:c r="C2826" s="12" t="str">
        <x:v>Business / brand</x:v>
      </x:c>
      <x:c r="D2826" s="12" t="str">
        <x:v>Engineering &amp; manufacturing</x:v>
      </x:c>
      <x:c r="E2826" s="12" t="str">
        <x:v>Electronics, industrial systems &amp; manufacturing</x:v>
      </x:c>
      <x:c r="F2826" s="12" t="str">
        <x:v>Mixed business audience</x:v>
      </x:c>
      <x:c r="G2826" s="12" t="str">
        <x:v>Established brand or business network; local company scale is not established. Use a mixed-business message.</x:v>
      </x:c>
      <x:c r="H2826" s="11" t="n">
        <x:v>9</x:v>
      </x:c>
      <x:c r="I2826" s="11" t="n">
        <x:v>9</x:v>
      </x:c>
      <x:c r="J2826" s="11" t="n">
        <x:v>9</x:v>
      </x:c>
      <x:c r="K2826" s="11" t="n">
        <x:v>0</x:v>
      </x:c>
      <x:c r="L2826" s="17" t="n">
        <x:f>SUM(SUMIFS('Costing'!$P$9:$P$492,'Costing'!$A$9:$A$492,"MAIN-073"),SUMIFS('Costing'!$P$9:$P$492,'Costing'!$A$9:$A$492,"PARTNER-M100"))</x:f>
        <x:v>360000</x:v>
      </x:c>
      <x:c r="M2826" s="17" t="n">
        <x:f>ROUND(L2826*'Costing'!$C$4,2)</x:f>
        <x:v>64800</x:v>
      </x:c>
      <x:c r="N2826" s="17" t="n">
        <x:f>L2826+M2826</x:f>
        <x:v>424800</x:v>
      </x:c>
      <x:c r="O2826" s="12" t="str">
        <x:v>Bengaluru</x:v>
      </x:c>
      <x:c r="P2826" s="12" t="str">
        <x:v>CORP-0069, CORP-0518, CORP-0519, CORP-0520, CORP-0521, CORP-0522, CORP-0523, CORP-0524, CORP-0525</x:v>
      </x:c>
      <x:c r="Q2826" s="12" t="str">
        <x:v>Yamazaki Mazak India Pvt. Ltd</x:v>
      </x:c>
    </x:row>
    <x:row r="2827" ht="48" customHeight="1">
      <x:c r="A2827" s="2" t="str">
        <x:v>TEN-8E46D37012AB</x:v>
      </x:c>
      <x:c r="B2827" s="12" t="str">
        <x:v>Yanfeng India Automotive Interiors Systems Pvt. Ltd</x:v>
      </x:c>
      <x:c r="C2827" s="12" t="str">
        <x:v>Business / brand</x:v>
      </x:c>
      <x:c r="D2827" s="12" t="str">
        <x:v>Engineering &amp; manufacturing</x:v>
      </x:c>
      <x:c r="E2827" s="12" t="str">
        <x:v>Automotive, mobility &amp; aerospace</x:v>
      </x:c>
      <x:c r="F2827" s="12" t="str">
        <x:v>Mixed business audience</x:v>
      </x:c>
      <x:c r="G2827" s="12" t="str">
        <x:v>Recognisable business context; company-scale evidence remains insufficient for a single size band.</x:v>
      </x:c>
      <x:c r="H2827" s="11" t="n">
        <x:v>5</x:v>
      </x:c>
      <x:c r="I2827" s="11" t="n">
        <x:v>5</x:v>
      </x:c>
      <x:c r="J2827" s="11" t="n">
        <x:v>5</x:v>
      </x:c>
      <x:c r="K2827" s="11" t="n">
        <x:v>0</x:v>
      </x:c>
      <x:c r="L2827" s="17" t="n">
        <x:f>SUM(SUMIFS('Costing'!$P$9:$P$492,'Costing'!$A$9:$A$492,"PARTNER-M268"))</x:f>
        <x:v>200000</x:v>
      </x:c>
      <x:c r="M2827" s="17" t="n">
        <x:f>ROUND(L2827*'Costing'!$C$4,2)</x:f>
        <x:v>36000</x:v>
      </x:c>
      <x:c r="N2827" s="17" t="n">
        <x:f>L2827+M2827</x:f>
        <x:v>236000</x:v>
      </x:c>
      <x:c r="O2827" s="12" t="str">
        <x:v>Pune</x:v>
      </x:c>
      <x:c r="P2827" s="12" t="str">
        <x:v>CORP-0684, CORP-0685, CORP-0686, CORP-0687, CORP-0688</x:v>
      </x:c>
      <x:c r="Q2827" s="12" t="str">
        <x:v>Yanfeng India Automotive Interiors Systems Pvt. Ltd</x:v>
      </x:c>
    </x:row>
    <x:row r="2828" ht="48" customHeight="1">
      <x:c r="A2828" s="2" t="str">
        <x:v>TEN-18E894A0A28F</x:v>
      </x:c>
      <x:c r="B2828" s="12" t="str">
        <x:v>Yazaki India</x:v>
      </x:c>
      <x:c r="C2828" s="12" t="str">
        <x:v>Business / brand</x:v>
      </x:c>
      <x:c r="D2828" s="12" t="str">
        <x:v>Engineering &amp; manufacturing</x:v>
      </x:c>
      <x:c r="E2828" s="12" t="str">
        <x:v>Electronics, industrial systems &amp; manufacturing</x:v>
      </x:c>
      <x:c r="F2828" s="12" t="str">
        <x:v>Mixed business audience</x:v>
      </x:c>
      <x:c r="G2828" s="12" t="str">
        <x:v>Established brand or business network; local company scale is not established. Use a mixed-business message.</x:v>
      </x:c>
      <x:c r="H2828" s="11" t="n">
        <x:v>6</x:v>
      </x:c>
      <x:c r="I2828" s="11" t="n">
        <x:v>6</x:v>
      </x:c>
      <x:c r="J2828" s="11" t="n">
        <x:v>6</x:v>
      </x:c>
      <x:c r="K2828" s="11" t="n">
        <x:v>0</x:v>
      </x:c>
      <x:c r="L2828" s="17" t="n">
        <x:f>SUM(SUMIFS('Costing'!$P$9:$P$492,'Costing'!$A$9:$A$492,"PARTNER-M072"))</x:f>
        <x:v>240000</x:v>
      </x:c>
      <x:c r="M2828" s="17" t="n">
        <x:f>ROUND(L2828*'Costing'!$C$4,2)</x:f>
        <x:v>43200</x:v>
      </x:c>
      <x:c r="N2828" s="17" t="n">
        <x:f>L2828+M2828</x:f>
        <x:v>283200</x:v>
      </x:c>
      <x:c r="O2828" s="12" t="str">
        <x:v>Bengaluru</x:v>
      </x:c>
      <x:c r="P2828" s="12" t="str">
        <x:v>CORP-0490, CORP-0491, CORP-0492, CORP-0493, CORP-0494, CORP-0495</x:v>
      </x:c>
      <x:c r="Q2828" s="12" t="str">
        <x:v>Yazaki India</x:v>
      </x:c>
    </x:row>
    <x:row r="2829" ht="48" customHeight="1">
      <x:c r="A2829" s="2" t="str">
        <x:v>TEN-B4E81D471B4A</x:v>
      </x:c>
      <x:c r="B2829" s="12" t="str">
        <x:v>Yazaki India Technical Center</x:v>
      </x:c>
      <x:c r="C2829" s="12" t="str">
        <x:v>Business / brand</x:v>
      </x:c>
      <x:c r="D2829" s="12" t="str">
        <x:v>Engineering &amp; manufacturing</x:v>
      </x:c>
      <x:c r="E2829" s="12" t="str">
        <x:v>Electronics, industrial systems &amp; manufacturing</x:v>
      </x:c>
      <x:c r="F2829" s="12" t="str">
        <x:v>Mixed business audience</x:v>
      </x:c>
      <x:c r="G2829" s="12" t="str">
        <x:v>Established brand or business network; local company scale is not established. Use a mixed-business message.</x:v>
      </x:c>
      <x:c r="H2829" s="11" t="n">
        <x:v>5</x:v>
      </x:c>
      <x:c r="I2829" s="11" t="n">
        <x:v>5</x:v>
      </x:c>
      <x:c r="J2829" s="11" t="n">
        <x:v>5</x:v>
      </x:c>
      <x:c r="K2829" s="11" t="n">
        <x:v>0</x:v>
      </x:c>
      <x:c r="L2829" s="17" t="n">
        <x:f>SUM(SUMIFS('Costing'!$P$9:$P$492,'Costing'!$A$9:$A$492,"PARTNER-M060"))</x:f>
        <x:v>200000</x:v>
      </x:c>
      <x:c r="M2829" s="17" t="n">
        <x:f>ROUND(L2829*'Costing'!$C$4,2)</x:f>
        <x:v>36000</x:v>
      </x:c>
      <x:c r="N2829" s="17" t="n">
        <x:f>L2829+M2829</x:f>
        <x:v>236000</x:v>
      </x:c>
      <x:c r="O2829" s="12" t="str">
        <x:v>Bengaluru</x:v>
      </x:c>
      <x:c r="P2829" s="12" t="str">
        <x:v>CORP-0478, CORP-0479, CORP-0480, CORP-0481, CORP-0482</x:v>
      </x:c>
      <x:c r="Q2829" s="12" t="str">
        <x:v>Yazaki India Technical Center</x:v>
      </x:c>
    </x:row>
    <x:row r="2830" ht="62" customHeight="1">
      <x:c r="A2830" s="2" t="str">
        <x:v>TEN-1C593F87A18C</x:v>
      </x:c>
      <x:c r="B2830" s="12" t="str">
        <x:v>Yes Bank</x:v>
      </x:c>
      <x:c r="C2830" s="12" t="str">
        <x:v>Business / brand</x:v>
      </x:c>
      <x:c r="D2830" s="12" t="str">
        <x:v>Finance &amp; insurance</x:v>
      </x:c>
      <x:c r="E2830" s="12" t="str">
        <x:v>Banking &amp; credit</x:v>
      </x:c>
      <x:c r="F2830" s="12" t="str">
        <x:v>Large enterprise</x:v>
      </x:c>
      <x:c r="G2830" s="12" t="str">
        <x:v>The bank's official overview reports over 1,300 branches across 300 Indian districts, plus international banking and representative operations. This nationwide banking footprint supports an enterprise-scale override.</x:v>
      </x:c>
      <x:c r="H2830" s="11" t="n">
        <x:v>11</x:v>
      </x:c>
      <x:c r="I2830" s="11" t="n">
        <x:v>13</x:v>
      </x:c>
      <x:c r="J2830" s="11" t="n">
        <x:v>13</x:v>
      </x:c>
      <x:c r="K2830" s="11" t="n">
        <x:v>0</x:v>
      </x:c>
      <x:c r="L2830" s="17" t="n">
        <x:f>SUM(SUMIFS('Costing'!$P$9:$P$492,'Costing'!$A$9:$A$492,"MAIN-073"),SUMIFS('Costing'!$P$9:$P$492,'Costing'!$A$9:$A$492,"MAIN-267"),SUMIFS('Costing'!$P$9:$P$492,'Costing'!$A$9:$A$492,"MAIN-305"),SUMIFS('Costing'!$P$9:$P$492,'Costing'!$A$9:$A$492,"PARTNER-M100"))</x:f>
        <x:v>430000</x:v>
      </x:c>
      <x:c r="M2830" s="17" t="n">
        <x:f>ROUND(L2830*'Costing'!$C$4,2)</x:f>
        <x:v>77400</x:v>
      </x:c>
      <x:c r="N2830" s="17" t="n">
        <x:f>L2830+M2830</x:f>
        <x:v>507400</x:v>
      </x:c>
      <x:c r="O2830" s="12" t="str">
        <x:v>Bengaluru, Indore, Mumbai</x:v>
      </x:c>
      <x:c r="P2830" s="12" t="str">
        <x:v>CORP-0069, CORP-0263, CORP-0301, CORP-0518, CORP-0519, CORP-0520, CORP-0521, CORP-0522, CORP-0523, CORP-0524, CORP-0525</x:v>
      </x:c>
      <x:c r="Q2830" s="12" t="str">
        <x:v>Yes Bank, Yes bank</x:v>
      </x:c>
    </x:row>
    <x:row r="2831" ht="48" customHeight="1">
      <x:c r="A2831" s="2" t="str">
        <x:v>TEN-4573DD09A1D9</x:v>
      </x:c>
      <x:c r="B2831" s="12" t="str">
        <x:v>Yes2growth</x:v>
      </x:c>
      <x:c r="C2831" s="12" t="str">
        <x:v>Business / brand</x:v>
      </x:c>
      <x:c r="D2831" s="12" t="str">
        <x:v>Unresolved</x:v>
      </x:c>
      <x:c r="E2831" s="12" t="str">
        <x:v>Business activity not established</x:v>
      </x:c>
      <x:c r="F2831" s="12" t="str">
        <x:v>Mixed business audience</x:v>
      </x:c>
      <x:c r="G2831" s="12" t="str">
        <x:v>Business activity and company scale are not established from this name.</x:v>
      </x:c>
      <x:c r="H2831" s="11" t="n">
        <x:v>1</x:v>
      </x:c>
      <x:c r="I2831" s="11" t="n">
        <x:v>2</x:v>
      </x:c>
      <x:c r="J2831" s="11" t="n">
        <x:v>2</x:v>
      </x:c>
      <x:c r="K2831" s="11" t="n">
        <x:v>0</x:v>
      </x:c>
      <x:c r="L2831" s="17" t="n">
        <x:f>SUM(SUMIFS('Costing'!$P$9:$P$492,'Costing'!$A$9:$A$492,"MAIN-212"))</x:f>
        <x:v>30000</x:v>
      </x:c>
      <x:c r="M2831" s="17" t="n">
        <x:f>ROUND(L2831*'Costing'!$C$4,2)</x:f>
        <x:v>5400</x:v>
      </x:c>
      <x:c r="N2831" s="17" t="n">
        <x:f>L2831+M2831</x:f>
        <x:v>35400</x:v>
      </x:c>
      <x:c r="O2831" s="12" t="str">
        <x:v>Delhi NCR</x:v>
      </x:c>
      <x:c r="P2831" s="12" t="str">
        <x:v>CORP-0208</x:v>
      </x:c>
      <x:c r="Q2831" s="12" t="str">
        <x:v>Yes2growth</x:v>
      </x:c>
    </x:row>
    <x:row r="2832" ht="48" customHeight="1">
      <x:c r="A2832" s="2" t="str">
        <x:v>TEN-0A6CDB8E6C32</x:v>
      </x:c>
      <x:c r="B2832" s="12" t="str">
        <x:v>Yexle Limited</x:v>
      </x:c>
      <x:c r="C2832" s="12" t="str">
        <x:v>Business / brand</x:v>
      </x:c>
      <x:c r="D2832" s="12" t="str">
        <x:v>IT &amp; digital</x:v>
      </x:c>
      <x:c r="E2832" s="12" t="str">
        <x:v>Enterprise software &amp; digital engineering</x:v>
      </x:c>
      <x:c r="F2832" s="12" t="str">
        <x:v>Small-scale prospects</x:v>
      </x:c>
      <x:c r="G2832" s="12" t="str">
        <x:v>Software or technology-services business; small-scale prospect assumption.</x:v>
      </x:c>
      <x:c r="H2832" s="11" t="n">
        <x:v>1</x:v>
      </x:c>
      <x:c r="I2832" s="11" t="n">
        <x:v>2</x:v>
      </x:c>
      <x:c r="J2832" s="11" t="n">
        <x:v>2</x:v>
      </x:c>
      <x:c r="K2832" s="11" t="n">
        <x:v>0</x:v>
      </x:c>
      <x:c r="L2832" s="17" t="n">
        <x:f>SUM(SUMIFS('Costing'!$P$9:$P$492,'Costing'!$A$9:$A$492,"MAIN-152"))</x:f>
        <x:v>40000</x:v>
      </x:c>
      <x:c r="M2832" s="17" t="n">
        <x:f>ROUND(L2832*'Costing'!$C$4,2)</x:f>
        <x:v>7200</x:v>
      </x:c>
      <x:c r="N2832" s="17" t="n">
        <x:f>L2832+M2832</x:f>
        <x:v>47200</x:v>
      </x:c>
      <x:c r="O2832" s="12" t="str">
        <x:v>Chennai</x:v>
      </x:c>
      <x:c r="P2832" s="12" t="str">
        <x:v>CORP-0148</x:v>
      </x:c>
      <x:c r="Q2832" s="12" t="str">
        <x:v>Yexle Limited</x:v>
      </x:c>
    </x:row>
    <x:row r="2833" ht="48" customHeight="1">
      <x:c r="A2833" s="2" t="str">
        <x:v>TEN-E63F4ABE40AA</x:v>
      </x:c>
      <x:c r="B2833" s="12" t="str">
        <x:v>YojakaPvt.Ltd</x:v>
      </x:c>
      <x:c r="C2833" s="12" t="str">
        <x:v>Business / brand</x:v>
      </x:c>
      <x:c r="D2833" s="12" t="str">
        <x:v>Unresolved</x:v>
      </x:c>
      <x:c r="E2833" s="12" t="str">
        <x:v>Business activity not established</x:v>
      </x:c>
      <x:c r="F2833" s="12" t="str">
        <x:v>Mixed business audience</x:v>
      </x:c>
      <x:c r="G2833" s="12" t="str">
        <x:v>Business activity and company scale are not established from this name.</x:v>
      </x:c>
      <x:c r="H2833" s="11" t="n">
        <x:v>1</x:v>
      </x:c>
      <x:c r="I2833" s="11" t="n">
        <x:v>1</x:v>
      </x:c>
      <x:c r="J2833" s="11" t="n">
        <x:v>1</x:v>
      </x:c>
      <x:c r="K2833" s="11" t="n">
        <x:v>0</x:v>
      </x:c>
      <x:c r="L2833" s="17" t="n">
        <x:f>SUM(SUMIFS('Costing'!$P$9:$P$492,'Costing'!$A$9:$A$492,"MAIN-050"))</x:f>
        <x:v>15000</x:v>
      </x:c>
      <x:c r="M2833" s="17" t="n">
        <x:f>ROUND(L2833*'Costing'!$C$4,2)</x:f>
        <x:v>2700</x:v>
      </x:c>
      <x:c r="N2833" s="17" t="n">
        <x:f>L2833+M2833</x:f>
        <x:v>17700</x:v>
      </x:c>
      <x:c r="O2833" s="12" t="str">
        <x:v>Bengaluru</x:v>
      </x:c>
      <x:c r="P2833" s="12" t="str">
        <x:v>CORP-0046</x:v>
      </x:c>
      <x:c r="Q2833" s="12" t="str">
        <x:v>YojakaPvt.Ltd</x:v>
      </x:c>
    </x:row>
    <x:row r="2834" ht="48" customHeight="1">
      <x:c r="A2834" s="2" t="str">
        <x:v>TEN-E922BA855F02</x:v>
      </x:c>
      <x:c r="B2834" s="12" t="str">
        <x:v>Yokogawa</x:v>
      </x:c>
      <x:c r="C2834" s="12" t="str">
        <x:v>Business / brand</x:v>
      </x:c>
      <x:c r="D2834" s="12" t="str">
        <x:v>Engineering &amp; manufacturing</x:v>
      </x:c>
      <x:c r="E2834" s="12" t="str">
        <x:v>Electronics, industrial systems &amp; manufacturing</x:v>
      </x:c>
      <x:c r="F2834" s="12" t="str">
        <x:v>Mixed business audience</x:v>
      </x:c>
      <x:c r="G2834" s="12" t="str">
        <x:v>Established brand or business network; local company scale is not established. Use a mixed-business message.</x:v>
      </x:c>
      <x:c r="H2834" s="11" t="n">
        <x:v>1</x:v>
      </x:c>
      <x:c r="I2834" s="11" t="n">
        <x:v>1</x:v>
      </x:c>
      <x:c r="J2834" s="11" t="n">
        <x:v>1</x:v>
      </x:c>
      <x:c r="K2834" s="11" t="n">
        <x:v>0</x:v>
      </x:c>
      <x:c r="L2834" s="17" t="n">
        <x:f>SUM(SUMIFS('Costing'!$P$9:$P$492,'Costing'!$A$9:$A$492,"MAIN-161"))</x:f>
        <x:v>15000</x:v>
      </x:c>
      <x:c r="M2834" s="17" t="n">
        <x:f>ROUND(L2834*'Costing'!$C$4,2)</x:f>
        <x:v>2700</x:v>
      </x:c>
      <x:c r="N2834" s="17" t="n">
        <x:f>L2834+M2834</x:f>
        <x:v>17700</x:v>
      </x:c>
      <x:c r="O2834" s="12" t="str">
        <x:v>Chennai</x:v>
      </x:c>
      <x:c r="P2834" s="12" t="str">
        <x:v>CORP-0157</x:v>
      </x:c>
      <x:c r="Q2834" s="12" t="str">
        <x:v>Yokogawa</x:v>
      </x:c>
    </x:row>
    <x:row r="2835" ht="48" customHeight="1">
      <x:c r="A2835" s="2" t="str">
        <x:v>TEN-1E09F269372F</x:v>
      </x:c>
      <x:c r="B2835" s="12" t="str">
        <x:v>Yokogawa IA Technologies</x:v>
      </x:c>
      <x:c r="C2835" s="12" t="str">
        <x:v>Business / brand</x:v>
      </x:c>
      <x:c r="D2835" s="12" t="str">
        <x:v>Engineering &amp; manufacturing</x:v>
      </x:c>
      <x:c r="E2835" s="12" t="str">
        <x:v>Electronics, industrial systems &amp; manufacturing</x:v>
      </x:c>
      <x:c r="F2835" s="12" t="str">
        <x:v>Mixed business audience</x:v>
      </x:c>
      <x:c r="G2835" s="12" t="str">
        <x:v>Established brand or business network; local company scale is not established. Use a mixed-business message.</x:v>
      </x:c>
      <x:c r="H2835" s="11" t="n">
        <x:v>6</x:v>
      </x:c>
      <x:c r="I2835" s="11" t="n">
        <x:v>6</x:v>
      </x:c>
      <x:c r="J2835" s="11" t="n">
        <x:v>6</x:v>
      </x:c>
      <x:c r="K2835" s="11" t="n">
        <x:v>0</x:v>
      </x:c>
      <x:c r="L2835" s="17" t="n">
        <x:f>SUM(SUMIFS('Costing'!$P$9:$P$492,'Costing'!$A$9:$A$492,"PARTNER-M072"))</x:f>
        <x:v>240000</x:v>
      </x:c>
      <x:c r="M2835" s="17" t="n">
        <x:f>ROUND(L2835*'Costing'!$C$4,2)</x:f>
        <x:v>43200</x:v>
      </x:c>
      <x:c r="N2835" s="17" t="n">
        <x:f>L2835+M2835</x:f>
        <x:v>283200</x:v>
      </x:c>
      <x:c r="O2835" s="12" t="str">
        <x:v>Bengaluru</x:v>
      </x:c>
      <x:c r="P2835" s="12" t="str">
        <x:v>CORP-0490, CORP-0491, CORP-0492, CORP-0493, CORP-0494, CORP-0495</x:v>
      </x:c>
      <x:c r="Q2835" s="12" t="str">
        <x:v>Yokogawa IA Technologies</x:v>
      </x:c>
    </x:row>
    <x:row r="2836" ht="48" customHeight="1">
      <x:c r="A2836" s="2" t="str">
        <x:v>TEN-02A1EF31999B</x:v>
      </x:c>
      <x:c r="B2836" s="12" t="str">
        <x:v>Yokogawa Technology Solutions</x:v>
      </x:c>
      <x:c r="C2836" s="12" t="str">
        <x:v>Business / brand</x:v>
      </x:c>
      <x:c r="D2836" s="12" t="str">
        <x:v>IT &amp; digital</x:v>
      </x:c>
      <x:c r="E2836" s="12" t="str">
        <x:v>Enterprise software &amp; digital engineering</x:v>
      </x:c>
      <x:c r="F2836" s="12" t="str">
        <x:v>Mixed business audience</x:v>
      </x:c>
      <x:c r="G2836" s="12" t="str">
        <x:v>Established brand or business network; local company scale is not established. Use a mixed-business message.</x:v>
      </x:c>
      <x:c r="H2836" s="11" t="n">
        <x:v>2</x:v>
      </x:c>
      <x:c r="I2836" s="11" t="n">
        <x:v>2</x:v>
      </x:c>
      <x:c r="J2836" s="11" t="n">
        <x:v>2</x:v>
      </x:c>
      <x:c r="K2836" s="11" t="n">
        <x:v>0</x:v>
      </x:c>
      <x:c r="L2836" s="17" t="n">
        <x:f>SUM(SUMIFS('Costing'!$P$9:$P$492,'Costing'!$A$9:$A$492,"PARTNER-M241"))</x:f>
        <x:v>80000</x:v>
      </x:c>
      <x:c r="M2836" s="17" t="n">
        <x:f>ROUND(L2836*'Costing'!$C$4,2)</x:f>
        <x:v>14400</x:v>
      </x:c>
      <x:c r="N2836" s="17" t="n">
        <x:f>L2836+M2836</x:f>
        <x:v>94400</x:v>
      </x:c>
      <x:c r="O2836" s="12" t="str">
        <x:v>Mumbai</x:v>
      </x:c>
      <x:c r="P2836" s="12" t="str">
        <x:v>CORP-0658, CORP-0659</x:v>
      </x:c>
      <x:c r="Q2836" s="12" t="str">
        <x:v>Yokogawa Technology Solutions</x:v>
      </x:c>
    </x:row>
    <x:row r="2837" ht="48" customHeight="1">
      <x:c r="A2837" s="2" t="str">
        <x:v>TEN-F04C5BE93A0B</x:v>
      </x:c>
      <x:c r="B2837" s="12" t="str">
        <x:v>Yotta Data Services</x:v>
      </x:c>
      <x:c r="C2837" s="12" t="str">
        <x:v>Business / brand</x:v>
      </x:c>
      <x:c r="D2837" s="12" t="str">
        <x:v>IT &amp; digital</x:v>
      </x:c>
      <x:c r="E2837" s="12" t="str">
        <x:v>Enterprise software &amp; digital engineering</x:v>
      </x:c>
      <x:c r="F2837" s="12" t="str">
        <x:v>Mixed business audience</x:v>
      </x:c>
      <x:c r="G2837" s="12" t="str">
        <x:v>Established brand or business network; local company scale is not established. Use a mixed-business message.</x:v>
      </x:c>
      <x:c r="H2837" s="11" t="n">
        <x:v>4</x:v>
      </x:c>
      <x:c r="I2837" s="11" t="n">
        <x:v>4</x:v>
      </x:c>
      <x:c r="J2837" s="11" t="n">
        <x:v>4</x:v>
      </x:c>
      <x:c r="K2837" s="11" t="n">
        <x:v>0</x:v>
      </x:c>
      <x:c r="L2837" s="17" t="n">
        <x:f>SUM(SUMIFS('Costing'!$P$9:$P$492,'Costing'!$A$9:$A$492,"PARTNER-M197"))</x:f>
        <x:v>160000</x:v>
      </x:c>
      <x:c r="M2837" s="17" t="n">
        <x:f>ROUND(L2837*'Costing'!$C$4,2)</x:f>
        <x:v>28800</x:v>
      </x:c>
      <x:c r="N2837" s="17" t="n">
        <x:f>L2837+M2837</x:f>
        <x:v>188800</x:v>
      </x:c>
      <x:c r="O2837" s="12" t="str">
        <x:v>Mumbai</x:v>
      </x:c>
      <x:c r="P2837" s="12" t="str">
        <x:v>CORP-0614, CORP-0615, CORP-0616, CORP-0617</x:v>
      </x:c>
      <x:c r="Q2837" s="12" t="str">
        <x:v>Yotta Data Services</x:v>
      </x:c>
    </x:row>
    <x:row r="2838" ht="48" customHeight="1">
      <x:c r="A2838" s="2" t="str">
        <x:v>TEN-1152FAEF57CF</x:v>
      </x:c>
      <x:c r="B2838" s="12" t="str">
        <x:v>Yourdost</x:v>
      </x:c>
      <x:c r="C2838" s="12" t="str">
        <x:v>Business / brand</x:v>
      </x:c>
      <x:c r="D2838" s="12" t="str">
        <x:v>Healthcare &amp; life sciences</x:v>
      </x:c>
      <x:c r="E2838" s="12" t="str">
        <x:v>Mental health, wellbeing &amp; fitness</x:v>
      </x:c>
      <x:c r="F2838" s="12" t="str">
        <x:v>Small-scale prospects</x:v>
      </x:c>
      <x:c r="G2838" s="12" t="str">
        <x:v>Healthcare services business; small-scale prospect assumption.</x:v>
      </x:c>
      <x:c r="H2838" s="11" t="n">
        <x:v>1</x:v>
      </x:c>
      <x:c r="I2838" s="11" t="n">
        <x:v>2</x:v>
      </x:c>
      <x:c r="J2838" s="11" t="n">
        <x:v>2</x:v>
      </x:c>
      <x:c r="K2838" s="11" t="n">
        <x:v>0</x:v>
      </x:c>
      <x:c r="L2838" s="17" t="n">
        <x:f>SUM(SUMIFS('Costing'!$P$9:$P$492,'Costing'!$A$9:$A$492,"MAIN-090"))</x:f>
        <x:v>30000</x:v>
      </x:c>
      <x:c r="M2838" s="17" t="n">
        <x:f>ROUND(L2838*'Costing'!$C$4,2)</x:f>
        <x:v>5400</x:v>
      </x:c>
      <x:c r="N2838" s="17" t="n">
        <x:f>L2838+M2838</x:f>
        <x:v>35400</x:v>
      </x:c>
      <x:c r="O2838" s="12" t="str">
        <x:v>Bengaluru</x:v>
      </x:c>
      <x:c r="P2838" s="12" t="str">
        <x:v>CORP-0086</x:v>
      </x:c>
      <x:c r="Q2838" s="12" t="str">
        <x:v>Yourdost</x:v>
      </x:c>
    </x:row>
    <x:row r="2839" ht="48" customHeight="1">
      <x:c r="A2839" s="2" t="str">
        <x:v>TEN-C257FB17CEAF</x:v>
      </x:c>
      <x:c r="B2839" s="12" t="str">
        <x:v>Yume Labs</x:v>
      </x:c>
      <x:c r="C2839" s="12" t="str">
        <x:v>Business / brand</x:v>
      </x:c>
      <x:c r="D2839" s="12" t="str">
        <x:v>Unresolved</x:v>
      </x:c>
      <x:c r="E2839" s="12" t="str">
        <x:v>Business activity not established</x:v>
      </x:c>
      <x:c r="F2839" s="12" t="str">
        <x:v>Mixed business audience</x:v>
      </x:c>
      <x:c r="G2839" s="12" t="str">
        <x:v>Business activity and company scale are not established from this name.</x:v>
      </x:c>
      <x:c r="H2839" s="11" t="n">
        <x:v>1</x:v>
      </x:c>
      <x:c r="I2839" s="11" t="n">
        <x:v>5</x:v>
      </x:c>
      <x:c r="J2839" s="11" t="n">
        <x:v>5</x:v>
      </x:c>
      <x:c r="K2839" s="11" t="n">
        <x:v>0</x:v>
      </x:c>
      <x:c r="L2839" s="17" t="n">
        <x:f>SUM(SUMIFS('Costing'!$P$9:$P$492,'Costing'!$A$9:$A$492,"MAIN-119"))</x:f>
        <x:v>125000</x:v>
      </x:c>
      <x:c r="M2839" s="17" t="n">
        <x:f>ROUND(L2839*'Costing'!$C$4,2)</x:f>
        <x:v>22500</x:v>
      </x:c>
      <x:c r="N2839" s="17" t="n">
        <x:f>L2839+M2839</x:f>
        <x:v>147500</x:v>
      </x:c>
      <x:c r="O2839" s="12" t="str">
        <x:v>Bengaluru</x:v>
      </x:c>
      <x:c r="P2839" s="12" t="str">
        <x:v>CORP-0115</x:v>
      </x:c>
      <x:c r="Q2839" s="12" t="str">
        <x:v>Yume Labs</x:v>
      </x:c>
    </x:row>
    <x:row r="2840" ht="48" customHeight="1">
      <x:c r="A2840" s="2" t="str">
        <x:v>TEN-81E4FD2D1FF2</x:v>
      </x:c>
      <x:c r="B2840" s="12" t="str">
        <x:v>Yusen Logisticcs pvt ltd</x:v>
      </x:c>
      <x:c r="C2840" s="12" t="str">
        <x:v>Business / brand</x:v>
      </x:c>
      <x:c r="D2840" s="12" t="str">
        <x:v>Trade, consumer &amp; logistics</x:v>
      </x:c>
      <x:c r="E2840" s="12" t="str">
        <x:v>Logistics, shipping &amp; transport</x:v>
      </x:c>
      <x:c r="F2840" s="12" t="str">
        <x:v>Mixed business audience</x:v>
      </x:c>
      <x:c r="G2840" s="12" t="str">
        <x:v>Recognisable business context; company-scale evidence remains insufficient for a single size band.</x:v>
      </x:c>
      <x:c r="H2840" s="11" t="n">
        <x:v>1</x:v>
      </x:c>
      <x:c r="I2840" s="11" t="n">
        <x:v>2</x:v>
      </x:c>
      <x:c r="J2840" s="11" t="n">
        <x:v>2</x:v>
      </x:c>
      <x:c r="K2840" s="11" t="n">
        <x:v>0</x:v>
      </x:c>
      <x:c r="L2840" s="17" t="n">
        <x:f>SUM(SUMIFS('Costing'!$P$9:$P$492,'Costing'!$A$9:$A$492,"MAIN-304"))</x:f>
        <x:v>30000</x:v>
      </x:c>
      <x:c r="M2840" s="17" t="n">
        <x:f>ROUND(L2840*'Costing'!$C$4,2)</x:f>
        <x:v>5400</x:v>
      </x:c>
      <x:c r="N2840" s="17" t="n">
        <x:f>L2840+M2840</x:f>
        <x:v>35400</x:v>
      </x:c>
      <x:c r="O2840" s="12" t="str">
        <x:v>Mumbai</x:v>
      </x:c>
      <x:c r="P2840" s="12" t="str">
        <x:v>CORP-0300</x:v>
      </x:c>
      <x:c r="Q2840" s="12" t="str">
        <x:v>Yusen Logisticcs pvt ltd</x:v>
      </x:c>
    </x:row>
    <x:row r="2841" ht="48" customHeight="1">
      <x:c r="A2841" s="2" t="str">
        <x:v>TEN-B810D11F7B55</x:v>
      </x:c>
      <x:c r="B2841" s="12" t="str">
        <x:v>Zamil Steel Buildings India Pvt Ltd</x:v>
      </x:c>
      <x:c r="C2841" s="12" t="str">
        <x:v>Business / brand</x:v>
      </x:c>
      <x:c r="D2841" s="12" t="str">
        <x:v>Engineering &amp; manufacturing</x:v>
      </x:c>
      <x:c r="E2841" s="12" t="str">
        <x:v>Chemicals, materials &amp; industrial manufacturing</x:v>
      </x:c>
      <x:c r="F2841" s="12" t="str">
        <x:v>Mixed business audience</x:v>
      </x:c>
      <x:c r="G2841" s="12" t="str">
        <x:v>Established brand or business network; local company scale is not established. Use a mixed-business message.</x:v>
      </x:c>
      <x:c r="H2841" s="11" t="n">
        <x:v>3</x:v>
      </x:c>
      <x:c r="I2841" s="11" t="n">
        <x:v>3</x:v>
      </x:c>
      <x:c r="J2841" s="11" t="n">
        <x:v>3</x:v>
      </x:c>
      <x:c r="K2841" s="11" t="n">
        <x:v>0</x:v>
      </x:c>
      <x:c r="L2841" s="17" t="n">
        <x:f>SUM(SUMIFS('Costing'!$P$9:$P$492,'Costing'!$A$9:$A$492,"PARTNER-M349"),SUMIFS('Costing'!$P$9:$P$492,'Costing'!$A$9:$A$492,"PARTNER-M350"))</x:f>
        <x:v>120000</x:v>
      </x:c>
      <x:c r="M2841" s="17" t="n">
        <x:f>ROUND(L2841*'Costing'!$C$4,2)</x:f>
        <x:v>21600</x:v>
      </x:c>
      <x:c r="N2841" s="17" t="n">
        <x:f>L2841+M2841</x:f>
        <x:v>141600</x:v>
      </x:c>
      <x:c r="O2841" s="12" t="str">
        <x:v>Chennai</x:v>
      </x:c>
      <x:c r="P2841" s="12" t="str">
        <x:v>CORP-0763, CORP-0764, CORP-0765</x:v>
      </x:c>
      <x:c r="Q2841" s="12" t="str">
        <x:v>Zamil Steel Buildings India Pvt Ltd</x:v>
      </x:c>
    </x:row>
    <x:row r="2842" ht="48" customHeight="1">
      <x:c r="A2842" s="2" t="str">
        <x:v>TEN-7BA3AA933005</x:v>
      </x:c>
      <x:c r="B2842" s="12" t="str">
        <x:v>Zapkey</x:v>
      </x:c>
      <x:c r="C2842" s="12" t="str">
        <x:v>Business / brand</x:v>
      </x:c>
      <x:c r="D2842" s="12" t="str">
        <x:v>Trade, consumer &amp; logistics</x:v>
      </x:c>
      <x:c r="E2842" s="12" t="str">
        <x:v>Real estate, property &amp; construction services</x:v>
      </x:c>
      <x:c r="F2842" s="12" t="str">
        <x:v>Small-scale prospects</x:v>
      </x:c>
      <x:c r="G2842" s="12" t="str">
        <x:v>Trading or consumer-services business; small-scale prospect assumption.</x:v>
      </x:c>
      <x:c r="H2842" s="11" t="n">
        <x:v>1</x:v>
      </x:c>
      <x:c r="I2842" s="11" t="n">
        <x:v>12</x:v>
      </x:c>
      <x:c r="J2842" s="11" t="n">
        <x:v>12</x:v>
      </x:c>
      <x:c r="K2842" s="11" t="n">
        <x:v>0</x:v>
      </x:c>
      <x:c r="L2842" s="17" t="n">
        <x:f>SUM(SUMIFS('Costing'!$P$9:$P$492,'Costing'!$A$9:$A$492,"MAIN-362"))</x:f>
        <x:v>300000</x:v>
      </x:c>
      <x:c r="M2842" s="17" t="n">
        <x:f>ROUND(L2842*'Costing'!$C$4,2)</x:f>
        <x:v>54000</x:v>
      </x:c>
      <x:c r="N2842" s="17" t="n">
        <x:f>L2842+M2842</x:f>
        <x:v>354000</x:v>
      </x:c>
      <x:c r="O2842" s="12" t="str">
        <x:v>Mumbai</x:v>
      </x:c>
      <x:c r="P2842" s="12" t="str">
        <x:v>CORP-0358</x:v>
      </x:c>
      <x:c r="Q2842" s="12" t="str">
        <x:v>Zapkey</x:v>
      </x:c>
    </x:row>
    <x:row r="2843" ht="48" customHeight="1">
      <x:c r="A2843" s="2" t="str">
        <x:v>TEN-4E9F09D4C240</x:v>
      </x:c>
      <x:c r="B2843" s="12" t="str">
        <x:v>Zebi Data India</x:v>
      </x:c>
      <x:c r="C2843" s="12" t="str">
        <x:v>Business / brand</x:v>
      </x:c>
      <x:c r="D2843" s="12" t="str">
        <x:v>IT &amp; digital</x:v>
      </x:c>
      <x:c r="E2843" s="12" t="str">
        <x:v>Enterprise software &amp; digital engineering</x:v>
      </x:c>
      <x:c r="F2843" s="12" t="str">
        <x:v>Small-scale prospects</x:v>
      </x:c>
      <x:c r="G2843" s="12" t="str">
        <x:v>Software or technology-services business; small-scale prospect assumption.</x:v>
      </x:c>
      <x:c r="H2843" s="11" t="n">
        <x:v>7</x:v>
      </x:c>
      <x:c r="I2843" s="11" t="n">
        <x:v>7</x:v>
      </x:c>
      <x:c r="J2843" s="11" t="n">
        <x:v>7</x:v>
      </x:c>
      <x:c r="K2843" s="11" t="n">
        <x:v>0</x:v>
      </x:c>
      <x:c r="L2843" s="17" t="n">
        <x:f>SUM(SUMIFS('Costing'!$P$9:$P$492,'Costing'!$A$9:$A$492,"PARTNER-M317"))</x:f>
        <x:v>280000</x:v>
      </x:c>
      <x:c r="M2843" s="17" t="n">
        <x:f>ROUND(L2843*'Costing'!$C$4,2)</x:f>
        <x:v>50400</x:v>
      </x:c>
      <x:c r="N2843" s="17" t="n">
        <x:f>L2843+M2843</x:f>
        <x:v>330400</x:v>
      </x:c>
      <x:c r="O2843" s="12" t="str">
        <x:v>Hyderabad</x:v>
      </x:c>
      <x:c r="P2843" s="12" t="str">
        <x:v>CORP-0732, CORP-0733, CORP-0734, CORP-0735, CORP-0736, CORP-0737, CORP-0738</x:v>
      </x:c>
      <x:c r="Q2843" s="12" t="str">
        <x:v>Zebi Data India</x:v>
      </x:c>
    </x:row>
    <x:row r="2844" ht="48" customHeight="1">
      <x:c r="A2844" s="2" t="str">
        <x:v>TEN-839D47983478</x:v>
      </x:c>
      <x:c r="B2844" s="12" t="str">
        <x:v>Zebra on wheels</x:v>
      </x:c>
      <x:c r="C2844" s="12" t="str">
        <x:v>Business / brand</x:v>
      </x:c>
      <x:c r="D2844" s="12" t="str">
        <x:v>Unresolved</x:v>
      </x:c>
      <x:c r="E2844" s="12" t="str">
        <x:v>Business activity not established</x:v>
      </x:c>
      <x:c r="F2844" s="12" t="str">
        <x:v>Mixed business audience</x:v>
      </x:c>
      <x:c r="G2844" s="12" t="str">
        <x:v>Business activity and company scale are not established from this name.</x:v>
      </x:c>
      <x:c r="H2844" s="11" t="n">
        <x:v>1</x:v>
      </x:c>
      <x:c r="I2844" s="11" t="n">
        <x:v>21</x:v>
      </x:c>
      <x:c r="J2844" s="11" t="n">
        <x:v>21</x:v>
      </x:c>
      <x:c r="K2844" s="11" t="n">
        <x:v>0</x:v>
      </x:c>
      <x:c r="L2844" s="17" t="n">
        <x:f>SUM(SUMIFS('Costing'!$P$9:$P$492,'Costing'!$A$9:$A$492,"MAIN-313"))</x:f>
        <x:v>315000</x:v>
      </x:c>
      <x:c r="M2844" s="17" t="n">
        <x:f>ROUND(L2844*'Costing'!$C$4,2)</x:f>
        <x:v>56700</x:v>
      </x:c>
      <x:c r="N2844" s="17" t="n">
        <x:f>L2844+M2844</x:f>
        <x:v>371700</x:v>
      </x:c>
      <x:c r="O2844" s="12" t="str">
        <x:v>Mumbai</x:v>
      </x:c>
      <x:c r="P2844" s="12" t="str">
        <x:v>CORP-0309</x:v>
      </x:c>
      <x:c r="Q2844" s="12" t="str">
        <x:v>Zebra on wheels</x:v>
      </x:c>
    </x:row>
    <x:row r="2845" ht="48" customHeight="1">
      <x:c r="A2845" s="2" t="str">
        <x:v>TEN-B620B7716796</x:v>
      </x:c>
      <x:c r="B2845" s="12" t="str">
        <x:v>Zebra Technologies</x:v>
      </x:c>
      <x:c r="C2845" s="12" t="str">
        <x:v>Business / brand</x:v>
      </x:c>
      <x:c r="D2845" s="12" t="str">
        <x:v>Engineering &amp; manufacturing</x:v>
      </x:c>
      <x:c r="E2845" s="12" t="str">
        <x:v>Semiconductors, electronics &amp; equipment</x:v>
      </x:c>
      <x:c r="F2845" s="12" t="str">
        <x:v>Mixed business audience</x:v>
      </x:c>
      <x:c r="G2845" s="12" t="str">
        <x:v>Established brand or business network; local company scale is not established. Use a mixed-business message.</x:v>
      </x:c>
      <x:c r="H2845" s="11" t="n">
        <x:v>8</x:v>
      </x:c>
      <x:c r="I2845" s="11" t="n">
        <x:v>8</x:v>
      </x:c>
      <x:c r="J2845" s="11" t="n">
        <x:v>8</x:v>
      </x:c>
      <x:c r="K2845" s="11" t="n">
        <x:v>0</x:v>
      </x:c>
      <x:c r="L2845" s="17" t="n">
        <x:f>SUM(SUMIFS('Costing'!$P$9:$P$492,'Costing'!$A$9:$A$492,"PARTNER-M146"))</x:f>
        <x:v>320000</x:v>
      </x:c>
      <x:c r="M2845" s="17" t="n">
        <x:f>ROUND(L2845*'Costing'!$C$4,2)</x:f>
        <x:v>57600</x:v>
      </x:c>
      <x:c r="N2845" s="17" t="n">
        <x:f>L2845+M2845</x:f>
        <x:v>377600</x:v>
      </x:c>
      <x:c r="O2845" s="12" t="str">
        <x:v>Bengaluru</x:v>
      </x:c>
      <x:c r="P2845" s="12" t="str">
        <x:v>CORP-0564, CORP-0565, CORP-0566, CORP-0567, CORP-0568, CORP-0569, CORP-0570, CORP-0571</x:v>
      </x:c>
      <x:c r="Q2845" s="12" t="str">
        <x:v>Zebra Technologies</x:v>
      </x:c>
    </x:row>
    <x:row r="2846" ht="48" customHeight="1">
      <x:c r="A2846" s="2" t="str">
        <x:v>TEN-8B608DCA827C</x:v>
      </x:c>
      <x:c r="B2846" s="12" t="str">
        <x:v>Zebra Technologies India Pvt Ltd</x:v>
      </x:c>
      <x:c r="C2846" s="12" t="str">
        <x:v>Business / brand</x:v>
      </x:c>
      <x:c r="D2846" s="12" t="str">
        <x:v>Engineering &amp; manufacturing</x:v>
      </x:c>
      <x:c r="E2846" s="12" t="str">
        <x:v>Semiconductors, electronics &amp; equipment</x:v>
      </x:c>
      <x:c r="F2846" s="12" t="str">
        <x:v>Mixed business audience</x:v>
      </x:c>
      <x:c r="G2846" s="12" t="str">
        <x:v>Established brand or business network; local company scale is not established. Use a mixed-business message.</x:v>
      </x:c>
      <x:c r="H2846" s="11" t="n">
        <x:v>10</x:v>
      </x:c>
      <x:c r="I2846" s="11" t="n">
        <x:v>10</x:v>
      </x:c>
      <x:c r="J2846" s="11" t="n">
        <x:v>10</x:v>
      </x:c>
      <x:c r="K2846" s="11" t="n">
        <x:v>0</x:v>
      </x:c>
      <x:c r="L2846" s="17" t="n">
        <x:f>SUM(SUMIFS('Costing'!$P$9:$P$492,'Costing'!$A$9:$A$492,"PARTNER-M365"))</x:f>
        <x:v>400000</x:v>
      </x:c>
      <x:c r="M2846" s="17" t="n">
        <x:f>ROUND(L2846*'Costing'!$C$4,2)</x:f>
        <x:v>72000</x:v>
      </x:c>
      <x:c r="N2846" s="17" t="n">
        <x:f>L2846+M2846</x:f>
        <x:v>472000</x:v>
      </x:c>
      <x:c r="O2846" s="12" t="str">
        <x:v>Delhi NCR</x:v>
      </x:c>
      <x:c r="P2846" s="12" t="str">
        <x:v>CORP-0778, CORP-0779, CORP-0780, CORP-0781, CORP-0782, CORP-0783, CORP-0784, CORP-0785, CORP-0786, CORP-0787</x:v>
      </x:c>
      <x:c r="Q2846" s="12" t="str">
        <x:v>Zebra Technologies India Pvt Ltd</x:v>
      </x:c>
    </x:row>
    <x:row r="2847" ht="48" customHeight="1">
      <x:c r="A2847" s="2" t="str">
        <x:v>TEN-4607AC0710AC</x:v>
      </x:c>
      <x:c r="B2847" s="12" t="str">
        <x:v>Zenatix</x:v>
      </x:c>
      <x:c r="C2847" s="12" t="str">
        <x:v>Business / brand</x:v>
      </x:c>
      <x:c r="D2847" s="12" t="str">
        <x:v>Engineering &amp; manufacturing</x:v>
      </x:c>
      <x:c r="E2847" s="12" t="str">
        <x:v>Energy, electrical &amp; industrial systems</x:v>
      </x:c>
      <x:c r="F2847" s="12" t="str">
        <x:v>Medium-scale prospects</x:v>
      </x:c>
      <x:c r="G2847" s="12" t="str">
        <x:v>Specialist industrial or engineering business; medium-scale prospect assumption.</x:v>
      </x:c>
      <x:c r="H2847" s="11" t="n">
        <x:v>1</x:v>
      </x:c>
      <x:c r="I2847" s="11" t="n">
        <x:v>1</x:v>
      </x:c>
      <x:c r="J2847" s="11" t="n">
        <x:v>1</x:v>
      </x:c>
      <x:c r="K2847" s="11" t="n">
        <x:v>0</x:v>
      </x:c>
      <x:c r="L2847" s="17" t="n">
        <x:f>SUM(SUMIFS('Costing'!$P$9:$P$492,'Costing'!$A$9:$A$492,"MAIN-187"))</x:f>
        <x:v>40000</x:v>
      </x:c>
      <x:c r="M2847" s="17" t="n">
        <x:f>ROUND(L2847*'Costing'!$C$4,2)</x:f>
        <x:v>7200</x:v>
      </x:c>
      <x:c r="N2847" s="17" t="n">
        <x:f>L2847+M2847</x:f>
        <x:v>47200</x:v>
      </x:c>
      <x:c r="O2847" s="12" t="str">
        <x:v>Delhi NCR</x:v>
      </x:c>
      <x:c r="P2847" s="12" t="str">
        <x:v>CORP-0183</x:v>
      </x:c>
      <x:c r="Q2847" s="12" t="str">
        <x:v>Zenatix</x:v>
      </x:c>
    </x:row>
    <x:row r="2848" ht="48" customHeight="1">
      <x:c r="A2848" s="2" t="str">
        <x:v>TEN-E681BA589DB7</x:v>
      </x:c>
      <x:c r="B2848" s="12" t="str">
        <x:v>Zenda</x:v>
      </x:c>
      <x:c r="C2848" s="12" t="str">
        <x:v>Business / brand</x:v>
      </x:c>
      <x:c r="D2848" s="12" t="str">
        <x:v>Unresolved</x:v>
      </x:c>
      <x:c r="E2848" s="12" t="str">
        <x:v>Business activity not established</x:v>
      </x:c>
      <x:c r="F2848" s="12" t="str">
        <x:v>Mixed business audience</x:v>
      </x:c>
      <x:c r="G2848" s="12" t="str">
        <x:v>Business activity and company scale are not established from this name.</x:v>
      </x:c>
      <x:c r="H2848" s="11" t="n">
        <x:v>1</x:v>
      </x:c>
      <x:c r="I2848" s="11" t="n">
        <x:v>2</x:v>
      </x:c>
      <x:c r="J2848" s="11" t="n">
        <x:v>2</x:v>
      </x:c>
      <x:c r="K2848" s="11" t="n">
        <x:v>0</x:v>
      </x:c>
      <x:c r="L2848" s="17" t="n">
        <x:f>SUM(SUMIFS('Costing'!$P$9:$P$492,'Costing'!$A$9:$A$492,"MAIN-109"))</x:f>
        <x:v>30000</x:v>
      </x:c>
      <x:c r="M2848" s="17" t="n">
        <x:f>ROUND(L2848*'Costing'!$C$4,2)</x:f>
        <x:v>5400</x:v>
      </x:c>
      <x:c r="N2848" s="17" t="n">
        <x:f>L2848+M2848</x:f>
        <x:v>35400</x:v>
      </x:c>
      <x:c r="O2848" s="12" t="str">
        <x:v>Bengaluru</x:v>
      </x:c>
      <x:c r="P2848" s="12" t="str">
        <x:v>CORP-0105</x:v>
      </x:c>
      <x:c r="Q2848" s="12" t="str">
        <x:v>Zenda</x:v>
      </x:c>
    </x:row>
    <x:row r="2849" ht="48" customHeight="1">
      <x:c r="A2849" s="2" t="str">
        <x:v>TEN-45324BA64065</x:v>
      </x:c>
      <x:c r="B2849" s="12" t="str">
        <x:v>Zenith LLP</x:v>
      </x:c>
      <x:c r="C2849" s="12" t="str">
        <x:v>Business / brand</x:v>
      </x:c>
      <x:c r="D2849" s="12" t="str">
        <x:v>Unresolved</x:v>
      </x:c>
      <x:c r="E2849" s="12" t="str">
        <x:v>Business activity not established</x:v>
      </x:c>
      <x:c r="F2849" s="12" t="str">
        <x:v>Mixed business audience</x:v>
      </x:c>
      <x:c r="G2849" s="12" t="str">
        <x:v>Business activity and company scale are not established from this name.</x:v>
      </x:c>
      <x:c r="H2849" s="11" t="n">
        <x:v>1</x:v>
      </x:c>
      <x:c r="I2849" s="11" t="n">
        <x:v>3</x:v>
      </x:c>
      <x:c r="J2849" s="11" t="n">
        <x:v>3</x:v>
      </x:c>
      <x:c r="K2849" s="11" t="n">
        <x:v>0</x:v>
      </x:c>
      <x:c r="L2849" s="17" t="n">
        <x:f>SUM(SUMIFS('Costing'!$P$9:$P$492,'Costing'!$A$9:$A$492,"MAIN-029"))</x:f>
        <x:v>45000</x:v>
      </x:c>
      <x:c r="M2849" s="17" t="n">
        <x:f>ROUND(L2849*'Costing'!$C$4,2)</x:f>
        <x:v>8100</x:v>
      </x:c>
      <x:c r="N2849" s="17" t="n">
        <x:f>L2849+M2849</x:f>
        <x:v>53100</x:v>
      </x:c>
      <x:c r="O2849" s="12" t="str">
        <x:v>Bengaluru</x:v>
      </x:c>
      <x:c r="P2849" s="12" t="str">
        <x:v>CORP-0025</x:v>
      </x:c>
      <x:c r="Q2849" s="12" t="str">
        <x:v>Zenith LLP</x:v>
      </x:c>
    </x:row>
    <x:row r="2850" ht="48" customHeight="1">
      <x:c r="A2850" s="2" t="str">
        <x:v>TEN-2DBBBD8AD08B</x:v>
      </x:c>
      <x:c r="B2850" s="12" t="str">
        <x:v>Zenmonics Software</x:v>
      </x:c>
      <x:c r="C2850" s="12" t="str">
        <x:v>Business / brand</x:v>
      </x:c>
      <x:c r="D2850" s="12" t="str">
        <x:v>IT &amp; digital</x:v>
      </x:c>
      <x:c r="E2850" s="12" t="str">
        <x:v>Enterprise software &amp; digital engineering</x:v>
      </x:c>
      <x:c r="F2850" s="12" t="str">
        <x:v>Small-scale prospects</x:v>
      </x:c>
      <x:c r="G2850" s="12" t="str">
        <x:v>Software or technology-services business; small-scale prospect assumption.</x:v>
      </x:c>
      <x:c r="H2850" s="11" t="n">
        <x:v>9</x:v>
      </x:c>
      <x:c r="I2850" s="11" t="n">
        <x:v>9</x:v>
      </x:c>
      <x:c r="J2850" s="11" t="n">
        <x:v>9</x:v>
      </x:c>
      <x:c r="K2850" s="11" t="n">
        <x:v>0</x:v>
      </x:c>
      <x:c r="L2850" s="17" t="n">
        <x:f>SUM(SUMIFS('Costing'!$P$9:$P$492,'Costing'!$A$9:$A$492,"PARTNER-M002"))</x:f>
        <x:v>360000</x:v>
      </x:c>
      <x:c r="M2850" s="17" t="n">
        <x:f>ROUND(L2850*'Costing'!$C$4,2)</x:f>
        <x:v>64800</x:v>
      </x:c>
      <x:c r="N2850" s="17" t="n">
        <x:f>L2850+M2850</x:f>
        <x:v>424800</x:v>
      </x:c>
      <x:c r="O2850" s="12" t="str">
        <x:v>Bengaluru</x:v>
      </x:c>
      <x:c r="P2850" s="12" t="str">
        <x:v>CORP-0420, CORP-0421, CORP-0422, CORP-0423, CORP-0424, CORP-0425, CORP-0426, CORP-0427, CORP-0428</x:v>
      </x:c>
      <x:c r="Q2850" s="12" t="str">
        <x:v>Zenmonics Software</x:v>
      </x:c>
    </x:row>
    <x:row r="2851" ht="48" customHeight="1">
      <x:c r="A2851" s="2" t="str">
        <x:v>TEN-F2F36505A5A1</x:v>
      </x:c>
      <x:c r="B2851" s="12" t="str">
        <x:v>Zenox Gas Systems Pvt Ltd</x:v>
      </x:c>
      <x:c r="C2851" s="12" t="str">
        <x:v>Business / brand</x:v>
      </x:c>
      <x:c r="D2851" s="12" t="str">
        <x:v>Engineering &amp; manufacturing</x:v>
      </x:c>
      <x:c r="E2851" s="12" t="str">
        <x:v>Energy, electrical &amp; industrial systems</x:v>
      </x:c>
      <x:c r="F2851" s="12" t="str">
        <x:v>Medium-scale prospects</x:v>
      </x:c>
      <x:c r="G2851" s="12" t="str">
        <x:v>Specialist industrial or engineering business; medium-scale prospect assumption.</x:v>
      </x:c>
      <x:c r="H2851" s="11" t="n">
        <x:v>1</x:v>
      </x:c>
      <x:c r="I2851" s="11" t="n">
        <x:v>4</x:v>
      </x:c>
      <x:c r="J2851" s="11" t="n">
        <x:v>4</x:v>
      </x:c>
      <x:c r="K2851" s="11" t="n">
        <x:v>0</x:v>
      </x:c>
      <x:c r="L2851" s="17" t="n">
        <x:f>SUM(SUMIFS('Costing'!$P$9:$P$492,'Costing'!$A$9:$A$492,"MAIN-151"))</x:f>
        <x:v>160000</x:v>
      </x:c>
      <x:c r="M2851" s="17" t="n">
        <x:f>ROUND(L2851*'Costing'!$C$4,2)</x:f>
        <x:v>28800</x:v>
      </x:c>
      <x:c r="N2851" s="17" t="n">
        <x:f>L2851+M2851</x:f>
        <x:v>188800</x:v>
      </x:c>
      <x:c r="O2851" s="12" t="str">
        <x:v>Chennai</x:v>
      </x:c>
      <x:c r="P2851" s="12" t="str">
        <x:v>CORP-0147</x:v>
      </x:c>
      <x:c r="Q2851" s="12" t="str">
        <x:v>Zenox Gas Systems Pvt Ltd</x:v>
      </x:c>
    </x:row>
    <x:row r="2852" ht="48" customHeight="1">
      <x:c r="A2852" s="2" t="str">
        <x:v>TEN-6A50CCC096D5</x:v>
      </x:c>
      <x:c r="B2852" s="12" t="str">
        <x:v>Zensar</x:v>
      </x:c>
      <x:c r="C2852" s="12" t="str">
        <x:v>Business / brand</x:v>
      </x:c>
      <x:c r="D2852" s="12" t="str">
        <x:v>IT &amp; digital</x:v>
      </x:c>
      <x:c r="E2852" s="12" t="str">
        <x:v>Technology services — specialty unverified</x:v>
      </x:c>
      <x:c r="F2852" s="12" t="str">
        <x:v>Mixed business audience</x:v>
      </x:c>
      <x:c r="G2852" s="12" t="str">
        <x:v>Recognisable business context; company-scale evidence remains insufficient for a single size band.</x:v>
      </x:c>
      <x:c r="H2852" s="11" t="n">
        <x:v>1</x:v>
      </x:c>
      <x:c r="I2852" s="11" t="n">
        <x:v>7</x:v>
      </x:c>
      <x:c r="J2852" s="11" t="n">
        <x:v>7</x:v>
      </x:c>
      <x:c r="K2852" s="11" t="n">
        <x:v>0</x:v>
      </x:c>
      <x:c r="L2852" s="17" t="n">
        <x:f>SUM(SUMIFS('Costing'!$P$9:$P$492,'Costing'!$A$9:$A$492,"MAIN-398"))</x:f>
        <x:v>105000</x:v>
      </x:c>
      <x:c r="M2852" s="17" t="n">
        <x:f>ROUND(L2852*'Costing'!$C$4,2)</x:f>
        <x:v>18900</x:v>
      </x:c>
      <x:c r="N2852" s="17" t="n">
        <x:f>L2852+M2852</x:f>
        <x:v>123900</x:v>
      </x:c>
      <x:c r="O2852" s="12" t="str">
        <x:v>Pune</x:v>
      </x:c>
      <x:c r="P2852" s="12" t="str">
        <x:v>CORP-0394</x:v>
      </x:c>
      <x:c r="Q2852" s="12" t="str">
        <x:v>Zensar</x:v>
      </x:c>
    </x:row>
    <x:row r="2853" ht="48" customHeight="1">
      <x:c r="A2853" s="2" t="str">
        <x:v>TEN-8AD337DA4F25</x:v>
      </x:c>
      <x:c r="B2853" s="12" t="str">
        <x:v>Zensar Technologies Ltd</x:v>
      </x:c>
      <x:c r="C2853" s="12" t="str">
        <x:v>Business / brand</x:v>
      </x:c>
      <x:c r="D2853" s="12" t="str">
        <x:v>IT &amp; digital</x:v>
      </x:c>
      <x:c r="E2853" s="12" t="str">
        <x:v>Technology services — specialty unverified</x:v>
      </x:c>
      <x:c r="F2853" s="12" t="str">
        <x:v>Mixed business audience</x:v>
      </x:c>
      <x:c r="G2853" s="12" t="str">
        <x:v>Recognisable business context; company-scale evidence remains insufficient for a single size band.</x:v>
      </x:c>
      <x:c r="H2853" s="11" t="n">
        <x:v>1</x:v>
      </x:c>
      <x:c r="I2853" s="11" t="n">
        <x:v>2</x:v>
      </x:c>
      <x:c r="J2853" s="11" t="n">
        <x:v>2</x:v>
      </x:c>
      <x:c r="K2853" s="11" t="n">
        <x:v>0</x:v>
      </x:c>
      <x:c r="L2853" s="17" t="n">
        <x:f>SUM(SUMIFS('Costing'!$P$9:$P$492,'Costing'!$A$9:$A$492,"MAIN-017"))</x:f>
        <x:v>30000</x:v>
      </x:c>
      <x:c r="M2853" s="17" t="n">
        <x:f>ROUND(L2853*'Costing'!$C$4,2)</x:f>
        <x:v>5400</x:v>
      </x:c>
      <x:c r="N2853" s="17" t="n">
        <x:f>L2853+M2853</x:f>
        <x:v>35400</x:v>
      </x:c>
      <x:c r="O2853" s="12" t="str">
        <x:v>Bengaluru</x:v>
      </x:c>
      <x:c r="P2853" s="12" t="str">
        <x:v>CORP-0013</x:v>
      </x:c>
      <x:c r="Q2853" s="12" t="str">
        <x:v>Zensar Technologies Ltd</x:v>
      </x:c>
    </x:row>
    <x:row r="2854" ht="48" customHeight="1">
      <x:c r="A2854" s="2" t="str">
        <x:v>TEN-CEEB417D463A</x:v>
      </x:c>
      <x:c r="B2854" s="12" t="str">
        <x:v>ZenTrades India</x:v>
      </x:c>
      <x:c r="C2854" s="12" t="str">
        <x:v>Business / brand</x:v>
      </x:c>
      <x:c r="D2854" s="12" t="str">
        <x:v>IT &amp; digital</x:v>
      </x:c>
      <x:c r="E2854" s="12" t="str">
        <x:v>Enterprise software &amp; digital engineering</x:v>
      </x:c>
      <x:c r="F2854" s="12" t="str">
        <x:v>Small-scale prospects</x:v>
      </x:c>
      <x:c r="G2854" s="12" t="str">
        <x:v>Software or technology-services business; small-scale prospect assumption.</x:v>
      </x:c>
      <x:c r="H2854" s="11" t="n">
        <x:v>4</x:v>
      </x:c>
      <x:c r="I2854" s="11" t="n">
        <x:v>4</x:v>
      </x:c>
      <x:c r="J2854" s="11" t="n">
        <x:v>4</x:v>
      </x:c>
      <x:c r="K2854" s="11" t="n">
        <x:v>0</x:v>
      </x:c>
      <x:c r="L2854" s="17" t="n">
        <x:f>SUM(SUMIFS('Costing'!$P$9:$P$492,'Costing'!$A$9:$A$492,"PARTNER-M273"))</x:f>
        <x:v>160000</x:v>
      </x:c>
      <x:c r="M2854" s="17" t="n">
        <x:f>ROUND(L2854*'Costing'!$C$4,2)</x:f>
        <x:v>28800</x:v>
      </x:c>
      <x:c r="N2854" s="17" t="n">
        <x:f>L2854+M2854</x:f>
        <x:v>188800</x:v>
      </x:c>
      <x:c r="O2854" s="12" t="str">
        <x:v>Pune</x:v>
      </x:c>
      <x:c r="P2854" s="12" t="str">
        <x:v>CORP-0689, CORP-0690, CORP-0691, CORP-0692</x:v>
      </x:c>
      <x:c r="Q2854" s="12" t="str">
        <x:v>ZenTrades India</x:v>
      </x:c>
    </x:row>
    <x:row r="2855" ht="48" customHeight="1">
      <x:c r="A2855" s="2" t="str">
        <x:v>TEN-958F32C11ABB</x:v>
      </x:c>
      <x:c r="B2855" s="12" t="str">
        <x:v>ZeroStack Inc</x:v>
      </x:c>
      <x:c r="C2855" s="12" t="str">
        <x:v>Business / brand</x:v>
      </x:c>
      <x:c r="D2855" s="12" t="str">
        <x:v>IT &amp; digital</x:v>
      </x:c>
      <x:c r="E2855" s="12" t="str">
        <x:v>Cybersecurity &amp; cloud infrastructure</x:v>
      </x:c>
      <x:c r="F2855" s="12" t="str">
        <x:v>Small-scale prospects</x:v>
      </x:c>
      <x:c r="G2855" s="12" t="str">
        <x:v>Software or technology-services business; small-scale prospect assumption.</x:v>
      </x:c>
      <x:c r="H2855" s="11" t="n">
        <x:v>3</x:v>
      </x:c>
      <x:c r="I2855" s="11" t="n">
        <x:v>3</x:v>
      </x:c>
      <x:c r="J2855" s="11" t="n">
        <x:v>3</x:v>
      </x:c>
      <x:c r="K2855" s="11" t="n">
        <x:v>0</x:v>
      </x:c>
      <x:c r="L2855" s="17" t="n">
        <x:f>SUM(SUMIFS('Costing'!$P$9:$P$492,'Costing'!$A$9:$A$492,"PARTNER-M166"))</x:f>
        <x:v>120000</x:v>
      </x:c>
      <x:c r="M2855" s="17" t="n">
        <x:f>ROUND(L2855*'Costing'!$C$4,2)</x:f>
        <x:v>21600</x:v>
      </x:c>
      <x:c r="N2855" s="17" t="n">
        <x:f>L2855+M2855</x:f>
        <x:v>141600</x:v>
      </x:c>
      <x:c r="O2855" s="12" t="str">
        <x:v>Bengaluru</x:v>
      </x:c>
      <x:c r="P2855" s="12" t="str">
        <x:v>CORP-0584, CORP-0585, CORP-0586</x:v>
      </x:c>
      <x:c r="Q2855" s="12" t="str">
        <x:v>ZeroStack Inc</x:v>
      </x:c>
    </x:row>
    <x:row r="2856" ht="62" customHeight="1">
      <x:c r="A2856" s="2" t="str">
        <x:v>TEN-5CC10D9143B2</x:v>
      </x:c>
      <x:c r="B2856" s="12" t="str">
        <x:v>Zeta</x:v>
      </x:c>
      <x:c r="C2856" s="12" t="str">
        <x:v>Business / brand</x:v>
      </x:c>
      <x:c r="D2856" s="12" t="str">
        <x:v>Finance &amp; insurance</x:v>
      </x:c>
      <x:c r="E2856" s="12" t="str">
        <x:v>Payments &amp; financial technology</x:v>
      </x:c>
      <x:c r="F2856" s="12" t="str">
        <x:v>Large enterprise</x:v>
      </x:c>
      <x:c r="G2856" s="12" t="str">
        <x:v>Zeta's official fintech profile reports 1,700+ employees, operations across seven countries and more than 25 million cards on its platforms. The supplied Finance and insurance context supports this fintech-brand match.</x:v>
      </x:c>
      <x:c r="H2856" s="11" t="n">
        <x:v>2</x:v>
      </x:c>
      <x:c r="I2856" s="11" t="n">
        <x:v>36</x:v>
      </x:c>
      <x:c r="J2856" s="11" t="n">
        <x:v>36</x:v>
      </x:c>
      <x:c r="K2856" s="11" t="n">
        <x:v>0</x:v>
      </x:c>
      <x:c r="L2856" s="17" t="n">
        <x:f>SUM(SUMIFS('Costing'!$P$9:$P$492,'Costing'!$A$9:$A$492,"MAIN-235"),SUMIFS('Costing'!$P$9:$P$492,'Costing'!$A$9:$A$492,"MAIN-236"))</x:f>
        <x:v>765000</x:v>
      </x:c>
      <x:c r="M2856" s="17" t="n">
        <x:f>ROUND(L2856*'Costing'!$C$4,2)</x:f>
        <x:v>137700</x:v>
      </x:c>
      <x:c r="N2856" s="17" t="n">
        <x:f>L2856+M2856</x:f>
        <x:v>902700</x:v>
      </x:c>
      <x:c r="O2856" s="12" t="str">
        <x:v>Hyderabad</x:v>
      </x:c>
      <x:c r="P2856" s="12" t="str">
        <x:v>CORP-0231, CORP-0232</x:v>
      </x:c>
      <x:c r="Q2856" s="12" t="str">
        <x:v>Zeta</x:v>
      </x:c>
    </x:row>
    <x:row r="2857" ht="48" customHeight="1">
      <x:c r="A2857" s="2" t="str">
        <x:v>TEN-1A76EBA762D9</x:v>
      </x:c>
      <x:c r="B2857" s="12" t="str">
        <x:v>Ziff Davis Performance Marketing</x:v>
      </x:c>
      <x:c r="C2857" s="12" t="str">
        <x:v>Business / brand</x:v>
      </x:c>
      <x:c r="D2857" s="12" t="str">
        <x:v>Professional services</x:v>
      </x:c>
      <x:c r="E2857" s="12" t="str">
        <x:v>Marketing, media &amp; research services</x:v>
      </x:c>
      <x:c r="F2857" s="12" t="str">
        <x:v>Mixed business audience</x:v>
      </x:c>
      <x:c r="G2857" s="12" t="str">
        <x:v>Established brand or business network; local company scale is not established. Use a mixed-business message.</x:v>
      </x:c>
      <x:c r="H2857" s="11" t="n">
        <x:v>1</x:v>
      </x:c>
      <x:c r="I2857" s="11" t="n">
        <x:v>4</x:v>
      </x:c>
      <x:c r="J2857" s="11" t="n">
        <x:v>4</x:v>
      </x:c>
      <x:c r="K2857" s="11" t="n">
        <x:v>0</x:v>
      </x:c>
      <x:c r="L2857" s="17" t="n">
        <x:f>SUM(SUMIFS('Costing'!$P$9:$P$492,'Costing'!$A$9:$A$492,"MAIN-381"))</x:f>
        <x:v>80000</x:v>
      </x:c>
      <x:c r="M2857" s="17" t="n">
        <x:f>ROUND(L2857*'Costing'!$C$4,2)</x:f>
        <x:v>14400</x:v>
      </x:c>
      <x:c r="N2857" s="17" t="n">
        <x:f>L2857+M2857</x:f>
        <x:v>94400</x:v>
      </x:c>
      <x:c r="O2857" s="12" t="str">
        <x:v>Pune</x:v>
      </x:c>
      <x:c r="P2857" s="12" t="str">
        <x:v>CORP-0377</x:v>
      </x:c>
      <x:c r="Q2857" s="12" t="str">
        <x:v>Ziff Davis Performance Marketing</x:v>
      </x:c>
    </x:row>
    <x:row r="2858" ht="48" customHeight="1">
      <x:c r="A2858" s="2" t="str">
        <x:v>TEN-5F9D50990EA1</x:v>
      </x:c>
      <x:c r="B2858" s="12" t="str">
        <x:v>Zinner</x:v>
      </x:c>
      <x:c r="C2858" s="12" t="str">
        <x:v>Business / brand</x:v>
      </x:c>
      <x:c r="D2858" s="12" t="str">
        <x:v>Unresolved</x:v>
      </x:c>
      <x:c r="E2858" s="12" t="str">
        <x:v>Business activity not established</x:v>
      </x:c>
      <x:c r="F2858" s="12" t="str">
        <x:v>Mixed business audience</x:v>
      </x:c>
      <x:c r="G2858" s="12" t="str">
        <x:v>Business activity and company scale are not established from this name.</x:v>
      </x:c>
      <x:c r="H2858" s="11" t="n">
        <x:v>1</x:v>
      </x:c>
      <x:c r="I2858" s="11" t="n">
        <x:v>2</x:v>
      </x:c>
      <x:c r="J2858" s="11" t="n">
        <x:v>2</x:v>
      </x:c>
      <x:c r="K2858" s="11" t="n">
        <x:v>0</x:v>
      </x:c>
      <x:c r="L2858" s="17" t="n">
        <x:f>SUM(SUMIFS('Costing'!$P$9:$P$492,'Costing'!$A$9:$A$492,"MAIN-069"))</x:f>
        <x:v>30000</x:v>
      </x:c>
      <x:c r="M2858" s="17" t="n">
        <x:f>ROUND(L2858*'Costing'!$C$4,2)</x:f>
        <x:v>5400</x:v>
      </x:c>
      <x:c r="N2858" s="17" t="n">
        <x:f>L2858+M2858</x:f>
        <x:v>35400</x:v>
      </x:c>
      <x:c r="O2858" s="12" t="str">
        <x:v>Bengaluru</x:v>
      </x:c>
      <x:c r="P2858" s="12" t="str">
        <x:v>CORP-0065</x:v>
      </x:c>
      <x:c r="Q2858" s="12" t="str">
        <x:v>Zinner</x:v>
      </x:c>
    </x:row>
    <x:row r="2859" ht="48" customHeight="1">
      <x:c r="A2859" s="2" t="str">
        <x:v>TEN-E5D3BFD31881</x:v>
      </x:c>
      <x:c r="B2859" s="12" t="str">
        <x:v>Zoapi Innovations</x:v>
      </x:c>
      <x:c r="C2859" s="12" t="str">
        <x:v>Business / brand</x:v>
      </x:c>
      <x:c r="D2859" s="12" t="str">
        <x:v>IT &amp; digital</x:v>
      </x:c>
      <x:c r="E2859" s="12" t="str">
        <x:v>Enterprise software &amp; digital engineering</x:v>
      </x:c>
      <x:c r="F2859" s="12" t="str">
        <x:v>Small-scale prospects</x:v>
      </x:c>
      <x:c r="G2859" s="12" t="str">
        <x:v>Software or technology-services business; small-scale prospect assumption.</x:v>
      </x:c>
      <x:c r="H2859" s="11" t="n">
        <x:v>1</x:v>
      </x:c>
      <x:c r="I2859" s="11" t="n">
        <x:v>5</x:v>
      </x:c>
      <x:c r="J2859" s="11" t="n">
        <x:v>5</x:v>
      </x:c>
      <x:c r="K2859" s="11" t="n">
        <x:v>0</x:v>
      </x:c>
      <x:c r="L2859" s="17" t="n">
        <x:f>SUM(SUMIFS('Costing'!$P$9:$P$492,'Costing'!$A$9:$A$492,"MAIN-127"))</x:f>
        <x:v>125000</x:v>
      </x:c>
      <x:c r="M2859" s="17" t="n">
        <x:f>ROUND(L2859*'Costing'!$C$4,2)</x:f>
        <x:v>22500</x:v>
      </x:c>
      <x:c r="N2859" s="17" t="n">
        <x:f>L2859+M2859</x:f>
        <x:v>147500</x:v>
      </x:c>
      <x:c r="O2859" s="12" t="str">
        <x:v>Bengaluru</x:v>
      </x:c>
      <x:c r="P2859" s="12" t="str">
        <x:v>CORP-0123</x:v>
      </x:c>
      <x:c r="Q2859" s="12" t="str">
        <x:v>Zoapi Innovations</x:v>
      </x:c>
    </x:row>
    <x:row r="2860" ht="48" customHeight="1">
      <x:c r="A2860" s="2" t="str">
        <x:v>TEN-4A3892E5BC96</x:v>
      </x:c>
      <x:c r="B2860" s="12" t="str">
        <x:v>Zomato</x:v>
      </x:c>
      <x:c r="C2860" s="12" t="str">
        <x:v>Business / brand</x:v>
      </x:c>
      <x:c r="D2860" s="12" t="str">
        <x:v>Trade, consumer &amp; logistics</x:v>
      </x:c>
      <x:c r="E2860" s="12" t="str">
        <x:v>Travel, hospitality, food &amp; beverages</x:v>
      </x:c>
      <x:c r="F2860" s="12" t="str">
        <x:v>Mixed business audience</x:v>
      </x:c>
      <x:c r="G2860" s="12" t="str">
        <x:v>Recognisable business context; company-scale evidence remains insufficient for a single size band.</x:v>
      </x:c>
      <x:c r="H2860" s="11" t="n">
        <x:v>1</x:v>
      </x:c>
      <x:c r="I2860" s="11" t="n">
        <x:v>2</x:v>
      </x:c>
      <x:c r="J2860" s="11" t="n">
        <x:v>2</x:v>
      </x:c>
      <x:c r="K2860" s="11" t="n">
        <x:v>0</x:v>
      </x:c>
      <x:c r="L2860" s="17" t="n">
        <x:f>SUM(SUMIFS('Costing'!$P$9:$P$492,'Costing'!$A$9:$A$492,"MAIN-158"))</x:f>
        <x:v>40000</x:v>
      </x:c>
      <x:c r="M2860" s="17" t="n">
        <x:f>ROUND(L2860*'Costing'!$C$4,2)</x:f>
        <x:v>7200</x:v>
      </x:c>
      <x:c r="N2860" s="17" t="n">
        <x:f>L2860+M2860</x:f>
        <x:v>47200</x:v>
      </x:c>
      <x:c r="O2860" s="12" t="str">
        <x:v>Chennai</x:v>
      </x:c>
      <x:c r="P2860" s="12" t="str">
        <x:v>CORP-0154</x:v>
      </x:c>
      <x:c r="Q2860" s="12" t="str">
        <x:v>Zomato</x:v>
      </x:c>
    </x:row>
    <x:row r="2861" ht="48" customHeight="1">
      <x:c r="A2861" s="2" t="str">
        <x:v>TEN-E5180142EA22</x:v>
      </x:c>
      <x:c r="B2861" s="12" t="str">
        <x:v>ZoomedInPixel Comunication Pvt Ltd</x:v>
      </x:c>
      <x:c r="C2861" s="12" t="str">
        <x:v>Business / brand</x:v>
      </x:c>
      <x:c r="D2861" s="12" t="str">
        <x:v>Unresolved</x:v>
      </x:c>
      <x:c r="E2861" s="12" t="str">
        <x:v>Business activity not established</x:v>
      </x:c>
      <x:c r="F2861" s="12" t="str">
        <x:v>Mixed business audience</x:v>
      </x:c>
      <x:c r="G2861" s="12" t="str">
        <x:v>Business activity and company scale are not established from this name.</x:v>
      </x:c>
      <x:c r="H2861" s="11" t="n">
        <x:v>1</x:v>
      </x:c>
      <x:c r="I2861" s="11" t="n">
        <x:v>5</x:v>
      </x:c>
      <x:c r="J2861" s="11" t="n">
        <x:v>5</x:v>
      </x:c>
      <x:c r="K2861" s="11" t="n">
        <x:v>0</x:v>
      </x:c>
      <x:c r="L2861" s="17" t="n">
        <x:f>SUM(SUMIFS('Costing'!$P$9:$P$492,'Costing'!$A$9:$A$492,"MAIN-287"))</x:f>
        <x:v>75000</x:v>
      </x:c>
      <x:c r="M2861" s="17" t="n">
        <x:f>ROUND(L2861*'Costing'!$C$4,2)</x:f>
        <x:v>13500</x:v>
      </x:c>
      <x:c r="N2861" s="17" t="n">
        <x:f>L2861+M2861</x:f>
        <x:v>88500</x:v>
      </x:c>
      <x:c r="O2861" s="12" t="str">
        <x:v>Kolkata</x:v>
      </x:c>
      <x:c r="P2861" s="12" t="str">
        <x:v>CORP-0283</x:v>
      </x:c>
      <x:c r="Q2861" s="12" t="str">
        <x:v>ZoomedInPixel Comunication Pvt Ltd</x:v>
      </x:c>
    </x:row>
    <x:row r="2862" ht="48" customHeight="1">
      <x:c r="A2862" s="2" t="str">
        <x:v>TEN-127B47622F3A</x:v>
      </x:c>
      <x:c r="B2862" s="12" t="str">
        <x:v>ZTE INDIA</x:v>
      </x:c>
      <x:c r="C2862" s="12" t="str">
        <x:v>Business / brand</x:v>
      </x:c>
      <x:c r="D2862" s="12" t="str">
        <x:v>Engineering &amp; manufacturing</x:v>
      </x:c>
      <x:c r="E2862" s="12" t="str">
        <x:v>Electronics, industrial systems &amp; manufacturing</x:v>
      </x:c>
      <x:c r="F2862" s="12" t="str">
        <x:v>Mixed business audience</x:v>
      </x:c>
      <x:c r="G2862" s="12" t="str">
        <x:v>Established brand or business network; local company scale is not established. Use a mixed-business message.</x:v>
      </x:c>
      <x:c r="H2862" s="11" t="n">
        <x:v>10</x:v>
      </x:c>
      <x:c r="I2862" s="11" t="n">
        <x:v>10</x:v>
      </x:c>
      <x:c r="J2862" s="11" t="n">
        <x:v>10</x:v>
      </x:c>
      <x:c r="K2862" s="11" t="n">
        <x:v>0</x:v>
      </x:c>
      <x:c r="L2862" s="17" t="n">
        <x:f>SUM(SUMIFS('Costing'!$P$9:$P$492,'Costing'!$A$9:$A$492,"PARTNER-M205"))</x:f>
        <x:v>400000</x:v>
      </x:c>
      <x:c r="M2862" s="17" t="n">
        <x:f>ROUND(L2862*'Costing'!$C$4,2)</x:f>
        <x:v>72000</x:v>
      </x:c>
      <x:c r="N2862" s="17" t="n">
        <x:f>L2862+M2862</x:f>
        <x:v>472000</x:v>
      </x:c>
      <x:c r="O2862" s="12" t="str">
        <x:v>Mumbai</x:v>
      </x:c>
      <x:c r="P2862" s="12" t="str">
        <x:v>CORP-0622, CORP-0623, CORP-0624, CORP-0625, CORP-0626, CORP-0627, CORP-0628, CORP-0629, CORP-0630, CORP-0631</x:v>
      </x:c>
      <x:c r="Q2862" s="12" t="str">
        <x:v>ZTE INDIA</x:v>
      </x:c>
    </x:row>
    <x:row r="2863" ht="48" customHeight="1">
      <x:c r="A2863" s="2" t="str">
        <x:v>TEN-068C60202969</x:v>
      </x:c>
      <x:c r="B2863" s="12" t="str">
        <x:v>ZUBDHA PRIVATE LIMITED</x:v>
      </x:c>
      <x:c r="C2863" s="12" t="str">
        <x:v>Business / brand</x:v>
      </x:c>
      <x:c r="D2863" s="12" t="str">
        <x:v>Unresolved</x:v>
      </x:c>
      <x:c r="E2863" s="12" t="str">
        <x:v>Business activity not established</x:v>
      </x:c>
      <x:c r="F2863" s="12" t="str">
        <x:v>Mixed business audience</x:v>
      </x:c>
      <x:c r="G2863" s="12" t="str">
        <x:v>Business activity and company scale are not established from this name.</x:v>
      </x:c>
      <x:c r="H2863" s="11" t="n">
        <x:v>1</x:v>
      </x:c>
      <x:c r="I2863" s="11" t="n">
        <x:v>6</x:v>
      </x:c>
      <x:c r="J2863" s="11" t="n">
        <x:v>6</x:v>
      </x:c>
      <x:c r="K2863" s="11" t="n">
        <x:v>0</x:v>
      </x:c>
      <x:c r="L2863" s="17" t="n">
        <x:f>SUM(SUMIFS('Costing'!$P$9:$P$492,'Costing'!$A$9:$A$492,"MAIN-373"))</x:f>
        <x:v>240000</x:v>
      </x:c>
      <x:c r="M2863" s="17" t="n">
        <x:f>ROUND(L2863*'Costing'!$C$4,2)</x:f>
        <x:v>43200</x:v>
      </x:c>
      <x:c r="N2863" s="17" t="n">
        <x:f>L2863+M2863</x:f>
        <x:v>283200</x:v>
      </x:c>
      <x:c r="O2863" s="12" t="str">
        <x:v>Delhi NCR</x:v>
      </x:c>
      <x:c r="P2863" s="12" t="str">
        <x:v>CORP-0369</x:v>
      </x:c>
      <x:c r="Q2863" s="12" t="str">
        <x:v>ZUBDHA PRIVATE LIMITED</x:v>
      </x:c>
    </x:row>
    <x:row r="2864" ht="48" customHeight="1">
      <x:c r="A2864" s="2" t="str">
        <x:v>TEN-01C854795E61</x:v>
      </x:c>
      <x:c r="B2864" s="12" t="str">
        <x:v>Zudio</x:v>
      </x:c>
      <x:c r="C2864" s="12" t="str">
        <x:v>Business / brand</x:v>
      </x:c>
      <x:c r="D2864" s="12" t="str">
        <x:v>Trade, consumer &amp; logistics</x:v>
      </x:c>
      <x:c r="E2864" s="12" t="str">
        <x:v>Consumer/trade services — specialty unverified</x:v>
      </x:c>
      <x:c r="F2864" s="12" t="str">
        <x:v>Large enterprise</x:v>
      </x:c>
      <x:c r="G2864" s="12" t="str">
        <x:v>Explicit Tata enterprise-family context; see ENTERPRISE_SUPP_006 evidence.</x:v>
      </x:c>
      <x:c r="H2864" s="11" t="n">
        <x:v>1</x:v>
      </x:c>
      <x:c r="I2864" s="11" t="n">
        <x:v>1</x:v>
      </x:c>
      <x:c r="J2864" s="11" t="n">
        <x:v>1</x:v>
      </x:c>
      <x:c r="K2864" s="11" t="n">
        <x:v>0</x:v>
      </x:c>
      <x:c r="L2864" s="17" t="n">
        <x:f>SUM(SUMIFS('Costing'!$P$9:$P$492,'Costing'!$A$9:$A$492,"MAIN-269"))</x:f>
        <x:v>40000</x:v>
      </x:c>
      <x:c r="M2864" s="17" t="n">
        <x:f>ROUND(L2864*'Costing'!$C$4,2)</x:f>
        <x:v>7200</x:v>
      </x:c>
      <x:c r="N2864" s="17" t="n">
        <x:f>L2864+M2864</x:f>
        <x:v>47200</x:v>
      </x:c>
      <x:c r="O2864" s="12" t="str">
        <x:v>Indore</x:v>
      </x:c>
      <x:c r="P2864" s="12" t="str">
        <x:v>CORP-0265</x:v>
      </x:c>
      <x:c r="Q2864" s="12" t="str">
        <x:v>Zudio</x:v>
      </x:c>
    </x:row>
    <x:row r="2865" ht="48" customHeight="1">
      <x:c r="A2865" s="2" t="str">
        <x:v>TEN-B48CAF277BCF</x:v>
      </x:c>
      <x:c r="B2865" s="12" t="str">
        <x:v>Zuora India Private Limited</x:v>
      </x:c>
      <x:c r="C2865" s="12" t="str">
        <x:v>Business / brand</x:v>
      </x:c>
      <x:c r="D2865" s="12" t="str">
        <x:v>IT &amp; digital</x:v>
      </x:c>
      <x:c r="E2865" s="12" t="str">
        <x:v>Enterprise software &amp; digital engineering</x:v>
      </x:c>
      <x:c r="F2865" s="12" t="str">
        <x:v>Mixed business audience</x:v>
      </x:c>
      <x:c r="G2865" s="12" t="str">
        <x:v>Established brand or business network; local company scale is not established. Use a mixed-business message.</x:v>
      </x:c>
      <x:c r="H2865" s="11" t="n">
        <x:v>6</x:v>
      </x:c>
      <x:c r="I2865" s="11" t="n">
        <x:v>6</x:v>
      </x:c>
      <x:c r="J2865" s="11" t="n">
        <x:v>6</x:v>
      </x:c>
      <x:c r="K2865" s="11" t="n">
        <x:v>0</x:v>
      </x:c>
      <x:c r="L2865" s="17" t="n">
        <x:f>SUM(SUMIFS('Costing'!$P$9:$P$492,'Costing'!$A$9:$A$492,"PARTNER-M325"))</x:f>
        <x:v>240000</x:v>
      </x:c>
      <x:c r="M2865" s="17" t="n">
        <x:f>ROUND(L2865*'Costing'!$C$4,2)</x:f>
        <x:v>43200</x:v>
      </x:c>
      <x:c r="N2865" s="17" t="n">
        <x:f>L2865+M2865</x:f>
        <x:v>283200</x:v>
      </x:c>
      <x:c r="O2865" s="12" t="str">
        <x:v>Chennai</x:v>
      </x:c>
      <x:c r="P2865" s="12" t="str">
        <x:v>CORP-0739, CORP-0740, CORP-0741, CORP-0742, CORP-0743, CORP-0744</x:v>
      </x:c>
      <x:c r="Q2865" s="12" t="str">
        <x:v>Zuora India Private Limited</x:v>
      </x:c>
    </x:row>
    <x:row r="2866" ht="48" customHeight="1">
      <x:c r="A2866" s="2" t="str">
        <x:v>TEN-7CA58AD857DB</x:v>
      </x:c>
      <x:c r="B2866" s="12" t="str">
        <x:v>Zyeus</x:v>
      </x:c>
      <x:c r="C2866" s="12" t="str">
        <x:v>Business / brand</x:v>
      </x:c>
      <x:c r="D2866" s="12" t="str">
        <x:v>Unresolved</x:v>
      </x:c>
      <x:c r="E2866" s="12" t="str">
        <x:v>Business activity not established</x:v>
      </x:c>
      <x:c r="F2866" s="12" t="str">
        <x:v>Mixed business audience</x:v>
      </x:c>
      <x:c r="G2866" s="12" t="str">
        <x:v>Business activity and company scale are not established from this name.</x:v>
      </x:c>
      <x:c r="H2866" s="11" t="n">
        <x:v>10</x:v>
      </x:c>
      <x:c r="I2866" s="11" t="n">
        <x:v>10</x:v>
      </x:c>
      <x:c r="J2866" s="11" t="n">
        <x:v>10</x:v>
      </x:c>
      <x:c r="K2866" s="11" t="n">
        <x:v>0</x:v>
      </x:c>
      <x:c r="L2866" s="17" t="n">
        <x:f>SUM(SUMIFS('Costing'!$P$9:$P$492,'Costing'!$A$9:$A$492,"PARTNER-M120"))</x:f>
        <x:v>400000</x:v>
      </x:c>
      <x:c r="M2866" s="17" t="n">
        <x:f>ROUND(L2866*'Costing'!$C$4,2)</x:f>
        <x:v>72000</x:v>
      </x:c>
      <x:c r="N2866" s="17" t="n">
        <x:f>L2866+M2866</x:f>
        <x:v>472000</x:v>
      </x:c>
      <x:c r="O2866" s="12" t="str">
        <x:v>Bengaluru</x:v>
      </x:c>
      <x:c r="P2866" s="12" t="str">
        <x:v>CORP-0538, CORP-0539, CORP-0540, CORP-0541, CORP-0542, CORP-0543, CORP-0544, CORP-0545, CORP-0546, CORP-0547</x:v>
      </x:c>
      <x:c r="Q2866" s="12" t="str">
        <x:v>Zyeus</x:v>
      </x:c>
    </x:row>
    <x:row r="2867" ht="48" customHeight="1">
      <x:c r="A2867" s="2" t="str">
        <x:v>TEN-854944265FFF</x:v>
      </x:c>
      <x:c r="B2867" s="12" t="str">
        <x:v>Zyoin</x:v>
      </x:c>
      <x:c r="C2867" s="12" t="str">
        <x:v>Business / brand</x:v>
      </x:c>
      <x:c r="D2867" s="12" t="str">
        <x:v>Professional services</x:v>
      </x:c>
      <x:c r="E2867" s="12" t="str">
        <x:v>Recruitment, HR &amp; staffing</x:v>
      </x:c>
      <x:c r="F2867" s="12" t="str">
        <x:v>Small-scale prospects</x:v>
      </x:c>
      <x:c r="G2867" s="12" t="str">
        <x:v>Professional service, agency or advisory model; small-scale prospect assumption.</x:v>
      </x:c>
      <x:c r="H2867" s="11" t="n">
        <x:v>1</x:v>
      </x:c>
      <x:c r="I2867" s="11" t="n">
        <x:v>2</x:v>
      </x:c>
      <x:c r="J2867" s="11" t="n">
        <x:v>2</x:v>
      </x:c>
      <x:c r="K2867" s="11" t="n">
        <x:v>0</x:v>
      </x:c>
      <x:c r="L2867" s="17" t="n">
        <x:f>SUM(SUMIFS('Costing'!$P$9:$P$492,'Costing'!$A$9:$A$492,"MAIN-102"))</x:f>
        <x:v>30000</x:v>
      </x:c>
      <x:c r="M2867" s="17" t="n">
        <x:f>ROUND(L2867*'Costing'!$C$4,2)</x:f>
        <x:v>5400</x:v>
      </x:c>
      <x:c r="N2867" s="17" t="n">
        <x:f>L2867+M2867</x:f>
        <x:v>35400</x:v>
      </x:c>
      <x:c r="O2867" s="12" t="str">
        <x:v>Bengaluru</x:v>
      </x:c>
      <x:c r="P2867" s="12" t="str">
        <x:v>CORP-0098</x:v>
      </x:c>
      <x:c r="Q2867" s="12" t="str">
        <x:v>Zyoin</x:v>
      </x:c>
    </x:row>
  </x:sheetData>
  <x:pageMargins left="0.7" right="0.7" top="0.75" bottom="0.75" header="0.3" footer="0.3"/>
  <x:tableParts count="1">
    <x:tablePart xmlns:r="http://schemas.openxmlformats.org/officeDocument/2006/relationships" r:id="Rfdf0518f17324249"/>
  </x:tableParts>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8" hidden="0" customWidth="1"/>
    <x:col min="2" max="2" width="45" hidden="0" customWidth="1"/>
    <x:col min="3" max="3" width="19" hidden="0" customWidth="1"/>
    <x:col min="4" max="4" width="19" hidden="0" customWidth="1"/>
    <x:col min="5" max="5" width="50" hidden="0" customWidth="1"/>
    <x:col min="6" max="6" width="27" hidden="0" customWidth="1"/>
    <x:col min="7" max="7" width="16" hidden="0" customWidth="1"/>
    <x:col min="8" max="8" width="45" hidden="0" customWidth="1"/>
    <x:col min="9" max="9" width="23" hidden="0" customWidth="1"/>
    <x:col min="10" max="10" width="29" hidden="0" customWidth="1"/>
    <x:col min="11" max="11" width="24" hidden="0" customWidth="1"/>
  </x:cols>
  <x:sheetData>
    <x:row r="1">
      <x:c r="A1" s="2"/>
      <x:c r="B1" s="2"/>
      <x:c r="C1" s="2"/>
      <x:c r="D1" s="2"/>
      <x:c r="E1" s="2"/>
      <x:c r="F1" s="2"/>
      <x:c r="G1" s="2"/>
      <x:c r="H1" s="2"/>
      <x:c r="I1" s="2"/>
      <x:c r="J1" s="2"/>
      <x:c r="K1" s="2"/>
    </x:row>
    <x:row r="2">
      <x:c r="A2" s="3" t="str">
        <x:v>Tenant-to-inventory associations</x:v>
      </x:c>
      <x:c r="B2" s="2"/>
      <x:c r="C2" s="2"/>
      <x:c r="D2" s="2"/>
      <x:c r="E2" s="2"/>
      <x:c r="F2" s="2"/>
      <x:c r="G2" s="2"/>
      <x:c r="H2" s="2"/>
      <x:c r="I2" s="2"/>
      <x:c r="J2" s="2"/>
      <x:c r="K2" s="2"/>
    </x:row>
    <x:row r="3">
      <x:c r="A3" s="4"/>
      <x:c r="B3" s="4"/>
      <x:c r="C3" s="4"/>
      <x:c r="D3" s="4"/>
      <x:c r="E3" s="4"/>
      <x:c r="F3" s="4"/>
      <x:c r="G3" s="4"/>
      <x:c r="H3" s="4"/>
      <x:c r="I3" s="4"/>
      <x:c r="J3" s="4"/>
      <x:c r="K3" s="4"/>
    </x:row>
    <x:row r="4">
      <x:c r="A4" s="2" t="str">
        <x:v>A screen can be associated with several tenants. Use unique inventory or cost units when combining selections.</x:v>
      </x:c>
      <x:c r="B4" s="2"/>
      <x:c r="C4" s="2"/>
      <x:c r="D4" s="2"/>
      <x:c r="E4" s="2"/>
      <x:c r="F4" s="2"/>
      <x:c r="G4" s="2"/>
      <x:c r="H4" s="2"/>
      <x:c r="I4" s="2"/>
      <x:c r="J4" s="2"/>
      <x:c r="K4" s="2"/>
    </x:row>
    <x:row r="5">
      <x:c r="A5" s="2"/>
      <x:c r="B5" s="2"/>
      <x:c r="C5" s="2"/>
      <x:c r="D5" s="2"/>
      <x:c r="E5" s="2"/>
      <x:c r="F5" s="2"/>
      <x:c r="G5" s="2"/>
      <x:c r="H5" s="2"/>
      <x:c r="I5" s="2"/>
      <x:c r="J5" s="2"/>
      <x:c r="K5" s="2"/>
    </x:row>
    <x:row r="6" ht="42" customHeight="1">
      <x:c r="A6" s="8" t="str">
        <x:v>Tenant ID</x:v>
      </x:c>
      <x:c r="B6" s="8" t="str">
        <x:v>Tenant / business name</x:v>
      </x:c>
      <x:c r="C6" s="8" t="str">
        <x:v>Inventory reference</x:v>
      </x:c>
      <x:c r="D6" s="8" t="str">
        <x:v>Market</x:v>
      </x:c>
      <x:c r="E6" s="8" t="str">
        <x:v>Property</x:v>
      </x:c>
      <x:c r="F6" s="8" t="str">
        <x:v>Format</x:v>
      </x:c>
      <x:c r="G6" s="8" t="str">
        <x:v>Associated screens</x:v>
      </x:c>
      <x:c r="H6" s="8" t="str">
        <x:v>Association scope</x:v>
      </x:c>
      <x:c r="I6" s="8" t="str">
        <x:v>Outreach segment (indicative)</x:v>
      </x:c>
      <x:c r="J6" s="8" t="str">
        <x:v>Business sector</x:v>
      </x:c>
      <x:c r="K6" s="8" t="str">
        <x:v>Shared cost unit</x:v>
      </x:c>
    </x:row>
    <x:row r="7" ht="46" customHeight="1">
      <x:c r="A7" s="2" t="str">
        <x:v>TEN-08BA913363E2</x:v>
      </x:c>
      <x:c r="B7" s="12" t="str">
        <x:v>CA Salsabeel and Co</x:v>
      </x:c>
      <x:c r="C7" s="12" t="str">
        <x:v>CORP-0006</x:v>
      </x:c>
      <x:c r="D7" s="12" t="str">
        <x:v>Bengaluru</x:v>
      </x:c>
      <x:c r="E7" s="12" t="str">
        <x:v>Ataura Business Centre</x:v>
      </x:c>
      <x:c r="F7" s="12" t="str">
        <x:v>32 inch LED TV</x:v>
      </x:c>
      <x:c r="G7" s="20" t="n">
        <x:v>1</x:v>
      </x:c>
      <x:c r="H7" s="12" t="str">
        <x:v>Inventory-listed building/workspace context; current occupancy and screen access unverified</x:v>
      </x:c>
      <x:c r="I7" s="12" t="str">
        <x:v>Micro-scale prospects</x:v>
      </x:c>
      <x:c r="J7" s="12" t="str">
        <x:v>Professional services</x:v>
      </x:c>
      <x:c r="K7" s="2" t="str">
        <x:v>MAIN-010</x:v>
      </x:c>
    </x:row>
    <x:row r="8" ht="46" customHeight="1">
      <x:c r="A8" s="2" t="str">
        <x:v>TEN-2A148617E1B4</x:v>
      </x:c>
      <x:c r="B8" s="12" t="str">
        <x:v>Quickups PVT.LTD</x:v>
      </x:c>
      <x:c r="C8" s="12" t="str">
        <x:v>CORP-0006</x:v>
      </x:c>
      <x:c r="D8" s="12" t="str">
        <x:v>Bengaluru</x:v>
      </x:c>
      <x:c r="E8" s="12" t="str">
        <x:v>Ataura Business Centre</x:v>
      </x:c>
      <x:c r="F8" s="12" t="str">
        <x:v>32 inch LED TV</x:v>
      </x:c>
      <x:c r="G8" s="20" t="n">
        <x:v>1</x:v>
      </x:c>
      <x:c r="H8" s="12" t="str">
        <x:v>Inventory-listed building/workspace context; current occupancy and screen access unverified</x:v>
      </x:c>
      <x:c r="I8" s="12" t="str">
        <x:v>Medium-scale prospects</x:v>
      </x:c>
      <x:c r="J8" s="12" t="str">
        <x:v>Trade, consumer &amp; logistics</x:v>
      </x:c>
      <x:c r="K8" s="2" t="str">
        <x:v>MAIN-010</x:v>
      </x:c>
    </x:row>
    <x:row r="9" ht="46" customHeight="1">
      <x:c r="A9" s="2" t="str">
        <x:v>TEN-40F283DADDAE</x:v>
      </x:c>
      <x:c r="B9" s="12" t="str">
        <x:v>Pacific It solution</x:v>
      </x:c>
      <x:c r="C9" s="12" t="str">
        <x:v>CORP-0006</x:v>
      </x:c>
      <x:c r="D9" s="12" t="str">
        <x:v>Bengaluru</x:v>
      </x:c>
      <x:c r="E9" s="12" t="str">
        <x:v>Ataura Business Centre</x:v>
      </x:c>
      <x:c r="F9" s="12" t="str">
        <x:v>32 inch LED TV</x:v>
      </x:c>
      <x:c r="G9" s="20" t="n">
        <x:v>1</x:v>
      </x:c>
      <x:c r="H9" s="12" t="str">
        <x:v>Inventory-listed building/workspace context; current occupancy and screen access unverified</x:v>
      </x:c>
      <x:c r="I9" s="12" t="str">
        <x:v>Small-scale prospects</x:v>
      </x:c>
      <x:c r="J9" s="12" t="str">
        <x:v>IT &amp; digital</x:v>
      </x:c>
      <x:c r="K9" s="2" t="str">
        <x:v>MAIN-010</x:v>
      </x:c>
    </x:row>
    <x:row r="10" ht="46" customHeight="1">
      <x:c r="A10" s="2" t="str">
        <x:v>TEN-55C9DB2EBA8B</x:v>
      </x:c>
      <x:c r="B10" s="12" t="str">
        <x:v>AliKnow Labs Pvt.Ltd</x:v>
      </x:c>
      <x:c r="C10" s="12" t="str">
        <x:v>CORP-0006</x:v>
      </x:c>
      <x:c r="D10" s="12" t="str">
        <x:v>Bengaluru</x:v>
      </x:c>
      <x:c r="E10" s="12" t="str">
        <x:v>Ataura Business Centre</x:v>
      </x:c>
      <x:c r="F10" s="12" t="str">
        <x:v>32 inch LED TV</x:v>
      </x:c>
      <x:c r="G10" s="20" t="n">
        <x:v>1</x:v>
      </x:c>
      <x:c r="H10" s="12" t="str">
        <x:v>Inventory-listed building/workspace context; current occupancy and screen access unverified</x:v>
      </x:c>
      <x:c r="I10" s="12" t="str">
        <x:v>Mixed business audience</x:v>
      </x:c>
      <x:c r="J10" s="12" t="str">
        <x:v>Unresolved</x:v>
      </x:c>
      <x:c r="K10" s="2" t="str">
        <x:v>MAIN-010</x:v>
      </x:c>
    </x:row>
    <x:row r="11" ht="46" customHeight="1">
      <x:c r="A11" s="2" t="str">
        <x:v>TEN-80AE4E40F9CD</x:v>
      </x:c>
      <x:c r="B11" s="12" t="str">
        <x:v>Fugensys</x:v>
      </x:c>
      <x:c r="C11" s="12" t="str">
        <x:v>CORP-0006</x:v>
      </x:c>
      <x:c r="D11" s="12" t="str">
        <x:v>Bengaluru</x:v>
      </x:c>
      <x:c r="E11" s="12" t="str">
        <x:v>Ataura Business Centre</x:v>
      </x:c>
      <x:c r="F11" s="12" t="str">
        <x:v>32 inch LED TV</x:v>
      </x:c>
      <x:c r="G11" s="20" t="n">
        <x:v>1</x:v>
      </x:c>
      <x:c r="H11" s="12" t="str">
        <x:v>Inventory-listed building/workspace context; current occupancy and screen access unverified</x:v>
      </x:c>
      <x:c r="I11" s="12" t="str">
        <x:v>Small-scale prospects</x:v>
      </x:c>
      <x:c r="J11" s="12" t="str">
        <x:v>Unresolved</x:v>
      </x:c>
      <x:c r="K11" s="2" t="str">
        <x:v>MAIN-010</x:v>
      </x:c>
    </x:row>
    <x:row r="12" ht="46" customHeight="1">
      <x:c r="A12" s="2" t="str">
        <x:v>TEN-84E37ADD7FEC</x:v>
      </x:c>
      <x:c r="B12" s="12" t="str">
        <x:v>Subman consulting services</x:v>
      </x:c>
      <x:c r="C12" s="12" t="str">
        <x:v>CORP-0006</x:v>
      </x:c>
      <x:c r="D12" s="12" t="str">
        <x:v>Bengaluru</x:v>
      </x:c>
      <x:c r="E12" s="12" t="str">
        <x:v>Ataura Business Centre</x:v>
      </x:c>
      <x:c r="F12" s="12" t="str">
        <x:v>32 inch LED TV</x:v>
      </x:c>
      <x:c r="G12" s="20" t="n">
        <x:v>1</x:v>
      </x:c>
      <x:c r="H12" s="12" t="str">
        <x:v>Inventory-listed building/workspace context; current occupancy and screen access unverified</x:v>
      </x:c>
      <x:c r="I12" s="12" t="str">
        <x:v>Small-scale prospects</x:v>
      </x:c>
      <x:c r="J12" s="12" t="str">
        <x:v>Professional services</x:v>
      </x:c>
      <x:c r="K12" s="2" t="str">
        <x:v>MAIN-010</x:v>
      </x:c>
    </x:row>
    <x:row r="13" ht="46" customHeight="1">
      <x:c r="A13" s="2" t="str">
        <x:v>TEN-A5E183486EFD</x:v>
      </x:c>
      <x:c r="B13" s="12" t="str">
        <x:v>Resident Boost</x:v>
      </x:c>
      <x:c r="C13" s="12" t="str">
        <x:v>CORP-0006</x:v>
      </x:c>
      <x:c r="D13" s="12" t="str">
        <x:v>Bengaluru</x:v>
      </x:c>
      <x:c r="E13" s="12" t="str">
        <x:v>Ataura Business Centre</x:v>
      </x:c>
      <x:c r="F13" s="12" t="str">
        <x:v>32 inch LED TV</x:v>
      </x:c>
      <x:c r="G13" s="20" t="n">
        <x:v>1</x:v>
      </x:c>
      <x:c r="H13" s="12" t="str">
        <x:v>Inventory-listed building/workspace context; current occupancy and screen access unverified</x:v>
      </x:c>
      <x:c r="I13" s="12" t="str">
        <x:v>Mixed business audience</x:v>
      </x:c>
      <x:c r="J13" s="12" t="str">
        <x:v>Unresolved</x:v>
      </x:c>
      <x:c r="K13" s="2" t="str">
        <x:v>MAIN-010</x:v>
      </x:c>
    </x:row>
    <x:row r="14" ht="46" customHeight="1">
      <x:c r="A14" s="2" t="str">
        <x:v>TEN-B4897F7ABC8F</x:v>
      </x:c>
      <x:c r="B14" s="12" t="str">
        <x:v>Act Insta</x:v>
      </x:c>
      <x:c r="C14" s="12" t="str">
        <x:v>CORP-0006</x:v>
      </x:c>
      <x:c r="D14" s="12" t="str">
        <x:v>Bengaluru</x:v>
      </x:c>
      <x:c r="E14" s="12" t="str">
        <x:v>Ataura Business Centre</x:v>
      </x:c>
      <x:c r="F14" s="12" t="str">
        <x:v>32 inch LED TV</x:v>
      </x:c>
      <x:c r="G14" s="20" t="n">
        <x:v>1</x:v>
      </x:c>
      <x:c r="H14" s="12" t="str">
        <x:v>Inventory-listed building/workspace context; current occupancy and screen access unverified</x:v>
      </x:c>
      <x:c r="I14" s="12" t="str">
        <x:v>Mixed business audience</x:v>
      </x:c>
      <x:c r="J14" s="12" t="str">
        <x:v>Unresolved</x:v>
      </x:c>
      <x:c r="K14" s="2" t="str">
        <x:v>MAIN-010</x:v>
      </x:c>
    </x:row>
    <x:row r="15" ht="46" customHeight="1">
      <x:c r="A15" s="2" t="str">
        <x:v>TEN-DE5E974C017A</x:v>
      </x:c>
      <x:c r="B15" s="12" t="str">
        <x:v>Shulkway Fees management systwms</x:v>
      </x:c>
      <x:c r="C15" s="12" t="str">
        <x:v>CORP-0006</x:v>
      </x:c>
      <x:c r="D15" s="12" t="str">
        <x:v>Bengaluru</x:v>
      </x:c>
      <x:c r="E15" s="12" t="str">
        <x:v>Ataura Business Centre</x:v>
      </x:c>
      <x:c r="F15" s="12" t="str">
        <x:v>32 inch LED TV</x:v>
      </x:c>
      <x:c r="G15" s="20" t="n">
        <x:v>1</x:v>
      </x:c>
      <x:c r="H15" s="12" t="str">
        <x:v>Inventory-listed building/workspace context; current occupancy and screen access unverified</x:v>
      </x:c>
      <x:c r="I15" s="12" t="str">
        <x:v>Mixed business audience</x:v>
      </x:c>
      <x:c r="J15" s="12" t="str">
        <x:v>Unresolved</x:v>
      </x:c>
      <x:c r="K15" s="2" t="str">
        <x:v>MAIN-010</x:v>
      </x:c>
    </x:row>
    <x:row r="16" ht="46" customHeight="1">
      <x:c r="A16" s="2" t="str">
        <x:v>TEN-28EC12D4E890</x:v>
      </x:c>
      <x:c r="B16" s="12" t="str">
        <x:v>Davinta</x:v>
      </x:c>
      <x:c r="C16" s="12" t="str">
        <x:v>CORP-0096</x:v>
      </x:c>
      <x:c r="D16" s="12" t="str">
        <x:v>Bengaluru</x:v>
      </x:c>
      <x:c r="E16" s="12" t="str">
        <x:v>Urban Vault- 591</x:v>
      </x:c>
      <x:c r="F16" s="12" t="str">
        <x:v>32 inch LED TV</x:v>
      </x:c>
      <x:c r="G16" s="20" t="n">
        <x:v>2</x:v>
      </x:c>
      <x:c r="H16" s="12" t="str">
        <x:v>Inventory-listed building/workspace context; current occupancy and screen access unverified</x:v>
      </x:c>
      <x:c r="I16" s="12" t="str">
        <x:v>Medium-scale prospects</x:v>
      </x:c>
      <x:c r="J16" s="12" t="str">
        <x:v>Finance &amp; insurance</x:v>
      </x:c>
      <x:c r="K16" s="2" t="str">
        <x:v>MAIN-100</x:v>
      </x:c>
    </x:row>
    <x:row r="17" ht="46" customHeight="1">
      <x:c r="A17" s="2" t="str">
        <x:v>TEN-40CDA80E2C11</x:v>
      </x:c>
      <x:c r="B17" s="12" t="str">
        <x:v>MavenTech Labs</x:v>
      </x:c>
      <x:c r="C17" s="12" t="str">
        <x:v>CORP-0096</x:v>
      </x:c>
      <x:c r="D17" s="12" t="str">
        <x:v>Bengaluru</x:v>
      </x:c>
      <x:c r="E17" s="12" t="str">
        <x:v>Urban Vault- 591</x:v>
      </x:c>
      <x:c r="F17" s="12" t="str">
        <x:v>32 inch LED TV</x:v>
      </x:c>
      <x:c r="G17" s="20" t="n">
        <x:v>2</x:v>
      </x:c>
      <x:c r="H17" s="12" t="str">
        <x:v>Inventory-listed building/workspace context; current occupancy and screen access unverified</x:v>
      </x:c>
      <x:c r="I17" s="12" t="str">
        <x:v>Mixed business audience</x:v>
      </x:c>
      <x:c r="J17" s="12" t="str">
        <x:v>Unresolved</x:v>
      </x:c>
      <x:c r="K17" s="2" t="str">
        <x:v>MAIN-100</x:v>
      </x:c>
    </x:row>
    <x:row r="18" ht="46" customHeight="1">
      <x:c r="A18" s="2" t="str">
        <x:v>TEN-593C230D0BE4</x:v>
      </x:c>
      <x:c r="B18" s="12" t="str">
        <x:v>two dot seven</x:v>
      </x:c>
      <x:c r="C18" s="12" t="str">
        <x:v>CORP-0096</x:v>
      </x:c>
      <x:c r="D18" s="12" t="str">
        <x:v>Bengaluru</x:v>
      </x:c>
      <x:c r="E18" s="12" t="str">
        <x:v>Urban Vault- 591</x:v>
      </x:c>
      <x:c r="F18" s="12" t="str">
        <x:v>32 inch LED TV</x:v>
      </x:c>
      <x:c r="G18" s="20" t="n">
        <x:v>2</x:v>
      </x:c>
      <x:c r="H18" s="12" t="str">
        <x:v>Inventory-listed building/workspace context; current occupancy and screen access unverified</x:v>
      </x:c>
      <x:c r="I18" s="12" t="str">
        <x:v>Mixed business audience</x:v>
      </x:c>
      <x:c r="J18" s="12" t="str">
        <x:v>Unresolved</x:v>
      </x:c>
      <x:c r="K18" s="2" t="str">
        <x:v>MAIN-100</x:v>
      </x:c>
    </x:row>
    <x:row r="19" ht="46" customHeight="1">
      <x:c r="A19" s="2" t="str">
        <x:v>TEN-5FED48060BC2</x:v>
      </x:c>
      <x:c r="B19" s="12" t="str">
        <x:v>goelQ</x:v>
      </x:c>
      <x:c r="C19" s="12" t="str">
        <x:v>CORP-0096</x:v>
      </x:c>
      <x:c r="D19" s="12" t="str">
        <x:v>Bengaluru</x:v>
      </x:c>
      <x:c r="E19" s="12" t="str">
        <x:v>Urban Vault- 591</x:v>
      </x:c>
      <x:c r="F19" s="12" t="str">
        <x:v>32 inch LED TV</x:v>
      </x:c>
      <x:c r="G19" s="20" t="n">
        <x:v>2</x:v>
      </x:c>
      <x:c r="H19" s="12" t="str">
        <x:v>Inventory-listed building/workspace context; current occupancy and screen access unverified</x:v>
      </x:c>
      <x:c r="I19" s="12" t="str">
        <x:v>Mixed business audience</x:v>
      </x:c>
      <x:c r="J19" s="12" t="str">
        <x:v>Unresolved</x:v>
      </x:c>
      <x:c r="K19" s="2" t="str">
        <x:v>MAIN-100</x:v>
      </x:c>
    </x:row>
    <x:row r="20" ht="46" customHeight="1">
      <x:c r="A20" s="2" t="str">
        <x:v>TEN-6C48A85FAF3B</x:v>
      </x:c>
      <x:c r="B20" s="12" t="str">
        <x:v>winuall</x:v>
      </x:c>
      <x:c r="C20" s="12" t="str">
        <x:v>CORP-0096</x:v>
      </x:c>
      <x:c r="D20" s="12" t="str">
        <x:v>Bengaluru</x:v>
      </x:c>
      <x:c r="E20" s="12" t="str">
        <x:v>Urban Vault- 591</x:v>
      </x:c>
      <x:c r="F20" s="12" t="str">
        <x:v>32 inch LED TV</x:v>
      </x:c>
      <x:c r="G20" s="20" t="n">
        <x:v>2</x:v>
      </x:c>
      <x:c r="H20" s="12" t="str">
        <x:v>Inventory-listed building/workspace context; current occupancy and screen access unverified</x:v>
      </x:c>
      <x:c r="I20" s="12" t="str">
        <x:v>Small-scale prospects</x:v>
      </x:c>
      <x:c r="J20" s="12" t="str">
        <x:v>Education</x:v>
      </x:c>
      <x:c r="K20" s="2" t="str">
        <x:v>MAIN-100</x:v>
      </x:c>
    </x:row>
    <x:row r="21" ht="46" customHeight="1">
      <x:c r="A21" s="2" t="str">
        <x:v>TEN-C9015464958C</x:v>
      </x:c>
      <x:c r="B21" s="12" t="str">
        <x:v>galleria</x:v>
      </x:c>
      <x:c r="C21" s="12" t="str">
        <x:v>CORP-0096</x:v>
      </x:c>
      <x:c r="D21" s="12" t="str">
        <x:v>Bengaluru</x:v>
      </x:c>
      <x:c r="E21" s="12" t="str">
        <x:v>Urban Vault- 591</x:v>
      </x:c>
      <x:c r="F21" s="12" t="str">
        <x:v>32 inch LED TV</x:v>
      </x:c>
      <x:c r="G21" s="20" t="n">
        <x:v>2</x:v>
      </x:c>
      <x:c r="H21" s="12" t="str">
        <x:v>Inventory-listed building/workspace context; current occupancy and screen access unverified</x:v>
      </x:c>
      <x:c r="I21" s="12" t="str">
        <x:v>Mixed business audience</x:v>
      </x:c>
      <x:c r="J21" s="12" t="str">
        <x:v>Unresolved</x:v>
      </x:c>
      <x:c r="K21" s="2" t="str">
        <x:v>MAIN-100</x:v>
      </x:c>
    </x:row>
    <x:row r="22" ht="46" customHeight="1">
      <x:c r="A22" s="2" t="str">
        <x:v>TEN-458B5BB6E9BE</x:v>
      </x:c>
      <x:c r="B22" s="12" t="str">
        <x:v>Murf.Ai</x:v>
      </x:c>
      <x:c r="C22" s="12" t="str">
        <x:v>CORP-0097</x:v>
      </x:c>
      <x:c r="D22" s="12" t="str">
        <x:v>Bengaluru</x:v>
      </x:c>
      <x:c r="E22" s="12" t="str">
        <x:v>Urban Vault- 761</x:v>
      </x:c>
      <x:c r="F22" s="12" t="str">
        <x:v>32 inch LED TV</x:v>
      </x:c>
      <x:c r="G22" s="20" t="n">
        <x:v>2</x:v>
      </x:c>
      <x:c r="H22" s="12" t="str">
        <x:v>Inventory-listed building/workspace context; current occupancy and screen access unverified</x:v>
      </x:c>
      <x:c r="I22" s="12" t="str">
        <x:v>Small-scale prospects</x:v>
      </x:c>
      <x:c r="J22" s="12" t="str">
        <x:v>IT &amp; digital</x:v>
      </x:c>
      <x:c r="K22" s="2" t="str">
        <x:v>MAIN-101</x:v>
      </x:c>
    </x:row>
    <x:row r="23" ht="46" customHeight="1">
      <x:c r="A23" s="2" t="str">
        <x:v>TEN-BA9461CED01A</x:v>
      </x:c>
      <x:c r="B23" s="12" t="str">
        <x:v>Woovly</x:v>
      </x:c>
      <x:c r="C23" s="12" t="str">
        <x:v>CORP-0097</x:v>
      </x:c>
      <x:c r="D23" s="12" t="str">
        <x:v>Bengaluru</x:v>
      </x:c>
      <x:c r="E23" s="12" t="str">
        <x:v>Urban Vault- 761</x:v>
      </x:c>
      <x:c r="F23" s="12" t="str">
        <x:v>32 inch LED TV</x:v>
      </x:c>
      <x:c r="G23" s="20" t="n">
        <x:v>2</x:v>
      </x:c>
      <x:c r="H23" s="12" t="str">
        <x:v>Inventory-listed building/workspace context; current occupancy and screen access unverified</x:v>
      </x:c>
      <x:c r="I23" s="12" t="str">
        <x:v>Small-scale prospects</x:v>
      </x:c>
      <x:c r="J23" s="12" t="str">
        <x:v>Trade, consumer &amp; logistics</x:v>
      </x:c>
      <x:c r="K23" s="2" t="str">
        <x:v>MAIN-101</x:v>
      </x:c>
    </x:row>
    <x:row r="24" ht="46" customHeight="1">
      <x:c r="A24" s="2" t="str">
        <x:v>TEN-854944265FFF</x:v>
      </x:c>
      <x:c r="B24" s="12" t="str">
        <x:v>Zyoin</x:v>
      </x:c>
      <x:c r="C24" s="12" t="str">
        <x:v>CORP-0098</x:v>
      </x:c>
      <x:c r="D24" s="12" t="str">
        <x:v>Bengaluru</x:v>
      </x:c>
      <x:c r="E24" s="12" t="str">
        <x:v>Urban Vault- 762</x:v>
      </x:c>
      <x:c r="F24" s="12" t="str">
        <x:v>32 inch LED TV</x:v>
      </x:c>
      <x:c r="G24" s="20" t="n">
        <x:v>2</x:v>
      </x:c>
      <x:c r="H24" s="12" t="str">
        <x:v>Inventory-listed building/workspace context; current occupancy and screen access unverified</x:v>
      </x:c>
      <x:c r="I24" s="12" t="str">
        <x:v>Small-scale prospects</x:v>
      </x:c>
      <x:c r="J24" s="12" t="str">
        <x:v>Professional services</x:v>
      </x:c>
      <x:c r="K24" s="2" t="str">
        <x:v>MAIN-102</x:v>
      </x:c>
    </x:row>
    <x:row r="25" ht="46" customHeight="1">
      <x:c r="A25" s="2" t="str">
        <x:v>TEN-BAA6D3865F7F</x:v>
      </x:c>
      <x:c r="B25" s="12" t="str">
        <x:v>CYWARE</x:v>
      </x:c>
      <x:c r="C25" s="12" t="str">
        <x:v>CORP-0098</x:v>
      </x:c>
      <x:c r="D25" s="12" t="str">
        <x:v>Bengaluru</x:v>
      </x:c>
      <x:c r="E25" s="12" t="str">
        <x:v>Urban Vault- 762</x:v>
      </x:c>
      <x:c r="F25" s="12" t="str">
        <x:v>32 inch LED TV</x:v>
      </x:c>
      <x:c r="G25" s="20" t="n">
        <x:v>2</x:v>
      </x:c>
      <x:c r="H25" s="12" t="str">
        <x:v>Inventory-listed building/workspace context; current occupancy and screen access unverified</x:v>
      </x:c>
      <x:c r="I25" s="12" t="str">
        <x:v>Small-scale prospects</x:v>
      </x:c>
      <x:c r="J25" s="12" t="str">
        <x:v>IT &amp; digital</x:v>
      </x:c>
      <x:c r="K25" s="2" t="str">
        <x:v>MAIN-102</x:v>
      </x:c>
    </x:row>
    <x:row r="26" ht="46" customHeight="1">
      <x:c r="A26" s="2" t="str">
        <x:v>TEN-1D81EC4AC755</x:v>
      </x:c>
      <x:c r="B26" s="12" t="str">
        <x:v>Miebach</x:v>
      </x:c>
      <x:c r="C26" s="12" t="str">
        <x:v>CORP-0099</x:v>
      </x:c>
      <x:c r="D26" s="12" t="str">
        <x:v>Bengaluru</x:v>
      </x:c>
      <x:c r="E26" s="12" t="str">
        <x:v>Urban Vault- 1086</x:v>
      </x:c>
      <x:c r="F26" s="12" t="str">
        <x:v>32 inch LED TV</x:v>
      </x:c>
      <x:c r="G26" s="20" t="n">
        <x:v>1</x:v>
      </x:c>
      <x:c r="H26" s="12" t="str">
        <x:v>Inventory-listed building/workspace context; current occupancy and screen access unverified</x:v>
      </x:c>
      <x:c r="I26" s="12" t="str">
        <x:v>Mixed business audience</x:v>
      </x:c>
      <x:c r="J26" s="12" t="str">
        <x:v>Professional services</x:v>
      </x:c>
      <x:c r="K26" s="2" t="str">
        <x:v>MAIN-103</x:v>
      </x:c>
    </x:row>
    <x:row r="27" ht="46" customHeight="1">
      <x:c r="A27" s="2" t="str">
        <x:v>TEN-5065EDF9A8BE</x:v>
      </x:c>
      <x:c r="B27" s="12" t="str">
        <x:v>Bluestone</x:v>
      </x:c>
      <x:c r="C27" s="12" t="str">
        <x:v>CORP-0099</x:v>
      </x:c>
      <x:c r="D27" s="12" t="str">
        <x:v>Bengaluru</x:v>
      </x:c>
      <x:c r="E27" s="12" t="str">
        <x:v>Urban Vault- 1086</x:v>
      </x:c>
      <x:c r="F27" s="12" t="str">
        <x:v>32 inch LED TV</x:v>
      </x:c>
      <x:c r="G27" s="20" t="n">
        <x:v>1</x:v>
      </x:c>
      <x:c r="H27" s="12" t="str">
        <x:v>Inventory-listed building/workspace context; current occupancy and screen access unverified</x:v>
      </x:c>
      <x:c r="I27" s="12" t="str">
        <x:v>Mixed business audience</x:v>
      </x:c>
      <x:c r="J27" s="12" t="str">
        <x:v>Trade, consumer &amp; logistics</x:v>
      </x:c>
      <x:c r="K27" s="2" t="str">
        <x:v>MAIN-103</x:v>
      </x:c>
    </x:row>
    <x:row r="28" ht="46" customHeight="1">
      <x:c r="A28" s="2" t="str">
        <x:v>TEN-85792A69F213</x:v>
      </x:c>
      <x:c r="B28" s="12" t="str">
        <x:v>Merkle Science</x:v>
      </x:c>
      <x:c r="C28" s="12" t="str">
        <x:v>CORP-0099</x:v>
      </x:c>
      <x:c r="D28" s="12" t="str">
        <x:v>Bengaluru</x:v>
      </x:c>
      <x:c r="E28" s="12" t="str">
        <x:v>Urban Vault- 1086</x:v>
      </x:c>
      <x:c r="F28" s="12" t="str">
        <x:v>32 inch LED TV</x:v>
      </x:c>
      <x:c r="G28" s="20" t="n">
        <x:v>1</x:v>
      </x:c>
      <x:c r="H28" s="12" t="str">
        <x:v>Inventory-listed building/workspace context; current occupancy and screen access unverified</x:v>
      </x:c>
      <x:c r="I28" s="12" t="str">
        <x:v>Small-scale prospects</x:v>
      </x:c>
      <x:c r="J28" s="12" t="str">
        <x:v>IT &amp; digital</x:v>
      </x:c>
      <x:c r="K28" s="2" t="str">
        <x:v>MAIN-103</x:v>
      </x:c>
    </x:row>
    <x:row r="29" ht="46" customHeight="1">
      <x:c r="A29" s="2" t="str">
        <x:v>TEN-91ED2EF15EEE</x:v>
      </x:c>
      <x:c r="B29" s="12" t="str">
        <x:v>Jungle</x:v>
      </x:c>
      <x:c r="C29" s="12" t="str">
        <x:v>CORP-0099</x:v>
      </x:c>
      <x:c r="D29" s="12" t="str">
        <x:v>Bengaluru</x:v>
      </x:c>
      <x:c r="E29" s="12" t="str">
        <x:v>Urban Vault- 1086</x:v>
      </x:c>
      <x:c r="F29" s="12" t="str">
        <x:v>32 inch LED TV</x:v>
      </x:c>
      <x:c r="G29" s="20" t="n">
        <x:v>1</x:v>
      </x:c>
      <x:c r="H29" s="12" t="str">
        <x:v>Inventory-listed building/workspace context; current occupancy and screen access unverified</x:v>
      </x:c>
      <x:c r="I29" s="12" t="str">
        <x:v>Mixed business audience</x:v>
      </x:c>
      <x:c r="J29" s="12" t="str">
        <x:v>Unresolved</x:v>
      </x:c>
      <x:c r="K29" s="2" t="str">
        <x:v>MAIN-103</x:v>
      </x:c>
    </x:row>
    <x:row r="30" ht="46" customHeight="1">
      <x:c r="A30" s="2" t="str">
        <x:v>TEN-6EE34828A4B0</x:v>
      </x:c>
      <x:c r="B30" s="12" t="str">
        <x:v>Mispras Furnishing Pvt.Ltd</x:v>
      </x:c>
      <x:c r="C30" s="12" t="str">
        <x:v>CORP-0100</x:v>
      </x:c>
      <x:c r="D30" s="12" t="str">
        <x:v>Bengaluru</x:v>
      </x:c>
      <x:c r="E30" s="12" t="str">
        <x:v>Urban Vault- 1090/A</x:v>
      </x:c>
      <x:c r="F30" s="12" t="str">
        <x:v>32 inch LED TV</x:v>
      </x:c>
      <x:c r="G30" s="20" t="n">
        <x:v>1</x:v>
      </x:c>
      <x:c r="H30" s="12" t="str">
        <x:v>Inventory-listed building/workspace context; current occupancy and screen access unverified</x:v>
      </x:c>
      <x:c r="I30" s="12" t="str">
        <x:v>Small-scale prospects</x:v>
      </x:c>
      <x:c r="J30" s="12" t="str">
        <x:v>Trade, consumer &amp; logistics</x:v>
      </x:c>
      <x:c r="K30" s="2" t="str">
        <x:v>MAIN-104</x:v>
      </x:c>
    </x:row>
    <x:row r="31" ht="46" customHeight="1">
      <x:c r="A31" s="2" t="str">
        <x:v>TEN-BDC65A4AB4C4</x:v>
      </x:c>
      <x:c r="B31" s="12" t="str">
        <x:v>acceldata</x:v>
      </x:c>
      <x:c r="C31" s="12" t="str">
        <x:v>CORP-0100</x:v>
      </x:c>
      <x:c r="D31" s="12" t="str">
        <x:v>Bengaluru</x:v>
      </x:c>
      <x:c r="E31" s="12" t="str">
        <x:v>Urban Vault- 1090/A</x:v>
      </x:c>
      <x:c r="F31" s="12" t="str">
        <x:v>32 inch LED TV</x:v>
      </x:c>
      <x:c r="G31" s="20" t="n">
        <x:v>1</x:v>
      </x:c>
      <x:c r="H31" s="12" t="str">
        <x:v>Inventory-listed building/workspace context; current occupancy and screen access unverified</x:v>
      </x:c>
      <x:c r="I31" s="12" t="str">
        <x:v>Small-scale prospects</x:v>
      </x:c>
      <x:c r="J31" s="12" t="str">
        <x:v>IT &amp; digital</x:v>
      </x:c>
      <x:c r="K31" s="2" t="str">
        <x:v>MAIN-104</x:v>
      </x:c>
    </x:row>
    <x:row r="32" ht="46" customHeight="1">
      <x:c r="A32" s="2" t="str">
        <x:v>TEN-0D77911E21C0</x:v>
      </x:c>
      <x:c r="B32" s="12" t="str">
        <x:v>Powerplay</x:v>
      </x:c>
      <x:c r="C32" s="12" t="str">
        <x:v>CORP-0101</x:v>
      </x:c>
      <x:c r="D32" s="12" t="str">
        <x:v>Bengaluru</x:v>
      </x:c>
      <x:c r="E32" s="12" t="str">
        <x:v>Urban Vault- 1498</x:v>
      </x:c>
      <x:c r="F32" s="12" t="str">
        <x:v>32 inch LED TV</x:v>
      </x:c>
      <x:c r="G32" s="20" t="n">
        <x:v>1</x:v>
      </x:c>
      <x:c r="H32" s="12" t="str">
        <x:v>Inventory-listed building/workspace context; current occupancy and screen access unverified</x:v>
      </x:c>
      <x:c r="I32" s="12" t="str">
        <x:v>Small-scale prospects</x:v>
      </x:c>
      <x:c r="J32" s="12" t="str">
        <x:v>IT &amp; digital</x:v>
      </x:c>
      <x:c r="K32" s="2" t="str">
        <x:v>MAIN-105</x:v>
      </x:c>
    </x:row>
    <x:row r="33" ht="46" customHeight="1">
      <x:c r="A33" s="2" t="str">
        <x:v>TEN-357493962351</x:v>
      </x:c>
      <x:c r="B33" s="12" t="str">
        <x:v>Bambrew</x:v>
      </x:c>
      <x:c r="C33" s="12" t="str">
        <x:v>CORP-0101</x:v>
      </x:c>
      <x:c r="D33" s="12" t="str">
        <x:v>Bengaluru</x:v>
      </x:c>
      <x:c r="E33" s="12" t="str">
        <x:v>Urban Vault- 1498</x:v>
      </x:c>
      <x:c r="F33" s="12" t="str">
        <x:v>32 inch LED TV</x:v>
      </x:c>
      <x:c r="G33" s="20" t="n">
        <x:v>1</x:v>
      </x:c>
      <x:c r="H33" s="12" t="str">
        <x:v>Inventory-listed building/workspace context; current occupancy and screen access unverified</x:v>
      </x:c>
      <x:c r="I33" s="12" t="str">
        <x:v>Medium-scale prospects</x:v>
      </x:c>
      <x:c r="J33" s="12" t="str">
        <x:v>Engineering &amp; manufacturing</x:v>
      </x:c>
      <x:c r="K33" s="2" t="str">
        <x:v>MAIN-105</x:v>
      </x:c>
    </x:row>
    <x:row r="34" ht="46" customHeight="1">
      <x:c r="A34" s="2" t="str">
        <x:v>TEN-1A5AFEDA973D</x:v>
      </x:c>
      <x:c r="B34" s="12" t="str">
        <x:v>Kiwi</x:v>
      </x:c>
      <x:c r="C34" s="12" t="str">
        <x:v>CORP-0102</x:v>
      </x:c>
      <x:c r="D34" s="12" t="str">
        <x:v>Bengaluru</x:v>
      </x:c>
      <x:c r="E34" s="12" t="str">
        <x:v>Urban Vault- 1515</x:v>
      </x:c>
      <x:c r="F34" s="12" t="str">
        <x:v>32 inch LED TV</x:v>
      </x:c>
      <x:c r="G34" s="20" t="n">
        <x:v>2</x:v>
      </x:c>
      <x:c r="H34" s="12" t="str">
        <x:v>Inventory-listed building/workspace context; current occupancy and screen access unverified</x:v>
      </x:c>
      <x:c r="I34" s="12" t="str">
        <x:v>Mixed business audience</x:v>
      </x:c>
      <x:c r="J34" s="12" t="str">
        <x:v>Unresolved</x:v>
      </x:c>
      <x:c r="K34" s="2" t="str">
        <x:v>MAIN-106</x:v>
      </x:c>
    </x:row>
    <x:row r="35" ht="46" customHeight="1">
      <x:c r="A35" s="2" t="str">
        <x:v>TEN-254637F72EFC</x:v>
      </x:c>
      <x:c r="B35" s="12" t="str">
        <x:v>Loop</x:v>
      </x:c>
      <x:c r="C35" s="12" t="str">
        <x:v>CORP-0102</x:v>
      </x:c>
      <x:c r="D35" s="12" t="str">
        <x:v>Bengaluru</x:v>
      </x:c>
      <x:c r="E35" s="12" t="str">
        <x:v>Urban Vault- 1515</x:v>
      </x:c>
      <x:c r="F35" s="12" t="str">
        <x:v>32 inch LED TV</x:v>
      </x:c>
      <x:c r="G35" s="20" t="n">
        <x:v>2</x:v>
      </x:c>
      <x:c r="H35" s="12" t="str">
        <x:v>Inventory-listed building/workspace context; current occupancy and screen access unverified</x:v>
      </x:c>
      <x:c r="I35" s="12" t="str">
        <x:v>Mixed business audience</x:v>
      </x:c>
      <x:c r="J35" s="12" t="str">
        <x:v>Unresolved</x:v>
      </x:c>
      <x:c r="K35" s="2" t="str">
        <x:v>MAIN-106</x:v>
      </x:c>
    </x:row>
    <x:row r="36" ht="46" customHeight="1">
      <x:c r="A36" s="2" t="str">
        <x:v>TEN-28EC12D4E890</x:v>
      </x:c>
      <x:c r="B36" s="12" t="str">
        <x:v>Davinta</x:v>
      </x:c>
      <x:c r="C36" s="12" t="str">
        <x:v>CORP-0102</x:v>
      </x:c>
      <x:c r="D36" s="12" t="str">
        <x:v>Bengaluru</x:v>
      </x:c>
      <x:c r="E36" s="12" t="str">
        <x:v>Urban Vault- 1515</x:v>
      </x:c>
      <x:c r="F36" s="12" t="str">
        <x:v>32 inch LED TV</x:v>
      </x:c>
      <x:c r="G36" s="20" t="n">
        <x:v>2</x:v>
      </x:c>
      <x:c r="H36" s="12" t="str">
        <x:v>Inventory-listed building/workspace context; current occupancy and screen access unverified</x:v>
      </x:c>
      <x:c r="I36" s="12" t="str">
        <x:v>Medium-scale prospects</x:v>
      </x:c>
      <x:c r="J36" s="12" t="str">
        <x:v>Finance &amp; insurance</x:v>
      </x:c>
      <x:c r="K36" s="2" t="str">
        <x:v>MAIN-106</x:v>
      </x:c>
    </x:row>
    <x:row r="37" ht="46" customHeight="1">
      <x:c r="A37" s="2" t="str">
        <x:v>TEN-E2DF8D4882CE</x:v>
      </x:c>
      <x:c r="B37" s="12" t="str">
        <x:v>Ximkart</x:v>
      </x:c>
      <x:c r="C37" s="12" t="str">
        <x:v>CORP-0102</x:v>
      </x:c>
      <x:c r="D37" s="12" t="str">
        <x:v>Bengaluru</x:v>
      </x:c>
      <x:c r="E37" s="12" t="str">
        <x:v>Urban Vault- 1515</x:v>
      </x:c>
      <x:c r="F37" s="12" t="str">
        <x:v>32 inch LED TV</x:v>
      </x:c>
      <x:c r="G37" s="20" t="n">
        <x:v>2</x:v>
      </x:c>
      <x:c r="H37" s="12" t="str">
        <x:v>Inventory-listed building/workspace context; current occupancy and screen access unverified</x:v>
      </x:c>
      <x:c r="I37" s="12" t="str">
        <x:v>Small-scale prospects</x:v>
      </x:c>
      <x:c r="J37" s="12" t="str">
        <x:v>Trade, consumer &amp; logistics</x:v>
      </x:c>
      <x:c r="K37" s="2" t="str">
        <x:v>MAIN-106</x:v>
      </x:c>
    </x:row>
    <x:row r="38" ht="46" customHeight="1">
      <x:c r="A38" s="2" t="str">
        <x:v>TEN-0533EE71FB65</x:v>
      </x:c>
      <x:c r="B38" s="12" t="str">
        <x:v>SUPERFONE</x:v>
      </x:c>
      <x:c r="C38" s="12" t="str">
        <x:v>CORP-0103</x:v>
      </x:c>
      <x:c r="D38" s="12" t="str">
        <x:v>Bengaluru</x:v>
      </x:c>
      <x:c r="E38" s="12" t="str">
        <x:v>Urban Vault- 1608</x:v>
      </x:c>
      <x:c r="F38" s="12" t="str">
        <x:v>32 inch LED TV</x:v>
      </x:c>
      <x:c r="G38" s="20" t="n">
        <x:v>2</x:v>
      </x:c>
      <x:c r="H38" s="12" t="str">
        <x:v>Inventory-listed building/workspace context; current occupancy and screen access unverified</x:v>
      </x:c>
      <x:c r="I38" s="12" t="str">
        <x:v>Small-scale prospects</x:v>
      </x:c>
      <x:c r="J38" s="12" t="str">
        <x:v>IT &amp; digital</x:v>
      </x:c>
      <x:c r="K38" s="2" t="str">
        <x:v>MAIN-107</x:v>
      </x:c>
    </x:row>
    <x:row r="39" ht="46" customHeight="1">
      <x:c r="A39" s="2" t="str">
        <x:v>TEN-8027B5AD4104</x:v>
      </x:c>
      <x:c r="B39" s="12" t="str">
        <x:v>SNAP2INSIGHT</x:v>
      </x:c>
      <x:c r="C39" s="12" t="str">
        <x:v>CORP-0103</x:v>
      </x:c>
      <x:c r="D39" s="12" t="str">
        <x:v>Bengaluru</x:v>
      </x:c>
      <x:c r="E39" s="12" t="str">
        <x:v>Urban Vault- 1608</x:v>
      </x:c>
      <x:c r="F39" s="12" t="str">
        <x:v>32 inch LED TV</x:v>
      </x:c>
      <x:c r="G39" s="20" t="n">
        <x:v>2</x:v>
      </x:c>
      <x:c r="H39" s="12" t="str">
        <x:v>Inventory-listed building/workspace context; current occupancy and screen access unverified</x:v>
      </x:c>
      <x:c r="I39" s="12" t="str">
        <x:v>Small-scale prospects</x:v>
      </x:c>
      <x:c r="J39" s="12" t="str">
        <x:v>IT &amp; digital</x:v>
      </x:c>
      <x:c r="K39" s="2" t="str">
        <x:v>MAIN-107</x:v>
      </x:c>
    </x:row>
    <x:row r="40" ht="46" customHeight="1">
      <x:c r="A40" s="2" t="str">
        <x:v>TEN-A5790B06F63B</x:v>
      </x:c>
      <x:c r="B40" s="12" t="str">
        <x:v>Unity</x:v>
      </x:c>
      <x:c r="C40" s="12" t="str">
        <x:v>CORP-0103</x:v>
      </x:c>
      <x:c r="D40" s="12" t="str">
        <x:v>Bengaluru</x:v>
      </x:c>
      <x:c r="E40" s="12" t="str">
        <x:v>Urban Vault- 1608</x:v>
      </x:c>
      <x:c r="F40" s="12" t="str">
        <x:v>32 inch LED TV</x:v>
      </x:c>
      <x:c r="G40" s="20" t="n">
        <x:v>2</x:v>
      </x:c>
      <x:c r="H40" s="12" t="str">
        <x:v>Inventory-listed building/workspace context; current occupancy and screen access unverified</x:v>
      </x:c>
      <x:c r="I40" s="12" t="str">
        <x:v>Mixed business audience</x:v>
      </x:c>
      <x:c r="J40" s="12" t="str">
        <x:v>Unresolved</x:v>
      </x:c>
      <x:c r="K40" s="2" t="str">
        <x:v>MAIN-107</x:v>
      </x:c>
    </x:row>
    <x:row r="41" ht="46" customHeight="1">
      <x:c r="A41" s="2" t="str">
        <x:v>TEN-8320B886DB16</x:v>
      </x:c>
      <x:c r="B41" s="12" t="str">
        <x:v>frnd</x:v>
      </x:c>
      <x:c r="C41" s="12" t="str">
        <x:v>CORP-0104</x:v>
      </x:c>
      <x:c r="D41" s="12" t="str">
        <x:v>Bengaluru</x:v>
      </x:c>
      <x:c r="E41" s="12" t="str">
        <x:v>Urban Vault- 1781</x:v>
      </x:c>
      <x:c r="F41" s="12" t="str">
        <x:v>32 inch LED TV</x:v>
      </x:c>
      <x:c r="G41" s="20" t="n">
        <x:v>2</x:v>
      </x:c>
      <x:c r="H41" s="12" t="str">
        <x:v>Inventory-listed building/workspace context; current occupancy and screen access unverified</x:v>
      </x:c>
      <x:c r="I41" s="12" t="str">
        <x:v>Small-scale prospects</x:v>
      </x:c>
      <x:c r="J41" s="12" t="str">
        <x:v>Trade, consumer &amp; logistics</x:v>
      </x:c>
      <x:c r="K41" s="2" t="str">
        <x:v>MAIN-108</x:v>
      </x:c>
    </x:row>
    <x:row r="42" ht="46" customHeight="1">
      <x:c r="A42" s="2" t="str">
        <x:v>TEN-95175E23C3CB</x:v>
      </x:c>
      <x:c r="B42" s="12" t="str">
        <x:v>ETHOS</x:v>
      </x:c>
      <x:c r="C42" s="12" t="str">
        <x:v>CORP-0104</x:v>
      </x:c>
      <x:c r="D42" s="12" t="str">
        <x:v>Bengaluru</x:v>
      </x:c>
      <x:c r="E42" s="12" t="str">
        <x:v>Urban Vault- 1781</x:v>
      </x:c>
      <x:c r="F42" s="12" t="str">
        <x:v>32 inch LED TV</x:v>
      </x:c>
      <x:c r="G42" s="20" t="n">
        <x:v>2</x:v>
      </x:c>
      <x:c r="H42" s="12" t="str">
        <x:v>Inventory-listed building/workspace context; current occupancy and screen access unverified</x:v>
      </x:c>
      <x:c r="I42" s="12" t="str">
        <x:v>Small-scale prospects</x:v>
      </x:c>
      <x:c r="J42" s="12" t="str">
        <x:v>Trade, consumer &amp; logistics</x:v>
      </x:c>
      <x:c r="K42" s="2" t="str">
        <x:v>MAIN-108</x:v>
      </x:c>
    </x:row>
    <x:row r="43" ht="46" customHeight="1">
      <x:c r="A43" s="2" t="str">
        <x:v>TEN-9C57863DFC76</x:v>
      </x:c>
      <x:c r="B43" s="12" t="str">
        <x:v>Rummy verse</x:v>
      </x:c>
      <x:c r="C43" s="12" t="str">
        <x:v>CORP-0104</x:v>
      </x:c>
      <x:c r="D43" s="12" t="str">
        <x:v>Bengaluru</x:v>
      </x:c>
      <x:c r="E43" s="12" t="str">
        <x:v>Urban Vault- 1781</x:v>
      </x:c>
      <x:c r="F43" s="12" t="str">
        <x:v>32 inch LED TV</x:v>
      </x:c>
      <x:c r="G43" s="20" t="n">
        <x:v>2</x:v>
      </x:c>
      <x:c r="H43" s="12" t="str">
        <x:v>Inventory-listed building/workspace context; current occupancy and screen access unverified</x:v>
      </x:c>
      <x:c r="I43" s="12" t="str">
        <x:v>Small-scale prospects</x:v>
      </x:c>
      <x:c r="J43" s="12" t="str">
        <x:v>Trade, consumer &amp; logistics</x:v>
      </x:c>
      <x:c r="K43" s="2" t="str">
        <x:v>MAIN-108</x:v>
      </x:c>
    </x:row>
    <x:row r="44" ht="46" customHeight="1">
      <x:c r="A44" s="2" t="str">
        <x:v>TEN-A320EB654686</x:v>
      </x:c>
      <x:c r="B44" s="12" t="str">
        <x:v>Questt</x:v>
      </x:c>
      <x:c r="C44" s="12" t="str">
        <x:v>CORP-0104</x:v>
      </x:c>
      <x:c r="D44" s="12" t="str">
        <x:v>Bengaluru</x:v>
      </x:c>
      <x:c r="E44" s="12" t="str">
        <x:v>Urban Vault- 1781</x:v>
      </x:c>
      <x:c r="F44" s="12" t="str">
        <x:v>32 inch LED TV</x:v>
      </x:c>
      <x:c r="G44" s="20" t="n">
        <x:v>2</x:v>
      </x:c>
      <x:c r="H44" s="12" t="str">
        <x:v>Inventory-listed building/workspace context; current occupancy and screen access unverified</x:v>
      </x:c>
      <x:c r="I44" s="12" t="str">
        <x:v>Small-scale prospects</x:v>
      </x:c>
      <x:c r="J44" s="12" t="str">
        <x:v>Education</x:v>
      </x:c>
      <x:c r="K44" s="2" t="str">
        <x:v>MAIN-108</x:v>
      </x:c>
    </x:row>
    <x:row r="45" ht="46" customHeight="1">
      <x:c r="A45" s="2" t="str">
        <x:v>TEN-B769DB8ED13F</x:v>
      </x:c>
      <x:c r="B45" s="12" t="str">
        <x:v>Electric Pe</x:v>
      </x:c>
      <x:c r="C45" s="12" t="str">
        <x:v>CORP-0104</x:v>
      </x:c>
      <x:c r="D45" s="12" t="str">
        <x:v>Bengaluru</x:v>
      </x:c>
      <x:c r="E45" s="12" t="str">
        <x:v>Urban Vault- 1781</x:v>
      </x:c>
      <x:c r="F45" s="12" t="str">
        <x:v>32 inch LED TV</x:v>
      </x:c>
      <x:c r="G45" s="20" t="n">
        <x:v>2</x:v>
      </x:c>
      <x:c r="H45" s="12" t="str">
        <x:v>Inventory-listed building/workspace context; current occupancy and screen access unverified</x:v>
      </x:c>
      <x:c r="I45" s="12" t="str">
        <x:v>Small-scale prospects</x:v>
      </x:c>
      <x:c r="J45" s="12" t="str">
        <x:v>Trade, consumer &amp; logistics</x:v>
      </x:c>
      <x:c r="K45" s="2" t="str">
        <x:v>MAIN-108</x:v>
      </x:c>
    </x:row>
    <x:row r="46" ht="46" customHeight="1">
      <x:c r="A46" s="2" t="str">
        <x:v>TEN-FE21BDC7D5BD</x:v>
      </x:c>
      <x:c r="B46" s="12" t="str">
        <x:v>Intervue</x:v>
      </x:c>
      <x:c r="C46" s="12" t="str">
        <x:v>CORP-0104</x:v>
      </x:c>
      <x:c r="D46" s="12" t="str">
        <x:v>Bengaluru</x:v>
      </x:c>
      <x:c r="E46" s="12" t="str">
        <x:v>Urban Vault- 1781</x:v>
      </x:c>
      <x:c r="F46" s="12" t="str">
        <x:v>32 inch LED TV</x:v>
      </x:c>
      <x:c r="G46" s="20" t="n">
        <x:v>2</x:v>
      </x:c>
      <x:c r="H46" s="12" t="str">
        <x:v>Inventory-listed building/workspace context; current occupancy and screen access unverified</x:v>
      </x:c>
      <x:c r="I46" s="12" t="str">
        <x:v>Small-scale prospects</x:v>
      </x:c>
      <x:c r="J46" s="12" t="str">
        <x:v>IT &amp; digital</x:v>
      </x:c>
      <x:c r="K46" s="2" t="str">
        <x:v>MAIN-108</x:v>
      </x:c>
    </x:row>
    <x:row r="47" ht="46" customHeight="1">
      <x:c r="A47" s="2" t="str">
        <x:v>TEN-20FDC37C36AD</x:v>
      </x:c>
      <x:c r="B47" s="12" t="str">
        <x:v>Analytica/Grid</x:v>
      </x:c>
      <x:c r="C47" s="12" t="str">
        <x:v>CORP-0105</x:v>
      </x:c>
      <x:c r="D47" s="12" t="str">
        <x:v>Bengaluru</x:v>
      </x:c>
      <x:c r="E47" s="12" t="str">
        <x:v>Urban Vault- 2907</x:v>
      </x:c>
      <x:c r="F47" s="12" t="str">
        <x:v>32 inch LED TV</x:v>
      </x:c>
      <x:c r="G47" s="20" t="n">
        <x:v>2</x:v>
      </x:c>
      <x:c r="H47" s="12" t="str">
        <x:v>Inventory-listed building/workspace context; current occupancy and screen access unverified</x:v>
      </x:c>
      <x:c r="I47" s="12" t="str">
        <x:v>Mixed business audience</x:v>
      </x:c>
      <x:c r="J47" s="12" t="str">
        <x:v>Unresolved</x:v>
      </x:c>
      <x:c r="K47" s="2" t="str">
        <x:v>MAIN-109</x:v>
      </x:c>
    </x:row>
    <x:row r="48" ht="46" customHeight="1">
      <x:c r="A48" s="2" t="str">
        <x:v>TEN-848822CFB226</x:v>
      </x:c>
      <x:c r="B48" s="12" t="str">
        <x:v>Chalo</x:v>
      </x:c>
      <x:c r="C48" s="12" t="str">
        <x:v>CORP-0105</x:v>
      </x:c>
      <x:c r="D48" s="12" t="str">
        <x:v>Bengaluru</x:v>
      </x:c>
      <x:c r="E48" s="12" t="str">
        <x:v>Urban Vault- 2907</x:v>
      </x:c>
      <x:c r="F48" s="12" t="str">
        <x:v>32 inch LED TV</x:v>
      </x:c>
      <x:c r="G48" s="20" t="n">
        <x:v>2</x:v>
      </x:c>
      <x:c r="H48" s="12" t="str">
        <x:v>Inventory-listed building/workspace context; current occupancy and screen access unverified</x:v>
      </x:c>
      <x:c r="I48" s="12" t="str">
        <x:v>Medium-scale prospects</x:v>
      </x:c>
      <x:c r="J48" s="12" t="str">
        <x:v>Trade, consumer &amp; logistics</x:v>
      </x:c>
      <x:c r="K48" s="2" t="str">
        <x:v>MAIN-109</x:v>
      </x:c>
    </x:row>
    <x:row r="49" ht="46" customHeight="1">
      <x:c r="A49" s="2" t="str">
        <x:v>TEN-849CC660E855</x:v>
      </x:c>
      <x:c r="B49" s="12" t="str">
        <x:v>Furrl Linkederp</x:v>
      </x:c>
      <x:c r="C49" s="12" t="str">
        <x:v>CORP-0105</x:v>
      </x:c>
      <x:c r="D49" s="12" t="str">
        <x:v>Bengaluru</x:v>
      </x:c>
      <x:c r="E49" s="12" t="str">
        <x:v>Urban Vault- 2907</x:v>
      </x:c>
      <x:c r="F49" s="12" t="str">
        <x:v>32 inch LED TV</x:v>
      </x:c>
      <x:c r="G49" s="20" t="n">
        <x:v>2</x:v>
      </x:c>
      <x:c r="H49" s="12" t="str">
        <x:v>Inventory-listed building/workspace context; current occupancy and screen access unverified</x:v>
      </x:c>
      <x:c r="I49" s="12" t="str">
        <x:v>Mixed business audience</x:v>
      </x:c>
      <x:c r="J49" s="12" t="str">
        <x:v>Unresolved</x:v>
      </x:c>
      <x:c r="K49" s="2" t="str">
        <x:v>MAIN-109</x:v>
      </x:c>
    </x:row>
    <x:row r="50" ht="46" customHeight="1">
      <x:c r="A50" s="2" t="str">
        <x:v>TEN-A33603BF79F7</x:v>
      </x:c>
      <x:c r="B50" s="12" t="str">
        <x:v>Swift</x:v>
      </x:c>
      <x:c r="C50" s="12" t="str">
        <x:v>CORP-0105</x:v>
      </x:c>
      <x:c r="D50" s="12" t="str">
        <x:v>Bengaluru</x:v>
      </x:c>
      <x:c r="E50" s="12" t="str">
        <x:v>Urban Vault- 2907</x:v>
      </x:c>
      <x:c r="F50" s="12" t="str">
        <x:v>32 inch LED TV</x:v>
      </x:c>
      <x:c r="G50" s="20" t="n">
        <x:v>2</x:v>
      </x:c>
      <x:c r="H50" s="12" t="str">
        <x:v>Inventory-listed building/workspace context; current occupancy and screen access unverified</x:v>
      </x:c>
      <x:c r="I50" s="12" t="str">
        <x:v>Mixed business audience</x:v>
      </x:c>
      <x:c r="J50" s="12" t="str">
        <x:v>Unresolved</x:v>
      </x:c>
      <x:c r="K50" s="2" t="str">
        <x:v>MAIN-109</x:v>
      </x:c>
    </x:row>
    <x:row r="51" ht="46" customHeight="1">
      <x:c r="A51" s="2" t="str">
        <x:v>TEN-E681BA589DB7</x:v>
      </x:c>
      <x:c r="B51" s="12" t="str">
        <x:v>Zenda</x:v>
      </x:c>
      <x:c r="C51" s="12" t="str">
        <x:v>CORP-0105</x:v>
      </x:c>
      <x:c r="D51" s="12" t="str">
        <x:v>Bengaluru</x:v>
      </x:c>
      <x:c r="E51" s="12" t="str">
        <x:v>Urban Vault- 2907</x:v>
      </x:c>
      <x:c r="F51" s="12" t="str">
        <x:v>32 inch LED TV</x:v>
      </x:c>
      <x:c r="G51" s="20" t="n">
        <x:v>2</x:v>
      </x:c>
      <x:c r="H51" s="12" t="str">
        <x:v>Inventory-listed building/workspace context; current occupancy and screen access unverified</x:v>
      </x:c>
      <x:c r="I51" s="12" t="str">
        <x:v>Mixed business audience</x:v>
      </x:c>
      <x:c r="J51" s="12" t="str">
        <x:v>Unresolved</x:v>
      </x:c>
      <x:c r="K51" s="2" t="str">
        <x:v>MAIN-109</x:v>
      </x:c>
    </x:row>
    <x:row r="52" ht="46" customHeight="1">
      <x:c r="A52" s="2" t="str">
        <x:v>TEN-1B2AB90246EE</x:v>
      </x:c>
      <x:c r="B52" s="12" t="str">
        <x:v>Fubeus Technology Pvt. Ltd</x:v>
      </x:c>
      <x:c r="C52" s="12" t="str">
        <x:v>CORP-0007</x:v>
      </x:c>
      <x:c r="D52" s="12" t="str">
        <x:v>Bengaluru</x:v>
      </x:c>
      <x:c r="E52" s="12" t="str">
        <x:v>Awfis - Brigade Metropolis</x:v>
      </x:c>
      <x:c r="F52" s="12" t="str">
        <x:v>32 inch LED TV</x:v>
      </x:c>
      <x:c r="G52" s="20" t="n">
        <x:v>1</x:v>
      </x:c>
      <x:c r="H52" s="12" t="str">
        <x:v>Inventory-listed building/workspace context; current occupancy and screen access unverified</x:v>
      </x:c>
      <x:c r="I52" s="12" t="str">
        <x:v>Mixed business audience</x:v>
      </x:c>
      <x:c r="J52" s="12" t="str">
        <x:v>Unresolved</x:v>
      </x:c>
      <x:c r="K52" s="2" t="str">
        <x:v>MAIN-011</x:v>
      </x:c>
    </x:row>
    <x:row r="53" ht="46" customHeight="1">
      <x:c r="A53" s="2" t="str">
        <x:v>TEN-1DE6F8F03AAB</x:v>
      </x:c>
      <x:c r="B53" s="12" t="str">
        <x:v>Adecco India</x:v>
      </x:c>
      <x:c r="C53" s="12" t="str">
        <x:v>CORP-0007</x:v>
      </x:c>
      <x:c r="D53" s="12" t="str">
        <x:v>Bengaluru</x:v>
      </x:c>
      <x:c r="E53" s="12" t="str">
        <x:v>Awfis - Brigade Metropolis</x:v>
      </x:c>
      <x:c r="F53" s="12" t="str">
        <x:v>32 inch LED TV</x:v>
      </x:c>
      <x:c r="G53" s="20" t="n">
        <x:v>1</x:v>
      </x:c>
      <x:c r="H53" s="12" t="str">
        <x:v>Inventory-listed building/workspace context; current occupancy and screen access unverified</x:v>
      </x:c>
      <x:c r="I53" s="12" t="str">
        <x:v>Mixed business audience</x:v>
      </x:c>
      <x:c r="J53" s="12" t="str">
        <x:v>Professional services</x:v>
      </x:c>
      <x:c r="K53" s="2" t="str">
        <x:v>MAIN-011</x:v>
      </x:c>
    </x:row>
    <x:row r="54" ht="46" customHeight="1">
      <x:c r="A54" s="2" t="str">
        <x:v>TEN-3AFBF365C56B</x:v>
      </x:c>
      <x:c r="B54" s="12" t="str">
        <x:v>Kapture CX</x:v>
      </x:c>
      <x:c r="C54" s="12" t="str">
        <x:v>CORP-0007</x:v>
      </x:c>
      <x:c r="D54" s="12" t="str">
        <x:v>Bengaluru</x:v>
      </x:c>
      <x:c r="E54" s="12" t="str">
        <x:v>Awfis - Brigade Metropolis</x:v>
      </x:c>
      <x:c r="F54" s="12" t="str">
        <x:v>32 inch LED TV</x:v>
      </x:c>
      <x:c r="G54" s="20" t="n">
        <x:v>1</x:v>
      </x:c>
      <x:c r="H54" s="12" t="str">
        <x:v>Inventory-listed building/workspace context; current occupancy and screen access unverified</x:v>
      </x:c>
      <x:c r="I54" s="12" t="str">
        <x:v>Small-scale prospects</x:v>
      </x:c>
      <x:c r="J54" s="12" t="str">
        <x:v>IT &amp; digital</x:v>
      </x:c>
      <x:c r="K54" s="2" t="str">
        <x:v>MAIN-011</x:v>
      </x:c>
    </x:row>
    <x:row r="55" ht="46" customHeight="1">
      <x:c r="A55" s="2" t="str">
        <x:v>TEN-69A068939DEA</x:v>
      </x:c>
      <x:c r="B55" s="12" t="str">
        <x:v>Ernst and Young</x:v>
      </x:c>
      <x:c r="C55" s="12" t="str">
        <x:v>CORP-0007</x:v>
      </x:c>
      <x:c r="D55" s="12" t="str">
        <x:v>Bengaluru</x:v>
      </x:c>
      <x:c r="E55" s="12" t="str">
        <x:v>Awfis - Brigade Metropolis</x:v>
      </x:c>
      <x:c r="F55" s="12" t="str">
        <x:v>32 inch LED TV</x:v>
      </x:c>
      <x:c r="G55" s="20" t="n">
        <x:v>1</x:v>
      </x:c>
      <x:c r="H55" s="12" t="str">
        <x:v>Inventory-listed building/workspace context; current occupancy and screen access unverified</x:v>
      </x:c>
      <x:c r="I55" s="12" t="str">
        <x:v>Large enterprise</x:v>
      </x:c>
      <x:c r="J55" s="12" t="str">
        <x:v>Professional services</x:v>
      </x:c>
      <x:c r="K55" s="2" t="str">
        <x:v>MAIN-011</x:v>
      </x:c>
    </x:row>
    <x:row r="56" ht="46" customHeight="1">
      <x:c r="A56" s="2" t="str">
        <x:v>TEN-81BA36E7B3F1</x:v>
      </x:c>
      <x:c r="B56" s="12" t="str">
        <x:v>INVOTRIX TECHNOLOGIES</x:v>
      </x:c>
      <x:c r="C56" s="12" t="str">
        <x:v>CORP-0007</x:v>
      </x:c>
      <x:c r="D56" s="12" t="str">
        <x:v>Bengaluru</x:v>
      </x:c>
      <x:c r="E56" s="12" t="str">
        <x:v>Awfis - Brigade Metropolis</x:v>
      </x:c>
      <x:c r="F56" s="12" t="str">
        <x:v>32 inch LED TV</x:v>
      </x:c>
      <x:c r="G56" s="20" t="n">
        <x:v>1</x:v>
      </x:c>
      <x:c r="H56" s="12" t="str">
        <x:v>Inventory-listed building/workspace context; current occupancy and screen access unverified</x:v>
      </x:c>
      <x:c r="I56" s="12" t="str">
        <x:v>Mixed business audience</x:v>
      </x:c>
      <x:c r="J56" s="12" t="str">
        <x:v>Unresolved</x:v>
      </x:c>
      <x:c r="K56" s="2" t="str">
        <x:v>MAIN-011</x:v>
      </x:c>
    </x:row>
    <x:row r="57" ht="46" customHeight="1">
      <x:c r="A57" s="2" t="str">
        <x:v>TEN-E1F3AEFC4A1F</x:v>
      </x:c>
      <x:c r="B57" s="12" t="str">
        <x:v>Capgemini Technology Services India Limited</x:v>
      </x:c>
      <x:c r="C57" s="12" t="str">
        <x:v>CORP-0007</x:v>
      </x:c>
      <x:c r="D57" s="12" t="str">
        <x:v>Bengaluru</x:v>
      </x:c>
      <x:c r="E57" s="12" t="str">
        <x:v>Awfis - Brigade Metropolis</x:v>
      </x:c>
      <x:c r="F57" s="12" t="str">
        <x:v>32 inch LED TV</x:v>
      </x:c>
      <x:c r="G57" s="20" t="n">
        <x:v>1</x:v>
      </x:c>
      <x:c r="H57" s="12" t="str">
        <x:v>Inventory-listed building/workspace context; current occupancy and screen access unverified</x:v>
      </x:c>
      <x:c r="I57" s="12" t="str">
        <x:v>Large enterprise</x:v>
      </x:c>
      <x:c r="J57" s="12" t="str">
        <x:v>IT &amp; digital</x:v>
      </x:c>
      <x:c r="K57" s="2" t="str">
        <x:v>MAIN-011</x:v>
      </x:c>
    </x:row>
    <x:row r="58" ht="46" customHeight="1">
      <x:c r="A58" s="2" t="str">
        <x:v>TEN-442159F9AF42</x:v>
      </x:c>
      <x:c r="B58" s="12" t="str">
        <x:v>indid</x:v>
      </x:c>
      <x:c r="C58" s="12" t="str">
        <x:v>CORP-0106</x:v>
      </x:c>
      <x:c r="D58" s="12" t="str">
        <x:v>Bengaluru</x:v>
      </x:c>
      <x:c r="E58" s="12" t="str">
        <x:v>Urban Vault- 2908</x:v>
      </x:c>
      <x:c r="F58" s="12" t="str">
        <x:v>32 inch LED TV</x:v>
      </x:c>
      <x:c r="G58" s="20" t="n">
        <x:v>2</x:v>
      </x:c>
      <x:c r="H58" s="12" t="str">
        <x:v>Inventory-listed building/workspace context; current occupancy and screen access unverified</x:v>
      </x:c>
      <x:c r="I58" s="12" t="str">
        <x:v>Mixed business audience</x:v>
      </x:c>
      <x:c r="J58" s="12" t="str">
        <x:v>Unresolved</x:v>
      </x:c>
      <x:c r="K58" s="2" t="str">
        <x:v>MAIN-110</x:v>
      </x:c>
    </x:row>
    <x:row r="59" ht="46" customHeight="1">
      <x:c r="A59" s="2" t="str">
        <x:v>TEN-4EE0FA710885</x:v>
      </x:c>
      <x:c r="B59" s="12" t="str">
        <x:v>upstox</x:v>
      </x:c>
      <x:c r="C59" s="12" t="str">
        <x:v>CORP-0106</x:v>
      </x:c>
      <x:c r="D59" s="12" t="str">
        <x:v>Bengaluru</x:v>
      </x:c>
      <x:c r="E59" s="12" t="str">
        <x:v>Urban Vault- 2908</x:v>
      </x:c>
      <x:c r="F59" s="12" t="str">
        <x:v>32 inch LED TV</x:v>
      </x:c>
      <x:c r="G59" s="20" t="n">
        <x:v>2</x:v>
      </x:c>
      <x:c r="H59" s="12" t="str">
        <x:v>Inventory-listed building/workspace context; current occupancy and screen access unverified</x:v>
      </x:c>
      <x:c r="I59" s="12" t="str">
        <x:v>Mixed business audience</x:v>
      </x:c>
      <x:c r="J59" s="12" t="str">
        <x:v>Finance &amp; insurance</x:v>
      </x:c>
      <x:c r="K59" s="2" t="str">
        <x:v>MAIN-110</x:v>
      </x:c>
    </x:row>
    <x:row r="60" ht="46" customHeight="1">
      <x:c r="A60" s="2" t="str">
        <x:v>TEN-5AC89DBAD1DE</x:v>
      </x:c>
      <x:c r="B60" s="12" t="str">
        <x:v>G.O.A.T Brand Labs</x:v>
      </x:c>
      <x:c r="C60" s="12" t="str">
        <x:v>CORP-0106</x:v>
      </x:c>
      <x:c r="D60" s="12" t="str">
        <x:v>Bengaluru</x:v>
      </x:c>
      <x:c r="E60" s="12" t="str">
        <x:v>Urban Vault- 2908</x:v>
      </x:c>
      <x:c r="F60" s="12" t="str">
        <x:v>32 inch LED TV</x:v>
      </x:c>
      <x:c r="G60" s="20" t="n">
        <x:v>2</x:v>
      </x:c>
      <x:c r="H60" s="12" t="str">
        <x:v>Inventory-listed building/workspace context; current occupancy and screen access unverified</x:v>
      </x:c>
      <x:c r="I60" s="12" t="str">
        <x:v>Small-scale prospects</x:v>
      </x:c>
      <x:c r="J60" s="12" t="str">
        <x:v>Trade, consumer &amp; logistics</x:v>
      </x:c>
      <x:c r="K60" s="2" t="str">
        <x:v>MAIN-110</x:v>
      </x:c>
    </x:row>
    <x:row r="61" ht="46" customHeight="1">
      <x:c r="A61" s="2" t="str">
        <x:v>TEN-EED2FD71A969</x:v>
      </x:c>
      <x:c r="B61" s="12" t="str">
        <x:v>NeuroPixoLAI</x:v>
      </x:c>
      <x:c r="C61" s="12" t="str">
        <x:v>CORP-0106</x:v>
      </x:c>
      <x:c r="D61" s="12" t="str">
        <x:v>Bengaluru</x:v>
      </x:c>
      <x:c r="E61" s="12" t="str">
        <x:v>Urban Vault- 2908</x:v>
      </x:c>
      <x:c r="F61" s="12" t="str">
        <x:v>32 inch LED TV</x:v>
      </x:c>
      <x:c r="G61" s="20" t="n">
        <x:v>2</x:v>
      </x:c>
      <x:c r="H61" s="12" t="str">
        <x:v>Inventory-listed building/workspace context; current occupancy and screen access unverified</x:v>
      </x:c>
      <x:c r="I61" s="12" t="str">
        <x:v>Mixed business audience</x:v>
      </x:c>
      <x:c r="J61" s="12" t="str">
        <x:v>Unresolved</x:v>
      </x:c>
      <x:c r="K61" s="2" t="str">
        <x:v>MAIN-110</x:v>
      </x:c>
    </x:row>
    <x:row r="62" ht="46" customHeight="1">
      <x:c r="A62" s="2" t="str">
        <x:v>TEN-0A260D0BDF2D</x:v>
      </x:c>
      <x:c r="B62" s="12" t="str">
        <x:v>Purnabrahma Restaurant</x:v>
      </x:c>
      <x:c r="C62" s="12" t="str">
        <x:v>CORP-0107</x:v>
      </x:c>
      <x:c r="D62" s="12" t="str">
        <x:v>Bengaluru</x:v>
      </x:c>
      <x:c r="E62" s="12" t="str">
        <x:v>Urban Vault- Head Quarters</x:v>
      </x:c>
      <x:c r="F62" s="12" t="str">
        <x:v>32 inch LED TV</x:v>
      </x:c>
      <x:c r="G62" s="20" t="n">
        <x:v>1</x:v>
      </x:c>
      <x:c r="H62" s="12" t="str">
        <x:v>Inventory-listed building/workspace context; current occupancy and screen access unverified</x:v>
      </x:c>
      <x:c r="I62" s="12" t="str">
        <x:v>Small-scale prospects</x:v>
      </x:c>
      <x:c r="J62" s="12" t="str">
        <x:v>Trade, consumer &amp; logistics</x:v>
      </x:c>
      <x:c r="K62" s="2" t="str">
        <x:v>MAIN-111</x:v>
      </x:c>
    </x:row>
    <x:row r="63" ht="46" customHeight="1">
      <x:c r="A63" s="2" t="str">
        <x:v>TEN-6833ABA80C52</x:v>
      </x:c>
      <x:c r="B63" s="12" t="str">
        <x:v>Blue Tokai</x:v>
      </x:c>
      <x:c r="C63" s="12" t="str">
        <x:v>CORP-0107</x:v>
      </x:c>
      <x:c r="D63" s="12" t="str">
        <x:v>Bengaluru</x:v>
      </x:c>
      <x:c r="E63" s="12" t="str">
        <x:v>Urban Vault- Head Quarters</x:v>
      </x:c>
      <x:c r="F63" s="12" t="str">
        <x:v>32 inch LED TV</x:v>
      </x:c>
      <x:c r="G63" s="20" t="n">
        <x:v>1</x:v>
      </x:c>
      <x:c r="H63" s="12" t="str">
        <x:v>Inventory-listed building/workspace context; current occupancy and screen access unverified</x:v>
      </x:c>
      <x:c r="I63" s="12" t="str">
        <x:v>Mixed business audience</x:v>
      </x:c>
      <x:c r="J63" s="12" t="str">
        <x:v>Trade, consumer &amp; logistics</x:v>
      </x:c>
      <x:c r="K63" s="2" t="str">
        <x:v>MAIN-111</x:v>
      </x:c>
    </x:row>
    <x:row r="64" ht="46" customHeight="1">
      <x:c r="A64" s="2" t="str">
        <x:v>TEN-766583A204E4</x:v>
      </x:c>
      <x:c r="B64" s="12" t="str">
        <x:v>Cafe Tulum Culture</x:v>
      </x:c>
      <x:c r="C64" s="12" t="str">
        <x:v>CORP-0107</x:v>
      </x:c>
      <x:c r="D64" s="12" t="str">
        <x:v>Bengaluru</x:v>
      </x:c>
      <x:c r="E64" s="12" t="str">
        <x:v>Urban Vault- Head Quarters</x:v>
      </x:c>
      <x:c r="F64" s="12" t="str">
        <x:v>32 inch LED TV</x:v>
      </x:c>
      <x:c r="G64" s="20" t="n">
        <x:v>1</x:v>
      </x:c>
      <x:c r="H64" s="12" t="str">
        <x:v>Inventory-listed building/workspace context; current occupancy and screen access unverified</x:v>
      </x:c>
      <x:c r="I64" s="12" t="str">
        <x:v>Micro-scale prospects</x:v>
      </x:c>
      <x:c r="J64" s="12" t="str">
        <x:v>Trade, consumer &amp; logistics</x:v>
      </x:c>
      <x:c r="K64" s="2" t="str">
        <x:v>MAIN-111</x:v>
      </x:c>
    </x:row>
    <x:row r="65" ht="46" customHeight="1">
      <x:c r="A65" s="2" t="str">
        <x:v>TEN-D1D0F589C024</x:v>
      </x:c>
      <x:c r="B65" s="12" t="str">
        <x:v>Brigosha Technologies</x:v>
      </x:c>
      <x:c r="C65" s="12" t="str">
        <x:v>CORP-0107</x:v>
      </x:c>
      <x:c r="D65" s="12" t="str">
        <x:v>Bengaluru</x:v>
      </x:c>
      <x:c r="E65" s="12" t="str">
        <x:v>Urban Vault- Head Quarters</x:v>
      </x:c>
      <x:c r="F65" s="12" t="str">
        <x:v>32 inch LED TV</x:v>
      </x:c>
      <x:c r="G65" s="20" t="n">
        <x:v>1</x:v>
      </x:c>
      <x:c r="H65" s="12" t="str">
        <x:v>Inventory-listed building/workspace context; current occupancy and screen access unverified</x:v>
      </x:c>
      <x:c r="I65" s="12" t="str">
        <x:v>Small-scale prospects</x:v>
      </x:c>
      <x:c r="J65" s="12" t="str">
        <x:v>IT &amp; digital</x:v>
      </x:c>
      <x:c r="K65" s="2" t="str">
        <x:v>MAIN-111</x:v>
      </x:c>
    </x:row>
    <x:row r="66" ht="46" customHeight="1">
      <x:c r="A66" s="2" t="str">
        <x:v>TEN-F203D8BBAC6A</x:v>
      </x:c>
      <x:c r="B66" s="12" t="str">
        <x:v>Brigosha Tech</x:v>
      </x:c>
      <x:c r="C66" s="12" t="str">
        <x:v>CORP-0107</x:v>
      </x:c>
      <x:c r="D66" s="12" t="str">
        <x:v>Bengaluru</x:v>
      </x:c>
      <x:c r="E66" s="12" t="str">
        <x:v>Urban Vault- Head Quarters</x:v>
      </x:c>
      <x:c r="F66" s="12" t="str">
        <x:v>32 inch LED TV</x:v>
      </x:c>
      <x:c r="G66" s="20" t="n">
        <x:v>1</x:v>
      </x:c>
      <x:c r="H66" s="12" t="str">
        <x:v>Inventory-listed building/workspace context; current occupancy and screen access unverified</x:v>
      </x:c>
      <x:c r="I66" s="12" t="str">
        <x:v>Small-scale prospects</x:v>
      </x:c>
      <x:c r="J66" s="12" t="str">
        <x:v>IT &amp; digital</x:v>
      </x:c>
      <x:c r="K66" s="2" t="str">
        <x:v>MAIN-111</x:v>
      </x:c>
    </x:row>
    <x:row r="67" ht="46" customHeight="1">
      <x:c r="A67" s="2" t="str">
        <x:v>TEN-7105A46CB4C2</x:v>
      </x:c>
      <x:c r="B67" s="12" t="str">
        <x:v>Goldman Sachs</x:v>
      </x:c>
      <x:c r="C67" s="12" t="str">
        <x:v>CORP-0108</x:v>
      </x:c>
      <x:c r="D67" s="12" t="str">
        <x:v>Bengaluru</x:v>
      </x:c>
      <x:c r="E67" s="12" t="str">
        <x:v>WeWork - Cherry Hills</x:v>
      </x:c>
      <x:c r="F67" s="12" t="str">
        <x:v>43 inch LED TV</x:v>
      </x:c>
      <x:c r="G67" s="20" t="n">
        <x:v>1</x:v>
      </x:c>
      <x:c r="H67" s="12" t="str">
        <x:v>Inventory-listed building/workspace context; current occupancy and screen access unverified</x:v>
      </x:c>
      <x:c r="I67" s="12" t="str">
        <x:v>Mixed business audience</x:v>
      </x:c>
      <x:c r="J67" s="12" t="str">
        <x:v>Finance &amp; insurance</x:v>
      </x:c>
      <x:c r="K67" s="2" t="str">
        <x:v>MAIN-112</x:v>
      </x:c>
    </x:row>
    <x:row r="68" ht="46" customHeight="1">
      <x:c r="A68" s="2" t="str">
        <x:v>TEN-901D155A2AAB</x:v>
      </x:c>
      <x:c r="B68" s="12" t="str">
        <x:v>Moveworks</x:v>
      </x:c>
      <x:c r="C68" s="12" t="str">
        <x:v>CORP-0108</x:v>
      </x:c>
      <x:c r="D68" s="12" t="str">
        <x:v>Bengaluru</x:v>
      </x:c>
      <x:c r="E68" s="12" t="str">
        <x:v>WeWork - Cherry Hills</x:v>
      </x:c>
      <x:c r="F68" s="12" t="str">
        <x:v>43 inch LED TV</x:v>
      </x:c>
      <x:c r="G68" s="20" t="n">
        <x:v>1</x:v>
      </x:c>
      <x:c r="H68" s="12" t="str">
        <x:v>Inventory-listed building/workspace context; current occupancy and screen access unverified</x:v>
      </x:c>
      <x:c r="I68" s="12" t="str">
        <x:v>Mixed business audience</x:v>
      </x:c>
      <x:c r="J68" s="12" t="str">
        <x:v>IT &amp; digital</x:v>
      </x:c>
      <x:c r="K68" s="2" t="str">
        <x:v>MAIN-112</x:v>
      </x:c>
    </x:row>
    <x:row r="69" ht="46" customHeight="1">
      <x:c r="A69" s="2" t="str">
        <x:v>TEN-BB5042D9B00B</x:v>
      </x:c>
      <x:c r="B69" s="12" t="str">
        <x:v>Disney Star</x:v>
      </x:c>
      <x:c r="C69" s="12" t="str">
        <x:v>CORP-0108</x:v>
      </x:c>
      <x:c r="D69" s="12" t="str">
        <x:v>Bengaluru</x:v>
      </x:c>
      <x:c r="E69" s="12" t="str">
        <x:v>WeWork - Cherry Hills</x:v>
      </x:c>
      <x:c r="F69" s="12" t="str">
        <x:v>43 inch LED TV</x:v>
      </x:c>
      <x:c r="G69" s="20" t="n">
        <x:v>1</x:v>
      </x:c>
      <x:c r="H69" s="12" t="str">
        <x:v>Inventory-listed building/workspace context; current occupancy and screen access unverified</x:v>
      </x:c>
      <x:c r="I69" s="12" t="str">
        <x:v>Mixed business audience</x:v>
      </x:c>
      <x:c r="J69" s="12" t="str">
        <x:v>Trade, consumer &amp; logistics</x:v>
      </x:c>
      <x:c r="K69" s="2" t="str">
        <x:v>MAIN-112</x:v>
      </x:c>
    </x:row>
    <x:row r="70" ht="46" customHeight="1">
      <x:c r="A70" s="2" t="str">
        <x:v>TEN-C89B9174C0F0</x:v>
      </x:c>
      <x:c r="B70" s="12" t="str">
        <x:v>Citrix Systems</x:v>
      </x:c>
      <x:c r="C70" s="12" t="str">
        <x:v>CORP-0108</x:v>
      </x:c>
      <x:c r="D70" s="12" t="str">
        <x:v>Bengaluru</x:v>
      </x:c>
      <x:c r="E70" s="12" t="str">
        <x:v>WeWork - Cherry Hills</x:v>
      </x:c>
      <x:c r="F70" s="12" t="str">
        <x:v>43 inch LED TV</x:v>
      </x:c>
      <x:c r="G70" s="20" t="n">
        <x:v>1</x:v>
      </x:c>
      <x:c r="H70" s="12" t="str">
        <x:v>Inventory-listed building/workspace context; current occupancy and screen access unverified</x:v>
      </x:c>
      <x:c r="I70" s="12" t="str">
        <x:v>Mixed business audience</x:v>
      </x:c>
      <x:c r="J70" s="12" t="str">
        <x:v>IT &amp; digital</x:v>
      </x:c>
      <x:c r="K70" s="2" t="str">
        <x:v>MAIN-112</x:v>
      </x:c>
    </x:row>
    <x:row r="71" ht="46" customHeight="1">
      <x:c r="A71" s="2" t="str">
        <x:v>TEN-EDA2DFE8C935</x:v>
      </x:c>
      <x:c r="B71" s="12" t="str">
        <x:v>Hotstar</x:v>
      </x:c>
      <x:c r="C71" s="12" t="str">
        <x:v>CORP-0108</x:v>
      </x:c>
      <x:c r="D71" s="12" t="str">
        <x:v>Bengaluru</x:v>
      </x:c>
      <x:c r="E71" s="12" t="str">
        <x:v>WeWork - Cherry Hills</x:v>
      </x:c>
      <x:c r="F71" s="12" t="str">
        <x:v>43 inch LED TV</x:v>
      </x:c>
      <x:c r="G71" s="20" t="n">
        <x:v>1</x:v>
      </x:c>
      <x:c r="H71" s="12" t="str">
        <x:v>Inventory-listed building/workspace context; current occupancy and screen access unverified</x:v>
      </x:c>
      <x:c r="I71" s="12" t="str">
        <x:v>Mixed business audience</x:v>
      </x:c>
      <x:c r="J71" s="12" t="str">
        <x:v>Trade, consumer &amp; logistics</x:v>
      </x:c>
      <x:c r="K71" s="2" t="str">
        <x:v>MAIN-112</x:v>
      </x:c>
    </x:row>
    <x:row r="72" ht="46" customHeight="1">
      <x:c r="A72" s="2" t="str">
        <x:v>TEN-34ACAFF17988</x:v>
      </x:c>
      <x:c r="B72" s="12" t="str">
        <x:v>Kyron Management Services Pvt Ltd</x:v>
      </x:c>
      <x:c r="C72" s="12" t="str">
        <x:v>CORP-0109</x:v>
      </x:c>
      <x:c r="D72" s="12" t="str">
        <x:v>Bengaluru</x:v>
      </x:c>
      <x:c r="E72" s="12" t="str">
        <x:v>WeWork - EGL</x:v>
      </x:c>
      <x:c r="F72" s="12" t="str">
        <x:v>43 inch LED TV</x:v>
      </x:c>
      <x:c r="G72" s="20" t="n">
        <x:v>4</x:v>
      </x:c>
      <x:c r="H72" s="12" t="str">
        <x:v>Campus/portfolio roster; individual building occupancy unverified</x:v>
      </x:c>
      <x:c r="I72" s="12" t="str">
        <x:v>Small-scale prospects</x:v>
      </x:c>
      <x:c r="J72" s="12" t="str">
        <x:v>Professional services</x:v>
      </x:c>
      <x:c r="K72" s="2" t="str">
        <x:v>MAIN-113</x:v>
      </x:c>
    </x:row>
    <x:row r="73" ht="46" customHeight="1">
      <x:c r="A73" s="2" t="str">
        <x:v>TEN-78346E1DD33E</x:v>
      </x:c>
      <x:c r="B73" s="12" t="str">
        <x:v>Techstars</x:v>
      </x:c>
      <x:c r="C73" s="12" t="str">
        <x:v>CORP-0109</x:v>
      </x:c>
      <x:c r="D73" s="12" t="str">
        <x:v>Bengaluru</x:v>
      </x:c>
      <x:c r="E73" s="12" t="str">
        <x:v>WeWork - EGL</x:v>
      </x:c>
      <x:c r="F73" s="12" t="str">
        <x:v>43 inch LED TV</x:v>
      </x:c>
      <x:c r="G73" s="20" t="n">
        <x:v>4</x:v>
      </x:c>
      <x:c r="H73" s="12" t="str">
        <x:v>Campus/portfolio roster; individual building occupancy unverified</x:v>
      </x:c>
      <x:c r="I73" s="12" t="str">
        <x:v>Mixed business audience</x:v>
      </x:c>
      <x:c r="J73" s="12" t="str">
        <x:v>Unresolved</x:v>
      </x:c>
      <x:c r="K73" s="2" t="str">
        <x:v>MAIN-113</x:v>
      </x:c>
    </x:row>
    <x:row r="74" ht="46" customHeight="1">
      <x:c r="A74" s="2" t="str">
        <x:v>TEN-BD06E0108A69</x:v>
      </x:c>
      <x:c r="B74" s="12" t="str">
        <x:v>Leviton</x:v>
      </x:c>
      <x:c r="C74" s="12" t="str">
        <x:v>CORP-0109</x:v>
      </x:c>
      <x:c r="D74" s="12" t="str">
        <x:v>Bengaluru</x:v>
      </x:c>
      <x:c r="E74" s="12" t="str">
        <x:v>WeWork - EGL</x:v>
      </x:c>
      <x:c r="F74" s="12" t="str">
        <x:v>43 inch LED TV</x:v>
      </x:c>
      <x:c r="G74" s="20" t="n">
        <x:v>4</x:v>
      </x:c>
      <x:c r="H74" s="12" t="str">
        <x:v>Campus/portfolio roster; individual building occupancy unverified</x:v>
      </x:c>
      <x:c r="I74" s="12" t="str">
        <x:v>Mixed business audience</x:v>
      </x:c>
      <x:c r="J74" s="12" t="str">
        <x:v>Engineering &amp; manufacturing</x:v>
      </x:c>
      <x:c r="K74" s="2" t="str">
        <x:v>MAIN-113</x:v>
      </x:c>
    </x:row>
    <x:row r="75" ht="46" customHeight="1">
      <x:c r="A75" s="2" t="str">
        <x:v>TEN-C044E2C928F5</x:v>
      </x:c>
      <x:c r="B75" s="12" t="str">
        <x:v>Squarepoint Technologies India Pvt Ltd</x:v>
      </x:c>
      <x:c r="C75" s="12" t="str">
        <x:v>CORP-0109</x:v>
      </x:c>
      <x:c r="D75" s="12" t="str">
        <x:v>Bengaluru</x:v>
      </x:c>
      <x:c r="E75" s="12" t="str">
        <x:v>WeWork - EGL</x:v>
      </x:c>
      <x:c r="F75" s="12" t="str">
        <x:v>43 inch LED TV</x:v>
      </x:c>
      <x:c r="G75" s="20" t="n">
        <x:v>4</x:v>
      </x:c>
      <x:c r="H75" s="12" t="str">
        <x:v>Campus/portfolio roster; individual building occupancy unverified</x:v>
      </x:c>
      <x:c r="I75" s="12" t="str">
        <x:v>Mixed business audience</x:v>
      </x:c>
      <x:c r="J75" s="12" t="str">
        <x:v>IT &amp; digital</x:v>
      </x:c>
      <x:c r="K75" s="2" t="str">
        <x:v>MAIN-113</x:v>
      </x:c>
    </x:row>
    <x:row r="76" ht="46" customHeight="1">
      <x:c r="A76" s="2" t="str">
        <x:v>TEN-CC236CA9F0D8</x:v>
      </x:c>
      <x:c r="B76" s="12" t="str">
        <x:v>Atlassian India</x:v>
      </x:c>
      <x:c r="C76" s="12" t="str">
        <x:v>CORP-0109</x:v>
      </x:c>
      <x:c r="D76" s="12" t="str">
        <x:v>Bengaluru</x:v>
      </x:c>
      <x:c r="E76" s="12" t="str">
        <x:v>WeWork - EGL</x:v>
      </x:c>
      <x:c r="F76" s="12" t="str">
        <x:v>43 inch LED TV</x:v>
      </x:c>
      <x:c r="G76" s="20" t="n">
        <x:v>4</x:v>
      </x:c>
      <x:c r="H76" s="12" t="str">
        <x:v>Campus/portfolio roster; individual building occupancy unverified</x:v>
      </x:c>
      <x:c r="I76" s="12" t="str">
        <x:v>Large enterprise</x:v>
      </x:c>
      <x:c r="J76" s="12" t="str">
        <x:v>IT &amp; digital</x:v>
      </x:c>
      <x:c r="K76" s="2" t="str">
        <x:v>MAIN-113</x:v>
      </x:c>
    </x:row>
    <x:row r="77" ht="46" customHeight="1">
      <x:c r="A77" s="2" t="str">
        <x:v>TEN-D218324446AC</x:v>
      </x:c>
      <x:c r="B77" s="12" t="str">
        <x:v>Precisely software and data India Pvt Ltd</x:v>
      </x:c>
      <x:c r="C77" s="12" t="str">
        <x:v>CORP-0109</x:v>
      </x:c>
      <x:c r="D77" s="12" t="str">
        <x:v>Bengaluru</x:v>
      </x:c>
      <x:c r="E77" s="12" t="str">
        <x:v>WeWork - EGL</x:v>
      </x:c>
      <x:c r="F77" s="12" t="str">
        <x:v>43 inch LED TV</x:v>
      </x:c>
      <x:c r="G77" s="20" t="n">
        <x:v>4</x:v>
      </x:c>
      <x:c r="H77" s="12" t="str">
        <x:v>Campus/portfolio roster; individual building occupancy unverified</x:v>
      </x:c>
      <x:c r="I77" s="12" t="str">
        <x:v>Mixed business audience</x:v>
      </x:c>
      <x:c r="J77" s="12" t="str">
        <x:v>IT &amp; digital</x:v>
      </x:c>
      <x:c r="K77" s="2" t="str">
        <x:v>MAIN-113</x:v>
      </x:c>
    </x:row>
    <x:row r="78" ht="46" customHeight="1">
      <x:c r="A78" s="2" t="str">
        <x:v>TEN-4B0ECD1B387D</x:v>
      </x:c>
      <x:c r="B78" s="12" t="str">
        <x:v>Belden India Pvt Ltd</x:v>
      </x:c>
      <x:c r="C78" s="12" t="str">
        <x:v>CORP-0110</x:v>
      </x:c>
      <x:c r="D78" s="12" t="str">
        <x:v>Bengaluru</x:v>
      </x:c>
      <x:c r="E78" s="12" t="str">
        <x:v>Wework - Embassy One</x:v>
      </x:c>
      <x:c r="F78" s="12" t="str">
        <x:v>43 inch LED TV</x:v>
      </x:c>
      <x:c r="G78" s="20" t="n">
        <x:v>2</x:v>
      </x:c>
      <x:c r="H78" s="12" t="str">
        <x:v>Inventory-listed building/workspace context; current occupancy and screen access unverified</x:v>
      </x:c>
      <x:c r="I78" s="12" t="str">
        <x:v>Mixed business audience</x:v>
      </x:c>
      <x:c r="J78" s="12" t="str">
        <x:v>IT &amp; digital</x:v>
      </x:c>
      <x:c r="K78" s="2" t="str">
        <x:v>MAIN-114</x:v>
      </x:c>
    </x:row>
    <x:row r="79" ht="46" customHeight="1">
      <x:c r="A79" s="2" t="str">
        <x:v>TEN-4F3101461825</x:v>
      </x:c>
      <x:c r="B79" s="12" t="str">
        <x:v>Infuse Spa at Four Seasons Hotel Bengaluru at Embassy</x:v>
      </x:c>
      <x:c r="C79" s="12" t="str">
        <x:v>CORP-0110</x:v>
      </x:c>
      <x:c r="D79" s="12" t="str">
        <x:v>Bengaluru</x:v>
      </x:c>
      <x:c r="E79" s="12" t="str">
        <x:v>Wework - Embassy One</x:v>
      </x:c>
      <x:c r="F79" s="12" t="str">
        <x:v>43 inch LED TV</x:v>
      </x:c>
      <x:c r="G79" s="20" t="n">
        <x:v>2</x:v>
      </x:c>
      <x:c r="H79" s="12" t="str">
        <x:v>Inventory-listed building/workspace context; current occupancy and screen access unverified</x:v>
      </x:c>
      <x:c r="I79" s="12" t="str">
        <x:v>Mixed business audience</x:v>
      </x:c>
      <x:c r="J79" s="12" t="str">
        <x:v>Trade, consumer &amp; logistics</x:v>
      </x:c>
      <x:c r="K79" s="2" t="str">
        <x:v>MAIN-114</x:v>
      </x:c>
    </x:row>
    <x:row r="80" ht="46" customHeight="1">
      <x:c r="A80" s="2" t="str">
        <x:v>TEN-7989E7FF0546</x:v>
      </x:c>
      <x:c r="B80" s="12" t="str">
        <x:v>Consulate General of the Kingdom of the Netherlands</x:v>
      </x:c>
      <x:c r="C80" s="12" t="str">
        <x:v>CORP-0110</x:v>
      </x:c>
      <x:c r="D80" s="12" t="str">
        <x:v>Bengaluru</x:v>
      </x:c>
      <x:c r="E80" s="12" t="str">
        <x:v>Wework - Embassy One</x:v>
      </x:c>
      <x:c r="F80" s="12" t="str">
        <x:v>43 inch LED TV</x:v>
      </x:c>
      <x:c r="G80" s="20" t="n">
        <x:v>2</x:v>
      </x:c>
      <x:c r="H80" s="12" t="str">
        <x:v>Inventory-listed building/workspace context; current occupancy and screen access unverified</x:v>
      </x:c>
      <x:c r="I80" s="12" t="str">
        <x:v>Institutional</x:v>
      </x:c>
      <x:c r="J80" s="12" t="str">
        <x:v>Government &amp; nonprofit</x:v>
      </x:c>
      <x:c r="K80" s="2" t="str">
        <x:v>MAIN-114</x:v>
      </x:c>
    </x:row>
    <x:row r="81" ht="46" customHeight="1">
      <x:c r="A81" s="2" t="str">
        <x:v>TEN-873037B174A4</x:v>
      </x:c>
      <x:c r="B81" s="12" t="str">
        <x:v>KOTRA Bangalore</x:v>
      </x:c>
      <x:c r="C81" s="12" t="str">
        <x:v>CORP-0110</x:v>
      </x:c>
      <x:c r="D81" s="12" t="str">
        <x:v>Bengaluru</x:v>
      </x:c>
      <x:c r="E81" s="12" t="str">
        <x:v>Wework - Embassy One</x:v>
      </x:c>
      <x:c r="F81" s="12" t="str">
        <x:v>43 inch LED TV</x:v>
      </x:c>
      <x:c r="G81" s="20" t="n">
        <x:v>2</x:v>
      </x:c>
      <x:c r="H81" s="12" t="str">
        <x:v>Inventory-listed building/workspace context; current occupancy and screen access unverified</x:v>
      </x:c>
      <x:c r="I81" s="12" t="str">
        <x:v>Institutional</x:v>
      </x:c>
      <x:c r="J81" s="12" t="str">
        <x:v>Government &amp; nonprofit</x:v>
      </x:c>
      <x:c r="K81" s="2" t="str">
        <x:v>MAIN-114</x:v>
      </x:c>
    </x:row>
    <x:row r="82" ht="46" customHeight="1">
      <x:c r="A82" s="2" t="str">
        <x:v>TEN-C1340F89DF88</x:v>
      </x:c>
      <x:c r="B82" s="12" t="str">
        <x:v>Illumina Solution Center</x:v>
      </x:c>
      <x:c r="C82" s="12" t="str">
        <x:v>CORP-0110</x:v>
      </x:c>
      <x:c r="D82" s="12" t="str">
        <x:v>Bengaluru</x:v>
      </x:c>
      <x:c r="E82" s="12" t="str">
        <x:v>Wework - Embassy One</x:v>
      </x:c>
      <x:c r="F82" s="12" t="str">
        <x:v>43 inch LED TV</x:v>
      </x:c>
      <x:c r="G82" s="20" t="n">
        <x:v>2</x:v>
      </x:c>
      <x:c r="H82" s="12" t="str">
        <x:v>Inventory-listed building/workspace context; current occupancy and screen access unverified</x:v>
      </x:c>
      <x:c r="I82" s="12" t="str">
        <x:v>Mixed business audience</x:v>
      </x:c>
      <x:c r="J82" s="12" t="str">
        <x:v>Healthcare &amp; life sciences</x:v>
      </x:c>
      <x:c r="K82" s="2" t="str">
        <x:v>MAIN-114</x:v>
      </x:c>
    </x:row>
    <x:row r="83" ht="46" customHeight="1">
      <x:c r="A83" s="2" t="str">
        <x:v>TEN-CB23CDD2295E</x:v>
      </x:c>
      <x:c r="B83" s="12" t="str">
        <x:v>Hyundai Motor India</x:v>
      </x:c>
      <x:c r="C83" s="12" t="str">
        <x:v>CORP-0110</x:v>
      </x:c>
      <x:c r="D83" s="12" t="str">
        <x:v>Bengaluru</x:v>
      </x:c>
      <x:c r="E83" s="12" t="str">
        <x:v>Wework - Embassy One</x:v>
      </x:c>
      <x:c r="F83" s="12" t="str">
        <x:v>43 inch LED TV</x:v>
      </x:c>
      <x:c r="G83" s="20" t="n">
        <x:v>2</x:v>
      </x:c>
      <x:c r="H83" s="12" t="str">
        <x:v>Inventory-listed building/workspace context; current occupancy and screen access unverified</x:v>
      </x:c>
      <x:c r="I83" s="12" t="str">
        <x:v>Mixed business audience</x:v>
      </x:c>
      <x:c r="J83" s="12" t="str">
        <x:v>Engineering &amp; manufacturing</x:v>
      </x:c>
      <x:c r="K83" s="2" t="str">
        <x:v>MAIN-114</x:v>
      </x:c>
    </x:row>
    <x:row r="84" ht="46" customHeight="1">
      <x:c r="A84" s="2" t="str">
        <x:v>TEN-0343379BA4A0</x:v>
      </x:c>
      <x:c r="B84" s="12" t="str">
        <x:v>Khaitan &amp; Co</x:v>
      </x:c>
      <x:c r="C84" s="12" t="str">
        <x:v>CORP-0111</x:v>
      </x:c>
      <x:c r="D84" s="12" t="str">
        <x:v>Bengaluru</x:v>
      </x:c>
      <x:c r="E84" s="12" t="str">
        <x:v>Wework - Embassy Quest</x:v>
      </x:c>
      <x:c r="F84" s="12" t="str">
        <x:v>43 inch LED TV</x:v>
      </x:c>
      <x:c r="G84" s="20" t="n">
        <x:v>4</x:v>
      </x:c>
      <x:c r="H84" s="12" t="str">
        <x:v>Inventory-listed building/workspace context; current occupancy and screen access unverified</x:v>
      </x:c>
      <x:c r="I84" s="12" t="str">
        <x:v>Large enterprise</x:v>
      </x:c>
      <x:c r="J84" s="12" t="str">
        <x:v>Professional services</x:v>
      </x:c>
      <x:c r="K84" s="2" t="str">
        <x:v>MAIN-115</x:v>
      </x:c>
    </x:row>
    <x:row r="85" ht="46" customHeight="1">
      <x:c r="A85" s="2" t="str">
        <x:v>TEN-1C20B1A4BABD</x:v>
      </x:c>
      <x:c r="B85" s="12" t="str">
        <x:v>Apollo Corporate Office Bangalore</x:v>
      </x:c>
      <x:c r="C85" s="12" t="str">
        <x:v>CORP-0111</x:v>
      </x:c>
      <x:c r="D85" s="12" t="str">
        <x:v>Bengaluru</x:v>
      </x:c>
      <x:c r="E85" s="12" t="str">
        <x:v>Wework - Embassy Quest</x:v>
      </x:c>
      <x:c r="F85" s="12" t="str">
        <x:v>43 inch LED TV</x:v>
      </x:c>
      <x:c r="G85" s="20" t="n">
        <x:v>4</x:v>
      </x:c>
      <x:c r="H85" s="12" t="str">
        <x:v>Inventory-listed building/workspace context; current occupancy and screen access unverified</x:v>
      </x:c>
      <x:c r="I85" s="12" t="str">
        <x:v>Mixed business audience</x:v>
      </x:c>
      <x:c r="J85" s="12" t="str">
        <x:v>Unresolved</x:v>
      </x:c>
      <x:c r="K85" s="2" t="str">
        <x:v>MAIN-115</x:v>
      </x:c>
    </x:row>
    <x:row r="86" ht="46" customHeight="1">
      <x:c r="A86" s="2" t="str">
        <x:v>TEN-306C8F629100</x:v>
      </x:c>
      <x:c r="B86" s="12" t="str">
        <x:v>Laundryheap India</x:v>
      </x:c>
      <x:c r="C86" s="12" t="str">
        <x:v>CORP-0111</x:v>
      </x:c>
      <x:c r="D86" s="12" t="str">
        <x:v>Bengaluru</x:v>
      </x:c>
      <x:c r="E86" s="12" t="str">
        <x:v>Wework - Embassy Quest</x:v>
      </x:c>
      <x:c r="F86" s="12" t="str">
        <x:v>43 inch LED TV</x:v>
      </x:c>
      <x:c r="G86" s="20" t="n">
        <x:v>4</x:v>
      </x:c>
      <x:c r="H86" s="12" t="str">
        <x:v>Inventory-listed building/workspace context; current occupancy and screen access unverified</x:v>
      </x:c>
      <x:c r="I86" s="12" t="str">
        <x:v>Small-scale prospects</x:v>
      </x:c>
      <x:c r="J86" s="12" t="str">
        <x:v>Trade, consumer &amp; logistics</x:v>
      </x:c>
      <x:c r="K86" s="2" t="str">
        <x:v>MAIN-115</x:v>
      </x:c>
    </x:row>
    <x:row r="87" ht="46" customHeight="1">
      <x:c r="A87" s="2" t="str">
        <x:v>TEN-C0EA8E7C1508</x:v>
      </x:c>
      <x:c r="B87" s="12" t="str">
        <x:v>CollegePass</x:v>
      </x:c>
      <x:c r="C87" s="12" t="str">
        <x:v>CORP-0111</x:v>
      </x:c>
      <x:c r="D87" s="12" t="str">
        <x:v>Bengaluru</x:v>
      </x:c>
      <x:c r="E87" s="12" t="str">
        <x:v>Wework - Embassy Quest</x:v>
      </x:c>
      <x:c r="F87" s="12" t="str">
        <x:v>43 inch LED TV</x:v>
      </x:c>
      <x:c r="G87" s="20" t="n">
        <x:v>4</x:v>
      </x:c>
      <x:c r="H87" s="12" t="str">
        <x:v>Inventory-listed building/workspace context; current occupancy and screen access unverified</x:v>
      </x:c>
      <x:c r="I87" s="12" t="str">
        <x:v>Mixed business audience</x:v>
      </x:c>
      <x:c r="J87" s="12" t="str">
        <x:v>Education</x:v>
      </x:c>
      <x:c r="K87" s="2" t="str">
        <x:v>MAIN-115</x:v>
      </x:c>
    </x:row>
    <x:row r="88" ht="46" customHeight="1">
      <x:c r="A88" s="2" t="str">
        <x:v>TEN-34C2FF8C28F0</x:v>
      </x:c>
      <x:c r="B88" s="12" t="str">
        <x:v>CloudAI Pvt Ltd</x:v>
      </x:c>
      <x:c r="C88" s="12" t="str">
        <x:v>CORP-0112</x:v>
      </x:c>
      <x:c r="D88" s="12" t="str">
        <x:v>Bengaluru</x:v>
      </x:c>
      <x:c r="E88" s="12" t="str">
        <x:v>WeWork - ETV</x:v>
      </x:c>
      <x:c r="F88" s="12" t="str">
        <x:v>43 inch LED TV</x:v>
      </x:c>
      <x:c r="G88" s="20" t="n">
        <x:v>7</x:v>
      </x:c>
      <x:c r="H88" s="12" t="str">
        <x:v>Inventory-listed building/workspace context; current occupancy and screen access unverified</x:v>
      </x:c>
      <x:c r="I88" s="12" t="str">
        <x:v>Small-scale prospects</x:v>
      </x:c>
      <x:c r="J88" s="12" t="str">
        <x:v>IT &amp; digital</x:v>
      </x:c>
      <x:c r="K88" s="2" t="str">
        <x:v>MAIN-116</x:v>
      </x:c>
    </x:row>
    <x:row r="89" ht="46" customHeight="1">
      <x:c r="A89" s="2" t="str">
        <x:v>TEN-55E4D63DB5A3</x:v>
      </x:c>
      <x:c r="B89" s="12" t="str">
        <x:v>Alteryx</x:v>
      </x:c>
      <x:c r="C89" s="12" t="str">
        <x:v>CORP-0112</x:v>
      </x:c>
      <x:c r="D89" s="12" t="str">
        <x:v>Bengaluru</x:v>
      </x:c>
      <x:c r="E89" s="12" t="str">
        <x:v>WeWork - ETV</x:v>
      </x:c>
      <x:c r="F89" s="12" t="str">
        <x:v>43 inch LED TV</x:v>
      </x:c>
      <x:c r="G89" s="20" t="n">
        <x:v>7</x:v>
      </x:c>
      <x:c r="H89" s="12" t="str">
        <x:v>Inventory-listed building/workspace context; current occupancy and screen access unverified</x:v>
      </x:c>
      <x:c r="I89" s="12" t="str">
        <x:v>Mixed business audience</x:v>
      </x:c>
      <x:c r="J89" s="12" t="str">
        <x:v>IT &amp; digital</x:v>
      </x:c>
      <x:c r="K89" s="2" t="str">
        <x:v>MAIN-116</x:v>
      </x:c>
    </x:row>
    <x:row r="90" ht="46" customHeight="1">
      <x:c r="A90" s="2" t="str">
        <x:v>TEN-6A068657AA54</x:v>
      </x:c>
      <x:c r="B90" s="12" t="str">
        <x:v>Lookout IndiaTechnologies LLP</x:v>
      </x:c>
      <x:c r="C90" s="12" t="str">
        <x:v>CORP-0112</x:v>
      </x:c>
      <x:c r="D90" s="12" t="str">
        <x:v>Bengaluru</x:v>
      </x:c>
      <x:c r="E90" s="12" t="str">
        <x:v>WeWork - ETV</x:v>
      </x:c>
      <x:c r="F90" s="12" t="str">
        <x:v>43 inch LED TV</x:v>
      </x:c>
      <x:c r="G90" s="20" t="n">
        <x:v>7</x:v>
      </x:c>
      <x:c r="H90" s="12" t="str">
        <x:v>Inventory-listed building/workspace context; current occupancy and screen access unverified</x:v>
      </x:c>
      <x:c r="I90" s="12" t="str">
        <x:v>Mixed business audience</x:v>
      </x:c>
      <x:c r="J90" s="12" t="str">
        <x:v>IT &amp; digital</x:v>
      </x:c>
      <x:c r="K90" s="2" t="str">
        <x:v>MAIN-116</x:v>
      </x:c>
    </x:row>
    <x:row r="91" ht="46" customHeight="1">
      <x:c r="A91" s="2" t="str">
        <x:v>TEN-9E3EBC1B58D6</x:v>
      </x:c>
      <x:c r="B91" s="12" t="str">
        <x:v>Arrcus Software Pvt Ltd</x:v>
      </x:c>
      <x:c r="C91" s="12" t="str">
        <x:v>CORP-0112</x:v>
      </x:c>
      <x:c r="D91" s="12" t="str">
        <x:v>Bengaluru</x:v>
      </x:c>
      <x:c r="E91" s="12" t="str">
        <x:v>WeWork - ETV</x:v>
      </x:c>
      <x:c r="F91" s="12" t="str">
        <x:v>43 inch LED TV</x:v>
      </x:c>
      <x:c r="G91" s="20" t="n">
        <x:v>7</x:v>
      </x:c>
      <x:c r="H91" s="12" t="str">
        <x:v>Inventory-listed building/workspace context; current occupancy and screen access unverified</x:v>
      </x:c>
      <x:c r="I91" s="12" t="str">
        <x:v>Small-scale prospects</x:v>
      </x:c>
      <x:c r="J91" s="12" t="str">
        <x:v>IT &amp; digital</x:v>
      </x:c>
      <x:c r="K91" s="2" t="str">
        <x:v>MAIN-116</x:v>
      </x:c>
    </x:row>
    <x:row r="92" ht="46" customHeight="1">
      <x:c r="A92" s="2" t="str">
        <x:v>TEN-A4DF6C46B83A</x:v>
      </x:c>
      <x:c r="B92" s="12" t="str">
        <x:v>ProteanTecs</x:v>
      </x:c>
      <x:c r="C92" s="12" t="str">
        <x:v>CORP-0112</x:v>
      </x:c>
      <x:c r="D92" s="12" t="str">
        <x:v>Bengaluru</x:v>
      </x:c>
      <x:c r="E92" s="12" t="str">
        <x:v>WeWork - ETV</x:v>
      </x:c>
      <x:c r="F92" s="12" t="str">
        <x:v>43 inch LED TV</x:v>
      </x:c>
      <x:c r="G92" s="20" t="n">
        <x:v>7</x:v>
      </x:c>
      <x:c r="H92" s="12" t="str">
        <x:v>Inventory-listed building/workspace context; current occupancy and screen access unverified</x:v>
      </x:c>
      <x:c r="I92" s="12" t="str">
        <x:v>Medium-scale prospects</x:v>
      </x:c>
      <x:c r="J92" s="12" t="str">
        <x:v>Engineering &amp; manufacturing</x:v>
      </x:c>
      <x:c r="K92" s="2" t="str">
        <x:v>MAIN-116</x:v>
      </x:c>
    </x:row>
    <x:row r="93" ht="46" customHeight="1">
      <x:c r="A93" s="2" t="str">
        <x:v>TEN-B3AD9B3F9232</x:v>
      </x:c>
      <x:c r="B93" s="12" t="str">
        <x:v>Cequence Security India Pvt Ltd</x:v>
      </x:c>
      <x:c r="C93" s="12" t="str">
        <x:v>CORP-0112</x:v>
      </x:c>
      <x:c r="D93" s="12" t="str">
        <x:v>Bengaluru</x:v>
      </x:c>
      <x:c r="E93" s="12" t="str">
        <x:v>WeWork - ETV</x:v>
      </x:c>
      <x:c r="F93" s="12" t="str">
        <x:v>43 inch LED TV</x:v>
      </x:c>
      <x:c r="G93" s="20" t="n">
        <x:v>7</x:v>
      </x:c>
      <x:c r="H93" s="12" t="str">
        <x:v>Inventory-listed building/workspace context; current occupancy and screen access unverified</x:v>
      </x:c>
      <x:c r="I93" s="12" t="str">
        <x:v>Small-scale prospects</x:v>
      </x:c>
      <x:c r="J93" s="12" t="str">
        <x:v>IT &amp; digital</x:v>
      </x:c>
      <x:c r="K93" s="2" t="str">
        <x:v>MAIN-116</x:v>
      </x:c>
    </x:row>
    <x:row r="94" ht="46" customHeight="1">
      <x:c r="A94" s="2" t="str">
        <x:v>TEN-C911002E4318</x:v>
      </x:c>
      <x:c r="B94" s="12" t="str">
        <x:v>SowTechno Consulting Pvt. Ltd</x:v>
      </x:c>
      <x:c r="C94" s="12" t="str">
        <x:v>CORP-0112</x:v>
      </x:c>
      <x:c r="D94" s="12" t="str">
        <x:v>Bengaluru</x:v>
      </x:c>
      <x:c r="E94" s="12" t="str">
        <x:v>WeWork - ETV</x:v>
      </x:c>
      <x:c r="F94" s="12" t="str">
        <x:v>43 inch LED TV</x:v>
      </x:c>
      <x:c r="G94" s="20" t="n">
        <x:v>7</x:v>
      </x:c>
      <x:c r="H94" s="12" t="str">
        <x:v>Inventory-listed building/workspace context; current occupancy and screen access unverified</x:v>
      </x:c>
      <x:c r="I94" s="12" t="str">
        <x:v>Small-scale prospects</x:v>
      </x:c>
      <x:c r="J94" s="12" t="str">
        <x:v>Professional services</x:v>
      </x:c>
      <x:c r="K94" s="2" t="str">
        <x:v>MAIN-116</x:v>
      </x:c>
    </x:row>
    <x:row r="95" ht="46" customHeight="1">
      <x:c r="A95" s="2" t="str">
        <x:v>TEN-CE4BF0FAF396</x:v>
      </x:c>
      <x:c r="B95" s="12" t="str">
        <x:v>Instabase India Private Ltd</x:v>
      </x:c>
      <x:c r="C95" s="12" t="str">
        <x:v>CORP-0112</x:v>
      </x:c>
      <x:c r="D95" s="12" t="str">
        <x:v>Bengaluru</x:v>
      </x:c>
      <x:c r="E95" s="12" t="str">
        <x:v>WeWork - ETV</x:v>
      </x:c>
      <x:c r="F95" s="12" t="str">
        <x:v>43 inch LED TV</x:v>
      </x:c>
      <x:c r="G95" s="20" t="n">
        <x:v>7</x:v>
      </x:c>
      <x:c r="H95" s="12" t="str">
        <x:v>Inventory-listed building/workspace context; current occupancy and screen access unverified</x:v>
      </x:c>
      <x:c r="I95" s="12" t="str">
        <x:v>Mixed business audience</x:v>
      </x:c>
      <x:c r="J95" s="12" t="str">
        <x:v>IT &amp; digital</x:v>
      </x:c>
      <x:c r="K95" s="2" t="str">
        <x:v>MAIN-116</x:v>
      </x:c>
    </x:row>
    <x:row r="96" ht="46" customHeight="1">
      <x:c r="A96" s="2" t="str">
        <x:v>TEN-ED1ACD68C76E</x:v>
      </x:c>
      <x:c r="B96" s="12" t="str">
        <x:v>WebWings Global Solutions Pvt. Ltd</x:v>
      </x:c>
      <x:c r="C96" s="12" t="str">
        <x:v>CORP-0112</x:v>
      </x:c>
      <x:c r="D96" s="12" t="str">
        <x:v>Bengaluru</x:v>
      </x:c>
      <x:c r="E96" s="12" t="str">
        <x:v>WeWork - ETV</x:v>
      </x:c>
      <x:c r="F96" s="12" t="str">
        <x:v>43 inch LED TV</x:v>
      </x:c>
      <x:c r="G96" s="20" t="n">
        <x:v>7</x:v>
      </x:c>
      <x:c r="H96" s="12" t="str">
        <x:v>Inventory-listed building/workspace context; current occupancy and screen access unverified</x:v>
      </x:c>
      <x:c r="I96" s="12" t="str">
        <x:v>Small-scale prospects</x:v>
      </x:c>
      <x:c r="J96" s="12" t="str">
        <x:v>IT &amp; digital</x:v>
      </x:c>
      <x:c r="K96" s="2" t="str">
        <x:v>MAIN-116</x:v>
      </x:c>
    </x:row>
    <x:row r="97" ht="46" customHeight="1">
      <x:c r="A97" s="2" t="str">
        <x:v>TEN-F4768D7D29EC</x:v>
      </x:c>
      <x:c r="B97" s="12" t="str">
        <x:v>Bluejersey18 Technologies Private Limited</x:v>
      </x:c>
      <x:c r="C97" s="12" t="str">
        <x:v>CORP-0112</x:v>
      </x:c>
      <x:c r="D97" s="12" t="str">
        <x:v>Bengaluru</x:v>
      </x:c>
      <x:c r="E97" s="12" t="str">
        <x:v>WeWork - ETV</x:v>
      </x:c>
      <x:c r="F97" s="12" t="str">
        <x:v>43 inch LED TV</x:v>
      </x:c>
      <x:c r="G97" s="20" t="n">
        <x:v>7</x:v>
      </x:c>
      <x:c r="H97" s="12" t="str">
        <x:v>Inventory-listed building/workspace context; current occupancy and screen access unverified</x:v>
      </x:c>
      <x:c r="I97" s="12" t="str">
        <x:v>Mixed business audience</x:v>
      </x:c>
      <x:c r="J97" s="12" t="str">
        <x:v>Unresolved</x:v>
      </x:c>
      <x:c r="K97" s="2" t="str">
        <x:v>MAIN-116</x:v>
      </x:c>
    </x:row>
    <x:row r="98" ht="46" customHeight="1">
      <x:c r="A98" s="2" t="str">
        <x:v>TEN-F6C7E6892C6F</x:v>
      </x:c>
      <x:c r="B98" s="12" t="str">
        <x:v>Wayfair Global Technology Private Limited</x:v>
      </x:c>
      <x:c r="C98" s="12" t="str">
        <x:v>CORP-0112</x:v>
      </x:c>
      <x:c r="D98" s="12" t="str">
        <x:v>Bengaluru</x:v>
      </x:c>
      <x:c r="E98" s="12" t="str">
        <x:v>WeWork - ETV</x:v>
      </x:c>
      <x:c r="F98" s="12" t="str">
        <x:v>43 inch LED TV</x:v>
      </x:c>
      <x:c r="G98" s="20" t="n">
        <x:v>7</x:v>
      </x:c>
      <x:c r="H98" s="12" t="str">
        <x:v>Inventory-listed building/workspace context; current occupancy and screen access unverified</x:v>
      </x:c>
      <x:c r="I98" s="12" t="str">
        <x:v>Large enterprise</x:v>
      </x:c>
      <x:c r="J98" s="12" t="str">
        <x:v>Trade, consumer &amp; logistics</x:v>
      </x:c>
      <x:c r="K98" s="2" t="str">
        <x:v>MAIN-116</x:v>
      </x:c>
    </x:row>
    <x:row r="99" ht="46" customHeight="1">
      <x:c r="A99" s="2" t="str">
        <x:v>TEN-0AA7D6A50FF6</x:v>
      </x:c>
      <x:c r="B99" s="12" t="str">
        <x:v>Kantar</x:v>
      </x:c>
      <x:c r="C99" s="12" t="str">
        <x:v>CORP-0113</x:v>
      </x:c>
      <x:c r="D99" s="12" t="str">
        <x:v>Bengaluru</x:v>
      </x:c>
      <x:c r="E99" s="12" t="str">
        <x:v>WeWork - Jupiter</x:v>
      </x:c>
      <x:c r="F99" s="12" t="str">
        <x:v>43 inch LED TV</x:v>
      </x:c>
      <x:c r="G99" s="20" t="n">
        <x:v>2</x:v>
      </x:c>
      <x:c r="H99" s="12" t="str">
        <x:v>Inventory-listed building/workspace context; current occupancy and screen access unverified</x:v>
      </x:c>
      <x:c r="I99" s="12" t="str">
        <x:v>Mixed business audience</x:v>
      </x:c>
      <x:c r="J99" s="12" t="str">
        <x:v>Professional services</x:v>
      </x:c>
      <x:c r="K99" s="2" t="str">
        <x:v>MAIN-117</x:v>
      </x:c>
    </x:row>
    <x:row r="100" ht="46" customHeight="1">
      <x:c r="A100" s="2" t="str">
        <x:v>TEN-7488A822E29F</x:v>
      </x:c>
      <x:c r="B100" s="12" t="str">
        <x:v>Bricstal Group</x:v>
      </x:c>
      <x:c r="C100" s="12" t="str">
        <x:v>CORP-0114</x:v>
      </x:c>
      <x:c r="D100" s="12" t="str">
        <x:v>Bengaluru</x:v>
      </x:c>
      <x:c r="E100" s="12" t="str">
        <x:v>WeWork - Manyata Mahogany</x:v>
      </x:c>
      <x:c r="F100" s="12" t="str">
        <x:v>43 inch LED TV</x:v>
      </x:c>
      <x:c r="G100" s="20" t="n">
        <x:v>2</x:v>
      </x:c>
      <x:c r="H100" s="12" t="str">
        <x:v>Inventory-listed building/workspace context; current occupancy and screen access unverified</x:v>
      </x:c>
      <x:c r="I100" s="12" t="str">
        <x:v>Mixed business audience</x:v>
      </x:c>
      <x:c r="J100" s="12" t="str">
        <x:v>Unresolved</x:v>
      </x:c>
      <x:c r="K100" s="2" t="str">
        <x:v>MAIN-118</x:v>
      </x:c>
    </x:row>
    <x:row r="101" ht="46" customHeight="1">
      <x:c r="A101" s="2" t="str">
        <x:v>TEN-758EF4462DE3</x:v>
      </x:c>
      <x:c r="B101" s="12" t="str">
        <x:v>Mitel</x:v>
      </x:c>
      <x:c r="C101" s="12" t="str">
        <x:v>CORP-0114</x:v>
      </x:c>
      <x:c r="D101" s="12" t="str">
        <x:v>Bengaluru</x:v>
      </x:c>
      <x:c r="E101" s="12" t="str">
        <x:v>WeWork - Manyata Mahogany</x:v>
      </x:c>
      <x:c r="F101" s="12" t="str">
        <x:v>43 inch LED TV</x:v>
      </x:c>
      <x:c r="G101" s="20" t="n">
        <x:v>2</x:v>
      </x:c>
      <x:c r="H101" s="12" t="str">
        <x:v>Inventory-listed building/workspace context; current occupancy and screen access unverified</x:v>
      </x:c>
      <x:c r="I101" s="12" t="str">
        <x:v>Mixed business audience</x:v>
      </x:c>
      <x:c r="J101" s="12" t="str">
        <x:v>IT &amp; digital</x:v>
      </x:c>
      <x:c r="K101" s="2" t="str">
        <x:v>MAIN-118</x:v>
      </x:c>
    </x:row>
    <x:row r="102" ht="46" customHeight="1">
      <x:c r="A102" s="2" t="str">
        <x:v>TEN-B6572C5BA0FF</x:v>
      </x:c>
      <x:c r="B102" s="12" t="str">
        <x:v>Unmatched studio</x:v>
      </x:c>
      <x:c r="C102" s="12" t="str">
        <x:v>CORP-0114</x:v>
      </x:c>
      <x:c r="D102" s="12" t="str">
        <x:v>Bengaluru</x:v>
      </x:c>
      <x:c r="E102" s="12" t="str">
        <x:v>WeWork - Manyata Mahogany</x:v>
      </x:c>
      <x:c r="F102" s="12" t="str">
        <x:v>43 inch LED TV</x:v>
      </x:c>
      <x:c r="G102" s="20" t="n">
        <x:v>2</x:v>
      </x:c>
      <x:c r="H102" s="12" t="str">
        <x:v>Inventory-listed building/workspace context; current occupancy and screen access unverified</x:v>
      </x:c>
      <x:c r="I102" s="12" t="str">
        <x:v>Small-scale prospects</x:v>
      </x:c>
      <x:c r="J102" s="12" t="str">
        <x:v>Professional services</x:v>
      </x:c>
      <x:c r="K102" s="2" t="str">
        <x:v>MAIN-118</x:v>
      </x:c>
    </x:row>
    <x:row r="103" ht="46" customHeight="1">
      <x:c r="A103" s="2" t="str">
        <x:v>TEN-1E664D2C3EAB</x:v>
      </x:c>
      <x:c r="B103" s="12" t="str">
        <x:v>Instawork India</x:v>
      </x:c>
      <x:c r="C103" s="12" t="str">
        <x:v>CORP-0115</x:v>
      </x:c>
      <x:c r="D103" s="12" t="str">
        <x:v>Bengaluru</x:v>
      </x:c>
      <x:c r="E103" s="12" t="str">
        <x:v>WeWork - Prestige Atlanta</x:v>
      </x:c>
      <x:c r="F103" s="12" t="str">
        <x:v>43 inch LED TV</x:v>
      </x:c>
      <x:c r="G103" s="20" t="n">
        <x:v>5</x:v>
      </x:c>
      <x:c r="H103" s="12" t="str">
        <x:v>Inventory-listed building/workspace context; current occupancy and screen access unverified</x:v>
      </x:c>
      <x:c r="I103" s="12" t="str">
        <x:v>Mixed business audience</x:v>
      </x:c>
      <x:c r="J103" s="12" t="str">
        <x:v>Professional services</x:v>
      </x:c>
      <x:c r="K103" s="2" t="str">
        <x:v>MAIN-119</x:v>
      </x:c>
    </x:row>
    <x:row r="104" ht="46" customHeight="1">
      <x:c r="A104" s="2" t="str">
        <x:v>TEN-4E3ADD43CDF9</x:v>
      </x:c>
      <x:c r="B104" s="12" t="str">
        <x:v>Springboard</x:v>
      </x:c>
      <x:c r="C104" s="12" t="str">
        <x:v>CORP-0115</x:v>
      </x:c>
      <x:c r="D104" s="12" t="str">
        <x:v>Bengaluru</x:v>
      </x:c>
      <x:c r="E104" s="12" t="str">
        <x:v>WeWork - Prestige Atlanta</x:v>
      </x:c>
      <x:c r="F104" s="12" t="str">
        <x:v>43 inch LED TV</x:v>
      </x:c>
      <x:c r="G104" s="20" t="n">
        <x:v>5</x:v>
      </x:c>
      <x:c r="H104" s="12" t="str">
        <x:v>Inventory-listed building/workspace context; current occupancy and screen access unverified</x:v>
      </x:c>
      <x:c r="I104" s="12" t="str">
        <x:v>Small-scale prospects</x:v>
      </x:c>
      <x:c r="J104" s="12" t="str">
        <x:v>Education</x:v>
      </x:c>
      <x:c r="K104" s="2" t="str">
        <x:v>MAIN-119</x:v>
      </x:c>
    </x:row>
    <x:row r="105" ht="46" customHeight="1">
      <x:c r="A105" s="2" t="str">
        <x:v>TEN-57F46E8C661D</x:v>
      </x:c>
      <x:c r="B105" s="12" t="str">
        <x:v>Accode Software Pvt Ltd</x:v>
      </x:c>
      <x:c r="C105" s="12" t="str">
        <x:v>CORP-0115</x:v>
      </x:c>
      <x:c r="D105" s="12" t="str">
        <x:v>Bengaluru</x:v>
      </x:c>
      <x:c r="E105" s="12" t="str">
        <x:v>WeWork - Prestige Atlanta</x:v>
      </x:c>
      <x:c r="F105" s="12" t="str">
        <x:v>43 inch LED TV</x:v>
      </x:c>
      <x:c r="G105" s="20" t="n">
        <x:v>5</x:v>
      </x:c>
      <x:c r="H105" s="12" t="str">
        <x:v>Inventory-listed building/workspace context; current occupancy and screen access unverified</x:v>
      </x:c>
      <x:c r="I105" s="12" t="str">
        <x:v>Small-scale prospects</x:v>
      </x:c>
      <x:c r="J105" s="12" t="str">
        <x:v>IT &amp; digital</x:v>
      </x:c>
      <x:c r="K105" s="2" t="str">
        <x:v>MAIN-119</x:v>
      </x:c>
    </x:row>
    <x:row r="106" ht="46" customHeight="1">
      <x:c r="A106" s="2" t="str">
        <x:v>TEN-A1609153A053</x:v>
      </x:c>
      <x:c r="B106" s="12" t="str">
        <x:v>ADMIREASIA</x:v>
      </x:c>
      <x:c r="C106" s="12" t="str">
        <x:v>CORP-0115</x:v>
      </x:c>
      <x:c r="D106" s="12" t="str">
        <x:v>Bengaluru</x:v>
      </x:c>
      <x:c r="E106" s="12" t="str">
        <x:v>WeWork - Prestige Atlanta</x:v>
      </x:c>
      <x:c r="F106" s="12" t="str">
        <x:v>43 inch LED TV</x:v>
      </x:c>
      <x:c r="G106" s="20" t="n">
        <x:v>5</x:v>
      </x:c>
      <x:c r="H106" s="12" t="str">
        <x:v>Inventory-listed building/workspace context; current occupancy and screen access unverified</x:v>
      </x:c>
      <x:c r="I106" s="12" t="str">
        <x:v>Mixed business audience</x:v>
      </x:c>
      <x:c r="J106" s="12" t="str">
        <x:v>Unresolved</x:v>
      </x:c>
      <x:c r="K106" s="2" t="str">
        <x:v>MAIN-119</x:v>
      </x:c>
    </x:row>
    <x:row r="107" ht="46" customHeight="1">
      <x:c r="A107" s="2" t="str">
        <x:v>TEN-BC728F0E1BE2</x:v>
      </x:c>
      <x:c r="B107" s="12" t="str">
        <x:v>Sphyrna</x:v>
      </x:c>
      <x:c r="C107" s="12" t="str">
        <x:v>CORP-0115</x:v>
      </x:c>
      <x:c r="D107" s="12" t="str">
        <x:v>Bengaluru</x:v>
      </x:c>
      <x:c r="E107" s="12" t="str">
        <x:v>WeWork - Prestige Atlanta</x:v>
      </x:c>
      <x:c r="F107" s="12" t="str">
        <x:v>43 inch LED TV</x:v>
      </x:c>
      <x:c r="G107" s="20" t="n">
        <x:v>5</x:v>
      </x:c>
      <x:c r="H107" s="12" t="str">
        <x:v>Inventory-listed building/workspace context; current occupancy and screen access unverified</x:v>
      </x:c>
      <x:c r="I107" s="12" t="str">
        <x:v>Mixed business audience</x:v>
      </x:c>
      <x:c r="J107" s="12" t="str">
        <x:v>Unresolved</x:v>
      </x:c>
      <x:c r="K107" s="2" t="str">
        <x:v>MAIN-119</x:v>
      </x:c>
    </x:row>
    <x:row r="108" ht="46" customHeight="1">
      <x:c r="A108" s="2" t="str">
        <x:v>TEN-C034EAA2E032</x:v>
      </x:c>
      <x:c r="B108" s="12" t="str">
        <x:v>SaaS Sauce</x:v>
      </x:c>
      <x:c r="C108" s="12" t="str">
        <x:v>CORP-0115</x:v>
      </x:c>
      <x:c r="D108" s="12" t="str">
        <x:v>Bengaluru</x:v>
      </x:c>
      <x:c r="E108" s="12" t="str">
        <x:v>WeWork - Prestige Atlanta</x:v>
      </x:c>
      <x:c r="F108" s="12" t="str">
        <x:v>43 inch LED TV</x:v>
      </x:c>
      <x:c r="G108" s="20" t="n">
        <x:v>5</x:v>
      </x:c>
      <x:c r="H108" s="12" t="str">
        <x:v>Inventory-listed building/workspace context; current occupancy and screen access unverified</x:v>
      </x:c>
      <x:c r="I108" s="12" t="str">
        <x:v>Small-scale prospects</x:v>
      </x:c>
      <x:c r="J108" s="12" t="str">
        <x:v>IT &amp; digital</x:v>
      </x:c>
      <x:c r="K108" s="2" t="str">
        <x:v>MAIN-119</x:v>
      </x:c>
    </x:row>
    <x:row r="109" ht="46" customHeight="1">
      <x:c r="A109" s="2" t="str">
        <x:v>TEN-C257FB17CEAF</x:v>
      </x:c>
      <x:c r="B109" s="12" t="str">
        <x:v>Yume Labs</x:v>
      </x:c>
      <x:c r="C109" s="12" t="str">
        <x:v>CORP-0115</x:v>
      </x:c>
      <x:c r="D109" s="12" t="str">
        <x:v>Bengaluru</x:v>
      </x:c>
      <x:c r="E109" s="12" t="str">
        <x:v>WeWork - Prestige Atlanta</x:v>
      </x:c>
      <x:c r="F109" s="12" t="str">
        <x:v>43 inch LED TV</x:v>
      </x:c>
      <x:c r="G109" s="20" t="n">
        <x:v>5</x:v>
      </x:c>
      <x:c r="H109" s="12" t="str">
        <x:v>Inventory-listed building/workspace context; current occupancy and screen access unverified</x:v>
      </x:c>
      <x:c r="I109" s="12" t="str">
        <x:v>Mixed business audience</x:v>
      </x:c>
      <x:c r="J109" s="12" t="str">
        <x:v>Unresolved</x:v>
      </x:c>
      <x:c r="K109" s="2" t="str">
        <x:v>MAIN-119</x:v>
      </x:c>
    </x:row>
    <x:row r="110" ht="46" customHeight="1">
      <x:c r="A110" s="2" t="str">
        <x:v>TEN-FD35A90C9F34</x:v>
      </x:c>
      <x:c r="B110" s="12" t="str">
        <x:v>AppTweak India</x:v>
      </x:c>
      <x:c r="C110" s="12" t="str">
        <x:v>CORP-0115</x:v>
      </x:c>
      <x:c r="D110" s="12" t="str">
        <x:v>Bengaluru</x:v>
      </x:c>
      <x:c r="E110" s="12" t="str">
        <x:v>WeWork - Prestige Atlanta</x:v>
      </x:c>
      <x:c r="F110" s="12" t="str">
        <x:v>43 inch LED TV</x:v>
      </x:c>
      <x:c r="G110" s="20" t="n">
        <x:v>5</x:v>
      </x:c>
      <x:c r="H110" s="12" t="str">
        <x:v>Inventory-listed building/workspace context; current occupancy and screen access unverified</x:v>
      </x:c>
      <x:c r="I110" s="12" t="str">
        <x:v>Small-scale prospects</x:v>
      </x:c>
      <x:c r="J110" s="12" t="str">
        <x:v>IT &amp; digital</x:v>
      </x:c>
      <x:c r="K110" s="2" t="str">
        <x:v>MAIN-119</x:v>
      </x:c>
    </x:row>
    <x:row r="111" ht="46" customHeight="1">
      <x:c r="A111" s="2" t="str">
        <x:v>TEN-5A6E2962D1EB</x:v>
      </x:c>
      <x:c r="B111" s="12" t="str">
        <x:v>Kairos Technologies</x:v>
      </x:c>
      <x:c r="C111" s="12" t="str">
        <x:v>CORP-0008</x:v>
      </x:c>
      <x:c r="D111" s="12" t="str">
        <x:v>Bengaluru</x:v>
      </x:c>
      <x:c r="E111" s="12" t="str">
        <x:v>Awfis - Kirloskar Tech Park</x:v>
      </x:c>
      <x:c r="F111" s="12" t="str">
        <x:v>32 inch LED TV</x:v>
      </x:c>
      <x:c r="G111" s="20" t="n">
        <x:v>2</x:v>
      </x:c>
      <x:c r="H111" s="12" t="str">
        <x:v>Inventory-listed building/workspace context; current occupancy and screen access unverified</x:v>
      </x:c>
      <x:c r="I111" s="12" t="str">
        <x:v>Small-scale prospects</x:v>
      </x:c>
      <x:c r="J111" s="12" t="str">
        <x:v>IT &amp; digital</x:v>
      </x:c>
      <x:c r="K111" s="2" t="str">
        <x:v>MAIN-012</x:v>
      </x:c>
    </x:row>
    <x:row r="112" ht="46" customHeight="1">
      <x:c r="A112" s="2" t="str">
        <x:v>TEN-5B81D52D4310</x:v>
      </x:c>
      <x:c r="B112" s="12" t="str">
        <x:v>WeWork</x:v>
      </x:c>
      <x:c r="C112" s="12" t="str">
        <x:v>CORP-0116</x:v>
      </x:c>
      <x:c r="D112" s="12" t="str">
        <x:v>Bengaluru</x:v>
      </x:c>
      <x:c r="E112" s="12" t="str">
        <x:v>WeWork - Prestige Central</x:v>
      </x:c>
      <x:c r="F112" s="12" t="str">
        <x:v>43 inch LED TV</x:v>
      </x:c>
      <x:c r="G112" s="20" t="n">
        <x:v>8</x:v>
      </x:c>
      <x:c r="H112" s="12" t="str">
        <x:v>Workspace operator inferred from explicit property name; tenant occupants unconfirmed</x:v>
      </x:c>
      <x:c r="I112" s="12" t="str">
        <x:v>Mixed business audience</x:v>
      </x:c>
      <x:c r="J112" s="12" t="str">
        <x:v>Workspace &amp; property operations</x:v>
      </x:c>
      <x:c r="K112" s="2" t="str">
        <x:v>MAIN-120</x:v>
      </x:c>
    </x:row>
    <x:row r="113" ht="46" customHeight="1">
      <x:c r="A113" s="2" t="str">
        <x:v>TEN-B2049BFB027D</x:v>
      </x:c>
      <x:c r="B113" s="12" t="str">
        <x:v>AMS project consultants</x:v>
      </x:c>
      <x:c r="C113" s="12" t="str">
        <x:v>CORP-0117</x:v>
      </x:c>
      <x:c r="D113" s="12" t="str">
        <x:v>Bengaluru</x:v>
      </x:c>
      <x:c r="E113" s="12" t="str">
        <x:v>Wework - Prestige Cube</x:v>
      </x:c>
      <x:c r="F113" s="12" t="str">
        <x:v>43 inch LED TV</x:v>
      </x:c>
      <x:c r="G113" s="20" t="n">
        <x:v>4</x:v>
      </x:c>
      <x:c r="H113" s="12" t="str">
        <x:v>Inventory-listed building/workspace context; current occupancy and screen access unverified</x:v>
      </x:c>
      <x:c r="I113" s="12" t="str">
        <x:v>Small-scale prospects</x:v>
      </x:c>
      <x:c r="J113" s="12" t="str">
        <x:v>Professional services</x:v>
      </x:c>
      <x:c r="K113" s="2" t="str">
        <x:v>MAIN-121</x:v>
      </x:c>
    </x:row>
    <x:row r="114" ht="46" customHeight="1">
      <x:c r="A114" s="2" t="str">
        <x:v>TEN-B46369E6981D</x:v>
      </x:c>
      <x:c r="B114" s="12" t="str">
        <x:v>Infurnia Technologies</x:v>
      </x:c>
      <x:c r="C114" s="12" t="str">
        <x:v>CORP-0117</x:v>
      </x:c>
      <x:c r="D114" s="12" t="str">
        <x:v>Bengaluru</x:v>
      </x:c>
      <x:c r="E114" s="12" t="str">
        <x:v>Wework - Prestige Cube</x:v>
      </x:c>
      <x:c r="F114" s="12" t="str">
        <x:v>43 inch LED TV</x:v>
      </x:c>
      <x:c r="G114" s="20" t="n">
        <x:v>4</x:v>
      </x:c>
      <x:c r="H114" s="12" t="str">
        <x:v>Inventory-listed building/workspace context; current occupancy and screen access unverified</x:v>
      </x:c>
      <x:c r="I114" s="12" t="str">
        <x:v>Small-scale prospects</x:v>
      </x:c>
      <x:c r="J114" s="12" t="str">
        <x:v>IT &amp; digital</x:v>
      </x:c>
      <x:c r="K114" s="2" t="str">
        <x:v>MAIN-121</x:v>
      </x:c>
    </x:row>
    <x:row r="115" ht="46" customHeight="1">
      <x:c r="A115" s="2" t="str">
        <x:v>TEN-C9C6B572276E</x:v>
      </x:c>
      <x:c r="B115" s="12" t="str">
        <x:v>GoSats</x:v>
      </x:c>
      <x:c r="C115" s="12" t="str">
        <x:v>CORP-0117</x:v>
      </x:c>
      <x:c r="D115" s="12" t="str">
        <x:v>Bengaluru</x:v>
      </x:c>
      <x:c r="E115" s="12" t="str">
        <x:v>Wework - Prestige Cube</x:v>
      </x:c>
      <x:c r="F115" s="12" t="str">
        <x:v>43 inch LED TV</x:v>
      </x:c>
      <x:c r="G115" s="20" t="n">
        <x:v>4</x:v>
      </x:c>
      <x:c r="H115" s="12" t="str">
        <x:v>Inventory-listed building/workspace context; current occupancy and screen access unverified</x:v>
      </x:c>
      <x:c r="I115" s="12" t="str">
        <x:v>Small-scale prospects</x:v>
      </x:c>
      <x:c r="J115" s="12" t="str">
        <x:v>IT &amp; digital</x:v>
      </x:c>
      <x:c r="K115" s="2" t="str">
        <x:v>MAIN-121</x:v>
      </x:c>
    </x:row>
    <x:row r="116" ht="46" customHeight="1">
      <x:c r="A116" s="2" t="str">
        <x:v>TEN-E381AEDD9876</x:v>
      </x:c>
      <x:c r="B116" s="12" t="str">
        <x:v>Into Education India private limited</x:v>
      </x:c>
      <x:c r="C116" s="12" t="str">
        <x:v>CORP-0117</x:v>
      </x:c>
      <x:c r="D116" s="12" t="str">
        <x:v>Bengaluru</x:v>
      </x:c>
      <x:c r="E116" s="12" t="str">
        <x:v>Wework - Prestige Cube</x:v>
      </x:c>
      <x:c r="F116" s="12" t="str">
        <x:v>43 inch LED TV</x:v>
      </x:c>
      <x:c r="G116" s="20" t="n">
        <x:v>4</x:v>
      </x:c>
      <x:c r="H116" s="12" t="str">
        <x:v>Inventory-listed building/workspace context; current occupancy and screen access unverified</x:v>
      </x:c>
      <x:c r="I116" s="12" t="str">
        <x:v>Small-scale prospects</x:v>
      </x:c>
      <x:c r="J116" s="12" t="str">
        <x:v>Education</x:v>
      </x:c>
      <x:c r="K116" s="2" t="str">
        <x:v>MAIN-121</x:v>
      </x:c>
    </x:row>
    <x:row r="117" ht="46" customHeight="1">
      <x:c r="A117" s="2" t="str">
        <x:v>TEN-9102A007CE45</x:v>
      </x:c>
      <x:c r="B117" s="12" t="str">
        <x:v>SmartCow AI Technologies Pvt Ltd</x:v>
      </x:c>
      <x:c r="C117" s="12" t="str">
        <x:v>CORP-0118</x:v>
      </x:c>
      <x:c r="D117" s="12" t="str">
        <x:v>Bengaluru</x:v>
      </x:c>
      <x:c r="E117" s="12" t="str">
        <x:v>Wework - Princeville</x:v>
      </x:c>
      <x:c r="F117" s="12" t="str">
        <x:v>43 inch LED TV</x:v>
      </x:c>
      <x:c r="G117" s="20" t="n">
        <x:v>3</x:v>
      </x:c>
      <x:c r="H117" s="12" t="str">
        <x:v>Inventory-listed building/workspace context; current occupancy and screen access unverified</x:v>
      </x:c>
      <x:c r="I117" s="12" t="str">
        <x:v>Small-scale prospects</x:v>
      </x:c>
      <x:c r="J117" s="12" t="str">
        <x:v>IT &amp; digital</x:v>
      </x:c>
      <x:c r="K117" s="2" t="str">
        <x:v>MAIN-122</x:v>
      </x:c>
    </x:row>
    <x:row r="118" ht="46" customHeight="1">
      <x:c r="A118" s="2" t="str">
        <x:v>TEN-5B81D52D4310</x:v>
      </x:c>
      <x:c r="B118" s="12" t="str">
        <x:v>WeWork</x:v>
      </x:c>
      <x:c r="C118" s="12" t="str">
        <x:v>CORP-0119</x:v>
      </x:c>
      <x:c r="D118" s="12" t="str">
        <x:v>Bengaluru</x:v>
      </x:c>
      <x:c r="E118" s="12" t="str">
        <x:v>WeWork - Redwood</x:v>
      </x:c>
      <x:c r="F118" s="12" t="str">
        <x:v>43 inch LED TV</x:v>
      </x:c>
      <x:c r="G118" s="20" t="n">
        <x:v>2</x:v>
      </x:c>
      <x:c r="H118" s="12" t="str">
        <x:v>Workspace operator inferred from explicit property name; tenant occupants unconfirmed</x:v>
      </x:c>
      <x:c r="I118" s="12" t="str">
        <x:v>Mixed business audience</x:v>
      </x:c>
      <x:c r="J118" s="12" t="str">
        <x:v>Workspace &amp; property operations</x:v>
      </x:c>
      <x:c r="K118" s="2" t="str">
        <x:v>MAIN-123</x:v>
      </x:c>
    </x:row>
    <x:row r="119" ht="46" customHeight="1">
      <x:c r="A119" s="2" t="str">
        <x:v>TEN-1A928963EA58</x:v>
      </x:c>
      <x:c r="B119" s="12" t="str">
        <x:v>Tilaka Technologies Pvt Ltd</x:v>
      </x:c>
      <x:c r="C119" s="12" t="str">
        <x:v>CORP-0120</x:v>
      </x:c>
      <x:c r="D119" s="12" t="str">
        <x:v>Bengaluru</x:v>
      </x:c>
      <x:c r="E119" s="12" t="str">
        <x:v>WeWork - RMZ Latitude</x:v>
      </x:c>
      <x:c r="F119" s="12" t="str">
        <x:v>43 inch LED TV</x:v>
      </x:c>
      <x:c r="G119" s="20" t="n">
        <x:v>4</x:v>
      </x:c>
      <x:c r="H119" s="12" t="str">
        <x:v>Inventory-listed building/workspace context; current occupancy and screen access unverified</x:v>
      </x:c>
      <x:c r="I119" s="12" t="str">
        <x:v>Mixed business audience</x:v>
      </x:c>
      <x:c r="J119" s="12" t="str">
        <x:v>Unresolved</x:v>
      </x:c>
      <x:c r="K119" s="2" t="str">
        <x:v>MAIN-124</x:v>
      </x:c>
    </x:row>
    <x:row r="120" ht="46" customHeight="1">
      <x:c r="A120" s="2" t="str">
        <x:v>TEN-4E4EABF6E4C9</x:v>
      </x:c>
      <x:c r="B120" s="12" t="str">
        <x:v>Qt India Technology Private Limited</x:v>
      </x:c>
      <x:c r="C120" s="12" t="str">
        <x:v>CORP-0120</x:v>
      </x:c>
      <x:c r="D120" s="12" t="str">
        <x:v>Bengaluru</x:v>
      </x:c>
      <x:c r="E120" s="12" t="str">
        <x:v>WeWork - RMZ Latitude</x:v>
      </x:c>
      <x:c r="F120" s="12" t="str">
        <x:v>43 inch LED TV</x:v>
      </x:c>
      <x:c r="G120" s="20" t="n">
        <x:v>4</x:v>
      </x:c>
      <x:c r="H120" s="12" t="str">
        <x:v>Inventory-listed building/workspace context; current occupancy and screen access unverified</x:v>
      </x:c>
      <x:c r="I120" s="12" t="str">
        <x:v>Mixed business audience</x:v>
      </x:c>
      <x:c r="J120" s="12" t="str">
        <x:v>IT &amp; digital</x:v>
      </x:c>
      <x:c r="K120" s="2" t="str">
        <x:v>MAIN-124</x:v>
      </x:c>
    </x:row>
    <x:row r="121" ht="46" customHeight="1">
      <x:c r="A121" s="2" t="str">
        <x:v>TEN-57FDEDC0DEC7</x:v>
      </x:c>
      <x:c r="B121" s="12" t="str">
        <x:v>BLH.Software</x:v>
      </x:c>
      <x:c r="C121" s="12" t="str">
        <x:v>CORP-0120</x:v>
      </x:c>
      <x:c r="D121" s="12" t="str">
        <x:v>Bengaluru</x:v>
      </x:c>
      <x:c r="E121" s="12" t="str">
        <x:v>WeWork - RMZ Latitude</x:v>
      </x:c>
      <x:c r="F121" s="12" t="str">
        <x:v>43 inch LED TV</x:v>
      </x:c>
      <x:c r="G121" s="20" t="n">
        <x:v>4</x:v>
      </x:c>
      <x:c r="H121" s="12" t="str">
        <x:v>Inventory-listed building/workspace context; current occupancy and screen access unverified</x:v>
      </x:c>
      <x:c r="I121" s="12" t="str">
        <x:v>Small-scale prospects</x:v>
      </x:c>
      <x:c r="J121" s="12" t="str">
        <x:v>IT &amp; digital</x:v>
      </x:c>
      <x:c r="K121" s="2" t="str">
        <x:v>MAIN-124</x:v>
      </x:c>
    </x:row>
    <x:row r="122" ht="46" customHeight="1">
      <x:c r="A122" s="2" t="str">
        <x:v>TEN-8339DA98BD73</x:v>
      </x:c>
      <x:c r="B122" s="12" t="str">
        <x:v>Vivusoft Technologies</x:v>
      </x:c>
      <x:c r="C122" s="12" t="str">
        <x:v>CORP-0120</x:v>
      </x:c>
      <x:c r="D122" s="12" t="str">
        <x:v>Bengaluru</x:v>
      </x:c>
      <x:c r="E122" s="12" t="str">
        <x:v>WeWork - RMZ Latitude</x:v>
      </x:c>
      <x:c r="F122" s="12" t="str">
        <x:v>43 inch LED TV</x:v>
      </x:c>
      <x:c r="G122" s="20" t="n">
        <x:v>4</x:v>
      </x:c>
      <x:c r="H122" s="12" t="str">
        <x:v>Inventory-listed building/workspace context; current occupancy and screen access unverified</x:v>
      </x:c>
      <x:c r="I122" s="12" t="str">
        <x:v>Mixed business audience</x:v>
      </x:c>
      <x:c r="J122" s="12" t="str">
        <x:v>Unresolved</x:v>
      </x:c>
      <x:c r="K122" s="2" t="str">
        <x:v>MAIN-124</x:v>
      </x:c>
    </x:row>
    <x:row r="123" ht="46" customHeight="1">
      <x:c r="A123" s="2" t="str">
        <x:v>TEN-881CB9BE282C</x:v>
      </x:c>
      <x:c r="B123" s="12" t="str">
        <x:v>Solutionswilcom</x:v>
      </x:c>
      <x:c r="C123" s="12" t="str">
        <x:v>CORP-0120</x:v>
      </x:c>
      <x:c r="D123" s="12" t="str">
        <x:v>Bengaluru</x:v>
      </x:c>
      <x:c r="E123" s="12" t="str">
        <x:v>WeWork - RMZ Latitude</x:v>
      </x:c>
      <x:c r="F123" s="12" t="str">
        <x:v>43 inch LED TV</x:v>
      </x:c>
      <x:c r="G123" s="20" t="n">
        <x:v>4</x:v>
      </x:c>
      <x:c r="H123" s="12" t="str">
        <x:v>Inventory-listed building/workspace context; current occupancy and screen access unverified</x:v>
      </x:c>
      <x:c r="I123" s="12" t="str">
        <x:v>Mixed business audience</x:v>
      </x:c>
      <x:c r="J123" s="12" t="str">
        <x:v>Unresolved</x:v>
      </x:c>
      <x:c r="K123" s="2" t="str">
        <x:v>MAIN-124</x:v>
      </x:c>
    </x:row>
    <x:row r="124" ht="46" customHeight="1">
      <x:c r="A124" s="2" t="str">
        <x:v>TEN-906A7F314B08</x:v>
      </x:c>
      <x:c r="B124" s="12" t="str">
        <x:v>Pricewaterhouse</x:v>
      </x:c>
      <x:c r="C124" s="12" t="str">
        <x:v>CORP-0120</x:v>
      </x:c>
      <x:c r="D124" s="12" t="str">
        <x:v>Bengaluru</x:v>
      </x:c>
      <x:c r="E124" s="12" t="str">
        <x:v>WeWork - RMZ Latitude</x:v>
      </x:c>
      <x:c r="F124" s="12" t="str">
        <x:v>43 inch LED TV</x:v>
      </x:c>
      <x:c r="G124" s="20" t="n">
        <x:v>4</x:v>
      </x:c>
      <x:c r="H124" s="12" t="str">
        <x:v>Inventory-listed building/workspace context; current occupancy and screen access unverified</x:v>
      </x:c>
      <x:c r="I124" s="12" t="str">
        <x:v>Large enterprise</x:v>
      </x:c>
      <x:c r="J124" s="12" t="str">
        <x:v>Professional services</x:v>
      </x:c>
      <x:c r="K124" s="2" t="str">
        <x:v>MAIN-124</x:v>
      </x:c>
    </x:row>
    <x:row r="125" ht="46" customHeight="1">
      <x:c r="A125" s="2" t="str">
        <x:v>TEN-9FFDE6DEDC6D</x:v>
      </x:c>
      <x:c r="B125" s="12" t="str">
        <x:v>Cuemath Online Tution Center</x:v>
      </x:c>
      <x:c r="C125" s="12" t="str">
        <x:v>CORP-0120</x:v>
      </x:c>
      <x:c r="D125" s="12" t="str">
        <x:v>Bengaluru</x:v>
      </x:c>
      <x:c r="E125" s="12" t="str">
        <x:v>WeWork - RMZ Latitude</x:v>
      </x:c>
      <x:c r="F125" s="12" t="str">
        <x:v>43 inch LED TV</x:v>
      </x:c>
      <x:c r="G125" s="20" t="n">
        <x:v>4</x:v>
      </x:c>
      <x:c r="H125" s="12" t="str">
        <x:v>Inventory-listed building/workspace context; current occupancy and screen access unverified</x:v>
      </x:c>
      <x:c r="I125" s="12" t="str">
        <x:v>Mixed business audience</x:v>
      </x:c>
      <x:c r="J125" s="12" t="str">
        <x:v>Education</x:v>
      </x:c>
      <x:c r="K125" s="2" t="str">
        <x:v>MAIN-124</x:v>
      </x:c>
    </x:row>
    <x:row r="126" ht="46" customHeight="1">
      <x:c r="A126" s="2" t="str">
        <x:v>TEN-A4B489F44A39</x:v>
      </x:c>
      <x:c r="B126" s="12" t="str">
        <x:v>Living Forests India</x:v>
      </x:c>
      <x:c r="C126" s="12" t="str">
        <x:v>CORP-0120</x:v>
      </x:c>
      <x:c r="D126" s="12" t="str">
        <x:v>Bengaluru</x:v>
      </x:c>
      <x:c r="E126" s="12" t="str">
        <x:v>WeWork - RMZ Latitude</x:v>
      </x:c>
      <x:c r="F126" s="12" t="str">
        <x:v>43 inch LED TV</x:v>
      </x:c>
      <x:c r="G126" s="20" t="n">
        <x:v>4</x:v>
      </x:c>
      <x:c r="H126" s="12" t="str">
        <x:v>Inventory-listed building/workspace context; current occupancy and screen access unverified</x:v>
      </x:c>
      <x:c r="I126" s="12" t="str">
        <x:v>Small-scale prospects</x:v>
      </x:c>
      <x:c r="J126" s="12" t="str">
        <x:v>Trade, consumer &amp; logistics</x:v>
      </x:c>
      <x:c r="K126" s="2" t="str">
        <x:v>MAIN-124</x:v>
      </x:c>
    </x:row>
    <x:row r="127" ht="46" customHeight="1">
      <x:c r="A127" s="2" t="str">
        <x:v>TEN-B82219A14E90</x:v>
      </x:c>
      <x:c r="B127" s="12" t="str">
        <x:v>Cimpress Bangalore</x:v>
      </x:c>
      <x:c r="C127" s="12" t="str">
        <x:v>CORP-0120</x:v>
      </x:c>
      <x:c r="D127" s="12" t="str">
        <x:v>Bengaluru</x:v>
      </x:c>
      <x:c r="E127" s="12" t="str">
        <x:v>WeWork - RMZ Latitude</x:v>
      </x:c>
      <x:c r="F127" s="12" t="str">
        <x:v>43 inch LED TV</x:v>
      </x:c>
      <x:c r="G127" s="20" t="n">
        <x:v>4</x:v>
      </x:c>
      <x:c r="H127" s="12" t="str">
        <x:v>Inventory-listed building/workspace context; current occupancy and screen access unverified</x:v>
      </x:c>
      <x:c r="I127" s="12" t="str">
        <x:v>Mixed business audience</x:v>
      </x:c>
      <x:c r="J127" s="12" t="str">
        <x:v>Trade, consumer &amp; logistics</x:v>
      </x:c>
      <x:c r="K127" s="2" t="str">
        <x:v>MAIN-124</x:v>
      </x:c>
    </x:row>
    <x:row r="128" ht="46" customHeight="1">
      <x:c r="A128" s="2" t="str">
        <x:v>TEN-EC305B6618A4</x:v>
      </x:c>
      <x:c r="B128" s="12" t="str">
        <x:v>Paxal Marbles &amp; Granites</x:v>
      </x:c>
      <x:c r="C128" s="12" t="str">
        <x:v>CORP-0120</x:v>
      </x:c>
      <x:c r="D128" s="12" t="str">
        <x:v>Bengaluru</x:v>
      </x:c>
      <x:c r="E128" s="12" t="str">
        <x:v>WeWork - RMZ Latitude</x:v>
      </x:c>
      <x:c r="F128" s="12" t="str">
        <x:v>43 inch LED TV</x:v>
      </x:c>
      <x:c r="G128" s="20" t="n">
        <x:v>4</x:v>
      </x:c>
      <x:c r="H128" s="12" t="str">
        <x:v>Inventory-listed building/workspace context; current occupancy and screen access unverified</x:v>
      </x:c>
      <x:c r="I128" s="12" t="str">
        <x:v>Small-scale prospects</x:v>
      </x:c>
      <x:c r="J128" s="12" t="str">
        <x:v>Trade, consumer &amp; logistics</x:v>
      </x:c>
      <x:c r="K128" s="2" t="str">
        <x:v>MAIN-124</x:v>
      </x:c>
    </x:row>
    <x:row r="129" ht="46" customHeight="1">
      <x:c r="A129" s="2" t="str">
        <x:v>TEN-FB464099276C</x:v>
      </x:c>
      <x:c r="B129" s="12" t="str">
        <x:v>Hajana Technologies</x:v>
      </x:c>
      <x:c r="C129" s="12" t="str">
        <x:v>CORP-0120</x:v>
      </x:c>
      <x:c r="D129" s="12" t="str">
        <x:v>Bengaluru</x:v>
      </x:c>
      <x:c r="E129" s="12" t="str">
        <x:v>WeWork - RMZ Latitude</x:v>
      </x:c>
      <x:c r="F129" s="12" t="str">
        <x:v>43 inch LED TV</x:v>
      </x:c>
      <x:c r="G129" s="20" t="n">
        <x:v>4</x:v>
      </x:c>
      <x:c r="H129" s="12" t="str">
        <x:v>Inventory-listed building/workspace context; current occupancy and screen access unverified</x:v>
      </x:c>
      <x:c r="I129" s="12" t="str">
        <x:v>Mixed business audience</x:v>
      </x:c>
      <x:c r="J129" s="12" t="str">
        <x:v>Unresolved</x:v>
      </x:c>
      <x:c r="K129" s="2" t="str">
        <x:v>MAIN-124</x:v>
      </x:c>
    </x:row>
    <x:row r="130" ht="46" customHeight="1">
      <x:c r="A130" s="2" t="str">
        <x:v>TEN-5B81D52D4310</x:v>
      </x:c>
      <x:c r="B130" s="12" t="str">
        <x:v>WeWork</x:v>
      </x:c>
      <x:c r="C130" s="12" t="str">
        <x:v>CORP-0121</x:v>
      </x:c>
      <x:c r="D130" s="12" t="str">
        <x:v>Bengaluru</x:v>
      </x:c>
      <x:c r="E130" s="12" t="str">
        <x:v>WeWork - Roshni TH</x:v>
      </x:c>
      <x:c r="F130" s="12" t="str">
        <x:v>43 inch LED TV</x:v>
      </x:c>
      <x:c r="G130" s="20" t="n">
        <x:v>2</x:v>
      </x:c>
      <x:c r="H130" s="12" t="str">
        <x:v>Workspace operator inferred from explicit property name; tenant occupants unconfirmed</x:v>
      </x:c>
      <x:c r="I130" s="12" t="str">
        <x:v>Mixed business audience</x:v>
      </x:c>
      <x:c r="J130" s="12" t="str">
        <x:v>Workspace &amp; property operations</x:v>
      </x:c>
      <x:c r="K130" s="2" t="str">
        <x:v>MAIN-125</x:v>
      </x:c>
    </x:row>
    <x:row r="131" ht="46" customHeight="1">
      <x:c r="A131" s="2" t="str">
        <x:v>TEN-1719E5D67F49</x:v>
      </x:c>
      <x:c r="B131" s="12" t="str">
        <x:v>SAY-SO TECHNOLOGIES</x:v>
      </x:c>
      <x:c r="C131" s="12" t="str">
        <x:v>CORP-0122</x:v>
      </x:c>
      <x:c r="D131" s="12" t="str">
        <x:v>Bengaluru</x:v>
      </x:c>
      <x:c r="E131" s="12" t="str">
        <x:v>WeWork - Salarpuria Magnificia</x:v>
      </x:c>
      <x:c r="F131" s="12" t="str">
        <x:v>43 inch LED TV</x:v>
      </x:c>
      <x:c r="G131" s="20" t="n">
        <x:v>8</x:v>
      </x:c>
      <x:c r="H131" s="12" t="str">
        <x:v>Inventory-listed building/workspace context; current occupancy and screen access unverified</x:v>
      </x:c>
      <x:c r="I131" s="12" t="str">
        <x:v>Mixed business audience</x:v>
      </x:c>
      <x:c r="J131" s="12" t="str">
        <x:v>Unresolved</x:v>
      </x:c>
      <x:c r="K131" s="2" t="str">
        <x:v>MAIN-126</x:v>
      </x:c>
    </x:row>
    <x:row r="132" ht="46" customHeight="1">
      <x:c r="A132" s="2" t="str">
        <x:v>TEN-1CD245F812EB</x:v>
      </x:c>
      <x:c r="B132" s="12" t="str">
        <x:v>WowExp</x:v>
      </x:c>
      <x:c r="C132" s="12" t="str">
        <x:v>CORP-0122</x:v>
      </x:c>
      <x:c r="D132" s="12" t="str">
        <x:v>Bengaluru</x:v>
      </x:c>
      <x:c r="E132" s="12" t="str">
        <x:v>WeWork - Salarpuria Magnificia</x:v>
      </x:c>
      <x:c r="F132" s="12" t="str">
        <x:v>43 inch LED TV</x:v>
      </x:c>
      <x:c r="G132" s="20" t="n">
        <x:v>8</x:v>
      </x:c>
      <x:c r="H132" s="12" t="str">
        <x:v>Inventory-listed building/workspace context; current occupancy and screen access unverified</x:v>
      </x:c>
      <x:c r="I132" s="12" t="str">
        <x:v>Small-scale prospects</x:v>
      </x:c>
      <x:c r="J132" s="12" t="str">
        <x:v>IT &amp; digital</x:v>
      </x:c>
      <x:c r="K132" s="2" t="str">
        <x:v>MAIN-126</x:v>
      </x:c>
    </x:row>
    <x:row r="133" ht="46" customHeight="1">
      <x:c r="A133" s="2" t="str">
        <x:v>TEN-27E5329AC430</x:v>
      </x:c>
      <x:c r="B133" s="12" t="str">
        <x:v>Air Water India Private Limited</x:v>
      </x:c>
      <x:c r="C133" s="12" t="str">
        <x:v>CORP-0122</x:v>
      </x:c>
      <x:c r="D133" s="12" t="str">
        <x:v>Bengaluru</x:v>
      </x:c>
      <x:c r="E133" s="12" t="str">
        <x:v>WeWork - Salarpuria Magnificia</x:v>
      </x:c>
      <x:c r="F133" s="12" t="str">
        <x:v>43 inch LED TV</x:v>
      </x:c>
      <x:c r="G133" s="20" t="n">
        <x:v>8</x:v>
      </x:c>
      <x:c r="H133" s="12" t="str">
        <x:v>Inventory-listed building/workspace context; current occupancy and screen access unverified</x:v>
      </x:c>
      <x:c r="I133" s="12" t="str">
        <x:v>Mixed business audience</x:v>
      </x:c>
      <x:c r="J133" s="12" t="str">
        <x:v>Engineering &amp; manufacturing</x:v>
      </x:c>
      <x:c r="K133" s="2" t="str">
        <x:v>MAIN-126</x:v>
      </x:c>
    </x:row>
    <x:row r="134" ht="46" customHeight="1">
      <x:c r="A134" s="2" t="str">
        <x:v>TEN-47542BC197FE</x:v>
      </x:c>
      <x:c r="B134" s="12" t="str">
        <x:v>ptek multiples pvt ltd</x:v>
      </x:c>
      <x:c r="C134" s="12" t="str">
        <x:v>CORP-0122</x:v>
      </x:c>
      <x:c r="D134" s="12" t="str">
        <x:v>Bengaluru</x:v>
      </x:c>
      <x:c r="E134" s="12" t="str">
        <x:v>WeWork - Salarpuria Magnificia</x:v>
      </x:c>
      <x:c r="F134" s="12" t="str">
        <x:v>43 inch LED TV</x:v>
      </x:c>
      <x:c r="G134" s="20" t="n">
        <x:v>8</x:v>
      </x:c>
      <x:c r="H134" s="12" t="str">
        <x:v>Inventory-listed building/workspace context; current occupancy and screen access unverified</x:v>
      </x:c>
      <x:c r="I134" s="12" t="str">
        <x:v>Mixed business audience</x:v>
      </x:c>
      <x:c r="J134" s="12" t="str">
        <x:v>Unresolved</x:v>
      </x:c>
      <x:c r="K134" s="2" t="str">
        <x:v>MAIN-126</x:v>
      </x:c>
    </x:row>
    <x:row r="135" ht="46" customHeight="1">
      <x:c r="A135" s="2" t="str">
        <x:v>TEN-5FA790F3630F</x:v>
      </x:c>
      <x:c r="B135" s="12" t="str">
        <x:v>Tata Consultancy Services</x:v>
      </x:c>
      <x:c r="C135" s="12" t="str">
        <x:v>CORP-0122</x:v>
      </x:c>
      <x:c r="D135" s="12" t="str">
        <x:v>Bengaluru</x:v>
      </x:c>
      <x:c r="E135" s="12" t="str">
        <x:v>WeWork - Salarpuria Magnificia</x:v>
      </x:c>
      <x:c r="F135" s="12" t="str">
        <x:v>43 inch LED TV</x:v>
      </x:c>
      <x:c r="G135" s="20" t="n">
        <x:v>8</x:v>
      </x:c>
      <x:c r="H135" s="12" t="str">
        <x:v>Inventory-listed building/workspace context; current occupancy and screen access unverified</x:v>
      </x:c>
      <x:c r="I135" s="12" t="str">
        <x:v>Large enterprise</x:v>
      </x:c>
      <x:c r="J135" s="12" t="str">
        <x:v>IT &amp; digital</x:v>
      </x:c>
      <x:c r="K135" s="2" t="str">
        <x:v>MAIN-126</x:v>
      </x:c>
    </x:row>
    <x:row r="136" ht="46" customHeight="1">
      <x:c r="A136" s="2" t="str">
        <x:v>TEN-894090F78BDD</x:v>
      </x:c>
      <x:c r="B136" s="12" t="str">
        <x:v>Talisma Corporation Private Limited</x:v>
      </x:c>
      <x:c r="C136" s="12" t="str">
        <x:v>CORP-0122</x:v>
      </x:c>
      <x:c r="D136" s="12" t="str">
        <x:v>Bengaluru</x:v>
      </x:c>
      <x:c r="E136" s="12" t="str">
        <x:v>WeWork - Salarpuria Magnificia</x:v>
      </x:c>
      <x:c r="F136" s="12" t="str">
        <x:v>43 inch LED TV</x:v>
      </x:c>
      <x:c r="G136" s="20" t="n">
        <x:v>8</x:v>
      </x:c>
      <x:c r="H136" s="12" t="str">
        <x:v>Inventory-listed building/workspace context; current occupancy and screen access unverified</x:v>
      </x:c>
      <x:c r="I136" s="12" t="str">
        <x:v>Mixed business audience</x:v>
      </x:c>
      <x:c r="J136" s="12" t="str">
        <x:v>IT &amp; digital</x:v>
      </x:c>
      <x:c r="K136" s="2" t="str">
        <x:v>MAIN-126</x:v>
      </x:c>
    </x:row>
    <x:row r="137" ht="46" customHeight="1">
      <x:c r="A137" s="2" t="str">
        <x:v>TEN-98D6043D3E03</x:v>
      </x:c>
      <x:c r="B137" s="12" t="str">
        <x:v>Oleic Technologies</x:v>
      </x:c>
      <x:c r="C137" s="12" t="str">
        <x:v>CORP-0122</x:v>
      </x:c>
      <x:c r="D137" s="12" t="str">
        <x:v>Bengaluru</x:v>
      </x:c>
      <x:c r="E137" s="12" t="str">
        <x:v>WeWork - Salarpuria Magnificia</x:v>
      </x:c>
      <x:c r="F137" s="12" t="str">
        <x:v>43 inch LED TV</x:v>
      </x:c>
      <x:c r="G137" s="20" t="n">
        <x:v>8</x:v>
      </x:c>
      <x:c r="H137" s="12" t="str">
        <x:v>Inventory-listed building/workspace context; current occupancy and screen access unverified</x:v>
      </x:c>
      <x:c r="I137" s="12" t="str">
        <x:v>Mixed business audience</x:v>
      </x:c>
      <x:c r="J137" s="12" t="str">
        <x:v>Unresolved</x:v>
      </x:c>
      <x:c r="K137" s="2" t="str">
        <x:v>MAIN-126</x:v>
      </x:c>
    </x:row>
    <x:row r="138" ht="46" customHeight="1">
      <x:c r="A138" s="2" t="str">
        <x:v>TEN-A7F0F4E06BC5</x:v>
      </x:c>
      <x:c r="B138" s="12" t="str">
        <x:v>Osram</x:v>
      </x:c>
      <x:c r="C138" s="12" t="str">
        <x:v>CORP-0122</x:v>
      </x:c>
      <x:c r="D138" s="12" t="str">
        <x:v>Bengaluru</x:v>
      </x:c>
      <x:c r="E138" s="12" t="str">
        <x:v>WeWork - Salarpuria Magnificia</x:v>
      </x:c>
      <x:c r="F138" s="12" t="str">
        <x:v>43 inch LED TV</x:v>
      </x:c>
      <x:c r="G138" s="20" t="n">
        <x:v>8</x:v>
      </x:c>
      <x:c r="H138" s="12" t="str">
        <x:v>Inventory-listed building/workspace context; current occupancy and screen access unverified</x:v>
      </x:c>
      <x:c r="I138" s="12" t="str">
        <x:v>Mixed business audience</x:v>
      </x:c>
      <x:c r="J138" s="12" t="str">
        <x:v>Engineering &amp; manufacturing</x:v>
      </x:c>
      <x:c r="K138" s="2" t="str">
        <x:v>MAIN-126</x:v>
      </x:c>
    </x:row>
    <x:row r="139" ht="46" customHeight="1">
      <x:c r="A139" s="2" t="str">
        <x:v>TEN-A95FFCA723A6</x:v>
      </x:c>
      <x:c r="B139" s="12" t="str">
        <x:v>Toprankers Edtech Solutions Pvt Ltd</x:v>
      </x:c>
      <x:c r="C139" s="12" t="str">
        <x:v>CORP-0122</x:v>
      </x:c>
      <x:c r="D139" s="12" t="str">
        <x:v>Bengaluru</x:v>
      </x:c>
      <x:c r="E139" s="12" t="str">
        <x:v>WeWork - Salarpuria Magnificia</x:v>
      </x:c>
      <x:c r="F139" s="12" t="str">
        <x:v>43 inch LED TV</x:v>
      </x:c>
      <x:c r="G139" s="20" t="n">
        <x:v>8</x:v>
      </x:c>
      <x:c r="H139" s="12" t="str">
        <x:v>Inventory-listed building/workspace context; current occupancy and screen access unverified</x:v>
      </x:c>
      <x:c r="I139" s="12" t="str">
        <x:v>Mixed business audience</x:v>
      </x:c>
      <x:c r="J139" s="12" t="str">
        <x:v>Education</x:v>
      </x:c>
      <x:c r="K139" s="2" t="str">
        <x:v>MAIN-126</x:v>
      </x:c>
    </x:row>
    <x:row r="140" ht="46" customHeight="1">
      <x:c r="A140" s="2" t="str">
        <x:v>TEN-AB43FD6C420A</x:v>
      </x:c>
      <x:c r="B140" s="12" t="str">
        <x:v>Rystad Energy India Pvt Ltd</x:v>
      </x:c>
      <x:c r="C140" s="12" t="str">
        <x:v>CORP-0122</x:v>
      </x:c>
      <x:c r="D140" s="12" t="str">
        <x:v>Bengaluru</x:v>
      </x:c>
      <x:c r="E140" s="12" t="str">
        <x:v>WeWork - Salarpuria Magnificia</x:v>
      </x:c>
      <x:c r="F140" s="12" t="str">
        <x:v>43 inch LED TV</x:v>
      </x:c>
      <x:c r="G140" s="20" t="n">
        <x:v>8</x:v>
      </x:c>
      <x:c r="H140" s="12" t="str">
        <x:v>Inventory-listed building/workspace context; current occupancy and screen access unverified</x:v>
      </x:c>
      <x:c r="I140" s="12" t="str">
        <x:v>Mixed business audience</x:v>
      </x:c>
      <x:c r="J140" s="12" t="str">
        <x:v>Professional services</x:v>
      </x:c>
      <x:c r="K140" s="2" t="str">
        <x:v>MAIN-126</x:v>
      </x:c>
    </x:row>
    <x:row r="141" ht="46" customHeight="1">
      <x:c r="A141" s="2" t="str">
        <x:v>TEN-17FB8DB6E637</x:v>
      </x:c>
      <x:c r="B141" s="12" t="str">
        <x:v>HikeOn Technologies Private Limited</x:v>
      </x:c>
      <x:c r="C141" s="12" t="str">
        <x:v>CORP-0123</x:v>
      </x:c>
      <x:c r="D141" s="12" t="str">
        <x:v>Bengaluru</x:v>
      </x:c>
      <x:c r="E141" s="12" t="str">
        <x:v>WeWork - Salarpuria Symbiosis</x:v>
      </x:c>
      <x:c r="F141" s="12" t="str">
        <x:v>43 inch LED TV</x:v>
      </x:c>
      <x:c r="G141" s="20" t="n">
        <x:v>5</x:v>
      </x:c>
      <x:c r="H141" s="12" t="str">
        <x:v>Inventory-listed building/workspace context; current occupancy and screen access unverified</x:v>
      </x:c>
      <x:c r="I141" s="12" t="str">
        <x:v>Small-scale prospects</x:v>
      </x:c>
      <x:c r="J141" s="12" t="str">
        <x:v>IT &amp; digital</x:v>
      </x:c>
      <x:c r="K141" s="2" t="str">
        <x:v>MAIN-127</x:v>
      </x:c>
    </x:row>
    <x:row r="142" ht="46" customHeight="1">
      <x:c r="A142" s="2" t="str">
        <x:v>TEN-379CF8E21D6F</x:v>
      </x:c>
      <x:c r="B142" s="12" t="str">
        <x:v>Qnas Marketing LLP</x:v>
      </x:c>
      <x:c r="C142" s="12" t="str">
        <x:v>CORP-0123</x:v>
      </x:c>
      <x:c r="D142" s="12" t="str">
        <x:v>Bengaluru</x:v>
      </x:c>
      <x:c r="E142" s="12" t="str">
        <x:v>WeWork - Salarpuria Symbiosis</x:v>
      </x:c>
      <x:c r="F142" s="12" t="str">
        <x:v>43 inch LED TV</x:v>
      </x:c>
      <x:c r="G142" s="20" t="n">
        <x:v>5</x:v>
      </x:c>
      <x:c r="H142" s="12" t="str">
        <x:v>Inventory-listed building/workspace context; current occupancy and screen access unverified</x:v>
      </x:c>
      <x:c r="I142" s="12" t="str">
        <x:v>Small-scale prospects</x:v>
      </x:c>
      <x:c r="J142" s="12" t="str">
        <x:v>Professional services</x:v>
      </x:c>
      <x:c r="K142" s="2" t="str">
        <x:v>MAIN-127</x:v>
      </x:c>
    </x:row>
    <x:row r="143" ht="46" customHeight="1">
      <x:c r="A143" s="2" t="str">
        <x:v>TEN-99FA68C349B3</x:v>
      </x:c>
      <x:c r="B143" s="12" t="str">
        <x:v>FourNxt Technologies</x:v>
      </x:c>
      <x:c r="C143" s="12" t="str">
        <x:v>CORP-0123</x:v>
      </x:c>
      <x:c r="D143" s="12" t="str">
        <x:v>Bengaluru</x:v>
      </x:c>
      <x:c r="E143" s="12" t="str">
        <x:v>WeWork - Salarpuria Symbiosis</x:v>
      </x:c>
      <x:c r="F143" s="12" t="str">
        <x:v>43 inch LED TV</x:v>
      </x:c>
      <x:c r="G143" s="20" t="n">
        <x:v>5</x:v>
      </x:c>
      <x:c r="H143" s="12" t="str">
        <x:v>Inventory-listed building/workspace context; current occupancy and screen access unverified</x:v>
      </x:c>
      <x:c r="I143" s="12" t="str">
        <x:v>Mixed business audience</x:v>
      </x:c>
      <x:c r="J143" s="12" t="str">
        <x:v>Unresolved</x:v>
      </x:c>
      <x:c r="K143" s="2" t="str">
        <x:v>MAIN-127</x:v>
      </x:c>
    </x:row>
    <x:row r="144" ht="46" customHeight="1">
      <x:c r="A144" s="2" t="str">
        <x:v>TEN-9FD66800C491</x:v>
      </x:c>
      <x:c r="B144" s="12" t="str">
        <x:v>The Third Eye Films</x:v>
      </x:c>
      <x:c r="C144" s="12" t="str">
        <x:v>CORP-0123</x:v>
      </x:c>
      <x:c r="D144" s="12" t="str">
        <x:v>Bengaluru</x:v>
      </x:c>
      <x:c r="E144" s="12" t="str">
        <x:v>WeWork - Salarpuria Symbiosis</x:v>
      </x:c>
      <x:c r="F144" s="12" t="str">
        <x:v>43 inch LED TV</x:v>
      </x:c>
      <x:c r="G144" s="20" t="n">
        <x:v>5</x:v>
      </x:c>
      <x:c r="H144" s="12" t="str">
        <x:v>Inventory-listed building/workspace context; current occupancy and screen access unverified</x:v>
      </x:c>
      <x:c r="I144" s="12" t="str">
        <x:v>Small-scale prospects</x:v>
      </x:c>
      <x:c r="J144" s="12" t="str">
        <x:v>Trade, consumer &amp; logistics</x:v>
      </x:c>
      <x:c r="K144" s="2" t="str">
        <x:v>MAIN-127</x:v>
      </x:c>
    </x:row>
    <x:row r="145" ht="46" customHeight="1">
      <x:c r="A145" s="2" t="str">
        <x:v>TEN-A636D088018E</x:v>
      </x:c>
      <x:c r="B145" s="12" t="str">
        <x:v>Stafz IT Services Private Limited</x:v>
      </x:c>
      <x:c r="C145" s="12" t="str">
        <x:v>CORP-0123</x:v>
      </x:c>
      <x:c r="D145" s="12" t="str">
        <x:v>Bengaluru</x:v>
      </x:c>
      <x:c r="E145" s="12" t="str">
        <x:v>WeWork - Salarpuria Symbiosis</x:v>
      </x:c>
      <x:c r="F145" s="12" t="str">
        <x:v>43 inch LED TV</x:v>
      </x:c>
      <x:c r="G145" s="20" t="n">
        <x:v>5</x:v>
      </x:c>
      <x:c r="H145" s="12" t="str">
        <x:v>Inventory-listed building/workspace context; current occupancy and screen access unverified</x:v>
      </x:c>
      <x:c r="I145" s="12" t="str">
        <x:v>Small-scale prospects</x:v>
      </x:c>
      <x:c r="J145" s="12" t="str">
        <x:v>IT &amp; digital</x:v>
      </x:c>
      <x:c r="K145" s="2" t="str">
        <x:v>MAIN-127</x:v>
      </x:c>
    </x:row>
    <x:row r="146" ht="46" customHeight="1">
      <x:c r="A146" s="2" t="str">
        <x:v>TEN-B79A492C4FE0</x:v>
      </x:c>
      <x:c r="B146" s="12" t="str">
        <x:v>Arafa Vegetables</x:v>
      </x:c>
      <x:c r="C146" s="12" t="str">
        <x:v>CORP-0123</x:v>
      </x:c>
      <x:c r="D146" s="12" t="str">
        <x:v>Bengaluru</x:v>
      </x:c>
      <x:c r="E146" s="12" t="str">
        <x:v>WeWork - Salarpuria Symbiosis</x:v>
      </x:c>
      <x:c r="F146" s="12" t="str">
        <x:v>43 inch LED TV</x:v>
      </x:c>
      <x:c r="G146" s="20" t="n">
        <x:v>5</x:v>
      </x:c>
      <x:c r="H146" s="12" t="str">
        <x:v>Inventory-listed building/workspace context; current occupancy and screen access unverified</x:v>
      </x:c>
      <x:c r="I146" s="12" t="str">
        <x:v>Small-scale prospects</x:v>
      </x:c>
      <x:c r="J146" s="12" t="str">
        <x:v>Trade, consumer &amp; logistics</x:v>
      </x:c>
      <x:c r="K146" s="2" t="str">
        <x:v>MAIN-127</x:v>
      </x:c>
    </x:row>
    <x:row r="147" ht="46" customHeight="1">
      <x:c r="A147" s="2" t="str">
        <x:v>TEN-E5D3BFD31881</x:v>
      </x:c>
      <x:c r="B147" s="12" t="str">
        <x:v>Zoapi Innovations</x:v>
      </x:c>
      <x:c r="C147" s="12" t="str">
        <x:v>CORP-0123</x:v>
      </x:c>
      <x:c r="D147" s="12" t="str">
        <x:v>Bengaluru</x:v>
      </x:c>
      <x:c r="E147" s="12" t="str">
        <x:v>WeWork - Salarpuria Symbiosis</x:v>
      </x:c>
      <x:c r="F147" s="12" t="str">
        <x:v>43 inch LED TV</x:v>
      </x:c>
      <x:c r="G147" s="20" t="n">
        <x:v>5</x:v>
      </x:c>
      <x:c r="H147" s="12" t="str">
        <x:v>Inventory-listed building/workspace context; current occupancy and screen access unverified</x:v>
      </x:c>
      <x:c r="I147" s="12" t="str">
        <x:v>Small-scale prospects</x:v>
      </x:c>
      <x:c r="J147" s="12" t="str">
        <x:v>IT &amp; digital</x:v>
      </x:c>
      <x:c r="K147" s="2" t="str">
        <x:v>MAIN-127</x:v>
      </x:c>
    </x:row>
    <x:row r="148" ht="46" customHeight="1">
      <x:c r="A148" s="2" t="str">
        <x:v>TEN-F122850E25D2</x:v>
      </x:c>
      <x:c r="B148" s="12" t="str">
        <x:v>Nanoheal</x:v>
      </x:c>
      <x:c r="C148" s="12" t="str">
        <x:v>CORP-0123</x:v>
      </x:c>
      <x:c r="D148" s="12" t="str">
        <x:v>Bengaluru</x:v>
      </x:c>
      <x:c r="E148" s="12" t="str">
        <x:v>WeWork - Salarpuria Symbiosis</x:v>
      </x:c>
      <x:c r="F148" s="12" t="str">
        <x:v>43 inch LED TV</x:v>
      </x:c>
      <x:c r="G148" s="20" t="n">
        <x:v>5</x:v>
      </x:c>
      <x:c r="H148" s="12" t="str">
        <x:v>Inventory-listed building/workspace context; current occupancy and screen access unverified</x:v>
      </x:c>
      <x:c r="I148" s="12" t="str">
        <x:v>Small-scale prospects</x:v>
      </x:c>
      <x:c r="J148" s="12" t="str">
        <x:v>IT &amp; digital</x:v>
      </x:c>
      <x:c r="K148" s="2" t="str">
        <x:v>MAIN-127</x:v>
      </x:c>
    </x:row>
    <x:row r="149" ht="46" customHeight="1">
      <x:c r="A149" s="2" t="str">
        <x:v>TEN-F537587C0EE8</x:v>
      </x:c>
      <x:c r="B149" s="12" t="str">
        <x:v>NetConnect Global</x:v>
      </x:c>
      <x:c r="C149" s="12" t="str">
        <x:v>CORP-0123</x:v>
      </x:c>
      <x:c r="D149" s="12" t="str">
        <x:v>Bengaluru</x:v>
      </x:c>
      <x:c r="E149" s="12" t="str">
        <x:v>WeWork - Salarpuria Symbiosis</x:v>
      </x:c>
      <x:c r="F149" s="12" t="str">
        <x:v>43 inch LED TV</x:v>
      </x:c>
      <x:c r="G149" s="20" t="n">
        <x:v>5</x:v>
      </x:c>
      <x:c r="H149" s="12" t="str">
        <x:v>Inventory-listed building/workspace context; current occupancy and screen access unverified</x:v>
      </x:c>
      <x:c r="I149" s="12" t="str">
        <x:v>Small-scale prospects</x:v>
      </x:c>
      <x:c r="J149" s="12" t="str">
        <x:v>IT &amp; digital</x:v>
      </x:c>
      <x:c r="K149" s="2" t="str">
        <x:v>MAIN-127</x:v>
      </x:c>
    </x:row>
    <x:row r="150" ht="46" customHeight="1">
      <x:c r="A150" s="2" t="str">
        <x:v>TEN-34ACAFF17988</x:v>
      </x:c>
      <x:c r="B150" s="12" t="str">
        <x:v>Kyron Management Services Pvt Ltd</x:v>
      </x:c>
      <x:c r="C150" s="12" t="str">
        <x:v>CORP-0124</x:v>
      </x:c>
      <x:c r="D150" s="12" t="str">
        <x:v>Bengaluru</x:v>
      </x:c>
      <x:c r="E150" s="12" t="str">
        <x:v>Wework - Sunriver</x:v>
      </x:c>
      <x:c r="F150" s="12" t="str">
        <x:v>43 inch LED TV</x:v>
      </x:c>
      <x:c r="G150" s="20" t="n">
        <x:v>1</x:v>
      </x:c>
      <x:c r="H150" s="12" t="str">
        <x:v>Campus/portfolio roster; individual building occupancy unverified</x:v>
      </x:c>
      <x:c r="I150" s="12" t="str">
        <x:v>Small-scale prospects</x:v>
      </x:c>
      <x:c r="J150" s="12" t="str">
        <x:v>Professional services</x:v>
      </x:c>
      <x:c r="K150" s="2" t="str">
        <x:v>MAIN-128</x:v>
      </x:c>
    </x:row>
    <x:row r="151" ht="46" customHeight="1">
      <x:c r="A151" s="2" t="str">
        <x:v>TEN-78346E1DD33E</x:v>
      </x:c>
      <x:c r="B151" s="12" t="str">
        <x:v>Techstars</x:v>
      </x:c>
      <x:c r="C151" s="12" t="str">
        <x:v>CORP-0124</x:v>
      </x:c>
      <x:c r="D151" s="12" t="str">
        <x:v>Bengaluru</x:v>
      </x:c>
      <x:c r="E151" s="12" t="str">
        <x:v>Wework - Sunriver</x:v>
      </x:c>
      <x:c r="F151" s="12" t="str">
        <x:v>43 inch LED TV</x:v>
      </x:c>
      <x:c r="G151" s="20" t="n">
        <x:v>1</x:v>
      </x:c>
      <x:c r="H151" s="12" t="str">
        <x:v>Campus/portfolio roster; individual building occupancy unverified</x:v>
      </x:c>
      <x:c r="I151" s="12" t="str">
        <x:v>Mixed business audience</x:v>
      </x:c>
      <x:c r="J151" s="12" t="str">
        <x:v>Unresolved</x:v>
      </x:c>
      <x:c r="K151" s="2" t="str">
        <x:v>MAIN-128</x:v>
      </x:c>
    </x:row>
    <x:row r="152" ht="46" customHeight="1">
      <x:c r="A152" s="2" t="str">
        <x:v>TEN-BD06E0108A69</x:v>
      </x:c>
      <x:c r="B152" s="12" t="str">
        <x:v>Leviton</x:v>
      </x:c>
      <x:c r="C152" s="12" t="str">
        <x:v>CORP-0124</x:v>
      </x:c>
      <x:c r="D152" s="12" t="str">
        <x:v>Bengaluru</x:v>
      </x:c>
      <x:c r="E152" s="12" t="str">
        <x:v>Wework - Sunriver</x:v>
      </x:c>
      <x:c r="F152" s="12" t="str">
        <x:v>43 inch LED TV</x:v>
      </x:c>
      <x:c r="G152" s="20" t="n">
        <x:v>1</x:v>
      </x:c>
      <x:c r="H152" s="12" t="str">
        <x:v>Campus/portfolio roster; individual building occupancy unverified</x:v>
      </x:c>
      <x:c r="I152" s="12" t="str">
        <x:v>Mixed business audience</x:v>
      </x:c>
      <x:c r="J152" s="12" t="str">
        <x:v>Engineering &amp; manufacturing</x:v>
      </x:c>
      <x:c r="K152" s="2" t="str">
        <x:v>MAIN-128</x:v>
      </x:c>
    </x:row>
    <x:row r="153" ht="46" customHeight="1">
      <x:c r="A153" s="2" t="str">
        <x:v>TEN-C044E2C928F5</x:v>
      </x:c>
      <x:c r="B153" s="12" t="str">
        <x:v>Squarepoint Technologies India Pvt Ltd</x:v>
      </x:c>
      <x:c r="C153" s="12" t="str">
        <x:v>CORP-0124</x:v>
      </x:c>
      <x:c r="D153" s="12" t="str">
        <x:v>Bengaluru</x:v>
      </x:c>
      <x:c r="E153" s="12" t="str">
        <x:v>Wework - Sunriver</x:v>
      </x:c>
      <x:c r="F153" s="12" t="str">
        <x:v>43 inch LED TV</x:v>
      </x:c>
      <x:c r="G153" s="20" t="n">
        <x:v>1</x:v>
      </x:c>
      <x:c r="H153" s="12" t="str">
        <x:v>Campus/portfolio roster; individual building occupancy unverified</x:v>
      </x:c>
      <x:c r="I153" s="12" t="str">
        <x:v>Mixed business audience</x:v>
      </x:c>
      <x:c r="J153" s="12" t="str">
        <x:v>IT &amp; digital</x:v>
      </x:c>
      <x:c r="K153" s="2" t="str">
        <x:v>MAIN-128</x:v>
      </x:c>
    </x:row>
    <x:row r="154" ht="46" customHeight="1">
      <x:c r="A154" s="2" t="str">
        <x:v>TEN-CC236CA9F0D8</x:v>
      </x:c>
      <x:c r="B154" s="12" t="str">
        <x:v>Atlassian India</x:v>
      </x:c>
      <x:c r="C154" s="12" t="str">
        <x:v>CORP-0124</x:v>
      </x:c>
      <x:c r="D154" s="12" t="str">
        <x:v>Bengaluru</x:v>
      </x:c>
      <x:c r="E154" s="12" t="str">
        <x:v>Wework - Sunriver</x:v>
      </x:c>
      <x:c r="F154" s="12" t="str">
        <x:v>43 inch LED TV</x:v>
      </x:c>
      <x:c r="G154" s="20" t="n">
        <x:v>1</x:v>
      </x:c>
      <x:c r="H154" s="12" t="str">
        <x:v>Campus/portfolio roster; individual building occupancy unverified</x:v>
      </x:c>
      <x:c r="I154" s="12" t="str">
        <x:v>Large enterprise</x:v>
      </x:c>
      <x:c r="J154" s="12" t="str">
        <x:v>IT &amp; digital</x:v>
      </x:c>
      <x:c r="K154" s="2" t="str">
        <x:v>MAIN-128</x:v>
      </x:c>
    </x:row>
    <x:row r="155" ht="46" customHeight="1">
      <x:c r="A155" s="2" t="str">
        <x:v>TEN-D218324446AC</x:v>
      </x:c>
      <x:c r="B155" s="12" t="str">
        <x:v>Precisely software and data India Pvt Ltd</x:v>
      </x:c>
      <x:c r="C155" s="12" t="str">
        <x:v>CORP-0124</x:v>
      </x:c>
      <x:c r="D155" s="12" t="str">
        <x:v>Bengaluru</x:v>
      </x:c>
      <x:c r="E155" s="12" t="str">
        <x:v>Wework - Sunriver</x:v>
      </x:c>
      <x:c r="F155" s="12" t="str">
        <x:v>43 inch LED TV</x:v>
      </x:c>
      <x:c r="G155" s="20" t="n">
        <x:v>1</x:v>
      </x:c>
      <x:c r="H155" s="12" t="str">
        <x:v>Campus/portfolio roster; individual building occupancy unverified</x:v>
      </x:c>
      <x:c r="I155" s="12" t="str">
        <x:v>Mixed business audience</x:v>
      </x:c>
      <x:c r="J155" s="12" t="str">
        <x:v>IT &amp; digital</x:v>
      </x:c>
      <x:c r="K155" s="2" t="str">
        <x:v>MAIN-128</x:v>
      </x:c>
    </x:row>
    <x:row r="156" ht="46" customHeight="1">
      <x:c r="A156" s="2" t="str">
        <x:v>TEN-070EA3276414</x:v>
      </x:c>
      <x:c r="B156" s="12" t="str">
        <x:v>LIFTR</x:v>
      </x:c>
      <x:c r="C156" s="12" t="str">
        <x:v>CORP-0125</x:v>
      </x:c>
      <x:c r="D156" s="12" t="str">
        <x:v>Bengaluru</x:v>
      </x:c>
      <x:c r="E156" s="12" t="str">
        <x:v>WeWork - The Galaxy</x:v>
      </x:c>
      <x:c r="F156" s="12" t="str">
        <x:v>43 inch LED TV</x:v>
      </x:c>
      <x:c r="G156" s="20" t="n">
        <x:v>7</x:v>
      </x:c>
      <x:c r="H156" s="12" t="str">
        <x:v>Inventory-listed building/workspace context; current occupancy and screen access unverified</x:v>
      </x:c>
      <x:c r="I156" s="12" t="str">
        <x:v>Small-scale prospects</x:v>
      </x:c>
      <x:c r="J156" s="12" t="str">
        <x:v>Healthcare &amp; life sciences</x:v>
      </x:c>
      <x:c r="K156" s="2" t="str">
        <x:v>MAIN-129</x:v>
      </x:c>
    </x:row>
    <x:row r="157" ht="46" customHeight="1">
      <x:c r="A157" s="2" t="str">
        <x:v>TEN-0C938E21B4E2</x:v>
      </x:c>
      <x:c r="B157" s="12" t="str">
        <x:v>RDB Associates</x:v>
      </x:c>
      <x:c r="C157" s="12" t="str">
        <x:v>CORP-0125</x:v>
      </x:c>
      <x:c r="D157" s="12" t="str">
        <x:v>Bengaluru</x:v>
      </x:c>
      <x:c r="E157" s="12" t="str">
        <x:v>WeWork - The Galaxy</x:v>
      </x:c>
      <x:c r="F157" s="12" t="str">
        <x:v>43 inch LED TV</x:v>
      </x:c>
      <x:c r="G157" s="20" t="n">
        <x:v>7</x:v>
      </x:c>
      <x:c r="H157" s="12" t="str">
        <x:v>Inventory-listed building/workspace context; current occupancy and screen access unverified</x:v>
      </x:c>
      <x:c r="I157" s="12" t="str">
        <x:v>Mixed business audience</x:v>
      </x:c>
      <x:c r="J157" s="12" t="str">
        <x:v>Unresolved</x:v>
      </x:c>
      <x:c r="K157" s="2" t="str">
        <x:v>MAIN-129</x:v>
      </x:c>
    </x:row>
    <x:row r="158" ht="46" customHeight="1">
      <x:c r="A158" s="2" t="str">
        <x:v>TEN-0CDB38A6A30B</x:v>
      </x:c>
      <x:c r="B158" s="12" t="str">
        <x:v>vMobo Mobile Pvt. Ltd</x:v>
      </x:c>
      <x:c r="C158" s="12" t="str">
        <x:v>CORP-0125</x:v>
      </x:c>
      <x:c r="D158" s="12" t="str">
        <x:v>Bengaluru</x:v>
      </x:c>
      <x:c r="E158" s="12" t="str">
        <x:v>WeWork - The Galaxy</x:v>
      </x:c>
      <x:c r="F158" s="12" t="str">
        <x:v>43 inch LED TV</x:v>
      </x:c>
      <x:c r="G158" s="20" t="n">
        <x:v>7</x:v>
      </x:c>
      <x:c r="H158" s="12" t="str">
        <x:v>Inventory-listed building/workspace context; current occupancy and screen access unverified</x:v>
      </x:c>
      <x:c r="I158" s="12" t="str">
        <x:v>Mixed business audience</x:v>
      </x:c>
      <x:c r="J158" s="12" t="str">
        <x:v>Unresolved</x:v>
      </x:c>
      <x:c r="K158" s="2" t="str">
        <x:v>MAIN-129</x:v>
      </x:c>
    </x:row>
    <x:row r="159" ht="46" customHeight="1">
      <x:c r="A159" s="2" t="str">
        <x:v>TEN-6A551DA31D50</x:v>
      </x:c>
      <x:c r="B159" s="12" t="str">
        <x:v>The Scalers</x:v>
      </x:c>
      <x:c r="C159" s="12" t="str">
        <x:v>CORP-0125</x:v>
      </x:c>
      <x:c r="D159" s="12" t="str">
        <x:v>Bengaluru</x:v>
      </x:c>
      <x:c r="E159" s="12" t="str">
        <x:v>WeWork - The Galaxy</x:v>
      </x:c>
      <x:c r="F159" s="12" t="str">
        <x:v>43 inch LED TV</x:v>
      </x:c>
      <x:c r="G159" s="20" t="n">
        <x:v>7</x:v>
      </x:c>
      <x:c r="H159" s="12" t="str">
        <x:v>Inventory-listed building/workspace context; current occupancy and screen access unverified</x:v>
      </x:c>
      <x:c r="I159" s="12" t="str">
        <x:v>Small-scale prospects</x:v>
      </x:c>
      <x:c r="J159" s="12" t="str">
        <x:v>Professional services</x:v>
      </x:c>
      <x:c r="K159" s="2" t="str">
        <x:v>MAIN-129</x:v>
      </x:c>
    </x:row>
    <x:row r="160" ht="46" customHeight="1">
      <x:c r="A160" s="2" t="str">
        <x:v>TEN-6CA4D108C413</x:v>
      </x:c>
      <x:c r="B160" s="12" t="str">
        <x:v>Wildhub Designs pvt ltd</x:v>
      </x:c>
      <x:c r="C160" s="12" t="str">
        <x:v>CORP-0125</x:v>
      </x:c>
      <x:c r="D160" s="12" t="str">
        <x:v>Bengaluru</x:v>
      </x:c>
      <x:c r="E160" s="12" t="str">
        <x:v>WeWork - The Galaxy</x:v>
      </x:c>
      <x:c r="F160" s="12" t="str">
        <x:v>43 inch LED TV</x:v>
      </x:c>
      <x:c r="G160" s="20" t="n">
        <x:v>7</x:v>
      </x:c>
      <x:c r="H160" s="12" t="str">
        <x:v>Inventory-listed building/workspace context; current occupancy and screen access unverified</x:v>
      </x:c>
      <x:c r="I160" s="12" t="str">
        <x:v>Mixed business audience</x:v>
      </x:c>
      <x:c r="J160" s="12" t="str">
        <x:v>Unresolved</x:v>
      </x:c>
      <x:c r="K160" s="2" t="str">
        <x:v>MAIN-129</x:v>
      </x:c>
    </x:row>
    <x:row r="161" ht="46" customHeight="1">
      <x:c r="A161" s="2" t="str">
        <x:v>TEN-764410B207C5</x:v>
      </x:c>
      <x:c r="B161" s="12" t="str">
        <x:v>CogBooks India</x:v>
      </x:c>
      <x:c r="C161" s="12" t="str">
        <x:v>CORP-0125</x:v>
      </x:c>
      <x:c r="D161" s="12" t="str">
        <x:v>Bengaluru</x:v>
      </x:c>
      <x:c r="E161" s="12" t="str">
        <x:v>WeWork - The Galaxy</x:v>
      </x:c>
      <x:c r="F161" s="12" t="str">
        <x:v>43 inch LED TV</x:v>
      </x:c>
      <x:c r="G161" s="20" t="n">
        <x:v>7</x:v>
      </x:c>
      <x:c r="H161" s="12" t="str">
        <x:v>Inventory-listed building/workspace context; current occupancy and screen access unverified</x:v>
      </x:c>
      <x:c r="I161" s="12" t="str">
        <x:v>Mixed business audience</x:v>
      </x:c>
      <x:c r="J161" s="12" t="str">
        <x:v>Education</x:v>
      </x:c>
      <x:c r="K161" s="2" t="str">
        <x:v>MAIN-129</x:v>
      </x:c>
    </x:row>
    <x:row r="162" ht="46" customHeight="1">
      <x:c r="A162" s="2" t="str">
        <x:v>TEN-837526D88A14</x:v>
      </x:c>
      <x:c r="B162" s="12" t="str">
        <x:v>Mindset Consulting</x:v>
      </x:c>
      <x:c r="C162" s="12" t="str">
        <x:v>CORP-0125</x:v>
      </x:c>
      <x:c r="D162" s="12" t="str">
        <x:v>Bengaluru</x:v>
      </x:c>
      <x:c r="E162" s="12" t="str">
        <x:v>WeWork - The Galaxy</x:v>
      </x:c>
      <x:c r="F162" s="12" t="str">
        <x:v>43 inch LED TV</x:v>
      </x:c>
      <x:c r="G162" s="20" t="n">
        <x:v>7</x:v>
      </x:c>
      <x:c r="H162" s="12" t="str">
        <x:v>Inventory-listed building/workspace context; current occupancy and screen access unverified</x:v>
      </x:c>
      <x:c r="I162" s="12" t="str">
        <x:v>Small-scale prospects</x:v>
      </x:c>
      <x:c r="J162" s="12" t="str">
        <x:v>Professional services</x:v>
      </x:c>
      <x:c r="K162" s="2" t="str">
        <x:v>MAIN-129</x:v>
      </x:c>
    </x:row>
    <x:row r="163" ht="46" customHeight="1">
      <x:c r="A163" s="2" t="str">
        <x:v>TEN-A296D95DED54</x:v>
      </x:c>
      <x:c r="B163" s="12" t="str">
        <x:v>IndigoEdge</x:v>
      </x:c>
      <x:c r="C163" s="12" t="str">
        <x:v>CORP-0125</x:v>
      </x:c>
      <x:c r="D163" s="12" t="str">
        <x:v>Bengaluru</x:v>
      </x:c>
      <x:c r="E163" s="12" t="str">
        <x:v>WeWork - The Galaxy</x:v>
      </x:c>
      <x:c r="F163" s="12" t="str">
        <x:v>43 inch LED TV</x:v>
      </x:c>
      <x:c r="G163" s="20" t="n">
        <x:v>7</x:v>
      </x:c>
      <x:c r="H163" s="12" t="str">
        <x:v>Inventory-listed building/workspace context; current occupancy and screen access unverified</x:v>
      </x:c>
      <x:c r="I163" s="12" t="str">
        <x:v>Medium-scale prospects</x:v>
      </x:c>
      <x:c r="J163" s="12" t="str">
        <x:v>Finance &amp; insurance</x:v>
      </x:c>
      <x:c r="K163" s="2" t="str">
        <x:v>MAIN-129</x:v>
      </x:c>
    </x:row>
    <x:row r="164" ht="46" customHeight="1">
      <x:c r="A164" s="2" t="str">
        <x:v>TEN-B3F99731DE4E</x:v>
      </x:c>
      <x:c r="B164" s="12" t="str">
        <x:v>CogBooks</x:v>
      </x:c>
      <x:c r="C164" s="12" t="str">
        <x:v>CORP-0125</x:v>
      </x:c>
      <x:c r="D164" s="12" t="str">
        <x:v>Bengaluru</x:v>
      </x:c>
      <x:c r="E164" s="12" t="str">
        <x:v>WeWork - The Galaxy</x:v>
      </x:c>
      <x:c r="F164" s="12" t="str">
        <x:v>43 inch LED TV</x:v>
      </x:c>
      <x:c r="G164" s="20" t="n">
        <x:v>7</x:v>
      </x:c>
      <x:c r="H164" s="12" t="str">
        <x:v>Inventory-listed building/workspace context; current occupancy and screen access unverified</x:v>
      </x:c>
      <x:c r="I164" s="12" t="str">
        <x:v>Mixed business audience</x:v>
      </x:c>
      <x:c r="J164" s="12" t="str">
        <x:v>Education</x:v>
      </x:c>
      <x:c r="K164" s="2" t="str">
        <x:v>MAIN-129</x:v>
      </x:c>
    </x:row>
    <x:row r="165" ht="46" customHeight="1">
      <x:c r="A165" s="2" t="str">
        <x:v>TEN-341AA59EDF1F</x:v>
      </x:c>
      <x:c r="B165" s="12" t="str">
        <x:v>Rareism</x:v>
      </x:c>
      <x:c r="C165" s="12" t="str">
        <x:v>CORP-0009</x:v>
      </x:c>
      <x:c r="D165" s="12" t="str">
        <x:v>Bengaluru</x:v>
      </x:c>
      <x:c r="E165" s="12" t="str">
        <x:v>Awfis - Mantri Commerce</x:v>
      </x:c>
      <x:c r="F165" s="12" t="str">
        <x:v>32 inch LED TV</x:v>
      </x:c>
      <x:c r="G165" s="20" t="n">
        <x:v>2</x:v>
      </x:c>
      <x:c r="H165" s="12" t="str">
        <x:v>Inventory-listed building/workspace context; current occupancy and screen access unverified</x:v>
      </x:c>
      <x:c r="I165" s="12" t="str">
        <x:v>Mixed business audience</x:v>
      </x:c>
      <x:c r="J165" s="12" t="str">
        <x:v>Trade, consumer &amp; logistics</x:v>
      </x:c>
      <x:c r="K165" s="2" t="str">
        <x:v>MAIN-013</x:v>
      </x:c>
    </x:row>
    <x:row r="166" ht="46" customHeight="1">
      <x:c r="A166" s="2" t="str">
        <x:v>TEN-D8D88329A6BC</x:v>
      </x:c>
      <x:c r="B166" s="12" t="str">
        <x:v>MRI Software India Pvt Ltd</x:v>
      </x:c>
      <x:c r="C166" s="12" t="str">
        <x:v>CORP-0009</x:v>
      </x:c>
      <x:c r="D166" s="12" t="str">
        <x:v>Bengaluru</x:v>
      </x:c>
      <x:c r="E166" s="12" t="str">
        <x:v>Awfis - Mantri Commerce</x:v>
      </x:c>
      <x:c r="F166" s="12" t="str">
        <x:v>32 inch LED TV</x:v>
      </x:c>
      <x:c r="G166" s="20" t="n">
        <x:v>2</x:v>
      </x:c>
      <x:c r="H166" s="12" t="str">
        <x:v>Inventory-listed building/workspace context; current occupancy and screen access unverified</x:v>
      </x:c>
      <x:c r="I166" s="12" t="str">
        <x:v>Mixed business audience</x:v>
      </x:c>
      <x:c r="J166" s="12" t="str">
        <x:v>IT &amp; digital</x:v>
      </x:c>
      <x:c r="K166" s="2" t="str">
        <x:v>MAIN-013</x:v>
      </x:c>
    </x:row>
    <x:row r="167" ht="46" customHeight="1">
      <x:c r="A167" s="2" t="str">
        <x:v>TEN-36C8EBC108EE</x:v>
      </x:c>
      <x:c r="B167" s="12" t="str">
        <x:v>Ilahui</x:v>
      </x:c>
      <x:c r="C167" s="12" t="str">
        <x:v>CORP-0126</x:v>
      </x:c>
      <x:c r="D167" s="12" t="str">
        <x:v>Bengaluru</x:v>
      </x:c>
      <x:c r="E167" s="12" t="str">
        <x:v>WeWork - The Pavilion</x:v>
      </x:c>
      <x:c r="F167" s="12" t="str">
        <x:v>43 inch LED TV</x:v>
      </x:c>
      <x:c r="G167" s="20" t="n">
        <x:v>4</x:v>
      </x:c>
      <x:c r="H167" s="12" t="str">
        <x:v>Inventory-listed building/workspace context; current occupancy and screen access unverified</x:v>
      </x:c>
      <x:c r="I167" s="12" t="str">
        <x:v>Small-scale prospects</x:v>
      </x:c>
      <x:c r="J167" s="12" t="str">
        <x:v>Trade, consumer &amp; logistics</x:v>
      </x:c>
      <x:c r="K167" s="2" t="str">
        <x:v>MAIN-130</x:v>
      </x:c>
    </x:row>
    <x:row r="168" ht="46" customHeight="1">
      <x:c r="A168" s="2" t="str">
        <x:v>TEN-37C0A4119F06</x:v>
      </x:c>
      <x:c r="B168" s="12" t="str">
        <x:v>Haya Foreign Money Exchange</x:v>
      </x:c>
      <x:c r="C168" s="12" t="str">
        <x:v>CORP-0126</x:v>
      </x:c>
      <x:c r="D168" s="12" t="str">
        <x:v>Bengaluru</x:v>
      </x:c>
      <x:c r="E168" s="12" t="str">
        <x:v>WeWork - The Pavilion</x:v>
      </x:c>
      <x:c r="F168" s="12" t="str">
        <x:v>43 inch LED TV</x:v>
      </x:c>
      <x:c r="G168" s="20" t="n">
        <x:v>4</x:v>
      </x:c>
      <x:c r="H168" s="12" t="str">
        <x:v>Inventory-listed building/workspace context; current occupancy and screen access unverified</x:v>
      </x:c>
      <x:c r="I168" s="12" t="str">
        <x:v>Medium-scale prospects</x:v>
      </x:c>
      <x:c r="J168" s="12" t="str">
        <x:v>Finance &amp; insurance</x:v>
      </x:c>
      <x:c r="K168" s="2" t="str">
        <x:v>MAIN-130</x:v>
      </x:c>
    </x:row>
    <x:row r="169" ht="46" customHeight="1">
      <x:c r="A169" s="2" t="str">
        <x:v>TEN-3897B0BACDB2</x:v>
      </x:c>
      <x:c r="B169" s="12" t="str">
        <x:v>Katerra Technologies Pvt Ltd</x:v>
      </x:c>
      <x:c r="C169" s="12" t="str">
        <x:v>CORP-0126</x:v>
      </x:c>
      <x:c r="D169" s="12" t="str">
        <x:v>Bengaluru</x:v>
      </x:c>
      <x:c r="E169" s="12" t="str">
        <x:v>WeWork - The Pavilion</x:v>
      </x:c>
      <x:c r="F169" s="12" t="str">
        <x:v>43 inch LED TV</x:v>
      </x:c>
      <x:c r="G169" s="20" t="n">
        <x:v>4</x:v>
      </x:c>
      <x:c r="H169" s="12" t="str">
        <x:v>Inventory-listed building/workspace context; current occupancy and screen access unverified</x:v>
      </x:c>
      <x:c r="I169" s="12" t="str">
        <x:v>Mixed business audience</x:v>
      </x:c>
      <x:c r="J169" s="12" t="str">
        <x:v>Unresolved</x:v>
      </x:c>
      <x:c r="K169" s="2" t="str">
        <x:v>MAIN-130</x:v>
      </x:c>
    </x:row>
    <x:row r="170" ht="46" customHeight="1">
      <x:c r="A170" s="2" t="str">
        <x:v>TEN-9F93AD55A758</x:v>
      </x:c>
      <x:c r="B170" s="12" t="str">
        <x:v>Myoki</x:v>
      </x:c>
      <x:c r="C170" s="12" t="str">
        <x:v>CORP-0126</x:v>
      </x:c>
      <x:c r="D170" s="12" t="str">
        <x:v>Bengaluru</x:v>
      </x:c>
      <x:c r="E170" s="12" t="str">
        <x:v>WeWork - The Pavilion</x:v>
      </x:c>
      <x:c r="F170" s="12" t="str">
        <x:v>43 inch LED TV</x:v>
      </x:c>
      <x:c r="G170" s="20" t="n">
        <x:v>4</x:v>
      </x:c>
      <x:c r="H170" s="12" t="str">
        <x:v>Inventory-listed building/workspace context; current occupancy and screen access unverified</x:v>
      </x:c>
      <x:c r="I170" s="12" t="str">
        <x:v>Mixed business audience</x:v>
      </x:c>
      <x:c r="J170" s="12" t="str">
        <x:v>Unresolved</x:v>
      </x:c>
      <x:c r="K170" s="2" t="str">
        <x:v>MAIN-130</x:v>
      </x:c>
    </x:row>
    <x:row r="171" ht="46" customHeight="1">
      <x:c r="A171" s="2" t="str">
        <x:v>TEN-E27BBBA05F44</x:v>
      </x:c>
      <x:c r="B171" s="12" t="str">
        <x:v>Prep Zone AcademyTM</x:v>
      </x:c>
      <x:c r="C171" s="12" t="str">
        <x:v>CORP-0126</x:v>
      </x:c>
      <x:c r="D171" s="12" t="str">
        <x:v>Bengaluru</x:v>
      </x:c>
      <x:c r="E171" s="12" t="str">
        <x:v>WeWork - The Pavilion</x:v>
      </x:c>
      <x:c r="F171" s="12" t="str">
        <x:v>43 inch LED TV</x:v>
      </x:c>
      <x:c r="G171" s="20" t="n">
        <x:v>4</x:v>
      </x:c>
      <x:c r="H171" s="12" t="str">
        <x:v>Inventory-listed building/workspace context; current occupancy and screen access unverified</x:v>
      </x:c>
      <x:c r="I171" s="12" t="str">
        <x:v>Small-scale prospects</x:v>
      </x:c>
      <x:c r="J171" s="12" t="str">
        <x:v>Education</x:v>
      </x:c>
      <x:c r="K171" s="2" t="str">
        <x:v>MAIN-130</x:v>
      </x:c>
    </x:row>
    <x:row r="172" ht="46" customHeight="1">
      <x:c r="A172" s="2" t="str">
        <x:v>TEN-F955F62DAB66</x:v>
      </x:c>
      <x:c r="B172" s="12" t="str">
        <x:v>Lacoste</x:v>
      </x:c>
      <x:c r="C172" s="12" t="str">
        <x:v>CORP-0126</x:v>
      </x:c>
      <x:c r="D172" s="12" t="str">
        <x:v>Bengaluru</x:v>
      </x:c>
      <x:c r="E172" s="12" t="str">
        <x:v>WeWork - The Pavilion</x:v>
      </x:c>
      <x:c r="F172" s="12" t="str">
        <x:v>43 inch LED TV</x:v>
      </x:c>
      <x:c r="G172" s="20" t="n">
        <x:v>4</x:v>
      </x:c>
      <x:c r="H172" s="12" t="str">
        <x:v>Inventory-listed building/workspace context; current occupancy and screen access unverified</x:v>
      </x:c>
      <x:c r="I172" s="12" t="str">
        <x:v>Mixed business audience</x:v>
      </x:c>
      <x:c r="J172" s="12" t="str">
        <x:v>Trade, consumer &amp; logistics</x:v>
      </x:c>
      <x:c r="K172" s="2" t="str">
        <x:v>MAIN-130</x:v>
      </x:c>
    </x:row>
    <x:row r="173" ht="46" customHeight="1">
      <x:c r="A173" s="2" t="str">
        <x:v>TEN-02B5417A7C79</x:v>
      </x:c>
      <x:c r="B173" s="12" t="str">
        <x:v>A.P Architects &amp; Interiors</x:v>
      </x:c>
      <x:c r="C173" s="12" t="str">
        <x:v>CORP-0127</x:v>
      </x:c>
      <x:c r="D173" s="12" t="str">
        <x:v>Bengaluru</x:v>
      </x:c>
      <x:c r="E173" s="12" t="str">
        <x:v>Wework - Vaishnavi Signature</x:v>
      </x:c>
      <x:c r="F173" s="12" t="str">
        <x:v>43 inch LED TV</x:v>
      </x:c>
      <x:c r="G173" s="20" t="n">
        <x:v>11</x:v>
      </x:c>
      <x:c r="H173" s="12" t="str">
        <x:v>Inventory-listed building/workspace context; current occupancy and screen access unverified</x:v>
      </x:c>
      <x:c r="I173" s="12" t="str">
        <x:v>Small-scale prospects</x:v>
      </x:c>
      <x:c r="J173" s="12" t="str">
        <x:v>Professional services</x:v>
      </x:c>
      <x:c r="K173" s="2" t="str">
        <x:v>MAIN-131</x:v>
      </x:c>
    </x:row>
    <x:row r="174" ht="46" customHeight="1">
      <x:c r="A174" s="2" t="str">
        <x:v>TEN-410DCA695D2B</x:v>
      </x:c>
      <x:c r="B174" s="12" t="str">
        <x:v>LatentView Analytics</x:v>
      </x:c>
      <x:c r="C174" s="12" t="str">
        <x:v>CORP-0127</x:v>
      </x:c>
      <x:c r="D174" s="12" t="str">
        <x:v>Bengaluru</x:v>
      </x:c>
      <x:c r="E174" s="12" t="str">
        <x:v>Wework - Vaishnavi Signature</x:v>
      </x:c>
      <x:c r="F174" s="12" t="str">
        <x:v>43 inch LED TV</x:v>
      </x:c>
      <x:c r="G174" s="20" t="n">
        <x:v>11</x:v>
      </x:c>
      <x:c r="H174" s="12" t="str">
        <x:v>Inventory-listed building/workspace context; current occupancy and screen access unverified</x:v>
      </x:c>
      <x:c r="I174" s="12" t="str">
        <x:v>Mixed business audience</x:v>
      </x:c>
      <x:c r="J174" s="12" t="str">
        <x:v>IT &amp; digital</x:v>
      </x:c>
      <x:c r="K174" s="2" t="str">
        <x:v>MAIN-131</x:v>
      </x:c>
    </x:row>
    <x:row r="175" ht="46" customHeight="1">
      <x:c r="A175" s="2" t="str">
        <x:v>TEN-5D20CA1753A5</x:v>
      </x:c>
      <x:c r="B175" s="12" t="str">
        <x:v>Winkl HQ</x:v>
      </x:c>
      <x:c r="C175" s="12" t="str">
        <x:v>CORP-0127</x:v>
      </x:c>
      <x:c r="D175" s="12" t="str">
        <x:v>Bengaluru</x:v>
      </x:c>
      <x:c r="E175" s="12" t="str">
        <x:v>Wework - Vaishnavi Signature</x:v>
      </x:c>
      <x:c r="F175" s="12" t="str">
        <x:v>43 inch LED TV</x:v>
      </x:c>
      <x:c r="G175" s="20" t="n">
        <x:v>11</x:v>
      </x:c>
      <x:c r="H175" s="12" t="str">
        <x:v>Inventory-listed building/workspace context; current occupancy and screen access unverified</x:v>
      </x:c>
      <x:c r="I175" s="12" t="str">
        <x:v>Small-scale prospects</x:v>
      </x:c>
      <x:c r="J175" s="12" t="str">
        <x:v>Professional services</x:v>
      </x:c>
      <x:c r="K175" s="2" t="str">
        <x:v>MAIN-131</x:v>
      </x:c>
    </x:row>
    <x:row r="176" ht="46" customHeight="1">
      <x:c r="A176" s="2" t="str">
        <x:v>TEN-6A334590C904</x:v>
      </x:c>
      <x:c r="B176" s="12" t="str">
        <x:v>Komprise India Private Limited</x:v>
      </x:c>
      <x:c r="C176" s="12" t="str">
        <x:v>CORP-0127</x:v>
      </x:c>
      <x:c r="D176" s="12" t="str">
        <x:v>Bengaluru</x:v>
      </x:c>
      <x:c r="E176" s="12" t="str">
        <x:v>Wework - Vaishnavi Signature</x:v>
      </x:c>
      <x:c r="F176" s="12" t="str">
        <x:v>43 inch LED TV</x:v>
      </x:c>
      <x:c r="G176" s="20" t="n">
        <x:v>11</x:v>
      </x:c>
      <x:c r="H176" s="12" t="str">
        <x:v>Inventory-listed building/workspace context; current occupancy and screen access unverified</x:v>
      </x:c>
      <x:c r="I176" s="12" t="str">
        <x:v>Small-scale prospects</x:v>
      </x:c>
      <x:c r="J176" s="12" t="str">
        <x:v>IT &amp; digital</x:v>
      </x:c>
      <x:c r="K176" s="2" t="str">
        <x:v>MAIN-131</x:v>
      </x:c>
    </x:row>
    <x:row r="177" ht="46" customHeight="1">
      <x:c r="A177" s="2" t="str">
        <x:v>TEN-8A4ED1CC4A06</x:v>
      </x:c>
      <x:c r="B177" s="12" t="str">
        <x:v>Lookout India Technologies LLP</x:v>
      </x:c>
      <x:c r="C177" s="12" t="str">
        <x:v>CORP-0127</x:v>
      </x:c>
      <x:c r="D177" s="12" t="str">
        <x:v>Bengaluru</x:v>
      </x:c>
      <x:c r="E177" s="12" t="str">
        <x:v>Wework - Vaishnavi Signature</x:v>
      </x:c>
      <x:c r="F177" s="12" t="str">
        <x:v>43 inch LED TV</x:v>
      </x:c>
      <x:c r="G177" s="20" t="n">
        <x:v>11</x:v>
      </x:c>
      <x:c r="H177" s="12" t="str">
        <x:v>Inventory-listed building/workspace context; current occupancy and screen access unverified</x:v>
      </x:c>
      <x:c r="I177" s="12" t="str">
        <x:v>Mixed business audience</x:v>
      </x:c>
      <x:c r="J177" s="12" t="str">
        <x:v>IT &amp; digital</x:v>
      </x:c>
      <x:c r="K177" s="2" t="str">
        <x:v>MAIN-131</x:v>
      </x:c>
    </x:row>
    <x:row r="178" ht="46" customHeight="1">
      <x:c r="A178" s="2" t="str">
        <x:v>TEN-9C3C0E56B4EE</x:v>
      </x:c>
      <x:c r="B178" s="12" t="str">
        <x:v>75F Smart Innovations India Pvt.Ltd</x:v>
      </x:c>
      <x:c r="C178" s="12" t="str">
        <x:v>CORP-0127</x:v>
      </x:c>
      <x:c r="D178" s="12" t="str">
        <x:v>Bengaluru</x:v>
      </x:c>
      <x:c r="E178" s="12" t="str">
        <x:v>Wework - Vaishnavi Signature</x:v>
      </x:c>
      <x:c r="F178" s="12" t="str">
        <x:v>43 inch LED TV</x:v>
      </x:c>
      <x:c r="G178" s="20" t="n">
        <x:v>11</x:v>
      </x:c>
      <x:c r="H178" s="12" t="str">
        <x:v>Inventory-listed building/workspace context; current occupancy and screen access unverified</x:v>
      </x:c>
      <x:c r="I178" s="12" t="str">
        <x:v>Small-scale prospects</x:v>
      </x:c>
      <x:c r="J178" s="12" t="str">
        <x:v>IT &amp; digital</x:v>
      </x:c>
      <x:c r="K178" s="2" t="str">
        <x:v>MAIN-131</x:v>
      </x:c>
    </x:row>
    <x:row r="179" ht="46" customHeight="1">
      <x:c r="A179" s="2" t="str">
        <x:v>TEN-C66147931584</x:v>
      </x:c>
      <x:c r="B179" s="12" t="str">
        <x:v>Design Code Interiors &amp; Architects</x:v>
      </x:c>
      <x:c r="C179" s="12" t="str">
        <x:v>CORP-0127</x:v>
      </x:c>
      <x:c r="D179" s="12" t="str">
        <x:v>Bengaluru</x:v>
      </x:c>
      <x:c r="E179" s="12" t="str">
        <x:v>Wework - Vaishnavi Signature</x:v>
      </x:c>
      <x:c r="F179" s="12" t="str">
        <x:v>43 inch LED TV</x:v>
      </x:c>
      <x:c r="G179" s="20" t="n">
        <x:v>11</x:v>
      </x:c>
      <x:c r="H179" s="12" t="str">
        <x:v>Inventory-listed building/workspace context; current occupancy and screen access unverified</x:v>
      </x:c>
      <x:c r="I179" s="12" t="str">
        <x:v>Small-scale prospects</x:v>
      </x:c>
      <x:c r="J179" s="12" t="str">
        <x:v>Professional services</x:v>
      </x:c>
      <x:c r="K179" s="2" t="str">
        <x:v>MAIN-131</x:v>
      </x:c>
    </x:row>
    <x:row r="180" ht="46" customHeight="1">
      <x:c r="A180" s="2" t="str">
        <x:v>TEN-D74F5318167A</x:v>
      </x:c>
      <x:c r="B180" s="12" t="str">
        <x:v>Framsikt Technologies Pvt Ltd</x:v>
      </x:c>
      <x:c r="C180" s="12" t="str">
        <x:v>CORP-0127</x:v>
      </x:c>
      <x:c r="D180" s="12" t="str">
        <x:v>Bengaluru</x:v>
      </x:c>
      <x:c r="E180" s="12" t="str">
        <x:v>Wework - Vaishnavi Signature</x:v>
      </x:c>
      <x:c r="F180" s="12" t="str">
        <x:v>43 inch LED TV</x:v>
      </x:c>
      <x:c r="G180" s="20" t="n">
        <x:v>11</x:v>
      </x:c>
      <x:c r="H180" s="12" t="str">
        <x:v>Inventory-listed building/workspace context; current occupancy and screen access unverified</x:v>
      </x:c>
      <x:c r="I180" s="12" t="str">
        <x:v>Mixed business audience</x:v>
      </x:c>
      <x:c r="J180" s="12" t="str">
        <x:v>Unresolved</x:v>
      </x:c>
      <x:c r="K180" s="2" t="str">
        <x:v>MAIN-131</x:v>
      </x:c>
    </x:row>
    <x:row r="181" ht="46" customHeight="1">
      <x:c r="A181" s="2" t="str">
        <x:v>TEN-EC3BB4E16FE2</x:v>
      </x:c>
      <x:c r="B181" s="12" t="str">
        <x:v>Presidio Cloud Solutions Pvt Ltd</x:v>
      </x:c>
      <x:c r="C181" s="12" t="str">
        <x:v>CORP-0127</x:v>
      </x:c>
      <x:c r="D181" s="12" t="str">
        <x:v>Bengaluru</x:v>
      </x:c>
      <x:c r="E181" s="12" t="str">
        <x:v>Wework - Vaishnavi Signature</x:v>
      </x:c>
      <x:c r="F181" s="12" t="str">
        <x:v>43 inch LED TV</x:v>
      </x:c>
      <x:c r="G181" s="20" t="n">
        <x:v>11</x:v>
      </x:c>
      <x:c r="H181" s="12" t="str">
        <x:v>Inventory-listed building/workspace context; current occupancy and screen access unverified</x:v>
      </x:c>
      <x:c r="I181" s="12" t="str">
        <x:v>Mixed business audience</x:v>
      </x:c>
      <x:c r="J181" s="12" t="str">
        <x:v>IT &amp; digital</x:v>
      </x:c>
      <x:c r="K181" s="2" t="str">
        <x:v>MAIN-131</x:v>
      </x:c>
    </x:row>
    <x:row r="182" ht="46" customHeight="1">
      <x:c r="A182" s="2" t="str">
        <x:v>TEN-5B81D52D4310</x:v>
      </x:c>
      <x:c r="B182" s="12" t="str">
        <x:v>WeWork</x:v>
      </x:c>
      <x:c r="C182" s="12" t="str">
        <x:v>CORP-0128</x:v>
      </x:c>
      <x:c r="D182" s="12" t="str">
        <x:v>Bengaluru</x:v>
      </x:c>
      <x:c r="E182" s="12" t="str">
        <x:v>WeWork-Iwf Campus</x:v>
      </x:c>
      <x:c r="F182" s="12" t="str">
        <x:v>43 inch LED TV</x:v>
      </x:c>
      <x:c r="G182" s="20" t="n">
        <x:v>3</x:v>
      </x:c>
      <x:c r="H182" s="12" t="str">
        <x:v>Workspace operator inferred from explicit property name; tenant occupants unconfirmed</x:v>
      </x:c>
      <x:c r="I182" s="12" t="str">
        <x:v>Mixed business audience</x:v>
      </x:c>
      <x:c r="J182" s="12" t="str">
        <x:v>Workspace &amp; property operations</x:v>
      </x:c>
      <x:c r="K182" s="2" t="str">
        <x:v>MAIN-132</x:v>
      </x:c>
    </x:row>
    <x:row r="183" ht="46" customHeight="1">
      <x:c r="A183" s="2" t="str">
        <x:v>TEN-3CA1AAB723EB</x:v>
      </x:c>
      <x:c r="B183" s="12" t="str">
        <x:v>Ramani Innovative</x:v>
      </x:c>
      <x:c r="C183" s="12" t="str">
        <x:v>CORP-0129</x:v>
      </x:c>
      <x:c r="D183" s="12" t="str">
        <x:v>Bengaluru</x:v>
      </x:c>
      <x:c r="E183" s="12" t="str">
        <x:v>Workflow by Oyo - Ranka</x:v>
      </x:c>
      <x:c r="F183" s="12" t="str">
        <x:v>32 inch LED TV</x:v>
      </x:c>
      <x:c r="G183" s="20" t="n">
        <x:v>2</x:v>
      </x:c>
      <x:c r="H183" s="12" t="str">
        <x:v>Inventory-listed building/workspace context; current occupancy and screen access unverified</x:v>
      </x:c>
      <x:c r="I183" s="12" t="str">
        <x:v>Mixed business audience</x:v>
      </x:c>
      <x:c r="J183" s="12" t="str">
        <x:v>Unresolved</x:v>
      </x:c>
      <x:c r="K183" s="2" t="str">
        <x:v>MAIN-133</x:v>
      </x:c>
    </x:row>
    <x:row r="184" ht="46" customHeight="1">
      <x:c r="A184" s="2" t="str">
        <x:v>TEN-9C4F70484B81</x:v>
      </x:c>
      <x:c r="B184" s="12" t="str">
        <x:v>Mejoba Consulting India Pvt.Ltd</x:v>
      </x:c>
      <x:c r="C184" s="12" t="str">
        <x:v>CORP-0129</x:v>
      </x:c>
      <x:c r="D184" s="12" t="str">
        <x:v>Bengaluru</x:v>
      </x:c>
      <x:c r="E184" s="12" t="str">
        <x:v>Workflow by Oyo - Ranka</x:v>
      </x:c>
      <x:c r="F184" s="12" t="str">
        <x:v>32 inch LED TV</x:v>
      </x:c>
      <x:c r="G184" s="20" t="n">
        <x:v>2</x:v>
      </x:c>
      <x:c r="H184" s="12" t="str">
        <x:v>Inventory-listed building/workspace context; current occupancy and screen access unverified</x:v>
      </x:c>
      <x:c r="I184" s="12" t="str">
        <x:v>Small-scale prospects</x:v>
      </x:c>
      <x:c r="J184" s="12" t="str">
        <x:v>Professional services</x:v>
      </x:c>
      <x:c r="K184" s="2" t="str">
        <x:v>MAIN-133</x:v>
      </x:c>
    </x:row>
    <x:row r="185" ht="46" customHeight="1">
      <x:c r="A185" s="2" t="str">
        <x:v>TEN-AAEEDBF5BC96</x:v>
      </x:c>
      <x:c r="B185" s="12" t="str">
        <x:v>Intellect select Pvt</x:v>
      </x:c>
      <x:c r="C185" s="12" t="str">
        <x:v>CORP-0129</x:v>
      </x:c>
      <x:c r="D185" s="12" t="str">
        <x:v>Bengaluru</x:v>
      </x:c>
      <x:c r="E185" s="12" t="str">
        <x:v>Workflow by Oyo - Ranka</x:v>
      </x:c>
      <x:c r="F185" s="12" t="str">
        <x:v>32 inch LED TV</x:v>
      </x:c>
      <x:c r="G185" s="20" t="n">
        <x:v>2</x:v>
      </x:c>
      <x:c r="H185" s="12" t="str">
        <x:v>Inventory-listed building/workspace context; current occupancy and screen access unverified</x:v>
      </x:c>
      <x:c r="I185" s="12" t="str">
        <x:v>Mixed business audience</x:v>
      </x:c>
      <x:c r="J185" s="12" t="str">
        <x:v>Unresolved</x:v>
      </x:c>
      <x:c r="K185" s="2" t="str">
        <x:v>MAIN-133</x:v>
      </x:c>
    </x:row>
    <x:row r="186" ht="46" customHeight="1">
      <x:c r="A186" s="2" t="str">
        <x:v>TEN-B49D5403D442</x:v>
      </x:c>
      <x:c r="B186" s="12" t="str">
        <x:v>Melange Upskilling Studio</x:v>
      </x:c>
      <x:c r="C186" s="12" t="str">
        <x:v>CORP-0129</x:v>
      </x:c>
      <x:c r="D186" s="12" t="str">
        <x:v>Bengaluru</x:v>
      </x:c>
      <x:c r="E186" s="12" t="str">
        <x:v>Workflow by Oyo - Ranka</x:v>
      </x:c>
      <x:c r="F186" s="12" t="str">
        <x:v>32 inch LED TV</x:v>
      </x:c>
      <x:c r="G186" s="20" t="n">
        <x:v>2</x:v>
      </x:c>
      <x:c r="H186" s="12" t="str">
        <x:v>Inventory-listed building/workspace context; current occupancy and screen access unverified</x:v>
      </x:c>
      <x:c r="I186" s="12" t="str">
        <x:v>Small-scale prospects</x:v>
      </x:c>
      <x:c r="J186" s="12" t="str">
        <x:v>Education</x:v>
      </x:c>
      <x:c r="K186" s="2" t="str">
        <x:v>MAIN-133</x:v>
      </x:c>
    </x:row>
    <x:row r="187" ht="46" customHeight="1">
      <x:c r="A187" s="2" t="str">
        <x:v>TEN-EB0F5FEA7995</x:v>
      </x:c>
      <x:c r="B187" s="12" t="str">
        <x:v>Viacatalyst Consultancy Pvt.Ltd</x:v>
      </x:c>
      <x:c r="C187" s="12" t="str">
        <x:v>CORP-0129</x:v>
      </x:c>
      <x:c r="D187" s="12" t="str">
        <x:v>Bengaluru</x:v>
      </x:c>
      <x:c r="E187" s="12" t="str">
        <x:v>Workflow by Oyo - Ranka</x:v>
      </x:c>
      <x:c r="F187" s="12" t="str">
        <x:v>32 inch LED TV</x:v>
      </x:c>
      <x:c r="G187" s="20" t="n">
        <x:v>2</x:v>
      </x:c>
      <x:c r="H187" s="12" t="str">
        <x:v>Inventory-listed building/workspace context; current occupancy and screen access unverified</x:v>
      </x:c>
      <x:c r="I187" s="12" t="str">
        <x:v>Small-scale prospects</x:v>
      </x:c>
      <x:c r="J187" s="12" t="str">
        <x:v>Professional services</x:v>
      </x:c>
      <x:c r="K187" s="2" t="str">
        <x:v>MAIN-133</x:v>
      </x:c>
    </x:row>
    <x:row r="188" ht="46" customHeight="1">
      <x:c r="A188" s="2" t="str">
        <x:v>TEN-1437B6073554</x:v>
      </x:c>
      <x:c r="B188" s="12" t="str">
        <x:v>Slow Art</x:v>
      </x:c>
      <x:c r="C188" s="12" t="str">
        <x:v>CORP-0130</x:v>
      </x:c>
      <x:c r="D188" s="12" t="str">
        <x:v>Bengaluru</x:v>
      </x:c>
      <x:c r="E188" s="12" t="str">
        <x:v>Workhome - Coworking Space</x:v>
      </x:c>
      <x:c r="F188" s="12" t="str">
        <x:v>32 inch LED TV</x:v>
      </x:c>
      <x:c r="G188" s="20" t="n">
        <x:v>2</x:v>
      </x:c>
      <x:c r="H188" s="12" t="str">
        <x:v>Inventory-listed building/workspace context; current occupancy and screen access unverified</x:v>
      </x:c>
      <x:c r="I188" s="12" t="str">
        <x:v>Mixed business audience</x:v>
      </x:c>
      <x:c r="J188" s="12" t="str">
        <x:v>Unresolved</x:v>
      </x:c>
      <x:c r="K188" s="2" t="str">
        <x:v>MAIN-134</x:v>
      </x:c>
    </x:row>
    <x:row r="189" ht="46" customHeight="1">
      <x:c r="A189" s="2" t="str">
        <x:v>TEN-AD047657DCA2</x:v>
      </x:c>
      <x:c r="B189" s="12" t="str">
        <x:v>lue coffee roasters</x:v>
      </x:c>
      <x:c r="C189" s="12" t="str">
        <x:v>CORP-0130</x:v>
      </x:c>
      <x:c r="D189" s="12" t="str">
        <x:v>Bengaluru</x:v>
      </x:c>
      <x:c r="E189" s="12" t="str">
        <x:v>Workhome - Coworking Space</x:v>
      </x:c>
      <x:c r="F189" s="12" t="str">
        <x:v>32 inch LED TV</x:v>
      </x:c>
      <x:c r="G189" s="20" t="n">
        <x:v>2</x:v>
      </x:c>
      <x:c r="H189" s="12" t="str">
        <x:v>Inventory-listed building/workspace context; current occupancy and screen access unverified</x:v>
      </x:c>
      <x:c r="I189" s="12" t="str">
        <x:v>Small-scale prospects</x:v>
      </x:c>
      <x:c r="J189" s="12" t="str">
        <x:v>Trade, consumer &amp; logistics</x:v>
      </x:c>
      <x:c r="K189" s="2" t="str">
        <x:v>MAIN-134</x:v>
      </x:c>
    </x:row>
    <x:row r="190" ht="46" customHeight="1">
      <x:c r="A190" s="2" t="str">
        <x:v>TEN-7C0CB89957C8</x:v>
      </x:c>
      <x:c r="B190" s="12" t="str">
        <x:v>24/7 Games</x:v>
      </x:c>
      <x:c r="C190" s="12" t="str">
        <x:v>CORP-0131</x:v>
      </x:c>
      <x:c r="D190" s="12" t="str">
        <x:v>Bengaluru</x:v>
      </x:c>
      <x:c r="E190" s="12" t="str">
        <x:v>Zonasha Frontier</x:v>
      </x:c>
      <x:c r="F190" s="12" t="str">
        <x:v>55 inch LED TV</x:v>
      </x:c>
      <x:c r="G190" s="20" t="n">
        <x:v>1</x:v>
      </x:c>
      <x:c r="H190" s="12" t="str">
        <x:v>Inventory-listed building/workspace context; current occupancy and screen access unverified</x:v>
      </x:c>
      <x:c r="I190" s="12" t="str">
        <x:v>Small-scale prospects</x:v>
      </x:c>
      <x:c r="J190" s="12" t="str">
        <x:v>Trade, consumer &amp; logistics</x:v>
      </x:c>
      <x:c r="K190" s="2" t="str">
        <x:v>MAIN-135</x:v>
      </x:c>
    </x:row>
    <x:row r="191" ht="46" customHeight="1">
      <x:c r="A191" s="2" t="str">
        <x:v>TEN-D0E2ECE166BD</x:v>
      </x:c>
      <x:c r="B191" s="12" t="str">
        <x:v>Dell</x:v>
      </x:c>
      <x:c r="C191" s="12" t="str">
        <x:v>CORP-0131</x:v>
      </x:c>
      <x:c r="D191" s="12" t="str">
        <x:v>Bengaluru</x:v>
      </x:c>
      <x:c r="E191" s="12" t="str">
        <x:v>Zonasha Frontier</x:v>
      </x:c>
      <x:c r="F191" s="12" t="str">
        <x:v>55 inch LED TV</x:v>
      </x:c>
      <x:c r="G191" s="20" t="n">
        <x:v>1</x:v>
      </x:c>
      <x:c r="H191" s="12" t="str">
        <x:v>Inventory-listed building/workspace context; current occupancy and screen access unverified</x:v>
      </x:c>
      <x:c r="I191" s="12" t="str">
        <x:v>Large enterprise</x:v>
      </x:c>
      <x:c r="J191" s="12" t="str">
        <x:v>Engineering &amp; manufacturing</x:v>
      </x:c>
      <x:c r="K191" s="2" t="str">
        <x:v>MAIN-135</x:v>
      </x:c>
    </x:row>
    <x:row r="192" ht="46" customHeight="1">
      <x:c r="A192" s="2" t="str">
        <x:v>TEN-65326AA32AB9</x:v>
      </x:c>
      <x:c r="B192" s="12" t="str">
        <x:v>State Bank of India</x:v>
      </x:c>
      <x:c r="C192" s="12" t="str">
        <x:v>CORP-0132</x:v>
      </x:c>
      <x:c r="D192" s="12" t="str">
        <x:v>Bhubaneswar</x:v>
      </x:c>
      <x:c r="E192" s="12" t="str">
        <x:v>Awfis - Ginger</x:v>
      </x:c>
      <x:c r="F192" s="12" t="str">
        <x:v>32 inch LED TV</x:v>
      </x:c>
      <x:c r="G192" s="20" t="n">
        <x:v>2</x:v>
      </x:c>
      <x:c r="H192" s="12" t="str">
        <x:v>Inventory-listed building/workspace context; current occupancy and screen access unverified</x:v>
      </x:c>
      <x:c r="I192" s="12" t="str">
        <x:v>Large enterprise</x:v>
      </x:c>
      <x:c r="J192" s="12" t="str">
        <x:v>Finance &amp; insurance</x:v>
      </x:c>
      <x:c r="K192" s="2" t="str">
        <x:v>MAIN-136</x:v>
      </x:c>
    </x:row>
    <x:row r="193" ht="46" customHeight="1">
      <x:c r="A193" s="2" t="str">
        <x:v>TEN-2CD243D0A3EB</x:v>
      </x:c>
      <x:c r="B193" s="12" t="str">
        <x:v>urban Developers and Builders</x:v>
      </x:c>
      <x:c r="C193" s="12" t="str">
        <x:v>CORP-0133</x:v>
      </x:c>
      <x:c r="D193" s="12" t="str">
        <x:v>Bhubaneswar</x:v>
      </x:c>
      <x:c r="E193" s="12" t="str">
        <x:v>Awfis - SRB Tower</x:v>
      </x:c>
      <x:c r="F193" s="12" t="str">
        <x:v>32 inch LED TV</x:v>
      </x:c>
      <x:c r="G193" s="20" t="n">
        <x:v>2</x:v>
      </x:c>
      <x:c r="H193" s="12" t="str">
        <x:v>Inventory-listed building/workspace context; current occupancy and screen access unverified</x:v>
      </x:c>
      <x:c r="I193" s="12" t="str">
        <x:v>Medium-scale prospects</x:v>
      </x:c>
      <x:c r="J193" s="12" t="str">
        <x:v>Engineering &amp; manufacturing</x:v>
      </x:c>
      <x:c r="K193" s="2" t="str">
        <x:v>MAIN-137</x:v>
      </x:c>
    </x:row>
    <x:row r="194" ht="46" customHeight="1">
      <x:c r="A194" s="2" t="str">
        <x:v>TEN-48C25C3A552B</x:v>
      </x:c>
      <x:c r="B194" s="12" t="str">
        <x:v>MotorFloor</x:v>
      </x:c>
      <x:c r="C194" s="12" t="str">
        <x:v>CORP-0133</x:v>
      </x:c>
      <x:c r="D194" s="12" t="str">
        <x:v>Bhubaneswar</x:v>
      </x:c>
      <x:c r="E194" s="12" t="str">
        <x:v>Awfis - SRB Tower</x:v>
      </x:c>
      <x:c r="F194" s="12" t="str">
        <x:v>32 inch LED TV</x:v>
      </x:c>
      <x:c r="G194" s="20" t="n">
        <x:v>2</x:v>
      </x:c>
      <x:c r="H194" s="12" t="str">
        <x:v>Inventory-listed building/workspace context; current occupancy and screen access unverified</x:v>
      </x:c>
      <x:c r="I194" s="12" t="str">
        <x:v>Small-scale prospects</x:v>
      </x:c>
      <x:c r="J194" s="12" t="str">
        <x:v>Trade, consumer &amp; logistics</x:v>
      </x:c>
      <x:c r="K194" s="2" t="str">
        <x:v>MAIN-137</x:v>
      </x:c>
    </x:row>
    <x:row r="195" ht="46" customHeight="1">
      <x:c r="A195" s="2" t="str">
        <x:v>TEN-5138C32F78E3</x:v>
      </x:c>
      <x:c r="B195" s="12" t="str">
        <x:v>Cozentus Technologies (P) Ltd</x:v>
      </x:c>
      <x:c r="C195" s="12" t="str">
        <x:v>CORP-0133</x:v>
      </x:c>
      <x:c r="D195" s="12" t="str">
        <x:v>Bhubaneswar</x:v>
      </x:c>
      <x:c r="E195" s="12" t="str">
        <x:v>Awfis - SRB Tower</x:v>
      </x:c>
      <x:c r="F195" s="12" t="str">
        <x:v>32 inch LED TV</x:v>
      </x:c>
      <x:c r="G195" s="20" t="n">
        <x:v>2</x:v>
      </x:c>
      <x:c r="H195" s="12" t="str">
        <x:v>Inventory-listed building/workspace context; current occupancy and screen access unverified</x:v>
      </x:c>
      <x:c r="I195" s="12" t="str">
        <x:v>Medium-scale prospects</x:v>
      </x:c>
      <x:c r="J195" s="12" t="str">
        <x:v>IT &amp; digital</x:v>
      </x:c>
      <x:c r="K195" s="2" t="str">
        <x:v>MAIN-137</x:v>
      </x:c>
    </x:row>
    <x:row r="196" ht="46" customHeight="1">
      <x:c r="A196" s="2" t="str">
        <x:v>TEN-5EEBF120A5F4</x:v>
      </x:c>
      <x:c r="B196" s="12" t="str">
        <x:v>Dyaus Court</x:v>
      </x:c>
      <x:c r="C196" s="12" t="str">
        <x:v>CORP-0133</x:v>
      </x:c>
      <x:c r="D196" s="12" t="str">
        <x:v>Bhubaneswar</x:v>
      </x:c>
      <x:c r="E196" s="12" t="str">
        <x:v>Awfis - SRB Tower</x:v>
      </x:c>
      <x:c r="F196" s="12" t="str">
        <x:v>32 inch LED TV</x:v>
      </x:c>
      <x:c r="G196" s="20" t="n">
        <x:v>2</x:v>
      </x:c>
      <x:c r="H196" s="12" t="str">
        <x:v>Inventory-listed building/workspace context; current occupancy and screen access unverified</x:v>
      </x:c>
      <x:c r="I196" s="12" t="str">
        <x:v>Mixed business audience</x:v>
      </x:c>
      <x:c r="J196" s="12" t="str">
        <x:v>Unresolved</x:v>
      </x:c>
      <x:c r="K196" s="2" t="str">
        <x:v>MAIN-137</x:v>
      </x:c>
    </x:row>
    <x:row r="197" ht="46" customHeight="1">
      <x:c r="A197" s="2" t="str">
        <x:v>TEN-78925369B27F</x:v>
      </x:c>
      <x:c r="B197" s="12" t="str">
        <x:v>Promantis Inc</x:v>
      </x:c>
      <x:c r="C197" s="12" t="str">
        <x:v>CORP-0134</x:v>
      </x:c>
      <x:c r="D197" s="12" t="str">
        <x:v>Chennai</x:v>
      </x:c>
      <x:c r="E197" s="12" t="str">
        <x:v>Arihant Verge Global Park (Pod Screens)</x:v>
      </x:c>
      <x:c r="F197" s="12" t="str">
        <x:v>43 inch LED TV</x:v>
      </x:c>
      <x:c r="G197" s="20" t="n">
        <x:v>2</x:v>
      </x:c>
      <x:c r="H197" s="12" t="str">
        <x:v>Inventory-listed building/workspace context; current occupancy and screen access unverified</x:v>
      </x:c>
      <x:c r="I197" s="12" t="str">
        <x:v>Mixed business audience</x:v>
      </x:c>
      <x:c r="J197" s="12" t="str">
        <x:v>Unresolved</x:v>
      </x:c>
      <x:c r="K197" s="2" t="str">
        <x:v>MAIN-138</x:v>
      </x:c>
    </x:row>
    <x:row r="198" ht="46" customHeight="1">
      <x:c r="A198" s="2" t="str">
        <x:v>TEN-E6F146354586</x:v>
      </x:c>
      <x:c r="B198" s="12" t="str">
        <x:v>HCLTech</x:v>
      </x:c>
      <x:c r="C198" s="12" t="str">
        <x:v>CORP-0134</x:v>
      </x:c>
      <x:c r="D198" s="12" t="str">
        <x:v>Chennai</x:v>
      </x:c>
      <x:c r="E198" s="12" t="str">
        <x:v>Arihant Verge Global Park (Pod Screens)</x:v>
      </x:c>
      <x:c r="F198" s="12" t="str">
        <x:v>43 inch LED TV</x:v>
      </x:c>
      <x:c r="G198" s="20" t="n">
        <x:v>2</x:v>
      </x:c>
      <x:c r="H198" s="12" t="str">
        <x:v>Inventory-listed building/workspace context; current occupancy and screen access unverified</x:v>
      </x:c>
      <x:c r="I198" s="12" t="str">
        <x:v>Large enterprise</x:v>
      </x:c>
      <x:c r="J198" s="12" t="str">
        <x:v>IT &amp; digital</x:v>
      </x:c>
      <x:c r="K198" s="2" t="str">
        <x:v>MAIN-138</x:v>
      </x:c>
    </x:row>
    <x:row r="199" ht="46" customHeight="1">
      <x:c r="A199" s="2" t="str">
        <x:v>TEN-1264CA38DECB</x:v>
      </x:c>
      <x:c r="B199" s="12" t="str">
        <x:v>Invas Technologies</x:v>
      </x:c>
      <x:c r="C199" s="12" t="str">
        <x:v>CORP-0135</x:v>
      </x:c>
      <x:c r="D199" s="12" t="str">
        <x:v>Chennai</x:v>
      </x:c>
      <x:c r="E199" s="12" t="str">
        <x:v>Awfis - Gemini Circle</x:v>
      </x:c>
      <x:c r="F199" s="12" t="str">
        <x:v>32 inch LED TV</x:v>
      </x:c>
      <x:c r="G199" s="20" t="n">
        <x:v>5</x:v>
      </x:c>
      <x:c r="H199" s="12" t="str">
        <x:v>Inventory-listed building/workspace context; current occupancy and screen access unverified</x:v>
      </x:c>
      <x:c r="I199" s="12" t="str">
        <x:v>Mixed business audience</x:v>
      </x:c>
      <x:c r="J199" s="12" t="str">
        <x:v>Unresolved</x:v>
      </x:c>
      <x:c r="K199" s="2" t="str">
        <x:v>MAIN-139</x:v>
      </x:c>
    </x:row>
    <x:row r="200" ht="46" customHeight="1">
      <x:c r="A200" s="2" t="str">
        <x:v>TEN-59F47C57E3E6</x:v>
      </x:c>
      <x:c r="B200" s="12" t="str">
        <x:v>HTL Logistics</x:v>
      </x:c>
      <x:c r="C200" s="12" t="str">
        <x:v>CORP-0135</x:v>
      </x:c>
      <x:c r="D200" s="12" t="str">
        <x:v>Chennai</x:v>
      </x:c>
      <x:c r="E200" s="12" t="str">
        <x:v>Awfis - Gemini Circle</x:v>
      </x:c>
      <x:c r="F200" s="12" t="str">
        <x:v>32 inch LED TV</x:v>
      </x:c>
      <x:c r="G200" s="20" t="n">
        <x:v>5</x:v>
      </x:c>
      <x:c r="H200" s="12" t="str">
        <x:v>Inventory-listed building/workspace context; current occupancy and screen access unverified</x:v>
      </x:c>
      <x:c r="I200" s="12" t="str">
        <x:v>Medium-scale prospects</x:v>
      </x:c>
      <x:c r="J200" s="12" t="str">
        <x:v>Trade, consumer &amp; logistics</x:v>
      </x:c>
      <x:c r="K200" s="2" t="str">
        <x:v>MAIN-139</x:v>
      </x:c>
    </x:row>
    <x:row r="201" ht="46" customHeight="1">
      <x:c r="A201" s="2" t="str">
        <x:v>TEN-AF3AAC2C86FE</x:v>
      </x:c>
      <x:c r="B201" s="12" t="str">
        <x:v>Collinson India PVT LTD</x:v>
      </x:c>
      <x:c r="C201" s="12" t="str">
        <x:v>CORP-0135</x:v>
      </x:c>
      <x:c r="D201" s="12" t="str">
        <x:v>Chennai</x:v>
      </x:c>
      <x:c r="E201" s="12" t="str">
        <x:v>Awfis - Gemini Circle</x:v>
      </x:c>
      <x:c r="F201" s="12" t="str">
        <x:v>32 inch LED TV</x:v>
      </x:c>
      <x:c r="G201" s="20" t="n">
        <x:v>5</x:v>
      </x:c>
      <x:c r="H201" s="12" t="str">
        <x:v>Inventory-listed building/workspace context; current occupancy and screen access unverified</x:v>
      </x:c>
      <x:c r="I201" s="12" t="str">
        <x:v>Mixed business audience</x:v>
      </x:c>
      <x:c r="J201" s="12" t="str">
        <x:v>Trade, consumer &amp; logistics</x:v>
      </x:c>
      <x:c r="K201" s="2" t="str">
        <x:v>MAIN-139</x:v>
      </x:c>
    </x:row>
    <x:row r="202" ht="46" customHeight="1">
      <x:c r="A202" s="2" t="str">
        <x:v>TEN-C8342EFF5C6C</x:v>
      </x:c>
      <x:c r="B202" s="12" t="str">
        <x:v>EIOQU</x:v>
      </x:c>
      <x:c r="C202" s="12" t="str">
        <x:v>CORP-0135</x:v>
      </x:c>
      <x:c r="D202" s="12" t="str">
        <x:v>Chennai</x:v>
      </x:c>
      <x:c r="E202" s="12" t="str">
        <x:v>Awfis - Gemini Circle</x:v>
      </x:c>
      <x:c r="F202" s="12" t="str">
        <x:v>32 inch LED TV</x:v>
      </x:c>
      <x:c r="G202" s="20" t="n">
        <x:v>5</x:v>
      </x:c>
      <x:c r="H202" s="12" t="str">
        <x:v>Inventory-listed building/workspace context; current occupancy and screen access unverified</x:v>
      </x:c>
      <x:c r="I202" s="12" t="str">
        <x:v>Mixed business audience</x:v>
      </x:c>
      <x:c r="J202" s="12" t="str">
        <x:v>Unresolved</x:v>
      </x:c>
      <x:c r="K202" s="2" t="str">
        <x:v>MAIN-139</x:v>
      </x:c>
    </x:row>
    <x:row r="203" ht="46" customHeight="1">
      <x:c r="A203" s="2" t="str">
        <x:v>TEN-D425AE684836</x:v>
      </x:c>
      <x:c r="B203" s="12" t="str">
        <x:v>Legal Force</x:v>
      </x:c>
      <x:c r="C203" s="12" t="str">
        <x:v>CORP-0135</x:v>
      </x:c>
      <x:c r="D203" s="12" t="str">
        <x:v>Chennai</x:v>
      </x:c>
      <x:c r="E203" s="12" t="str">
        <x:v>Awfis - Gemini Circle</x:v>
      </x:c>
      <x:c r="F203" s="12" t="str">
        <x:v>32 inch LED TV</x:v>
      </x:c>
      <x:c r="G203" s="20" t="n">
        <x:v>5</x:v>
      </x:c>
      <x:c r="H203" s="12" t="str">
        <x:v>Inventory-listed building/workspace context; current occupancy and screen access unverified</x:v>
      </x:c>
      <x:c r="I203" s="12" t="str">
        <x:v>Small-scale prospects</x:v>
      </x:c>
      <x:c r="J203" s="12" t="str">
        <x:v>Professional services</x:v>
      </x:c>
      <x:c r="K203" s="2" t="str">
        <x:v>MAIN-139</x:v>
      </x:c>
    </x:row>
    <x:row r="204" ht="46" customHeight="1">
      <x:c r="A204" s="2" t="str">
        <x:v>TEN-04238E6BAC8F</x:v>
      </x:c>
      <x:c r="B204" s="12" t="str">
        <x:v>ncube</x:v>
      </x:c>
      <x:c r="C204" s="12" t="str">
        <x:v>CORP-0010</x:v>
      </x:c>
      <x:c r="D204" s="12" t="str">
        <x:v>Bengaluru</x:v>
      </x:c>
      <x:c r="E204" s="12" t="str">
        <x:v>Awfis - Mission Road</x:v>
      </x:c>
      <x:c r="F204" s="12" t="str">
        <x:v>32 inch LED TV</x:v>
      </x:c>
      <x:c r="G204" s="20" t="n">
        <x:v>4</x:v>
      </x:c>
      <x:c r="H204" s="12" t="str">
        <x:v>Inventory-listed building/workspace context; current occupancy and screen access unverified</x:v>
      </x:c>
      <x:c r="I204" s="12" t="str">
        <x:v>Mixed business audience</x:v>
      </x:c>
      <x:c r="J204" s="12" t="str">
        <x:v>Unresolved</x:v>
      </x:c>
      <x:c r="K204" s="2" t="str">
        <x:v>MAIN-014</x:v>
      </x:c>
    </x:row>
    <x:row r="205" ht="46" customHeight="1">
      <x:c r="A205" s="2" t="str">
        <x:v>TEN-52DEDECEAB90</x:v>
      </x:c>
      <x:c r="B205" s="12" t="str">
        <x:v>Itssa</x:v>
      </x:c>
      <x:c r="C205" s="12" t="str">
        <x:v>CORP-0010</x:v>
      </x:c>
      <x:c r="D205" s="12" t="str">
        <x:v>Bengaluru</x:v>
      </x:c>
      <x:c r="E205" s="12" t="str">
        <x:v>Awfis - Mission Road</x:v>
      </x:c>
      <x:c r="F205" s="12" t="str">
        <x:v>32 inch LED TV</x:v>
      </x:c>
      <x:c r="G205" s="20" t="n">
        <x:v>4</x:v>
      </x:c>
      <x:c r="H205" s="12" t="str">
        <x:v>Inventory-listed building/workspace context; current occupancy and screen access unverified</x:v>
      </x:c>
      <x:c r="I205" s="12" t="str">
        <x:v>Mixed business audience</x:v>
      </x:c>
      <x:c r="J205" s="12" t="str">
        <x:v>Unresolved</x:v>
      </x:c>
      <x:c r="K205" s="2" t="str">
        <x:v>MAIN-014</x:v>
      </x:c>
    </x:row>
    <x:row r="206" ht="46" customHeight="1">
      <x:c r="A206" s="2" t="str">
        <x:v>TEN-60D63EAE0667</x:v>
      </x:c>
      <x:c r="B206" s="12" t="str">
        <x:v>Navanc</x:v>
      </x:c>
      <x:c r="C206" s="12" t="str">
        <x:v>CORP-0010</x:v>
      </x:c>
      <x:c r="D206" s="12" t="str">
        <x:v>Bengaluru</x:v>
      </x:c>
      <x:c r="E206" s="12" t="str">
        <x:v>Awfis - Mission Road</x:v>
      </x:c>
      <x:c r="F206" s="12" t="str">
        <x:v>32 inch LED TV</x:v>
      </x:c>
      <x:c r="G206" s="20" t="n">
        <x:v>4</x:v>
      </x:c>
      <x:c r="H206" s="12" t="str">
        <x:v>Inventory-listed building/workspace context; current occupancy and screen access unverified</x:v>
      </x:c>
      <x:c r="I206" s="12" t="str">
        <x:v>Mixed business audience</x:v>
      </x:c>
      <x:c r="J206" s="12" t="str">
        <x:v>Unresolved</x:v>
      </x:c>
      <x:c r="K206" s="2" t="str">
        <x:v>MAIN-014</x:v>
      </x:c>
    </x:row>
    <x:row r="207" ht="46" customHeight="1">
      <x:c r="A207" s="2" t="str">
        <x:v>TEN-9A14611F66A4</x:v>
      </x:c>
      <x:c r="B207" s="12" t="str">
        <x:v>Ewol Now Private Limited</x:v>
      </x:c>
      <x:c r="C207" s="12" t="str">
        <x:v>CORP-0010</x:v>
      </x:c>
      <x:c r="D207" s="12" t="str">
        <x:v>Bengaluru</x:v>
      </x:c>
      <x:c r="E207" s="12" t="str">
        <x:v>Awfis - Mission Road</x:v>
      </x:c>
      <x:c r="F207" s="12" t="str">
        <x:v>32 inch LED TV</x:v>
      </x:c>
      <x:c r="G207" s="20" t="n">
        <x:v>4</x:v>
      </x:c>
      <x:c r="H207" s="12" t="str">
        <x:v>Inventory-listed building/workspace context; current occupancy and screen access unverified</x:v>
      </x:c>
      <x:c r="I207" s="12" t="str">
        <x:v>Mixed business audience</x:v>
      </x:c>
      <x:c r="J207" s="12" t="str">
        <x:v>Unresolved</x:v>
      </x:c>
      <x:c r="K207" s="2" t="str">
        <x:v>MAIN-014</x:v>
      </x:c>
    </x:row>
    <x:row r="208" ht="46" customHeight="1">
      <x:c r="A208" s="2" t="str">
        <x:v>TEN-B9245A5BADFE</x:v>
      </x:c>
      <x:c r="B208" s="12" t="str">
        <x:v>aster</x:v>
      </x:c>
      <x:c r="C208" s="12" t="str">
        <x:v>CORP-0010</x:v>
      </x:c>
      <x:c r="D208" s="12" t="str">
        <x:v>Bengaluru</x:v>
      </x:c>
      <x:c r="E208" s="12" t="str">
        <x:v>Awfis - Mission Road</x:v>
      </x:c>
      <x:c r="F208" s="12" t="str">
        <x:v>32 inch LED TV</x:v>
      </x:c>
      <x:c r="G208" s="20" t="n">
        <x:v>4</x:v>
      </x:c>
      <x:c r="H208" s="12" t="str">
        <x:v>Inventory-listed building/workspace context; current occupancy and screen access unverified</x:v>
      </x:c>
      <x:c r="I208" s="12" t="str">
        <x:v>Mixed business audience</x:v>
      </x:c>
      <x:c r="J208" s="12" t="str">
        <x:v>Unresolved</x:v>
      </x:c>
      <x:c r="K208" s="2" t="str">
        <x:v>MAIN-014</x:v>
      </x:c>
    </x:row>
    <x:row r="209" ht="46" customHeight="1">
      <x:c r="A209" s="2" t="str">
        <x:v>TEN-CC657A30A7F0</x:v>
      </x:c>
      <x:c r="B209" s="12" t="str">
        <x:v>databytes</x:v>
      </x:c>
      <x:c r="C209" s="12" t="str">
        <x:v>CORP-0010</x:v>
      </x:c>
      <x:c r="D209" s="12" t="str">
        <x:v>Bengaluru</x:v>
      </x:c>
      <x:c r="E209" s="12" t="str">
        <x:v>Awfis - Mission Road</x:v>
      </x:c>
      <x:c r="F209" s="12" t="str">
        <x:v>32 inch LED TV</x:v>
      </x:c>
      <x:c r="G209" s="20" t="n">
        <x:v>4</x:v>
      </x:c>
      <x:c r="H209" s="12" t="str">
        <x:v>Inventory-listed building/workspace context; current occupancy and screen access unverified</x:v>
      </x:c>
      <x:c r="I209" s="12" t="str">
        <x:v>Small-scale prospects</x:v>
      </x:c>
      <x:c r="J209" s="12" t="str">
        <x:v>IT &amp; digital</x:v>
      </x:c>
      <x:c r="K209" s="2" t="str">
        <x:v>MAIN-014</x:v>
      </x:c>
    </x:row>
    <x:row r="210" ht="46" customHeight="1">
      <x:c r="A210" s="2" t="str">
        <x:v>TEN-05E2B0A1B938</x:v>
      </x:c>
      <x:c r="B210" s="12" t="str">
        <x:v>durus consulting</x:v>
      </x:c>
      <x:c r="C210" s="12" t="str">
        <x:v>CORP-0136</x:v>
      </x:c>
      <x:c r="D210" s="12" t="str">
        <x:v>Chennai</x:v>
      </x:c>
      <x:c r="E210" s="12" t="str">
        <x:v>Awfis - OMR</x:v>
      </x:c>
      <x:c r="F210" s="12" t="str">
        <x:v>32 inch LED TV</x:v>
      </x:c>
      <x:c r="G210" s="20" t="n">
        <x:v>7</x:v>
      </x:c>
      <x:c r="H210" s="12" t="str">
        <x:v>Inventory-listed building/workspace context; current occupancy and screen access unverified</x:v>
      </x:c>
      <x:c r="I210" s="12" t="str">
        <x:v>Small-scale prospects</x:v>
      </x:c>
      <x:c r="J210" s="12" t="str">
        <x:v>Professional services</x:v>
      </x:c>
      <x:c r="K210" s="2" t="str">
        <x:v>MAIN-140</x:v>
      </x:c>
    </x:row>
    <x:row r="211" ht="46" customHeight="1">
      <x:c r="A211" s="2" t="str">
        <x:v>TEN-1E7D193E1AB3</x:v>
      </x:c>
      <x:c r="B211" s="12" t="str">
        <x:v>nebeskie</x:v>
      </x:c>
      <x:c r="C211" s="12" t="str">
        <x:v>CORP-0136</x:v>
      </x:c>
      <x:c r="D211" s="12" t="str">
        <x:v>Chennai</x:v>
      </x:c>
      <x:c r="E211" s="12" t="str">
        <x:v>Awfis - OMR</x:v>
      </x:c>
      <x:c r="F211" s="12" t="str">
        <x:v>32 inch LED TV</x:v>
      </x:c>
      <x:c r="G211" s="20" t="n">
        <x:v>7</x:v>
      </x:c>
      <x:c r="H211" s="12" t="str">
        <x:v>Inventory-listed building/workspace context; current occupancy and screen access unverified</x:v>
      </x:c>
      <x:c r="I211" s="12" t="str">
        <x:v>Small-scale prospects</x:v>
      </x:c>
      <x:c r="J211" s="12" t="str">
        <x:v>IT &amp; digital</x:v>
      </x:c>
      <x:c r="K211" s="2" t="str">
        <x:v>MAIN-140</x:v>
      </x:c>
    </x:row>
    <x:row r="212" ht="46" customHeight="1">
      <x:c r="A212" s="2" t="str">
        <x:v>TEN-3A6BC54B4437</x:v>
      </x:c>
      <x:c r="B212" s="12" t="str">
        <x:v>QSOFT Solutions</x:v>
      </x:c>
      <x:c r="C212" s="12" t="str">
        <x:v>CORP-0136</x:v>
      </x:c>
      <x:c r="D212" s="12" t="str">
        <x:v>Chennai</x:v>
      </x:c>
      <x:c r="E212" s="12" t="str">
        <x:v>Awfis - OMR</x:v>
      </x:c>
      <x:c r="F212" s="12" t="str">
        <x:v>32 inch LED TV</x:v>
      </x:c>
      <x:c r="G212" s="20" t="n">
        <x:v>7</x:v>
      </x:c>
      <x:c r="H212" s="12" t="str">
        <x:v>Inventory-listed building/workspace context; current occupancy and screen access unverified</x:v>
      </x:c>
      <x:c r="I212" s="12" t="str">
        <x:v>Small-scale prospects</x:v>
      </x:c>
      <x:c r="J212" s="12" t="str">
        <x:v>IT &amp; digital</x:v>
      </x:c>
      <x:c r="K212" s="2" t="str">
        <x:v>MAIN-140</x:v>
      </x:c>
    </x:row>
    <x:row r="213" ht="46" customHeight="1">
      <x:c r="A213" s="2" t="str">
        <x:v>TEN-3E13E1C0E061</x:v>
      </x:c>
      <x:c r="B213" s="12" t="str">
        <x:v>AMBS Knowledge Driven Solutions</x:v>
      </x:c>
      <x:c r="C213" s="12" t="str">
        <x:v>CORP-0136</x:v>
      </x:c>
      <x:c r="D213" s="12" t="str">
        <x:v>Chennai</x:v>
      </x:c>
      <x:c r="E213" s="12" t="str">
        <x:v>Awfis - OMR</x:v>
      </x:c>
      <x:c r="F213" s="12" t="str">
        <x:v>32 inch LED TV</x:v>
      </x:c>
      <x:c r="G213" s="20" t="n">
        <x:v>7</x:v>
      </x:c>
      <x:c r="H213" s="12" t="str">
        <x:v>Inventory-listed building/workspace context; current occupancy and screen access unverified</x:v>
      </x:c>
      <x:c r="I213" s="12" t="str">
        <x:v>Mixed business audience</x:v>
      </x:c>
      <x:c r="J213" s="12" t="str">
        <x:v>Unresolved</x:v>
      </x:c>
      <x:c r="K213" s="2" t="str">
        <x:v>MAIN-140</x:v>
      </x:c>
    </x:row>
    <x:row r="214" ht="46" customHeight="1">
      <x:c r="A214" s="2" t="str">
        <x:v>TEN-5A517687BF13</x:v>
      </x:c>
      <x:c r="B214" s="12" t="str">
        <x:v>SCYBERS</x:v>
      </x:c>
      <x:c r="C214" s="12" t="str">
        <x:v>CORP-0136</x:v>
      </x:c>
      <x:c r="D214" s="12" t="str">
        <x:v>Chennai</x:v>
      </x:c>
      <x:c r="E214" s="12" t="str">
        <x:v>Awfis - OMR</x:v>
      </x:c>
      <x:c r="F214" s="12" t="str">
        <x:v>32 inch LED TV</x:v>
      </x:c>
      <x:c r="G214" s="20" t="n">
        <x:v>7</x:v>
      </x:c>
      <x:c r="H214" s="12" t="str">
        <x:v>Inventory-listed building/workspace context; current occupancy and screen access unverified</x:v>
      </x:c>
      <x:c r="I214" s="12" t="str">
        <x:v>Mixed business audience</x:v>
      </x:c>
      <x:c r="J214" s="12" t="str">
        <x:v>Unresolved</x:v>
      </x:c>
      <x:c r="K214" s="2" t="str">
        <x:v>MAIN-140</x:v>
      </x:c>
    </x:row>
    <x:row r="215" ht="46" customHeight="1">
      <x:c r="A215" s="2" t="str">
        <x:v>TEN-757EAEA137D5</x:v>
      </x:c>
      <x:c r="B215" s="12" t="str">
        <x:v>nagaro</x:v>
      </x:c>
      <x:c r="C215" s="12" t="str">
        <x:v>CORP-0136</x:v>
      </x:c>
      <x:c r="D215" s="12" t="str">
        <x:v>Chennai</x:v>
      </x:c>
      <x:c r="E215" s="12" t="str">
        <x:v>Awfis - OMR</x:v>
      </x:c>
      <x:c r="F215" s="12" t="str">
        <x:v>32 inch LED TV</x:v>
      </x:c>
      <x:c r="G215" s="20" t="n">
        <x:v>7</x:v>
      </x:c>
      <x:c r="H215" s="12" t="str">
        <x:v>Inventory-listed building/workspace context; current occupancy and screen access unverified</x:v>
      </x:c>
      <x:c r="I215" s="12" t="str">
        <x:v>Mixed business audience</x:v>
      </x:c>
      <x:c r="J215" s="12" t="str">
        <x:v>Unresolved</x:v>
      </x:c>
      <x:c r="K215" s="2" t="str">
        <x:v>MAIN-140</x:v>
      </x:c>
    </x:row>
    <x:row r="216" ht="46" customHeight="1">
      <x:c r="A216" s="2" t="str">
        <x:v>TEN-AE0965DF4BB7</x:v>
      </x:c>
      <x:c r="B216" s="12" t="str">
        <x:v>corezi</x:v>
      </x:c>
      <x:c r="C216" s="12" t="str">
        <x:v>CORP-0136</x:v>
      </x:c>
      <x:c r="D216" s="12" t="str">
        <x:v>Chennai</x:v>
      </x:c>
      <x:c r="E216" s="12" t="str">
        <x:v>Awfis - OMR</x:v>
      </x:c>
      <x:c r="F216" s="12" t="str">
        <x:v>32 inch LED TV</x:v>
      </x:c>
      <x:c r="G216" s="20" t="n">
        <x:v>7</x:v>
      </x:c>
      <x:c r="H216" s="12" t="str">
        <x:v>Inventory-listed building/workspace context; current occupancy and screen access unverified</x:v>
      </x:c>
      <x:c r="I216" s="12" t="str">
        <x:v>Mixed business audience</x:v>
      </x:c>
      <x:c r="J216" s="12" t="str">
        <x:v>Unresolved</x:v>
      </x:c>
      <x:c r="K216" s="2" t="str">
        <x:v>MAIN-140</x:v>
      </x:c>
    </x:row>
    <x:row r="217" ht="46" customHeight="1">
      <x:c r="A217" s="2" t="str">
        <x:v>TEN-BB7F414379C6</x:v>
      </x:c>
      <x:c r="B217" s="12" t="str">
        <x:v>avosina</x:v>
      </x:c>
      <x:c r="C217" s="12" t="str">
        <x:v>CORP-0136</x:v>
      </x:c>
      <x:c r="D217" s="12" t="str">
        <x:v>Chennai</x:v>
      </x:c>
      <x:c r="E217" s="12" t="str">
        <x:v>Awfis - OMR</x:v>
      </x:c>
      <x:c r="F217" s="12" t="str">
        <x:v>32 inch LED TV</x:v>
      </x:c>
      <x:c r="G217" s="20" t="n">
        <x:v>7</x:v>
      </x:c>
      <x:c r="H217" s="12" t="str">
        <x:v>Inventory-listed building/workspace context; current occupancy and screen access unverified</x:v>
      </x:c>
      <x:c r="I217" s="12" t="str">
        <x:v>Mixed business audience</x:v>
      </x:c>
      <x:c r="J217" s="12" t="str">
        <x:v>Unresolved</x:v>
      </x:c>
      <x:c r="K217" s="2" t="str">
        <x:v>MAIN-140</x:v>
      </x:c>
    </x:row>
    <x:row r="218" ht="46" customHeight="1">
      <x:c r="A218" s="2" t="str">
        <x:v>TEN-E0D35E7B9595</x:v>
      </x:c>
      <x:c r="B218" s="12" t="str">
        <x:v>coked</x:v>
      </x:c>
      <x:c r="C218" s="12" t="str">
        <x:v>CORP-0136</x:v>
      </x:c>
      <x:c r="D218" s="12" t="str">
        <x:v>Chennai</x:v>
      </x:c>
      <x:c r="E218" s="12" t="str">
        <x:v>Awfis - OMR</x:v>
      </x:c>
      <x:c r="F218" s="12" t="str">
        <x:v>32 inch LED TV</x:v>
      </x:c>
      <x:c r="G218" s="20" t="n">
        <x:v>7</x:v>
      </x:c>
      <x:c r="H218" s="12" t="str">
        <x:v>Inventory-listed building/workspace context; current occupancy and screen access unverified</x:v>
      </x:c>
      <x:c r="I218" s="12" t="str">
        <x:v>Mixed business audience</x:v>
      </x:c>
      <x:c r="J218" s="12" t="str">
        <x:v>Unresolved</x:v>
      </x:c>
      <x:c r="K218" s="2" t="str">
        <x:v>MAIN-140</x:v>
      </x:c>
    </x:row>
    <x:row r="219" ht="46" customHeight="1">
      <x:c r="A219" s="2" t="str">
        <x:v>TEN-EAF4D7735EC1</x:v>
      </x:c>
      <x:c r="B219" s="12" t="str">
        <x:v>einfochips</x:v>
      </x:c>
      <x:c r="C219" s="12" t="str">
        <x:v>CORP-0136</x:v>
      </x:c>
      <x:c r="D219" s="12" t="str">
        <x:v>Chennai</x:v>
      </x:c>
      <x:c r="E219" s="12" t="str">
        <x:v>Awfis - OMR</x:v>
      </x:c>
      <x:c r="F219" s="12" t="str">
        <x:v>32 inch LED TV</x:v>
      </x:c>
      <x:c r="G219" s="20" t="n">
        <x:v>7</x:v>
      </x:c>
      <x:c r="H219" s="12" t="str">
        <x:v>Inventory-listed building/workspace context; current occupancy and screen access unverified</x:v>
      </x:c>
      <x:c r="I219" s="12" t="str">
        <x:v>Large enterprise</x:v>
      </x:c>
      <x:c r="J219" s="12" t="str">
        <x:v>Engineering &amp; manufacturing</x:v>
      </x:c>
      <x:c r="K219" s="2" t="str">
        <x:v>MAIN-140</x:v>
      </x:c>
    </x:row>
    <x:row r="220" ht="46" customHeight="1">
      <x:c r="A220" s="2" t="str">
        <x:v>TEN-F9337D4627CA</x:v>
      </x:c>
      <x:c r="B220" s="12" t="str">
        <x:v>cliq Solutions</x:v>
      </x:c>
      <x:c r="C220" s="12" t="str">
        <x:v>CORP-0136</x:v>
      </x:c>
      <x:c r="D220" s="12" t="str">
        <x:v>Chennai</x:v>
      </x:c>
      <x:c r="E220" s="12" t="str">
        <x:v>Awfis - OMR</x:v>
      </x:c>
      <x:c r="F220" s="12" t="str">
        <x:v>32 inch LED TV</x:v>
      </x:c>
      <x:c r="G220" s="20" t="n">
        <x:v>7</x:v>
      </x:c>
      <x:c r="H220" s="12" t="str">
        <x:v>Inventory-listed building/workspace context; current occupancy and screen access unverified</x:v>
      </x:c>
      <x:c r="I220" s="12" t="str">
        <x:v>Mixed business audience</x:v>
      </x:c>
      <x:c r="J220" s="12" t="str">
        <x:v>Unresolved</x:v>
      </x:c>
      <x:c r="K220" s="2" t="str">
        <x:v>MAIN-140</x:v>
      </x:c>
    </x:row>
    <x:row r="221" ht="46" customHeight="1">
      <x:c r="A221" s="2" t="str">
        <x:v>TEN-197BE48BE03D</x:v>
      </x:c>
      <x:c r="B221" s="12" t="str">
        <x:v>WayCool</x:v>
      </x:c>
      <x:c r="C221" s="12" t="str">
        <x:v>CORP-0137</x:v>
      </x:c>
      <x:c r="D221" s="12" t="str">
        <x:v>Chennai</x:v>
      </x:c>
      <x:c r="E221" s="12" t="str">
        <x:v>Awfis - Prestige Cosmopolitan-I</x:v>
      </x:c>
      <x:c r="F221" s="12" t="str">
        <x:v>32 inch LED TV</x:v>
      </x:c>
      <x:c r="G221" s="20" t="n">
        <x:v>4</x:v>
      </x:c>
      <x:c r="H221" s="12" t="str">
        <x:v>Inventory-listed building/workspace context; current occupancy and screen access unverified</x:v>
      </x:c>
      <x:c r="I221" s="12" t="str">
        <x:v>Small-scale prospects</x:v>
      </x:c>
      <x:c r="J221" s="12" t="str">
        <x:v>Trade, consumer &amp; logistics</x:v>
      </x:c>
      <x:c r="K221" s="2" t="str">
        <x:v>MAIN-141</x:v>
      </x:c>
    </x:row>
    <x:row r="222" ht="46" customHeight="1">
      <x:c r="A222" s="2" t="str">
        <x:v>TEN-462162D29E77</x:v>
      </x:c>
      <x:c r="B222" s="12" t="str">
        <x:v>Mitsubishi Corporation India</x:v>
      </x:c>
      <x:c r="C222" s="12" t="str">
        <x:v>CORP-0137</x:v>
      </x:c>
      <x:c r="D222" s="12" t="str">
        <x:v>Chennai</x:v>
      </x:c>
      <x:c r="E222" s="12" t="str">
        <x:v>Awfis - Prestige Cosmopolitan-I</x:v>
      </x:c>
      <x:c r="F222" s="12" t="str">
        <x:v>32 inch LED TV</x:v>
      </x:c>
      <x:c r="G222" s="20" t="n">
        <x:v>4</x:v>
      </x:c>
      <x:c r="H222" s="12" t="str">
        <x:v>Inventory-listed building/workspace context; current occupancy and screen access unverified</x:v>
      </x:c>
      <x:c r="I222" s="12" t="str">
        <x:v>Mixed business audience</x:v>
      </x:c>
      <x:c r="J222" s="12" t="str">
        <x:v>Engineering &amp; manufacturing</x:v>
      </x:c>
      <x:c r="K222" s="2" t="str">
        <x:v>MAIN-141</x:v>
      </x:c>
    </x:row>
    <x:row r="223" ht="46" customHeight="1">
      <x:c r="A223" s="2" t="str">
        <x:v>TEN-78B49FB2CC2D</x:v>
      </x:c>
      <x:c r="B223" s="12" t="str">
        <x:v>SWITCH</x:v>
      </x:c>
      <x:c r="C223" s="12" t="str">
        <x:v>CORP-0137</x:v>
      </x:c>
      <x:c r="D223" s="12" t="str">
        <x:v>Chennai</x:v>
      </x:c>
      <x:c r="E223" s="12" t="str">
        <x:v>Awfis - Prestige Cosmopolitan-I</x:v>
      </x:c>
      <x:c r="F223" s="12" t="str">
        <x:v>32 inch LED TV</x:v>
      </x:c>
      <x:c r="G223" s="20" t="n">
        <x:v>4</x:v>
      </x:c>
      <x:c r="H223" s="12" t="str">
        <x:v>Inventory-listed building/workspace context; current occupancy and screen access unverified</x:v>
      </x:c>
      <x:c r="I223" s="12" t="str">
        <x:v>Mixed business audience</x:v>
      </x:c>
      <x:c r="J223" s="12" t="str">
        <x:v>Unresolved</x:v>
      </x:c>
      <x:c r="K223" s="2" t="str">
        <x:v>MAIN-141</x:v>
      </x:c>
    </x:row>
    <x:row r="224" ht="46" customHeight="1">
      <x:c r="A224" s="2" t="str">
        <x:v>TEN-9E6B337110FE</x:v>
      </x:c>
      <x:c r="B224" s="12" t="str">
        <x:v>DVS</x:v>
      </x:c>
      <x:c r="C224" s="12" t="str">
        <x:v>CORP-0137</x:v>
      </x:c>
      <x:c r="D224" s="12" t="str">
        <x:v>Chennai</x:v>
      </x:c>
      <x:c r="E224" s="12" t="str">
        <x:v>Awfis - Prestige Cosmopolitan-I</x:v>
      </x:c>
      <x:c r="F224" s="12" t="str">
        <x:v>32 inch LED TV</x:v>
      </x:c>
      <x:c r="G224" s="20" t="n">
        <x:v>4</x:v>
      </x:c>
      <x:c r="H224" s="12" t="str">
        <x:v>Inventory-listed building/workspace context; current occupancy and screen access unverified</x:v>
      </x:c>
      <x:c r="I224" s="12" t="str">
        <x:v>Mixed business audience</x:v>
      </x:c>
      <x:c r="J224" s="12" t="str">
        <x:v>Unresolved</x:v>
      </x:c>
      <x:c r="K224" s="2" t="str">
        <x:v>MAIN-141</x:v>
      </x:c>
    </x:row>
    <x:row r="225" ht="46" customHeight="1">
      <x:c r="A225" s="2" t="str">
        <x:v>TEN-AC70DCB61780</x:v>
      </x:c>
      <x:c r="B225" s="12" t="str">
        <x:v>Metal One Corporation India PVT.LTD</x:v>
      </x:c>
      <x:c r="C225" s="12" t="str">
        <x:v>CORP-0137</x:v>
      </x:c>
      <x:c r="D225" s="12" t="str">
        <x:v>Chennai</x:v>
      </x:c>
      <x:c r="E225" s="12" t="str">
        <x:v>Awfis - Prestige Cosmopolitan-I</x:v>
      </x:c>
      <x:c r="F225" s="12" t="str">
        <x:v>32 inch LED TV</x:v>
      </x:c>
      <x:c r="G225" s="20" t="n">
        <x:v>4</x:v>
      </x:c>
      <x:c r="H225" s="12" t="str">
        <x:v>Inventory-listed building/workspace context; current occupancy and screen access unverified</x:v>
      </x:c>
      <x:c r="I225" s="12" t="str">
        <x:v>Mixed business audience</x:v>
      </x:c>
      <x:c r="J225" s="12" t="str">
        <x:v>Engineering &amp; manufacturing</x:v>
      </x:c>
      <x:c r="K225" s="2" t="str">
        <x:v>MAIN-141</x:v>
      </x:c>
    </x:row>
    <x:row r="226" ht="46" customHeight="1">
      <x:c r="A226" s="2" t="str">
        <x:v>TEN-FC69E443209A</x:v>
      </x:c>
      <x:c r="B226" s="12" t="str">
        <x:v>TalentShip</x:v>
      </x:c>
      <x:c r="C226" s="12" t="str">
        <x:v>CORP-0137</x:v>
      </x:c>
      <x:c r="D226" s="12" t="str">
        <x:v>Chennai</x:v>
      </x:c>
      <x:c r="E226" s="12" t="str">
        <x:v>Awfis - Prestige Cosmopolitan-I</x:v>
      </x:c>
      <x:c r="F226" s="12" t="str">
        <x:v>32 inch LED TV</x:v>
      </x:c>
      <x:c r="G226" s="20" t="n">
        <x:v>4</x:v>
      </x:c>
      <x:c r="H226" s="12" t="str">
        <x:v>Inventory-listed building/workspace context; current occupancy and screen access unverified</x:v>
      </x:c>
      <x:c r="I226" s="12" t="str">
        <x:v>Small-scale prospects</x:v>
      </x:c>
      <x:c r="J226" s="12" t="str">
        <x:v>Professional services</x:v>
      </x:c>
      <x:c r="K226" s="2" t="str">
        <x:v>MAIN-141</x:v>
      </x:c>
    </x:row>
    <x:row r="227" ht="46" customHeight="1">
      <x:c r="A227" s="2" t="str">
        <x:v>TEN-122B60C0A5AE</x:v>
      </x:c>
      <x:c r="B227" s="12" t="str">
        <x:v>Aerosquad private limited</x:v>
      </x:c>
      <x:c r="C227" s="12" t="str">
        <x:v>CORP-0138</x:v>
      </x:c>
      <x:c r="D227" s="12" t="str">
        <x:v>Chennai</x:v>
      </x:c>
      <x:c r="E227" s="12" t="str">
        <x:v>Awfis - Sierra</x:v>
      </x:c>
      <x:c r="F227" s="12" t="str">
        <x:v>32 inch LED TV</x:v>
      </x:c>
      <x:c r="G227" s="20" t="n">
        <x:v>3</x:v>
      </x:c>
      <x:c r="H227" s="12" t="str">
        <x:v>Inventory-listed building/workspace context; current occupancy and screen access unverified</x:v>
      </x:c>
      <x:c r="I227" s="12" t="str">
        <x:v>Medium-scale prospects</x:v>
      </x:c>
      <x:c r="J227" s="12" t="str">
        <x:v>Engineering &amp; manufacturing</x:v>
      </x:c>
      <x:c r="K227" s="2" t="str">
        <x:v>MAIN-142</x:v>
      </x:c>
    </x:row>
    <x:row r="228" ht="46" customHeight="1">
      <x:c r="A228" s="2" t="str">
        <x:v>TEN-1C939685F784</x:v>
      </x:c>
      <x:c r="B228" s="12" t="str">
        <x:v>MOAR Digital 360 Pvt Ltd</x:v>
      </x:c>
      <x:c r="C228" s="12" t="str">
        <x:v>CORP-0138</x:v>
      </x:c>
      <x:c r="D228" s="12" t="str">
        <x:v>Chennai</x:v>
      </x:c>
      <x:c r="E228" s="12" t="str">
        <x:v>Awfis - Sierra</x:v>
      </x:c>
      <x:c r="F228" s="12" t="str">
        <x:v>32 inch LED TV</x:v>
      </x:c>
      <x:c r="G228" s="20" t="n">
        <x:v>3</x:v>
      </x:c>
      <x:c r="H228" s="12" t="str">
        <x:v>Inventory-listed building/workspace context; current occupancy and screen access unverified</x:v>
      </x:c>
      <x:c r="I228" s="12" t="str">
        <x:v>Medium-scale prospects</x:v>
      </x:c>
      <x:c r="J228" s="12" t="str">
        <x:v>IT &amp; digital</x:v>
      </x:c>
      <x:c r="K228" s="2" t="str">
        <x:v>MAIN-142</x:v>
      </x:c>
    </x:row>
    <x:row r="229" ht="46" customHeight="1">
      <x:c r="A229" s="2" t="str">
        <x:v>TEN-3EAF3CE6E89D</x:v>
      </x:c>
      <x:c r="B229" s="12" t="str">
        <x:v>Evolv</x:v>
      </x:c>
      <x:c r="C229" s="12" t="str">
        <x:v>CORP-0138</x:v>
      </x:c>
      <x:c r="D229" s="12" t="str">
        <x:v>Chennai</x:v>
      </x:c>
      <x:c r="E229" s="12" t="str">
        <x:v>Awfis - Sierra</x:v>
      </x:c>
      <x:c r="F229" s="12" t="str">
        <x:v>32 inch LED TV</x:v>
      </x:c>
      <x:c r="G229" s="20" t="n">
        <x:v>3</x:v>
      </x:c>
      <x:c r="H229" s="12" t="str">
        <x:v>Inventory-listed building/workspace context; current occupancy and screen access unverified</x:v>
      </x:c>
      <x:c r="I229" s="12" t="str">
        <x:v>Mixed business audience</x:v>
      </x:c>
      <x:c r="J229" s="12" t="str">
        <x:v>Unresolved</x:v>
      </x:c>
      <x:c r="K229" s="2" t="str">
        <x:v>MAIN-142</x:v>
      </x:c>
    </x:row>
    <x:row r="230" ht="46" customHeight="1">
      <x:c r="A230" s="2" t="str">
        <x:v>TEN-8ADA0F71C1EF</x:v>
      </x:c>
      <x:c r="B230" s="12" t="str">
        <x:v>Sonel Instruments India Pvt Ltd</x:v>
      </x:c>
      <x:c r="C230" s="12" t="str">
        <x:v>CORP-0138</x:v>
      </x:c>
      <x:c r="D230" s="12" t="str">
        <x:v>Chennai</x:v>
      </x:c>
      <x:c r="E230" s="12" t="str">
        <x:v>Awfis - Sierra</x:v>
      </x:c>
      <x:c r="F230" s="12" t="str">
        <x:v>32 inch LED TV</x:v>
      </x:c>
      <x:c r="G230" s="20" t="n">
        <x:v>3</x:v>
      </x:c>
      <x:c r="H230" s="12" t="str">
        <x:v>Inventory-listed building/workspace context; current occupancy and screen access unverified</x:v>
      </x:c>
      <x:c r="I230" s="12" t="str">
        <x:v>Medium-scale prospects</x:v>
      </x:c>
      <x:c r="J230" s="12" t="str">
        <x:v>Engineering &amp; manufacturing</x:v>
      </x:c>
      <x:c r="K230" s="2" t="str">
        <x:v>MAIN-142</x:v>
      </x:c>
    </x:row>
    <x:row r="231" ht="46" customHeight="1">
      <x:c r="A231" s="2" t="str">
        <x:v>TEN-1E8C28665D38</x:v>
      </x:c>
      <x:c r="B231" s="12" t="str">
        <x:v>Greater Goods</x:v>
      </x:c>
      <x:c r="C231" s="12" t="str">
        <x:v>CORP-0139</x:v>
      </x:c>
      <x:c r="D231" s="12" t="str">
        <x:v>Chennai</x:v>
      </x:c>
      <x:c r="E231" s="12" t="str">
        <x:v>Bharati Vilas Tech Park</x:v>
      </x:c>
      <x:c r="F231" s="12" t="str">
        <x:v>43 inch LED TV</x:v>
      </x:c>
      <x:c r="G231" s="20" t="n">
        <x:v>2</x:v>
      </x:c>
      <x:c r="H231" s="12" t="str">
        <x:v>Campus/portfolio roster; individual building occupancy unverified</x:v>
      </x:c>
      <x:c r="I231" s="12" t="str">
        <x:v>Mixed business audience</x:v>
      </x:c>
      <x:c r="J231" s="12" t="str">
        <x:v>Unresolved</x:v>
      </x:c>
      <x:c r="K231" s="2" t="str">
        <x:v>MAIN-143</x:v>
      </x:c>
    </x:row>
    <x:row r="232" ht="46" customHeight="1">
      <x:c r="A232" s="2" t="str">
        <x:v>TEN-30821A93F5E2</x:v>
      </x:c>
      <x:c r="B232" s="12" t="str">
        <x:v>MVI Technologies India Pvt Limited</x:v>
      </x:c>
      <x:c r="C232" s="12" t="str">
        <x:v>CORP-0139</x:v>
      </x:c>
      <x:c r="D232" s="12" t="str">
        <x:v>Chennai</x:v>
      </x:c>
      <x:c r="E232" s="12" t="str">
        <x:v>Bharati Vilas Tech Park</x:v>
      </x:c>
      <x:c r="F232" s="12" t="str">
        <x:v>43 inch LED TV</x:v>
      </x:c>
      <x:c r="G232" s="20" t="n">
        <x:v>2</x:v>
      </x:c>
      <x:c r="H232" s="12" t="str">
        <x:v>Campus/portfolio roster; individual building occupancy unverified</x:v>
      </x:c>
      <x:c r="I232" s="12" t="str">
        <x:v>Mixed business audience</x:v>
      </x:c>
      <x:c r="J232" s="12" t="str">
        <x:v>Unresolved</x:v>
      </x:c>
      <x:c r="K232" s="2" t="str">
        <x:v>MAIN-143</x:v>
      </x:c>
    </x:row>
    <x:row r="233" ht="46" customHeight="1">
      <x:c r="A233" s="2" t="str">
        <x:v>TEN-654BE09498F8</x:v>
      </x:c>
      <x:c r="B233" s="12" t="str">
        <x:v>OREL PC</x:v>
      </x:c>
      <x:c r="C233" s="12" t="str">
        <x:v>CORP-0139</x:v>
      </x:c>
      <x:c r="D233" s="12" t="str">
        <x:v>Chennai</x:v>
      </x:c>
      <x:c r="E233" s="12" t="str">
        <x:v>Bharati Vilas Tech Park</x:v>
      </x:c>
      <x:c r="F233" s="12" t="str">
        <x:v>43 inch LED TV</x:v>
      </x:c>
      <x:c r="G233" s="20" t="n">
        <x:v>2</x:v>
      </x:c>
      <x:c r="H233" s="12" t="str">
        <x:v>Campus/portfolio roster; individual building occupancy unverified</x:v>
      </x:c>
      <x:c r="I233" s="12" t="str">
        <x:v>Mixed business audience</x:v>
      </x:c>
      <x:c r="J233" s="12" t="str">
        <x:v>Unresolved</x:v>
      </x:c>
      <x:c r="K233" s="2" t="str">
        <x:v>MAIN-143</x:v>
      </x:c>
    </x:row>
    <x:row r="234" ht="46" customHeight="1">
      <x:c r="A234" s="2" t="str">
        <x:v>TEN-680C934EABCB</x:v>
      </x:c>
      <x:c r="B234" s="12" t="str">
        <x:v>RheinBrücke IT Consulting Pvt Ltd</x:v>
      </x:c>
      <x:c r="C234" s="12" t="str">
        <x:v>CORP-0139</x:v>
      </x:c>
      <x:c r="D234" s="12" t="str">
        <x:v>Chennai</x:v>
      </x:c>
      <x:c r="E234" s="12" t="str">
        <x:v>Bharati Vilas Tech Park</x:v>
      </x:c>
      <x:c r="F234" s="12" t="str">
        <x:v>43 inch LED TV</x:v>
      </x:c>
      <x:c r="G234" s="20" t="n">
        <x:v>2</x:v>
      </x:c>
      <x:c r="H234" s="12" t="str">
        <x:v>Campus/portfolio roster; individual building occupancy unverified</x:v>
      </x:c>
      <x:c r="I234" s="12" t="str">
        <x:v>Small-scale prospects</x:v>
      </x:c>
      <x:c r="J234" s="12" t="str">
        <x:v>Professional services</x:v>
      </x:c>
      <x:c r="K234" s="2" t="str">
        <x:v>MAIN-143</x:v>
      </x:c>
    </x:row>
    <x:row r="235" ht="46" customHeight="1">
      <x:c r="A235" s="2" t="str">
        <x:v>TEN-7A7FCCF359A2</x:v>
      </x:c>
      <x:c r="B235" s="12" t="str">
        <x:v>Lightstorm telecom Chennai office</x:v>
      </x:c>
      <x:c r="C235" s="12" t="str">
        <x:v>CORP-0139</x:v>
      </x:c>
      <x:c r="D235" s="12" t="str">
        <x:v>Chennai</x:v>
      </x:c>
      <x:c r="E235" s="12" t="str">
        <x:v>Bharati Vilas Tech Park</x:v>
      </x:c>
      <x:c r="F235" s="12" t="str">
        <x:v>43 inch LED TV</x:v>
      </x:c>
      <x:c r="G235" s="20" t="n">
        <x:v>2</x:v>
      </x:c>
      <x:c r="H235" s="12" t="str">
        <x:v>Campus/portfolio roster; individual building occupancy unverified</x:v>
      </x:c>
      <x:c r="I235" s="12" t="str">
        <x:v>Small-scale prospects</x:v>
      </x:c>
      <x:c r="J235" s="12" t="str">
        <x:v>IT &amp; digital</x:v>
      </x:c>
      <x:c r="K235" s="2" t="str">
        <x:v>MAIN-143</x:v>
      </x:c>
    </x:row>
    <x:row r="236" ht="46" customHeight="1">
      <x:c r="A236" s="2" t="str">
        <x:v>TEN-A0548562CF88</x:v>
      </x:c>
      <x:c r="B236" s="12" t="str">
        <x:v>Ingersoll Rand</x:v>
      </x:c>
      <x:c r="C236" s="12" t="str">
        <x:v>CORP-0139</x:v>
      </x:c>
      <x:c r="D236" s="12" t="str">
        <x:v>Chennai</x:v>
      </x:c>
      <x:c r="E236" s="12" t="str">
        <x:v>Bharati Vilas Tech Park</x:v>
      </x:c>
      <x:c r="F236" s="12" t="str">
        <x:v>43 inch LED TV</x:v>
      </x:c>
      <x:c r="G236" s="20" t="n">
        <x:v>2</x:v>
      </x:c>
      <x:c r="H236" s="12" t="str">
        <x:v>Campus/portfolio roster; individual building occupancy unverified</x:v>
      </x:c>
      <x:c r="I236" s="12" t="str">
        <x:v>Mixed business audience</x:v>
      </x:c>
      <x:c r="J236" s="12" t="str">
        <x:v>Engineering &amp; manufacturing</x:v>
      </x:c>
      <x:c r="K236" s="2" t="str">
        <x:v>MAIN-143</x:v>
      </x:c>
    </x:row>
    <x:row r="237" ht="46" customHeight="1">
      <x:c r="A237" s="2" t="str">
        <x:v>TEN-B7B27EA467E4</x:v>
      </x:c>
      <x:c r="B237" s="12" t="str">
        <x:v>Versa Networks</x:v>
      </x:c>
      <x:c r="C237" s="12" t="str">
        <x:v>CORP-0139</x:v>
      </x:c>
      <x:c r="D237" s="12" t="str">
        <x:v>Chennai</x:v>
      </x:c>
      <x:c r="E237" s="12" t="str">
        <x:v>Bharati Vilas Tech Park</x:v>
      </x:c>
      <x:c r="F237" s="12" t="str">
        <x:v>43 inch LED TV</x:v>
      </x:c>
      <x:c r="G237" s="20" t="n">
        <x:v>2</x:v>
      </x:c>
      <x:c r="H237" s="12" t="str">
        <x:v>Campus/portfolio roster; individual building occupancy unverified</x:v>
      </x:c>
      <x:c r="I237" s="12" t="str">
        <x:v>Mixed business audience</x:v>
      </x:c>
      <x:c r="J237" s="12" t="str">
        <x:v>IT &amp; digital</x:v>
      </x:c>
      <x:c r="K237" s="2" t="str">
        <x:v>MAIN-143</x:v>
      </x:c>
    </x:row>
    <x:row r="238" ht="46" customHeight="1">
      <x:c r="A238" s="2" t="str">
        <x:v>TEN-BAEEB8F9E40B</x:v>
      </x:c>
      <x:c r="B238" s="12" t="str">
        <x:v>E-Billing Solutions Pvt Ltd</x:v>
      </x:c>
      <x:c r="C238" s="12" t="str">
        <x:v>CORP-0139</x:v>
      </x:c>
      <x:c r="D238" s="12" t="str">
        <x:v>Chennai</x:v>
      </x:c>
      <x:c r="E238" s="12" t="str">
        <x:v>Bharati Vilas Tech Park</x:v>
      </x:c>
      <x:c r="F238" s="12" t="str">
        <x:v>43 inch LED TV</x:v>
      </x:c>
      <x:c r="G238" s="20" t="n">
        <x:v>2</x:v>
      </x:c>
      <x:c r="H238" s="12" t="str">
        <x:v>Campus/portfolio roster; individual building occupancy unverified</x:v>
      </x:c>
      <x:c r="I238" s="12" t="str">
        <x:v>Small-scale prospects</x:v>
      </x:c>
      <x:c r="J238" s="12" t="str">
        <x:v>IT &amp; digital</x:v>
      </x:c>
      <x:c r="K238" s="2" t="str">
        <x:v>MAIN-143</x:v>
      </x:c>
    </x:row>
    <x:row r="239" ht="46" customHeight="1">
      <x:c r="A239" s="2" t="str">
        <x:v>TEN-1E8C28665D38</x:v>
      </x:c>
      <x:c r="B239" s="12" t="str">
        <x:v>Greater Goods</x:v>
      </x:c>
      <x:c r="C239" s="12" t="str">
        <x:v>CORP-0140</x:v>
      </x:c>
      <x:c r="D239" s="12" t="str">
        <x:v>Chennai</x:v>
      </x:c>
      <x:c r="E239" s="12" t="str">
        <x:v>Bharati Vilas Tech Park(POD Screens)</x:v>
      </x:c>
      <x:c r="F239" s="12" t="str">
        <x:v>43 inch LED TV</x:v>
      </x:c>
      <x:c r="G239" s="20" t="n">
        <x:v>1</x:v>
      </x:c>
      <x:c r="H239" s="12" t="str">
        <x:v>Campus/portfolio roster; individual building occupancy unverified</x:v>
      </x:c>
      <x:c r="I239" s="12" t="str">
        <x:v>Mixed business audience</x:v>
      </x:c>
      <x:c r="J239" s="12" t="str">
        <x:v>Unresolved</x:v>
      </x:c>
      <x:c r="K239" s="2" t="str">
        <x:v>MAIN-144</x:v>
      </x:c>
    </x:row>
    <x:row r="240" ht="46" customHeight="1">
      <x:c r="A240" s="2" t="str">
        <x:v>TEN-30821A93F5E2</x:v>
      </x:c>
      <x:c r="B240" s="12" t="str">
        <x:v>MVI Technologies India Pvt Limited</x:v>
      </x:c>
      <x:c r="C240" s="12" t="str">
        <x:v>CORP-0140</x:v>
      </x:c>
      <x:c r="D240" s="12" t="str">
        <x:v>Chennai</x:v>
      </x:c>
      <x:c r="E240" s="12" t="str">
        <x:v>Bharati Vilas Tech Park(POD Screens)</x:v>
      </x:c>
      <x:c r="F240" s="12" t="str">
        <x:v>43 inch LED TV</x:v>
      </x:c>
      <x:c r="G240" s="20" t="n">
        <x:v>1</x:v>
      </x:c>
      <x:c r="H240" s="12" t="str">
        <x:v>Campus/portfolio roster; individual building occupancy unverified</x:v>
      </x:c>
      <x:c r="I240" s="12" t="str">
        <x:v>Mixed business audience</x:v>
      </x:c>
      <x:c r="J240" s="12" t="str">
        <x:v>Unresolved</x:v>
      </x:c>
      <x:c r="K240" s="2" t="str">
        <x:v>MAIN-144</x:v>
      </x:c>
    </x:row>
    <x:row r="241" ht="46" customHeight="1">
      <x:c r="A241" s="2" t="str">
        <x:v>TEN-654BE09498F8</x:v>
      </x:c>
      <x:c r="B241" s="12" t="str">
        <x:v>OREL PC</x:v>
      </x:c>
      <x:c r="C241" s="12" t="str">
        <x:v>CORP-0140</x:v>
      </x:c>
      <x:c r="D241" s="12" t="str">
        <x:v>Chennai</x:v>
      </x:c>
      <x:c r="E241" s="12" t="str">
        <x:v>Bharati Vilas Tech Park(POD Screens)</x:v>
      </x:c>
      <x:c r="F241" s="12" t="str">
        <x:v>43 inch LED TV</x:v>
      </x:c>
      <x:c r="G241" s="20" t="n">
        <x:v>1</x:v>
      </x:c>
      <x:c r="H241" s="12" t="str">
        <x:v>Campus/portfolio roster; individual building occupancy unverified</x:v>
      </x:c>
      <x:c r="I241" s="12" t="str">
        <x:v>Mixed business audience</x:v>
      </x:c>
      <x:c r="J241" s="12" t="str">
        <x:v>Unresolved</x:v>
      </x:c>
      <x:c r="K241" s="2" t="str">
        <x:v>MAIN-144</x:v>
      </x:c>
    </x:row>
    <x:row r="242" ht="46" customHeight="1">
      <x:c r="A242" s="2" t="str">
        <x:v>TEN-680C934EABCB</x:v>
      </x:c>
      <x:c r="B242" s="12" t="str">
        <x:v>RheinBrücke IT Consulting Pvt Ltd</x:v>
      </x:c>
      <x:c r="C242" s="12" t="str">
        <x:v>CORP-0140</x:v>
      </x:c>
      <x:c r="D242" s="12" t="str">
        <x:v>Chennai</x:v>
      </x:c>
      <x:c r="E242" s="12" t="str">
        <x:v>Bharati Vilas Tech Park(POD Screens)</x:v>
      </x:c>
      <x:c r="F242" s="12" t="str">
        <x:v>43 inch LED TV</x:v>
      </x:c>
      <x:c r="G242" s="20" t="n">
        <x:v>1</x:v>
      </x:c>
      <x:c r="H242" s="12" t="str">
        <x:v>Campus/portfolio roster; individual building occupancy unverified</x:v>
      </x:c>
      <x:c r="I242" s="12" t="str">
        <x:v>Small-scale prospects</x:v>
      </x:c>
      <x:c r="J242" s="12" t="str">
        <x:v>Professional services</x:v>
      </x:c>
      <x:c r="K242" s="2" t="str">
        <x:v>MAIN-144</x:v>
      </x:c>
    </x:row>
    <x:row r="243" ht="46" customHeight="1">
      <x:c r="A243" s="2" t="str">
        <x:v>TEN-7A7FCCF359A2</x:v>
      </x:c>
      <x:c r="B243" s="12" t="str">
        <x:v>Lightstorm telecom Chennai office</x:v>
      </x:c>
      <x:c r="C243" s="12" t="str">
        <x:v>CORP-0140</x:v>
      </x:c>
      <x:c r="D243" s="12" t="str">
        <x:v>Chennai</x:v>
      </x:c>
      <x:c r="E243" s="12" t="str">
        <x:v>Bharati Vilas Tech Park(POD Screens)</x:v>
      </x:c>
      <x:c r="F243" s="12" t="str">
        <x:v>43 inch LED TV</x:v>
      </x:c>
      <x:c r="G243" s="20" t="n">
        <x:v>1</x:v>
      </x:c>
      <x:c r="H243" s="12" t="str">
        <x:v>Campus/portfolio roster; individual building occupancy unverified</x:v>
      </x:c>
      <x:c r="I243" s="12" t="str">
        <x:v>Small-scale prospects</x:v>
      </x:c>
      <x:c r="J243" s="12" t="str">
        <x:v>IT &amp; digital</x:v>
      </x:c>
      <x:c r="K243" s="2" t="str">
        <x:v>MAIN-144</x:v>
      </x:c>
    </x:row>
    <x:row r="244" ht="46" customHeight="1">
      <x:c r="A244" s="2" t="str">
        <x:v>TEN-A0548562CF88</x:v>
      </x:c>
      <x:c r="B244" s="12" t="str">
        <x:v>Ingersoll Rand</x:v>
      </x:c>
      <x:c r="C244" s="12" t="str">
        <x:v>CORP-0140</x:v>
      </x:c>
      <x:c r="D244" s="12" t="str">
        <x:v>Chennai</x:v>
      </x:c>
      <x:c r="E244" s="12" t="str">
        <x:v>Bharati Vilas Tech Park(POD Screens)</x:v>
      </x:c>
      <x:c r="F244" s="12" t="str">
        <x:v>43 inch LED TV</x:v>
      </x:c>
      <x:c r="G244" s="20" t="n">
        <x:v>1</x:v>
      </x:c>
      <x:c r="H244" s="12" t="str">
        <x:v>Campus/portfolio roster; individual building occupancy unverified</x:v>
      </x:c>
      <x:c r="I244" s="12" t="str">
        <x:v>Mixed business audience</x:v>
      </x:c>
      <x:c r="J244" s="12" t="str">
        <x:v>Engineering &amp; manufacturing</x:v>
      </x:c>
      <x:c r="K244" s="2" t="str">
        <x:v>MAIN-144</x:v>
      </x:c>
    </x:row>
    <x:row r="245" ht="46" customHeight="1">
      <x:c r="A245" s="2" t="str">
        <x:v>TEN-B7B27EA467E4</x:v>
      </x:c>
      <x:c r="B245" s="12" t="str">
        <x:v>Versa Networks</x:v>
      </x:c>
      <x:c r="C245" s="12" t="str">
        <x:v>CORP-0140</x:v>
      </x:c>
      <x:c r="D245" s="12" t="str">
        <x:v>Chennai</x:v>
      </x:c>
      <x:c r="E245" s="12" t="str">
        <x:v>Bharati Vilas Tech Park(POD Screens)</x:v>
      </x:c>
      <x:c r="F245" s="12" t="str">
        <x:v>43 inch LED TV</x:v>
      </x:c>
      <x:c r="G245" s="20" t="n">
        <x:v>1</x:v>
      </x:c>
      <x:c r="H245" s="12" t="str">
        <x:v>Campus/portfolio roster; individual building occupancy unverified</x:v>
      </x:c>
      <x:c r="I245" s="12" t="str">
        <x:v>Mixed business audience</x:v>
      </x:c>
      <x:c r="J245" s="12" t="str">
        <x:v>IT &amp; digital</x:v>
      </x:c>
      <x:c r="K245" s="2" t="str">
        <x:v>MAIN-144</x:v>
      </x:c>
    </x:row>
    <x:row r="246" ht="46" customHeight="1">
      <x:c r="A246" s="2" t="str">
        <x:v>TEN-BAEEB8F9E40B</x:v>
      </x:c>
      <x:c r="B246" s="12" t="str">
        <x:v>E-Billing Solutions Pvt Ltd</x:v>
      </x:c>
      <x:c r="C246" s="12" t="str">
        <x:v>CORP-0140</x:v>
      </x:c>
      <x:c r="D246" s="12" t="str">
        <x:v>Chennai</x:v>
      </x:c>
      <x:c r="E246" s="12" t="str">
        <x:v>Bharati Vilas Tech Park(POD Screens)</x:v>
      </x:c>
      <x:c r="F246" s="12" t="str">
        <x:v>43 inch LED TV</x:v>
      </x:c>
      <x:c r="G246" s="20" t="n">
        <x:v>1</x:v>
      </x:c>
      <x:c r="H246" s="12" t="str">
        <x:v>Campus/portfolio roster; individual building occupancy unverified</x:v>
      </x:c>
      <x:c r="I246" s="12" t="str">
        <x:v>Small-scale prospects</x:v>
      </x:c>
      <x:c r="J246" s="12" t="str">
        <x:v>IT &amp; digital</x:v>
      </x:c>
      <x:c r="K246" s="2" t="str">
        <x:v>MAIN-144</x:v>
      </x:c>
    </x:row>
    <x:row r="247" ht="46" customHeight="1">
      <x:c r="A247" s="2" t="str">
        <x:v>TEN-1582793ECA86</x:v>
      </x:c>
      <x:c r="B247" s="12" t="str">
        <x:v>Global Lifestyle Interior</x:v>
      </x:c>
      <x:c r="C247" s="12" t="str">
        <x:v>CORP-0142</x:v>
      </x:c>
      <x:c r="D247" s="12" t="str">
        <x:v>Chennai</x:v>
      </x:c>
      <x:c r="E247" s="12" t="str">
        <x:v>Global Infocity Park</x:v>
      </x:c>
      <x:c r="F247" s="12" t="str">
        <x:v>55 inch LED TV</x:v>
      </x:c>
      <x:c r="G247" s="20" t="n">
        <x:v>4</x:v>
      </x:c>
      <x:c r="H247" s="12" t="str">
        <x:v>Company-listed building/campus context; workspace membership and screen access unverified</x:v>
      </x:c>
      <x:c r="I247" s="12" t="str">
        <x:v>Small-scale prospects</x:v>
      </x:c>
      <x:c r="J247" s="12" t="str">
        <x:v>Professional services</x:v>
      </x:c>
      <x:c r="K247" s="2" t="str">
        <x:v>MAIN-146</x:v>
      </x:c>
    </x:row>
    <x:row r="248" ht="46" customHeight="1">
      <x:c r="A248" s="2" t="str">
        <x:v>TEN-EAF4D7735EC1</x:v>
      </x:c>
      <x:c r="B248" s="12" t="str">
        <x:v>einfochips</x:v>
      </x:c>
      <x:c r="C248" s="12" t="str">
        <x:v>CORP-0142</x:v>
      </x:c>
      <x:c r="D248" s="12" t="str">
        <x:v>Chennai</x:v>
      </x:c>
      <x:c r="E248" s="12" t="str">
        <x:v>Global Infocity Park</x:v>
      </x:c>
      <x:c r="F248" s="12" t="str">
        <x:v>55 inch LED TV</x:v>
      </x:c>
      <x:c r="G248" s="20" t="n">
        <x:v>4</x:v>
      </x:c>
      <x:c r="H248" s="12" t="str">
        <x:v>Company-listed building/campus context; workspace membership and screen access unverified</x:v>
      </x:c>
      <x:c r="I248" s="12" t="str">
        <x:v>Large enterprise</x:v>
      </x:c>
      <x:c r="J248" s="12" t="str">
        <x:v>Engineering &amp; manufacturing</x:v>
      </x:c>
      <x:c r="K248" s="2" t="str">
        <x:v>MAIN-146</x:v>
      </x:c>
    </x:row>
    <x:row r="249" ht="46" customHeight="1">
      <x:c r="A249" s="2" t="str">
        <x:v>TEN-2AFEAF10567A</x:v>
      </x:c>
      <x:c r="B249" s="12" t="str">
        <x:v>Nova Capital Advisors Private Limited</x:v>
      </x:c>
      <x:c r="C249" s="12" t="str">
        <x:v>CORP-0144</x:v>
      </x:c>
      <x:c r="D249" s="12" t="str">
        <x:v>Chennai</x:v>
      </x:c>
      <x:c r="E249" s="12" t="str">
        <x:v>Kochar Globe Tech Park</x:v>
      </x:c>
      <x:c r="F249" s="12" t="str">
        <x:v>43 inch LED TV</x:v>
      </x:c>
      <x:c r="G249" s="20" t="n">
        <x:v>4</x:v>
      </x:c>
      <x:c r="H249" s="12" t="str">
        <x:v>Campus/portfolio roster; individual building occupancy unverified</x:v>
      </x:c>
      <x:c r="I249" s="12" t="str">
        <x:v>Small-scale prospects</x:v>
      </x:c>
      <x:c r="J249" s="12" t="str">
        <x:v>Finance &amp; insurance</x:v>
      </x:c>
      <x:c r="K249" s="2" t="str">
        <x:v>MAIN-148</x:v>
      </x:c>
    </x:row>
    <x:row r="250" ht="46" customHeight="1">
      <x:c r="A250" s="2" t="str">
        <x:v>TEN-3762CDCBB25B</x:v>
      </x:c>
      <x:c r="B250" s="12" t="str">
        <x:v>TECHFULLY PVT LTD</x:v>
      </x:c>
      <x:c r="C250" s="12" t="str">
        <x:v>CORP-0144</x:v>
      </x:c>
      <x:c r="D250" s="12" t="str">
        <x:v>Chennai</x:v>
      </x:c>
      <x:c r="E250" s="12" t="str">
        <x:v>Kochar Globe Tech Park</x:v>
      </x:c>
      <x:c r="F250" s="12" t="str">
        <x:v>43 inch LED TV</x:v>
      </x:c>
      <x:c r="G250" s="20" t="n">
        <x:v>4</x:v>
      </x:c>
      <x:c r="H250" s="12" t="str">
        <x:v>Campus/portfolio roster; individual building occupancy unverified</x:v>
      </x:c>
      <x:c r="I250" s="12" t="str">
        <x:v>Mixed business audience</x:v>
      </x:c>
      <x:c r="J250" s="12" t="str">
        <x:v>Unresolved</x:v>
      </x:c>
      <x:c r="K250" s="2" t="str">
        <x:v>MAIN-148</x:v>
      </x:c>
    </x:row>
    <x:row r="251" ht="46" customHeight="1">
      <x:c r="A251" s="2" t="str">
        <x:v>TEN-55920F87BD83</x:v>
      </x:c>
      <x:c r="B251" s="12" t="str">
        <x:v>BDO India LLP</x:v>
      </x:c>
      <x:c r="C251" s="12" t="str">
        <x:v>CORP-0144</x:v>
      </x:c>
      <x:c r="D251" s="12" t="str">
        <x:v>Chennai</x:v>
      </x:c>
      <x:c r="E251" s="12" t="str">
        <x:v>Kochar Globe Tech Park</x:v>
      </x:c>
      <x:c r="F251" s="12" t="str">
        <x:v>43 inch LED TV</x:v>
      </x:c>
      <x:c r="G251" s="20" t="n">
        <x:v>4</x:v>
      </x:c>
      <x:c r="H251" s="12" t="str">
        <x:v>Campus/portfolio roster; individual building occupancy unverified</x:v>
      </x:c>
      <x:c r="I251" s="12" t="str">
        <x:v>Mixed business audience</x:v>
      </x:c>
      <x:c r="J251" s="12" t="str">
        <x:v>Professional services</x:v>
      </x:c>
      <x:c r="K251" s="2" t="str">
        <x:v>MAIN-148</x:v>
      </x:c>
    </x:row>
    <x:row r="252" ht="46" customHeight="1">
      <x:c r="A252" s="2" t="str">
        <x:v>TEN-58C8E75727F0</x:v>
      </x:c>
      <x:c r="B252" s="12" t="str">
        <x:v>JSW Group Office</x:v>
      </x:c>
      <x:c r="C252" s="12" t="str">
        <x:v>CORP-0144</x:v>
      </x:c>
      <x:c r="D252" s="12" t="str">
        <x:v>Chennai</x:v>
      </x:c>
      <x:c r="E252" s="12" t="str">
        <x:v>Kochar Globe Tech Park</x:v>
      </x:c>
      <x:c r="F252" s="12" t="str">
        <x:v>43 inch LED TV</x:v>
      </x:c>
      <x:c r="G252" s="20" t="n">
        <x:v>4</x:v>
      </x:c>
      <x:c r="H252" s="12" t="str">
        <x:v>Campus/portfolio roster; individual building occupancy unverified</x:v>
      </x:c>
      <x:c r="I252" s="12" t="str">
        <x:v>Mixed business audience</x:v>
      </x:c>
      <x:c r="J252" s="12" t="str">
        <x:v>Engineering &amp; manufacturing</x:v>
      </x:c>
      <x:c r="K252" s="2" t="str">
        <x:v>MAIN-148</x:v>
      </x:c>
    </x:row>
    <x:row r="253" ht="46" customHeight="1">
      <x:c r="A253" s="2" t="str">
        <x:v>TEN-61616DAE58CF</x:v>
      </x:c>
      <x:c r="B253" s="12" t="str">
        <x:v>Wheelocity Fresh Pvt Ltd</x:v>
      </x:c>
      <x:c r="C253" s="12" t="str">
        <x:v>CORP-0144</x:v>
      </x:c>
      <x:c r="D253" s="12" t="str">
        <x:v>Chennai</x:v>
      </x:c>
      <x:c r="E253" s="12" t="str">
        <x:v>Kochar Globe Tech Park</x:v>
      </x:c>
      <x:c r="F253" s="12" t="str">
        <x:v>43 inch LED TV</x:v>
      </x:c>
      <x:c r="G253" s="20" t="n">
        <x:v>4</x:v>
      </x:c>
      <x:c r="H253" s="12" t="str">
        <x:v>Campus/portfolio roster; individual building occupancy unverified</x:v>
      </x:c>
      <x:c r="I253" s="12" t="str">
        <x:v>Medium-scale prospects</x:v>
      </x:c>
      <x:c r="J253" s="12" t="str">
        <x:v>Trade, consumer &amp; logistics</x:v>
      </x:c>
      <x:c r="K253" s="2" t="str">
        <x:v>MAIN-148</x:v>
      </x:c>
    </x:row>
    <x:row r="254" ht="46" customHeight="1">
      <x:c r="A254" s="2" t="str">
        <x:v>TEN-B4C545A10172</x:v>
      </x:c>
      <x:c r="B254" s="12" t="str">
        <x:v>Keyence India Pvt Ltd</x:v>
      </x:c>
      <x:c r="C254" s="12" t="str">
        <x:v>CORP-0144</x:v>
      </x:c>
      <x:c r="D254" s="12" t="str">
        <x:v>Chennai</x:v>
      </x:c>
      <x:c r="E254" s="12" t="str">
        <x:v>Kochar Globe Tech Park</x:v>
      </x:c>
      <x:c r="F254" s="12" t="str">
        <x:v>43 inch LED TV</x:v>
      </x:c>
      <x:c r="G254" s="20" t="n">
        <x:v>4</x:v>
      </x:c>
      <x:c r="H254" s="12" t="str">
        <x:v>Campus/portfolio roster; individual building occupancy unverified</x:v>
      </x:c>
      <x:c r="I254" s="12" t="str">
        <x:v>Mixed business audience</x:v>
      </x:c>
      <x:c r="J254" s="12" t="str">
        <x:v>Engineering &amp; manufacturing</x:v>
      </x:c>
      <x:c r="K254" s="2" t="str">
        <x:v>MAIN-148</x:v>
      </x:c>
    </x:row>
    <x:row r="255" ht="46" customHeight="1">
      <x:c r="A255" s="2" t="str">
        <x:v>TEN-BB3DCEEAA381</x:v>
      </x:c>
      <x:c r="B255" s="12" t="str">
        <x:v>Software AG Chennai Development Center</x:v>
      </x:c>
      <x:c r="C255" s="12" t="str">
        <x:v>CORP-0144</x:v>
      </x:c>
      <x:c r="D255" s="12" t="str">
        <x:v>Chennai</x:v>
      </x:c>
      <x:c r="E255" s="12" t="str">
        <x:v>Kochar Globe Tech Park</x:v>
      </x:c>
      <x:c r="F255" s="12" t="str">
        <x:v>43 inch LED TV</x:v>
      </x:c>
      <x:c r="G255" s="20" t="n">
        <x:v>4</x:v>
      </x:c>
      <x:c r="H255" s="12" t="str">
        <x:v>Campus/portfolio roster; individual building occupancy unverified</x:v>
      </x:c>
      <x:c r="I255" s="12" t="str">
        <x:v>Mixed business audience</x:v>
      </x:c>
      <x:c r="J255" s="12" t="str">
        <x:v>IT &amp; digital</x:v>
      </x:c>
      <x:c r="K255" s="2" t="str">
        <x:v>MAIN-148</x:v>
      </x:c>
    </x:row>
    <x:row r="256" ht="46" customHeight="1">
      <x:c r="A256" s="2" t="str">
        <x:v>TEN-F0694C6E2DE4</x:v>
      </x:c>
      <x:c r="B256" s="12" t="str">
        <x:v>Freight Systems Limited</x:v>
      </x:c>
      <x:c r="C256" s="12" t="str">
        <x:v>CORP-0144</x:v>
      </x:c>
      <x:c r="D256" s="12" t="str">
        <x:v>Chennai</x:v>
      </x:c>
      <x:c r="E256" s="12" t="str">
        <x:v>Kochar Globe Tech Park</x:v>
      </x:c>
      <x:c r="F256" s="12" t="str">
        <x:v>43 inch LED TV</x:v>
      </x:c>
      <x:c r="G256" s="20" t="n">
        <x:v>4</x:v>
      </x:c>
      <x:c r="H256" s="12" t="str">
        <x:v>Campus/portfolio roster; individual building occupancy unverified</x:v>
      </x:c>
      <x:c r="I256" s="12" t="str">
        <x:v>Medium-scale prospects</x:v>
      </x:c>
      <x:c r="J256" s="12" t="str">
        <x:v>Trade, consumer &amp; logistics</x:v>
      </x:c>
      <x:c r="K256" s="2" t="str">
        <x:v>MAIN-148</x:v>
      </x:c>
    </x:row>
    <x:row r="257" ht="46" customHeight="1">
      <x:c r="A257" s="2" t="str">
        <x:v>TEN-2AFEAF10567A</x:v>
      </x:c>
      <x:c r="B257" s="12" t="str">
        <x:v>Nova Capital Advisors Private Limited</x:v>
      </x:c>
      <x:c r="C257" s="12" t="str">
        <x:v>CORP-0145</x:v>
      </x:c>
      <x:c r="D257" s="12" t="str">
        <x:v>Chennai</x:v>
      </x:c>
      <x:c r="E257" s="12" t="str">
        <x:v>Kochar Globe Tech Park (Pod Screens)</x:v>
      </x:c>
      <x:c r="F257" s="12" t="str">
        <x:v>43 inch LED TV</x:v>
      </x:c>
      <x:c r="G257" s="20" t="n">
        <x:v>2</x:v>
      </x:c>
      <x:c r="H257" s="12" t="str">
        <x:v>Campus/portfolio roster; individual building occupancy unverified</x:v>
      </x:c>
      <x:c r="I257" s="12" t="str">
        <x:v>Small-scale prospects</x:v>
      </x:c>
      <x:c r="J257" s="12" t="str">
        <x:v>Finance &amp; insurance</x:v>
      </x:c>
      <x:c r="K257" s="2" t="str">
        <x:v>MAIN-149</x:v>
      </x:c>
    </x:row>
    <x:row r="258" ht="46" customHeight="1">
      <x:c r="A258" s="2" t="str">
        <x:v>TEN-3762CDCBB25B</x:v>
      </x:c>
      <x:c r="B258" s="12" t="str">
        <x:v>TECHFULLY PVT LTD</x:v>
      </x:c>
      <x:c r="C258" s="12" t="str">
        <x:v>CORP-0145</x:v>
      </x:c>
      <x:c r="D258" s="12" t="str">
        <x:v>Chennai</x:v>
      </x:c>
      <x:c r="E258" s="12" t="str">
        <x:v>Kochar Globe Tech Park (Pod Screens)</x:v>
      </x:c>
      <x:c r="F258" s="12" t="str">
        <x:v>43 inch LED TV</x:v>
      </x:c>
      <x:c r="G258" s="20" t="n">
        <x:v>2</x:v>
      </x:c>
      <x:c r="H258" s="12" t="str">
        <x:v>Campus/portfolio roster; individual building occupancy unverified</x:v>
      </x:c>
      <x:c r="I258" s="12" t="str">
        <x:v>Mixed business audience</x:v>
      </x:c>
      <x:c r="J258" s="12" t="str">
        <x:v>Unresolved</x:v>
      </x:c>
      <x:c r="K258" s="2" t="str">
        <x:v>MAIN-149</x:v>
      </x:c>
    </x:row>
    <x:row r="259" ht="46" customHeight="1">
      <x:c r="A259" s="2" t="str">
        <x:v>TEN-55920F87BD83</x:v>
      </x:c>
      <x:c r="B259" s="12" t="str">
        <x:v>BDO India LLP</x:v>
      </x:c>
      <x:c r="C259" s="12" t="str">
        <x:v>CORP-0145</x:v>
      </x:c>
      <x:c r="D259" s="12" t="str">
        <x:v>Chennai</x:v>
      </x:c>
      <x:c r="E259" s="12" t="str">
        <x:v>Kochar Globe Tech Park (Pod Screens)</x:v>
      </x:c>
      <x:c r="F259" s="12" t="str">
        <x:v>43 inch LED TV</x:v>
      </x:c>
      <x:c r="G259" s="20" t="n">
        <x:v>2</x:v>
      </x:c>
      <x:c r="H259" s="12" t="str">
        <x:v>Campus/portfolio roster; individual building occupancy unverified</x:v>
      </x:c>
      <x:c r="I259" s="12" t="str">
        <x:v>Mixed business audience</x:v>
      </x:c>
      <x:c r="J259" s="12" t="str">
        <x:v>Professional services</x:v>
      </x:c>
      <x:c r="K259" s="2" t="str">
        <x:v>MAIN-149</x:v>
      </x:c>
    </x:row>
    <x:row r="260" ht="46" customHeight="1">
      <x:c r="A260" s="2" t="str">
        <x:v>TEN-58C8E75727F0</x:v>
      </x:c>
      <x:c r="B260" s="12" t="str">
        <x:v>JSW Group Office</x:v>
      </x:c>
      <x:c r="C260" s="12" t="str">
        <x:v>CORP-0145</x:v>
      </x:c>
      <x:c r="D260" s="12" t="str">
        <x:v>Chennai</x:v>
      </x:c>
      <x:c r="E260" s="12" t="str">
        <x:v>Kochar Globe Tech Park (Pod Screens)</x:v>
      </x:c>
      <x:c r="F260" s="12" t="str">
        <x:v>43 inch LED TV</x:v>
      </x:c>
      <x:c r="G260" s="20" t="n">
        <x:v>2</x:v>
      </x:c>
      <x:c r="H260" s="12" t="str">
        <x:v>Campus/portfolio roster; individual building occupancy unverified</x:v>
      </x:c>
      <x:c r="I260" s="12" t="str">
        <x:v>Mixed business audience</x:v>
      </x:c>
      <x:c r="J260" s="12" t="str">
        <x:v>Engineering &amp; manufacturing</x:v>
      </x:c>
      <x:c r="K260" s="2" t="str">
        <x:v>MAIN-149</x:v>
      </x:c>
    </x:row>
    <x:row r="261" ht="46" customHeight="1">
      <x:c r="A261" s="2" t="str">
        <x:v>TEN-61616DAE58CF</x:v>
      </x:c>
      <x:c r="B261" s="12" t="str">
        <x:v>Wheelocity Fresh Pvt Ltd</x:v>
      </x:c>
      <x:c r="C261" s="12" t="str">
        <x:v>CORP-0145</x:v>
      </x:c>
      <x:c r="D261" s="12" t="str">
        <x:v>Chennai</x:v>
      </x:c>
      <x:c r="E261" s="12" t="str">
        <x:v>Kochar Globe Tech Park (Pod Screens)</x:v>
      </x:c>
      <x:c r="F261" s="12" t="str">
        <x:v>43 inch LED TV</x:v>
      </x:c>
      <x:c r="G261" s="20" t="n">
        <x:v>2</x:v>
      </x:c>
      <x:c r="H261" s="12" t="str">
        <x:v>Campus/portfolio roster; individual building occupancy unverified</x:v>
      </x:c>
      <x:c r="I261" s="12" t="str">
        <x:v>Medium-scale prospects</x:v>
      </x:c>
      <x:c r="J261" s="12" t="str">
        <x:v>Trade, consumer &amp; logistics</x:v>
      </x:c>
      <x:c r="K261" s="2" t="str">
        <x:v>MAIN-149</x:v>
      </x:c>
    </x:row>
    <x:row r="262" ht="46" customHeight="1">
      <x:c r="A262" s="2" t="str">
        <x:v>TEN-B4C545A10172</x:v>
      </x:c>
      <x:c r="B262" s="12" t="str">
        <x:v>Keyence India Pvt Ltd</x:v>
      </x:c>
      <x:c r="C262" s="12" t="str">
        <x:v>CORP-0145</x:v>
      </x:c>
      <x:c r="D262" s="12" t="str">
        <x:v>Chennai</x:v>
      </x:c>
      <x:c r="E262" s="12" t="str">
        <x:v>Kochar Globe Tech Park (Pod Screens)</x:v>
      </x:c>
      <x:c r="F262" s="12" t="str">
        <x:v>43 inch LED TV</x:v>
      </x:c>
      <x:c r="G262" s="20" t="n">
        <x:v>2</x:v>
      </x:c>
      <x:c r="H262" s="12" t="str">
        <x:v>Campus/portfolio roster; individual building occupancy unverified</x:v>
      </x:c>
      <x:c r="I262" s="12" t="str">
        <x:v>Mixed business audience</x:v>
      </x:c>
      <x:c r="J262" s="12" t="str">
        <x:v>Engineering &amp; manufacturing</x:v>
      </x:c>
      <x:c r="K262" s="2" t="str">
        <x:v>MAIN-149</x:v>
      </x:c>
    </x:row>
    <x:row r="263" ht="46" customHeight="1">
      <x:c r="A263" s="2" t="str">
        <x:v>TEN-BB3DCEEAA381</x:v>
      </x:c>
      <x:c r="B263" s="12" t="str">
        <x:v>Software AG Chennai Development Center</x:v>
      </x:c>
      <x:c r="C263" s="12" t="str">
        <x:v>CORP-0145</x:v>
      </x:c>
      <x:c r="D263" s="12" t="str">
        <x:v>Chennai</x:v>
      </x:c>
      <x:c r="E263" s="12" t="str">
        <x:v>Kochar Globe Tech Park (Pod Screens)</x:v>
      </x:c>
      <x:c r="F263" s="12" t="str">
        <x:v>43 inch LED TV</x:v>
      </x:c>
      <x:c r="G263" s="20" t="n">
        <x:v>2</x:v>
      </x:c>
      <x:c r="H263" s="12" t="str">
        <x:v>Campus/portfolio roster; individual building occupancy unverified</x:v>
      </x:c>
      <x:c r="I263" s="12" t="str">
        <x:v>Mixed business audience</x:v>
      </x:c>
      <x:c r="J263" s="12" t="str">
        <x:v>IT &amp; digital</x:v>
      </x:c>
      <x:c r="K263" s="2" t="str">
        <x:v>MAIN-149</x:v>
      </x:c>
    </x:row>
    <x:row r="264" ht="46" customHeight="1">
      <x:c r="A264" s="2" t="str">
        <x:v>TEN-E0E2154DC268</x:v>
      </x:c>
      <x:c r="B264" s="12" t="str">
        <x:v>HYUNDAI AutoEver India Pvt. Ltd</x:v>
      </x:c>
      <x:c r="C264" s="12" t="str">
        <x:v>CORP-0145</x:v>
      </x:c>
      <x:c r="D264" s="12" t="str">
        <x:v>Chennai</x:v>
      </x:c>
      <x:c r="E264" s="12" t="str">
        <x:v>Kochar Globe Tech Park (Pod Screens)</x:v>
      </x:c>
      <x:c r="F264" s="12" t="str">
        <x:v>43 inch LED TV</x:v>
      </x:c>
      <x:c r="G264" s="20" t="n">
        <x:v>2</x:v>
      </x:c>
      <x:c r="H264" s="12" t="str">
        <x:v>Campus/portfolio roster; individual building occupancy unverified</x:v>
      </x:c>
      <x:c r="I264" s="12" t="str">
        <x:v>Mixed business audience</x:v>
      </x:c>
      <x:c r="J264" s="12" t="str">
        <x:v>IT &amp; digital</x:v>
      </x:c>
      <x:c r="K264" s="2" t="str">
        <x:v>MAIN-149</x:v>
      </x:c>
    </x:row>
    <x:row r="265" ht="46" customHeight="1">
      <x:c r="A265" s="2" t="str">
        <x:v>TEN-03226AD79BD1</x:v>
      </x:c>
      <x:c r="B265" s="12" t="str">
        <x:v>PharmEasy</x:v>
      </x:c>
      <x:c r="C265" s="12" t="str">
        <x:v>CORP-0011</x:v>
      </x:c>
      <x:c r="D265" s="12" t="str">
        <x:v>Bengaluru</x:v>
      </x:c>
      <x:c r="E265" s="12" t="str">
        <x:v>Awfis - Prestige Blue Chip</x:v>
      </x:c>
      <x:c r="F265" s="12" t="str">
        <x:v>32 inch LED TV</x:v>
      </x:c>
      <x:c r="G265" s="20" t="n">
        <x:v>1</x:v>
      </x:c>
      <x:c r="H265" s="12" t="str">
        <x:v>Inventory-listed building/workspace context; current occupancy and screen access unverified</x:v>
      </x:c>
      <x:c r="I265" s="12" t="str">
        <x:v>Mixed business audience</x:v>
      </x:c>
      <x:c r="J265" s="12" t="str">
        <x:v>Healthcare &amp; life sciences</x:v>
      </x:c>
      <x:c r="K265" s="2" t="str">
        <x:v>MAIN-015</x:v>
      </x:c>
    </x:row>
    <x:row r="266" ht="46" customHeight="1">
      <x:c r="A266" s="2" t="str">
        <x:v>TEN-2E92046B6F07</x:v>
      </x:c>
      <x:c r="B266" s="12" t="str">
        <x:v>Synopsys</x:v>
      </x:c>
      <x:c r="C266" s="12" t="str">
        <x:v>CORP-0011</x:v>
      </x:c>
      <x:c r="D266" s="12" t="str">
        <x:v>Bengaluru</x:v>
      </x:c>
      <x:c r="E266" s="12" t="str">
        <x:v>Awfis - Prestige Blue Chip</x:v>
      </x:c>
      <x:c r="F266" s="12" t="str">
        <x:v>32 inch LED TV</x:v>
      </x:c>
      <x:c r="G266" s="20" t="n">
        <x:v>1</x:v>
      </x:c>
      <x:c r="H266" s="12" t="str">
        <x:v>Inventory-listed building/workspace context; current occupancy and screen access unverified</x:v>
      </x:c>
      <x:c r="I266" s="12" t="str">
        <x:v>Mixed business audience</x:v>
      </x:c>
      <x:c r="J266" s="12" t="str">
        <x:v>Engineering &amp; manufacturing</x:v>
      </x:c>
      <x:c r="K266" s="2" t="str">
        <x:v>MAIN-015</x:v>
      </x:c>
    </x:row>
    <x:row r="267" ht="46" customHeight="1">
      <x:c r="A267" s="2" t="str">
        <x:v>TEN-363435ED1329</x:v>
      </x:c>
      <x:c r="B267" s="12" t="str">
        <x:v>Collabera</x:v>
      </x:c>
      <x:c r="C267" s="12" t="str">
        <x:v>CORP-0011</x:v>
      </x:c>
      <x:c r="D267" s="12" t="str">
        <x:v>Bengaluru</x:v>
      </x:c>
      <x:c r="E267" s="12" t="str">
        <x:v>Awfis - Prestige Blue Chip</x:v>
      </x:c>
      <x:c r="F267" s="12" t="str">
        <x:v>32 inch LED TV</x:v>
      </x:c>
      <x:c r="G267" s="20" t="n">
        <x:v>1</x:v>
      </x:c>
      <x:c r="H267" s="12" t="str">
        <x:v>Inventory-listed building/workspace context; current occupancy and screen access unverified</x:v>
      </x:c>
      <x:c r="I267" s="12" t="str">
        <x:v>Mixed business audience</x:v>
      </x:c>
      <x:c r="J267" s="12" t="str">
        <x:v>Professional services</x:v>
      </x:c>
      <x:c r="K267" s="2" t="str">
        <x:v>MAIN-015</x:v>
      </x:c>
    </x:row>
    <x:row r="268" ht="46" customHeight="1">
      <x:c r="A268" s="2" t="str">
        <x:v>TEN-3DA83F161DB1</x:v>
      </x:c>
      <x:c r="B268" s="12" t="str">
        <x:v>QuadGen Technology</x:v>
      </x:c>
      <x:c r="C268" s="12" t="str">
        <x:v>CORP-0011</x:v>
      </x:c>
      <x:c r="D268" s="12" t="str">
        <x:v>Bengaluru</x:v>
      </x:c>
      <x:c r="E268" s="12" t="str">
        <x:v>Awfis - Prestige Blue Chip</x:v>
      </x:c>
      <x:c r="F268" s="12" t="str">
        <x:v>32 inch LED TV</x:v>
      </x:c>
      <x:c r="G268" s="20" t="n">
        <x:v>1</x:v>
      </x:c>
      <x:c r="H268" s="12" t="str">
        <x:v>Inventory-listed building/workspace context; current occupancy and screen access unverified</x:v>
      </x:c>
      <x:c r="I268" s="12" t="str">
        <x:v>Mixed business audience</x:v>
      </x:c>
      <x:c r="J268" s="12" t="str">
        <x:v>Unresolved</x:v>
      </x:c>
      <x:c r="K268" s="2" t="str">
        <x:v>MAIN-015</x:v>
      </x:c>
    </x:row>
    <x:row r="269" ht="46" customHeight="1">
      <x:c r="A269" s="2" t="str">
        <x:v>TEN-593912EBC21F</x:v>
      </x:c>
      <x:c r="B269" s="12" t="str">
        <x:v>Smartstream</x:v>
      </x:c>
      <x:c r="C269" s="12" t="str">
        <x:v>CORP-0011</x:v>
      </x:c>
      <x:c r="D269" s="12" t="str">
        <x:v>Bengaluru</x:v>
      </x:c>
      <x:c r="E269" s="12" t="str">
        <x:v>Awfis - Prestige Blue Chip</x:v>
      </x:c>
      <x:c r="F269" s="12" t="str">
        <x:v>32 inch LED TV</x:v>
      </x:c>
      <x:c r="G269" s="20" t="n">
        <x:v>1</x:v>
      </x:c>
      <x:c r="H269" s="12" t="str">
        <x:v>Inventory-listed building/workspace context; current occupancy and screen access unverified</x:v>
      </x:c>
      <x:c r="I269" s="12" t="str">
        <x:v>Mixed business audience</x:v>
      </x:c>
      <x:c r="J269" s="12" t="str">
        <x:v>Finance &amp; insurance</x:v>
      </x:c>
      <x:c r="K269" s="2" t="str">
        <x:v>MAIN-015</x:v>
      </x:c>
    </x:row>
    <x:row r="270" ht="46" customHeight="1">
      <x:c r="A270" s="2" t="str">
        <x:v>TEN-5F9DB4EAC423</x:v>
      </x:c>
      <x:c r="B270" s="12" t="str">
        <x:v>Raja Group</x:v>
      </x:c>
      <x:c r="C270" s="12" t="str">
        <x:v>CORP-0011</x:v>
      </x:c>
      <x:c r="D270" s="12" t="str">
        <x:v>Bengaluru</x:v>
      </x:c>
      <x:c r="E270" s="12" t="str">
        <x:v>Awfis - Prestige Blue Chip</x:v>
      </x:c>
      <x:c r="F270" s="12" t="str">
        <x:v>32 inch LED TV</x:v>
      </x:c>
      <x:c r="G270" s="20" t="n">
        <x:v>1</x:v>
      </x:c>
      <x:c r="H270" s="12" t="str">
        <x:v>Inventory-listed building/workspace context; current occupancy and screen access unverified</x:v>
      </x:c>
      <x:c r="I270" s="12" t="str">
        <x:v>Mixed business audience</x:v>
      </x:c>
      <x:c r="J270" s="12" t="str">
        <x:v>Unresolved</x:v>
      </x:c>
      <x:c r="K270" s="2" t="str">
        <x:v>MAIN-015</x:v>
      </x:c>
    </x:row>
    <x:row r="271" ht="46" customHeight="1">
      <x:c r="A271" s="2" t="str">
        <x:v>TEN-C0FF93EA8927</x:v>
      </x:c>
      <x:c r="B271" s="12" t="str">
        <x:v>VI</x:v>
      </x:c>
      <x:c r="C271" s="12" t="str">
        <x:v>CORP-0011</x:v>
      </x:c>
      <x:c r="D271" s="12" t="str">
        <x:v>Bengaluru</x:v>
      </x:c>
      <x:c r="E271" s="12" t="str">
        <x:v>Awfis - Prestige Blue Chip</x:v>
      </x:c>
      <x:c r="F271" s="12" t="str">
        <x:v>32 inch LED TV</x:v>
      </x:c>
      <x:c r="G271" s="20" t="n">
        <x:v>1</x:v>
      </x:c>
      <x:c r="H271" s="12" t="str">
        <x:v>Inventory-listed building/workspace context; current occupancy and screen access unverified</x:v>
      </x:c>
      <x:c r="I271" s="12" t="str">
        <x:v>Mixed business audience</x:v>
      </x:c>
      <x:c r="J271" s="12" t="str">
        <x:v>IT &amp; digital</x:v>
      </x:c>
      <x:c r="K271" s="2" t="str">
        <x:v>MAIN-015</x:v>
      </x:c>
    </x:row>
    <x:row r="272" ht="46" customHeight="1">
      <x:c r="A272" s="2" t="str">
        <x:v>TEN-C2D4B446A44C</x:v>
      </x:c>
      <x:c r="B272" s="12" t="str">
        <x:v>ICON</x:v>
      </x:c>
      <x:c r="C272" s="12" t="str">
        <x:v>CORP-0011</x:v>
      </x:c>
      <x:c r="D272" s="12" t="str">
        <x:v>Bengaluru</x:v>
      </x:c>
      <x:c r="E272" s="12" t="str">
        <x:v>Awfis - Prestige Blue Chip</x:v>
      </x:c>
      <x:c r="F272" s="12" t="str">
        <x:v>32 inch LED TV</x:v>
      </x:c>
      <x:c r="G272" s="20" t="n">
        <x:v>1</x:v>
      </x:c>
      <x:c r="H272" s="12" t="str">
        <x:v>Inventory-listed building/workspace context; current occupancy and screen access unverified</x:v>
      </x:c>
      <x:c r="I272" s="12" t="str">
        <x:v>Mixed business audience</x:v>
      </x:c>
      <x:c r="J272" s="12" t="str">
        <x:v>Unresolved</x:v>
      </x:c>
      <x:c r="K272" s="2" t="str">
        <x:v>MAIN-015</x:v>
      </x:c>
    </x:row>
    <x:row r="273" ht="46" customHeight="1">
      <x:c r="A273" s="2" t="str">
        <x:v>TEN-C7267F9A1E45</x:v>
      </x:c>
      <x:c r="B273" s="12" t="str">
        <x:v>Ascendion</x:v>
      </x:c>
      <x:c r="C273" s="12" t="str">
        <x:v>CORP-0011</x:v>
      </x:c>
      <x:c r="D273" s="12" t="str">
        <x:v>Bengaluru</x:v>
      </x:c>
      <x:c r="E273" s="12" t="str">
        <x:v>Awfis - Prestige Blue Chip</x:v>
      </x:c>
      <x:c r="F273" s="12" t="str">
        <x:v>32 inch LED TV</x:v>
      </x:c>
      <x:c r="G273" s="20" t="n">
        <x:v>1</x:v>
      </x:c>
      <x:c r="H273" s="12" t="str">
        <x:v>Inventory-listed building/workspace context; current occupancy and screen access unverified</x:v>
      </x:c>
      <x:c r="I273" s="12" t="str">
        <x:v>Mixed business audience</x:v>
      </x:c>
      <x:c r="J273" s="12" t="str">
        <x:v>IT &amp; digital</x:v>
      </x:c>
      <x:c r="K273" s="2" t="str">
        <x:v>MAIN-015</x:v>
      </x:c>
    </x:row>
    <x:row r="274" ht="46" customHeight="1">
      <x:c r="A274" s="2" t="str">
        <x:v>TEN-EF5C70BAD0AA</x:v>
      </x:c>
      <x:c r="B274" s="12" t="str">
        <x:v>Marlabs</x:v>
      </x:c>
      <x:c r="C274" s="12" t="str">
        <x:v>CORP-0011</x:v>
      </x:c>
      <x:c r="D274" s="12" t="str">
        <x:v>Bengaluru</x:v>
      </x:c>
      <x:c r="E274" s="12" t="str">
        <x:v>Awfis - Prestige Blue Chip</x:v>
      </x:c>
      <x:c r="F274" s="12" t="str">
        <x:v>32 inch LED TV</x:v>
      </x:c>
      <x:c r="G274" s="20" t="n">
        <x:v>1</x:v>
      </x:c>
      <x:c r="H274" s="12" t="str">
        <x:v>Inventory-listed building/workspace context; current occupancy and screen access unverified</x:v>
      </x:c>
      <x:c r="I274" s="12" t="str">
        <x:v>Mixed business audience</x:v>
      </x:c>
      <x:c r="J274" s="12" t="str">
        <x:v>IT &amp; digital</x:v>
      </x:c>
      <x:c r="K274" s="2" t="str">
        <x:v>MAIN-015</x:v>
      </x:c>
    </x:row>
    <x:row r="275" ht="46" customHeight="1">
      <x:c r="A275" s="2" t="str">
        <x:v>TEN-F2743CB33EB1</x:v>
      </x:c>
      <x:c r="B275" s="12" t="str">
        <x:v>Barracuda</x:v>
      </x:c>
      <x:c r="C275" s="12" t="str">
        <x:v>CORP-0011</x:v>
      </x:c>
      <x:c r="D275" s="12" t="str">
        <x:v>Bengaluru</x:v>
      </x:c>
      <x:c r="E275" s="12" t="str">
        <x:v>Awfis - Prestige Blue Chip</x:v>
      </x:c>
      <x:c r="F275" s="12" t="str">
        <x:v>32 inch LED TV</x:v>
      </x:c>
      <x:c r="G275" s="20" t="n">
        <x:v>1</x:v>
      </x:c>
      <x:c r="H275" s="12" t="str">
        <x:v>Inventory-listed building/workspace context; current occupancy and screen access unverified</x:v>
      </x:c>
      <x:c r="I275" s="12" t="str">
        <x:v>Mixed business audience</x:v>
      </x:c>
      <x:c r="J275" s="12" t="str">
        <x:v>IT &amp; digital</x:v>
      </x:c>
      <x:c r="K275" s="2" t="str">
        <x:v>MAIN-015</x:v>
      </x:c>
    </x:row>
    <x:row r="276" ht="46" customHeight="1">
      <x:c r="A276" s="2" t="str">
        <x:v>TEN-0392C3B9EE62</x:v>
      </x:c>
      <x:c r="B276" s="12" t="str">
        <x:v>Konecranes</x:v>
      </x:c>
      <x:c r="C276" s="12" t="str">
        <x:v>CORP-0146</x:v>
      </x:c>
      <x:c r="D276" s="12" t="str">
        <x:v>Chennai</x:v>
      </x:c>
      <x:c r="E276" s="12" t="str">
        <x:v>Millenia Business Park 2</x:v>
      </x:c>
      <x:c r="F276" s="12" t="str">
        <x:v>43 inch LED TV</x:v>
      </x:c>
      <x:c r="G276" s="20" t="n">
        <x:v>2</x:v>
      </x:c>
      <x:c r="H276" s="12" t="str">
        <x:v>Inventory-listed building/workspace context; current occupancy and screen access unverified</x:v>
      </x:c>
      <x:c r="I276" s="12" t="str">
        <x:v>Mixed business audience</x:v>
      </x:c>
      <x:c r="J276" s="12" t="str">
        <x:v>Engineering &amp; manufacturing</x:v>
      </x:c>
      <x:c r="K276" s="2" t="str">
        <x:v>MAIN-150</x:v>
      </x:c>
    </x:row>
    <x:row r="277" ht="46" customHeight="1">
      <x:c r="A277" s="2" t="str">
        <x:v>TEN-04128772C484</x:v>
      </x:c>
      <x:c r="B277" s="12" t="str">
        <x:v>KK winds</x:v>
      </x:c>
      <x:c r="C277" s="12" t="str">
        <x:v>CORP-0146</x:v>
      </x:c>
      <x:c r="D277" s="12" t="str">
        <x:v>Chennai</x:v>
      </x:c>
      <x:c r="E277" s="12" t="str">
        <x:v>Millenia Business Park 2</x:v>
      </x:c>
      <x:c r="F277" s="12" t="str">
        <x:v>43 inch LED TV</x:v>
      </x:c>
      <x:c r="G277" s="20" t="n">
        <x:v>2</x:v>
      </x:c>
      <x:c r="H277" s="12" t="str">
        <x:v>Inventory-listed building/workspace context; current occupancy and screen access unverified</x:v>
      </x:c>
      <x:c r="I277" s="12" t="str">
        <x:v>Medium-scale prospects</x:v>
      </x:c>
      <x:c r="J277" s="12" t="str">
        <x:v>Engineering &amp; manufacturing</x:v>
      </x:c>
      <x:c r="K277" s="2" t="str">
        <x:v>MAIN-150</x:v>
      </x:c>
    </x:row>
    <x:row r="278" ht="46" customHeight="1">
      <x:c r="A278" s="2" t="str">
        <x:v>TEN-0B724CA91807</x:v>
      </x:c>
      <x:c r="B278" s="12" t="str">
        <x:v>Dalet India Private Limited</x:v>
      </x:c>
      <x:c r="C278" s="12" t="str">
        <x:v>CORP-0146</x:v>
      </x:c>
      <x:c r="D278" s="12" t="str">
        <x:v>Chennai</x:v>
      </x:c>
      <x:c r="E278" s="12" t="str">
        <x:v>Millenia Business Park 2</x:v>
      </x:c>
      <x:c r="F278" s="12" t="str">
        <x:v>43 inch LED TV</x:v>
      </x:c>
      <x:c r="G278" s="20" t="n">
        <x:v>2</x:v>
      </x:c>
      <x:c r="H278" s="12" t="str">
        <x:v>Inventory-listed building/workspace context; current occupancy and screen access unverified</x:v>
      </x:c>
      <x:c r="I278" s="12" t="str">
        <x:v>Mixed business audience</x:v>
      </x:c>
      <x:c r="J278" s="12" t="str">
        <x:v>IT &amp; digital</x:v>
      </x:c>
      <x:c r="K278" s="2" t="str">
        <x:v>MAIN-150</x:v>
      </x:c>
    </x:row>
    <x:row r="279" ht="46" customHeight="1">
      <x:c r="A279" s="2" t="str">
        <x:v>TEN-1D4C6B5EB3AF</x:v>
      </x:c>
      <x:c r="B279" s="12" t="str">
        <x:v>Ilink Digital</x:v>
      </x:c>
      <x:c r="C279" s="12" t="str">
        <x:v>CORP-0146</x:v>
      </x:c>
      <x:c r="D279" s="12" t="str">
        <x:v>Chennai</x:v>
      </x:c>
      <x:c r="E279" s="12" t="str">
        <x:v>Millenia Business Park 2</x:v>
      </x:c>
      <x:c r="F279" s="12" t="str">
        <x:v>43 inch LED TV</x:v>
      </x:c>
      <x:c r="G279" s="20" t="n">
        <x:v>2</x:v>
      </x:c>
      <x:c r="H279" s="12" t="str">
        <x:v>Inventory-listed building/workspace context; current occupancy and screen access unverified</x:v>
      </x:c>
      <x:c r="I279" s="12" t="str">
        <x:v>Small-scale prospects</x:v>
      </x:c>
      <x:c r="J279" s="12" t="str">
        <x:v>IT &amp; digital</x:v>
      </x:c>
      <x:c r="K279" s="2" t="str">
        <x:v>MAIN-150</x:v>
      </x:c>
    </x:row>
    <x:row r="280" ht="46" customHeight="1">
      <x:c r="A280" s="2" t="str">
        <x:v>TEN-33BF340ECE27</x:v>
      </x:c>
      <x:c r="B280" s="12" t="str">
        <x:v>Shipnet Software Private Limited</x:v>
      </x:c>
      <x:c r="C280" s="12" t="str">
        <x:v>CORP-0146</x:v>
      </x:c>
      <x:c r="D280" s="12" t="str">
        <x:v>Chennai</x:v>
      </x:c>
      <x:c r="E280" s="12" t="str">
        <x:v>Millenia Business Park 2</x:v>
      </x:c>
      <x:c r="F280" s="12" t="str">
        <x:v>43 inch LED TV</x:v>
      </x:c>
      <x:c r="G280" s="20" t="n">
        <x:v>2</x:v>
      </x:c>
      <x:c r="H280" s="12" t="str">
        <x:v>Inventory-listed building/workspace context; current occupancy and screen access unverified</x:v>
      </x:c>
      <x:c r="I280" s="12" t="str">
        <x:v>Small-scale prospects</x:v>
      </x:c>
      <x:c r="J280" s="12" t="str">
        <x:v>IT &amp; digital</x:v>
      </x:c>
      <x:c r="K280" s="2" t="str">
        <x:v>MAIN-150</x:v>
      </x:c>
    </x:row>
    <x:row r="281" ht="46" customHeight="1">
      <x:c r="A281" s="2" t="str">
        <x:v>TEN-41DC9788C660</x:v>
      </x:c>
      <x:c r="B281" s="12" t="str">
        <x:v>Dun &amp; Bradstreet</x:v>
      </x:c>
      <x:c r="C281" s="12" t="str">
        <x:v>CORP-0146</x:v>
      </x:c>
      <x:c r="D281" s="12" t="str">
        <x:v>Chennai</x:v>
      </x:c>
      <x:c r="E281" s="12" t="str">
        <x:v>Millenia Business Park 2</x:v>
      </x:c>
      <x:c r="F281" s="12" t="str">
        <x:v>43 inch LED TV</x:v>
      </x:c>
      <x:c r="G281" s="20" t="n">
        <x:v>2</x:v>
      </x:c>
      <x:c r="H281" s="12" t="str">
        <x:v>Inventory-listed building/workspace context; current occupancy and screen access unverified</x:v>
      </x:c>
      <x:c r="I281" s="12" t="str">
        <x:v>Mixed business audience</x:v>
      </x:c>
      <x:c r="J281" s="12" t="str">
        <x:v>Finance &amp; insurance</x:v>
      </x:c>
      <x:c r="K281" s="2" t="str">
        <x:v>MAIN-150</x:v>
      </x:c>
    </x:row>
    <x:row r="282" ht="46" customHeight="1">
      <x:c r="A282" s="2" t="str">
        <x:v>TEN-8BD2EBE42538</x:v>
      </x:c>
      <x:c r="B282" s="12" t="str">
        <x:v>IBS software Private Limited</x:v>
      </x:c>
      <x:c r="C282" s="12" t="str">
        <x:v>CORP-0146</x:v>
      </x:c>
      <x:c r="D282" s="12" t="str">
        <x:v>Chennai</x:v>
      </x:c>
      <x:c r="E282" s="12" t="str">
        <x:v>Millenia Business Park 2</x:v>
      </x:c>
      <x:c r="F282" s="12" t="str">
        <x:v>43 inch LED TV</x:v>
      </x:c>
      <x:c r="G282" s="20" t="n">
        <x:v>2</x:v>
      </x:c>
      <x:c r="H282" s="12" t="str">
        <x:v>Inventory-listed building/workspace context; current occupancy and screen access unverified</x:v>
      </x:c>
      <x:c r="I282" s="12" t="str">
        <x:v>Mixed business audience</x:v>
      </x:c>
      <x:c r="J282" s="12" t="str">
        <x:v>IT &amp; digital</x:v>
      </x:c>
      <x:c r="K282" s="2" t="str">
        <x:v>MAIN-150</x:v>
      </x:c>
    </x:row>
    <x:row r="283" ht="46" customHeight="1">
      <x:c r="A283" s="2" t="str">
        <x:v>TEN-ECAE75B33F0B</x:v>
      </x:c>
      <x:c r="B283" s="12" t="str">
        <x:v>AMC Bridge Technology India Private Limited</x:v>
      </x:c>
      <x:c r="C283" s="12" t="str">
        <x:v>CORP-0146</x:v>
      </x:c>
      <x:c r="D283" s="12" t="str">
        <x:v>Chennai</x:v>
      </x:c>
      <x:c r="E283" s="12" t="str">
        <x:v>Millenia Business Park 2</x:v>
      </x:c>
      <x:c r="F283" s="12" t="str">
        <x:v>43 inch LED TV</x:v>
      </x:c>
      <x:c r="G283" s="20" t="n">
        <x:v>2</x:v>
      </x:c>
      <x:c r="H283" s="12" t="str">
        <x:v>Inventory-listed building/workspace context; current occupancy and screen access unverified</x:v>
      </x:c>
      <x:c r="I283" s="12" t="str">
        <x:v>Small-scale prospects</x:v>
      </x:c>
      <x:c r="J283" s="12" t="str">
        <x:v>IT &amp; digital</x:v>
      </x:c>
      <x:c r="K283" s="2" t="str">
        <x:v>MAIN-150</x:v>
      </x:c>
    </x:row>
    <x:row r="284" ht="46" customHeight="1">
      <x:c r="A284" s="2" t="str">
        <x:v>TEN-5477F6F03C2C</x:v>
      </x:c>
      <x:c r="B284" s="12" t="str">
        <x:v>Bee Aura Tech</x:v>
      </x:c>
      <x:c r="C284" s="12" t="str">
        <x:v>CORP-0147</x:v>
      </x:c>
      <x:c r="D284" s="12" t="str">
        <x:v>Chennai</x:v>
      </x:c>
      <x:c r="E284" s="12" t="str">
        <x:v>Nucleus - Kosmo One</x:v>
      </x:c>
      <x:c r="F284" s="12" t="str">
        <x:v>55 inch LED TV</x:v>
      </x:c>
      <x:c r="G284" s="20" t="n">
        <x:v>4</x:v>
      </x:c>
      <x:c r="H284" s="12" t="str">
        <x:v>Company-listed building/campus context; workspace membership and screen access unverified</x:v>
      </x:c>
      <x:c r="I284" s="12" t="str">
        <x:v>Small-scale prospects</x:v>
      </x:c>
      <x:c r="J284" s="12" t="str">
        <x:v>IT &amp; digital</x:v>
      </x:c>
      <x:c r="K284" s="2" t="str">
        <x:v>MAIN-151</x:v>
      </x:c>
    </x:row>
    <x:row r="285" ht="46" customHeight="1">
      <x:c r="A285" s="2" t="str">
        <x:v>TEN-5F80F36FD8F7</x:v>
      </x:c>
      <x:c r="B285" s="12" t="str">
        <x:v>Armsoftech Pvt Ltd</x:v>
      </x:c>
      <x:c r="C285" s="12" t="str">
        <x:v>CORP-0147</x:v>
      </x:c>
      <x:c r="D285" s="12" t="str">
        <x:v>Chennai</x:v>
      </x:c>
      <x:c r="E285" s="12" t="str">
        <x:v>Nucleus - Kosmo One</x:v>
      </x:c>
      <x:c r="F285" s="12" t="str">
        <x:v>55 inch LED TV</x:v>
      </x:c>
      <x:c r="G285" s="20" t="n">
        <x:v>4</x:v>
      </x:c>
      <x:c r="H285" s="12" t="str">
        <x:v>Company-listed building/campus context; workspace membership and screen access unverified</x:v>
      </x:c>
      <x:c r="I285" s="12" t="str">
        <x:v>Small-scale prospects</x:v>
      </x:c>
      <x:c r="J285" s="12" t="str">
        <x:v>IT &amp; digital</x:v>
      </x:c>
      <x:c r="K285" s="2" t="str">
        <x:v>MAIN-151</x:v>
      </x:c>
    </x:row>
    <x:row r="286" ht="46" customHeight="1">
      <x:c r="A286" s="2" t="str">
        <x:v>TEN-80B24726F3BE</x:v>
      </x:c>
      <x:c r="B286" s="12" t="str">
        <x:v>Antontech</x:v>
      </x:c>
      <x:c r="C286" s="12" t="str">
        <x:v>CORP-0147</x:v>
      </x:c>
      <x:c r="D286" s="12" t="str">
        <x:v>Chennai</x:v>
      </x:c>
      <x:c r="E286" s="12" t="str">
        <x:v>Nucleus - Kosmo One</x:v>
      </x:c>
      <x:c r="F286" s="12" t="str">
        <x:v>55 inch LED TV</x:v>
      </x:c>
      <x:c r="G286" s="20" t="n">
        <x:v>4</x:v>
      </x:c>
      <x:c r="H286" s="12" t="str">
        <x:v>Company-listed building/campus context; workspace membership and screen access unverified</x:v>
      </x:c>
      <x:c r="I286" s="12" t="str">
        <x:v>Mixed business audience</x:v>
      </x:c>
      <x:c r="J286" s="12" t="str">
        <x:v>Unresolved</x:v>
      </x:c>
      <x:c r="K286" s="2" t="str">
        <x:v>MAIN-151</x:v>
      </x:c>
    </x:row>
    <x:row r="287" ht="46" customHeight="1">
      <x:c r="A287" s="2" t="str">
        <x:v>TEN-A211E5F0EFE9</x:v>
      </x:c>
      <x:c r="B287" s="12" t="str">
        <x:v>KnackForge India</x:v>
      </x:c>
      <x:c r="C287" s="12" t="str">
        <x:v>CORP-0147</x:v>
      </x:c>
      <x:c r="D287" s="12" t="str">
        <x:v>Chennai</x:v>
      </x:c>
      <x:c r="E287" s="12" t="str">
        <x:v>Nucleus - Kosmo One</x:v>
      </x:c>
      <x:c r="F287" s="12" t="str">
        <x:v>55 inch LED TV</x:v>
      </x:c>
      <x:c r="G287" s="20" t="n">
        <x:v>4</x:v>
      </x:c>
      <x:c r="H287" s="12" t="str">
        <x:v>Company-listed building/campus context; workspace membership and screen access unverified</x:v>
      </x:c>
      <x:c r="I287" s="12" t="str">
        <x:v>Small-scale prospects</x:v>
      </x:c>
      <x:c r="J287" s="12" t="str">
        <x:v>IT &amp; digital</x:v>
      </x:c>
      <x:c r="K287" s="2" t="str">
        <x:v>MAIN-151</x:v>
      </x:c>
    </x:row>
    <x:row r="288" ht="46" customHeight="1">
      <x:c r="A288" s="2" t="str">
        <x:v>TEN-F2F36505A5A1</x:v>
      </x:c>
      <x:c r="B288" s="12" t="str">
        <x:v>Zenox Gas Systems Pvt Ltd</x:v>
      </x:c>
      <x:c r="C288" s="12" t="str">
        <x:v>CORP-0147</x:v>
      </x:c>
      <x:c r="D288" s="12" t="str">
        <x:v>Chennai</x:v>
      </x:c>
      <x:c r="E288" s="12" t="str">
        <x:v>Nucleus - Kosmo One</x:v>
      </x:c>
      <x:c r="F288" s="12" t="str">
        <x:v>55 inch LED TV</x:v>
      </x:c>
      <x:c r="G288" s="20" t="n">
        <x:v>4</x:v>
      </x:c>
      <x:c r="H288" s="12" t="str">
        <x:v>Company-listed building/campus context; workspace membership and screen access unverified</x:v>
      </x:c>
      <x:c r="I288" s="12" t="str">
        <x:v>Medium-scale prospects</x:v>
      </x:c>
      <x:c r="J288" s="12" t="str">
        <x:v>Engineering &amp; manufacturing</x:v>
      </x:c>
      <x:c r="K288" s="2" t="str">
        <x:v>MAIN-151</x:v>
      </x:c>
    </x:row>
    <x:row r="289" ht="46" customHeight="1">
      <x:c r="A289" s="2" t="str">
        <x:v>TEN-0A6CDB8E6C32</x:v>
      </x:c>
      <x:c r="B289" s="12" t="str">
        <x:v>Yexle Limited</x:v>
      </x:c>
      <x:c r="C289" s="12" t="str">
        <x:v>CORP-0148</x:v>
      </x:c>
      <x:c r="D289" s="12" t="str">
        <x:v>Chennai</x:v>
      </x:c>
      <x:c r="E289" s="12" t="str">
        <x:v>Olympia Cyberspace</x:v>
      </x:c>
      <x:c r="F289" s="12" t="str">
        <x:v>43 inch LED TV</x:v>
      </x:c>
      <x:c r="G289" s="20" t="n">
        <x:v>2</x:v>
      </x:c>
      <x:c r="H289" s="12" t="str">
        <x:v>Inventory-listed building/workspace context; current occupancy and screen access unverified</x:v>
      </x:c>
      <x:c r="I289" s="12" t="str">
        <x:v>Small-scale prospects</x:v>
      </x:c>
      <x:c r="J289" s="12" t="str">
        <x:v>IT &amp; digital</x:v>
      </x:c>
      <x:c r="K289" s="2" t="str">
        <x:v>MAIN-152</x:v>
      </x:c>
    </x:row>
    <x:row r="290" ht="46" customHeight="1">
      <x:c r="A290" s="2" t="str">
        <x:v>TEN-12E6D2D09383</x:v>
      </x:c>
      <x:c r="B290" s="12" t="str">
        <x:v>Pozent lab</x:v>
      </x:c>
      <x:c r="C290" s="12" t="str">
        <x:v>CORP-0148</x:v>
      </x:c>
      <x:c r="D290" s="12" t="str">
        <x:v>Chennai</x:v>
      </x:c>
      <x:c r="E290" s="12" t="str">
        <x:v>Olympia Cyberspace</x:v>
      </x:c>
      <x:c r="F290" s="12" t="str">
        <x:v>43 inch LED TV</x:v>
      </x:c>
      <x:c r="G290" s="20" t="n">
        <x:v>2</x:v>
      </x:c>
      <x:c r="H290" s="12" t="str">
        <x:v>Inventory-listed building/workspace context; current occupancy and screen access unverified</x:v>
      </x:c>
      <x:c r="I290" s="12" t="str">
        <x:v>Mixed business audience</x:v>
      </x:c>
      <x:c r="J290" s="12" t="str">
        <x:v>Unresolved</x:v>
      </x:c>
      <x:c r="K290" s="2" t="str">
        <x:v>MAIN-152</x:v>
      </x:c>
    </x:row>
    <x:row r="291" ht="46" customHeight="1">
      <x:c r="A291" s="2" t="str">
        <x:v>TEN-18DD81D8F636</x:v>
      </x:c>
      <x:c r="B291" s="12" t="str">
        <x:v>Taza Pay</x:v>
      </x:c>
      <x:c r="C291" s="12" t="str">
        <x:v>CORP-0148</x:v>
      </x:c>
      <x:c r="D291" s="12" t="str">
        <x:v>Chennai</x:v>
      </x:c>
      <x:c r="E291" s="12" t="str">
        <x:v>Olympia Cyberspace</x:v>
      </x:c>
      <x:c r="F291" s="12" t="str">
        <x:v>43 inch LED TV</x:v>
      </x:c>
      <x:c r="G291" s="20" t="n">
        <x:v>2</x:v>
      </x:c>
      <x:c r="H291" s="12" t="str">
        <x:v>Inventory-listed building/workspace context; current occupancy and screen access unverified</x:v>
      </x:c>
      <x:c r="I291" s="12" t="str">
        <x:v>Mixed business audience</x:v>
      </x:c>
      <x:c r="J291" s="12" t="str">
        <x:v>Unresolved</x:v>
      </x:c>
      <x:c r="K291" s="2" t="str">
        <x:v>MAIN-152</x:v>
      </x:c>
    </x:row>
    <x:row r="292" ht="46" customHeight="1">
      <x:c r="A292" s="2" t="str">
        <x:v>TEN-CB8CE351BDF8</x:v>
      </x:c>
      <x:c r="B292" s="12" t="str">
        <x:v>Triyam Technologie</x:v>
      </x:c>
      <x:c r="C292" s="12" t="str">
        <x:v>CORP-0148</x:v>
      </x:c>
      <x:c r="D292" s="12" t="str">
        <x:v>Chennai</x:v>
      </x:c>
      <x:c r="E292" s="12" t="str">
        <x:v>Olympia Cyberspace</x:v>
      </x:c>
      <x:c r="F292" s="12" t="str">
        <x:v>43 inch LED TV</x:v>
      </x:c>
      <x:c r="G292" s="20" t="n">
        <x:v>2</x:v>
      </x:c>
      <x:c r="H292" s="12" t="str">
        <x:v>Inventory-listed building/workspace context; current occupancy and screen access unverified</x:v>
      </x:c>
      <x:c r="I292" s="12" t="str">
        <x:v>Medium-scale prospects</x:v>
      </x:c>
      <x:c r="J292" s="12" t="str">
        <x:v>Healthcare &amp; life sciences</x:v>
      </x:c>
      <x:c r="K292" s="2" t="str">
        <x:v>MAIN-152</x:v>
      </x:c>
    </x:row>
    <x:row r="293" ht="46" customHeight="1">
      <x:c r="A293" s="2" t="str">
        <x:v>TEN-DB6C877226A2</x:v>
      </x:c>
      <x:c r="B293" s="12" t="str">
        <x:v>D4T4 - Celebrus India Pvt Ltd</x:v>
      </x:c>
      <x:c r="C293" s="12" t="str">
        <x:v>CORP-0148</x:v>
      </x:c>
      <x:c r="D293" s="12" t="str">
        <x:v>Chennai</x:v>
      </x:c>
      <x:c r="E293" s="12" t="str">
        <x:v>Olympia Cyberspace</x:v>
      </x:c>
      <x:c r="F293" s="12" t="str">
        <x:v>43 inch LED TV</x:v>
      </x:c>
      <x:c r="G293" s="20" t="n">
        <x:v>2</x:v>
      </x:c>
      <x:c r="H293" s="12" t="str">
        <x:v>Inventory-listed building/workspace context; current occupancy and screen access unverified</x:v>
      </x:c>
      <x:c r="I293" s="12" t="str">
        <x:v>Mixed business audience</x:v>
      </x:c>
      <x:c r="J293" s="12" t="str">
        <x:v>IT &amp; digital</x:v>
      </x:c>
      <x:c r="K293" s="2" t="str">
        <x:v>MAIN-152</x:v>
      </x:c>
    </x:row>
    <x:row r="294" ht="46" customHeight="1">
      <x:c r="A294" s="2" t="str">
        <x:v>TEN-DD4CB9CF52F0</x:v>
      </x:c>
      <x:c r="B294" s="12" t="str">
        <x:v>Philips</x:v>
      </x:c>
      <x:c r="C294" s="12" t="str">
        <x:v>CORP-0148</x:v>
      </x:c>
      <x:c r="D294" s="12" t="str">
        <x:v>Chennai</x:v>
      </x:c>
      <x:c r="E294" s="12" t="str">
        <x:v>Olympia Cyberspace</x:v>
      </x:c>
      <x:c r="F294" s="12" t="str">
        <x:v>43 inch LED TV</x:v>
      </x:c>
      <x:c r="G294" s="20" t="n">
        <x:v>2</x:v>
      </x:c>
      <x:c r="H294" s="12" t="str">
        <x:v>Inventory-listed building/workspace context; current occupancy and screen access unverified</x:v>
      </x:c>
      <x:c r="I294" s="12" t="str">
        <x:v>Large enterprise</x:v>
      </x:c>
      <x:c r="J294" s="12" t="str">
        <x:v>Engineering &amp; manufacturing</x:v>
      </x:c>
      <x:c r="K294" s="2" t="str">
        <x:v>MAIN-152</x:v>
      </x:c>
    </x:row>
    <x:row r="295" ht="46" customHeight="1">
      <x:c r="A295" s="2" t="str">
        <x:v>TEN-E2E08B128519</x:v>
      </x:c>
      <x:c r="B295" s="12" t="str">
        <x:v>City Plots</x:v>
      </x:c>
      <x:c r="C295" s="12" t="str">
        <x:v>CORP-0148</x:v>
      </x:c>
      <x:c r="D295" s="12" t="str">
        <x:v>Chennai</x:v>
      </x:c>
      <x:c r="E295" s="12" t="str">
        <x:v>Olympia Cyberspace</x:v>
      </x:c>
      <x:c r="F295" s="12" t="str">
        <x:v>43 inch LED TV</x:v>
      </x:c>
      <x:c r="G295" s="20" t="n">
        <x:v>2</x:v>
      </x:c>
      <x:c r="H295" s="12" t="str">
        <x:v>Inventory-listed building/workspace context; current occupancy and screen access unverified</x:v>
      </x:c>
      <x:c r="I295" s="12" t="str">
        <x:v>Small-scale prospects</x:v>
      </x:c>
      <x:c r="J295" s="12" t="str">
        <x:v>Trade, consumer &amp; logistics</x:v>
      </x:c>
      <x:c r="K295" s="2" t="str">
        <x:v>MAIN-152</x:v>
      </x:c>
    </x:row>
    <x:row r="296" ht="46" customHeight="1">
      <x:c r="A296" s="2" t="str">
        <x:v>TEN-E833260CE7B6</x:v>
      </x:c>
      <x:c r="B296" s="12" t="str">
        <x:v>Freight Systems</x:v>
      </x:c>
      <x:c r="C296" s="12" t="str">
        <x:v>CORP-0148</x:v>
      </x:c>
      <x:c r="D296" s="12" t="str">
        <x:v>Chennai</x:v>
      </x:c>
      <x:c r="E296" s="12" t="str">
        <x:v>Olympia Cyberspace</x:v>
      </x:c>
      <x:c r="F296" s="12" t="str">
        <x:v>43 inch LED TV</x:v>
      </x:c>
      <x:c r="G296" s="20" t="n">
        <x:v>2</x:v>
      </x:c>
      <x:c r="H296" s="12" t="str">
        <x:v>Inventory-listed building/workspace context; current occupancy and screen access unverified</x:v>
      </x:c>
      <x:c r="I296" s="12" t="str">
        <x:v>Small-scale prospects</x:v>
      </x:c>
      <x:c r="J296" s="12" t="str">
        <x:v>Trade, consumer &amp; logistics</x:v>
      </x:c>
      <x:c r="K296" s="2" t="str">
        <x:v>MAIN-152</x:v>
      </x:c>
    </x:row>
    <x:row r="297" ht="46" customHeight="1">
      <x:c r="A297" s="2" t="str">
        <x:v>TEN-735468BC79FE</x:v>
      </x:c>
      <x:c r="B297" s="12" t="str">
        <x:v>IBOB SCS - SF INTERNATIONAL</x:v>
      </x:c>
      <x:c r="C297" s="12" t="str">
        <x:v>CORP-0149</x:v>
      </x:c>
      <x:c r="D297" s="12" t="str">
        <x:v>Chennai</x:v>
      </x:c>
      <x:c r="E297" s="12" t="str">
        <x:v>Olympia National Tower</x:v>
      </x:c>
      <x:c r="F297" s="12" t="str">
        <x:v>43 inch LED TV</x:v>
      </x:c>
      <x:c r="G297" s="20" t="n">
        <x:v>4</x:v>
      </x:c>
      <x:c r="H297" s="12" t="str">
        <x:v>Campus/portfolio roster; individual building occupancy unverified</x:v>
      </x:c>
      <x:c r="I297" s="12" t="str">
        <x:v>Mixed business audience</x:v>
      </x:c>
      <x:c r="J297" s="12" t="str">
        <x:v>Trade, consumer &amp; logistics</x:v>
      </x:c>
      <x:c r="K297" s="2" t="str">
        <x:v>MAIN-153</x:v>
      </x:c>
    </x:row>
    <x:row r="298" ht="46" customHeight="1">
      <x:c r="A298" s="2" t="str">
        <x:v>TEN-7382C89C2DDF</x:v>
      </x:c>
      <x:c r="B298" s="12" t="str">
        <x:v>J K Enterprises</x:v>
      </x:c>
      <x:c r="C298" s="12" t="str">
        <x:v>CORP-0149</x:v>
      </x:c>
      <x:c r="D298" s="12" t="str">
        <x:v>Chennai</x:v>
      </x:c>
      <x:c r="E298" s="12" t="str">
        <x:v>Olympia National Tower</x:v>
      </x:c>
      <x:c r="F298" s="12" t="str">
        <x:v>43 inch LED TV</x:v>
      </x:c>
      <x:c r="G298" s="20" t="n">
        <x:v>4</x:v>
      </x:c>
      <x:c r="H298" s="12" t="str">
        <x:v>Campus/portfolio roster; individual building occupancy unverified</x:v>
      </x:c>
      <x:c r="I298" s="12" t="str">
        <x:v>Mixed business audience</x:v>
      </x:c>
      <x:c r="J298" s="12" t="str">
        <x:v>Unresolved</x:v>
      </x:c>
      <x:c r="K298" s="2" t="str">
        <x:v>MAIN-153</x:v>
      </x:c>
    </x:row>
    <x:row r="299" ht="46" customHeight="1">
      <x:c r="A299" s="2" t="str">
        <x:v>TEN-86EBE5471EA0</x:v>
      </x:c>
      <x:c r="B299" s="12" t="str">
        <x:v>Infiot</x:v>
      </x:c>
      <x:c r="C299" s="12" t="str">
        <x:v>CORP-0149</x:v>
      </x:c>
      <x:c r="D299" s="12" t="str">
        <x:v>Chennai</x:v>
      </x:c>
      <x:c r="E299" s="12" t="str">
        <x:v>Olympia National Tower</x:v>
      </x:c>
      <x:c r="F299" s="12" t="str">
        <x:v>43 inch LED TV</x:v>
      </x:c>
      <x:c r="G299" s="20" t="n">
        <x:v>4</x:v>
      </x:c>
      <x:c r="H299" s="12" t="str">
        <x:v>Campus/portfolio roster; individual building occupancy unverified</x:v>
      </x:c>
      <x:c r="I299" s="12" t="str">
        <x:v>Small-scale prospects</x:v>
      </x:c>
      <x:c r="J299" s="12" t="str">
        <x:v>IT &amp; digital</x:v>
      </x:c>
      <x:c r="K299" s="2" t="str">
        <x:v>MAIN-153</x:v>
      </x:c>
    </x:row>
    <x:row r="300" ht="46" customHeight="1">
      <x:c r="A300" s="2" t="str">
        <x:v>TEN-9A02EA5289C7</x:v>
      </x:c>
      <x:c r="B300" s="12" t="str">
        <x:v>EY GDS</x:v>
      </x:c>
      <x:c r="C300" s="12" t="str">
        <x:v>CORP-0149</x:v>
      </x:c>
      <x:c r="D300" s="12" t="str">
        <x:v>Chennai</x:v>
      </x:c>
      <x:c r="E300" s="12" t="str">
        <x:v>Olympia National Tower</x:v>
      </x:c>
      <x:c r="F300" s="12" t="str">
        <x:v>43 inch LED TV</x:v>
      </x:c>
      <x:c r="G300" s="20" t="n">
        <x:v>4</x:v>
      </x:c>
      <x:c r="H300" s="12" t="str">
        <x:v>Campus/portfolio roster; individual building occupancy unverified</x:v>
      </x:c>
      <x:c r="I300" s="12" t="str">
        <x:v>Large enterprise</x:v>
      </x:c>
      <x:c r="J300" s="12" t="str">
        <x:v>Professional services</x:v>
      </x:c>
      <x:c r="K300" s="2" t="str">
        <x:v>MAIN-153</x:v>
      </x:c>
    </x:row>
    <x:row r="301" ht="46" customHeight="1">
      <x:c r="A301" s="2" t="str">
        <x:v>TEN-A509A9AAC287</x:v>
      </x:c>
      <x:c r="B301" s="12" t="str">
        <x:v>Xoriant Solutions Pvt Ltd</x:v>
      </x:c>
      <x:c r="C301" s="12" t="str">
        <x:v>CORP-0149</x:v>
      </x:c>
      <x:c r="D301" s="12" t="str">
        <x:v>Chennai</x:v>
      </x:c>
      <x:c r="E301" s="12" t="str">
        <x:v>Olympia National Tower</x:v>
      </x:c>
      <x:c r="F301" s="12" t="str">
        <x:v>43 inch LED TV</x:v>
      </x:c>
      <x:c r="G301" s="20" t="n">
        <x:v>4</x:v>
      </x:c>
      <x:c r="H301" s="12" t="str">
        <x:v>Campus/portfolio roster; individual building occupancy unverified</x:v>
      </x:c>
      <x:c r="I301" s="12" t="str">
        <x:v>Large enterprise</x:v>
      </x:c>
      <x:c r="J301" s="12" t="str">
        <x:v>IT &amp; digital</x:v>
      </x:c>
      <x:c r="K301" s="2" t="str">
        <x:v>MAIN-153</x:v>
      </x:c>
    </x:row>
    <x:row r="302" ht="46" customHeight="1">
      <x:c r="A302" s="2" t="str">
        <x:v>TEN-CF31BC52344C</x:v>
      </x:c>
      <x:c r="B302" s="12" t="str">
        <x:v>FTC Solar India Pvt Ltd</x:v>
      </x:c>
      <x:c r="C302" s="12" t="str">
        <x:v>CORP-0149</x:v>
      </x:c>
      <x:c r="D302" s="12" t="str">
        <x:v>Chennai</x:v>
      </x:c>
      <x:c r="E302" s="12" t="str">
        <x:v>Olympia National Tower</x:v>
      </x:c>
      <x:c r="F302" s="12" t="str">
        <x:v>43 inch LED TV</x:v>
      </x:c>
      <x:c r="G302" s="20" t="n">
        <x:v>4</x:v>
      </x:c>
      <x:c r="H302" s="12" t="str">
        <x:v>Campus/portfolio roster; individual building occupancy unverified</x:v>
      </x:c>
      <x:c r="I302" s="12" t="str">
        <x:v>Mixed business audience</x:v>
      </x:c>
      <x:c r="J302" s="12" t="str">
        <x:v>Engineering &amp; manufacturing</x:v>
      </x:c>
      <x:c r="K302" s="2" t="str">
        <x:v>MAIN-153</x:v>
      </x:c>
    </x:row>
    <x:row r="303" ht="46" customHeight="1">
      <x:c r="A303" s="2" t="str">
        <x:v>TEN-735468BC79FE</x:v>
      </x:c>
      <x:c r="B303" s="12" t="str">
        <x:v>IBOB SCS - SF INTERNATIONAL</x:v>
      </x:c>
      <x:c r="C303" s="12" t="str">
        <x:v>CORP-0150</x:v>
      </x:c>
      <x:c r="D303" s="12" t="str">
        <x:v>Chennai</x:v>
      </x:c>
      <x:c r="E303" s="12" t="str">
        <x:v>Olympia National Tower (Pod Screens)</x:v>
      </x:c>
      <x:c r="F303" s="12" t="str">
        <x:v>43 inch LED TV</x:v>
      </x:c>
      <x:c r="G303" s="20" t="n">
        <x:v>2</x:v>
      </x:c>
      <x:c r="H303" s="12" t="str">
        <x:v>Campus/portfolio roster; individual building occupancy unverified</x:v>
      </x:c>
      <x:c r="I303" s="12" t="str">
        <x:v>Mixed business audience</x:v>
      </x:c>
      <x:c r="J303" s="12" t="str">
        <x:v>Trade, consumer &amp; logistics</x:v>
      </x:c>
      <x:c r="K303" s="2" t="str">
        <x:v>MAIN-154</x:v>
      </x:c>
    </x:row>
    <x:row r="304" ht="46" customHeight="1">
      <x:c r="A304" s="2" t="str">
        <x:v>TEN-86EBE5471EA0</x:v>
      </x:c>
      <x:c r="B304" s="12" t="str">
        <x:v>Infiot</x:v>
      </x:c>
      <x:c r="C304" s="12" t="str">
        <x:v>CORP-0150</x:v>
      </x:c>
      <x:c r="D304" s="12" t="str">
        <x:v>Chennai</x:v>
      </x:c>
      <x:c r="E304" s="12" t="str">
        <x:v>Olympia National Tower (Pod Screens)</x:v>
      </x:c>
      <x:c r="F304" s="12" t="str">
        <x:v>43 inch LED TV</x:v>
      </x:c>
      <x:c r="G304" s="20" t="n">
        <x:v>2</x:v>
      </x:c>
      <x:c r="H304" s="12" t="str">
        <x:v>Campus/portfolio roster; individual building occupancy unverified</x:v>
      </x:c>
      <x:c r="I304" s="12" t="str">
        <x:v>Small-scale prospects</x:v>
      </x:c>
      <x:c r="J304" s="12" t="str">
        <x:v>IT &amp; digital</x:v>
      </x:c>
      <x:c r="K304" s="2" t="str">
        <x:v>MAIN-154</x:v>
      </x:c>
    </x:row>
    <x:row r="305" ht="46" customHeight="1">
      <x:c r="A305" s="2" t="str">
        <x:v>TEN-9A02EA5289C7</x:v>
      </x:c>
      <x:c r="B305" s="12" t="str">
        <x:v>EY GDS</x:v>
      </x:c>
      <x:c r="C305" s="12" t="str">
        <x:v>CORP-0150</x:v>
      </x:c>
      <x:c r="D305" s="12" t="str">
        <x:v>Chennai</x:v>
      </x:c>
      <x:c r="E305" s="12" t="str">
        <x:v>Olympia National Tower (Pod Screens)</x:v>
      </x:c>
      <x:c r="F305" s="12" t="str">
        <x:v>43 inch LED TV</x:v>
      </x:c>
      <x:c r="G305" s="20" t="n">
        <x:v>2</x:v>
      </x:c>
      <x:c r="H305" s="12" t="str">
        <x:v>Campus/portfolio roster; individual building occupancy unverified</x:v>
      </x:c>
      <x:c r="I305" s="12" t="str">
        <x:v>Large enterprise</x:v>
      </x:c>
      <x:c r="J305" s="12" t="str">
        <x:v>Professional services</x:v>
      </x:c>
      <x:c r="K305" s="2" t="str">
        <x:v>MAIN-154</x:v>
      </x:c>
    </x:row>
    <x:row r="306" ht="46" customHeight="1">
      <x:c r="A306" s="2" t="str">
        <x:v>TEN-A509A9AAC287</x:v>
      </x:c>
      <x:c r="B306" s="12" t="str">
        <x:v>Xoriant Solutions Pvt Ltd</x:v>
      </x:c>
      <x:c r="C306" s="12" t="str">
        <x:v>CORP-0150</x:v>
      </x:c>
      <x:c r="D306" s="12" t="str">
        <x:v>Chennai</x:v>
      </x:c>
      <x:c r="E306" s="12" t="str">
        <x:v>Olympia National Tower (Pod Screens)</x:v>
      </x:c>
      <x:c r="F306" s="12" t="str">
        <x:v>43 inch LED TV</x:v>
      </x:c>
      <x:c r="G306" s="20" t="n">
        <x:v>2</x:v>
      </x:c>
      <x:c r="H306" s="12" t="str">
        <x:v>Campus/portfolio roster; individual building occupancy unverified</x:v>
      </x:c>
      <x:c r="I306" s="12" t="str">
        <x:v>Large enterprise</x:v>
      </x:c>
      <x:c r="J306" s="12" t="str">
        <x:v>IT &amp; digital</x:v>
      </x:c>
      <x:c r="K306" s="2" t="str">
        <x:v>MAIN-154</x:v>
      </x:c>
    </x:row>
    <x:row r="307" ht="46" customHeight="1">
      <x:c r="A307" s="2" t="str">
        <x:v>TEN-CF31BC52344C</x:v>
      </x:c>
      <x:c r="B307" s="12" t="str">
        <x:v>FTC Solar India Pvt Ltd</x:v>
      </x:c>
      <x:c r="C307" s="12" t="str">
        <x:v>CORP-0150</x:v>
      </x:c>
      <x:c r="D307" s="12" t="str">
        <x:v>Chennai</x:v>
      </x:c>
      <x:c r="E307" s="12" t="str">
        <x:v>Olympia National Tower (Pod Screens)</x:v>
      </x:c>
      <x:c r="F307" s="12" t="str">
        <x:v>43 inch LED TV</x:v>
      </x:c>
      <x:c r="G307" s="20" t="n">
        <x:v>2</x:v>
      </x:c>
      <x:c r="H307" s="12" t="str">
        <x:v>Campus/portfolio roster; individual building occupancy unverified</x:v>
      </x:c>
      <x:c r="I307" s="12" t="str">
        <x:v>Mixed business audience</x:v>
      </x:c>
      <x:c r="J307" s="12" t="str">
        <x:v>Engineering &amp; manufacturing</x:v>
      </x:c>
      <x:c r="K307" s="2" t="str">
        <x:v>MAIN-154</x:v>
      </x:c>
    </x:row>
    <x:row r="308" ht="46" customHeight="1">
      <x:c r="A308" s="2" t="str">
        <x:v>TEN-337F2DC67A95</x:v>
      </x:c>
      <x:c r="B308" s="12" t="str">
        <x:v>Clayfin Technologies Private Limited</x:v>
      </x:c>
      <x:c r="C308" s="12" t="str">
        <x:v>CORP-0151</x:v>
      </x:c>
      <x:c r="D308" s="12" t="str">
        <x:v>Chennai</x:v>
      </x:c>
      <x:c r="E308" s="12" t="str">
        <x:v>Olympia Pinnacle Technology Park</x:v>
      </x:c>
      <x:c r="F308" s="12" t="str">
        <x:v>43 inch LED TV</x:v>
      </x:c>
      <x:c r="G308" s="20" t="n">
        <x:v>1</x:v>
      </x:c>
      <x:c r="H308" s="12" t="str">
        <x:v>Inventory-listed building/workspace context; current occupancy and screen access unverified</x:v>
      </x:c>
      <x:c r="I308" s="12" t="str">
        <x:v>Small-scale prospects</x:v>
      </x:c>
      <x:c r="J308" s="12" t="str">
        <x:v>IT &amp; digital</x:v>
      </x:c>
      <x:c r="K308" s="2" t="str">
        <x:v>MAIN-155</x:v>
      </x:c>
    </x:row>
    <x:row r="309" ht="46" customHeight="1">
      <x:c r="A309" s="2" t="str">
        <x:v>TEN-2AD84453C261</x:v>
      </x:c>
      <x:c r="B309" s="12" t="str">
        <x:v>Durr India Pvt. Ltd</x:v>
      </x:c>
      <x:c r="C309" s="12" t="str">
        <x:v>CORP-0152</x:v>
      </x:c>
      <x:c r="D309" s="12" t="str">
        <x:v>Chennai</x:v>
      </x:c>
      <x:c r="E309" s="12" t="str">
        <x:v>Prestige Polygon IT Park</x:v>
      </x:c>
      <x:c r="F309" s="12" t="str">
        <x:v>43 inch LED TV</x:v>
      </x:c>
      <x:c r="G309" s="20" t="n">
        <x:v>1</x:v>
      </x:c>
      <x:c r="H309" s="12" t="str">
        <x:v>Campus/portfolio roster; individual building occupancy unverified</x:v>
      </x:c>
      <x:c r="I309" s="12" t="str">
        <x:v>Mixed business audience</x:v>
      </x:c>
      <x:c r="J309" s="12" t="str">
        <x:v>Engineering &amp; manufacturing</x:v>
      </x:c>
      <x:c r="K309" s="2" t="str">
        <x:v>MAIN-156</x:v>
      </x:c>
    </x:row>
    <x:row r="310" ht="46" customHeight="1">
      <x:c r="A310" s="2" t="str">
        <x:v>TEN-8DF0CA31AB4A</x:v>
      </x:c>
      <x:c r="B310" s="12" t="str">
        <x:v>Mindgate Solutions Pvt Ltd</x:v>
      </x:c>
      <x:c r="C310" s="12" t="str">
        <x:v>CORP-0152</x:v>
      </x:c>
      <x:c r="D310" s="12" t="str">
        <x:v>Chennai</x:v>
      </x:c>
      <x:c r="E310" s="12" t="str">
        <x:v>Prestige Polygon IT Park</x:v>
      </x:c>
      <x:c r="F310" s="12" t="str">
        <x:v>43 inch LED TV</x:v>
      </x:c>
      <x:c r="G310" s="20" t="n">
        <x:v>1</x:v>
      </x:c>
      <x:c r="H310" s="12" t="str">
        <x:v>Campus/portfolio roster; individual building occupancy unverified</x:v>
      </x:c>
      <x:c r="I310" s="12" t="str">
        <x:v>Small-scale prospects</x:v>
      </x:c>
      <x:c r="J310" s="12" t="str">
        <x:v>IT &amp; digital</x:v>
      </x:c>
      <x:c r="K310" s="2" t="str">
        <x:v>MAIN-156</x:v>
      </x:c>
    </x:row>
    <x:row r="311" ht="46" customHeight="1">
      <x:c r="A311" s="2" t="str">
        <x:v>TEN-A8E8785BC584</x:v>
      </x:c>
      <x:c r="B311" s="12" t="str">
        <x:v>RR Donnelley</x:v>
      </x:c>
      <x:c r="C311" s="12" t="str">
        <x:v>CORP-0152</x:v>
      </x:c>
      <x:c r="D311" s="12" t="str">
        <x:v>Chennai</x:v>
      </x:c>
      <x:c r="E311" s="12" t="str">
        <x:v>Prestige Polygon IT Park</x:v>
      </x:c>
      <x:c r="F311" s="12" t="str">
        <x:v>43 inch LED TV</x:v>
      </x:c>
      <x:c r="G311" s="20" t="n">
        <x:v>1</x:v>
      </x:c>
      <x:c r="H311" s="12" t="str">
        <x:v>Campus/portfolio roster; individual building occupancy unverified</x:v>
      </x:c>
      <x:c r="I311" s="12" t="str">
        <x:v>Mixed business audience</x:v>
      </x:c>
      <x:c r="J311" s="12" t="str">
        <x:v>Unresolved</x:v>
      </x:c>
      <x:c r="K311" s="2" t="str">
        <x:v>MAIN-156</x:v>
      </x:c>
    </x:row>
    <x:row r="312" ht="46" customHeight="1">
      <x:c r="A312" s="2" t="str">
        <x:v>TEN-C3CA7D8DCA22</x:v>
      </x:c>
      <x:c r="B312" s="12" t="str">
        <x:v>RRD</x:v>
      </x:c>
      <x:c r="C312" s="12" t="str">
        <x:v>CORP-0152</x:v>
      </x:c>
      <x:c r="D312" s="12" t="str">
        <x:v>Chennai</x:v>
      </x:c>
      <x:c r="E312" s="12" t="str">
        <x:v>Prestige Polygon IT Park</x:v>
      </x:c>
      <x:c r="F312" s="12" t="str">
        <x:v>43 inch LED TV</x:v>
      </x:c>
      <x:c r="G312" s="20" t="n">
        <x:v>1</x:v>
      </x:c>
      <x:c r="H312" s="12" t="str">
        <x:v>Campus/portfolio roster; individual building occupancy unverified</x:v>
      </x:c>
      <x:c r="I312" s="12" t="str">
        <x:v>Mixed business audience</x:v>
      </x:c>
      <x:c r="J312" s="12" t="str">
        <x:v>Unresolved</x:v>
      </x:c>
      <x:c r="K312" s="2" t="str">
        <x:v>MAIN-156</x:v>
      </x:c>
    </x:row>
    <x:row r="313" ht="46" customHeight="1">
      <x:c r="A313" s="2" t="str">
        <x:v>TEN-DD6C0292E0C6</x:v>
      </x:c>
      <x:c r="B313" s="12" t="str">
        <x:v>Sharpwiz Technologies Private Limited</x:v>
      </x:c>
      <x:c r="C313" s="12" t="str">
        <x:v>CORP-0152</x:v>
      </x:c>
      <x:c r="D313" s="12" t="str">
        <x:v>Chennai</x:v>
      </x:c>
      <x:c r="E313" s="12" t="str">
        <x:v>Prestige Polygon IT Park</x:v>
      </x:c>
      <x:c r="F313" s="12" t="str">
        <x:v>43 inch LED TV</x:v>
      </x:c>
      <x:c r="G313" s="20" t="n">
        <x:v>1</x:v>
      </x:c>
      <x:c r="H313" s="12" t="str">
        <x:v>Campus/portfolio roster; individual building occupancy unverified</x:v>
      </x:c>
      <x:c r="I313" s="12" t="str">
        <x:v>Mixed business audience</x:v>
      </x:c>
      <x:c r="J313" s="12" t="str">
        <x:v>Unresolved</x:v>
      </x:c>
      <x:c r="K313" s="2" t="str">
        <x:v>MAIN-156</x:v>
      </x:c>
    </x:row>
    <x:row r="314" ht="46" customHeight="1">
      <x:c r="A314" s="2" t="str">
        <x:v>TEN-2AD84453C261</x:v>
      </x:c>
      <x:c r="B314" s="12" t="str">
        <x:v>Durr India Pvt. Ltd</x:v>
      </x:c>
      <x:c r="C314" s="12" t="str">
        <x:v>CORP-0153</x:v>
      </x:c>
      <x:c r="D314" s="12" t="str">
        <x:v>Chennai</x:v>
      </x:c>
      <x:c r="E314" s="12" t="str">
        <x:v>Prestige Polygon Tech Park (Pod Screens)</x:v>
      </x:c>
      <x:c r="F314" s="12" t="str">
        <x:v>32 inch LED TV</x:v>
      </x:c>
      <x:c r="G314" s="20" t="n">
        <x:v>3</x:v>
      </x:c>
      <x:c r="H314" s="12" t="str">
        <x:v>Campus/portfolio roster; individual building occupancy unverified</x:v>
      </x:c>
      <x:c r="I314" s="12" t="str">
        <x:v>Mixed business audience</x:v>
      </x:c>
      <x:c r="J314" s="12" t="str">
        <x:v>Engineering &amp; manufacturing</x:v>
      </x:c>
      <x:c r="K314" s="2" t="str">
        <x:v>MAIN-157</x:v>
      </x:c>
    </x:row>
    <x:row r="315" ht="46" customHeight="1">
      <x:c r="A315" s="2" t="str">
        <x:v>TEN-8DF0CA31AB4A</x:v>
      </x:c>
      <x:c r="B315" s="12" t="str">
        <x:v>Mindgate Solutions Pvt Ltd</x:v>
      </x:c>
      <x:c r="C315" s="12" t="str">
        <x:v>CORP-0153</x:v>
      </x:c>
      <x:c r="D315" s="12" t="str">
        <x:v>Chennai</x:v>
      </x:c>
      <x:c r="E315" s="12" t="str">
        <x:v>Prestige Polygon Tech Park (Pod Screens)</x:v>
      </x:c>
      <x:c r="F315" s="12" t="str">
        <x:v>32 inch LED TV</x:v>
      </x:c>
      <x:c r="G315" s="20" t="n">
        <x:v>3</x:v>
      </x:c>
      <x:c r="H315" s="12" t="str">
        <x:v>Campus/portfolio roster; individual building occupancy unverified</x:v>
      </x:c>
      <x:c r="I315" s="12" t="str">
        <x:v>Small-scale prospects</x:v>
      </x:c>
      <x:c r="J315" s="12" t="str">
        <x:v>IT &amp; digital</x:v>
      </x:c>
      <x:c r="K315" s="2" t="str">
        <x:v>MAIN-157</x:v>
      </x:c>
    </x:row>
    <x:row r="316" ht="46" customHeight="1">
      <x:c r="A316" s="2" t="str">
        <x:v>TEN-A8E8785BC584</x:v>
      </x:c>
      <x:c r="B316" s="12" t="str">
        <x:v>RR Donnelley</x:v>
      </x:c>
      <x:c r="C316" s="12" t="str">
        <x:v>CORP-0153</x:v>
      </x:c>
      <x:c r="D316" s="12" t="str">
        <x:v>Chennai</x:v>
      </x:c>
      <x:c r="E316" s="12" t="str">
        <x:v>Prestige Polygon Tech Park (Pod Screens)</x:v>
      </x:c>
      <x:c r="F316" s="12" t="str">
        <x:v>32 inch LED TV</x:v>
      </x:c>
      <x:c r="G316" s="20" t="n">
        <x:v>3</x:v>
      </x:c>
      <x:c r="H316" s="12" t="str">
        <x:v>Campus/portfolio roster; individual building occupancy unverified</x:v>
      </x:c>
      <x:c r="I316" s="12" t="str">
        <x:v>Mixed business audience</x:v>
      </x:c>
      <x:c r="J316" s="12" t="str">
        <x:v>Unresolved</x:v>
      </x:c>
      <x:c r="K316" s="2" t="str">
        <x:v>MAIN-157</x:v>
      </x:c>
    </x:row>
    <x:row r="317" ht="46" customHeight="1">
      <x:c r="A317" s="2" t="str">
        <x:v>TEN-C3CA7D8DCA22</x:v>
      </x:c>
      <x:c r="B317" s="12" t="str">
        <x:v>RRD</x:v>
      </x:c>
      <x:c r="C317" s="12" t="str">
        <x:v>CORP-0153</x:v>
      </x:c>
      <x:c r="D317" s="12" t="str">
        <x:v>Chennai</x:v>
      </x:c>
      <x:c r="E317" s="12" t="str">
        <x:v>Prestige Polygon Tech Park (Pod Screens)</x:v>
      </x:c>
      <x:c r="F317" s="12" t="str">
        <x:v>32 inch LED TV</x:v>
      </x:c>
      <x:c r="G317" s="20" t="n">
        <x:v>3</x:v>
      </x:c>
      <x:c r="H317" s="12" t="str">
        <x:v>Campus/portfolio roster; individual building occupancy unverified</x:v>
      </x:c>
      <x:c r="I317" s="12" t="str">
        <x:v>Mixed business audience</x:v>
      </x:c>
      <x:c r="J317" s="12" t="str">
        <x:v>Unresolved</x:v>
      </x:c>
      <x:c r="K317" s="2" t="str">
        <x:v>MAIN-157</x:v>
      </x:c>
    </x:row>
    <x:row r="318" ht="46" customHeight="1">
      <x:c r="A318" s="2" t="str">
        <x:v>TEN-DD6C0292E0C6</x:v>
      </x:c>
      <x:c r="B318" s="12" t="str">
        <x:v>Sharpwiz Technologies Private Limited</x:v>
      </x:c>
      <x:c r="C318" s="12" t="str">
        <x:v>CORP-0153</x:v>
      </x:c>
      <x:c r="D318" s="12" t="str">
        <x:v>Chennai</x:v>
      </x:c>
      <x:c r="E318" s="12" t="str">
        <x:v>Prestige Polygon Tech Park (Pod Screens)</x:v>
      </x:c>
      <x:c r="F318" s="12" t="str">
        <x:v>32 inch LED TV</x:v>
      </x:c>
      <x:c r="G318" s="20" t="n">
        <x:v>3</x:v>
      </x:c>
      <x:c r="H318" s="12" t="str">
        <x:v>Campus/portfolio roster; individual building occupancy unverified</x:v>
      </x:c>
      <x:c r="I318" s="12" t="str">
        <x:v>Mixed business audience</x:v>
      </x:c>
      <x:c r="J318" s="12" t="str">
        <x:v>Unresolved</x:v>
      </x:c>
      <x:c r="K318" s="2" t="str">
        <x:v>MAIN-157</x:v>
      </x:c>
    </x:row>
    <x:row r="319" ht="46" customHeight="1">
      <x:c r="A319" s="2" t="str">
        <x:v>TEN-0D54E5331AF7</x:v>
      </x:c>
      <x:c r="B319" s="12" t="str">
        <x:v>Marsh India Insurance Brokers Pvt Ltd</x:v>
      </x:c>
      <x:c r="C319" s="12" t="str">
        <x:v>CORP-0154</x:v>
      </x:c>
      <x:c r="D319" s="12" t="str">
        <x:v>Chennai</x:v>
      </x:c>
      <x:c r="E319" s="12" t="str">
        <x:v>Prestige Zackria Metropolitan</x:v>
      </x:c>
      <x:c r="F319" s="12" t="str">
        <x:v>43 inch LED TV</x:v>
      </x:c>
      <x:c r="G319" s="20" t="n">
        <x:v>2</x:v>
      </x:c>
      <x:c r="H319" s="12" t="str">
        <x:v>Inventory-listed building/workspace context; current occupancy and screen access unverified</x:v>
      </x:c>
      <x:c r="I319" s="12" t="str">
        <x:v>Mixed business audience</x:v>
      </x:c>
      <x:c r="J319" s="12" t="str">
        <x:v>Professional services</x:v>
      </x:c>
      <x:c r="K319" s="2" t="str">
        <x:v>MAIN-158</x:v>
      </x:c>
    </x:row>
    <x:row r="320" ht="46" customHeight="1">
      <x:c r="A320" s="2" t="str">
        <x:v>TEN-4A3892E5BC96</x:v>
      </x:c>
      <x:c r="B320" s="12" t="str">
        <x:v>Zomato</x:v>
      </x:c>
      <x:c r="C320" s="12" t="str">
        <x:v>CORP-0154</x:v>
      </x:c>
      <x:c r="D320" s="12" t="str">
        <x:v>Chennai</x:v>
      </x:c>
      <x:c r="E320" s="12" t="str">
        <x:v>Prestige Zackria Metropolitan</x:v>
      </x:c>
      <x:c r="F320" s="12" t="str">
        <x:v>43 inch LED TV</x:v>
      </x:c>
      <x:c r="G320" s="20" t="n">
        <x:v>2</x:v>
      </x:c>
      <x:c r="H320" s="12" t="str">
        <x:v>Inventory-listed building/workspace context; current occupancy and screen access unverified</x:v>
      </x:c>
      <x:c r="I320" s="12" t="str">
        <x:v>Mixed business audience</x:v>
      </x:c>
      <x:c r="J320" s="12" t="str">
        <x:v>Trade, consumer &amp; logistics</x:v>
      </x:c>
      <x:c r="K320" s="2" t="str">
        <x:v>MAIN-158</x:v>
      </x:c>
    </x:row>
    <x:row r="321" ht="46" customHeight="1">
      <x:c r="A321" s="2" t="str">
        <x:v>TEN-6429D6117F38</x:v>
      </x:c>
      <x:c r="B321" s="12" t="str">
        <x:v>Adenza Technology India Private Limited</x:v>
      </x:c>
      <x:c r="C321" s="12" t="str">
        <x:v>CORP-0154</x:v>
      </x:c>
      <x:c r="D321" s="12" t="str">
        <x:v>Chennai</x:v>
      </x:c>
      <x:c r="E321" s="12" t="str">
        <x:v>Prestige Zackria Metropolitan</x:v>
      </x:c>
      <x:c r="F321" s="12" t="str">
        <x:v>43 inch LED TV</x:v>
      </x:c>
      <x:c r="G321" s="20" t="n">
        <x:v>2</x:v>
      </x:c>
      <x:c r="H321" s="12" t="str">
        <x:v>Inventory-listed building/workspace context; current occupancy and screen access unverified</x:v>
      </x:c>
      <x:c r="I321" s="12" t="str">
        <x:v>Mixed business audience</x:v>
      </x:c>
      <x:c r="J321" s="12" t="str">
        <x:v>IT &amp; digital</x:v>
      </x:c>
      <x:c r="K321" s="2" t="str">
        <x:v>MAIN-158</x:v>
      </x:c>
    </x:row>
    <x:row r="322" ht="46" customHeight="1">
      <x:c r="A322" s="2" t="str">
        <x:v>TEN-8ADB9CA624D1</x:v>
      </x:c>
      <x:c r="B322" s="12" t="str">
        <x:v>Group M</x:v>
      </x:c>
      <x:c r="C322" s="12" t="str">
        <x:v>CORP-0154</x:v>
      </x:c>
      <x:c r="D322" s="12" t="str">
        <x:v>Chennai</x:v>
      </x:c>
      <x:c r="E322" s="12" t="str">
        <x:v>Prestige Zackria Metropolitan</x:v>
      </x:c>
      <x:c r="F322" s="12" t="str">
        <x:v>43 inch LED TV</x:v>
      </x:c>
      <x:c r="G322" s="20" t="n">
        <x:v>2</x:v>
      </x:c>
      <x:c r="H322" s="12" t="str">
        <x:v>Inventory-listed building/workspace context; current occupancy and screen access unverified</x:v>
      </x:c>
      <x:c r="I322" s="12" t="str">
        <x:v>Mixed business audience</x:v>
      </x:c>
      <x:c r="J322" s="12" t="str">
        <x:v>Professional services</x:v>
      </x:c>
      <x:c r="K322" s="2" t="str">
        <x:v>MAIN-158</x:v>
      </x:c>
    </x:row>
    <x:row r="323" ht="46" customHeight="1">
      <x:c r="A323" s="2" t="str">
        <x:v>TEN-9893181D2970</x:v>
      </x:c>
      <x:c r="B323" s="12" t="str">
        <x:v>Ovation Services Pvt Ltd</x:v>
      </x:c>
      <x:c r="C323" s="12" t="str">
        <x:v>CORP-0154</x:v>
      </x:c>
      <x:c r="D323" s="12" t="str">
        <x:v>Chennai</x:v>
      </x:c>
      <x:c r="E323" s="12" t="str">
        <x:v>Prestige Zackria Metropolitan</x:v>
      </x:c>
      <x:c r="F323" s="12" t="str">
        <x:v>43 inch LED TV</x:v>
      </x:c>
      <x:c r="G323" s="20" t="n">
        <x:v>2</x:v>
      </x:c>
      <x:c r="H323" s="12" t="str">
        <x:v>Inventory-listed building/workspace context; current occupancy and screen access unverified</x:v>
      </x:c>
      <x:c r="I323" s="12" t="str">
        <x:v>Mixed business audience</x:v>
      </x:c>
      <x:c r="J323" s="12" t="str">
        <x:v>Unresolved</x:v>
      </x:c>
      <x:c r="K323" s="2" t="str">
        <x:v>MAIN-158</x:v>
      </x:c>
    </x:row>
    <x:row r="324" ht="46" customHeight="1">
      <x:c r="A324" s="2" t="str">
        <x:v>TEN-18BA3D03B696</x:v>
      </x:c>
      <x:c r="B324" s="12" t="str">
        <x:v>Mikael Global Solutions</x:v>
      </x:c>
      <x:c r="C324" s="12" t="str">
        <x:v>CORP-0155</x:v>
      </x:c>
      <x:c r="D324" s="12" t="str">
        <x:v>Chennai</x:v>
      </x:c>
      <x:c r="E324" s="12" t="str">
        <x:v>Wingspace - Coworking Space IN Perungudi</x:v>
      </x:c>
      <x:c r="F324" s="12" t="str">
        <x:v>32 inch LED TV</x:v>
      </x:c>
      <x:c r="G324" s="20" t="n">
        <x:v>1</x:v>
      </x:c>
      <x:c r="H324" s="12" t="str">
        <x:v>Inventory-listed building/workspace context; current occupancy and screen access unverified</x:v>
      </x:c>
      <x:c r="I324" s="12" t="str">
        <x:v>Mixed business audience</x:v>
      </x:c>
      <x:c r="J324" s="12" t="str">
        <x:v>Unresolved</x:v>
      </x:c>
      <x:c r="K324" s="2" t="str">
        <x:v>MAIN-159</x:v>
      </x:c>
    </x:row>
    <x:row r="325" ht="46" customHeight="1">
      <x:c r="A325" s="2" t="str">
        <x:v>TEN-1A5E028F30B8</x:v>
      </x:c>
      <x:c r="B325" s="12" t="str">
        <x:v>Everonn Education Limited</x:v>
      </x:c>
      <x:c r="C325" s="12" t="str">
        <x:v>CORP-0155</x:v>
      </x:c>
      <x:c r="D325" s="12" t="str">
        <x:v>Chennai</x:v>
      </x:c>
      <x:c r="E325" s="12" t="str">
        <x:v>Wingspace - Coworking Space IN Perungudi</x:v>
      </x:c>
      <x:c r="F325" s="12" t="str">
        <x:v>32 inch LED TV</x:v>
      </x:c>
      <x:c r="G325" s="20" t="n">
        <x:v>1</x:v>
      </x:c>
      <x:c r="H325" s="12" t="str">
        <x:v>Inventory-listed building/workspace context; current occupancy and screen access unverified</x:v>
      </x:c>
      <x:c r="I325" s="12" t="str">
        <x:v>Mixed business audience</x:v>
      </x:c>
      <x:c r="J325" s="12" t="str">
        <x:v>Education</x:v>
      </x:c>
      <x:c r="K325" s="2" t="str">
        <x:v>MAIN-159</x:v>
      </x:c>
    </x:row>
    <x:row r="326" ht="46" customHeight="1">
      <x:c r="A326" s="2" t="str">
        <x:v>TEN-1FE83FD8C056</x:v>
      </x:c>
      <x:c r="B326" s="12" t="str">
        <x:v>Swiggy OMR joining office</x:v>
      </x:c>
      <x:c r="C326" s="12" t="str">
        <x:v>CORP-0155</x:v>
      </x:c>
      <x:c r="D326" s="12" t="str">
        <x:v>Chennai</x:v>
      </x:c>
      <x:c r="E326" s="12" t="str">
        <x:v>Wingspace - Coworking Space IN Perungudi</x:v>
      </x:c>
      <x:c r="F326" s="12" t="str">
        <x:v>32 inch LED TV</x:v>
      </x:c>
      <x:c r="G326" s="20" t="n">
        <x:v>1</x:v>
      </x:c>
      <x:c r="H326" s="12" t="str">
        <x:v>Inventory-listed building/workspace context; current occupancy and screen access unverified</x:v>
      </x:c>
      <x:c r="I326" s="12" t="str">
        <x:v>Mixed business audience</x:v>
      </x:c>
      <x:c r="J326" s="12" t="str">
        <x:v>Trade, consumer &amp; logistics</x:v>
      </x:c>
      <x:c r="K326" s="2" t="str">
        <x:v>MAIN-159</x:v>
      </x:c>
    </x:row>
    <x:row r="327" ht="46" customHeight="1">
      <x:c r="A327" s="2" t="str">
        <x:v>TEN-5240559B6AFA</x:v>
      </x:c>
      <x:c r="B327" s="12" t="str">
        <x:v>Protorix India</x:v>
      </x:c>
      <x:c r="C327" s="12" t="str">
        <x:v>CORP-0155</x:v>
      </x:c>
      <x:c r="D327" s="12" t="str">
        <x:v>Chennai</x:v>
      </x:c>
      <x:c r="E327" s="12" t="str">
        <x:v>Wingspace - Coworking Space IN Perungudi</x:v>
      </x:c>
      <x:c r="F327" s="12" t="str">
        <x:v>32 inch LED TV</x:v>
      </x:c>
      <x:c r="G327" s="20" t="n">
        <x:v>1</x:v>
      </x:c>
      <x:c r="H327" s="12" t="str">
        <x:v>Inventory-listed building/workspace context; current occupancy and screen access unverified</x:v>
      </x:c>
      <x:c r="I327" s="12" t="str">
        <x:v>Mixed business audience</x:v>
      </x:c>
      <x:c r="J327" s="12" t="str">
        <x:v>Unresolved</x:v>
      </x:c>
      <x:c r="K327" s="2" t="str">
        <x:v>MAIN-159</x:v>
      </x:c>
    </x:row>
    <x:row r="328" ht="46" customHeight="1">
      <x:c r="A328" s="2" t="str">
        <x:v>TEN-5A68B9DB37DE</x:v>
      </x:c>
      <x:c r="B328" s="12" t="str">
        <x:v>Emergys India</x:v>
      </x:c>
      <x:c r="C328" s="12" t="str">
        <x:v>CORP-0155</x:v>
      </x:c>
      <x:c r="D328" s="12" t="str">
        <x:v>Chennai</x:v>
      </x:c>
      <x:c r="E328" s="12" t="str">
        <x:v>Wingspace - Coworking Space IN Perungudi</x:v>
      </x:c>
      <x:c r="F328" s="12" t="str">
        <x:v>32 inch LED TV</x:v>
      </x:c>
      <x:c r="G328" s="20" t="n">
        <x:v>1</x:v>
      </x:c>
      <x:c r="H328" s="12" t="str">
        <x:v>Inventory-listed building/workspace context; current occupancy and screen access unverified</x:v>
      </x:c>
      <x:c r="I328" s="12" t="str">
        <x:v>Small-scale prospects</x:v>
      </x:c>
      <x:c r="J328" s="12" t="str">
        <x:v>IT &amp; digital</x:v>
      </x:c>
      <x:c r="K328" s="2" t="str">
        <x:v>MAIN-159</x:v>
      </x:c>
    </x:row>
    <x:row r="329" ht="46" customHeight="1">
      <x:c r="A329" s="2" t="str">
        <x:v>TEN-60F97FFFDBBB</x:v>
      </x:c>
      <x:c r="B329" s="12" t="str">
        <x:v>Ecotech Engineering Consultancy Pvt Ltd</x:v>
      </x:c>
      <x:c r="C329" s="12" t="str">
        <x:v>CORP-0155</x:v>
      </x:c>
      <x:c r="D329" s="12" t="str">
        <x:v>Chennai</x:v>
      </x:c>
      <x:c r="E329" s="12" t="str">
        <x:v>Wingspace - Coworking Space IN Perungudi</x:v>
      </x:c>
      <x:c r="F329" s="12" t="str">
        <x:v>32 inch LED TV</x:v>
      </x:c>
      <x:c r="G329" s="20" t="n">
        <x:v>1</x:v>
      </x:c>
      <x:c r="H329" s="12" t="str">
        <x:v>Inventory-listed building/workspace context; current occupancy and screen access unverified</x:v>
      </x:c>
      <x:c r="I329" s="12" t="str">
        <x:v>Medium-scale prospects</x:v>
      </x:c>
      <x:c r="J329" s="12" t="str">
        <x:v>Engineering &amp; manufacturing</x:v>
      </x:c>
      <x:c r="K329" s="2" t="str">
        <x:v>MAIN-159</x:v>
      </x:c>
    </x:row>
    <x:row r="330" ht="46" customHeight="1">
      <x:c r="A330" s="2" t="str">
        <x:v>TEN-7E1C21AC33D5</x:v>
      </x:c>
      <x:c r="B330" s="12" t="str">
        <x:v>Vyomiq School ERP Software</x:v>
      </x:c>
      <x:c r="C330" s="12" t="str">
        <x:v>CORP-0155</x:v>
      </x:c>
      <x:c r="D330" s="12" t="str">
        <x:v>Chennai</x:v>
      </x:c>
      <x:c r="E330" s="12" t="str">
        <x:v>Wingspace - Coworking Space IN Perungudi</x:v>
      </x:c>
      <x:c r="F330" s="12" t="str">
        <x:v>32 inch LED TV</x:v>
      </x:c>
      <x:c r="G330" s="20" t="n">
        <x:v>1</x:v>
      </x:c>
      <x:c r="H330" s="12" t="str">
        <x:v>Inventory-listed building/workspace context; current occupancy and screen access unverified</x:v>
      </x:c>
      <x:c r="I330" s="12" t="str">
        <x:v>Small-scale prospects</x:v>
      </x:c>
      <x:c r="J330" s="12" t="str">
        <x:v>IT &amp; digital</x:v>
      </x:c>
      <x:c r="K330" s="2" t="str">
        <x:v>MAIN-159</x:v>
      </x:c>
    </x:row>
    <x:row r="331" ht="46" customHeight="1">
      <x:c r="A331" s="2" t="str">
        <x:v>TEN-89BC704C61F9</x:v>
      </x:c>
      <x:c r="B331" s="12" t="str">
        <x:v>HUE Touch Technologies Pvt Ltd</x:v>
      </x:c>
      <x:c r="C331" s="12" t="str">
        <x:v>CORP-0155</x:v>
      </x:c>
      <x:c r="D331" s="12" t="str">
        <x:v>Chennai</x:v>
      </x:c>
      <x:c r="E331" s="12" t="str">
        <x:v>Wingspace - Coworking Space IN Perungudi</x:v>
      </x:c>
      <x:c r="F331" s="12" t="str">
        <x:v>32 inch LED TV</x:v>
      </x:c>
      <x:c r="G331" s="20" t="n">
        <x:v>1</x:v>
      </x:c>
      <x:c r="H331" s="12" t="str">
        <x:v>Inventory-listed building/workspace context; current occupancy and screen access unverified</x:v>
      </x:c>
      <x:c r="I331" s="12" t="str">
        <x:v>Mixed business audience</x:v>
      </x:c>
      <x:c r="J331" s="12" t="str">
        <x:v>Unresolved</x:v>
      </x:c>
      <x:c r="K331" s="2" t="str">
        <x:v>MAIN-159</x:v>
      </x:c>
    </x:row>
    <x:row r="332" ht="46" customHeight="1">
      <x:c r="A332" s="2" t="str">
        <x:v>TEN-933A19328F9C</x:v>
      </x:c>
      <x:c r="B332" s="12" t="str">
        <x:v>Infoplus Technologies</x:v>
      </x:c>
      <x:c r="C332" s="12" t="str">
        <x:v>CORP-0155</x:v>
      </x:c>
      <x:c r="D332" s="12" t="str">
        <x:v>Chennai</x:v>
      </x:c>
      <x:c r="E332" s="12" t="str">
        <x:v>Wingspace - Coworking Space IN Perungudi</x:v>
      </x:c>
      <x:c r="F332" s="12" t="str">
        <x:v>32 inch LED TV</x:v>
      </x:c>
      <x:c r="G332" s="20" t="n">
        <x:v>1</x:v>
      </x:c>
      <x:c r="H332" s="12" t="str">
        <x:v>Inventory-listed building/workspace context; current occupancy and screen access unverified</x:v>
      </x:c>
      <x:c r="I332" s="12" t="str">
        <x:v>Small-scale prospects</x:v>
      </x:c>
      <x:c r="J332" s="12" t="str">
        <x:v>IT &amp; digital</x:v>
      </x:c>
      <x:c r="K332" s="2" t="str">
        <x:v>MAIN-159</x:v>
      </x:c>
    </x:row>
    <x:row r="333" ht="46" customHeight="1">
      <x:c r="A333" s="2" t="str">
        <x:v>TEN-1E27AF402EC5</x:v>
      </x:c>
      <x:c r="B333" s="12" t="str">
        <x:v>luminar</x:v>
      </x:c>
      <x:c r="C333" s="12" t="str">
        <x:v>CORP-0012</x:v>
      </x:c>
      <x:c r="D333" s="12" t="str">
        <x:v>Bengaluru</x:v>
      </x:c>
      <x:c r="E333" s="12" t="str">
        <x:v>Awfis - Prestige Dotcom</x:v>
      </x:c>
      <x:c r="F333" s="12" t="str">
        <x:v>32 inch LED TV</x:v>
      </x:c>
      <x:c r="G333" s="20" t="n">
        <x:v>4</x:v>
      </x:c>
      <x:c r="H333" s="12" t="str">
        <x:v>Inventory-listed building/workspace context; current occupancy and screen access unverified</x:v>
      </x:c>
      <x:c r="I333" s="12" t="str">
        <x:v>Mixed business audience</x:v>
      </x:c>
      <x:c r="J333" s="12" t="str">
        <x:v>Engineering &amp; manufacturing</x:v>
      </x:c>
      <x:c r="K333" s="2" t="str">
        <x:v>MAIN-016</x:v>
      </x:c>
    </x:row>
    <x:row r="334" ht="46" customHeight="1">
      <x:c r="A334" s="2" t="str">
        <x:v>TEN-4DE4E8CC2F04</x:v>
      </x:c>
      <x:c r="B334" s="12" t="str">
        <x:v>Quickjet cargo airlined</x:v>
      </x:c>
      <x:c r="C334" s="12" t="str">
        <x:v>CORP-0012</x:v>
      </x:c>
      <x:c r="D334" s="12" t="str">
        <x:v>Bengaluru</x:v>
      </x:c>
      <x:c r="E334" s="12" t="str">
        <x:v>Awfis - Prestige Dotcom</x:v>
      </x:c>
      <x:c r="F334" s="12" t="str">
        <x:v>32 inch LED TV</x:v>
      </x:c>
      <x:c r="G334" s="20" t="n">
        <x:v>4</x:v>
      </x:c>
      <x:c r="H334" s="12" t="str">
        <x:v>Inventory-listed building/workspace context; current occupancy and screen access unverified</x:v>
      </x:c>
      <x:c r="I334" s="12" t="str">
        <x:v>Medium-scale prospects</x:v>
      </x:c>
      <x:c r="J334" s="12" t="str">
        <x:v>Trade, consumer &amp; logistics</x:v>
      </x:c>
      <x:c r="K334" s="2" t="str">
        <x:v>MAIN-016</x:v>
      </x:c>
    </x:row>
    <x:row r="335" ht="46" customHeight="1">
      <x:c r="A335" s="2" t="str">
        <x:v>TEN-8DF8FD56D1D2</x:v>
      </x:c>
      <x:c r="B335" s="12" t="str">
        <x:v>peer capital</x:v>
      </x:c>
      <x:c r="C335" s="12" t="str">
        <x:v>CORP-0012</x:v>
      </x:c>
      <x:c r="D335" s="12" t="str">
        <x:v>Bengaluru</x:v>
      </x:c>
      <x:c r="E335" s="12" t="str">
        <x:v>Awfis - Prestige Dotcom</x:v>
      </x:c>
      <x:c r="F335" s="12" t="str">
        <x:v>32 inch LED TV</x:v>
      </x:c>
      <x:c r="G335" s="20" t="n">
        <x:v>4</x:v>
      </x:c>
      <x:c r="H335" s="12" t="str">
        <x:v>Inventory-listed building/workspace context; current occupancy and screen access unverified</x:v>
      </x:c>
      <x:c r="I335" s="12" t="str">
        <x:v>Medium-scale prospects</x:v>
      </x:c>
      <x:c r="J335" s="12" t="str">
        <x:v>Finance &amp; insurance</x:v>
      </x:c>
      <x:c r="K335" s="2" t="str">
        <x:v>MAIN-016</x:v>
      </x:c>
    </x:row>
    <x:row r="336" ht="46" customHeight="1">
      <x:c r="A336" s="2" t="str">
        <x:v>TEN-B7F72869D568</x:v>
      </x:c>
      <x:c r="B336" s="12" t="str">
        <x:v>Body capital pvt ltd</x:v>
      </x:c>
      <x:c r="C336" s="12" t="str">
        <x:v>CORP-0012</x:v>
      </x:c>
      <x:c r="D336" s="12" t="str">
        <x:v>Bengaluru</x:v>
      </x:c>
      <x:c r="E336" s="12" t="str">
        <x:v>Awfis - Prestige Dotcom</x:v>
      </x:c>
      <x:c r="F336" s="12" t="str">
        <x:v>32 inch LED TV</x:v>
      </x:c>
      <x:c r="G336" s="20" t="n">
        <x:v>4</x:v>
      </x:c>
      <x:c r="H336" s="12" t="str">
        <x:v>Inventory-listed building/workspace context; current occupancy and screen access unverified</x:v>
      </x:c>
      <x:c r="I336" s="12" t="str">
        <x:v>Medium-scale prospects</x:v>
      </x:c>
      <x:c r="J336" s="12" t="str">
        <x:v>Finance &amp; insurance</x:v>
      </x:c>
      <x:c r="K336" s="2" t="str">
        <x:v>MAIN-016</x:v>
      </x:c>
    </x:row>
    <x:row r="337" ht="46" customHeight="1">
      <x:c r="A337" s="2" t="str">
        <x:v>TEN-CE5F67CFFACA</x:v>
      </x:c>
      <x:c r="B337" s="12" t="str">
        <x:v>ISG</x:v>
      </x:c>
      <x:c r="C337" s="12" t="str">
        <x:v>CORP-0012</x:v>
      </x:c>
      <x:c r="D337" s="12" t="str">
        <x:v>Bengaluru</x:v>
      </x:c>
      <x:c r="E337" s="12" t="str">
        <x:v>Awfis - Prestige Dotcom</x:v>
      </x:c>
      <x:c r="F337" s="12" t="str">
        <x:v>32 inch LED TV</x:v>
      </x:c>
      <x:c r="G337" s="20" t="n">
        <x:v>4</x:v>
      </x:c>
      <x:c r="H337" s="12" t="str">
        <x:v>Inventory-listed building/workspace context; current occupancy and screen access unverified</x:v>
      </x:c>
      <x:c r="I337" s="12" t="str">
        <x:v>Mixed business audience</x:v>
      </x:c>
      <x:c r="J337" s="12" t="str">
        <x:v>Unresolved</x:v>
      </x:c>
      <x:c r="K337" s="2" t="str">
        <x:v>MAIN-016</x:v>
      </x:c>
    </x:row>
    <x:row r="338" ht="46" customHeight="1">
      <x:c r="A338" s="2" t="str">
        <x:v>TEN-1D4C6B5EB3AF</x:v>
      </x:c>
      <x:c r="B338" s="12" t="str">
        <x:v>Ilink Digital</x:v>
      </x:c>
      <x:c r="C338" s="12" t="str">
        <x:v>CORP-0156</x:v>
      </x:c>
      <x:c r="D338" s="12" t="str">
        <x:v>Chennai</x:v>
      </x:c>
      <x:c r="E338" s="12" t="str">
        <x:v>Workflo by Oyo - Innov8 Millenia</x:v>
      </x:c>
      <x:c r="F338" s="12" t="str">
        <x:v>32 inch LED TV</x:v>
      </x:c>
      <x:c r="G338" s="20" t="n">
        <x:v>1</x:v>
      </x:c>
      <x:c r="H338" s="12" t="str">
        <x:v>Inventory-listed building/workspace context; current occupancy and screen access unverified</x:v>
      </x:c>
      <x:c r="I338" s="12" t="str">
        <x:v>Small-scale prospects</x:v>
      </x:c>
      <x:c r="J338" s="12" t="str">
        <x:v>IT &amp; digital</x:v>
      </x:c>
      <x:c r="K338" s="2" t="str">
        <x:v>MAIN-160</x:v>
      </x:c>
    </x:row>
    <x:row r="339" ht="46" customHeight="1">
      <x:c r="A339" s="2" t="str">
        <x:v>TEN-AFA9827C3A8D</x:v>
      </x:c>
      <x:c r="B339" s="12" t="str">
        <x:v>Property sulekha</x:v>
      </x:c>
      <x:c r="C339" s="12" t="str">
        <x:v>CORP-0156</x:v>
      </x:c>
      <x:c r="D339" s="12" t="str">
        <x:v>Chennai</x:v>
      </x:c>
      <x:c r="E339" s="12" t="str">
        <x:v>Workflo by Oyo - Innov8 Millenia</x:v>
      </x:c>
      <x:c r="F339" s="12" t="str">
        <x:v>32 inch LED TV</x:v>
      </x:c>
      <x:c r="G339" s="20" t="n">
        <x:v>1</x:v>
      </x:c>
      <x:c r="H339" s="12" t="str">
        <x:v>Inventory-listed building/workspace context; current occupancy and screen access unverified</x:v>
      </x:c>
      <x:c r="I339" s="12" t="str">
        <x:v>Small-scale prospects</x:v>
      </x:c>
      <x:c r="J339" s="12" t="str">
        <x:v>Trade, consumer &amp; logistics</x:v>
      </x:c>
      <x:c r="K339" s="2" t="str">
        <x:v>MAIN-160</x:v>
      </x:c>
    </x:row>
    <x:row r="340" ht="46" customHeight="1">
      <x:c r="A340" s="2" t="str">
        <x:v>TEN-B3B549850AA9</x:v>
      </x:c>
      <x:c r="B340" s="12" t="str">
        <x:v>Ciklum</x:v>
      </x:c>
      <x:c r="C340" s="12" t="str">
        <x:v>CORP-0156</x:v>
      </x:c>
      <x:c r="D340" s="12" t="str">
        <x:v>Chennai</x:v>
      </x:c>
      <x:c r="E340" s="12" t="str">
        <x:v>Workflo by Oyo - Innov8 Millenia</x:v>
      </x:c>
      <x:c r="F340" s="12" t="str">
        <x:v>32 inch LED TV</x:v>
      </x:c>
      <x:c r="G340" s="20" t="n">
        <x:v>1</x:v>
      </x:c>
      <x:c r="H340" s="12" t="str">
        <x:v>Inventory-listed building/workspace context; current occupancy and screen access unverified</x:v>
      </x:c>
      <x:c r="I340" s="12" t="str">
        <x:v>Mixed business audience</x:v>
      </x:c>
      <x:c r="J340" s="12" t="str">
        <x:v>IT &amp; digital</x:v>
      </x:c>
      <x:c r="K340" s="2" t="str">
        <x:v>MAIN-160</x:v>
      </x:c>
    </x:row>
    <x:row r="341" ht="46" customHeight="1">
      <x:c r="A341" s="2" t="str">
        <x:v>TEN-F975ADEAF864</x:v>
      </x:c>
      <x:c r="B341" s="12" t="str">
        <x:v>IBS Software</x:v>
      </x:c>
      <x:c r="C341" s="12" t="str">
        <x:v>CORP-0156</x:v>
      </x:c>
      <x:c r="D341" s="12" t="str">
        <x:v>Chennai</x:v>
      </x:c>
      <x:c r="E341" s="12" t="str">
        <x:v>Workflo by Oyo - Innov8 Millenia</x:v>
      </x:c>
      <x:c r="F341" s="12" t="str">
        <x:v>32 inch LED TV</x:v>
      </x:c>
      <x:c r="G341" s="20" t="n">
        <x:v>1</x:v>
      </x:c>
      <x:c r="H341" s="12" t="str">
        <x:v>Inventory-listed building/workspace context; current occupancy and screen access unverified</x:v>
      </x:c>
      <x:c r="I341" s="12" t="str">
        <x:v>Mixed business audience</x:v>
      </x:c>
      <x:c r="J341" s="12" t="str">
        <x:v>IT &amp; digital</x:v>
      </x:c>
      <x:c r="K341" s="2" t="str">
        <x:v>MAIN-160</x:v>
      </x:c>
    </x:row>
    <x:row r="342" ht="46" customHeight="1">
      <x:c r="A342" s="2" t="str">
        <x:v>TEN-FFDA1A899520</x:v>
      </x:c>
      <x:c r="B342" s="12" t="str">
        <x:v>Tiger Analytics</x:v>
      </x:c>
      <x:c r="C342" s="12" t="str">
        <x:v>CORP-0156</x:v>
      </x:c>
      <x:c r="D342" s="12" t="str">
        <x:v>Chennai</x:v>
      </x:c>
      <x:c r="E342" s="12" t="str">
        <x:v>Workflo by Oyo - Innov8 Millenia</x:v>
      </x:c>
      <x:c r="F342" s="12" t="str">
        <x:v>32 inch LED TV</x:v>
      </x:c>
      <x:c r="G342" s="20" t="n">
        <x:v>1</x:v>
      </x:c>
      <x:c r="H342" s="12" t="str">
        <x:v>Inventory-listed building/workspace context; current occupancy and screen access unverified</x:v>
      </x:c>
      <x:c r="I342" s="12" t="str">
        <x:v>Mixed business audience</x:v>
      </x:c>
      <x:c r="J342" s="12" t="str">
        <x:v>IT &amp; digital</x:v>
      </x:c>
      <x:c r="K342" s="2" t="str">
        <x:v>MAIN-160</x:v>
      </x:c>
    </x:row>
    <x:row r="343" ht="46" customHeight="1">
      <x:c r="A343" s="2" t="str">
        <x:v>TEN-415DF7078045</x:v>
      </x:c>
      <x:c r="B343" s="12" t="str">
        <x:v>Cooper Standard</x:v>
      </x:c>
      <x:c r="C343" s="12" t="str">
        <x:v>CORP-0157</x:v>
      </x:c>
      <x:c r="D343" s="12" t="str">
        <x:v>Chennai</x:v>
      </x:c>
      <x:c r="E343" s="12" t="str">
        <x:v>Workflow by Oyo - Guindy</x:v>
      </x:c>
      <x:c r="F343" s="12" t="str">
        <x:v>32 inch LED TV</x:v>
      </x:c>
      <x:c r="G343" s="20" t="n">
        <x:v>1</x:v>
      </x:c>
      <x:c r="H343" s="12" t="str">
        <x:v>Inventory-listed building/workspace context; current occupancy and screen access unverified</x:v>
      </x:c>
      <x:c r="I343" s="12" t="str">
        <x:v>Mixed business audience</x:v>
      </x:c>
      <x:c r="J343" s="12" t="str">
        <x:v>Engineering &amp; manufacturing</x:v>
      </x:c>
      <x:c r="K343" s="2" t="str">
        <x:v>MAIN-161</x:v>
      </x:c>
    </x:row>
    <x:row r="344" ht="46" customHeight="1">
      <x:c r="A344" s="2" t="str">
        <x:v>TEN-9FD92F05F310</x:v>
      </x:c>
      <x:c r="B344" s="12" t="str">
        <x:v>Malladi Drugs and Pharmaceuticals limited</x:v>
      </x:c>
      <x:c r="C344" s="12" t="str">
        <x:v>CORP-0157</x:v>
      </x:c>
      <x:c r="D344" s="12" t="str">
        <x:v>Chennai</x:v>
      </x:c>
      <x:c r="E344" s="12" t="str">
        <x:v>Workflow by Oyo - Guindy</x:v>
      </x:c>
      <x:c r="F344" s="12" t="str">
        <x:v>32 inch LED TV</x:v>
      </x:c>
      <x:c r="G344" s="20" t="n">
        <x:v>1</x:v>
      </x:c>
      <x:c r="H344" s="12" t="str">
        <x:v>Inventory-listed building/workspace context; current occupancy and screen access unverified</x:v>
      </x:c>
      <x:c r="I344" s="12" t="str">
        <x:v>Mixed business audience</x:v>
      </x:c>
      <x:c r="J344" s="12" t="str">
        <x:v>Healthcare &amp; life sciences</x:v>
      </x:c>
      <x:c r="K344" s="2" t="str">
        <x:v>MAIN-161</x:v>
      </x:c>
    </x:row>
    <x:row r="345" ht="46" customHeight="1">
      <x:c r="A345" s="2" t="str">
        <x:v>TEN-A3315D1C95D3</x:v>
      </x:c>
      <x:c r="B345" s="12" t="str">
        <x:v>Innovate</x:v>
      </x:c>
      <x:c r="C345" s="12" t="str">
        <x:v>CORP-0157</x:v>
      </x:c>
      <x:c r="D345" s="12" t="str">
        <x:v>Chennai</x:v>
      </x:c>
      <x:c r="E345" s="12" t="str">
        <x:v>Workflow by Oyo - Guindy</x:v>
      </x:c>
      <x:c r="F345" s="12" t="str">
        <x:v>32 inch LED TV</x:v>
      </x:c>
      <x:c r="G345" s="20" t="n">
        <x:v>1</x:v>
      </x:c>
      <x:c r="H345" s="12" t="str">
        <x:v>Inventory-listed building/workspace context; current occupancy and screen access unverified</x:v>
      </x:c>
      <x:c r="I345" s="12" t="str">
        <x:v>Mixed business audience</x:v>
      </x:c>
      <x:c r="J345" s="12" t="str">
        <x:v>Unresolved</x:v>
      </x:c>
      <x:c r="K345" s="2" t="str">
        <x:v>MAIN-161</x:v>
      </x:c>
    </x:row>
    <x:row r="346" ht="46" customHeight="1">
      <x:c r="A346" s="2" t="str">
        <x:v>TEN-B5F3F71440ED</x:v>
      </x:c>
      <x:c r="B346" s="12" t="str">
        <x:v>Interise Project Management</x:v>
      </x:c>
      <x:c r="C346" s="12" t="str">
        <x:v>CORP-0157</x:v>
      </x:c>
      <x:c r="D346" s="12" t="str">
        <x:v>Chennai</x:v>
      </x:c>
      <x:c r="E346" s="12" t="str">
        <x:v>Workflow by Oyo - Guindy</x:v>
      </x:c>
      <x:c r="F346" s="12" t="str">
        <x:v>32 inch LED TV</x:v>
      </x:c>
      <x:c r="G346" s="20" t="n">
        <x:v>1</x:v>
      </x:c>
      <x:c r="H346" s="12" t="str">
        <x:v>Inventory-listed building/workspace context; current occupancy and screen access unverified</x:v>
      </x:c>
      <x:c r="I346" s="12" t="str">
        <x:v>Small-scale prospects</x:v>
      </x:c>
      <x:c r="J346" s="12" t="str">
        <x:v>Trade, consumer &amp; logistics</x:v>
      </x:c>
      <x:c r="K346" s="2" t="str">
        <x:v>MAIN-161</x:v>
      </x:c>
    </x:row>
    <x:row r="347" ht="46" customHeight="1">
      <x:c r="A347" s="2" t="str">
        <x:v>TEN-E922BA855F02</x:v>
      </x:c>
      <x:c r="B347" s="12" t="str">
        <x:v>Yokogawa</x:v>
      </x:c>
      <x:c r="C347" s="12" t="str">
        <x:v>CORP-0157</x:v>
      </x:c>
      <x:c r="D347" s="12" t="str">
        <x:v>Chennai</x:v>
      </x:c>
      <x:c r="E347" s="12" t="str">
        <x:v>Workflow by Oyo - Guindy</x:v>
      </x:c>
      <x:c r="F347" s="12" t="str">
        <x:v>32 inch LED TV</x:v>
      </x:c>
      <x:c r="G347" s="20" t="n">
        <x:v>1</x:v>
      </x:c>
      <x:c r="H347" s="12" t="str">
        <x:v>Inventory-listed building/workspace context; current occupancy and screen access unverified</x:v>
      </x:c>
      <x:c r="I347" s="12" t="str">
        <x:v>Mixed business audience</x:v>
      </x:c>
      <x:c r="J347" s="12" t="str">
        <x:v>Engineering &amp; manufacturing</x:v>
      </x:c>
      <x:c r="K347" s="2" t="str">
        <x:v>MAIN-161</x:v>
      </x:c>
    </x:row>
    <x:row r="348" ht="46" customHeight="1">
      <x:c r="A348" s="2" t="str">
        <x:v>TEN-31041A1A1091</x:v>
      </x:c>
      <x:c r="B348" s="12" t="str">
        <x:v>Trafigura</x:v>
      </x:c>
      <x:c r="C348" s="12" t="str">
        <x:v>CORP-0158</x:v>
      </x:c>
      <x:c r="D348" s="12" t="str">
        <x:v>Delhi NCR</x:v>
      </x:c>
      <x:c r="E348" s="12" t="str">
        <x:v>Awfis - Connaught Place</x:v>
      </x:c>
      <x:c r="F348" s="12" t="str">
        <x:v>32 inch LED TV</x:v>
      </x:c>
      <x:c r="G348" s="20" t="n">
        <x:v>2</x:v>
      </x:c>
      <x:c r="H348" s="12" t="str">
        <x:v>Inventory-listed building/workspace context; current occupancy and screen access unverified</x:v>
      </x:c>
      <x:c r="I348" s="12" t="str">
        <x:v>Mixed business audience</x:v>
      </x:c>
      <x:c r="J348" s="12" t="str">
        <x:v>Trade, consumer &amp; logistics</x:v>
      </x:c>
      <x:c r="K348" s="2" t="str">
        <x:v>MAIN-162</x:v>
      </x:c>
    </x:row>
    <x:row r="349" ht="46" customHeight="1">
      <x:c r="A349" s="2" t="str">
        <x:v>TEN-40A8DB52D8F5</x:v>
      </x:c>
      <x:c r="B349" s="12" t="str">
        <x:v>seagate</x:v>
      </x:c>
      <x:c r="C349" s="12" t="str">
        <x:v>CORP-0158</x:v>
      </x:c>
      <x:c r="D349" s="12" t="str">
        <x:v>Delhi NCR</x:v>
      </x:c>
      <x:c r="E349" s="12" t="str">
        <x:v>Awfis - Connaught Place</x:v>
      </x:c>
      <x:c r="F349" s="12" t="str">
        <x:v>32 inch LED TV</x:v>
      </x:c>
      <x:c r="G349" s="20" t="n">
        <x:v>2</x:v>
      </x:c>
      <x:c r="H349" s="12" t="str">
        <x:v>Inventory-listed building/workspace context; current occupancy and screen access unverified</x:v>
      </x:c>
      <x:c r="I349" s="12" t="str">
        <x:v>Mixed business audience</x:v>
      </x:c>
      <x:c r="J349" s="12" t="str">
        <x:v>Engineering &amp; manufacturing</x:v>
      </x:c>
      <x:c r="K349" s="2" t="str">
        <x:v>MAIN-162</x:v>
      </x:c>
    </x:row>
    <x:row r="350" ht="46" customHeight="1">
      <x:c r="A350" s="2" t="str">
        <x:v>TEN-474177C9CCE2</x:v>
      </x:c>
      <x:c r="B350" s="12" t="str">
        <x:v>AdZ</x:v>
      </x:c>
      <x:c r="C350" s="12" t="str">
        <x:v>CORP-0158</x:v>
      </x:c>
      <x:c r="D350" s="12" t="str">
        <x:v>Delhi NCR</x:v>
      </x:c>
      <x:c r="E350" s="12" t="str">
        <x:v>Awfis - Connaught Place</x:v>
      </x:c>
      <x:c r="F350" s="12" t="str">
        <x:v>32 inch LED TV</x:v>
      </x:c>
      <x:c r="G350" s="20" t="n">
        <x:v>2</x:v>
      </x:c>
      <x:c r="H350" s="12" t="str">
        <x:v>Inventory-listed building/workspace context; current occupancy and screen access unverified</x:v>
      </x:c>
      <x:c r="I350" s="12" t="str">
        <x:v>Mixed business audience</x:v>
      </x:c>
      <x:c r="J350" s="12" t="str">
        <x:v>Unresolved</x:v>
      </x:c>
      <x:c r="K350" s="2" t="str">
        <x:v>MAIN-162</x:v>
      </x:c>
    </x:row>
    <x:row r="351" ht="46" customHeight="1">
      <x:c r="A351" s="2" t="str">
        <x:v>TEN-47E022B2F6C9</x:v>
      </x:c>
      <x:c r="B351" s="12" t="str">
        <x:v>alive&amp;thrive</x:v>
      </x:c>
      <x:c r="C351" s="12" t="str">
        <x:v>CORP-0158</x:v>
      </x:c>
      <x:c r="D351" s="12" t="str">
        <x:v>Delhi NCR</x:v>
      </x:c>
      <x:c r="E351" s="12" t="str">
        <x:v>Awfis - Connaught Place</x:v>
      </x:c>
      <x:c r="F351" s="12" t="str">
        <x:v>32 inch LED TV</x:v>
      </x:c>
      <x:c r="G351" s="20" t="n">
        <x:v>2</x:v>
      </x:c>
      <x:c r="H351" s="12" t="str">
        <x:v>Inventory-listed building/workspace context; current occupancy and screen access unverified</x:v>
      </x:c>
      <x:c r="I351" s="12" t="str">
        <x:v>Mixed business audience</x:v>
      </x:c>
      <x:c r="J351" s="12" t="str">
        <x:v>Unresolved</x:v>
      </x:c>
      <x:c r="K351" s="2" t="str">
        <x:v>MAIN-162</x:v>
      </x:c>
    </x:row>
    <x:row r="352" ht="46" customHeight="1">
      <x:c r="A352" s="2" t="str">
        <x:v>TEN-59DF3EFE3F23</x:v>
      </x:c>
      <x:c r="B352" s="12" t="str">
        <x:v>triggerise</x:v>
      </x:c>
      <x:c r="C352" s="12" t="str">
        <x:v>CORP-0158</x:v>
      </x:c>
      <x:c r="D352" s="12" t="str">
        <x:v>Delhi NCR</x:v>
      </x:c>
      <x:c r="E352" s="12" t="str">
        <x:v>Awfis - Connaught Place</x:v>
      </x:c>
      <x:c r="F352" s="12" t="str">
        <x:v>32 inch LED TV</x:v>
      </x:c>
      <x:c r="G352" s="20" t="n">
        <x:v>2</x:v>
      </x:c>
      <x:c r="H352" s="12" t="str">
        <x:v>Inventory-listed building/workspace context; current occupancy and screen access unverified</x:v>
      </x:c>
      <x:c r="I352" s="12" t="str">
        <x:v>Mixed business audience</x:v>
      </x:c>
      <x:c r="J352" s="12" t="str">
        <x:v>Unresolved</x:v>
      </x:c>
      <x:c r="K352" s="2" t="str">
        <x:v>MAIN-162</x:v>
      </x:c>
    </x:row>
    <x:row r="353" ht="46" customHeight="1">
      <x:c r="A353" s="2" t="str">
        <x:v>TEN-6808A4E9C9BB</x:v>
      </x:c>
      <x:c r="B353" s="12" t="str">
        <x:v>ag aqugen</x:v>
      </x:c>
      <x:c r="C353" s="12" t="str">
        <x:v>CORP-0158</x:v>
      </x:c>
      <x:c r="D353" s="12" t="str">
        <x:v>Delhi NCR</x:v>
      </x:c>
      <x:c r="E353" s="12" t="str">
        <x:v>Awfis - Connaught Place</x:v>
      </x:c>
      <x:c r="F353" s="12" t="str">
        <x:v>32 inch LED TV</x:v>
      </x:c>
      <x:c r="G353" s="20" t="n">
        <x:v>2</x:v>
      </x:c>
      <x:c r="H353" s="12" t="str">
        <x:v>Inventory-listed building/workspace context; current occupancy and screen access unverified</x:v>
      </x:c>
      <x:c r="I353" s="12" t="str">
        <x:v>Mixed business audience</x:v>
      </x:c>
      <x:c r="J353" s="12" t="str">
        <x:v>Unresolved</x:v>
      </x:c>
      <x:c r="K353" s="2" t="str">
        <x:v>MAIN-162</x:v>
      </x:c>
    </x:row>
    <x:row r="354" ht="46" customHeight="1">
      <x:c r="A354" s="2" t="str">
        <x:v>TEN-744696B4409B</x:v>
      </x:c>
      <x:c r="B354" s="12" t="str">
        <x:v>silox</x:v>
      </x:c>
      <x:c r="C354" s="12" t="str">
        <x:v>CORP-0158</x:v>
      </x:c>
      <x:c r="D354" s="12" t="str">
        <x:v>Delhi NCR</x:v>
      </x:c>
      <x:c r="E354" s="12" t="str">
        <x:v>Awfis - Connaught Place</x:v>
      </x:c>
      <x:c r="F354" s="12" t="str">
        <x:v>32 inch LED TV</x:v>
      </x:c>
      <x:c r="G354" s="20" t="n">
        <x:v>2</x:v>
      </x:c>
      <x:c r="H354" s="12" t="str">
        <x:v>Inventory-listed building/workspace context; current occupancy and screen access unverified</x:v>
      </x:c>
      <x:c r="I354" s="12" t="str">
        <x:v>Medium-scale prospects</x:v>
      </x:c>
      <x:c r="J354" s="12" t="str">
        <x:v>Engineering &amp; manufacturing</x:v>
      </x:c>
      <x:c r="K354" s="2" t="str">
        <x:v>MAIN-162</x:v>
      </x:c>
    </x:row>
    <x:row r="355" ht="46" customHeight="1">
      <x:c r="A355" s="2" t="str">
        <x:v>TEN-A291C3AB2411</x:v>
      </x:c>
      <x:c r="B355" s="12" t="str">
        <x:v>New Vertical</x:v>
      </x:c>
      <x:c r="C355" s="12" t="str">
        <x:v>CORP-0158</x:v>
      </x:c>
      <x:c r="D355" s="12" t="str">
        <x:v>Delhi NCR</x:v>
      </x:c>
      <x:c r="E355" s="12" t="str">
        <x:v>Awfis - Connaught Place</x:v>
      </x:c>
      <x:c r="F355" s="12" t="str">
        <x:v>32 inch LED TV</x:v>
      </x:c>
      <x:c r="G355" s="20" t="n">
        <x:v>2</x:v>
      </x:c>
      <x:c r="H355" s="12" t="str">
        <x:v>Inventory-listed building/workspace context; current occupancy and screen access unverified</x:v>
      </x:c>
      <x:c r="I355" s="12" t="str">
        <x:v>Mixed business audience</x:v>
      </x:c>
      <x:c r="J355" s="12" t="str">
        <x:v>Unresolved</x:v>
      </x:c>
      <x:c r="K355" s="2" t="str">
        <x:v>MAIN-162</x:v>
      </x:c>
    </x:row>
    <x:row r="356" ht="46" customHeight="1">
      <x:c r="A356" s="2" t="str">
        <x:v>TEN-A50481FFDD48</x:v>
      </x:c>
      <x:c r="B356" s="12" t="str">
        <x:v>CGSC</x:v>
      </x:c>
      <x:c r="C356" s="12" t="str">
        <x:v>CORP-0158</x:v>
      </x:c>
      <x:c r="D356" s="12" t="str">
        <x:v>Delhi NCR</x:v>
      </x:c>
      <x:c r="E356" s="12" t="str">
        <x:v>Awfis - Connaught Place</x:v>
      </x:c>
      <x:c r="F356" s="12" t="str">
        <x:v>32 inch LED TV</x:v>
      </x:c>
      <x:c r="G356" s="20" t="n">
        <x:v>2</x:v>
      </x:c>
      <x:c r="H356" s="12" t="str">
        <x:v>Inventory-listed building/workspace context; current occupancy and screen access unverified</x:v>
      </x:c>
      <x:c r="I356" s="12" t="str">
        <x:v>Mixed business audience</x:v>
      </x:c>
      <x:c r="J356" s="12" t="str">
        <x:v>Unresolved</x:v>
      </x:c>
      <x:c r="K356" s="2" t="str">
        <x:v>MAIN-162</x:v>
      </x:c>
    </x:row>
    <x:row r="357" ht="46" customHeight="1">
      <x:c r="A357" s="2" t="str">
        <x:v>TEN-EC87D0E0735C</x:v>
      </x:c>
      <x:c r="B357" s="12" t="str">
        <x:v>RUSSELL</x:v>
      </x:c>
      <x:c r="C357" s="12" t="str">
        <x:v>CORP-0158</x:v>
      </x:c>
      <x:c r="D357" s="12" t="str">
        <x:v>Delhi NCR</x:v>
      </x:c>
      <x:c r="E357" s="12" t="str">
        <x:v>Awfis - Connaught Place</x:v>
      </x:c>
      <x:c r="F357" s="12" t="str">
        <x:v>32 inch LED TV</x:v>
      </x:c>
      <x:c r="G357" s="20" t="n">
        <x:v>2</x:v>
      </x:c>
      <x:c r="H357" s="12" t="str">
        <x:v>Inventory-listed building/workspace context; current occupancy and screen access unverified</x:v>
      </x:c>
      <x:c r="I357" s="12" t="str">
        <x:v>Mixed business audience</x:v>
      </x:c>
      <x:c r="J357" s="12" t="str">
        <x:v>Unresolved</x:v>
      </x:c>
      <x:c r="K357" s="2" t="str">
        <x:v>MAIN-162</x:v>
      </x:c>
    </x:row>
    <x:row r="358" ht="46" customHeight="1">
      <x:c r="A358" s="2" t="str">
        <x:v>TEN-069C6A580D35</x:v>
      </x:c>
      <x:c r="B358" s="12" t="str">
        <x:v>asuku India Pvt Ltd</x:v>
      </x:c>
      <x:c r="C358" s="12" t="str">
        <x:v>CORP-0159</x:v>
      </x:c>
      <x:c r="D358" s="12" t="str">
        <x:v>Delhi NCR</x:v>
      </x:c>
      <x:c r="E358" s="12" t="str">
        <x:v>Awfis - Mohan Cooperative</x:v>
      </x:c>
      <x:c r="F358" s="12" t="str">
        <x:v>32 inch LED TV</x:v>
      </x:c>
      <x:c r="G358" s="20" t="n">
        <x:v>3</x:v>
      </x:c>
      <x:c r="H358" s="12" t="str">
        <x:v>Campus/portfolio roster; individual building occupancy unverified</x:v>
      </x:c>
      <x:c r="I358" s="12" t="str">
        <x:v>Mixed business audience</x:v>
      </x:c>
      <x:c r="J358" s="12" t="str">
        <x:v>Unresolved</x:v>
      </x:c>
      <x:c r="K358" s="2" t="str">
        <x:v>MAIN-163</x:v>
      </x:c>
    </x:row>
    <x:row r="359" ht="46" customHeight="1">
      <x:c r="A359" s="2" t="str">
        <x:v>TEN-508BB24BB9BD</x:v>
      </x:c>
      <x:c r="B359" s="12" t="str">
        <x:v>ADG</x:v>
      </x:c>
      <x:c r="C359" s="12" t="str">
        <x:v>CORP-0159</x:v>
      </x:c>
      <x:c r="D359" s="12" t="str">
        <x:v>Delhi NCR</x:v>
      </x:c>
      <x:c r="E359" s="12" t="str">
        <x:v>Awfis - Mohan Cooperative</x:v>
      </x:c>
      <x:c r="F359" s="12" t="str">
        <x:v>32 inch LED TV</x:v>
      </x:c>
      <x:c r="G359" s="20" t="n">
        <x:v>3</x:v>
      </x:c>
      <x:c r="H359" s="12" t="str">
        <x:v>Campus/portfolio roster; individual building occupancy unverified</x:v>
      </x:c>
      <x:c r="I359" s="12" t="str">
        <x:v>Mixed business audience</x:v>
      </x:c>
      <x:c r="J359" s="12" t="str">
        <x:v>Unresolved</x:v>
      </x:c>
      <x:c r="K359" s="2" t="str">
        <x:v>MAIN-163</x:v>
      </x:c>
    </x:row>
    <x:row r="360" ht="46" customHeight="1">
      <x:c r="A360" s="2" t="str">
        <x:v>TEN-61BF9757EB71</x:v>
      </x:c>
      <x:c r="B360" s="12" t="str">
        <x:v>BMM</x:v>
      </x:c>
      <x:c r="C360" s="12" t="str">
        <x:v>CORP-0159</x:v>
      </x:c>
      <x:c r="D360" s="12" t="str">
        <x:v>Delhi NCR</x:v>
      </x:c>
      <x:c r="E360" s="12" t="str">
        <x:v>Awfis - Mohan Cooperative</x:v>
      </x:c>
      <x:c r="F360" s="12" t="str">
        <x:v>32 inch LED TV</x:v>
      </x:c>
      <x:c r="G360" s="20" t="n">
        <x:v>3</x:v>
      </x:c>
      <x:c r="H360" s="12" t="str">
        <x:v>Campus/portfolio roster; individual building occupancy unverified</x:v>
      </x:c>
      <x:c r="I360" s="12" t="str">
        <x:v>Mixed business audience</x:v>
      </x:c>
      <x:c r="J360" s="12" t="str">
        <x:v>Unresolved</x:v>
      </x:c>
      <x:c r="K360" s="2" t="str">
        <x:v>MAIN-163</x:v>
      </x:c>
    </x:row>
    <x:row r="361" ht="46" customHeight="1">
      <x:c r="A361" s="2" t="str">
        <x:v>TEN-7BE11149A114</x:v>
      </x:c>
      <x:c r="B361" s="12" t="str">
        <x:v>tech connect</x:v>
      </x:c>
      <x:c r="C361" s="12" t="str">
        <x:v>CORP-0159</x:v>
      </x:c>
      <x:c r="D361" s="12" t="str">
        <x:v>Delhi NCR</x:v>
      </x:c>
      <x:c r="E361" s="12" t="str">
        <x:v>Awfis - Mohan Cooperative</x:v>
      </x:c>
      <x:c r="F361" s="12" t="str">
        <x:v>32 inch LED TV</x:v>
      </x:c>
      <x:c r="G361" s="20" t="n">
        <x:v>3</x:v>
      </x:c>
      <x:c r="H361" s="12" t="str">
        <x:v>Campus/portfolio roster; individual building occupancy unverified</x:v>
      </x:c>
      <x:c r="I361" s="12" t="str">
        <x:v>Mixed business audience</x:v>
      </x:c>
      <x:c r="J361" s="12" t="str">
        <x:v>Unresolved</x:v>
      </x:c>
      <x:c r="K361" s="2" t="str">
        <x:v>MAIN-163</x:v>
      </x:c>
    </x:row>
    <x:row r="362" ht="46" customHeight="1">
      <x:c r="A362" s="2" t="str">
        <x:v>TEN-A462520BC920</x:v>
      </x:c>
      <x:c r="B362" s="12" t="str">
        <x:v>GODREJ INFOTECH</x:v>
      </x:c>
      <x:c r="C362" s="12" t="str">
        <x:v>CORP-0159</x:v>
      </x:c>
      <x:c r="D362" s="12" t="str">
        <x:v>Delhi NCR</x:v>
      </x:c>
      <x:c r="E362" s="12" t="str">
        <x:v>Awfis - Mohan Cooperative</x:v>
      </x:c>
      <x:c r="F362" s="12" t="str">
        <x:v>32 inch LED TV</x:v>
      </x:c>
      <x:c r="G362" s="20" t="n">
        <x:v>3</x:v>
      </x:c>
      <x:c r="H362" s="12" t="str">
        <x:v>Campus/portfolio roster; individual building occupancy unverified</x:v>
      </x:c>
      <x:c r="I362" s="12" t="str">
        <x:v>Mixed business audience</x:v>
      </x:c>
      <x:c r="J362" s="12" t="str">
        <x:v>IT &amp; digital</x:v>
      </x:c>
      <x:c r="K362" s="2" t="str">
        <x:v>MAIN-163</x:v>
      </x:c>
    </x:row>
    <x:row r="363" ht="46" customHeight="1">
      <x:c r="A363" s="2" t="str">
        <x:v>TEN-E3C920552F7B</x:v>
      </x:c>
      <x:c r="B363" s="12" t="str">
        <x:v>iVlentor</x:v>
      </x:c>
      <x:c r="C363" s="12" t="str">
        <x:v>CORP-0159</x:v>
      </x:c>
      <x:c r="D363" s="12" t="str">
        <x:v>Delhi NCR</x:v>
      </x:c>
      <x:c r="E363" s="12" t="str">
        <x:v>Awfis - Mohan Cooperative</x:v>
      </x:c>
      <x:c r="F363" s="12" t="str">
        <x:v>32 inch LED TV</x:v>
      </x:c>
      <x:c r="G363" s="20" t="n">
        <x:v>3</x:v>
      </x:c>
      <x:c r="H363" s="12" t="str">
        <x:v>Campus/portfolio roster; individual building occupancy unverified</x:v>
      </x:c>
      <x:c r="I363" s="12" t="str">
        <x:v>Mixed business audience</x:v>
      </x:c>
      <x:c r="J363" s="12" t="str">
        <x:v>Unresolved</x:v>
      </x:c>
      <x:c r="K363" s="2" t="str">
        <x:v>MAIN-163</x:v>
      </x:c>
    </x:row>
    <x:row r="364" ht="46" customHeight="1">
      <x:c r="A364" s="2" t="str">
        <x:v>TEN-E9EBDCC61F12</x:v>
      </x:c>
      <x:c r="B364" s="12" t="str">
        <x:v>practo</x:v>
      </x:c>
      <x:c r="C364" s="12" t="str">
        <x:v>CORP-0159</x:v>
      </x:c>
      <x:c r="D364" s="12" t="str">
        <x:v>Delhi NCR</x:v>
      </x:c>
      <x:c r="E364" s="12" t="str">
        <x:v>Awfis - Mohan Cooperative</x:v>
      </x:c>
      <x:c r="F364" s="12" t="str">
        <x:v>32 inch LED TV</x:v>
      </x:c>
      <x:c r="G364" s="20" t="n">
        <x:v>3</x:v>
      </x:c>
      <x:c r="H364" s="12" t="str">
        <x:v>Campus/portfolio roster; individual building occupancy unverified</x:v>
      </x:c>
      <x:c r="I364" s="12" t="str">
        <x:v>Mixed business audience</x:v>
      </x:c>
      <x:c r="J364" s="12" t="str">
        <x:v>Healthcare &amp; life sciences</x:v>
      </x:c>
      <x:c r="K364" s="2" t="str">
        <x:v>MAIN-163</x:v>
      </x:c>
    </x:row>
    <x:row r="365" ht="46" customHeight="1">
      <x:c r="A365" s="2" t="str">
        <x:v>TEN-F66746C19057</x:v>
      </x:c>
      <x:c r="B365" s="12" t="str">
        <x:v>Six Red Marbles</x:v>
      </x:c>
      <x:c r="C365" s="12" t="str">
        <x:v>CORP-0159</x:v>
      </x:c>
      <x:c r="D365" s="12" t="str">
        <x:v>Delhi NCR</x:v>
      </x:c>
      <x:c r="E365" s="12" t="str">
        <x:v>Awfis - Mohan Cooperative</x:v>
      </x:c>
      <x:c r="F365" s="12" t="str">
        <x:v>32 inch LED TV</x:v>
      </x:c>
      <x:c r="G365" s="20" t="n">
        <x:v>3</x:v>
      </x:c>
      <x:c r="H365" s="12" t="str">
        <x:v>Campus/portfolio roster; individual building occupancy unverified</x:v>
      </x:c>
      <x:c r="I365" s="12" t="str">
        <x:v>Small-scale prospects</x:v>
      </x:c>
      <x:c r="J365" s="12" t="str">
        <x:v>Education</x:v>
      </x:c>
      <x:c r="K365" s="2" t="str">
        <x:v>MAIN-163</x:v>
      </x:c>
    </x:row>
    <x:row r="366" ht="46" customHeight="1">
      <x:c r="A366" s="2" t="str">
        <x:v>TEN-069C6A580D35</x:v>
      </x:c>
      <x:c r="B366" s="12" t="str">
        <x:v>asuku India Pvt Ltd</x:v>
      </x:c>
      <x:c r="C366" s="12" t="str">
        <x:v>CORP-0160</x:v>
      </x:c>
      <x:c r="D366" s="12" t="str">
        <x:v>Delhi NCR</x:v>
      </x:c>
      <x:c r="E366" s="12" t="str">
        <x:v>Awfis - Mohan Cooperative 2</x:v>
      </x:c>
      <x:c r="F366" s="12" t="str">
        <x:v>32 inch LED TV</x:v>
      </x:c>
      <x:c r="G366" s="20" t="n">
        <x:v>1</x:v>
      </x:c>
      <x:c r="H366" s="12" t="str">
        <x:v>Campus/portfolio roster; individual building occupancy unverified</x:v>
      </x:c>
      <x:c r="I366" s="12" t="str">
        <x:v>Mixed business audience</x:v>
      </x:c>
      <x:c r="J366" s="12" t="str">
        <x:v>Unresolved</x:v>
      </x:c>
      <x:c r="K366" s="2" t="str">
        <x:v>MAIN-164</x:v>
      </x:c>
    </x:row>
    <x:row r="367" ht="46" customHeight="1">
      <x:c r="A367" s="2" t="str">
        <x:v>TEN-508BB24BB9BD</x:v>
      </x:c>
      <x:c r="B367" s="12" t="str">
        <x:v>ADG</x:v>
      </x:c>
      <x:c r="C367" s="12" t="str">
        <x:v>CORP-0160</x:v>
      </x:c>
      <x:c r="D367" s="12" t="str">
        <x:v>Delhi NCR</x:v>
      </x:c>
      <x:c r="E367" s="12" t="str">
        <x:v>Awfis - Mohan Cooperative 2</x:v>
      </x:c>
      <x:c r="F367" s="12" t="str">
        <x:v>32 inch LED TV</x:v>
      </x:c>
      <x:c r="G367" s="20" t="n">
        <x:v>1</x:v>
      </x:c>
      <x:c r="H367" s="12" t="str">
        <x:v>Campus/portfolio roster; individual building occupancy unverified</x:v>
      </x:c>
      <x:c r="I367" s="12" t="str">
        <x:v>Mixed business audience</x:v>
      </x:c>
      <x:c r="J367" s="12" t="str">
        <x:v>Unresolved</x:v>
      </x:c>
      <x:c r="K367" s="2" t="str">
        <x:v>MAIN-164</x:v>
      </x:c>
    </x:row>
    <x:row r="368" ht="46" customHeight="1">
      <x:c r="A368" s="2" t="str">
        <x:v>TEN-61BF9757EB71</x:v>
      </x:c>
      <x:c r="B368" s="12" t="str">
        <x:v>BMM</x:v>
      </x:c>
      <x:c r="C368" s="12" t="str">
        <x:v>CORP-0160</x:v>
      </x:c>
      <x:c r="D368" s="12" t="str">
        <x:v>Delhi NCR</x:v>
      </x:c>
      <x:c r="E368" s="12" t="str">
        <x:v>Awfis - Mohan Cooperative 2</x:v>
      </x:c>
      <x:c r="F368" s="12" t="str">
        <x:v>32 inch LED TV</x:v>
      </x:c>
      <x:c r="G368" s="20" t="n">
        <x:v>1</x:v>
      </x:c>
      <x:c r="H368" s="12" t="str">
        <x:v>Campus/portfolio roster; individual building occupancy unverified</x:v>
      </x:c>
      <x:c r="I368" s="12" t="str">
        <x:v>Mixed business audience</x:v>
      </x:c>
      <x:c r="J368" s="12" t="str">
        <x:v>Unresolved</x:v>
      </x:c>
      <x:c r="K368" s="2" t="str">
        <x:v>MAIN-164</x:v>
      </x:c>
    </x:row>
    <x:row r="369" ht="46" customHeight="1">
      <x:c r="A369" s="2" t="str">
        <x:v>TEN-7BE11149A114</x:v>
      </x:c>
      <x:c r="B369" s="12" t="str">
        <x:v>tech connect</x:v>
      </x:c>
      <x:c r="C369" s="12" t="str">
        <x:v>CORP-0160</x:v>
      </x:c>
      <x:c r="D369" s="12" t="str">
        <x:v>Delhi NCR</x:v>
      </x:c>
      <x:c r="E369" s="12" t="str">
        <x:v>Awfis - Mohan Cooperative 2</x:v>
      </x:c>
      <x:c r="F369" s="12" t="str">
        <x:v>32 inch LED TV</x:v>
      </x:c>
      <x:c r="G369" s="20" t="n">
        <x:v>1</x:v>
      </x:c>
      <x:c r="H369" s="12" t="str">
        <x:v>Campus/portfolio roster; individual building occupancy unverified</x:v>
      </x:c>
      <x:c r="I369" s="12" t="str">
        <x:v>Mixed business audience</x:v>
      </x:c>
      <x:c r="J369" s="12" t="str">
        <x:v>Unresolved</x:v>
      </x:c>
      <x:c r="K369" s="2" t="str">
        <x:v>MAIN-164</x:v>
      </x:c>
    </x:row>
    <x:row r="370" ht="46" customHeight="1">
      <x:c r="A370" s="2" t="str">
        <x:v>TEN-A462520BC920</x:v>
      </x:c>
      <x:c r="B370" s="12" t="str">
        <x:v>GODREJ INFOTECH</x:v>
      </x:c>
      <x:c r="C370" s="12" t="str">
        <x:v>CORP-0160</x:v>
      </x:c>
      <x:c r="D370" s="12" t="str">
        <x:v>Delhi NCR</x:v>
      </x:c>
      <x:c r="E370" s="12" t="str">
        <x:v>Awfis - Mohan Cooperative 2</x:v>
      </x:c>
      <x:c r="F370" s="12" t="str">
        <x:v>32 inch LED TV</x:v>
      </x:c>
      <x:c r="G370" s="20" t="n">
        <x:v>1</x:v>
      </x:c>
      <x:c r="H370" s="12" t="str">
        <x:v>Campus/portfolio roster; individual building occupancy unverified</x:v>
      </x:c>
      <x:c r="I370" s="12" t="str">
        <x:v>Mixed business audience</x:v>
      </x:c>
      <x:c r="J370" s="12" t="str">
        <x:v>IT &amp; digital</x:v>
      </x:c>
      <x:c r="K370" s="2" t="str">
        <x:v>MAIN-164</x:v>
      </x:c>
    </x:row>
    <x:row r="371" ht="46" customHeight="1">
      <x:c r="A371" s="2" t="str">
        <x:v>TEN-E3C920552F7B</x:v>
      </x:c>
      <x:c r="B371" s="12" t="str">
        <x:v>iVlentor</x:v>
      </x:c>
      <x:c r="C371" s="12" t="str">
        <x:v>CORP-0160</x:v>
      </x:c>
      <x:c r="D371" s="12" t="str">
        <x:v>Delhi NCR</x:v>
      </x:c>
      <x:c r="E371" s="12" t="str">
        <x:v>Awfis - Mohan Cooperative 2</x:v>
      </x:c>
      <x:c r="F371" s="12" t="str">
        <x:v>32 inch LED TV</x:v>
      </x:c>
      <x:c r="G371" s="20" t="n">
        <x:v>1</x:v>
      </x:c>
      <x:c r="H371" s="12" t="str">
        <x:v>Campus/portfolio roster; individual building occupancy unverified</x:v>
      </x:c>
      <x:c r="I371" s="12" t="str">
        <x:v>Mixed business audience</x:v>
      </x:c>
      <x:c r="J371" s="12" t="str">
        <x:v>Unresolved</x:v>
      </x:c>
      <x:c r="K371" s="2" t="str">
        <x:v>MAIN-164</x:v>
      </x:c>
    </x:row>
    <x:row r="372" ht="46" customHeight="1">
      <x:c r="A372" s="2" t="str">
        <x:v>TEN-E9EBDCC61F12</x:v>
      </x:c>
      <x:c r="B372" s="12" t="str">
        <x:v>practo</x:v>
      </x:c>
      <x:c r="C372" s="12" t="str">
        <x:v>CORP-0160</x:v>
      </x:c>
      <x:c r="D372" s="12" t="str">
        <x:v>Delhi NCR</x:v>
      </x:c>
      <x:c r="E372" s="12" t="str">
        <x:v>Awfis - Mohan Cooperative 2</x:v>
      </x:c>
      <x:c r="F372" s="12" t="str">
        <x:v>32 inch LED TV</x:v>
      </x:c>
      <x:c r="G372" s="20" t="n">
        <x:v>1</x:v>
      </x:c>
      <x:c r="H372" s="12" t="str">
        <x:v>Campus/portfolio roster; individual building occupancy unverified</x:v>
      </x:c>
      <x:c r="I372" s="12" t="str">
        <x:v>Mixed business audience</x:v>
      </x:c>
      <x:c r="J372" s="12" t="str">
        <x:v>Healthcare &amp; life sciences</x:v>
      </x:c>
      <x:c r="K372" s="2" t="str">
        <x:v>MAIN-164</x:v>
      </x:c>
    </x:row>
    <x:row r="373" ht="46" customHeight="1">
      <x:c r="A373" s="2" t="str">
        <x:v>TEN-F66746C19057</x:v>
      </x:c>
      <x:c r="B373" s="12" t="str">
        <x:v>Six Red Marbles</x:v>
      </x:c>
      <x:c r="C373" s="12" t="str">
        <x:v>CORP-0160</x:v>
      </x:c>
      <x:c r="D373" s="12" t="str">
        <x:v>Delhi NCR</x:v>
      </x:c>
      <x:c r="E373" s="12" t="str">
        <x:v>Awfis - Mohan Cooperative 2</x:v>
      </x:c>
      <x:c r="F373" s="12" t="str">
        <x:v>32 inch LED TV</x:v>
      </x:c>
      <x:c r="G373" s="20" t="n">
        <x:v>1</x:v>
      </x:c>
      <x:c r="H373" s="12" t="str">
        <x:v>Campus/portfolio roster; individual building occupancy unverified</x:v>
      </x:c>
      <x:c r="I373" s="12" t="str">
        <x:v>Small-scale prospects</x:v>
      </x:c>
      <x:c r="J373" s="12" t="str">
        <x:v>Education</x:v>
      </x:c>
      <x:c r="K373" s="2" t="str">
        <x:v>MAIN-164</x:v>
      </x:c>
    </x:row>
    <x:row r="374" ht="46" customHeight="1">
      <x:c r="A374" s="2" t="str">
        <x:v>TEN-298147A4B3E2</x:v>
      </x:c>
      <x:c r="B374" s="12" t="str">
        <x:v>Awfis</x:v>
      </x:c>
      <x:c r="C374" s="12" t="str">
        <x:v>CORP-0161</x:v>
      </x:c>
      <x:c r="D374" s="12" t="str">
        <x:v>Delhi NCR</x:v>
      </x:c>
      <x:c r="E374" s="12" t="str">
        <x:v>Awfis - Qutab 2</x:v>
      </x:c>
      <x:c r="F374" s="12" t="str">
        <x:v>32 inch LED TV</x:v>
      </x:c>
      <x:c r="G374" s="20" t="n">
        <x:v>1</x:v>
      </x:c>
      <x:c r="H374" s="12" t="str">
        <x:v>Workspace operator inferred from explicit property name; tenant occupants unconfirmed</x:v>
      </x:c>
      <x:c r="I374" s="12" t="str">
        <x:v>Mixed business audience</x:v>
      </x:c>
      <x:c r="J374" s="12" t="str">
        <x:v>Workspace &amp; property operations</x:v>
      </x:c>
      <x:c r="K374" s="2" t="str">
        <x:v>MAIN-165</x:v>
      </x:c>
    </x:row>
    <x:row r="375" ht="46" customHeight="1">
      <x:c r="A375" s="2" t="str">
        <x:v>TEN-722C60CE3D88</x:v>
      </x:c>
      <x:c r="B375" s="12" t="str">
        <x:v>KritiKal Solutions</x:v>
      </x:c>
      <x:c r="C375" s="12" t="str">
        <x:v>CORP-0162</x:v>
      </x:c>
      <x:c r="D375" s="12" t="str">
        <x:v>Delhi NCR</x:v>
      </x:c>
      <x:c r="E375" s="12" t="str">
        <x:v>Corporate Park</x:v>
      </x:c>
      <x:c r="F375" s="12" t="str">
        <x:v>43 inch LED TV</x:v>
      </x:c>
      <x:c r="G375" s="20" t="n">
        <x:v>2</x:v>
      </x:c>
      <x:c r="H375" s="12" t="str">
        <x:v>Inventory-listed building/workspace context; current occupancy and screen access unverified</x:v>
      </x:c>
      <x:c r="I375" s="12" t="str">
        <x:v>Medium-scale prospects</x:v>
      </x:c>
      <x:c r="J375" s="12" t="str">
        <x:v>IT &amp; digital</x:v>
      </x:c>
      <x:c r="K375" s="2" t="str">
        <x:v>MAIN-166</x:v>
      </x:c>
    </x:row>
    <x:row r="376" ht="46" customHeight="1">
      <x:c r="A376" s="2" t="str">
        <x:v>TEN-792911A1FF69</x:v>
      </x:c>
      <x:c r="B376" s="12" t="str">
        <x:v>VoerEir India Private Limited</x:v>
      </x:c>
      <x:c r="C376" s="12" t="str">
        <x:v>CORP-0162</x:v>
      </x:c>
      <x:c r="D376" s="12" t="str">
        <x:v>Delhi NCR</x:v>
      </x:c>
      <x:c r="E376" s="12" t="str">
        <x:v>Corporate Park</x:v>
      </x:c>
      <x:c r="F376" s="12" t="str">
        <x:v>43 inch LED TV</x:v>
      </x:c>
      <x:c r="G376" s="20" t="n">
        <x:v>2</x:v>
      </x:c>
      <x:c r="H376" s="12" t="str">
        <x:v>Inventory-listed building/workspace context; current occupancy and screen access unverified</x:v>
      </x:c>
      <x:c r="I376" s="12" t="str">
        <x:v>Small-scale prospects</x:v>
      </x:c>
      <x:c r="J376" s="12" t="str">
        <x:v>IT &amp; digital</x:v>
      </x:c>
      <x:c r="K376" s="2" t="str">
        <x:v>MAIN-166</x:v>
      </x:c>
    </x:row>
    <x:row r="377" ht="46" customHeight="1">
      <x:c r="A377" s="2" t="str">
        <x:v>TEN-DCF9DC421B47</x:v>
      </x:c>
      <x:c r="B377" s="12" t="str">
        <x:v>Rezo.AI</x:v>
      </x:c>
      <x:c r="C377" s="12" t="str">
        <x:v>CORP-0162</x:v>
      </x:c>
      <x:c r="D377" s="12" t="str">
        <x:v>Delhi NCR</x:v>
      </x:c>
      <x:c r="E377" s="12" t="str">
        <x:v>Corporate Park</x:v>
      </x:c>
      <x:c r="F377" s="12" t="str">
        <x:v>43 inch LED TV</x:v>
      </x:c>
      <x:c r="G377" s="20" t="n">
        <x:v>2</x:v>
      </x:c>
      <x:c r="H377" s="12" t="str">
        <x:v>Inventory-listed building/workspace context; current occupancy and screen access unverified</x:v>
      </x:c>
      <x:c r="I377" s="12" t="str">
        <x:v>Small-scale prospects</x:v>
      </x:c>
      <x:c r="J377" s="12" t="str">
        <x:v>IT &amp; digital</x:v>
      </x:c>
      <x:c r="K377" s="2" t="str">
        <x:v>MAIN-166</x:v>
      </x:c>
    </x:row>
    <x:row r="378" ht="46" customHeight="1">
      <x:c r="A378" s="2" t="str">
        <x:v>TEN-E4D518380716</x:v>
      </x:c>
      <x:c r="B378" s="12" t="str">
        <x:v>SourceFuse Technologies India</x:v>
      </x:c>
      <x:c r="C378" s="12" t="str">
        <x:v>CORP-0162</x:v>
      </x:c>
      <x:c r="D378" s="12" t="str">
        <x:v>Delhi NCR</x:v>
      </x:c>
      <x:c r="E378" s="12" t="str">
        <x:v>Corporate Park</x:v>
      </x:c>
      <x:c r="F378" s="12" t="str">
        <x:v>43 inch LED TV</x:v>
      </x:c>
      <x:c r="G378" s="20" t="n">
        <x:v>2</x:v>
      </x:c>
      <x:c r="H378" s="12" t="str">
        <x:v>Inventory-listed building/workspace context; current occupancy and screen access unverified</x:v>
      </x:c>
      <x:c r="I378" s="12" t="str">
        <x:v>Small-scale prospects</x:v>
      </x:c>
      <x:c r="J378" s="12" t="str">
        <x:v>IT &amp; digital</x:v>
      </x:c>
      <x:c r="K378" s="2" t="str">
        <x:v>MAIN-166</x:v>
      </x:c>
    </x:row>
    <x:row r="379" ht="46" customHeight="1">
      <x:c r="A379" s="2" t="str">
        <x:v>TEN-F057355754F4</x:v>
      </x:c>
      <x:c r="B379" s="12" t="str">
        <x:v>Magic FinServ</x:v>
      </x:c>
      <x:c r="C379" s="12" t="str">
        <x:v>CORP-0162</x:v>
      </x:c>
      <x:c r="D379" s="12" t="str">
        <x:v>Delhi NCR</x:v>
      </x:c>
      <x:c r="E379" s="12" t="str">
        <x:v>Corporate Park</x:v>
      </x:c>
      <x:c r="F379" s="12" t="str">
        <x:v>43 inch LED TV</x:v>
      </x:c>
      <x:c r="G379" s="20" t="n">
        <x:v>2</x:v>
      </x:c>
      <x:c r="H379" s="12" t="str">
        <x:v>Inventory-listed building/workspace context; current occupancy and screen access unverified</x:v>
      </x:c>
      <x:c r="I379" s="12" t="str">
        <x:v>Medium-scale prospects</x:v>
      </x:c>
      <x:c r="J379" s="12" t="str">
        <x:v>Finance &amp; insurance</x:v>
      </x:c>
      <x:c r="K379" s="2" t="str">
        <x:v>MAIN-166</x:v>
      </x:c>
    </x:row>
    <x:row r="380" ht="46" customHeight="1">
      <x:c r="A380" s="2" t="str">
        <x:v>TEN-0BF923F90AB2</x:v>
      </x:c>
      <x:c r="B380" s="12" t="str">
        <x:v>Reliance</x:v>
      </x:c>
      <x:c r="C380" s="12" t="str">
        <x:v>CORP-0163</x:v>
      </x:c>
      <x:c r="D380" s="12" t="str">
        <x:v>Delhi NCR</x:v>
      </x:c>
      <x:c r="E380" s="12" t="str">
        <x:v>Emaar Colonnade</x:v>
      </x:c>
      <x:c r="F380" s="12" t="str">
        <x:v>55 inch LED TV</x:v>
      </x:c>
      <x:c r="G380" s="20" t="n">
        <x:v>5</x:v>
      </x:c>
      <x:c r="H380" s="12" t="str">
        <x:v>Inventory-listed building/workspace context; current occupancy and screen access unverified</x:v>
      </x:c>
      <x:c r="I380" s="12" t="str">
        <x:v>Mixed business audience</x:v>
      </x:c>
      <x:c r="J380" s="12" t="str">
        <x:v>Unresolved</x:v>
      </x:c>
      <x:c r="K380" s="2" t="str">
        <x:v>MAIN-167</x:v>
      </x:c>
    </x:row>
    <x:row r="381" ht="46" customHeight="1">
      <x:c r="A381" s="2" t="str">
        <x:v>TEN-20B144369BB5</x:v>
      </x:c>
      <x:c r="B381" s="12" t="str">
        <x:v>Eldeco</x:v>
      </x:c>
      <x:c r="C381" s="12" t="str">
        <x:v>CORP-0163</x:v>
      </x:c>
      <x:c r="D381" s="12" t="str">
        <x:v>Delhi NCR</x:v>
      </x:c>
      <x:c r="E381" s="12" t="str">
        <x:v>Emaar Colonnade</x:v>
      </x:c>
      <x:c r="F381" s="12" t="str">
        <x:v>55 inch LED TV</x:v>
      </x:c>
      <x:c r="G381" s="20" t="n">
        <x:v>5</x:v>
      </x:c>
      <x:c r="H381" s="12" t="str">
        <x:v>Inventory-listed building/workspace context; current occupancy and screen access unverified</x:v>
      </x:c>
      <x:c r="I381" s="12" t="str">
        <x:v>Mixed business audience</x:v>
      </x:c>
      <x:c r="J381" s="12" t="str">
        <x:v>Trade, consumer &amp; logistics</x:v>
      </x:c>
      <x:c r="K381" s="2" t="str">
        <x:v>MAIN-167</x:v>
      </x:c>
    </x:row>
    <x:row r="382" ht="46" customHeight="1">
      <x:c r="A382" s="2" t="str">
        <x:v>TEN-3792C75A4225</x:v>
      </x:c>
      <x:c r="B382" s="12" t="str">
        <x:v>Ekana</x:v>
      </x:c>
      <x:c r="C382" s="12" t="str">
        <x:v>CORP-0163</x:v>
      </x:c>
      <x:c r="D382" s="12" t="str">
        <x:v>Delhi NCR</x:v>
      </x:c>
      <x:c r="E382" s="12" t="str">
        <x:v>Emaar Colonnade</x:v>
      </x:c>
      <x:c r="F382" s="12" t="str">
        <x:v>55 inch LED TV</x:v>
      </x:c>
      <x:c r="G382" s="20" t="n">
        <x:v>5</x:v>
      </x:c>
      <x:c r="H382" s="12" t="str">
        <x:v>Inventory-listed building/workspace context; current occupancy and screen access unverified</x:v>
      </x:c>
      <x:c r="I382" s="12" t="str">
        <x:v>Small-scale prospects</x:v>
      </x:c>
      <x:c r="J382" s="12" t="str">
        <x:v>Trade, consumer &amp; logistics</x:v>
      </x:c>
      <x:c r="K382" s="2" t="str">
        <x:v>MAIN-167</x:v>
      </x:c>
    </x:row>
    <x:row r="383" ht="46" customHeight="1">
      <x:c r="A383" s="2" t="str">
        <x:v>TEN-587D392B6C76</x:v>
      </x:c>
      <x:c r="B383" s="12" t="str">
        <x:v>Sony</x:v>
      </x:c>
      <x:c r="C383" s="12" t="str">
        <x:v>CORP-0163</x:v>
      </x:c>
      <x:c r="D383" s="12" t="str">
        <x:v>Delhi NCR</x:v>
      </x:c>
      <x:c r="E383" s="12" t="str">
        <x:v>Emaar Colonnade</x:v>
      </x:c>
      <x:c r="F383" s="12" t="str">
        <x:v>55 inch LED TV</x:v>
      </x:c>
      <x:c r="G383" s="20" t="n">
        <x:v>5</x:v>
      </x:c>
      <x:c r="H383" s="12" t="str">
        <x:v>Inventory-listed building/workspace context; current occupancy and screen access unverified</x:v>
      </x:c>
      <x:c r="I383" s="12" t="str">
        <x:v>Mixed business audience</x:v>
      </x:c>
      <x:c r="J383" s="12" t="str">
        <x:v>Engineering &amp; manufacturing</x:v>
      </x:c>
      <x:c r="K383" s="2" t="str">
        <x:v>MAIN-167</x:v>
      </x:c>
    </x:row>
    <x:row r="384" ht="46" customHeight="1">
      <x:c r="A384" s="2" t="str">
        <x:v>TEN-597730F8975C</x:v>
      </x:c>
      <x:c r="B384" s="12" t="str">
        <x:v>ICICI Lombard</x:v>
      </x:c>
      <x:c r="C384" s="12" t="str">
        <x:v>CORP-0163</x:v>
      </x:c>
      <x:c r="D384" s="12" t="str">
        <x:v>Delhi NCR</x:v>
      </x:c>
      <x:c r="E384" s="12" t="str">
        <x:v>Emaar Colonnade</x:v>
      </x:c>
      <x:c r="F384" s="12" t="str">
        <x:v>55 inch LED TV</x:v>
      </x:c>
      <x:c r="G384" s="20" t="n">
        <x:v>5</x:v>
      </x:c>
      <x:c r="H384" s="12" t="str">
        <x:v>Inventory-listed building/workspace context; current occupancy and screen access unverified</x:v>
      </x:c>
      <x:c r="I384" s="12" t="str">
        <x:v>Large enterprise</x:v>
      </x:c>
      <x:c r="J384" s="12" t="str">
        <x:v>Finance &amp; insurance</x:v>
      </x:c>
      <x:c r="K384" s="2" t="str">
        <x:v>MAIN-167</x:v>
      </x:c>
    </x:row>
    <x:row r="385" ht="46" customHeight="1">
      <x:c r="A385" s="2" t="str">
        <x:v>TEN-5CC2D9AD4311</x:v>
      </x:c>
      <x:c r="B385" s="12" t="str">
        <x:v>Doorbhai</x:v>
      </x:c>
      <x:c r="C385" s="12" t="str">
        <x:v>CORP-0163</x:v>
      </x:c>
      <x:c r="D385" s="12" t="str">
        <x:v>Delhi NCR</x:v>
      </x:c>
      <x:c r="E385" s="12" t="str">
        <x:v>Emaar Colonnade</x:v>
      </x:c>
      <x:c r="F385" s="12" t="str">
        <x:v>55 inch LED TV</x:v>
      </x:c>
      <x:c r="G385" s="20" t="n">
        <x:v>5</x:v>
      </x:c>
      <x:c r="H385" s="12" t="str">
        <x:v>Inventory-listed building/workspace context; current occupancy and screen access unverified</x:v>
      </x:c>
      <x:c r="I385" s="12" t="str">
        <x:v>Mixed business audience</x:v>
      </x:c>
      <x:c r="J385" s="12" t="str">
        <x:v>Unresolved</x:v>
      </x:c>
      <x:c r="K385" s="2" t="str">
        <x:v>MAIN-167</x:v>
      </x:c>
    </x:row>
    <x:row r="386" ht="46" customHeight="1">
      <x:c r="A386" s="2" t="str">
        <x:v>TEN-0DBD6055C8F3</x:v>
      </x:c>
      <x:c r="B386" s="12" t="str">
        <x:v>Bharat RERA</x:v>
      </x:c>
      <x:c r="C386" s="12" t="str">
        <x:v>CORP-0164</x:v>
      </x:c>
      <x:c r="D386" s="12" t="str">
        <x:v>Delhi NCR</x:v>
      </x:c>
      <x:c r="E386" s="12" t="str">
        <x:v>India Accelerator Coworking - BPTP Centra One</x:v>
      </x:c>
      <x:c r="F386" s="12" t="str">
        <x:v>55 inch LED TV</x:v>
      </x:c>
      <x:c r="G386" s="20" t="n">
        <x:v>5</x:v>
      </x:c>
      <x:c r="H386" s="12" t="str">
        <x:v>Inventory-listed building/workspace context; current occupancy and screen access unverified</x:v>
      </x:c>
      <x:c r="I386" s="12" t="str">
        <x:v>Mixed business audience</x:v>
      </x:c>
      <x:c r="J386" s="12" t="str">
        <x:v>Unresolved</x:v>
      </x:c>
      <x:c r="K386" s="2" t="str">
        <x:v>MAIN-168</x:v>
      </x:c>
    </x:row>
    <x:row r="387" ht="46" customHeight="1">
      <x:c r="A387" s="2" t="str">
        <x:v>TEN-477AA10EEFDA</x:v>
      </x:c>
      <x:c r="B387" s="12" t="str">
        <x:v>RippleHR Global Consulting</x:v>
      </x:c>
      <x:c r="C387" s="12" t="str">
        <x:v>CORP-0164</x:v>
      </x:c>
      <x:c r="D387" s="12" t="str">
        <x:v>Delhi NCR</x:v>
      </x:c>
      <x:c r="E387" s="12" t="str">
        <x:v>India Accelerator Coworking - BPTP Centra One</x:v>
      </x:c>
      <x:c r="F387" s="12" t="str">
        <x:v>55 inch LED TV</x:v>
      </x:c>
      <x:c r="G387" s="20" t="n">
        <x:v>5</x:v>
      </x:c>
      <x:c r="H387" s="12" t="str">
        <x:v>Inventory-listed building/workspace context; current occupancy and screen access unverified</x:v>
      </x:c>
      <x:c r="I387" s="12" t="str">
        <x:v>Small-scale prospects</x:v>
      </x:c>
      <x:c r="J387" s="12" t="str">
        <x:v>Professional services</x:v>
      </x:c>
      <x:c r="K387" s="2" t="str">
        <x:v>MAIN-168</x:v>
      </x:c>
    </x:row>
    <x:row r="388" ht="46" customHeight="1">
      <x:c r="A388" s="2" t="str">
        <x:v>TEN-64653706431C</x:v>
      </x:c>
      <x:c r="B388" s="12" t="str">
        <x:v>Invest Plus Realty: Build Your Dreams</x:v>
      </x:c>
      <x:c r="C388" s="12" t="str">
        <x:v>CORP-0164</x:v>
      </x:c>
      <x:c r="D388" s="12" t="str">
        <x:v>Delhi NCR</x:v>
      </x:c>
      <x:c r="E388" s="12" t="str">
        <x:v>India Accelerator Coworking - BPTP Centra One</x:v>
      </x:c>
      <x:c r="F388" s="12" t="str">
        <x:v>55 inch LED TV</x:v>
      </x:c>
      <x:c r="G388" s="20" t="n">
        <x:v>5</x:v>
      </x:c>
      <x:c r="H388" s="12" t="str">
        <x:v>Inventory-listed building/workspace context; current occupancy and screen access unverified</x:v>
      </x:c>
      <x:c r="I388" s="12" t="str">
        <x:v>Small-scale prospects</x:v>
      </x:c>
      <x:c r="J388" s="12" t="str">
        <x:v>Trade, consumer &amp; logistics</x:v>
      </x:c>
      <x:c r="K388" s="2" t="str">
        <x:v>MAIN-168</x:v>
      </x:c>
    </x:row>
    <x:row r="389" ht="46" customHeight="1">
      <x:c r="A389" s="2" t="str">
        <x:v>TEN-79E64640C221</x:v>
      </x:c>
      <x:c r="B389" s="12" t="str">
        <x:v>BAHALA GROUP</x:v>
      </x:c>
      <x:c r="C389" s="12" t="str">
        <x:v>CORP-0164</x:v>
      </x:c>
      <x:c r="D389" s="12" t="str">
        <x:v>Delhi NCR</x:v>
      </x:c>
      <x:c r="E389" s="12" t="str">
        <x:v>India Accelerator Coworking - BPTP Centra One</x:v>
      </x:c>
      <x:c r="F389" s="12" t="str">
        <x:v>55 inch LED TV</x:v>
      </x:c>
      <x:c r="G389" s="20" t="n">
        <x:v>5</x:v>
      </x:c>
      <x:c r="H389" s="12" t="str">
        <x:v>Inventory-listed building/workspace context; current occupancy and screen access unverified</x:v>
      </x:c>
      <x:c r="I389" s="12" t="str">
        <x:v>Mixed business audience</x:v>
      </x:c>
      <x:c r="J389" s="12" t="str">
        <x:v>Unresolved</x:v>
      </x:c>
      <x:c r="K389" s="2" t="str">
        <x:v>MAIN-168</x:v>
      </x:c>
    </x:row>
    <x:row r="390" ht="46" customHeight="1">
      <x:c r="A390" s="2" t="str">
        <x:v>TEN-C852B4C0C245</x:v>
      </x:c>
      <x:c r="B390" s="12" t="str">
        <x:v>HONO (SequelOne Solutions Pvt.Ltd, India)</x:v>
      </x:c>
      <x:c r="C390" s="12" t="str">
        <x:v>CORP-0164</x:v>
      </x:c>
      <x:c r="D390" s="12" t="str">
        <x:v>Delhi NCR</x:v>
      </x:c>
      <x:c r="E390" s="12" t="str">
        <x:v>India Accelerator Coworking - BPTP Centra One</x:v>
      </x:c>
      <x:c r="F390" s="12" t="str">
        <x:v>55 inch LED TV</x:v>
      </x:c>
      <x:c r="G390" s="20" t="n">
        <x:v>5</x:v>
      </x:c>
      <x:c r="H390" s="12" t="str">
        <x:v>Inventory-listed building/workspace context; current occupancy and screen access unverified</x:v>
      </x:c>
      <x:c r="I390" s="12" t="str">
        <x:v>Small-scale prospects</x:v>
      </x:c>
      <x:c r="J390" s="12" t="str">
        <x:v>IT &amp; digital</x:v>
      </x:c>
      <x:c r="K390" s="2" t="str">
        <x:v>MAIN-168</x:v>
      </x:c>
    </x:row>
    <x:row r="391" ht="46" customHeight="1">
      <x:c r="A391" s="2" t="str">
        <x:v>TEN-EB14258F7152</x:v>
      </x:c>
      <x:c r="B391" s="12" t="str">
        <x:v>ERA CASA PICASSO</x:v>
      </x:c>
      <x:c r="C391" s="12" t="str">
        <x:v>CORP-0164</x:v>
      </x:c>
      <x:c r="D391" s="12" t="str">
        <x:v>Delhi NCR</x:v>
      </x:c>
      <x:c r="E391" s="12" t="str">
        <x:v>India Accelerator Coworking - BPTP Centra One</x:v>
      </x:c>
      <x:c r="F391" s="12" t="str">
        <x:v>55 inch LED TV</x:v>
      </x:c>
      <x:c r="G391" s="20" t="n">
        <x:v>5</x:v>
      </x:c>
      <x:c r="H391" s="12" t="str">
        <x:v>Inventory-listed building/workspace context; current occupancy and screen access unverified</x:v>
      </x:c>
      <x:c r="I391" s="12" t="str">
        <x:v>Mixed business audience</x:v>
      </x:c>
      <x:c r="J391" s="12" t="str">
        <x:v>Unresolved</x:v>
      </x:c>
      <x:c r="K391" s="2" t="str">
        <x:v>MAIN-168</x:v>
      </x:c>
    </x:row>
    <x:row r="392" ht="46" customHeight="1">
      <x:c r="A392" s="2" t="str">
        <x:v>TEN-440DA864FC31</x:v>
      </x:c>
      <x:c r="B392" s="12" t="str">
        <x:v>Akognos Life Sciences Pvt. Ltd</x:v>
      </x:c>
      <x:c r="C392" s="12" t="str">
        <x:v>CORP-0165</x:v>
      </x:c>
      <x:c r="D392" s="12" t="str">
        <x:v>Delhi NCR</x:v>
      </x:c>
      <x:c r="E392" s="12" t="str">
        <x:v>Logix Cyber Park</x:v>
      </x:c>
      <x:c r="F392" s="12" t="str">
        <x:v>43 inch LED TV</x:v>
      </x:c>
      <x:c r="G392" s="20" t="n">
        <x:v>15</x:v>
      </x:c>
      <x:c r="H392" s="12" t="str">
        <x:v>Inventory-listed building/workspace context; current occupancy and screen access unverified</x:v>
      </x:c>
      <x:c r="I392" s="12" t="str">
        <x:v>Medium-scale prospects</x:v>
      </x:c>
      <x:c r="J392" s="12" t="str">
        <x:v>Healthcare &amp; life sciences</x:v>
      </x:c>
      <x:c r="K392" s="2" t="str">
        <x:v>MAIN-169</x:v>
      </x:c>
    </x:row>
    <x:row r="393" ht="46" customHeight="1">
      <x:c r="A393" s="2" t="str">
        <x:v>TEN-547E42BBB09E</x:v>
      </x:c>
      <x:c r="B393" s="12" t="str">
        <x:v>Inferrix Greentech Private Limited</x:v>
      </x:c>
      <x:c r="C393" s="12" t="str">
        <x:v>CORP-0165</x:v>
      </x:c>
      <x:c r="D393" s="12" t="str">
        <x:v>Delhi NCR</x:v>
      </x:c>
      <x:c r="E393" s="12" t="str">
        <x:v>Logix Cyber Park</x:v>
      </x:c>
      <x:c r="F393" s="12" t="str">
        <x:v>43 inch LED TV</x:v>
      </x:c>
      <x:c r="G393" s="20" t="n">
        <x:v>15</x:v>
      </x:c>
      <x:c r="H393" s="12" t="str">
        <x:v>Inventory-listed building/workspace context; current occupancy and screen access unverified</x:v>
      </x:c>
      <x:c r="I393" s="12" t="str">
        <x:v>Mixed business audience</x:v>
      </x:c>
      <x:c r="J393" s="12" t="str">
        <x:v>Unresolved</x:v>
      </x:c>
      <x:c r="K393" s="2" t="str">
        <x:v>MAIN-169</x:v>
      </x:c>
    </x:row>
    <x:row r="394" ht="46" customHeight="1">
      <x:c r="A394" s="2" t="str">
        <x:v>TEN-59A3B078B07D</x:v>
      </x:c>
      <x:c r="B394" s="12" t="str">
        <x:v>IBA InfoTech Pvt. Ltd</x:v>
      </x:c>
      <x:c r="C394" s="12" t="str">
        <x:v>CORP-0165</x:v>
      </x:c>
      <x:c r="D394" s="12" t="str">
        <x:v>Delhi NCR</x:v>
      </x:c>
      <x:c r="E394" s="12" t="str">
        <x:v>Logix Cyber Park</x:v>
      </x:c>
      <x:c r="F394" s="12" t="str">
        <x:v>43 inch LED TV</x:v>
      </x:c>
      <x:c r="G394" s="20" t="n">
        <x:v>15</x:v>
      </x:c>
      <x:c r="H394" s="12" t="str">
        <x:v>Inventory-listed building/workspace context; current occupancy and screen access unverified</x:v>
      </x:c>
      <x:c r="I394" s="12" t="str">
        <x:v>Small-scale prospects</x:v>
      </x:c>
      <x:c r="J394" s="12" t="str">
        <x:v>IT &amp; digital</x:v>
      </x:c>
      <x:c r="K394" s="2" t="str">
        <x:v>MAIN-169</x:v>
      </x:c>
    </x:row>
    <x:row r="395" ht="46" customHeight="1">
      <x:c r="A395" s="2" t="str">
        <x:v>TEN-9ADCE18F8C92</x:v>
      </x:c>
      <x:c r="B395" s="12" t="str">
        <x:v>MAssist CRM Software</x:v>
      </x:c>
      <x:c r="C395" s="12" t="str">
        <x:v>CORP-0165</x:v>
      </x:c>
      <x:c r="D395" s="12" t="str">
        <x:v>Delhi NCR</x:v>
      </x:c>
      <x:c r="E395" s="12" t="str">
        <x:v>Logix Cyber Park</x:v>
      </x:c>
      <x:c r="F395" s="12" t="str">
        <x:v>43 inch LED TV</x:v>
      </x:c>
      <x:c r="G395" s="20" t="n">
        <x:v>15</x:v>
      </x:c>
      <x:c r="H395" s="12" t="str">
        <x:v>Inventory-listed building/workspace context; current occupancy and screen access unverified</x:v>
      </x:c>
      <x:c r="I395" s="12" t="str">
        <x:v>Small-scale prospects</x:v>
      </x:c>
      <x:c r="J395" s="12" t="str">
        <x:v>IT &amp; digital</x:v>
      </x:c>
      <x:c r="K395" s="2" t="str">
        <x:v>MAIN-169</x:v>
      </x:c>
    </x:row>
    <x:row r="396" ht="46" customHeight="1">
      <x:c r="A396" s="2" t="str">
        <x:v>TEN-A9AF929E65A2</x:v>
      </x:c>
      <x:c r="B396" s="12" t="str">
        <x:v>Kanoon-e Law Firm</x:v>
      </x:c>
      <x:c r="C396" s="12" t="str">
        <x:v>CORP-0165</x:v>
      </x:c>
      <x:c r="D396" s="12" t="str">
        <x:v>Delhi NCR</x:v>
      </x:c>
      <x:c r="E396" s="12" t="str">
        <x:v>Logix Cyber Park</x:v>
      </x:c>
      <x:c r="F396" s="12" t="str">
        <x:v>43 inch LED TV</x:v>
      </x:c>
      <x:c r="G396" s="20" t="n">
        <x:v>15</x:v>
      </x:c>
      <x:c r="H396" s="12" t="str">
        <x:v>Inventory-listed building/workspace context; current occupancy and screen access unverified</x:v>
      </x:c>
      <x:c r="I396" s="12" t="str">
        <x:v>Small-scale prospects</x:v>
      </x:c>
      <x:c r="J396" s="12" t="str">
        <x:v>Professional services</x:v>
      </x:c>
      <x:c r="K396" s="2" t="str">
        <x:v>MAIN-169</x:v>
      </x:c>
    </x:row>
    <x:row r="397" ht="46" customHeight="1">
      <x:c r="A397" s="2" t="str">
        <x:v>TEN-B6EB7D8C755F</x:v>
      </x:c>
      <x:c r="B397" s="12" t="str">
        <x:v>CodeVyasa</x:v>
      </x:c>
      <x:c r="C397" s="12" t="str">
        <x:v>CORP-0165</x:v>
      </x:c>
      <x:c r="D397" s="12" t="str">
        <x:v>Delhi NCR</x:v>
      </x:c>
      <x:c r="E397" s="12" t="str">
        <x:v>Logix Cyber Park</x:v>
      </x:c>
      <x:c r="F397" s="12" t="str">
        <x:v>43 inch LED TV</x:v>
      </x:c>
      <x:c r="G397" s="20" t="n">
        <x:v>15</x:v>
      </x:c>
      <x:c r="H397" s="12" t="str">
        <x:v>Inventory-listed building/workspace context; current occupancy and screen access unverified</x:v>
      </x:c>
      <x:c r="I397" s="12" t="str">
        <x:v>Small-scale prospects</x:v>
      </x:c>
      <x:c r="J397" s="12" t="str">
        <x:v>IT &amp; digital</x:v>
      </x:c>
      <x:c r="K397" s="2" t="str">
        <x:v>MAIN-169</x:v>
      </x:c>
    </x:row>
    <x:row r="398" ht="46" customHeight="1">
      <x:c r="A398" s="2" t="str">
        <x:v>TEN-F9972B840FFF</x:v>
      </x:c>
      <x:c r="B398" s="12" t="str">
        <x:v>Siemens Advanta</x:v>
      </x:c>
      <x:c r="C398" s="12" t="str">
        <x:v>CORP-0165</x:v>
      </x:c>
      <x:c r="D398" s="12" t="str">
        <x:v>Delhi NCR</x:v>
      </x:c>
      <x:c r="E398" s="12" t="str">
        <x:v>Logix Cyber Park</x:v>
      </x:c>
      <x:c r="F398" s="12" t="str">
        <x:v>43 inch LED TV</x:v>
      </x:c>
      <x:c r="G398" s="20" t="n">
        <x:v>15</x:v>
      </x:c>
      <x:c r="H398" s="12" t="str">
        <x:v>Inventory-listed building/workspace context; current occupancy and screen access unverified</x:v>
      </x:c>
      <x:c r="I398" s="12" t="str">
        <x:v>Large enterprise</x:v>
      </x:c>
      <x:c r="J398" s="12" t="str">
        <x:v>Engineering &amp; manufacturing</x:v>
      </x:c>
      <x:c r="K398" s="2" t="str">
        <x:v>MAIN-169</x:v>
      </x:c>
    </x:row>
    <x:row r="399" ht="46" customHeight="1">
      <x:c r="A399" s="2" t="str">
        <x:v>TEN-084E2EC3A700</x:v>
      </x:c>
      <x:c r="B399" s="12" t="str">
        <x:v>Mozarc Medical India Private Limited</x:v>
      </x:c>
      <x:c r="C399" s="12" t="str">
        <x:v>CORP-0013</x:v>
      </x:c>
      <x:c r="D399" s="12" t="str">
        <x:v>Bengaluru</x:v>
      </x:c>
      <x:c r="E399" s="12" t="str">
        <x:v>Awfis - Prestige Shantiniketan</x:v>
      </x:c>
      <x:c r="F399" s="12" t="str">
        <x:v>32 inch LED TV</x:v>
      </x:c>
      <x:c r="G399" s="20" t="n">
        <x:v>2</x:v>
      </x:c>
      <x:c r="H399" s="12" t="str">
        <x:v>Inventory-listed building/workspace context; current occupancy and screen access unverified</x:v>
      </x:c>
      <x:c r="I399" s="12" t="str">
        <x:v>Mixed business audience</x:v>
      </x:c>
      <x:c r="J399" s="12" t="str">
        <x:v>Healthcare &amp; life sciences</x:v>
      </x:c>
      <x:c r="K399" s="2" t="str">
        <x:v>MAIN-017</x:v>
      </x:c>
    </x:row>
    <x:row r="400" ht="46" customHeight="1">
      <x:c r="A400" s="2" t="str">
        <x:v>TEN-8409366CFBB2</x:v>
      </x:c>
      <x:c r="B400" s="12" t="str">
        <x:v>Tata Elxsi Limited</x:v>
      </x:c>
      <x:c r="C400" s="12" t="str">
        <x:v>CORP-0013</x:v>
      </x:c>
      <x:c r="D400" s="12" t="str">
        <x:v>Bengaluru</x:v>
      </x:c>
      <x:c r="E400" s="12" t="str">
        <x:v>Awfis - Prestige Shantiniketan</x:v>
      </x:c>
      <x:c r="F400" s="12" t="str">
        <x:v>32 inch LED TV</x:v>
      </x:c>
      <x:c r="G400" s="20" t="n">
        <x:v>2</x:v>
      </x:c>
      <x:c r="H400" s="12" t="str">
        <x:v>Inventory-listed building/workspace context; current occupancy and screen access unverified</x:v>
      </x:c>
      <x:c r="I400" s="12" t="str">
        <x:v>Large enterprise</x:v>
      </x:c>
      <x:c r="J400" s="12" t="str">
        <x:v>IT &amp; digital</x:v>
      </x:c>
      <x:c r="K400" s="2" t="str">
        <x:v>MAIN-017</x:v>
      </x:c>
    </x:row>
    <x:row r="401" ht="46" customHeight="1">
      <x:c r="A401" s="2" t="str">
        <x:v>TEN-8AD337DA4F25</x:v>
      </x:c>
      <x:c r="B401" s="12" t="str">
        <x:v>Zensar Technologies Ltd</x:v>
      </x:c>
      <x:c r="C401" s="12" t="str">
        <x:v>CORP-0013</x:v>
      </x:c>
      <x:c r="D401" s="12" t="str">
        <x:v>Bengaluru</x:v>
      </x:c>
      <x:c r="E401" s="12" t="str">
        <x:v>Awfis - Prestige Shantiniketan</x:v>
      </x:c>
      <x:c r="F401" s="12" t="str">
        <x:v>32 inch LED TV</x:v>
      </x:c>
      <x:c r="G401" s="20" t="n">
        <x:v>2</x:v>
      </x:c>
      <x:c r="H401" s="12" t="str">
        <x:v>Inventory-listed building/workspace context; current occupancy and screen access unverified</x:v>
      </x:c>
      <x:c r="I401" s="12" t="str">
        <x:v>Mixed business audience</x:v>
      </x:c>
      <x:c r="J401" s="12" t="str">
        <x:v>IT &amp; digital</x:v>
      </x:c>
      <x:c r="K401" s="2" t="str">
        <x:v>MAIN-017</x:v>
      </x:c>
    </x:row>
    <x:row r="402" ht="46" customHeight="1">
      <x:c r="A402" s="2" t="str">
        <x:v>TEN-9CDD1B64DEF0</x:v>
      </x:c>
      <x:c r="B402" s="12" t="str">
        <x:v>Optym India Private Limited</x:v>
      </x:c>
      <x:c r="C402" s="12" t="str">
        <x:v>CORP-0013</x:v>
      </x:c>
      <x:c r="D402" s="12" t="str">
        <x:v>Bengaluru</x:v>
      </x:c>
      <x:c r="E402" s="12" t="str">
        <x:v>Awfis - Prestige Shantiniketan</x:v>
      </x:c>
      <x:c r="F402" s="12" t="str">
        <x:v>32 inch LED TV</x:v>
      </x:c>
      <x:c r="G402" s="20" t="n">
        <x:v>2</x:v>
      </x:c>
      <x:c r="H402" s="12" t="str">
        <x:v>Inventory-listed building/workspace context; current occupancy and screen access unverified</x:v>
      </x:c>
      <x:c r="I402" s="12" t="str">
        <x:v>Small-scale prospects</x:v>
      </x:c>
      <x:c r="J402" s="12" t="str">
        <x:v>IT &amp; digital</x:v>
      </x:c>
      <x:c r="K402" s="2" t="str">
        <x:v>MAIN-017</x:v>
      </x:c>
    </x:row>
    <x:row r="403" ht="46" customHeight="1">
      <x:c r="A403" s="2" t="str">
        <x:v>TEN-A28C5273EF9B</x:v>
      </x:c>
      <x:c r="B403" s="12" t="str">
        <x:v>Pathfinder Realty Solutions</x:v>
      </x:c>
      <x:c r="C403" s="12" t="str">
        <x:v>CORP-0013</x:v>
      </x:c>
      <x:c r="D403" s="12" t="str">
        <x:v>Bengaluru</x:v>
      </x:c>
      <x:c r="E403" s="12" t="str">
        <x:v>Awfis - Prestige Shantiniketan</x:v>
      </x:c>
      <x:c r="F403" s="12" t="str">
        <x:v>32 inch LED TV</x:v>
      </x:c>
      <x:c r="G403" s="20" t="n">
        <x:v>2</x:v>
      </x:c>
      <x:c r="H403" s="12" t="str">
        <x:v>Inventory-listed building/workspace context; current occupancy and screen access unverified</x:v>
      </x:c>
      <x:c r="I403" s="12" t="str">
        <x:v>Small-scale prospects</x:v>
      </x:c>
      <x:c r="J403" s="12" t="str">
        <x:v>Trade, consumer &amp; logistics</x:v>
      </x:c>
      <x:c r="K403" s="2" t="str">
        <x:v>MAIN-017</x:v>
      </x:c>
    </x:row>
    <x:row r="404" ht="46" customHeight="1">
      <x:c r="A404" s="2" t="str">
        <x:v>TEN-A7C7B2FB5107</x:v>
      </x:c>
      <x:c r="B404" s="12" t="str">
        <x:v>Emerson Automation Solutions</x:v>
      </x:c>
      <x:c r="C404" s="12" t="str">
        <x:v>CORP-0013</x:v>
      </x:c>
      <x:c r="D404" s="12" t="str">
        <x:v>Bengaluru</x:v>
      </x:c>
      <x:c r="E404" s="12" t="str">
        <x:v>Awfis - Prestige Shantiniketan</x:v>
      </x:c>
      <x:c r="F404" s="12" t="str">
        <x:v>32 inch LED TV</x:v>
      </x:c>
      <x:c r="G404" s="20" t="n">
        <x:v>2</x:v>
      </x:c>
      <x:c r="H404" s="12" t="str">
        <x:v>Inventory-listed building/workspace context; current occupancy and screen access unverified</x:v>
      </x:c>
      <x:c r="I404" s="12" t="str">
        <x:v>Mixed business audience</x:v>
      </x:c>
      <x:c r="J404" s="12" t="str">
        <x:v>Engineering &amp; manufacturing</x:v>
      </x:c>
      <x:c r="K404" s="2" t="str">
        <x:v>MAIN-017</x:v>
      </x:c>
    </x:row>
    <x:row r="405" ht="46" customHeight="1">
      <x:c r="A405" s="2" t="str">
        <x:v>TEN-B01D8FD40501</x:v>
      </x:c>
      <x:c r="B405" s="12" t="str">
        <x:v>NL Transportation pvt ltd</x:v>
      </x:c>
      <x:c r="C405" s="12" t="str">
        <x:v>CORP-0013</x:v>
      </x:c>
      <x:c r="D405" s="12" t="str">
        <x:v>Bengaluru</x:v>
      </x:c>
      <x:c r="E405" s="12" t="str">
        <x:v>Awfis - Prestige Shantiniketan</x:v>
      </x:c>
      <x:c r="F405" s="12" t="str">
        <x:v>32 inch LED TV</x:v>
      </x:c>
      <x:c r="G405" s="20" t="n">
        <x:v>2</x:v>
      </x:c>
      <x:c r="H405" s="12" t="str">
        <x:v>Inventory-listed building/workspace context; current occupancy and screen access unverified</x:v>
      </x:c>
      <x:c r="I405" s="12" t="str">
        <x:v>Medium-scale prospects</x:v>
      </x:c>
      <x:c r="J405" s="12" t="str">
        <x:v>Trade, consumer &amp; logistics</x:v>
      </x:c>
      <x:c r="K405" s="2" t="str">
        <x:v>MAIN-017</x:v>
      </x:c>
    </x:row>
    <x:row r="406" ht="46" customHeight="1">
      <x:c r="A406" s="2" t="str">
        <x:v>TEN-FECD2DA15F6C</x:v>
      </x:c>
      <x:c r="B406" s="12" t="str">
        <x:v>Flowserve Global Technology &amp; Engineering Center (GTEC)</x:v>
      </x:c>
      <x:c r="C406" s="12" t="str">
        <x:v>CORP-0013</x:v>
      </x:c>
      <x:c r="D406" s="12" t="str">
        <x:v>Bengaluru</x:v>
      </x:c>
      <x:c r="E406" s="12" t="str">
        <x:v>Awfis - Prestige Shantiniketan</x:v>
      </x:c>
      <x:c r="F406" s="12" t="str">
        <x:v>32 inch LED TV</x:v>
      </x:c>
      <x:c r="G406" s="20" t="n">
        <x:v>2</x:v>
      </x:c>
      <x:c r="H406" s="12" t="str">
        <x:v>Inventory-listed building/workspace context; current occupancy and screen access unverified</x:v>
      </x:c>
      <x:c r="I406" s="12" t="str">
        <x:v>Mixed business audience</x:v>
      </x:c>
      <x:c r="J406" s="12" t="str">
        <x:v>Engineering &amp; manufacturing</x:v>
      </x:c>
      <x:c r="K406" s="2" t="str">
        <x:v>MAIN-017</x:v>
      </x:c>
    </x:row>
    <x:row r="407" ht="46" customHeight="1">
      <x:c r="A407" s="2" t="str">
        <x:v>TEN-522C7A456D3F</x:v>
      </x:c>
      <x:c r="B407" s="12" t="str">
        <x:v>Clove Dental</x:v>
      </x:c>
      <x:c r="C407" s="12" t="str">
        <x:v>CORP-0167</x:v>
      </x:c>
      <x:c r="D407" s="12" t="str">
        <x:v>Delhi NCR</x:v>
      </x:c>
      <x:c r="E407" s="12" t="str">
        <x:v>WeWork - Eldeco</x:v>
      </x:c>
      <x:c r="F407" s="12" t="str">
        <x:v>43 inch LED TV</x:v>
      </x:c>
      <x:c r="G407" s="20" t="n">
        <x:v>1</x:v>
      </x:c>
      <x:c r="H407" s="12" t="str">
        <x:v>Inventory-listed building/workspace context; current occupancy and screen access unverified</x:v>
      </x:c>
      <x:c r="I407" s="12" t="str">
        <x:v>Mixed business audience</x:v>
      </x:c>
      <x:c r="J407" s="12" t="str">
        <x:v>Healthcare &amp; life sciences</x:v>
      </x:c>
      <x:c r="K407" s="2" t="str">
        <x:v>MAIN-171</x:v>
      </x:c>
    </x:row>
    <x:row r="408" ht="46" customHeight="1">
      <x:c r="A408" s="2" t="str">
        <x:v>TEN-4912FC070A64</x:v>
      </x:c>
      <x:c r="B408" s="12" t="str">
        <x:v>Benesse india Pvt Ltd</x:v>
      </x:c>
      <x:c r="C408" s="12" t="str">
        <x:v>CORP-0168</x:v>
      </x:c>
      <x:c r="D408" s="12" t="str">
        <x:v>Delhi NCR</x:v>
      </x:c>
      <x:c r="E408" s="12" t="str">
        <x:v>Workflow by Oyo - Aerocity</x:v>
      </x:c>
      <x:c r="F408" s="12" t="str">
        <x:v>32 inch LED TV</x:v>
      </x:c>
      <x:c r="G408" s="20" t="n">
        <x:v>3</x:v>
      </x:c>
      <x:c r="H408" s="12" t="str">
        <x:v>Inventory-listed building/workspace context; current occupancy and screen access unverified</x:v>
      </x:c>
      <x:c r="I408" s="12" t="str">
        <x:v>Mixed business audience</x:v>
      </x:c>
      <x:c r="J408" s="12" t="str">
        <x:v>Education</x:v>
      </x:c>
      <x:c r="K408" s="2" t="str">
        <x:v>MAIN-172</x:v>
      </x:c>
    </x:row>
    <x:row r="409" ht="46" customHeight="1">
      <x:c r="A409" s="2" t="str">
        <x:v>TEN-60F4EF0E242B</x:v>
      </x:c>
      <x:c r="B409" s="12" t="str">
        <x:v>Skyhub aero Pvt.Ltd</x:v>
      </x:c>
      <x:c r="C409" s="12" t="str">
        <x:v>CORP-0168</x:v>
      </x:c>
      <x:c r="D409" s="12" t="str">
        <x:v>Delhi NCR</x:v>
      </x:c>
      <x:c r="E409" s="12" t="str">
        <x:v>Workflow by Oyo - Aerocity</x:v>
      </x:c>
      <x:c r="F409" s="12" t="str">
        <x:v>32 inch LED TV</x:v>
      </x:c>
      <x:c r="G409" s="20" t="n">
        <x:v>3</x:v>
      </x:c>
      <x:c r="H409" s="12" t="str">
        <x:v>Inventory-listed building/workspace context; current occupancy and screen access unverified</x:v>
      </x:c>
      <x:c r="I409" s="12" t="str">
        <x:v>Mixed business audience</x:v>
      </x:c>
      <x:c r="J409" s="12" t="str">
        <x:v>Unresolved</x:v>
      </x:c>
      <x:c r="K409" s="2" t="str">
        <x:v>MAIN-172</x:v>
      </x:c>
    </x:row>
    <x:row r="410" ht="46" customHeight="1">
      <x:c r="A410" s="2" t="str">
        <x:v>TEN-690474F0C5B4</x:v>
      </x:c>
      <x:c r="B410" s="12" t="str">
        <x:v>August energy pvt.ltd</x:v>
      </x:c>
      <x:c r="C410" s="12" t="str">
        <x:v>CORP-0168</x:v>
      </x:c>
      <x:c r="D410" s="12" t="str">
        <x:v>Delhi NCR</x:v>
      </x:c>
      <x:c r="E410" s="12" t="str">
        <x:v>Workflow by Oyo - Aerocity</x:v>
      </x:c>
      <x:c r="F410" s="12" t="str">
        <x:v>32 inch LED TV</x:v>
      </x:c>
      <x:c r="G410" s="20" t="n">
        <x:v>3</x:v>
      </x:c>
      <x:c r="H410" s="12" t="str">
        <x:v>Inventory-listed building/workspace context; current occupancy and screen access unverified</x:v>
      </x:c>
      <x:c r="I410" s="12" t="str">
        <x:v>Medium-scale prospects</x:v>
      </x:c>
      <x:c r="J410" s="12" t="str">
        <x:v>Engineering &amp; manufacturing</x:v>
      </x:c>
      <x:c r="K410" s="2" t="str">
        <x:v>MAIN-172</x:v>
      </x:c>
    </x:row>
    <x:row r="411" ht="46" customHeight="1">
      <x:c r="A411" s="2" t="str">
        <x:v>TEN-904E6EA13879</x:v>
      </x:c>
      <x:c r="B411" s="12" t="str">
        <x:v>Hyperqube Ionic Pvt.Ltd</x:v>
      </x:c>
      <x:c r="C411" s="12" t="str">
        <x:v>CORP-0168</x:v>
      </x:c>
      <x:c r="D411" s="12" t="str">
        <x:v>Delhi NCR</x:v>
      </x:c>
      <x:c r="E411" s="12" t="str">
        <x:v>Workflow by Oyo - Aerocity</x:v>
      </x:c>
      <x:c r="F411" s="12" t="str">
        <x:v>32 inch LED TV</x:v>
      </x:c>
      <x:c r="G411" s="20" t="n">
        <x:v>3</x:v>
      </x:c>
      <x:c r="H411" s="12" t="str">
        <x:v>Inventory-listed building/workspace context; current occupancy and screen access unverified</x:v>
      </x:c>
      <x:c r="I411" s="12" t="str">
        <x:v>Mixed business audience</x:v>
      </x:c>
      <x:c r="J411" s="12" t="str">
        <x:v>Unresolved</x:v>
      </x:c>
      <x:c r="K411" s="2" t="str">
        <x:v>MAIN-172</x:v>
      </x:c>
    </x:row>
    <x:row r="412" ht="46" customHeight="1">
      <x:c r="A412" s="2" t="str">
        <x:v>TEN-AD61C2989C09</x:v>
      </x:c>
      <x:c r="B412" s="12" t="str">
        <x:v>Metavasi energy Pvt.Ltd</x:v>
      </x:c>
      <x:c r="C412" s="12" t="str">
        <x:v>CORP-0168</x:v>
      </x:c>
      <x:c r="D412" s="12" t="str">
        <x:v>Delhi NCR</x:v>
      </x:c>
      <x:c r="E412" s="12" t="str">
        <x:v>Workflow by Oyo - Aerocity</x:v>
      </x:c>
      <x:c r="F412" s="12" t="str">
        <x:v>32 inch LED TV</x:v>
      </x:c>
      <x:c r="G412" s="20" t="n">
        <x:v>3</x:v>
      </x:c>
      <x:c r="H412" s="12" t="str">
        <x:v>Inventory-listed building/workspace context; current occupancy and screen access unverified</x:v>
      </x:c>
      <x:c r="I412" s="12" t="str">
        <x:v>Medium-scale prospects</x:v>
      </x:c>
      <x:c r="J412" s="12" t="str">
        <x:v>Engineering &amp; manufacturing</x:v>
      </x:c>
      <x:c r="K412" s="2" t="str">
        <x:v>MAIN-172</x:v>
      </x:c>
    </x:row>
    <x:row r="413" ht="46" customHeight="1">
      <x:c r="A413" s="2" t="str">
        <x:v>TEN-07032E5E2F11</x:v>
      </x:c>
      <x:c r="B413" s="12" t="str">
        <x:v>EduPristine</x:v>
      </x:c>
      <x:c r="C413" s="12" t="str">
        <x:v>CORP-0169</x:v>
      </x:c>
      <x:c r="D413" s="12" t="str">
        <x:v>Delhi NCR</x:v>
      </x:c>
      <x:c r="E413" s="12" t="str">
        <x:v>Workflow by Oyo - CP Regal</x:v>
      </x:c>
      <x:c r="F413" s="12" t="str">
        <x:v>32 inch LED TV</x:v>
      </x:c>
      <x:c r="G413" s="20" t="n">
        <x:v>1</x:v>
      </x:c>
      <x:c r="H413" s="12" t="str">
        <x:v>Inventory-listed building/workspace context; current occupancy and screen access unverified</x:v>
      </x:c>
      <x:c r="I413" s="12" t="str">
        <x:v>Small-scale prospects</x:v>
      </x:c>
      <x:c r="J413" s="12" t="str">
        <x:v>Education</x:v>
      </x:c>
      <x:c r="K413" s="2" t="str">
        <x:v>MAIN-173</x:v>
      </x:c>
    </x:row>
    <x:row r="414" ht="46" customHeight="1">
      <x:c r="A414" s="2" t="str">
        <x:v>TEN-4B3033162A43</x:v>
      </x:c>
      <x:c r="B414" s="12" t="str">
        <x:v>Dristee</x:v>
      </x:c>
      <x:c r="C414" s="12" t="str">
        <x:v>CORP-0169</x:v>
      </x:c>
      <x:c r="D414" s="12" t="str">
        <x:v>Delhi NCR</x:v>
      </x:c>
      <x:c r="E414" s="12" t="str">
        <x:v>Workflow by Oyo - CP Regal</x:v>
      </x:c>
      <x:c r="F414" s="12" t="str">
        <x:v>32 inch LED TV</x:v>
      </x:c>
      <x:c r="G414" s="20" t="n">
        <x:v>1</x:v>
      </x:c>
      <x:c r="H414" s="12" t="str">
        <x:v>Inventory-listed building/workspace context; current occupancy and screen access unverified</x:v>
      </x:c>
      <x:c r="I414" s="12" t="str">
        <x:v>Mixed business audience</x:v>
      </x:c>
      <x:c r="J414" s="12" t="str">
        <x:v>Unresolved</x:v>
      </x:c>
      <x:c r="K414" s="2" t="str">
        <x:v>MAIN-173</x:v>
      </x:c>
    </x:row>
    <x:row r="415" ht="46" customHeight="1">
      <x:c r="A415" s="2" t="str">
        <x:v>TEN-83F49B1ECB34</x:v>
      </x:c>
      <x:c r="B415" s="12" t="str">
        <x:v>Virkauf DMC</x:v>
      </x:c>
      <x:c r="C415" s="12" t="str">
        <x:v>CORP-0169</x:v>
      </x:c>
      <x:c r="D415" s="12" t="str">
        <x:v>Delhi NCR</x:v>
      </x:c>
      <x:c r="E415" s="12" t="str">
        <x:v>Workflow by Oyo - CP Regal</x:v>
      </x:c>
      <x:c r="F415" s="12" t="str">
        <x:v>32 inch LED TV</x:v>
      </x:c>
      <x:c r="G415" s="20" t="n">
        <x:v>1</x:v>
      </x:c>
      <x:c r="H415" s="12" t="str">
        <x:v>Inventory-listed building/workspace context; current occupancy and screen access unverified</x:v>
      </x:c>
      <x:c r="I415" s="12" t="str">
        <x:v>Small-scale prospects</x:v>
      </x:c>
      <x:c r="J415" s="12" t="str">
        <x:v>Trade, consumer &amp; logistics</x:v>
      </x:c>
      <x:c r="K415" s="2" t="str">
        <x:v>MAIN-173</x:v>
      </x:c>
    </x:row>
    <x:row r="416" ht="46" customHeight="1">
      <x:c r="A416" s="2" t="str">
        <x:v>TEN-B157654CDD7A</x:v>
      </x:c>
      <x:c r="B416" s="12" t="str">
        <x:v>Bookmyartist</x:v>
      </x:c>
      <x:c r="C416" s="12" t="str">
        <x:v>CORP-0169</x:v>
      </x:c>
      <x:c r="D416" s="12" t="str">
        <x:v>Delhi NCR</x:v>
      </x:c>
      <x:c r="E416" s="12" t="str">
        <x:v>Workflow by Oyo - CP Regal</x:v>
      </x:c>
      <x:c r="F416" s="12" t="str">
        <x:v>32 inch LED TV</x:v>
      </x:c>
      <x:c r="G416" s="20" t="n">
        <x:v>1</x:v>
      </x:c>
      <x:c r="H416" s="12" t="str">
        <x:v>Inventory-listed building/workspace context; current occupancy and screen access unverified</x:v>
      </x:c>
      <x:c r="I416" s="12" t="str">
        <x:v>Small-scale prospects</x:v>
      </x:c>
      <x:c r="J416" s="12" t="str">
        <x:v>Trade, consumer &amp; logistics</x:v>
      </x:c>
      <x:c r="K416" s="2" t="str">
        <x:v>MAIN-173</x:v>
      </x:c>
    </x:row>
    <x:row r="417" ht="46" customHeight="1">
      <x:c r="A417" s="2" t="str">
        <x:v>TEN-C388B75ED68D</x:v>
      </x:c>
      <x:c r="B417" s="12" t="str">
        <x:v>StudyReach</x:v>
      </x:c>
      <x:c r="C417" s="12" t="str">
        <x:v>CORP-0169</x:v>
      </x:c>
      <x:c r="D417" s="12" t="str">
        <x:v>Delhi NCR</x:v>
      </x:c>
      <x:c r="E417" s="12" t="str">
        <x:v>Workflow by Oyo - CP Regal</x:v>
      </x:c>
      <x:c r="F417" s="12" t="str">
        <x:v>32 inch LED TV</x:v>
      </x:c>
      <x:c r="G417" s="20" t="n">
        <x:v>1</x:v>
      </x:c>
      <x:c r="H417" s="12" t="str">
        <x:v>Inventory-listed building/workspace context; current occupancy and screen access unverified</x:v>
      </x:c>
      <x:c r="I417" s="12" t="str">
        <x:v>Small-scale prospects</x:v>
      </x:c>
      <x:c r="J417" s="12" t="str">
        <x:v>Education</x:v>
      </x:c>
      <x:c r="K417" s="2" t="str">
        <x:v>MAIN-173</x:v>
      </x:c>
    </x:row>
    <x:row r="418" ht="46" customHeight="1">
      <x:c r="A418" s="2" t="str">
        <x:v>TEN-3C6BC4EB7AAD</x:v>
      </x:c>
      <x:c r="B418" s="12" t="str">
        <x:v>Oyo Workspace</x:v>
      </x:c>
      <x:c r="C418" s="12" t="str">
        <x:v>CORP-0170</x:v>
      </x:c>
      <x:c r="D418" s="12" t="str">
        <x:v>Delhi NCR</x:v>
      </x:c>
      <x:c r="E418" s="12" t="str">
        <x:v>Workflow by Oyo - CP2</x:v>
      </x:c>
      <x:c r="F418" s="12" t="str">
        <x:v>32 inch LED TV</x:v>
      </x:c>
      <x:c r="G418" s="20" t="n">
        <x:v>2</x:v>
      </x:c>
      <x:c r="H418" s="12" t="str">
        <x:v>Workspace operator inferred from explicit property name; tenant occupants unconfirmed</x:v>
      </x:c>
      <x:c r="I418" s="12" t="str">
        <x:v>Mixed business audience</x:v>
      </x:c>
      <x:c r="J418" s="12" t="str">
        <x:v>Workspace &amp; property operations</x:v>
      </x:c>
      <x:c r="K418" s="2" t="str">
        <x:v>MAIN-174</x:v>
      </x:c>
    </x:row>
    <x:row r="419" ht="46" customHeight="1">
      <x:c r="A419" s="2" t="str">
        <x:v>TEN-05A1DC3C79FD</x:v>
      </x:c>
      <x:c r="B419" s="12" t="str">
        <x:v>Wozo Gaming pvt ltd</x:v>
      </x:c>
      <x:c r="C419" s="12" t="str">
        <x:v>CORP-0171</x:v>
      </x:c>
      <x:c r="D419" s="12" t="str">
        <x:v>Delhi NCR</x:v>
      </x:c>
      <x:c r="E419" s="12" t="str">
        <x:v>Workflow by Oyo - Old Fort Saket</x:v>
      </x:c>
      <x:c r="F419" s="12" t="str">
        <x:v>32 inch LED TV</x:v>
      </x:c>
      <x:c r="G419" s="20" t="n">
        <x:v>1</x:v>
      </x:c>
      <x:c r="H419" s="12" t="str">
        <x:v>Inventory-listed building/workspace context; current occupancy and screen access unverified</x:v>
      </x:c>
      <x:c r="I419" s="12" t="str">
        <x:v>Small-scale prospects</x:v>
      </x:c>
      <x:c r="J419" s="12" t="str">
        <x:v>Trade, consumer &amp; logistics</x:v>
      </x:c>
      <x:c r="K419" s="2" t="str">
        <x:v>MAIN-175</x:v>
      </x:c>
    </x:row>
    <x:row r="420" ht="46" customHeight="1">
      <x:c r="A420" s="2" t="str">
        <x:v>TEN-1555F6364F01</x:v>
      </x:c>
      <x:c r="B420" s="12" t="str">
        <x:v>lumitree equipments enterprises oakridge new Energies</x:v>
      </x:c>
      <x:c r="C420" s="12" t="str">
        <x:v>CORP-0171</x:v>
      </x:c>
      <x:c r="D420" s="12" t="str">
        <x:v>Delhi NCR</x:v>
      </x:c>
      <x:c r="E420" s="12" t="str">
        <x:v>Workflow by Oyo - Old Fort Saket</x:v>
      </x:c>
      <x:c r="F420" s="12" t="str">
        <x:v>32 inch LED TV</x:v>
      </x:c>
      <x:c r="G420" s="20" t="n">
        <x:v>1</x:v>
      </x:c>
      <x:c r="H420" s="12" t="str">
        <x:v>Inventory-listed building/workspace context; current occupancy and screen access unverified</x:v>
      </x:c>
      <x:c r="I420" s="12" t="str">
        <x:v>Mixed business audience</x:v>
      </x:c>
      <x:c r="J420" s="12" t="str">
        <x:v>Unresolved</x:v>
      </x:c>
      <x:c r="K420" s="2" t="str">
        <x:v>MAIN-175</x:v>
      </x:c>
    </x:row>
    <x:row r="421" ht="46" customHeight="1">
      <x:c r="A421" s="2" t="str">
        <x:v>TEN-38D920B1B6A2</x:v>
      </x:c>
      <x:c r="B421" s="12" t="str">
        <x:v>Transactree enterprises pvt ltd</x:v>
      </x:c>
      <x:c r="C421" s="12" t="str">
        <x:v>CORP-0171</x:v>
      </x:c>
      <x:c r="D421" s="12" t="str">
        <x:v>Delhi NCR</x:v>
      </x:c>
      <x:c r="E421" s="12" t="str">
        <x:v>Workflow by Oyo - Old Fort Saket</x:v>
      </x:c>
      <x:c r="F421" s="12" t="str">
        <x:v>32 inch LED TV</x:v>
      </x:c>
      <x:c r="G421" s="20" t="n">
        <x:v>1</x:v>
      </x:c>
      <x:c r="H421" s="12" t="str">
        <x:v>Inventory-listed building/workspace context; current occupancy and screen access unverified</x:v>
      </x:c>
      <x:c r="I421" s="12" t="str">
        <x:v>Mixed business audience</x:v>
      </x:c>
      <x:c r="J421" s="12" t="str">
        <x:v>Unresolved</x:v>
      </x:c>
      <x:c r="K421" s="2" t="str">
        <x:v>MAIN-175</x:v>
      </x:c>
    </x:row>
    <x:row r="422" ht="46" customHeight="1">
      <x:c r="A422" s="2" t="str">
        <x:v>TEN-518A857F7FE9</x:v>
      </x:c>
      <x:c r="B422" s="12" t="str">
        <x:v>Ionline ventures pvt ltd</x:v>
      </x:c>
      <x:c r="C422" s="12" t="str">
        <x:v>CORP-0171</x:v>
      </x:c>
      <x:c r="D422" s="12" t="str">
        <x:v>Delhi NCR</x:v>
      </x:c>
      <x:c r="E422" s="12" t="str">
        <x:v>Workflow by Oyo - Old Fort Saket</x:v>
      </x:c>
      <x:c r="F422" s="12" t="str">
        <x:v>32 inch LED TV</x:v>
      </x:c>
      <x:c r="G422" s="20" t="n">
        <x:v>1</x:v>
      </x:c>
      <x:c r="H422" s="12" t="str">
        <x:v>Inventory-listed building/workspace context; current occupancy and screen access unverified</x:v>
      </x:c>
      <x:c r="I422" s="12" t="str">
        <x:v>Mixed business audience</x:v>
      </x:c>
      <x:c r="J422" s="12" t="str">
        <x:v>Unresolved</x:v>
      </x:c>
      <x:c r="K422" s="2" t="str">
        <x:v>MAIN-175</x:v>
      </x:c>
    </x:row>
    <x:row r="423" ht="46" customHeight="1">
      <x:c r="A423" s="2" t="str">
        <x:v>TEN-52A6BDDA690D</x:v>
      </x:c>
      <x:c r="B423" s="12" t="str">
        <x:v>Whitestone advisory services llp</x:v>
      </x:c>
      <x:c r="C423" s="12" t="str">
        <x:v>CORP-0171</x:v>
      </x:c>
      <x:c r="D423" s="12" t="str">
        <x:v>Delhi NCR</x:v>
      </x:c>
      <x:c r="E423" s="12" t="str">
        <x:v>Workflow by Oyo - Old Fort Saket</x:v>
      </x:c>
      <x:c r="F423" s="12" t="str">
        <x:v>32 inch LED TV</x:v>
      </x:c>
      <x:c r="G423" s="20" t="n">
        <x:v>1</x:v>
      </x:c>
      <x:c r="H423" s="12" t="str">
        <x:v>Inventory-listed building/workspace context; current occupancy and screen access unverified</x:v>
      </x:c>
      <x:c r="I423" s="12" t="str">
        <x:v>Small-scale prospects</x:v>
      </x:c>
      <x:c r="J423" s="12" t="str">
        <x:v>Professional services</x:v>
      </x:c>
      <x:c r="K423" s="2" t="str">
        <x:v>MAIN-175</x:v>
      </x:c>
    </x:row>
    <x:row r="424" ht="46" customHeight="1">
      <x:c r="A424" s="2" t="str">
        <x:v>TEN-53DE01F21DAB</x:v>
      </x:c>
      <x:c r="B424" s="12" t="str">
        <x:v>Skyewave</x:v>
      </x:c>
      <x:c r="C424" s="12" t="str">
        <x:v>CORP-0171</x:v>
      </x:c>
      <x:c r="D424" s="12" t="str">
        <x:v>Delhi NCR</x:v>
      </x:c>
      <x:c r="E424" s="12" t="str">
        <x:v>Workflow by Oyo - Old Fort Saket</x:v>
      </x:c>
      <x:c r="F424" s="12" t="str">
        <x:v>32 inch LED TV</x:v>
      </x:c>
      <x:c r="G424" s="20" t="n">
        <x:v>1</x:v>
      </x:c>
      <x:c r="H424" s="12" t="str">
        <x:v>Inventory-listed building/workspace context; current occupancy and screen access unverified</x:v>
      </x:c>
      <x:c r="I424" s="12" t="str">
        <x:v>Mixed business audience</x:v>
      </x:c>
      <x:c r="J424" s="12" t="str">
        <x:v>Unresolved</x:v>
      </x:c>
      <x:c r="K424" s="2" t="str">
        <x:v>MAIN-175</x:v>
      </x:c>
    </x:row>
    <x:row r="425" ht="46" customHeight="1">
      <x:c r="A425" s="2" t="str">
        <x:v>TEN-5723C6F86E45</x:v>
      </x:c>
      <x:c r="B425" s="12" t="str">
        <x:v>Ifflair consulting private limited</x:v>
      </x:c>
      <x:c r="C425" s="12" t="str">
        <x:v>CORP-0171</x:v>
      </x:c>
      <x:c r="D425" s="12" t="str">
        <x:v>Delhi NCR</x:v>
      </x:c>
      <x:c r="E425" s="12" t="str">
        <x:v>Workflow by Oyo - Old Fort Saket</x:v>
      </x:c>
      <x:c r="F425" s="12" t="str">
        <x:v>32 inch LED TV</x:v>
      </x:c>
      <x:c r="G425" s="20" t="n">
        <x:v>1</x:v>
      </x:c>
      <x:c r="H425" s="12" t="str">
        <x:v>Inventory-listed building/workspace context; current occupancy and screen access unverified</x:v>
      </x:c>
      <x:c r="I425" s="12" t="str">
        <x:v>Small-scale prospects</x:v>
      </x:c>
      <x:c r="J425" s="12" t="str">
        <x:v>Professional services</x:v>
      </x:c>
      <x:c r="K425" s="2" t="str">
        <x:v>MAIN-175</x:v>
      </x:c>
    </x:row>
    <x:row r="426" ht="46" customHeight="1">
      <x:c r="A426" s="2" t="str">
        <x:v>TEN-8566DAFA0898</x:v>
      </x:c>
      <x:c r="B426" s="12" t="str">
        <x:v>Synapse value tech pvt ltd</x:v>
      </x:c>
      <x:c r="C426" s="12" t="str">
        <x:v>CORP-0171</x:v>
      </x:c>
      <x:c r="D426" s="12" t="str">
        <x:v>Delhi NCR</x:v>
      </x:c>
      <x:c r="E426" s="12" t="str">
        <x:v>Workflow by Oyo - Old Fort Saket</x:v>
      </x:c>
      <x:c r="F426" s="12" t="str">
        <x:v>32 inch LED TV</x:v>
      </x:c>
      <x:c r="G426" s="20" t="n">
        <x:v>1</x:v>
      </x:c>
      <x:c r="H426" s="12" t="str">
        <x:v>Inventory-listed building/workspace context; current occupancy and screen access unverified</x:v>
      </x:c>
      <x:c r="I426" s="12" t="str">
        <x:v>Mixed business audience</x:v>
      </x:c>
      <x:c r="J426" s="12" t="str">
        <x:v>Unresolved</x:v>
      </x:c>
      <x:c r="K426" s="2" t="str">
        <x:v>MAIN-175</x:v>
      </x:c>
    </x:row>
    <x:row r="427" ht="46" customHeight="1">
      <x:c r="A427" s="2" t="str">
        <x:v>TEN-BC80F75880B5</x:v>
      </x:c>
      <x:c r="B427" s="12" t="str">
        <x:v>Supergrowth investments pvt ltd</x:v>
      </x:c>
      <x:c r="C427" s="12" t="str">
        <x:v>CORP-0171</x:v>
      </x:c>
      <x:c r="D427" s="12" t="str">
        <x:v>Delhi NCR</x:v>
      </x:c>
      <x:c r="E427" s="12" t="str">
        <x:v>Workflow by Oyo - Old Fort Saket</x:v>
      </x:c>
      <x:c r="F427" s="12" t="str">
        <x:v>32 inch LED TV</x:v>
      </x:c>
      <x:c r="G427" s="20" t="n">
        <x:v>1</x:v>
      </x:c>
      <x:c r="H427" s="12" t="str">
        <x:v>Inventory-listed building/workspace context; current occupancy and screen access unverified</x:v>
      </x:c>
      <x:c r="I427" s="12" t="str">
        <x:v>Medium-scale prospects</x:v>
      </x:c>
      <x:c r="J427" s="12" t="str">
        <x:v>Finance &amp; insurance</x:v>
      </x:c>
      <x:c r="K427" s="2" t="str">
        <x:v>MAIN-175</x:v>
      </x:c>
    </x:row>
    <x:row r="428" ht="46" customHeight="1">
      <x:c r="A428" s="2" t="str">
        <x:v>TEN-C023C86F4E67</x:v>
      </x:c>
      <x:c r="B428" s="12" t="str">
        <x:v>Voxo studios</x:v>
      </x:c>
      <x:c r="C428" s="12" t="str">
        <x:v>CORP-0171</x:v>
      </x:c>
      <x:c r="D428" s="12" t="str">
        <x:v>Delhi NCR</x:v>
      </x:c>
      <x:c r="E428" s="12" t="str">
        <x:v>Workflow by Oyo - Old Fort Saket</x:v>
      </x:c>
      <x:c r="F428" s="12" t="str">
        <x:v>32 inch LED TV</x:v>
      </x:c>
      <x:c r="G428" s="20" t="n">
        <x:v>1</x:v>
      </x:c>
      <x:c r="H428" s="12" t="str">
        <x:v>Inventory-listed building/workspace context; current occupancy and screen access unverified</x:v>
      </x:c>
      <x:c r="I428" s="12" t="str">
        <x:v>Mixed business audience</x:v>
      </x:c>
      <x:c r="J428" s="12" t="str">
        <x:v>Unresolved</x:v>
      </x:c>
      <x:c r="K428" s="2" t="str">
        <x:v>MAIN-175</x:v>
      </x:c>
    </x:row>
    <x:row r="429" ht="46" customHeight="1">
      <x:c r="A429" s="2" t="str">
        <x:v>TEN-E1DBFBBDFA3C</x:v>
      </x:c>
      <x:c r="B429" s="12" t="str">
        <x:v>Medhavi professional services pvt ltd</x:v>
      </x:c>
      <x:c r="C429" s="12" t="str">
        <x:v>CORP-0171</x:v>
      </x:c>
      <x:c r="D429" s="12" t="str">
        <x:v>Delhi NCR</x:v>
      </x:c>
      <x:c r="E429" s="12" t="str">
        <x:v>Workflow by Oyo - Old Fort Saket</x:v>
      </x:c>
      <x:c r="F429" s="12" t="str">
        <x:v>32 inch LED TV</x:v>
      </x:c>
      <x:c r="G429" s="20" t="n">
        <x:v>1</x:v>
      </x:c>
      <x:c r="H429" s="12" t="str">
        <x:v>Inventory-listed building/workspace context; current occupancy and screen access unverified</x:v>
      </x:c>
      <x:c r="I429" s="12" t="str">
        <x:v>Mixed business audience</x:v>
      </x:c>
      <x:c r="J429" s="12" t="str">
        <x:v>Unresolved</x:v>
      </x:c>
      <x:c r="K429" s="2" t="str">
        <x:v>MAIN-175</x:v>
      </x:c>
    </x:row>
    <x:row r="430" ht="46" customHeight="1">
      <x:c r="A430" s="2" t="str">
        <x:v>TEN-3C6BC4EB7AAD</x:v>
      </x:c>
      <x:c r="B430" s="12" t="str">
        <x:v>Oyo Workspace</x:v>
      </x:c>
      <x:c r="C430" s="12" t="str">
        <x:v>CORP-0172</x:v>
      </x:c>
      <x:c r="D430" s="12" t="str">
        <x:v>Delhi NCR</x:v>
      </x:c>
      <x:c r="E430" s="12" t="str">
        <x:v>Workflow by Oyo - RV Saket</x:v>
      </x:c>
      <x:c r="F430" s="12" t="str">
        <x:v>32 inch LED TV</x:v>
      </x:c>
      <x:c r="G430" s="20" t="n">
        <x:v>1</x:v>
      </x:c>
      <x:c r="H430" s="12" t="str">
        <x:v>Workspace operator inferred from explicit property name; tenant occupants unconfirmed</x:v>
      </x:c>
      <x:c r="I430" s="12" t="str">
        <x:v>Mixed business audience</x:v>
      </x:c>
      <x:c r="J430" s="12" t="str">
        <x:v>Workspace &amp; property operations</x:v>
      </x:c>
      <x:c r="K430" s="2" t="str">
        <x:v>MAIN-176</x:v>
      </x:c>
    </x:row>
    <x:row r="431" ht="46" customHeight="1">
      <x:c r="A431" s="2" t="str">
        <x:v>TEN-3BF12FCD804F</x:v>
      </x:c>
      <x:c r="B431" s="12" t="str">
        <x:v>Burda Media India Pvt. Ltd</x:v>
      </x:c>
      <x:c r="C431" s="12" t="str">
        <x:v>CORP-0175</x:v>
      </x:c>
      <x:c r="D431" s="12" t="str">
        <x:v>Delhi NCR</x:v>
      </x:c>
      <x:c r="E431" s="12" t="str">
        <x:v>Awfis - Ambience Mall</x:v>
      </x:c>
      <x:c r="F431" s="12" t="str">
        <x:v>32 inch LED TV</x:v>
      </x:c>
      <x:c r="G431" s="20" t="n">
        <x:v>3</x:v>
      </x:c>
      <x:c r="H431" s="12" t="str">
        <x:v>Inventory-listed building/workspace context; current occupancy and screen access unverified</x:v>
      </x:c>
      <x:c r="I431" s="12" t="str">
        <x:v>Mixed business audience</x:v>
      </x:c>
      <x:c r="J431" s="12" t="str">
        <x:v>Trade, consumer &amp; logistics</x:v>
      </x:c>
      <x:c r="K431" s="2" t="str">
        <x:v>MAIN-179</x:v>
      </x:c>
    </x:row>
    <x:row r="432" ht="46" customHeight="1">
      <x:c r="A432" s="2" t="str">
        <x:v>TEN-987385221605</x:v>
      </x:c>
      <x:c r="B432" s="12" t="str">
        <x:v>Procloz</x:v>
      </x:c>
      <x:c r="C432" s="12" t="str">
        <x:v>CORP-0175</x:v>
      </x:c>
      <x:c r="D432" s="12" t="str">
        <x:v>Delhi NCR</x:v>
      </x:c>
      <x:c r="E432" s="12" t="str">
        <x:v>Awfis - Ambience Mall</x:v>
      </x:c>
      <x:c r="F432" s="12" t="str">
        <x:v>32 inch LED TV</x:v>
      </x:c>
      <x:c r="G432" s="20" t="n">
        <x:v>3</x:v>
      </x:c>
      <x:c r="H432" s="12" t="str">
        <x:v>Inventory-listed building/workspace context; current occupancy and screen access unverified</x:v>
      </x:c>
      <x:c r="I432" s="12" t="str">
        <x:v>Mixed business audience</x:v>
      </x:c>
      <x:c r="J432" s="12" t="str">
        <x:v>Unresolved</x:v>
      </x:c>
      <x:c r="K432" s="2" t="str">
        <x:v>MAIN-179</x:v>
      </x:c>
    </x:row>
    <x:row r="433" ht="46" customHeight="1">
      <x:c r="A433" s="2" t="str">
        <x:v>TEN-3E808ECE8227</x:v>
      </x:c>
      <x:c r="B433" s="12" t="str">
        <x:v>Deloitte</x:v>
      </x:c>
      <x:c r="C433" s="12" t="str">
        <x:v>CORP-0014</x:v>
      </x:c>
      <x:c r="D433" s="12" t="str">
        <x:v>Bengaluru</x:v>
      </x:c>
      <x:c r="E433" s="12" t="str">
        <x:v>Awfis - Prestige Tech Park</x:v>
      </x:c>
      <x:c r="F433" s="12" t="str">
        <x:v>32 inch LED TV</x:v>
      </x:c>
      <x:c r="G433" s="20" t="n">
        <x:v>3</x:v>
      </x:c>
      <x:c r="H433" s="12" t="str">
        <x:v>Inventory-listed building/workspace context; current occupancy and screen access unverified</x:v>
      </x:c>
      <x:c r="I433" s="12" t="str">
        <x:v>Large enterprise</x:v>
      </x:c>
      <x:c r="J433" s="12" t="str">
        <x:v>Professional services</x:v>
      </x:c>
      <x:c r="K433" s="2" t="str">
        <x:v>MAIN-018</x:v>
      </x:c>
    </x:row>
    <x:row r="434" ht="46" customHeight="1">
      <x:c r="A434" s="2" t="str">
        <x:v>TEN-069C6A580D35</x:v>
      </x:c>
      <x:c r="B434" s="12" t="str">
        <x:v>asuku India Pvt Ltd</x:v>
      </x:c>
      <x:c r="C434" s="12" t="str">
        <x:v>CORP-0176</x:v>
      </x:c>
      <x:c r="D434" s="12" t="str">
        <x:v>Delhi NCR</x:v>
      </x:c>
      <x:c r="E434" s="12" t="str">
        <x:v>Awfis - Paras Trinity</x:v>
      </x:c>
      <x:c r="F434" s="12" t="str">
        <x:v>32 inch LED TV</x:v>
      </x:c>
      <x:c r="G434" s="20" t="n">
        <x:v>3</x:v>
      </x:c>
      <x:c r="H434" s="12" t="str">
        <x:v>Campus/portfolio roster; individual building occupancy unverified</x:v>
      </x:c>
      <x:c r="I434" s="12" t="str">
        <x:v>Mixed business audience</x:v>
      </x:c>
      <x:c r="J434" s="12" t="str">
        <x:v>Unresolved</x:v>
      </x:c>
      <x:c r="K434" s="2" t="str">
        <x:v>MAIN-180</x:v>
      </x:c>
    </x:row>
    <x:row r="435" ht="46" customHeight="1">
      <x:c r="A435" s="2" t="str">
        <x:v>TEN-2AD8BDD748C5</x:v>
      </x:c>
      <x:c r="B435" s="12" t="str">
        <x:v>Sportiva lifestyle pvt ltd</x:v>
      </x:c>
      <x:c r="C435" s="12" t="str">
        <x:v>CORP-0176</x:v>
      </x:c>
      <x:c r="D435" s="12" t="str">
        <x:v>Delhi NCR</x:v>
      </x:c>
      <x:c r="E435" s="12" t="str">
        <x:v>Awfis - Paras Trinity</x:v>
      </x:c>
      <x:c r="F435" s="12" t="str">
        <x:v>32 inch LED TV</x:v>
      </x:c>
      <x:c r="G435" s="20" t="n">
        <x:v>3</x:v>
      </x:c>
      <x:c r="H435" s="12" t="str">
        <x:v>Campus/portfolio roster; individual building occupancy unverified</x:v>
      </x:c>
      <x:c r="I435" s="12" t="str">
        <x:v>Small-scale prospects</x:v>
      </x:c>
      <x:c r="J435" s="12" t="str">
        <x:v>Trade, consumer &amp; logistics</x:v>
      </x:c>
      <x:c r="K435" s="2" t="str">
        <x:v>MAIN-180</x:v>
      </x:c>
    </x:row>
    <x:row r="436" ht="46" customHeight="1">
      <x:c r="A436" s="2" t="str">
        <x:v>TEN-3DDDC2C575B6</x:v>
      </x:c>
      <x:c r="B436" s="12" t="str">
        <x:v>imentor</x:v>
      </x:c>
      <x:c r="C436" s="12" t="str">
        <x:v>CORP-0176</x:v>
      </x:c>
      <x:c r="D436" s="12" t="str">
        <x:v>Delhi NCR</x:v>
      </x:c>
      <x:c r="E436" s="12" t="str">
        <x:v>Awfis - Paras Trinity</x:v>
      </x:c>
      <x:c r="F436" s="12" t="str">
        <x:v>32 inch LED TV</x:v>
      </x:c>
      <x:c r="G436" s="20" t="n">
        <x:v>3</x:v>
      </x:c>
      <x:c r="H436" s="12" t="str">
        <x:v>Campus/portfolio roster; individual building occupancy unverified</x:v>
      </x:c>
      <x:c r="I436" s="12" t="str">
        <x:v>Mixed business audience</x:v>
      </x:c>
      <x:c r="J436" s="12" t="str">
        <x:v>Unresolved</x:v>
      </x:c>
      <x:c r="K436" s="2" t="str">
        <x:v>MAIN-180</x:v>
      </x:c>
    </x:row>
    <x:row r="437" ht="46" customHeight="1">
      <x:c r="A437" s="2" t="str">
        <x:v>TEN-7BE11149A114</x:v>
      </x:c>
      <x:c r="B437" s="12" t="str">
        <x:v>tech connect</x:v>
      </x:c>
      <x:c r="C437" s="12" t="str">
        <x:v>CORP-0176</x:v>
      </x:c>
      <x:c r="D437" s="12" t="str">
        <x:v>Delhi NCR</x:v>
      </x:c>
      <x:c r="E437" s="12" t="str">
        <x:v>Awfis - Paras Trinity</x:v>
      </x:c>
      <x:c r="F437" s="12" t="str">
        <x:v>32 inch LED TV</x:v>
      </x:c>
      <x:c r="G437" s="20" t="n">
        <x:v>3</x:v>
      </x:c>
      <x:c r="H437" s="12" t="str">
        <x:v>Campus/portfolio roster; individual building occupancy unverified</x:v>
      </x:c>
      <x:c r="I437" s="12" t="str">
        <x:v>Mixed business audience</x:v>
      </x:c>
      <x:c r="J437" s="12" t="str">
        <x:v>Unresolved</x:v>
      </x:c>
      <x:c r="K437" s="2" t="str">
        <x:v>MAIN-180</x:v>
      </x:c>
    </x:row>
    <x:row r="438" ht="46" customHeight="1">
      <x:c r="A438" s="2" t="str">
        <x:v>TEN-A462520BC920</x:v>
      </x:c>
      <x:c r="B438" s="12" t="str">
        <x:v>GODREJ INFOTECH</x:v>
      </x:c>
      <x:c r="C438" s="12" t="str">
        <x:v>CORP-0176</x:v>
      </x:c>
      <x:c r="D438" s="12" t="str">
        <x:v>Delhi NCR</x:v>
      </x:c>
      <x:c r="E438" s="12" t="str">
        <x:v>Awfis - Paras Trinity</x:v>
      </x:c>
      <x:c r="F438" s="12" t="str">
        <x:v>32 inch LED TV</x:v>
      </x:c>
      <x:c r="G438" s="20" t="n">
        <x:v>3</x:v>
      </x:c>
      <x:c r="H438" s="12" t="str">
        <x:v>Campus/portfolio roster; individual building occupancy unverified</x:v>
      </x:c>
      <x:c r="I438" s="12" t="str">
        <x:v>Mixed business audience</x:v>
      </x:c>
      <x:c r="J438" s="12" t="str">
        <x:v>IT &amp; digital</x:v>
      </x:c>
      <x:c r="K438" s="2" t="str">
        <x:v>MAIN-180</x:v>
      </x:c>
    </x:row>
    <x:row r="439" ht="46" customHeight="1">
      <x:c r="A439" s="2" t="str">
        <x:v>TEN-E9EBDCC61F12</x:v>
      </x:c>
      <x:c r="B439" s="12" t="str">
        <x:v>practo</x:v>
      </x:c>
      <x:c r="C439" s="12" t="str">
        <x:v>CORP-0176</x:v>
      </x:c>
      <x:c r="D439" s="12" t="str">
        <x:v>Delhi NCR</x:v>
      </x:c>
      <x:c r="E439" s="12" t="str">
        <x:v>Awfis - Paras Trinity</x:v>
      </x:c>
      <x:c r="F439" s="12" t="str">
        <x:v>32 inch LED TV</x:v>
      </x:c>
      <x:c r="G439" s="20" t="n">
        <x:v>3</x:v>
      </x:c>
      <x:c r="H439" s="12" t="str">
        <x:v>Campus/portfolio roster; individual building occupancy unverified</x:v>
      </x:c>
      <x:c r="I439" s="12" t="str">
        <x:v>Mixed business audience</x:v>
      </x:c>
      <x:c r="J439" s="12" t="str">
        <x:v>Healthcare &amp; life sciences</x:v>
      </x:c>
      <x:c r="K439" s="2" t="str">
        <x:v>MAIN-180</x:v>
      </x:c>
    </x:row>
    <x:row r="440" ht="46" customHeight="1">
      <x:c r="A440" s="2" t="str">
        <x:v>TEN-F66746C19057</x:v>
      </x:c>
      <x:c r="B440" s="12" t="str">
        <x:v>Six Red Marbles</x:v>
      </x:c>
      <x:c r="C440" s="12" t="str">
        <x:v>CORP-0176</x:v>
      </x:c>
      <x:c r="D440" s="12" t="str">
        <x:v>Delhi NCR</x:v>
      </x:c>
      <x:c r="E440" s="12" t="str">
        <x:v>Awfis - Paras Trinity</x:v>
      </x:c>
      <x:c r="F440" s="12" t="str">
        <x:v>32 inch LED TV</x:v>
      </x:c>
      <x:c r="G440" s="20" t="n">
        <x:v>3</x:v>
      </x:c>
      <x:c r="H440" s="12" t="str">
        <x:v>Campus/portfolio roster; individual building occupancy unverified</x:v>
      </x:c>
      <x:c r="I440" s="12" t="str">
        <x:v>Small-scale prospects</x:v>
      </x:c>
      <x:c r="J440" s="12" t="str">
        <x:v>Education</x:v>
      </x:c>
      <x:c r="K440" s="2" t="str">
        <x:v>MAIN-180</x:v>
      </x:c>
    </x:row>
    <x:row r="441" ht="46" customHeight="1">
      <x:c r="A441" s="2" t="str">
        <x:v>TEN-9FE870D6A369</x:v>
      </x:c>
      <x:c r="B441" s="12" t="str">
        <x:v>ADFI digital pvt ltd</x:v>
      </x:c>
      <x:c r="C441" s="12" t="str">
        <x:v>CORP-0177</x:v>
      </x:c>
      <x:c r="D441" s="12" t="str">
        <x:v>Delhi NCR</x:v>
      </x:c>
      <x:c r="E441" s="12" t="str">
        <x:v>Awfis - Suncity Success Tower</x:v>
      </x:c>
      <x:c r="F441" s="12" t="str">
        <x:v>32 inch LED TV</x:v>
      </x:c>
      <x:c r="G441" s="20" t="n">
        <x:v>2</x:v>
      </x:c>
      <x:c r="H441" s="12" t="str">
        <x:v>Inventory-listed building/workspace context; current occupancy and screen access unverified</x:v>
      </x:c>
      <x:c r="I441" s="12" t="str">
        <x:v>Small-scale prospects</x:v>
      </x:c>
      <x:c r="J441" s="12" t="str">
        <x:v>IT &amp; digital</x:v>
      </x:c>
      <x:c r="K441" s="2" t="str">
        <x:v>MAIN-181</x:v>
      </x:c>
    </x:row>
    <x:row r="442" ht="46" customHeight="1">
      <x:c r="A442" s="2" t="str">
        <x:v>TEN-B44EF163E1EE</x:v>
      </x:c>
      <x:c r="B442" s="12" t="str">
        <x:v>Finzoom investment advisors pvt ltd</x:v>
      </x:c>
      <x:c r="C442" s="12" t="str">
        <x:v>CORP-0177</x:v>
      </x:c>
      <x:c r="D442" s="12" t="str">
        <x:v>Delhi NCR</x:v>
      </x:c>
      <x:c r="E442" s="12" t="str">
        <x:v>Awfis - Suncity Success Tower</x:v>
      </x:c>
      <x:c r="F442" s="12" t="str">
        <x:v>32 inch LED TV</x:v>
      </x:c>
      <x:c r="G442" s="20" t="n">
        <x:v>2</x:v>
      </x:c>
      <x:c r="H442" s="12" t="str">
        <x:v>Inventory-listed building/workspace context; current occupancy and screen access unverified</x:v>
      </x:c>
      <x:c r="I442" s="12" t="str">
        <x:v>Small-scale prospects</x:v>
      </x:c>
      <x:c r="J442" s="12" t="str">
        <x:v>Finance &amp; insurance</x:v>
      </x:c>
      <x:c r="K442" s="2" t="str">
        <x:v>MAIN-181</x:v>
      </x:c>
    </x:row>
    <x:row r="443" ht="46" customHeight="1">
      <x:c r="A443" s="2" t="str">
        <x:v>TEN-ED4013670945</x:v>
      </x:c>
      <x:c r="B443" s="12" t="str">
        <x:v>INDmoney pvt ltd</x:v>
      </x:c>
      <x:c r="C443" s="12" t="str">
        <x:v>CORP-0177</x:v>
      </x:c>
      <x:c r="D443" s="12" t="str">
        <x:v>Delhi NCR</x:v>
      </x:c>
      <x:c r="E443" s="12" t="str">
        <x:v>Awfis - Suncity Success Tower</x:v>
      </x:c>
      <x:c r="F443" s="12" t="str">
        <x:v>32 inch LED TV</x:v>
      </x:c>
      <x:c r="G443" s="20" t="n">
        <x:v>2</x:v>
      </x:c>
      <x:c r="H443" s="12" t="str">
        <x:v>Inventory-listed building/workspace context; current occupancy and screen access unverified</x:v>
      </x:c>
      <x:c r="I443" s="12" t="str">
        <x:v>Medium-scale prospects</x:v>
      </x:c>
      <x:c r="J443" s="12" t="str">
        <x:v>Finance &amp; insurance</x:v>
      </x:c>
      <x:c r="K443" s="2" t="str">
        <x:v>MAIN-181</x:v>
      </x:c>
    </x:row>
    <x:row r="444" ht="46" customHeight="1">
      <x:c r="A444" s="2" t="str">
        <x:v>TEN-0AFDD9743E82</x:v>
      </x:c>
      <x:c r="B444" s="12" t="str">
        <x:v>amantyatechnology pvt ltd</x:v>
      </x:c>
      <x:c r="C444" s="12" t="str">
        <x:v>CORP-0178</x:v>
      </x:c>
      <x:c r="D444" s="12" t="str">
        <x:v>Delhi NCR</x:v>
      </x:c>
      <x:c r="E444" s="12" t="str">
        <x:v>Awfis - Unitech Cyber Park - 2</x:v>
      </x:c>
      <x:c r="F444" s="12" t="str">
        <x:v>32 inch LED TV</x:v>
      </x:c>
      <x:c r="G444" s="20" t="n">
        <x:v>2</x:v>
      </x:c>
      <x:c r="H444" s="12" t="str">
        <x:v>Inventory-listed building/workspace context; current occupancy and screen access unverified</x:v>
      </x:c>
      <x:c r="I444" s="12" t="str">
        <x:v>Mixed business audience</x:v>
      </x:c>
      <x:c r="J444" s="12" t="str">
        <x:v>Unresolved</x:v>
      </x:c>
      <x:c r="K444" s="2" t="str">
        <x:v>MAIN-182</x:v>
      </x:c>
    </x:row>
    <x:row r="445" ht="46" customHeight="1">
      <x:c r="A445" s="2" t="str">
        <x:v>TEN-0E22A9EB7739</x:v>
      </x:c>
      <x:c r="B445" s="12" t="str">
        <x:v>Sato argox india pvt ltd</x:v>
      </x:c>
      <x:c r="C445" s="12" t="str">
        <x:v>CORP-0178</x:v>
      </x:c>
      <x:c r="D445" s="12" t="str">
        <x:v>Delhi NCR</x:v>
      </x:c>
      <x:c r="E445" s="12" t="str">
        <x:v>Awfis - Unitech Cyber Park - 2</x:v>
      </x:c>
      <x:c r="F445" s="12" t="str">
        <x:v>32 inch LED TV</x:v>
      </x:c>
      <x:c r="G445" s="20" t="n">
        <x:v>2</x:v>
      </x:c>
      <x:c r="H445" s="12" t="str">
        <x:v>Inventory-listed building/workspace context; current occupancy and screen access unverified</x:v>
      </x:c>
      <x:c r="I445" s="12" t="str">
        <x:v>Mixed business audience</x:v>
      </x:c>
      <x:c r="J445" s="12" t="str">
        <x:v>Engineering &amp; manufacturing</x:v>
      </x:c>
      <x:c r="K445" s="2" t="str">
        <x:v>MAIN-182</x:v>
      </x:c>
    </x:row>
    <x:row r="446" ht="46" customHeight="1">
      <x:c r="A446" s="2" t="str">
        <x:v>TEN-408FF4FBBE84</x:v>
      </x:c>
      <x:c r="B446" s="12" t="str">
        <x:v>AZB patners</x:v>
      </x:c>
      <x:c r="C446" s="12" t="str">
        <x:v>CORP-0178</x:v>
      </x:c>
      <x:c r="D446" s="12" t="str">
        <x:v>Delhi NCR</x:v>
      </x:c>
      <x:c r="E446" s="12" t="str">
        <x:v>Awfis - Unitech Cyber Park - 2</x:v>
      </x:c>
      <x:c r="F446" s="12" t="str">
        <x:v>32 inch LED TV</x:v>
      </x:c>
      <x:c r="G446" s="20" t="n">
        <x:v>2</x:v>
      </x:c>
      <x:c r="H446" s="12" t="str">
        <x:v>Inventory-listed building/workspace context; current occupancy and screen access unverified</x:v>
      </x:c>
      <x:c r="I446" s="12" t="str">
        <x:v>Mixed business audience</x:v>
      </x:c>
      <x:c r="J446" s="12" t="str">
        <x:v>Professional services</x:v>
      </x:c>
      <x:c r="K446" s="2" t="str">
        <x:v>MAIN-182</x:v>
      </x:c>
    </x:row>
    <x:row r="447" ht="46" customHeight="1">
      <x:c r="A447" s="2" t="str">
        <x:v>TEN-75FBE0ACF96A</x:v>
      </x:c>
      <x:c r="B447" s="12" t="str">
        <x:v>ultra commercia</x:v>
      </x:c>
      <x:c r="C447" s="12" t="str">
        <x:v>CORP-0178</x:v>
      </x:c>
      <x:c r="D447" s="12" t="str">
        <x:v>Delhi NCR</x:v>
      </x:c>
      <x:c r="E447" s="12" t="str">
        <x:v>Awfis - Unitech Cyber Park - 2</x:v>
      </x:c>
      <x:c r="F447" s="12" t="str">
        <x:v>32 inch LED TV</x:v>
      </x:c>
      <x:c r="G447" s="20" t="n">
        <x:v>2</x:v>
      </x:c>
      <x:c r="H447" s="12" t="str">
        <x:v>Inventory-listed building/workspace context; current occupancy and screen access unverified</x:v>
      </x:c>
      <x:c r="I447" s="12" t="str">
        <x:v>Mixed business audience</x:v>
      </x:c>
      <x:c r="J447" s="12" t="str">
        <x:v>Unresolved</x:v>
      </x:c>
      <x:c r="K447" s="2" t="str">
        <x:v>MAIN-182</x:v>
      </x:c>
    </x:row>
    <x:row r="448" ht="46" customHeight="1">
      <x:c r="A448" s="2" t="str">
        <x:v>TEN-845E172C9D1B</x:v>
      </x:c>
      <x:c r="B448" s="12" t="str">
        <x:v>regus business centre</x:v>
      </x:c>
      <x:c r="C448" s="12" t="str">
        <x:v>CORP-0178</x:v>
      </x:c>
      <x:c r="D448" s="12" t="str">
        <x:v>Delhi NCR</x:v>
      </x:c>
      <x:c r="E448" s="12" t="str">
        <x:v>Awfis - Unitech Cyber Park - 2</x:v>
      </x:c>
      <x:c r="F448" s="12" t="str">
        <x:v>32 inch LED TV</x:v>
      </x:c>
      <x:c r="G448" s="20" t="n">
        <x:v>2</x:v>
      </x:c>
      <x:c r="H448" s="12" t="str">
        <x:v>Inventory-listed building/workspace context; current occupancy and screen access unverified</x:v>
      </x:c>
      <x:c r="I448" s="12" t="str">
        <x:v>Mixed business audience</x:v>
      </x:c>
      <x:c r="J448" s="12" t="str">
        <x:v>Workspace &amp; property operations</x:v>
      </x:c>
      <x:c r="K448" s="2" t="str">
        <x:v>MAIN-182</x:v>
      </x:c>
    </x:row>
    <x:row r="449" ht="46" customHeight="1">
      <x:c r="A449" s="2" t="str">
        <x:v>TEN-A509A9AAC287</x:v>
      </x:c>
      <x:c r="B449" s="12" t="str">
        <x:v>Xoriant Solutions Pvt Ltd</x:v>
      </x:c>
      <x:c r="C449" s="12" t="str">
        <x:v>CORP-0178</x:v>
      </x:c>
      <x:c r="D449" s="12" t="str">
        <x:v>Delhi NCR</x:v>
      </x:c>
      <x:c r="E449" s="12" t="str">
        <x:v>Awfis - Unitech Cyber Park - 2</x:v>
      </x:c>
      <x:c r="F449" s="12" t="str">
        <x:v>32 inch LED TV</x:v>
      </x:c>
      <x:c r="G449" s="20" t="n">
        <x:v>2</x:v>
      </x:c>
      <x:c r="H449" s="12" t="str">
        <x:v>Inventory-listed building/workspace context; current occupancy and screen access unverified</x:v>
      </x:c>
      <x:c r="I449" s="12" t="str">
        <x:v>Large enterprise</x:v>
      </x:c>
      <x:c r="J449" s="12" t="str">
        <x:v>IT &amp; digital</x:v>
      </x:c>
      <x:c r="K449" s="2" t="str">
        <x:v>MAIN-182</x:v>
      </x:c>
    </x:row>
    <x:row r="450" ht="46" customHeight="1">
      <x:c r="A450" s="2" t="str">
        <x:v>TEN-C848A0DACEA1</x:v>
      </x:c>
      <x:c r="B450" s="12" t="str">
        <x:v>archer and bullet</x:v>
      </x:c>
      <x:c r="C450" s="12" t="str">
        <x:v>CORP-0178</x:v>
      </x:c>
      <x:c r="D450" s="12" t="str">
        <x:v>Delhi NCR</x:v>
      </x:c>
      <x:c r="E450" s="12" t="str">
        <x:v>Awfis - Unitech Cyber Park - 2</x:v>
      </x:c>
      <x:c r="F450" s="12" t="str">
        <x:v>32 inch LED TV</x:v>
      </x:c>
      <x:c r="G450" s="20" t="n">
        <x:v>2</x:v>
      </x:c>
      <x:c r="H450" s="12" t="str">
        <x:v>Inventory-listed building/workspace context; current occupancy and screen access unverified</x:v>
      </x:c>
      <x:c r="I450" s="12" t="str">
        <x:v>Mixed business audience</x:v>
      </x:c>
      <x:c r="J450" s="12" t="str">
        <x:v>Unresolved</x:v>
      </x:c>
      <x:c r="K450" s="2" t="str">
        <x:v>MAIN-182</x:v>
      </x:c>
    </x:row>
    <x:row r="451" ht="46" customHeight="1">
      <x:c r="A451" s="2" t="str">
        <x:v>TEN-CE212CD84140</x:v>
      </x:c>
      <x:c r="B451" s="12" t="str">
        <x:v>Pariwar finance</x:v>
      </x:c>
      <x:c r="C451" s="12" t="str">
        <x:v>CORP-0178</x:v>
      </x:c>
      <x:c r="D451" s="12" t="str">
        <x:v>Delhi NCR</x:v>
      </x:c>
      <x:c r="E451" s="12" t="str">
        <x:v>Awfis - Unitech Cyber Park - 2</x:v>
      </x:c>
      <x:c r="F451" s="12" t="str">
        <x:v>32 inch LED TV</x:v>
      </x:c>
      <x:c r="G451" s="20" t="n">
        <x:v>2</x:v>
      </x:c>
      <x:c r="H451" s="12" t="str">
        <x:v>Inventory-listed building/workspace context; current occupancy and screen access unverified</x:v>
      </x:c>
      <x:c r="I451" s="12" t="str">
        <x:v>Medium-scale prospects</x:v>
      </x:c>
      <x:c r="J451" s="12" t="str">
        <x:v>Finance &amp; insurance</x:v>
      </x:c>
      <x:c r="K451" s="2" t="str">
        <x:v>MAIN-182</x:v>
      </x:c>
    </x:row>
    <x:row r="452" ht="46" customHeight="1">
      <x:c r="A452" s="2" t="str">
        <x:v>TEN-D1645981CBCA</x:v>
      </x:c>
      <x:c r="B452" s="12" t="str">
        <x:v>Make positive provar pvt ltd</x:v>
      </x:c>
      <x:c r="C452" s="12" t="str">
        <x:v>CORP-0178</x:v>
      </x:c>
      <x:c r="D452" s="12" t="str">
        <x:v>Delhi NCR</x:v>
      </x:c>
      <x:c r="E452" s="12" t="str">
        <x:v>Awfis - Unitech Cyber Park - 2</x:v>
      </x:c>
      <x:c r="F452" s="12" t="str">
        <x:v>32 inch LED TV</x:v>
      </x:c>
      <x:c r="G452" s="20" t="n">
        <x:v>2</x:v>
      </x:c>
      <x:c r="H452" s="12" t="str">
        <x:v>Inventory-listed building/workspace context; current occupancy and screen access unverified</x:v>
      </x:c>
      <x:c r="I452" s="12" t="str">
        <x:v>Mixed business audience</x:v>
      </x:c>
      <x:c r="J452" s="12" t="str">
        <x:v>Unresolved</x:v>
      </x:c>
      <x:c r="K452" s="2" t="str">
        <x:v>MAIN-182</x:v>
      </x:c>
    </x:row>
    <x:row r="453" ht="46" customHeight="1">
      <x:c r="A453" s="2" t="str">
        <x:v>TEN-E7005D82FDA9</x:v>
      </x:c>
      <x:c r="B453" s="12" t="str">
        <x:v>Martwork</x:v>
      </x:c>
      <x:c r="C453" s="12" t="str">
        <x:v>CORP-0178</x:v>
      </x:c>
      <x:c r="D453" s="12" t="str">
        <x:v>Delhi NCR</x:v>
      </x:c>
      <x:c r="E453" s="12" t="str">
        <x:v>Awfis - Unitech Cyber Park - 2</x:v>
      </x:c>
      <x:c r="F453" s="12" t="str">
        <x:v>32 inch LED TV</x:v>
      </x:c>
      <x:c r="G453" s="20" t="n">
        <x:v>2</x:v>
      </x:c>
      <x:c r="H453" s="12" t="str">
        <x:v>Inventory-listed building/workspace context; current occupancy and screen access unverified</x:v>
      </x:c>
      <x:c r="I453" s="12" t="str">
        <x:v>Mixed business audience</x:v>
      </x:c>
      <x:c r="J453" s="12" t="str">
        <x:v>Unresolved</x:v>
      </x:c>
      <x:c r="K453" s="2" t="str">
        <x:v>MAIN-182</x:v>
      </x:c>
    </x:row>
    <x:row r="454" ht="46" customHeight="1">
      <x:c r="A454" s="2" t="str">
        <x:v>TEN-F0D786C6413F</x:v>
      </x:c>
      <x:c r="B454" s="12" t="str">
        <x:v>passion gaming</x:v>
      </x:c>
      <x:c r="C454" s="12" t="str">
        <x:v>CORP-0178</x:v>
      </x:c>
      <x:c r="D454" s="12" t="str">
        <x:v>Delhi NCR</x:v>
      </x:c>
      <x:c r="E454" s="12" t="str">
        <x:v>Awfis - Unitech Cyber Park - 2</x:v>
      </x:c>
      <x:c r="F454" s="12" t="str">
        <x:v>32 inch LED TV</x:v>
      </x:c>
      <x:c r="G454" s="20" t="n">
        <x:v>2</x:v>
      </x:c>
      <x:c r="H454" s="12" t="str">
        <x:v>Inventory-listed building/workspace context; current occupancy and screen access unverified</x:v>
      </x:c>
      <x:c r="I454" s="12" t="str">
        <x:v>Small-scale prospects</x:v>
      </x:c>
      <x:c r="J454" s="12" t="str">
        <x:v>Trade, consumer &amp; logistics</x:v>
      </x:c>
      <x:c r="K454" s="2" t="str">
        <x:v>MAIN-182</x:v>
      </x:c>
    </x:row>
    <x:row r="455" ht="46" customHeight="1">
      <x:c r="A455" s="2" t="str">
        <x:v>TEN-44D64AA6DF29</x:v>
      </x:c>
      <x:c r="B455" s="12" t="str">
        <x:v>FC Fettle Crave</x:v>
      </x:c>
      <x:c r="C455" s="12" t="str">
        <x:v>CORP-0179</x:v>
      </x:c>
      <x:c r="D455" s="12" t="str">
        <x:v>Delhi NCR</x:v>
      </x:c>
      <x:c r="E455" s="12" t="str">
        <x:v>Centrum Plaza</x:v>
      </x:c>
      <x:c r="F455" s="12" t="str">
        <x:v>32 inch LED TV</x:v>
      </x:c>
      <x:c r="G455" s="20" t="n">
        <x:v>1</x:v>
      </x:c>
      <x:c r="H455" s="12" t="str">
        <x:v>Inventory-listed building/workspace context; current occupancy and screen access unverified</x:v>
      </x:c>
      <x:c r="I455" s="12" t="str">
        <x:v>Small-scale prospects</x:v>
      </x:c>
      <x:c r="J455" s="12" t="str">
        <x:v>Trade, consumer &amp; logistics</x:v>
      </x:c>
      <x:c r="K455" s="2" t="str">
        <x:v>MAIN-183</x:v>
      </x:c>
    </x:row>
    <x:row r="456" ht="46" customHeight="1">
      <x:c r="A456" s="2" t="str">
        <x:v>TEN-48EAF2D3C920</x:v>
      </x:c>
      <x:c r="B456" s="12" t="str">
        <x:v>Homeseek Realtors</x:v>
      </x:c>
      <x:c r="C456" s="12" t="str">
        <x:v>CORP-0179</x:v>
      </x:c>
      <x:c r="D456" s="12" t="str">
        <x:v>Delhi NCR</x:v>
      </x:c>
      <x:c r="E456" s="12" t="str">
        <x:v>Centrum Plaza</x:v>
      </x:c>
      <x:c r="F456" s="12" t="str">
        <x:v>32 inch LED TV</x:v>
      </x:c>
      <x:c r="G456" s="20" t="n">
        <x:v>1</x:v>
      </x:c>
      <x:c r="H456" s="12" t="str">
        <x:v>Inventory-listed building/workspace context; current occupancy and screen access unverified</x:v>
      </x:c>
      <x:c r="I456" s="12" t="str">
        <x:v>Small-scale prospects</x:v>
      </x:c>
      <x:c r="J456" s="12" t="str">
        <x:v>Trade, consumer &amp; logistics</x:v>
      </x:c>
      <x:c r="K456" s="2" t="str">
        <x:v>MAIN-183</x:v>
      </x:c>
    </x:row>
    <x:row r="457" ht="46" customHeight="1">
      <x:c r="A457" s="2" t="str">
        <x:v>TEN-6E91D3983FD3</x:v>
      </x:c>
      <x:c r="B457" s="12" t="str">
        <x:v>MoreTasks</x:v>
      </x:c>
      <x:c r="C457" s="12" t="str">
        <x:v>CORP-0179</x:v>
      </x:c>
      <x:c r="D457" s="12" t="str">
        <x:v>Delhi NCR</x:v>
      </x:c>
      <x:c r="E457" s="12" t="str">
        <x:v>Centrum Plaza</x:v>
      </x:c>
      <x:c r="F457" s="12" t="str">
        <x:v>32 inch LED TV</x:v>
      </x:c>
      <x:c r="G457" s="20" t="n">
        <x:v>1</x:v>
      </x:c>
      <x:c r="H457" s="12" t="str">
        <x:v>Inventory-listed building/workspace context; current occupancy and screen access unverified</x:v>
      </x:c>
      <x:c r="I457" s="12" t="str">
        <x:v>Mixed business audience</x:v>
      </x:c>
      <x:c r="J457" s="12" t="str">
        <x:v>Unresolved</x:v>
      </x:c>
      <x:c r="K457" s="2" t="str">
        <x:v>MAIN-183</x:v>
      </x:c>
    </x:row>
    <x:row r="458" ht="46" customHeight="1">
      <x:c r="A458" s="2" t="str">
        <x:v>TEN-7308931D8DAC</x:v>
      </x:c>
      <x:c r="B458" s="12" t="str">
        <x:v>One Gloge</x:v>
      </x:c>
      <x:c r="C458" s="12" t="str">
        <x:v>CORP-0179</x:v>
      </x:c>
      <x:c r="D458" s="12" t="str">
        <x:v>Delhi NCR</x:v>
      </x:c>
      <x:c r="E458" s="12" t="str">
        <x:v>Centrum Plaza</x:v>
      </x:c>
      <x:c r="F458" s="12" t="str">
        <x:v>32 inch LED TV</x:v>
      </x:c>
      <x:c r="G458" s="20" t="n">
        <x:v>1</x:v>
      </x:c>
      <x:c r="H458" s="12" t="str">
        <x:v>Inventory-listed building/workspace context; current occupancy and screen access unverified</x:v>
      </x:c>
      <x:c r="I458" s="12" t="str">
        <x:v>Mixed business audience</x:v>
      </x:c>
      <x:c r="J458" s="12" t="str">
        <x:v>Unresolved</x:v>
      </x:c>
      <x:c r="K458" s="2" t="str">
        <x:v>MAIN-183</x:v>
      </x:c>
    </x:row>
    <x:row r="459" ht="46" customHeight="1">
      <x:c r="A459" s="2" t="str">
        <x:v>TEN-9EA031381EA9</x:v>
      </x:c>
      <x:c r="B459" s="12" t="str">
        <x:v>Nissin ABC Logistics Pvt. LTD</x:v>
      </x:c>
      <x:c r="C459" s="12" t="str">
        <x:v>CORP-0179</x:v>
      </x:c>
      <x:c r="D459" s="12" t="str">
        <x:v>Delhi NCR</x:v>
      </x:c>
      <x:c r="E459" s="12" t="str">
        <x:v>Centrum Plaza</x:v>
      </x:c>
      <x:c r="F459" s="12" t="str">
        <x:v>32 inch LED TV</x:v>
      </x:c>
      <x:c r="G459" s="20" t="n">
        <x:v>1</x:v>
      </x:c>
      <x:c r="H459" s="12" t="str">
        <x:v>Inventory-listed building/workspace context; current occupancy and screen access unverified</x:v>
      </x:c>
      <x:c r="I459" s="12" t="str">
        <x:v>Mixed business audience</x:v>
      </x:c>
      <x:c r="J459" s="12" t="str">
        <x:v>Trade, consumer &amp; logistics</x:v>
      </x:c>
      <x:c r="K459" s="2" t="str">
        <x:v>MAIN-183</x:v>
      </x:c>
    </x:row>
    <x:row r="460" ht="46" customHeight="1">
      <x:c r="A460" s="2" t="str">
        <x:v>TEN-BBE9B7C570D7</x:v>
      </x:c>
      <x:c r="B460" s="12" t="str">
        <x:v>Graphica Printing Store</x:v>
      </x:c>
      <x:c r="C460" s="12" t="str">
        <x:v>CORP-0179</x:v>
      </x:c>
      <x:c r="D460" s="12" t="str">
        <x:v>Delhi NCR</x:v>
      </x:c>
      <x:c r="E460" s="12" t="str">
        <x:v>Centrum Plaza</x:v>
      </x:c>
      <x:c r="F460" s="12" t="str">
        <x:v>32 inch LED TV</x:v>
      </x:c>
      <x:c r="G460" s="20" t="n">
        <x:v>1</x:v>
      </x:c>
      <x:c r="H460" s="12" t="str">
        <x:v>Inventory-listed building/workspace context; current occupancy and screen access unverified</x:v>
      </x:c>
      <x:c r="I460" s="12" t="str">
        <x:v>Mixed business audience</x:v>
      </x:c>
      <x:c r="J460" s="12" t="str">
        <x:v>Unresolved</x:v>
      </x:c>
      <x:c r="K460" s="2" t="str">
        <x:v>MAIN-183</x:v>
      </x:c>
    </x:row>
    <x:row r="461" ht="46" customHeight="1">
      <x:c r="A461" s="2" t="str">
        <x:v>TEN-CCBC3D20E8CE</x:v>
      </x:c>
      <x:c r="B461" s="12" t="str">
        <x:v>Elefo Biotech Private Limited</x:v>
      </x:c>
      <x:c r="C461" s="12" t="str">
        <x:v>CORP-0179</x:v>
      </x:c>
      <x:c r="D461" s="12" t="str">
        <x:v>Delhi NCR</x:v>
      </x:c>
      <x:c r="E461" s="12" t="str">
        <x:v>Centrum Plaza</x:v>
      </x:c>
      <x:c r="F461" s="12" t="str">
        <x:v>32 inch LED TV</x:v>
      </x:c>
      <x:c r="G461" s="20" t="n">
        <x:v>1</x:v>
      </x:c>
      <x:c r="H461" s="12" t="str">
        <x:v>Inventory-listed building/workspace context; current occupancy and screen access unverified</x:v>
      </x:c>
      <x:c r="I461" s="12" t="str">
        <x:v>Medium-scale prospects</x:v>
      </x:c>
      <x:c r="J461" s="12" t="str">
        <x:v>Healthcare &amp; life sciences</x:v>
      </x:c>
      <x:c r="K461" s="2" t="str">
        <x:v>MAIN-183</x:v>
      </x:c>
    </x:row>
    <x:row r="462" ht="46" customHeight="1">
      <x:c r="A462" s="2" t="str">
        <x:v>TEN-FF527D28FF82</x:v>
      </x:c>
      <x:c r="B462" s="12" t="str">
        <x:v>Unicharm India Private Limited</x:v>
      </x:c>
      <x:c r="C462" s="12" t="str">
        <x:v>CORP-0179</x:v>
      </x:c>
      <x:c r="D462" s="12" t="str">
        <x:v>Delhi NCR</x:v>
      </x:c>
      <x:c r="E462" s="12" t="str">
        <x:v>Centrum Plaza</x:v>
      </x:c>
      <x:c r="F462" s="12" t="str">
        <x:v>32 inch LED TV</x:v>
      </x:c>
      <x:c r="G462" s="20" t="n">
        <x:v>1</x:v>
      </x:c>
      <x:c r="H462" s="12" t="str">
        <x:v>Inventory-listed building/workspace context; current occupancy and screen access unverified</x:v>
      </x:c>
      <x:c r="I462" s="12" t="str">
        <x:v>Mixed business audience</x:v>
      </x:c>
      <x:c r="J462" s="12" t="str">
        <x:v>Trade, consumer &amp; logistics</x:v>
      </x:c>
      <x:c r="K462" s="2" t="str">
        <x:v>MAIN-183</x:v>
      </x:c>
    </x:row>
    <x:row r="463" ht="46" customHeight="1">
      <x:c r="A463" s="2" t="str">
        <x:v>TEN-44D64AA6DF29</x:v>
      </x:c>
      <x:c r="B463" s="12" t="str">
        <x:v>FC Fettle Crave</x:v>
      </x:c>
      <x:c r="C463" s="12" t="str">
        <x:v>CORP-0180</x:v>
      </x:c>
      <x:c r="D463" s="12" t="str">
        <x:v>Delhi NCR</x:v>
      </x:c>
      <x:c r="E463" s="12" t="str">
        <x:v>Centrum Plaza</x:v>
      </x:c>
      <x:c r="F463" s="12" t="str">
        <x:v>43 inch LED TV</x:v>
      </x:c>
      <x:c r="G463" s="20" t="n">
        <x:v>3</x:v>
      </x:c>
      <x:c r="H463" s="12" t="str">
        <x:v>Inventory-listed building/workspace context; current occupancy and screen access unverified</x:v>
      </x:c>
      <x:c r="I463" s="12" t="str">
        <x:v>Small-scale prospects</x:v>
      </x:c>
      <x:c r="J463" s="12" t="str">
        <x:v>Trade, consumer &amp; logistics</x:v>
      </x:c>
      <x:c r="K463" s="2" t="str">
        <x:v>MAIN-184</x:v>
      </x:c>
    </x:row>
    <x:row r="464" ht="46" customHeight="1">
      <x:c r="A464" s="2" t="str">
        <x:v>TEN-48EAF2D3C920</x:v>
      </x:c>
      <x:c r="B464" s="12" t="str">
        <x:v>Homeseek Realtors</x:v>
      </x:c>
      <x:c r="C464" s="12" t="str">
        <x:v>CORP-0180</x:v>
      </x:c>
      <x:c r="D464" s="12" t="str">
        <x:v>Delhi NCR</x:v>
      </x:c>
      <x:c r="E464" s="12" t="str">
        <x:v>Centrum Plaza</x:v>
      </x:c>
      <x:c r="F464" s="12" t="str">
        <x:v>43 inch LED TV</x:v>
      </x:c>
      <x:c r="G464" s="20" t="n">
        <x:v>3</x:v>
      </x:c>
      <x:c r="H464" s="12" t="str">
        <x:v>Inventory-listed building/workspace context; current occupancy and screen access unverified</x:v>
      </x:c>
      <x:c r="I464" s="12" t="str">
        <x:v>Small-scale prospects</x:v>
      </x:c>
      <x:c r="J464" s="12" t="str">
        <x:v>Trade, consumer &amp; logistics</x:v>
      </x:c>
      <x:c r="K464" s="2" t="str">
        <x:v>MAIN-184</x:v>
      </x:c>
    </x:row>
    <x:row r="465" ht="46" customHeight="1">
      <x:c r="A465" s="2" t="str">
        <x:v>TEN-6E91D3983FD3</x:v>
      </x:c>
      <x:c r="B465" s="12" t="str">
        <x:v>MoreTasks</x:v>
      </x:c>
      <x:c r="C465" s="12" t="str">
        <x:v>CORP-0180</x:v>
      </x:c>
      <x:c r="D465" s="12" t="str">
        <x:v>Delhi NCR</x:v>
      </x:c>
      <x:c r="E465" s="12" t="str">
        <x:v>Centrum Plaza</x:v>
      </x:c>
      <x:c r="F465" s="12" t="str">
        <x:v>43 inch LED TV</x:v>
      </x:c>
      <x:c r="G465" s="20" t="n">
        <x:v>3</x:v>
      </x:c>
      <x:c r="H465" s="12" t="str">
        <x:v>Inventory-listed building/workspace context; current occupancy and screen access unverified</x:v>
      </x:c>
      <x:c r="I465" s="12" t="str">
        <x:v>Mixed business audience</x:v>
      </x:c>
      <x:c r="J465" s="12" t="str">
        <x:v>Unresolved</x:v>
      </x:c>
      <x:c r="K465" s="2" t="str">
        <x:v>MAIN-184</x:v>
      </x:c>
    </x:row>
    <x:row r="466" ht="46" customHeight="1">
      <x:c r="A466" s="2" t="str">
        <x:v>TEN-7308931D8DAC</x:v>
      </x:c>
      <x:c r="B466" s="12" t="str">
        <x:v>One Gloge</x:v>
      </x:c>
      <x:c r="C466" s="12" t="str">
        <x:v>CORP-0180</x:v>
      </x:c>
      <x:c r="D466" s="12" t="str">
        <x:v>Delhi NCR</x:v>
      </x:c>
      <x:c r="E466" s="12" t="str">
        <x:v>Centrum Plaza</x:v>
      </x:c>
      <x:c r="F466" s="12" t="str">
        <x:v>43 inch LED TV</x:v>
      </x:c>
      <x:c r="G466" s="20" t="n">
        <x:v>3</x:v>
      </x:c>
      <x:c r="H466" s="12" t="str">
        <x:v>Inventory-listed building/workspace context; current occupancy and screen access unverified</x:v>
      </x:c>
      <x:c r="I466" s="12" t="str">
        <x:v>Mixed business audience</x:v>
      </x:c>
      <x:c r="J466" s="12" t="str">
        <x:v>Unresolved</x:v>
      </x:c>
      <x:c r="K466" s="2" t="str">
        <x:v>MAIN-184</x:v>
      </x:c>
    </x:row>
    <x:row r="467" ht="46" customHeight="1">
      <x:c r="A467" s="2" t="str">
        <x:v>TEN-9EA031381EA9</x:v>
      </x:c>
      <x:c r="B467" s="12" t="str">
        <x:v>Nissin ABC Logistics Pvt. LTD</x:v>
      </x:c>
      <x:c r="C467" s="12" t="str">
        <x:v>CORP-0180</x:v>
      </x:c>
      <x:c r="D467" s="12" t="str">
        <x:v>Delhi NCR</x:v>
      </x:c>
      <x:c r="E467" s="12" t="str">
        <x:v>Centrum Plaza</x:v>
      </x:c>
      <x:c r="F467" s="12" t="str">
        <x:v>43 inch LED TV</x:v>
      </x:c>
      <x:c r="G467" s="20" t="n">
        <x:v>3</x:v>
      </x:c>
      <x:c r="H467" s="12" t="str">
        <x:v>Inventory-listed building/workspace context; current occupancy and screen access unverified</x:v>
      </x:c>
      <x:c r="I467" s="12" t="str">
        <x:v>Mixed business audience</x:v>
      </x:c>
      <x:c r="J467" s="12" t="str">
        <x:v>Trade, consumer &amp; logistics</x:v>
      </x:c>
      <x:c r="K467" s="2" t="str">
        <x:v>MAIN-184</x:v>
      </x:c>
    </x:row>
    <x:row r="468" ht="46" customHeight="1">
      <x:c r="A468" s="2" t="str">
        <x:v>TEN-BBE9B7C570D7</x:v>
      </x:c>
      <x:c r="B468" s="12" t="str">
        <x:v>Graphica Printing Store</x:v>
      </x:c>
      <x:c r="C468" s="12" t="str">
        <x:v>CORP-0180</x:v>
      </x:c>
      <x:c r="D468" s="12" t="str">
        <x:v>Delhi NCR</x:v>
      </x:c>
      <x:c r="E468" s="12" t="str">
        <x:v>Centrum Plaza</x:v>
      </x:c>
      <x:c r="F468" s="12" t="str">
        <x:v>43 inch LED TV</x:v>
      </x:c>
      <x:c r="G468" s="20" t="n">
        <x:v>3</x:v>
      </x:c>
      <x:c r="H468" s="12" t="str">
        <x:v>Inventory-listed building/workspace context; current occupancy and screen access unverified</x:v>
      </x:c>
      <x:c r="I468" s="12" t="str">
        <x:v>Mixed business audience</x:v>
      </x:c>
      <x:c r="J468" s="12" t="str">
        <x:v>Unresolved</x:v>
      </x:c>
      <x:c r="K468" s="2" t="str">
        <x:v>MAIN-184</x:v>
      </x:c>
    </x:row>
    <x:row r="469" ht="46" customHeight="1">
      <x:c r="A469" s="2" t="str">
        <x:v>TEN-CCBC3D20E8CE</x:v>
      </x:c>
      <x:c r="B469" s="12" t="str">
        <x:v>Elefo Biotech Private Limited</x:v>
      </x:c>
      <x:c r="C469" s="12" t="str">
        <x:v>CORP-0180</x:v>
      </x:c>
      <x:c r="D469" s="12" t="str">
        <x:v>Delhi NCR</x:v>
      </x:c>
      <x:c r="E469" s="12" t="str">
        <x:v>Centrum Plaza</x:v>
      </x:c>
      <x:c r="F469" s="12" t="str">
        <x:v>43 inch LED TV</x:v>
      </x:c>
      <x:c r="G469" s="20" t="n">
        <x:v>3</x:v>
      </x:c>
      <x:c r="H469" s="12" t="str">
        <x:v>Inventory-listed building/workspace context; current occupancy and screen access unverified</x:v>
      </x:c>
      <x:c r="I469" s="12" t="str">
        <x:v>Medium-scale prospects</x:v>
      </x:c>
      <x:c r="J469" s="12" t="str">
        <x:v>Healthcare &amp; life sciences</x:v>
      </x:c>
      <x:c r="K469" s="2" t="str">
        <x:v>MAIN-184</x:v>
      </x:c>
    </x:row>
    <x:row r="470" ht="46" customHeight="1">
      <x:c r="A470" s="2" t="str">
        <x:v>TEN-FF527D28FF82</x:v>
      </x:c>
      <x:c r="B470" s="12" t="str">
        <x:v>Unicharm India Private Limited</x:v>
      </x:c>
      <x:c r="C470" s="12" t="str">
        <x:v>CORP-0180</x:v>
      </x:c>
      <x:c r="D470" s="12" t="str">
        <x:v>Delhi NCR</x:v>
      </x:c>
      <x:c r="E470" s="12" t="str">
        <x:v>Centrum Plaza</x:v>
      </x:c>
      <x:c r="F470" s="12" t="str">
        <x:v>43 inch LED TV</x:v>
      </x:c>
      <x:c r="G470" s="20" t="n">
        <x:v>3</x:v>
      </x:c>
      <x:c r="H470" s="12" t="str">
        <x:v>Inventory-listed building/workspace context; current occupancy and screen access unverified</x:v>
      </x:c>
      <x:c r="I470" s="12" t="str">
        <x:v>Mixed business audience</x:v>
      </x:c>
      <x:c r="J470" s="12" t="str">
        <x:v>Trade, consumer &amp; logistics</x:v>
      </x:c>
      <x:c r="K470" s="2" t="str">
        <x:v>MAIN-184</x:v>
      </x:c>
    </x:row>
    <x:row r="471" ht="46" customHeight="1">
      <x:c r="A471" s="2" t="str">
        <x:v>TEN-4607AC0710AC</x:v>
      </x:c>
      <x:c r="B471" s="12" t="str">
        <x:v>Zenatix</x:v>
      </x:c>
      <x:c r="C471" s="12" t="str">
        <x:v>CORP-0183</x:v>
      </x:c>
      <x:c r="D471" s="12" t="str">
        <x:v>Delhi NCR</x:v>
      </x:c>
      <x:c r="E471" s="12" t="str">
        <x:v>DLF Downtown 4</x:v>
      </x:c>
      <x:c r="F471" s="12" t="str">
        <x:v>55 inch LED TV</x:v>
      </x:c>
      <x:c r="G471" s="20" t="n">
        <x:v>1</x:v>
      </x:c>
      <x:c r="H471" s="12" t="str">
        <x:v>Company-listed building/campus context; workspace membership and screen access unverified</x:v>
      </x:c>
      <x:c r="I471" s="12" t="str">
        <x:v>Medium-scale prospects</x:v>
      </x:c>
      <x:c r="J471" s="12" t="str">
        <x:v>Engineering &amp; manufacturing</x:v>
      </x:c>
      <x:c r="K471" s="2" t="str">
        <x:v>MAIN-187</x:v>
      </x:c>
    </x:row>
    <x:row r="472" ht="46" customHeight="1">
      <x:c r="A472" s="2" t="str">
        <x:v>TEN-2D6976ADE238</x:v>
      </x:c>
      <x:c r="B472" s="12" t="str">
        <x:v>Futures First Info Services Pvt. Ltd</x:v>
      </x:c>
      <x:c r="C472" s="12" t="str">
        <x:v>CORP-0015</x:v>
      </x:c>
      <x:c r="D472" s="12" t="str">
        <x:v>Bengaluru</x:v>
      </x:c>
      <x:c r="E472" s="12" t="str">
        <x:v>Awfis - Prestige Tech Park 2 (Mercury)</x:v>
      </x:c>
      <x:c r="F472" s="12" t="str">
        <x:v>32 inch LED TV</x:v>
      </x:c>
      <x:c r="G472" s="20" t="n">
        <x:v>4</x:v>
      </x:c>
      <x:c r="H472" s="12" t="str">
        <x:v>Inventory-listed building/workspace context; current occupancy and screen access unverified</x:v>
      </x:c>
      <x:c r="I472" s="12" t="str">
        <x:v>Mixed business audience</x:v>
      </x:c>
      <x:c r="J472" s="12" t="str">
        <x:v>IT &amp; digital</x:v>
      </x:c>
      <x:c r="K472" s="2" t="str">
        <x:v>MAIN-019</x:v>
      </x:c>
    </x:row>
    <x:row r="473" ht="46" customHeight="1">
      <x:c r="A473" s="2" t="str">
        <x:v>TEN-62B33B9D15E1</x:v>
      </x:c>
      <x:c r="B473" s="12" t="str">
        <x:v>Lycadigital Private Limited</x:v>
      </x:c>
      <x:c r="C473" s="12" t="str">
        <x:v>CORP-0015</x:v>
      </x:c>
      <x:c r="D473" s="12" t="str">
        <x:v>Bengaluru</x:v>
      </x:c>
      <x:c r="E473" s="12" t="str">
        <x:v>Awfis - Prestige Tech Park 2 (Mercury)</x:v>
      </x:c>
      <x:c r="F473" s="12" t="str">
        <x:v>32 inch LED TV</x:v>
      </x:c>
      <x:c r="G473" s="20" t="n">
        <x:v>4</x:v>
      </x:c>
      <x:c r="H473" s="12" t="str">
        <x:v>Inventory-listed building/workspace context; current occupancy and screen access unverified</x:v>
      </x:c>
      <x:c r="I473" s="12" t="str">
        <x:v>Mixed business audience</x:v>
      </x:c>
      <x:c r="J473" s="12" t="str">
        <x:v>Unresolved</x:v>
      </x:c>
      <x:c r="K473" s="2" t="str">
        <x:v>MAIN-019</x:v>
      </x:c>
    </x:row>
    <x:row r="474" ht="46" customHeight="1">
      <x:c r="A474" s="2" t="str">
        <x:v>TEN-C0693165E3AF</x:v>
      </x:c>
      <x:c r="B474" s="12" t="str">
        <x:v>Deloitte India Pvt Ltd</x:v>
      </x:c>
      <x:c r="C474" s="12" t="str">
        <x:v>CORP-0015</x:v>
      </x:c>
      <x:c r="D474" s="12" t="str">
        <x:v>Bengaluru</x:v>
      </x:c>
      <x:c r="E474" s="12" t="str">
        <x:v>Awfis - Prestige Tech Park 2 (Mercury)</x:v>
      </x:c>
      <x:c r="F474" s="12" t="str">
        <x:v>32 inch LED TV</x:v>
      </x:c>
      <x:c r="G474" s="20" t="n">
        <x:v>4</x:v>
      </x:c>
      <x:c r="H474" s="12" t="str">
        <x:v>Inventory-listed building/workspace context; current occupancy and screen access unverified</x:v>
      </x:c>
      <x:c r="I474" s="12" t="str">
        <x:v>Large enterprise</x:v>
      </x:c>
      <x:c r="J474" s="12" t="str">
        <x:v>Professional services</x:v>
      </x:c>
      <x:c r="K474" s="2" t="str">
        <x:v>MAIN-019</x:v>
      </x:c>
    </x:row>
    <x:row r="475" ht="46" customHeight="1">
      <x:c r="A475" s="2" t="str">
        <x:v>TEN-D8D1BC06B2BE</x:v>
      </x:c>
      <x:c r="B475" s="12" t="str">
        <x:v>Technacle IT Services Pvt Ltd</x:v>
      </x:c>
      <x:c r="C475" s="12" t="str">
        <x:v>CORP-0015</x:v>
      </x:c>
      <x:c r="D475" s="12" t="str">
        <x:v>Bengaluru</x:v>
      </x:c>
      <x:c r="E475" s="12" t="str">
        <x:v>Awfis - Prestige Tech Park 2 (Mercury)</x:v>
      </x:c>
      <x:c r="F475" s="12" t="str">
        <x:v>32 inch LED TV</x:v>
      </x:c>
      <x:c r="G475" s="20" t="n">
        <x:v>4</x:v>
      </x:c>
      <x:c r="H475" s="12" t="str">
        <x:v>Inventory-listed building/workspace context; current occupancy and screen access unverified</x:v>
      </x:c>
      <x:c r="I475" s="12" t="str">
        <x:v>Small-scale prospects</x:v>
      </x:c>
      <x:c r="J475" s="12" t="str">
        <x:v>IT &amp; digital</x:v>
      </x:c>
      <x:c r="K475" s="2" t="str">
        <x:v>MAIN-019</x:v>
      </x:c>
    </x:row>
    <x:row r="476" ht="46" customHeight="1">
      <x:c r="A476" s="2" t="str">
        <x:v>TEN-036736E05B14</x:v>
      </x:c>
      <x:c r="B476" s="12" t="str">
        <x:v>My Wed Light</x:v>
      </x:c>
      <x:c r="C476" s="12" t="str">
        <x:v>CORP-0187</x:v>
      </x:c>
      <x:c r="D476" s="12" t="str">
        <x:v>Delhi NCR</x:v>
      </x:c>
      <x:c r="E476" s="12" t="str">
        <x:v>ILD Trade Centre</x:v>
      </x:c>
      <x:c r="F476" s="12" t="str">
        <x:v>55 inch LED TV</x:v>
      </x:c>
      <x:c r="G476" s="20" t="n">
        <x:v>1</x:v>
      </x:c>
      <x:c r="H476" s="12" t="str">
        <x:v>Inventory-listed building/workspace context; current occupancy and screen access unverified</x:v>
      </x:c>
      <x:c r="I476" s="12" t="str">
        <x:v>Mixed business audience</x:v>
      </x:c>
      <x:c r="J476" s="12" t="str">
        <x:v>Unresolved</x:v>
      </x:c>
      <x:c r="K476" s="2" t="str">
        <x:v>MAIN-191</x:v>
      </x:c>
    </x:row>
    <x:row r="477" ht="46" customHeight="1">
      <x:c r="A477" s="2" t="str">
        <x:v>TEN-A6A693646399</x:v>
      </x:c>
      <x:c r="B477" s="12" t="str">
        <x:v>Satya Nora</x:v>
      </x:c>
      <x:c r="C477" s="12" t="str">
        <x:v>CORP-0187</x:v>
      </x:c>
      <x:c r="D477" s="12" t="str">
        <x:v>Delhi NCR</x:v>
      </x:c>
      <x:c r="E477" s="12" t="str">
        <x:v>ILD Trade Centre</x:v>
      </x:c>
      <x:c r="F477" s="12" t="str">
        <x:v>55 inch LED TV</x:v>
      </x:c>
      <x:c r="G477" s="20" t="n">
        <x:v>1</x:v>
      </x:c>
      <x:c r="H477" s="12" t="str">
        <x:v>Inventory-listed building/workspace context; current occupancy and screen access unverified</x:v>
      </x:c>
      <x:c r="I477" s="12" t="str">
        <x:v>Mixed business audience</x:v>
      </x:c>
      <x:c r="J477" s="12" t="str">
        <x:v>Unresolved</x:v>
      </x:c>
      <x:c r="K477" s="2" t="str">
        <x:v>MAIN-191</x:v>
      </x:c>
    </x:row>
    <x:row r="478" ht="46" customHeight="1">
      <x:c r="A478" s="2" t="str">
        <x:v>TEN-AAF89E19ACB5</x:v>
      </x:c>
      <x:c r="B478" s="12" t="str">
        <x:v>Rahul Chaudhry &amp; Partners</x:v>
      </x:c>
      <x:c r="C478" s="12" t="str">
        <x:v>CORP-0187</x:v>
      </x:c>
      <x:c r="D478" s="12" t="str">
        <x:v>Delhi NCR</x:v>
      </x:c>
      <x:c r="E478" s="12" t="str">
        <x:v>ILD Trade Centre</x:v>
      </x:c>
      <x:c r="F478" s="12" t="str">
        <x:v>55 inch LED TV</x:v>
      </x:c>
      <x:c r="G478" s="20" t="n">
        <x:v>1</x:v>
      </x:c>
      <x:c r="H478" s="12" t="str">
        <x:v>Inventory-listed building/workspace context; current occupancy and screen access unverified</x:v>
      </x:c>
      <x:c r="I478" s="12" t="str">
        <x:v>Small-scale prospects</x:v>
      </x:c>
      <x:c r="J478" s="12" t="str">
        <x:v>Professional services</x:v>
      </x:c>
      <x:c r="K478" s="2" t="str">
        <x:v>MAIN-191</x:v>
      </x:c>
    </x:row>
    <x:row r="479" ht="46" customHeight="1">
      <x:c r="A479" s="2" t="str">
        <x:v>TEN-5186376CE032</x:v>
      </x:c>
      <x:c r="B479" s="12" t="str">
        <x:v>India Accelerator</x:v>
      </x:c>
      <x:c r="C479" s="12" t="str">
        <x:v>CORP-0188</x:v>
      </x:c>
      <x:c r="D479" s="12" t="str">
        <x:v>Delhi NCR</x:v>
      </x:c>
      <x:c r="E479" s="12" t="str">
        <x:v>India Accelerator Coworking - IA Udyog Vihar</x:v>
      </x:c>
      <x:c r="F479" s="12" t="str">
        <x:v>55 inch LED TV</x:v>
      </x:c>
      <x:c r="G479" s="20" t="n">
        <x:v>1</x:v>
      </x:c>
      <x:c r="H479" s="12" t="str">
        <x:v>Workspace operator inferred from explicit property name; tenant occupants unconfirmed</x:v>
      </x:c>
      <x:c r="I479" s="12" t="str">
        <x:v>Mixed business audience</x:v>
      </x:c>
      <x:c r="J479" s="12" t="str">
        <x:v>Workspace &amp; property operations</x:v>
      </x:c>
      <x:c r="K479" s="2" t="str">
        <x:v>MAIN-192</x:v>
      </x:c>
    </x:row>
    <x:row r="480" ht="46" customHeight="1">
      <x:c r="A480" s="2" t="str">
        <x:v>TEN-5186376CE032</x:v>
      </x:c>
      <x:c r="B480" s="12" t="str">
        <x:v>India Accelerator</x:v>
      </x:c>
      <x:c r="C480" s="12" t="str">
        <x:v>CORP-0189</x:v>
      </x:c>
      <x:c r="D480" s="12" t="str">
        <x:v>Delhi NCR</x:v>
      </x:c>
      <x:c r="E480" s="12" t="str">
        <x:v>India Accelerator Coworking - IA Udyog Vihar</x:v>
      </x:c>
      <x:c r="F480" s="12" t="str">
        <x:v>32 inch LED TV</x:v>
      </x:c>
      <x:c r="G480" s="20" t="n">
        <x:v>3</x:v>
      </x:c>
      <x:c r="H480" s="12" t="str">
        <x:v>Workspace operator inferred from explicit property name; tenant occupants unconfirmed</x:v>
      </x:c>
      <x:c r="I480" s="12" t="str">
        <x:v>Mixed business audience</x:v>
      </x:c>
      <x:c r="J480" s="12" t="str">
        <x:v>Workspace &amp; property operations</x:v>
      </x:c>
      <x:c r="K480" s="2" t="str">
        <x:v>MAIN-193</x:v>
      </x:c>
    </x:row>
    <x:row r="481" ht="46" customHeight="1">
      <x:c r="A481" s="2" t="str">
        <x:v>TEN-172CBFFE5C71</x:v>
      </x:c>
      <x:c r="B481" s="12" t="str">
        <x:v>ITO ELECTRONICS INDIA PVT. LTD</x:v>
      </x:c>
      <x:c r="C481" s="12" t="str">
        <x:v>CORP-0190</x:v>
      </x:c>
      <x:c r="D481" s="12" t="str">
        <x:v>Delhi NCR</x:v>
      </x:c>
      <x:c r="E481" s="12" t="str">
        <x:v>India Accelerator Coworking - MGF Metropolis Mall</x:v>
      </x:c>
      <x:c r="F481" s="12" t="str">
        <x:v>55 inch LED TV</x:v>
      </x:c>
      <x:c r="G481" s="20" t="n">
        <x:v>6</x:v>
      </x:c>
      <x:c r="H481" s="12" t="str">
        <x:v>Inventory-listed building/workspace context; current occupancy and screen access unverified</x:v>
      </x:c>
      <x:c r="I481" s="12" t="str">
        <x:v>Medium-scale prospects</x:v>
      </x:c>
      <x:c r="J481" s="12" t="str">
        <x:v>Engineering &amp; manufacturing</x:v>
      </x:c>
      <x:c r="K481" s="2" t="str">
        <x:v>MAIN-194</x:v>
      </x:c>
    </x:row>
    <x:row r="482" ht="46" customHeight="1">
      <x:c r="A482" s="2" t="str">
        <x:v>TEN-73D84E96C940</x:v>
      </x:c>
      <x:c r="B482" s="12" t="str">
        <x:v>STEPSMITH IMMIGRATION SERVICES PVT. LTD</x:v>
      </x:c>
      <x:c r="C482" s="12" t="str">
        <x:v>CORP-0190</x:v>
      </x:c>
      <x:c r="D482" s="12" t="str">
        <x:v>Delhi NCR</x:v>
      </x:c>
      <x:c r="E482" s="12" t="str">
        <x:v>India Accelerator Coworking - MGF Metropolis Mall</x:v>
      </x:c>
      <x:c r="F482" s="12" t="str">
        <x:v>55 inch LED TV</x:v>
      </x:c>
      <x:c r="G482" s="20" t="n">
        <x:v>6</x:v>
      </x:c>
      <x:c r="H482" s="12" t="str">
        <x:v>Inventory-listed building/workspace context; current occupancy and screen access unverified</x:v>
      </x:c>
      <x:c r="I482" s="12" t="str">
        <x:v>Small-scale prospects</x:v>
      </x:c>
      <x:c r="J482" s="12" t="str">
        <x:v>Professional services</x:v>
      </x:c>
      <x:c r="K482" s="2" t="str">
        <x:v>MAIN-194</x:v>
      </x:c>
    </x:row>
    <x:row r="483" ht="46" customHeight="1">
      <x:c r="A483" s="2" t="str">
        <x:v>TEN-A52F83B010B6</x:v>
      </x:c>
      <x:c r="B483" s="12" t="str">
        <x:v>KOSE Corporation India Pvt. Ltd</x:v>
      </x:c>
      <x:c r="C483" s="12" t="str">
        <x:v>CORP-0190</x:v>
      </x:c>
      <x:c r="D483" s="12" t="str">
        <x:v>Delhi NCR</x:v>
      </x:c>
      <x:c r="E483" s="12" t="str">
        <x:v>India Accelerator Coworking - MGF Metropolis Mall</x:v>
      </x:c>
      <x:c r="F483" s="12" t="str">
        <x:v>55 inch LED TV</x:v>
      </x:c>
      <x:c r="G483" s="20" t="n">
        <x:v>6</x:v>
      </x:c>
      <x:c r="H483" s="12" t="str">
        <x:v>Inventory-listed building/workspace context; current occupancy and screen access unverified</x:v>
      </x:c>
      <x:c r="I483" s="12" t="str">
        <x:v>Mixed business audience</x:v>
      </x:c>
      <x:c r="J483" s="12" t="str">
        <x:v>Trade, consumer &amp; logistics</x:v>
      </x:c>
      <x:c r="K483" s="2" t="str">
        <x:v>MAIN-194</x:v>
      </x:c>
    </x:row>
    <x:row r="484" ht="46" customHeight="1">
      <x:c r="A484" s="2" t="str">
        <x:v>TEN-F93408F90DB3</x:v>
      </x:c>
      <x:c r="B484" s="12" t="str">
        <x:v>GIC HOUSING FINANCE LTD</x:v>
      </x:c>
      <x:c r="C484" s="12" t="str">
        <x:v>CORP-0190</x:v>
      </x:c>
      <x:c r="D484" s="12" t="str">
        <x:v>Delhi NCR</x:v>
      </x:c>
      <x:c r="E484" s="12" t="str">
        <x:v>India Accelerator Coworking - MGF Metropolis Mall</x:v>
      </x:c>
      <x:c r="F484" s="12" t="str">
        <x:v>55 inch LED TV</x:v>
      </x:c>
      <x:c r="G484" s="20" t="n">
        <x:v>6</x:v>
      </x:c>
      <x:c r="H484" s="12" t="str">
        <x:v>Inventory-listed building/workspace context; current occupancy and screen access unverified</x:v>
      </x:c>
      <x:c r="I484" s="12" t="str">
        <x:v>Mixed business audience</x:v>
      </x:c>
      <x:c r="J484" s="12" t="str">
        <x:v>Finance &amp; insurance</x:v>
      </x:c>
      <x:c r="K484" s="2" t="str">
        <x:v>MAIN-194</x:v>
      </x:c>
    </x:row>
    <x:row r="485" ht="46" customHeight="1">
      <x:c r="A485" s="2" t="str">
        <x:v>TEN-0F816088DDB0</x:v>
      </x:c>
      <x:c r="B485" s="12" t="str">
        <x:v>Mitsubishi Chemical India Pvt. Ltd</x:v>
      </x:c>
      <x:c r="C485" s="12" t="str">
        <x:v>CORP-0191</x:v>
      </x:c>
      <x:c r="D485" s="12" t="str">
        <x:v>Delhi NCR</x:v>
      </x:c>
      <x:c r="E485" s="12" t="str">
        <x:v>India Accelerator Coworking - Vatika Triangle</x:v>
      </x:c>
      <x:c r="F485" s="12" t="str">
        <x:v>43 inch LED TV</x:v>
      </x:c>
      <x:c r="G485" s="20" t="n">
        <x:v>3</x:v>
      </x:c>
      <x:c r="H485" s="12" t="str">
        <x:v>Inventory-listed building/workspace context; current occupancy and screen access unverified</x:v>
      </x:c>
      <x:c r="I485" s="12" t="str">
        <x:v>Mixed business audience</x:v>
      </x:c>
      <x:c r="J485" s="12" t="str">
        <x:v>Engineering &amp; manufacturing</x:v>
      </x:c>
      <x:c r="K485" s="2" t="str">
        <x:v>MAIN-195</x:v>
      </x:c>
    </x:row>
    <x:row r="486" ht="46" customHeight="1">
      <x:c r="A486" s="2" t="str">
        <x:v>TEN-2AC9A3F3ED06</x:v>
      </x:c>
      <x:c r="B486" s="12" t="str">
        <x:v>Proman Securitech Pvt. Ltd</x:v>
      </x:c>
      <x:c r="C486" s="12" t="str">
        <x:v>CORP-0191</x:v>
      </x:c>
      <x:c r="D486" s="12" t="str">
        <x:v>Delhi NCR</x:v>
      </x:c>
      <x:c r="E486" s="12" t="str">
        <x:v>India Accelerator Coworking - Vatika Triangle</x:v>
      </x:c>
      <x:c r="F486" s="12" t="str">
        <x:v>43 inch LED TV</x:v>
      </x:c>
      <x:c r="G486" s="20" t="n">
        <x:v>3</x:v>
      </x:c>
      <x:c r="H486" s="12" t="str">
        <x:v>Inventory-listed building/workspace context; current occupancy and screen access unverified</x:v>
      </x:c>
      <x:c r="I486" s="12" t="str">
        <x:v>Mixed business audience</x:v>
      </x:c>
      <x:c r="J486" s="12" t="str">
        <x:v>Unresolved</x:v>
      </x:c>
      <x:c r="K486" s="2" t="str">
        <x:v>MAIN-195</x:v>
      </x:c>
    </x:row>
    <x:row r="487" ht="46" customHeight="1">
      <x:c r="A487" s="2" t="str">
        <x:v>TEN-45103F2C037D</x:v>
      </x:c>
      <x:c r="B487" s="12" t="str">
        <x:v>Mytex Polymers India Pvt Ltd</x:v>
      </x:c>
      <x:c r="C487" s="12" t="str">
        <x:v>CORP-0191</x:v>
      </x:c>
      <x:c r="D487" s="12" t="str">
        <x:v>Delhi NCR</x:v>
      </x:c>
      <x:c r="E487" s="12" t="str">
        <x:v>India Accelerator Coworking - Vatika Triangle</x:v>
      </x:c>
      <x:c r="F487" s="12" t="str">
        <x:v>43 inch LED TV</x:v>
      </x:c>
      <x:c r="G487" s="20" t="n">
        <x:v>3</x:v>
      </x:c>
      <x:c r="H487" s="12" t="str">
        <x:v>Inventory-listed building/workspace context; current occupancy and screen access unverified</x:v>
      </x:c>
      <x:c r="I487" s="12" t="str">
        <x:v>Mixed business audience</x:v>
      </x:c>
      <x:c r="J487" s="12" t="str">
        <x:v>Engineering &amp; manufacturing</x:v>
      </x:c>
      <x:c r="K487" s="2" t="str">
        <x:v>MAIN-195</x:v>
      </x:c>
    </x:row>
    <x:row r="488" ht="46" customHeight="1">
      <x:c r="A488" s="2" t="str">
        <x:v>TEN-8BBE512452EF</x:v>
      </x:c>
      <x:c r="B488" s="12" t="str">
        <x:v>Boerger India Pvt. Ltd</x:v>
      </x:c>
      <x:c r="C488" s="12" t="str">
        <x:v>CORP-0191</x:v>
      </x:c>
      <x:c r="D488" s="12" t="str">
        <x:v>Delhi NCR</x:v>
      </x:c>
      <x:c r="E488" s="12" t="str">
        <x:v>India Accelerator Coworking - Vatika Triangle</x:v>
      </x:c>
      <x:c r="F488" s="12" t="str">
        <x:v>43 inch LED TV</x:v>
      </x:c>
      <x:c r="G488" s="20" t="n">
        <x:v>3</x:v>
      </x:c>
      <x:c r="H488" s="12" t="str">
        <x:v>Inventory-listed building/workspace context; current occupancy and screen access unverified</x:v>
      </x:c>
      <x:c r="I488" s="12" t="str">
        <x:v>Medium-scale prospects</x:v>
      </x:c>
      <x:c r="J488" s="12" t="str">
        <x:v>Engineering &amp; manufacturing</x:v>
      </x:c>
      <x:c r="K488" s="2" t="str">
        <x:v>MAIN-195</x:v>
      </x:c>
    </x:row>
    <x:row r="489" ht="46" customHeight="1">
      <x:c r="A489" s="2" t="str">
        <x:v>TEN-B06027704491</x:v>
      </x:c>
      <x:c r="B489" s="12" t="str">
        <x:v>Empathy Relocations Gurgaon</x:v>
      </x:c>
      <x:c r="C489" s="12" t="str">
        <x:v>CORP-0191</x:v>
      </x:c>
      <x:c r="D489" s="12" t="str">
        <x:v>Delhi NCR</x:v>
      </x:c>
      <x:c r="E489" s="12" t="str">
        <x:v>India Accelerator Coworking - Vatika Triangle</x:v>
      </x:c>
      <x:c r="F489" s="12" t="str">
        <x:v>43 inch LED TV</x:v>
      </x:c>
      <x:c r="G489" s="20" t="n">
        <x:v>3</x:v>
      </x:c>
      <x:c r="H489" s="12" t="str">
        <x:v>Inventory-listed building/workspace context; current occupancy and screen access unverified</x:v>
      </x:c>
      <x:c r="I489" s="12" t="str">
        <x:v>Small-scale prospects</x:v>
      </x:c>
      <x:c r="J489" s="12" t="str">
        <x:v>Professional services</x:v>
      </x:c>
      <x:c r="K489" s="2" t="str">
        <x:v>MAIN-195</x:v>
      </x:c>
    </x:row>
    <x:row r="490" ht="46" customHeight="1">
      <x:c r="A490" s="2" t="str">
        <x:v>TEN-D38B042527EB</x:v>
      </x:c>
      <x:c r="B490" s="12" t="str">
        <x:v>UAS International Holidays Pvt Ltd</x:v>
      </x:c>
      <x:c r="C490" s="12" t="str">
        <x:v>CORP-0191</x:v>
      </x:c>
      <x:c r="D490" s="12" t="str">
        <x:v>Delhi NCR</x:v>
      </x:c>
      <x:c r="E490" s="12" t="str">
        <x:v>India Accelerator Coworking - Vatika Triangle</x:v>
      </x:c>
      <x:c r="F490" s="12" t="str">
        <x:v>43 inch LED TV</x:v>
      </x:c>
      <x:c r="G490" s="20" t="n">
        <x:v>3</x:v>
      </x:c>
      <x:c r="H490" s="12" t="str">
        <x:v>Inventory-listed building/workspace context; current occupancy and screen access unverified</x:v>
      </x:c>
      <x:c r="I490" s="12" t="str">
        <x:v>Small-scale prospects</x:v>
      </x:c>
      <x:c r="J490" s="12" t="str">
        <x:v>Trade, consumer &amp; logistics</x:v>
      </x:c>
      <x:c r="K490" s="2" t="str">
        <x:v>MAIN-195</x:v>
      </x:c>
    </x:row>
    <x:row r="491" ht="46" customHeight="1">
      <x:c r="A491" s="2" t="str">
        <x:v>TEN-F6C3D7E2CE93</x:v>
      </x:c>
      <x:c r="B491" s="12" t="str">
        <x:v>Dairy Craft India Pvt Ltd</x:v>
      </x:c>
      <x:c r="C491" s="12" t="str">
        <x:v>CORP-0191</x:v>
      </x:c>
      <x:c r="D491" s="12" t="str">
        <x:v>Delhi NCR</x:v>
      </x:c>
      <x:c r="E491" s="12" t="str">
        <x:v>India Accelerator Coworking - Vatika Triangle</x:v>
      </x:c>
      <x:c r="F491" s="12" t="str">
        <x:v>43 inch LED TV</x:v>
      </x:c>
      <x:c r="G491" s="20" t="n">
        <x:v>3</x:v>
      </x:c>
      <x:c r="H491" s="12" t="str">
        <x:v>Inventory-listed building/workspace context; current occupancy and screen access unverified</x:v>
      </x:c>
      <x:c r="I491" s="12" t="str">
        <x:v>Small-scale prospects</x:v>
      </x:c>
      <x:c r="J491" s="12" t="str">
        <x:v>Trade, consumer &amp; logistics</x:v>
      </x:c>
      <x:c r="K491" s="2" t="str">
        <x:v>MAIN-195</x:v>
      </x:c>
    </x:row>
    <x:row r="492" ht="46" customHeight="1">
      <x:c r="A492" s="2" t="str">
        <x:v>TEN-04F457C9EB4D</x:v>
      </x:c>
      <x:c r="B492" s="12" t="str">
        <x:v>Survey2connect</x:v>
      </x:c>
      <x:c r="C492" s="12" t="str">
        <x:v>CORP-0192</x:v>
      </x:c>
      <x:c r="D492" s="12" t="str">
        <x:v>Delhi NCR</x:v>
      </x:c>
      <x:c r="E492" s="12" t="str">
        <x:v>Kallton</x:v>
      </x:c>
      <x:c r="F492" s="12" t="str">
        <x:v>55 inch LED TV</x:v>
      </x:c>
      <x:c r="G492" s="20" t="n">
        <x:v>5</x:v>
      </x:c>
      <x:c r="H492" s="12" t="str">
        <x:v>Inventory-listed building/workspace context; current occupancy and screen access unverified</x:v>
      </x:c>
      <x:c r="I492" s="12" t="str">
        <x:v>Small-scale prospects</x:v>
      </x:c>
      <x:c r="J492" s="12" t="str">
        <x:v>IT &amp; digital</x:v>
      </x:c>
      <x:c r="K492" s="2" t="str">
        <x:v>MAIN-196</x:v>
      </x:c>
    </x:row>
    <x:row r="493" ht="46" customHeight="1">
      <x:c r="A493" s="2" t="str">
        <x:v>TEN-3BF04266C40F</x:v>
      </x:c>
      <x:c r="B493" s="12" t="str">
        <x:v>Nirvasa Healthcare Pvt. Ltd</x:v>
      </x:c>
      <x:c r="C493" s="12" t="str">
        <x:v>CORP-0192</x:v>
      </x:c>
      <x:c r="D493" s="12" t="str">
        <x:v>Delhi NCR</x:v>
      </x:c>
      <x:c r="E493" s="12" t="str">
        <x:v>Kallton</x:v>
      </x:c>
      <x:c r="F493" s="12" t="str">
        <x:v>55 inch LED TV</x:v>
      </x:c>
      <x:c r="G493" s="20" t="n">
        <x:v>5</x:v>
      </x:c>
      <x:c r="H493" s="12" t="str">
        <x:v>Inventory-listed building/workspace context; current occupancy and screen access unverified</x:v>
      </x:c>
      <x:c r="I493" s="12" t="str">
        <x:v>Small-scale prospects</x:v>
      </x:c>
      <x:c r="J493" s="12" t="str">
        <x:v>Healthcare &amp; life sciences</x:v>
      </x:c>
      <x:c r="K493" s="2" t="str">
        <x:v>MAIN-196</x:v>
      </x:c>
    </x:row>
    <x:row r="494" ht="46" customHeight="1">
      <x:c r="A494" s="2" t="str">
        <x:v>TEN-B9280E6ABABB</x:v>
      </x:c>
      <x:c r="B494" s="12" t="str">
        <x:v>TaskUs Mystiqa–Gurugram</x:v>
      </x:c>
      <x:c r="C494" s="12" t="str">
        <x:v>CORP-0192</x:v>
      </x:c>
      <x:c r="D494" s="12" t="str">
        <x:v>Delhi NCR</x:v>
      </x:c>
      <x:c r="E494" s="12" t="str">
        <x:v>Kallton</x:v>
      </x:c>
      <x:c r="F494" s="12" t="str">
        <x:v>55 inch LED TV</x:v>
      </x:c>
      <x:c r="G494" s="20" t="n">
        <x:v>5</x:v>
      </x:c>
      <x:c r="H494" s="12" t="str">
        <x:v>Inventory-listed building/workspace context; current occupancy and screen access unverified</x:v>
      </x:c>
      <x:c r="I494" s="12" t="str">
        <x:v>Mixed business audience</x:v>
      </x:c>
      <x:c r="J494" s="12" t="str">
        <x:v>IT &amp; digital</x:v>
      </x:c>
      <x:c r="K494" s="2" t="str">
        <x:v>MAIN-196</x:v>
      </x:c>
    </x:row>
    <x:row r="495" ht="46" customHeight="1">
      <x:c r="A495" s="2" t="str">
        <x:v>TEN-D5D133305413</x:v>
      </x:c>
      <x:c r="B495" s="12" t="str">
        <x:v>Robosurg MedTech Pvt Ltd</x:v>
      </x:c>
      <x:c r="C495" s="12" t="str">
        <x:v>CORP-0192</x:v>
      </x:c>
      <x:c r="D495" s="12" t="str">
        <x:v>Delhi NCR</x:v>
      </x:c>
      <x:c r="E495" s="12" t="str">
        <x:v>Kallton</x:v>
      </x:c>
      <x:c r="F495" s="12" t="str">
        <x:v>55 inch LED TV</x:v>
      </x:c>
      <x:c r="G495" s="20" t="n">
        <x:v>5</x:v>
      </x:c>
      <x:c r="H495" s="12" t="str">
        <x:v>Inventory-listed building/workspace context; current occupancy and screen access unverified</x:v>
      </x:c>
      <x:c r="I495" s="12" t="str">
        <x:v>Small-scale prospects</x:v>
      </x:c>
      <x:c r="J495" s="12" t="str">
        <x:v>Healthcare &amp; life sciences</x:v>
      </x:c>
      <x:c r="K495" s="2" t="str">
        <x:v>MAIN-196</x:v>
      </x:c>
    </x:row>
    <x:row r="496" ht="46" customHeight="1">
      <x:c r="A496" s="2" t="str">
        <x:v>TEN-1A250C4D13AC</x:v>
      </x:c>
      <x:c r="B496" s="12" t="str">
        <x:v>Klay</x:v>
      </x:c>
      <x:c r="C496" s="12" t="str">
        <x:v>CORP-0193</x:v>
      </x:c>
      <x:c r="D496" s="12" t="str">
        <x:v>Delhi NCR</x:v>
      </x:c>
      <x:c r="E496" s="12" t="str">
        <x:v>Nucleus - One Qube</x:v>
      </x:c>
      <x:c r="F496" s="12" t="str">
        <x:v>55 inch LED TV</x:v>
      </x:c>
      <x:c r="G496" s="20" t="n">
        <x:v>3</x:v>
      </x:c>
      <x:c r="H496" s="12" t="str">
        <x:v>Inventory-listed building/workspace context; current occupancy and screen access unverified</x:v>
      </x:c>
      <x:c r="I496" s="12" t="str">
        <x:v>Mixed business audience</x:v>
      </x:c>
      <x:c r="J496" s="12" t="str">
        <x:v>Education</x:v>
      </x:c>
      <x:c r="K496" s="2" t="str">
        <x:v>MAIN-197</x:v>
      </x:c>
    </x:row>
    <x:row r="497" ht="46" customHeight="1">
      <x:c r="A497" s="2" t="str">
        <x:v>TEN-0C640AA2B409</x:v>
      </x:c>
      <x:c r="B497" s="12" t="str">
        <x:v>Spa Lavish Massage Center-Thai Spa in Sector 49 Gurgaon</x:v>
      </x:c>
      <x:c r="C497" s="12" t="str">
        <x:v>CORP-0194</x:v>
      </x:c>
      <x:c r="D497" s="12" t="str">
        <x:v>Delhi NCR</x:v>
      </x:c>
      <x:c r="E497" s="12" t="str">
        <x:v>Satya The Element One</x:v>
      </x:c>
      <x:c r="F497" s="12" t="str">
        <x:v>24 inch LED TV</x:v>
      </x:c>
      <x:c r="G497" s="20" t="n">
        <x:v>4</x:v>
      </x:c>
      <x:c r="H497" s="12" t="str">
        <x:v>Inventory-listed building/workspace context; current occupancy and screen access unverified</x:v>
      </x:c>
      <x:c r="I497" s="12" t="str">
        <x:v>Small-scale prospects</x:v>
      </x:c>
      <x:c r="J497" s="12" t="str">
        <x:v>Trade, consumer &amp; logistics</x:v>
      </x:c>
      <x:c r="K497" s="2" t="str">
        <x:v>MAIN-198</x:v>
      </x:c>
    </x:row>
    <x:row r="498" ht="46" customHeight="1">
      <x:c r="A498" s="2" t="str">
        <x:v>TEN-192B0F3559B4</x:v>
      </x:c>
      <x:c r="B498" s="12" t="str">
        <x:v>Advik Real Estate</x:v>
      </x:c>
      <x:c r="C498" s="12" t="str">
        <x:v>CORP-0194</x:v>
      </x:c>
      <x:c r="D498" s="12" t="str">
        <x:v>Delhi NCR</x:v>
      </x:c>
      <x:c r="E498" s="12" t="str">
        <x:v>Satya The Element One</x:v>
      </x:c>
      <x:c r="F498" s="12" t="str">
        <x:v>24 inch LED TV</x:v>
      </x:c>
      <x:c r="G498" s="20" t="n">
        <x:v>4</x:v>
      </x:c>
      <x:c r="H498" s="12" t="str">
        <x:v>Inventory-listed building/workspace context; current occupancy and screen access unverified</x:v>
      </x:c>
      <x:c r="I498" s="12" t="str">
        <x:v>Small-scale prospects</x:v>
      </x:c>
      <x:c r="J498" s="12" t="str">
        <x:v>Trade, consumer &amp; logistics</x:v>
      </x:c>
      <x:c r="K498" s="2" t="str">
        <x:v>MAIN-198</x:v>
      </x:c>
    </x:row>
    <x:row r="499" ht="46" customHeight="1">
      <x:c r="A499" s="2" t="str">
        <x:v>TEN-2360B838D6B9</x:v>
      </x:c>
      <x:c r="B499" s="12" t="str">
        <x:v>Triss Salon Gurugram</x:v>
      </x:c>
      <x:c r="C499" s="12" t="str">
        <x:v>CORP-0194</x:v>
      </x:c>
      <x:c r="D499" s="12" t="str">
        <x:v>Delhi NCR</x:v>
      </x:c>
      <x:c r="E499" s="12" t="str">
        <x:v>Satya The Element One</x:v>
      </x:c>
      <x:c r="F499" s="12" t="str">
        <x:v>24 inch LED TV</x:v>
      </x:c>
      <x:c r="G499" s="20" t="n">
        <x:v>4</x:v>
      </x:c>
      <x:c r="H499" s="12" t="str">
        <x:v>Inventory-listed building/workspace context; current occupancy and screen access unverified</x:v>
      </x:c>
      <x:c r="I499" s="12" t="str">
        <x:v>Small-scale prospects</x:v>
      </x:c>
      <x:c r="J499" s="12" t="str">
        <x:v>Trade, consumer &amp; logistics</x:v>
      </x:c>
      <x:c r="K499" s="2" t="str">
        <x:v>MAIN-198</x:v>
      </x:c>
    </x:row>
    <x:row r="500" ht="46" customHeight="1">
      <x:c r="A500" s="2" t="str">
        <x:v>TEN-C45C1EA08B3F</x:v>
      </x:c>
      <x:c r="B500" s="12" t="str">
        <x:v>Arogya Yogshala</x:v>
      </x:c>
      <x:c r="C500" s="12" t="str">
        <x:v>CORP-0194</x:v>
      </x:c>
      <x:c r="D500" s="12" t="str">
        <x:v>Delhi NCR</x:v>
      </x:c>
      <x:c r="E500" s="12" t="str">
        <x:v>Satya The Element One</x:v>
      </x:c>
      <x:c r="F500" s="12" t="str">
        <x:v>24 inch LED TV</x:v>
      </x:c>
      <x:c r="G500" s="20" t="n">
        <x:v>4</x:v>
      </x:c>
      <x:c r="H500" s="12" t="str">
        <x:v>Inventory-listed building/workspace context; current occupancy and screen access unverified</x:v>
      </x:c>
      <x:c r="I500" s="12" t="str">
        <x:v>Small-scale prospects</x:v>
      </x:c>
      <x:c r="J500" s="12" t="str">
        <x:v>Healthcare &amp; life sciences</x:v>
      </x:c>
      <x:c r="K500" s="2" t="str">
        <x:v>MAIN-198</x:v>
      </x:c>
    </x:row>
    <x:row r="501" ht="46" customHeight="1">
      <x:c r="A501" s="2" t="str">
        <x:v>TEN-79585655FA86</x:v>
      </x:c>
      <x:c r="B501" s="12" t="str">
        <x:v>The Holy Kingdom Conference Center</x:v>
      </x:c>
      <x:c r="C501" s="12" t="str">
        <x:v>CORP-0195</x:v>
      </x:c>
      <x:c r="D501" s="12" t="str">
        <x:v>Delhi NCR</x:v>
      </x:c>
      <x:c r="E501" s="12" t="str">
        <x:v>Satya The Hive</x:v>
      </x:c>
      <x:c r="F501" s="12" t="str">
        <x:v>55 inch LED TV</x:v>
      </x:c>
      <x:c r="G501" s="20" t="n">
        <x:v>1</x:v>
      </x:c>
      <x:c r="H501" s="12" t="str">
        <x:v>Inventory-listed building/workspace context; current occupancy and screen access unverified</x:v>
      </x:c>
      <x:c r="I501" s="12" t="str">
        <x:v>Mixed business audience</x:v>
      </x:c>
      <x:c r="J501" s="12" t="str">
        <x:v>Unresolved</x:v>
      </x:c>
      <x:c r="K501" s="2" t="str">
        <x:v>MAIN-199</x:v>
      </x:c>
    </x:row>
    <x:row r="502" ht="46" customHeight="1">
      <x:c r="A502" s="2" t="str">
        <x:v>TEN-830632AB0595</x:v>
      </x:c>
      <x:c r="B502" s="12" t="str">
        <x:v>Propcop Realtors Pvt.Ltd</x:v>
      </x:c>
      <x:c r="C502" s="12" t="str">
        <x:v>CORP-0195</x:v>
      </x:c>
      <x:c r="D502" s="12" t="str">
        <x:v>Delhi NCR</x:v>
      </x:c>
      <x:c r="E502" s="12" t="str">
        <x:v>Satya The Hive</x:v>
      </x:c>
      <x:c r="F502" s="12" t="str">
        <x:v>55 inch LED TV</x:v>
      </x:c>
      <x:c r="G502" s="20" t="n">
        <x:v>1</x:v>
      </x:c>
      <x:c r="H502" s="12" t="str">
        <x:v>Inventory-listed building/workspace context; current occupancy and screen access unverified</x:v>
      </x:c>
      <x:c r="I502" s="12" t="str">
        <x:v>Small-scale prospects</x:v>
      </x:c>
      <x:c r="J502" s="12" t="str">
        <x:v>Trade, consumer &amp; logistics</x:v>
      </x:c>
      <x:c r="K502" s="2" t="str">
        <x:v>MAIN-199</x:v>
      </x:c>
    </x:row>
    <x:row r="503" ht="46" customHeight="1">
      <x:c r="A503" s="2" t="str">
        <x:v>TEN-D7BFD09F399F</x:v>
      </x:c>
      <x:c r="B503" s="12" t="str">
        <x:v>Desire Div</x:v>
      </x:c>
      <x:c r="C503" s="12" t="str">
        <x:v>CORP-0195</x:v>
      </x:c>
      <x:c r="D503" s="12" t="str">
        <x:v>Delhi NCR</x:v>
      </x:c>
      <x:c r="E503" s="12" t="str">
        <x:v>Satya The Hive</x:v>
      </x:c>
      <x:c r="F503" s="12" t="str">
        <x:v>55 inch LED TV</x:v>
      </x:c>
      <x:c r="G503" s="20" t="n">
        <x:v>1</x:v>
      </x:c>
      <x:c r="H503" s="12" t="str">
        <x:v>Inventory-listed building/workspace context; current occupancy and screen access unverified</x:v>
      </x:c>
      <x:c r="I503" s="12" t="str">
        <x:v>Small-scale prospects</x:v>
      </x:c>
      <x:c r="J503" s="12" t="str">
        <x:v>IT &amp; digital</x:v>
      </x:c>
      <x:c r="K503" s="2" t="str">
        <x:v>MAIN-199</x:v>
      </x:c>
    </x:row>
    <x:row r="504" ht="46" customHeight="1">
      <x:c r="A504" s="2" t="str">
        <x:v>TEN-F594EFF6BD97</x:v>
      </x:c>
      <x:c r="B504" s="12" t="str">
        <x:v>Mediff Pharma Pvt Ltd</x:v>
      </x:c>
      <x:c r="C504" s="12" t="str">
        <x:v>CORP-0195</x:v>
      </x:c>
      <x:c r="D504" s="12" t="str">
        <x:v>Delhi NCR</x:v>
      </x:c>
      <x:c r="E504" s="12" t="str">
        <x:v>Satya The Hive</x:v>
      </x:c>
      <x:c r="F504" s="12" t="str">
        <x:v>55 inch LED TV</x:v>
      </x:c>
      <x:c r="G504" s="20" t="n">
        <x:v>1</x:v>
      </x:c>
      <x:c r="H504" s="12" t="str">
        <x:v>Inventory-listed building/workspace context; current occupancy and screen access unverified</x:v>
      </x:c>
      <x:c r="I504" s="12" t="str">
        <x:v>Medium-scale prospects</x:v>
      </x:c>
      <x:c r="J504" s="12" t="str">
        <x:v>Healthcare &amp; life sciences</x:v>
      </x:c>
      <x:c r="K504" s="2" t="str">
        <x:v>MAIN-199</x:v>
      </x:c>
    </x:row>
    <x:row r="505" ht="46" customHeight="1">
      <x:c r="A505" s="2" t="str">
        <x:v>TEN-0E45FC6E55A1</x:v>
      </x:c>
      <x:c r="B505" s="12" t="str">
        <x:v>Honda R&amp;D (India) Private Limited</x:v>
      </x:c>
      <x:c r="C505" s="12" t="str">
        <x:v>CORP-0016</x:v>
      </x:c>
      <x:c r="D505" s="12" t="str">
        <x:v>Bengaluru</x:v>
      </x:c>
      <x:c r="E505" s="12" t="str">
        <x:v>AWFIS - PTP 4 Jupiter</x:v>
      </x:c>
      <x:c r="F505" s="12" t="str">
        <x:v>32 inch LED TV</x:v>
      </x:c>
      <x:c r="G505" s="20" t="n">
        <x:v>1</x:v>
      </x:c>
      <x:c r="H505" s="12" t="str">
        <x:v>Inventory-listed building/workspace context; current occupancy and screen access unverified</x:v>
      </x:c>
      <x:c r="I505" s="12" t="str">
        <x:v>Mixed business audience</x:v>
      </x:c>
      <x:c r="J505" s="12" t="str">
        <x:v>Engineering &amp; manufacturing</x:v>
      </x:c>
      <x:c r="K505" s="2" t="str">
        <x:v>MAIN-020</x:v>
      </x:c>
    </x:row>
    <x:row r="506" ht="46" customHeight="1">
      <x:c r="A506" s="2" t="str">
        <x:v>TEN-5A77600C2DAB</x:v>
      </x:c>
      <x:c r="B506" s="12" t="str">
        <x:v>Codilar Technologies Pvt Ltd</x:v>
      </x:c>
      <x:c r="C506" s="12" t="str">
        <x:v>CORP-0016</x:v>
      </x:c>
      <x:c r="D506" s="12" t="str">
        <x:v>Bengaluru</x:v>
      </x:c>
      <x:c r="E506" s="12" t="str">
        <x:v>AWFIS - PTP 4 Jupiter</x:v>
      </x:c>
      <x:c r="F506" s="12" t="str">
        <x:v>32 inch LED TV</x:v>
      </x:c>
      <x:c r="G506" s="20" t="n">
        <x:v>1</x:v>
      </x:c>
      <x:c r="H506" s="12" t="str">
        <x:v>Inventory-listed building/workspace context; current occupancy and screen access unverified</x:v>
      </x:c>
      <x:c r="I506" s="12" t="str">
        <x:v>Medium-scale prospects</x:v>
      </x:c>
      <x:c r="J506" s="12" t="str">
        <x:v>IT &amp; digital</x:v>
      </x:c>
      <x:c r="K506" s="2" t="str">
        <x:v>MAIN-020</x:v>
      </x:c>
    </x:row>
    <x:row r="507" ht="46" customHeight="1">
      <x:c r="A507" s="2" t="str">
        <x:v>TEN-74F11F226AA1</x:v>
      </x:c>
      <x:c r="B507" s="12" t="str">
        <x:v>UNO MINDA Global Centre</x:v>
      </x:c>
      <x:c r="C507" s="12" t="str">
        <x:v>CORP-0016</x:v>
      </x:c>
      <x:c r="D507" s="12" t="str">
        <x:v>Bengaluru</x:v>
      </x:c>
      <x:c r="E507" s="12" t="str">
        <x:v>AWFIS - PTP 4 Jupiter</x:v>
      </x:c>
      <x:c r="F507" s="12" t="str">
        <x:v>32 inch LED TV</x:v>
      </x:c>
      <x:c r="G507" s="20" t="n">
        <x:v>1</x:v>
      </x:c>
      <x:c r="H507" s="12" t="str">
        <x:v>Inventory-listed building/workspace context; current occupancy and screen access unverified</x:v>
      </x:c>
      <x:c r="I507" s="12" t="str">
        <x:v>Mixed business audience</x:v>
      </x:c>
      <x:c r="J507" s="12" t="str">
        <x:v>Engineering &amp; manufacturing</x:v>
      </x:c>
      <x:c r="K507" s="2" t="str">
        <x:v>MAIN-020</x:v>
      </x:c>
    </x:row>
    <x:row r="508" ht="46" customHeight="1">
      <x:c r="A508" s="2" t="str">
        <x:v>TEN-40D61050D2A8</x:v>
      </x:c>
      <x:c r="B508" s="12" t="str">
        <x:v>VIKAS CHOUDHARY AND COMPANY</x:v>
      </x:c>
      <x:c r="C508" s="12" t="str">
        <x:v>CORP-0196</x:v>
      </x:c>
      <x:c r="D508" s="12" t="str">
        <x:v>Delhi NCR</x:v>
      </x:c>
      <x:c r="E508" s="12" t="str">
        <x:v>Satya The Hive {IE}</x:v>
      </x:c>
      <x:c r="F508" s="12" t="str">
        <x:v>24 inch LED TV</x:v>
      </x:c>
      <x:c r="G508" s="20" t="n">
        <x:v>7</x:v>
      </x:c>
      <x:c r="H508" s="12" t="str">
        <x:v>Inventory-listed building/workspace context; current occupancy and screen access unverified</x:v>
      </x:c>
      <x:c r="I508" s="12" t="str">
        <x:v>Mixed business audience</x:v>
      </x:c>
      <x:c r="J508" s="12" t="str">
        <x:v>Unresolved</x:v>
      </x:c>
      <x:c r="K508" s="2" t="str">
        <x:v>MAIN-200</x:v>
      </x:c>
    </x:row>
    <x:row r="509" ht="46" customHeight="1">
      <x:c r="A509" s="2" t="str">
        <x:v>TEN-4CEEF779B054</x:v>
      </x:c>
      <x:c r="B509" s="12" t="str">
        <x:v>Benson Trophy Manufacture in Gurgaon</x:v>
      </x:c>
      <x:c r="C509" s="12" t="str">
        <x:v>CORP-0196</x:v>
      </x:c>
      <x:c r="D509" s="12" t="str">
        <x:v>Delhi NCR</x:v>
      </x:c>
      <x:c r="E509" s="12" t="str">
        <x:v>Satya The Hive {IE}</x:v>
      </x:c>
      <x:c r="F509" s="12" t="str">
        <x:v>24 inch LED TV</x:v>
      </x:c>
      <x:c r="G509" s="20" t="n">
        <x:v>7</x:v>
      </x:c>
      <x:c r="H509" s="12" t="str">
        <x:v>Inventory-listed building/workspace context; current occupancy and screen access unverified</x:v>
      </x:c>
      <x:c r="I509" s="12" t="str">
        <x:v>Medium-scale prospects</x:v>
      </x:c>
      <x:c r="J509" s="12" t="str">
        <x:v>Engineering &amp; manufacturing</x:v>
      </x:c>
      <x:c r="K509" s="2" t="str">
        <x:v>MAIN-200</x:v>
      </x:c>
    </x:row>
    <x:row r="510" ht="46" customHeight="1">
      <x:c r="A510" s="2" t="str">
        <x:v>TEN-4EF55CFDD5DE</x:v>
      </x:c>
      <x:c r="B510" s="12" t="str">
        <x:v>DkOr Modular Kitchen &amp; Interiors</x:v>
      </x:c>
      <x:c r="C510" s="12" t="str">
        <x:v>CORP-0196</x:v>
      </x:c>
      <x:c r="D510" s="12" t="str">
        <x:v>Delhi NCR</x:v>
      </x:c>
      <x:c r="E510" s="12" t="str">
        <x:v>Satya The Hive {IE}</x:v>
      </x:c>
      <x:c r="F510" s="12" t="str">
        <x:v>24 inch LED TV</x:v>
      </x:c>
      <x:c r="G510" s="20" t="n">
        <x:v>7</x:v>
      </x:c>
      <x:c r="H510" s="12" t="str">
        <x:v>Inventory-listed building/workspace context; current occupancy and screen access unverified</x:v>
      </x:c>
      <x:c r="I510" s="12" t="str">
        <x:v>Small-scale prospects</x:v>
      </x:c>
      <x:c r="J510" s="12" t="str">
        <x:v>Professional services</x:v>
      </x:c>
      <x:c r="K510" s="2" t="str">
        <x:v>MAIN-200</x:v>
      </x:c>
    </x:row>
    <x:row r="511" ht="46" customHeight="1">
      <x:c r="A511" s="2" t="str">
        <x:v>TEN-79585655FA86</x:v>
      </x:c>
      <x:c r="B511" s="12" t="str">
        <x:v>The Holy Kingdom Conference Center</x:v>
      </x:c>
      <x:c r="C511" s="12" t="str">
        <x:v>CORP-0196</x:v>
      </x:c>
      <x:c r="D511" s="12" t="str">
        <x:v>Delhi NCR</x:v>
      </x:c>
      <x:c r="E511" s="12" t="str">
        <x:v>Satya The Hive {IE}</x:v>
      </x:c>
      <x:c r="F511" s="12" t="str">
        <x:v>24 inch LED TV</x:v>
      </x:c>
      <x:c r="G511" s="20" t="n">
        <x:v>7</x:v>
      </x:c>
      <x:c r="H511" s="12" t="str">
        <x:v>Inventory-listed building/workspace context; current occupancy and screen access unverified</x:v>
      </x:c>
      <x:c r="I511" s="12" t="str">
        <x:v>Mixed business audience</x:v>
      </x:c>
      <x:c r="J511" s="12" t="str">
        <x:v>Unresolved</x:v>
      </x:c>
      <x:c r="K511" s="2" t="str">
        <x:v>MAIN-200</x:v>
      </x:c>
    </x:row>
    <x:row r="512" ht="46" customHeight="1">
      <x:c r="A512" s="2" t="str">
        <x:v>TEN-815BBEF4584A</x:v>
      </x:c>
      <x:c r="B512" s="12" t="str">
        <x:v>Crime Scanner Pvt. Ltd. (Detective Agency)</x:v>
      </x:c>
      <x:c r="C512" s="12" t="str">
        <x:v>CORP-0196</x:v>
      </x:c>
      <x:c r="D512" s="12" t="str">
        <x:v>Delhi NCR</x:v>
      </x:c>
      <x:c r="E512" s="12" t="str">
        <x:v>Satya The Hive {IE}</x:v>
      </x:c>
      <x:c r="F512" s="12" t="str">
        <x:v>24 inch LED TV</x:v>
      </x:c>
      <x:c r="G512" s="20" t="n">
        <x:v>7</x:v>
      </x:c>
      <x:c r="H512" s="12" t="str">
        <x:v>Inventory-listed building/workspace context; current occupancy and screen access unverified</x:v>
      </x:c>
      <x:c r="I512" s="12" t="str">
        <x:v>Small-scale prospects</x:v>
      </x:c>
      <x:c r="J512" s="12" t="str">
        <x:v>Professional services</x:v>
      </x:c>
      <x:c r="K512" s="2" t="str">
        <x:v>MAIN-200</x:v>
      </x:c>
    </x:row>
    <x:row r="513" ht="46" customHeight="1">
      <x:c r="A513" s="2" t="str">
        <x:v>TEN-8282A9D2DF02</x:v>
      </x:c>
      <x:c r="B513" s="12" t="str">
        <x:v>FEBROL LIFT INDIA PRIVATE LIMITED</x:v>
      </x:c>
      <x:c r="C513" s="12" t="str">
        <x:v>CORP-0196</x:v>
      </x:c>
      <x:c r="D513" s="12" t="str">
        <x:v>Delhi NCR</x:v>
      </x:c>
      <x:c r="E513" s="12" t="str">
        <x:v>Satya The Hive {IE}</x:v>
      </x:c>
      <x:c r="F513" s="12" t="str">
        <x:v>24 inch LED TV</x:v>
      </x:c>
      <x:c r="G513" s="20" t="n">
        <x:v>7</x:v>
      </x:c>
      <x:c r="H513" s="12" t="str">
        <x:v>Inventory-listed building/workspace context; current occupancy and screen access unverified</x:v>
      </x:c>
      <x:c r="I513" s="12" t="str">
        <x:v>Medium-scale prospects</x:v>
      </x:c>
      <x:c r="J513" s="12" t="str">
        <x:v>Engineering &amp; manufacturing</x:v>
      </x:c>
      <x:c r="K513" s="2" t="str">
        <x:v>MAIN-200</x:v>
      </x:c>
    </x:row>
    <x:row r="514" ht="46" customHeight="1">
      <x:c r="A514" s="2" t="str">
        <x:v>TEN-830632AB0595</x:v>
      </x:c>
      <x:c r="B514" s="12" t="str">
        <x:v>Propcop Realtors Pvt.Ltd</x:v>
      </x:c>
      <x:c r="C514" s="12" t="str">
        <x:v>CORP-0196</x:v>
      </x:c>
      <x:c r="D514" s="12" t="str">
        <x:v>Delhi NCR</x:v>
      </x:c>
      <x:c r="E514" s="12" t="str">
        <x:v>Satya The Hive {IE}</x:v>
      </x:c>
      <x:c r="F514" s="12" t="str">
        <x:v>24 inch LED TV</x:v>
      </x:c>
      <x:c r="G514" s="20" t="n">
        <x:v>7</x:v>
      </x:c>
      <x:c r="H514" s="12" t="str">
        <x:v>Inventory-listed building/workspace context; current occupancy and screen access unverified</x:v>
      </x:c>
      <x:c r="I514" s="12" t="str">
        <x:v>Small-scale prospects</x:v>
      </x:c>
      <x:c r="J514" s="12" t="str">
        <x:v>Trade, consumer &amp; logistics</x:v>
      </x:c>
      <x:c r="K514" s="2" t="str">
        <x:v>MAIN-200</x:v>
      </x:c>
    </x:row>
    <x:row r="515" ht="46" customHeight="1">
      <x:c r="A515" s="2" t="str">
        <x:v>TEN-D7BFD09F399F</x:v>
      </x:c>
      <x:c r="B515" s="12" t="str">
        <x:v>Desire Div</x:v>
      </x:c>
      <x:c r="C515" s="12" t="str">
        <x:v>CORP-0196</x:v>
      </x:c>
      <x:c r="D515" s="12" t="str">
        <x:v>Delhi NCR</x:v>
      </x:c>
      <x:c r="E515" s="12" t="str">
        <x:v>Satya The Hive {IE}</x:v>
      </x:c>
      <x:c r="F515" s="12" t="str">
        <x:v>24 inch LED TV</x:v>
      </x:c>
      <x:c r="G515" s="20" t="n">
        <x:v>7</x:v>
      </x:c>
      <x:c r="H515" s="12" t="str">
        <x:v>Inventory-listed building/workspace context; current occupancy and screen access unverified</x:v>
      </x:c>
      <x:c r="I515" s="12" t="str">
        <x:v>Small-scale prospects</x:v>
      </x:c>
      <x:c r="J515" s="12" t="str">
        <x:v>IT &amp; digital</x:v>
      </x:c>
      <x:c r="K515" s="2" t="str">
        <x:v>MAIN-200</x:v>
      </x:c>
    </x:row>
    <x:row r="516" ht="46" customHeight="1">
      <x:c r="A516" s="2" t="str">
        <x:v>TEN-02C89D9D3AB3</x:v>
      </x:c>
      <x:c r="B516" s="12" t="str">
        <x:v>NEWTIMES DEVELOPMENT INDIA PVT. LTD</x:v>
      </x:c>
      <x:c r="C516" s="12" t="str">
        <x:v>CORP-0197</x:v>
      </x:c>
      <x:c r="D516" s="12" t="str">
        <x:v>Delhi NCR</x:v>
      </x:c>
      <x:c r="E516" s="12" t="str">
        <x:v>Unitech - Business Park</x:v>
      </x:c>
      <x:c r="F516" s="12" t="str">
        <x:v>55 inch LED TV</x:v>
      </x:c>
      <x:c r="G516" s="20" t="n">
        <x:v>2</x:v>
      </x:c>
      <x:c r="H516" s="12" t="str">
        <x:v>Inventory-listed building/workspace context; current occupancy and screen access unverified</x:v>
      </x:c>
      <x:c r="I516" s="12" t="str">
        <x:v>Mixed business audience</x:v>
      </x:c>
      <x:c r="J516" s="12" t="str">
        <x:v>Trade, consumer &amp; logistics</x:v>
      </x:c>
      <x:c r="K516" s="2" t="str">
        <x:v>MAIN-201</x:v>
      </x:c>
    </x:row>
    <x:row r="517" ht="46" customHeight="1">
      <x:c r="A517" s="2" t="str">
        <x:v>TEN-30679AB2F724</x:v>
      </x:c>
      <x:c r="B517" s="12" t="str">
        <x:v>LOREAL INDIA PRIVATE LIMITED</x:v>
      </x:c>
      <x:c r="C517" s="12" t="str">
        <x:v>CORP-0197</x:v>
      </x:c>
      <x:c r="D517" s="12" t="str">
        <x:v>Delhi NCR</x:v>
      </x:c>
      <x:c r="E517" s="12" t="str">
        <x:v>Unitech - Business Park</x:v>
      </x:c>
      <x:c r="F517" s="12" t="str">
        <x:v>55 inch LED TV</x:v>
      </x:c>
      <x:c r="G517" s="20" t="n">
        <x:v>2</x:v>
      </x:c>
      <x:c r="H517" s="12" t="str">
        <x:v>Inventory-listed building/workspace context; current occupancy and screen access unverified</x:v>
      </x:c>
      <x:c r="I517" s="12" t="str">
        <x:v>Large enterprise</x:v>
      </x:c>
      <x:c r="J517" s="12" t="str">
        <x:v>Trade, consumer &amp; logistics</x:v>
      </x:c>
      <x:c r="K517" s="2" t="str">
        <x:v>MAIN-201</x:v>
      </x:c>
    </x:row>
    <x:row r="518" ht="46" customHeight="1">
      <x:c r="A518" s="2" t="str">
        <x:v>TEN-38827CAF6040</x:v>
      </x:c>
      <x:c r="B518" s="12" t="str">
        <x:v>Energy Efficiency Services Limited</x:v>
      </x:c>
      <x:c r="C518" s="12" t="str">
        <x:v>CORP-0197</x:v>
      </x:c>
      <x:c r="D518" s="12" t="str">
        <x:v>Delhi NCR</x:v>
      </x:c>
      <x:c r="E518" s="12" t="str">
        <x:v>Unitech - Business Park</x:v>
      </x:c>
      <x:c r="F518" s="12" t="str">
        <x:v>55 inch LED TV</x:v>
      </x:c>
      <x:c r="G518" s="20" t="n">
        <x:v>2</x:v>
      </x:c>
      <x:c r="H518" s="12" t="str">
        <x:v>Inventory-listed building/workspace context; current occupancy and screen access unverified</x:v>
      </x:c>
      <x:c r="I518" s="12" t="str">
        <x:v>Mixed business audience</x:v>
      </x:c>
      <x:c r="J518" s="12" t="str">
        <x:v>Engineering &amp; manufacturing</x:v>
      </x:c>
      <x:c r="K518" s="2" t="str">
        <x:v>MAIN-201</x:v>
      </x:c>
    </x:row>
    <x:row r="519" ht="46" customHeight="1">
      <x:c r="A519" s="2" t="str">
        <x:v>TEN-8BB187FB202E</x:v>
      </x:c>
      <x:c r="B519" s="12" t="str">
        <x:v>Alchemist Marketing Talent Solutions Private Limited</x:v>
      </x:c>
      <x:c r="C519" s="12" t="str">
        <x:v>CORP-0197</x:v>
      </x:c>
      <x:c r="D519" s="12" t="str">
        <x:v>Delhi NCR</x:v>
      </x:c>
      <x:c r="E519" s="12" t="str">
        <x:v>Unitech - Business Park</x:v>
      </x:c>
      <x:c r="F519" s="12" t="str">
        <x:v>55 inch LED TV</x:v>
      </x:c>
      <x:c r="G519" s="20" t="n">
        <x:v>2</x:v>
      </x:c>
      <x:c r="H519" s="12" t="str">
        <x:v>Inventory-listed building/workspace context; current occupancy and screen access unverified</x:v>
      </x:c>
      <x:c r="I519" s="12" t="str">
        <x:v>Small-scale prospects</x:v>
      </x:c>
      <x:c r="J519" s="12" t="str">
        <x:v>Professional services</x:v>
      </x:c>
      <x:c r="K519" s="2" t="str">
        <x:v>MAIN-201</x:v>
      </x:c>
    </x:row>
    <x:row r="520" ht="46" customHeight="1">
      <x:c r="A520" s="2" t="str">
        <x:v>TEN-8BB4D44E4590</x:v>
      </x:c>
      <x:c r="B520" s="12" t="str">
        <x:v>Bosch Ltd</x:v>
      </x:c>
      <x:c r="C520" s="12" t="str">
        <x:v>CORP-0197</x:v>
      </x:c>
      <x:c r="D520" s="12" t="str">
        <x:v>Delhi NCR</x:v>
      </x:c>
      <x:c r="E520" s="12" t="str">
        <x:v>Unitech - Business Park</x:v>
      </x:c>
      <x:c r="F520" s="12" t="str">
        <x:v>55 inch LED TV</x:v>
      </x:c>
      <x:c r="G520" s="20" t="n">
        <x:v>2</x:v>
      </x:c>
      <x:c r="H520" s="12" t="str">
        <x:v>Inventory-listed building/workspace context; current occupancy and screen access unverified</x:v>
      </x:c>
      <x:c r="I520" s="12" t="str">
        <x:v>Large enterprise</x:v>
      </x:c>
      <x:c r="J520" s="12" t="str">
        <x:v>Engineering &amp; manufacturing</x:v>
      </x:c>
      <x:c r="K520" s="2" t="str">
        <x:v>MAIN-201</x:v>
      </x:c>
    </x:row>
    <x:row r="521" ht="46" customHeight="1">
      <x:c r="A521" s="2" t="str">
        <x:v>TEN-B290CA83CB50</x:v>
      </x:c>
      <x:c r="B521" s="12" t="str">
        <x:v>ETAS India</x:v>
      </x:c>
      <x:c r="C521" s="12" t="str">
        <x:v>CORP-0197</x:v>
      </x:c>
      <x:c r="D521" s="12" t="str">
        <x:v>Delhi NCR</x:v>
      </x:c>
      <x:c r="E521" s="12" t="str">
        <x:v>Unitech - Business Park</x:v>
      </x:c>
      <x:c r="F521" s="12" t="str">
        <x:v>55 inch LED TV</x:v>
      </x:c>
      <x:c r="G521" s="20" t="n">
        <x:v>2</x:v>
      </x:c>
      <x:c r="H521" s="12" t="str">
        <x:v>Inventory-listed building/workspace context; current occupancy and screen access unverified</x:v>
      </x:c>
      <x:c r="I521" s="12" t="str">
        <x:v>Large enterprise</x:v>
      </x:c>
      <x:c r="J521" s="12" t="str">
        <x:v>Engineering &amp; manufacturing</x:v>
      </x:c>
      <x:c r="K521" s="2" t="str">
        <x:v>MAIN-201</x:v>
      </x:c>
    </x:row>
    <x:row r="522" ht="46" customHeight="1">
      <x:c r="A522" s="2" t="str">
        <x:v>TEN-C42EAC9E3B7D</x:v>
      </x:c>
      <x:c r="B522" s="12" t="str">
        <x:v>x-foN Solutions</x:v>
      </x:c>
      <x:c r="C522" s="12" t="str">
        <x:v>CORP-0197</x:v>
      </x:c>
      <x:c r="D522" s="12" t="str">
        <x:v>Delhi NCR</x:v>
      </x:c>
      <x:c r="E522" s="12" t="str">
        <x:v>Unitech - Business Park</x:v>
      </x:c>
      <x:c r="F522" s="12" t="str">
        <x:v>55 inch LED TV</x:v>
      </x:c>
      <x:c r="G522" s="20" t="n">
        <x:v>2</x:v>
      </x:c>
      <x:c r="H522" s="12" t="str">
        <x:v>Inventory-listed building/workspace context; current occupancy and screen access unverified</x:v>
      </x:c>
      <x:c r="I522" s="12" t="str">
        <x:v>Mixed business audience</x:v>
      </x:c>
      <x:c r="J522" s="12" t="str">
        <x:v>Unresolved</x:v>
      </x:c>
      <x:c r="K522" s="2" t="str">
        <x:v>MAIN-201</x:v>
      </x:c>
    </x:row>
    <x:row r="523" ht="46" customHeight="1">
      <x:c r="A523" s="2" t="str">
        <x:v>TEN-EDB7D88FB7D1</x:v>
      </x:c>
      <x:c r="B523" s="12" t="str">
        <x:v>IntelliSmart</x:v>
      </x:c>
      <x:c r="C523" s="12" t="str">
        <x:v>CORP-0197</x:v>
      </x:c>
      <x:c r="D523" s="12" t="str">
        <x:v>Delhi NCR</x:v>
      </x:c>
      <x:c r="E523" s="12" t="str">
        <x:v>Unitech - Business Park</x:v>
      </x:c>
      <x:c r="F523" s="12" t="str">
        <x:v>55 inch LED TV</x:v>
      </x:c>
      <x:c r="G523" s="20" t="n">
        <x:v>2</x:v>
      </x:c>
      <x:c r="H523" s="12" t="str">
        <x:v>Inventory-listed building/workspace context; current occupancy and screen access unverified</x:v>
      </x:c>
      <x:c r="I523" s="12" t="str">
        <x:v>Mixed business audience</x:v>
      </x:c>
      <x:c r="J523" s="12" t="str">
        <x:v>Engineering &amp; manufacturing</x:v>
      </x:c>
      <x:c r="K523" s="2" t="str">
        <x:v>MAIN-201</x:v>
      </x:c>
    </x:row>
    <x:row r="524" ht="46" customHeight="1">
      <x:c r="A524" s="2" t="str">
        <x:v>TEN-F354DF1E461B</x:v>
      </x:c>
      <x:c r="B524" s="12" t="str">
        <x:v>Okaya &amp; Co India Pvt.Ltd</x:v>
      </x:c>
      <x:c r="C524" s="12" t="str">
        <x:v>CORP-0197</x:v>
      </x:c>
      <x:c r="D524" s="12" t="str">
        <x:v>Delhi NCR</x:v>
      </x:c>
      <x:c r="E524" s="12" t="str">
        <x:v>Unitech - Business Park</x:v>
      </x:c>
      <x:c r="F524" s="12" t="str">
        <x:v>55 inch LED TV</x:v>
      </x:c>
      <x:c r="G524" s="20" t="n">
        <x:v>2</x:v>
      </x:c>
      <x:c r="H524" s="12" t="str">
        <x:v>Inventory-listed building/workspace context; current occupancy and screen access unverified</x:v>
      </x:c>
      <x:c r="I524" s="12" t="str">
        <x:v>Mixed business audience</x:v>
      </x:c>
      <x:c r="J524" s="12" t="str">
        <x:v>Unresolved</x:v>
      </x:c>
      <x:c r="K524" s="2" t="str">
        <x:v>MAIN-201</x:v>
      </x:c>
    </x:row>
    <x:row r="525" ht="46" customHeight="1">
      <x:c r="A525" s="2" t="str">
        <x:v>TEN-52BE44FF1D72</x:v>
      </x:c>
      <x:c r="B525" s="12" t="str">
        <x:v>S R K Tele Energy India Private Limited</x:v>
      </x:c>
      <x:c r="C525" s="12" t="str">
        <x:v>CORP-0198</x:v>
      </x:c>
      <x:c r="D525" s="12" t="str">
        <x:v>Delhi NCR</x:v>
      </x:c>
      <x:c r="E525" s="12" t="str">
        <x:v>Unitech - Business Zone</x:v>
      </x:c>
      <x:c r="F525" s="12" t="str">
        <x:v>55 inch LED TV</x:v>
      </x:c>
      <x:c r="G525" s="20" t="n">
        <x:v>4</x:v>
      </x:c>
      <x:c r="H525" s="12" t="str">
        <x:v>Inventory-listed building/workspace context; current occupancy and screen access unverified</x:v>
      </x:c>
      <x:c r="I525" s="12" t="str">
        <x:v>Medium-scale prospects</x:v>
      </x:c>
      <x:c r="J525" s="12" t="str">
        <x:v>Engineering &amp; manufacturing</x:v>
      </x:c>
      <x:c r="K525" s="2" t="str">
        <x:v>MAIN-202</x:v>
      </x:c>
    </x:row>
    <x:row r="526" ht="46" customHeight="1">
      <x:c r="A526" s="2" t="str">
        <x:v>TEN-545B2057211C</x:v>
      </x:c>
      <x:c r="B526" s="12" t="str">
        <x:v>INDXX Capital Management Pvt. Ltd</x:v>
      </x:c>
      <x:c r="C526" s="12" t="str">
        <x:v>CORP-0198</x:v>
      </x:c>
      <x:c r="D526" s="12" t="str">
        <x:v>Delhi NCR</x:v>
      </x:c>
      <x:c r="E526" s="12" t="str">
        <x:v>Unitech - Business Zone</x:v>
      </x:c>
      <x:c r="F526" s="12" t="str">
        <x:v>55 inch LED TV</x:v>
      </x:c>
      <x:c r="G526" s="20" t="n">
        <x:v>4</x:v>
      </x:c>
      <x:c r="H526" s="12" t="str">
        <x:v>Inventory-listed building/workspace context; current occupancy and screen access unverified</x:v>
      </x:c>
      <x:c r="I526" s="12" t="str">
        <x:v>Medium-scale prospects</x:v>
      </x:c>
      <x:c r="J526" s="12" t="str">
        <x:v>Finance &amp; insurance</x:v>
      </x:c>
      <x:c r="K526" s="2" t="str">
        <x:v>MAIN-202</x:v>
      </x:c>
    </x:row>
    <x:row r="527" ht="46" customHeight="1">
      <x:c r="A527" s="2" t="str">
        <x:v>TEN-55A25B803D5B</x:v>
      </x:c>
      <x:c r="B527" s="12" t="str">
        <x:v>Meltwater Corp</x:v>
      </x:c>
      <x:c r="C527" s="12" t="str">
        <x:v>CORP-0198</x:v>
      </x:c>
      <x:c r="D527" s="12" t="str">
        <x:v>Delhi NCR</x:v>
      </x:c>
      <x:c r="E527" s="12" t="str">
        <x:v>Unitech - Business Zone</x:v>
      </x:c>
      <x:c r="F527" s="12" t="str">
        <x:v>55 inch LED TV</x:v>
      </x:c>
      <x:c r="G527" s="20" t="n">
        <x:v>4</x:v>
      </x:c>
      <x:c r="H527" s="12" t="str">
        <x:v>Inventory-listed building/workspace context; current occupancy and screen access unverified</x:v>
      </x:c>
      <x:c r="I527" s="12" t="str">
        <x:v>Mixed business audience</x:v>
      </x:c>
      <x:c r="J527" s="12" t="str">
        <x:v>Professional services</x:v>
      </x:c>
      <x:c r="K527" s="2" t="str">
        <x:v>MAIN-202</x:v>
      </x:c>
    </x:row>
    <x:row r="528" ht="46" customHeight="1">
      <x:c r="A528" s="2" t="str">
        <x:v>TEN-5FCAB9A3B233</x:v>
      </x:c>
      <x:c r="B528" s="12" t="str">
        <x:v>Sodhi Super Market Nirvana Sector 50</x:v>
      </x:c>
      <x:c r="C528" s="12" t="str">
        <x:v>CORP-0198</x:v>
      </x:c>
      <x:c r="D528" s="12" t="str">
        <x:v>Delhi NCR</x:v>
      </x:c>
      <x:c r="E528" s="12" t="str">
        <x:v>Unitech - Business Zone</x:v>
      </x:c>
      <x:c r="F528" s="12" t="str">
        <x:v>55 inch LED TV</x:v>
      </x:c>
      <x:c r="G528" s="20" t="n">
        <x:v>4</x:v>
      </x:c>
      <x:c r="H528" s="12" t="str">
        <x:v>Inventory-listed building/workspace context; current occupancy and screen access unverified</x:v>
      </x:c>
      <x:c r="I528" s="12" t="str">
        <x:v>Small-scale prospects</x:v>
      </x:c>
      <x:c r="J528" s="12" t="str">
        <x:v>Trade, consumer &amp; logistics</x:v>
      </x:c>
      <x:c r="K528" s="2" t="str">
        <x:v>MAIN-202</x:v>
      </x:c>
    </x:row>
    <x:row r="529" ht="46" customHeight="1">
      <x:c r="A529" s="2" t="str">
        <x:v>TEN-6450FFFEB53D</x:v>
      </x:c>
      <x:c r="B529" s="12" t="str">
        <x:v>Starfin India Private Limited</x:v>
      </x:c>
      <x:c r="C529" s="12" t="str">
        <x:v>CORP-0198</x:v>
      </x:c>
      <x:c r="D529" s="12" t="str">
        <x:v>Delhi NCR</x:v>
      </x:c>
      <x:c r="E529" s="12" t="str">
        <x:v>Unitech - Business Zone</x:v>
      </x:c>
      <x:c r="F529" s="12" t="str">
        <x:v>55 inch LED TV</x:v>
      </x:c>
      <x:c r="G529" s="20" t="n">
        <x:v>4</x:v>
      </x:c>
      <x:c r="H529" s="12" t="str">
        <x:v>Inventory-listed building/workspace context; current occupancy and screen access unverified</x:v>
      </x:c>
      <x:c r="I529" s="12" t="str">
        <x:v>Medium-scale prospects</x:v>
      </x:c>
      <x:c r="J529" s="12" t="str">
        <x:v>Finance &amp; insurance</x:v>
      </x:c>
      <x:c r="K529" s="2" t="str">
        <x:v>MAIN-202</x:v>
      </x:c>
    </x:row>
    <x:row r="530" ht="46" customHeight="1">
      <x:c r="A530" s="2" t="str">
        <x:v>TEN-64F651426DF4</x:v>
      </x:c>
      <x:c r="B530" s="12" t="str">
        <x:v>CoElevate @ Nirvana Country</x:v>
      </x:c>
      <x:c r="C530" s="12" t="str">
        <x:v>CORP-0198</x:v>
      </x:c>
      <x:c r="D530" s="12" t="str">
        <x:v>Delhi NCR</x:v>
      </x:c>
      <x:c r="E530" s="12" t="str">
        <x:v>Unitech - Business Zone</x:v>
      </x:c>
      <x:c r="F530" s="12" t="str">
        <x:v>55 inch LED TV</x:v>
      </x:c>
      <x:c r="G530" s="20" t="n">
        <x:v>4</x:v>
      </x:c>
      <x:c r="H530" s="12" t="str">
        <x:v>Inventory-listed building/workspace context; current occupancy and screen access unverified</x:v>
      </x:c>
      <x:c r="I530" s="12" t="str">
        <x:v>Mixed business audience</x:v>
      </x:c>
      <x:c r="J530" s="12" t="str">
        <x:v>Workspace &amp; property operations</x:v>
      </x:c>
      <x:c r="K530" s="2" t="str">
        <x:v>MAIN-202</x:v>
      </x:c>
    </x:row>
    <x:row r="531" ht="46" customHeight="1">
      <x:c r="A531" s="2" t="str">
        <x:v>TEN-9AAE0E9061B2</x:v>
      </x:c>
      <x:c r="B531" s="12" t="str">
        <x:v>LEX IP CARE</x:v>
      </x:c>
      <x:c r="C531" s="12" t="str">
        <x:v>CORP-0198</x:v>
      </x:c>
      <x:c r="D531" s="12" t="str">
        <x:v>Delhi NCR</x:v>
      </x:c>
      <x:c r="E531" s="12" t="str">
        <x:v>Unitech - Business Zone</x:v>
      </x:c>
      <x:c r="F531" s="12" t="str">
        <x:v>55 inch LED TV</x:v>
      </x:c>
      <x:c r="G531" s="20" t="n">
        <x:v>4</x:v>
      </x:c>
      <x:c r="H531" s="12" t="str">
        <x:v>Inventory-listed building/workspace context; current occupancy and screen access unverified</x:v>
      </x:c>
      <x:c r="I531" s="12" t="str">
        <x:v>Small-scale prospects</x:v>
      </x:c>
      <x:c r="J531" s="12" t="str">
        <x:v>Professional services</x:v>
      </x:c>
      <x:c r="K531" s="2" t="str">
        <x:v>MAIN-202</x:v>
      </x:c>
    </x:row>
    <x:row r="532" ht="46" customHeight="1">
      <x:c r="A532" s="2" t="str">
        <x:v>TEN-A226C8D1E09A</x:v>
      </x:c>
      <x:c r="B532" s="12" t="str">
        <x:v>Mcnroe Consumer Products Pvt. Ltd</x:v>
      </x:c>
      <x:c r="C532" s="12" t="str">
        <x:v>CORP-0198</x:v>
      </x:c>
      <x:c r="D532" s="12" t="str">
        <x:v>Delhi NCR</x:v>
      </x:c>
      <x:c r="E532" s="12" t="str">
        <x:v>Unitech - Business Zone</x:v>
      </x:c>
      <x:c r="F532" s="12" t="str">
        <x:v>55 inch LED TV</x:v>
      </x:c>
      <x:c r="G532" s="20" t="n">
        <x:v>4</x:v>
      </x:c>
      <x:c r="H532" s="12" t="str">
        <x:v>Inventory-listed building/workspace context; current occupancy and screen access unverified</x:v>
      </x:c>
      <x:c r="I532" s="12" t="str">
        <x:v>Mixed business audience</x:v>
      </x:c>
      <x:c r="J532" s="12" t="str">
        <x:v>Trade, consumer &amp; logistics</x:v>
      </x:c>
      <x:c r="K532" s="2" t="str">
        <x:v>MAIN-202</x:v>
      </x:c>
    </x:row>
    <x:row r="533" ht="46" customHeight="1">
      <x:c r="A533" s="2" t="str">
        <x:v>TEN-BA3AB4FE5F45</x:v>
      </x:c>
      <x:c r="B533" s="12" t="str">
        <x:v>Ooms Polymer Modified Bitumen P. Ltd</x:v>
      </x:c>
      <x:c r="C533" s="12" t="str">
        <x:v>CORP-0198</x:v>
      </x:c>
      <x:c r="D533" s="12" t="str">
        <x:v>Delhi NCR</x:v>
      </x:c>
      <x:c r="E533" s="12" t="str">
        <x:v>Unitech - Business Zone</x:v>
      </x:c>
      <x:c r="F533" s="12" t="str">
        <x:v>55 inch LED TV</x:v>
      </x:c>
      <x:c r="G533" s="20" t="n">
        <x:v>4</x:v>
      </x:c>
      <x:c r="H533" s="12" t="str">
        <x:v>Inventory-listed building/workspace context; current occupancy and screen access unverified</x:v>
      </x:c>
      <x:c r="I533" s="12" t="str">
        <x:v>Medium-scale prospects</x:v>
      </x:c>
      <x:c r="J533" s="12" t="str">
        <x:v>Engineering &amp; manufacturing</x:v>
      </x:c>
      <x:c r="K533" s="2" t="str">
        <x:v>MAIN-202</x:v>
      </x:c>
    </x:row>
    <x:row r="534" ht="46" customHeight="1">
      <x:c r="A534" s="2" t="str">
        <x:v>TEN-E3B62F0935E9</x:v>
      </x:c>
      <x:c r="B534" s="12" t="str">
        <x:v>VERDIS</x:v>
      </x:c>
      <x:c r="C534" s="12" t="str">
        <x:v>CORP-0198</x:v>
      </x:c>
      <x:c r="D534" s="12" t="str">
        <x:v>Delhi NCR</x:v>
      </x:c>
      <x:c r="E534" s="12" t="str">
        <x:v>Unitech - Business Zone</x:v>
      </x:c>
      <x:c r="F534" s="12" t="str">
        <x:v>55 inch LED TV</x:v>
      </x:c>
      <x:c r="G534" s="20" t="n">
        <x:v>4</x:v>
      </x:c>
      <x:c r="H534" s="12" t="str">
        <x:v>Inventory-listed building/workspace context; current occupancy and screen access unverified</x:v>
      </x:c>
      <x:c r="I534" s="12" t="str">
        <x:v>Mixed business audience</x:v>
      </x:c>
      <x:c r="J534" s="12" t="str">
        <x:v>Unresolved</x:v>
      </x:c>
      <x:c r="K534" s="2" t="str">
        <x:v>MAIN-202</x:v>
      </x:c>
    </x:row>
    <x:row r="535" ht="46" customHeight="1">
      <x:c r="A535" s="2" t="str">
        <x:v>TEN-F4594632ACFC</x:v>
      </x:c>
      <x:c r="B535" s="12" t="str">
        <x:v>Trinity Infratech</x:v>
      </x:c>
      <x:c r="C535" s="12" t="str">
        <x:v>CORP-0198</x:v>
      </x:c>
      <x:c r="D535" s="12" t="str">
        <x:v>Delhi NCR</x:v>
      </x:c>
      <x:c r="E535" s="12" t="str">
        <x:v>Unitech - Business Zone</x:v>
      </x:c>
      <x:c r="F535" s="12" t="str">
        <x:v>55 inch LED TV</x:v>
      </x:c>
      <x:c r="G535" s="20" t="n">
        <x:v>4</x:v>
      </x:c>
      <x:c r="H535" s="12" t="str">
        <x:v>Inventory-listed building/workspace context; current occupancy and screen access unverified</x:v>
      </x:c>
      <x:c r="I535" s="12" t="str">
        <x:v>Small-scale prospects</x:v>
      </x:c>
      <x:c r="J535" s="12" t="str">
        <x:v>Trade, consumer &amp; logistics</x:v>
      </x:c>
      <x:c r="K535" s="2" t="str">
        <x:v>MAIN-202</x:v>
      </x:c>
    </x:row>
    <x:row r="536" ht="46" customHeight="1">
      <x:c r="A536" s="2" t="str">
        <x:v>TEN-256796B02D49</x:v>
      </x:c>
      <x:c r="B536" s="12" t="str">
        <x:v>Nupay (Entellus Business Solutions Private Limited)</x:v>
      </x:c>
      <x:c r="C536" s="12" t="str">
        <x:v>CORP-0199</x:v>
      </x:c>
      <x:c r="D536" s="12" t="str">
        <x:v>Delhi NCR</x:v>
      </x:c>
      <x:c r="E536" s="12" t="str">
        <x:v>Unitech - Commercial Tower 2</x:v>
      </x:c>
      <x:c r="F536" s="12" t="str">
        <x:v>55 inch LED TV</x:v>
      </x:c>
      <x:c r="G536" s="20" t="n">
        <x:v>1</x:v>
      </x:c>
      <x:c r="H536" s="12" t="str">
        <x:v>Inventory-listed building/workspace context; current occupancy and screen access unverified</x:v>
      </x:c>
      <x:c r="I536" s="12" t="str">
        <x:v>Medium-scale prospects</x:v>
      </x:c>
      <x:c r="J536" s="12" t="str">
        <x:v>Finance &amp; insurance</x:v>
      </x:c>
      <x:c r="K536" s="2" t="str">
        <x:v>MAIN-203</x:v>
      </x:c>
    </x:row>
    <x:row r="537" ht="46" customHeight="1">
      <x:c r="A537" s="2" t="str">
        <x:v>TEN-28872BA7C482</x:v>
      </x:c>
      <x:c r="B537" s="12" t="str">
        <x:v>Liquid Designs</x:v>
      </x:c>
      <x:c r="C537" s="12" t="str">
        <x:v>CORP-0199</x:v>
      </x:c>
      <x:c r="D537" s="12" t="str">
        <x:v>Delhi NCR</x:v>
      </x:c>
      <x:c r="E537" s="12" t="str">
        <x:v>Unitech - Commercial Tower 2</x:v>
      </x:c>
      <x:c r="F537" s="12" t="str">
        <x:v>55 inch LED TV</x:v>
      </x:c>
      <x:c r="G537" s="20" t="n">
        <x:v>1</x:v>
      </x:c>
      <x:c r="H537" s="12" t="str">
        <x:v>Inventory-listed building/workspace context; current occupancy and screen access unverified</x:v>
      </x:c>
      <x:c r="I537" s="12" t="str">
        <x:v>Small-scale prospects</x:v>
      </x:c>
      <x:c r="J537" s="12" t="str">
        <x:v>Professional services</x:v>
      </x:c>
      <x:c r="K537" s="2" t="str">
        <x:v>MAIN-203</x:v>
      </x:c>
    </x:row>
    <x:row r="538" ht="46" customHeight="1">
      <x:c r="A538" s="2" t="str">
        <x:v>TEN-4860FE88B18A</x:v>
      </x:c>
      <x:c r="B538" s="12" t="str">
        <x:v>Delmonte New Office</x:v>
      </x:c>
      <x:c r="C538" s="12" t="str">
        <x:v>CORP-0199</x:v>
      </x:c>
      <x:c r="D538" s="12" t="str">
        <x:v>Delhi NCR</x:v>
      </x:c>
      <x:c r="E538" s="12" t="str">
        <x:v>Unitech - Commercial Tower 2</x:v>
      </x:c>
      <x:c r="F538" s="12" t="str">
        <x:v>55 inch LED TV</x:v>
      </x:c>
      <x:c r="G538" s="20" t="n">
        <x:v>1</x:v>
      </x:c>
      <x:c r="H538" s="12" t="str">
        <x:v>Inventory-listed building/workspace context; current occupancy and screen access unverified</x:v>
      </x:c>
      <x:c r="I538" s="12" t="str">
        <x:v>Mixed business audience</x:v>
      </x:c>
      <x:c r="J538" s="12" t="str">
        <x:v>Trade, consumer &amp; logistics</x:v>
      </x:c>
      <x:c r="K538" s="2" t="str">
        <x:v>MAIN-203</x:v>
      </x:c>
    </x:row>
    <x:row r="539" ht="46" customHeight="1">
      <x:c r="A539" s="2" t="str">
        <x:v>TEN-4BCB797C8F86</x:v>
      </x:c>
      <x:c r="B539" s="12" t="str">
        <x:v>Adiona Travels Pvt</x:v>
      </x:c>
      <x:c r="C539" s="12" t="str">
        <x:v>CORP-0199</x:v>
      </x:c>
      <x:c r="D539" s="12" t="str">
        <x:v>Delhi NCR</x:v>
      </x:c>
      <x:c r="E539" s="12" t="str">
        <x:v>Unitech - Commercial Tower 2</x:v>
      </x:c>
      <x:c r="F539" s="12" t="str">
        <x:v>55 inch LED TV</x:v>
      </x:c>
      <x:c r="G539" s="20" t="n">
        <x:v>1</x:v>
      </x:c>
      <x:c r="H539" s="12" t="str">
        <x:v>Inventory-listed building/workspace context; current occupancy and screen access unverified</x:v>
      </x:c>
      <x:c r="I539" s="12" t="str">
        <x:v>Small-scale prospects</x:v>
      </x:c>
      <x:c r="J539" s="12" t="str">
        <x:v>Trade, consumer &amp; logistics</x:v>
      </x:c>
      <x:c r="K539" s="2" t="str">
        <x:v>MAIN-203</x:v>
      </x:c>
    </x:row>
    <x:row r="540" ht="46" customHeight="1">
      <x:c r="A540" s="2" t="str">
        <x:v>TEN-BA99DD73577A</x:v>
      </x:c>
      <x:c r="B540" s="12" t="str">
        <x:v>SARFINS CARE</x:v>
      </x:c>
      <x:c r="C540" s="12" t="str">
        <x:v>CORP-0199</x:v>
      </x:c>
      <x:c r="D540" s="12" t="str">
        <x:v>Delhi NCR</x:v>
      </x:c>
      <x:c r="E540" s="12" t="str">
        <x:v>Unitech - Commercial Tower 2</x:v>
      </x:c>
      <x:c r="F540" s="12" t="str">
        <x:v>55 inch LED TV</x:v>
      </x:c>
      <x:c r="G540" s="20" t="n">
        <x:v>1</x:v>
      </x:c>
      <x:c r="H540" s="12" t="str">
        <x:v>Inventory-listed building/workspace context; current occupancy and screen access unverified</x:v>
      </x:c>
      <x:c r="I540" s="12" t="str">
        <x:v>Mixed business audience</x:v>
      </x:c>
      <x:c r="J540" s="12" t="str">
        <x:v>Unresolved</x:v>
      </x:c>
      <x:c r="K540" s="2" t="str">
        <x:v>MAIN-203</x:v>
      </x:c>
    </x:row>
    <x:row r="541" ht="46" customHeight="1">
      <x:c r="A541" s="2" t="str">
        <x:v>TEN-08DB387FE18E</x:v>
      </x:c>
      <x:c r="B541" s="12" t="str">
        <x:v>PMG Ideation Centre</x:v>
      </x:c>
      <x:c r="C541" s="12" t="str">
        <x:v>CORP-0200</x:v>
      </x:c>
      <x:c r="D541" s="12" t="str">
        <x:v>Delhi NCR</x:v>
      </x:c>
      <x:c r="E541" s="12" t="str">
        <x:v>Unitech - Cyber Park</x:v>
      </x:c>
      <x:c r="F541" s="12" t="str">
        <x:v>55 inch LED TV</x:v>
      </x:c>
      <x:c r="G541" s="20" t="n">
        <x:v>4</x:v>
      </x:c>
      <x:c r="H541" s="12" t="str">
        <x:v>Inventory-listed building/workspace context; current occupancy and screen access unverified</x:v>
      </x:c>
      <x:c r="I541" s="12" t="str">
        <x:v>Mixed business audience</x:v>
      </x:c>
      <x:c r="J541" s="12" t="str">
        <x:v>Unresolved</x:v>
      </x:c>
      <x:c r="K541" s="2" t="str">
        <x:v>MAIN-204</x:v>
      </x:c>
    </x:row>
    <x:row r="542" ht="46" customHeight="1">
      <x:c r="A542" s="2" t="str">
        <x:v>TEN-1A66578C0D36</x:v>
      </x:c>
      <x:c r="B542" s="12" t="str">
        <x:v>Refpay Media Pvt Ltd</x:v>
      </x:c>
      <x:c r="C542" s="12" t="str">
        <x:v>CORP-0200</x:v>
      </x:c>
      <x:c r="D542" s="12" t="str">
        <x:v>Delhi NCR</x:v>
      </x:c>
      <x:c r="E542" s="12" t="str">
        <x:v>Unitech - Cyber Park</x:v>
      </x:c>
      <x:c r="F542" s="12" t="str">
        <x:v>55 inch LED TV</x:v>
      </x:c>
      <x:c r="G542" s="20" t="n">
        <x:v>4</x:v>
      </x:c>
      <x:c r="H542" s="12" t="str">
        <x:v>Inventory-listed building/workspace context; current occupancy and screen access unverified</x:v>
      </x:c>
      <x:c r="I542" s="12" t="str">
        <x:v>Small-scale prospects</x:v>
      </x:c>
      <x:c r="J542" s="12" t="str">
        <x:v>Trade, consumer &amp; logistics</x:v>
      </x:c>
      <x:c r="K542" s="2" t="str">
        <x:v>MAIN-204</x:v>
      </x:c>
    </x:row>
    <x:row r="543" ht="46" customHeight="1">
      <x:c r="A543" s="2" t="str">
        <x:v>TEN-385E4D0AF812</x:v>
      </x:c>
      <x:c r="B543" s="12" t="str">
        <x:v>Thome Ship Management</x:v>
      </x:c>
      <x:c r="C543" s="12" t="str">
        <x:v>CORP-0200</x:v>
      </x:c>
      <x:c r="D543" s="12" t="str">
        <x:v>Delhi NCR</x:v>
      </x:c>
      <x:c r="E543" s="12" t="str">
        <x:v>Unitech - Cyber Park</x:v>
      </x:c>
      <x:c r="F543" s="12" t="str">
        <x:v>55 inch LED TV</x:v>
      </x:c>
      <x:c r="G543" s="20" t="n">
        <x:v>4</x:v>
      </x:c>
      <x:c r="H543" s="12" t="str">
        <x:v>Inventory-listed building/workspace context; current occupancy and screen access unverified</x:v>
      </x:c>
      <x:c r="I543" s="12" t="str">
        <x:v>Mixed business audience</x:v>
      </x:c>
      <x:c r="J543" s="12" t="str">
        <x:v>Trade, consumer &amp; logistics</x:v>
      </x:c>
      <x:c r="K543" s="2" t="str">
        <x:v>MAIN-204</x:v>
      </x:c>
    </x:row>
    <x:row r="544" ht="46" customHeight="1">
      <x:c r="A544" s="2" t="str">
        <x:v>TEN-4EA5DCC360A3</x:v>
      </x:c>
      <x:c r="B544" s="12" t="str">
        <x:v>CIF INDUSTRIES PRIVATE LIMITED</x:v>
      </x:c>
      <x:c r="C544" s="12" t="str">
        <x:v>CORP-0200</x:v>
      </x:c>
      <x:c r="D544" s="12" t="str">
        <x:v>Delhi NCR</x:v>
      </x:c>
      <x:c r="E544" s="12" t="str">
        <x:v>Unitech - Cyber Park</x:v>
      </x:c>
      <x:c r="F544" s="12" t="str">
        <x:v>55 inch LED TV</x:v>
      </x:c>
      <x:c r="G544" s="20" t="n">
        <x:v>4</x:v>
      </x:c>
      <x:c r="H544" s="12" t="str">
        <x:v>Inventory-listed building/workspace context; current occupancy and screen access unverified</x:v>
      </x:c>
      <x:c r="I544" s="12" t="str">
        <x:v>Mixed business audience</x:v>
      </x:c>
      <x:c r="J544" s="12" t="str">
        <x:v>Unresolved</x:v>
      </x:c>
      <x:c r="K544" s="2" t="str">
        <x:v>MAIN-204</x:v>
      </x:c>
    </x:row>
    <x:row r="545" ht="46" customHeight="1">
      <x:c r="A545" s="2" t="str">
        <x:v>TEN-4F2219C6EF6C</x:v>
      </x:c>
      <x:c r="B545" s="12" t="str">
        <x:v>Accor Plus- Gurgaon office</x:v>
      </x:c>
      <x:c r="C545" s="12" t="str">
        <x:v>CORP-0200</x:v>
      </x:c>
      <x:c r="D545" s="12" t="str">
        <x:v>Delhi NCR</x:v>
      </x:c>
      <x:c r="E545" s="12" t="str">
        <x:v>Unitech - Cyber Park</x:v>
      </x:c>
      <x:c r="F545" s="12" t="str">
        <x:v>55 inch LED TV</x:v>
      </x:c>
      <x:c r="G545" s="20" t="n">
        <x:v>4</x:v>
      </x:c>
      <x:c r="H545" s="12" t="str">
        <x:v>Inventory-listed building/workspace context; current occupancy and screen access unverified</x:v>
      </x:c>
      <x:c r="I545" s="12" t="str">
        <x:v>Mixed business audience</x:v>
      </x:c>
      <x:c r="J545" s="12" t="str">
        <x:v>Trade, consumer &amp; logistics</x:v>
      </x:c>
      <x:c r="K545" s="2" t="str">
        <x:v>MAIN-204</x:v>
      </x:c>
    </x:row>
    <x:row r="546" ht="46" customHeight="1">
      <x:c r="A546" s="2" t="str">
        <x:v>TEN-554414125D75</x:v>
      </x:c>
      <x:c r="B546" s="12" t="str">
        <x:v>Sequential Technology International</x:v>
      </x:c>
      <x:c r="C546" s="12" t="str">
        <x:v>CORP-0200</x:v>
      </x:c>
      <x:c r="D546" s="12" t="str">
        <x:v>Delhi NCR</x:v>
      </x:c>
      <x:c r="E546" s="12" t="str">
        <x:v>Unitech - Cyber Park</x:v>
      </x:c>
      <x:c r="F546" s="12" t="str">
        <x:v>55 inch LED TV</x:v>
      </x:c>
      <x:c r="G546" s="20" t="n">
        <x:v>4</x:v>
      </x:c>
      <x:c r="H546" s="12" t="str">
        <x:v>Inventory-listed building/workspace context; current occupancy and screen access unverified</x:v>
      </x:c>
      <x:c r="I546" s="12" t="str">
        <x:v>Small-scale prospects</x:v>
      </x:c>
      <x:c r="J546" s="12" t="str">
        <x:v>IT &amp; digital</x:v>
      </x:c>
      <x:c r="K546" s="2" t="str">
        <x:v>MAIN-204</x:v>
      </x:c>
    </x:row>
    <x:row r="547" ht="46" customHeight="1">
      <x:c r="A547" s="2" t="str">
        <x:v>TEN-6FA072EC66D1</x:v>
      </x:c>
      <x:c r="B547" s="12" t="str">
        <x:v>DotPe Private Limited</x:v>
      </x:c>
      <x:c r="C547" s="12" t="str">
        <x:v>CORP-0200</x:v>
      </x:c>
      <x:c r="D547" s="12" t="str">
        <x:v>Delhi NCR</x:v>
      </x:c>
      <x:c r="E547" s="12" t="str">
        <x:v>Unitech - Cyber Park</x:v>
      </x:c>
      <x:c r="F547" s="12" t="str">
        <x:v>55 inch LED TV</x:v>
      </x:c>
      <x:c r="G547" s="20" t="n">
        <x:v>4</x:v>
      </x:c>
      <x:c r="H547" s="12" t="str">
        <x:v>Inventory-listed building/workspace context; current occupancy and screen access unverified</x:v>
      </x:c>
      <x:c r="I547" s="12" t="str">
        <x:v>Small-scale prospects</x:v>
      </x:c>
      <x:c r="J547" s="12" t="str">
        <x:v>IT &amp; digital</x:v>
      </x:c>
      <x:c r="K547" s="2" t="str">
        <x:v>MAIN-204</x:v>
      </x:c>
    </x:row>
    <x:row r="548" ht="46" customHeight="1">
      <x:c r="A548" s="2" t="str">
        <x:v>TEN-9CBC7082FF4F</x:v>
      </x:c>
      <x:c r="B548" s="12" t="str">
        <x:v>Infollion Research Services</x:v>
      </x:c>
      <x:c r="C548" s="12" t="str">
        <x:v>CORP-0200</x:v>
      </x:c>
      <x:c r="D548" s="12" t="str">
        <x:v>Delhi NCR</x:v>
      </x:c>
      <x:c r="E548" s="12" t="str">
        <x:v>Unitech - Cyber Park</x:v>
      </x:c>
      <x:c r="F548" s="12" t="str">
        <x:v>55 inch LED TV</x:v>
      </x:c>
      <x:c r="G548" s="20" t="n">
        <x:v>4</x:v>
      </x:c>
      <x:c r="H548" s="12" t="str">
        <x:v>Inventory-listed building/workspace context; current occupancy and screen access unverified</x:v>
      </x:c>
      <x:c r="I548" s="12" t="str">
        <x:v>Small-scale prospects</x:v>
      </x:c>
      <x:c r="J548" s="12" t="str">
        <x:v>Professional services</x:v>
      </x:c>
      <x:c r="K548" s="2" t="str">
        <x:v>MAIN-204</x:v>
      </x:c>
    </x:row>
    <x:row r="549" ht="46" customHeight="1">
      <x:c r="A549" s="2" t="str">
        <x:v>TEN-A509A9AAC287</x:v>
      </x:c>
      <x:c r="B549" s="12" t="str">
        <x:v>Xoriant Solutions Pvt Ltd</x:v>
      </x:c>
      <x:c r="C549" s="12" t="str">
        <x:v>CORP-0200</x:v>
      </x:c>
      <x:c r="D549" s="12" t="str">
        <x:v>Delhi NCR</x:v>
      </x:c>
      <x:c r="E549" s="12" t="str">
        <x:v>Unitech - Cyber Park</x:v>
      </x:c>
      <x:c r="F549" s="12" t="str">
        <x:v>55 inch LED TV</x:v>
      </x:c>
      <x:c r="G549" s="20" t="n">
        <x:v>4</x:v>
      </x:c>
      <x:c r="H549" s="12" t="str">
        <x:v>Inventory-listed building/workspace context; current occupancy and screen access unverified</x:v>
      </x:c>
      <x:c r="I549" s="12" t="str">
        <x:v>Large enterprise</x:v>
      </x:c>
      <x:c r="J549" s="12" t="str">
        <x:v>IT &amp; digital</x:v>
      </x:c>
      <x:c r="K549" s="2" t="str">
        <x:v>MAIN-204</x:v>
      </x:c>
    </x:row>
    <x:row r="550" ht="46" customHeight="1">
      <x:c r="A550" s="2" t="str">
        <x:v>TEN-AF0213D0C54B</x:v>
      </x:c>
      <x:c r="B550" s="12" t="str">
        <x:v>Sankalp Bharat</x:v>
      </x:c>
      <x:c r="C550" s="12" t="str">
        <x:v>CORP-0200</x:v>
      </x:c>
      <x:c r="D550" s="12" t="str">
        <x:v>Delhi NCR</x:v>
      </x:c>
      <x:c r="E550" s="12" t="str">
        <x:v>Unitech - Cyber Park</x:v>
      </x:c>
      <x:c r="F550" s="12" t="str">
        <x:v>55 inch LED TV</x:v>
      </x:c>
      <x:c r="G550" s="20" t="n">
        <x:v>4</x:v>
      </x:c>
      <x:c r="H550" s="12" t="str">
        <x:v>Inventory-listed building/workspace context; current occupancy and screen access unverified</x:v>
      </x:c>
      <x:c r="I550" s="12" t="str">
        <x:v>Small-scale prospects</x:v>
      </x:c>
      <x:c r="J550" s="12" t="str">
        <x:v>Education</x:v>
      </x:c>
      <x:c r="K550" s="2" t="str">
        <x:v>MAIN-204</x:v>
      </x:c>
    </x:row>
    <x:row r="551" ht="46" customHeight="1">
      <x:c r="A551" s="2" t="str">
        <x:v>TEN-499BCABB0AA7</x:v>
      </x:c>
      <x:c r="B551" s="12" t="str">
        <x:v>MMTC-PAMP India Pvt. Ltd</x:v>
      </x:c>
      <x:c r="C551" s="12" t="str">
        <x:v>CORP-0201</x:v>
      </x:c>
      <x:c r="D551" s="12" t="str">
        <x:v>Delhi NCR</x:v>
      </x:c>
      <x:c r="E551" s="12" t="str">
        <x:v>Unitech - Gateway Tower</x:v>
      </x:c>
      <x:c r="F551" s="12" t="str">
        <x:v>55 inch LED TV</x:v>
      </x:c>
      <x:c r="G551" s="20" t="n">
        <x:v>1</x:v>
      </x:c>
      <x:c r="H551" s="12" t="str">
        <x:v>Inventory-listed building/workspace context; current occupancy and screen access unverified</x:v>
      </x:c>
      <x:c r="I551" s="12" t="str">
        <x:v>Mixed business audience</x:v>
      </x:c>
      <x:c r="J551" s="12" t="str">
        <x:v>Trade, consumer &amp; logistics</x:v>
      </x:c>
      <x:c r="K551" s="2" t="str">
        <x:v>MAIN-205</x:v>
      </x:c>
    </x:row>
    <x:row r="552" ht="46" customHeight="1">
      <x:c r="A552" s="2" t="str">
        <x:v>TEN-6DEBCA323DCB</x:v>
      </x:c>
      <x:c r="B552" s="12" t="str">
        <x:v>Mitsubishi Electric India Private Limited</x:v>
      </x:c>
      <x:c r="C552" s="12" t="str">
        <x:v>CORP-0201</x:v>
      </x:c>
      <x:c r="D552" s="12" t="str">
        <x:v>Delhi NCR</x:v>
      </x:c>
      <x:c r="E552" s="12" t="str">
        <x:v>Unitech - Gateway Tower</x:v>
      </x:c>
      <x:c r="F552" s="12" t="str">
        <x:v>55 inch LED TV</x:v>
      </x:c>
      <x:c r="G552" s="20" t="n">
        <x:v>1</x:v>
      </x:c>
      <x:c r="H552" s="12" t="str">
        <x:v>Inventory-listed building/workspace context; current occupancy and screen access unverified</x:v>
      </x:c>
      <x:c r="I552" s="12" t="str">
        <x:v>Mixed business audience</x:v>
      </x:c>
      <x:c r="J552" s="12" t="str">
        <x:v>Engineering &amp; manufacturing</x:v>
      </x:c>
      <x:c r="K552" s="2" t="str">
        <x:v>MAIN-205</x:v>
      </x:c>
    </x:row>
    <x:row r="553" ht="46" customHeight="1">
      <x:c r="A553" s="2" t="str">
        <x:v>TEN-C0A298F426FD</x:v>
      </x:c>
      <x:c r="B553" s="12" t="str">
        <x:v>Tecnimont</x:v>
      </x:c>
      <x:c r="C553" s="12" t="str">
        <x:v>CORP-0201</x:v>
      </x:c>
      <x:c r="D553" s="12" t="str">
        <x:v>Delhi NCR</x:v>
      </x:c>
      <x:c r="E553" s="12" t="str">
        <x:v>Unitech - Gateway Tower</x:v>
      </x:c>
      <x:c r="F553" s="12" t="str">
        <x:v>55 inch LED TV</x:v>
      </x:c>
      <x:c r="G553" s="20" t="n">
        <x:v>1</x:v>
      </x:c>
      <x:c r="H553" s="12" t="str">
        <x:v>Inventory-listed building/workspace context; current occupancy and screen access unverified</x:v>
      </x:c>
      <x:c r="I553" s="12" t="str">
        <x:v>Mixed business audience</x:v>
      </x:c>
      <x:c r="J553" s="12" t="str">
        <x:v>Engineering &amp; manufacturing</x:v>
      </x:c>
      <x:c r="K553" s="2" t="str">
        <x:v>MAIN-205</x:v>
      </x:c>
    </x:row>
    <x:row r="554" ht="46" customHeight="1">
      <x:c r="A554" s="2" t="str">
        <x:v>TEN-3CF00757ED3D</x:v>
      </x:c>
      <x:c r="B554" s="12" t="str">
        <x:v>Sesderma India Private Limited</x:v>
      </x:c>
      <x:c r="C554" s="12" t="str">
        <x:v>CORP-0202</x:v>
      </x:c>
      <x:c r="D554" s="12" t="str">
        <x:v>Delhi NCR</x:v>
      </x:c>
      <x:c r="E554" s="12" t="str">
        <x:v>Unitech - Global Business Park</x:v>
      </x:c>
      <x:c r="F554" s="12" t="str">
        <x:v>55 inch LED TV</x:v>
      </x:c>
      <x:c r="G554" s="20" t="n">
        <x:v>3</x:v>
      </x:c>
      <x:c r="H554" s="12" t="str">
        <x:v>Inventory-listed building/workspace context; current occupancy and screen access unverified</x:v>
      </x:c>
      <x:c r="I554" s="12" t="str">
        <x:v>Mixed business audience</x:v>
      </x:c>
      <x:c r="J554" s="12" t="str">
        <x:v>Healthcare &amp; life sciences</x:v>
      </x:c>
      <x:c r="K554" s="2" t="str">
        <x:v>MAIN-206</x:v>
      </x:c>
    </x:row>
    <x:row r="555" ht="46" customHeight="1">
      <x:c r="A555" s="2" t="str">
        <x:v>TEN-4CC101225BFC</x:v>
      </x:c>
      <x:c r="B555" s="12" t="str">
        <x:v>ISM EDUTECH PVT LTD</x:v>
      </x:c>
      <x:c r="C555" s="12" t="str">
        <x:v>CORP-0202</x:v>
      </x:c>
      <x:c r="D555" s="12" t="str">
        <x:v>Delhi NCR</x:v>
      </x:c>
      <x:c r="E555" s="12" t="str">
        <x:v>Unitech - Global Business Park</x:v>
      </x:c>
      <x:c r="F555" s="12" t="str">
        <x:v>55 inch LED TV</x:v>
      </x:c>
      <x:c r="G555" s="20" t="n">
        <x:v>3</x:v>
      </x:c>
      <x:c r="H555" s="12" t="str">
        <x:v>Inventory-listed building/workspace context; current occupancy and screen access unverified</x:v>
      </x:c>
      <x:c r="I555" s="12" t="str">
        <x:v>Small-scale prospects</x:v>
      </x:c>
      <x:c r="J555" s="12" t="str">
        <x:v>Professional services</x:v>
      </x:c>
      <x:c r="K555" s="2" t="str">
        <x:v>MAIN-206</x:v>
      </x:c>
    </x:row>
    <x:row r="556" ht="46" customHeight="1">
      <x:c r="A556" s="2" t="str">
        <x:v>TEN-4E97CF101F1F</x:v>
      </x:c>
      <x:c r="B556" s="12" t="str">
        <x:v>IBERIA SKIN BRANDS INDIA PVT. LTD</x:v>
      </x:c>
      <x:c r="C556" s="12" t="str">
        <x:v>CORP-0202</x:v>
      </x:c>
      <x:c r="D556" s="12" t="str">
        <x:v>Delhi NCR</x:v>
      </x:c>
      <x:c r="E556" s="12" t="str">
        <x:v>Unitech - Global Business Park</x:v>
      </x:c>
      <x:c r="F556" s="12" t="str">
        <x:v>55 inch LED TV</x:v>
      </x:c>
      <x:c r="G556" s="20" t="n">
        <x:v>3</x:v>
      </x:c>
      <x:c r="H556" s="12" t="str">
        <x:v>Inventory-listed building/workspace context; current occupancy and screen access unverified</x:v>
      </x:c>
      <x:c r="I556" s="12" t="str">
        <x:v>Medium-scale prospects</x:v>
      </x:c>
      <x:c r="J556" s="12" t="str">
        <x:v>Healthcare &amp; life sciences</x:v>
      </x:c>
      <x:c r="K556" s="2" t="str">
        <x:v>MAIN-206</x:v>
      </x:c>
    </x:row>
    <x:row r="557" ht="46" customHeight="1">
      <x:c r="A557" s="2" t="str">
        <x:v>TEN-61D7F9904E77</x:v>
      </x:c>
      <x:c r="B557" s="12" t="str">
        <x:v>Quest Venture Cooordinators Pvt. Ltd</x:v>
      </x:c>
      <x:c r="C557" s="12" t="str">
        <x:v>CORP-0202</x:v>
      </x:c>
      <x:c r="D557" s="12" t="str">
        <x:v>Delhi NCR</x:v>
      </x:c>
      <x:c r="E557" s="12" t="str">
        <x:v>Unitech - Global Business Park</x:v>
      </x:c>
      <x:c r="F557" s="12" t="str">
        <x:v>55 inch LED TV</x:v>
      </x:c>
      <x:c r="G557" s="20" t="n">
        <x:v>3</x:v>
      </x:c>
      <x:c r="H557" s="12" t="str">
        <x:v>Inventory-listed building/workspace context; current occupancy and screen access unverified</x:v>
      </x:c>
      <x:c r="I557" s="12" t="str">
        <x:v>Mixed business audience</x:v>
      </x:c>
      <x:c r="J557" s="12" t="str">
        <x:v>Unresolved</x:v>
      </x:c>
      <x:c r="K557" s="2" t="str">
        <x:v>MAIN-206</x:v>
      </x:c>
    </x:row>
    <x:row r="558" ht="46" customHeight="1">
      <x:c r="A558" s="2" t="str">
        <x:v>TEN-64E1511D96B7</x:v>
      </x:c>
      <x:c r="B558" s="12" t="str">
        <x:v>Third Eye Integrated Services Pvt Ltd</x:v>
      </x:c>
      <x:c r="C558" s="12" t="str">
        <x:v>CORP-0202</x:v>
      </x:c>
      <x:c r="D558" s="12" t="str">
        <x:v>Delhi NCR</x:v>
      </x:c>
      <x:c r="E558" s="12" t="str">
        <x:v>Unitech - Global Business Park</x:v>
      </x:c>
      <x:c r="F558" s="12" t="str">
        <x:v>55 inch LED TV</x:v>
      </x:c>
      <x:c r="G558" s="20" t="n">
        <x:v>3</x:v>
      </x:c>
      <x:c r="H558" s="12" t="str">
        <x:v>Inventory-listed building/workspace context; current occupancy and screen access unverified</x:v>
      </x:c>
      <x:c r="I558" s="12" t="str">
        <x:v>Mixed business audience</x:v>
      </x:c>
      <x:c r="J558" s="12" t="str">
        <x:v>Unresolved</x:v>
      </x:c>
      <x:c r="K558" s="2" t="str">
        <x:v>MAIN-206</x:v>
      </x:c>
    </x:row>
    <x:row r="559" ht="46" customHeight="1">
      <x:c r="A559" s="2" t="str">
        <x:v>TEN-7A405702E4CC</x:v>
      </x:c>
      <x:c r="B559" s="12" t="str">
        <x:v>iFixit Apple Service Centre</x:v>
      </x:c>
      <x:c r="C559" s="12" t="str">
        <x:v>CORP-0202</x:v>
      </x:c>
      <x:c r="D559" s="12" t="str">
        <x:v>Delhi NCR</x:v>
      </x:c>
      <x:c r="E559" s="12" t="str">
        <x:v>Unitech - Global Business Park</x:v>
      </x:c>
      <x:c r="F559" s="12" t="str">
        <x:v>55 inch LED TV</x:v>
      </x:c>
      <x:c r="G559" s="20" t="n">
        <x:v>3</x:v>
      </x:c>
      <x:c r="H559" s="12" t="str">
        <x:v>Inventory-listed building/workspace context; current occupancy and screen access unverified</x:v>
      </x:c>
      <x:c r="I559" s="12" t="str">
        <x:v>Small-scale prospects</x:v>
      </x:c>
      <x:c r="J559" s="12" t="str">
        <x:v>Trade, consumer &amp; logistics</x:v>
      </x:c>
      <x:c r="K559" s="2" t="str">
        <x:v>MAIN-206</x:v>
      </x:c>
    </x:row>
    <x:row r="560" ht="46" customHeight="1">
      <x:c r="A560" s="2" t="str">
        <x:v>TEN-94B8104C6F5F</x:v>
      </x:c>
      <x:c r="B560" s="12" t="str">
        <x:v>ETAP AUTOMATION PVT. LTD</x:v>
      </x:c>
      <x:c r="C560" s="12" t="str">
        <x:v>CORP-0202</x:v>
      </x:c>
      <x:c r="D560" s="12" t="str">
        <x:v>Delhi NCR</x:v>
      </x:c>
      <x:c r="E560" s="12" t="str">
        <x:v>Unitech - Global Business Park</x:v>
      </x:c>
      <x:c r="F560" s="12" t="str">
        <x:v>55 inch LED TV</x:v>
      </x:c>
      <x:c r="G560" s="20" t="n">
        <x:v>3</x:v>
      </x:c>
      <x:c r="H560" s="12" t="str">
        <x:v>Inventory-listed building/workspace context; current occupancy and screen access unverified</x:v>
      </x:c>
      <x:c r="I560" s="12" t="str">
        <x:v>Mixed business audience</x:v>
      </x:c>
      <x:c r="J560" s="12" t="str">
        <x:v>Engineering &amp; manufacturing</x:v>
      </x:c>
      <x:c r="K560" s="2" t="str">
        <x:v>MAIN-206</x:v>
      </x:c>
    </x:row>
    <x:row r="561" ht="46" customHeight="1">
      <x:c r="A561" s="2" t="str">
        <x:v>TEN-A92CF6031CF8</x:v>
      </x:c>
      <x:c r="B561" s="12" t="str">
        <x:v>FUJIFILM Sonosite India Pvt Ltd</x:v>
      </x:c>
      <x:c r="C561" s="12" t="str">
        <x:v>CORP-0202</x:v>
      </x:c>
      <x:c r="D561" s="12" t="str">
        <x:v>Delhi NCR</x:v>
      </x:c>
      <x:c r="E561" s="12" t="str">
        <x:v>Unitech - Global Business Park</x:v>
      </x:c>
      <x:c r="F561" s="12" t="str">
        <x:v>55 inch LED TV</x:v>
      </x:c>
      <x:c r="G561" s="20" t="n">
        <x:v>3</x:v>
      </x:c>
      <x:c r="H561" s="12" t="str">
        <x:v>Inventory-listed building/workspace context; current occupancy and screen access unverified</x:v>
      </x:c>
      <x:c r="I561" s="12" t="str">
        <x:v>Mixed business audience</x:v>
      </x:c>
      <x:c r="J561" s="12" t="str">
        <x:v>Healthcare &amp; life sciences</x:v>
      </x:c>
      <x:c r="K561" s="2" t="str">
        <x:v>MAIN-206</x:v>
      </x:c>
    </x:row>
    <x:row r="562" ht="46" customHeight="1">
      <x:c r="A562" s="2" t="str">
        <x:v>TEN-BFB7EE93F259</x:v>
      </x:c>
      <x:c r="B562" s="12" t="str">
        <x:v>GBP I Healthcare Services Private Limited</x:v>
      </x:c>
      <x:c r="C562" s="12" t="str">
        <x:v>CORP-0202</x:v>
      </x:c>
      <x:c r="D562" s="12" t="str">
        <x:v>Delhi NCR</x:v>
      </x:c>
      <x:c r="E562" s="12" t="str">
        <x:v>Unitech - Global Business Park</x:v>
      </x:c>
      <x:c r="F562" s="12" t="str">
        <x:v>55 inch LED TV</x:v>
      </x:c>
      <x:c r="G562" s="20" t="n">
        <x:v>3</x:v>
      </x:c>
      <x:c r="H562" s="12" t="str">
        <x:v>Inventory-listed building/workspace context; current occupancy and screen access unverified</x:v>
      </x:c>
      <x:c r="I562" s="12" t="str">
        <x:v>Small-scale prospects</x:v>
      </x:c>
      <x:c r="J562" s="12" t="str">
        <x:v>Healthcare &amp; life sciences</x:v>
      </x:c>
      <x:c r="K562" s="2" t="str">
        <x:v>MAIN-206</x:v>
      </x:c>
    </x:row>
    <x:row r="563" ht="46" customHeight="1">
      <x:c r="A563" s="2" t="str">
        <x:v>TEN-C78AB6EFC57B</x:v>
      </x:c>
      <x:c r="B563" s="12" t="str">
        <x:v>Perfetti Van Melle India Private Limited</x:v>
      </x:c>
      <x:c r="C563" s="12" t="str">
        <x:v>CORP-0202</x:v>
      </x:c>
      <x:c r="D563" s="12" t="str">
        <x:v>Delhi NCR</x:v>
      </x:c>
      <x:c r="E563" s="12" t="str">
        <x:v>Unitech - Global Business Park</x:v>
      </x:c>
      <x:c r="F563" s="12" t="str">
        <x:v>55 inch LED TV</x:v>
      </x:c>
      <x:c r="G563" s="20" t="n">
        <x:v>3</x:v>
      </x:c>
      <x:c r="H563" s="12" t="str">
        <x:v>Inventory-listed building/workspace context; current occupancy and screen access unverified</x:v>
      </x:c>
      <x:c r="I563" s="12" t="str">
        <x:v>Mixed business audience</x:v>
      </x:c>
      <x:c r="J563" s="12" t="str">
        <x:v>Trade, consumer &amp; logistics</x:v>
      </x:c>
      <x:c r="K563" s="2" t="str">
        <x:v>MAIN-206</x:v>
      </x:c>
    </x:row>
    <x:row r="564" ht="46" customHeight="1">
      <x:c r="A564" s="2" t="str">
        <x:v>TEN-0A8BCA93EB03</x:v>
      </x:c>
      <x:c r="B564" s="12" t="str">
        <x:v>JFE SHOJI INDIA PVT LTD. Gurgram Branch</x:v>
      </x:c>
      <x:c r="C564" s="12" t="str">
        <x:v>CORP-0203</x:v>
      </x:c>
      <x:c r="D564" s="12" t="str">
        <x:v>Delhi NCR</x:v>
      </x:c>
      <x:c r="E564" s="12" t="str">
        <x:v>Unitech - Signature Tower</x:v>
      </x:c>
      <x:c r="F564" s="12" t="str">
        <x:v>55 inch LED TV</x:v>
      </x:c>
      <x:c r="G564" s="20" t="n">
        <x:v>2</x:v>
      </x:c>
      <x:c r="H564" s="12" t="str">
        <x:v>Inventory-listed building/workspace context; current occupancy and screen access unverified</x:v>
      </x:c>
      <x:c r="I564" s="12" t="str">
        <x:v>Mixed business audience</x:v>
      </x:c>
      <x:c r="J564" s="12" t="str">
        <x:v>Engineering &amp; manufacturing</x:v>
      </x:c>
      <x:c r="K564" s="2" t="str">
        <x:v>MAIN-207</x:v>
      </x:c>
    </x:row>
    <x:row r="565" ht="46" customHeight="1">
      <x:c r="A565" s="2" t="str">
        <x:v>TEN-0EBD06999016</x:v>
      </x:c>
      <x:c r="B565" s="12" t="str">
        <x:v>Prakash associate and company</x:v>
      </x:c>
      <x:c r="C565" s="12" t="str">
        <x:v>CORP-0203</x:v>
      </x:c>
      <x:c r="D565" s="12" t="str">
        <x:v>Delhi NCR</x:v>
      </x:c>
      <x:c r="E565" s="12" t="str">
        <x:v>Unitech - Signature Tower</x:v>
      </x:c>
      <x:c r="F565" s="12" t="str">
        <x:v>55 inch LED TV</x:v>
      </x:c>
      <x:c r="G565" s="20" t="n">
        <x:v>2</x:v>
      </x:c>
      <x:c r="H565" s="12" t="str">
        <x:v>Inventory-listed building/workspace context; current occupancy and screen access unverified</x:v>
      </x:c>
      <x:c r="I565" s="12" t="str">
        <x:v>Mixed business audience</x:v>
      </x:c>
      <x:c r="J565" s="12" t="str">
        <x:v>Unresolved</x:v>
      </x:c>
      <x:c r="K565" s="2" t="str">
        <x:v>MAIN-207</x:v>
      </x:c>
    </x:row>
    <x:row r="566" ht="46" customHeight="1">
      <x:c r="A566" s="2" t="str">
        <x:v>TEN-5231E575AC27</x:v>
      </x:c>
      <x:c r="B566" s="12" t="str">
        <x:v>Incuspaze</x:v>
      </x:c>
      <x:c r="C566" s="12" t="str">
        <x:v>CORP-0203</x:v>
      </x:c>
      <x:c r="D566" s="12" t="str">
        <x:v>Delhi NCR</x:v>
      </x:c>
      <x:c r="E566" s="12" t="str">
        <x:v>Unitech - Signature Tower</x:v>
      </x:c>
      <x:c r="F566" s="12" t="str">
        <x:v>55 inch LED TV</x:v>
      </x:c>
      <x:c r="G566" s="20" t="n">
        <x:v>2</x:v>
      </x:c>
      <x:c r="H566" s="12" t="str">
        <x:v>Inventory-listed building/workspace context; current occupancy and screen access unverified</x:v>
      </x:c>
      <x:c r="I566" s="12" t="str">
        <x:v>Mixed business audience</x:v>
      </x:c>
      <x:c r="J566" s="12" t="str">
        <x:v>Workspace &amp; property operations</x:v>
      </x:c>
      <x:c r="K566" s="2" t="str">
        <x:v>MAIN-207</x:v>
      </x:c>
    </x:row>
    <x:row r="567" ht="46" customHeight="1">
      <x:c r="A567" s="2" t="str">
        <x:v>TEN-55BBAC060EB2</x:v>
      </x:c>
      <x:c r="B567" s="12" t="str">
        <x:v>Ashok Leyland Ltd</x:v>
      </x:c>
      <x:c r="C567" s="12" t="str">
        <x:v>CORP-0203</x:v>
      </x:c>
      <x:c r="D567" s="12" t="str">
        <x:v>Delhi NCR</x:v>
      </x:c>
      <x:c r="E567" s="12" t="str">
        <x:v>Unitech - Signature Tower</x:v>
      </x:c>
      <x:c r="F567" s="12" t="str">
        <x:v>55 inch LED TV</x:v>
      </x:c>
      <x:c r="G567" s="20" t="n">
        <x:v>2</x:v>
      </x:c>
      <x:c r="H567" s="12" t="str">
        <x:v>Inventory-listed building/workspace context; current occupancy and screen access unverified</x:v>
      </x:c>
      <x:c r="I567" s="12" t="str">
        <x:v>Mixed business audience</x:v>
      </x:c>
      <x:c r="J567" s="12" t="str">
        <x:v>Engineering &amp; manufacturing</x:v>
      </x:c>
      <x:c r="K567" s="2" t="str">
        <x:v>MAIN-207</x:v>
      </x:c>
    </x:row>
    <x:row r="568" ht="46" customHeight="1">
      <x:c r="A568" s="2" t="str">
        <x:v>TEN-631DCFEADDEF</x:v>
      </x:c>
      <x:c r="B568" s="12" t="str">
        <x:v>QuickSun Technologies</x:v>
      </x:c>
      <x:c r="C568" s="12" t="str">
        <x:v>CORP-0203</x:v>
      </x:c>
      <x:c r="D568" s="12" t="str">
        <x:v>Delhi NCR</x:v>
      </x:c>
      <x:c r="E568" s="12" t="str">
        <x:v>Unitech - Signature Tower</x:v>
      </x:c>
      <x:c r="F568" s="12" t="str">
        <x:v>55 inch LED TV</x:v>
      </x:c>
      <x:c r="G568" s="20" t="n">
        <x:v>2</x:v>
      </x:c>
      <x:c r="H568" s="12" t="str">
        <x:v>Inventory-listed building/workspace context; current occupancy and screen access unverified</x:v>
      </x:c>
      <x:c r="I568" s="12" t="str">
        <x:v>Mixed business audience</x:v>
      </x:c>
      <x:c r="J568" s="12" t="str">
        <x:v>Unresolved</x:v>
      </x:c>
      <x:c r="K568" s="2" t="str">
        <x:v>MAIN-207</x:v>
      </x:c>
    </x:row>
    <x:row r="569" ht="46" customHeight="1">
      <x:c r="A569" s="2" t="str">
        <x:v>TEN-663FA8BBE4DA</x:v>
      </x:c>
      <x:c r="B569" s="12" t="str">
        <x:v>Toll Global Forwarding (India) Pvt. Ltd</x:v>
      </x:c>
      <x:c r="C569" s="12" t="str">
        <x:v>CORP-0203</x:v>
      </x:c>
      <x:c r="D569" s="12" t="str">
        <x:v>Delhi NCR</x:v>
      </x:c>
      <x:c r="E569" s="12" t="str">
        <x:v>Unitech - Signature Tower</x:v>
      </x:c>
      <x:c r="F569" s="12" t="str">
        <x:v>55 inch LED TV</x:v>
      </x:c>
      <x:c r="G569" s="20" t="n">
        <x:v>2</x:v>
      </x:c>
      <x:c r="H569" s="12" t="str">
        <x:v>Inventory-listed building/workspace context; current occupancy and screen access unverified</x:v>
      </x:c>
      <x:c r="I569" s="12" t="str">
        <x:v>Mixed business audience</x:v>
      </x:c>
      <x:c r="J569" s="12" t="str">
        <x:v>Trade, consumer &amp; logistics</x:v>
      </x:c>
      <x:c r="K569" s="2" t="str">
        <x:v>MAIN-207</x:v>
      </x:c>
    </x:row>
    <x:row r="570" ht="46" customHeight="1">
      <x:c r="A570" s="2" t="str">
        <x:v>TEN-7A076A165601</x:v>
      </x:c>
      <x:c r="B570" s="12" t="str">
        <x:v>MullenLowe Lintas Group</x:v>
      </x:c>
      <x:c r="C570" s="12" t="str">
        <x:v>CORP-0203</x:v>
      </x:c>
      <x:c r="D570" s="12" t="str">
        <x:v>Delhi NCR</x:v>
      </x:c>
      <x:c r="E570" s="12" t="str">
        <x:v>Unitech - Signature Tower</x:v>
      </x:c>
      <x:c r="F570" s="12" t="str">
        <x:v>55 inch LED TV</x:v>
      </x:c>
      <x:c r="G570" s="20" t="n">
        <x:v>2</x:v>
      </x:c>
      <x:c r="H570" s="12" t="str">
        <x:v>Inventory-listed building/workspace context; current occupancy and screen access unverified</x:v>
      </x:c>
      <x:c r="I570" s="12" t="str">
        <x:v>Mixed business audience</x:v>
      </x:c>
      <x:c r="J570" s="12" t="str">
        <x:v>Professional services</x:v>
      </x:c>
      <x:c r="K570" s="2" t="str">
        <x:v>MAIN-207</x:v>
      </x:c>
    </x:row>
    <x:row r="571" ht="46" customHeight="1">
      <x:c r="A571" s="2" t="str">
        <x:v>TEN-87E3DB70689A</x:v>
      </x:c>
      <x:c r="B571" s="12" t="str">
        <x:v>NK COMPUTER CLASSES</x:v>
      </x:c>
      <x:c r="C571" s="12" t="str">
        <x:v>CORP-0203</x:v>
      </x:c>
      <x:c r="D571" s="12" t="str">
        <x:v>Delhi NCR</x:v>
      </x:c>
      <x:c r="E571" s="12" t="str">
        <x:v>Unitech - Signature Tower</x:v>
      </x:c>
      <x:c r="F571" s="12" t="str">
        <x:v>55 inch LED TV</x:v>
      </x:c>
      <x:c r="G571" s="20" t="n">
        <x:v>2</x:v>
      </x:c>
      <x:c r="H571" s="12" t="str">
        <x:v>Inventory-listed building/workspace context; current occupancy and screen access unverified</x:v>
      </x:c>
      <x:c r="I571" s="12" t="str">
        <x:v>Small-scale prospects</x:v>
      </x:c>
      <x:c r="J571" s="12" t="str">
        <x:v>Education</x:v>
      </x:c>
      <x:c r="K571" s="2" t="str">
        <x:v>MAIN-207</x:v>
      </x:c>
    </x:row>
    <x:row r="572" ht="46" customHeight="1">
      <x:c r="A572" s="2" t="str">
        <x:v>TEN-AD30C3FBCD6C</x:v>
      </x:c>
      <x:c r="B572" s="12" t="str">
        <x:v>SD Biosensor Healthcare Pvt Ltd</x:v>
      </x:c>
      <x:c r="C572" s="12" t="str">
        <x:v>CORP-0203</x:v>
      </x:c>
      <x:c r="D572" s="12" t="str">
        <x:v>Delhi NCR</x:v>
      </x:c>
      <x:c r="E572" s="12" t="str">
        <x:v>Unitech - Signature Tower</x:v>
      </x:c>
      <x:c r="F572" s="12" t="str">
        <x:v>55 inch LED TV</x:v>
      </x:c>
      <x:c r="G572" s="20" t="n">
        <x:v>2</x:v>
      </x:c>
      <x:c r="H572" s="12" t="str">
        <x:v>Inventory-listed building/workspace context; current occupancy and screen access unverified</x:v>
      </x:c>
      <x:c r="I572" s="12" t="str">
        <x:v>Mixed business audience</x:v>
      </x:c>
      <x:c r="J572" s="12" t="str">
        <x:v>Healthcare &amp; life sciences</x:v>
      </x:c>
      <x:c r="K572" s="2" t="str">
        <x:v>MAIN-207</x:v>
      </x:c>
    </x:row>
    <x:row r="573" ht="46" customHeight="1">
      <x:c r="A573" s="2" t="str">
        <x:v>TEN-BB2B0F8A6E69</x:v>
      </x:c>
      <x:c r="B573" s="12" t="str">
        <x:v>Becton Dickinson Private Limited</x:v>
      </x:c>
      <x:c r="C573" s="12" t="str">
        <x:v>CORP-0203</x:v>
      </x:c>
      <x:c r="D573" s="12" t="str">
        <x:v>Delhi NCR</x:v>
      </x:c>
      <x:c r="E573" s="12" t="str">
        <x:v>Unitech - Signature Tower</x:v>
      </x:c>
      <x:c r="F573" s="12" t="str">
        <x:v>55 inch LED TV</x:v>
      </x:c>
      <x:c r="G573" s="20" t="n">
        <x:v>2</x:v>
      </x:c>
      <x:c r="H573" s="12" t="str">
        <x:v>Inventory-listed building/workspace context; current occupancy and screen access unverified</x:v>
      </x:c>
      <x:c r="I573" s="12" t="str">
        <x:v>Mixed business audience</x:v>
      </x:c>
      <x:c r="J573" s="12" t="str">
        <x:v>Healthcare &amp; life sciences</x:v>
      </x:c>
      <x:c r="K573" s="2" t="str">
        <x:v>MAIN-207</x:v>
      </x:c>
    </x:row>
    <x:row r="574" ht="46" customHeight="1">
      <x:c r="A574" s="2" t="str">
        <x:v>TEN-CC48C5F170E3</x:v>
      </x:c>
      <x:c r="B574" s="12" t="str">
        <x:v>KIRANAKART TECHNOLOGIES PRIVATE LIMITED</x:v>
      </x:c>
      <x:c r="C574" s="12" t="str">
        <x:v>CORP-0203</x:v>
      </x:c>
      <x:c r="D574" s="12" t="str">
        <x:v>Delhi NCR</x:v>
      </x:c>
      <x:c r="E574" s="12" t="str">
        <x:v>Unitech - Signature Tower</x:v>
      </x:c>
      <x:c r="F574" s="12" t="str">
        <x:v>55 inch LED TV</x:v>
      </x:c>
      <x:c r="G574" s="20" t="n">
        <x:v>2</x:v>
      </x:c>
      <x:c r="H574" s="12" t="str">
        <x:v>Inventory-listed building/workspace context; current occupancy and screen access unverified</x:v>
      </x:c>
      <x:c r="I574" s="12" t="str">
        <x:v>Mixed business audience</x:v>
      </x:c>
      <x:c r="J574" s="12" t="str">
        <x:v>Trade, consumer &amp; logistics</x:v>
      </x:c>
      <x:c r="K574" s="2" t="str">
        <x:v>MAIN-207</x:v>
      </x:c>
    </x:row>
    <x:row r="575" ht="46" customHeight="1">
      <x:c r="A575" s="2" t="str">
        <x:v>TEN-1B26A1EAB1AF</x:v>
      </x:c>
      <x:c r="B575" s="12" t="str">
        <x:v>Kognoz Research &amp; Consulting Private Limited</x:v>
      </x:c>
      <x:c r="C575" s="12" t="str">
        <x:v>CORP-0204</x:v>
      </x:c>
      <x:c r="D575" s="12" t="str">
        <x:v>Delhi NCR</x:v>
      </x:c>
      <x:c r="E575" s="12" t="str">
        <x:v>Unitech - Trade Center</x:v>
      </x:c>
      <x:c r="F575" s="12" t="str">
        <x:v>55 inch LED TV</x:v>
      </x:c>
      <x:c r="G575" s="20" t="n">
        <x:v>1</x:v>
      </x:c>
      <x:c r="H575" s="12" t="str">
        <x:v>Inventory-listed building/workspace context; current occupancy and screen access unverified</x:v>
      </x:c>
      <x:c r="I575" s="12" t="str">
        <x:v>Small-scale prospects</x:v>
      </x:c>
      <x:c r="J575" s="12" t="str">
        <x:v>Professional services</x:v>
      </x:c>
      <x:c r="K575" s="2" t="str">
        <x:v>MAIN-208</x:v>
      </x:c>
    </x:row>
    <x:row r="576" ht="46" customHeight="1">
      <x:c r="A576" s="2" t="str">
        <x:v>TEN-55B93C4E3B87</x:v>
      </x:c>
      <x:c r="B576" s="12" t="str">
        <x:v>Fulcrum ALM Solutions</x:v>
      </x:c>
      <x:c r="C576" s="12" t="str">
        <x:v>CORP-0204</x:v>
      </x:c>
      <x:c r="D576" s="12" t="str">
        <x:v>Delhi NCR</x:v>
      </x:c>
      <x:c r="E576" s="12" t="str">
        <x:v>Unitech - Trade Center</x:v>
      </x:c>
      <x:c r="F576" s="12" t="str">
        <x:v>55 inch LED TV</x:v>
      </x:c>
      <x:c r="G576" s="20" t="n">
        <x:v>1</x:v>
      </x:c>
      <x:c r="H576" s="12" t="str">
        <x:v>Inventory-listed building/workspace context; current occupancy and screen access unverified</x:v>
      </x:c>
      <x:c r="I576" s="12" t="str">
        <x:v>Mixed business audience</x:v>
      </x:c>
      <x:c r="J576" s="12" t="str">
        <x:v>Unresolved</x:v>
      </x:c>
      <x:c r="K576" s="2" t="str">
        <x:v>MAIN-208</x:v>
      </x:c>
    </x:row>
    <x:row r="577" ht="46" customHeight="1">
      <x:c r="A577" s="2" t="str">
        <x:v>TEN-5D0C383E84BD</x:v>
      </x:c>
      <x:c r="B577" s="12" t="str">
        <x:v>Bertelsmann (BII) - Gurgaon</x:v>
      </x:c>
      <x:c r="C577" s="12" t="str">
        <x:v>CORP-0204</x:v>
      </x:c>
      <x:c r="D577" s="12" t="str">
        <x:v>Delhi NCR</x:v>
      </x:c>
      <x:c r="E577" s="12" t="str">
        <x:v>Unitech - Trade Center</x:v>
      </x:c>
      <x:c r="F577" s="12" t="str">
        <x:v>55 inch LED TV</x:v>
      </x:c>
      <x:c r="G577" s="20" t="n">
        <x:v>1</x:v>
      </x:c>
      <x:c r="H577" s="12" t="str">
        <x:v>Inventory-listed building/workspace context; current occupancy and screen access unverified</x:v>
      </x:c>
      <x:c r="I577" s="12" t="str">
        <x:v>Mixed business audience</x:v>
      </x:c>
      <x:c r="J577" s="12" t="str">
        <x:v>Finance &amp; insurance</x:v>
      </x:c>
      <x:c r="K577" s="2" t="str">
        <x:v>MAIN-208</x:v>
      </x:c>
    </x:row>
    <x:row r="578" ht="46" customHeight="1">
      <x:c r="A578" s="2" t="str">
        <x:v>TEN-61D3F1332192</x:v>
      </x:c>
      <x:c r="B578" s="12" t="str">
        <x:v>NTT DATA Corporation</x:v>
      </x:c>
      <x:c r="C578" s="12" t="str">
        <x:v>CORP-0204</x:v>
      </x:c>
      <x:c r="D578" s="12" t="str">
        <x:v>Delhi NCR</x:v>
      </x:c>
      <x:c r="E578" s="12" t="str">
        <x:v>Unitech - Trade Center</x:v>
      </x:c>
      <x:c r="F578" s="12" t="str">
        <x:v>55 inch LED TV</x:v>
      </x:c>
      <x:c r="G578" s="20" t="n">
        <x:v>1</x:v>
      </x:c>
      <x:c r="H578" s="12" t="str">
        <x:v>Inventory-listed building/workspace context; current occupancy and screen access unverified</x:v>
      </x:c>
      <x:c r="I578" s="12" t="str">
        <x:v>Large enterprise</x:v>
      </x:c>
      <x:c r="J578" s="12" t="str">
        <x:v>IT &amp; digital</x:v>
      </x:c>
      <x:c r="K578" s="2" t="str">
        <x:v>MAIN-208</x:v>
      </x:c>
    </x:row>
    <x:row r="579" ht="46" customHeight="1">
      <x:c r="A579" s="2" t="str">
        <x:v>TEN-85B7E717ED99</x:v>
      </x:c>
      <x:c r="B579" s="12" t="str">
        <x:v>AccountabilIT GDC India Pvt. Ltd</x:v>
      </x:c>
      <x:c r="C579" s="12" t="str">
        <x:v>CORP-0204</x:v>
      </x:c>
      <x:c r="D579" s="12" t="str">
        <x:v>Delhi NCR</x:v>
      </x:c>
      <x:c r="E579" s="12" t="str">
        <x:v>Unitech - Trade Center</x:v>
      </x:c>
      <x:c r="F579" s="12" t="str">
        <x:v>55 inch LED TV</x:v>
      </x:c>
      <x:c r="G579" s="20" t="n">
        <x:v>1</x:v>
      </x:c>
      <x:c r="H579" s="12" t="str">
        <x:v>Inventory-listed building/workspace context; current occupancy and screen access unverified</x:v>
      </x:c>
      <x:c r="I579" s="12" t="str">
        <x:v>Small-scale prospects</x:v>
      </x:c>
      <x:c r="J579" s="12" t="str">
        <x:v>IT &amp; digital</x:v>
      </x:c>
      <x:c r="K579" s="2" t="str">
        <x:v>MAIN-208</x:v>
      </x:c>
    </x:row>
    <x:row r="580" ht="46" customHeight="1">
      <x:c r="A580" s="2" t="str">
        <x:v>TEN-F66746C19057</x:v>
      </x:c>
      <x:c r="B580" s="12" t="str">
        <x:v>Six Red Marbles</x:v>
      </x:c>
      <x:c r="C580" s="12" t="str">
        <x:v>CORP-0204</x:v>
      </x:c>
      <x:c r="D580" s="12" t="str">
        <x:v>Delhi NCR</x:v>
      </x:c>
      <x:c r="E580" s="12" t="str">
        <x:v>Unitech - Trade Center</x:v>
      </x:c>
      <x:c r="F580" s="12" t="str">
        <x:v>55 inch LED TV</x:v>
      </x:c>
      <x:c r="G580" s="20" t="n">
        <x:v>1</x:v>
      </x:c>
      <x:c r="H580" s="12" t="str">
        <x:v>Inventory-listed building/workspace context; current occupancy and screen access unverified</x:v>
      </x:c>
      <x:c r="I580" s="12" t="str">
        <x:v>Small-scale prospects</x:v>
      </x:c>
      <x:c r="J580" s="12" t="str">
        <x:v>Education</x:v>
      </x:c>
      <x:c r="K580" s="2" t="str">
        <x:v>MAIN-208</x:v>
      </x:c>
    </x:row>
    <x:row r="581" ht="46" customHeight="1">
      <x:c r="A581" s="2" t="str">
        <x:v>TEN-8101C2E2D34F</x:v>
      </x:c>
      <x:c r="B581" s="12" t="str">
        <x:v>Crescendo Global</x:v>
      </x:c>
      <x:c r="C581" s="12" t="str">
        <x:v>CORP-0205</x:v>
      </x:c>
      <x:c r="D581" s="12" t="str">
        <x:v>Delhi NCR</x:v>
      </x:c>
      <x:c r="E581" s="12" t="str">
        <x:v>WeWork - Blue One Square</x:v>
      </x:c>
      <x:c r="F581" s="12" t="str">
        <x:v>43 inch LED TV</x:v>
      </x:c>
      <x:c r="G581" s="20" t="n">
        <x:v>10</x:v>
      </x:c>
      <x:c r="H581" s="12" t="str">
        <x:v>Inventory-listed building/workspace context; current occupancy and screen access unverified</x:v>
      </x:c>
      <x:c r="I581" s="12" t="str">
        <x:v>Small-scale prospects</x:v>
      </x:c>
      <x:c r="J581" s="12" t="str">
        <x:v>Professional services</x:v>
      </x:c>
      <x:c r="K581" s="2" t="str">
        <x:v>MAIN-209</x:v>
      </x:c>
    </x:row>
    <x:row r="582" ht="46" customHeight="1">
      <x:c r="A582" s="2" t="str">
        <x:v>TEN-22AB01C3CE3F</x:v>
      </x:c>
      <x:c r="B582" s="12" t="str">
        <x:v>Centaus Technologies</x:v>
      </x:c>
      <x:c r="C582" s="12" t="str">
        <x:v>CORP-0017</x:v>
      </x:c>
      <x:c r="D582" s="12" t="str">
        <x:v>Bengaluru</x:v>
      </x:c>
      <x:c r="E582" s="12" t="str">
        <x:v>AWFIS - PTP 4 Venus</x:v>
      </x:c>
      <x:c r="F582" s="12" t="str">
        <x:v>32 inch LED TV</x:v>
      </x:c>
      <x:c r="G582" s="20" t="n">
        <x:v>1</x:v>
      </x:c>
      <x:c r="H582" s="12" t="str">
        <x:v>Inventory-listed building/workspace context; current occupancy and screen access unverified</x:v>
      </x:c>
      <x:c r="I582" s="12" t="str">
        <x:v>Mixed business audience</x:v>
      </x:c>
      <x:c r="J582" s="12" t="str">
        <x:v>Unresolved</x:v>
      </x:c>
      <x:c r="K582" s="2" t="str">
        <x:v>MAIN-021</x:v>
      </x:c>
    </x:row>
    <x:row r="583" ht="46" customHeight="1">
      <x:c r="A583" s="2" t="str">
        <x:v>TEN-242B52F0117F</x:v>
      </x:c>
      <x:c r="B583" s="12" t="str">
        <x:v>Amalgo Labs</x:v>
      </x:c>
      <x:c r="C583" s="12" t="str">
        <x:v>CORP-0206</x:v>
      </x:c>
      <x:c r="D583" s="12" t="str">
        <x:v>Delhi NCR</x:v>
      </x:c>
      <x:c r="E583" s="12" t="str">
        <x:v>WeWork - Forum</x:v>
      </x:c>
      <x:c r="F583" s="12" t="str">
        <x:v>43 inch LED TV</x:v>
      </x:c>
      <x:c r="G583" s="20" t="n">
        <x:v>14</x:v>
      </x:c>
      <x:c r="H583" s="12" t="str">
        <x:v>Inventory-listed building/workspace context; current occupancy and screen access unverified</x:v>
      </x:c>
      <x:c r="I583" s="12" t="str">
        <x:v>Mixed business audience</x:v>
      </x:c>
      <x:c r="J583" s="12" t="str">
        <x:v>Unresolved</x:v>
      </x:c>
      <x:c r="K583" s="2" t="str">
        <x:v>MAIN-210</x:v>
      </x:c>
    </x:row>
    <x:row r="584" ht="46" customHeight="1">
      <x:c r="A584" s="2" t="str">
        <x:v>TEN-4B4B35DB7BA4</x:v>
      </x:c>
      <x:c r="B584" s="12" t="str">
        <x:v>CA B K Goyal &amp; Co LLP Chartered Accountants</x:v>
      </x:c>
      <x:c r="C584" s="12" t="str">
        <x:v>CORP-0206</x:v>
      </x:c>
      <x:c r="D584" s="12" t="str">
        <x:v>Delhi NCR</x:v>
      </x:c>
      <x:c r="E584" s="12" t="str">
        <x:v>WeWork - Forum</x:v>
      </x:c>
      <x:c r="F584" s="12" t="str">
        <x:v>43 inch LED TV</x:v>
      </x:c>
      <x:c r="G584" s="20" t="n">
        <x:v>14</x:v>
      </x:c>
      <x:c r="H584" s="12" t="str">
        <x:v>Inventory-listed building/workspace context; current occupancy and screen access unverified</x:v>
      </x:c>
      <x:c r="I584" s="12" t="str">
        <x:v>Micro-scale prospects</x:v>
      </x:c>
      <x:c r="J584" s="12" t="str">
        <x:v>Professional services</x:v>
      </x:c>
      <x:c r="K584" s="2" t="str">
        <x:v>MAIN-210</x:v>
      </x:c>
    </x:row>
    <x:row r="585" ht="46" customHeight="1">
      <x:c r="A585" s="2" t="str">
        <x:v>TEN-E64DFB9A7C4E</x:v>
      </x:c>
      <x:c r="B585" s="12" t="str">
        <x:v>AB media</x:v>
      </x:c>
      <x:c r="C585" s="12" t="str">
        <x:v>CORP-0206</x:v>
      </x:c>
      <x:c r="D585" s="12" t="str">
        <x:v>Delhi NCR</x:v>
      </x:c>
      <x:c r="E585" s="12" t="str">
        <x:v>WeWork - Forum</x:v>
      </x:c>
      <x:c r="F585" s="12" t="str">
        <x:v>43 inch LED TV</x:v>
      </x:c>
      <x:c r="G585" s="20" t="n">
        <x:v>14</x:v>
      </x:c>
      <x:c r="H585" s="12" t="str">
        <x:v>Inventory-listed building/workspace context; current occupancy and screen access unverified</x:v>
      </x:c>
      <x:c r="I585" s="12" t="str">
        <x:v>Small-scale prospects</x:v>
      </x:c>
      <x:c r="J585" s="12" t="str">
        <x:v>Trade, consumer &amp; logistics</x:v>
      </x:c>
      <x:c r="K585" s="2" t="str">
        <x:v>MAIN-210</x:v>
      </x:c>
    </x:row>
    <x:row r="586" ht="46" customHeight="1">
      <x:c r="A586" s="2" t="str">
        <x:v>TEN-9ADF4B12033A</x:v>
      </x:c>
      <x:c r="B586" s="12" t="str">
        <x:v>Media sense India</x:v>
      </x:c>
      <x:c r="C586" s="12" t="str">
        <x:v>CORP-0207</x:v>
      </x:c>
      <x:c r="D586" s="12" t="str">
        <x:v>Delhi NCR</x:v>
      </x:c>
      <x:c r="E586" s="12" t="str">
        <x:v>Wework - VI John</x:v>
      </x:c>
      <x:c r="F586" s="12" t="str">
        <x:v>43 inch LED TV</x:v>
      </x:c>
      <x:c r="G586" s="20" t="n">
        <x:v>8</x:v>
      </x:c>
      <x:c r="H586" s="12" t="str">
        <x:v>Inventory-listed building/workspace context; current occupancy and screen access unverified</x:v>
      </x:c>
      <x:c r="I586" s="12" t="str">
        <x:v>Small-scale prospects</x:v>
      </x:c>
      <x:c r="J586" s="12" t="str">
        <x:v>Trade, consumer &amp; logistics</x:v>
      </x:c>
      <x:c r="K586" s="2" t="str">
        <x:v>MAIN-211</x:v>
      </x:c>
    </x:row>
    <x:row r="587" ht="46" customHeight="1">
      <x:c r="A587" s="2" t="str">
        <x:v>TEN-AD95F6E4E93C</x:v>
      </x:c>
      <x:c r="B587" s="12" t="str">
        <x:v>Captain decor</x:v>
      </x:c>
      <x:c r="C587" s="12" t="str">
        <x:v>CORP-0207</x:v>
      </x:c>
      <x:c r="D587" s="12" t="str">
        <x:v>Delhi NCR</x:v>
      </x:c>
      <x:c r="E587" s="12" t="str">
        <x:v>Wework - VI John</x:v>
      </x:c>
      <x:c r="F587" s="12" t="str">
        <x:v>43 inch LED TV</x:v>
      </x:c>
      <x:c r="G587" s="20" t="n">
        <x:v>8</x:v>
      </x:c>
      <x:c r="H587" s="12" t="str">
        <x:v>Inventory-listed building/workspace context; current occupancy and screen access unverified</x:v>
      </x:c>
      <x:c r="I587" s="12" t="str">
        <x:v>Small-scale prospects</x:v>
      </x:c>
      <x:c r="J587" s="12" t="str">
        <x:v>Professional services</x:v>
      </x:c>
      <x:c r="K587" s="2" t="str">
        <x:v>MAIN-211</x:v>
      </x:c>
    </x:row>
    <x:row r="588" ht="46" customHeight="1">
      <x:c r="A588" s="2" t="str">
        <x:v>TEN-CC09BF697AED</x:v>
      </x:c>
      <x:c r="B588" s="12" t="str">
        <x:v>Mercury Solution limited</x:v>
      </x:c>
      <x:c r="C588" s="12" t="str">
        <x:v>CORP-0207</x:v>
      </x:c>
      <x:c r="D588" s="12" t="str">
        <x:v>Delhi NCR</x:v>
      </x:c>
      <x:c r="E588" s="12" t="str">
        <x:v>Wework - VI John</x:v>
      </x:c>
      <x:c r="F588" s="12" t="str">
        <x:v>43 inch LED TV</x:v>
      </x:c>
      <x:c r="G588" s="20" t="n">
        <x:v>8</x:v>
      </x:c>
      <x:c r="H588" s="12" t="str">
        <x:v>Inventory-listed building/workspace context; current occupancy and screen access unverified</x:v>
      </x:c>
      <x:c r="I588" s="12" t="str">
        <x:v>Mixed business audience</x:v>
      </x:c>
      <x:c r="J588" s="12" t="str">
        <x:v>Unresolved</x:v>
      </x:c>
      <x:c r="K588" s="2" t="str">
        <x:v>MAIN-211</x:v>
      </x:c>
    </x:row>
    <x:row r="589" ht="46" customHeight="1">
      <x:c r="A589" s="2" t="str">
        <x:v>TEN-4573DD09A1D9</x:v>
      </x:c>
      <x:c r="B589" s="12" t="str">
        <x:v>Yes2growth</x:v>
      </x:c>
      <x:c r="C589" s="12" t="str">
        <x:v>CORP-0208</x:v>
      </x:c>
      <x:c r="D589" s="12" t="str">
        <x:v>Delhi NCR</x:v>
      </x:c>
      <x:c r="E589" s="12" t="str">
        <x:v>Workflow by Oyo - Golf Course Road</x:v>
      </x:c>
      <x:c r="F589" s="12" t="str">
        <x:v>32 inch LED TV</x:v>
      </x:c>
      <x:c r="G589" s="20" t="n">
        <x:v>2</x:v>
      </x:c>
      <x:c r="H589" s="12" t="str">
        <x:v>Inventory-listed building/workspace context; current occupancy and screen access unverified</x:v>
      </x:c>
      <x:c r="I589" s="12" t="str">
        <x:v>Mixed business audience</x:v>
      </x:c>
      <x:c r="J589" s="12" t="str">
        <x:v>Unresolved</x:v>
      </x:c>
      <x:c r="K589" s="2" t="str">
        <x:v>MAIN-212</x:v>
      </x:c>
    </x:row>
    <x:row r="590" ht="46" customHeight="1">
      <x:c r="A590" s="2" t="str">
        <x:v>TEN-81A1D02B9C6A</x:v>
      </x:c>
      <x:c r="B590" s="12" t="str">
        <x:v>Blue Optima</x:v>
      </x:c>
      <x:c r="C590" s="12" t="str">
        <x:v>CORP-0208</x:v>
      </x:c>
      <x:c r="D590" s="12" t="str">
        <x:v>Delhi NCR</x:v>
      </x:c>
      <x:c r="E590" s="12" t="str">
        <x:v>Workflow by Oyo - Golf Course Road</x:v>
      </x:c>
      <x:c r="F590" s="12" t="str">
        <x:v>32 inch LED TV</x:v>
      </x:c>
      <x:c r="G590" s="20" t="n">
        <x:v>2</x:v>
      </x:c>
      <x:c r="H590" s="12" t="str">
        <x:v>Inventory-listed building/workspace context; current occupancy and screen access unverified</x:v>
      </x:c>
      <x:c r="I590" s="12" t="str">
        <x:v>Small-scale prospects</x:v>
      </x:c>
      <x:c r="J590" s="12" t="str">
        <x:v>IT &amp; digital</x:v>
      </x:c>
      <x:c r="K590" s="2" t="str">
        <x:v>MAIN-212</x:v>
      </x:c>
    </x:row>
    <x:row r="591" ht="46" customHeight="1">
      <x:c r="A591" s="2" t="str">
        <x:v>TEN-B430C8DE7AA8</x:v>
      </x:c>
      <x:c r="B591" s="12" t="str">
        <x:v>Enivox Services</x:v>
      </x:c>
      <x:c r="C591" s="12" t="str">
        <x:v>CORP-0208</x:v>
      </x:c>
      <x:c r="D591" s="12" t="str">
        <x:v>Delhi NCR</x:v>
      </x:c>
      <x:c r="E591" s="12" t="str">
        <x:v>Workflow by Oyo - Golf Course Road</x:v>
      </x:c>
      <x:c r="F591" s="12" t="str">
        <x:v>32 inch LED TV</x:v>
      </x:c>
      <x:c r="G591" s="20" t="n">
        <x:v>2</x:v>
      </x:c>
      <x:c r="H591" s="12" t="str">
        <x:v>Inventory-listed building/workspace context; current occupancy and screen access unverified</x:v>
      </x:c>
      <x:c r="I591" s="12" t="str">
        <x:v>Mixed business audience</x:v>
      </x:c>
      <x:c r="J591" s="12" t="str">
        <x:v>Unresolved</x:v>
      </x:c>
      <x:c r="K591" s="2" t="str">
        <x:v>MAIN-212</x:v>
      </x:c>
    </x:row>
    <x:row r="592" ht="46" customHeight="1">
      <x:c r="A592" s="2" t="str">
        <x:v>TEN-C8390D04D3EE</x:v>
      </x:c>
      <x:c r="B592" s="12" t="str">
        <x:v>Walmart India</x:v>
      </x:c>
      <x:c r="C592" s="12" t="str">
        <x:v>CORP-0208</x:v>
      </x:c>
      <x:c r="D592" s="12" t="str">
        <x:v>Delhi NCR</x:v>
      </x:c>
      <x:c r="E592" s="12" t="str">
        <x:v>Workflow by Oyo - Golf Course Road</x:v>
      </x:c>
      <x:c r="F592" s="12" t="str">
        <x:v>32 inch LED TV</x:v>
      </x:c>
      <x:c r="G592" s="20" t="n">
        <x:v>2</x:v>
      </x:c>
      <x:c r="H592" s="12" t="str">
        <x:v>Inventory-listed building/workspace context; current occupancy and screen access unverified</x:v>
      </x:c>
      <x:c r="I592" s="12" t="str">
        <x:v>Mixed business audience</x:v>
      </x:c>
      <x:c r="J592" s="12" t="str">
        <x:v>Trade, consumer &amp; logistics</x:v>
      </x:c>
      <x:c r="K592" s="2" t="str">
        <x:v>MAIN-212</x:v>
      </x:c>
    </x:row>
    <x:row r="593" ht="46" customHeight="1">
      <x:c r="A593" s="2" t="str">
        <x:v>TEN-CFE80234CF49</x:v>
      </x:c>
      <x:c r="B593" s="12" t="str">
        <x:v>Kundan Kishore</x:v>
      </x:c>
      <x:c r="C593" s="12" t="str">
        <x:v>CORP-0208</x:v>
      </x:c>
      <x:c r="D593" s="12" t="str">
        <x:v>Delhi NCR</x:v>
      </x:c>
      <x:c r="E593" s="12" t="str">
        <x:v>Workflow by Oyo - Golf Course Road</x:v>
      </x:c>
      <x:c r="F593" s="12" t="str">
        <x:v>32 inch LED TV</x:v>
      </x:c>
      <x:c r="G593" s="20" t="n">
        <x:v>2</x:v>
      </x:c>
      <x:c r="H593" s="12" t="str">
        <x:v>Inventory-listed building/workspace context; current occupancy and screen access unverified</x:v>
      </x:c>
      <x:c r="I593" s="12" t="str">
        <x:v>Mixed business audience</x:v>
      </x:c>
      <x:c r="J593" s="12" t="str">
        <x:v>Unresolved</x:v>
      </x:c>
      <x:c r="K593" s="2" t="str">
        <x:v>MAIN-212</x:v>
      </x:c>
    </x:row>
    <x:row r="594" ht="46" customHeight="1">
      <x:c r="A594" s="2" t="str">
        <x:v>TEN-EA0570A92324</x:v>
      </x:c>
      <x:c r="B594" s="12" t="str">
        <x:v>Idiotic Media</x:v>
      </x:c>
      <x:c r="C594" s="12" t="str">
        <x:v>CORP-0208</x:v>
      </x:c>
      <x:c r="D594" s="12" t="str">
        <x:v>Delhi NCR</x:v>
      </x:c>
      <x:c r="E594" s="12" t="str">
        <x:v>Workflow by Oyo - Golf Course Road</x:v>
      </x:c>
      <x:c r="F594" s="12" t="str">
        <x:v>32 inch LED TV</x:v>
      </x:c>
      <x:c r="G594" s="20" t="n">
        <x:v>2</x:v>
      </x:c>
      <x:c r="H594" s="12" t="str">
        <x:v>Inventory-listed building/workspace context; current occupancy and screen access unverified</x:v>
      </x:c>
      <x:c r="I594" s="12" t="str">
        <x:v>Small-scale prospects</x:v>
      </x:c>
      <x:c r="J594" s="12" t="str">
        <x:v>Trade, consumer &amp; logistics</x:v>
      </x:c>
      <x:c r="K594" s="2" t="str">
        <x:v>MAIN-212</x:v>
      </x:c>
    </x:row>
    <x:row r="595" ht="46" customHeight="1">
      <x:c r="A595" s="2" t="str">
        <x:v>TEN-20994E8D41B3</x:v>
      </x:c>
      <x:c r="B595" s="12" t="str">
        <x:v>TECHSOL</x:v>
      </x:c>
      <x:c r="C595" s="12" t="str">
        <x:v>CORP-0211</x:v>
      </x:c>
      <x:c r="D595" s="12" t="str">
        <x:v>Hyderabad</x:v>
      </x:c>
      <x:c r="E595" s="12" t="str">
        <x:v>Awfis - B144Lorven Tiara</x:v>
      </x:c>
      <x:c r="F595" s="12" t="str">
        <x:v>32 inch LED TV</x:v>
      </x:c>
      <x:c r="G595" s="20" t="n">
        <x:v>8</x:v>
      </x:c>
      <x:c r="H595" s="12" t="str">
        <x:v>Inventory-listed building/workspace context; current occupancy and screen access unverified</x:v>
      </x:c>
      <x:c r="I595" s="12" t="str">
        <x:v>Mixed business audience</x:v>
      </x:c>
      <x:c r="J595" s="12" t="str">
        <x:v>Unresolved</x:v>
      </x:c>
      <x:c r="K595" s="2" t="str">
        <x:v>MAIN-215</x:v>
      </x:c>
    </x:row>
    <x:row r="596" ht="46" customHeight="1">
      <x:c r="A596" s="2" t="str">
        <x:v>TEN-628E4C3127EB</x:v>
      </x:c>
      <x:c r="B596" s="12" t="str">
        <x:v>HATHORITY</x:v>
      </x:c>
      <x:c r="C596" s="12" t="str">
        <x:v>CORP-0211</x:v>
      </x:c>
      <x:c r="D596" s="12" t="str">
        <x:v>Hyderabad</x:v>
      </x:c>
      <x:c r="E596" s="12" t="str">
        <x:v>Awfis - B144Lorven Tiara</x:v>
      </x:c>
      <x:c r="F596" s="12" t="str">
        <x:v>32 inch LED TV</x:v>
      </x:c>
      <x:c r="G596" s="20" t="n">
        <x:v>8</x:v>
      </x:c>
      <x:c r="H596" s="12" t="str">
        <x:v>Inventory-listed building/workspace context; current occupancy and screen access unverified</x:v>
      </x:c>
      <x:c r="I596" s="12" t="str">
        <x:v>Small-scale prospects</x:v>
      </x:c>
      <x:c r="J596" s="12" t="str">
        <x:v>IT &amp; digital</x:v>
      </x:c>
      <x:c r="K596" s="2" t="str">
        <x:v>MAIN-215</x:v>
      </x:c>
    </x:row>
    <x:row r="597" ht="46" customHeight="1">
      <x:c r="A597" s="2" t="str">
        <x:v>TEN-7DA7E229D048</x:v>
      </x:c>
      <x:c r="B597" s="12" t="str">
        <x:v>Acads 360</x:v>
      </x:c>
      <x:c r="C597" s="12" t="str">
        <x:v>CORP-0211</x:v>
      </x:c>
      <x:c r="D597" s="12" t="str">
        <x:v>Hyderabad</x:v>
      </x:c>
      <x:c r="E597" s="12" t="str">
        <x:v>Awfis - B144Lorven Tiara</x:v>
      </x:c>
      <x:c r="F597" s="12" t="str">
        <x:v>32 inch LED TV</x:v>
      </x:c>
      <x:c r="G597" s="20" t="n">
        <x:v>8</x:v>
      </x:c>
      <x:c r="H597" s="12" t="str">
        <x:v>Inventory-listed building/workspace context; current occupancy and screen access unverified</x:v>
      </x:c>
      <x:c r="I597" s="12" t="str">
        <x:v>Small-scale prospects</x:v>
      </x:c>
      <x:c r="J597" s="12" t="str">
        <x:v>Education</x:v>
      </x:c>
      <x:c r="K597" s="2" t="str">
        <x:v>MAIN-215</x:v>
      </x:c>
    </x:row>
    <x:row r="598" ht="46" customHeight="1">
      <x:c r="A598" s="2" t="str">
        <x:v>TEN-81815D26A3F0</x:v>
      </x:c>
      <x:c r="B598" s="12" t="str">
        <x:v>Toyota Tshusho</x:v>
      </x:c>
      <x:c r="C598" s="12" t="str">
        <x:v>CORP-0211</x:v>
      </x:c>
      <x:c r="D598" s="12" t="str">
        <x:v>Hyderabad</x:v>
      </x:c>
      <x:c r="E598" s="12" t="str">
        <x:v>Awfis - B144Lorven Tiara</x:v>
      </x:c>
      <x:c r="F598" s="12" t="str">
        <x:v>32 inch LED TV</x:v>
      </x:c>
      <x:c r="G598" s="20" t="n">
        <x:v>8</x:v>
      </x:c>
      <x:c r="H598" s="12" t="str">
        <x:v>Inventory-listed building/workspace context; current occupancy and screen access unverified</x:v>
      </x:c>
      <x:c r="I598" s="12" t="str">
        <x:v>Mixed business audience</x:v>
      </x:c>
      <x:c r="J598" s="12" t="str">
        <x:v>Engineering &amp; manufacturing</x:v>
      </x:c>
      <x:c r="K598" s="2" t="str">
        <x:v>MAIN-215</x:v>
      </x:c>
    </x:row>
    <x:row r="599" ht="46" customHeight="1">
      <x:c r="A599" s="2" t="str">
        <x:v>TEN-29E4A775BC88</x:v>
      </x:c>
      <x:c r="B599" s="12" t="str">
        <x:v>SPACE OIL AND GAS</x:v>
      </x:c>
      <x:c r="C599" s="12" t="str">
        <x:v>CORP-0212</x:v>
      </x:c>
      <x:c r="D599" s="12" t="str">
        <x:v>Hyderabad</x:v>
      </x:c>
      <x:c r="E599" s="12" t="str">
        <x:v>Awfis - DSL Abacus IT Park</x:v>
      </x:c>
      <x:c r="F599" s="12" t="str">
        <x:v>32 inch LED TV</x:v>
      </x:c>
      <x:c r="G599" s="20" t="n">
        <x:v>2</x:v>
      </x:c>
      <x:c r="H599" s="12" t="str">
        <x:v>Inventory-listed building/workspace context; current occupancy and screen access unverified</x:v>
      </x:c>
      <x:c r="I599" s="12" t="str">
        <x:v>Medium-scale prospects</x:v>
      </x:c>
      <x:c r="J599" s="12" t="str">
        <x:v>Engineering &amp; manufacturing</x:v>
      </x:c>
      <x:c r="K599" s="2" t="str">
        <x:v>MAIN-216</x:v>
      </x:c>
    </x:row>
    <x:row r="600" ht="46" customHeight="1">
      <x:c r="A600" s="2" t="str">
        <x:v>TEN-5C5D346958F3</x:v>
      </x:c>
      <x:c r="B600" s="12" t="str">
        <x:v>CYGNUS DIGITAL ENGINEERING SERVICES</x:v>
      </x:c>
      <x:c r="C600" s="12" t="str">
        <x:v>CORP-0212</x:v>
      </x:c>
      <x:c r="D600" s="12" t="str">
        <x:v>Hyderabad</x:v>
      </x:c>
      <x:c r="E600" s="12" t="str">
        <x:v>Awfis - DSL Abacus IT Park</x:v>
      </x:c>
      <x:c r="F600" s="12" t="str">
        <x:v>32 inch LED TV</x:v>
      </x:c>
      <x:c r="G600" s="20" t="n">
        <x:v>2</x:v>
      </x:c>
      <x:c r="H600" s="12" t="str">
        <x:v>Inventory-listed building/workspace context; current occupancy and screen access unverified</x:v>
      </x:c>
      <x:c r="I600" s="12" t="str">
        <x:v>Medium-scale prospects</x:v>
      </x:c>
      <x:c r="J600" s="12" t="str">
        <x:v>Engineering &amp; manufacturing</x:v>
      </x:c>
      <x:c r="K600" s="2" t="str">
        <x:v>MAIN-216</x:v>
      </x:c>
    </x:row>
    <x:row r="601" ht="46" customHeight="1">
      <x:c r="A601" s="2" t="str">
        <x:v>TEN-60EAFC738403</x:v>
      </x:c>
      <x:c r="B601" s="12" t="str">
        <x:v>INFORMATICS INDIA PVT LTD</x:v>
      </x:c>
      <x:c r="C601" s="12" t="str">
        <x:v>CORP-0212</x:v>
      </x:c>
      <x:c r="D601" s="12" t="str">
        <x:v>Hyderabad</x:v>
      </x:c>
      <x:c r="E601" s="12" t="str">
        <x:v>Awfis - DSL Abacus IT Park</x:v>
      </x:c>
      <x:c r="F601" s="12" t="str">
        <x:v>32 inch LED TV</x:v>
      </x:c>
      <x:c r="G601" s="20" t="n">
        <x:v>2</x:v>
      </x:c>
      <x:c r="H601" s="12" t="str">
        <x:v>Inventory-listed building/workspace context; current occupancy and screen access unverified</x:v>
      </x:c>
      <x:c r="I601" s="12" t="str">
        <x:v>Mixed business audience</x:v>
      </x:c>
      <x:c r="J601" s="12" t="str">
        <x:v>Unresolved</x:v>
      </x:c>
      <x:c r="K601" s="2" t="str">
        <x:v>MAIN-216</x:v>
      </x:c>
    </x:row>
    <x:row r="602" ht="46" customHeight="1">
      <x:c r="A602" s="2" t="str">
        <x:v>TEN-705C0F9C3F03</x:v>
      </x:c>
      <x:c r="B602" s="12" t="str">
        <x:v>SOGNUTECHNOLOGIES PVT LTD</x:v>
      </x:c>
      <x:c r="C602" s="12" t="str">
        <x:v>CORP-0212</x:v>
      </x:c>
      <x:c r="D602" s="12" t="str">
        <x:v>Hyderabad</x:v>
      </x:c>
      <x:c r="E602" s="12" t="str">
        <x:v>Awfis - DSL Abacus IT Park</x:v>
      </x:c>
      <x:c r="F602" s="12" t="str">
        <x:v>32 inch LED TV</x:v>
      </x:c>
      <x:c r="G602" s="20" t="n">
        <x:v>2</x:v>
      </x:c>
      <x:c r="H602" s="12" t="str">
        <x:v>Inventory-listed building/workspace context; current occupancy and screen access unverified</x:v>
      </x:c>
      <x:c r="I602" s="12" t="str">
        <x:v>Mixed business audience</x:v>
      </x:c>
      <x:c r="J602" s="12" t="str">
        <x:v>Unresolved</x:v>
      </x:c>
      <x:c r="K602" s="2" t="str">
        <x:v>MAIN-216</x:v>
      </x:c>
    </x:row>
    <x:row r="603" ht="46" customHeight="1">
      <x:c r="A603" s="2" t="str">
        <x:v>TEN-990BC2BC88C9</x:v>
      </x:c>
      <x:c r="B603" s="12" t="str">
        <x:v>DIGILOGIC SYSTEM PVT LTD</x:v>
      </x:c>
      <x:c r="C603" s="12" t="str">
        <x:v>CORP-0212</x:v>
      </x:c>
      <x:c r="D603" s="12" t="str">
        <x:v>Hyderabad</x:v>
      </x:c>
      <x:c r="E603" s="12" t="str">
        <x:v>Awfis - DSL Abacus IT Park</x:v>
      </x:c>
      <x:c r="F603" s="12" t="str">
        <x:v>32 inch LED TV</x:v>
      </x:c>
      <x:c r="G603" s="20" t="n">
        <x:v>2</x:v>
      </x:c>
      <x:c r="H603" s="12" t="str">
        <x:v>Inventory-listed building/workspace context; current occupancy and screen access unverified</x:v>
      </x:c>
      <x:c r="I603" s="12" t="str">
        <x:v>Medium-scale prospects</x:v>
      </x:c>
      <x:c r="J603" s="12" t="str">
        <x:v>Engineering &amp; manufacturing</x:v>
      </x:c>
      <x:c r="K603" s="2" t="str">
        <x:v>MAIN-216</x:v>
      </x:c>
    </x:row>
    <x:row r="604" ht="46" customHeight="1">
      <x:c r="A604" s="2" t="str">
        <x:v>TEN-9F5A39E11E3A</x:v>
      </x:c>
      <x:c r="B604" s="12" t="str">
        <x:v>JMA WIRELESSPHAZR INDIA PVT LTD</x:v>
      </x:c>
      <x:c r="C604" s="12" t="str">
        <x:v>CORP-0212</x:v>
      </x:c>
      <x:c r="D604" s="12" t="str">
        <x:v>Hyderabad</x:v>
      </x:c>
      <x:c r="E604" s="12" t="str">
        <x:v>Awfis - DSL Abacus IT Park</x:v>
      </x:c>
      <x:c r="F604" s="12" t="str">
        <x:v>32 inch LED TV</x:v>
      </x:c>
      <x:c r="G604" s="20" t="n">
        <x:v>2</x:v>
      </x:c>
      <x:c r="H604" s="12" t="str">
        <x:v>Inventory-listed building/workspace context; current occupancy and screen access unverified</x:v>
      </x:c>
      <x:c r="I604" s="12" t="str">
        <x:v>Mixed business audience</x:v>
      </x:c>
      <x:c r="J604" s="12" t="str">
        <x:v>IT &amp; digital</x:v>
      </x:c>
      <x:c r="K604" s="2" t="str">
        <x:v>MAIN-216</x:v>
      </x:c>
    </x:row>
    <x:row r="605" ht="46" customHeight="1">
      <x:c r="A605" s="2" t="str">
        <x:v>TEN-AABA7A1D0419</x:v>
      </x:c>
      <x:c r="B605" s="12" t="str">
        <x:v>SKYWORTH INDIA ELECTRONICS PVT LTD</x:v>
      </x:c>
      <x:c r="C605" s="12" t="str">
        <x:v>CORP-0212</x:v>
      </x:c>
      <x:c r="D605" s="12" t="str">
        <x:v>Hyderabad</x:v>
      </x:c>
      <x:c r="E605" s="12" t="str">
        <x:v>Awfis - DSL Abacus IT Park</x:v>
      </x:c>
      <x:c r="F605" s="12" t="str">
        <x:v>32 inch LED TV</x:v>
      </x:c>
      <x:c r="G605" s="20" t="n">
        <x:v>2</x:v>
      </x:c>
      <x:c r="H605" s="12" t="str">
        <x:v>Inventory-listed building/workspace context; current occupancy and screen access unverified</x:v>
      </x:c>
      <x:c r="I605" s="12" t="str">
        <x:v>Mixed business audience</x:v>
      </x:c>
      <x:c r="J605" s="12" t="str">
        <x:v>Engineering &amp; manufacturing</x:v>
      </x:c>
      <x:c r="K605" s="2" t="str">
        <x:v>MAIN-216</x:v>
      </x:c>
    </x:row>
    <x:row r="606" ht="46" customHeight="1">
      <x:c r="A606" s="2" t="str">
        <x:v>TEN-B90FFE81C61A</x:v>
      </x:c>
      <x:c r="B606" s="12" t="str">
        <x:v>HRH NEXT SERVICES PVT LTD</x:v>
      </x:c>
      <x:c r="C606" s="12" t="str">
        <x:v>CORP-0212</x:v>
      </x:c>
      <x:c r="D606" s="12" t="str">
        <x:v>Hyderabad</x:v>
      </x:c>
      <x:c r="E606" s="12" t="str">
        <x:v>Awfis - DSL Abacus IT Park</x:v>
      </x:c>
      <x:c r="F606" s="12" t="str">
        <x:v>32 inch LED TV</x:v>
      </x:c>
      <x:c r="G606" s="20" t="n">
        <x:v>2</x:v>
      </x:c>
      <x:c r="H606" s="12" t="str">
        <x:v>Inventory-listed building/workspace context; current occupancy and screen access unverified</x:v>
      </x:c>
      <x:c r="I606" s="12" t="str">
        <x:v>Mixed business audience</x:v>
      </x:c>
      <x:c r="J606" s="12" t="str">
        <x:v>Unresolved</x:v>
      </x:c>
      <x:c r="K606" s="2" t="str">
        <x:v>MAIN-216</x:v>
      </x:c>
    </x:row>
    <x:row r="607" ht="46" customHeight="1">
      <x:c r="A607" s="2" t="str">
        <x:v>TEN-BCB13DC1344E</x:v>
      </x:c>
      <x:c r="B607" s="12" t="str">
        <x:v>INDOFIL INDUSTRIES LTD</x:v>
      </x:c>
      <x:c r="C607" s="12" t="str">
        <x:v>CORP-0212</x:v>
      </x:c>
      <x:c r="D607" s="12" t="str">
        <x:v>Hyderabad</x:v>
      </x:c>
      <x:c r="E607" s="12" t="str">
        <x:v>Awfis - DSL Abacus IT Park</x:v>
      </x:c>
      <x:c r="F607" s="12" t="str">
        <x:v>32 inch LED TV</x:v>
      </x:c>
      <x:c r="G607" s="20" t="n">
        <x:v>2</x:v>
      </x:c>
      <x:c r="H607" s="12" t="str">
        <x:v>Inventory-listed building/workspace context; current occupancy and screen access unverified</x:v>
      </x:c>
      <x:c r="I607" s="12" t="str">
        <x:v>Mixed business audience</x:v>
      </x:c>
      <x:c r="J607" s="12" t="str">
        <x:v>Engineering &amp; manufacturing</x:v>
      </x:c>
      <x:c r="K607" s="2" t="str">
        <x:v>MAIN-216</x:v>
      </x:c>
    </x:row>
    <x:row r="608" ht="46" customHeight="1">
      <x:c r="A608" s="2" t="str">
        <x:v>TEN-C3FC44005541</x:v>
      </x:c>
      <x:c r="B608" s="12" t="str">
        <x:v>ACUMENT IT SOLUTIONS</x:v>
      </x:c>
      <x:c r="C608" s="12" t="str">
        <x:v>CORP-0212</x:v>
      </x:c>
      <x:c r="D608" s="12" t="str">
        <x:v>Hyderabad</x:v>
      </x:c>
      <x:c r="E608" s="12" t="str">
        <x:v>Awfis - DSL Abacus IT Park</x:v>
      </x:c>
      <x:c r="F608" s="12" t="str">
        <x:v>32 inch LED TV</x:v>
      </x:c>
      <x:c r="G608" s="20" t="n">
        <x:v>2</x:v>
      </x:c>
      <x:c r="H608" s="12" t="str">
        <x:v>Inventory-listed building/workspace context; current occupancy and screen access unverified</x:v>
      </x:c>
      <x:c r="I608" s="12" t="str">
        <x:v>Small-scale prospects</x:v>
      </x:c>
      <x:c r="J608" s="12" t="str">
        <x:v>IT &amp; digital</x:v>
      </x:c>
      <x:c r="K608" s="2" t="str">
        <x:v>MAIN-216</x:v>
      </x:c>
    </x:row>
    <x:row r="609" ht="46" customHeight="1">
      <x:c r="A609" s="2" t="str">
        <x:v>TEN-E1CBD9AE574D</x:v>
      </x:c>
      <x:c r="B609" s="12" t="str">
        <x:v>INNOVATIONS PVT LTD</x:v>
      </x:c>
      <x:c r="C609" s="12" t="str">
        <x:v>CORP-0212</x:v>
      </x:c>
      <x:c r="D609" s="12" t="str">
        <x:v>Hyderabad</x:v>
      </x:c>
      <x:c r="E609" s="12" t="str">
        <x:v>Awfis - DSL Abacus IT Park</x:v>
      </x:c>
      <x:c r="F609" s="12" t="str">
        <x:v>32 inch LED TV</x:v>
      </x:c>
      <x:c r="G609" s="20" t="n">
        <x:v>2</x:v>
      </x:c>
      <x:c r="H609" s="12" t="str">
        <x:v>Inventory-listed building/workspace context; current occupancy and screen access unverified</x:v>
      </x:c>
      <x:c r="I609" s="12" t="str">
        <x:v>Mixed business audience</x:v>
      </x:c>
      <x:c r="J609" s="12" t="str">
        <x:v>Unresolved</x:v>
      </x:c>
      <x:c r="K609" s="2" t="str">
        <x:v>MAIN-216</x:v>
      </x:c>
    </x:row>
    <x:row r="610" ht="46" customHeight="1">
      <x:c r="A610" s="2" t="str">
        <x:v>TEN-F498E1746FB4</x:v>
      </x:c>
      <x:c r="B610" s="12" t="str">
        <x:v>SALIGRAM TECHNOLOGIES PVT LTD</x:v>
      </x:c>
      <x:c r="C610" s="12" t="str">
        <x:v>CORP-0212</x:v>
      </x:c>
      <x:c r="D610" s="12" t="str">
        <x:v>Hyderabad</x:v>
      </x:c>
      <x:c r="E610" s="12" t="str">
        <x:v>Awfis - DSL Abacus IT Park</x:v>
      </x:c>
      <x:c r="F610" s="12" t="str">
        <x:v>32 inch LED TV</x:v>
      </x:c>
      <x:c r="G610" s="20" t="n">
        <x:v>2</x:v>
      </x:c>
      <x:c r="H610" s="12" t="str">
        <x:v>Inventory-listed building/workspace context; current occupancy and screen access unverified</x:v>
      </x:c>
      <x:c r="I610" s="12" t="str">
        <x:v>Mixed business audience</x:v>
      </x:c>
      <x:c r="J610" s="12" t="str">
        <x:v>Unresolved</x:v>
      </x:c>
      <x:c r="K610" s="2" t="str">
        <x:v>MAIN-216</x:v>
      </x:c>
    </x:row>
    <x:row r="611" ht="46" customHeight="1">
      <x:c r="A611" s="2" t="str">
        <x:v>TEN-104332CE4C07</x:v>
      </x:c>
      <x:c r="B611" s="12" t="str">
        <x:v>Divimaxim</x:v>
      </x:c>
      <x:c r="C611" s="12" t="str">
        <x:v>CORP-0213</x:v>
      </x:c>
      <x:c r="D611" s="12" t="str">
        <x:v>Hyderabad</x:v>
      </x:c>
      <x:c r="E611" s="12" t="str">
        <x:v>Awfis - Hitech City 1st</x:v>
      </x:c>
      <x:c r="F611" s="12" t="str">
        <x:v>32 inch LED TV</x:v>
      </x:c>
      <x:c r="G611" s="20" t="n">
        <x:v>3</x:v>
      </x:c>
      <x:c r="H611" s="12" t="str">
        <x:v>Inventory-listed building/workspace context; current occupancy and screen access unverified</x:v>
      </x:c>
      <x:c r="I611" s="12" t="str">
        <x:v>Mixed business audience</x:v>
      </x:c>
      <x:c r="J611" s="12" t="str">
        <x:v>Unresolved</x:v>
      </x:c>
      <x:c r="K611" s="2" t="str">
        <x:v>MAIN-217</x:v>
      </x:c>
    </x:row>
    <x:row r="612" ht="46" customHeight="1">
      <x:c r="A612" s="2" t="str">
        <x:v>TEN-696EF014F52C</x:v>
      </x:c>
      <x:c r="B612" s="12" t="str">
        <x:v>neobric</x:v>
      </x:c>
      <x:c r="C612" s="12" t="str">
        <x:v>CORP-0213</x:v>
      </x:c>
      <x:c r="D612" s="12" t="str">
        <x:v>Hyderabad</x:v>
      </x:c>
      <x:c r="E612" s="12" t="str">
        <x:v>Awfis - Hitech City 1st</x:v>
      </x:c>
      <x:c r="F612" s="12" t="str">
        <x:v>32 inch LED TV</x:v>
      </x:c>
      <x:c r="G612" s="20" t="n">
        <x:v>3</x:v>
      </x:c>
      <x:c r="H612" s="12" t="str">
        <x:v>Inventory-listed building/workspace context; current occupancy and screen access unverified</x:v>
      </x:c>
      <x:c r="I612" s="12" t="str">
        <x:v>Mixed business audience</x:v>
      </x:c>
      <x:c r="J612" s="12" t="str">
        <x:v>Unresolved</x:v>
      </x:c>
      <x:c r="K612" s="2" t="str">
        <x:v>MAIN-217</x:v>
      </x:c>
    </x:row>
    <x:row r="613" ht="46" customHeight="1">
      <x:c r="A613" s="2" t="str">
        <x:v>TEN-897383DD281F</x:v>
      </x:c>
      <x:c r="B613" s="12" t="str">
        <x:v>dispatch track</x:v>
      </x:c>
      <x:c r="C613" s="12" t="str">
        <x:v>CORP-0213</x:v>
      </x:c>
      <x:c r="D613" s="12" t="str">
        <x:v>Hyderabad</x:v>
      </x:c>
      <x:c r="E613" s="12" t="str">
        <x:v>Awfis - Hitech City 1st</x:v>
      </x:c>
      <x:c r="F613" s="12" t="str">
        <x:v>32 inch LED TV</x:v>
      </x:c>
      <x:c r="G613" s="20" t="n">
        <x:v>3</x:v>
      </x:c>
      <x:c r="H613" s="12" t="str">
        <x:v>Inventory-listed building/workspace context; current occupancy and screen access unverified</x:v>
      </x:c>
      <x:c r="I613" s="12" t="str">
        <x:v>Small-scale prospects</x:v>
      </x:c>
      <x:c r="J613" s="12" t="str">
        <x:v>IT &amp; digital</x:v>
      </x:c>
      <x:c r="K613" s="2" t="str">
        <x:v>MAIN-217</x:v>
      </x:c>
    </x:row>
    <x:row r="614" ht="46" customHeight="1">
      <x:c r="A614" s="2" t="str">
        <x:v>TEN-B8E6D97935CA</x:v>
      </x:c>
      <x:c r="B614" s="12" t="str">
        <x:v>cloud angles</x:v>
      </x:c>
      <x:c r="C614" s="12" t="str">
        <x:v>CORP-0213</x:v>
      </x:c>
      <x:c r="D614" s="12" t="str">
        <x:v>Hyderabad</x:v>
      </x:c>
      <x:c r="E614" s="12" t="str">
        <x:v>Awfis - Hitech City 1st</x:v>
      </x:c>
      <x:c r="F614" s="12" t="str">
        <x:v>32 inch LED TV</x:v>
      </x:c>
      <x:c r="G614" s="20" t="n">
        <x:v>3</x:v>
      </x:c>
      <x:c r="H614" s="12" t="str">
        <x:v>Inventory-listed building/workspace context; current occupancy and screen access unverified</x:v>
      </x:c>
      <x:c r="I614" s="12" t="str">
        <x:v>Small-scale prospects</x:v>
      </x:c>
      <x:c r="J614" s="12" t="str">
        <x:v>IT &amp; digital</x:v>
      </x:c>
      <x:c r="K614" s="2" t="str">
        <x:v>MAIN-217</x:v>
      </x:c>
    </x:row>
    <x:row r="615" ht="46" customHeight="1">
      <x:c r="A615" s="2" t="str">
        <x:v>TEN-DE3D6001F138</x:v>
      </x:c>
      <x:c r="B615" s="12" t="str">
        <x:v>sun positive</x:v>
      </x:c>
      <x:c r="C615" s="12" t="str">
        <x:v>CORP-0213</x:v>
      </x:c>
      <x:c r="D615" s="12" t="str">
        <x:v>Hyderabad</x:v>
      </x:c>
      <x:c r="E615" s="12" t="str">
        <x:v>Awfis - Hitech City 1st</x:v>
      </x:c>
      <x:c r="F615" s="12" t="str">
        <x:v>32 inch LED TV</x:v>
      </x:c>
      <x:c r="G615" s="20" t="n">
        <x:v>3</x:v>
      </x:c>
      <x:c r="H615" s="12" t="str">
        <x:v>Inventory-listed building/workspace context; current occupancy and screen access unverified</x:v>
      </x:c>
      <x:c r="I615" s="12" t="str">
        <x:v>Mixed business audience</x:v>
      </x:c>
      <x:c r="J615" s="12" t="str">
        <x:v>Unresolved</x:v>
      </x:c>
      <x:c r="K615" s="2" t="str">
        <x:v>MAIN-217</x:v>
      </x:c>
    </x:row>
    <x:row r="616" ht="46" customHeight="1">
      <x:c r="A616" s="2" t="str">
        <x:v>TEN-1060001425BF</x:v>
      </x:c>
      <x:c r="B616" s="12" t="str">
        <x:v>Glass free life</x:v>
      </x:c>
      <x:c r="C616" s="12" t="str">
        <x:v>CORP-0214</x:v>
      </x:c>
      <x:c r="D616" s="12" t="str">
        <x:v>Hyderabad</x:v>
      </x:c>
      <x:c r="E616" s="12" t="str">
        <x:v>Awfis - Hitech City 4th</x:v>
      </x:c>
      <x:c r="F616" s="12" t="str">
        <x:v>32 inch LED TV</x:v>
      </x:c>
      <x:c r="G616" s="20" t="n">
        <x:v>3</x:v>
      </x:c>
      <x:c r="H616" s="12" t="str">
        <x:v>Inventory-listed building/workspace context; current occupancy and screen access unverified</x:v>
      </x:c>
      <x:c r="I616" s="12" t="str">
        <x:v>Mixed business audience</x:v>
      </x:c>
      <x:c r="J616" s="12" t="str">
        <x:v>Unresolved</x:v>
      </x:c>
      <x:c r="K616" s="2" t="str">
        <x:v>MAIN-218</x:v>
      </x:c>
    </x:row>
    <x:row r="617" ht="46" customHeight="1">
      <x:c r="A617" s="2" t="str">
        <x:v>TEN-26EB931B4D24</x:v>
      </x:c>
      <x:c r="B617" s="12" t="str">
        <x:v>Stratmed</x:v>
      </x:c>
      <x:c r="C617" s="12" t="str">
        <x:v>CORP-0214</x:v>
      </x:c>
      <x:c r="D617" s="12" t="str">
        <x:v>Hyderabad</x:v>
      </x:c>
      <x:c r="E617" s="12" t="str">
        <x:v>Awfis - Hitech City 4th</x:v>
      </x:c>
      <x:c r="F617" s="12" t="str">
        <x:v>32 inch LED TV</x:v>
      </x:c>
      <x:c r="G617" s="20" t="n">
        <x:v>3</x:v>
      </x:c>
      <x:c r="H617" s="12" t="str">
        <x:v>Inventory-listed building/workspace context; current occupancy and screen access unverified</x:v>
      </x:c>
      <x:c r="I617" s="12" t="str">
        <x:v>Medium-scale prospects</x:v>
      </x:c>
      <x:c r="J617" s="12" t="str">
        <x:v>Healthcare &amp; life sciences</x:v>
      </x:c>
      <x:c r="K617" s="2" t="str">
        <x:v>MAIN-218</x:v>
      </x:c>
    </x:row>
    <x:row r="618" ht="46" customHeight="1">
      <x:c r="A618" s="2" t="str">
        <x:v>TEN-4421EF3FD27F</x:v>
      </x:c>
      <x:c r="B618" s="12" t="str">
        <x:v>technominds</x:v>
      </x:c>
      <x:c r="C618" s="12" t="str">
        <x:v>CORP-0214</x:v>
      </x:c>
      <x:c r="D618" s="12" t="str">
        <x:v>Hyderabad</x:v>
      </x:c>
      <x:c r="E618" s="12" t="str">
        <x:v>Awfis - Hitech City 4th</x:v>
      </x:c>
      <x:c r="F618" s="12" t="str">
        <x:v>32 inch LED TV</x:v>
      </x:c>
      <x:c r="G618" s="20" t="n">
        <x:v>3</x:v>
      </x:c>
      <x:c r="H618" s="12" t="str">
        <x:v>Inventory-listed building/workspace context; current occupancy and screen access unverified</x:v>
      </x:c>
      <x:c r="I618" s="12" t="str">
        <x:v>Mixed business audience</x:v>
      </x:c>
      <x:c r="J618" s="12" t="str">
        <x:v>Unresolved</x:v>
      </x:c>
      <x:c r="K618" s="2" t="str">
        <x:v>MAIN-218</x:v>
      </x:c>
    </x:row>
    <x:row r="619" ht="46" customHeight="1">
      <x:c r="A619" s="2" t="str">
        <x:v>TEN-7BD90F1535C8</x:v>
      </x:c>
      <x:c r="B619" s="12" t="str">
        <x:v>archents</x:v>
      </x:c>
      <x:c r="C619" s="12" t="str">
        <x:v>CORP-0214</x:v>
      </x:c>
      <x:c r="D619" s="12" t="str">
        <x:v>Hyderabad</x:v>
      </x:c>
      <x:c r="E619" s="12" t="str">
        <x:v>Awfis - Hitech City 4th</x:v>
      </x:c>
      <x:c r="F619" s="12" t="str">
        <x:v>32 inch LED TV</x:v>
      </x:c>
      <x:c r="G619" s="20" t="n">
        <x:v>3</x:v>
      </x:c>
      <x:c r="H619" s="12" t="str">
        <x:v>Inventory-listed building/workspace context; current occupancy and screen access unverified</x:v>
      </x:c>
      <x:c r="I619" s="12" t="str">
        <x:v>Mixed business audience</x:v>
      </x:c>
      <x:c r="J619" s="12" t="str">
        <x:v>Unresolved</x:v>
      </x:c>
      <x:c r="K619" s="2" t="str">
        <x:v>MAIN-218</x:v>
      </x:c>
    </x:row>
    <x:row r="620" ht="46" customHeight="1">
      <x:c r="A620" s="2" t="str">
        <x:v>TEN-7FBD858E7FC7</x:v>
      </x:c>
      <x:c r="B620" s="12" t="str">
        <x:v>Celzene</x:v>
      </x:c>
      <x:c r="C620" s="12" t="str">
        <x:v>CORP-0214</x:v>
      </x:c>
      <x:c r="D620" s="12" t="str">
        <x:v>Hyderabad</x:v>
      </x:c>
      <x:c r="E620" s="12" t="str">
        <x:v>Awfis - Hitech City 4th</x:v>
      </x:c>
      <x:c r="F620" s="12" t="str">
        <x:v>32 inch LED TV</x:v>
      </x:c>
      <x:c r="G620" s="20" t="n">
        <x:v>3</x:v>
      </x:c>
      <x:c r="H620" s="12" t="str">
        <x:v>Inventory-listed building/workspace context; current occupancy and screen access unverified</x:v>
      </x:c>
      <x:c r="I620" s="12" t="str">
        <x:v>Mixed business audience</x:v>
      </x:c>
      <x:c r="J620" s="12" t="str">
        <x:v>Unresolved</x:v>
      </x:c>
      <x:c r="K620" s="2" t="str">
        <x:v>MAIN-218</x:v>
      </x:c>
    </x:row>
    <x:row r="621" ht="46" customHeight="1">
      <x:c r="A621" s="2" t="str">
        <x:v>TEN-D39F51DEE522</x:v>
      </x:c>
      <x:c r="B621" s="12" t="str">
        <x:v>servo icon</x:v>
      </x:c>
      <x:c r="C621" s="12" t="str">
        <x:v>CORP-0214</x:v>
      </x:c>
      <x:c r="D621" s="12" t="str">
        <x:v>Hyderabad</x:v>
      </x:c>
      <x:c r="E621" s="12" t="str">
        <x:v>Awfis - Hitech City 4th</x:v>
      </x:c>
      <x:c r="F621" s="12" t="str">
        <x:v>32 inch LED TV</x:v>
      </x:c>
      <x:c r="G621" s="20" t="n">
        <x:v>3</x:v>
      </x:c>
      <x:c r="H621" s="12" t="str">
        <x:v>Inventory-listed building/workspace context; current occupancy and screen access unverified</x:v>
      </x:c>
      <x:c r="I621" s="12" t="str">
        <x:v>Mixed business audience</x:v>
      </x:c>
      <x:c r="J621" s="12" t="str">
        <x:v>Unresolved</x:v>
      </x:c>
      <x:c r="K621" s="2" t="str">
        <x:v>MAIN-218</x:v>
      </x:c>
    </x:row>
    <x:row r="622" ht="46" customHeight="1">
      <x:c r="A622" s="2" t="str">
        <x:v>TEN-3EF1EF17F0B1</x:v>
      </x:c>
      <x:c r="B622" s="12" t="str">
        <x:v>Worl Immigration Consultants</x:v>
      </x:c>
      <x:c r="C622" s="12" t="str">
        <x:v>CORP-0215</x:v>
      </x:c>
      <x:c r="D622" s="12" t="str">
        <x:v>Hyderabad</x:v>
      </x:c>
      <x:c r="E622" s="12" t="str">
        <x:v>Awfis - Hitech City 6th</x:v>
      </x:c>
      <x:c r="F622" s="12" t="str">
        <x:v>32 inch LED TV</x:v>
      </x:c>
      <x:c r="G622" s="20" t="n">
        <x:v>2</x:v>
      </x:c>
      <x:c r="H622" s="12" t="str">
        <x:v>Inventory-listed building/workspace context; current occupancy and screen access unverified</x:v>
      </x:c>
      <x:c r="I622" s="12" t="str">
        <x:v>Small-scale prospects</x:v>
      </x:c>
      <x:c r="J622" s="12" t="str">
        <x:v>Professional services</x:v>
      </x:c>
      <x:c r="K622" s="2" t="str">
        <x:v>MAIN-219</x:v>
      </x:c>
    </x:row>
    <x:row r="623" ht="46" customHeight="1">
      <x:c r="A623" s="2" t="str">
        <x:v>TEN-41ACC4C416AA</x:v>
      </x:c>
      <x:c r="B623" s="12" t="str">
        <x:v>Whiteoak Capital Group</x:v>
      </x:c>
      <x:c r="C623" s="12" t="str">
        <x:v>CORP-0215</x:v>
      </x:c>
      <x:c r="D623" s="12" t="str">
        <x:v>Hyderabad</x:v>
      </x:c>
      <x:c r="E623" s="12" t="str">
        <x:v>Awfis - Hitech City 6th</x:v>
      </x:c>
      <x:c r="F623" s="12" t="str">
        <x:v>32 inch LED TV</x:v>
      </x:c>
      <x:c r="G623" s="20" t="n">
        <x:v>2</x:v>
      </x:c>
      <x:c r="H623" s="12" t="str">
        <x:v>Inventory-listed building/workspace context; current occupancy and screen access unverified</x:v>
      </x:c>
      <x:c r="I623" s="12" t="str">
        <x:v>Mixed business audience</x:v>
      </x:c>
      <x:c r="J623" s="12" t="str">
        <x:v>Finance &amp; insurance</x:v>
      </x:c>
      <x:c r="K623" s="2" t="str">
        <x:v>MAIN-219</x:v>
      </x:c>
    </x:row>
    <x:row r="624" ht="46" customHeight="1">
      <x:c r="A624" s="2" t="str">
        <x:v>TEN-498CDFB360D3</x:v>
      </x:c>
      <x:c r="B624" s="12" t="str">
        <x:v>carbanio</x:v>
      </x:c>
      <x:c r="C624" s="12" t="str">
        <x:v>CORP-0215</x:v>
      </x:c>
      <x:c r="D624" s="12" t="str">
        <x:v>Hyderabad</x:v>
      </x:c>
      <x:c r="E624" s="12" t="str">
        <x:v>Awfis - Hitech City 6th</x:v>
      </x:c>
      <x:c r="F624" s="12" t="str">
        <x:v>32 inch LED TV</x:v>
      </x:c>
      <x:c r="G624" s="20" t="n">
        <x:v>2</x:v>
      </x:c>
      <x:c r="H624" s="12" t="str">
        <x:v>Inventory-listed building/workspace context; current occupancy and screen access unverified</x:v>
      </x:c>
      <x:c r="I624" s="12" t="str">
        <x:v>Mixed business audience</x:v>
      </x:c>
      <x:c r="J624" s="12" t="str">
        <x:v>Unresolved</x:v>
      </x:c>
      <x:c r="K624" s="2" t="str">
        <x:v>MAIN-219</x:v>
      </x:c>
    </x:row>
    <x:row r="625" ht="46" customHeight="1">
      <x:c r="A625" s="2" t="str">
        <x:v>TEN-7CDCC156D8FE</x:v>
      </x:c>
      <x:c r="B625" s="12" t="str">
        <x:v>Visamint overseas service</x:v>
      </x:c>
      <x:c r="C625" s="12" t="str">
        <x:v>CORP-0215</x:v>
      </x:c>
      <x:c r="D625" s="12" t="str">
        <x:v>Hyderabad</x:v>
      </x:c>
      <x:c r="E625" s="12" t="str">
        <x:v>Awfis - Hitech City 6th</x:v>
      </x:c>
      <x:c r="F625" s="12" t="str">
        <x:v>32 inch LED TV</x:v>
      </x:c>
      <x:c r="G625" s="20" t="n">
        <x:v>2</x:v>
      </x:c>
      <x:c r="H625" s="12" t="str">
        <x:v>Inventory-listed building/workspace context; current occupancy and screen access unverified</x:v>
      </x:c>
      <x:c r="I625" s="12" t="str">
        <x:v>Small-scale prospects</x:v>
      </x:c>
      <x:c r="J625" s="12" t="str">
        <x:v>Professional services</x:v>
      </x:c>
      <x:c r="K625" s="2" t="str">
        <x:v>MAIN-219</x:v>
      </x:c>
    </x:row>
    <x:row r="626" ht="46" customHeight="1">
      <x:c r="A626" s="2" t="str">
        <x:v>TEN-9299DB4A2A77</x:v>
      </x:c>
      <x:c r="B626" s="12" t="str">
        <x:v>Life Overseas Career</x:v>
      </x:c>
      <x:c r="C626" s="12" t="str">
        <x:v>CORP-0215</x:v>
      </x:c>
      <x:c r="D626" s="12" t="str">
        <x:v>Hyderabad</x:v>
      </x:c>
      <x:c r="E626" s="12" t="str">
        <x:v>Awfis - Hitech City 6th</x:v>
      </x:c>
      <x:c r="F626" s="12" t="str">
        <x:v>32 inch LED TV</x:v>
      </x:c>
      <x:c r="G626" s="20" t="n">
        <x:v>2</x:v>
      </x:c>
      <x:c r="H626" s="12" t="str">
        <x:v>Inventory-listed building/workspace context; current occupancy and screen access unverified</x:v>
      </x:c>
      <x:c r="I626" s="12" t="str">
        <x:v>Small-scale prospects</x:v>
      </x:c>
      <x:c r="J626" s="12" t="str">
        <x:v>Professional services</x:v>
      </x:c>
      <x:c r="K626" s="2" t="str">
        <x:v>MAIN-219</x:v>
      </x:c>
    </x:row>
    <x:row r="627" ht="46" customHeight="1">
      <x:c r="A627" s="2" t="str">
        <x:v>TEN-B608E2C75AC8</x:v>
      </x:c>
      <x:c r="B627" s="12" t="str">
        <x:v>Piramal Swasthya</x:v>
      </x:c>
      <x:c r="C627" s="12" t="str">
        <x:v>CORP-0215</x:v>
      </x:c>
      <x:c r="D627" s="12" t="str">
        <x:v>Hyderabad</x:v>
      </x:c>
      <x:c r="E627" s="12" t="str">
        <x:v>Awfis - Hitech City 6th</x:v>
      </x:c>
      <x:c r="F627" s="12" t="str">
        <x:v>32 inch LED TV</x:v>
      </x:c>
      <x:c r="G627" s="20" t="n">
        <x:v>2</x:v>
      </x:c>
      <x:c r="H627" s="12" t="str">
        <x:v>Inventory-listed building/workspace context; current occupancy and screen access unverified</x:v>
      </x:c>
      <x:c r="I627" s="12" t="str">
        <x:v>Mixed business audience</x:v>
      </x:c>
      <x:c r="J627" s="12" t="str">
        <x:v>Healthcare &amp; life sciences</x:v>
      </x:c>
      <x:c r="K627" s="2" t="str">
        <x:v>MAIN-219</x:v>
      </x:c>
    </x:row>
    <x:row r="628" ht="46" customHeight="1">
      <x:c r="A628" s="2" t="str">
        <x:v>TEN-BC81BE6A17D3</x:v>
      </x:c>
      <x:c r="B628" s="12" t="str">
        <x:v>Madduri IT services</x:v>
      </x:c>
      <x:c r="C628" s="12" t="str">
        <x:v>CORP-0215</x:v>
      </x:c>
      <x:c r="D628" s="12" t="str">
        <x:v>Hyderabad</x:v>
      </x:c>
      <x:c r="E628" s="12" t="str">
        <x:v>Awfis - Hitech City 6th</x:v>
      </x:c>
      <x:c r="F628" s="12" t="str">
        <x:v>32 inch LED TV</x:v>
      </x:c>
      <x:c r="G628" s="20" t="n">
        <x:v>2</x:v>
      </x:c>
      <x:c r="H628" s="12" t="str">
        <x:v>Inventory-listed building/workspace context; current occupancy and screen access unverified</x:v>
      </x:c>
      <x:c r="I628" s="12" t="str">
        <x:v>Small-scale prospects</x:v>
      </x:c>
      <x:c r="J628" s="12" t="str">
        <x:v>IT &amp; digital</x:v>
      </x:c>
      <x:c r="K628" s="2" t="str">
        <x:v>MAIN-219</x:v>
      </x:c>
    </x:row>
    <x:row r="629" ht="46" customHeight="1">
      <x:c r="A629" s="2" t="str">
        <x:v>TEN-C525AC6A72A0</x:v>
      </x:c>
      <x:c r="B629" s="12" t="str">
        <x:v>Mahindra Logistics</x:v>
      </x:c>
      <x:c r="C629" s="12" t="str">
        <x:v>CORP-0215</x:v>
      </x:c>
      <x:c r="D629" s="12" t="str">
        <x:v>Hyderabad</x:v>
      </x:c>
      <x:c r="E629" s="12" t="str">
        <x:v>Awfis - Hitech City 6th</x:v>
      </x:c>
      <x:c r="F629" s="12" t="str">
        <x:v>32 inch LED TV</x:v>
      </x:c>
      <x:c r="G629" s="20" t="n">
        <x:v>2</x:v>
      </x:c>
      <x:c r="H629" s="12" t="str">
        <x:v>Inventory-listed building/workspace context; current occupancy and screen access unverified</x:v>
      </x:c>
      <x:c r="I629" s="12" t="str">
        <x:v>Large enterprise</x:v>
      </x:c>
      <x:c r="J629" s="12" t="str">
        <x:v>Trade, consumer &amp; logistics</x:v>
      </x:c>
      <x:c r="K629" s="2" t="str">
        <x:v>MAIN-219</x:v>
      </x:c>
    </x:row>
    <x:row r="630" ht="46" customHeight="1">
      <x:c r="A630" s="2" t="str">
        <x:v>TEN-DD342226D88C</x:v>
      </x:c>
      <x:c r="B630" s="12" t="str">
        <x:v>Migration Standards</x:v>
      </x:c>
      <x:c r="C630" s="12" t="str">
        <x:v>CORP-0215</x:v>
      </x:c>
      <x:c r="D630" s="12" t="str">
        <x:v>Hyderabad</x:v>
      </x:c>
      <x:c r="E630" s="12" t="str">
        <x:v>Awfis - Hitech City 6th</x:v>
      </x:c>
      <x:c r="F630" s="12" t="str">
        <x:v>32 inch LED TV</x:v>
      </x:c>
      <x:c r="G630" s="20" t="n">
        <x:v>2</x:v>
      </x:c>
      <x:c r="H630" s="12" t="str">
        <x:v>Inventory-listed building/workspace context; current occupancy and screen access unverified</x:v>
      </x:c>
      <x:c r="I630" s="12" t="str">
        <x:v>Small-scale prospects</x:v>
      </x:c>
      <x:c r="J630" s="12" t="str">
        <x:v>Professional services</x:v>
      </x:c>
      <x:c r="K630" s="2" t="str">
        <x:v>MAIN-219</x:v>
      </x:c>
    </x:row>
    <x:row r="631" ht="46" customHeight="1">
      <x:c r="A631" s="2" t="str">
        <x:v>TEN-F245DCACA3B9</x:v>
      </x:c>
      <x:c r="B631" s="12" t="str">
        <x:v>Fund Insiight Investment</x:v>
      </x:c>
      <x:c r="C631" s="12" t="str">
        <x:v>CORP-0215</x:v>
      </x:c>
      <x:c r="D631" s="12" t="str">
        <x:v>Hyderabad</x:v>
      </x:c>
      <x:c r="E631" s="12" t="str">
        <x:v>Awfis - Hitech City 6th</x:v>
      </x:c>
      <x:c r="F631" s="12" t="str">
        <x:v>32 inch LED TV</x:v>
      </x:c>
      <x:c r="G631" s="20" t="n">
        <x:v>2</x:v>
      </x:c>
      <x:c r="H631" s="12" t="str">
        <x:v>Inventory-listed building/workspace context; current occupancy and screen access unverified</x:v>
      </x:c>
      <x:c r="I631" s="12" t="str">
        <x:v>Medium-scale prospects</x:v>
      </x:c>
      <x:c r="J631" s="12" t="str">
        <x:v>Finance &amp; insurance</x:v>
      </x:c>
      <x:c r="K631" s="2" t="str">
        <x:v>MAIN-219</x:v>
      </x:c>
    </x:row>
    <x:row r="632" ht="46" customHeight="1">
      <x:c r="A632" s="2" t="str">
        <x:v>TEN-F6797F6E5637</x:v>
      </x:c>
      <x:c r="B632" s="12" t="str">
        <x:v>iRich</x:v>
      </x:c>
      <x:c r="C632" s="12" t="str">
        <x:v>CORP-0215</x:v>
      </x:c>
      <x:c r="D632" s="12" t="str">
        <x:v>Hyderabad</x:v>
      </x:c>
      <x:c r="E632" s="12" t="str">
        <x:v>Awfis - Hitech City 6th</x:v>
      </x:c>
      <x:c r="F632" s="12" t="str">
        <x:v>32 inch LED TV</x:v>
      </x:c>
      <x:c r="G632" s="20" t="n">
        <x:v>2</x:v>
      </x:c>
      <x:c r="H632" s="12" t="str">
        <x:v>Inventory-listed building/workspace context; current occupancy and screen access unverified</x:v>
      </x:c>
      <x:c r="I632" s="12" t="str">
        <x:v>Mixed business audience</x:v>
      </x:c>
      <x:c r="J632" s="12" t="str">
        <x:v>Unresolved</x:v>
      </x:c>
      <x:c r="K632" s="2" t="str">
        <x:v>MAIN-219</x:v>
      </x:c>
    </x:row>
    <x:row r="633" ht="46" customHeight="1">
      <x:c r="A633" s="2" t="str">
        <x:v>TEN-2154BACB4876</x:v>
      </x:c>
      <x:c r="B633" s="12" t="str">
        <x:v>Cubic logic</x:v>
      </x:c>
      <x:c r="C633" s="12" t="str">
        <x:v>CORP-0018</x:v>
      </x:c>
      <x:c r="D633" s="12" t="str">
        <x:v>Bengaluru</x:v>
      </x:c>
      <x:c r="E633" s="12" t="str">
        <x:v>Awfis - Residency Road</x:v>
      </x:c>
      <x:c r="F633" s="12" t="str">
        <x:v>32 inch LED TV</x:v>
      </x:c>
      <x:c r="G633" s="20" t="n">
        <x:v>2</x:v>
      </x:c>
      <x:c r="H633" s="12" t="str">
        <x:v>Inventory-listed building/workspace context; current occupancy and screen access unverified</x:v>
      </x:c>
      <x:c r="I633" s="12" t="str">
        <x:v>Small-scale prospects</x:v>
      </x:c>
      <x:c r="J633" s="12" t="str">
        <x:v>IT &amp; digital</x:v>
      </x:c>
      <x:c r="K633" s="2" t="str">
        <x:v>MAIN-022</x:v>
      </x:c>
    </x:row>
    <x:row r="634" ht="46" customHeight="1">
      <x:c r="A634" s="2" t="str">
        <x:v>TEN-2A043F714A5D</x:v>
      </x:c>
      <x:c r="B634" s="12" t="str">
        <x:v>Acalvio technlogies</x:v>
      </x:c>
      <x:c r="C634" s="12" t="str">
        <x:v>CORP-0018</x:v>
      </x:c>
      <x:c r="D634" s="12" t="str">
        <x:v>Bengaluru</x:v>
      </x:c>
      <x:c r="E634" s="12" t="str">
        <x:v>Awfis - Residency Road</x:v>
      </x:c>
      <x:c r="F634" s="12" t="str">
        <x:v>32 inch LED TV</x:v>
      </x:c>
      <x:c r="G634" s="20" t="n">
        <x:v>2</x:v>
      </x:c>
      <x:c r="H634" s="12" t="str">
        <x:v>Inventory-listed building/workspace context; current occupancy and screen access unverified</x:v>
      </x:c>
      <x:c r="I634" s="12" t="str">
        <x:v>Small-scale prospects</x:v>
      </x:c>
      <x:c r="J634" s="12" t="str">
        <x:v>IT &amp; digital</x:v>
      </x:c>
      <x:c r="K634" s="2" t="str">
        <x:v>MAIN-022</x:v>
      </x:c>
    </x:row>
    <x:row r="635" ht="46" customHeight="1">
      <x:c r="A635" s="2" t="str">
        <x:v>TEN-38F159E0F563</x:v>
      </x:c>
      <x:c r="B635" s="12" t="str">
        <x:v>We sure</x:v>
      </x:c>
      <x:c r="C635" s="12" t="str">
        <x:v>CORP-0018</x:v>
      </x:c>
      <x:c r="D635" s="12" t="str">
        <x:v>Bengaluru</x:v>
      </x:c>
      <x:c r="E635" s="12" t="str">
        <x:v>Awfis - Residency Road</x:v>
      </x:c>
      <x:c r="F635" s="12" t="str">
        <x:v>32 inch LED TV</x:v>
      </x:c>
      <x:c r="G635" s="20" t="n">
        <x:v>2</x:v>
      </x:c>
      <x:c r="H635" s="12" t="str">
        <x:v>Inventory-listed building/workspace context; current occupancy and screen access unverified</x:v>
      </x:c>
      <x:c r="I635" s="12" t="str">
        <x:v>Mixed business audience</x:v>
      </x:c>
      <x:c r="J635" s="12" t="str">
        <x:v>Unresolved</x:v>
      </x:c>
      <x:c r="K635" s="2" t="str">
        <x:v>MAIN-022</x:v>
      </x:c>
    </x:row>
    <x:row r="636" ht="46" customHeight="1">
      <x:c r="A636" s="2" t="str">
        <x:v>TEN-789152CEB14A</x:v>
      </x:c>
      <x:c r="B636" s="12" t="str">
        <x:v>Msh</x:v>
      </x:c>
      <x:c r="C636" s="12" t="str">
        <x:v>CORP-0018</x:v>
      </x:c>
      <x:c r="D636" s="12" t="str">
        <x:v>Bengaluru</x:v>
      </x:c>
      <x:c r="E636" s="12" t="str">
        <x:v>Awfis - Residency Road</x:v>
      </x:c>
      <x:c r="F636" s="12" t="str">
        <x:v>32 inch LED TV</x:v>
      </x:c>
      <x:c r="G636" s="20" t="n">
        <x:v>2</x:v>
      </x:c>
      <x:c r="H636" s="12" t="str">
        <x:v>Inventory-listed building/workspace context; current occupancy and screen access unverified</x:v>
      </x:c>
      <x:c r="I636" s="12" t="str">
        <x:v>Mixed business audience</x:v>
      </x:c>
      <x:c r="J636" s="12" t="str">
        <x:v>Unresolved</x:v>
      </x:c>
      <x:c r="K636" s="2" t="str">
        <x:v>MAIN-022</x:v>
      </x:c>
    </x:row>
    <x:row r="637" ht="46" customHeight="1">
      <x:c r="A637" s="2" t="str">
        <x:v>TEN-9798C1F06070</x:v>
      </x:c>
      <x:c r="B637" s="12" t="str">
        <x:v>EF informstion systems</x:v>
      </x:c>
      <x:c r="C637" s="12" t="str">
        <x:v>CORP-0018</x:v>
      </x:c>
      <x:c r="D637" s="12" t="str">
        <x:v>Bengaluru</x:v>
      </x:c>
      <x:c r="E637" s="12" t="str">
        <x:v>Awfis - Residency Road</x:v>
      </x:c>
      <x:c r="F637" s="12" t="str">
        <x:v>32 inch LED TV</x:v>
      </x:c>
      <x:c r="G637" s="20" t="n">
        <x:v>2</x:v>
      </x:c>
      <x:c r="H637" s="12" t="str">
        <x:v>Inventory-listed building/workspace context; current occupancy and screen access unverified</x:v>
      </x:c>
      <x:c r="I637" s="12" t="str">
        <x:v>Mixed business audience</x:v>
      </x:c>
      <x:c r="J637" s="12" t="str">
        <x:v>Unresolved</x:v>
      </x:c>
      <x:c r="K637" s="2" t="str">
        <x:v>MAIN-022</x:v>
      </x:c>
    </x:row>
    <x:row r="638" ht="46" customHeight="1">
      <x:c r="A638" s="2" t="str">
        <x:v>TEN-CBF7D0A12825</x:v>
      </x:c>
      <x:c r="B638" s="12" t="str">
        <x:v>Sodexo</x:v>
      </x:c>
      <x:c r="C638" s="12" t="str">
        <x:v>CORP-0018</x:v>
      </x:c>
      <x:c r="D638" s="12" t="str">
        <x:v>Bengaluru</x:v>
      </x:c>
      <x:c r="E638" s="12" t="str">
        <x:v>Awfis - Residency Road</x:v>
      </x:c>
      <x:c r="F638" s="12" t="str">
        <x:v>32 inch LED TV</x:v>
      </x:c>
      <x:c r="G638" s="20" t="n">
        <x:v>2</x:v>
      </x:c>
      <x:c r="H638" s="12" t="str">
        <x:v>Inventory-listed building/workspace context; current occupancy and screen access unverified</x:v>
      </x:c>
      <x:c r="I638" s="12" t="str">
        <x:v>Large enterprise</x:v>
      </x:c>
      <x:c r="J638" s="12" t="str">
        <x:v>Trade, consumer &amp; logistics</x:v>
      </x:c>
      <x:c r="K638" s="2" t="str">
        <x:v>MAIN-022</x:v>
      </x:c>
    </x:row>
    <x:row r="639" ht="46" customHeight="1">
      <x:c r="A639" s="2" t="str">
        <x:v>TEN-D898066E6A61</x:v>
      </x:c>
      <x:c r="B639" s="12" t="str">
        <x:v>Kontoor</x:v>
      </x:c>
      <x:c r="C639" s="12" t="str">
        <x:v>CORP-0018</x:v>
      </x:c>
      <x:c r="D639" s="12" t="str">
        <x:v>Bengaluru</x:v>
      </x:c>
      <x:c r="E639" s="12" t="str">
        <x:v>Awfis - Residency Road</x:v>
      </x:c>
      <x:c r="F639" s="12" t="str">
        <x:v>32 inch LED TV</x:v>
      </x:c>
      <x:c r="G639" s="20" t="n">
        <x:v>2</x:v>
      </x:c>
      <x:c r="H639" s="12" t="str">
        <x:v>Inventory-listed building/workspace context; current occupancy and screen access unverified</x:v>
      </x:c>
      <x:c r="I639" s="12" t="str">
        <x:v>Mixed business audience</x:v>
      </x:c>
      <x:c r="J639" s="12" t="str">
        <x:v>Trade, consumer &amp; logistics</x:v>
      </x:c>
      <x:c r="K639" s="2" t="str">
        <x:v>MAIN-022</x:v>
      </x:c>
    </x:row>
    <x:row r="640" ht="46" customHeight="1">
      <x:c r="A640" s="2" t="str">
        <x:v>TEN-7EEAA5C48638</x:v>
      </x:c>
      <x:c r="B640" s="12" t="str">
        <x:v>Van lavino</x:v>
      </x:c>
      <x:c r="C640" s="12" t="str">
        <x:v>CORP-0216</x:v>
      </x:c>
      <x:c r="D640" s="12" t="str">
        <x:v>Hyderabad</x:v>
      </x:c>
      <x:c r="E640" s="12" t="str">
        <x:v>Awfis - Myscape Weave</x:v>
      </x:c>
      <x:c r="F640" s="12" t="str">
        <x:v>32 inch LED TV</x:v>
      </x:c>
      <x:c r="G640" s="20" t="n">
        <x:v>2</x:v>
      </x:c>
      <x:c r="H640" s="12" t="str">
        <x:v>Inventory-listed building/workspace context; current occupancy and screen access unverified</x:v>
      </x:c>
      <x:c r="I640" s="12" t="str">
        <x:v>Small-scale prospects</x:v>
      </x:c>
      <x:c r="J640" s="12" t="str">
        <x:v>Trade, consumer &amp; logistics</x:v>
      </x:c>
      <x:c r="K640" s="2" t="str">
        <x:v>MAIN-220</x:v>
      </x:c>
    </x:row>
    <x:row r="641" ht="46" customHeight="1">
      <x:c r="A641" s="2" t="str">
        <x:v>TEN-520E38F2296E</x:v>
      </x:c>
      <x:c r="B641" s="12" t="str">
        <x:v>Visamint</x:v>
      </x:c>
      <x:c r="C641" s="12" t="str">
        <x:v>CORP-0217</x:v>
      </x:c>
      <x:c r="D641" s="12" t="str">
        <x:v>Hyderabad</x:v>
      </x:c>
      <x:c r="E641" s="12" t="str">
        <x:v>Awfis - Oyster Complex</x:v>
      </x:c>
      <x:c r="F641" s="12" t="str">
        <x:v>24 inch LED TV, 32 inch LED TV</x:v>
      </x:c>
      <x:c r="G641" s="20" t="n">
        <x:v>3</x:v>
      </x:c>
      <x:c r="H641" s="12" t="str">
        <x:v>Inventory-listed building/workspace context; current occupancy and screen access unverified</x:v>
      </x:c>
      <x:c r="I641" s="12" t="str">
        <x:v>Small-scale prospects</x:v>
      </x:c>
      <x:c r="J641" s="12" t="str">
        <x:v>Professional services</x:v>
      </x:c>
      <x:c r="K641" s="2" t="str">
        <x:v>MAIN-221</x:v>
      </x:c>
    </x:row>
    <x:row r="642" ht="46" customHeight="1">
      <x:c r="A642" s="2" t="str">
        <x:v>TEN-55B1CEC73AC7</x:v>
      </x:c>
      <x:c r="B642" s="12" t="str">
        <x:v>Neemans</x:v>
      </x:c>
      <x:c r="C642" s="12" t="str">
        <x:v>CORP-0217</x:v>
      </x:c>
      <x:c r="D642" s="12" t="str">
        <x:v>Hyderabad</x:v>
      </x:c>
      <x:c r="E642" s="12" t="str">
        <x:v>Awfis - Oyster Complex</x:v>
      </x:c>
      <x:c r="F642" s="12" t="str">
        <x:v>24 inch LED TV, 32 inch LED TV</x:v>
      </x:c>
      <x:c r="G642" s="20" t="n">
        <x:v>3</x:v>
      </x:c>
      <x:c r="H642" s="12" t="str">
        <x:v>Inventory-listed building/workspace context; current occupancy and screen access unverified</x:v>
      </x:c>
      <x:c r="I642" s="12" t="str">
        <x:v>Small-scale prospects</x:v>
      </x:c>
      <x:c r="J642" s="12" t="str">
        <x:v>Trade, consumer &amp; logistics</x:v>
      </x:c>
      <x:c r="K642" s="2" t="str">
        <x:v>MAIN-221</x:v>
      </x:c>
    </x:row>
    <x:row r="643" ht="46" customHeight="1">
      <x:c r="A643" s="2" t="str">
        <x:v>TEN-55F53741C757</x:v>
      </x:c>
      <x:c r="B643" s="12" t="str">
        <x:v>Fund insights investment</x:v>
      </x:c>
      <x:c r="C643" s="12" t="str">
        <x:v>CORP-0217</x:v>
      </x:c>
      <x:c r="D643" s="12" t="str">
        <x:v>Hyderabad</x:v>
      </x:c>
      <x:c r="E643" s="12" t="str">
        <x:v>Awfis - Oyster Complex</x:v>
      </x:c>
      <x:c r="F643" s="12" t="str">
        <x:v>24 inch LED TV, 32 inch LED TV</x:v>
      </x:c>
      <x:c r="G643" s="20" t="n">
        <x:v>3</x:v>
      </x:c>
      <x:c r="H643" s="12" t="str">
        <x:v>Inventory-listed building/workspace context; current occupancy and screen access unverified</x:v>
      </x:c>
      <x:c r="I643" s="12" t="str">
        <x:v>Medium-scale prospects</x:v>
      </x:c>
      <x:c r="J643" s="12" t="str">
        <x:v>Finance &amp; insurance</x:v>
      </x:c>
      <x:c r="K643" s="2" t="str">
        <x:v>MAIN-221</x:v>
      </x:c>
    </x:row>
    <x:row r="644" ht="46" customHeight="1">
      <x:c r="A644" s="2" t="str">
        <x:v>TEN-92AB83E2F102</x:v>
      </x:c>
      <x:c r="B644" s="12" t="str">
        <x:v>world immigration consultant</x:v>
      </x:c>
      <x:c r="C644" s="12" t="str">
        <x:v>CORP-0217</x:v>
      </x:c>
      <x:c r="D644" s="12" t="str">
        <x:v>Hyderabad</x:v>
      </x:c>
      <x:c r="E644" s="12" t="str">
        <x:v>Awfis - Oyster Complex</x:v>
      </x:c>
      <x:c r="F644" s="12" t="str">
        <x:v>24 inch LED TV, 32 inch LED TV</x:v>
      </x:c>
      <x:c r="G644" s="20" t="n">
        <x:v>3</x:v>
      </x:c>
      <x:c r="H644" s="12" t="str">
        <x:v>Inventory-listed building/workspace context; current occupancy and screen access unverified</x:v>
      </x:c>
      <x:c r="I644" s="12" t="str">
        <x:v>Small-scale prospects</x:v>
      </x:c>
      <x:c r="J644" s="12" t="str">
        <x:v>Professional services</x:v>
      </x:c>
      <x:c r="K644" s="2" t="str">
        <x:v>MAIN-221</x:v>
      </x:c>
    </x:row>
    <x:row r="645" ht="46" customHeight="1">
      <x:c r="A645" s="2" t="str">
        <x:v>TEN-AAC1A4C13A29</x:v>
      </x:c>
      <x:c r="B645" s="12" t="str">
        <x:v>Lead brand media</x:v>
      </x:c>
      <x:c r="C645" s="12" t="str">
        <x:v>CORP-0217</x:v>
      </x:c>
      <x:c r="D645" s="12" t="str">
        <x:v>Hyderabad</x:v>
      </x:c>
      <x:c r="E645" s="12" t="str">
        <x:v>Awfis - Oyster Complex</x:v>
      </x:c>
      <x:c r="F645" s="12" t="str">
        <x:v>24 inch LED TV, 32 inch LED TV</x:v>
      </x:c>
      <x:c r="G645" s="20" t="n">
        <x:v>3</x:v>
      </x:c>
      <x:c r="H645" s="12" t="str">
        <x:v>Inventory-listed building/workspace context; current occupancy and screen access unverified</x:v>
      </x:c>
      <x:c r="I645" s="12" t="str">
        <x:v>Small-scale prospects</x:v>
      </x:c>
      <x:c r="J645" s="12" t="str">
        <x:v>Trade, consumer &amp; logistics</x:v>
      </x:c>
      <x:c r="K645" s="2" t="str">
        <x:v>MAIN-221</x:v>
      </x:c>
    </x:row>
    <x:row r="646" ht="46" customHeight="1">
      <x:c r="A646" s="2" t="str">
        <x:v>TEN-B0B13A53811B</x:v>
      </x:c>
      <x:c r="B646" s="12" t="str">
        <x:v>Piramal</x:v>
      </x:c>
      <x:c r="C646" s="12" t="str">
        <x:v>CORP-0217</x:v>
      </x:c>
      <x:c r="D646" s="12" t="str">
        <x:v>Hyderabad</x:v>
      </x:c>
      <x:c r="E646" s="12" t="str">
        <x:v>Awfis - Oyster Complex</x:v>
      </x:c>
      <x:c r="F646" s="12" t="str">
        <x:v>24 inch LED TV, 32 inch LED TV</x:v>
      </x:c>
      <x:c r="G646" s="20" t="n">
        <x:v>3</x:v>
      </x:c>
      <x:c r="H646" s="12" t="str">
        <x:v>Inventory-listed building/workspace context; current occupancy and screen access unverified</x:v>
      </x:c>
      <x:c r="I646" s="12" t="str">
        <x:v>Mixed business audience</x:v>
      </x:c>
      <x:c r="J646" s="12" t="str">
        <x:v>Unresolved</x:v>
      </x:c>
      <x:c r="K646" s="2" t="str">
        <x:v>MAIN-221</x:v>
      </x:c>
    </x:row>
    <x:row r="647" ht="46" customHeight="1">
      <x:c r="A647" s="2" t="str">
        <x:v>TEN-DD342226D88C</x:v>
      </x:c>
      <x:c r="B647" s="12" t="str">
        <x:v>Migration Standards</x:v>
      </x:c>
      <x:c r="C647" s="12" t="str">
        <x:v>CORP-0217</x:v>
      </x:c>
      <x:c r="D647" s="12" t="str">
        <x:v>Hyderabad</x:v>
      </x:c>
      <x:c r="E647" s="12" t="str">
        <x:v>Awfis - Oyster Complex</x:v>
      </x:c>
      <x:c r="F647" s="12" t="str">
        <x:v>24 inch LED TV, 32 inch LED TV</x:v>
      </x:c>
      <x:c r="G647" s="20" t="n">
        <x:v>3</x:v>
      </x:c>
      <x:c r="H647" s="12" t="str">
        <x:v>Inventory-listed building/workspace context; current occupancy and screen access unverified</x:v>
      </x:c>
      <x:c r="I647" s="12" t="str">
        <x:v>Small-scale prospects</x:v>
      </x:c>
      <x:c r="J647" s="12" t="str">
        <x:v>Professional services</x:v>
      </x:c>
      <x:c r="K647" s="2" t="str">
        <x:v>MAIN-221</x:v>
      </x:c>
    </x:row>
    <x:row r="648" ht="46" customHeight="1">
      <x:c r="A648" s="2" t="str">
        <x:v>TEN-F6797F6E5637</x:v>
      </x:c>
      <x:c r="B648" s="12" t="str">
        <x:v>iRich</x:v>
      </x:c>
      <x:c r="C648" s="12" t="str">
        <x:v>CORP-0217</x:v>
      </x:c>
      <x:c r="D648" s="12" t="str">
        <x:v>Hyderabad</x:v>
      </x:c>
      <x:c r="E648" s="12" t="str">
        <x:v>Awfis - Oyster Complex</x:v>
      </x:c>
      <x:c r="F648" s="12" t="str">
        <x:v>24 inch LED TV, 32 inch LED TV</x:v>
      </x:c>
      <x:c r="G648" s="20" t="n">
        <x:v>3</x:v>
      </x:c>
      <x:c r="H648" s="12" t="str">
        <x:v>Inventory-listed building/workspace context; current occupancy and screen access unverified</x:v>
      </x:c>
      <x:c r="I648" s="12" t="str">
        <x:v>Mixed business audience</x:v>
      </x:c>
      <x:c r="J648" s="12" t="str">
        <x:v>Unresolved</x:v>
      </x:c>
      <x:c r="K648" s="2" t="str">
        <x:v>MAIN-221</x:v>
      </x:c>
    </x:row>
    <x:row r="649" ht="46" customHeight="1">
      <x:c r="A649" s="2" t="str">
        <x:v>TEN-95FF34CF19E6</x:v>
      </x:c>
      <x:c r="B649" s="12" t="str">
        <x:v>Digit</x:v>
      </x:c>
      <x:c r="C649" s="12" t="str">
        <x:v>CORP-0218</x:v>
      </x:c>
      <x:c r="D649" s="12" t="str">
        <x:v>Hyderabad</x:v>
      </x:c>
      <x:c r="E649" s="12" t="str">
        <x:v>Awfis - Prestige Phoenix</x:v>
      </x:c>
      <x:c r="F649" s="12" t="str">
        <x:v>32 inch LED TV</x:v>
      </x:c>
      <x:c r="G649" s="20" t="n">
        <x:v>3</x:v>
      </x:c>
      <x:c r="H649" s="12" t="str">
        <x:v>Inventory-listed building/workspace context; current occupancy and screen access unverified</x:v>
      </x:c>
      <x:c r="I649" s="12" t="str">
        <x:v>Mixed business audience</x:v>
      </x:c>
      <x:c r="J649" s="12" t="str">
        <x:v>Finance &amp; insurance</x:v>
      </x:c>
      <x:c r="K649" s="2" t="str">
        <x:v>MAIN-222</x:v>
      </x:c>
    </x:row>
    <x:row r="650" ht="46" customHeight="1">
      <x:c r="A650" s="2" t="str">
        <x:v>TEN-C4D854EC4DAA</x:v>
      </x:c>
      <x:c r="B650" s="12" t="str">
        <x:v>Merck</x:v>
      </x:c>
      <x:c r="C650" s="12" t="str">
        <x:v>CORP-0218</x:v>
      </x:c>
      <x:c r="D650" s="12" t="str">
        <x:v>Hyderabad</x:v>
      </x:c>
      <x:c r="E650" s="12" t="str">
        <x:v>Awfis - Prestige Phoenix</x:v>
      </x:c>
      <x:c r="F650" s="12" t="str">
        <x:v>32 inch LED TV</x:v>
      </x:c>
      <x:c r="G650" s="20" t="n">
        <x:v>3</x:v>
      </x:c>
      <x:c r="H650" s="12" t="str">
        <x:v>Inventory-listed building/workspace context; current occupancy and screen access unverified</x:v>
      </x:c>
      <x:c r="I650" s="12" t="str">
        <x:v>Mixed business audience</x:v>
      </x:c>
      <x:c r="J650" s="12" t="str">
        <x:v>Healthcare &amp; life sciences</x:v>
      </x:c>
      <x:c r="K650" s="2" t="str">
        <x:v>MAIN-222</x:v>
      </x:c>
    </x:row>
    <x:row r="651" ht="46" customHeight="1">
      <x:c r="A651" s="2" t="str">
        <x:v>TEN-F8D66EC99CED</x:v>
      </x:c>
      <x:c r="B651" s="12" t="str">
        <x:v>Novateur electrical and digital enterprises</x:v>
      </x:c>
      <x:c r="C651" s="12" t="str">
        <x:v>CORP-0218</x:v>
      </x:c>
      <x:c r="D651" s="12" t="str">
        <x:v>Hyderabad</x:v>
      </x:c>
      <x:c r="E651" s="12" t="str">
        <x:v>Awfis - Prestige Phoenix</x:v>
      </x:c>
      <x:c r="F651" s="12" t="str">
        <x:v>32 inch LED TV</x:v>
      </x:c>
      <x:c r="G651" s="20" t="n">
        <x:v>3</x:v>
      </x:c>
      <x:c r="H651" s="12" t="str">
        <x:v>Inventory-listed building/workspace context; current occupancy and screen access unverified</x:v>
      </x:c>
      <x:c r="I651" s="12" t="str">
        <x:v>Mixed business audience</x:v>
      </x:c>
      <x:c r="J651" s="12" t="str">
        <x:v>Engineering &amp; manufacturing</x:v>
      </x:c>
      <x:c r="K651" s="2" t="str">
        <x:v>MAIN-222</x:v>
      </x:c>
    </x:row>
    <x:row r="652" ht="46" customHeight="1">
      <x:c r="A652" s="2" t="str">
        <x:v>TEN-01852F0C541F</x:v>
      </x:c>
      <x:c r="B652" s="12" t="str">
        <x:v>Dattam Labs</x:v>
      </x:c>
      <x:c r="C652" s="12" t="str">
        <x:v>CORP-0219</x:v>
      </x:c>
      <x:c r="D652" s="12" t="str">
        <x:v>Hyderabad</x:v>
      </x:c>
      <x:c r="E652" s="12" t="str">
        <x:v>Awfis - Prestige Skytech</x:v>
      </x:c>
      <x:c r="F652" s="12" t="str">
        <x:v>32 inch LED TV</x:v>
      </x:c>
      <x:c r="G652" s="20" t="n">
        <x:v>2</x:v>
      </x:c>
      <x:c r="H652" s="12" t="str">
        <x:v>Inventory-listed building/workspace context; current occupancy and screen access unverified</x:v>
      </x:c>
      <x:c r="I652" s="12" t="str">
        <x:v>Small-scale prospects</x:v>
      </x:c>
      <x:c r="J652" s="12" t="str">
        <x:v>IT &amp; digital</x:v>
      </x:c>
      <x:c r="K652" s="2" t="str">
        <x:v>MAIN-223</x:v>
      </x:c>
    </x:row>
    <x:row r="653" ht="46" customHeight="1">
      <x:c r="A653" s="2" t="str">
        <x:v>TEN-45D9225952C7</x:v>
      </x:c>
      <x:c r="B653" s="12" t="str">
        <x:v>TATA elxsi</x:v>
      </x:c>
      <x:c r="C653" s="12" t="str">
        <x:v>CORP-0220</x:v>
      </x:c>
      <x:c r="D653" s="12" t="str">
        <x:v>Hyderabad</x:v>
      </x:c>
      <x:c r="E653" s="12" t="str">
        <x:v>Awfis - Rajapushpa Summit</x:v>
      </x:c>
      <x:c r="F653" s="12" t="str">
        <x:v>32 inch LED TV</x:v>
      </x:c>
      <x:c r="G653" s="20" t="n">
        <x:v>3</x:v>
      </x:c>
      <x:c r="H653" s="12" t="str">
        <x:v>Campus/portfolio roster; individual building occupancy unverified</x:v>
      </x:c>
      <x:c r="I653" s="12" t="str">
        <x:v>Large enterprise</x:v>
      </x:c>
      <x:c r="J653" s="12" t="str">
        <x:v>IT &amp; digital</x:v>
      </x:c>
      <x:c r="K653" s="2" t="str">
        <x:v>MAIN-224</x:v>
      </x:c>
    </x:row>
    <x:row r="654" ht="46" customHeight="1">
      <x:c r="A654" s="2" t="str">
        <x:v>TEN-5B81D52D4310</x:v>
      </x:c>
      <x:c r="B654" s="12" t="str">
        <x:v>WeWork</x:v>
      </x:c>
      <x:c r="C654" s="12" t="str">
        <x:v>CORP-0220</x:v>
      </x:c>
      <x:c r="D654" s="12" t="str">
        <x:v>Hyderabad</x:v>
      </x:c>
      <x:c r="E654" s="12" t="str">
        <x:v>Awfis - Rajapushpa Summit</x:v>
      </x:c>
      <x:c r="F654" s="12" t="str">
        <x:v>32 inch LED TV</x:v>
      </x:c>
      <x:c r="G654" s="20" t="n">
        <x:v>3</x:v>
      </x:c>
      <x:c r="H654" s="12" t="str">
        <x:v>Campus/portfolio roster; individual building occupancy unverified</x:v>
      </x:c>
      <x:c r="I654" s="12" t="str">
        <x:v>Mixed business audience</x:v>
      </x:c>
      <x:c r="J654" s="12" t="str">
        <x:v>Workspace &amp; property operations</x:v>
      </x:c>
      <x:c r="K654" s="2" t="str">
        <x:v>MAIN-224</x:v>
      </x:c>
    </x:row>
    <x:row r="655" ht="46" customHeight="1">
      <x:c r="A655" s="2" t="str">
        <x:v>TEN-7AF845A38273</x:v>
      </x:c>
      <x:c r="B655" s="12" t="str">
        <x:v>Rational services</x:v>
      </x:c>
      <x:c r="C655" s="12" t="str">
        <x:v>CORP-0220</x:v>
      </x:c>
      <x:c r="D655" s="12" t="str">
        <x:v>Hyderabad</x:v>
      </x:c>
      <x:c r="E655" s="12" t="str">
        <x:v>Awfis - Rajapushpa Summit</x:v>
      </x:c>
      <x:c r="F655" s="12" t="str">
        <x:v>32 inch LED TV</x:v>
      </x:c>
      <x:c r="G655" s="20" t="n">
        <x:v>3</x:v>
      </x:c>
      <x:c r="H655" s="12" t="str">
        <x:v>Campus/portfolio roster; individual building occupancy unverified</x:v>
      </x:c>
      <x:c r="I655" s="12" t="str">
        <x:v>Mixed business audience</x:v>
      </x:c>
      <x:c r="J655" s="12" t="str">
        <x:v>Unresolved</x:v>
      </x:c>
      <x:c r="K655" s="2" t="str">
        <x:v>MAIN-224</x:v>
      </x:c>
    </x:row>
    <x:row r="656" ht="46" customHeight="1">
      <x:c r="A656" s="2" t="str">
        <x:v>TEN-AF5979674500</x:v>
      </x:c>
      <x:c r="B656" s="12" t="str">
        <x:v>thoughtworks technologies pvt ltd</x:v>
      </x:c>
      <x:c r="C656" s="12" t="str">
        <x:v>CORP-0220</x:v>
      </x:c>
      <x:c r="D656" s="12" t="str">
        <x:v>Hyderabad</x:v>
      </x:c>
      <x:c r="E656" s="12" t="str">
        <x:v>Awfis - Rajapushpa Summit</x:v>
      </x:c>
      <x:c r="F656" s="12" t="str">
        <x:v>32 inch LED TV</x:v>
      </x:c>
      <x:c r="G656" s="20" t="n">
        <x:v>3</x:v>
      </x:c>
      <x:c r="H656" s="12" t="str">
        <x:v>Campus/portfolio roster; individual building occupancy unverified</x:v>
      </x:c>
      <x:c r="I656" s="12" t="str">
        <x:v>Mixed business audience</x:v>
      </x:c>
      <x:c r="J656" s="12" t="str">
        <x:v>IT &amp; digital</x:v>
      </x:c>
      <x:c r="K656" s="2" t="str">
        <x:v>MAIN-224</x:v>
      </x:c>
    </x:row>
    <x:row r="657" ht="46" customHeight="1">
      <x:c r="A657" s="2" t="str">
        <x:v>TEN-C28DCC1AC830</x:v>
      </x:c>
      <x:c r="B657" s="12" t="str">
        <x:v>urvo india symbyont smart spaces</x:v>
      </x:c>
      <x:c r="C657" s="12" t="str">
        <x:v>CORP-0220</x:v>
      </x:c>
      <x:c r="D657" s="12" t="str">
        <x:v>Hyderabad</x:v>
      </x:c>
      <x:c r="E657" s="12" t="str">
        <x:v>Awfis - Rajapushpa Summit</x:v>
      </x:c>
      <x:c r="F657" s="12" t="str">
        <x:v>32 inch LED TV</x:v>
      </x:c>
      <x:c r="G657" s="20" t="n">
        <x:v>3</x:v>
      </x:c>
      <x:c r="H657" s="12" t="str">
        <x:v>Campus/portfolio roster; individual building occupancy unverified</x:v>
      </x:c>
      <x:c r="I657" s="12" t="str">
        <x:v>Small-scale prospects</x:v>
      </x:c>
      <x:c r="J657" s="12" t="str">
        <x:v>Trade, consumer &amp; logistics</x:v>
      </x:c>
      <x:c r="K657" s="2" t="str">
        <x:v>MAIN-224</x:v>
      </x:c>
    </x:row>
    <x:row r="658" ht="46" customHeight="1">
      <x:c r="A658" s="2" t="str">
        <x:v>TEN-00C839FED430</x:v>
      </x:c>
      <x:c r="B658" s="12" t="str">
        <x:v>Hash Overseas</x:v>
      </x:c>
      <x:c r="C658" s="12" t="str">
        <x:v>CORP-0221</x:v>
      </x:c>
      <x:c r="D658" s="12" t="str">
        <x:v>Hyderabad</x:v>
      </x:c>
      <x:c r="E658" s="12" t="str">
        <x:v>Awfis - Vasavi MPM Mall</x:v>
      </x:c>
      <x:c r="F658" s="12" t="str">
        <x:v>32 inch LED TV</x:v>
      </x:c>
      <x:c r="G658" s="20" t="n">
        <x:v>2</x:v>
      </x:c>
      <x:c r="H658" s="12" t="str">
        <x:v>Inventory-listed building/workspace context; current occupancy and screen access unverified</x:v>
      </x:c>
      <x:c r="I658" s="12" t="str">
        <x:v>Small-scale prospects</x:v>
      </x:c>
      <x:c r="J658" s="12" t="str">
        <x:v>Professional services</x:v>
      </x:c>
      <x:c r="K658" s="2" t="str">
        <x:v>MAIN-225</x:v>
      </x:c>
    </x:row>
    <x:row r="659" ht="46" customHeight="1">
      <x:c r="A659" s="2" t="str">
        <x:v>TEN-21A82BF14B76</x:v>
      </x:c>
      <x:c r="B659" s="12" t="str">
        <x:v>willis towers watson</x:v>
      </x:c>
      <x:c r="C659" s="12" t="str">
        <x:v>CORP-0221</x:v>
      </x:c>
      <x:c r="D659" s="12" t="str">
        <x:v>Hyderabad</x:v>
      </x:c>
      <x:c r="E659" s="12" t="str">
        <x:v>Awfis - Vasavi MPM Mall</x:v>
      </x:c>
      <x:c r="F659" s="12" t="str">
        <x:v>32 inch LED TV</x:v>
      </x:c>
      <x:c r="G659" s="20" t="n">
        <x:v>2</x:v>
      </x:c>
      <x:c r="H659" s="12" t="str">
        <x:v>Inventory-listed building/workspace context; current occupancy and screen access unverified</x:v>
      </x:c>
      <x:c r="I659" s="12" t="str">
        <x:v>Mixed business audience</x:v>
      </x:c>
      <x:c r="J659" s="12" t="str">
        <x:v>Professional services</x:v>
      </x:c>
      <x:c r="K659" s="2" t="str">
        <x:v>MAIN-225</x:v>
      </x:c>
    </x:row>
    <x:row r="660" ht="46" customHeight="1">
      <x:c r="A660" s="2" t="str">
        <x:v>TEN-4DAC977F7C8C</x:v>
      </x:c>
      <x:c r="B660" s="12" t="str">
        <x:v>Study overseas</x:v>
      </x:c>
      <x:c r="C660" s="12" t="str">
        <x:v>CORP-0221</x:v>
      </x:c>
      <x:c r="D660" s="12" t="str">
        <x:v>Hyderabad</x:v>
      </x:c>
      <x:c r="E660" s="12" t="str">
        <x:v>Awfis - Vasavi MPM Mall</x:v>
      </x:c>
      <x:c r="F660" s="12" t="str">
        <x:v>32 inch LED TV</x:v>
      </x:c>
      <x:c r="G660" s="20" t="n">
        <x:v>2</x:v>
      </x:c>
      <x:c r="H660" s="12" t="str">
        <x:v>Inventory-listed building/workspace context; current occupancy and screen access unverified</x:v>
      </x:c>
      <x:c r="I660" s="12" t="str">
        <x:v>Small-scale prospects</x:v>
      </x:c>
      <x:c r="J660" s="12" t="str">
        <x:v>Education</x:v>
      </x:c>
      <x:c r="K660" s="2" t="str">
        <x:v>MAIN-225</x:v>
      </x:c>
    </x:row>
    <x:row r="661" ht="46" customHeight="1">
      <x:c r="A661" s="2" t="str">
        <x:v>TEN-65B3339FFCA4</x:v>
      </x:c>
      <x:c r="B661" s="12" t="str">
        <x:v>skyland</x:v>
      </x:c>
      <x:c r="C661" s="12" t="str">
        <x:v>CORP-0221</x:v>
      </x:c>
      <x:c r="D661" s="12" t="str">
        <x:v>Hyderabad</x:v>
      </x:c>
      <x:c r="E661" s="12" t="str">
        <x:v>Awfis - Vasavi MPM Mall</x:v>
      </x:c>
      <x:c r="F661" s="12" t="str">
        <x:v>32 inch LED TV</x:v>
      </x:c>
      <x:c r="G661" s="20" t="n">
        <x:v>2</x:v>
      </x:c>
      <x:c r="H661" s="12" t="str">
        <x:v>Inventory-listed building/workspace context; current occupancy and screen access unverified</x:v>
      </x:c>
      <x:c r="I661" s="12" t="str">
        <x:v>Mixed business audience</x:v>
      </x:c>
      <x:c r="J661" s="12" t="str">
        <x:v>Unresolved</x:v>
      </x:c>
      <x:c r="K661" s="2" t="str">
        <x:v>MAIN-225</x:v>
      </x:c>
    </x:row>
    <x:row r="662" ht="46" customHeight="1">
      <x:c r="A662" s="2" t="str">
        <x:v>TEN-681BFF1142BC</x:v>
      </x:c>
      <x:c r="B662" s="12" t="str">
        <x:v>Aarth</x:v>
      </x:c>
      <x:c r="C662" s="12" t="str">
        <x:v>CORP-0221</x:v>
      </x:c>
      <x:c r="D662" s="12" t="str">
        <x:v>Hyderabad</x:v>
      </x:c>
      <x:c r="E662" s="12" t="str">
        <x:v>Awfis - Vasavi MPM Mall</x:v>
      </x:c>
      <x:c r="F662" s="12" t="str">
        <x:v>32 inch LED TV</x:v>
      </x:c>
      <x:c r="G662" s="20" t="n">
        <x:v>2</x:v>
      </x:c>
      <x:c r="H662" s="12" t="str">
        <x:v>Inventory-listed building/workspace context; current occupancy and screen access unverified</x:v>
      </x:c>
      <x:c r="I662" s="12" t="str">
        <x:v>Mixed business audience</x:v>
      </x:c>
      <x:c r="J662" s="12" t="str">
        <x:v>Unresolved</x:v>
      </x:c>
      <x:c r="K662" s="2" t="str">
        <x:v>MAIN-225</x:v>
      </x:c>
    </x:row>
    <x:row r="663" ht="46" customHeight="1">
      <x:c r="A663" s="2" t="str">
        <x:v>TEN-7480369513A1</x:v>
      </x:c>
      <x:c r="B663" s="12" t="str">
        <x:v>ernota technogies</x:v>
      </x:c>
      <x:c r="C663" s="12" t="str">
        <x:v>CORP-0221</x:v>
      </x:c>
      <x:c r="D663" s="12" t="str">
        <x:v>Hyderabad</x:v>
      </x:c>
      <x:c r="E663" s="12" t="str">
        <x:v>Awfis - Vasavi MPM Mall</x:v>
      </x:c>
      <x:c r="F663" s="12" t="str">
        <x:v>32 inch LED TV</x:v>
      </x:c>
      <x:c r="G663" s="20" t="n">
        <x:v>2</x:v>
      </x:c>
      <x:c r="H663" s="12" t="str">
        <x:v>Inventory-listed building/workspace context; current occupancy and screen access unverified</x:v>
      </x:c>
      <x:c r="I663" s="12" t="str">
        <x:v>Mixed business audience</x:v>
      </x:c>
      <x:c r="J663" s="12" t="str">
        <x:v>Unresolved</x:v>
      </x:c>
      <x:c r="K663" s="2" t="str">
        <x:v>MAIN-225</x:v>
      </x:c>
    </x:row>
    <x:row r="664" ht="46" customHeight="1">
      <x:c r="A664" s="2" t="str">
        <x:v>TEN-AA97FBCCF197</x:v>
      </x:c>
      <x:c r="B664" s="12" t="str">
        <x:v>Gleneagles hospitals</x:v>
      </x:c>
      <x:c r="C664" s="12" t="str">
        <x:v>CORP-0221</x:v>
      </x:c>
      <x:c r="D664" s="12" t="str">
        <x:v>Hyderabad</x:v>
      </x:c>
      <x:c r="E664" s="12" t="str">
        <x:v>Awfis - Vasavi MPM Mall</x:v>
      </x:c>
      <x:c r="F664" s="12" t="str">
        <x:v>32 inch LED TV</x:v>
      </x:c>
      <x:c r="G664" s="20" t="n">
        <x:v>2</x:v>
      </x:c>
      <x:c r="H664" s="12" t="str">
        <x:v>Inventory-listed building/workspace context; current occupancy and screen access unverified</x:v>
      </x:c>
      <x:c r="I664" s="12" t="str">
        <x:v>Mixed business audience</x:v>
      </x:c>
      <x:c r="J664" s="12" t="str">
        <x:v>Healthcare &amp; life sciences</x:v>
      </x:c>
      <x:c r="K664" s="2" t="str">
        <x:v>MAIN-225</x:v>
      </x:c>
    </x:row>
    <x:row r="665" ht="46" customHeight="1">
      <x:c r="A665" s="2" t="str">
        <x:v>TEN-DDCD44A7DAAA</x:v>
      </x:c>
      <x:c r="B665" s="12" t="str">
        <x:v>digital Brandlance</x:v>
      </x:c>
      <x:c r="C665" s="12" t="str">
        <x:v>CORP-0221</x:v>
      </x:c>
      <x:c r="D665" s="12" t="str">
        <x:v>Hyderabad</x:v>
      </x:c>
      <x:c r="E665" s="12" t="str">
        <x:v>Awfis - Vasavi MPM Mall</x:v>
      </x:c>
      <x:c r="F665" s="12" t="str">
        <x:v>32 inch LED TV</x:v>
      </x:c>
      <x:c r="G665" s="20" t="n">
        <x:v>2</x:v>
      </x:c>
      <x:c r="H665" s="12" t="str">
        <x:v>Inventory-listed building/workspace context; current occupancy and screen access unverified</x:v>
      </x:c>
      <x:c r="I665" s="12" t="str">
        <x:v>Small-scale prospects</x:v>
      </x:c>
      <x:c r="J665" s="12" t="str">
        <x:v>IT &amp; digital</x:v>
      </x:c>
      <x:c r="K665" s="2" t="str">
        <x:v>MAIN-225</x:v>
      </x:c>
    </x:row>
    <x:row r="666" ht="46" customHeight="1">
      <x:c r="A666" s="2" t="str">
        <x:v>TEN-0D6EE04B36F3</x:v>
      </x:c>
      <x:c r="B666" s="12" t="str">
        <x:v>Indriyn Data analytics</x:v>
      </x:c>
      <x:c r="C666" s="12" t="str">
        <x:v>CORP-0222</x:v>
      </x:c>
      <x:c r="D666" s="12" t="str">
        <x:v>Hyderabad</x:v>
      </x:c>
      <x:c r="E666" s="12" t="str">
        <x:v>CIE Office Space</x:v>
      </x:c>
      <x:c r="F666" s="12" t="str">
        <x:v>32 inch LED TV</x:v>
      </x:c>
      <x:c r="G666" s="20" t="n">
        <x:v>4</x:v>
      </x:c>
      <x:c r="H666" s="12" t="str">
        <x:v>Inventory-listed building/workspace context; current occupancy and screen access unverified</x:v>
      </x:c>
      <x:c r="I666" s="12" t="str">
        <x:v>Small-scale prospects</x:v>
      </x:c>
      <x:c r="J666" s="12" t="str">
        <x:v>IT &amp; digital</x:v>
      </x:c>
      <x:c r="K666" s="2" t="str">
        <x:v>MAIN-226</x:v>
      </x:c>
    </x:row>
    <x:row r="667" ht="46" customHeight="1">
      <x:c r="A667" s="2" t="str">
        <x:v>TEN-1C803D88AFC5</x:v>
      </x:c>
      <x:c r="B667" s="12" t="str">
        <x:v>Kainoos geospartial technologies</x:v>
      </x:c>
      <x:c r="C667" s="12" t="str">
        <x:v>CORP-0222</x:v>
      </x:c>
      <x:c r="D667" s="12" t="str">
        <x:v>Hyderabad</x:v>
      </x:c>
      <x:c r="E667" s="12" t="str">
        <x:v>CIE Office Space</x:v>
      </x:c>
      <x:c r="F667" s="12" t="str">
        <x:v>32 inch LED TV</x:v>
      </x:c>
      <x:c r="G667" s="20" t="n">
        <x:v>4</x:v>
      </x:c>
      <x:c r="H667" s="12" t="str">
        <x:v>Inventory-listed building/workspace context; current occupancy and screen access unverified</x:v>
      </x:c>
      <x:c r="I667" s="12" t="str">
        <x:v>Mixed business audience</x:v>
      </x:c>
      <x:c r="J667" s="12" t="str">
        <x:v>Unresolved</x:v>
      </x:c>
      <x:c r="K667" s="2" t="str">
        <x:v>MAIN-226</x:v>
      </x:c>
    </x:row>
    <x:row r="668" ht="46" customHeight="1">
      <x:c r="A668" s="2" t="str">
        <x:v>TEN-3650DF32F50C</x:v>
      </x:c>
      <x:c r="B668" s="12" t="str">
        <x:v>Avanthika Innovations</x:v>
      </x:c>
      <x:c r="C668" s="12" t="str">
        <x:v>CORP-0222</x:v>
      </x:c>
      <x:c r="D668" s="12" t="str">
        <x:v>Hyderabad</x:v>
      </x:c>
      <x:c r="E668" s="12" t="str">
        <x:v>CIE Office Space</x:v>
      </x:c>
      <x:c r="F668" s="12" t="str">
        <x:v>32 inch LED TV</x:v>
      </x:c>
      <x:c r="G668" s="20" t="n">
        <x:v>4</x:v>
      </x:c>
      <x:c r="H668" s="12" t="str">
        <x:v>Inventory-listed building/workspace context; current occupancy and screen access unverified</x:v>
      </x:c>
      <x:c r="I668" s="12" t="str">
        <x:v>Mixed business audience</x:v>
      </x:c>
      <x:c r="J668" s="12" t="str">
        <x:v>Unresolved</x:v>
      </x:c>
      <x:c r="K668" s="2" t="str">
        <x:v>MAIN-226</x:v>
      </x:c>
    </x:row>
    <x:row r="669" ht="46" customHeight="1">
      <x:c r="A669" s="2" t="str">
        <x:v>TEN-4749F5FD72F9</x:v>
      </x:c>
      <x:c r="B669" s="12" t="str">
        <x:v>Alphamu software technologies</x:v>
      </x:c>
      <x:c r="C669" s="12" t="str">
        <x:v>CORP-0222</x:v>
      </x:c>
      <x:c r="D669" s="12" t="str">
        <x:v>Hyderabad</x:v>
      </x:c>
      <x:c r="E669" s="12" t="str">
        <x:v>CIE Office Space</x:v>
      </x:c>
      <x:c r="F669" s="12" t="str">
        <x:v>32 inch LED TV</x:v>
      </x:c>
      <x:c r="G669" s="20" t="n">
        <x:v>4</x:v>
      </x:c>
      <x:c r="H669" s="12" t="str">
        <x:v>Inventory-listed building/workspace context; current occupancy and screen access unverified</x:v>
      </x:c>
      <x:c r="I669" s="12" t="str">
        <x:v>Small-scale prospects</x:v>
      </x:c>
      <x:c r="J669" s="12" t="str">
        <x:v>IT &amp; digital</x:v>
      </x:c>
      <x:c r="K669" s="2" t="str">
        <x:v>MAIN-226</x:v>
      </x:c>
    </x:row>
    <x:row r="670" ht="46" customHeight="1">
      <x:c r="A670" s="2" t="str">
        <x:v>TEN-4831FEA01C5A</x:v>
      </x:c>
      <x:c r="B670" s="12" t="str">
        <x:v>Akrantha software PVT LTD</x:v>
      </x:c>
      <x:c r="C670" s="12" t="str">
        <x:v>CORP-0222</x:v>
      </x:c>
      <x:c r="D670" s="12" t="str">
        <x:v>Hyderabad</x:v>
      </x:c>
      <x:c r="E670" s="12" t="str">
        <x:v>CIE Office Space</x:v>
      </x:c>
      <x:c r="F670" s="12" t="str">
        <x:v>32 inch LED TV</x:v>
      </x:c>
      <x:c r="G670" s="20" t="n">
        <x:v>4</x:v>
      </x:c>
      <x:c r="H670" s="12" t="str">
        <x:v>Inventory-listed building/workspace context; current occupancy and screen access unverified</x:v>
      </x:c>
      <x:c r="I670" s="12" t="str">
        <x:v>Small-scale prospects</x:v>
      </x:c>
      <x:c r="J670" s="12" t="str">
        <x:v>IT &amp; digital</x:v>
      </x:c>
      <x:c r="K670" s="2" t="str">
        <x:v>MAIN-226</x:v>
      </x:c>
    </x:row>
    <x:row r="671" ht="46" customHeight="1">
      <x:c r="A671" s="2" t="str">
        <x:v>TEN-5D217103CFD8</x:v>
      </x:c>
      <x:c r="B671" s="12" t="str">
        <x:v>Shine projects</x:v>
      </x:c>
      <x:c r="C671" s="12" t="str">
        <x:v>CORP-0222</x:v>
      </x:c>
      <x:c r="D671" s="12" t="str">
        <x:v>Hyderabad</x:v>
      </x:c>
      <x:c r="E671" s="12" t="str">
        <x:v>CIE Office Space</x:v>
      </x:c>
      <x:c r="F671" s="12" t="str">
        <x:v>32 inch LED TV</x:v>
      </x:c>
      <x:c r="G671" s="20" t="n">
        <x:v>4</x:v>
      </x:c>
      <x:c r="H671" s="12" t="str">
        <x:v>Inventory-listed building/workspace context; current occupancy and screen access unverified</x:v>
      </x:c>
      <x:c r="I671" s="12" t="str">
        <x:v>Mixed business audience</x:v>
      </x:c>
      <x:c r="J671" s="12" t="str">
        <x:v>Unresolved</x:v>
      </x:c>
      <x:c r="K671" s="2" t="str">
        <x:v>MAIN-226</x:v>
      </x:c>
    </x:row>
    <x:row r="672" ht="46" customHeight="1">
      <x:c r="A672" s="2" t="str">
        <x:v>TEN-7AA9C7FAD1B1</x:v>
      </x:c>
      <x:c r="B672" s="12" t="str">
        <x:v>Aapah innovations</x:v>
      </x:c>
      <x:c r="C672" s="12" t="str">
        <x:v>CORP-0222</x:v>
      </x:c>
      <x:c r="D672" s="12" t="str">
        <x:v>Hyderabad</x:v>
      </x:c>
      <x:c r="E672" s="12" t="str">
        <x:v>CIE Office Space</x:v>
      </x:c>
      <x:c r="F672" s="12" t="str">
        <x:v>32 inch LED TV</x:v>
      </x:c>
      <x:c r="G672" s="20" t="n">
        <x:v>4</x:v>
      </x:c>
      <x:c r="H672" s="12" t="str">
        <x:v>Inventory-listed building/workspace context; current occupancy and screen access unverified</x:v>
      </x:c>
      <x:c r="I672" s="12" t="str">
        <x:v>Mixed business audience</x:v>
      </x:c>
      <x:c r="J672" s="12" t="str">
        <x:v>Unresolved</x:v>
      </x:c>
      <x:c r="K672" s="2" t="str">
        <x:v>MAIN-226</x:v>
      </x:c>
    </x:row>
    <x:row r="673" ht="46" customHeight="1">
      <x:c r="A673" s="2" t="str">
        <x:v>TEN-8D6660F8A757</x:v>
      </x:c>
      <x:c r="B673" s="12" t="str">
        <x:v>MED365</x:v>
      </x:c>
      <x:c r="C673" s="12" t="str">
        <x:v>CORP-0222</x:v>
      </x:c>
      <x:c r="D673" s="12" t="str">
        <x:v>Hyderabad</x:v>
      </x:c>
      <x:c r="E673" s="12" t="str">
        <x:v>CIE Office Space</x:v>
      </x:c>
      <x:c r="F673" s="12" t="str">
        <x:v>32 inch LED TV</x:v>
      </x:c>
      <x:c r="G673" s="20" t="n">
        <x:v>4</x:v>
      </x:c>
      <x:c r="H673" s="12" t="str">
        <x:v>Inventory-listed building/workspace context; current occupancy and screen access unverified</x:v>
      </x:c>
      <x:c r="I673" s="12" t="str">
        <x:v>Medium-scale prospects</x:v>
      </x:c>
      <x:c r="J673" s="12" t="str">
        <x:v>Healthcare &amp; life sciences</x:v>
      </x:c>
      <x:c r="K673" s="2" t="str">
        <x:v>MAIN-226</x:v>
      </x:c>
    </x:row>
    <x:row r="674" ht="46" customHeight="1">
      <x:c r="A674" s="2" t="str">
        <x:v>TEN-942AB959209B</x:v>
      </x:c>
      <x:c r="B674" s="12" t="str">
        <x:v>Five fingers innovative solutions</x:v>
      </x:c>
      <x:c r="C674" s="12" t="str">
        <x:v>CORP-0222</x:v>
      </x:c>
      <x:c r="D674" s="12" t="str">
        <x:v>Hyderabad</x:v>
      </x:c>
      <x:c r="E674" s="12" t="str">
        <x:v>CIE Office Space</x:v>
      </x:c>
      <x:c r="F674" s="12" t="str">
        <x:v>32 inch LED TV</x:v>
      </x:c>
      <x:c r="G674" s="20" t="n">
        <x:v>4</x:v>
      </x:c>
      <x:c r="H674" s="12" t="str">
        <x:v>Inventory-listed building/workspace context; current occupancy and screen access unverified</x:v>
      </x:c>
      <x:c r="I674" s="12" t="str">
        <x:v>Mixed business audience</x:v>
      </x:c>
      <x:c r="J674" s="12" t="str">
        <x:v>Unresolved</x:v>
      </x:c>
      <x:c r="K674" s="2" t="str">
        <x:v>MAIN-226</x:v>
      </x:c>
    </x:row>
    <x:row r="675" ht="46" customHeight="1">
      <x:c r="A675" s="2" t="str">
        <x:v>TEN-9AC38C1AEF1F</x:v>
      </x:c>
      <x:c r="B675" s="12" t="str">
        <x:v>Agilitix Al</x:v>
      </x:c>
      <x:c r="C675" s="12" t="str">
        <x:v>CORP-0222</x:v>
      </x:c>
      <x:c r="D675" s="12" t="str">
        <x:v>Hyderabad</x:v>
      </x:c>
      <x:c r="E675" s="12" t="str">
        <x:v>CIE Office Space</x:v>
      </x:c>
      <x:c r="F675" s="12" t="str">
        <x:v>32 inch LED TV</x:v>
      </x:c>
      <x:c r="G675" s="20" t="n">
        <x:v>4</x:v>
      </x:c>
      <x:c r="H675" s="12" t="str">
        <x:v>Inventory-listed building/workspace context; current occupancy and screen access unverified</x:v>
      </x:c>
      <x:c r="I675" s="12" t="str">
        <x:v>Mixed business audience</x:v>
      </x:c>
      <x:c r="J675" s="12" t="str">
        <x:v>Unresolved</x:v>
      </x:c>
      <x:c r="K675" s="2" t="str">
        <x:v>MAIN-226</x:v>
      </x:c>
    </x:row>
    <x:row r="676" ht="46" customHeight="1">
      <x:c r="A676" s="2" t="str">
        <x:v>TEN-CF222513A60C</x:v>
      </x:c>
      <x:c r="B676" s="12" t="str">
        <x:v>bucker HQ</x:v>
      </x:c>
      <x:c r="C676" s="12" t="str">
        <x:v>CORP-0222</x:v>
      </x:c>
      <x:c r="D676" s="12" t="str">
        <x:v>Hyderabad</x:v>
      </x:c>
      <x:c r="E676" s="12" t="str">
        <x:v>CIE Office Space</x:v>
      </x:c>
      <x:c r="F676" s="12" t="str">
        <x:v>32 inch LED TV</x:v>
      </x:c>
      <x:c r="G676" s="20" t="n">
        <x:v>4</x:v>
      </x:c>
      <x:c r="H676" s="12" t="str">
        <x:v>Inventory-listed building/workspace context; current occupancy and screen access unverified</x:v>
      </x:c>
      <x:c r="I676" s="12" t="str">
        <x:v>Mixed business audience</x:v>
      </x:c>
      <x:c r="J676" s="12" t="str">
        <x:v>Unresolved</x:v>
      </x:c>
      <x:c r="K676" s="2" t="str">
        <x:v>MAIN-226</x:v>
      </x:c>
    </x:row>
    <x:row r="677" ht="46" customHeight="1">
      <x:c r="A677" s="2" t="str">
        <x:v>TEN-35F8EBAADD16</x:v>
      </x:c>
      <x:c r="B677" s="12" t="str">
        <x:v>Headstart Network Foundation</x:v>
      </x:c>
      <x:c r="C677" s="12" t="str">
        <x:v>CORP-0223</x:v>
      </x:c>
      <x:c r="D677" s="12" t="str">
        <x:v>Hyderabad</x:v>
      </x:c>
      <x:c r="E677" s="12" t="str">
        <x:v>Draper</x:v>
      </x:c>
      <x:c r="F677" s="12" t="str">
        <x:v>32 inch LED TV</x:v>
      </x:c>
      <x:c r="G677" s="20" t="n">
        <x:v>3</x:v>
      </x:c>
      <x:c r="H677" s="12" t="str">
        <x:v>Inventory-listed building/workspace context; current occupancy and screen access unverified</x:v>
      </x:c>
      <x:c r="I677" s="12" t="str">
        <x:v>Institutional</x:v>
      </x:c>
      <x:c r="J677" s="12" t="str">
        <x:v>Government &amp; nonprofit</x:v>
      </x:c>
      <x:c r="K677" s="2" t="str">
        <x:v>MAIN-227</x:v>
      </x:c>
    </x:row>
    <x:row r="678" ht="46" customHeight="1">
      <x:c r="A678" s="2" t="str">
        <x:v>TEN-51276467ED49</x:v>
      </x:c>
      <x:c r="B678" s="12" t="str">
        <x:v>GroundZero</x:v>
      </x:c>
      <x:c r="C678" s="12" t="str">
        <x:v>CORP-0223</x:v>
      </x:c>
      <x:c r="D678" s="12" t="str">
        <x:v>Hyderabad</x:v>
      </x:c>
      <x:c r="E678" s="12" t="str">
        <x:v>Draper</x:v>
      </x:c>
      <x:c r="F678" s="12" t="str">
        <x:v>32 inch LED TV</x:v>
      </x:c>
      <x:c r="G678" s="20" t="n">
        <x:v>3</x:v>
      </x:c>
      <x:c r="H678" s="12" t="str">
        <x:v>Inventory-listed building/workspace context; current occupancy and screen access unverified</x:v>
      </x:c>
      <x:c r="I678" s="12" t="str">
        <x:v>Mixed business audience</x:v>
      </x:c>
      <x:c r="J678" s="12" t="str">
        <x:v>Unresolved</x:v>
      </x:c>
      <x:c r="K678" s="2" t="str">
        <x:v>MAIN-227</x:v>
      </x:c>
    </x:row>
    <x:row r="679" ht="46" customHeight="1">
      <x:c r="A679" s="2" t="str">
        <x:v>TEN-DAD83D548056</x:v>
      </x:c>
      <x:c r="B679" s="12" t="str">
        <x:v>TG10X</x:v>
      </x:c>
      <x:c r="C679" s="12" t="str">
        <x:v>CORP-0223</x:v>
      </x:c>
      <x:c r="D679" s="12" t="str">
        <x:v>Hyderabad</x:v>
      </x:c>
      <x:c r="E679" s="12" t="str">
        <x:v>Draper</x:v>
      </x:c>
      <x:c r="F679" s="12" t="str">
        <x:v>32 inch LED TV</x:v>
      </x:c>
      <x:c r="G679" s="20" t="n">
        <x:v>3</x:v>
      </x:c>
      <x:c r="H679" s="12" t="str">
        <x:v>Inventory-listed building/workspace context; current occupancy and screen access unverified</x:v>
      </x:c>
      <x:c r="I679" s="12" t="str">
        <x:v>Mixed business audience</x:v>
      </x:c>
      <x:c r="J679" s="12" t="str">
        <x:v>Unresolved</x:v>
      </x:c>
      <x:c r="K679" s="2" t="str">
        <x:v>MAIN-227</x:v>
      </x:c>
    </x:row>
    <x:row r="680" ht="46" customHeight="1">
      <x:c r="A680" s="2" t="str">
        <x:v>TEN-278F9A56272F</x:v>
      </x:c>
      <x:c r="B680" s="12" t="str">
        <x:v>Info School SAS Training Centre</x:v>
      </x:c>
      <x:c r="C680" s="12" t="str">
        <x:v>CORP-0019</x:v>
      </x:c>
      <x:c r="D680" s="12" t="str">
        <x:v>Bengaluru</x:v>
      </x:c>
      <x:c r="E680" s="12" t="str">
        <x:v>Awfis - Residency Square</x:v>
      </x:c>
      <x:c r="F680" s="12" t="str">
        <x:v>32 inch LED TV</x:v>
      </x:c>
      <x:c r="G680" s="20" t="n">
        <x:v>6</x:v>
      </x:c>
      <x:c r="H680" s="12" t="str">
        <x:v>Inventory-listed building/workspace context; current occupancy and screen access unverified</x:v>
      </x:c>
      <x:c r="I680" s="12" t="str">
        <x:v>Small-scale prospects</x:v>
      </x:c>
      <x:c r="J680" s="12" t="str">
        <x:v>Education</x:v>
      </x:c>
      <x:c r="K680" s="2" t="str">
        <x:v>MAIN-023</x:v>
      </x:c>
    </x:row>
    <x:row r="681" ht="46" customHeight="1">
      <x:c r="A681" s="2" t="str">
        <x:v>TEN-BF2CB5C4CB25</x:v>
      </x:c>
      <x:c r="B681" s="12" t="str">
        <x:v>Sonata Software</x:v>
      </x:c>
      <x:c r="C681" s="12" t="str">
        <x:v>CORP-0019</x:v>
      </x:c>
      <x:c r="D681" s="12" t="str">
        <x:v>Bengaluru</x:v>
      </x:c>
      <x:c r="E681" s="12" t="str">
        <x:v>Awfis - Residency Square</x:v>
      </x:c>
      <x:c r="F681" s="12" t="str">
        <x:v>32 inch LED TV</x:v>
      </x:c>
      <x:c r="G681" s="20" t="n">
        <x:v>6</x:v>
      </x:c>
      <x:c r="H681" s="12" t="str">
        <x:v>Inventory-listed building/workspace context; current occupancy and screen access unverified</x:v>
      </x:c>
      <x:c r="I681" s="12" t="str">
        <x:v>Large enterprise</x:v>
      </x:c>
      <x:c r="J681" s="12" t="str">
        <x:v>IT &amp; digital</x:v>
      </x:c>
      <x:c r="K681" s="2" t="str">
        <x:v>MAIN-023</x:v>
      </x:c>
    </x:row>
    <x:row r="682" ht="46" customHeight="1">
      <x:c r="A682" s="2" t="str">
        <x:v>TEN-1D0B501C3EE3</x:v>
      </x:c>
      <x:c r="B682" s="12" t="str">
        <x:v>Info Services Digitech India</x:v>
      </x:c>
      <x:c r="C682" s="12" t="str">
        <x:v>CORP-0226</x:v>
      </x:c>
      <x:c r="D682" s="12" t="str">
        <x:v>Hyderabad</x:v>
      </x:c>
      <x:c r="E682" s="12" t="str">
        <x:v>Elemental</x:v>
      </x:c>
      <x:c r="F682" s="12" t="str">
        <x:v>43 inch LED TV</x:v>
      </x:c>
      <x:c r="G682" s="20" t="n">
        <x:v>4</x:v>
      </x:c>
      <x:c r="H682" s="12" t="str">
        <x:v>Inventory-listed building/workspace context; current occupancy and screen access unverified</x:v>
      </x:c>
      <x:c r="I682" s="12" t="str">
        <x:v>Mixed business audience</x:v>
      </x:c>
      <x:c r="J682" s="12" t="str">
        <x:v>Unresolved</x:v>
      </x:c>
      <x:c r="K682" s="2" t="str">
        <x:v>MAIN-230</x:v>
      </x:c>
    </x:row>
    <x:row r="683" ht="46" customHeight="1">
      <x:c r="A683" s="2" t="str">
        <x:v>TEN-283307F05C7F</x:v>
      </x:c>
      <x:c r="B683" s="12" t="str">
        <x:v>Elemental Realty Pvt Ltd</x:v>
      </x:c>
      <x:c r="C683" s="12" t="str">
        <x:v>CORP-0226</x:v>
      </x:c>
      <x:c r="D683" s="12" t="str">
        <x:v>Hyderabad</x:v>
      </x:c>
      <x:c r="E683" s="12" t="str">
        <x:v>Elemental</x:v>
      </x:c>
      <x:c r="F683" s="12" t="str">
        <x:v>43 inch LED TV</x:v>
      </x:c>
      <x:c r="G683" s="20" t="n">
        <x:v>4</x:v>
      </x:c>
      <x:c r="H683" s="12" t="str">
        <x:v>Inventory-listed building/workspace context; current occupancy and screen access unverified</x:v>
      </x:c>
      <x:c r="I683" s="12" t="str">
        <x:v>Small-scale prospects</x:v>
      </x:c>
      <x:c r="J683" s="12" t="str">
        <x:v>Trade, consumer &amp; logistics</x:v>
      </x:c>
      <x:c r="K683" s="2" t="str">
        <x:v>MAIN-230</x:v>
      </x:c>
    </x:row>
    <x:row r="684" ht="46" customHeight="1">
      <x:c r="A684" s="2" t="str">
        <x:v>TEN-48EF4A7809DE</x:v>
      </x:c>
      <x:c r="B684" s="12" t="str">
        <x:v>Innova Solutions</x:v>
      </x:c>
      <x:c r="C684" s="12" t="str">
        <x:v>CORP-0228</x:v>
      </x:c>
      <x:c r="D684" s="12" t="str">
        <x:v>Hyderabad</x:v>
      </x:c>
      <x:c r="E684" s="12" t="str">
        <x:v>GAR Laxmi Infobahn (T1, T2){IE}</x:v>
      </x:c>
      <x:c r="F684" s="12" t="str">
        <x:v>24 inch LED TV</x:v>
      </x:c>
      <x:c r="G684" s="20" t="n">
        <x:v>21</x:v>
      </x:c>
      <x:c r="H684" s="12" t="str">
        <x:v>Company-listed tower/campus context; exact screen access unverified</x:v>
      </x:c>
      <x:c r="I684" s="12" t="str">
        <x:v>Large enterprise</x:v>
      </x:c>
      <x:c r="J684" s="12" t="str">
        <x:v>IT &amp; digital</x:v>
      </x:c>
      <x:c r="K684" s="2" t="str">
        <x:v>MAIN-232</x:v>
      </x:c>
    </x:row>
    <x:row r="685" ht="46" customHeight="1">
      <x:c r="A685" s="2" t="str">
        <x:v>TEN-AF1255090479</x:v>
      </x:c>
      <x:c r="B685" s="12" t="str">
        <x:v>CorroHealth Infotech Pvt Ltd</x:v>
      </x:c>
      <x:c r="C685" s="12" t="str">
        <x:v>CORP-0228</x:v>
      </x:c>
      <x:c r="D685" s="12" t="str">
        <x:v>Hyderabad</x:v>
      </x:c>
      <x:c r="E685" s="12" t="str">
        <x:v>GAR Laxmi Infobahn (T1, T2){IE}</x:v>
      </x:c>
      <x:c r="F685" s="12" t="str">
        <x:v>24 inch LED TV</x:v>
      </x:c>
      <x:c r="G685" s="20" t="n">
        <x:v>21</x:v>
      </x:c>
      <x:c r="H685" s="12" t="str">
        <x:v>Company-listed tower/campus context; exact screen access unverified</x:v>
      </x:c>
      <x:c r="I685" s="12" t="str">
        <x:v>Large enterprise</x:v>
      </x:c>
      <x:c r="J685" s="12" t="str">
        <x:v>Healthcare &amp; life sciences</x:v>
      </x:c>
      <x:c r="K685" s="2" t="str">
        <x:v>MAIN-232</x:v>
      </x:c>
    </x:row>
    <x:row r="686" ht="46" customHeight="1">
      <x:c r="A686" s="2" t="str">
        <x:v>TEN-E1F3AEFC4A1F</x:v>
      </x:c>
      <x:c r="B686" s="12" t="str">
        <x:v>Capgemini Technology Services India Limited</x:v>
      </x:c>
      <x:c r="C686" s="12" t="str">
        <x:v>CORP-0230</x:v>
      </x:c>
      <x:c r="D686" s="12" t="str">
        <x:v>Hyderabad</x:v>
      </x:c>
      <x:c r="E686" s="12" t="str">
        <x:v>GAR Laxmi Infobahn (T3, T4) {IE}</x:v>
      </x:c>
      <x:c r="F686" s="12" t="str">
        <x:v>24 inch LED TV</x:v>
      </x:c>
      <x:c r="G686" s="20" t="n">
        <x:v>16</x:v>
      </x:c>
      <x:c r="H686" s="12" t="str">
        <x:v>Company-listed tower/campus context; exact screen access unverified</x:v>
      </x:c>
      <x:c r="I686" s="12" t="str">
        <x:v>Large enterprise</x:v>
      </x:c>
      <x:c r="J686" s="12" t="str">
        <x:v>IT &amp; digital</x:v>
      </x:c>
      <x:c r="K686" s="2" t="str">
        <x:v>MAIN-234</x:v>
      </x:c>
    </x:row>
    <x:row r="687" ht="46" customHeight="1">
      <x:c r="A687" s="2" t="str">
        <x:v>TEN-36E26473A4E8</x:v>
      </x:c>
      <x:c r="B687" s="12" t="str">
        <x:v>Alstom</x:v>
      </x:c>
      <x:c r="C687" s="12" t="str">
        <x:v>CORP-0231</x:v>
      </x:c>
      <x:c r="D687" s="12" t="str">
        <x:v>Hyderabad</x:v>
      </x:c>
      <x:c r="E687" s="12" t="str">
        <x:v>GAR Laxmi Infobahn (T5, T6)</x:v>
      </x:c>
      <x:c r="F687" s="12" t="str">
        <x:v>55 inch LED TV</x:v>
      </x:c>
      <x:c r="G687" s="20" t="n">
        <x:v>9</x:v>
      </x:c>
      <x:c r="H687" s="12" t="str">
        <x:v>Campus/portfolio roster; individual building occupancy unverified</x:v>
      </x:c>
      <x:c r="I687" s="12" t="str">
        <x:v>Large enterprise</x:v>
      </x:c>
      <x:c r="J687" s="12" t="str">
        <x:v>Engineering &amp; manufacturing</x:v>
      </x:c>
      <x:c r="K687" s="2" t="str">
        <x:v>MAIN-235</x:v>
      </x:c>
    </x:row>
    <x:row r="688" ht="46" customHeight="1">
      <x:c r="A688" s="2" t="str">
        <x:v>TEN-5CC10D9143B2</x:v>
      </x:c>
      <x:c r="B688" s="12" t="str">
        <x:v>Zeta</x:v>
      </x:c>
      <x:c r="C688" s="12" t="str">
        <x:v>CORP-0231</x:v>
      </x:c>
      <x:c r="D688" s="12" t="str">
        <x:v>Hyderabad</x:v>
      </x:c>
      <x:c r="E688" s="12" t="str">
        <x:v>GAR Laxmi Infobahn (T5, T6)</x:v>
      </x:c>
      <x:c r="F688" s="12" t="str">
        <x:v>55 inch LED TV</x:v>
      </x:c>
      <x:c r="G688" s="20" t="n">
        <x:v>9</x:v>
      </x:c>
      <x:c r="H688" s="12" t="str">
        <x:v>Campus/portfolio roster; individual building occupancy unverified</x:v>
      </x:c>
      <x:c r="I688" s="12" t="str">
        <x:v>Large enterprise</x:v>
      </x:c>
      <x:c r="J688" s="12" t="str">
        <x:v>Finance &amp; insurance</x:v>
      </x:c>
      <x:c r="K688" s="2" t="str">
        <x:v>MAIN-235</x:v>
      </x:c>
    </x:row>
    <x:row r="689" ht="46" customHeight="1">
      <x:c r="A689" s="2" t="str">
        <x:v>TEN-60E773B49B70</x:v>
      </x:c>
      <x:c r="B689" s="12" t="str">
        <x:v>Lansum</x:v>
      </x:c>
      <x:c r="C689" s="12" t="str">
        <x:v>CORP-0231</x:v>
      </x:c>
      <x:c r="D689" s="12" t="str">
        <x:v>Hyderabad</x:v>
      </x:c>
      <x:c r="E689" s="12" t="str">
        <x:v>GAR Laxmi Infobahn (T5, T6)</x:v>
      </x:c>
      <x:c r="F689" s="12" t="str">
        <x:v>55 inch LED TV</x:v>
      </x:c>
      <x:c r="G689" s="20" t="n">
        <x:v>9</x:v>
      </x:c>
      <x:c r="H689" s="12" t="str">
        <x:v>Campus/portfolio roster; individual building occupancy unverified</x:v>
      </x:c>
      <x:c r="I689" s="12" t="str">
        <x:v>Small-scale prospects</x:v>
      </x:c>
      <x:c r="J689" s="12" t="str">
        <x:v>Trade, consumer &amp; logistics</x:v>
      </x:c>
      <x:c r="K689" s="2" t="str">
        <x:v>MAIN-235</x:v>
      </x:c>
    </x:row>
    <x:row r="690" ht="46" customHeight="1">
      <x:c r="A690" s="2" t="str">
        <x:v>TEN-86F73DFE7BB6</x:v>
      </x:c>
      <x:c r="B690" s="12" t="str">
        <x:v>Cognizant</x:v>
      </x:c>
      <x:c r="C690" s="12" t="str">
        <x:v>CORP-0231</x:v>
      </x:c>
      <x:c r="D690" s="12" t="str">
        <x:v>Hyderabad</x:v>
      </x:c>
      <x:c r="E690" s="12" t="str">
        <x:v>GAR Laxmi Infobahn (T5, T6)</x:v>
      </x:c>
      <x:c r="F690" s="12" t="str">
        <x:v>55 inch LED TV</x:v>
      </x:c>
      <x:c r="G690" s="20" t="n">
        <x:v>9</x:v>
      </x:c>
      <x:c r="H690" s="12" t="str">
        <x:v>Campus/portfolio roster; individual building occupancy unverified</x:v>
      </x:c>
      <x:c r="I690" s="12" t="str">
        <x:v>Large enterprise</x:v>
      </x:c>
      <x:c r="J690" s="12" t="str">
        <x:v>IT &amp; digital</x:v>
      </x:c>
      <x:c r="K690" s="2" t="str">
        <x:v>MAIN-235</x:v>
      </x:c>
    </x:row>
    <x:row r="691" ht="46" customHeight="1">
      <x:c r="A691" s="2" t="str">
        <x:v>TEN-F55A85B2F2EB</x:v>
      </x:c>
      <x:c r="B691" s="12" t="str">
        <x:v>Capgemini</x:v>
      </x:c>
      <x:c r="C691" s="12" t="str">
        <x:v>CORP-0231</x:v>
      </x:c>
      <x:c r="D691" s="12" t="str">
        <x:v>Hyderabad</x:v>
      </x:c>
      <x:c r="E691" s="12" t="str">
        <x:v>GAR Laxmi Infobahn (T5, T6)</x:v>
      </x:c>
      <x:c r="F691" s="12" t="str">
        <x:v>55 inch LED TV</x:v>
      </x:c>
      <x:c r="G691" s="20" t="n">
        <x:v>9</x:v>
      </x:c>
      <x:c r="H691" s="12" t="str">
        <x:v>Campus/portfolio roster; individual building occupancy unverified</x:v>
      </x:c>
      <x:c r="I691" s="12" t="str">
        <x:v>Large enterprise</x:v>
      </x:c>
      <x:c r="J691" s="12" t="str">
        <x:v>IT &amp; digital</x:v>
      </x:c>
      <x:c r="K691" s="2" t="str">
        <x:v>MAIN-235</x:v>
      </x:c>
    </x:row>
    <x:row r="692" ht="46" customHeight="1">
      <x:c r="A692" s="2" t="str">
        <x:v>TEN-36E26473A4E8</x:v>
      </x:c>
      <x:c r="B692" s="12" t="str">
        <x:v>Alstom</x:v>
      </x:c>
      <x:c r="C692" s="12" t="str">
        <x:v>CORP-0232</x:v>
      </x:c>
      <x:c r="D692" s="12" t="str">
        <x:v>Hyderabad</x:v>
      </x:c>
      <x:c r="E692" s="12" t="str">
        <x:v>GAR Laxmi Infobahn (T5, T6){IE}</x:v>
      </x:c>
      <x:c r="F692" s="12" t="str">
        <x:v>24 inch LED TV</x:v>
      </x:c>
      <x:c r="G692" s="20" t="n">
        <x:v>27</x:v>
      </x:c>
      <x:c r="H692" s="12" t="str">
        <x:v>Campus/portfolio roster; individual building occupancy unverified</x:v>
      </x:c>
      <x:c r="I692" s="12" t="str">
        <x:v>Large enterprise</x:v>
      </x:c>
      <x:c r="J692" s="12" t="str">
        <x:v>Engineering &amp; manufacturing</x:v>
      </x:c>
      <x:c r="K692" s="2" t="str">
        <x:v>MAIN-236</x:v>
      </x:c>
    </x:row>
    <x:row r="693" ht="46" customHeight="1">
      <x:c r="A693" s="2" t="str">
        <x:v>TEN-5CC10D9143B2</x:v>
      </x:c>
      <x:c r="B693" s="12" t="str">
        <x:v>Zeta</x:v>
      </x:c>
      <x:c r="C693" s="12" t="str">
        <x:v>CORP-0232</x:v>
      </x:c>
      <x:c r="D693" s="12" t="str">
        <x:v>Hyderabad</x:v>
      </x:c>
      <x:c r="E693" s="12" t="str">
        <x:v>GAR Laxmi Infobahn (T5, T6){IE}</x:v>
      </x:c>
      <x:c r="F693" s="12" t="str">
        <x:v>24 inch LED TV</x:v>
      </x:c>
      <x:c r="G693" s="20" t="n">
        <x:v>27</x:v>
      </x:c>
      <x:c r="H693" s="12" t="str">
        <x:v>Campus/portfolio roster; individual building occupancy unverified</x:v>
      </x:c>
      <x:c r="I693" s="12" t="str">
        <x:v>Large enterprise</x:v>
      </x:c>
      <x:c r="J693" s="12" t="str">
        <x:v>Finance &amp; insurance</x:v>
      </x:c>
      <x:c r="K693" s="2" t="str">
        <x:v>MAIN-236</x:v>
      </x:c>
    </x:row>
    <x:row r="694" ht="46" customHeight="1">
      <x:c r="A694" s="2" t="str">
        <x:v>TEN-60E773B49B70</x:v>
      </x:c>
      <x:c r="B694" s="12" t="str">
        <x:v>Lansum</x:v>
      </x:c>
      <x:c r="C694" s="12" t="str">
        <x:v>CORP-0232</x:v>
      </x:c>
      <x:c r="D694" s="12" t="str">
        <x:v>Hyderabad</x:v>
      </x:c>
      <x:c r="E694" s="12" t="str">
        <x:v>GAR Laxmi Infobahn (T5, T6){IE}</x:v>
      </x:c>
      <x:c r="F694" s="12" t="str">
        <x:v>24 inch LED TV</x:v>
      </x:c>
      <x:c r="G694" s="20" t="n">
        <x:v>27</x:v>
      </x:c>
      <x:c r="H694" s="12" t="str">
        <x:v>Campus/portfolio roster; individual building occupancy unverified</x:v>
      </x:c>
      <x:c r="I694" s="12" t="str">
        <x:v>Small-scale prospects</x:v>
      </x:c>
      <x:c r="J694" s="12" t="str">
        <x:v>Trade, consumer &amp; logistics</x:v>
      </x:c>
      <x:c r="K694" s="2" t="str">
        <x:v>MAIN-236</x:v>
      </x:c>
    </x:row>
    <x:row r="695" ht="46" customHeight="1">
      <x:c r="A695" s="2" t="str">
        <x:v>TEN-86F73DFE7BB6</x:v>
      </x:c>
      <x:c r="B695" s="12" t="str">
        <x:v>Cognizant</x:v>
      </x:c>
      <x:c r="C695" s="12" t="str">
        <x:v>CORP-0232</x:v>
      </x:c>
      <x:c r="D695" s="12" t="str">
        <x:v>Hyderabad</x:v>
      </x:c>
      <x:c r="E695" s="12" t="str">
        <x:v>GAR Laxmi Infobahn (T5, T6){IE}</x:v>
      </x:c>
      <x:c r="F695" s="12" t="str">
        <x:v>24 inch LED TV</x:v>
      </x:c>
      <x:c r="G695" s="20" t="n">
        <x:v>27</x:v>
      </x:c>
      <x:c r="H695" s="12" t="str">
        <x:v>Campus/portfolio roster; individual building occupancy unverified</x:v>
      </x:c>
      <x:c r="I695" s="12" t="str">
        <x:v>Large enterprise</x:v>
      </x:c>
      <x:c r="J695" s="12" t="str">
        <x:v>IT &amp; digital</x:v>
      </x:c>
      <x:c r="K695" s="2" t="str">
        <x:v>MAIN-236</x:v>
      </x:c>
    </x:row>
    <x:row r="696" ht="46" customHeight="1">
      <x:c r="A696" s="2" t="str">
        <x:v>TEN-F55A85B2F2EB</x:v>
      </x:c>
      <x:c r="B696" s="12" t="str">
        <x:v>Capgemini</x:v>
      </x:c>
      <x:c r="C696" s="12" t="str">
        <x:v>CORP-0232</x:v>
      </x:c>
      <x:c r="D696" s="12" t="str">
        <x:v>Hyderabad</x:v>
      </x:c>
      <x:c r="E696" s="12" t="str">
        <x:v>GAR Laxmi Infobahn (T5, T6){IE}</x:v>
      </x:c>
      <x:c r="F696" s="12" t="str">
        <x:v>24 inch LED TV</x:v>
      </x:c>
      <x:c r="G696" s="20" t="n">
        <x:v>27</x:v>
      </x:c>
      <x:c r="H696" s="12" t="str">
        <x:v>Campus/portfolio roster; individual building occupancy unverified</x:v>
      </x:c>
      <x:c r="I696" s="12" t="str">
        <x:v>Large enterprise</x:v>
      </x:c>
      <x:c r="J696" s="12" t="str">
        <x:v>IT &amp; digital</x:v>
      </x:c>
      <x:c r="K696" s="2" t="str">
        <x:v>MAIN-236</x:v>
      </x:c>
    </x:row>
    <x:row r="697" ht="46" customHeight="1">
      <x:c r="A697" s="2" t="str">
        <x:v>TEN-0B1B737E0D61</x:v>
      </x:c>
      <x:c r="B697" s="12" t="str">
        <x:v>Areteans Hyderabad</x:v>
      </x:c>
      <x:c r="C697" s="12" t="str">
        <x:v>CORP-0233</x:v>
      </x:c>
      <x:c r="D697" s="12" t="str">
        <x:v>Hyderabad</x:v>
      </x:c>
      <x:c r="E697" s="12" t="str">
        <x:v>Meenakshi Tech Park</x:v>
      </x:c>
      <x:c r="F697" s="12" t="str">
        <x:v>55 inch LED TV</x:v>
      </x:c>
      <x:c r="G697" s="20" t="n">
        <x:v>2</x:v>
      </x:c>
      <x:c r="H697" s="12" t="str">
        <x:v>Campus/portfolio roster; individual building occupancy unverified</x:v>
      </x:c>
      <x:c r="I697" s="12" t="str">
        <x:v>Mixed business audience</x:v>
      </x:c>
      <x:c r="J697" s="12" t="str">
        <x:v>IT &amp; digital</x:v>
      </x:c>
      <x:c r="K697" s="2" t="str">
        <x:v>MAIN-237</x:v>
      </x:c>
    </x:row>
    <x:row r="698" ht="46" customHeight="1">
      <x:c r="A698" s="2" t="str">
        <x:v>TEN-2167B7AB9B82</x:v>
      </x:c>
      <x:c r="B698" s="12" t="str">
        <x:v>Ivy Comptech Meenakshi</x:v>
      </x:c>
      <x:c r="C698" s="12" t="str">
        <x:v>CORP-0233</x:v>
      </x:c>
      <x:c r="D698" s="12" t="str">
        <x:v>Hyderabad</x:v>
      </x:c>
      <x:c r="E698" s="12" t="str">
        <x:v>Meenakshi Tech Park</x:v>
      </x:c>
      <x:c r="F698" s="12" t="str">
        <x:v>55 inch LED TV</x:v>
      </x:c>
      <x:c r="G698" s="20" t="n">
        <x:v>2</x:v>
      </x:c>
      <x:c r="H698" s="12" t="str">
        <x:v>Campus/portfolio roster; individual building occupancy unverified</x:v>
      </x:c>
      <x:c r="I698" s="12" t="str">
        <x:v>Mixed business audience</x:v>
      </x:c>
      <x:c r="J698" s="12" t="str">
        <x:v>IT &amp; digital</x:v>
      </x:c>
      <x:c r="K698" s="2" t="str">
        <x:v>MAIN-237</x:v>
      </x:c>
    </x:row>
    <x:row r="699" ht="46" customHeight="1">
      <x:c r="A699" s="2" t="str">
        <x:v>TEN-76119E99264F</x:v>
      </x:c>
      <x:c r="B699" s="12" t="str">
        <x:v>O.C.Tanner India Pvt Ltd</x:v>
      </x:c>
      <x:c r="C699" s="12" t="str">
        <x:v>CORP-0233</x:v>
      </x:c>
      <x:c r="D699" s="12" t="str">
        <x:v>Hyderabad</x:v>
      </x:c>
      <x:c r="E699" s="12" t="str">
        <x:v>Meenakshi Tech Park</x:v>
      </x:c>
      <x:c r="F699" s="12" t="str">
        <x:v>55 inch LED TV</x:v>
      </x:c>
      <x:c r="G699" s="20" t="n">
        <x:v>2</x:v>
      </x:c>
      <x:c r="H699" s="12" t="str">
        <x:v>Campus/portfolio roster; individual building occupancy unverified</x:v>
      </x:c>
      <x:c r="I699" s="12" t="str">
        <x:v>Mixed business audience</x:v>
      </x:c>
      <x:c r="J699" s="12" t="str">
        <x:v>Professional services</x:v>
      </x:c>
      <x:c r="K699" s="2" t="str">
        <x:v>MAIN-237</x:v>
      </x:c>
    </x:row>
    <x:row r="700" ht="46" customHeight="1">
      <x:c r="A700" s="2" t="str">
        <x:v>TEN-78DCE9DD9B5D</x:v>
      </x:c>
      <x:c r="B700" s="12" t="str">
        <x:v>Credera Hyderabad</x:v>
      </x:c>
      <x:c r="C700" s="12" t="str">
        <x:v>CORP-0233</x:v>
      </x:c>
      <x:c r="D700" s="12" t="str">
        <x:v>Hyderabad</x:v>
      </x:c>
      <x:c r="E700" s="12" t="str">
        <x:v>Meenakshi Tech Park</x:v>
      </x:c>
      <x:c r="F700" s="12" t="str">
        <x:v>55 inch LED TV</x:v>
      </x:c>
      <x:c r="G700" s="20" t="n">
        <x:v>2</x:v>
      </x:c>
      <x:c r="H700" s="12" t="str">
        <x:v>Campus/portfolio roster; individual building occupancy unverified</x:v>
      </x:c>
      <x:c r="I700" s="12" t="str">
        <x:v>Mixed business audience</x:v>
      </x:c>
      <x:c r="J700" s="12" t="str">
        <x:v>IT &amp; digital</x:v>
      </x:c>
      <x:c r="K700" s="2" t="str">
        <x:v>MAIN-237</x:v>
      </x:c>
    </x:row>
    <x:row r="701" ht="46" customHeight="1">
      <x:c r="A701" s="2" t="str">
        <x:v>TEN-A451FD13D198</x:v>
      </x:c>
      <x:c r="B701" s="12" t="str">
        <x:v>Reliance Retail Limited</x:v>
      </x:c>
      <x:c r="C701" s="12" t="str">
        <x:v>CORP-0233</x:v>
      </x:c>
      <x:c r="D701" s="12" t="str">
        <x:v>Hyderabad</x:v>
      </x:c>
      <x:c r="E701" s="12" t="str">
        <x:v>Meenakshi Tech Park</x:v>
      </x:c>
      <x:c r="F701" s="12" t="str">
        <x:v>55 inch LED TV</x:v>
      </x:c>
      <x:c r="G701" s="20" t="n">
        <x:v>2</x:v>
      </x:c>
      <x:c r="H701" s="12" t="str">
        <x:v>Campus/portfolio roster; individual building occupancy unverified</x:v>
      </x:c>
      <x:c r="I701" s="12" t="str">
        <x:v>Large enterprise</x:v>
      </x:c>
      <x:c r="J701" s="12" t="str">
        <x:v>Trade, consumer &amp; logistics</x:v>
      </x:c>
      <x:c r="K701" s="2" t="str">
        <x:v>MAIN-237</x:v>
      </x:c>
    </x:row>
    <x:row r="702" ht="46" customHeight="1">
      <x:c r="A702" s="2" t="str">
        <x:v>TEN-CFD92216CFD8</x:v>
      </x:c>
      <x:c r="B702" s="12" t="str">
        <x:v>Itya TV</x:v>
      </x:c>
      <x:c r="C702" s="12" t="str">
        <x:v>CORP-0233</x:v>
      </x:c>
      <x:c r="D702" s="12" t="str">
        <x:v>Hyderabad</x:v>
      </x:c>
      <x:c r="E702" s="12" t="str">
        <x:v>Meenakshi Tech Park</x:v>
      </x:c>
      <x:c r="F702" s="12" t="str">
        <x:v>55 inch LED TV</x:v>
      </x:c>
      <x:c r="G702" s="20" t="n">
        <x:v>2</x:v>
      </x:c>
      <x:c r="H702" s="12" t="str">
        <x:v>Campus/portfolio roster; individual building occupancy unverified</x:v>
      </x:c>
      <x:c r="I702" s="12" t="str">
        <x:v>Small-scale prospects</x:v>
      </x:c>
      <x:c r="J702" s="12" t="str">
        <x:v>Trade, consumer &amp; logistics</x:v>
      </x:c>
      <x:c r="K702" s="2" t="str">
        <x:v>MAIN-237</x:v>
      </x:c>
    </x:row>
    <x:row r="703" ht="46" customHeight="1">
      <x:c r="A703" s="2" t="str">
        <x:v>TEN-FAE50BFB0E7A</x:v>
      </x:c>
      <x:c r="B703" s="12" t="str">
        <x:v>KlearTone Pvt Ltd</x:v>
      </x:c>
      <x:c r="C703" s="12" t="str">
        <x:v>CORP-0233</x:v>
      </x:c>
      <x:c r="D703" s="12" t="str">
        <x:v>Hyderabad</x:v>
      </x:c>
      <x:c r="E703" s="12" t="str">
        <x:v>Meenakshi Tech Park</x:v>
      </x:c>
      <x:c r="F703" s="12" t="str">
        <x:v>55 inch LED TV</x:v>
      </x:c>
      <x:c r="G703" s="20" t="n">
        <x:v>2</x:v>
      </x:c>
      <x:c r="H703" s="12" t="str">
        <x:v>Campus/portfolio roster; individual building occupancy unverified</x:v>
      </x:c>
      <x:c r="I703" s="12" t="str">
        <x:v>Mixed business audience</x:v>
      </x:c>
      <x:c r="J703" s="12" t="str">
        <x:v>Unresolved</x:v>
      </x:c>
      <x:c r="K703" s="2" t="str">
        <x:v>MAIN-237</x:v>
      </x:c>
    </x:row>
    <x:row r="704" ht="46" customHeight="1">
      <x:c r="A704" s="2" t="str">
        <x:v>TEN-0B1B737E0D61</x:v>
      </x:c>
      <x:c r="B704" s="12" t="str">
        <x:v>Areteans Hyderabad</x:v>
      </x:c>
      <x:c r="C704" s="12" t="str">
        <x:v>CORP-0234</x:v>
      </x:c>
      <x:c r="D704" s="12" t="str">
        <x:v>Hyderabad</x:v>
      </x:c>
      <x:c r="E704" s="12" t="str">
        <x:v>Meenakshi Tech Park {IE}</x:v>
      </x:c>
      <x:c r="F704" s="12" t="str">
        <x:v>24 inch LED TV</x:v>
      </x:c>
      <x:c r="G704" s="20" t="n">
        <x:v>11</x:v>
      </x:c>
      <x:c r="H704" s="12" t="str">
        <x:v>Campus/portfolio roster; individual building occupancy unverified</x:v>
      </x:c>
      <x:c r="I704" s="12" t="str">
        <x:v>Mixed business audience</x:v>
      </x:c>
      <x:c r="J704" s="12" t="str">
        <x:v>IT &amp; digital</x:v>
      </x:c>
      <x:c r="K704" s="2" t="str">
        <x:v>MAIN-238</x:v>
      </x:c>
    </x:row>
    <x:row r="705" ht="46" customHeight="1">
      <x:c r="A705" s="2" t="str">
        <x:v>TEN-9733364DAF39</x:v>
      </x:c>
      <x:c r="B705" s="12" t="str">
        <x:v>Smart drive</x:v>
      </x:c>
      <x:c r="C705" s="12" t="str">
        <x:v>CORP-0234</x:v>
      </x:c>
      <x:c r="D705" s="12" t="str">
        <x:v>Hyderabad</x:v>
      </x:c>
      <x:c r="E705" s="12" t="str">
        <x:v>Meenakshi Tech Park {IE}</x:v>
      </x:c>
      <x:c r="F705" s="12" t="str">
        <x:v>24 inch LED TV</x:v>
      </x:c>
      <x:c r="G705" s="20" t="n">
        <x:v>11</x:v>
      </x:c>
      <x:c r="H705" s="12" t="str">
        <x:v>Campus/portfolio roster; individual building occupancy unverified</x:v>
      </x:c>
      <x:c r="I705" s="12" t="str">
        <x:v>Mixed business audience</x:v>
      </x:c>
      <x:c r="J705" s="12" t="str">
        <x:v>Unresolved</x:v>
      </x:c>
      <x:c r="K705" s="2" t="str">
        <x:v>MAIN-238</x:v>
      </x:c>
    </x:row>
    <x:row r="706" ht="46" customHeight="1">
      <x:c r="A706" s="2" t="str">
        <x:v>TEN-A0C3E5D27CA4</x:v>
      </x:c>
      <x:c r="B706" s="12" t="str">
        <x:v>IVY groups</x:v>
      </x:c>
      <x:c r="C706" s="12" t="str">
        <x:v>CORP-0234</x:v>
      </x:c>
      <x:c r="D706" s="12" t="str">
        <x:v>Hyderabad</x:v>
      </x:c>
      <x:c r="E706" s="12" t="str">
        <x:v>Meenakshi Tech Park {IE}</x:v>
      </x:c>
      <x:c r="F706" s="12" t="str">
        <x:v>24 inch LED TV</x:v>
      </x:c>
      <x:c r="G706" s="20" t="n">
        <x:v>11</x:v>
      </x:c>
      <x:c r="H706" s="12" t="str">
        <x:v>Campus/portfolio roster; individual building occupancy unverified</x:v>
      </x:c>
      <x:c r="I706" s="12" t="str">
        <x:v>Mixed business audience</x:v>
      </x:c>
      <x:c r="J706" s="12" t="str">
        <x:v>Unresolved</x:v>
      </x:c>
      <x:c r="K706" s="2" t="str">
        <x:v>MAIN-238</x:v>
      </x:c>
    </x:row>
    <x:row r="707" ht="46" customHeight="1">
      <x:c r="A707" s="2" t="str">
        <x:v>TEN-A3FF8FA9D548</x:v>
      </x:c>
      <x:c r="B707" s="12" t="str">
        <x:v>Meritytics</x:v>
      </x:c>
      <x:c r="C707" s="12" t="str">
        <x:v>CORP-0234</x:v>
      </x:c>
      <x:c r="D707" s="12" t="str">
        <x:v>Hyderabad</x:v>
      </x:c>
      <x:c r="E707" s="12" t="str">
        <x:v>Meenakshi Tech Park {IE}</x:v>
      </x:c>
      <x:c r="F707" s="12" t="str">
        <x:v>24 inch LED TV</x:v>
      </x:c>
      <x:c r="G707" s="20" t="n">
        <x:v>11</x:v>
      </x:c>
      <x:c r="H707" s="12" t="str">
        <x:v>Campus/portfolio roster; individual building occupancy unverified</x:v>
      </x:c>
      <x:c r="I707" s="12" t="str">
        <x:v>Small-scale prospects</x:v>
      </x:c>
      <x:c r="J707" s="12" t="str">
        <x:v>IT &amp; digital</x:v>
      </x:c>
      <x:c r="K707" s="2" t="str">
        <x:v>MAIN-238</x:v>
      </x:c>
    </x:row>
    <x:row r="708" ht="46" customHeight="1">
      <x:c r="A708" s="2" t="str">
        <x:v>TEN-A451FD13D198</x:v>
      </x:c>
      <x:c r="B708" s="12" t="str">
        <x:v>Reliance Retail Limited</x:v>
      </x:c>
      <x:c r="C708" s="12" t="str">
        <x:v>CORP-0234</x:v>
      </x:c>
      <x:c r="D708" s="12" t="str">
        <x:v>Hyderabad</x:v>
      </x:c>
      <x:c r="E708" s="12" t="str">
        <x:v>Meenakshi Tech Park {IE}</x:v>
      </x:c>
      <x:c r="F708" s="12" t="str">
        <x:v>24 inch LED TV</x:v>
      </x:c>
      <x:c r="G708" s="20" t="n">
        <x:v>11</x:v>
      </x:c>
      <x:c r="H708" s="12" t="str">
        <x:v>Campus/portfolio roster; individual building occupancy unverified</x:v>
      </x:c>
      <x:c r="I708" s="12" t="str">
        <x:v>Large enterprise</x:v>
      </x:c>
      <x:c r="J708" s="12" t="str">
        <x:v>Trade, consumer &amp; logistics</x:v>
      </x:c>
      <x:c r="K708" s="2" t="str">
        <x:v>MAIN-238</x:v>
      </x:c>
    </x:row>
    <x:row r="709" ht="46" customHeight="1">
      <x:c r="A709" s="2" t="str">
        <x:v>TEN-B023B39C07DC</x:v>
      </x:c>
      <x:c r="B709" s="12" t="str">
        <x:v>HDFC</x:v>
      </x:c>
      <x:c r="C709" s="12" t="str">
        <x:v>CORP-0234</x:v>
      </x:c>
      <x:c r="D709" s="12" t="str">
        <x:v>Hyderabad</x:v>
      </x:c>
      <x:c r="E709" s="12" t="str">
        <x:v>Meenakshi Tech Park {IE}</x:v>
      </x:c>
      <x:c r="F709" s="12" t="str">
        <x:v>24 inch LED TV</x:v>
      </x:c>
      <x:c r="G709" s="20" t="n">
        <x:v>11</x:v>
      </x:c>
      <x:c r="H709" s="12" t="str">
        <x:v>Campus/portfolio roster; individual building occupancy unverified</x:v>
      </x:c>
      <x:c r="I709" s="12" t="str">
        <x:v>Large enterprise</x:v>
      </x:c>
      <x:c r="J709" s="12" t="str">
        <x:v>Finance &amp; insurance</x:v>
      </x:c>
      <x:c r="K709" s="2" t="str">
        <x:v>MAIN-238</x:v>
      </x:c>
    </x:row>
    <x:row r="710" ht="46" customHeight="1">
      <x:c r="A710" s="2" t="str">
        <x:v>TEN-C79EC7F1D968</x:v>
      </x:c>
      <x:c r="B710" s="12" t="str">
        <x:v>ATN</x:v>
      </x:c>
      <x:c r="C710" s="12" t="str">
        <x:v>CORP-0234</x:v>
      </x:c>
      <x:c r="D710" s="12" t="str">
        <x:v>Hyderabad</x:v>
      </x:c>
      <x:c r="E710" s="12" t="str">
        <x:v>Meenakshi Tech Park {IE}</x:v>
      </x:c>
      <x:c r="F710" s="12" t="str">
        <x:v>24 inch LED TV</x:v>
      </x:c>
      <x:c r="G710" s="20" t="n">
        <x:v>11</x:v>
      </x:c>
      <x:c r="H710" s="12" t="str">
        <x:v>Campus/portfolio roster; individual building occupancy unverified</x:v>
      </x:c>
      <x:c r="I710" s="12" t="str">
        <x:v>Mixed business audience</x:v>
      </x:c>
      <x:c r="J710" s="12" t="str">
        <x:v>Unresolved</x:v>
      </x:c>
      <x:c r="K710" s="2" t="str">
        <x:v>MAIN-238</x:v>
      </x:c>
    </x:row>
    <x:row r="711" ht="46" customHeight="1">
      <x:c r="A711" s="2" t="str">
        <x:v>TEN-0B1B737E0D61</x:v>
      </x:c>
      <x:c r="B711" s="12" t="str">
        <x:v>Areteans Hyderabad</x:v>
      </x:c>
      <x:c r="C711" s="12" t="str">
        <x:v>CORP-0235</x:v>
      </x:c>
      <x:c r="D711" s="12" t="str">
        <x:v>Hyderabad</x:v>
      </x:c>
      <x:c r="E711" s="12" t="str">
        <x:v>Meenakshi Tech Park-43 Inch Pods</x:v>
      </x:c>
      <x:c r="F711" s="12" t="str">
        <x:v>43 inch LED TV</x:v>
      </x:c>
      <x:c r="G711" s="20" t="n">
        <x:v>12</x:v>
      </x:c>
      <x:c r="H711" s="12" t="str">
        <x:v>Campus/portfolio roster; individual building occupancy unverified</x:v>
      </x:c>
      <x:c r="I711" s="12" t="str">
        <x:v>Mixed business audience</x:v>
      </x:c>
      <x:c r="J711" s="12" t="str">
        <x:v>IT &amp; digital</x:v>
      </x:c>
      <x:c r="K711" s="2" t="str">
        <x:v>MAIN-239</x:v>
      </x:c>
    </x:row>
    <x:row r="712" ht="46" customHeight="1">
      <x:c r="A712" s="2" t="str">
        <x:v>TEN-9733364DAF39</x:v>
      </x:c>
      <x:c r="B712" s="12" t="str">
        <x:v>Smart drive</x:v>
      </x:c>
      <x:c r="C712" s="12" t="str">
        <x:v>CORP-0235</x:v>
      </x:c>
      <x:c r="D712" s="12" t="str">
        <x:v>Hyderabad</x:v>
      </x:c>
      <x:c r="E712" s="12" t="str">
        <x:v>Meenakshi Tech Park-43 Inch Pods</x:v>
      </x:c>
      <x:c r="F712" s="12" t="str">
        <x:v>43 inch LED TV</x:v>
      </x:c>
      <x:c r="G712" s="20" t="n">
        <x:v>12</x:v>
      </x:c>
      <x:c r="H712" s="12" t="str">
        <x:v>Campus/portfolio roster; individual building occupancy unverified</x:v>
      </x:c>
      <x:c r="I712" s="12" t="str">
        <x:v>Mixed business audience</x:v>
      </x:c>
      <x:c r="J712" s="12" t="str">
        <x:v>Unresolved</x:v>
      </x:c>
      <x:c r="K712" s="2" t="str">
        <x:v>MAIN-239</x:v>
      </x:c>
    </x:row>
    <x:row r="713" ht="46" customHeight="1">
      <x:c r="A713" s="2" t="str">
        <x:v>TEN-A0C3E5D27CA4</x:v>
      </x:c>
      <x:c r="B713" s="12" t="str">
        <x:v>IVY groups</x:v>
      </x:c>
      <x:c r="C713" s="12" t="str">
        <x:v>CORP-0235</x:v>
      </x:c>
      <x:c r="D713" s="12" t="str">
        <x:v>Hyderabad</x:v>
      </x:c>
      <x:c r="E713" s="12" t="str">
        <x:v>Meenakshi Tech Park-43 Inch Pods</x:v>
      </x:c>
      <x:c r="F713" s="12" t="str">
        <x:v>43 inch LED TV</x:v>
      </x:c>
      <x:c r="G713" s="20" t="n">
        <x:v>12</x:v>
      </x:c>
      <x:c r="H713" s="12" t="str">
        <x:v>Campus/portfolio roster; individual building occupancy unverified</x:v>
      </x:c>
      <x:c r="I713" s="12" t="str">
        <x:v>Mixed business audience</x:v>
      </x:c>
      <x:c r="J713" s="12" t="str">
        <x:v>Unresolved</x:v>
      </x:c>
      <x:c r="K713" s="2" t="str">
        <x:v>MAIN-239</x:v>
      </x:c>
    </x:row>
    <x:row r="714" ht="46" customHeight="1">
      <x:c r="A714" s="2" t="str">
        <x:v>TEN-A3FF8FA9D548</x:v>
      </x:c>
      <x:c r="B714" s="12" t="str">
        <x:v>Meritytics</x:v>
      </x:c>
      <x:c r="C714" s="12" t="str">
        <x:v>CORP-0235</x:v>
      </x:c>
      <x:c r="D714" s="12" t="str">
        <x:v>Hyderabad</x:v>
      </x:c>
      <x:c r="E714" s="12" t="str">
        <x:v>Meenakshi Tech Park-43 Inch Pods</x:v>
      </x:c>
      <x:c r="F714" s="12" t="str">
        <x:v>43 inch LED TV</x:v>
      </x:c>
      <x:c r="G714" s="20" t="n">
        <x:v>12</x:v>
      </x:c>
      <x:c r="H714" s="12" t="str">
        <x:v>Campus/portfolio roster; individual building occupancy unverified</x:v>
      </x:c>
      <x:c r="I714" s="12" t="str">
        <x:v>Small-scale prospects</x:v>
      </x:c>
      <x:c r="J714" s="12" t="str">
        <x:v>IT &amp; digital</x:v>
      </x:c>
      <x:c r="K714" s="2" t="str">
        <x:v>MAIN-239</x:v>
      </x:c>
    </x:row>
    <x:row r="715" ht="46" customHeight="1">
      <x:c r="A715" s="2" t="str">
        <x:v>TEN-A451FD13D198</x:v>
      </x:c>
      <x:c r="B715" s="12" t="str">
        <x:v>Reliance Retail Limited</x:v>
      </x:c>
      <x:c r="C715" s="12" t="str">
        <x:v>CORP-0235</x:v>
      </x:c>
      <x:c r="D715" s="12" t="str">
        <x:v>Hyderabad</x:v>
      </x:c>
      <x:c r="E715" s="12" t="str">
        <x:v>Meenakshi Tech Park-43 Inch Pods</x:v>
      </x:c>
      <x:c r="F715" s="12" t="str">
        <x:v>43 inch LED TV</x:v>
      </x:c>
      <x:c r="G715" s="20" t="n">
        <x:v>12</x:v>
      </x:c>
      <x:c r="H715" s="12" t="str">
        <x:v>Campus/portfolio roster; individual building occupancy unverified</x:v>
      </x:c>
      <x:c r="I715" s="12" t="str">
        <x:v>Large enterprise</x:v>
      </x:c>
      <x:c r="J715" s="12" t="str">
        <x:v>Trade, consumer &amp; logistics</x:v>
      </x:c>
      <x:c r="K715" s="2" t="str">
        <x:v>MAIN-239</x:v>
      </x:c>
    </x:row>
    <x:row r="716" ht="46" customHeight="1">
      <x:c r="A716" s="2" t="str">
        <x:v>TEN-B023B39C07DC</x:v>
      </x:c>
      <x:c r="B716" s="12" t="str">
        <x:v>HDFC</x:v>
      </x:c>
      <x:c r="C716" s="12" t="str">
        <x:v>CORP-0235</x:v>
      </x:c>
      <x:c r="D716" s="12" t="str">
        <x:v>Hyderabad</x:v>
      </x:c>
      <x:c r="E716" s="12" t="str">
        <x:v>Meenakshi Tech Park-43 Inch Pods</x:v>
      </x:c>
      <x:c r="F716" s="12" t="str">
        <x:v>43 inch LED TV</x:v>
      </x:c>
      <x:c r="G716" s="20" t="n">
        <x:v>12</x:v>
      </x:c>
      <x:c r="H716" s="12" t="str">
        <x:v>Campus/portfolio roster; individual building occupancy unverified</x:v>
      </x:c>
      <x:c r="I716" s="12" t="str">
        <x:v>Large enterprise</x:v>
      </x:c>
      <x:c r="J716" s="12" t="str">
        <x:v>Finance &amp; insurance</x:v>
      </x:c>
      <x:c r="K716" s="2" t="str">
        <x:v>MAIN-239</x:v>
      </x:c>
    </x:row>
    <x:row r="717" ht="46" customHeight="1">
      <x:c r="A717" s="2" t="str">
        <x:v>TEN-C79EC7F1D968</x:v>
      </x:c>
      <x:c r="B717" s="12" t="str">
        <x:v>ATN</x:v>
      </x:c>
      <x:c r="C717" s="12" t="str">
        <x:v>CORP-0235</x:v>
      </x:c>
      <x:c r="D717" s="12" t="str">
        <x:v>Hyderabad</x:v>
      </x:c>
      <x:c r="E717" s="12" t="str">
        <x:v>Meenakshi Tech Park-43 Inch Pods</x:v>
      </x:c>
      <x:c r="F717" s="12" t="str">
        <x:v>43 inch LED TV</x:v>
      </x:c>
      <x:c r="G717" s="20" t="n">
        <x:v>12</x:v>
      </x:c>
      <x:c r="H717" s="12" t="str">
        <x:v>Campus/portfolio roster; individual building occupancy unverified</x:v>
      </x:c>
      <x:c r="I717" s="12" t="str">
        <x:v>Mixed business audience</x:v>
      </x:c>
      <x:c r="J717" s="12" t="str">
        <x:v>Unresolved</x:v>
      </x:c>
      <x:c r="K717" s="2" t="str">
        <x:v>MAIN-239</x:v>
      </x:c>
    </x:row>
    <x:row r="718" ht="46" customHeight="1">
      <x:c r="A718" s="2" t="str">
        <x:v>TEN-21D8CC8F4466</x:v>
      </x:c>
      <x:c r="B718" s="12" t="str">
        <x:v>Cybergyan Software Training</x:v>
      </x:c>
      <x:c r="C718" s="12" t="str">
        <x:v>CORP-0020</x:v>
      </x:c>
      <x:c r="D718" s="12" t="str">
        <x:v>Bengaluru</x:v>
      </x:c>
      <x:c r="E718" s="12" t="str">
        <x:v>Awfis - Soul Space Paradigm</x:v>
      </x:c>
      <x:c r="F718" s="12" t="str">
        <x:v>32 inch LED TV</x:v>
      </x:c>
      <x:c r="G718" s="20" t="n">
        <x:v>2</x:v>
      </x:c>
      <x:c r="H718" s="12" t="str">
        <x:v>Inventory-listed building/workspace context; current occupancy and screen access unverified</x:v>
      </x:c>
      <x:c r="I718" s="12" t="str">
        <x:v>Small-scale prospects</x:v>
      </x:c>
      <x:c r="J718" s="12" t="str">
        <x:v>Education</x:v>
      </x:c>
      <x:c r="K718" s="2" t="str">
        <x:v>MAIN-024</x:v>
      </x:c>
    </x:row>
    <x:row r="719" ht="46" customHeight="1">
      <x:c r="A719" s="2" t="str">
        <x:v>TEN-3E2A5D865C6E</x:v>
      </x:c>
      <x:c r="B719" s="12" t="str">
        <x:v>Colossal Developers Pvt.Ltd</x:v>
      </x:c>
      <x:c r="C719" s="12" t="str">
        <x:v>CORP-0020</x:v>
      </x:c>
      <x:c r="D719" s="12" t="str">
        <x:v>Bengaluru</x:v>
      </x:c>
      <x:c r="E719" s="12" t="str">
        <x:v>Awfis - Soul Space Paradigm</x:v>
      </x:c>
      <x:c r="F719" s="12" t="str">
        <x:v>32 inch LED TV</x:v>
      </x:c>
      <x:c r="G719" s="20" t="n">
        <x:v>2</x:v>
      </x:c>
      <x:c r="H719" s="12" t="str">
        <x:v>Inventory-listed building/workspace context; current occupancy and screen access unverified</x:v>
      </x:c>
      <x:c r="I719" s="12" t="str">
        <x:v>Small-scale prospects</x:v>
      </x:c>
      <x:c r="J719" s="12" t="str">
        <x:v>Trade, consumer &amp; logistics</x:v>
      </x:c>
      <x:c r="K719" s="2" t="str">
        <x:v>MAIN-024</x:v>
      </x:c>
    </x:row>
    <x:row r="720" ht="46" customHeight="1">
      <x:c r="A720" s="2" t="str">
        <x:v>TEN-0C8F4D4F49A4</x:v>
      </x:c>
      <x:c r="B720" s="12" t="str">
        <x:v>Midnight cravings</x:v>
      </x:c>
      <x:c r="C720" s="12" t="str">
        <x:v>CORP-0236</x:v>
      </x:c>
      <x:c r="D720" s="12" t="str">
        <x:v>Hyderabad</x:v>
      </x:c>
      <x:c r="E720" s="12" t="str">
        <x:v>NSL Arena Tech Park</x:v>
      </x:c>
      <x:c r="F720" s="12" t="str">
        <x:v>32 inch LED TV</x:v>
      </x:c>
      <x:c r="G720" s="20" t="n">
        <x:v>13</x:v>
      </x:c>
      <x:c r="H720" s="12" t="str">
        <x:v>Inventory-listed building/workspace context; current occupancy and screen access unverified</x:v>
      </x:c>
      <x:c r="I720" s="12" t="str">
        <x:v>Small-scale prospects</x:v>
      </x:c>
      <x:c r="J720" s="12" t="str">
        <x:v>Trade, consumer &amp; logistics</x:v>
      </x:c>
      <x:c r="K720" s="2" t="str">
        <x:v>MAIN-240</x:v>
      </x:c>
    </x:row>
    <x:row r="721" ht="46" customHeight="1">
      <x:c r="A721" s="2" t="str">
        <x:v>TEN-0F7677687E72</x:v>
      </x:c>
      <x:c r="B721" s="12" t="str">
        <x:v>Smart folks</x:v>
      </x:c>
      <x:c r="C721" s="12" t="str">
        <x:v>CORP-0236</x:v>
      </x:c>
      <x:c r="D721" s="12" t="str">
        <x:v>Hyderabad</x:v>
      </x:c>
      <x:c r="E721" s="12" t="str">
        <x:v>NSL Arena Tech Park</x:v>
      </x:c>
      <x:c r="F721" s="12" t="str">
        <x:v>32 inch LED TV</x:v>
      </x:c>
      <x:c r="G721" s="20" t="n">
        <x:v>13</x:v>
      </x:c>
      <x:c r="H721" s="12" t="str">
        <x:v>Inventory-listed building/workspace context; current occupancy and screen access unverified</x:v>
      </x:c>
      <x:c r="I721" s="12" t="str">
        <x:v>Mixed business audience</x:v>
      </x:c>
      <x:c r="J721" s="12" t="str">
        <x:v>Unresolved</x:v>
      </x:c>
      <x:c r="K721" s="2" t="str">
        <x:v>MAIN-240</x:v>
      </x:c>
    </x:row>
    <x:row r="722" ht="46" customHeight="1">
      <x:c r="A722" s="2" t="str">
        <x:v>TEN-1E631D09DAD4</x:v>
      </x:c>
      <x:c r="B722" s="12" t="str">
        <x:v>IKS Health Pvt. Ltd</x:v>
      </x:c>
      <x:c r="C722" s="12" t="str">
        <x:v>CORP-0236</x:v>
      </x:c>
      <x:c r="D722" s="12" t="str">
        <x:v>Hyderabad</x:v>
      </x:c>
      <x:c r="E722" s="12" t="str">
        <x:v>NSL Arena Tech Park</x:v>
      </x:c>
      <x:c r="F722" s="12" t="str">
        <x:v>32 inch LED TV</x:v>
      </x:c>
      <x:c r="G722" s="20" t="n">
        <x:v>13</x:v>
      </x:c>
      <x:c r="H722" s="12" t="str">
        <x:v>Inventory-listed building/workspace context; current occupancy and screen access unverified</x:v>
      </x:c>
      <x:c r="I722" s="12" t="str">
        <x:v>Large enterprise</x:v>
      </x:c>
      <x:c r="J722" s="12" t="str">
        <x:v>Healthcare &amp; life sciences</x:v>
      </x:c>
      <x:c r="K722" s="2" t="str">
        <x:v>MAIN-240</x:v>
      </x:c>
    </x:row>
    <x:row r="723" ht="46" customHeight="1">
      <x:c r="A723" s="2" t="str">
        <x:v>TEN-2DC3FC5EA3A9</x:v>
      </x:c>
      <x:c r="B723" s="12" t="str">
        <x:v>Cyient Ltd</x:v>
      </x:c>
      <x:c r="C723" s="12" t="str">
        <x:v>CORP-0236</x:v>
      </x:c>
      <x:c r="D723" s="12" t="str">
        <x:v>Hyderabad</x:v>
      </x:c>
      <x:c r="E723" s="12" t="str">
        <x:v>NSL Arena Tech Park</x:v>
      </x:c>
      <x:c r="F723" s="12" t="str">
        <x:v>32 inch LED TV</x:v>
      </x:c>
      <x:c r="G723" s="20" t="n">
        <x:v>13</x:v>
      </x:c>
      <x:c r="H723" s="12" t="str">
        <x:v>Inventory-listed building/workspace context; current occupancy and screen access unverified</x:v>
      </x:c>
      <x:c r="I723" s="12" t="str">
        <x:v>Large enterprise</x:v>
      </x:c>
      <x:c r="J723" s="12" t="str">
        <x:v>Engineering &amp; manufacturing</x:v>
      </x:c>
      <x:c r="K723" s="2" t="str">
        <x:v>MAIN-240</x:v>
      </x:c>
    </x:row>
    <x:row r="724" ht="46" customHeight="1">
      <x:c r="A724" s="2" t="str">
        <x:v>TEN-49CB34E27FC7</x:v>
      </x:c>
      <x:c r="B724" s="12" t="str">
        <x:v>LIC</x:v>
      </x:c>
      <x:c r="C724" s="12" t="str">
        <x:v>CORP-0236</x:v>
      </x:c>
      <x:c r="D724" s="12" t="str">
        <x:v>Hyderabad</x:v>
      </x:c>
      <x:c r="E724" s="12" t="str">
        <x:v>NSL Arena Tech Park</x:v>
      </x:c>
      <x:c r="F724" s="12" t="str">
        <x:v>32 inch LED TV</x:v>
      </x:c>
      <x:c r="G724" s="20" t="n">
        <x:v>13</x:v>
      </x:c>
      <x:c r="H724" s="12" t="str">
        <x:v>Inventory-listed building/workspace context; current occupancy and screen access unverified</x:v>
      </x:c>
      <x:c r="I724" s="12" t="str">
        <x:v>Large enterprise</x:v>
      </x:c>
      <x:c r="J724" s="12" t="str">
        <x:v>Finance &amp; insurance</x:v>
      </x:c>
      <x:c r="K724" s="2" t="str">
        <x:v>MAIN-240</x:v>
      </x:c>
    </x:row>
    <x:row r="725" ht="46" customHeight="1">
      <x:c r="A725" s="2" t="str">
        <x:v>TEN-61A77647D76D</x:v>
      </x:c>
      <x:c r="B725" s="12" t="str">
        <x:v>Excelra</x:v>
      </x:c>
      <x:c r="C725" s="12" t="str">
        <x:v>CORP-0236</x:v>
      </x:c>
      <x:c r="D725" s="12" t="str">
        <x:v>Hyderabad</x:v>
      </x:c>
      <x:c r="E725" s="12" t="str">
        <x:v>NSL Arena Tech Park</x:v>
      </x:c>
      <x:c r="F725" s="12" t="str">
        <x:v>32 inch LED TV</x:v>
      </x:c>
      <x:c r="G725" s="20" t="n">
        <x:v>13</x:v>
      </x:c>
      <x:c r="H725" s="12" t="str">
        <x:v>Inventory-listed building/workspace context; current occupancy and screen access unverified</x:v>
      </x:c>
      <x:c r="I725" s="12" t="str">
        <x:v>Large enterprise</x:v>
      </x:c>
      <x:c r="J725" s="12" t="str">
        <x:v>Healthcare &amp; life sciences</x:v>
      </x:c>
      <x:c r="K725" s="2" t="str">
        <x:v>MAIN-240</x:v>
      </x:c>
    </x:row>
    <x:row r="726" ht="46" customHeight="1">
      <x:c r="A726" s="2" t="str">
        <x:v>TEN-69933A2A2C74</x:v>
      </x:c>
      <x:c r="B726" s="12" t="str">
        <x:v>Honey bees</x:v>
      </x:c>
      <x:c r="C726" s="12" t="str">
        <x:v>CORP-0236</x:v>
      </x:c>
      <x:c r="D726" s="12" t="str">
        <x:v>Hyderabad</x:v>
      </x:c>
      <x:c r="E726" s="12" t="str">
        <x:v>NSL Arena Tech Park</x:v>
      </x:c>
      <x:c r="F726" s="12" t="str">
        <x:v>32 inch LED TV</x:v>
      </x:c>
      <x:c r="G726" s="20" t="n">
        <x:v>13</x:v>
      </x:c>
      <x:c r="H726" s="12" t="str">
        <x:v>Inventory-listed building/workspace context; current occupancy and screen access unverified</x:v>
      </x:c>
      <x:c r="I726" s="12" t="str">
        <x:v>Mixed business audience</x:v>
      </x:c>
      <x:c r="J726" s="12" t="str">
        <x:v>Unresolved</x:v>
      </x:c>
      <x:c r="K726" s="2" t="str">
        <x:v>MAIN-240</x:v>
      </x:c>
    </x:row>
    <x:row r="727" ht="46" customHeight="1">
      <x:c r="A727" s="2" t="str">
        <x:v>TEN-93885B6F1F10</x:v>
      </x:c>
      <x:c r="B727" s="12" t="str">
        <x:v>ProKarma Softech</x:v>
      </x:c>
      <x:c r="C727" s="12" t="str">
        <x:v>CORP-0236</x:v>
      </x:c>
      <x:c r="D727" s="12" t="str">
        <x:v>Hyderabad</x:v>
      </x:c>
      <x:c r="E727" s="12" t="str">
        <x:v>NSL Arena Tech Park</x:v>
      </x:c>
      <x:c r="F727" s="12" t="str">
        <x:v>32 inch LED TV</x:v>
      </x:c>
      <x:c r="G727" s="20" t="n">
        <x:v>13</x:v>
      </x:c>
      <x:c r="H727" s="12" t="str">
        <x:v>Inventory-listed building/workspace context; current occupancy and screen access unverified</x:v>
      </x:c>
      <x:c r="I727" s="12" t="str">
        <x:v>Mixed business audience</x:v>
      </x:c>
      <x:c r="J727" s="12" t="str">
        <x:v>IT &amp; digital</x:v>
      </x:c>
      <x:c r="K727" s="2" t="str">
        <x:v>MAIN-240</x:v>
      </x:c>
    </x:row>
    <x:row r="728" ht="46" customHeight="1">
      <x:c r="A728" s="2" t="str">
        <x:v>TEN-9B6EF6DB8E1A</x:v>
      </x:c>
      <x:c r="B728" s="12" t="str">
        <x:v>Suja Associates Pvt Ltd</x:v>
      </x:c>
      <x:c r="C728" s="12" t="str">
        <x:v>CORP-0236</x:v>
      </x:c>
      <x:c r="D728" s="12" t="str">
        <x:v>Hyderabad</x:v>
      </x:c>
      <x:c r="E728" s="12" t="str">
        <x:v>NSL Arena Tech Park</x:v>
      </x:c>
      <x:c r="F728" s="12" t="str">
        <x:v>32 inch LED TV</x:v>
      </x:c>
      <x:c r="G728" s="20" t="n">
        <x:v>13</x:v>
      </x:c>
      <x:c r="H728" s="12" t="str">
        <x:v>Inventory-listed building/workspace context; current occupancy and screen access unverified</x:v>
      </x:c>
      <x:c r="I728" s="12" t="str">
        <x:v>Mixed business audience</x:v>
      </x:c>
      <x:c r="J728" s="12" t="str">
        <x:v>Unresolved</x:v>
      </x:c>
      <x:c r="K728" s="2" t="str">
        <x:v>MAIN-240</x:v>
      </x:c>
    </x:row>
    <x:row r="729" ht="46" customHeight="1">
      <x:c r="A729" s="2" t="str">
        <x:v>TEN-9D2DD6B8C1DF</x:v>
      </x:c>
      <x:c r="B729" s="12" t="str">
        <x:v>Techintelli solutions pvt ltd</x:v>
      </x:c>
      <x:c r="C729" s="12" t="str">
        <x:v>CORP-0236</x:v>
      </x:c>
      <x:c r="D729" s="12" t="str">
        <x:v>Hyderabad</x:v>
      </x:c>
      <x:c r="E729" s="12" t="str">
        <x:v>NSL Arena Tech Park</x:v>
      </x:c>
      <x:c r="F729" s="12" t="str">
        <x:v>32 inch LED TV</x:v>
      </x:c>
      <x:c r="G729" s="20" t="n">
        <x:v>13</x:v>
      </x:c>
      <x:c r="H729" s="12" t="str">
        <x:v>Inventory-listed building/workspace context; current occupancy and screen access unverified</x:v>
      </x:c>
      <x:c r="I729" s="12" t="str">
        <x:v>Small-scale prospects</x:v>
      </x:c>
      <x:c r="J729" s="12" t="str">
        <x:v>IT &amp; digital</x:v>
      </x:c>
      <x:c r="K729" s="2" t="str">
        <x:v>MAIN-240</x:v>
      </x:c>
    </x:row>
    <x:row r="730" ht="46" customHeight="1">
      <x:c r="A730" s="2" t="str">
        <x:v>TEN-A300DA7026D8</x:v>
      </x:c>
      <x:c r="B730" s="12" t="str">
        <x:v>Lancesoft india pvt ltd</x:v>
      </x:c>
      <x:c r="C730" s="12" t="str">
        <x:v>CORP-0236</x:v>
      </x:c>
      <x:c r="D730" s="12" t="str">
        <x:v>Hyderabad</x:v>
      </x:c>
      <x:c r="E730" s="12" t="str">
        <x:v>NSL Arena Tech Park</x:v>
      </x:c>
      <x:c r="F730" s="12" t="str">
        <x:v>32 inch LED TV</x:v>
      </x:c>
      <x:c r="G730" s="20" t="n">
        <x:v>13</x:v>
      </x:c>
      <x:c r="H730" s="12" t="str">
        <x:v>Inventory-listed building/workspace context; current occupancy and screen access unverified</x:v>
      </x:c>
      <x:c r="I730" s="12" t="str">
        <x:v>Large enterprise</x:v>
      </x:c>
      <x:c r="J730" s="12" t="str">
        <x:v>Professional services</x:v>
      </x:c>
      <x:c r="K730" s="2" t="str">
        <x:v>MAIN-240</x:v>
      </x:c>
    </x:row>
    <x:row r="731" ht="46" customHeight="1">
      <x:c r="A731" s="2" t="str">
        <x:v>TEN-6F61DB52A98D</x:v>
      </x:c>
      <x:c r="B731" s="12" t="str">
        <x:v>Tata STRIVE Skill Development Centre</x:v>
      </x:c>
      <x:c r="C731" s="12" t="str">
        <x:v>CORP-0238</x:v>
      </x:c>
      <x:c r="D731" s="12" t="str">
        <x:v>Hyderabad</x:v>
      </x:c>
      <x:c r="E731" s="12" t="str">
        <x:v>NSL Centrum Mall</x:v>
      </x:c>
      <x:c r="F731" s="12" t="str">
        <x:v>24 inch LED TV</x:v>
      </x:c>
      <x:c r="G731" s="20" t="n">
        <x:v>2</x:v>
      </x:c>
      <x:c r="H731" s="12" t="str">
        <x:v>Inventory-listed building/workspace context; current occupancy and screen access unverified</x:v>
      </x:c>
      <x:c r="I731" s="12" t="str">
        <x:v>Mixed business audience</x:v>
      </x:c>
      <x:c r="J731" s="12" t="str">
        <x:v>Education</x:v>
      </x:c>
      <x:c r="K731" s="2" t="str">
        <x:v>MAIN-242</x:v>
      </x:c>
    </x:row>
    <x:row r="732" ht="46" customHeight="1">
      <x:c r="A732" s="2" t="str">
        <x:v>TEN-E8D0DB07FC5C</x:v>
      </x:c>
      <x:c r="B732" s="12" t="str">
        <x:v>Teleperformance Hyderabad</x:v>
      </x:c>
      <x:c r="C732" s="12" t="str">
        <x:v>CORP-0238</x:v>
      </x:c>
      <x:c r="D732" s="12" t="str">
        <x:v>Hyderabad</x:v>
      </x:c>
      <x:c r="E732" s="12" t="str">
        <x:v>NSL Centrum Mall</x:v>
      </x:c>
      <x:c r="F732" s="12" t="str">
        <x:v>24 inch LED TV</x:v>
      </x:c>
      <x:c r="G732" s="20" t="n">
        <x:v>2</x:v>
      </x:c>
      <x:c r="H732" s="12" t="str">
        <x:v>Inventory-listed building/workspace context; current occupancy and screen access unverified</x:v>
      </x:c>
      <x:c r="I732" s="12" t="str">
        <x:v>Mixed business audience</x:v>
      </x:c>
      <x:c r="J732" s="12" t="str">
        <x:v>IT &amp; digital</x:v>
      </x:c>
      <x:c r="K732" s="2" t="str">
        <x:v>MAIN-242</x:v>
      </x:c>
    </x:row>
    <x:row r="733" ht="46" customHeight="1">
      <x:c r="A733" s="2" t="str">
        <x:v>TEN-1ADCE1DFDBEF</x:v>
      </x:c>
      <x:c r="B733" s="12" t="str">
        <x:v>NSL Textiles Limited</x:v>
      </x:c>
      <x:c r="C733" s="12" t="str">
        <x:v>CORP-0239</x:v>
      </x:c>
      <x:c r="D733" s="12" t="str">
        <x:v>Hyderabad</x:v>
      </x:c>
      <x:c r="E733" s="12" t="str">
        <x:v>NSL Icon</x:v>
      </x:c>
      <x:c r="F733" s="12" t="str">
        <x:v>43 inch LED TV</x:v>
      </x:c>
      <x:c r="G733" s="20" t="n">
        <x:v>2</x:v>
      </x:c>
      <x:c r="H733" s="12" t="str">
        <x:v>Inventory-listed building/workspace context; current occupancy and screen access unverified</x:v>
      </x:c>
      <x:c r="I733" s="12" t="str">
        <x:v>Mixed business audience</x:v>
      </x:c>
      <x:c r="J733" s="12" t="str">
        <x:v>Engineering &amp; manufacturing</x:v>
      </x:c>
      <x:c r="K733" s="2" t="str">
        <x:v>MAIN-243</x:v>
      </x:c>
    </x:row>
    <x:row r="734" ht="46" customHeight="1">
      <x:c r="A734" s="2" t="str">
        <x:v>TEN-41F8EEA85BA7</x:v>
      </x:c>
      <x:c r="B734" s="12" t="str">
        <x:v>Swarna Shubha Bhoomi</x:v>
      </x:c>
      <x:c r="C734" s="12" t="str">
        <x:v>CORP-0239</x:v>
      </x:c>
      <x:c r="D734" s="12" t="str">
        <x:v>Hyderabad</x:v>
      </x:c>
      <x:c r="E734" s="12" t="str">
        <x:v>NSL Icon</x:v>
      </x:c>
      <x:c r="F734" s="12" t="str">
        <x:v>43 inch LED TV</x:v>
      </x:c>
      <x:c r="G734" s="20" t="n">
        <x:v>2</x:v>
      </x:c>
      <x:c r="H734" s="12" t="str">
        <x:v>Inventory-listed building/workspace context; current occupancy and screen access unverified</x:v>
      </x:c>
      <x:c r="I734" s="12" t="str">
        <x:v>Small-scale prospects</x:v>
      </x:c>
      <x:c r="J734" s="12" t="str">
        <x:v>Trade, consumer &amp; logistics</x:v>
      </x:c>
      <x:c r="K734" s="2" t="str">
        <x:v>MAIN-243</x:v>
      </x:c>
    </x:row>
    <x:row r="735" ht="46" customHeight="1">
      <x:c r="A735" s="2" t="str">
        <x:v>TEN-60BEED08B6CD</x:v>
      </x:c>
      <x:c r="B735" s="12" t="str">
        <x:v>Konecranes India</x:v>
      </x:c>
      <x:c r="C735" s="12" t="str">
        <x:v>CORP-0239</x:v>
      </x:c>
      <x:c r="D735" s="12" t="str">
        <x:v>Hyderabad</x:v>
      </x:c>
      <x:c r="E735" s="12" t="str">
        <x:v>NSL Icon</x:v>
      </x:c>
      <x:c r="F735" s="12" t="str">
        <x:v>43 inch LED TV</x:v>
      </x:c>
      <x:c r="G735" s="20" t="n">
        <x:v>2</x:v>
      </x:c>
      <x:c r="H735" s="12" t="str">
        <x:v>Inventory-listed building/workspace context; current occupancy and screen access unverified</x:v>
      </x:c>
      <x:c r="I735" s="12" t="str">
        <x:v>Mixed business audience</x:v>
      </x:c>
      <x:c r="J735" s="12" t="str">
        <x:v>Engineering &amp; manufacturing</x:v>
      </x:c>
      <x:c r="K735" s="2" t="str">
        <x:v>MAIN-243</x:v>
      </x:c>
    </x:row>
    <x:row r="736" ht="46" customHeight="1">
      <x:c r="A736" s="2" t="str">
        <x:v>TEN-C90BC7E0B9D7</x:v>
      </x:c>
      <x:c r="B736" s="12" t="str">
        <x:v>Heritage fresh</x:v>
      </x:c>
      <x:c r="C736" s="12" t="str">
        <x:v>CORP-0239</x:v>
      </x:c>
      <x:c r="D736" s="12" t="str">
        <x:v>Hyderabad</x:v>
      </x:c>
      <x:c r="E736" s="12" t="str">
        <x:v>NSL Icon</x:v>
      </x:c>
      <x:c r="F736" s="12" t="str">
        <x:v>43 inch LED TV</x:v>
      </x:c>
      <x:c r="G736" s="20" t="n">
        <x:v>2</x:v>
      </x:c>
      <x:c r="H736" s="12" t="str">
        <x:v>Inventory-listed building/workspace context; current occupancy and screen access unverified</x:v>
      </x:c>
      <x:c r="I736" s="12" t="str">
        <x:v>Mixed business audience</x:v>
      </x:c>
      <x:c r="J736" s="12" t="str">
        <x:v>Trade, consumer &amp; logistics</x:v>
      </x:c>
      <x:c r="K736" s="2" t="str">
        <x:v>MAIN-243</x:v>
      </x:c>
    </x:row>
    <x:row r="737" ht="46" customHeight="1">
      <x:c r="A737" s="2" t="str">
        <x:v>TEN-464F9C5379BC</x:v>
      </x:c>
      <x:c r="B737" s="12" t="str">
        <x:v>CAPELLA ENTERPRISES</x:v>
      </x:c>
      <x:c r="C737" s="12" t="str">
        <x:v>CORP-0240</x:v>
      </x:c>
      <x:c r="D737" s="12" t="str">
        <x:v>Hyderabad</x:v>
      </x:c>
      <x:c r="E737" s="12" t="str">
        <x:v>Oyo Workspace - Hitech</x:v>
      </x:c>
      <x:c r="F737" s="12" t="str">
        <x:v>32 inch LED TV</x:v>
      </x:c>
      <x:c r="G737" s="20" t="n">
        <x:v>2</x:v>
      </x:c>
      <x:c r="H737" s="12" t="str">
        <x:v>Inventory-listed building/workspace context; current occupancy and screen access unverified</x:v>
      </x:c>
      <x:c r="I737" s="12" t="str">
        <x:v>Mixed business audience</x:v>
      </x:c>
      <x:c r="J737" s="12" t="str">
        <x:v>Unresolved</x:v>
      </x:c>
      <x:c r="K737" s="2" t="str">
        <x:v>MAIN-244</x:v>
      </x:c>
    </x:row>
    <x:row r="738" ht="46" customHeight="1">
      <x:c r="A738" s="2" t="str">
        <x:v>TEN-526477BACCAC</x:v>
      </x:c>
      <x:c r="B738" s="12" t="str">
        <x:v>INFIRAY SOFTWARE</x:v>
      </x:c>
      <x:c r="C738" s="12" t="str">
        <x:v>CORP-0240</x:v>
      </x:c>
      <x:c r="D738" s="12" t="str">
        <x:v>Hyderabad</x:v>
      </x:c>
      <x:c r="E738" s="12" t="str">
        <x:v>Oyo Workspace - Hitech</x:v>
      </x:c>
      <x:c r="F738" s="12" t="str">
        <x:v>32 inch LED TV</x:v>
      </x:c>
      <x:c r="G738" s="20" t="n">
        <x:v>2</x:v>
      </x:c>
      <x:c r="H738" s="12" t="str">
        <x:v>Inventory-listed building/workspace context; current occupancy and screen access unverified</x:v>
      </x:c>
      <x:c r="I738" s="12" t="str">
        <x:v>Small-scale prospects</x:v>
      </x:c>
      <x:c r="J738" s="12" t="str">
        <x:v>IT &amp; digital</x:v>
      </x:c>
      <x:c r="K738" s="2" t="str">
        <x:v>MAIN-244</x:v>
      </x:c>
    </x:row>
    <x:row r="739" ht="46" customHeight="1">
      <x:c r="A739" s="2" t="str">
        <x:v>TEN-599CBC1C57D0</x:v>
      </x:c>
      <x:c r="B739" s="12" t="str">
        <x:v>NAIDU DIGITAL PAYMENTS PRIVATE LIMITED</x:v>
      </x:c>
      <x:c r="C739" s="12" t="str">
        <x:v>CORP-0240</x:v>
      </x:c>
      <x:c r="D739" s="12" t="str">
        <x:v>Hyderabad</x:v>
      </x:c>
      <x:c r="E739" s="12" t="str">
        <x:v>Oyo Workspace - Hitech</x:v>
      </x:c>
      <x:c r="F739" s="12" t="str">
        <x:v>32 inch LED TV</x:v>
      </x:c>
      <x:c r="G739" s="20" t="n">
        <x:v>2</x:v>
      </x:c>
      <x:c r="H739" s="12" t="str">
        <x:v>Inventory-listed building/workspace context; current occupancy and screen access unverified</x:v>
      </x:c>
      <x:c r="I739" s="12" t="str">
        <x:v>Medium-scale prospects</x:v>
      </x:c>
      <x:c r="J739" s="12" t="str">
        <x:v>Finance &amp; insurance</x:v>
      </x:c>
      <x:c r="K739" s="2" t="str">
        <x:v>MAIN-244</x:v>
      </x:c>
    </x:row>
    <x:row r="740" ht="46" customHeight="1">
      <x:c r="A740" s="2" t="str">
        <x:v>TEN-992B900C54B6</x:v>
      </x:c>
      <x:c r="B740" s="12" t="str">
        <x:v>NAIDU FINTECH PRIVATE LIMITED</x:v>
      </x:c>
      <x:c r="C740" s="12" t="str">
        <x:v>CORP-0240</x:v>
      </x:c>
      <x:c r="D740" s="12" t="str">
        <x:v>Hyderabad</x:v>
      </x:c>
      <x:c r="E740" s="12" t="str">
        <x:v>Oyo Workspace - Hitech</x:v>
      </x:c>
      <x:c r="F740" s="12" t="str">
        <x:v>32 inch LED TV</x:v>
      </x:c>
      <x:c r="G740" s="20" t="n">
        <x:v>2</x:v>
      </x:c>
      <x:c r="H740" s="12" t="str">
        <x:v>Inventory-listed building/workspace context; current occupancy and screen access unverified</x:v>
      </x:c>
      <x:c r="I740" s="12" t="str">
        <x:v>Medium-scale prospects</x:v>
      </x:c>
      <x:c r="J740" s="12" t="str">
        <x:v>Finance &amp; insurance</x:v>
      </x:c>
      <x:c r="K740" s="2" t="str">
        <x:v>MAIN-244</x:v>
      </x:c>
    </x:row>
    <x:row r="741" ht="46" customHeight="1">
      <x:c r="A741" s="2" t="str">
        <x:v>TEN-C6E4BD473001</x:v>
      </x:c>
      <x:c r="B741" s="12" t="str">
        <x:v>NXTDIV TECHNOLOGIES PVT LTD</x:v>
      </x:c>
      <x:c r="C741" s="12" t="str">
        <x:v>CORP-0240</x:v>
      </x:c>
      <x:c r="D741" s="12" t="str">
        <x:v>Hyderabad</x:v>
      </x:c>
      <x:c r="E741" s="12" t="str">
        <x:v>Oyo Workspace - Hitech</x:v>
      </x:c>
      <x:c r="F741" s="12" t="str">
        <x:v>32 inch LED TV</x:v>
      </x:c>
      <x:c r="G741" s="20" t="n">
        <x:v>2</x:v>
      </x:c>
      <x:c r="H741" s="12" t="str">
        <x:v>Inventory-listed building/workspace context; current occupancy and screen access unverified</x:v>
      </x:c>
      <x:c r="I741" s="12" t="str">
        <x:v>Mixed business audience</x:v>
      </x:c>
      <x:c r="J741" s="12" t="str">
        <x:v>Unresolved</x:v>
      </x:c>
      <x:c r="K741" s="2" t="str">
        <x:v>MAIN-244</x:v>
      </x:c>
    </x:row>
    <x:row r="742" ht="46" customHeight="1">
      <x:c r="A742" s="2" t="str">
        <x:v>TEN-C84BDABCAA71</x:v>
      </x:c>
      <x:c r="B742" s="12" t="str">
        <x:v>ROADSIDE VENTURES PRIVATE LIMITED</x:v>
      </x:c>
      <x:c r="C742" s="12" t="str">
        <x:v>CORP-0240</x:v>
      </x:c>
      <x:c r="D742" s="12" t="str">
        <x:v>Hyderabad</x:v>
      </x:c>
      <x:c r="E742" s="12" t="str">
        <x:v>Oyo Workspace - Hitech</x:v>
      </x:c>
      <x:c r="F742" s="12" t="str">
        <x:v>32 inch LED TV</x:v>
      </x:c>
      <x:c r="G742" s="20" t="n">
        <x:v>2</x:v>
      </x:c>
      <x:c r="H742" s="12" t="str">
        <x:v>Inventory-listed building/workspace context; current occupancy and screen access unverified</x:v>
      </x:c>
      <x:c r="I742" s="12" t="str">
        <x:v>Mixed business audience</x:v>
      </x:c>
      <x:c r="J742" s="12" t="str">
        <x:v>Unresolved</x:v>
      </x:c>
      <x:c r="K742" s="2" t="str">
        <x:v>MAIN-244</x:v>
      </x:c>
    </x:row>
    <x:row r="743" ht="46" customHeight="1">
      <x:c r="A743" s="2" t="str">
        <x:v>TEN-CC1F41A505F0</x:v>
      </x:c>
      <x:c r="B743" s="12" t="str">
        <x:v>LINKUPH BHARATH PVT LTD</x:v>
      </x:c>
      <x:c r="C743" s="12" t="str">
        <x:v>CORP-0240</x:v>
      </x:c>
      <x:c r="D743" s="12" t="str">
        <x:v>Hyderabad</x:v>
      </x:c>
      <x:c r="E743" s="12" t="str">
        <x:v>Oyo Workspace - Hitech</x:v>
      </x:c>
      <x:c r="F743" s="12" t="str">
        <x:v>32 inch LED TV</x:v>
      </x:c>
      <x:c r="G743" s="20" t="n">
        <x:v>2</x:v>
      </x:c>
      <x:c r="H743" s="12" t="str">
        <x:v>Inventory-listed building/workspace context; current occupancy and screen access unverified</x:v>
      </x:c>
      <x:c r="I743" s="12" t="str">
        <x:v>Mixed business audience</x:v>
      </x:c>
      <x:c r="J743" s="12" t="str">
        <x:v>Unresolved</x:v>
      </x:c>
      <x:c r="K743" s="2" t="str">
        <x:v>MAIN-244</x:v>
      </x:c>
    </x:row>
    <x:row r="744" ht="46" customHeight="1">
      <x:c r="A744" s="2" t="str">
        <x:v>TEN-CD0BD7252CCD</x:v>
      </x:c>
      <x:c r="B744" s="12" t="str">
        <x:v>SCOTCH N WATER INNOVATIONS PVT LTD</x:v>
      </x:c>
      <x:c r="C744" s="12" t="str">
        <x:v>CORP-0240</x:v>
      </x:c>
      <x:c r="D744" s="12" t="str">
        <x:v>Hyderabad</x:v>
      </x:c>
      <x:c r="E744" s="12" t="str">
        <x:v>Oyo Workspace - Hitech</x:v>
      </x:c>
      <x:c r="F744" s="12" t="str">
        <x:v>32 inch LED TV</x:v>
      </x:c>
      <x:c r="G744" s="20" t="n">
        <x:v>2</x:v>
      </x:c>
      <x:c r="H744" s="12" t="str">
        <x:v>Inventory-listed building/workspace context; current occupancy and screen access unverified</x:v>
      </x:c>
      <x:c r="I744" s="12" t="str">
        <x:v>Mixed business audience</x:v>
      </x:c>
      <x:c r="J744" s="12" t="str">
        <x:v>Unresolved</x:v>
      </x:c>
      <x:c r="K744" s="2" t="str">
        <x:v>MAIN-244</x:v>
      </x:c>
    </x:row>
    <x:row r="745" ht="46" customHeight="1">
      <x:c r="A745" s="2" t="str">
        <x:v>TEN-D655F2A6AE11</x:v>
      </x:c>
      <x:c r="B745" s="12" t="str">
        <x:v>KITAAB TECHNOLOGIES PVT LTD</x:v>
      </x:c>
      <x:c r="C745" s="12" t="str">
        <x:v>CORP-0240</x:v>
      </x:c>
      <x:c r="D745" s="12" t="str">
        <x:v>Hyderabad</x:v>
      </x:c>
      <x:c r="E745" s="12" t="str">
        <x:v>Oyo Workspace - Hitech</x:v>
      </x:c>
      <x:c r="F745" s="12" t="str">
        <x:v>32 inch LED TV</x:v>
      </x:c>
      <x:c r="G745" s="20" t="n">
        <x:v>2</x:v>
      </x:c>
      <x:c r="H745" s="12" t="str">
        <x:v>Inventory-listed building/workspace context; current occupancy and screen access unverified</x:v>
      </x:c>
      <x:c r="I745" s="12" t="str">
        <x:v>Mixed business audience</x:v>
      </x:c>
      <x:c r="J745" s="12" t="str">
        <x:v>Unresolved</x:v>
      </x:c>
      <x:c r="K745" s="2" t="str">
        <x:v>MAIN-244</x:v>
      </x:c>
    </x:row>
    <x:row r="746" ht="46" customHeight="1">
      <x:c r="A746" s="2" t="str">
        <x:v>TEN-F5BCE861BB3F</x:v>
      </x:c>
      <x:c r="B746" s="12" t="str">
        <x:v>NAIDU SOFTWARE TECHNOLOGIES PRIVATE LIMITED</x:v>
      </x:c>
      <x:c r="C746" s="12" t="str">
        <x:v>CORP-0240</x:v>
      </x:c>
      <x:c r="D746" s="12" t="str">
        <x:v>Hyderabad</x:v>
      </x:c>
      <x:c r="E746" s="12" t="str">
        <x:v>Oyo Workspace - Hitech</x:v>
      </x:c>
      <x:c r="F746" s="12" t="str">
        <x:v>32 inch LED TV</x:v>
      </x:c>
      <x:c r="G746" s="20" t="n">
        <x:v>2</x:v>
      </x:c>
      <x:c r="H746" s="12" t="str">
        <x:v>Inventory-listed building/workspace context; current occupancy and screen access unverified</x:v>
      </x:c>
      <x:c r="I746" s="12" t="str">
        <x:v>Small-scale prospects</x:v>
      </x:c>
      <x:c r="J746" s="12" t="str">
        <x:v>IT &amp; digital</x:v>
      </x:c>
      <x:c r="K746" s="2" t="str">
        <x:v>MAIN-244</x:v>
      </x:c>
    </x:row>
    <x:row r="747" ht="46" customHeight="1">
      <x:c r="A747" s="2" t="str">
        <x:v>TEN-FA461A42B5F7</x:v>
      </x:c>
      <x:c r="B747" s="12" t="str">
        <x:v>REALVERSE PROPTECH PRIVATE LIMITED</x:v>
      </x:c>
      <x:c r="C747" s="12" t="str">
        <x:v>CORP-0240</x:v>
      </x:c>
      <x:c r="D747" s="12" t="str">
        <x:v>Hyderabad</x:v>
      </x:c>
      <x:c r="E747" s="12" t="str">
        <x:v>Oyo Workspace - Hitech</x:v>
      </x:c>
      <x:c r="F747" s="12" t="str">
        <x:v>32 inch LED TV</x:v>
      </x:c>
      <x:c r="G747" s="20" t="n">
        <x:v>2</x:v>
      </x:c>
      <x:c r="H747" s="12" t="str">
        <x:v>Inventory-listed building/workspace context; current occupancy and screen access unverified</x:v>
      </x:c>
      <x:c r="I747" s="12" t="str">
        <x:v>Small-scale prospects</x:v>
      </x:c>
      <x:c r="J747" s="12" t="str">
        <x:v>Trade, consumer &amp; logistics</x:v>
      </x:c>
      <x:c r="K747" s="2" t="str">
        <x:v>MAIN-244</x:v>
      </x:c>
    </x:row>
    <x:row r="748" ht="46" customHeight="1">
      <x:c r="A748" s="2" t="str">
        <x:v>TEN-B0659027A62A</x:v>
      </x:c>
      <x:c r="B748" s="12" t="str">
        <x:v>D.E shaw pvt ltd</x:v>
      </x:c>
      <x:c r="C748" s="12" t="str">
        <x:v>CORP-0241</x:v>
      </x:c>
      <x:c r="D748" s="12" t="str">
        <x:v>Hyderabad</x:v>
      </x:c>
      <x:c r="E748" s="12" t="str">
        <x:v>Phoenix IVY</x:v>
      </x:c>
      <x:c r="F748" s="12" t="str">
        <x:v>55 inch LED TV</x:v>
      </x:c>
      <x:c r="G748" s="20" t="n">
        <x:v>1</x:v>
      </x:c>
      <x:c r="H748" s="12" t="str">
        <x:v>Inventory-listed building/workspace context; current occupancy and screen access unverified</x:v>
      </x:c>
      <x:c r="I748" s="12" t="str">
        <x:v>Mixed business audience</x:v>
      </x:c>
      <x:c r="J748" s="12" t="str">
        <x:v>Finance &amp; insurance</x:v>
      </x:c>
      <x:c r="K748" s="2" t="str">
        <x:v>MAIN-245</x:v>
      </x:c>
    </x:row>
    <x:row r="749" ht="46" customHeight="1">
      <x:c r="A749" s="2" t="str">
        <x:v>TEN-FF81037D87B2</x:v>
      </x:c>
      <x:c r="B749" s="12" t="str">
        <x:v>Neuland laboratories pvt ltd</x:v>
      </x:c>
      <x:c r="C749" s="12" t="str">
        <x:v>CORP-0241</x:v>
      </x:c>
      <x:c r="D749" s="12" t="str">
        <x:v>Hyderabad</x:v>
      </x:c>
      <x:c r="E749" s="12" t="str">
        <x:v>Phoenix IVY</x:v>
      </x:c>
      <x:c r="F749" s="12" t="str">
        <x:v>55 inch LED TV</x:v>
      </x:c>
      <x:c r="G749" s="20" t="n">
        <x:v>1</x:v>
      </x:c>
      <x:c r="H749" s="12" t="str">
        <x:v>Inventory-listed building/workspace context; current occupancy and screen access unverified</x:v>
      </x:c>
      <x:c r="I749" s="12" t="str">
        <x:v>Mixed business audience</x:v>
      </x:c>
      <x:c r="J749" s="12" t="str">
        <x:v>Healthcare &amp; life sciences</x:v>
      </x:c>
      <x:c r="K749" s="2" t="str">
        <x:v>MAIN-245</x:v>
      </x:c>
    </x:row>
    <x:row r="750" ht="46" customHeight="1">
      <x:c r="A750" s="2" t="str">
        <x:v>TEN-6591D67E331F</x:v>
      </x:c>
      <x:c r="B750" s="12" t="str">
        <x:v>Nemetschek India (formerly Spacewell India)</x:v>
      </x:c>
      <x:c r="C750" s="12" t="str">
        <x:v>CORP-0242</x:v>
      </x:c>
      <x:c r="D750" s="12" t="str">
        <x:v>Hyderabad</x:v>
      </x:c>
      <x:c r="E750" s="12" t="str">
        <x:v>Purva Summit Tech Park</x:v>
      </x:c>
      <x:c r="F750" s="12" t="str">
        <x:v>43 inch LED TV</x:v>
      </x:c>
      <x:c r="G750" s="20" t="n">
        <x:v>1</x:v>
      </x:c>
      <x:c r="H750" s="12" t="str">
        <x:v>Inventory-listed building/workspace context; current occupancy and screen access unverified</x:v>
      </x:c>
      <x:c r="I750" s="12" t="str">
        <x:v>Mixed business audience</x:v>
      </x:c>
      <x:c r="J750" s="12" t="str">
        <x:v>IT &amp; digital</x:v>
      </x:c>
      <x:c r="K750" s="2" t="str">
        <x:v>MAIN-246</x:v>
      </x:c>
    </x:row>
    <x:row r="751" ht="46" customHeight="1">
      <x:c r="A751" s="2" t="str">
        <x:v>TEN-74881CF03C29</x:v>
      </x:c>
      <x:c r="B751" s="12" t="str">
        <x:v>Uber Development Center Hyderabad</x:v>
      </x:c>
      <x:c r="C751" s="12" t="str">
        <x:v>CORP-0242</x:v>
      </x:c>
      <x:c r="D751" s="12" t="str">
        <x:v>Hyderabad</x:v>
      </x:c>
      <x:c r="E751" s="12" t="str">
        <x:v>Purva Summit Tech Park</x:v>
      </x:c>
      <x:c r="F751" s="12" t="str">
        <x:v>43 inch LED TV</x:v>
      </x:c>
      <x:c r="G751" s="20" t="n">
        <x:v>1</x:v>
      </x:c>
      <x:c r="H751" s="12" t="str">
        <x:v>Inventory-listed building/workspace context; current occupancy and screen access unverified</x:v>
      </x:c>
      <x:c r="I751" s="12" t="str">
        <x:v>Large enterprise</x:v>
      </x:c>
      <x:c r="J751" s="12" t="str">
        <x:v>IT &amp; digital</x:v>
      </x:c>
      <x:c r="K751" s="2" t="str">
        <x:v>MAIN-246</x:v>
      </x:c>
    </x:row>
    <x:row r="752" ht="46" customHeight="1">
      <x:c r="A752" s="2" t="str">
        <x:v>TEN-8374251B30D0</x:v>
      </x:c>
      <x:c r="B752" s="12" t="str">
        <x:v>Pentagon interior</x:v>
      </x:c>
      <x:c r="C752" s="12" t="str">
        <x:v>CORP-0242</x:v>
      </x:c>
      <x:c r="D752" s="12" t="str">
        <x:v>Hyderabad</x:v>
      </x:c>
      <x:c r="E752" s="12" t="str">
        <x:v>Purva Summit Tech Park</x:v>
      </x:c>
      <x:c r="F752" s="12" t="str">
        <x:v>43 inch LED TV</x:v>
      </x:c>
      <x:c r="G752" s="20" t="n">
        <x:v>1</x:v>
      </x:c>
      <x:c r="H752" s="12" t="str">
        <x:v>Inventory-listed building/workspace context; current occupancy and screen access unverified</x:v>
      </x:c>
      <x:c r="I752" s="12" t="str">
        <x:v>Small-scale prospects</x:v>
      </x:c>
      <x:c r="J752" s="12" t="str">
        <x:v>Professional services</x:v>
      </x:c>
      <x:c r="K752" s="2" t="str">
        <x:v>MAIN-246</x:v>
      </x:c>
    </x:row>
    <x:row r="753" ht="46" customHeight="1">
      <x:c r="A753" s="2" t="str">
        <x:v>TEN-9CAC587E99B7</x:v>
      </x:c>
      <x:c r="B753" s="12" t="str">
        <x:v>KP AI Solutions (Whatsapp Chatbot for Real Estate ,Hospitals etc)</x:v>
      </x:c>
      <x:c r="C753" s="12" t="str">
        <x:v>CORP-0242</x:v>
      </x:c>
      <x:c r="D753" s="12" t="str">
        <x:v>Hyderabad</x:v>
      </x:c>
      <x:c r="E753" s="12" t="str">
        <x:v>Purva Summit Tech Park</x:v>
      </x:c>
      <x:c r="F753" s="12" t="str">
        <x:v>43 inch LED TV</x:v>
      </x:c>
      <x:c r="G753" s="20" t="n">
        <x:v>1</x:v>
      </x:c>
      <x:c r="H753" s="12" t="str">
        <x:v>Inventory-listed building/workspace context; current occupancy and screen access unverified</x:v>
      </x:c>
      <x:c r="I753" s="12" t="str">
        <x:v>Small-scale prospects</x:v>
      </x:c>
      <x:c r="J753" s="12" t="str">
        <x:v>IT &amp; digital</x:v>
      </x:c>
      <x:c r="K753" s="2" t="str">
        <x:v>MAIN-246</x:v>
      </x:c>
    </x:row>
    <x:row r="754" ht="46" customHeight="1">
      <x:c r="A754" s="2" t="str">
        <x:v>TEN-A4AB520E8F5F</x:v>
      </x:c>
      <x:c r="B754" s="12" t="str">
        <x:v>Infotech global ltd india</x:v>
      </x:c>
      <x:c r="C754" s="12" t="str">
        <x:v>CORP-0242</x:v>
      </x:c>
      <x:c r="D754" s="12" t="str">
        <x:v>Hyderabad</x:v>
      </x:c>
      <x:c r="E754" s="12" t="str">
        <x:v>Purva Summit Tech Park</x:v>
      </x:c>
      <x:c r="F754" s="12" t="str">
        <x:v>43 inch LED TV</x:v>
      </x:c>
      <x:c r="G754" s="20" t="n">
        <x:v>1</x:v>
      </x:c>
      <x:c r="H754" s="12" t="str">
        <x:v>Inventory-listed building/workspace context; current occupancy and screen access unverified</x:v>
      </x:c>
      <x:c r="I754" s="12" t="str">
        <x:v>Small-scale prospects</x:v>
      </x:c>
      <x:c r="J754" s="12" t="str">
        <x:v>IT &amp; digital</x:v>
      </x:c>
      <x:c r="K754" s="2" t="str">
        <x:v>MAIN-246</x:v>
      </x:c>
    </x:row>
    <x:row r="755" ht="46" customHeight="1">
      <x:c r="A755" s="2" t="str">
        <x:v>TEN-EA32BBCF7041</x:v>
      </x:c>
      <x:c r="B755" s="12" t="str">
        <x:v>KodeCorp Technology Solutions</x:v>
      </x:c>
      <x:c r="C755" s="12" t="str">
        <x:v>CORP-0242</x:v>
      </x:c>
      <x:c r="D755" s="12" t="str">
        <x:v>Hyderabad</x:v>
      </x:c>
      <x:c r="E755" s="12" t="str">
        <x:v>Purva Summit Tech Park</x:v>
      </x:c>
      <x:c r="F755" s="12" t="str">
        <x:v>43 inch LED TV</x:v>
      </x:c>
      <x:c r="G755" s="20" t="n">
        <x:v>1</x:v>
      </x:c>
      <x:c r="H755" s="12" t="str">
        <x:v>Inventory-listed building/workspace context; current occupancy and screen access unverified</x:v>
      </x:c>
      <x:c r="I755" s="12" t="str">
        <x:v>Small-scale prospects</x:v>
      </x:c>
      <x:c r="J755" s="12" t="str">
        <x:v>IT &amp; digital</x:v>
      </x:c>
      <x:c r="K755" s="2" t="str">
        <x:v>MAIN-246</x:v>
      </x:c>
    </x:row>
    <x:row r="756" ht="46" customHeight="1">
      <x:c r="A756" s="2" t="str">
        <x:v>TEN-35C4BF441720</x:v>
      </x:c>
      <x:c r="B756" s="12" t="str">
        <x:v>Oxiv Recruitment services</x:v>
      </x:c>
      <x:c r="C756" s="12" t="str">
        <x:v>CORP-0243</x:v>
      </x:c>
      <x:c r="D756" s="12" t="str">
        <x:v>Hyderabad</x:v>
      </x:c>
      <x:c r="E756" s="12" t="str">
        <x:v>Quick Start - Cynosure Gachibowli</x:v>
      </x:c>
      <x:c r="F756" s="12" t="str">
        <x:v>32 inch LED TV</x:v>
      </x:c>
      <x:c r="G756" s="20" t="n">
        <x:v>1</x:v>
      </x:c>
      <x:c r="H756" s="12" t="str">
        <x:v>Inventory-listed building/workspace context; current occupancy and screen access unverified</x:v>
      </x:c>
      <x:c r="I756" s="12" t="str">
        <x:v>Small-scale prospects</x:v>
      </x:c>
      <x:c r="J756" s="12" t="str">
        <x:v>Professional services</x:v>
      </x:c>
      <x:c r="K756" s="2" t="str">
        <x:v>MAIN-247</x:v>
      </x:c>
    </x:row>
    <x:row r="757" ht="46" customHeight="1">
      <x:c r="A757" s="2" t="str">
        <x:v>TEN-74EDD6DDC8EC</x:v>
      </x:c>
      <x:c r="B757" s="12" t="str">
        <x:v>W3SOFTECH INDIA PRIVATE LIMITED</x:v>
      </x:c>
      <x:c r="C757" s="12" t="str">
        <x:v>CORP-0243</x:v>
      </x:c>
      <x:c r="D757" s="12" t="str">
        <x:v>Hyderabad</x:v>
      </x:c>
      <x:c r="E757" s="12" t="str">
        <x:v>Quick Start - Cynosure Gachibowli</x:v>
      </x:c>
      <x:c r="F757" s="12" t="str">
        <x:v>32 inch LED TV</x:v>
      </x:c>
      <x:c r="G757" s="20" t="n">
        <x:v>1</x:v>
      </x:c>
      <x:c r="H757" s="12" t="str">
        <x:v>Inventory-listed building/workspace context; current occupancy and screen access unverified</x:v>
      </x:c>
      <x:c r="I757" s="12" t="str">
        <x:v>Small-scale prospects</x:v>
      </x:c>
      <x:c r="J757" s="12" t="str">
        <x:v>IT &amp; digital</x:v>
      </x:c>
      <x:c r="K757" s="2" t="str">
        <x:v>MAIN-247</x:v>
      </x:c>
    </x:row>
    <x:row r="758" ht="46" customHeight="1">
      <x:c r="A758" s="2" t="str">
        <x:v>TEN-7C4FC1E96922</x:v>
      </x:c>
      <x:c r="B758" s="12" t="str">
        <x:v>Palmeto Solutions</x:v>
      </x:c>
      <x:c r="C758" s="12" t="str">
        <x:v>CORP-0243</x:v>
      </x:c>
      <x:c r="D758" s="12" t="str">
        <x:v>Hyderabad</x:v>
      </x:c>
      <x:c r="E758" s="12" t="str">
        <x:v>Quick Start - Cynosure Gachibowli</x:v>
      </x:c>
      <x:c r="F758" s="12" t="str">
        <x:v>32 inch LED TV</x:v>
      </x:c>
      <x:c r="G758" s="20" t="n">
        <x:v>1</x:v>
      </x:c>
      <x:c r="H758" s="12" t="str">
        <x:v>Inventory-listed building/workspace context; current occupancy and screen access unverified</x:v>
      </x:c>
      <x:c r="I758" s="12" t="str">
        <x:v>Mixed business audience</x:v>
      </x:c>
      <x:c r="J758" s="12" t="str">
        <x:v>Unresolved</x:v>
      </x:c>
      <x:c r="K758" s="2" t="str">
        <x:v>MAIN-247</x:v>
      </x:c>
    </x:row>
    <x:row r="759" ht="46" customHeight="1">
      <x:c r="A759" s="2" t="str">
        <x:v>TEN-BA5E74923D14</x:v>
      </x:c>
      <x:c r="B759" s="12" t="str">
        <x:v>Ericom Software Systems</x:v>
      </x:c>
      <x:c r="C759" s="12" t="str">
        <x:v>CORP-0243</x:v>
      </x:c>
      <x:c r="D759" s="12" t="str">
        <x:v>Hyderabad</x:v>
      </x:c>
      <x:c r="E759" s="12" t="str">
        <x:v>Quick Start - Cynosure Gachibowli</x:v>
      </x:c>
      <x:c r="F759" s="12" t="str">
        <x:v>32 inch LED TV</x:v>
      </x:c>
      <x:c r="G759" s="20" t="n">
        <x:v>1</x:v>
      </x:c>
      <x:c r="H759" s="12" t="str">
        <x:v>Inventory-listed building/workspace context; current occupancy and screen access unverified</x:v>
      </x:c>
      <x:c r="I759" s="12" t="str">
        <x:v>Small-scale prospects</x:v>
      </x:c>
      <x:c r="J759" s="12" t="str">
        <x:v>IT &amp; digital</x:v>
      </x:c>
      <x:c r="K759" s="2" t="str">
        <x:v>MAIN-247</x:v>
      </x:c>
    </x:row>
    <x:row r="760" ht="46" customHeight="1">
      <x:c r="A760" s="2" t="str">
        <x:v>TEN-D50AE0B08964</x:v>
      </x:c>
      <x:c r="B760" s="12" t="str">
        <x:v>AeroByte Innovations Pvt. Ltd</x:v>
      </x:c>
      <x:c r="C760" s="12" t="str">
        <x:v>CORP-0243</x:v>
      </x:c>
      <x:c r="D760" s="12" t="str">
        <x:v>Hyderabad</x:v>
      </x:c>
      <x:c r="E760" s="12" t="str">
        <x:v>Quick Start - Cynosure Gachibowli</x:v>
      </x:c>
      <x:c r="F760" s="12" t="str">
        <x:v>32 inch LED TV</x:v>
      </x:c>
      <x:c r="G760" s="20" t="n">
        <x:v>1</x:v>
      </x:c>
      <x:c r="H760" s="12" t="str">
        <x:v>Inventory-listed building/workspace context; current occupancy and screen access unverified</x:v>
      </x:c>
      <x:c r="I760" s="12" t="str">
        <x:v>Mixed business audience</x:v>
      </x:c>
      <x:c r="J760" s="12" t="str">
        <x:v>Unresolved</x:v>
      </x:c>
      <x:c r="K760" s="2" t="str">
        <x:v>MAIN-247</x:v>
      </x:c>
    </x:row>
    <x:row r="761" ht="46" customHeight="1">
      <x:c r="A761" s="2" t="str">
        <x:v>TEN-2F91A8AFEB8D</x:v>
      </x:c>
      <x:c r="B761" s="12" t="str">
        <x:v>NxtHire India Private Limited</x:v>
      </x:c>
      <x:c r="C761" s="12" t="str">
        <x:v>CORP-0244</x:v>
      </x:c>
      <x:c r="D761" s="12" t="str">
        <x:v>Hyderabad</x:v>
      </x:c>
      <x:c r="E761" s="12" t="str">
        <x:v>Quick Start - Madhapur</x:v>
      </x:c>
      <x:c r="F761" s="12" t="str">
        <x:v>32 inch LED TV</x:v>
      </x:c>
      <x:c r="G761" s="20" t="n">
        <x:v>3</x:v>
      </x:c>
      <x:c r="H761" s="12" t="str">
        <x:v>Inventory-listed building/workspace context; current occupancy and screen access unverified</x:v>
      </x:c>
      <x:c r="I761" s="12" t="str">
        <x:v>Small-scale prospects</x:v>
      </x:c>
      <x:c r="J761" s="12" t="str">
        <x:v>Professional services</x:v>
      </x:c>
      <x:c r="K761" s="2" t="str">
        <x:v>MAIN-248</x:v>
      </x:c>
    </x:row>
    <x:row r="762" ht="46" customHeight="1">
      <x:c r="A762" s="2" t="str">
        <x:v>TEN-B35F6FDA0695</x:v>
      </x:c>
      <x:c r="B762" s="12" t="str">
        <x:v>Airsah Solutions Pvt Ltd</x:v>
      </x:c>
      <x:c r="C762" s="12" t="str">
        <x:v>CORP-0244</x:v>
      </x:c>
      <x:c r="D762" s="12" t="str">
        <x:v>Hyderabad</x:v>
      </x:c>
      <x:c r="E762" s="12" t="str">
        <x:v>Quick Start - Madhapur</x:v>
      </x:c>
      <x:c r="F762" s="12" t="str">
        <x:v>32 inch LED TV</x:v>
      </x:c>
      <x:c r="G762" s="20" t="n">
        <x:v>3</x:v>
      </x:c>
      <x:c r="H762" s="12" t="str">
        <x:v>Inventory-listed building/workspace context; current occupancy and screen access unverified</x:v>
      </x:c>
      <x:c r="I762" s="12" t="str">
        <x:v>Mixed business audience</x:v>
      </x:c>
      <x:c r="J762" s="12" t="str">
        <x:v>Unresolved</x:v>
      </x:c>
      <x:c r="K762" s="2" t="str">
        <x:v>MAIN-248</x:v>
      </x:c>
    </x:row>
    <x:row r="763" ht="46" customHeight="1">
      <x:c r="A763" s="2" t="str">
        <x:v>TEN-7E12240EFC1E</x:v>
      </x:c>
      <x:c r="B763" s="12" t="str">
        <x:v>Ratnadeep Super Market Pvt. Ltd</x:v>
      </x:c>
      <x:c r="C763" s="12" t="str">
        <x:v>CORP-0245</x:v>
      </x:c>
      <x:c r="D763" s="12" t="str">
        <x:v>Hyderabad</x:v>
      </x:c>
      <x:c r="E763" s="12" t="str">
        <x:v>Quick Start - Vasavi Sky City Gachibowli</x:v>
      </x:c>
      <x:c r="F763" s="12" t="str">
        <x:v>32 inch LED TV</x:v>
      </x:c>
      <x:c r="G763" s="20" t="n">
        <x:v>3</x:v>
      </x:c>
      <x:c r="H763" s="12" t="str">
        <x:v>Inventory-listed building/workspace context; current occupancy and screen access unverified</x:v>
      </x:c>
      <x:c r="I763" s="12" t="str">
        <x:v>Mixed business audience</x:v>
      </x:c>
      <x:c r="J763" s="12" t="str">
        <x:v>Trade, consumer &amp; logistics</x:v>
      </x:c>
      <x:c r="K763" s="2" t="str">
        <x:v>MAIN-249</x:v>
      </x:c>
    </x:row>
    <x:row r="764" ht="46" customHeight="1">
      <x:c r="A764" s="2" t="str">
        <x:v>TEN-B35F6FDA0695</x:v>
      </x:c>
      <x:c r="B764" s="12" t="str">
        <x:v>Airsah Solutions Pvt Ltd</x:v>
      </x:c>
      <x:c r="C764" s="12" t="str">
        <x:v>CORP-0245</x:v>
      </x:c>
      <x:c r="D764" s="12" t="str">
        <x:v>Hyderabad</x:v>
      </x:c>
      <x:c r="E764" s="12" t="str">
        <x:v>Quick Start - Vasavi Sky City Gachibowli</x:v>
      </x:c>
      <x:c r="F764" s="12" t="str">
        <x:v>32 inch LED TV</x:v>
      </x:c>
      <x:c r="G764" s="20" t="n">
        <x:v>3</x:v>
      </x:c>
      <x:c r="H764" s="12" t="str">
        <x:v>Inventory-listed building/workspace context; current occupancy and screen access unverified</x:v>
      </x:c>
      <x:c r="I764" s="12" t="str">
        <x:v>Mixed business audience</x:v>
      </x:c>
      <x:c r="J764" s="12" t="str">
        <x:v>Unresolved</x:v>
      </x:c>
      <x:c r="K764" s="2" t="str">
        <x:v>MAIN-249</x:v>
      </x:c>
    </x:row>
    <x:row r="765" ht="46" customHeight="1">
      <x:c r="A765" s="2" t="str">
        <x:v>TEN-1C3B3DE3D7AC</x:v>
      </x:c>
      <x:c r="B765" s="12" t="str">
        <x:v>Alucor</x:v>
      </x:c>
      <x:c r="C765" s="12" t="str">
        <x:v>CORP-0021</x:v>
      </x:c>
      <x:c r="D765" s="12" t="str">
        <x:v>Bengaluru</x:v>
      </x:c>
      <x:c r="E765" s="12" t="str">
        <x:v>Awfis - ST Mark's Road</x:v>
      </x:c>
      <x:c r="F765" s="12" t="str">
        <x:v>32 inch LED TV</x:v>
      </x:c>
      <x:c r="G765" s="20" t="n">
        <x:v>5</x:v>
      </x:c>
      <x:c r="H765" s="12" t="str">
        <x:v>Inventory-listed building/workspace context; current occupancy and screen access unverified</x:v>
      </x:c>
      <x:c r="I765" s="12" t="str">
        <x:v>Medium-scale prospects</x:v>
      </x:c>
      <x:c r="J765" s="12" t="str">
        <x:v>Engineering &amp; manufacturing</x:v>
      </x:c>
      <x:c r="K765" s="2" t="str">
        <x:v>MAIN-025</x:v>
      </x:c>
    </x:row>
    <x:row r="766" ht="46" customHeight="1">
      <x:c r="A766" s="2" t="str">
        <x:v>TEN-6301EA260891</x:v>
      </x:c>
      <x:c r="B766" s="12" t="str">
        <x:v>Collison</x:v>
      </x:c>
      <x:c r="C766" s="12" t="str">
        <x:v>CORP-0021</x:v>
      </x:c>
      <x:c r="D766" s="12" t="str">
        <x:v>Bengaluru</x:v>
      </x:c>
      <x:c r="E766" s="12" t="str">
        <x:v>Awfis - ST Mark's Road</x:v>
      </x:c>
      <x:c r="F766" s="12" t="str">
        <x:v>32 inch LED TV</x:v>
      </x:c>
      <x:c r="G766" s="20" t="n">
        <x:v>5</x:v>
      </x:c>
      <x:c r="H766" s="12" t="str">
        <x:v>Inventory-listed building/workspace context; current occupancy and screen access unverified</x:v>
      </x:c>
      <x:c r="I766" s="12" t="str">
        <x:v>Mixed business audience</x:v>
      </x:c>
      <x:c r="J766" s="12" t="str">
        <x:v>Unresolved</x:v>
      </x:c>
      <x:c r="K766" s="2" t="str">
        <x:v>MAIN-025</x:v>
      </x:c>
    </x:row>
    <x:row r="767" ht="46" customHeight="1">
      <x:c r="A767" s="2" t="str">
        <x:v>TEN-7C36EE850090</x:v>
      </x:c>
      <x:c r="B767" s="12" t="str">
        <x:v>Delixus Software India Ltd</x:v>
      </x:c>
      <x:c r="C767" s="12" t="str">
        <x:v>CORP-0021</x:v>
      </x:c>
      <x:c r="D767" s="12" t="str">
        <x:v>Bengaluru</x:v>
      </x:c>
      <x:c r="E767" s="12" t="str">
        <x:v>Awfis - ST Mark's Road</x:v>
      </x:c>
      <x:c r="F767" s="12" t="str">
        <x:v>32 inch LED TV</x:v>
      </x:c>
      <x:c r="G767" s="20" t="n">
        <x:v>5</x:v>
      </x:c>
      <x:c r="H767" s="12" t="str">
        <x:v>Inventory-listed building/workspace context; current occupancy and screen access unverified</x:v>
      </x:c>
      <x:c r="I767" s="12" t="str">
        <x:v>Small-scale prospects</x:v>
      </x:c>
      <x:c r="J767" s="12" t="str">
        <x:v>IT &amp; digital</x:v>
      </x:c>
      <x:c r="K767" s="2" t="str">
        <x:v>MAIN-025</x:v>
      </x:c>
    </x:row>
    <x:row r="768" ht="46" customHeight="1">
      <x:c r="A768" s="2" t="str">
        <x:v>TEN-AF8F13CB7306</x:v>
      </x:c>
      <x:c r="B768" s="12" t="str">
        <x:v>AdventSys Technologies Private Limited</x:v>
      </x:c>
      <x:c r="C768" s="12" t="str">
        <x:v>CORP-0021</x:v>
      </x:c>
      <x:c r="D768" s="12" t="str">
        <x:v>Bengaluru</x:v>
      </x:c>
      <x:c r="E768" s="12" t="str">
        <x:v>Awfis - ST Mark's Road</x:v>
      </x:c>
      <x:c r="F768" s="12" t="str">
        <x:v>32 inch LED TV</x:v>
      </x:c>
      <x:c r="G768" s="20" t="n">
        <x:v>5</x:v>
      </x:c>
      <x:c r="H768" s="12" t="str">
        <x:v>Inventory-listed building/workspace context; current occupancy and screen access unverified</x:v>
      </x:c>
      <x:c r="I768" s="12" t="str">
        <x:v>Small-scale prospects</x:v>
      </x:c>
      <x:c r="J768" s="12" t="str">
        <x:v>IT &amp; digital</x:v>
      </x:c>
      <x:c r="K768" s="2" t="str">
        <x:v>MAIN-025</x:v>
      </x:c>
    </x:row>
    <x:row r="769" ht="46" customHeight="1">
      <x:c r="A769" s="2" t="str">
        <x:v>TEN-B68573D869BB</x:v>
      </x:c>
      <x:c r="B769" s="12" t="str">
        <x:v>BoopinCommunications Pvt. ltd</x:v>
      </x:c>
      <x:c r="C769" s="12" t="str">
        <x:v>CORP-0021</x:v>
      </x:c>
      <x:c r="D769" s="12" t="str">
        <x:v>Bengaluru</x:v>
      </x:c>
      <x:c r="E769" s="12" t="str">
        <x:v>Awfis - ST Mark's Road</x:v>
      </x:c>
      <x:c r="F769" s="12" t="str">
        <x:v>32 inch LED TV</x:v>
      </x:c>
      <x:c r="G769" s="20" t="n">
        <x:v>5</x:v>
      </x:c>
      <x:c r="H769" s="12" t="str">
        <x:v>Inventory-listed building/workspace context; current occupancy and screen access unverified</x:v>
      </x:c>
      <x:c r="I769" s="12" t="str">
        <x:v>Small-scale prospects</x:v>
      </x:c>
      <x:c r="J769" s="12" t="str">
        <x:v>Professional services</x:v>
      </x:c>
      <x:c r="K769" s="2" t="str">
        <x:v>MAIN-025</x:v>
      </x:c>
    </x:row>
    <x:row r="770" ht="46" customHeight="1">
      <x:c r="A770" s="2" t="str">
        <x:v>TEN-CD1E3E30F0DB</x:v>
      </x:c>
      <x:c r="B770" s="12" t="str">
        <x:v>Install 365</x:v>
      </x:c>
      <x:c r="C770" s="12" t="str">
        <x:v>CORP-0021</x:v>
      </x:c>
      <x:c r="D770" s="12" t="str">
        <x:v>Bengaluru</x:v>
      </x:c>
      <x:c r="E770" s="12" t="str">
        <x:v>Awfis - ST Mark's Road</x:v>
      </x:c>
      <x:c r="F770" s="12" t="str">
        <x:v>32 inch LED TV</x:v>
      </x:c>
      <x:c r="G770" s="20" t="n">
        <x:v>5</x:v>
      </x:c>
      <x:c r="H770" s="12" t="str">
        <x:v>Inventory-listed building/workspace context; current occupancy and screen access unverified</x:v>
      </x:c>
      <x:c r="I770" s="12" t="str">
        <x:v>Mixed business audience</x:v>
      </x:c>
      <x:c r="J770" s="12" t="str">
        <x:v>Unresolved</x:v>
      </x:c>
      <x:c r="K770" s="2" t="str">
        <x:v>MAIN-025</x:v>
      </x:c>
    </x:row>
    <x:row r="771" ht="46" customHeight="1">
      <x:c r="A771" s="2" t="str">
        <x:v>TEN-DAD06958BAD2</x:v>
      </x:c>
      <x:c r="B771" s="12" t="str">
        <x:v>Skyland Immigration and Careers</x:v>
      </x:c>
      <x:c r="C771" s="12" t="str">
        <x:v>CORP-0021</x:v>
      </x:c>
      <x:c r="D771" s="12" t="str">
        <x:v>Bengaluru</x:v>
      </x:c>
      <x:c r="E771" s="12" t="str">
        <x:v>Awfis - ST Mark's Road</x:v>
      </x:c>
      <x:c r="F771" s="12" t="str">
        <x:v>32 inch LED TV</x:v>
      </x:c>
      <x:c r="G771" s="20" t="n">
        <x:v>5</x:v>
      </x:c>
      <x:c r="H771" s="12" t="str">
        <x:v>Inventory-listed building/workspace context; current occupancy and screen access unverified</x:v>
      </x:c>
      <x:c r="I771" s="12" t="str">
        <x:v>Small-scale prospects</x:v>
      </x:c>
      <x:c r="J771" s="12" t="str">
        <x:v>Professional services</x:v>
      </x:c>
      <x:c r="K771" s="2" t="str">
        <x:v>MAIN-025</x:v>
      </x:c>
    </x:row>
    <x:row r="772" ht="46" customHeight="1">
      <x:c r="A772" s="2" t="str">
        <x:v>TEN-EEB196C4318F</x:v>
      </x:c>
      <x:c r="B772" s="12" t="str">
        <x:v>Paybooks</x:v>
      </x:c>
      <x:c r="C772" s="12" t="str">
        <x:v>CORP-0021</x:v>
      </x:c>
      <x:c r="D772" s="12" t="str">
        <x:v>Bengaluru</x:v>
      </x:c>
      <x:c r="E772" s="12" t="str">
        <x:v>Awfis - ST Mark's Road</x:v>
      </x:c>
      <x:c r="F772" s="12" t="str">
        <x:v>32 inch LED TV</x:v>
      </x:c>
      <x:c r="G772" s="20" t="n">
        <x:v>5</x:v>
      </x:c>
      <x:c r="H772" s="12" t="str">
        <x:v>Inventory-listed building/workspace context; current occupancy and screen access unverified</x:v>
      </x:c>
      <x:c r="I772" s="12" t="str">
        <x:v>Small-scale prospects</x:v>
      </x:c>
      <x:c r="J772" s="12" t="str">
        <x:v>IT &amp; digital</x:v>
      </x:c>
      <x:c r="K772" s="2" t="str">
        <x:v>MAIN-025</x:v>
      </x:c>
    </x:row>
    <x:row r="773" ht="46" customHeight="1">
      <x:c r="A773" s="2" t="str">
        <x:v>TEN-2AE6F2F143A1</x:v>
      </x:c>
      <x:c r="B773" s="12" t="str">
        <x:v>Surya Soft Tech</x:v>
      </x:c>
      <x:c r="C773" s="12" t="str">
        <x:v>CORP-0246</x:v>
      </x:c>
      <x:c r="D773" s="12" t="str">
        <x:v>Hyderabad</x:v>
      </x:c>
      <x:c r="E773" s="12" t="str">
        <x:v>Raheja 2A (Redbrick Offices)</x:v>
      </x:c>
      <x:c r="F773" s="12" t="str">
        <x:v>32 inch LED TV</x:v>
      </x:c>
      <x:c r="G773" s="20" t="n">
        <x:v>1</x:v>
      </x:c>
      <x:c r="H773" s="12" t="str">
        <x:v>Inventory-listed building/workspace context; current occupancy and screen access unverified</x:v>
      </x:c>
      <x:c r="I773" s="12" t="str">
        <x:v>Small-scale prospects</x:v>
      </x:c>
      <x:c r="J773" s="12" t="str">
        <x:v>IT &amp; digital</x:v>
      </x:c>
      <x:c r="K773" s="2" t="str">
        <x:v>MAIN-250</x:v>
      </x:c>
    </x:row>
    <x:row r="774" ht="46" customHeight="1">
      <x:c r="A774" s="2" t="str">
        <x:v>TEN-3411C22AE83B</x:v>
      </x:c>
      <x:c r="B774" s="12" t="str">
        <x:v>24-7 Intouch</x:v>
      </x:c>
      <x:c r="C774" s="12" t="str">
        <x:v>CORP-0246</x:v>
      </x:c>
      <x:c r="D774" s="12" t="str">
        <x:v>Hyderabad</x:v>
      </x:c>
      <x:c r="E774" s="12" t="str">
        <x:v>Raheja 2A (Redbrick Offices)</x:v>
      </x:c>
      <x:c r="F774" s="12" t="str">
        <x:v>32 inch LED TV</x:v>
      </x:c>
      <x:c r="G774" s="20" t="n">
        <x:v>1</x:v>
      </x:c>
      <x:c r="H774" s="12" t="str">
        <x:v>Inventory-listed building/workspace context; current occupancy and screen access unverified</x:v>
      </x:c>
      <x:c r="I774" s="12" t="str">
        <x:v>Mixed business audience</x:v>
      </x:c>
      <x:c r="J774" s="12" t="str">
        <x:v>IT &amp; digital</x:v>
      </x:c>
      <x:c r="K774" s="2" t="str">
        <x:v>MAIN-250</x:v>
      </x:c>
    </x:row>
    <x:row r="775" ht="46" customHeight="1">
      <x:c r="A775" s="2" t="str">
        <x:v>TEN-3C41B38ACE41</x:v>
      </x:c>
      <x:c r="B775" s="12" t="str">
        <x:v>Radix Business Solutions</x:v>
      </x:c>
      <x:c r="C775" s="12" t="str">
        <x:v>CORP-0246</x:v>
      </x:c>
      <x:c r="D775" s="12" t="str">
        <x:v>Hyderabad</x:v>
      </x:c>
      <x:c r="E775" s="12" t="str">
        <x:v>Raheja 2A (Redbrick Offices)</x:v>
      </x:c>
      <x:c r="F775" s="12" t="str">
        <x:v>32 inch LED TV</x:v>
      </x:c>
      <x:c r="G775" s="20" t="n">
        <x:v>1</x:v>
      </x:c>
      <x:c r="H775" s="12" t="str">
        <x:v>Inventory-listed building/workspace context; current occupancy and screen access unverified</x:v>
      </x:c>
      <x:c r="I775" s="12" t="str">
        <x:v>Small-scale prospects</x:v>
      </x:c>
      <x:c r="J775" s="12" t="str">
        <x:v>IT &amp; digital</x:v>
      </x:c>
      <x:c r="K775" s="2" t="str">
        <x:v>MAIN-250</x:v>
      </x:c>
    </x:row>
    <x:row r="776" ht="46" customHeight="1">
      <x:c r="A776" s="2" t="str">
        <x:v>TEN-3D1BACA6D51F</x:v>
      </x:c>
      <x:c r="B776" s="12" t="str">
        <x:v>Cushman &amp; Wakefield</x:v>
      </x:c>
      <x:c r="C776" s="12" t="str">
        <x:v>CORP-0246</x:v>
      </x:c>
      <x:c r="D776" s="12" t="str">
        <x:v>Hyderabad</x:v>
      </x:c>
      <x:c r="E776" s="12" t="str">
        <x:v>Raheja 2A (Redbrick Offices)</x:v>
      </x:c>
      <x:c r="F776" s="12" t="str">
        <x:v>32 inch LED TV</x:v>
      </x:c>
      <x:c r="G776" s="20" t="n">
        <x:v>1</x:v>
      </x:c>
      <x:c r="H776" s="12" t="str">
        <x:v>Inventory-listed building/workspace context; current occupancy and screen access unverified</x:v>
      </x:c>
      <x:c r="I776" s="12" t="str">
        <x:v>Large enterprise</x:v>
      </x:c>
      <x:c r="J776" s="12" t="str">
        <x:v>Trade, consumer &amp; logistics</x:v>
      </x:c>
      <x:c r="K776" s="2" t="str">
        <x:v>MAIN-250</x:v>
      </x:c>
    </x:row>
    <x:row r="777" ht="46" customHeight="1">
      <x:c r="A777" s="2" t="str">
        <x:v>TEN-5A02EC14AC05</x:v>
      </x:c>
      <x:c r="B777" s="12" t="str">
        <x:v>Concentrix Daksh India Pvt Ltd</x:v>
      </x:c>
      <x:c r="C777" s="12" t="str">
        <x:v>CORP-0246</x:v>
      </x:c>
      <x:c r="D777" s="12" t="str">
        <x:v>Hyderabad</x:v>
      </x:c>
      <x:c r="E777" s="12" t="str">
        <x:v>Raheja 2A (Redbrick Offices)</x:v>
      </x:c>
      <x:c r="F777" s="12" t="str">
        <x:v>32 inch LED TV</x:v>
      </x:c>
      <x:c r="G777" s="20" t="n">
        <x:v>1</x:v>
      </x:c>
      <x:c r="H777" s="12" t="str">
        <x:v>Inventory-listed building/workspace context; current occupancy and screen access unverified</x:v>
      </x:c>
      <x:c r="I777" s="12" t="str">
        <x:v>Mixed business audience</x:v>
      </x:c>
      <x:c r="J777" s="12" t="str">
        <x:v>IT &amp; digital</x:v>
      </x:c>
      <x:c r="K777" s="2" t="str">
        <x:v>MAIN-250</x:v>
      </x:c>
    </x:row>
    <x:row r="778" ht="46" customHeight="1">
      <x:c r="A778" s="2" t="str">
        <x:v>TEN-BE1735A89BDA</x:v>
      </x:c>
      <x:c r="B778" s="12" t="str">
        <x:v>Universal Interior Designs</x:v>
      </x:c>
      <x:c r="C778" s="12" t="str">
        <x:v>CORP-0246</x:v>
      </x:c>
      <x:c r="D778" s="12" t="str">
        <x:v>Hyderabad</x:v>
      </x:c>
      <x:c r="E778" s="12" t="str">
        <x:v>Raheja 2A (Redbrick Offices)</x:v>
      </x:c>
      <x:c r="F778" s="12" t="str">
        <x:v>32 inch LED TV</x:v>
      </x:c>
      <x:c r="G778" s="20" t="n">
        <x:v>1</x:v>
      </x:c>
      <x:c r="H778" s="12" t="str">
        <x:v>Inventory-listed building/workspace context; current occupancy and screen access unverified</x:v>
      </x:c>
      <x:c r="I778" s="12" t="str">
        <x:v>Small-scale prospects</x:v>
      </x:c>
      <x:c r="J778" s="12" t="str">
        <x:v>Professional services</x:v>
      </x:c>
      <x:c r="K778" s="2" t="str">
        <x:v>MAIN-250</x:v>
      </x:c>
    </x:row>
    <x:row r="779" ht="46" customHeight="1">
      <x:c r="A779" s="2" t="str">
        <x:v>TEN-CBC5887ABFDF</x:v>
      </x:c>
      <x:c r="B779" s="12" t="str">
        <x:v>Reachout Business Analytics</x:v>
      </x:c>
      <x:c r="C779" s="12" t="str">
        <x:v>CORP-0246</x:v>
      </x:c>
      <x:c r="D779" s="12" t="str">
        <x:v>Hyderabad</x:v>
      </x:c>
      <x:c r="E779" s="12" t="str">
        <x:v>Raheja 2A (Redbrick Offices)</x:v>
      </x:c>
      <x:c r="F779" s="12" t="str">
        <x:v>32 inch LED TV</x:v>
      </x:c>
      <x:c r="G779" s="20" t="n">
        <x:v>1</x:v>
      </x:c>
      <x:c r="H779" s="12" t="str">
        <x:v>Inventory-listed building/workspace context; current occupancy and screen access unverified</x:v>
      </x:c>
      <x:c r="I779" s="12" t="str">
        <x:v>Small-scale prospects</x:v>
      </x:c>
      <x:c r="J779" s="12" t="str">
        <x:v>IT &amp; digital</x:v>
      </x:c>
      <x:c r="K779" s="2" t="str">
        <x:v>MAIN-250</x:v>
      </x:c>
    </x:row>
    <x:row r="780" ht="46" customHeight="1">
      <x:c r="A780" s="2" t="str">
        <x:v>TEN-D117446EF669</x:v>
      </x:c>
      <x:c r="B780" s="12" t="str">
        <x:v>iAppSys Technologies</x:v>
      </x:c>
      <x:c r="C780" s="12" t="str">
        <x:v>CORP-0246</x:v>
      </x:c>
      <x:c r="D780" s="12" t="str">
        <x:v>Hyderabad</x:v>
      </x:c>
      <x:c r="E780" s="12" t="str">
        <x:v>Raheja 2A (Redbrick Offices)</x:v>
      </x:c>
      <x:c r="F780" s="12" t="str">
        <x:v>32 inch LED TV</x:v>
      </x:c>
      <x:c r="G780" s="20" t="n">
        <x:v>1</x:v>
      </x:c>
      <x:c r="H780" s="12" t="str">
        <x:v>Inventory-listed building/workspace context; current occupancy and screen access unverified</x:v>
      </x:c>
      <x:c r="I780" s="12" t="str">
        <x:v>Small-scale prospects</x:v>
      </x:c>
      <x:c r="J780" s="12" t="str">
        <x:v>IT &amp; digital</x:v>
      </x:c>
      <x:c r="K780" s="2" t="str">
        <x:v>MAIN-250</x:v>
      </x:c>
    </x:row>
    <x:row r="781" ht="46" customHeight="1">
      <x:c r="A781" s="2" t="str">
        <x:v>TEN-D570183BA689</x:v>
      </x:c>
      <x:c r="B781" s="12" t="str">
        <x:v>Accelalpha</x:v>
      </x:c>
      <x:c r="C781" s="12" t="str">
        <x:v>CORP-0246</x:v>
      </x:c>
      <x:c r="D781" s="12" t="str">
        <x:v>Hyderabad</x:v>
      </x:c>
      <x:c r="E781" s="12" t="str">
        <x:v>Raheja 2A (Redbrick Offices)</x:v>
      </x:c>
      <x:c r="F781" s="12" t="str">
        <x:v>32 inch LED TV</x:v>
      </x:c>
      <x:c r="G781" s="20" t="n">
        <x:v>1</x:v>
      </x:c>
      <x:c r="H781" s="12" t="str">
        <x:v>Inventory-listed building/workspace context; current occupancy and screen access unverified</x:v>
      </x:c>
      <x:c r="I781" s="12" t="str">
        <x:v>Mixed business audience</x:v>
      </x:c>
      <x:c r="J781" s="12" t="str">
        <x:v>IT &amp; digital</x:v>
      </x:c>
      <x:c r="K781" s="2" t="str">
        <x:v>MAIN-250</x:v>
      </x:c>
    </x:row>
    <x:row r="782" ht="46" customHeight="1">
      <x:c r="A782" s="2" t="str">
        <x:v>TEN-FF5ED712C6BE</x:v>
      </x:c>
      <x:c r="B782" s="12" t="str">
        <x:v>Thundersoft India Pvt Ltd</x:v>
      </x:c>
      <x:c r="C782" s="12" t="str">
        <x:v>CORP-0246</x:v>
      </x:c>
      <x:c r="D782" s="12" t="str">
        <x:v>Hyderabad</x:v>
      </x:c>
      <x:c r="E782" s="12" t="str">
        <x:v>Raheja 2A (Redbrick Offices)</x:v>
      </x:c>
      <x:c r="F782" s="12" t="str">
        <x:v>32 inch LED TV</x:v>
      </x:c>
      <x:c r="G782" s="20" t="n">
        <x:v>1</x:v>
      </x:c>
      <x:c r="H782" s="12" t="str">
        <x:v>Inventory-listed building/workspace context; current occupancy and screen access unverified</x:v>
      </x:c>
      <x:c r="I782" s="12" t="str">
        <x:v>Mixed business audience</x:v>
      </x:c>
      <x:c r="J782" s="12" t="str">
        <x:v>IT &amp; digital</x:v>
      </x:c>
      <x:c r="K782" s="2" t="str">
        <x:v>MAIN-250</x:v>
      </x:c>
    </x:row>
    <x:row r="783" ht="46" customHeight="1">
      <x:c r="A783" s="2" t="str">
        <x:v>TEN-2DE61E4711F8</x:v>
      </x:c>
      <x:c r="B783" s="12" t="str">
        <x:v>Cytel Statistical Software &amp; Services Private Limited</x:v>
      </x:c>
      <x:c r="C783" s="12" t="str">
        <x:v>CORP-0247</x:v>
      </x:c>
      <x:c r="D783" s="12" t="str">
        <x:v>Hyderabad</x:v>
      </x:c>
      <x:c r="E783" s="12" t="str">
        <x:v>Raheja IT Park Tower 3</x:v>
      </x:c>
      <x:c r="F783" s="12" t="str">
        <x:v>43 inch LED TV</x:v>
      </x:c>
      <x:c r="G783" s="20" t="n">
        <x:v>2</x:v>
      </x:c>
      <x:c r="H783" s="12" t="str">
        <x:v>Inventory-listed building/workspace context; current occupancy and screen access unverified</x:v>
      </x:c>
      <x:c r="I783" s="12" t="str">
        <x:v>Mixed business audience</x:v>
      </x:c>
      <x:c r="J783" s="12" t="str">
        <x:v>IT &amp; digital</x:v>
      </x:c>
      <x:c r="K783" s="2" t="str">
        <x:v>MAIN-251</x:v>
      </x:c>
    </x:row>
    <x:row r="784" ht="46" customHeight="1">
      <x:c r="A784" s="2" t="str">
        <x:v>TEN-44DD619604F9</x:v>
      </x:c>
      <x:c r="B784" s="12" t="str">
        <x:v>Copart India Center</x:v>
      </x:c>
      <x:c r="C784" s="12" t="str">
        <x:v>CORP-0247</x:v>
      </x:c>
      <x:c r="D784" s="12" t="str">
        <x:v>Hyderabad</x:v>
      </x:c>
      <x:c r="E784" s="12" t="str">
        <x:v>Raheja IT Park Tower 3</x:v>
      </x:c>
      <x:c r="F784" s="12" t="str">
        <x:v>43 inch LED TV</x:v>
      </x:c>
      <x:c r="G784" s="20" t="n">
        <x:v>2</x:v>
      </x:c>
      <x:c r="H784" s="12" t="str">
        <x:v>Inventory-listed building/workspace context; current occupancy and screen access unverified</x:v>
      </x:c>
      <x:c r="I784" s="12" t="str">
        <x:v>Mixed business audience</x:v>
      </x:c>
      <x:c r="J784" s="12" t="str">
        <x:v>Trade, consumer &amp; logistics</x:v>
      </x:c>
      <x:c r="K784" s="2" t="str">
        <x:v>MAIN-251</x:v>
      </x:c>
    </x:row>
    <x:row r="785" ht="46" customHeight="1">
      <x:c r="A785" s="2" t="str">
        <x:v>TEN-5B2E564D923D</x:v>
      </x:c>
      <x:c r="B785" s="12" t="str">
        <x:v>Mogli Labs India Pvt Ltd</x:v>
      </x:c>
      <x:c r="C785" s="12" t="str">
        <x:v>CORP-0247</x:v>
      </x:c>
      <x:c r="D785" s="12" t="str">
        <x:v>Hyderabad</x:v>
      </x:c>
      <x:c r="E785" s="12" t="str">
        <x:v>Raheja IT Park Tower 3</x:v>
      </x:c>
      <x:c r="F785" s="12" t="str">
        <x:v>43 inch LED TV</x:v>
      </x:c>
      <x:c r="G785" s="20" t="n">
        <x:v>2</x:v>
      </x:c>
      <x:c r="H785" s="12" t="str">
        <x:v>Inventory-listed building/workspace context; current occupancy and screen access unverified</x:v>
      </x:c>
      <x:c r="I785" s="12" t="str">
        <x:v>Mixed business audience</x:v>
      </x:c>
      <x:c r="J785" s="12" t="str">
        <x:v>Unresolved</x:v>
      </x:c>
      <x:c r="K785" s="2" t="str">
        <x:v>MAIN-251</x:v>
      </x:c>
    </x:row>
    <x:row r="786" ht="46" customHeight="1">
      <x:c r="A786" s="2" t="str">
        <x:v>TEN-6F11DEE58E05</x:v>
      </x:c>
      <x:c r="B786" s="12" t="str">
        <x:v>DigitalTrust Technologies</x:v>
      </x:c>
      <x:c r="C786" s="12" t="str">
        <x:v>CORP-0247</x:v>
      </x:c>
      <x:c r="D786" s="12" t="str">
        <x:v>Hyderabad</x:v>
      </x:c>
      <x:c r="E786" s="12" t="str">
        <x:v>Raheja IT Park Tower 3</x:v>
      </x:c>
      <x:c r="F786" s="12" t="str">
        <x:v>43 inch LED TV</x:v>
      </x:c>
      <x:c r="G786" s="20" t="n">
        <x:v>2</x:v>
      </x:c>
      <x:c r="H786" s="12" t="str">
        <x:v>Inventory-listed building/workspace context; current occupancy and screen access unverified</x:v>
      </x:c>
      <x:c r="I786" s="12" t="str">
        <x:v>Small-scale prospects</x:v>
      </x:c>
      <x:c r="J786" s="12" t="str">
        <x:v>IT &amp; digital</x:v>
      </x:c>
      <x:c r="K786" s="2" t="str">
        <x:v>MAIN-251</x:v>
      </x:c>
    </x:row>
    <x:row r="787" ht="46" customHeight="1">
      <x:c r="A787" s="2" t="str">
        <x:v>TEN-87B3B0B3D245</x:v>
      </x:c>
      <x:c r="B787" s="12" t="str">
        <x:v>Sodexo Hyderabad</x:v>
      </x:c>
      <x:c r="C787" s="12" t="str">
        <x:v>CORP-0247</x:v>
      </x:c>
      <x:c r="D787" s="12" t="str">
        <x:v>Hyderabad</x:v>
      </x:c>
      <x:c r="E787" s="12" t="str">
        <x:v>Raheja IT Park Tower 3</x:v>
      </x:c>
      <x:c r="F787" s="12" t="str">
        <x:v>43 inch LED TV</x:v>
      </x:c>
      <x:c r="G787" s="20" t="n">
        <x:v>2</x:v>
      </x:c>
      <x:c r="H787" s="12" t="str">
        <x:v>Inventory-listed building/workspace context; current occupancy and screen access unverified</x:v>
      </x:c>
      <x:c r="I787" s="12" t="str">
        <x:v>Large enterprise</x:v>
      </x:c>
      <x:c r="J787" s="12" t="str">
        <x:v>Trade, consumer &amp; logistics</x:v>
      </x:c>
      <x:c r="K787" s="2" t="str">
        <x:v>MAIN-251</x:v>
      </x:c>
    </x:row>
    <x:row r="788" ht="46" customHeight="1">
      <x:c r="A788" s="2" t="str">
        <x:v>TEN-9AC1EEB1DD41</x:v>
      </x:c>
      <x:c r="B788" s="12" t="str">
        <x:v>Pi Square Technologies India Pvt Ltd</x:v>
      </x:c>
      <x:c r="C788" s="12" t="str">
        <x:v>CORP-0247</x:v>
      </x:c>
      <x:c r="D788" s="12" t="str">
        <x:v>Hyderabad</x:v>
      </x:c>
      <x:c r="E788" s="12" t="str">
        <x:v>Raheja IT Park Tower 3</x:v>
      </x:c>
      <x:c r="F788" s="12" t="str">
        <x:v>43 inch LED TV</x:v>
      </x:c>
      <x:c r="G788" s="20" t="n">
        <x:v>2</x:v>
      </x:c>
      <x:c r="H788" s="12" t="str">
        <x:v>Inventory-listed building/workspace context; current occupancy and screen access unverified</x:v>
      </x:c>
      <x:c r="I788" s="12" t="str">
        <x:v>Small-scale prospects</x:v>
      </x:c>
      <x:c r="J788" s="12" t="str">
        <x:v>IT &amp; digital</x:v>
      </x:c>
      <x:c r="K788" s="2" t="str">
        <x:v>MAIN-251</x:v>
      </x:c>
    </x:row>
    <x:row r="789" ht="46" customHeight="1">
      <x:c r="A789" s="2" t="str">
        <x:v>TEN-AF4A0F3BF801</x:v>
      </x:c>
      <x:c r="B789" s="12" t="str">
        <x:v>Visvi Info Private Limited</x:v>
      </x:c>
      <x:c r="C789" s="12" t="str">
        <x:v>CORP-0247</x:v>
      </x:c>
      <x:c r="D789" s="12" t="str">
        <x:v>Hyderabad</x:v>
      </x:c>
      <x:c r="E789" s="12" t="str">
        <x:v>Raheja IT Park Tower 3</x:v>
      </x:c>
      <x:c r="F789" s="12" t="str">
        <x:v>43 inch LED TV</x:v>
      </x:c>
      <x:c r="G789" s="20" t="n">
        <x:v>2</x:v>
      </x:c>
      <x:c r="H789" s="12" t="str">
        <x:v>Inventory-listed building/workspace context; current occupancy and screen access unverified</x:v>
      </x:c>
      <x:c r="I789" s="12" t="str">
        <x:v>Mixed business audience</x:v>
      </x:c>
      <x:c r="J789" s="12" t="str">
        <x:v>Unresolved</x:v>
      </x:c>
      <x:c r="K789" s="2" t="str">
        <x:v>MAIN-251</x:v>
      </x:c>
    </x:row>
    <x:row r="790" ht="46" customHeight="1">
      <x:c r="A790" s="2" t="str">
        <x:v>TEN-B40C1F698519</x:v>
      </x:c>
      <x:c r="B790" s="12" t="str">
        <x:v>Envoy Global India Pvt Limited</x:v>
      </x:c>
      <x:c r="C790" s="12" t="str">
        <x:v>CORP-0247</x:v>
      </x:c>
      <x:c r="D790" s="12" t="str">
        <x:v>Hyderabad</x:v>
      </x:c>
      <x:c r="E790" s="12" t="str">
        <x:v>Raheja IT Park Tower 3</x:v>
      </x:c>
      <x:c r="F790" s="12" t="str">
        <x:v>43 inch LED TV</x:v>
      </x:c>
      <x:c r="G790" s="20" t="n">
        <x:v>2</x:v>
      </x:c>
      <x:c r="H790" s="12" t="str">
        <x:v>Inventory-listed building/workspace context; current occupancy and screen access unverified</x:v>
      </x:c>
      <x:c r="I790" s="12" t="str">
        <x:v>Mixed business audience</x:v>
      </x:c>
      <x:c r="J790" s="12" t="str">
        <x:v>Professional services</x:v>
      </x:c>
      <x:c r="K790" s="2" t="str">
        <x:v>MAIN-251</x:v>
      </x:c>
    </x:row>
    <x:row r="791" ht="46" customHeight="1">
      <x:c r="A791" s="2" t="str">
        <x:v>TEN-F0BBFCDE7C5C</x:v>
      </x:c>
      <x:c r="B791" s="12" t="str">
        <x:v>SDC Clinical (India) Private Limited</x:v>
      </x:c>
      <x:c r="C791" s="12" t="str">
        <x:v>CORP-0247</x:v>
      </x:c>
      <x:c r="D791" s="12" t="str">
        <x:v>Hyderabad</x:v>
      </x:c>
      <x:c r="E791" s="12" t="str">
        <x:v>Raheja IT Park Tower 3</x:v>
      </x:c>
      <x:c r="F791" s="12" t="str">
        <x:v>43 inch LED TV</x:v>
      </x:c>
      <x:c r="G791" s="20" t="n">
        <x:v>2</x:v>
      </x:c>
      <x:c r="H791" s="12" t="str">
        <x:v>Inventory-listed building/workspace context; current occupancy and screen access unverified</x:v>
      </x:c>
      <x:c r="I791" s="12" t="str">
        <x:v>Small-scale prospects</x:v>
      </x:c>
      <x:c r="J791" s="12" t="str">
        <x:v>Healthcare &amp; life sciences</x:v>
      </x:c>
      <x:c r="K791" s="2" t="str">
        <x:v>MAIN-251</x:v>
      </x:c>
    </x:row>
    <x:row r="792" ht="46" customHeight="1">
      <x:c r="A792" s="2" t="str">
        <x:v>TEN-33554C5EEC69</x:v>
      </x:c>
      <x:c r="B792" s="12" t="str">
        <x:v>Policy Bazar</x:v>
      </x:c>
      <x:c r="C792" s="12" t="str">
        <x:v>CORP-0249</x:v>
      </x:c>
      <x:c r="D792" s="12" t="str">
        <x:v>Hyderabad</x:v>
      </x:c>
      <x:c r="E792" s="12" t="str">
        <x:v>Raheja Mindspace IT Park - Madhapur</x:v>
      </x:c>
      <x:c r="F792" s="12" t="str">
        <x:v>55 inch LED TV</x:v>
      </x:c>
      <x:c r="G792" s="20" t="n">
        <x:v>21</x:v>
      </x:c>
      <x:c r="H792" s="12" t="str">
        <x:v>Inventory-listed building/workspace context; current occupancy and screen access unverified</x:v>
      </x:c>
      <x:c r="I792" s="12" t="str">
        <x:v>Mixed business audience</x:v>
      </x:c>
      <x:c r="J792" s="12" t="str">
        <x:v>Finance &amp; insurance</x:v>
      </x:c>
      <x:c r="K792" s="2" t="str">
        <x:v>MAIN-253</x:v>
      </x:c>
    </x:row>
    <x:row r="793" ht="46" customHeight="1">
      <x:c r="A793" s="2" t="str">
        <x:v>TEN-3D59F7548E1A</x:v>
      </x:c>
      <x:c r="B793" s="12" t="str">
        <x:v>Facebook</x:v>
      </x:c>
      <x:c r="C793" s="12" t="str">
        <x:v>CORP-0249</x:v>
      </x:c>
      <x:c r="D793" s="12" t="str">
        <x:v>Hyderabad</x:v>
      </x:c>
      <x:c r="E793" s="12" t="str">
        <x:v>Raheja Mindspace IT Park - Madhapur</x:v>
      </x:c>
      <x:c r="F793" s="12" t="str">
        <x:v>55 inch LED TV</x:v>
      </x:c>
      <x:c r="G793" s="20" t="n">
        <x:v>21</x:v>
      </x:c>
      <x:c r="H793" s="12" t="str">
        <x:v>Inventory-listed building/workspace context; current occupancy and screen access unverified</x:v>
      </x:c>
      <x:c r="I793" s="12" t="str">
        <x:v>Large enterprise</x:v>
      </x:c>
      <x:c r="J793" s="12" t="str">
        <x:v>IT &amp; digital</x:v>
      </x:c>
      <x:c r="K793" s="2" t="str">
        <x:v>MAIN-253</x:v>
      </x:c>
    </x:row>
    <x:row r="794" ht="46" customHeight="1">
      <x:c r="A794" s="2" t="str">
        <x:v>TEN-5528A266F145</x:v>
      </x:c>
      <x:c r="B794" s="12" t="str">
        <x:v>Wipro</x:v>
      </x:c>
      <x:c r="C794" s="12" t="str">
        <x:v>CORP-0249</x:v>
      </x:c>
      <x:c r="D794" s="12" t="str">
        <x:v>Hyderabad</x:v>
      </x:c>
      <x:c r="E794" s="12" t="str">
        <x:v>Raheja Mindspace IT Park - Madhapur</x:v>
      </x:c>
      <x:c r="F794" s="12" t="str">
        <x:v>55 inch LED TV</x:v>
      </x:c>
      <x:c r="G794" s="20" t="n">
        <x:v>21</x:v>
      </x:c>
      <x:c r="H794" s="12" t="str">
        <x:v>Inventory-listed building/workspace context; current occupancy and screen access unverified</x:v>
      </x:c>
      <x:c r="I794" s="12" t="str">
        <x:v>Large enterprise</x:v>
      </x:c>
      <x:c r="J794" s="12" t="str">
        <x:v>IT &amp; digital</x:v>
      </x:c>
      <x:c r="K794" s="2" t="str">
        <x:v>MAIN-253</x:v>
      </x:c>
    </x:row>
    <x:row r="795" ht="46" customHeight="1">
      <x:c r="A795" s="2" t="str">
        <x:v>TEN-6C678B9A5EE4</x:v>
      </x:c>
      <x:c r="B795" s="12" t="str">
        <x:v>Global Edge</x:v>
      </x:c>
      <x:c r="C795" s="12" t="str">
        <x:v>CORP-0249</x:v>
      </x:c>
      <x:c r="D795" s="12" t="str">
        <x:v>Hyderabad</x:v>
      </x:c>
      <x:c r="E795" s="12" t="str">
        <x:v>Raheja Mindspace IT Park - Madhapur</x:v>
      </x:c>
      <x:c r="F795" s="12" t="str">
        <x:v>55 inch LED TV</x:v>
      </x:c>
      <x:c r="G795" s="20" t="n">
        <x:v>21</x:v>
      </x:c>
      <x:c r="H795" s="12" t="str">
        <x:v>Inventory-listed building/workspace context; current occupancy and screen access unverified</x:v>
      </x:c>
      <x:c r="I795" s="12" t="str">
        <x:v>Small-scale prospects</x:v>
      </x:c>
      <x:c r="J795" s="12" t="str">
        <x:v>IT &amp; digital</x:v>
      </x:c>
      <x:c r="K795" s="2" t="str">
        <x:v>MAIN-253</x:v>
      </x:c>
    </x:row>
    <x:row r="796" ht="46" customHeight="1">
      <x:c r="A796" s="2" t="str">
        <x:v>TEN-86F73DFE7BB6</x:v>
      </x:c>
      <x:c r="B796" s="12" t="str">
        <x:v>Cognizant</x:v>
      </x:c>
      <x:c r="C796" s="12" t="str">
        <x:v>CORP-0249</x:v>
      </x:c>
      <x:c r="D796" s="12" t="str">
        <x:v>Hyderabad</x:v>
      </x:c>
      <x:c r="E796" s="12" t="str">
        <x:v>Raheja Mindspace IT Park - Madhapur</x:v>
      </x:c>
      <x:c r="F796" s="12" t="str">
        <x:v>55 inch LED TV</x:v>
      </x:c>
      <x:c r="G796" s="20" t="n">
        <x:v>21</x:v>
      </x:c>
      <x:c r="H796" s="12" t="str">
        <x:v>Inventory-listed building/workspace context; current occupancy and screen access unverified</x:v>
      </x:c>
      <x:c r="I796" s="12" t="str">
        <x:v>Large enterprise</x:v>
      </x:c>
      <x:c r="J796" s="12" t="str">
        <x:v>IT &amp; digital</x:v>
      </x:c>
      <x:c r="K796" s="2" t="str">
        <x:v>MAIN-253</x:v>
      </x:c>
    </x:row>
    <x:row r="797" ht="46" customHeight="1">
      <x:c r="A797" s="2" t="str">
        <x:v>TEN-9120856F15CD</x:v>
      </x:c>
      <x:c r="B797" s="12" t="str">
        <x:v>Mindtree</x:v>
      </x:c>
      <x:c r="C797" s="12" t="str">
        <x:v>CORP-0249</x:v>
      </x:c>
      <x:c r="D797" s="12" t="str">
        <x:v>Hyderabad</x:v>
      </x:c>
      <x:c r="E797" s="12" t="str">
        <x:v>Raheja Mindspace IT Park - Madhapur</x:v>
      </x:c>
      <x:c r="F797" s="12" t="str">
        <x:v>55 inch LED TV</x:v>
      </x:c>
      <x:c r="G797" s="20" t="n">
        <x:v>21</x:v>
      </x:c>
      <x:c r="H797" s="12" t="str">
        <x:v>Inventory-listed building/workspace context; current occupancy and screen access unverified</x:v>
      </x:c>
      <x:c r="I797" s="12" t="str">
        <x:v>Large enterprise</x:v>
      </x:c>
      <x:c r="J797" s="12" t="str">
        <x:v>IT &amp; digital</x:v>
      </x:c>
      <x:c r="K797" s="2" t="str">
        <x:v>MAIN-253</x:v>
      </x:c>
    </x:row>
    <x:row r="798" ht="46" customHeight="1">
      <x:c r="A798" s="2" t="str">
        <x:v>TEN-916A98F0FA2A</x:v>
      </x:c>
      <x:c r="B798" s="12" t="str">
        <x:v>IBM</x:v>
      </x:c>
      <x:c r="C798" s="12" t="str">
        <x:v>CORP-0249</x:v>
      </x:c>
      <x:c r="D798" s="12" t="str">
        <x:v>Hyderabad</x:v>
      </x:c>
      <x:c r="E798" s="12" t="str">
        <x:v>Raheja Mindspace IT Park - Madhapur</x:v>
      </x:c>
      <x:c r="F798" s="12" t="str">
        <x:v>55 inch LED TV</x:v>
      </x:c>
      <x:c r="G798" s="20" t="n">
        <x:v>21</x:v>
      </x:c>
      <x:c r="H798" s="12" t="str">
        <x:v>Inventory-listed building/workspace context; current occupancy and screen access unverified</x:v>
      </x:c>
      <x:c r="I798" s="12" t="str">
        <x:v>Large enterprise</x:v>
      </x:c>
      <x:c r="J798" s="12" t="str">
        <x:v>IT &amp; digital</x:v>
      </x:c>
      <x:c r="K798" s="2" t="str">
        <x:v>MAIN-253</x:v>
      </x:c>
    </x:row>
    <x:row r="799" ht="46" customHeight="1">
      <x:c r="A799" s="2" t="str">
        <x:v>TEN-C5F975B35C72</x:v>
      </x:c>
      <x:c r="B799" s="12" t="str">
        <x:v>Schneider</x:v>
      </x:c>
      <x:c r="C799" s="12" t="str">
        <x:v>CORP-0249</x:v>
      </x:c>
      <x:c r="D799" s="12" t="str">
        <x:v>Hyderabad</x:v>
      </x:c>
      <x:c r="E799" s="12" t="str">
        <x:v>Raheja Mindspace IT Park - Madhapur</x:v>
      </x:c>
      <x:c r="F799" s="12" t="str">
        <x:v>55 inch LED TV</x:v>
      </x:c>
      <x:c r="G799" s="20" t="n">
        <x:v>21</x:v>
      </x:c>
      <x:c r="H799" s="12" t="str">
        <x:v>Inventory-listed building/workspace context; current occupancy and screen access unverified</x:v>
      </x:c>
      <x:c r="I799" s="12" t="str">
        <x:v>Mixed business audience</x:v>
      </x:c>
      <x:c r="J799" s="12" t="str">
        <x:v>Engineering &amp; manufacturing</x:v>
      </x:c>
      <x:c r="K799" s="2" t="str">
        <x:v>MAIN-253</x:v>
      </x:c>
    </x:row>
    <x:row r="800" ht="46" customHeight="1">
      <x:c r="A800" s="2" t="str">
        <x:v>TEN-CB571403F03F</x:v>
      </x:c>
      <x:c r="B800" s="12" t="str">
        <x:v>Thomson Reuters</x:v>
      </x:c>
      <x:c r="C800" s="12" t="str">
        <x:v>CORP-0249</x:v>
      </x:c>
      <x:c r="D800" s="12" t="str">
        <x:v>Hyderabad</x:v>
      </x:c>
      <x:c r="E800" s="12" t="str">
        <x:v>Raheja Mindspace IT Park - Madhapur</x:v>
      </x:c>
      <x:c r="F800" s="12" t="str">
        <x:v>55 inch LED TV</x:v>
      </x:c>
      <x:c r="G800" s="20" t="n">
        <x:v>21</x:v>
      </x:c>
      <x:c r="H800" s="12" t="str">
        <x:v>Inventory-listed building/workspace context; current occupancy and screen access unverified</x:v>
      </x:c>
      <x:c r="I800" s="12" t="str">
        <x:v>Large enterprise</x:v>
      </x:c>
      <x:c r="J800" s="12" t="str">
        <x:v>IT &amp; digital</x:v>
      </x:c>
      <x:c r="K800" s="2" t="str">
        <x:v>MAIN-253</x:v>
      </x:c>
    </x:row>
    <x:row r="801" ht="46" customHeight="1">
      <x:c r="A801" s="2" t="str">
        <x:v>TEN-CBC62794911F</x:v>
      </x:c>
      <x:c r="B801" s="12" t="str">
        <x:v>Amazon</x:v>
      </x:c>
      <x:c r="C801" s="12" t="str">
        <x:v>CORP-0249</x:v>
      </x:c>
      <x:c r="D801" s="12" t="str">
        <x:v>Hyderabad</x:v>
      </x:c>
      <x:c r="E801" s="12" t="str">
        <x:v>Raheja Mindspace IT Park - Madhapur</x:v>
      </x:c>
      <x:c r="F801" s="12" t="str">
        <x:v>55 inch LED TV</x:v>
      </x:c>
      <x:c r="G801" s="20" t="n">
        <x:v>21</x:v>
      </x:c>
      <x:c r="H801" s="12" t="str">
        <x:v>Inventory-listed building/workspace context; current occupancy and screen access unverified</x:v>
      </x:c>
      <x:c r="I801" s="12" t="str">
        <x:v>Large enterprise</x:v>
      </x:c>
      <x:c r="J801" s="12" t="str">
        <x:v>IT &amp; digital</x:v>
      </x:c>
      <x:c r="K801" s="2" t="str">
        <x:v>MAIN-253</x:v>
      </x:c>
    </x:row>
    <x:row r="802" ht="46" customHeight="1">
      <x:c r="A802" s="2" t="str">
        <x:v>TEN-CE749E840DCA</x:v>
      </x:c>
      <x:c r="B802" s="12" t="str">
        <x:v>HSBC</x:v>
      </x:c>
      <x:c r="C802" s="12" t="str">
        <x:v>CORP-0249</x:v>
      </x:c>
      <x:c r="D802" s="12" t="str">
        <x:v>Hyderabad</x:v>
      </x:c>
      <x:c r="E802" s="12" t="str">
        <x:v>Raheja Mindspace IT Park - Madhapur</x:v>
      </x:c>
      <x:c r="F802" s="12" t="str">
        <x:v>55 inch LED TV</x:v>
      </x:c>
      <x:c r="G802" s="20" t="n">
        <x:v>21</x:v>
      </x:c>
      <x:c r="H802" s="12" t="str">
        <x:v>Inventory-listed building/workspace context; current occupancy and screen access unverified</x:v>
      </x:c>
      <x:c r="I802" s="12" t="str">
        <x:v>Large enterprise</x:v>
      </x:c>
      <x:c r="J802" s="12" t="str">
        <x:v>Finance &amp; insurance</x:v>
      </x:c>
      <x:c r="K802" s="2" t="str">
        <x:v>MAIN-253</x:v>
      </x:c>
    </x:row>
    <x:row r="803" ht="46" customHeight="1">
      <x:c r="A803" s="2" t="str">
        <x:v>TEN-228285280116</x:v>
      </x:c>
      <x:c r="B803" s="12" t="str">
        <x:v>GD Goenka La Petite Montessori PreSchool</x:v>
      </x:c>
      <x:c r="C803" s="12" t="str">
        <x:v>CORP-0250</x:v>
      </x:c>
      <x:c r="D803" s="12" t="str">
        <x:v>Hyderabad</x:v>
      </x:c>
      <x:c r="E803" s="12" t="str">
        <x:v>Sattva Octave (Redbrick Offices)</x:v>
      </x:c>
      <x:c r="F803" s="12" t="str">
        <x:v>32 inch LED TV</x:v>
      </x:c>
      <x:c r="G803" s="20" t="n">
        <x:v>1</x:v>
      </x:c>
      <x:c r="H803" s="12" t="str">
        <x:v>Inventory-listed building/workspace context; current occupancy and screen access unverified</x:v>
      </x:c>
      <x:c r="I803" s="12" t="str">
        <x:v>Institutional</x:v>
      </x:c>
      <x:c r="J803" s="12" t="str">
        <x:v>Education</x:v>
      </x:c>
      <x:c r="K803" s="2" t="str">
        <x:v>MAIN-254</x:v>
      </x:c>
    </x:row>
    <x:row r="804" ht="46" customHeight="1">
      <x:c r="A804" s="2" t="str">
        <x:v>TEN-4430DECF01B7</x:v>
      </x:c>
      <x:c r="B804" s="12" t="str">
        <x:v>Splunk Services India Private Limited</x:v>
      </x:c>
      <x:c r="C804" s="12" t="str">
        <x:v>CORP-0250</x:v>
      </x:c>
      <x:c r="D804" s="12" t="str">
        <x:v>Hyderabad</x:v>
      </x:c>
      <x:c r="E804" s="12" t="str">
        <x:v>Sattva Octave (Redbrick Offices)</x:v>
      </x:c>
      <x:c r="F804" s="12" t="str">
        <x:v>32 inch LED TV</x:v>
      </x:c>
      <x:c r="G804" s="20" t="n">
        <x:v>1</x:v>
      </x:c>
      <x:c r="H804" s="12" t="str">
        <x:v>Inventory-listed building/workspace context; current occupancy and screen access unverified</x:v>
      </x:c>
      <x:c r="I804" s="12" t="str">
        <x:v>Mixed business audience</x:v>
      </x:c>
      <x:c r="J804" s="12" t="str">
        <x:v>IT &amp; digital</x:v>
      </x:c>
      <x:c r="K804" s="2" t="str">
        <x:v>MAIN-254</x:v>
      </x:c>
    </x:row>
    <x:row r="805" ht="46" customHeight="1">
      <x:c r="A805" s="2" t="str">
        <x:v>TEN-4636CEEC7F60</x:v>
      </x:c>
      <x:c r="B805" s="12" t="str">
        <x:v>Lloyds Technology Centre</x:v>
      </x:c>
      <x:c r="C805" s="12" t="str">
        <x:v>CORP-0250</x:v>
      </x:c>
      <x:c r="D805" s="12" t="str">
        <x:v>Hyderabad</x:v>
      </x:c>
      <x:c r="E805" s="12" t="str">
        <x:v>Sattva Octave (Redbrick Offices)</x:v>
      </x:c>
      <x:c r="F805" s="12" t="str">
        <x:v>32 inch LED TV</x:v>
      </x:c>
      <x:c r="G805" s="20" t="n">
        <x:v>1</x:v>
      </x:c>
      <x:c r="H805" s="12" t="str">
        <x:v>Inventory-listed building/workspace context; current occupancy and screen access unverified</x:v>
      </x:c>
      <x:c r="I805" s="12" t="str">
        <x:v>Mixed business audience</x:v>
      </x:c>
      <x:c r="J805" s="12" t="str">
        <x:v>Finance &amp; insurance</x:v>
      </x:c>
      <x:c r="K805" s="2" t="str">
        <x:v>MAIN-254</x:v>
      </x:c>
    </x:row>
    <x:row r="806" ht="46" customHeight="1">
      <x:c r="A806" s="2" t="str">
        <x:v>TEN-6792620C9DF3</x:v>
      </x:c>
      <x:c r="B806" s="12" t="str">
        <x:v>MyLandscaping Solutions Private Limited</x:v>
      </x:c>
      <x:c r="C806" s="12" t="str">
        <x:v>CORP-0250</x:v>
      </x:c>
      <x:c r="D806" s="12" t="str">
        <x:v>Hyderabad</x:v>
      </x:c>
      <x:c r="E806" s="12" t="str">
        <x:v>Sattva Octave (Redbrick Offices)</x:v>
      </x:c>
      <x:c r="F806" s="12" t="str">
        <x:v>32 inch LED TV</x:v>
      </x:c>
      <x:c r="G806" s="20" t="n">
        <x:v>1</x:v>
      </x:c>
      <x:c r="H806" s="12" t="str">
        <x:v>Inventory-listed building/workspace context; current occupancy and screen access unverified</x:v>
      </x:c>
      <x:c r="I806" s="12" t="str">
        <x:v>Small-scale prospects</x:v>
      </x:c>
      <x:c r="J806" s="12" t="str">
        <x:v>Trade, consumer &amp; logistics</x:v>
      </x:c>
      <x:c r="K806" s="2" t="str">
        <x:v>MAIN-254</x:v>
      </x:c>
    </x:row>
    <x:row r="807" ht="46" customHeight="1">
      <x:c r="A807" s="2" t="str">
        <x:v>TEN-81B89869EA5E</x:v>
      </x:c>
      <x:c r="B807" s="12" t="str">
        <x:v>Invenio Business Solutions Pvt Ltd</x:v>
      </x:c>
      <x:c r="C807" s="12" t="str">
        <x:v>CORP-0250</x:v>
      </x:c>
      <x:c r="D807" s="12" t="str">
        <x:v>Hyderabad</x:v>
      </x:c>
      <x:c r="E807" s="12" t="str">
        <x:v>Sattva Octave (Redbrick Offices)</x:v>
      </x:c>
      <x:c r="F807" s="12" t="str">
        <x:v>32 inch LED TV</x:v>
      </x:c>
      <x:c r="G807" s="20" t="n">
        <x:v>1</x:v>
      </x:c>
      <x:c r="H807" s="12" t="str">
        <x:v>Inventory-listed building/workspace context; current occupancy and screen access unverified</x:v>
      </x:c>
      <x:c r="I807" s="12" t="str">
        <x:v>Mixed business audience</x:v>
      </x:c>
      <x:c r="J807" s="12" t="str">
        <x:v>IT &amp; digital</x:v>
      </x:c>
      <x:c r="K807" s="2" t="str">
        <x:v>MAIN-254</x:v>
      </x:c>
    </x:row>
    <x:row r="808" ht="46" customHeight="1">
      <x:c r="A808" s="2" t="str">
        <x:v>TEN-B70A6D2260B8</x:v>
      </x:c>
      <x:c r="B808" s="12" t="str">
        <x:v>Silabs India Private Limited</x:v>
      </x:c>
      <x:c r="C808" s="12" t="str">
        <x:v>CORP-0250</x:v>
      </x:c>
      <x:c r="D808" s="12" t="str">
        <x:v>Hyderabad</x:v>
      </x:c>
      <x:c r="E808" s="12" t="str">
        <x:v>Sattva Octave (Redbrick Offices)</x:v>
      </x:c>
      <x:c r="F808" s="12" t="str">
        <x:v>32 inch LED TV</x:v>
      </x:c>
      <x:c r="G808" s="20" t="n">
        <x:v>1</x:v>
      </x:c>
      <x:c r="H808" s="12" t="str">
        <x:v>Inventory-listed building/workspace context; current occupancy and screen access unverified</x:v>
      </x:c>
      <x:c r="I808" s="12" t="str">
        <x:v>Mixed business audience</x:v>
      </x:c>
      <x:c r="J808" s="12" t="str">
        <x:v>Engineering &amp; manufacturing</x:v>
      </x:c>
      <x:c r="K808" s="2" t="str">
        <x:v>MAIN-254</x:v>
      </x:c>
    </x:row>
    <x:row r="809" ht="46" customHeight="1">
      <x:c r="A809" s="2" t="str">
        <x:v>TEN-DFBAD1C953CB</x:v>
      </x:c>
      <x:c r="B809" s="12" t="str">
        <x:v>Nextracker India Pvt. Ltd</x:v>
      </x:c>
      <x:c r="C809" s="12" t="str">
        <x:v>CORP-0250</x:v>
      </x:c>
      <x:c r="D809" s="12" t="str">
        <x:v>Hyderabad</x:v>
      </x:c>
      <x:c r="E809" s="12" t="str">
        <x:v>Sattva Octave (Redbrick Offices)</x:v>
      </x:c>
      <x:c r="F809" s="12" t="str">
        <x:v>32 inch LED TV</x:v>
      </x:c>
      <x:c r="G809" s="20" t="n">
        <x:v>1</x:v>
      </x:c>
      <x:c r="H809" s="12" t="str">
        <x:v>Inventory-listed building/workspace context; current occupancy and screen access unverified</x:v>
      </x:c>
      <x:c r="I809" s="12" t="str">
        <x:v>Mixed business audience</x:v>
      </x:c>
      <x:c r="J809" s="12" t="str">
        <x:v>Engineering &amp; manufacturing</x:v>
      </x:c>
      <x:c r="K809" s="2" t="str">
        <x:v>MAIN-254</x:v>
      </x:c>
    </x:row>
    <x:row r="810" ht="46" customHeight="1">
      <x:c r="A810" s="2" t="str">
        <x:v>TEN-F2D6B3DEBABF</x:v>
      </x:c>
      <x:c r="B810" s="12" t="str">
        <x:v>Chubb Business Services India Private Limited</x:v>
      </x:c>
      <x:c r="C810" s="12" t="str">
        <x:v>CORP-0250</x:v>
      </x:c>
      <x:c r="D810" s="12" t="str">
        <x:v>Hyderabad</x:v>
      </x:c>
      <x:c r="E810" s="12" t="str">
        <x:v>Sattva Octave (Redbrick Offices)</x:v>
      </x:c>
      <x:c r="F810" s="12" t="str">
        <x:v>32 inch LED TV</x:v>
      </x:c>
      <x:c r="G810" s="20" t="n">
        <x:v>1</x:v>
      </x:c>
      <x:c r="H810" s="12" t="str">
        <x:v>Inventory-listed building/workspace context; current occupancy and screen access unverified</x:v>
      </x:c>
      <x:c r="I810" s="12" t="str">
        <x:v>Mixed business audience</x:v>
      </x:c>
      <x:c r="J810" s="12" t="str">
        <x:v>Finance &amp; insurance</x:v>
      </x:c>
      <x:c r="K810" s="2" t="str">
        <x:v>MAIN-254</x:v>
      </x:c>
    </x:row>
    <x:row r="811" ht="46" customHeight="1">
      <x:c r="A811" s="2" t="str">
        <x:v>TEN-01BAB972A90E</x:v>
      </x:c>
      <x:c r="B811" s="12" t="str">
        <x:v>JDA Software</x:v>
      </x:c>
      <x:c r="C811" s="12" t="str">
        <x:v>CORP-0251</x:v>
      </x:c>
      <x:c r="D811" s="12" t="str">
        <x:v>Hyderabad</x:v>
      </x:c>
      <x:c r="E811" s="12" t="str">
        <x:v>Sattva Orwell (Redbrick Offices)</x:v>
      </x:c>
      <x:c r="F811" s="12" t="str">
        <x:v>32 inch LED TV</x:v>
      </x:c>
      <x:c r="G811" s="20" t="n">
        <x:v>3</x:v>
      </x:c>
      <x:c r="H811" s="12" t="str">
        <x:v>Inventory-listed building/workspace context; current occupancy and screen access unverified</x:v>
      </x:c>
      <x:c r="I811" s="12" t="str">
        <x:v>Mixed business audience</x:v>
      </x:c>
      <x:c r="J811" s="12" t="str">
        <x:v>IT &amp; digital</x:v>
      </x:c>
      <x:c r="K811" s="2" t="str">
        <x:v>MAIN-255</x:v>
      </x:c>
    </x:row>
    <x:row r="812" ht="46" customHeight="1">
      <x:c r="A812" s="2" t="str">
        <x:v>TEN-1D32A0A61549</x:v>
      </x:c>
      <x:c r="B812" s="12" t="str">
        <x:v>ANAROCK Property Consultants</x:v>
      </x:c>
      <x:c r="C812" s="12" t="str">
        <x:v>CORP-0251</x:v>
      </x:c>
      <x:c r="D812" s="12" t="str">
        <x:v>Hyderabad</x:v>
      </x:c>
      <x:c r="E812" s="12" t="str">
        <x:v>Sattva Orwell (Redbrick Offices)</x:v>
      </x:c>
      <x:c r="F812" s="12" t="str">
        <x:v>32 inch LED TV</x:v>
      </x:c>
      <x:c r="G812" s="20" t="n">
        <x:v>3</x:v>
      </x:c>
      <x:c r="H812" s="12" t="str">
        <x:v>Inventory-listed building/workspace context; current occupancy and screen access unverified</x:v>
      </x:c>
      <x:c r="I812" s="12" t="str">
        <x:v>Mixed business audience</x:v>
      </x:c>
      <x:c r="J812" s="12" t="str">
        <x:v>Trade, consumer &amp; logistics</x:v>
      </x:c>
      <x:c r="K812" s="2" t="str">
        <x:v>MAIN-255</x:v>
      </x:c>
    </x:row>
    <x:row r="813" ht="46" customHeight="1">
      <x:c r="A813" s="2" t="str">
        <x:v>TEN-23491BCF607A</x:v>
      </x:c>
      <x:c r="B813" s="12" t="str">
        <x:v>TATWA INFOCOM PRIVATE LIMITED</x:v>
      </x:c>
      <x:c r="C813" s="12" t="str">
        <x:v>CORP-0251</x:v>
      </x:c>
      <x:c r="D813" s="12" t="str">
        <x:v>Hyderabad</x:v>
      </x:c>
      <x:c r="E813" s="12" t="str">
        <x:v>Sattva Orwell (Redbrick Offices)</x:v>
      </x:c>
      <x:c r="F813" s="12" t="str">
        <x:v>32 inch LED TV</x:v>
      </x:c>
      <x:c r="G813" s="20" t="n">
        <x:v>3</x:v>
      </x:c>
      <x:c r="H813" s="12" t="str">
        <x:v>Inventory-listed building/workspace context; current occupancy and screen access unverified</x:v>
      </x:c>
      <x:c r="I813" s="12" t="str">
        <x:v>Small-scale prospects</x:v>
      </x:c>
      <x:c r="J813" s="12" t="str">
        <x:v>IT &amp; digital</x:v>
      </x:c>
      <x:c r="K813" s="2" t="str">
        <x:v>MAIN-255</x:v>
      </x:c>
    </x:row>
    <x:row r="814" ht="46" customHeight="1">
      <x:c r="A814" s="2" t="str">
        <x:v>TEN-2B4489C3A6C2</x:v>
      </x:c>
      <x:c r="B814" s="12" t="str">
        <x:v>Mentor Graphics India Private Limited</x:v>
      </x:c>
      <x:c r="C814" s="12" t="str">
        <x:v>CORP-0251</x:v>
      </x:c>
      <x:c r="D814" s="12" t="str">
        <x:v>Hyderabad</x:v>
      </x:c>
      <x:c r="E814" s="12" t="str">
        <x:v>Sattva Orwell (Redbrick Offices)</x:v>
      </x:c>
      <x:c r="F814" s="12" t="str">
        <x:v>32 inch LED TV</x:v>
      </x:c>
      <x:c r="G814" s="20" t="n">
        <x:v>3</x:v>
      </x:c>
      <x:c r="H814" s="12" t="str">
        <x:v>Inventory-listed building/workspace context; current occupancy and screen access unverified</x:v>
      </x:c>
      <x:c r="I814" s="12" t="str">
        <x:v>Mixed business audience</x:v>
      </x:c>
      <x:c r="J814" s="12" t="str">
        <x:v>Engineering &amp; manufacturing</x:v>
      </x:c>
      <x:c r="K814" s="2" t="str">
        <x:v>MAIN-255</x:v>
      </x:c>
    </x:row>
    <x:row r="815" ht="46" customHeight="1">
      <x:c r="A815" s="2" t="str">
        <x:v>TEN-2E92046B6F07</x:v>
      </x:c>
      <x:c r="B815" s="12" t="str">
        <x:v>Synopsys</x:v>
      </x:c>
      <x:c r="C815" s="12" t="str">
        <x:v>CORP-0251</x:v>
      </x:c>
      <x:c r="D815" s="12" t="str">
        <x:v>Hyderabad</x:v>
      </x:c>
      <x:c r="E815" s="12" t="str">
        <x:v>Sattva Orwell (Redbrick Offices)</x:v>
      </x:c>
      <x:c r="F815" s="12" t="str">
        <x:v>32 inch LED TV</x:v>
      </x:c>
      <x:c r="G815" s="20" t="n">
        <x:v>3</x:v>
      </x:c>
      <x:c r="H815" s="12" t="str">
        <x:v>Inventory-listed building/workspace context; current occupancy and screen access unverified</x:v>
      </x:c>
      <x:c r="I815" s="12" t="str">
        <x:v>Mixed business audience</x:v>
      </x:c>
      <x:c r="J815" s="12" t="str">
        <x:v>Engineering &amp; manufacturing</x:v>
      </x:c>
      <x:c r="K815" s="2" t="str">
        <x:v>MAIN-255</x:v>
      </x:c>
    </x:row>
    <x:row r="816" ht="46" customHeight="1">
      <x:c r="A816" s="2" t="str">
        <x:v>TEN-7169561ED73E</x:v>
      </x:c>
      <x:c r="B816" s="12" t="str">
        <x:v>Nihira Business Solutions India pvt ltd</x:v>
      </x:c>
      <x:c r="C816" s="12" t="str">
        <x:v>CORP-0251</x:v>
      </x:c>
      <x:c r="D816" s="12" t="str">
        <x:v>Hyderabad</x:v>
      </x:c>
      <x:c r="E816" s="12" t="str">
        <x:v>Sattva Orwell (Redbrick Offices)</x:v>
      </x:c>
      <x:c r="F816" s="12" t="str">
        <x:v>32 inch LED TV</x:v>
      </x:c>
      <x:c r="G816" s="20" t="n">
        <x:v>3</x:v>
      </x:c>
      <x:c r="H816" s="12" t="str">
        <x:v>Inventory-listed building/workspace context; current occupancy and screen access unverified</x:v>
      </x:c>
      <x:c r="I816" s="12" t="str">
        <x:v>Mixed business audience</x:v>
      </x:c>
      <x:c r="J816" s="12" t="str">
        <x:v>Unresolved</x:v>
      </x:c>
      <x:c r="K816" s="2" t="str">
        <x:v>MAIN-255</x:v>
      </x:c>
    </x:row>
    <x:row r="817" ht="46" customHeight="1">
      <x:c r="A817" s="2" t="str">
        <x:v>TEN-776EBC473AD4</x:v>
      </x:c>
      <x:c r="B817" s="12" t="str">
        <x:v>Belatrix Software Pvt Ltd</x:v>
      </x:c>
      <x:c r="C817" s="12" t="str">
        <x:v>CORP-0251</x:v>
      </x:c>
      <x:c r="D817" s="12" t="str">
        <x:v>Hyderabad</x:v>
      </x:c>
      <x:c r="E817" s="12" t="str">
        <x:v>Sattva Orwell (Redbrick Offices)</x:v>
      </x:c>
      <x:c r="F817" s="12" t="str">
        <x:v>32 inch LED TV</x:v>
      </x:c>
      <x:c r="G817" s="20" t="n">
        <x:v>3</x:v>
      </x:c>
      <x:c r="H817" s="12" t="str">
        <x:v>Inventory-listed building/workspace context; current occupancy and screen access unverified</x:v>
      </x:c>
      <x:c r="I817" s="12" t="str">
        <x:v>Mixed business audience</x:v>
      </x:c>
      <x:c r="J817" s="12" t="str">
        <x:v>IT &amp; digital</x:v>
      </x:c>
      <x:c r="K817" s="2" t="str">
        <x:v>MAIN-255</x:v>
      </x:c>
    </x:row>
    <x:row r="818" ht="46" customHeight="1">
      <x:c r="A818" s="2" t="str">
        <x:v>TEN-81EC9D699A67</x:v>
      </x:c>
      <x:c r="B818" s="12" t="str">
        <x:v>Design Group (DG)</x:v>
      </x:c>
      <x:c r="C818" s="12" t="str">
        <x:v>CORP-0251</x:v>
      </x:c>
      <x:c r="D818" s="12" t="str">
        <x:v>Hyderabad</x:v>
      </x:c>
      <x:c r="E818" s="12" t="str">
        <x:v>Sattva Orwell (Redbrick Offices)</x:v>
      </x:c>
      <x:c r="F818" s="12" t="str">
        <x:v>32 inch LED TV</x:v>
      </x:c>
      <x:c r="G818" s="20" t="n">
        <x:v>3</x:v>
      </x:c>
      <x:c r="H818" s="12" t="str">
        <x:v>Inventory-listed building/workspace context; current occupancy and screen access unverified</x:v>
      </x:c>
      <x:c r="I818" s="12" t="str">
        <x:v>Small-scale prospects</x:v>
      </x:c>
      <x:c r="J818" s="12" t="str">
        <x:v>Professional services</x:v>
      </x:c>
      <x:c r="K818" s="2" t="str">
        <x:v>MAIN-255</x:v>
      </x:c>
    </x:row>
    <x:row r="819" ht="46" customHeight="1">
      <x:c r="A819" s="2" t="str">
        <x:v>TEN-8F327FC157B7</x:v>
      </x:c>
      <x:c r="B819" s="12" t="str">
        <x:v>EcoEvolve Bio Private Limited</x:v>
      </x:c>
      <x:c r="C819" s="12" t="str">
        <x:v>CORP-0251</x:v>
      </x:c>
      <x:c r="D819" s="12" t="str">
        <x:v>Hyderabad</x:v>
      </x:c>
      <x:c r="E819" s="12" t="str">
        <x:v>Sattva Orwell (Redbrick Offices)</x:v>
      </x:c>
      <x:c r="F819" s="12" t="str">
        <x:v>32 inch LED TV</x:v>
      </x:c>
      <x:c r="G819" s="20" t="n">
        <x:v>3</x:v>
      </x:c>
      <x:c r="H819" s="12" t="str">
        <x:v>Inventory-listed building/workspace context; current occupancy and screen access unverified</x:v>
      </x:c>
      <x:c r="I819" s="12" t="str">
        <x:v>Small-scale prospects</x:v>
      </x:c>
      <x:c r="J819" s="12" t="str">
        <x:v>Healthcare &amp; life sciences</x:v>
      </x:c>
      <x:c r="K819" s="2" t="str">
        <x:v>MAIN-255</x:v>
      </x:c>
    </x:row>
    <x:row r="820" ht="46" customHeight="1">
      <x:c r="A820" s="2" t="str">
        <x:v>TEN-BCA5D19DA317</x:v>
      </x:c>
      <x:c r="B820" s="12" t="str">
        <x:v>Siemens EDA India Private Ltd</x:v>
      </x:c>
      <x:c r="C820" s="12" t="str">
        <x:v>CORP-0251</x:v>
      </x:c>
      <x:c r="D820" s="12" t="str">
        <x:v>Hyderabad</x:v>
      </x:c>
      <x:c r="E820" s="12" t="str">
        <x:v>Sattva Orwell (Redbrick Offices)</x:v>
      </x:c>
      <x:c r="F820" s="12" t="str">
        <x:v>32 inch LED TV</x:v>
      </x:c>
      <x:c r="G820" s="20" t="n">
        <x:v>3</x:v>
      </x:c>
      <x:c r="H820" s="12" t="str">
        <x:v>Inventory-listed building/workspace context; current occupancy and screen access unverified</x:v>
      </x:c>
      <x:c r="I820" s="12" t="str">
        <x:v>Mixed business audience</x:v>
      </x:c>
      <x:c r="J820" s="12" t="str">
        <x:v>IT &amp; digital</x:v>
      </x:c>
      <x:c r="K820" s="2" t="str">
        <x:v>MAIN-255</x:v>
      </x:c>
    </x:row>
    <x:row r="821" ht="46" customHeight="1">
      <x:c r="A821" s="2" t="str">
        <x:v>TEN-EF04B4583793</x:v>
      </x:c>
      <x:c r="B821" s="12" t="str">
        <x:v>Kshema General Insurance Limited</x:v>
      </x:c>
      <x:c r="C821" s="12" t="str">
        <x:v>CORP-0251</x:v>
      </x:c>
      <x:c r="D821" s="12" t="str">
        <x:v>Hyderabad</x:v>
      </x:c>
      <x:c r="E821" s="12" t="str">
        <x:v>Sattva Orwell (Redbrick Offices)</x:v>
      </x:c>
      <x:c r="F821" s="12" t="str">
        <x:v>32 inch LED TV</x:v>
      </x:c>
      <x:c r="G821" s="20" t="n">
        <x:v>3</x:v>
      </x:c>
      <x:c r="H821" s="12" t="str">
        <x:v>Inventory-listed building/workspace context; current occupancy and screen access unverified</x:v>
      </x:c>
      <x:c r="I821" s="12" t="str">
        <x:v>Mixed business audience</x:v>
      </x:c>
      <x:c r="J821" s="12" t="str">
        <x:v>Finance &amp; insurance</x:v>
      </x:c>
      <x:c r="K821" s="2" t="str">
        <x:v>MAIN-255</x:v>
      </x:c>
    </x:row>
    <x:row r="822" ht="46" customHeight="1">
      <x:c r="A822" s="2" t="str">
        <x:v>TEN-FE468748B896</x:v>
      </x:c>
      <x:c r="B822" s="12" t="str">
        <x:v>JD Sports Fashion India LLP</x:v>
      </x:c>
      <x:c r="C822" s="12" t="str">
        <x:v>CORP-0251</x:v>
      </x:c>
      <x:c r="D822" s="12" t="str">
        <x:v>Hyderabad</x:v>
      </x:c>
      <x:c r="E822" s="12" t="str">
        <x:v>Sattva Orwell (Redbrick Offices)</x:v>
      </x:c>
      <x:c r="F822" s="12" t="str">
        <x:v>32 inch LED TV</x:v>
      </x:c>
      <x:c r="G822" s="20" t="n">
        <x:v>3</x:v>
      </x:c>
      <x:c r="H822" s="12" t="str">
        <x:v>Inventory-listed building/workspace context; current occupancy and screen access unverified</x:v>
      </x:c>
      <x:c r="I822" s="12" t="str">
        <x:v>Mixed business audience</x:v>
      </x:c>
      <x:c r="J822" s="12" t="str">
        <x:v>Trade, consumer &amp; logistics</x:v>
      </x:c>
      <x:c r="K822" s="2" t="str">
        <x:v>MAIN-255</x:v>
      </x:c>
    </x:row>
    <x:row r="823" ht="46" customHeight="1">
      <x:c r="A823" s="2" t="str">
        <x:v>TEN-01BA4C6C497A</x:v>
      </x:c>
      <x:c r="B823" s="12" t="str">
        <x:v>Latinem Private Ltd</x:v>
      </x:c>
      <x:c r="C823" s="12" t="str">
        <x:v>CORP-0252</x:v>
      </x:c>
      <x:c r="D823" s="12" t="str">
        <x:v>Hyderabad</x:v>
      </x:c>
      <x:c r="E823" s="12" t="str">
        <x:v>Sohini Tech Park (TS)</x:v>
      </x:c>
      <x:c r="F823" s="12" t="str">
        <x:v>55 inch LED TV</x:v>
      </x:c>
      <x:c r="G823" s="20" t="n">
        <x:v>2</x:v>
      </x:c>
      <x:c r="H823" s="12" t="str">
        <x:v>Company-listed building/campus context; workspace membership and screen access unverified</x:v>
      </x:c>
      <x:c r="I823" s="12" t="str">
        <x:v>Small-scale prospects</x:v>
      </x:c>
      <x:c r="J823" s="12" t="str">
        <x:v>Professional services</x:v>
      </x:c>
      <x:c r="K823" s="2" t="str">
        <x:v>MAIN-256</x:v>
      </x:c>
    </x:row>
    <x:row r="824" ht="46" customHeight="1">
      <x:c r="A824" s="2" t="str">
        <x:v>TEN-A69698F6A73D</x:v>
      </x:c>
      <x:c r="B824" s="12" t="str">
        <x:v>Wenable Technologies</x:v>
      </x:c>
      <x:c r="C824" s="12" t="str">
        <x:v>CORP-0252</x:v>
      </x:c>
      <x:c r="D824" s="12" t="str">
        <x:v>Hyderabad</x:v>
      </x:c>
      <x:c r="E824" s="12" t="str">
        <x:v>Sohini Tech Park (TS)</x:v>
      </x:c>
      <x:c r="F824" s="12" t="str">
        <x:v>55 inch LED TV</x:v>
      </x:c>
      <x:c r="G824" s="20" t="n">
        <x:v>2</x:v>
      </x:c>
      <x:c r="H824" s="12" t="str">
        <x:v>Company-listed building/campus context; workspace membership and screen access unverified</x:v>
      </x:c>
      <x:c r="I824" s="12" t="str">
        <x:v>Small-scale prospects</x:v>
      </x:c>
      <x:c r="J824" s="12" t="str">
        <x:v>IT &amp; digital</x:v>
      </x:c>
      <x:c r="K824" s="2" t="str">
        <x:v>MAIN-256</x:v>
      </x:c>
    </x:row>
    <x:row r="825" ht="46" customHeight="1">
      <x:c r="A825" s="2" t="str">
        <x:v>TEN-B197266D2265</x:v>
      </x:c>
      <x:c r="B825" s="12" t="str">
        <x:v>Egen</x:v>
      </x:c>
      <x:c r="C825" s="12" t="str">
        <x:v>CORP-0252</x:v>
      </x:c>
      <x:c r="D825" s="12" t="str">
        <x:v>Hyderabad</x:v>
      </x:c>
      <x:c r="E825" s="12" t="str">
        <x:v>Sohini Tech Park (TS)</x:v>
      </x:c>
      <x:c r="F825" s="12" t="str">
        <x:v>55 inch LED TV</x:v>
      </x:c>
      <x:c r="G825" s="20" t="n">
        <x:v>2</x:v>
      </x:c>
      <x:c r="H825" s="12" t="str">
        <x:v>Company-listed building/campus context; workspace membership and screen access unverified</x:v>
      </x:c>
      <x:c r="I825" s="12" t="str">
        <x:v>Small-scale prospects</x:v>
      </x:c>
      <x:c r="J825" s="12" t="str">
        <x:v>IT &amp; digital</x:v>
      </x:c>
      <x:c r="K825" s="2" t="str">
        <x:v>MAIN-256</x:v>
      </x:c>
    </x:row>
    <x:row r="826" ht="46" customHeight="1">
      <x:c r="A826" s="2" t="str">
        <x:v>TEN-E7CAC422537C</x:v>
      </x:c>
      <x:c r="B826" s="12" t="str">
        <x:v>Mirabel Technologies</x:v>
      </x:c>
      <x:c r="C826" s="12" t="str">
        <x:v>CORP-0252</x:v>
      </x:c>
      <x:c r="D826" s="12" t="str">
        <x:v>Hyderabad</x:v>
      </x:c>
      <x:c r="E826" s="12" t="str">
        <x:v>Sohini Tech Park (TS)</x:v>
      </x:c>
      <x:c r="F826" s="12" t="str">
        <x:v>55 inch LED TV</x:v>
      </x:c>
      <x:c r="G826" s="20" t="n">
        <x:v>2</x:v>
      </x:c>
      <x:c r="H826" s="12" t="str">
        <x:v>Company-listed building/campus context; workspace membership and screen access unverified</x:v>
      </x:c>
      <x:c r="I826" s="12" t="str">
        <x:v>Small-scale prospects</x:v>
      </x:c>
      <x:c r="J826" s="12" t="str">
        <x:v>IT &amp; digital</x:v>
      </x:c>
      <x:c r="K826" s="2" t="str">
        <x:v>MAIN-256</x:v>
      </x:c>
    </x:row>
    <x:row r="827" ht="46" customHeight="1">
      <x:c r="A827" s="2" t="str">
        <x:v>TEN-29CCA10F58D0</x:v>
      </x:c>
      <x:c r="B827" s="12" t="str">
        <x:v>Capital Now</x:v>
      </x:c>
      <x:c r="C827" s="12" t="str">
        <x:v>CORP-0253</x:v>
      </x:c>
      <x:c r="D827" s="12" t="str">
        <x:v>Hyderabad</x:v>
      </x:c>
      <x:c r="E827" s="12" t="str">
        <x:v>Symbyont Smart Space Aurobindo Orbit</x:v>
      </x:c>
      <x:c r="F827" s="12" t="str">
        <x:v>43 inch LED TV</x:v>
      </x:c>
      <x:c r="G827" s="20" t="n">
        <x:v>2</x:v>
      </x:c>
      <x:c r="H827" s="12" t="str">
        <x:v>Inventory-listed building/workspace context; current occupancy and screen access unverified</x:v>
      </x:c>
      <x:c r="I827" s="12" t="str">
        <x:v>Medium-scale prospects</x:v>
      </x:c>
      <x:c r="J827" s="12" t="str">
        <x:v>Finance &amp; insurance</x:v>
      </x:c>
      <x:c r="K827" s="2" t="str">
        <x:v>MAIN-257</x:v>
      </x:c>
    </x:row>
    <x:row r="828" ht="46" customHeight="1">
      <x:c r="A828" s="2" t="str">
        <x:v>TEN-2D9DF6A9EB0C</x:v>
      </x:c>
      <x:c r="B828" s="12" t="str">
        <x:v>Credit Vidya (Info credit service)</x:v>
      </x:c>
      <x:c r="C828" s="12" t="str">
        <x:v>CORP-0253</x:v>
      </x:c>
      <x:c r="D828" s="12" t="str">
        <x:v>Hyderabad</x:v>
      </x:c>
      <x:c r="E828" s="12" t="str">
        <x:v>Symbyont Smart Space Aurobindo Orbit</x:v>
      </x:c>
      <x:c r="F828" s="12" t="str">
        <x:v>43 inch LED TV</x:v>
      </x:c>
      <x:c r="G828" s="20" t="n">
        <x:v>2</x:v>
      </x:c>
      <x:c r="H828" s="12" t="str">
        <x:v>Inventory-listed building/workspace context; current occupancy and screen access unverified</x:v>
      </x:c>
      <x:c r="I828" s="12" t="str">
        <x:v>Medium-scale prospects</x:v>
      </x:c>
      <x:c r="J828" s="12" t="str">
        <x:v>Finance &amp; insurance</x:v>
      </x:c>
      <x:c r="K828" s="2" t="str">
        <x:v>MAIN-257</x:v>
      </x:c>
    </x:row>
    <x:row r="829" ht="46" customHeight="1">
      <x:c r="A829" s="2" t="str">
        <x:v>TEN-43D26C2AE619</x:v>
      </x:c>
      <x:c r="B829" s="12" t="str">
        <x:v>Storable India Pvt Ltd</x:v>
      </x:c>
      <x:c r="C829" s="12" t="str">
        <x:v>CORP-0253</x:v>
      </x:c>
      <x:c r="D829" s="12" t="str">
        <x:v>Hyderabad</x:v>
      </x:c>
      <x:c r="E829" s="12" t="str">
        <x:v>Symbyont Smart Space Aurobindo Orbit</x:v>
      </x:c>
      <x:c r="F829" s="12" t="str">
        <x:v>43 inch LED TV</x:v>
      </x:c>
      <x:c r="G829" s="20" t="n">
        <x:v>2</x:v>
      </x:c>
      <x:c r="H829" s="12" t="str">
        <x:v>Inventory-listed building/workspace context; current occupancy and screen access unverified</x:v>
      </x:c>
      <x:c r="I829" s="12" t="str">
        <x:v>Mixed business audience</x:v>
      </x:c>
      <x:c r="J829" s="12" t="str">
        <x:v>IT &amp; digital</x:v>
      </x:c>
      <x:c r="K829" s="2" t="str">
        <x:v>MAIN-257</x:v>
      </x:c>
    </x:row>
    <x:row r="830" ht="46" customHeight="1">
      <x:c r="A830" s="2" t="str">
        <x:v>TEN-913DCEB4808B</x:v>
      </x:c>
      <x:c r="B830" s="12" t="str">
        <x:v>Premier Energies Limited</x:v>
      </x:c>
      <x:c r="C830" s="12" t="str">
        <x:v>CORP-0253</x:v>
      </x:c>
      <x:c r="D830" s="12" t="str">
        <x:v>Hyderabad</x:v>
      </x:c>
      <x:c r="E830" s="12" t="str">
        <x:v>Symbyont Smart Space Aurobindo Orbit</x:v>
      </x:c>
      <x:c r="F830" s="12" t="str">
        <x:v>43 inch LED TV</x:v>
      </x:c>
      <x:c r="G830" s="20" t="n">
        <x:v>2</x:v>
      </x:c>
      <x:c r="H830" s="12" t="str">
        <x:v>Inventory-listed building/workspace context; current occupancy and screen access unverified</x:v>
      </x:c>
      <x:c r="I830" s="12" t="str">
        <x:v>Mixed business audience</x:v>
      </x:c>
      <x:c r="J830" s="12" t="str">
        <x:v>Engineering &amp; manufacturing</x:v>
      </x:c>
      <x:c r="K830" s="2" t="str">
        <x:v>MAIN-257</x:v>
      </x:c>
    </x:row>
    <x:row r="831" ht="46" customHeight="1">
      <x:c r="A831" s="2" t="str">
        <x:v>TEN-BE4220A2067C</x:v>
      </x:c>
      <x:c r="B831" s="12" t="str">
        <x:v>Davisware Software Solutions Pvt Ltd</x:v>
      </x:c>
      <x:c r="C831" s="12" t="str">
        <x:v>CORP-0253</x:v>
      </x:c>
      <x:c r="D831" s="12" t="str">
        <x:v>Hyderabad</x:v>
      </x:c>
      <x:c r="E831" s="12" t="str">
        <x:v>Symbyont Smart Space Aurobindo Orbit</x:v>
      </x:c>
      <x:c r="F831" s="12" t="str">
        <x:v>43 inch LED TV</x:v>
      </x:c>
      <x:c r="G831" s="20" t="n">
        <x:v>2</x:v>
      </x:c>
      <x:c r="H831" s="12" t="str">
        <x:v>Inventory-listed building/workspace context; current occupancy and screen access unverified</x:v>
      </x:c>
      <x:c r="I831" s="12" t="str">
        <x:v>Small-scale prospects</x:v>
      </x:c>
      <x:c r="J831" s="12" t="str">
        <x:v>IT &amp; digital</x:v>
      </x:c>
      <x:c r="K831" s="2" t="str">
        <x:v>MAIN-257</x:v>
      </x:c>
    </x:row>
    <x:row r="832" ht="46" customHeight="1">
      <x:c r="A832" s="2" t="str">
        <x:v>TEN-1FB8742AF01D</x:v>
      </x:c>
      <x:c r="B832" s="12" t="str">
        <x:v>Softobiz Technologies</x:v>
      </x:c>
      <x:c r="C832" s="12" t="str">
        <x:v>CORP-0254</x:v>
      </x:c>
      <x:c r="D832" s="12" t="str">
        <x:v>Hyderabad</x:v>
      </x:c>
      <x:c r="E832" s="12" t="str">
        <x:v>Symbyont Smart Space Dallas Centre</x:v>
      </x:c>
      <x:c r="F832" s="12" t="str">
        <x:v>55 inch LED TV</x:v>
      </x:c>
      <x:c r="G832" s="20" t="n">
        <x:v>5</x:v>
      </x:c>
      <x:c r="H832" s="12" t="str">
        <x:v>Inventory-listed building/workspace context; current occupancy and screen access unverified</x:v>
      </x:c>
      <x:c r="I832" s="12" t="str">
        <x:v>Small-scale prospects</x:v>
      </x:c>
      <x:c r="J832" s="12" t="str">
        <x:v>IT &amp; digital</x:v>
      </x:c>
      <x:c r="K832" s="2" t="str">
        <x:v>MAIN-258</x:v>
      </x:c>
    </x:row>
    <x:row r="833" ht="46" customHeight="1">
      <x:c r="A833" s="2" t="str">
        <x:v>TEN-2110489FAD91</x:v>
      </x:c>
      <x:c r="B833" s="12" t="str">
        <x:v>Recvue (I) Pvt Ltd</x:v>
      </x:c>
      <x:c r="C833" s="12" t="str">
        <x:v>CORP-0254</x:v>
      </x:c>
      <x:c r="D833" s="12" t="str">
        <x:v>Hyderabad</x:v>
      </x:c>
      <x:c r="E833" s="12" t="str">
        <x:v>Symbyont Smart Space Dallas Centre</x:v>
      </x:c>
      <x:c r="F833" s="12" t="str">
        <x:v>55 inch LED TV</x:v>
      </x:c>
      <x:c r="G833" s="20" t="n">
        <x:v>5</x:v>
      </x:c>
      <x:c r="H833" s="12" t="str">
        <x:v>Inventory-listed building/workspace context; current occupancy and screen access unverified</x:v>
      </x:c>
      <x:c r="I833" s="12" t="str">
        <x:v>Small-scale prospects</x:v>
      </x:c>
      <x:c r="J833" s="12" t="str">
        <x:v>IT &amp; digital</x:v>
      </x:c>
      <x:c r="K833" s="2" t="str">
        <x:v>MAIN-258</x:v>
      </x:c>
    </x:row>
    <x:row r="834" ht="46" customHeight="1">
      <x:c r="A834" s="2" t="str">
        <x:v>TEN-4AE3A2A36DB1</x:v>
      </x:c>
      <x:c r="B834" s="12" t="str">
        <x:v>Fint Solutions</x:v>
      </x:c>
      <x:c r="C834" s="12" t="str">
        <x:v>CORP-0254</x:v>
      </x:c>
      <x:c r="D834" s="12" t="str">
        <x:v>Hyderabad</x:v>
      </x:c>
      <x:c r="E834" s="12" t="str">
        <x:v>Symbyont Smart Space Dallas Centre</x:v>
      </x:c>
      <x:c r="F834" s="12" t="str">
        <x:v>55 inch LED TV</x:v>
      </x:c>
      <x:c r="G834" s="20" t="n">
        <x:v>5</x:v>
      </x:c>
      <x:c r="H834" s="12" t="str">
        <x:v>Inventory-listed building/workspace context; current occupancy and screen access unverified</x:v>
      </x:c>
      <x:c r="I834" s="12" t="str">
        <x:v>Small-scale prospects</x:v>
      </x:c>
      <x:c r="J834" s="12" t="str">
        <x:v>IT &amp; digital</x:v>
      </x:c>
      <x:c r="K834" s="2" t="str">
        <x:v>MAIN-258</x:v>
      </x:c>
    </x:row>
    <x:row r="835" ht="46" customHeight="1">
      <x:c r="A835" s="2" t="str">
        <x:v>TEN-6790EB887573</x:v>
      </x:c>
      <x:c r="B835" s="12" t="str">
        <x:v>Fluxon Apps</x:v>
      </x:c>
      <x:c r="C835" s="12" t="str">
        <x:v>CORP-0254</x:v>
      </x:c>
      <x:c r="D835" s="12" t="str">
        <x:v>Hyderabad</x:v>
      </x:c>
      <x:c r="E835" s="12" t="str">
        <x:v>Symbyont Smart Space Dallas Centre</x:v>
      </x:c>
      <x:c r="F835" s="12" t="str">
        <x:v>55 inch LED TV</x:v>
      </x:c>
      <x:c r="G835" s="20" t="n">
        <x:v>5</x:v>
      </x:c>
      <x:c r="H835" s="12" t="str">
        <x:v>Inventory-listed building/workspace context; current occupancy and screen access unverified</x:v>
      </x:c>
      <x:c r="I835" s="12" t="str">
        <x:v>Small-scale prospects</x:v>
      </x:c>
      <x:c r="J835" s="12" t="str">
        <x:v>IT &amp; digital</x:v>
      </x:c>
      <x:c r="K835" s="2" t="str">
        <x:v>MAIN-258</x:v>
      </x:c>
    </x:row>
    <x:row r="836" ht="46" customHeight="1">
      <x:c r="A836" s="2" t="str">
        <x:v>TEN-983B838AAED4</x:v>
      </x:c>
      <x:c r="B836" s="12" t="str">
        <x:v>Unirac Solar India LLP</x:v>
      </x:c>
      <x:c r="C836" s="12" t="str">
        <x:v>CORP-0254</x:v>
      </x:c>
      <x:c r="D836" s="12" t="str">
        <x:v>Hyderabad</x:v>
      </x:c>
      <x:c r="E836" s="12" t="str">
        <x:v>Symbyont Smart Space Dallas Centre</x:v>
      </x:c>
      <x:c r="F836" s="12" t="str">
        <x:v>55 inch LED TV</x:v>
      </x:c>
      <x:c r="G836" s="20" t="n">
        <x:v>5</x:v>
      </x:c>
      <x:c r="H836" s="12" t="str">
        <x:v>Inventory-listed building/workspace context; current occupancy and screen access unverified</x:v>
      </x:c>
      <x:c r="I836" s="12" t="str">
        <x:v>Medium-scale prospects</x:v>
      </x:c>
      <x:c r="J836" s="12" t="str">
        <x:v>Engineering &amp; manufacturing</x:v>
      </x:c>
      <x:c r="K836" s="2" t="str">
        <x:v>MAIN-258</x:v>
      </x:c>
    </x:row>
    <x:row r="837" ht="46" customHeight="1">
      <x:c r="A837" s="2" t="str">
        <x:v>TEN-9893181D2970</x:v>
      </x:c>
      <x:c r="B837" s="12" t="str">
        <x:v>Ovation Services Pvt Ltd</x:v>
      </x:c>
      <x:c r="C837" s="12" t="str">
        <x:v>CORP-0254</x:v>
      </x:c>
      <x:c r="D837" s="12" t="str">
        <x:v>Hyderabad</x:v>
      </x:c>
      <x:c r="E837" s="12" t="str">
        <x:v>Symbyont Smart Space Dallas Centre</x:v>
      </x:c>
      <x:c r="F837" s="12" t="str">
        <x:v>55 inch LED TV</x:v>
      </x:c>
      <x:c r="G837" s="20" t="n">
        <x:v>5</x:v>
      </x:c>
      <x:c r="H837" s="12" t="str">
        <x:v>Inventory-listed building/workspace context; current occupancy and screen access unverified</x:v>
      </x:c>
      <x:c r="I837" s="12" t="str">
        <x:v>Mixed business audience</x:v>
      </x:c>
      <x:c r="J837" s="12" t="str">
        <x:v>Unresolved</x:v>
      </x:c>
      <x:c r="K837" s="2" t="str">
        <x:v>MAIN-258</x:v>
      </x:c>
    </x:row>
    <x:row r="838" ht="46" customHeight="1">
      <x:c r="A838" s="2" t="str">
        <x:v>TEN-B34E0B904F17</x:v>
      </x:c>
      <x:c r="B838" s="12" t="str">
        <x:v>Perficient India Private Limited</x:v>
      </x:c>
      <x:c r="C838" s="12" t="str">
        <x:v>CORP-0254</x:v>
      </x:c>
      <x:c r="D838" s="12" t="str">
        <x:v>Hyderabad</x:v>
      </x:c>
      <x:c r="E838" s="12" t="str">
        <x:v>Symbyont Smart Space Dallas Centre</x:v>
      </x:c>
      <x:c r="F838" s="12" t="str">
        <x:v>55 inch LED TV</x:v>
      </x:c>
      <x:c r="G838" s="20" t="n">
        <x:v>5</x:v>
      </x:c>
      <x:c r="H838" s="12" t="str">
        <x:v>Inventory-listed building/workspace context; current occupancy and screen access unverified</x:v>
      </x:c>
      <x:c r="I838" s="12" t="str">
        <x:v>Mixed business audience</x:v>
      </x:c>
      <x:c r="J838" s="12" t="str">
        <x:v>IT &amp; digital</x:v>
      </x:c>
      <x:c r="K838" s="2" t="str">
        <x:v>MAIN-258</x:v>
      </x:c>
    </x:row>
    <x:row r="839" ht="46" customHeight="1">
      <x:c r="A839" s="2" t="str">
        <x:v>TEN-C84EE5F68808</x:v>
      </x:c>
      <x:c r="B839" s="12" t="str">
        <x:v>Avani Tech Solutions Pvt Ltd</x:v>
      </x:c>
      <x:c r="C839" s="12" t="str">
        <x:v>CORP-0254</x:v>
      </x:c>
      <x:c r="D839" s="12" t="str">
        <x:v>Hyderabad</x:v>
      </x:c>
      <x:c r="E839" s="12" t="str">
        <x:v>Symbyont Smart Space Dallas Centre</x:v>
      </x:c>
      <x:c r="F839" s="12" t="str">
        <x:v>55 inch LED TV</x:v>
      </x:c>
      <x:c r="G839" s="20" t="n">
        <x:v>5</x:v>
      </x:c>
      <x:c r="H839" s="12" t="str">
        <x:v>Inventory-listed building/workspace context; current occupancy and screen access unverified</x:v>
      </x:c>
      <x:c r="I839" s="12" t="str">
        <x:v>Small-scale prospects</x:v>
      </x:c>
      <x:c r="J839" s="12" t="str">
        <x:v>IT &amp; digital</x:v>
      </x:c>
      <x:c r="K839" s="2" t="str">
        <x:v>MAIN-258</x:v>
      </x:c>
    </x:row>
    <x:row r="840" ht="46" customHeight="1">
      <x:c r="A840" s="2" t="str">
        <x:v>TEN-D23268DCF54E</x:v>
      </x:c>
      <x:c r="B840" s="12" t="str">
        <x:v>Tek Tree Software Solutions</x:v>
      </x:c>
      <x:c r="C840" s="12" t="str">
        <x:v>CORP-0254</x:v>
      </x:c>
      <x:c r="D840" s="12" t="str">
        <x:v>Hyderabad</x:v>
      </x:c>
      <x:c r="E840" s="12" t="str">
        <x:v>Symbyont Smart Space Dallas Centre</x:v>
      </x:c>
      <x:c r="F840" s="12" t="str">
        <x:v>55 inch LED TV</x:v>
      </x:c>
      <x:c r="G840" s="20" t="n">
        <x:v>5</x:v>
      </x:c>
      <x:c r="H840" s="12" t="str">
        <x:v>Inventory-listed building/workspace context; current occupancy and screen access unverified</x:v>
      </x:c>
      <x:c r="I840" s="12" t="str">
        <x:v>Small-scale prospects</x:v>
      </x:c>
      <x:c r="J840" s="12" t="str">
        <x:v>IT &amp; digital</x:v>
      </x:c>
      <x:c r="K840" s="2" t="str">
        <x:v>MAIN-258</x:v>
      </x:c>
    </x:row>
    <x:row r="841" ht="46" customHeight="1">
      <x:c r="A841" s="2" t="str">
        <x:v>TEN-EB22DF2431C9</x:v>
      </x:c>
      <x:c r="B841" s="12" t="str">
        <x:v>Knight Frank India Pvt Ltd</x:v>
      </x:c>
      <x:c r="C841" s="12" t="str">
        <x:v>CORP-0254</x:v>
      </x:c>
      <x:c r="D841" s="12" t="str">
        <x:v>Hyderabad</x:v>
      </x:c>
      <x:c r="E841" s="12" t="str">
        <x:v>Symbyont Smart Space Dallas Centre</x:v>
      </x:c>
      <x:c r="F841" s="12" t="str">
        <x:v>55 inch LED TV</x:v>
      </x:c>
      <x:c r="G841" s="20" t="n">
        <x:v>5</x:v>
      </x:c>
      <x:c r="H841" s="12" t="str">
        <x:v>Inventory-listed building/workspace context; current occupancy and screen access unverified</x:v>
      </x:c>
      <x:c r="I841" s="12" t="str">
        <x:v>Mixed business audience</x:v>
      </x:c>
      <x:c r="J841" s="12" t="str">
        <x:v>Trade, consumer &amp; logistics</x:v>
      </x:c>
      <x:c r="K841" s="2" t="str">
        <x:v>MAIN-258</x:v>
      </x:c>
    </x:row>
    <x:row r="842" ht="46" customHeight="1">
      <x:c r="A842" s="2" t="str">
        <x:v>TEN-FBE4AE7104D0</x:v>
      </x:c>
      <x:c r="B842" s="12" t="str">
        <x:v>Release Point</x:v>
      </x:c>
      <x:c r="C842" s="12" t="str">
        <x:v>CORP-0254</x:v>
      </x:c>
      <x:c r="D842" s="12" t="str">
        <x:v>Hyderabad</x:v>
      </x:c>
      <x:c r="E842" s="12" t="str">
        <x:v>Symbyont Smart Space Dallas Centre</x:v>
      </x:c>
      <x:c r="F842" s="12" t="str">
        <x:v>55 inch LED TV</x:v>
      </x:c>
      <x:c r="G842" s="20" t="n">
        <x:v>5</x:v>
      </x:c>
      <x:c r="H842" s="12" t="str">
        <x:v>Inventory-listed building/workspace context; current occupancy and screen access unverified</x:v>
      </x:c>
      <x:c r="I842" s="12" t="str">
        <x:v>Mixed business audience</x:v>
      </x:c>
      <x:c r="J842" s="12" t="str">
        <x:v>Unresolved</x:v>
      </x:c>
      <x:c r="K842" s="2" t="str">
        <x:v>MAIN-258</x:v>
      </x:c>
    </x:row>
    <x:row r="843" ht="46" customHeight="1">
      <x:c r="A843" s="2" t="str">
        <x:v>TEN-01E660DEC960</x:v>
      </x:c>
      <x:c r="B843" s="12" t="str">
        <x:v>Turvo India Pvt Ltd</x:v>
      </x:c>
      <x:c r="C843" s="12" t="str">
        <x:v>CORP-0255</x:v>
      </x:c>
      <x:c r="D843" s="12" t="str">
        <x:v>Hyderabad</x:v>
      </x:c>
      <x:c r="E843" s="12" t="str">
        <x:v>Symbyont Smart Space Rajapushpa Summit</x:v>
      </x:c>
      <x:c r="F843" s="12" t="str">
        <x:v>43 inch LED TV</x:v>
      </x:c>
      <x:c r="G843" s="20" t="n">
        <x:v>1</x:v>
      </x:c>
      <x:c r="H843" s="12" t="str">
        <x:v>Inventory-listed building/workspace context; current occupancy and screen access unverified</x:v>
      </x:c>
      <x:c r="I843" s="12" t="str">
        <x:v>Small-scale prospects</x:v>
      </x:c>
      <x:c r="J843" s="12" t="str">
        <x:v>IT &amp; digital</x:v>
      </x:c>
      <x:c r="K843" s="2" t="str">
        <x:v>MAIN-259</x:v>
      </x:c>
    </x:row>
    <x:row r="844" ht="46" customHeight="1">
      <x:c r="A844" s="2" t="str">
        <x:v>TEN-0BF40938E92E</x:v>
      </x:c>
      <x:c r="B844" s="12" t="str">
        <x:v>Typeface AI</x:v>
      </x:c>
      <x:c r="C844" s="12" t="str">
        <x:v>CORP-0255</x:v>
      </x:c>
      <x:c r="D844" s="12" t="str">
        <x:v>Hyderabad</x:v>
      </x:c>
      <x:c r="E844" s="12" t="str">
        <x:v>Symbyont Smart Space Rajapushpa Summit</x:v>
      </x:c>
      <x:c r="F844" s="12" t="str">
        <x:v>43 inch LED TV</x:v>
      </x:c>
      <x:c r="G844" s="20" t="n">
        <x:v>1</x:v>
      </x:c>
      <x:c r="H844" s="12" t="str">
        <x:v>Inventory-listed building/workspace context; current occupancy and screen access unverified</x:v>
      </x:c>
      <x:c r="I844" s="12" t="str">
        <x:v>Small-scale prospects</x:v>
      </x:c>
      <x:c r="J844" s="12" t="str">
        <x:v>IT &amp; digital</x:v>
      </x:c>
      <x:c r="K844" s="2" t="str">
        <x:v>MAIN-259</x:v>
      </x:c>
    </x:row>
    <x:row r="845" ht="46" customHeight="1">
      <x:c r="A845" s="2" t="str">
        <x:v>TEN-0C0D0BCA0825</x:v>
      </x:c>
      <x:c r="B845" s="12" t="str">
        <x:v>Euklid Innovations</x:v>
      </x:c>
      <x:c r="C845" s="12" t="str">
        <x:v>CORP-0255</x:v>
      </x:c>
      <x:c r="D845" s="12" t="str">
        <x:v>Hyderabad</x:v>
      </x:c>
      <x:c r="E845" s="12" t="str">
        <x:v>Symbyont Smart Space Rajapushpa Summit</x:v>
      </x:c>
      <x:c r="F845" s="12" t="str">
        <x:v>43 inch LED TV</x:v>
      </x:c>
      <x:c r="G845" s="20" t="n">
        <x:v>1</x:v>
      </x:c>
      <x:c r="H845" s="12" t="str">
        <x:v>Inventory-listed building/workspace context; current occupancy and screen access unverified</x:v>
      </x:c>
      <x:c r="I845" s="12" t="str">
        <x:v>Mixed business audience</x:v>
      </x:c>
      <x:c r="J845" s="12" t="str">
        <x:v>Unresolved</x:v>
      </x:c>
      <x:c r="K845" s="2" t="str">
        <x:v>MAIN-259</x:v>
      </x:c>
    </x:row>
    <x:row r="846" ht="46" customHeight="1">
      <x:c r="A846" s="2" t="str">
        <x:v>TEN-238E58E8EF2D</x:v>
      </x:c>
      <x:c r="B846" s="12" t="str">
        <x:v>Qbrainx India Private Limited</x:v>
      </x:c>
      <x:c r="C846" s="12" t="str">
        <x:v>CORP-0255</x:v>
      </x:c>
      <x:c r="D846" s="12" t="str">
        <x:v>Hyderabad</x:v>
      </x:c>
      <x:c r="E846" s="12" t="str">
        <x:v>Symbyont Smart Space Rajapushpa Summit</x:v>
      </x:c>
      <x:c r="F846" s="12" t="str">
        <x:v>43 inch LED TV</x:v>
      </x:c>
      <x:c r="G846" s="20" t="n">
        <x:v>1</x:v>
      </x:c>
      <x:c r="H846" s="12" t="str">
        <x:v>Inventory-listed building/workspace context; current occupancy and screen access unverified</x:v>
      </x:c>
      <x:c r="I846" s="12" t="str">
        <x:v>Small-scale prospects</x:v>
      </x:c>
      <x:c r="J846" s="12" t="str">
        <x:v>IT &amp; digital</x:v>
      </x:c>
      <x:c r="K846" s="2" t="str">
        <x:v>MAIN-259</x:v>
      </x:c>
    </x:row>
    <x:row r="847" ht="46" customHeight="1">
      <x:c r="A847" s="2" t="str">
        <x:v>TEN-2B128031063A</x:v>
      </x:c>
      <x:c r="B847" s="12" t="str">
        <x:v>Highspot</x:v>
      </x:c>
      <x:c r="C847" s="12" t="str">
        <x:v>CORP-0255</x:v>
      </x:c>
      <x:c r="D847" s="12" t="str">
        <x:v>Hyderabad</x:v>
      </x:c>
      <x:c r="E847" s="12" t="str">
        <x:v>Symbyont Smart Space Rajapushpa Summit</x:v>
      </x:c>
      <x:c r="F847" s="12" t="str">
        <x:v>43 inch LED TV</x:v>
      </x:c>
      <x:c r="G847" s="20" t="n">
        <x:v>1</x:v>
      </x:c>
      <x:c r="H847" s="12" t="str">
        <x:v>Inventory-listed building/workspace context; current occupancy and screen access unverified</x:v>
      </x:c>
      <x:c r="I847" s="12" t="str">
        <x:v>Mixed business audience</x:v>
      </x:c>
      <x:c r="J847" s="12" t="str">
        <x:v>IT &amp; digital</x:v>
      </x:c>
      <x:c r="K847" s="2" t="str">
        <x:v>MAIN-259</x:v>
      </x:c>
    </x:row>
    <x:row r="848" ht="46" customHeight="1">
      <x:c r="A848" s="2" t="str">
        <x:v>TEN-614F7C87ABB5</x:v>
      </x:c>
      <x:c r="B848" s="12" t="str">
        <x:v>CBL Solutions</x:v>
      </x:c>
      <x:c r="C848" s="12" t="str">
        <x:v>CORP-0255</x:v>
      </x:c>
      <x:c r="D848" s="12" t="str">
        <x:v>Hyderabad</x:v>
      </x:c>
      <x:c r="E848" s="12" t="str">
        <x:v>Symbyont Smart Space Rajapushpa Summit</x:v>
      </x:c>
      <x:c r="F848" s="12" t="str">
        <x:v>43 inch LED TV</x:v>
      </x:c>
      <x:c r="G848" s="20" t="n">
        <x:v>1</x:v>
      </x:c>
      <x:c r="H848" s="12" t="str">
        <x:v>Inventory-listed building/workspace context; current occupancy and screen access unverified</x:v>
      </x:c>
      <x:c r="I848" s="12" t="str">
        <x:v>Small-scale prospects</x:v>
      </x:c>
      <x:c r="J848" s="12" t="str">
        <x:v>IT &amp; digital</x:v>
      </x:c>
      <x:c r="K848" s="2" t="str">
        <x:v>MAIN-259</x:v>
      </x:c>
    </x:row>
    <x:row r="849" ht="46" customHeight="1">
      <x:c r="A849" s="2" t="str">
        <x:v>TEN-642106BA717C</x:v>
      </x:c>
      <x:c r="B849" s="12" t="str">
        <x:v>Adaptoid Labs India Private Limited</x:v>
      </x:c>
      <x:c r="C849" s="12" t="str">
        <x:v>CORP-0255</x:v>
      </x:c>
      <x:c r="D849" s="12" t="str">
        <x:v>Hyderabad</x:v>
      </x:c>
      <x:c r="E849" s="12" t="str">
        <x:v>Symbyont Smart Space Rajapushpa Summit</x:v>
      </x:c>
      <x:c r="F849" s="12" t="str">
        <x:v>43 inch LED TV</x:v>
      </x:c>
      <x:c r="G849" s="20" t="n">
        <x:v>1</x:v>
      </x:c>
      <x:c r="H849" s="12" t="str">
        <x:v>Inventory-listed building/workspace context; current occupancy and screen access unverified</x:v>
      </x:c>
      <x:c r="I849" s="12" t="str">
        <x:v>Mixed business audience</x:v>
      </x:c>
      <x:c r="J849" s="12" t="str">
        <x:v>Unresolved</x:v>
      </x:c>
      <x:c r="K849" s="2" t="str">
        <x:v>MAIN-259</x:v>
      </x:c>
    </x:row>
    <x:row r="850" ht="46" customHeight="1">
      <x:c r="A850" s="2" t="str">
        <x:v>TEN-8D7972B23DAD</x:v>
      </x:c>
      <x:c r="B850" s="12" t="str">
        <x:v>Scalify India Private Limited</x:v>
      </x:c>
      <x:c r="C850" s="12" t="str">
        <x:v>CORP-0255</x:v>
      </x:c>
      <x:c r="D850" s="12" t="str">
        <x:v>Hyderabad</x:v>
      </x:c>
      <x:c r="E850" s="12" t="str">
        <x:v>Symbyont Smart Space Rajapushpa Summit</x:v>
      </x:c>
      <x:c r="F850" s="12" t="str">
        <x:v>43 inch LED TV</x:v>
      </x:c>
      <x:c r="G850" s="20" t="n">
        <x:v>1</x:v>
      </x:c>
      <x:c r="H850" s="12" t="str">
        <x:v>Inventory-listed building/workspace context; current occupancy and screen access unverified</x:v>
      </x:c>
      <x:c r="I850" s="12" t="str">
        <x:v>Mixed business audience</x:v>
      </x:c>
      <x:c r="J850" s="12" t="str">
        <x:v>Unresolved</x:v>
      </x:c>
      <x:c r="K850" s="2" t="str">
        <x:v>MAIN-259</x:v>
      </x:c>
    </x:row>
    <x:row r="851" ht="46" customHeight="1">
      <x:c r="A851" s="2" t="str">
        <x:v>TEN-95E86F58BA7F</x:v>
      </x:c>
      <x:c r="B851" s="12" t="str">
        <x:v>Mordor Intelligence</x:v>
      </x:c>
      <x:c r="C851" s="12" t="str">
        <x:v>CORP-0255</x:v>
      </x:c>
      <x:c r="D851" s="12" t="str">
        <x:v>Hyderabad</x:v>
      </x:c>
      <x:c r="E851" s="12" t="str">
        <x:v>Symbyont Smart Space Rajapushpa Summit</x:v>
      </x:c>
      <x:c r="F851" s="12" t="str">
        <x:v>43 inch LED TV</x:v>
      </x:c>
      <x:c r="G851" s="20" t="n">
        <x:v>1</x:v>
      </x:c>
      <x:c r="H851" s="12" t="str">
        <x:v>Inventory-listed building/workspace context; current occupancy and screen access unverified</x:v>
      </x:c>
      <x:c r="I851" s="12" t="str">
        <x:v>Small-scale prospects</x:v>
      </x:c>
      <x:c r="J851" s="12" t="str">
        <x:v>Professional services</x:v>
      </x:c>
      <x:c r="K851" s="2" t="str">
        <x:v>MAIN-259</x:v>
      </x:c>
    </x:row>
    <x:row r="852" ht="46" customHeight="1">
      <x:c r="A852" s="2" t="str">
        <x:v>TEN-197BE48BE03D</x:v>
      </x:c>
      <x:c r="B852" s="12" t="str">
        <x:v>WayCool</x:v>
      </x:c>
      <x:c r="C852" s="12" t="str">
        <x:v>CORP-0022</x:v>
      </x:c>
      <x:c r="D852" s="12" t="str">
        <x:v>Bengaluru</x:v>
      </x:c>
      <x:c r="E852" s="12" t="str">
        <x:v>Awfis - Vajram Esteva</x:v>
      </x:c>
      <x:c r="F852" s="12" t="str">
        <x:v>32 inch LED TV</x:v>
      </x:c>
      <x:c r="G852" s="20" t="n">
        <x:v>4</x:v>
      </x:c>
      <x:c r="H852" s="12" t="str">
        <x:v>Inventory-listed building/workspace context; current occupancy and screen access unverified</x:v>
      </x:c>
      <x:c r="I852" s="12" t="str">
        <x:v>Small-scale prospects</x:v>
      </x:c>
      <x:c r="J852" s="12" t="str">
        <x:v>Trade, consumer &amp; logistics</x:v>
      </x:c>
      <x:c r="K852" s="2" t="str">
        <x:v>MAIN-026</x:v>
      </x:c>
    </x:row>
    <x:row r="853" ht="46" customHeight="1">
      <x:c r="A853" s="2" t="str">
        <x:v>TEN-7AA934A270B5</x:v>
      </x:c>
      <x:c r="B853" s="12" t="str">
        <x:v>Truminds Software Systems</x:v>
      </x:c>
      <x:c r="C853" s="12" t="str">
        <x:v>CORP-0022</x:v>
      </x:c>
      <x:c r="D853" s="12" t="str">
        <x:v>Bengaluru</x:v>
      </x:c>
      <x:c r="E853" s="12" t="str">
        <x:v>Awfis - Vajram Esteva</x:v>
      </x:c>
      <x:c r="F853" s="12" t="str">
        <x:v>32 inch LED TV</x:v>
      </x:c>
      <x:c r="G853" s="20" t="n">
        <x:v>4</x:v>
      </x:c>
      <x:c r="H853" s="12" t="str">
        <x:v>Inventory-listed building/workspace context; current occupancy and screen access unverified</x:v>
      </x:c>
      <x:c r="I853" s="12" t="str">
        <x:v>Small-scale prospects</x:v>
      </x:c>
      <x:c r="J853" s="12" t="str">
        <x:v>IT &amp; digital</x:v>
      </x:c>
      <x:c r="K853" s="2" t="str">
        <x:v>MAIN-026</x:v>
      </x:c>
    </x:row>
    <x:row r="854" ht="46" customHeight="1">
      <x:c r="A854" s="2" t="str">
        <x:v>TEN-918C82EDA072</x:v>
      </x:c>
      <x:c r="B854" s="12" t="str">
        <x:v>Scalene Works</x:v>
      </x:c>
      <x:c r="C854" s="12" t="str">
        <x:v>CORP-0022</x:v>
      </x:c>
      <x:c r="D854" s="12" t="str">
        <x:v>Bengaluru</x:v>
      </x:c>
      <x:c r="E854" s="12" t="str">
        <x:v>Awfis - Vajram Esteva</x:v>
      </x:c>
      <x:c r="F854" s="12" t="str">
        <x:v>32 inch LED TV</x:v>
      </x:c>
      <x:c r="G854" s="20" t="n">
        <x:v>4</x:v>
      </x:c>
      <x:c r="H854" s="12" t="str">
        <x:v>Inventory-listed building/workspace context; current occupancy and screen access unverified</x:v>
      </x:c>
      <x:c r="I854" s="12" t="str">
        <x:v>Small-scale prospects</x:v>
      </x:c>
      <x:c r="J854" s="12" t="str">
        <x:v>Professional services</x:v>
      </x:c>
      <x:c r="K854" s="2" t="str">
        <x:v>MAIN-026</x:v>
      </x:c>
    </x:row>
    <x:row r="855" ht="46" customHeight="1">
      <x:c r="A855" s="2" t="str">
        <x:v>TEN-399D9BFC3C0B</x:v>
      </x:c>
      <x:c r="B855" s="12" t="str">
        <x:v>KVK Energy and infrastructure pvt ltd</x:v>
      </x:c>
      <x:c r="C855" s="12" t="str">
        <x:v>CORP-0256</x:v>
      </x:c>
      <x:c r="D855" s="12" t="str">
        <x:v>Hyderabad</x:v>
      </x:c>
      <x:c r="E855" s="12" t="str">
        <x:v>T-Hub</x:v>
      </x:c>
      <x:c r="F855" s="12" t="str">
        <x:v>32 inch LED TV</x:v>
      </x:c>
      <x:c r="G855" s="20" t="n">
        <x:v>22</x:v>
      </x:c>
      <x:c r="H855" s="12" t="str">
        <x:v>Inventory-listed building/workspace context; current occupancy and screen access unverified</x:v>
      </x:c>
      <x:c r="I855" s="12" t="str">
        <x:v>Mixed business audience</x:v>
      </x:c>
      <x:c r="J855" s="12" t="str">
        <x:v>Engineering &amp; manufacturing</x:v>
      </x:c>
      <x:c r="K855" s="2" t="str">
        <x:v>MAIN-260</x:v>
      </x:c>
    </x:row>
    <x:row r="856" ht="46" customHeight="1">
      <x:c r="A856" s="2" t="str">
        <x:v>TEN-404B0D4EBDF8</x:v>
      </x:c>
      <x:c r="B856" s="12" t="str">
        <x:v>Choice solutions limited</x:v>
      </x:c>
      <x:c r="C856" s="12" t="str">
        <x:v>CORP-0256</x:v>
      </x:c>
      <x:c r="D856" s="12" t="str">
        <x:v>Hyderabad</x:v>
      </x:c>
      <x:c r="E856" s="12" t="str">
        <x:v>T-Hub</x:v>
      </x:c>
      <x:c r="F856" s="12" t="str">
        <x:v>32 inch LED TV</x:v>
      </x:c>
      <x:c r="G856" s="20" t="n">
        <x:v>22</x:v>
      </x:c>
      <x:c r="H856" s="12" t="str">
        <x:v>Inventory-listed building/workspace context; current occupancy and screen access unverified</x:v>
      </x:c>
      <x:c r="I856" s="12" t="str">
        <x:v>Mixed business audience</x:v>
      </x:c>
      <x:c r="J856" s="12" t="str">
        <x:v>Unresolved</x:v>
      </x:c>
      <x:c r="K856" s="2" t="str">
        <x:v>MAIN-260</x:v>
      </x:c>
    </x:row>
    <x:row r="857" ht="46" customHeight="1">
      <x:c r="A857" s="2" t="str">
        <x:v>TEN-A4280C2C5D86</x:v>
      </x:c>
      <x:c r="B857" s="12" t="str">
        <x:v>Freedom Surgical</x:v>
      </x:c>
      <x:c r="C857" s="12" t="str">
        <x:v>CORP-0256</x:v>
      </x:c>
      <x:c r="D857" s="12" t="str">
        <x:v>Hyderabad</x:v>
      </x:c>
      <x:c r="E857" s="12" t="str">
        <x:v>T-Hub</x:v>
      </x:c>
      <x:c r="F857" s="12" t="str">
        <x:v>32 inch LED TV</x:v>
      </x:c>
      <x:c r="G857" s="20" t="n">
        <x:v>22</x:v>
      </x:c>
      <x:c r="H857" s="12" t="str">
        <x:v>Inventory-listed building/workspace context; current occupancy and screen access unverified</x:v>
      </x:c>
      <x:c r="I857" s="12" t="str">
        <x:v>Small-scale prospects</x:v>
      </x:c>
      <x:c r="J857" s="12" t="str">
        <x:v>Healthcare &amp; life sciences</x:v>
      </x:c>
      <x:c r="K857" s="2" t="str">
        <x:v>MAIN-260</x:v>
      </x:c>
    </x:row>
    <x:row r="858" ht="46" customHeight="1">
      <x:c r="A858" s="2" t="str">
        <x:v>TEN-C2ECECEBA97C</x:v>
      </x:c>
      <x:c r="B858" s="12" t="str">
        <x:v>TMI Group</x:v>
      </x:c>
      <x:c r="C858" s="12" t="str">
        <x:v>CORP-0256</x:v>
      </x:c>
      <x:c r="D858" s="12" t="str">
        <x:v>Hyderabad</x:v>
      </x:c>
      <x:c r="E858" s="12" t="str">
        <x:v>T-Hub</x:v>
      </x:c>
      <x:c r="F858" s="12" t="str">
        <x:v>32 inch LED TV</x:v>
      </x:c>
      <x:c r="G858" s="20" t="n">
        <x:v>22</x:v>
      </x:c>
      <x:c r="H858" s="12" t="str">
        <x:v>Inventory-listed building/workspace context; current occupancy and screen access unverified</x:v>
      </x:c>
      <x:c r="I858" s="12" t="str">
        <x:v>Small-scale prospects</x:v>
      </x:c>
      <x:c r="J858" s="12" t="str">
        <x:v>IT &amp; digital</x:v>
      </x:c>
      <x:c r="K858" s="2" t="str">
        <x:v>MAIN-260</x:v>
      </x:c>
    </x:row>
    <x:row r="859" ht="46" customHeight="1">
      <x:c r="A859" s="2" t="str">
        <x:v>TEN-ED5537070C6C</x:v>
      </x:c>
      <x:c r="B859" s="12" t="str">
        <x:v>Alanati restaurent</x:v>
      </x:c>
      <x:c r="C859" s="12" t="str">
        <x:v>CORP-0256</x:v>
      </x:c>
      <x:c r="D859" s="12" t="str">
        <x:v>Hyderabad</x:v>
      </x:c>
      <x:c r="E859" s="12" t="str">
        <x:v>T-Hub</x:v>
      </x:c>
      <x:c r="F859" s="12" t="str">
        <x:v>32 inch LED TV</x:v>
      </x:c>
      <x:c r="G859" s="20" t="n">
        <x:v>22</x:v>
      </x:c>
      <x:c r="H859" s="12" t="str">
        <x:v>Inventory-listed building/workspace context; current occupancy and screen access unverified</x:v>
      </x:c>
      <x:c r="I859" s="12" t="str">
        <x:v>Small-scale prospects</x:v>
      </x:c>
      <x:c r="J859" s="12" t="str">
        <x:v>Trade, consumer &amp; logistics</x:v>
      </x:c>
      <x:c r="K859" s="2" t="str">
        <x:v>MAIN-260</x:v>
      </x:c>
    </x:row>
    <x:row r="860" ht="46" customHeight="1">
      <x:c r="A860" s="2" t="str">
        <x:v>TEN-5C1A79D4FF83</x:v>
      </x:c>
      <x:c r="B860" s="12" t="str">
        <x:v>Keka HR Payroll Software</x:v>
      </x:c>
      <x:c r="C860" s="12" t="str">
        <x:v>CORP-0257</x:v>
      </x:c>
      <x:c r="D860" s="12" t="str">
        <x:v>Hyderabad</x:v>
      </x:c>
      <x:c r="E860" s="12" t="str">
        <x:v>Vasavi Sky city</x:v>
      </x:c>
      <x:c r="F860" s="12" t="str">
        <x:v>24 inch LED TV</x:v>
      </x:c>
      <x:c r="G860" s="20" t="n">
        <x:v>10</x:v>
      </x:c>
      <x:c r="H860" s="12" t="str">
        <x:v>Inventory-listed building/workspace context; current occupancy and screen access unverified</x:v>
      </x:c>
      <x:c r="I860" s="12" t="str">
        <x:v>Small-scale prospects</x:v>
      </x:c>
      <x:c r="J860" s="12" t="str">
        <x:v>IT &amp; digital</x:v>
      </x:c>
      <x:c r="K860" s="2" t="str">
        <x:v>MAIN-261</x:v>
      </x:c>
    </x:row>
    <x:row r="861" ht="46" customHeight="1">
      <x:c r="A861" s="2" t="str">
        <x:v>TEN-5E25BA93F1B8</x:v>
      </x:c>
      <x:c r="B861" s="12" t="str">
        <x:v>Aviz Networks India</x:v>
      </x:c>
      <x:c r="C861" s="12" t="str">
        <x:v>CORP-0257</x:v>
      </x:c>
      <x:c r="D861" s="12" t="str">
        <x:v>Hyderabad</x:v>
      </x:c>
      <x:c r="E861" s="12" t="str">
        <x:v>Vasavi Sky city</x:v>
      </x:c>
      <x:c r="F861" s="12" t="str">
        <x:v>24 inch LED TV</x:v>
      </x:c>
      <x:c r="G861" s="20" t="n">
        <x:v>10</x:v>
      </x:c>
      <x:c r="H861" s="12" t="str">
        <x:v>Inventory-listed building/workspace context; current occupancy and screen access unverified</x:v>
      </x:c>
      <x:c r="I861" s="12" t="str">
        <x:v>Small-scale prospects</x:v>
      </x:c>
      <x:c r="J861" s="12" t="str">
        <x:v>IT &amp; digital</x:v>
      </x:c>
      <x:c r="K861" s="2" t="str">
        <x:v>MAIN-261</x:v>
      </x:c>
    </x:row>
    <x:row r="862" ht="46" customHeight="1">
      <x:c r="A862" s="2" t="str">
        <x:v>TEN-7802BA0ED8E8</x:v>
      </x:c>
      <x:c r="B862" s="12" t="str">
        <x:v>Livello India Private Limited</x:v>
      </x:c>
      <x:c r="C862" s="12" t="str">
        <x:v>CORP-0257</x:v>
      </x:c>
      <x:c r="D862" s="12" t="str">
        <x:v>Hyderabad</x:v>
      </x:c>
      <x:c r="E862" s="12" t="str">
        <x:v>Vasavi Sky city</x:v>
      </x:c>
      <x:c r="F862" s="12" t="str">
        <x:v>24 inch LED TV</x:v>
      </x:c>
      <x:c r="G862" s="20" t="n">
        <x:v>10</x:v>
      </x:c>
      <x:c r="H862" s="12" t="str">
        <x:v>Inventory-listed building/workspace context; current occupancy and screen access unverified</x:v>
      </x:c>
      <x:c r="I862" s="12" t="str">
        <x:v>Mixed business audience</x:v>
      </x:c>
      <x:c r="J862" s="12" t="str">
        <x:v>Unresolved</x:v>
      </x:c>
      <x:c r="K862" s="2" t="str">
        <x:v>MAIN-261</x:v>
      </x:c>
    </x:row>
    <x:row r="863" ht="46" customHeight="1">
      <x:c r="A863" s="2" t="str">
        <x:v>TEN-D2F08A3B9FD3</x:v>
      </x:c>
      <x:c r="B863" s="12" t="str">
        <x:v>Joshpunar projects Private Limited</x:v>
      </x:c>
      <x:c r="C863" s="12" t="str">
        <x:v>CORP-0257</x:v>
      </x:c>
      <x:c r="D863" s="12" t="str">
        <x:v>Hyderabad</x:v>
      </x:c>
      <x:c r="E863" s="12" t="str">
        <x:v>Vasavi Sky city</x:v>
      </x:c>
      <x:c r="F863" s="12" t="str">
        <x:v>24 inch LED TV</x:v>
      </x:c>
      <x:c r="G863" s="20" t="n">
        <x:v>10</x:v>
      </x:c>
      <x:c r="H863" s="12" t="str">
        <x:v>Inventory-listed building/workspace context; current occupancy and screen access unverified</x:v>
      </x:c>
      <x:c r="I863" s="12" t="str">
        <x:v>Mixed business audience</x:v>
      </x:c>
      <x:c r="J863" s="12" t="str">
        <x:v>Unresolved</x:v>
      </x:c>
      <x:c r="K863" s="2" t="str">
        <x:v>MAIN-261</x:v>
      </x:c>
    </x:row>
    <x:row r="864" ht="46" customHeight="1">
      <x:c r="A864" s="2" t="str">
        <x:v>TEN-54BFBC460F9A</x:v>
      </x:c>
      <x:c r="B864" s="12" t="str">
        <x:v>Abhinav Immigration Services Pvt. Ltd</x:v>
      </x:c>
      <x:c r="C864" s="12" t="str">
        <x:v>CORP-0258</x:v>
      </x:c>
      <x:c r="D864" s="12" t="str">
        <x:v>Hyderabad</x:v>
      </x:c>
      <x:c r="E864" s="12" t="str">
        <x:v>Wework - Krishe Emerald</x:v>
      </x:c>
      <x:c r="F864" s="12" t="str">
        <x:v>43 inch LED TV</x:v>
      </x:c>
      <x:c r="G864" s="20" t="n">
        <x:v>9</x:v>
      </x:c>
      <x:c r="H864" s="12" t="str">
        <x:v>Inventory-listed building/workspace context; current occupancy and screen access unverified</x:v>
      </x:c>
      <x:c r="I864" s="12" t="str">
        <x:v>Small-scale prospects</x:v>
      </x:c>
      <x:c r="J864" s="12" t="str">
        <x:v>Professional services</x:v>
      </x:c>
      <x:c r="K864" s="2" t="str">
        <x:v>MAIN-262</x:v>
      </x:c>
    </x:row>
    <x:row r="865" ht="46" customHeight="1">
      <x:c r="A865" s="2" t="str">
        <x:v>TEN-592C65297F79</x:v>
      </x:c>
      <x:c r="B865" s="12" t="str">
        <x:v>9AV Ads</x:v>
      </x:c>
      <x:c r="C865" s="12" t="str">
        <x:v>CORP-0258</x:v>
      </x:c>
      <x:c r="D865" s="12" t="str">
        <x:v>Hyderabad</x:v>
      </x:c>
      <x:c r="E865" s="12" t="str">
        <x:v>Wework - Krishe Emerald</x:v>
      </x:c>
      <x:c r="F865" s="12" t="str">
        <x:v>43 inch LED TV</x:v>
      </x:c>
      <x:c r="G865" s="20" t="n">
        <x:v>9</x:v>
      </x:c>
      <x:c r="H865" s="12" t="str">
        <x:v>Inventory-listed building/workspace context; current occupancy and screen access unverified</x:v>
      </x:c>
      <x:c r="I865" s="12" t="str">
        <x:v>Small-scale prospects</x:v>
      </x:c>
      <x:c r="J865" s="12" t="str">
        <x:v>Professional services</x:v>
      </x:c>
      <x:c r="K865" s="2" t="str">
        <x:v>MAIN-262</x:v>
      </x:c>
    </x:row>
    <x:row r="866" ht="46" customHeight="1">
      <x:c r="A866" s="2" t="str">
        <x:v>TEN-9CA9DFB04AA5</x:v>
      </x:c>
      <x:c r="B866" s="12" t="str">
        <x:v>Option Zero Research &amp; Consulting Services</x:v>
      </x:c>
      <x:c r="C866" s="12" t="str">
        <x:v>CORP-0258</x:v>
      </x:c>
      <x:c r="D866" s="12" t="str">
        <x:v>Hyderabad</x:v>
      </x:c>
      <x:c r="E866" s="12" t="str">
        <x:v>Wework - Krishe Emerald</x:v>
      </x:c>
      <x:c r="F866" s="12" t="str">
        <x:v>43 inch LED TV</x:v>
      </x:c>
      <x:c r="G866" s="20" t="n">
        <x:v>9</x:v>
      </x:c>
      <x:c r="H866" s="12" t="str">
        <x:v>Inventory-listed building/workspace context; current occupancy and screen access unverified</x:v>
      </x:c>
      <x:c r="I866" s="12" t="str">
        <x:v>Small-scale prospects</x:v>
      </x:c>
      <x:c r="J866" s="12" t="str">
        <x:v>Professional services</x:v>
      </x:c>
      <x:c r="K866" s="2" t="str">
        <x:v>MAIN-262</x:v>
      </x:c>
    </x:row>
    <x:row r="867" ht="46" customHeight="1">
      <x:c r="A867" s="2" t="str">
        <x:v>TEN-ADE48E9316FE</x:v>
      </x:c>
      <x:c r="B867" s="12" t="str">
        <x:v>Rabrigid Private Limited</x:v>
      </x:c>
      <x:c r="C867" s="12" t="str">
        <x:v>CORP-0258</x:v>
      </x:c>
      <x:c r="D867" s="12" t="str">
        <x:v>Hyderabad</x:v>
      </x:c>
      <x:c r="E867" s="12" t="str">
        <x:v>Wework - Krishe Emerald</x:v>
      </x:c>
      <x:c r="F867" s="12" t="str">
        <x:v>43 inch LED TV</x:v>
      </x:c>
      <x:c r="G867" s="20" t="n">
        <x:v>9</x:v>
      </x:c>
      <x:c r="H867" s="12" t="str">
        <x:v>Inventory-listed building/workspace context; current occupancy and screen access unverified</x:v>
      </x:c>
      <x:c r="I867" s="12" t="str">
        <x:v>Mixed business audience</x:v>
      </x:c>
      <x:c r="J867" s="12" t="str">
        <x:v>Unresolved</x:v>
      </x:c>
      <x:c r="K867" s="2" t="str">
        <x:v>MAIN-262</x:v>
      </x:c>
    </x:row>
    <x:row r="868" ht="46" customHeight="1">
      <x:c r="A868" s="2" t="str">
        <x:v>TEN-BCA50A2419EE</x:v>
      </x:c>
      <x:c r="B868" s="12" t="str">
        <x:v>Enwave Concepts and Consultants</x:v>
      </x:c>
      <x:c r="C868" s="12" t="str">
        <x:v>CORP-0258</x:v>
      </x:c>
      <x:c r="D868" s="12" t="str">
        <x:v>Hyderabad</x:v>
      </x:c>
      <x:c r="E868" s="12" t="str">
        <x:v>Wework - Krishe Emerald</x:v>
      </x:c>
      <x:c r="F868" s="12" t="str">
        <x:v>43 inch LED TV</x:v>
      </x:c>
      <x:c r="G868" s="20" t="n">
        <x:v>9</x:v>
      </x:c>
      <x:c r="H868" s="12" t="str">
        <x:v>Inventory-listed building/workspace context; current occupancy and screen access unverified</x:v>
      </x:c>
      <x:c r="I868" s="12" t="str">
        <x:v>Medium-scale prospects</x:v>
      </x:c>
      <x:c r="J868" s="12" t="str">
        <x:v>Engineering &amp; manufacturing</x:v>
      </x:c>
      <x:c r="K868" s="2" t="str">
        <x:v>MAIN-262</x:v>
      </x:c>
    </x:row>
    <x:row r="869" ht="46" customHeight="1">
      <x:c r="A869" s="2" t="str">
        <x:v>TEN-E0050031C27B</x:v>
      </x:c>
      <x:c r="B869" s="12" t="str">
        <x:v>PDI Software India LLP</x:v>
      </x:c>
      <x:c r="C869" s="12" t="str">
        <x:v>CORP-0258</x:v>
      </x:c>
      <x:c r="D869" s="12" t="str">
        <x:v>Hyderabad</x:v>
      </x:c>
      <x:c r="E869" s="12" t="str">
        <x:v>Wework - Krishe Emerald</x:v>
      </x:c>
      <x:c r="F869" s="12" t="str">
        <x:v>43 inch LED TV</x:v>
      </x:c>
      <x:c r="G869" s="20" t="n">
        <x:v>9</x:v>
      </x:c>
      <x:c r="H869" s="12" t="str">
        <x:v>Inventory-listed building/workspace context; current occupancy and screen access unverified</x:v>
      </x:c>
      <x:c r="I869" s="12" t="str">
        <x:v>Mixed business audience</x:v>
      </x:c>
      <x:c r="J869" s="12" t="str">
        <x:v>IT &amp; digital</x:v>
      </x:c>
      <x:c r="K869" s="2" t="str">
        <x:v>MAIN-262</x:v>
      </x:c>
    </x:row>
    <x:row r="870" ht="46" customHeight="1">
      <x:c r="A870" s="2" t="str">
        <x:v>TEN-0E1C583F6A7B</x:v>
      </x:c>
      <x:c r="B870" s="12" t="str">
        <x:v>Concentrix Daksh Business Services Pvt Ltd</x:v>
      </x:c>
      <x:c r="C870" s="12" t="str">
        <x:v>CORP-0259</x:v>
      </x:c>
      <x:c r="D870" s="12" t="str">
        <x:v>Hyderabad</x:v>
      </x:c>
      <x:c r="E870" s="12" t="str">
        <x:v>WeWork - Mindspace</x:v>
      </x:c>
      <x:c r="F870" s="12" t="str">
        <x:v>43 inch LED TV</x:v>
      </x:c>
      <x:c r="G870" s="20" t="n">
        <x:v>1</x:v>
      </x:c>
      <x:c r="H870" s="12" t="str">
        <x:v>Inventory-listed building/workspace context; current occupancy and screen access unverified</x:v>
      </x:c>
      <x:c r="I870" s="12" t="str">
        <x:v>Mixed business audience</x:v>
      </x:c>
      <x:c r="J870" s="12" t="str">
        <x:v>IT &amp; digital</x:v>
      </x:c>
      <x:c r="K870" s="2" t="str">
        <x:v>MAIN-263</x:v>
      </x:c>
    </x:row>
    <x:row r="871" ht="46" customHeight="1">
      <x:c r="A871" s="2" t="str">
        <x:v>TEN-2787E6CA3B5E</x:v>
      </x:c>
      <x:c r="B871" s="12" t="str">
        <x:v>Eminence Business Media LLP</x:v>
      </x:c>
      <x:c r="C871" s="12" t="str">
        <x:v>CORP-0259</x:v>
      </x:c>
      <x:c r="D871" s="12" t="str">
        <x:v>Hyderabad</x:v>
      </x:c>
      <x:c r="E871" s="12" t="str">
        <x:v>WeWork - Mindspace</x:v>
      </x:c>
      <x:c r="F871" s="12" t="str">
        <x:v>43 inch LED TV</x:v>
      </x:c>
      <x:c r="G871" s="20" t="n">
        <x:v>1</x:v>
      </x:c>
      <x:c r="H871" s="12" t="str">
        <x:v>Inventory-listed building/workspace context; current occupancy and screen access unverified</x:v>
      </x:c>
      <x:c r="I871" s="12" t="str">
        <x:v>Small-scale prospects</x:v>
      </x:c>
      <x:c r="J871" s="12" t="str">
        <x:v>Trade, consumer &amp; logistics</x:v>
      </x:c>
      <x:c r="K871" s="2" t="str">
        <x:v>MAIN-263</x:v>
      </x:c>
    </x:row>
    <x:row r="872" ht="46" customHeight="1">
      <x:c r="A872" s="2" t="str">
        <x:v>TEN-6CAD670EAED5</x:v>
      </x:c>
      <x:c r="B872" s="12" t="str">
        <x:v>Flylines India Visa Consultancy Service</x:v>
      </x:c>
      <x:c r="C872" s="12" t="str">
        <x:v>CORP-0259</x:v>
      </x:c>
      <x:c r="D872" s="12" t="str">
        <x:v>Hyderabad</x:v>
      </x:c>
      <x:c r="E872" s="12" t="str">
        <x:v>WeWork - Mindspace</x:v>
      </x:c>
      <x:c r="F872" s="12" t="str">
        <x:v>43 inch LED TV</x:v>
      </x:c>
      <x:c r="G872" s="20" t="n">
        <x:v>1</x:v>
      </x:c>
      <x:c r="H872" s="12" t="str">
        <x:v>Inventory-listed building/workspace context; current occupancy and screen access unverified</x:v>
      </x:c>
      <x:c r="I872" s="12" t="str">
        <x:v>Small-scale prospects</x:v>
      </x:c>
      <x:c r="J872" s="12" t="str">
        <x:v>Professional services</x:v>
      </x:c>
      <x:c r="K872" s="2" t="str">
        <x:v>MAIN-263</x:v>
      </x:c>
    </x:row>
    <x:row r="873" ht="46" customHeight="1">
      <x:c r="A873" s="2" t="str">
        <x:v>TEN-93D2337E5D18</x:v>
      </x:c>
      <x:c r="B873" s="12" t="str">
        <x:v>JP Morgan Chase India Private Limited</x:v>
      </x:c>
      <x:c r="C873" s="12" t="str">
        <x:v>CORP-0259</x:v>
      </x:c>
      <x:c r="D873" s="12" t="str">
        <x:v>Hyderabad</x:v>
      </x:c>
      <x:c r="E873" s="12" t="str">
        <x:v>WeWork - Mindspace</x:v>
      </x:c>
      <x:c r="F873" s="12" t="str">
        <x:v>43 inch LED TV</x:v>
      </x:c>
      <x:c r="G873" s="20" t="n">
        <x:v>1</x:v>
      </x:c>
      <x:c r="H873" s="12" t="str">
        <x:v>Inventory-listed building/workspace context; current occupancy and screen access unverified</x:v>
      </x:c>
      <x:c r="I873" s="12" t="str">
        <x:v>Large enterprise</x:v>
      </x:c>
      <x:c r="J873" s="12" t="str">
        <x:v>Finance &amp; insurance</x:v>
      </x:c>
      <x:c r="K873" s="2" t="str">
        <x:v>MAIN-263</x:v>
      </x:c>
    </x:row>
    <x:row r="874" ht="46" customHeight="1">
      <x:c r="A874" s="2" t="str">
        <x:v>TEN-D3D424C3C181</x:v>
      </x:c>
      <x:c r="B874" s="12" t="str">
        <x:v>IBM India Pvt. Ltd</x:v>
      </x:c>
      <x:c r="C874" s="12" t="str">
        <x:v>CORP-0259</x:v>
      </x:c>
      <x:c r="D874" s="12" t="str">
        <x:v>Hyderabad</x:v>
      </x:c>
      <x:c r="E874" s="12" t="str">
        <x:v>WeWork - Mindspace</x:v>
      </x:c>
      <x:c r="F874" s="12" t="str">
        <x:v>43 inch LED TV</x:v>
      </x:c>
      <x:c r="G874" s="20" t="n">
        <x:v>1</x:v>
      </x:c>
      <x:c r="H874" s="12" t="str">
        <x:v>Inventory-listed building/workspace context; current occupancy and screen access unverified</x:v>
      </x:c>
      <x:c r="I874" s="12" t="str">
        <x:v>Large enterprise</x:v>
      </x:c>
      <x:c r="J874" s="12" t="str">
        <x:v>IT &amp; digital</x:v>
      </x:c>
      <x:c r="K874" s="2" t="str">
        <x:v>MAIN-263</x:v>
      </x:c>
    </x:row>
    <x:row r="875" ht="46" customHeight="1">
      <x:c r="A875" s="2" t="str">
        <x:v>TEN-2286F252C42A</x:v>
      </x:c>
      <x:c r="B875" s="12" t="str">
        <x:v>Futluz Technologies</x:v>
      </x:c>
      <x:c r="C875" s="12" t="str">
        <x:v>CORP-0260</x:v>
      </x:c>
      <x:c r="D875" s="12" t="str">
        <x:v>Hyderabad</x:v>
      </x:c>
      <x:c r="E875" s="12" t="str">
        <x:v>Wework - Rajapushpa Summit</x:v>
      </x:c>
      <x:c r="F875" s="12" t="str">
        <x:v>43 inch LED TV</x:v>
      </x:c>
      <x:c r="G875" s="20" t="n">
        <x:v>4</x:v>
      </x:c>
      <x:c r="H875" s="12" t="str">
        <x:v>Inventory-listed building/workspace context; current occupancy and screen access unverified</x:v>
      </x:c>
      <x:c r="I875" s="12" t="str">
        <x:v>Mixed business audience</x:v>
      </x:c>
      <x:c r="J875" s="12" t="str">
        <x:v>Unresolved</x:v>
      </x:c>
      <x:c r="K875" s="2" t="str">
        <x:v>MAIN-264</x:v>
      </x:c>
    </x:row>
    <x:row r="876" ht="46" customHeight="1">
      <x:c r="A876" s="2" t="str">
        <x:v>TEN-957E37CA19C4</x:v>
      </x:c>
      <x:c r="B876" s="12" t="str">
        <x:v>CloudBuilders Technologies Private Limited</x:v>
      </x:c>
      <x:c r="C876" s="12" t="str">
        <x:v>CORP-0260</x:v>
      </x:c>
      <x:c r="D876" s="12" t="str">
        <x:v>Hyderabad</x:v>
      </x:c>
      <x:c r="E876" s="12" t="str">
        <x:v>Wework - Rajapushpa Summit</x:v>
      </x:c>
      <x:c r="F876" s="12" t="str">
        <x:v>43 inch LED TV</x:v>
      </x:c>
      <x:c r="G876" s="20" t="n">
        <x:v>4</x:v>
      </x:c>
      <x:c r="H876" s="12" t="str">
        <x:v>Inventory-listed building/workspace context; current occupancy and screen access unverified</x:v>
      </x:c>
      <x:c r="I876" s="12" t="str">
        <x:v>Small-scale prospects</x:v>
      </x:c>
      <x:c r="J876" s="12" t="str">
        <x:v>IT &amp; digital</x:v>
      </x:c>
      <x:c r="K876" s="2" t="str">
        <x:v>MAIN-264</x:v>
      </x:c>
    </x:row>
    <x:row r="877" ht="46" customHeight="1">
      <x:c r="A877" s="2" t="str">
        <x:v>TEN-75F5370EFA4D</x:v>
      </x:c>
      <x:c r="B877" s="12" t="str">
        <x:v>Urban School</x:v>
      </x:c>
      <x:c r="C877" s="12" t="str">
        <x:v>CORP-0261</x:v>
      </x:c>
      <x:c r="D877" s="12" t="str">
        <x:v>Hyderabad</x:v>
      </x:c>
      <x:c r="E877" s="12" t="str">
        <x:v>WeWork - RMZ Spire</x:v>
      </x:c>
      <x:c r="F877" s="12" t="str">
        <x:v>43 inch LED TV</x:v>
      </x:c>
      <x:c r="G877" s="20" t="n">
        <x:v>4</x:v>
      </x:c>
      <x:c r="H877" s="12" t="str">
        <x:v>Inventory-listed building/workspace context; current occupancy and screen access unverified</x:v>
      </x:c>
      <x:c r="I877" s="12" t="str">
        <x:v>Small-scale prospects</x:v>
      </x:c>
      <x:c r="J877" s="12" t="str">
        <x:v>Education</x:v>
      </x:c>
      <x:c r="K877" s="2" t="str">
        <x:v>MAIN-265</x:v>
      </x:c>
    </x:row>
    <x:row r="878" ht="46" customHeight="1">
      <x:c r="A878" s="2" t="str">
        <x:v>TEN-814FBCF1E1A0</x:v>
      </x:c>
      <x:c r="B878" s="12" t="str">
        <x:v>Orané Studio</x:v>
      </x:c>
      <x:c r="C878" s="12" t="str">
        <x:v>CORP-0261</x:v>
      </x:c>
      <x:c r="D878" s="12" t="str">
        <x:v>Hyderabad</x:v>
      </x:c>
      <x:c r="E878" s="12" t="str">
        <x:v>WeWork - RMZ Spire</x:v>
      </x:c>
      <x:c r="F878" s="12" t="str">
        <x:v>43 inch LED TV</x:v>
      </x:c>
      <x:c r="G878" s="20" t="n">
        <x:v>4</x:v>
      </x:c>
      <x:c r="H878" s="12" t="str">
        <x:v>Inventory-listed building/workspace context; current occupancy and screen access unverified</x:v>
      </x:c>
      <x:c r="I878" s="12" t="str">
        <x:v>Mixed business audience</x:v>
      </x:c>
      <x:c r="J878" s="12" t="str">
        <x:v>Unresolved</x:v>
      </x:c>
      <x:c r="K878" s="2" t="str">
        <x:v>MAIN-265</x:v>
      </x:c>
    </x:row>
    <x:row r="879" ht="46" customHeight="1">
      <x:c r="A879" s="2" t="str">
        <x:v>TEN-CD4C13F13D3E</x:v>
      </x:c>
      <x:c r="B879" s="12" t="str">
        <x:v>Clifford Chance Business Services</x:v>
      </x:c>
      <x:c r="C879" s="12" t="str">
        <x:v>CORP-0261</x:v>
      </x:c>
      <x:c r="D879" s="12" t="str">
        <x:v>Hyderabad</x:v>
      </x:c>
      <x:c r="E879" s="12" t="str">
        <x:v>WeWork - RMZ Spire</x:v>
      </x:c>
      <x:c r="F879" s="12" t="str">
        <x:v>43 inch LED TV</x:v>
      </x:c>
      <x:c r="G879" s="20" t="n">
        <x:v>4</x:v>
      </x:c>
      <x:c r="H879" s="12" t="str">
        <x:v>Inventory-listed building/workspace context; current occupancy and screen access unverified</x:v>
      </x:c>
      <x:c r="I879" s="12" t="str">
        <x:v>Mixed business audience</x:v>
      </x:c>
      <x:c r="J879" s="12" t="str">
        <x:v>Professional services</x:v>
      </x:c>
      <x:c r="K879" s="2" t="str">
        <x:v>MAIN-265</x:v>
      </x:c>
    </x:row>
    <x:row r="880" ht="46" customHeight="1">
      <x:c r="A880" s="2" t="str">
        <x:v>TEN-DC5D5F33E499</x:v>
      </x:c>
      <x:c r="B880" s="12" t="str">
        <x:v>Nielsen Media India Pvt Ltd</x:v>
      </x:c>
      <x:c r="C880" s="12" t="str">
        <x:v>CORP-0261</x:v>
      </x:c>
      <x:c r="D880" s="12" t="str">
        <x:v>Hyderabad</x:v>
      </x:c>
      <x:c r="E880" s="12" t="str">
        <x:v>WeWork - RMZ Spire</x:v>
      </x:c>
      <x:c r="F880" s="12" t="str">
        <x:v>43 inch LED TV</x:v>
      </x:c>
      <x:c r="G880" s="20" t="n">
        <x:v>4</x:v>
      </x:c>
      <x:c r="H880" s="12" t="str">
        <x:v>Inventory-listed building/workspace context; current occupancy and screen access unverified</x:v>
      </x:c>
      <x:c r="I880" s="12" t="str">
        <x:v>Mixed business audience</x:v>
      </x:c>
      <x:c r="J880" s="12" t="str">
        <x:v>Professional services</x:v>
      </x:c>
      <x:c r="K880" s="2" t="str">
        <x:v>MAIN-265</x:v>
      </x:c>
    </x:row>
    <x:row r="881" ht="46" customHeight="1">
      <x:c r="A881" s="2" t="str">
        <x:v>TEN-EE2DF17770F8</x:v>
      </x:c>
      <x:c r="B881" s="12" t="str">
        <x:v>Info It Solutions Private Limited</x:v>
      </x:c>
      <x:c r="C881" s="12" t="str">
        <x:v>CORP-0261</x:v>
      </x:c>
      <x:c r="D881" s="12" t="str">
        <x:v>Hyderabad</x:v>
      </x:c>
      <x:c r="E881" s="12" t="str">
        <x:v>WeWork - RMZ Spire</x:v>
      </x:c>
      <x:c r="F881" s="12" t="str">
        <x:v>43 inch LED TV</x:v>
      </x:c>
      <x:c r="G881" s="20" t="n">
        <x:v>4</x:v>
      </x:c>
      <x:c r="H881" s="12" t="str">
        <x:v>Inventory-listed building/workspace context; current occupancy and screen access unverified</x:v>
      </x:c>
      <x:c r="I881" s="12" t="str">
        <x:v>Small-scale prospects</x:v>
      </x:c>
      <x:c r="J881" s="12" t="str">
        <x:v>IT &amp; digital</x:v>
      </x:c>
      <x:c r="K881" s="2" t="str">
        <x:v>MAIN-265</x:v>
      </x:c>
    </x:row>
    <x:row r="882" ht="46" customHeight="1">
      <x:c r="A882" s="2" t="str">
        <x:v>TEN-EE6A48A43A19</x:v>
      </x:c>
      <x:c r="B882" s="12" t="str">
        <x:v>Opland ERP</x:v>
      </x:c>
      <x:c r="C882" s="12" t="str">
        <x:v>CORP-0261</x:v>
      </x:c>
      <x:c r="D882" s="12" t="str">
        <x:v>Hyderabad</x:v>
      </x:c>
      <x:c r="E882" s="12" t="str">
        <x:v>WeWork - RMZ Spire</x:v>
      </x:c>
      <x:c r="F882" s="12" t="str">
        <x:v>43 inch LED TV</x:v>
      </x:c>
      <x:c r="G882" s="20" t="n">
        <x:v>4</x:v>
      </x:c>
      <x:c r="H882" s="12" t="str">
        <x:v>Inventory-listed building/workspace context; current occupancy and screen access unverified</x:v>
      </x:c>
      <x:c r="I882" s="12" t="str">
        <x:v>Small-scale prospects</x:v>
      </x:c>
      <x:c r="J882" s="12" t="str">
        <x:v>IT &amp; digital</x:v>
      </x:c>
      <x:c r="K882" s="2" t="str">
        <x:v>MAIN-265</x:v>
      </x:c>
    </x:row>
    <x:row r="883" ht="46" customHeight="1">
      <x:c r="A883" s="2" t="str">
        <x:v>TEN-F064C5D05AD3</x:v>
      </x:c>
      <x:c r="B883" s="12" t="str">
        <x:v>RVR ADGAMEFILM STUDIOS</x:v>
      </x:c>
      <x:c r="C883" s="12" t="str">
        <x:v>CORP-0261</x:v>
      </x:c>
      <x:c r="D883" s="12" t="str">
        <x:v>Hyderabad</x:v>
      </x:c>
      <x:c r="E883" s="12" t="str">
        <x:v>WeWork - RMZ Spire</x:v>
      </x:c>
      <x:c r="F883" s="12" t="str">
        <x:v>43 inch LED TV</x:v>
      </x:c>
      <x:c r="G883" s="20" t="n">
        <x:v>4</x:v>
      </x:c>
      <x:c r="H883" s="12" t="str">
        <x:v>Inventory-listed building/workspace context; current occupancy and screen access unverified</x:v>
      </x:c>
      <x:c r="I883" s="12" t="str">
        <x:v>Small-scale prospects</x:v>
      </x:c>
      <x:c r="J883" s="12" t="str">
        <x:v>Trade, consumer &amp; logistics</x:v>
      </x:c>
      <x:c r="K883" s="2" t="str">
        <x:v>MAIN-265</x:v>
      </x:c>
    </x:row>
    <x:row r="884" ht="46" customHeight="1">
      <x:c r="A884" s="2" t="str">
        <x:v>TEN-F17F1636FFB9</x:v>
      </x:c>
      <x:c r="B884" s="12" t="str">
        <x:v>Indian Explosives Pvt Ltd (Orica)</x:v>
      </x:c>
      <x:c r="C884" s="12" t="str">
        <x:v>CORP-0261</x:v>
      </x:c>
      <x:c r="D884" s="12" t="str">
        <x:v>Hyderabad</x:v>
      </x:c>
      <x:c r="E884" s="12" t="str">
        <x:v>WeWork - RMZ Spire</x:v>
      </x:c>
      <x:c r="F884" s="12" t="str">
        <x:v>43 inch LED TV</x:v>
      </x:c>
      <x:c r="G884" s="20" t="n">
        <x:v>4</x:v>
      </x:c>
      <x:c r="H884" s="12" t="str">
        <x:v>Inventory-listed building/workspace context; current occupancy and screen access unverified</x:v>
      </x:c>
      <x:c r="I884" s="12" t="str">
        <x:v>Mixed business audience</x:v>
      </x:c>
      <x:c r="J884" s="12" t="str">
        <x:v>Engineering &amp; manufacturing</x:v>
      </x:c>
      <x:c r="K884" s="2" t="str">
        <x:v>MAIN-265</x:v>
      </x:c>
    </x:row>
    <x:row r="885" ht="46" customHeight="1">
      <x:c r="A885" s="2" t="str">
        <x:v>TEN-0470467C47DA</x:v>
      </x:c>
      <x:c r="B885" s="12" t="str">
        <x:v>Bajaj Finserv</x:v>
      </x:c>
      <x:c r="C885" s="12" t="str">
        <x:v>CORP-0262</x:v>
      </x:c>
      <x:c r="D885" s="12" t="str">
        <x:v>Indore</x:v>
      </x:c>
      <x:c r="E885" s="12" t="str">
        <x:v>Airen Heights</x:v>
      </x:c>
      <x:c r="F885" s="12" t="str">
        <x:v>43 inch LED TV</x:v>
      </x:c>
      <x:c r="G885" s="20" t="n">
        <x:v>1</x:v>
      </x:c>
      <x:c r="H885" s="12" t="str">
        <x:v>Inventory-listed building/workspace context; current occupancy and screen access unverified</x:v>
      </x:c>
      <x:c r="I885" s="12" t="str">
        <x:v>Large enterprise</x:v>
      </x:c>
      <x:c r="J885" s="12" t="str">
        <x:v>Finance &amp; insurance</x:v>
      </x:c>
      <x:c r="K885" s="2" t="str">
        <x:v>MAIN-266</x:v>
      </x:c>
    </x:row>
    <x:row r="886" ht="46" customHeight="1">
      <x:c r="A886" s="2" t="str">
        <x:v>TEN-0759A53FE3DF</x:v>
      </x:c>
      <x:c r="B886" s="12" t="str">
        <x:v>Laxyo</x:v>
      </x:c>
      <x:c r="C886" s="12" t="str">
        <x:v>CORP-0262</x:v>
      </x:c>
      <x:c r="D886" s="12" t="str">
        <x:v>Indore</x:v>
      </x:c>
      <x:c r="E886" s="12" t="str">
        <x:v>Airen Heights</x:v>
      </x:c>
      <x:c r="F886" s="12" t="str">
        <x:v>43 inch LED TV</x:v>
      </x:c>
      <x:c r="G886" s="20" t="n">
        <x:v>1</x:v>
      </x:c>
      <x:c r="H886" s="12" t="str">
        <x:v>Inventory-listed building/workspace context; current occupancy and screen access unverified</x:v>
      </x:c>
      <x:c r="I886" s="12" t="str">
        <x:v>Mixed business audience</x:v>
      </x:c>
      <x:c r="J886" s="12" t="str">
        <x:v>Unresolved</x:v>
      </x:c>
      <x:c r="K886" s="2" t="str">
        <x:v>MAIN-266</x:v>
      </x:c>
    </x:row>
    <x:row r="887" ht="46" customHeight="1">
      <x:c r="A887" s="2" t="str">
        <x:v>TEN-0E58FC443FF5</x:v>
      </x:c>
      <x:c r="B887" s="12" t="str">
        <x:v>BioUrja</x:v>
      </x:c>
      <x:c r="C887" s="12" t="str">
        <x:v>CORP-0262</x:v>
      </x:c>
      <x:c r="D887" s="12" t="str">
        <x:v>Indore</x:v>
      </x:c>
      <x:c r="E887" s="12" t="str">
        <x:v>Airen Heights</x:v>
      </x:c>
      <x:c r="F887" s="12" t="str">
        <x:v>43 inch LED TV</x:v>
      </x:c>
      <x:c r="G887" s="20" t="n">
        <x:v>1</x:v>
      </x:c>
      <x:c r="H887" s="12" t="str">
        <x:v>Inventory-listed building/workspace context; current occupancy and screen access unverified</x:v>
      </x:c>
      <x:c r="I887" s="12" t="str">
        <x:v>Medium-scale prospects</x:v>
      </x:c>
      <x:c r="J887" s="12" t="str">
        <x:v>Engineering &amp; manufacturing</x:v>
      </x:c>
      <x:c r="K887" s="2" t="str">
        <x:v>MAIN-266</x:v>
      </x:c>
    </x:row>
    <x:row r="888" ht="46" customHeight="1">
      <x:c r="A888" s="2" t="str">
        <x:v>TEN-27EBE35B86A3</x:v>
      </x:c>
      <x:c r="B888" s="12" t="str">
        <x:v>Techinfini</x:v>
      </x:c>
      <x:c r="C888" s="12" t="str">
        <x:v>CORP-0262</x:v>
      </x:c>
      <x:c r="D888" s="12" t="str">
        <x:v>Indore</x:v>
      </x:c>
      <x:c r="E888" s="12" t="str">
        <x:v>Airen Heights</x:v>
      </x:c>
      <x:c r="F888" s="12" t="str">
        <x:v>43 inch LED TV</x:v>
      </x:c>
      <x:c r="G888" s="20" t="n">
        <x:v>1</x:v>
      </x:c>
      <x:c r="H888" s="12" t="str">
        <x:v>Inventory-listed building/workspace context; current occupancy and screen access unverified</x:v>
      </x:c>
      <x:c r="I888" s="12" t="str">
        <x:v>Mixed business audience</x:v>
      </x:c>
      <x:c r="J888" s="12" t="str">
        <x:v>Unresolved</x:v>
      </x:c>
      <x:c r="K888" s="2" t="str">
        <x:v>MAIN-266</x:v>
      </x:c>
    </x:row>
    <x:row r="889" ht="46" customHeight="1">
      <x:c r="A889" s="2" t="str">
        <x:v>TEN-33247E76C552</x:v>
      </x:c>
      <x:c r="B889" s="12" t="str">
        <x:v>Inwizards</x:v>
      </x:c>
      <x:c r="C889" s="12" t="str">
        <x:v>CORP-0262</x:v>
      </x:c>
      <x:c r="D889" s="12" t="str">
        <x:v>Indore</x:v>
      </x:c>
      <x:c r="E889" s="12" t="str">
        <x:v>Airen Heights</x:v>
      </x:c>
      <x:c r="F889" s="12" t="str">
        <x:v>43 inch LED TV</x:v>
      </x:c>
      <x:c r="G889" s="20" t="n">
        <x:v>1</x:v>
      </x:c>
      <x:c r="H889" s="12" t="str">
        <x:v>Inventory-listed building/workspace context; current occupancy and screen access unverified</x:v>
      </x:c>
      <x:c r="I889" s="12" t="str">
        <x:v>Medium-scale prospects</x:v>
      </x:c>
      <x:c r="J889" s="12" t="str">
        <x:v>IT &amp; digital</x:v>
      </x:c>
      <x:c r="K889" s="2" t="str">
        <x:v>MAIN-266</x:v>
      </x:c>
    </x:row>
    <x:row r="890" ht="46" customHeight="1">
      <x:c r="A890" s="2" t="str">
        <x:v>TEN-3430682EB17F</x:v>
      </x:c>
      <x:c r="B890" s="12" t="str">
        <x:v>Kalinda</x:v>
      </x:c>
      <x:c r="C890" s="12" t="str">
        <x:v>CORP-0262</x:v>
      </x:c>
      <x:c r="D890" s="12" t="str">
        <x:v>Indore</x:v>
      </x:c>
      <x:c r="E890" s="12" t="str">
        <x:v>Airen Heights</x:v>
      </x:c>
      <x:c r="F890" s="12" t="str">
        <x:v>43 inch LED TV</x:v>
      </x:c>
      <x:c r="G890" s="20" t="n">
        <x:v>1</x:v>
      </x:c>
      <x:c r="H890" s="12" t="str">
        <x:v>Inventory-listed building/workspace context; current occupancy and screen access unverified</x:v>
      </x:c>
      <x:c r="I890" s="12" t="str">
        <x:v>Mixed business audience</x:v>
      </x:c>
      <x:c r="J890" s="12" t="str">
        <x:v>Unresolved</x:v>
      </x:c>
      <x:c r="K890" s="2" t="str">
        <x:v>MAIN-266</x:v>
      </x:c>
    </x:row>
    <x:row r="891" ht="46" customHeight="1">
      <x:c r="A891" s="2" t="str">
        <x:v>TEN-356EE5DC254F</x:v>
      </x:c>
      <x:c r="B891" s="12" t="str">
        <x:v>Digivalet</x:v>
      </x:c>
      <x:c r="C891" s="12" t="str">
        <x:v>CORP-0262</x:v>
      </x:c>
      <x:c r="D891" s="12" t="str">
        <x:v>Indore</x:v>
      </x:c>
      <x:c r="E891" s="12" t="str">
        <x:v>Airen Heights</x:v>
      </x:c>
      <x:c r="F891" s="12" t="str">
        <x:v>43 inch LED TV</x:v>
      </x:c>
      <x:c r="G891" s="20" t="n">
        <x:v>1</x:v>
      </x:c>
      <x:c r="H891" s="12" t="str">
        <x:v>Inventory-listed building/workspace context; current occupancy and screen access unverified</x:v>
      </x:c>
      <x:c r="I891" s="12" t="str">
        <x:v>Small-scale prospects</x:v>
      </x:c>
      <x:c r="J891" s="12" t="str">
        <x:v>IT &amp; digital</x:v>
      </x:c>
      <x:c r="K891" s="2" t="str">
        <x:v>MAIN-266</x:v>
      </x:c>
    </x:row>
    <x:row r="892" ht="46" customHeight="1">
      <x:c r="A892" s="2" t="str">
        <x:v>TEN-3CFC42C07A81</x:v>
      </x:c>
      <x:c r="B892" s="12" t="str">
        <x:v>Moksh</x:v>
      </x:c>
      <x:c r="C892" s="12" t="str">
        <x:v>CORP-0262</x:v>
      </x:c>
      <x:c r="D892" s="12" t="str">
        <x:v>Indore</x:v>
      </x:c>
      <x:c r="E892" s="12" t="str">
        <x:v>Airen Heights</x:v>
      </x:c>
      <x:c r="F892" s="12" t="str">
        <x:v>43 inch LED TV</x:v>
      </x:c>
      <x:c r="G892" s="20" t="n">
        <x:v>1</x:v>
      </x:c>
      <x:c r="H892" s="12" t="str">
        <x:v>Inventory-listed building/workspace context; current occupancy and screen access unverified</x:v>
      </x:c>
      <x:c r="I892" s="12" t="str">
        <x:v>Mixed business audience</x:v>
      </x:c>
      <x:c r="J892" s="12" t="str">
        <x:v>Unresolved</x:v>
      </x:c>
      <x:c r="K892" s="2" t="str">
        <x:v>MAIN-266</x:v>
      </x:c>
    </x:row>
    <x:row r="893" ht="46" customHeight="1">
      <x:c r="A893" s="2" t="str">
        <x:v>TEN-4DA6C6809231</x:v>
      </x:c>
      <x:c r="B893" s="12" t="str">
        <x:v>Satguru</x:v>
      </x:c>
      <x:c r="C893" s="12" t="str">
        <x:v>CORP-0262</x:v>
      </x:c>
      <x:c r="D893" s="12" t="str">
        <x:v>Indore</x:v>
      </x:c>
      <x:c r="E893" s="12" t="str">
        <x:v>Airen Heights</x:v>
      </x:c>
      <x:c r="F893" s="12" t="str">
        <x:v>43 inch LED TV</x:v>
      </x:c>
      <x:c r="G893" s="20" t="n">
        <x:v>1</x:v>
      </x:c>
      <x:c r="H893" s="12" t="str">
        <x:v>Inventory-listed building/workspace context; current occupancy and screen access unverified</x:v>
      </x:c>
      <x:c r="I893" s="12" t="str">
        <x:v>Mixed business audience</x:v>
      </x:c>
      <x:c r="J893" s="12" t="str">
        <x:v>Unresolved</x:v>
      </x:c>
      <x:c r="K893" s="2" t="str">
        <x:v>MAIN-266</x:v>
      </x:c>
    </x:row>
    <x:row r="894" ht="46" customHeight="1">
      <x:c r="A894" s="2" t="str">
        <x:v>TEN-63E926341C95</x:v>
      </x:c>
      <x:c r="B894" s="12" t="str">
        <x:v>Westplains</x:v>
      </x:c>
      <x:c r="C894" s="12" t="str">
        <x:v>CORP-0262</x:v>
      </x:c>
      <x:c r="D894" s="12" t="str">
        <x:v>Indore</x:v>
      </x:c>
      <x:c r="E894" s="12" t="str">
        <x:v>Airen Heights</x:v>
      </x:c>
      <x:c r="F894" s="12" t="str">
        <x:v>43 inch LED TV</x:v>
      </x:c>
      <x:c r="G894" s="20" t="n">
        <x:v>1</x:v>
      </x:c>
      <x:c r="H894" s="12" t="str">
        <x:v>Inventory-listed building/workspace context; current occupancy and screen access unverified</x:v>
      </x:c>
      <x:c r="I894" s="12" t="str">
        <x:v>Mixed business audience</x:v>
      </x:c>
      <x:c r="J894" s="12" t="str">
        <x:v>Unresolved</x:v>
      </x:c>
      <x:c r="K894" s="2" t="str">
        <x:v>MAIN-266</x:v>
      </x:c>
    </x:row>
    <x:row r="895" ht="46" customHeight="1">
      <x:c r="A895" s="2" t="str">
        <x:v>TEN-660B3482AF97</x:v>
      </x:c>
      <x:c r="B895" s="12" t="str">
        <x:v>Pramerica</x:v>
      </x:c>
      <x:c r="C895" s="12" t="str">
        <x:v>CORP-0262</x:v>
      </x:c>
      <x:c r="D895" s="12" t="str">
        <x:v>Indore</x:v>
      </x:c>
      <x:c r="E895" s="12" t="str">
        <x:v>Airen Heights</x:v>
      </x:c>
      <x:c r="F895" s="12" t="str">
        <x:v>43 inch LED TV</x:v>
      </x:c>
      <x:c r="G895" s="20" t="n">
        <x:v>1</x:v>
      </x:c>
      <x:c r="H895" s="12" t="str">
        <x:v>Inventory-listed building/workspace context; current occupancy and screen access unverified</x:v>
      </x:c>
      <x:c r="I895" s="12" t="str">
        <x:v>Mixed business audience</x:v>
      </x:c>
      <x:c r="J895" s="12" t="str">
        <x:v>Finance &amp; insurance</x:v>
      </x:c>
      <x:c r="K895" s="2" t="str">
        <x:v>MAIN-266</x:v>
      </x:c>
    </x:row>
    <x:row r="896" ht="46" customHeight="1">
      <x:c r="A896" s="2" t="str">
        <x:v>TEN-728B4321F7A2</x:v>
      </x:c>
      <x:c r="B896" s="12" t="str">
        <x:v>Lancesoft</x:v>
      </x:c>
      <x:c r="C896" s="12" t="str">
        <x:v>CORP-0262</x:v>
      </x:c>
      <x:c r="D896" s="12" t="str">
        <x:v>Indore</x:v>
      </x:c>
      <x:c r="E896" s="12" t="str">
        <x:v>Airen Heights</x:v>
      </x:c>
      <x:c r="F896" s="12" t="str">
        <x:v>43 inch LED TV</x:v>
      </x:c>
      <x:c r="G896" s="20" t="n">
        <x:v>1</x:v>
      </x:c>
      <x:c r="H896" s="12" t="str">
        <x:v>Inventory-listed building/workspace context; current occupancy and screen access unverified</x:v>
      </x:c>
      <x:c r="I896" s="12" t="str">
        <x:v>Mixed business audience</x:v>
      </x:c>
      <x:c r="J896" s="12" t="str">
        <x:v>Professional services</x:v>
      </x:c>
      <x:c r="K896" s="2" t="str">
        <x:v>MAIN-266</x:v>
      </x:c>
    </x:row>
    <x:row r="897" ht="46" customHeight="1">
      <x:c r="A897" s="2" t="str">
        <x:v>TEN-771063175848</x:v>
      </x:c>
      <x:c r="B897" s="12" t="str">
        <x:v>The India Cements Ltd</x:v>
      </x:c>
      <x:c r="C897" s="12" t="str">
        <x:v>CORP-0262</x:v>
      </x:c>
      <x:c r="D897" s="12" t="str">
        <x:v>Indore</x:v>
      </x:c>
      <x:c r="E897" s="12" t="str">
        <x:v>Airen Heights</x:v>
      </x:c>
      <x:c r="F897" s="12" t="str">
        <x:v>43 inch LED TV</x:v>
      </x:c>
      <x:c r="G897" s="20" t="n">
        <x:v>1</x:v>
      </x:c>
      <x:c r="H897" s="12" t="str">
        <x:v>Inventory-listed building/workspace context; current occupancy and screen access unverified</x:v>
      </x:c>
      <x:c r="I897" s="12" t="str">
        <x:v>Mixed business audience</x:v>
      </x:c>
      <x:c r="J897" s="12" t="str">
        <x:v>Engineering &amp; manufacturing</x:v>
      </x:c>
      <x:c r="K897" s="2" t="str">
        <x:v>MAIN-266</x:v>
      </x:c>
    </x:row>
    <x:row r="898" ht="46" customHeight="1">
      <x:c r="A898" s="2" t="str">
        <x:v>TEN-830061D89C71</x:v>
      </x:c>
      <x:c r="B898" s="12" t="str">
        <x:v>Wonder Cement</x:v>
      </x:c>
      <x:c r="C898" s="12" t="str">
        <x:v>CORP-0262</x:v>
      </x:c>
      <x:c r="D898" s="12" t="str">
        <x:v>Indore</x:v>
      </x:c>
      <x:c r="E898" s="12" t="str">
        <x:v>Airen Heights</x:v>
      </x:c>
      <x:c r="F898" s="12" t="str">
        <x:v>43 inch LED TV</x:v>
      </x:c>
      <x:c r="G898" s="20" t="n">
        <x:v>1</x:v>
      </x:c>
      <x:c r="H898" s="12" t="str">
        <x:v>Inventory-listed building/workspace context; current occupancy and screen access unverified</x:v>
      </x:c>
      <x:c r="I898" s="12" t="str">
        <x:v>Mixed business audience</x:v>
      </x:c>
      <x:c r="J898" s="12" t="str">
        <x:v>Engineering &amp; manufacturing</x:v>
      </x:c>
      <x:c r="K898" s="2" t="str">
        <x:v>MAIN-266</x:v>
      </x:c>
    </x:row>
    <x:row r="899" ht="46" customHeight="1">
      <x:c r="A899" s="2" t="str">
        <x:v>TEN-923F68A01FFD</x:v>
      </x:c>
      <x:c r="B899" s="12" t="str">
        <x:v>Viji</x:v>
      </x:c>
      <x:c r="C899" s="12" t="str">
        <x:v>CORP-0262</x:v>
      </x:c>
      <x:c r="D899" s="12" t="str">
        <x:v>Indore</x:v>
      </x:c>
      <x:c r="E899" s="12" t="str">
        <x:v>Airen Heights</x:v>
      </x:c>
      <x:c r="F899" s="12" t="str">
        <x:v>43 inch LED TV</x:v>
      </x:c>
      <x:c r="G899" s="20" t="n">
        <x:v>1</x:v>
      </x:c>
      <x:c r="H899" s="12" t="str">
        <x:v>Inventory-listed building/workspace context; current occupancy and screen access unverified</x:v>
      </x:c>
      <x:c r="I899" s="12" t="str">
        <x:v>Mixed business audience</x:v>
      </x:c>
      <x:c r="J899" s="12" t="str">
        <x:v>Unresolved</x:v>
      </x:c>
      <x:c r="K899" s="2" t="str">
        <x:v>MAIN-266</x:v>
      </x:c>
    </x:row>
    <x:row r="900" ht="46" customHeight="1">
      <x:c r="A900" s="2" t="str">
        <x:v>TEN-93516E9B2EB3</x:v>
      </x:c>
      <x:c r="B900" s="12" t="str">
        <x:v>Finknit</x:v>
      </x:c>
      <x:c r="C900" s="12" t="str">
        <x:v>CORP-0262</x:v>
      </x:c>
      <x:c r="D900" s="12" t="str">
        <x:v>Indore</x:v>
      </x:c>
      <x:c r="E900" s="12" t="str">
        <x:v>Airen Heights</x:v>
      </x:c>
      <x:c r="F900" s="12" t="str">
        <x:v>43 inch LED TV</x:v>
      </x:c>
      <x:c r="G900" s="20" t="n">
        <x:v>1</x:v>
      </x:c>
      <x:c r="H900" s="12" t="str">
        <x:v>Inventory-listed building/workspace context; current occupancy and screen access unverified</x:v>
      </x:c>
      <x:c r="I900" s="12" t="str">
        <x:v>Mixed business audience</x:v>
      </x:c>
      <x:c r="J900" s="12" t="str">
        <x:v>Unresolved</x:v>
      </x:c>
      <x:c r="K900" s="2" t="str">
        <x:v>MAIN-266</x:v>
      </x:c>
    </x:row>
    <x:row r="901" ht="46" customHeight="1">
      <x:c r="A901" s="2" t="str">
        <x:v>TEN-9400E30186D5</x:v>
      </x:c>
      <x:c r="B901" s="12" t="str">
        <x:v>Piramal Finance</x:v>
      </x:c>
      <x:c r="C901" s="12" t="str">
        <x:v>CORP-0262</x:v>
      </x:c>
      <x:c r="D901" s="12" t="str">
        <x:v>Indore</x:v>
      </x:c>
      <x:c r="E901" s="12" t="str">
        <x:v>Airen Heights</x:v>
      </x:c>
      <x:c r="F901" s="12" t="str">
        <x:v>43 inch LED TV</x:v>
      </x:c>
      <x:c r="G901" s="20" t="n">
        <x:v>1</x:v>
      </x:c>
      <x:c r="H901" s="12" t="str">
        <x:v>Inventory-listed building/workspace context; current occupancy and screen access unverified</x:v>
      </x:c>
      <x:c r="I901" s="12" t="str">
        <x:v>Mixed business audience</x:v>
      </x:c>
      <x:c r="J901" s="12" t="str">
        <x:v>Finance &amp; insurance</x:v>
      </x:c>
      <x:c r="K901" s="2" t="str">
        <x:v>MAIN-266</x:v>
      </x:c>
    </x:row>
    <x:row r="902" ht="46" customHeight="1">
      <x:c r="A902" s="2" t="str">
        <x:v>TEN-A50B9A607896</x:v>
      </x:c>
      <x:c r="B902" s="12" t="str">
        <x:v>Indr</x:v>
      </x:c>
      <x:c r="C902" s="12" t="str">
        <x:v>CORP-0262</x:v>
      </x:c>
      <x:c r="D902" s="12" t="str">
        <x:v>Indore</x:v>
      </x:c>
      <x:c r="E902" s="12" t="str">
        <x:v>Airen Heights</x:v>
      </x:c>
      <x:c r="F902" s="12" t="str">
        <x:v>43 inch LED TV</x:v>
      </x:c>
      <x:c r="G902" s="20" t="n">
        <x:v>1</x:v>
      </x:c>
      <x:c r="H902" s="12" t="str">
        <x:v>Inventory-listed building/workspace context; current occupancy and screen access unverified</x:v>
      </x:c>
      <x:c r="I902" s="12" t="str">
        <x:v>Mixed business audience</x:v>
      </x:c>
      <x:c r="J902" s="12" t="str">
        <x:v>Unresolved</x:v>
      </x:c>
      <x:c r="K902" s="2" t="str">
        <x:v>MAIN-266</x:v>
      </x:c>
    </x:row>
    <x:row r="903" ht="46" customHeight="1">
      <x:c r="A903" s="2" t="str">
        <x:v>TEN-B0F2A2BD7A3C</x:v>
      </x:c>
      <x:c r="B903" s="12" t="str">
        <x:v>Noborders</x:v>
      </x:c>
      <x:c r="C903" s="12" t="str">
        <x:v>CORP-0262</x:v>
      </x:c>
      <x:c r="D903" s="12" t="str">
        <x:v>Indore</x:v>
      </x:c>
      <x:c r="E903" s="12" t="str">
        <x:v>Airen Heights</x:v>
      </x:c>
      <x:c r="F903" s="12" t="str">
        <x:v>43 inch LED TV</x:v>
      </x:c>
      <x:c r="G903" s="20" t="n">
        <x:v>1</x:v>
      </x:c>
      <x:c r="H903" s="12" t="str">
        <x:v>Inventory-listed building/workspace context; current occupancy and screen access unverified</x:v>
      </x:c>
      <x:c r="I903" s="12" t="str">
        <x:v>Mixed business audience</x:v>
      </x:c>
      <x:c r="J903" s="12" t="str">
        <x:v>Unresolved</x:v>
      </x:c>
      <x:c r="K903" s="2" t="str">
        <x:v>MAIN-266</x:v>
      </x:c>
    </x:row>
    <x:row r="904" ht="46" customHeight="1">
      <x:c r="A904" s="2" t="str">
        <x:v>TEN-B1D3552541D5</x:v>
      </x:c>
      <x:c r="B904" s="12" t="str">
        <x:v>Sagar Cements</x:v>
      </x:c>
      <x:c r="C904" s="12" t="str">
        <x:v>CORP-0262</x:v>
      </x:c>
      <x:c r="D904" s="12" t="str">
        <x:v>Indore</x:v>
      </x:c>
      <x:c r="E904" s="12" t="str">
        <x:v>Airen Heights</x:v>
      </x:c>
      <x:c r="F904" s="12" t="str">
        <x:v>43 inch LED TV</x:v>
      </x:c>
      <x:c r="G904" s="20" t="n">
        <x:v>1</x:v>
      </x:c>
      <x:c r="H904" s="12" t="str">
        <x:v>Inventory-listed building/workspace context; current occupancy and screen access unverified</x:v>
      </x:c>
      <x:c r="I904" s="12" t="str">
        <x:v>Mixed business audience</x:v>
      </x:c>
      <x:c r="J904" s="12" t="str">
        <x:v>Engineering &amp; manufacturing</x:v>
      </x:c>
      <x:c r="K904" s="2" t="str">
        <x:v>MAIN-266</x:v>
      </x:c>
    </x:row>
    <x:row r="905" ht="46" customHeight="1">
      <x:c r="A905" s="2" t="str">
        <x:v>TEN-C7D44E633249</x:v>
      </x:c>
      <x:c r="B905" s="12" t="str">
        <x:v>Canopus</x:v>
      </x:c>
      <x:c r="C905" s="12" t="str">
        <x:v>CORP-0262</x:v>
      </x:c>
      <x:c r="D905" s="12" t="str">
        <x:v>Indore</x:v>
      </x:c>
      <x:c r="E905" s="12" t="str">
        <x:v>Airen Heights</x:v>
      </x:c>
      <x:c r="F905" s="12" t="str">
        <x:v>43 inch LED TV</x:v>
      </x:c>
      <x:c r="G905" s="20" t="n">
        <x:v>1</x:v>
      </x:c>
      <x:c r="H905" s="12" t="str">
        <x:v>Inventory-listed building/workspace context; current occupancy and screen access unverified</x:v>
      </x:c>
      <x:c r="I905" s="12" t="str">
        <x:v>Mixed business audience</x:v>
      </x:c>
      <x:c r="J905" s="12" t="str">
        <x:v>Unresolved</x:v>
      </x:c>
      <x:c r="K905" s="2" t="str">
        <x:v>MAIN-266</x:v>
      </x:c>
    </x:row>
    <x:row r="906" ht="46" customHeight="1">
      <x:c r="A906" s="2" t="str">
        <x:v>TEN-D158BE41DB87</x:v>
      </x:c>
      <x:c r="B906" s="12" t="str">
        <x:v>Mars</x:v>
      </x:c>
      <x:c r="C906" s="12" t="str">
        <x:v>CORP-0262</x:v>
      </x:c>
      <x:c r="D906" s="12" t="str">
        <x:v>Indore</x:v>
      </x:c>
      <x:c r="E906" s="12" t="str">
        <x:v>Airen Heights</x:v>
      </x:c>
      <x:c r="F906" s="12" t="str">
        <x:v>43 inch LED TV</x:v>
      </x:c>
      <x:c r="G906" s="20" t="n">
        <x:v>1</x:v>
      </x:c>
      <x:c r="H906" s="12" t="str">
        <x:v>Inventory-listed building/workspace context; current occupancy and screen access unverified</x:v>
      </x:c>
      <x:c r="I906" s="12" t="str">
        <x:v>Mixed business audience</x:v>
      </x:c>
      <x:c r="J906" s="12" t="str">
        <x:v>Trade, consumer &amp; logistics</x:v>
      </x:c>
      <x:c r="K906" s="2" t="str">
        <x:v>MAIN-266</x:v>
      </x:c>
    </x:row>
    <x:row r="907" ht="46" customHeight="1">
      <x:c r="A907" s="2" t="str">
        <x:v>TEN-E381635B7337</x:v>
      </x:c>
      <x:c r="B907" s="12" t="str">
        <x:v>Webllisto</x:v>
      </x:c>
      <x:c r="C907" s="12" t="str">
        <x:v>CORP-0262</x:v>
      </x:c>
      <x:c r="D907" s="12" t="str">
        <x:v>Indore</x:v>
      </x:c>
      <x:c r="E907" s="12" t="str">
        <x:v>Airen Heights</x:v>
      </x:c>
      <x:c r="F907" s="12" t="str">
        <x:v>43 inch LED TV</x:v>
      </x:c>
      <x:c r="G907" s="20" t="n">
        <x:v>1</x:v>
      </x:c>
      <x:c r="H907" s="12" t="str">
        <x:v>Inventory-listed building/workspace context; current occupancy and screen access unverified</x:v>
      </x:c>
      <x:c r="I907" s="12" t="str">
        <x:v>Small-scale prospects</x:v>
      </x:c>
      <x:c r="J907" s="12" t="str">
        <x:v>IT &amp; digital</x:v>
      </x:c>
      <x:c r="K907" s="2" t="str">
        <x:v>MAIN-266</x:v>
      </x:c>
    </x:row>
    <x:row r="908" ht="46" customHeight="1">
      <x:c r="A908" s="2" t="str">
        <x:v>TEN-E4C80A123088</x:v>
      </x:c>
      <x:c r="B908" s="12" t="str">
        <x:v>Mactosys</x:v>
      </x:c>
      <x:c r="C908" s="12" t="str">
        <x:v>CORP-0262</x:v>
      </x:c>
      <x:c r="D908" s="12" t="str">
        <x:v>Indore</x:v>
      </x:c>
      <x:c r="E908" s="12" t="str">
        <x:v>Airen Heights</x:v>
      </x:c>
      <x:c r="F908" s="12" t="str">
        <x:v>43 inch LED TV</x:v>
      </x:c>
      <x:c r="G908" s="20" t="n">
        <x:v>1</x:v>
      </x:c>
      <x:c r="H908" s="12" t="str">
        <x:v>Inventory-listed building/workspace context; current occupancy and screen access unverified</x:v>
      </x:c>
      <x:c r="I908" s="12" t="str">
        <x:v>Mixed business audience</x:v>
      </x:c>
      <x:c r="J908" s="12" t="str">
        <x:v>Unresolved</x:v>
      </x:c>
      <x:c r="K908" s="2" t="str">
        <x:v>MAIN-266</x:v>
      </x:c>
    </x:row>
    <x:row r="909" ht="46" customHeight="1">
      <x:c r="A909" s="2" t="str">
        <x:v>TEN-E911ACD7AC00</x:v>
      </x:c>
      <x:c r="B909" s="12" t="str">
        <x:v>Airen Group</x:v>
      </x:c>
      <x:c r="C909" s="12" t="str">
        <x:v>CORP-0262</x:v>
      </x:c>
      <x:c r="D909" s="12" t="str">
        <x:v>Indore</x:v>
      </x:c>
      <x:c r="E909" s="12" t="str">
        <x:v>Airen Heights</x:v>
      </x:c>
      <x:c r="F909" s="12" t="str">
        <x:v>43 inch LED TV</x:v>
      </x:c>
      <x:c r="G909" s="20" t="n">
        <x:v>1</x:v>
      </x:c>
      <x:c r="H909" s="12" t="str">
        <x:v>Inventory-listed building/workspace context; current occupancy and screen access unverified</x:v>
      </x:c>
      <x:c r="I909" s="12" t="str">
        <x:v>Mixed business audience</x:v>
      </x:c>
      <x:c r="J909" s="12" t="str">
        <x:v>Unresolved</x:v>
      </x:c>
      <x:c r="K909" s="2" t="str">
        <x:v>MAIN-266</x:v>
      </x:c>
    </x:row>
    <x:row r="910" ht="46" customHeight="1">
      <x:c r="A910" s="2" t="str">
        <x:v>TEN-EB671BBEA10E</x:v>
      </x:c>
      <x:c r="B910" s="12" t="str">
        <x:v>Shivangi Steels</x:v>
      </x:c>
      <x:c r="C910" s="12" t="str">
        <x:v>CORP-0262</x:v>
      </x:c>
      <x:c r="D910" s="12" t="str">
        <x:v>Indore</x:v>
      </x:c>
      <x:c r="E910" s="12" t="str">
        <x:v>Airen Heights</x:v>
      </x:c>
      <x:c r="F910" s="12" t="str">
        <x:v>43 inch LED TV</x:v>
      </x:c>
      <x:c r="G910" s="20" t="n">
        <x:v>1</x:v>
      </x:c>
      <x:c r="H910" s="12" t="str">
        <x:v>Inventory-listed building/workspace context; current occupancy and screen access unverified</x:v>
      </x:c>
      <x:c r="I910" s="12" t="str">
        <x:v>Medium-scale prospects</x:v>
      </x:c>
      <x:c r="J910" s="12" t="str">
        <x:v>Engineering &amp; manufacturing</x:v>
      </x:c>
      <x:c r="K910" s="2" t="str">
        <x:v>MAIN-266</x:v>
      </x:c>
    </x:row>
    <x:row r="911" ht="46" customHeight="1">
      <x:c r="A911" s="2" t="str">
        <x:v>TEN-FC4FE1AF2B46</x:v>
      </x:c>
      <x:c r="B911" s="12" t="str">
        <x:v>Stewart</x:v>
      </x:c>
      <x:c r="C911" s="12" t="str">
        <x:v>CORP-0262</x:v>
      </x:c>
      <x:c r="D911" s="12" t="str">
        <x:v>Indore</x:v>
      </x:c>
      <x:c r="E911" s="12" t="str">
        <x:v>Airen Heights</x:v>
      </x:c>
      <x:c r="F911" s="12" t="str">
        <x:v>43 inch LED TV</x:v>
      </x:c>
      <x:c r="G911" s="20" t="n">
        <x:v>1</x:v>
      </x:c>
      <x:c r="H911" s="12" t="str">
        <x:v>Inventory-listed building/workspace context; current occupancy and screen access unverified</x:v>
      </x:c>
      <x:c r="I911" s="12" t="str">
        <x:v>Mixed business audience</x:v>
      </x:c>
      <x:c r="J911" s="12" t="str">
        <x:v>Unresolved</x:v>
      </x:c>
      <x:c r="K911" s="2" t="str">
        <x:v>MAIN-266</x:v>
      </x:c>
    </x:row>
    <x:row r="912" ht="46" customHeight="1">
      <x:c r="A912" s="2" t="str">
        <x:v>TEN-0E6A64179D0F</x:v>
      </x:c>
      <x:c r="B912" s="12" t="str">
        <x:v>Shreemaya</x:v>
      </x:c>
      <x:c r="C912" s="12" t="str">
        <x:v>CORP-0263</x:v>
      </x:c>
      <x:c r="D912" s="12" t="str">
        <x:v>Indore</x:v>
      </x:c>
      <x:c r="E912" s="12" t="str">
        <x:v>Apollo Gold Plaza</x:v>
      </x:c>
      <x:c r="F912" s="12" t="str">
        <x:v>43 inch LED TV</x:v>
      </x:c>
      <x:c r="G912" s="20" t="n">
        <x:v>2</x:v>
      </x:c>
      <x:c r="H912" s="12" t="str">
        <x:v>Inventory-listed building/workspace context; current occupancy and screen access unverified</x:v>
      </x:c>
      <x:c r="I912" s="12" t="str">
        <x:v>Small-scale prospects</x:v>
      </x:c>
      <x:c r="J912" s="12" t="str">
        <x:v>Trade, consumer &amp; logistics</x:v>
      </x:c>
      <x:c r="K912" s="2" t="str">
        <x:v>MAIN-267</x:v>
      </x:c>
    </x:row>
    <x:row r="913" ht="46" customHeight="1">
      <x:c r="A913" s="2" t="str">
        <x:v>TEN-1C593F87A18C</x:v>
      </x:c>
      <x:c r="B913" s="12" t="str">
        <x:v>Yes Bank</x:v>
      </x:c>
      <x:c r="C913" s="12" t="str">
        <x:v>CORP-0263</x:v>
      </x:c>
      <x:c r="D913" s="12" t="str">
        <x:v>Indore</x:v>
      </x:c>
      <x:c r="E913" s="12" t="str">
        <x:v>Apollo Gold Plaza</x:v>
      </x:c>
      <x:c r="F913" s="12" t="str">
        <x:v>43 inch LED TV</x:v>
      </x:c>
      <x:c r="G913" s="20" t="n">
        <x:v>2</x:v>
      </x:c>
      <x:c r="H913" s="12" t="str">
        <x:v>Inventory-listed building/workspace context; current occupancy and screen access unverified</x:v>
      </x:c>
      <x:c r="I913" s="12" t="str">
        <x:v>Large enterprise</x:v>
      </x:c>
      <x:c r="J913" s="12" t="str">
        <x:v>Finance &amp; insurance</x:v>
      </x:c>
      <x:c r="K913" s="2" t="str">
        <x:v>MAIN-267</x:v>
      </x:c>
    </x:row>
    <x:row r="914" ht="46" customHeight="1">
      <x:c r="A914" s="2" t="str">
        <x:v>TEN-1CAE3150CD93</x:v>
      </x:c>
      <x:c r="B914" s="12" t="str">
        <x:v>App Sphere Softwares</x:v>
      </x:c>
      <x:c r="C914" s="12" t="str">
        <x:v>CORP-0263</x:v>
      </x:c>
      <x:c r="D914" s="12" t="str">
        <x:v>Indore</x:v>
      </x:c>
      <x:c r="E914" s="12" t="str">
        <x:v>Apollo Gold Plaza</x:v>
      </x:c>
      <x:c r="F914" s="12" t="str">
        <x:v>43 inch LED TV</x:v>
      </x:c>
      <x:c r="G914" s="20" t="n">
        <x:v>2</x:v>
      </x:c>
      <x:c r="H914" s="12" t="str">
        <x:v>Inventory-listed building/workspace context; current occupancy and screen access unverified</x:v>
      </x:c>
      <x:c r="I914" s="12" t="str">
        <x:v>Small-scale prospects</x:v>
      </x:c>
      <x:c r="J914" s="12" t="str">
        <x:v>IT &amp; digital</x:v>
      </x:c>
      <x:c r="K914" s="2" t="str">
        <x:v>MAIN-267</x:v>
      </x:c>
    </x:row>
    <x:row r="915" ht="46" customHeight="1">
      <x:c r="A915" s="2" t="str">
        <x:v>TEN-30E052F4048B</x:v>
      </x:c>
      <x:c r="B915" s="12" t="str">
        <x:v>The Wardrobe</x:v>
      </x:c>
      <x:c r="C915" s="12" t="str">
        <x:v>CORP-0263</x:v>
      </x:c>
      <x:c r="D915" s="12" t="str">
        <x:v>Indore</x:v>
      </x:c>
      <x:c r="E915" s="12" t="str">
        <x:v>Apollo Gold Plaza</x:v>
      </x:c>
      <x:c r="F915" s="12" t="str">
        <x:v>43 inch LED TV</x:v>
      </x:c>
      <x:c r="G915" s="20" t="n">
        <x:v>2</x:v>
      </x:c>
      <x:c r="H915" s="12" t="str">
        <x:v>Inventory-listed building/workspace context; current occupancy and screen access unverified</x:v>
      </x:c>
      <x:c r="I915" s="12" t="str">
        <x:v>Small-scale prospects</x:v>
      </x:c>
      <x:c r="J915" s="12" t="str">
        <x:v>Trade, consumer &amp; logistics</x:v>
      </x:c>
      <x:c r="K915" s="2" t="str">
        <x:v>MAIN-267</x:v>
      </x:c>
    </x:row>
    <x:row r="916" ht="46" customHeight="1">
      <x:c r="A916" s="2" t="str">
        <x:v>TEN-43D8802BE4D6</x:v>
      </x:c>
      <x:c r="B916" s="12" t="str">
        <x:v>The Work Nation</x:v>
      </x:c>
      <x:c r="C916" s="12" t="str">
        <x:v>CORP-0263</x:v>
      </x:c>
      <x:c r="D916" s="12" t="str">
        <x:v>Indore</x:v>
      </x:c>
      <x:c r="E916" s="12" t="str">
        <x:v>Apollo Gold Plaza</x:v>
      </x:c>
      <x:c r="F916" s="12" t="str">
        <x:v>43 inch LED TV</x:v>
      </x:c>
      <x:c r="G916" s="20" t="n">
        <x:v>2</x:v>
      </x:c>
      <x:c r="H916" s="12" t="str">
        <x:v>Inventory-listed building/workspace context; current occupancy and screen access unverified</x:v>
      </x:c>
      <x:c r="I916" s="12" t="str">
        <x:v>Mixed business audience</x:v>
      </x:c>
      <x:c r="J916" s="12" t="str">
        <x:v>Workspace &amp; property operations</x:v>
      </x:c>
      <x:c r="K916" s="2" t="str">
        <x:v>MAIN-267</x:v>
      </x:c>
    </x:row>
    <x:row r="917" ht="46" customHeight="1">
      <x:c r="A917" s="2" t="str">
        <x:v>TEN-4FECE7E10BAF</x:v>
      </x:c>
      <x:c r="B917" s="12" t="str">
        <x:v>Global Exim Consultancy</x:v>
      </x:c>
      <x:c r="C917" s="12" t="str">
        <x:v>CORP-0263</x:v>
      </x:c>
      <x:c r="D917" s="12" t="str">
        <x:v>Indore</x:v>
      </x:c>
      <x:c r="E917" s="12" t="str">
        <x:v>Apollo Gold Plaza</x:v>
      </x:c>
      <x:c r="F917" s="12" t="str">
        <x:v>43 inch LED TV</x:v>
      </x:c>
      <x:c r="G917" s="20" t="n">
        <x:v>2</x:v>
      </x:c>
      <x:c r="H917" s="12" t="str">
        <x:v>Inventory-listed building/workspace context; current occupancy and screen access unverified</x:v>
      </x:c>
      <x:c r="I917" s="12" t="str">
        <x:v>Small-scale prospects</x:v>
      </x:c>
      <x:c r="J917" s="12" t="str">
        <x:v>Professional services</x:v>
      </x:c>
      <x:c r="K917" s="2" t="str">
        <x:v>MAIN-267</x:v>
      </x:c>
    </x:row>
    <x:row r="918" ht="46" customHeight="1">
      <x:c r="A918" s="2" t="str">
        <x:v>TEN-5AD09C016EC1</x:v>
      </x:c>
      <x:c r="B918" s="12" t="str">
        <x:v>Top &amp; Town</x:v>
      </x:c>
      <x:c r="C918" s="12" t="str">
        <x:v>CORP-0263</x:v>
      </x:c>
      <x:c r="D918" s="12" t="str">
        <x:v>Indore</x:v>
      </x:c>
      <x:c r="E918" s="12" t="str">
        <x:v>Apollo Gold Plaza</x:v>
      </x:c>
      <x:c r="F918" s="12" t="str">
        <x:v>43 inch LED TV</x:v>
      </x:c>
      <x:c r="G918" s="20" t="n">
        <x:v>2</x:v>
      </x:c>
      <x:c r="H918" s="12" t="str">
        <x:v>Inventory-listed building/workspace context; current occupancy and screen access unverified</x:v>
      </x:c>
      <x:c r="I918" s="12" t="str">
        <x:v>Small-scale prospects</x:v>
      </x:c>
      <x:c r="J918" s="12" t="str">
        <x:v>Trade, consumer &amp; logistics</x:v>
      </x:c>
      <x:c r="K918" s="2" t="str">
        <x:v>MAIN-267</x:v>
      </x:c>
    </x:row>
    <x:row r="919" ht="46" customHeight="1">
      <x:c r="A919" s="2" t="str">
        <x:v>TEN-621F0FBC68F3</x:v>
      </x:c>
      <x:c r="B919" s="12" t="str">
        <x:v>Apollo Dental</x:v>
      </x:c>
      <x:c r="C919" s="12" t="str">
        <x:v>CORP-0263</x:v>
      </x:c>
      <x:c r="D919" s="12" t="str">
        <x:v>Indore</x:v>
      </x:c>
      <x:c r="E919" s="12" t="str">
        <x:v>Apollo Gold Plaza</x:v>
      </x:c>
      <x:c r="F919" s="12" t="str">
        <x:v>43 inch LED TV</x:v>
      </x:c>
      <x:c r="G919" s="20" t="n">
        <x:v>2</x:v>
      </x:c>
      <x:c r="H919" s="12" t="str">
        <x:v>Inventory-listed building/workspace context; current occupancy and screen access unverified</x:v>
      </x:c>
      <x:c r="I919" s="12" t="str">
        <x:v>Mixed business audience</x:v>
      </x:c>
      <x:c r="J919" s="12" t="str">
        <x:v>Healthcare &amp; life sciences</x:v>
      </x:c>
      <x:c r="K919" s="2" t="str">
        <x:v>MAIN-267</x:v>
      </x:c>
    </x:row>
    <x:row r="920" ht="46" customHeight="1">
      <x:c r="A920" s="2" t="str">
        <x:v>TEN-628A998CF468</x:v>
      </x:c>
      <x:c r="B920" s="12" t="str">
        <x:v>Kraftzee</x:v>
      </x:c>
      <x:c r="C920" s="12" t="str">
        <x:v>CORP-0263</x:v>
      </x:c>
      <x:c r="D920" s="12" t="str">
        <x:v>Indore</x:v>
      </x:c>
      <x:c r="E920" s="12" t="str">
        <x:v>Apollo Gold Plaza</x:v>
      </x:c>
      <x:c r="F920" s="12" t="str">
        <x:v>43 inch LED TV</x:v>
      </x:c>
      <x:c r="G920" s="20" t="n">
        <x:v>2</x:v>
      </x:c>
      <x:c r="H920" s="12" t="str">
        <x:v>Inventory-listed building/workspace context; current occupancy and screen access unverified</x:v>
      </x:c>
      <x:c r="I920" s="12" t="str">
        <x:v>Mixed business audience</x:v>
      </x:c>
      <x:c r="J920" s="12" t="str">
        <x:v>Unresolved</x:v>
      </x:c>
      <x:c r="K920" s="2" t="str">
        <x:v>MAIN-267</x:v>
      </x:c>
    </x:row>
    <x:row r="921" ht="46" customHeight="1">
      <x:c r="A921" s="2" t="str">
        <x:v>TEN-6D42C4AA277D</x:v>
      </x:c>
      <x:c r="B921" s="12" t="str">
        <x:v>Hammer Events</x:v>
      </x:c>
      <x:c r="C921" s="12" t="str">
        <x:v>CORP-0263</x:v>
      </x:c>
      <x:c r="D921" s="12" t="str">
        <x:v>Indore</x:v>
      </x:c>
      <x:c r="E921" s="12" t="str">
        <x:v>Apollo Gold Plaza</x:v>
      </x:c>
      <x:c r="F921" s="12" t="str">
        <x:v>43 inch LED TV</x:v>
      </x:c>
      <x:c r="G921" s="20" t="n">
        <x:v>2</x:v>
      </x:c>
      <x:c r="H921" s="12" t="str">
        <x:v>Inventory-listed building/workspace context; current occupancy and screen access unverified</x:v>
      </x:c>
      <x:c r="I921" s="12" t="str">
        <x:v>Small-scale prospects</x:v>
      </x:c>
      <x:c r="J921" s="12" t="str">
        <x:v>Trade, consumer &amp; logistics</x:v>
      </x:c>
      <x:c r="K921" s="2" t="str">
        <x:v>MAIN-267</x:v>
      </x:c>
    </x:row>
    <x:row r="922" ht="46" customHeight="1">
      <x:c r="A922" s="2" t="str">
        <x:v>TEN-76CFEC1C272A</x:v>
      </x:c>
      <x:c r="B922" s="12" t="str">
        <x:v>Upgrad</x:v>
      </x:c>
      <x:c r="C922" s="12" t="str">
        <x:v>CORP-0263</x:v>
      </x:c>
      <x:c r="D922" s="12" t="str">
        <x:v>Indore</x:v>
      </x:c>
      <x:c r="E922" s="12" t="str">
        <x:v>Apollo Gold Plaza</x:v>
      </x:c>
      <x:c r="F922" s="12" t="str">
        <x:v>43 inch LED TV</x:v>
      </x:c>
      <x:c r="G922" s="20" t="n">
        <x:v>2</x:v>
      </x:c>
      <x:c r="H922" s="12" t="str">
        <x:v>Inventory-listed building/workspace context; current occupancy and screen access unverified</x:v>
      </x:c>
      <x:c r="I922" s="12" t="str">
        <x:v>Mixed business audience</x:v>
      </x:c>
      <x:c r="J922" s="12" t="str">
        <x:v>Education</x:v>
      </x:c>
      <x:c r="K922" s="2" t="str">
        <x:v>MAIN-267</x:v>
      </x:c>
    </x:row>
    <x:row r="923" ht="46" customHeight="1">
      <x:c r="A923" s="2" t="str">
        <x:v>TEN-8147E6FED86D</x:v>
      </x:c>
      <x:c r="B923" s="12" t="str">
        <x:v>OPPO</x:v>
      </x:c>
      <x:c r="C923" s="12" t="str">
        <x:v>CORP-0263</x:v>
      </x:c>
      <x:c r="D923" s="12" t="str">
        <x:v>Indore</x:v>
      </x:c>
      <x:c r="E923" s="12" t="str">
        <x:v>Apollo Gold Plaza</x:v>
      </x:c>
      <x:c r="F923" s="12" t="str">
        <x:v>43 inch LED TV</x:v>
      </x:c>
      <x:c r="G923" s="20" t="n">
        <x:v>2</x:v>
      </x:c>
      <x:c r="H923" s="12" t="str">
        <x:v>Inventory-listed building/workspace context; current occupancy and screen access unverified</x:v>
      </x:c>
      <x:c r="I923" s="12" t="str">
        <x:v>Mixed business audience</x:v>
      </x:c>
      <x:c r="J923" s="12" t="str">
        <x:v>Engineering &amp; manufacturing</x:v>
      </x:c>
      <x:c r="K923" s="2" t="str">
        <x:v>MAIN-267</x:v>
      </x:c>
    </x:row>
    <x:row r="924" ht="46" customHeight="1">
      <x:c r="A924" s="2" t="str">
        <x:v>TEN-8918FBD5F4F5</x:v>
      </x:c>
      <x:c r="B924" s="12" t="str">
        <x:v>Rayonner</x:v>
      </x:c>
      <x:c r="C924" s="12" t="str">
        <x:v>CORP-0263</x:v>
      </x:c>
      <x:c r="D924" s="12" t="str">
        <x:v>Indore</x:v>
      </x:c>
      <x:c r="E924" s="12" t="str">
        <x:v>Apollo Gold Plaza</x:v>
      </x:c>
      <x:c r="F924" s="12" t="str">
        <x:v>43 inch LED TV</x:v>
      </x:c>
      <x:c r="G924" s="20" t="n">
        <x:v>2</x:v>
      </x:c>
      <x:c r="H924" s="12" t="str">
        <x:v>Inventory-listed building/workspace context; current occupancy and screen access unverified</x:v>
      </x:c>
      <x:c r="I924" s="12" t="str">
        <x:v>Mixed business audience</x:v>
      </x:c>
      <x:c r="J924" s="12" t="str">
        <x:v>Unresolved</x:v>
      </x:c>
      <x:c r="K924" s="2" t="str">
        <x:v>MAIN-267</x:v>
      </x:c>
    </x:row>
    <x:row r="925" ht="46" customHeight="1">
      <x:c r="A925" s="2" t="str">
        <x:v>TEN-8D2A37C827BC</x:v>
      </x:c>
      <x:c r="B925" s="12" t="str">
        <x:v>Mr. Investors</x:v>
      </x:c>
      <x:c r="C925" s="12" t="str">
        <x:v>CORP-0263</x:v>
      </x:c>
      <x:c r="D925" s="12" t="str">
        <x:v>Indore</x:v>
      </x:c>
      <x:c r="E925" s="12" t="str">
        <x:v>Apollo Gold Plaza</x:v>
      </x:c>
      <x:c r="F925" s="12" t="str">
        <x:v>43 inch LED TV</x:v>
      </x:c>
      <x:c r="G925" s="20" t="n">
        <x:v>2</x:v>
      </x:c>
      <x:c r="H925" s="12" t="str">
        <x:v>Inventory-listed building/workspace context; current occupancy and screen access unverified</x:v>
      </x:c>
      <x:c r="I925" s="12" t="str">
        <x:v>Medium-scale prospects</x:v>
      </x:c>
      <x:c r="J925" s="12" t="str">
        <x:v>Finance &amp; insurance</x:v>
      </x:c>
      <x:c r="K925" s="2" t="str">
        <x:v>MAIN-267</x:v>
      </x:c>
    </x:row>
    <x:row r="926" ht="46" customHeight="1">
      <x:c r="A926" s="2" t="str">
        <x:v>TEN-968E2D5B0868</x:v>
      </x:c>
      <x:c r="B926" s="12" t="str">
        <x:v>Samsung</x:v>
      </x:c>
      <x:c r="C926" s="12" t="str">
        <x:v>CORP-0263</x:v>
      </x:c>
      <x:c r="D926" s="12" t="str">
        <x:v>Indore</x:v>
      </x:c>
      <x:c r="E926" s="12" t="str">
        <x:v>Apollo Gold Plaza</x:v>
      </x:c>
      <x:c r="F926" s="12" t="str">
        <x:v>43 inch LED TV</x:v>
      </x:c>
      <x:c r="G926" s="20" t="n">
        <x:v>2</x:v>
      </x:c>
      <x:c r="H926" s="12" t="str">
        <x:v>Inventory-listed building/workspace context; current occupancy and screen access unverified</x:v>
      </x:c>
      <x:c r="I926" s="12" t="str">
        <x:v>Large enterprise</x:v>
      </x:c>
      <x:c r="J926" s="12" t="str">
        <x:v>Engineering &amp; manufacturing</x:v>
      </x:c>
      <x:c r="K926" s="2" t="str">
        <x:v>MAIN-267</x:v>
      </x:c>
    </x:row>
    <x:row r="927" ht="46" customHeight="1">
      <x:c r="A927" s="2" t="str">
        <x:v>TEN-A79DD0F512DB</x:v>
      </x:c>
      <x:c r="B927" s="12" t="str">
        <x:v>Sagar Cements Ltd</x:v>
      </x:c>
      <x:c r="C927" s="12" t="str">
        <x:v>CORP-0263</x:v>
      </x:c>
      <x:c r="D927" s="12" t="str">
        <x:v>Indore</x:v>
      </x:c>
      <x:c r="E927" s="12" t="str">
        <x:v>Apollo Gold Plaza</x:v>
      </x:c>
      <x:c r="F927" s="12" t="str">
        <x:v>43 inch LED TV</x:v>
      </x:c>
      <x:c r="G927" s="20" t="n">
        <x:v>2</x:v>
      </x:c>
      <x:c r="H927" s="12" t="str">
        <x:v>Inventory-listed building/workspace context; current occupancy and screen access unverified</x:v>
      </x:c>
      <x:c r="I927" s="12" t="str">
        <x:v>Mixed business audience</x:v>
      </x:c>
      <x:c r="J927" s="12" t="str">
        <x:v>Engineering &amp; manufacturing</x:v>
      </x:c>
      <x:c r="K927" s="2" t="str">
        <x:v>MAIN-267</x:v>
      </x:c>
    </x:row>
    <x:row r="928" ht="46" customHeight="1">
      <x:c r="A928" s="2" t="str">
        <x:v>TEN-C6B55D0681FA</x:v>
      </x:c>
      <x:c r="B928" s="12" t="str">
        <x:v>Passport Seva Kendra</x:v>
      </x:c>
      <x:c r="C928" s="12" t="str">
        <x:v>CORP-0263</x:v>
      </x:c>
      <x:c r="D928" s="12" t="str">
        <x:v>Indore</x:v>
      </x:c>
      <x:c r="E928" s="12" t="str">
        <x:v>Apollo Gold Plaza</x:v>
      </x:c>
      <x:c r="F928" s="12" t="str">
        <x:v>43 inch LED TV</x:v>
      </x:c>
      <x:c r="G928" s="20" t="n">
        <x:v>2</x:v>
      </x:c>
      <x:c r="H928" s="12" t="str">
        <x:v>Inventory-listed building/workspace context; current occupancy and screen access unverified</x:v>
      </x:c>
      <x:c r="I928" s="12" t="str">
        <x:v>Institutional</x:v>
      </x:c>
      <x:c r="J928" s="12" t="str">
        <x:v>Government &amp; nonprofit</x:v>
      </x:c>
      <x:c r="K928" s="2" t="str">
        <x:v>MAIN-267</x:v>
      </x:c>
    </x:row>
    <x:row r="929" ht="46" customHeight="1">
      <x:c r="A929" s="2" t="str">
        <x:v>TEN-F92A50840CD9</x:v>
      </x:c>
      <x:c r="B929" s="12" t="str">
        <x:v>Megha Engineering</x:v>
      </x:c>
      <x:c r="C929" s="12" t="str">
        <x:v>CORP-0263</x:v>
      </x:c>
      <x:c r="D929" s="12" t="str">
        <x:v>Indore</x:v>
      </x:c>
      <x:c r="E929" s="12" t="str">
        <x:v>Apollo Gold Plaza</x:v>
      </x:c>
      <x:c r="F929" s="12" t="str">
        <x:v>43 inch LED TV</x:v>
      </x:c>
      <x:c r="G929" s="20" t="n">
        <x:v>2</x:v>
      </x:c>
      <x:c r="H929" s="12" t="str">
        <x:v>Inventory-listed building/workspace context; current occupancy and screen access unverified</x:v>
      </x:c>
      <x:c r="I929" s="12" t="str">
        <x:v>Mixed business audience</x:v>
      </x:c>
      <x:c r="J929" s="12" t="str">
        <x:v>Engineering &amp; manufacturing</x:v>
      </x:c>
      <x:c r="K929" s="2" t="str">
        <x:v>MAIN-267</x:v>
      </x:c>
    </x:row>
    <x:row r="930" ht="46" customHeight="1">
      <x:c r="A930" s="2" t="str">
        <x:v>TEN-02307EC68AF1</x:v>
      </x:c>
      <x:c r="B930" s="12" t="str">
        <x:v>SiS Enterprises</x:v>
      </x:c>
      <x:c r="C930" s="12" t="str">
        <x:v>CORP-0264</x:v>
      </x:c>
      <x:c r="D930" s="12" t="str">
        <x:v>Indore</x:v>
      </x:c>
      <x:c r="E930" s="12" t="str">
        <x:v>Apollo Premier</x:v>
      </x:c>
      <x:c r="F930" s="12" t="str">
        <x:v>55 inch LED TV</x:v>
      </x:c>
      <x:c r="G930" s="20" t="n">
        <x:v>2</x:v>
      </x:c>
      <x:c r="H930" s="12" t="str">
        <x:v>Inventory-listed building/workspace context; current occupancy and screen access unverified</x:v>
      </x:c>
      <x:c r="I930" s="12" t="str">
        <x:v>Small-scale prospects</x:v>
      </x:c>
      <x:c r="J930" s="12" t="str">
        <x:v>Trade, consumer &amp; logistics</x:v>
      </x:c>
      <x:c r="K930" s="2" t="str">
        <x:v>MAIN-268</x:v>
      </x:c>
    </x:row>
    <x:row r="931" ht="46" customHeight="1">
      <x:c r="A931" s="2" t="str">
        <x:v>TEN-04C4F86B0D0A</x:v>
      </x:c>
      <x:c r="B931" s="12" t="str">
        <x:v>Piano Project</x:v>
      </x:c>
      <x:c r="C931" s="12" t="str">
        <x:v>CORP-0264</x:v>
      </x:c>
      <x:c r="D931" s="12" t="str">
        <x:v>Indore</x:v>
      </x:c>
      <x:c r="E931" s="12" t="str">
        <x:v>Apollo Premier</x:v>
      </x:c>
      <x:c r="F931" s="12" t="str">
        <x:v>55 inch LED TV</x:v>
      </x:c>
      <x:c r="G931" s="20" t="n">
        <x:v>2</x:v>
      </x:c>
      <x:c r="H931" s="12" t="str">
        <x:v>Inventory-listed building/workspace context; current occupancy and screen access unverified</x:v>
      </x:c>
      <x:c r="I931" s="12" t="str">
        <x:v>Small-scale prospects</x:v>
      </x:c>
      <x:c r="J931" s="12" t="str">
        <x:v>Trade, consumer &amp; logistics</x:v>
      </x:c>
      <x:c r="K931" s="2" t="str">
        <x:v>MAIN-268</x:v>
      </x:c>
    </x:row>
    <x:row r="932" ht="46" customHeight="1">
      <x:c r="A932" s="2" t="str">
        <x:v>TEN-0600C79833CC</x:v>
      </x:c>
      <x:c r="B932" s="12" t="str">
        <x:v>BOSCH</x:v>
      </x:c>
      <x:c r="C932" s="12" t="str">
        <x:v>CORP-0264</x:v>
      </x:c>
      <x:c r="D932" s="12" t="str">
        <x:v>Indore</x:v>
      </x:c>
      <x:c r="E932" s="12" t="str">
        <x:v>Apollo Premier</x:v>
      </x:c>
      <x:c r="F932" s="12" t="str">
        <x:v>55 inch LED TV</x:v>
      </x:c>
      <x:c r="G932" s="20" t="n">
        <x:v>2</x:v>
      </x:c>
      <x:c r="H932" s="12" t="str">
        <x:v>Inventory-listed building/workspace context; current occupancy and screen access unverified</x:v>
      </x:c>
      <x:c r="I932" s="12" t="str">
        <x:v>Large enterprise</x:v>
      </x:c>
      <x:c r="J932" s="12" t="str">
        <x:v>Engineering &amp; manufacturing</x:v>
      </x:c>
      <x:c r="K932" s="2" t="str">
        <x:v>MAIN-268</x:v>
      </x:c>
    </x:row>
    <x:row r="933" ht="46" customHeight="1">
      <x:c r="A933" s="2" t="str">
        <x:v>TEN-0690190DD270</x:v>
      </x:c>
      <x:c r="B933" s="12" t="str">
        <x:v>Fabastech</x:v>
      </x:c>
      <x:c r="C933" s="12" t="str">
        <x:v>CORP-0264</x:v>
      </x:c>
      <x:c r="D933" s="12" t="str">
        <x:v>Indore</x:v>
      </x:c>
      <x:c r="E933" s="12" t="str">
        <x:v>Apollo Premier</x:v>
      </x:c>
      <x:c r="F933" s="12" t="str">
        <x:v>55 inch LED TV</x:v>
      </x:c>
      <x:c r="G933" s="20" t="n">
        <x:v>2</x:v>
      </x:c>
      <x:c r="H933" s="12" t="str">
        <x:v>Inventory-listed building/workspace context; current occupancy and screen access unverified</x:v>
      </x:c>
      <x:c r="I933" s="12" t="str">
        <x:v>Mixed business audience</x:v>
      </x:c>
      <x:c r="J933" s="12" t="str">
        <x:v>Unresolved</x:v>
      </x:c>
      <x:c r="K933" s="2" t="str">
        <x:v>MAIN-268</x:v>
      </x:c>
    </x:row>
    <x:row r="934" ht="46" customHeight="1">
      <x:c r="A934" s="2" t="str">
        <x:v>TEN-0744BB22C8B2</x:v>
      </x:c>
      <x:c r="B934" s="12" t="str">
        <x:v>Climeto</x:v>
      </x:c>
      <x:c r="C934" s="12" t="str">
        <x:v>CORP-0264</x:v>
      </x:c>
      <x:c r="D934" s="12" t="str">
        <x:v>Indore</x:v>
      </x:c>
      <x:c r="E934" s="12" t="str">
        <x:v>Apollo Premier</x:v>
      </x:c>
      <x:c r="F934" s="12" t="str">
        <x:v>55 inch LED TV</x:v>
      </x:c>
      <x:c r="G934" s="20" t="n">
        <x:v>2</x:v>
      </x:c>
      <x:c r="H934" s="12" t="str">
        <x:v>Inventory-listed building/workspace context; current occupancy and screen access unverified</x:v>
      </x:c>
      <x:c r="I934" s="12" t="str">
        <x:v>Mixed business audience</x:v>
      </x:c>
      <x:c r="J934" s="12" t="str">
        <x:v>Unresolved</x:v>
      </x:c>
      <x:c r="K934" s="2" t="str">
        <x:v>MAIN-268</x:v>
      </x:c>
    </x:row>
    <x:row r="935" ht="46" customHeight="1">
      <x:c r="A935" s="2" t="str">
        <x:v>TEN-0B56B6EC5EA6</x:v>
      </x:c>
      <x:c r="B935" s="12" t="str">
        <x:v>Aadrika Associates Pvt. Ltd</x:v>
      </x:c>
      <x:c r="C935" s="12" t="str">
        <x:v>CORP-0264</x:v>
      </x:c>
      <x:c r="D935" s="12" t="str">
        <x:v>Indore</x:v>
      </x:c>
      <x:c r="E935" s="12" t="str">
        <x:v>Apollo Premier</x:v>
      </x:c>
      <x:c r="F935" s="12" t="str">
        <x:v>55 inch LED TV</x:v>
      </x:c>
      <x:c r="G935" s="20" t="n">
        <x:v>2</x:v>
      </x:c>
      <x:c r="H935" s="12" t="str">
        <x:v>Inventory-listed building/workspace context; current occupancy and screen access unverified</x:v>
      </x:c>
      <x:c r="I935" s="12" t="str">
        <x:v>Mixed business audience</x:v>
      </x:c>
      <x:c r="J935" s="12" t="str">
        <x:v>Unresolved</x:v>
      </x:c>
      <x:c r="K935" s="2" t="str">
        <x:v>MAIN-268</x:v>
      </x:c>
    </x:row>
    <x:row r="936" ht="46" customHeight="1">
      <x:c r="A936" s="2" t="str">
        <x:v>TEN-0FE71AFA8B33</x:v>
      </x:c>
      <x:c r="B936" s="12" t="str">
        <x:v>Mayura Steels</x:v>
      </x:c>
      <x:c r="C936" s="12" t="str">
        <x:v>CORP-0264</x:v>
      </x:c>
      <x:c r="D936" s="12" t="str">
        <x:v>Indore</x:v>
      </x:c>
      <x:c r="E936" s="12" t="str">
        <x:v>Apollo Premier</x:v>
      </x:c>
      <x:c r="F936" s="12" t="str">
        <x:v>55 inch LED TV</x:v>
      </x:c>
      <x:c r="G936" s="20" t="n">
        <x:v>2</x:v>
      </x:c>
      <x:c r="H936" s="12" t="str">
        <x:v>Inventory-listed building/workspace context; current occupancy and screen access unverified</x:v>
      </x:c>
      <x:c r="I936" s="12" t="str">
        <x:v>Medium-scale prospects</x:v>
      </x:c>
      <x:c r="J936" s="12" t="str">
        <x:v>Engineering &amp; manufacturing</x:v>
      </x:c>
      <x:c r="K936" s="2" t="str">
        <x:v>MAIN-268</x:v>
      </x:c>
    </x:row>
    <x:row r="937" ht="46" customHeight="1">
      <x:c r="A937" s="2" t="str">
        <x:v>TEN-148467CBDDAE</x:v>
      </x:c>
      <x:c r="B937" s="12" t="str">
        <x:v>Fairdeal</x:v>
      </x:c>
      <x:c r="C937" s="12" t="str">
        <x:v>CORP-0264</x:v>
      </x:c>
      <x:c r="D937" s="12" t="str">
        <x:v>Indore</x:v>
      </x:c>
      <x:c r="E937" s="12" t="str">
        <x:v>Apollo Premier</x:v>
      </x:c>
      <x:c r="F937" s="12" t="str">
        <x:v>55 inch LED TV</x:v>
      </x:c>
      <x:c r="G937" s="20" t="n">
        <x:v>2</x:v>
      </x:c>
      <x:c r="H937" s="12" t="str">
        <x:v>Inventory-listed building/workspace context; current occupancy and screen access unverified</x:v>
      </x:c>
      <x:c r="I937" s="12" t="str">
        <x:v>Mixed business audience</x:v>
      </x:c>
      <x:c r="J937" s="12" t="str">
        <x:v>Unresolved</x:v>
      </x:c>
      <x:c r="K937" s="2" t="str">
        <x:v>MAIN-268</x:v>
      </x:c>
    </x:row>
    <x:row r="938" ht="46" customHeight="1">
      <x:c r="A938" s="2" t="str">
        <x:v>TEN-27700B8C80E5</x:v>
      </x:c>
      <x:c r="B938" s="12" t="str">
        <x:v>R21</x:v>
      </x:c>
      <x:c r="C938" s="12" t="str">
        <x:v>CORP-0264</x:v>
      </x:c>
      <x:c r="D938" s="12" t="str">
        <x:v>Indore</x:v>
      </x:c>
      <x:c r="E938" s="12" t="str">
        <x:v>Apollo Premier</x:v>
      </x:c>
      <x:c r="F938" s="12" t="str">
        <x:v>55 inch LED TV</x:v>
      </x:c>
      <x:c r="G938" s="20" t="n">
        <x:v>2</x:v>
      </x:c>
      <x:c r="H938" s="12" t="str">
        <x:v>Inventory-listed building/workspace context; current occupancy and screen access unverified</x:v>
      </x:c>
      <x:c r="I938" s="12" t="str">
        <x:v>Mixed business audience</x:v>
      </x:c>
      <x:c r="J938" s="12" t="str">
        <x:v>Unresolved</x:v>
      </x:c>
      <x:c r="K938" s="2" t="str">
        <x:v>MAIN-268</x:v>
      </x:c>
    </x:row>
    <x:row r="939" ht="46" customHeight="1">
      <x:c r="A939" s="2" t="str">
        <x:v>TEN-294E778CB1A4</x:v>
      </x:c>
      <x:c r="B939" s="12" t="str">
        <x:v>Happiness Plans</x:v>
      </x:c>
      <x:c r="C939" s="12" t="str">
        <x:v>CORP-0264</x:v>
      </x:c>
      <x:c r="D939" s="12" t="str">
        <x:v>Indore</x:v>
      </x:c>
      <x:c r="E939" s="12" t="str">
        <x:v>Apollo Premier</x:v>
      </x:c>
      <x:c r="F939" s="12" t="str">
        <x:v>55 inch LED TV</x:v>
      </x:c>
      <x:c r="G939" s="20" t="n">
        <x:v>2</x:v>
      </x:c>
      <x:c r="H939" s="12" t="str">
        <x:v>Inventory-listed building/workspace context; current occupancy and screen access unverified</x:v>
      </x:c>
      <x:c r="I939" s="12" t="str">
        <x:v>Mixed business audience</x:v>
      </x:c>
      <x:c r="J939" s="12" t="str">
        <x:v>Unresolved</x:v>
      </x:c>
      <x:c r="K939" s="2" t="str">
        <x:v>MAIN-268</x:v>
      </x:c>
    </x:row>
    <x:row r="940" ht="46" customHeight="1">
      <x:c r="A940" s="2" t="str">
        <x:v>TEN-38964F2926E6</x:v>
      </x:c>
      <x:c r="B940" s="12" t="str">
        <x:v>Mama Loca</x:v>
      </x:c>
      <x:c r="C940" s="12" t="str">
        <x:v>CORP-0264</x:v>
      </x:c>
      <x:c r="D940" s="12" t="str">
        <x:v>Indore</x:v>
      </x:c>
      <x:c r="E940" s="12" t="str">
        <x:v>Apollo Premier</x:v>
      </x:c>
      <x:c r="F940" s="12" t="str">
        <x:v>55 inch LED TV</x:v>
      </x:c>
      <x:c r="G940" s="20" t="n">
        <x:v>2</x:v>
      </x:c>
      <x:c r="H940" s="12" t="str">
        <x:v>Inventory-listed building/workspace context; current occupancy and screen access unverified</x:v>
      </x:c>
      <x:c r="I940" s="12" t="str">
        <x:v>Small-scale prospects</x:v>
      </x:c>
      <x:c r="J940" s="12" t="str">
        <x:v>Trade, consumer &amp; logistics</x:v>
      </x:c>
      <x:c r="K940" s="2" t="str">
        <x:v>MAIN-268</x:v>
      </x:c>
    </x:row>
    <x:row r="941" ht="46" customHeight="1">
      <x:c r="A941" s="2" t="str">
        <x:v>TEN-43449F44510F</x:v>
      </x:c>
      <x:c r="B941" s="12" t="str">
        <x:v>Dwellfox</x:v>
      </x:c>
      <x:c r="C941" s="12" t="str">
        <x:v>CORP-0264</x:v>
      </x:c>
      <x:c r="D941" s="12" t="str">
        <x:v>Indore</x:v>
      </x:c>
      <x:c r="E941" s="12" t="str">
        <x:v>Apollo Premier</x:v>
      </x:c>
      <x:c r="F941" s="12" t="str">
        <x:v>55 inch LED TV</x:v>
      </x:c>
      <x:c r="G941" s="20" t="n">
        <x:v>2</x:v>
      </x:c>
      <x:c r="H941" s="12" t="str">
        <x:v>Inventory-listed building/workspace context; current occupancy and screen access unverified</x:v>
      </x:c>
      <x:c r="I941" s="12" t="str">
        <x:v>Small-scale prospects</x:v>
      </x:c>
      <x:c r="J941" s="12" t="str">
        <x:v>IT &amp; digital</x:v>
      </x:c>
      <x:c r="K941" s="2" t="str">
        <x:v>MAIN-268</x:v>
      </x:c>
    </x:row>
    <x:row r="942" ht="46" customHeight="1">
      <x:c r="A942" s="2" t="str">
        <x:v>TEN-4372F5F2C226</x:v>
      </x:c>
      <x:c r="B942" s="12" t="str">
        <x:v>Blissclub</x:v>
      </x:c>
      <x:c r="C942" s="12" t="str">
        <x:v>CORP-0264</x:v>
      </x:c>
      <x:c r="D942" s="12" t="str">
        <x:v>Indore</x:v>
      </x:c>
      <x:c r="E942" s="12" t="str">
        <x:v>Apollo Premier</x:v>
      </x:c>
      <x:c r="F942" s="12" t="str">
        <x:v>55 inch LED TV</x:v>
      </x:c>
      <x:c r="G942" s="20" t="n">
        <x:v>2</x:v>
      </x:c>
      <x:c r="H942" s="12" t="str">
        <x:v>Inventory-listed building/workspace context; current occupancy and screen access unverified</x:v>
      </x:c>
      <x:c r="I942" s="12" t="str">
        <x:v>Small-scale prospects</x:v>
      </x:c>
      <x:c r="J942" s="12" t="str">
        <x:v>Trade, consumer &amp; logistics</x:v>
      </x:c>
      <x:c r="K942" s="2" t="str">
        <x:v>MAIN-268</x:v>
      </x:c>
    </x:row>
    <x:row r="943" ht="46" customHeight="1">
      <x:c r="A943" s="2" t="str">
        <x:v>TEN-521F2A24ED8E</x:v>
      </x:c>
      <x:c r="B943" s="12" t="str">
        <x:v>Jain Pravin &amp; Associates</x:v>
      </x:c>
      <x:c r="C943" s="12" t="str">
        <x:v>CORP-0264</x:v>
      </x:c>
      <x:c r="D943" s="12" t="str">
        <x:v>Indore</x:v>
      </x:c>
      <x:c r="E943" s="12" t="str">
        <x:v>Apollo Premier</x:v>
      </x:c>
      <x:c r="F943" s="12" t="str">
        <x:v>55 inch LED TV</x:v>
      </x:c>
      <x:c r="G943" s="20" t="n">
        <x:v>2</x:v>
      </x:c>
      <x:c r="H943" s="12" t="str">
        <x:v>Inventory-listed building/workspace context; current occupancy and screen access unverified</x:v>
      </x:c>
      <x:c r="I943" s="12" t="str">
        <x:v>Mixed business audience</x:v>
      </x:c>
      <x:c r="J943" s="12" t="str">
        <x:v>Unresolved</x:v>
      </x:c>
      <x:c r="K943" s="2" t="str">
        <x:v>MAIN-268</x:v>
      </x:c>
    </x:row>
    <x:row r="944" ht="46" customHeight="1">
      <x:c r="A944" s="2" t="str">
        <x:v>TEN-526F74215D36</x:v>
      </x:c>
      <x:c r="B944" s="12" t="str">
        <x:v>Shripadm Global Business</x:v>
      </x:c>
      <x:c r="C944" s="12" t="str">
        <x:v>CORP-0264</x:v>
      </x:c>
      <x:c r="D944" s="12" t="str">
        <x:v>Indore</x:v>
      </x:c>
      <x:c r="E944" s="12" t="str">
        <x:v>Apollo Premier</x:v>
      </x:c>
      <x:c r="F944" s="12" t="str">
        <x:v>55 inch LED TV</x:v>
      </x:c>
      <x:c r="G944" s="20" t="n">
        <x:v>2</x:v>
      </x:c>
      <x:c r="H944" s="12" t="str">
        <x:v>Inventory-listed building/workspace context; current occupancy and screen access unverified</x:v>
      </x:c>
      <x:c r="I944" s="12" t="str">
        <x:v>Mixed business audience</x:v>
      </x:c>
      <x:c r="J944" s="12" t="str">
        <x:v>Unresolved</x:v>
      </x:c>
      <x:c r="K944" s="2" t="str">
        <x:v>MAIN-268</x:v>
      </x:c>
    </x:row>
    <x:row r="945" ht="46" customHeight="1">
      <x:c r="A945" s="2" t="str">
        <x:v>TEN-56B8BA98F7F4</x:v>
      </x:c>
      <x:c r="B945" s="12" t="str">
        <x:v>RedMonk</x:v>
      </x:c>
      <x:c r="C945" s="12" t="str">
        <x:v>CORP-0264</x:v>
      </x:c>
      <x:c r="D945" s="12" t="str">
        <x:v>Indore</x:v>
      </x:c>
      <x:c r="E945" s="12" t="str">
        <x:v>Apollo Premier</x:v>
      </x:c>
      <x:c r="F945" s="12" t="str">
        <x:v>55 inch LED TV</x:v>
      </x:c>
      <x:c r="G945" s="20" t="n">
        <x:v>2</x:v>
      </x:c>
      <x:c r="H945" s="12" t="str">
        <x:v>Inventory-listed building/workspace context; current occupancy and screen access unverified</x:v>
      </x:c>
      <x:c r="I945" s="12" t="str">
        <x:v>Mixed business audience</x:v>
      </x:c>
      <x:c r="J945" s="12" t="str">
        <x:v>Unresolved</x:v>
      </x:c>
      <x:c r="K945" s="2" t="str">
        <x:v>MAIN-268</x:v>
      </x:c>
    </x:row>
    <x:row r="946" ht="46" customHeight="1">
      <x:c r="A946" s="2" t="str">
        <x:v>TEN-5E23D7683439</x:v>
      </x:c>
      <x:c r="B946" s="12" t="str">
        <x:v>Saify Construction Co</x:v>
      </x:c>
      <x:c r="C946" s="12" t="str">
        <x:v>CORP-0264</x:v>
      </x:c>
      <x:c r="D946" s="12" t="str">
        <x:v>Indore</x:v>
      </x:c>
      <x:c r="E946" s="12" t="str">
        <x:v>Apollo Premier</x:v>
      </x:c>
      <x:c r="F946" s="12" t="str">
        <x:v>55 inch LED TV</x:v>
      </x:c>
      <x:c r="G946" s="20" t="n">
        <x:v>2</x:v>
      </x:c>
      <x:c r="H946" s="12" t="str">
        <x:v>Inventory-listed building/workspace context; current occupancy and screen access unverified</x:v>
      </x:c>
      <x:c r="I946" s="12" t="str">
        <x:v>Medium-scale prospects</x:v>
      </x:c>
      <x:c r="J946" s="12" t="str">
        <x:v>Engineering &amp; manufacturing</x:v>
      </x:c>
      <x:c r="K946" s="2" t="str">
        <x:v>MAIN-268</x:v>
      </x:c>
    </x:row>
    <x:row r="947" ht="46" customHeight="1">
      <x:c r="A947" s="2" t="str">
        <x:v>TEN-6020795B1CE6</x:v>
      </x:c>
      <x:c r="B947" s="12" t="str">
        <x:v>Progressive Packaging</x:v>
      </x:c>
      <x:c r="C947" s="12" t="str">
        <x:v>CORP-0264</x:v>
      </x:c>
      <x:c r="D947" s="12" t="str">
        <x:v>Indore</x:v>
      </x:c>
      <x:c r="E947" s="12" t="str">
        <x:v>Apollo Premier</x:v>
      </x:c>
      <x:c r="F947" s="12" t="str">
        <x:v>55 inch LED TV</x:v>
      </x:c>
      <x:c r="G947" s="20" t="n">
        <x:v>2</x:v>
      </x:c>
      <x:c r="H947" s="12" t="str">
        <x:v>Inventory-listed building/workspace context; current occupancy and screen access unverified</x:v>
      </x:c>
      <x:c r="I947" s="12" t="str">
        <x:v>Mixed business audience</x:v>
      </x:c>
      <x:c r="J947" s="12" t="str">
        <x:v>Unresolved</x:v>
      </x:c>
      <x:c r="K947" s="2" t="str">
        <x:v>MAIN-268</x:v>
      </x:c>
    </x:row>
    <x:row r="948" ht="46" customHeight="1">
      <x:c r="A948" s="2" t="str">
        <x:v>TEN-623B80FBF08D</x:v>
      </x:c>
      <x:c r="B948" s="12" t="str">
        <x:v>NBN Minerals Pvt. Ltd</x:v>
      </x:c>
      <x:c r="C948" s="12" t="str">
        <x:v>CORP-0264</x:v>
      </x:c>
      <x:c r="D948" s="12" t="str">
        <x:v>Indore</x:v>
      </x:c>
      <x:c r="E948" s="12" t="str">
        <x:v>Apollo Premier</x:v>
      </x:c>
      <x:c r="F948" s="12" t="str">
        <x:v>55 inch LED TV</x:v>
      </x:c>
      <x:c r="G948" s="20" t="n">
        <x:v>2</x:v>
      </x:c>
      <x:c r="H948" s="12" t="str">
        <x:v>Inventory-listed building/workspace context; current occupancy and screen access unverified</x:v>
      </x:c>
      <x:c r="I948" s="12" t="str">
        <x:v>Medium-scale prospects</x:v>
      </x:c>
      <x:c r="J948" s="12" t="str">
        <x:v>Engineering &amp; manufacturing</x:v>
      </x:c>
      <x:c r="K948" s="2" t="str">
        <x:v>MAIN-268</x:v>
      </x:c>
    </x:row>
    <x:row r="949" ht="46" customHeight="1">
      <x:c r="A949" s="2" t="str">
        <x:v>TEN-63BE8044D771</x:v>
      </x:c>
      <x:c r="B949" s="12" t="str">
        <x:v>Assure</x:v>
      </x:c>
      <x:c r="C949" s="12" t="str">
        <x:v>CORP-0264</x:v>
      </x:c>
      <x:c r="D949" s="12" t="str">
        <x:v>Indore</x:v>
      </x:c>
      <x:c r="E949" s="12" t="str">
        <x:v>Apollo Premier</x:v>
      </x:c>
      <x:c r="F949" s="12" t="str">
        <x:v>55 inch LED TV</x:v>
      </x:c>
      <x:c r="G949" s="20" t="n">
        <x:v>2</x:v>
      </x:c>
      <x:c r="H949" s="12" t="str">
        <x:v>Inventory-listed building/workspace context; current occupancy and screen access unverified</x:v>
      </x:c>
      <x:c r="I949" s="12" t="str">
        <x:v>Mixed business audience</x:v>
      </x:c>
      <x:c r="J949" s="12" t="str">
        <x:v>Unresolved</x:v>
      </x:c>
      <x:c r="K949" s="2" t="str">
        <x:v>MAIN-268</x:v>
      </x:c>
    </x:row>
    <x:row r="950" ht="46" customHeight="1">
      <x:c r="A950" s="2" t="str">
        <x:v>TEN-6AD0A30CACD0</x:v>
      </x:c>
      <x:c r="B950" s="12" t="str">
        <x:v>MicroMitti</x:v>
      </x:c>
      <x:c r="C950" s="12" t="str">
        <x:v>CORP-0264</x:v>
      </x:c>
      <x:c r="D950" s="12" t="str">
        <x:v>Indore</x:v>
      </x:c>
      <x:c r="E950" s="12" t="str">
        <x:v>Apollo Premier</x:v>
      </x:c>
      <x:c r="F950" s="12" t="str">
        <x:v>55 inch LED TV</x:v>
      </x:c>
      <x:c r="G950" s="20" t="n">
        <x:v>2</x:v>
      </x:c>
      <x:c r="H950" s="12" t="str">
        <x:v>Inventory-listed building/workspace context; current occupancy and screen access unverified</x:v>
      </x:c>
      <x:c r="I950" s="12" t="str">
        <x:v>Small-scale prospects</x:v>
      </x:c>
      <x:c r="J950" s="12" t="str">
        <x:v>Trade, consumer &amp; logistics</x:v>
      </x:c>
      <x:c r="K950" s="2" t="str">
        <x:v>MAIN-268</x:v>
      </x:c>
    </x:row>
    <x:row r="951" ht="46" customHeight="1">
      <x:c r="A951" s="2" t="str">
        <x:v>TEN-70B6144FAE4D</x:v>
      </x:c>
      <x:c r="B951" s="12" t="str">
        <x:v>Revolution</x:v>
      </x:c>
      <x:c r="C951" s="12" t="str">
        <x:v>CORP-0264</x:v>
      </x:c>
      <x:c r="D951" s="12" t="str">
        <x:v>Indore</x:v>
      </x:c>
      <x:c r="E951" s="12" t="str">
        <x:v>Apollo Premier</x:v>
      </x:c>
      <x:c r="F951" s="12" t="str">
        <x:v>55 inch LED TV</x:v>
      </x:c>
      <x:c r="G951" s="20" t="n">
        <x:v>2</x:v>
      </x:c>
      <x:c r="H951" s="12" t="str">
        <x:v>Inventory-listed building/workspace context; current occupancy and screen access unverified</x:v>
      </x:c>
      <x:c r="I951" s="12" t="str">
        <x:v>Mixed business audience</x:v>
      </x:c>
      <x:c r="J951" s="12" t="str">
        <x:v>Unresolved</x:v>
      </x:c>
      <x:c r="K951" s="2" t="str">
        <x:v>MAIN-268</x:v>
      </x:c>
    </x:row>
    <x:row r="952" ht="46" customHeight="1">
      <x:c r="A952" s="2" t="str">
        <x:v>TEN-7A3739772D44</x:v>
      </x:c>
      <x:c r="B952" s="12" t="str">
        <x:v>NumeroEINS</x:v>
      </x:c>
      <x:c r="C952" s="12" t="str">
        <x:v>CORP-0264</x:v>
      </x:c>
      <x:c r="D952" s="12" t="str">
        <x:v>Indore</x:v>
      </x:c>
      <x:c r="E952" s="12" t="str">
        <x:v>Apollo Premier</x:v>
      </x:c>
      <x:c r="F952" s="12" t="str">
        <x:v>55 inch LED TV</x:v>
      </x:c>
      <x:c r="G952" s="20" t="n">
        <x:v>2</x:v>
      </x:c>
      <x:c r="H952" s="12" t="str">
        <x:v>Inventory-listed building/workspace context; current occupancy and screen access unverified</x:v>
      </x:c>
      <x:c r="I952" s="12" t="str">
        <x:v>Mixed business audience</x:v>
      </x:c>
      <x:c r="J952" s="12" t="str">
        <x:v>Unresolved</x:v>
      </x:c>
      <x:c r="K952" s="2" t="str">
        <x:v>MAIN-268</x:v>
      </x:c>
    </x:row>
    <x:row r="953" ht="46" customHeight="1">
      <x:c r="A953" s="2" t="str">
        <x:v>TEN-839DEB3142C5</x:v>
      </x:c>
      <x:c r="B953" s="12" t="str">
        <x:v>Apollo Tyres Ltd</x:v>
      </x:c>
      <x:c r="C953" s="12" t="str">
        <x:v>CORP-0264</x:v>
      </x:c>
      <x:c r="D953" s="12" t="str">
        <x:v>Indore</x:v>
      </x:c>
      <x:c r="E953" s="12" t="str">
        <x:v>Apollo Premier</x:v>
      </x:c>
      <x:c r="F953" s="12" t="str">
        <x:v>55 inch LED TV</x:v>
      </x:c>
      <x:c r="G953" s="20" t="n">
        <x:v>2</x:v>
      </x:c>
      <x:c r="H953" s="12" t="str">
        <x:v>Inventory-listed building/workspace context; current occupancy and screen access unverified</x:v>
      </x:c>
      <x:c r="I953" s="12" t="str">
        <x:v>Mixed business audience</x:v>
      </x:c>
      <x:c r="J953" s="12" t="str">
        <x:v>Engineering &amp; manufacturing</x:v>
      </x:c>
      <x:c r="K953" s="2" t="str">
        <x:v>MAIN-268</x:v>
      </x:c>
    </x:row>
    <x:row r="954" ht="46" customHeight="1">
      <x:c r="A954" s="2" t="str">
        <x:v>TEN-87650DA43E90</x:v>
      </x:c>
      <x:c r="B954" s="12" t="str">
        <x:v>SBI Securities</x:v>
      </x:c>
      <x:c r="C954" s="12" t="str">
        <x:v>CORP-0264</x:v>
      </x:c>
      <x:c r="D954" s="12" t="str">
        <x:v>Indore</x:v>
      </x:c>
      <x:c r="E954" s="12" t="str">
        <x:v>Apollo Premier</x:v>
      </x:c>
      <x:c r="F954" s="12" t="str">
        <x:v>55 inch LED TV</x:v>
      </x:c>
      <x:c r="G954" s="20" t="n">
        <x:v>2</x:v>
      </x:c>
      <x:c r="H954" s="12" t="str">
        <x:v>Inventory-listed building/workspace context; current occupancy and screen access unverified</x:v>
      </x:c>
      <x:c r="I954" s="12" t="str">
        <x:v>Large enterprise</x:v>
      </x:c>
      <x:c r="J954" s="12" t="str">
        <x:v>Finance &amp; insurance</x:v>
      </x:c>
      <x:c r="K954" s="2" t="str">
        <x:v>MAIN-268</x:v>
      </x:c>
    </x:row>
    <x:row r="955" ht="46" customHeight="1">
      <x:c r="A955" s="2" t="str">
        <x:v>TEN-950484B1F075</x:v>
      </x:c>
      <x:c r="B955" s="12" t="str">
        <x:v>Whichfloor</x:v>
      </x:c>
      <x:c r="C955" s="12" t="str">
        <x:v>CORP-0264</x:v>
      </x:c>
      <x:c r="D955" s="12" t="str">
        <x:v>Indore</x:v>
      </x:c>
      <x:c r="E955" s="12" t="str">
        <x:v>Apollo Premier</x:v>
      </x:c>
      <x:c r="F955" s="12" t="str">
        <x:v>55 inch LED TV</x:v>
      </x:c>
      <x:c r="G955" s="20" t="n">
        <x:v>2</x:v>
      </x:c>
      <x:c r="H955" s="12" t="str">
        <x:v>Inventory-listed building/workspace context; current occupancy and screen access unverified</x:v>
      </x:c>
      <x:c r="I955" s="12" t="str">
        <x:v>Mixed business audience</x:v>
      </x:c>
      <x:c r="J955" s="12" t="str">
        <x:v>Unresolved</x:v>
      </x:c>
      <x:c r="K955" s="2" t="str">
        <x:v>MAIN-268</x:v>
      </x:c>
    </x:row>
    <x:row r="956" ht="46" customHeight="1">
      <x:c r="A956" s="2" t="str">
        <x:v>TEN-9A22E5ED9042</x:v>
      </x:c>
      <x:c r="B956" s="12" t="str">
        <x:v>Escorts</x:v>
      </x:c>
      <x:c r="C956" s="12" t="str">
        <x:v>CORP-0264</x:v>
      </x:c>
      <x:c r="D956" s="12" t="str">
        <x:v>Indore</x:v>
      </x:c>
      <x:c r="E956" s="12" t="str">
        <x:v>Apollo Premier</x:v>
      </x:c>
      <x:c r="F956" s="12" t="str">
        <x:v>55 inch LED TV</x:v>
      </x:c>
      <x:c r="G956" s="20" t="n">
        <x:v>2</x:v>
      </x:c>
      <x:c r="H956" s="12" t="str">
        <x:v>Inventory-listed building/workspace context; current occupancy and screen access unverified</x:v>
      </x:c>
      <x:c r="I956" s="12" t="str">
        <x:v>Mixed business audience</x:v>
      </x:c>
      <x:c r="J956" s="12" t="str">
        <x:v>Engineering &amp; manufacturing</x:v>
      </x:c>
      <x:c r="K956" s="2" t="str">
        <x:v>MAIN-268</x:v>
      </x:c>
    </x:row>
    <x:row r="957" ht="46" customHeight="1">
      <x:c r="A957" s="2" t="str">
        <x:v>TEN-A0E57F90BD10</x:v>
      </x:c>
      <x:c r="B957" s="12" t="str">
        <x:v>Chroniclo Cloud</x:v>
      </x:c>
      <x:c r="C957" s="12" t="str">
        <x:v>CORP-0264</x:v>
      </x:c>
      <x:c r="D957" s="12" t="str">
        <x:v>Indore</x:v>
      </x:c>
      <x:c r="E957" s="12" t="str">
        <x:v>Apollo Premier</x:v>
      </x:c>
      <x:c r="F957" s="12" t="str">
        <x:v>55 inch LED TV</x:v>
      </x:c>
      <x:c r="G957" s="20" t="n">
        <x:v>2</x:v>
      </x:c>
      <x:c r="H957" s="12" t="str">
        <x:v>Inventory-listed building/workspace context; current occupancy and screen access unverified</x:v>
      </x:c>
      <x:c r="I957" s="12" t="str">
        <x:v>Small-scale prospects</x:v>
      </x:c>
      <x:c r="J957" s="12" t="str">
        <x:v>IT &amp; digital</x:v>
      </x:c>
      <x:c r="K957" s="2" t="str">
        <x:v>MAIN-268</x:v>
      </x:c>
    </x:row>
    <x:row r="958" ht="46" customHeight="1">
      <x:c r="A958" s="2" t="str">
        <x:v>TEN-A7E1C1C99457</x:v>
      </x:c>
      <x:c r="B958" s="12" t="str">
        <x:v>BR Bang</x:v>
      </x:c>
      <x:c r="C958" s="12" t="str">
        <x:v>CORP-0264</x:v>
      </x:c>
      <x:c r="D958" s="12" t="str">
        <x:v>Indore</x:v>
      </x:c>
      <x:c r="E958" s="12" t="str">
        <x:v>Apollo Premier</x:v>
      </x:c>
      <x:c r="F958" s="12" t="str">
        <x:v>55 inch LED TV</x:v>
      </x:c>
      <x:c r="G958" s="20" t="n">
        <x:v>2</x:v>
      </x:c>
      <x:c r="H958" s="12" t="str">
        <x:v>Inventory-listed building/workspace context; current occupancy and screen access unverified</x:v>
      </x:c>
      <x:c r="I958" s="12" t="str">
        <x:v>Mixed business audience</x:v>
      </x:c>
      <x:c r="J958" s="12" t="str">
        <x:v>Unresolved</x:v>
      </x:c>
      <x:c r="K958" s="2" t="str">
        <x:v>MAIN-268</x:v>
      </x:c>
    </x:row>
    <x:row r="959" ht="46" customHeight="1">
      <x:c r="A959" s="2" t="str">
        <x:v>TEN-ACD29E20304D</x:v>
      </x:c>
      <x:c r="B959" s="12" t="str">
        <x:v>DLX Reality</x:v>
      </x:c>
      <x:c r="C959" s="12" t="str">
        <x:v>CORP-0264</x:v>
      </x:c>
      <x:c r="D959" s="12" t="str">
        <x:v>Indore</x:v>
      </x:c>
      <x:c r="E959" s="12" t="str">
        <x:v>Apollo Premier</x:v>
      </x:c>
      <x:c r="F959" s="12" t="str">
        <x:v>55 inch LED TV</x:v>
      </x:c>
      <x:c r="G959" s="20" t="n">
        <x:v>2</x:v>
      </x:c>
      <x:c r="H959" s="12" t="str">
        <x:v>Inventory-listed building/workspace context; current occupancy and screen access unverified</x:v>
      </x:c>
      <x:c r="I959" s="12" t="str">
        <x:v>Small-scale prospects</x:v>
      </x:c>
      <x:c r="J959" s="12" t="str">
        <x:v>Trade, consumer &amp; logistics</x:v>
      </x:c>
      <x:c r="K959" s="2" t="str">
        <x:v>MAIN-268</x:v>
      </x:c>
    </x:row>
    <x:row r="960" ht="46" customHeight="1">
      <x:c r="A960" s="2" t="str">
        <x:v>TEN-B07B67C76413</x:v>
      </x:c>
      <x:c r="B960" s="12" t="str">
        <x:v>Sharekhan</x:v>
      </x:c>
      <x:c r="C960" s="12" t="str">
        <x:v>CORP-0264</x:v>
      </x:c>
      <x:c r="D960" s="12" t="str">
        <x:v>Indore</x:v>
      </x:c>
      <x:c r="E960" s="12" t="str">
        <x:v>Apollo Premier</x:v>
      </x:c>
      <x:c r="F960" s="12" t="str">
        <x:v>55 inch LED TV</x:v>
      </x:c>
      <x:c r="G960" s="20" t="n">
        <x:v>2</x:v>
      </x:c>
      <x:c r="H960" s="12" t="str">
        <x:v>Inventory-listed building/workspace context; current occupancy and screen access unverified</x:v>
      </x:c>
      <x:c r="I960" s="12" t="str">
        <x:v>Mixed business audience</x:v>
      </x:c>
      <x:c r="J960" s="12" t="str">
        <x:v>Finance &amp; insurance</x:v>
      </x:c>
      <x:c r="K960" s="2" t="str">
        <x:v>MAIN-268</x:v>
      </x:c>
    </x:row>
    <x:row r="961" ht="46" customHeight="1">
      <x:c r="A961" s="2" t="str">
        <x:v>TEN-B2E697A06F9A</x:v>
      </x:c>
      <x:c r="B961" s="12" t="str">
        <x:v>Tata Croma</x:v>
      </x:c>
      <x:c r="C961" s="12" t="str">
        <x:v>CORP-0264</x:v>
      </x:c>
      <x:c r="D961" s="12" t="str">
        <x:v>Indore</x:v>
      </x:c>
      <x:c r="E961" s="12" t="str">
        <x:v>Apollo Premier</x:v>
      </x:c>
      <x:c r="F961" s="12" t="str">
        <x:v>55 inch LED TV</x:v>
      </x:c>
      <x:c r="G961" s="20" t="n">
        <x:v>2</x:v>
      </x:c>
      <x:c r="H961" s="12" t="str">
        <x:v>Inventory-listed building/workspace context; current occupancy and screen access unverified</x:v>
      </x:c>
      <x:c r="I961" s="12" t="str">
        <x:v>Large enterprise</x:v>
      </x:c>
      <x:c r="J961" s="12" t="str">
        <x:v>Trade, consumer &amp; logistics</x:v>
      </x:c>
      <x:c r="K961" s="2" t="str">
        <x:v>MAIN-268</x:v>
      </x:c>
    </x:row>
    <x:row r="962" ht="46" customHeight="1">
      <x:c r="A962" s="2" t="str">
        <x:v>TEN-B8C120ECAB54</x:v>
      </x:c>
      <x:c r="B962" s="12" t="str">
        <x:v>OCA</x:v>
      </x:c>
      <x:c r="C962" s="12" t="str">
        <x:v>CORP-0264</x:v>
      </x:c>
      <x:c r="D962" s="12" t="str">
        <x:v>Indore</x:v>
      </x:c>
      <x:c r="E962" s="12" t="str">
        <x:v>Apollo Premier</x:v>
      </x:c>
      <x:c r="F962" s="12" t="str">
        <x:v>55 inch LED TV</x:v>
      </x:c>
      <x:c r="G962" s="20" t="n">
        <x:v>2</x:v>
      </x:c>
      <x:c r="H962" s="12" t="str">
        <x:v>Inventory-listed building/workspace context; current occupancy and screen access unverified</x:v>
      </x:c>
      <x:c r="I962" s="12" t="str">
        <x:v>Mixed business audience</x:v>
      </x:c>
      <x:c r="J962" s="12" t="str">
        <x:v>Unresolved</x:v>
      </x:c>
      <x:c r="K962" s="2" t="str">
        <x:v>MAIN-268</x:v>
      </x:c>
    </x:row>
    <x:row r="963" ht="46" customHeight="1">
      <x:c r="A963" s="2" t="str">
        <x:v>TEN-B951544E9D99</x:v>
      </x:c>
      <x:c r="B963" s="12" t="str">
        <x:v>Techquaint</x:v>
      </x:c>
      <x:c r="C963" s="12" t="str">
        <x:v>CORP-0264</x:v>
      </x:c>
      <x:c r="D963" s="12" t="str">
        <x:v>Indore</x:v>
      </x:c>
      <x:c r="E963" s="12" t="str">
        <x:v>Apollo Premier</x:v>
      </x:c>
      <x:c r="F963" s="12" t="str">
        <x:v>55 inch LED TV</x:v>
      </x:c>
      <x:c r="G963" s="20" t="n">
        <x:v>2</x:v>
      </x:c>
      <x:c r="H963" s="12" t="str">
        <x:v>Inventory-listed building/workspace context; current occupancy and screen access unverified</x:v>
      </x:c>
      <x:c r="I963" s="12" t="str">
        <x:v>Mixed business audience</x:v>
      </x:c>
      <x:c r="J963" s="12" t="str">
        <x:v>Unresolved</x:v>
      </x:c>
      <x:c r="K963" s="2" t="str">
        <x:v>MAIN-268</x:v>
      </x:c>
    </x:row>
    <x:row r="964" ht="46" customHeight="1">
      <x:c r="A964" s="2" t="str">
        <x:v>TEN-B9974CC73E15</x:v>
      </x:c>
      <x:c r="B964" s="12" t="str">
        <x:v>FabIndia</x:v>
      </x:c>
      <x:c r="C964" s="12" t="str">
        <x:v>CORP-0264</x:v>
      </x:c>
      <x:c r="D964" s="12" t="str">
        <x:v>Indore</x:v>
      </x:c>
      <x:c r="E964" s="12" t="str">
        <x:v>Apollo Premier</x:v>
      </x:c>
      <x:c r="F964" s="12" t="str">
        <x:v>55 inch LED TV</x:v>
      </x:c>
      <x:c r="G964" s="20" t="n">
        <x:v>2</x:v>
      </x:c>
      <x:c r="H964" s="12" t="str">
        <x:v>Inventory-listed building/workspace context; current occupancy and screen access unverified</x:v>
      </x:c>
      <x:c r="I964" s="12" t="str">
        <x:v>Mixed business audience</x:v>
      </x:c>
      <x:c r="J964" s="12" t="str">
        <x:v>Trade, consumer &amp; logistics</x:v>
      </x:c>
      <x:c r="K964" s="2" t="str">
        <x:v>MAIN-268</x:v>
      </x:c>
    </x:row>
    <x:row r="965" ht="46" customHeight="1">
      <x:c r="A965" s="2" t="str">
        <x:v>TEN-BEA5248C6C80</x:v>
      </x:c>
      <x:c r="B965" s="12" t="str">
        <x:v>MP Metro</x:v>
      </x:c>
      <x:c r="C965" s="12" t="str">
        <x:v>CORP-0264</x:v>
      </x:c>
      <x:c r="D965" s="12" t="str">
        <x:v>Indore</x:v>
      </x:c>
      <x:c r="E965" s="12" t="str">
        <x:v>Apollo Premier</x:v>
      </x:c>
      <x:c r="F965" s="12" t="str">
        <x:v>55 inch LED TV</x:v>
      </x:c>
      <x:c r="G965" s="20" t="n">
        <x:v>2</x:v>
      </x:c>
      <x:c r="H965" s="12" t="str">
        <x:v>Inventory-listed building/workspace context; current occupancy and screen access unverified</x:v>
      </x:c>
      <x:c r="I965" s="12" t="str">
        <x:v>Mixed business audience</x:v>
      </x:c>
      <x:c r="J965" s="12" t="str">
        <x:v>Trade, consumer &amp; logistics</x:v>
      </x:c>
      <x:c r="K965" s="2" t="str">
        <x:v>MAIN-268</x:v>
      </x:c>
    </x:row>
    <x:row r="966" ht="46" customHeight="1">
      <x:c r="A966" s="2" t="str">
        <x:v>TEN-C66D09431C09</x:v>
      </x:c>
      <x:c r="B966" s="12" t="str">
        <x:v>Accume</x:v>
      </x:c>
      <x:c r="C966" s="12" t="str">
        <x:v>CORP-0264</x:v>
      </x:c>
      <x:c r="D966" s="12" t="str">
        <x:v>Indore</x:v>
      </x:c>
      <x:c r="E966" s="12" t="str">
        <x:v>Apollo Premier</x:v>
      </x:c>
      <x:c r="F966" s="12" t="str">
        <x:v>55 inch LED TV</x:v>
      </x:c>
      <x:c r="G966" s="20" t="n">
        <x:v>2</x:v>
      </x:c>
      <x:c r="H966" s="12" t="str">
        <x:v>Inventory-listed building/workspace context; current occupancy and screen access unverified</x:v>
      </x:c>
      <x:c r="I966" s="12" t="str">
        <x:v>Mixed business audience</x:v>
      </x:c>
      <x:c r="J966" s="12" t="str">
        <x:v>Unresolved</x:v>
      </x:c>
      <x:c r="K966" s="2" t="str">
        <x:v>MAIN-268</x:v>
      </x:c>
    </x:row>
    <x:row r="967" ht="46" customHeight="1">
      <x:c r="A967" s="2" t="str">
        <x:v>TEN-C73172A3BDEB</x:v>
      </x:c>
      <x:c r="B967" s="12" t="str">
        <x:v>Canara X HSBC Insurance</x:v>
      </x:c>
      <x:c r="C967" s="12" t="str">
        <x:v>CORP-0264</x:v>
      </x:c>
      <x:c r="D967" s="12" t="str">
        <x:v>Indore</x:v>
      </x:c>
      <x:c r="E967" s="12" t="str">
        <x:v>Apollo Premier</x:v>
      </x:c>
      <x:c r="F967" s="12" t="str">
        <x:v>55 inch LED TV</x:v>
      </x:c>
      <x:c r="G967" s="20" t="n">
        <x:v>2</x:v>
      </x:c>
      <x:c r="H967" s="12" t="str">
        <x:v>Inventory-listed building/workspace context; current occupancy and screen access unverified</x:v>
      </x:c>
      <x:c r="I967" s="12" t="str">
        <x:v>Mixed business audience</x:v>
      </x:c>
      <x:c r="J967" s="12" t="str">
        <x:v>Finance &amp; insurance</x:v>
      </x:c>
      <x:c r="K967" s="2" t="str">
        <x:v>MAIN-268</x:v>
      </x:c>
    </x:row>
    <x:row r="968" ht="46" customHeight="1">
      <x:c r="A968" s="2" t="str">
        <x:v>TEN-CB09D6D1B767</x:v>
      </x:c>
      <x:c r="B968" s="12" t="str">
        <x:v>Presume Overseas Education</x:v>
      </x:c>
      <x:c r="C968" s="12" t="str">
        <x:v>CORP-0264</x:v>
      </x:c>
      <x:c r="D968" s="12" t="str">
        <x:v>Indore</x:v>
      </x:c>
      <x:c r="E968" s="12" t="str">
        <x:v>Apollo Premier</x:v>
      </x:c>
      <x:c r="F968" s="12" t="str">
        <x:v>55 inch LED TV</x:v>
      </x:c>
      <x:c r="G968" s="20" t="n">
        <x:v>2</x:v>
      </x:c>
      <x:c r="H968" s="12" t="str">
        <x:v>Inventory-listed building/workspace context; current occupancy and screen access unverified</x:v>
      </x:c>
      <x:c r="I968" s="12" t="str">
        <x:v>Small-scale prospects</x:v>
      </x:c>
      <x:c r="J968" s="12" t="str">
        <x:v>Education</x:v>
      </x:c>
      <x:c r="K968" s="2" t="str">
        <x:v>MAIN-268</x:v>
      </x:c>
    </x:row>
    <x:row r="969" ht="46" customHeight="1">
      <x:c r="A969" s="2" t="str">
        <x:v>TEN-E6542CB80A35</x:v>
      </x:c>
      <x:c r="B969" s="12" t="str">
        <x:v>Srijan Solutions</x:v>
      </x:c>
      <x:c r="C969" s="12" t="str">
        <x:v>CORP-0264</x:v>
      </x:c>
      <x:c r="D969" s="12" t="str">
        <x:v>Indore</x:v>
      </x:c>
      <x:c r="E969" s="12" t="str">
        <x:v>Apollo Premier</x:v>
      </x:c>
      <x:c r="F969" s="12" t="str">
        <x:v>55 inch LED TV</x:v>
      </x:c>
      <x:c r="G969" s="20" t="n">
        <x:v>2</x:v>
      </x:c>
      <x:c r="H969" s="12" t="str">
        <x:v>Inventory-listed building/workspace context; current occupancy and screen access unverified</x:v>
      </x:c>
      <x:c r="I969" s="12" t="str">
        <x:v>Mixed business audience</x:v>
      </x:c>
      <x:c r="J969" s="12" t="str">
        <x:v>Unresolved</x:v>
      </x:c>
      <x:c r="K969" s="2" t="str">
        <x:v>MAIN-268</x:v>
      </x:c>
    </x:row>
    <x:row r="970" ht="46" customHeight="1">
      <x:c r="A970" s="2" t="str">
        <x:v>TEN-E73B48F750BE</x:v>
      </x:c>
      <x:c r="B970" s="12" t="str">
        <x:v>Eagle</x:v>
      </x:c>
      <x:c r="C970" s="12" t="str">
        <x:v>CORP-0264</x:v>
      </x:c>
      <x:c r="D970" s="12" t="str">
        <x:v>Indore</x:v>
      </x:c>
      <x:c r="E970" s="12" t="str">
        <x:v>Apollo Premier</x:v>
      </x:c>
      <x:c r="F970" s="12" t="str">
        <x:v>55 inch LED TV</x:v>
      </x:c>
      <x:c r="G970" s="20" t="n">
        <x:v>2</x:v>
      </x:c>
      <x:c r="H970" s="12" t="str">
        <x:v>Inventory-listed building/workspace context; current occupancy and screen access unverified</x:v>
      </x:c>
      <x:c r="I970" s="12" t="str">
        <x:v>Mixed business audience</x:v>
      </x:c>
      <x:c r="J970" s="12" t="str">
        <x:v>Unresolved</x:v>
      </x:c>
      <x:c r="K970" s="2" t="str">
        <x:v>MAIN-268</x:v>
      </x:c>
    </x:row>
    <x:row r="971" ht="46" customHeight="1">
      <x:c r="A971" s="2" t="str">
        <x:v>TEN-EB4F5CB9E5EC</x:v>
      </x:c>
      <x:c r="B971" s="12" t="str">
        <x:v>AI Trillion</x:v>
      </x:c>
      <x:c r="C971" s="12" t="str">
        <x:v>CORP-0264</x:v>
      </x:c>
      <x:c r="D971" s="12" t="str">
        <x:v>Indore</x:v>
      </x:c>
      <x:c r="E971" s="12" t="str">
        <x:v>Apollo Premier</x:v>
      </x:c>
      <x:c r="F971" s="12" t="str">
        <x:v>55 inch LED TV</x:v>
      </x:c>
      <x:c r="G971" s="20" t="n">
        <x:v>2</x:v>
      </x:c>
      <x:c r="H971" s="12" t="str">
        <x:v>Inventory-listed building/workspace context; current occupancy and screen access unverified</x:v>
      </x:c>
      <x:c r="I971" s="12" t="str">
        <x:v>Small-scale prospects</x:v>
      </x:c>
      <x:c r="J971" s="12" t="str">
        <x:v>IT &amp; digital</x:v>
      </x:c>
      <x:c r="K971" s="2" t="str">
        <x:v>MAIN-268</x:v>
      </x:c>
    </x:row>
    <x:row r="972" ht="46" customHeight="1">
      <x:c r="A972" s="2" t="str">
        <x:v>TEN-EF6C0A3D2A0E</x:v>
      </x:c>
      <x:c r="B972" s="12" t="str">
        <x:v>Ilead</x:v>
      </x:c>
      <x:c r="C972" s="12" t="str">
        <x:v>CORP-0264</x:v>
      </x:c>
      <x:c r="D972" s="12" t="str">
        <x:v>Indore</x:v>
      </x:c>
      <x:c r="E972" s="12" t="str">
        <x:v>Apollo Premier</x:v>
      </x:c>
      <x:c r="F972" s="12" t="str">
        <x:v>55 inch LED TV</x:v>
      </x:c>
      <x:c r="G972" s="20" t="n">
        <x:v>2</x:v>
      </x:c>
      <x:c r="H972" s="12" t="str">
        <x:v>Inventory-listed building/workspace context; current occupancy and screen access unverified</x:v>
      </x:c>
      <x:c r="I972" s="12" t="str">
        <x:v>Mixed business audience</x:v>
      </x:c>
      <x:c r="J972" s="12" t="str">
        <x:v>Unresolved</x:v>
      </x:c>
      <x:c r="K972" s="2" t="str">
        <x:v>MAIN-268</x:v>
      </x:c>
    </x:row>
    <x:row r="973" ht="46" customHeight="1">
      <x:c r="A973" s="2" t="str">
        <x:v>TEN-F1446726068A</x:v>
      </x:c>
      <x:c r="B973" s="12" t="str">
        <x:v>Happy Weddings</x:v>
      </x:c>
      <x:c r="C973" s="12" t="str">
        <x:v>CORP-0264</x:v>
      </x:c>
      <x:c r="D973" s="12" t="str">
        <x:v>Indore</x:v>
      </x:c>
      <x:c r="E973" s="12" t="str">
        <x:v>Apollo Premier</x:v>
      </x:c>
      <x:c r="F973" s="12" t="str">
        <x:v>55 inch LED TV</x:v>
      </x:c>
      <x:c r="G973" s="20" t="n">
        <x:v>2</x:v>
      </x:c>
      <x:c r="H973" s="12" t="str">
        <x:v>Inventory-listed building/workspace context; current occupancy and screen access unverified</x:v>
      </x:c>
      <x:c r="I973" s="12" t="str">
        <x:v>Small-scale prospects</x:v>
      </x:c>
      <x:c r="J973" s="12" t="str">
        <x:v>Trade, consumer &amp; logistics</x:v>
      </x:c>
      <x:c r="K973" s="2" t="str">
        <x:v>MAIN-268</x:v>
      </x:c>
    </x:row>
    <x:row r="974" ht="46" customHeight="1">
      <x:c r="A974" s="2" t="str">
        <x:v>TEN-F208248E5969</x:v>
      </x:c>
      <x:c r="B974" s="12" t="str">
        <x:v>Synapse</x:v>
      </x:c>
      <x:c r="C974" s="12" t="str">
        <x:v>CORP-0264</x:v>
      </x:c>
      <x:c r="D974" s="12" t="str">
        <x:v>Indore</x:v>
      </x:c>
      <x:c r="E974" s="12" t="str">
        <x:v>Apollo Premier</x:v>
      </x:c>
      <x:c r="F974" s="12" t="str">
        <x:v>55 inch LED TV</x:v>
      </x:c>
      <x:c r="G974" s="20" t="n">
        <x:v>2</x:v>
      </x:c>
      <x:c r="H974" s="12" t="str">
        <x:v>Inventory-listed building/workspace context; current occupancy and screen access unverified</x:v>
      </x:c>
      <x:c r="I974" s="12" t="str">
        <x:v>Mixed business audience</x:v>
      </x:c>
      <x:c r="J974" s="12" t="str">
        <x:v>Unresolved</x:v>
      </x:c>
      <x:c r="K974" s="2" t="str">
        <x:v>MAIN-268</x:v>
      </x:c>
    </x:row>
    <x:row r="975" ht="46" customHeight="1">
      <x:c r="A975" s="2" t="str">
        <x:v>TEN-F36C3561BBA5</x:v>
      </x:c>
      <x:c r="B975" s="12" t="str">
        <x:v>Farzi Cafe</x:v>
      </x:c>
      <x:c r="C975" s="12" t="str">
        <x:v>CORP-0264</x:v>
      </x:c>
      <x:c r="D975" s="12" t="str">
        <x:v>Indore</x:v>
      </x:c>
      <x:c r="E975" s="12" t="str">
        <x:v>Apollo Premier</x:v>
      </x:c>
      <x:c r="F975" s="12" t="str">
        <x:v>55 inch LED TV</x:v>
      </x:c>
      <x:c r="G975" s="20" t="n">
        <x:v>2</x:v>
      </x:c>
      <x:c r="H975" s="12" t="str">
        <x:v>Inventory-listed building/workspace context; current occupancy and screen access unverified</x:v>
      </x:c>
      <x:c r="I975" s="12" t="str">
        <x:v>Mixed business audience</x:v>
      </x:c>
      <x:c r="J975" s="12" t="str">
        <x:v>Trade, consumer &amp; logistics</x:v>
      </x:c>
      <x:c r="K975" s="2" t="str">
        <x:v>MAIN-268</x:v>
      </x:c>
    </x:row>
    <x:row r="976" ht="46" customHeight="1">
      <x:c r="A976" s="2" t="str">
        <x:v>TEN-F5D36C673CEA</x:v>
      </x:c>
      <x:c r="B976" s="12" t="str">
        <x:v>Fusion</x:v>
      </x:c>
      <x:c r="C976" s="12" t="str">
        <x:v>CORP-0264</x:v>
      </x:c>
      <x:c r="D976" s="12" t="str">
        <x:v>Indore</x:v>
      </x:c>
      <x:c r="E976" s="12" t="str">
        <x:v>Apollo Premier</x:v>
      </x:c>
      <x:c r="F976" s="12" t="str">
        <x:v>55 inch LED TV</x:v>
      </x:c>
      <x:c r="G976" s="20" t="n">
        <x:v>2</x:v>
      </x:c>
      <x:c r="H976" s="12" t="str">
        <x:v>Inventory-listed building/workspace context; current occupancy and screen access unverified</x:v>
      </x:c>
      <x:c r="I976" s="12" t="str">
        <x:v>Mixed business audience</x:v>
      </x:c>
      <x:c r="J976" s="12" t="str">
        <x:v>Unresolved</x:v>
      </x:c>
      <x:c r="K976" s="2" t="str">
        <x:v>MAIN-268</x:v>
      </x:c>
    </x:row>
    <x:row r="977" ht="46" customHeight="1">
      <x:c r="A977" s="2" t="str">
        <x:v>TEN-F79F4922D3B3</x:v>
      </x:c>
      <x:c r="B977" s="12" t="str">
        <x:v>Ecosystem Ventures</x:v>
      </x:c>
      <x:c r="C977" s="12" t="str">
        <x:v>CORP-0264</x:v>
      </x:c>
      <x:c r="D977" s="12" t="str">
        <x:v>Indore</x:v>
      </x:c>
      <x:c r="E977" s="12" t="str">
        <x:v>Apollo Premier</x:v>
      </x:c>
      <x:c r="F977" s="12" t="str">
        <x:v>55 inch LED TV</x:v>
      </x:c>
      <x:c r="G977" s="20" t="n">
        <x:v>2</x:v>
      </x:c>
      <x:c r="H977" s="12" t="str">
        <x:v>Inventory-listed building/workspace context; current occupancy and screen access unverified</x:v>
      </x:c>
      <x:c r="I977" s="12" t="str">
        <x:v>Medium-scale prospects</x:v>
      </x:c>
      <x:c r="J977" s="12" t="str">
        <x:v>Finance &amp; insurance</x:v>
      </x:c>
      <x:c r="K977" s="2" t="str">
        <x:v>MAIN-268</x:v>
      </x:c>
    </x:row>
    <x:row r="978" ht="46" customHeight="1">
      <x:c r="A978" s="2" t="str">
        <x:v>TEN-003A9BE2D25C</x:v>
      </x:c>
      <x:c r="B978" s="12" t="str">
        <x:v>Wurfel</x:v>
      </x:c>
      <x:c r="C978" s="12" t="str">
        <x:v>CORP-0265</x:v>
      </x:c>
      <x:c r="D978" s="12" t="str">
        <x:v>Indore</x:v>
      </x:c>
      <x:c r="E978" s="12" t="str">
        <x:v>Benchmark</x:v>
      </x:c>
      <x:c r="F978" s="12" t="str">
        <x:v>55 inch LED TV</x:v>
      </x:c>
      <x:c r="G978" s="20" t="n">
        <x:v>1</x:v>
      </x:c>
      <x:c r="H978" s="12" t="str">
        <x:v>Inventory-listed building/workspace context; current occupancy and screen access unverified</x:v>
      </x:c>
      <x:c r="I978" s="12" t="str">
        <x:v>Small-scale prospects</x:v>
      </x:c>
      <x:c r="J978" s="12" t="str">
        <x:v>Trade, consumer &amp; logistics</x:v>
      </x:c>
      <x:c r="K978" s="2" t="str">
        <x:v>MAIN-269</x:v>
      </x:c>
    </x:row>
    <x:row r="979" ht="46" customHeight="1">
      <x:c r="A979" s="2" t="str">
        <x:v>TEN-01C854795E61</x:v>
      </x:c>
      <x:c r="B979" s="12" t="str">
        <x:v>Zudio</x:v>
      </x:c>
      <x:c r="C979" s="12" t="str">
        <x:v>CORP-0265</x:v>
      </x:c>
      <x:c r="D979" s="12" t="str">
        <x:v>Indore</x:v>
      </x:c>
      <x:c r="E979" s="12" t="str">
        <x:v>Benchmark</x:v>
      </x:c>
      <x:c r="F979" s="12" t="str">
        <x:v>55 inch LED TV</x:v>
      </x:c>
      <x:c r="G979" s="20" t="n">
        <x:v>1</x:v>
      </x:c>
      <x:c r="H979" s="12" t="str">
        <x:v>Inventory-listed building/workspace context; current occupancy and screen access unverified</x:v>
      </x:c>
      <x:c r="I979" s="12" t="str">
        <x:v>Large enterprise</x:v>
      </x:c>
      <x:c r="J979" s="12" t="str">
        <x:v>Trade, consumer &amp; logistics</x:v>
      </x:c>
      <x:c r="K979" s="2" t="str">
        <x:v>MAIN-269</x:v>
      </x:c>
    </x:row>
    <x:row r="980" ht="46" customHeight="1">
      <x:c r="A980" s="2" t="str">
        <x:v>TEN-081CE58110FF</x:v>
      </x:c>
      <x:c r="B980" s="12" t="str">
        <x:v>SK Finance</x:v>
      </x:c>
      <x:c r="C980" s="12" t="str">
        <x:v>CORP-0265</x:v>
      </x:c>
      <x:c r="D980" s="12" t="str">
        <x:v>Indore</x:v>
      </x:c>
      <x:c r="E980" s="12" t="str">
        <x:v>Benchmark</x:v>
      </x:c>
      <x:c r="F980" s="12" t="str">
        <x:v>55 inch LED TV</x:v>
      </x:c>
      <x:c r="G980" s="20" t="n">
        <x:v>1</x:v>
      </x:c>
      <x:c r="H980" s="12" t="str">
        <x:v>Inventory-listed building/workspace context; current occupancy and screen access unverified</x:v>
      </x:c>
      <x:c r="I980" s="12" t="str">
        <x:v>Medium-scale prospects</x:v>
      </x:c>
      <x:c r="J980" s="12" t="str">
        <x:v>Finance &amp; insurance</x:v>
      </x:c>
      <x:c r="K980" s="2" t="str">
        <x:v>MAIN-269</x:v>
      </x:c>
    </x:row>
    <x:row r="981" ht="46" customHeight="1">
      <x:c r="A981" s="2" t="str">
        <x:v>TEN-3D7313DBDA83</x:v>
      </x:c>
      <x:c r="B981" s="12" t="str">
        <x:v>INDU</x:v>
      </x:c>
      <x:c r="C981" s="12" t="str">
        <x:v>CORP-0265</x:v>
      </x:c>
      <x:c r="D981" s="12" t="str">
        <x:v>Indore</x:v>
      </x:c>
      <x:c r="E981" s="12" t="str">
        <x:v>Benchmark</x:v>
      </x:c>
      <x:c r="F981" s="12" t="str">
        <x:v>55 inch LED TV</x:v>
      </x:c>
      <x:c r="G981" s="20" t="n">
        <x:v>1</x:v>
      </x:c>
      <x:c r="H981" s="12" t="str">
        <x:v>Inventory-listed building/workspace context; current occupancy and screen access unverified</x:v>
      </x:c>
      <x:c r="I981" s="12" t="str">
        <x:v>Mixed business audience</x:v>
      </x:c>
      <x:c r="J981" s="12" t="str">
        <x:v>Unresolved</x:v>
      </x:c>
      <x:c r="K981" s="2" t="str">
        <x:v>MAIN-269</x:v>
      </x:c>
    </x:row>
    <x:row r="982" ht="46" customHeight="1">
      <x:c r="A982" s="2" t="str">
        <x:v>TEN-4142B3BC93EF</x:v>
      </x:c>
      <x:c r="B982" s="12" t="str">
        <x:v>Aditya Birla Group</x:v>
      </x:c>
      <x:c r="C982" s="12" t="str">
        <x:v>CORP-0265</x:v>
      </x:c>
      <x:c r="D982" s="12" t="str">
        <x:v>Indore</x:v>
      </x:c>
      <x:c r="E982" s="12" t="str">
        <x:v>Benchmark</x:v>
      </x:c>
      <x:c r="F982" s="12" t="str">
        <x:v>55 inch LED TV</x:v>
      </x:c>
      <x:c r="G982" s="20" t="n">
        <x:v>1</x:v>
      </x:c>
      <x:c r="H982" s="12" t="str">
        <x:v>Inventory-listed building/workspace context; current occupancy and screen access unverified</x:v>
      </x:c>
      <x:c r="I982" s="12" t="str">
        <x:v>Large enterprise</x:v>
      </x:c>
      <x:c r="J982" s="12" t="str">
        <x:v>Unresolved</x:v>
      </x:c>
      <x:c r="K982" s="2" t="str">
        <x:v>MAIN-269</x:v>
      </x:c>
    </x:row>
    <x:row r="983" ht="46" customHeight="1">
      <x:c r="A983" s="2" t="str">
        <x:v>TEN-65E55002CE6A</x:v>
      </x:c>
      <x:c r="B983" s="12" t="str">
        <x:v>Agrawal Sweets</x:v>
      </x:c>
      <x:c r="C983" s="12" t="str">
        <x:v>CORP-0265</x:v>
      </x:c>
      <x:c r="D983" s="12" t="str">
        <x:v>Indore</x:v>
      </x:c>
      <x:c r="E983" s="12" t="str">
        <x:v>Benchmark</x:v>
      </x:c>
      <x:c r="F983" s="12" t="str">
        <x:v>55 inch LED TV</x:v>
      </x:c>
      <x:c r="G983" s="20" t="n">
        <x:v>1</x:v>
      </x:c>
      <x:c r="H983" s="12" t="str">
        <x:v>Inventory-listed building/workspace context; current occupancy and screen access unverified</x:v>
      </x:c>
      <x:c r="I983" s="12" t="str">
        <x:v>Micro-scale prospects</x:v>
      </x:c>
      <x:c r="J983" s="12" t="str">
        <x:v>Trade, consumer &amp; logistics</x:v>
      </x:c>
      <x:c r="K983" s="2" t="str">
        <x:v>MAIN-269</x:v>
      </x:c>
    </x:row>
    <x:row r="984" ht="46" customHeight="1">
      <x:c r="A984" s="2" t="str">
        <x:v>TEN-6A6775B6325F</x:v>
      </x:c>
      <x:c r="B984" s="12" t="str">
        <x:v>National Insurance</x:v>
      </x:c>
      <x:c r="C984" s="12" t="str">
        <x:v>CORP-0265</x:v>
      </x:c>
      <x:c r="D984" s="12" t="str">
        <x:v>Indore</x:v>
      </x:c>
      <x:c r="E984" s="12" t="str">
        <x:v>Benchmark</x:v>
      </x:c>
      <x:c r="F984" s="12" t="str">
        <x:v>55 inch LED TV</x:v>
      </x:c>
      <x:c r="G984" s="20" t="n">
        <x:v>1</x:v>
      </x:c>
      <x:c r="H984" s="12" t="str">
        <x:v>Inventory-listed building/workspace context; current occupancy and screen access unverified</x:v>
      </x:c>
      <x:c r="I984" s="12" t="str">
        <x:v>Mixed business audience</x:v>
      </x:c>
      <x:c r="J984" s="12" t="str">
        <x:v>Finance &amp; insurance</x:v>
      </x:c>
      <x:c r="K984" s="2" t="str">
        <x:v>MAIN-269</x:v>
      </x:c>
    </x:row>
    <x:row r="985" ht="46" customHeight="1">
      <x:c r="A985" s="2" t="str">
        <x:v>TEN-6E39FF852CB7</x:v>
      </x:c>
      <x:c r="B985" s="12" t="str">
        <x:v>SUD Life</x:v>
      </x:c>
      <x:c r="C985" s="12" t="str">
        <x:v>CORP-0265</x:v>
      </x:c>
      <x:c r="D985" s="12" t="str">
        <x:v>Indore</x:v>
      </x:c>
      <x:c r="E985" s="12" t="str">
        <x:v>Benchmark</x:v>
      </x:c>
      <x:c r="F985" s="12" t="str">
        <x:v>55 inch LED TV</x:v>
      </x:c>
      <x:c r="G985" s="20" t="n">
        <x:v>1</x:v>
      </x:c>
      <x:c r="H985" s="12" t="str">
        <x:v>Inventory-listed building/workspace context; current occupancy and screen access unverified</x:v>
      </x:c>
      <x:c r="I985" s="12" t="str">
        <x:v>Mixed business audience</x:v>
      </x:c>
      <x:c r="J985" s="12" t="str">
        <x:v>Finance &amp; insurance</x:v>
      </x:c>
      <x:c r="K985" s="2" t="str">
        <x:v>MAIN-269</x:v>
      </x:c>
    </x:row>
    <x:row r="986" ht="46" customHeight="1">
      <x:c r="A986" s="2" t="str">
        <x:v>TEN-8C1713589E8E</x:v>
      </x:c>
      <x:c r="B986" s="12" t="str">
        <x:v>Miniso</x:v>
      </x:c>
      <x:c r="C986" s="12" t="str">
        <x:v>CORP-0265</x:v>
      </x:c>
      <x:c r="D986" s="12" t="str">
        <x:v>Indore</x:v>
      </x:c>
      <x:c r="E986" s="12" t="str">
        <x:v>Benchmark</x:v>
      </x:c>
      <x:c r="F986" s="12" t="str">
        <x:v>55 inch LED TV</x:v>
      </x:c>
      <x:c r="G986" s="20" t="n">
        <x:v>1</x:v>
      </x:c>
      <x:c r="H986" s="12" t="str">
        <x:v>Inventory-listed building/workspace context; current occupancy and screen access unverified</x:v>
      </x:c>
      <x:c r="I986" s="12" t="str">
        <x:v>Mixed business audience</x:v>
      </x:c>
      <x:c r="J986" s="12" t="str">
        <x:v>Trade, consumer &amp; logistics</x:v>
      </x:c>
      <x:c r="K986" s="2" t="str">
        <x:v>MAIN-269</x:v>
      </x:c>
    </x:row>
    <x:row r="987" ht="46" customHeight="1">
      <x:c r="A987" s="2" t="str">
        <x:v>TEN-8FCCCD18B630</x:v>
      </x:c>
      <x:c r="B987" s="12" t="str">
        <x:v>Adani</x:v>
      </x:c>
      <x:c r="C987" s="12" t="str">
        <x:v>CORP-0265</x:v>
      </x:c>
      <x:c r="D987" s="12" t="str">
        <x:v>Indore</x:v>
      </x:c>
      <x:c r="E987" s="12" t="str">
        <x:v>Benchmark</x:v>
      </x:c>
      <x:c r="F987" s="12" t="str">
        <x:v>55 inch LED TV</x:v>
      </x:c>
      <x:c r="G987" s="20" t="n">
        <x:v>1</x:v>
      </x:c>
      <x:c r="H987" s="12" t="str">
        <x:v>Inventory-listed building/workspace context; current occupancy and screen access unverified</x:v>
      </x:c>
      <x:c r="I987" s="12" t="str">
        <x:v>Mixed business audience</x:v>
      </x:c>
      <x:c r="J987" s="12" t="str">
        <x:v>Unresolved</x:v>
      </x:c>
      <x:c r="K987" s="2" t="str">
        <x:v>MAIN-269</x:v>
      </x:c>
    </x:row>
    <x:row r="988" ht="46" customHeight="1">
      <x:c r="A988" s="2" t="str">
        <x:v>TEN-940CC6BFC3C4</x:v>
      </x:c>
      <x:c r="B988" s="12" t="str">
        <x:v>Anytime Fitness</x:v>
      </x:c>
      <x:c r="C988" s="12" t="str">
        <x:v>CORP-0265</x:v>
      </x:c>
      <x:c r="D988" s="12" t="str">
        <x:v>Indore</x:v>
      </x:c>
      <x:c r="E988" s="12" t="str">
        <x:v>Benchmark</x:v>
      </x:c>
      <x:c r="F988" s="12" t="str">
        <x:v>55 inch LED TV</x:v>
      </x:c>
      <x:c r="G988" s="20" t="n">
        <x:v>1</x:v>
      </x:c>
      <x:c r="H988" s="12" t="str">
        <x:v>Inventory-listed building/workspace context; current occupancy and screen access unverified</x:v>
      </x:c>
      <x:c r="I988" s="12" t="str">
        <x:v>Mixed business audience</x:v>
      </x:c>
      <x:c r="J988" s="12" t="str">
        <x:v>Healthcare &amp; life sciences</x:v>
      </x:c>
      <x:c r="K988" s="2" t="str">
        <x:v>MAIN-269</x:v>
      </x:c>
    </x:row>
    <x:row r="989" ht="46" customHeight="1">
      <x:c r="A989" s="2" t="str">
        <x:v>TEN-A1D4A79B9988</x:v>
      </x:c>
      <x:c r="B989" s="12" t="str">
        <x:v>Edelweiss Life Insurance</x:v>
      </x:c>
      <x:c r="C989" s="12" t="str">
        <x:v>CORP-0265</x:v>
      </x:c>
      <x:c r="D989" s="12" t="str">
        <x:v>Indore</x:v>
      </x:c>
      <x:c r="E989" s="12" t="str">
        <x:v>Benchmark</x:v>
      </x:c>
      <x:c r="F989" s="12" t="str">
        <x:v>55 inch LED TV</x:v>
      </x:c>
      <x:c r="G989" s="20" t="n">
        <x:v>1</x:v>
      </x:c>
      <x:c r="H989" s="12" t="str">
        <x:v>Inventory-listed building/workspace context; current occupancy and screen access unverified</x:v>
      </x:c>
      <x:c r="I989" s="12" t="str">
        <x:v>Mixed business audience</x:v>
      </x:c>
      <x:c r="J989" s="12" t="str">
        <x:v>Finance &amp; insurance</x:v>
      </x:c>
      <x:c r="K989" s="2" t="str">
        <x:v>MAIN-269</x:v>
      </x:c>
    </x:row>
    <x:row r="990" ht="46" customHeight="1">
      <x:c r="A990" s="2" t="str">
        <x:v>TEN-A9E3F127D53F</x:v>
      </x:c>
      <x:c r="B990" s="12" t="str">
        <x:v>IDFC First Bank</x:v>
      </x:c>
      <x:c r="C990" s="12" t="str">
        <x:v>CORP-0265</x:v>
      </x:c>
      <x:c r="D990" s="12" t="str">
        <x:v>Indore</x:v>
      </x:c>
      <x:c r="E990" s="12" t="str">
        <x:v>Benchmark</x:v>
      </x:c>
      <x:c r="F990" s="12" t="str">
        <x:v>55 inch LED TV</x:v>
      </x:c>
      <x:c r="G990" s="20" t="n">
        <x:v>1</x:v>
      </x:c>
      <x:c r="H990" s="12" t="str">
        <x:v>Inventory-listed building/workspace context; current occupancy and screen access unverified</x:v>
      </x:c>
      <x:c r="I990" s="12" t="str">
        <x:v>Large enterprise</x:v>
      </x:c>
      <x:c r="J990" s="12" t="str">
        <x:v>Finance &amp; insurance</x:v>
      </x:c>
      <x:c r="K990" s="2" t="str">
        <x:v>MAIN-269</x:v>
      </x:c>
    </x:row>
    <x:row r="991" ht="46" customHeight="1">
      <x:c r="A991" s="2" t="str">
        <x:v>TEN-C6A6BD76D408</x:v>
      </x:c>
      <x:c r="B991" s="12" t="str">
        <x:v>Van Heusen</x:v>
      </x:c>
      <x:c r="C991" s="12" t="str">
        <x:v>CORP-0265</x:v>
      </x:c>
      <x:c r="D991" s="12" t="str">
        <x:v>Indore</x:v>
      </x:c>
      <x:c r="E991" s="12" t="str">
        <x:v>Benchmark</x:v>
      </x:c>
      <x:c r="F991" s="12" t="str">
        <x:v>55 inch LED TV</x:v>
      </x:c>
      <x:c r="G991" s="20" t="n">
        <x:v>1</x:v>
      </x:c>
      <x:c r="H991" s="12" t="str">
        <x:v>Inventory-listed building/workspace context; current occupancy and screen access unverified</x:v>
      </x:c>
      <x:c r="I991" s="12" t="str">
        <x:v>Mixed business audience</x:v>
      </x:c>
      <x:c r="J991" s="12" t="str">
        <x:v>Trade, consumer &amp; logistics</x:v>
      </x:c>
      <x:c r="K991" s="2" t="str">
        <x:v>MAIN-269</x:v>
      </x:c>
    </x:row>
    <x:row r="992" ht="46" customHeight="1">
      <x:c r="A992" s="2" t="str">
        <x:v>TEN-D16A96037885</x:v>
      </x:c>
      <x:c r="B992" s="12" t="str">
        <x:v>SMFG India Credit</x:v>
      </x:c>
      <x:c r="C992" s="12" t="str">
        <x:v>CORP-0265</x:v>
      </x:c>
      <x:c r="D992" s="12" t="str">
        <x:v>Indore</x:v>
      </x:c>
      <x:c r="E992" s="12" t="str">
        <x:v>Benchmark</x:v>
      </x:c>
      <x:c r="F992" s="12" t="str">
        <x:v>55 inch LED TV</x:v>
      </x:c>
      <x:c r="G992" s="20" t="n">
        <x:v>1</x:v>
      </x:c>
      <x:c r="H992" s="12" t="str">
        <x:v>Inventory-listed building/workspace context; current occupancy and screen access unverified</x:v>
      </x:c>
      <x:c r="I992" s="12" t="str">
        <x:v>Mixed business audience</x:v>
      </x:c>
      <x:c r="J992" s="12" t="str">
        <x:v>Finance &amp; insurance</x:v>
      </x:c>
      <x:c r="K992" s="2" t="str">
        <x:v>MAIN-269</x:v>
      </x:c>
    </x:row>
    <x:row r="993" ht="46" customHeight="1">
      <x:c r="A993" s="2" t="str">
        <x:v>TEN-E353B4E25D40</x:v>
      </x:c>
      <x:c r="B993" s="12" t="str">
        <x:v>Peter England</x:v>
      </x:c>
      <x:c r="C993" s="12" t="str">
        <x:v>CORP-0265</x:v>
      </x:c>
      <x:c r="D993" s="12" t="str">
        <x:v>Indore</x:v>
      </x:c>
      <x:c r="E993" s="12" t="str">
        <x:v>Benchmark</x:v>
      </x:c>
      <x:c r="F993" s="12" t="str">
        <x:v>55 inch LED TV</x:v>
      </x:c>
      <x:c r="G993" s="20" t="n">
        <x:v>1</x:v>
      </x:c>
      <x:c r="H993" s="12" t="str">
        <x:v>Inventory-listed building/workspace context; current occupancy and screen access unverified</x:v>
      </x:c>
      <x:c r="I993" s="12" t="str">
        <x:v>Mixed business audience</x:v>
      </x:c>
      <x:c r="J993" s="12" t="str">
        <x:v>Trade, consumer &amp; logistics</x:v>
      </x:c>
      <x:c r="K993" s="2" t="str">
        <x:v>MAIN-269</x:v>
      </x:c>
    </x:row>
    <x:row r="994" ht="46" customHeight="1">
      <x:c r="A994" s="2" t="str">
        <x:v>TEN-E4B2E6D6E722</x:v>
      </x:c>
      <x:c r="B994" s="12" t="str">
        <x:v>Kotak Life</x:v>
      </x:c>
      <x:c r="C994" s="12" t="str">
        <x:v>CORP-0265</x:v>
      </x:c>
      <x:c r="D994" s="12" t="str">
        <x:v>Indore</x:v>
      </x:c>
      <x:c r="E994" s="12" t="str">
        <x:v>Benchmark</x:v>
      </x:c>
      <x:c r="F994" s="12" t="str">
        <x:v>55 inch LED TV</x:v>
      </x:c>
      <x:c r="G994" s="20" t="n">
        <x:v>1</x:v>
      </x:c>
      <x:c r="H994" s="12" t="str">
        <x:v>Inventory-listed building/workspace context; current occupancy and screen access unverified</x:v>
      </x:c>
      <x:c r="I994" s="12" t="str">
        <x:v>Large enterprise</x:v>
      </x:c>
      <x:c r="J994" s="12" t="str">
        <x:v>Finance &amp; insurance</x:v>
      </x:c>
      <x:c r="K994" s="2" t="str">
        <x:v>MAIN-269</x:v>
      </x:c>
    </x:row>
    <x:row r="995" ht="46" customHeight="1">
      <x:c r="A995" s="2" t="str">
        <x:v>TEN-EA021C6E19D8</x:v>
      </x:c>
      <x:c r="B995" s="12" t="str">
        <x:v>InCred</x:v>
      </x:c>
      <x:c r="C995" s="12" t="str">
        <x:v>CORP-0265</x:v>
      </x:c>
      <x:c r="D995" s="12" t="str">
        <x:v>Indore</x:v>
      </x:c>
      <x:c r="E995" s="12" t="str">
        <x:v>Benchmark</x:v>
      </x:c>
      <x:c r="F995" s="12" t="str">
        <x:v>55 inch LED TV</x:v>
      </x:c>
      <x:c r="G995" s="20" t="n">
        <x:v>1</x:v>
      </x:c>
      <x:c r="H995" s="12" t="str">
        <x:v>Inventory-listed building/workspace context; current occupancy and screen access unverified</x:v>
      </x:c>
      <x:c r="I995" s="12" t="str">
        <x:v>Mixed business audience</x:v>
      </x:c>
      <x:c r="J995" s="12" t="str">
        <x:v>Finance &amp; insurance</x:v>
      </x:c>
      <x:c r="K995" s="2" t="str">
        <x:v>MAIN-269</x:v>
      </x:c>
    </x:row>
    <x:row r="996" ht="46" customHeight="1">
      <x:c r="A996" s="2" t="str">
        <x:v>TEN-EEE8236F2BE2</x:v>
      </x:c>
      <x:c r="B996" s="12" t="str">
        <x:v>Birla Opus Paints</x:v>
      </x:c>
      <x:c r="C996" s="12" t="str">
        <x:v>CORP-0265</x:v>
      </x:c>
      <x:c r="D996" s="12" t="str">
        <x:v>Indore</x:v>
      </x:c>
      <x:c r="E996" s="12" t="str">
        <x:v>Benchmark</x:v>
      </x:c>
      <x:c r="F996" s="12" t="str">
        <x:v>55 inch LED TV</x:v>
      </x:c>
      <x:c r="G996" s="20" t="n">
        <x:v>1</x:v>
      </x:c>
      <x:c r="H996" s="12" t="str">
        <x:v>Inventory-listed building/workspace context; current occupancy and screen access unverified</x:v>
      </x:c>
      <x:c r="I996" s="12" t="str">
        <x:v>Large enterprise</x:v>
      </x:c>
      <x:c r="J996" s="12" t="str">
        <x:v>Engineering &amp; manufacturing</x:v>
      </x:c>
      <x:c r="K996" s="2" t="str">
        <x:v>MAIN-269</x:v>
      </x:c>
    </x:row>
    <x:row r="997" ht="46" customHeight="1">
      <x:c r="A997" s="2" t="str">
        <x:v>TEN-F0F59D5208F6</x:v>
      </x:c>
      <x:c r="B997" s="12" t="str">
        <x:v>AU Bank</x:v>
      </x:c>
      <x:c r="C997" s="12" t="str">
        <x:v>CORP-0265</x:v>
      </x:c>
      <x:c r="D997" s="12" t="str">
        <x:v>Indore</x:v>
      </x:c>
      <x:c r="E997" s="12" t="str">
        <x:v>Benchmark</x:v>
      </x:c>
      <x:c r="F997" s="12" t="str">
        <x:v>55 inch LED TV</x:v>
      </x:c>
      <x:c r="G997" s="20" t="n">
        <x:v>1</x:v>
      </x:c>
      <x:c r="H997" s="12" t="str">
        <x:v>Inventory-listed building/workspace context; current occupancy and screen access unverified</x:v>
      </x:c>
      <x:c r="I997" s="12" t="str">
        <x:v>Mixed business audience</x:v>
      </x:c>
      <x:c r="J997" s="12" t="str">
        <x:v>Finance &amp; insurance</x:v>
      </x:c>
      <x:c r="K997" s="2" t="str">
        <x:v>MAIN-269</x:v>
      </x:c>
    </x:row>
    <x:row r="998" ht="46" customHeight="1">
      <x:c r="A998" s="2" t="str">
        <x:v>TEN-F338051AA62C</x:v>
      </x:c>
      <x:c r="B998" s="12" t="str">
        <x:v>Poonawala Fincorp</x:v>
      </x:c>
      <x:c r="C998" s="12" t="str">
        <x:v>CORP-0265</x:v>
      </x:c>
      <x:c r="D998" s="12" t="str">
        <x:v>Indore</x:v>
      </x:c>
      <x:c r="E998" s="12" t="str">
        <x:v>Benchmark</x:v>
      </x:c>
      <x:c r="F998" s="12" t="str">
        <x:v>55 inch LED TV</x:v>
      </x:c>
      <x:c r="G998" s="20" t="n">
        <x:v>1</x:v>
      </x:c>
      <x:c r="H998" s="12" t="str">
        <x:v>Inventory-listed building/workspace context; current occupancy and screen access unverified</x:v>
      </x:c>
      <x:c r="I998" s="12" t="str">
        <x:v>Mixed business audience</x:v>
      </x:c>
      <x:c r="J998" s="12" t="str">
        <x:v>Finance &amp; insurance</x:v>
      </x:c>
      <x:c r="K998" s="2" t="str">
        <x:v>MAIN-269</x:v>
      </x:c>
    </x:row>
    <x:row r="999" ht="46" customHeight="1">
      <x:c r="A999" s="2" t="str">
        <x:v>TEN-F7F44358B02D</x:v>
      </x:c>
      <x:c r="B999" s="12" t="str">
        <x:v>Coromandel</x:v>
      </x:c>
      <x:c r="C999" s="12" t="str">
        <x:v>CORP-0265</x:v>
      </x:c>
      <x:c r="D999" s="12" t="str">
        <x:v>Indore</x:v>
      </x:c>
      <x:c r="E999" s="12" t="str">
        <x:v>Benchmark</x:v>
      </x:c>
      <x:c r="F999" s="12" t="str">
        <x:v>55 inch LED TV</x:v>
      </x:c>
      <x:c r="G999" s="20" t="n">
        <x:v>1</x:v>
      </x:c>
      <x:c r="H999" s="12" t="str">
        <x:v>Inventory-listed building/workspace context; current occupancy and screen access unverified</x:v>
      </x:c>
      <x:c r="I999" s="12" t="str">
        <x:v>Mixed business audience</x:v>
      </x:c>
      <x:c r="J999" s="12" t="str">
        <x:v>Engineering &amp; manufacturing</x:v>
      </x:c>
      <x:c r="K999" s="2" t="str">
        <x:v>MAIN-269</x:v>
      </x:c>
    </x:row>
    <x:row r="1000" ht="46" customHeight="1">
      <x:c r="A1000" s="2" t="str">
        <x:v>TEN-FFDD85E02F24</x:v>
      </x:c>
      <x:c r="B1000" s="12" t="str">
        <x:v>Allen Solly</x:v>
      </x:c>
      <x:c r="C1000" s="12" t="str">
        <x:v>CORP-0265</x:v>
      </x:c>
      <x:c r="D1000" s="12" t="str">
        <x:v>Indore</x:v>
      </x:c>
      <x:c r="E1000" s="12" t="str">
        <x:v>Benchmark</x:v>
      </x:c>
      <x:c r="F1000" s="12" t="str">
        <x:v>55 inch LED TV</x:v>
      </x:c>
      <x:c r="G1000" s="20" t="n">
        <x:v>1</x:v>
      </x:c>
      <x:c r="H1000" s="12" t="str">
        <x:v>Inventory-listed building/workspace context; current occupancy and screen access unverified</x:v>
      </x:c>
      <x:c r="I1000" s="12" t="str">
        <x:v>Mixed business audience</x:v>
      </x:c>
      <x:c r="J1000" s="12" t="str">
        <x:v>Trade, consumer &amp; logistics</x:v>
      </x:c>
      <x:c r="K1000" s="2" t="str">
        <x:v>MAIN-269</x:v>
      </x:c>
    </x:row>
    <x:row r="1001" ht="46" customHeight="1">
      <x:c r="A1001" s="2" t="str">
        <x:v>TEN-46217CA33338</x:v>
      </x:c>
      <x:c r="B1001" s="12" t="str">
        <x:v>Altruist technologies</x:v>
      </x:c>
      <x:c r="C1001" s="12" t="str">
        <x:v>CORP-0023</x:v>
      </x:c>
      <x:c r="D1001" s="12" t="str">
        <x:v>Bengaluru</x:v>
      </x:c>
      <x:c r="E1001" s="12" t="str">
        <x:v>Bhive Workspace - AKR Tech Park</x:v>
      </x:c>
      <x:c r="F1001" s="12" t="str">
        <x:v>32 inch LED TV</x:v>
      </x:c>
      <x:c r="G1001" s="20" t="n">
        <x:v>6</x:v>
      </x:c>
      <x:c r="H1001" s="12" t="str">
        <x:v>Inventory-listed building/workspace context; current occupancy and screen access unverified</x:v>
      </x:c>
      <x:c r="I1001" s="12" t="str">
        <x:v>Small-scale prospects</x:v>
      </x:c>
      <x:c r="J1001" s="12" t="str">
        <x:v>IT &amp; digital</x:v>
      </x:c>
      <x:c r="K1001" s="2" t="str">
        <x:v>MAIN-027</x:v>
      </x:c>
    </x:row>
    <x:row r="1002" ht="46" customHeight="1">
      <x:c r="A1002" s="2" t="str">
        <x:v>TEN-4B0E7517D5F2</x:v>
      </x:c>
      <x:c r="B1002" s="12" t="str">
        <x:v>ienergizer IT Serviece Pvt.Ltd</x:v>
      </x:c>
      <x:c r="C1002" s="12" t="str">
        <x:v>CORP-0023</x:v>
      </x:c>
      <x:c r="D1002" s="12" t="str">
        <x:v>Bengaluru</x:v>
      </x:c>
      <x:c r="E1002" s="12" t="str">
        <x:v>Bhive Workspace - AKR Tech Park</x:v>
      </x:c>
      <x:c r="F1002" s="12" t="str">
        <x:v>32 inch LED TV</x:v>
      </x:c>
      <x:c r="G1002" s="20" t="n">
        <x:v>6</x:v>
      </x:c>
      <x:c r="H1002" s="12" t="str">
        <x:v>Inventory-listed building/workspace context; current occupancy and screen access unverified</x:v>
      </x:c>
      <x:c r="I1002" s="12" t="str">
        <x:v>Mixed business audience</x:v>
      </x:c>
      <x:c r="J1002" s="12" t="str">
        <x:v>IT &amp; digital</x:v>
      </x:c>
      <x:c r="K1002" s="2" t="str">
        <x:v>MAIN-027</x:v>
      </x:c>
    </x:row>
    <x:row r="1003" ht="46" customHeight="1">
      <x:c r="A1003" s="2" t="str">
        <x:v>TEN-A627CC7CE64B</x:v>
      </x:c>
      <x:c r="B1003" s="12" t="str">
        <x:v>Bureau veritas consumer product service Pvt.Ltd</x:v>
      </x:c>
      <x:c r="C1003" s="12" t="str">
        <x:v>CORP-0023</x:v>
      </x:c>
      <x:c r="D1003" s="12" t="str">
        <x:v>Bengaluru</x:v>
      </x:c>
      <x:c r="E1003" s="12" t="str">
        <x:v>Bhive Workspace - AKR Tech Park</x:v>
      </x:c>
      <x:c r="F1003" s="12" t="str">
        <x:v>32 inch LED TV</x:v>
      </x:c>
      <x:c r="G1003" s="20" t="n">
        <x:v>6</x:v>
      </x:c>
      <x:c r="H1003" s="12" t="str">
        <x:v>Inventory-listed building/workspace context; current occupancy and screen access unverified</x:v>
      </x:c>
      <x:c r="I1003" s="12" t="str">
        <x:v>Mixed business audience</x:v>
      </x:c>
      <x:c r="J1003" s="12" t="str">
        <x:v>Professional services</x:v>
      </x:c>
      <x:c r="K1003" s="2" t="str">
        <x:v>MAIN-027</x:v>
      </x:c>
    </x:row>
    <x:row r="1004" ht="46" customHeight="1">
      <x:c r="A1004" s="2" t="str">
        <x:v>TEN-B27BEC4C0CF2</x:v>
      </x:c>
      <x:c r="B1004" s="12" t="str">
        <x:v>Taal Tech India Pvt.Ltd</x:v>
      </x:c>
      <x:c r="C1004" s="12" t="str">
        <x:v>CORP-0023</x:v>
      </x:c>
      <x:c r="D1004" s="12" t="str">
        <x:v>Bengaluru</x:v>
      </x:c>
      <x:c r="E1004" s="12" t="str">
        <x:v>Bhive Workspace - AKR Tech Park</x:v>
      </x:c>
      <x:c r="F1004" s="12" t="str">
        <x:v>32 inch LED TV</x:v>
      </x:c>
      <x:c r="G1004" s="20" t="n">
        <x:v>6</x:v>
      </x:c>
      <x:c r="H1004" s="12" t="str">
        <x:v>Inventory-listed building/workspace context; current occupancy and screen access unverified</x:v>
      </x:c>
      <x:c r="I1004" s="12" t="str">
        <x:v>Medium-scale prospects</x:v>
      </x:c>
      <x:c r="J1004" s="12" t="str">
        <x:v>Engineering &amp; manufacturing</x:v>
      </x:c>
      <x:c r="K1004" s="2" t="str">
        <x:v>MAIN-027</x:v>
      </x:c>
    </x:row>
    <x:row r="1005" ht="46" customHeight="1">
      <x:c r="A1005" s="2" t="str">
        <x:v>TEN-0599633AC599</x:v>
      </x:c>
      <x:c r="B1005" s="12" t="str">
        <x:v>TATA Capital</x:v>
      </x:c>
      <x:c r="C1005" s="12" t="str">
        <x:v>CORP-0266</x:v>
      </x:c>
      <x:c r="D1005" s="12" t="str">
        <x:v>Indore</x:v>
      </x:c>
      <x:c r="E1005" s="12" t="str">
        <x:v>Cliffton Corporate</x:v>
      </x:c>
      <x:c r="F1005" s="12" t="str">
        <x:v>43 inch LED TV</x:v>
      </x:c>
      <x:c r="G1005" s="20" t="n">
        <x:v>1</x:v>
      </x:c>
      <x:c r="H1005" s="12" t="str">
        <x:v>Inventory-listed building/workspace context; current occupancy and screen access unverified</x:v>
      </x:c>
      <x:c r="I1005" s="12" t="str">
        <x:v>Large enterprise</x:v>
      </x:c>
      <x:c r="J1005" s="12" t="str">
        <x:v>Finance &amp; insurance</x:v>
      </x:c>
      <x:c r="K1005" s="2" t="str">
        <x:v>MAIN-270</x:v>
      </x:c>
    </x:row>
    <x:row r="1006" ht="46" customHeight="1">
      <x:c r="A1006" s="2" t="str">
        <x:v>TEN-194ABFD5CF0A</x:v>
      </x:c>
      <x:c r="B1006" s="12" t="str">
        <x:v>Sprint Logistics</x:v>
      </x:c>
      <x:c r="C1006" s="12" t="str">
        <x:v>CORP-0266</x:v>
      </x:c>
      <x:c r="D1006" s="12" t="str">
        <x:v>Indore</x:v>
      </x:c>
      <x:c r="E1006" s="12" t="str">
        <x:v>Cliffton Corporate</x:v>
      </x:c>
      <x:c r="F1006" s="12" t="str">
        <x:v>43 inch LED TV</x:v>
      </x:c>
      <x:c r="G1006" s="20" t="n">
        <x:v>1</x:v>
      </x:c>
      <x:c r="H1006" s="12" t="str">
        <x:v>Inventory-listed building/workspace context; current occupancy and screen access unverified</x:v>
      </x:c>
      <x:c r="I1006" s="12" t="str">
        <x:v>Medium-scale prospects</x:v>
      </x:c>
      <x:c r="J1006" s="12" t="str">
        <x:v>Trade, consumer &amp; logistics</x:v>
      </x:c>
      <x:c r="K1006" s="2" t="str">
        <x:v>MAIN-270</x:v>
      </x:c>
    </x:row>
    <x:row r="1007" ht="46" customHeight="1">
      <x:c r="A1007" s="2" t="str">
        <x:v>TEN-217A3357FE5A</x:v>
      </x:c>
      <x:c r="B1007" s="12" t="str">
        <x:v>Bidyut Innovation</x:v>
      </x:c>
      <x:c r="C1007" s="12" t="str">
        <x:v>CORP-0266</x:v>
      </x:c>
      <x:c r="D1007" s="12" t="str">
        <x:v>Indore</x:v>
      </x:c>
      <x:c r="E1007" s="12" t="str">
        <x:v>Cliffton Corporate</x:v>
      </x:c>
      <x:c r="F1007" s="12" t="str">
        <x:v>43 inch LED TV</x:v>
      </x:c>
      <x:c r="G1007" s="20" t="n">
        <x:v>1</x:v>
      </x:c>
      <x:c r="H1007" s="12" t="str">
        <x:v>Inventory-listed building/workspace context; current occupancy and screen access unverified</x:v>
      </x:c>
      <x:c r="I1007" s="12" t="str">
        <x:v>Mixed business audience</x:v>
      </x:c>
      <x:c r="J1007" s="12" t="str">
        <x:v>Unresolved</x:v>
      </x:c>
      <x:c r="K1007" s="2" t="str">
        <x:v>MAIN-270</x:v>
      </x:c>
    </x:row>
    <x:row r="1008" ht="46" customHeight="1">
      <x:c r="A1008" s="2" t="str">
        <x:v>TEN-21B547D50FFF</x:v>
      </x:c>
      <x:c r="B1008" s="12" t="str">
        <x:v>GIGO</x:v>
      </x:c>
      <x:c r="C1008" s="12" t="str">
        <x:v>CORP-0266</x:v>
      </x:c>
      <x:c r="D1008" s="12" t="str">
        <x:v>Indore</x:v>
      </x:c>
      <x:c r="E1008" s="12" t="str">
        <x:v>Cliffton Corporate</x:v>
      </x:c>
      <x:c r="F1008" s="12" t="str">
        <x:v>43 inch LED TV</x:v>
      </x:c>
      <x:c r="G1008" s="20" t="n">
        <x:v>1</x:v>
      </x:c>
      <x:c r="H1008" s="12" t="str">
        <x:v>Inventory-listed building/workspace context; current occupancy and screen access unverified</x:v>
      </x:c>
      <x:c r="I1008" s="12" t="str">
        <x:v>Mixed business audience</x:v>
      </x:c>
      <x:c r="J1008" s="12" t="str">
        <x:v>Unresolved</x:v>
      </x:c>
      <x:c r="K1008" s="2" t="str">
        <x:v>MAIN-270</x:v>
      </x:c>
    </x:row>
    <x:row r="1009" ht="46" customHeight="1">
      <x:c r="A1009" s="2" t="str">
        <x:v>TEN-2E5A588EB035</x:v>
      </x:c>
      <x:c r="B1009" s="12" t="str">
        <x:v>Mirnah</x:v>
      </x:c>
      <x:c r="C1009" s="12" t="str">
        <x:v>CORP-0266</x:v>
      </x:c>
      <x:c r="D1009" s="12" t="str">
        <x:v>Indore</x:v>
      </x:c>
      <x:c r="E1009" s="12" t="str">
        <x:v>Cliffton Corporate</x:v>
      </x:c>
      <x:c r="F1009" s="12" t="str">
        <x:v>43 inch LED TV</x:v>
      </x:c>
      <x:c r="G1009" s="20" t="n">
        <x:v>1</x:v>
      </x:c>
      <x:c r="H1009" s="12" t="str">
        <x:v>Inventory-listed building/workspace context; current occupancy and screen access unverified</x:v>
      </x:c>
      <x:c r="I1009" s="12" t="str">
        <x:v>Mixed business audience</x:v>
      </x:c>
      <x:c r="J1009" s="12" t="str">
        <x:v>Unresolved</x:v>
      </x:c>
      <x:c r="K1009" s="2" t="str">
        <x:v>MAIN-270</x:v>
      </x:c>
    </x:row>
    <x:row r="1010" ht="46" customHeight="1">
      <x:c r="A1010" s="2" t="str">
        <x:v>TEN-387C19F5DB1C</x:v>
      </x:c>
      <x:c r="B1010" s="12" t="str">
        <x:v>ITGeeks</x:v>
      </x:c>
      <x:c r="C1010" s="12" t="str">
        <x:v>CORP-0266</x:v>
      </x:c>
      <x:c r="D1010" s="12" t="str">
        <x:v>Indore</x:v>
      </x:c>
      <x:c r="E1010" s="12" t="str">
        <x:v>Cliffton Corporate</x:v>
      </x:c>
      <x:c r="F1010" s="12" t="str">
        <x:v>43 inch LED TV</x:v>
      </x:c>
      <x:c r="G1010" s="20" t="n">
        <x:v>1</x:v>
      </x:c>
      <x:c r="H1010" s="12" t="str">
        <x:v>Inventory-listed building/workspace context; current occupancy and screen access unverified</x:v>
      </x:c>
      <x:c r="I1010" s="12" t="str">
        <x:v>Small-scale prospects</x:v>
      </x:c>
      <x:c r="J1010" s="12" t="str">
        <x:v>IT &amp; digital</x:v>
      </x:c>
      <x:c r="K1010" s="2" t="str">
        <x:v>MAIN-270</x:v>
      </x:c>
    </x:row>
    <x:row r="1011" ht="46" customHeight="1">
      <x:c r="A1011" s="2" t="str">
        <x:v>TEN-3A4174138191</x:v>
      </x:c>
      <x:c r="B1011" s="12" t="str">
        <x:v>Coffee by Di Bella</x:v>
      </x:c>
      <x:c r="C1011" s="12" t="str">
        <x:v>CORP-0266</x:v>
      </x:c>
      <x:c r="D1011" s="12" t="str">
        <x:v>Indore</x:v>
      </x:c>
      <x:c r="E1011" s="12" t="str">
        <x:v>Cliffton Corporate</x:v>
      </x:c>
      <x:c r="F1011" s="12" t="str">
        <x:v>43 inch LED TV</x:v>
      </x:c>
      <x:c r="G1011" s="20" t="n">
        <x:v>1</x:v>
      </x:c>
      <x:c r="H1011" s="12" t="str">
        <x:v>Inventory-listed building/workspace context; current occupancy and screen access unverified</x:v>
      </x:c>
      <x:c r="I1011" s="12" t="str">
        <x:v>Mixed business audience</x:v>
      </x:c>
      <x:c r="J1011" s="12" t="str">
        <x:v>Trade, consumer &amp; logistics</x:v>
      </x:c>
      <x:c r="K1011" s="2" t="str">
        <x:v>MAIN-270</x:v>
      </x:c>
    </x:row>
    <x:row r="1012" ht="46" customHeight="1">
      <x:c r="A1012" s="2" t="str">
        <x:v>TEN-47B2D9943B23</x:v>
      </x:c>
      <x:c r="B1012" s="12" t="str">
        <x:v>Goodwill</x:v>
      </x:c>
      <x:c r="C1012" s="12" t="str">
        <x:v>CORP-0266</x:v>
      </x:c>
      <x:c r="D1012" s="12" t="str">
        <x:v>Indore</x:v>
      </x:c>
      <x:c r="E1012" s="12" t="str">
        <x:v>Cliffton Corporate</x:v>
      </x:c>
      <x:c r="F1012" s="12" t="str">
        <x:v>43 inch LED TV</x:v>
      </x:c>
      <x:c r="G1012" s="20" t="n">
        <x:v>1</x:v>
      </x:c>
      <x:c r="H1012" s="12" t="str">
        <x:v>Inventory-listed building/workspace context; current occupancy and screen access unverified</x:v>
      </x:c>
      <x:c r="I1012" s="12" t="str">
        <x:v>Mixed business audience</x:v>
      </x:c>
      <x:c r="J1012" s="12" t="str">
        <x:v>Unresolved</x:v>
      </x:c>
      <x:c r="K1012" s="2" t="str">
        <x:v>MAIN-270</x:v>
      </x:c>
    </x:row>
    <x:row r="1013" ht="46" customHeight="1">
      <x:c r="A1013" s="2" t="str">
        <x:v>TEN-4B1E6BDB3887</x:v>
      </x:c>
      <x:c r="B1013" s="12" t="str">
        <x:v>Satin Housing Finance Ltd</x:v>
      </x:c>
      <x:c r="C1013" s="12" t="str">
        <x:v>CORP-0266</x:v>
      </x:c>
      <x:c r="D1013" s="12" t="str">
        <x:v>Indore</x:v>
      </x:c>
      <x:c r="E1013" s="12" t="str">
        <x:v>Cliffton Corporate</x:v>
      </x:c>
      <x:c r="F1013" s="12" t="str">
        <x:v>43 inch LED TV</x:v>
      </x:c>
      <x:c r="G1013" s="20" t="n">
        <x:v>1</x:v>
      </x:c>
      <x:c r="H1013" s="12" t="str">
        <x:v>Inventory-listed building/workspace context; current occupancy and screen access unverified</x:v>
      </x:c>
      <x:c r="I1013" s="12" t="str">
        <x:v>Mixed business audience</x:v>
      </x:c>
      <x:c r="J1013" s="12" t="str">
        <x:v>Finance &amp; insurance</x:v>
      </x:c>
      <x:c r="K1013" s="2" t="str">
        <x:v>MAIN-270</x:v>
      </x:c>
    </x:row>
    <x:row r="1014" ht="46" customHeight="1">
      <x:c r="A1014" s="2" t="str">
        <x:v>TEN-4E47C1B5FEBC</x:v>
      </x:c>
      <x:c r="B1014" s="12" t="str">
        <x:v>Namdev Finvest Pvt. Ltd</x:v>
      </x:c>
      <x:c r="C1014" s="12" t="str">
        <x:v>CORP-0266</x:v>
      </x:c>
      <x:c r="D1014" s="12" t="str">
        <x:v>Indore</x:v>
      </x:c>
      <x:c r="E1014" s="12" t="str">
        <x:v>Cliffton Corporate</x:v>
      </x:c>
      <x:c r="F1014" s="12" t="str">
        <x:v>43 inch LED TV</x:v>
      </x:c>
      <x:c r="G1014" s="20" t="n">
        <x:v>1</x:v>
      </x:c>
      <x:c r="H1014" s="12" t="str">
        <x:v>Inventory-listed building/workspace context; current occupancy and screen access unverified</x:v>
      </x:c>
      <x:c r="I1014" s="12" t="str">
        <x:v>Medium-scale prospects</x:v>
      </x:c>
      <x:c r="J1014" s="12" t="str">
        <x:v>Finance &amp; insurance</x:v>
      </x:c>
      <x:c r="K1014" s="2" t="str">
        <x:v>MAIN-270</x:v>
      </x:c>
    </x:row>
    <x:row r="1015" ht="46" customHeight="1">
      <x:c r="A1015" s="2" t="str">
        <x:v>TEN-718B3BA4D288</x:v>
      </x:c>
      <x:c r="B1015" s="12" t="str">
        <x:v>Intellect</x:v>
      </x:c>
      <x:c r="C1015" s="12" t="str">
        <x:v>CORP-0266</x:v>
      </x:c>
      <x:c r="D1015" s="12" t="str">
        <x:v>Indore</x:v>
      </x:c>
      <x:c r="E1015" s="12" t="str">
        <x:v>Cliffton Corporate</x:v>
      </x:c>
      <x:c r="F1015" s="12" t="str">
        <x:v>43 inch LED TV</x:v>
      </x:c>
      <x:c r="G1015" s="20" t="n">
        <x:v>1</x:v>
      </x:c>
      <x:c r="H1015" s="12" t="str">
        <x:v>Inventory-listed building/workspace context; current occupancy and screen access unverified</x:v>
      </x:c>
      <x:c r="I1015" s="12" t="str">
        <x:v>Mixed business audience</x:v>
      </x:c>
      <x:c r="J1015" s="12" t="str">
        <x:v>Unresolved</x:v>
      </x:c>
      <x:c r="K1015" s="2" t="str">
        <x:v>MAIN-270</x:v>
      </x:c>
    </x:row>
    <x:row r="1016" ht="46" customHeight="1">
      <x:c r="A1016" s="2" t="str">
        <x:v>TEN-753F2A7D1BCF</x:v>
      </x:c>
      <x:c r="B1016" s="12" t="str">
        <x:v>RULoans</x:v>
      </x:c>
      <x:c r="C1016" s="12" t="str">
        <x:v>CORP-0266</x:v>
      </x:c>
      <x:c r="D1016" s="12" t="str">
        <x:v>Indore</x:v>
      </x:c>
      <x:c r="E1016" s="12" t="str">
        <x:v>Cliffton Corporate</x:v>
      </x:c>
      <x:c r="F1016" s="12" t="str">
        <x:v>43 inch LED TV</x:v>
      </x:c>
      <x:c r="G1016" s="20" t="n">
        <x:v>1</x:v>
      </x:c>
      <x:c r="H1016" s="12" t="str">
        <x:v>Inventory-listed building/workspace context; current occupancy and screen access unverified</x:v>
      </x:c>
      <x:c r="I1016" s="12" t="str">
        <x:v>Medium-scale prospects</x:v>
      </x:c>
      <x:c r="J1016" s="12" t="str">
        <x:v>Finance &amp; insurance</x:v>
      </x:c>
      <x:c r="K1016" s="2" t="str">
        <x:v>MAIN-270</x:v>
      </x:c>
    </x:row>
    <x:row r="1017" ht="46" customHeight="1">
      <x:c r="A1017" s="2" t="str">
        <x:v>TEN-8212EE32812B</x:v>
      </x:c>
      <x:c r="B1017" s="12" t="str">
        <x:v>VCrest Enterprise</x:v>
      </x:c>
      <x:c r="C1017" s="12" t="str">
        <x:v>CORP-0266</x:v>
      </x:c>
      <x:c r="D1017" s="12" t="str">
        <x:v>Indore</x:v>
      </x:c>
      <x:c r="E1017" s="12" t="str">
        <x:v>Cliffton Corporate</x:v>
      </x:c>
      <x:c r="F1017" s="12" t="str">
        <x:v>43 inch LED TV</x:v>
      </x:c>
      <x:c r="G1017" s="20" t="n">
        <x:v>1</x:v>
      </x:c>
      <x:c r="H1017" s="12" t="str">
        <x:v>Inventory-listed building/workspace context; current occupancy and screen access unverified</x:v>
      </x:c>
      <x:c r="I1017" s="12" t="str">
        <x:v>Mixed business audience</x:v>
      </x:c>
      <x:c r="J1017" s="12" t="str">
        <x:v>Unresolved</x:v>
      </x:c>
      <x:c r="K1017" s="2" t="str">
        <x:v>MAIN-270</x:v>
      </x:c>
    </x:row>
    <x:row r="1018" ht="46" customHeight="1">
      <x:c r="A1018" s="2" t="str">
        <x:v>TEN-8EA8DF83F556</x:v>
      </x:c>
      <x:c r="B1018" s="12" t="str">
        <x:v>New Vision</x:v>
      </x:c>
      <x:c r="C1018" s="12" t="str">
        <x:v>CORP-0266</x:v>
      </x:c>
      <x:c r="D1018" s="12" t="str">
        <x:v>Indore</x:v>
      </x:c>
      <x:c r="E1018" s="12" t="str">
        <x:v>Cliffton Corporate</x:v>
      </x:c>
      <x:c r="F1018" s="12" t="str">
        <x:v>43 inch LED TV</x:v>
      </x:c>
      <x:c r="G1018" s="20" t="n">
        <x:v>1</x:v>
      </x:c>
      <x:c r="H1018" s="12" t="str">
        <x:v>Inventory-listed building/workspace context; current occupancy and screen access unverified</x:v>
      </x:c>
      <x:c r="I1018" s="12" t="str">
        <x:v>Mixed business audience</x:v>
      </x:c>
      <x:c r="J1018" s="12" t="str">
        <x:v>Unresolved</x:v>
      </x:c>
      <x:c r="K1018" s="2" t="str">
        <x:v>MAIN-270</x:v>
      </x:c>
    </x:row>
    <x:row r="1019" ht="46" customHeight="1">
      <x:c r="A1019" s="2" t="str">
        <x:v>TEN-9A7E548DD883</x:v>
      </x:c>
      <x:c r="B1019" s="12" t="str">
        <x:v>Let's Go Tours</x:v>
      </x:c>
      <x:c r="C1019" s="12" t="str">
        <x:v>CORP-0266</x:v>
      </x:c>
      <x:c r="D1019" s="12" t="str">
        <x:v>Indore</x:v>
      </x:c>
      <x:c r="E1019" s="12" t="str">
        <x:v>Cliffton Corporate</x:v>
      </x:c>
      <x:c r="F1019" s="12" t="str">
        <x:v>43 inch LED TV</x:v>
      </x:c>
      <x:c r="G1019" s="20" t="n">
        <x:v>1</x:v>
      </x:c>
      <x:c r="H1019" s="12" t="str">
        <x:v>Inventory-listed building/workspace context; current occupancy and screen access unverified</x:v>
      </x:c>
      <x:c r="I1019" s="12" t="str">
        <x:v>Small-scale prospects</x:v>
      </x:c>
      <x:c r="J1019" s="12" t="str">
        <x:v>Trade, consumer &amp; logistics</x:v>
      </x:c>
      <x:c r="K1019" s="2" t="str">
        <x:v>MAIN-270</x:v>
      </x:c>
    </x:row>
    <x:row r="1020" ht="46" customHeight="1">
      <x:c r="A1020" s="2" t="str">
        <x:v>TEN-A8130969F4B5</x:v>
      </x:c>
      <x:c r="B1020" s="12" t="str">
        <x:v>Grab Space</x:v>
      </x:c>
      <x:c r="C1020" s="12" t="str">
        <x:v>CORP-0266</x:v>
      </x:c>
      <x:c r="D1020" s="12" t="str">
        <x:v>Indore</x:v>
      </x:c>
      <x:c r="E1020" s="12" t="str">
        <x:v>Cliffton Corporate</x:v>
      </x:c>
      <x:c r="F1020" s="12" t="str">
        <x:v>43 inch LED TV</x:v>
      </x:c>
      <x:c r="G1020" s="20" t="n">
        <x:v>1</x:v>
      </x:c>
      <x:c r="H1020" s="12" t="str">
        <x:v>Inventory-listed building/workspace context; current occupancy and screen access unverified</x:v>
      </x:c>
      <x:c r="I1020" s="12" t="str">
        <x:v>Mixed business audience</x:v>
      </x:c>
      <x:c r="J1020" s="12" t="str">
        <x:v>Workspace &amp; property operations</x:v>
      </x:c>
      <x:c r="K1020" s="2" t="str">
        <x:v>MAIN-270</x:v>
      </x:c>
    </x:row>
    <x:row r="1021" ht="46" customHeight="1">
      <x:c r="A1021" s="2" t="str">
        <x:v>TEN-C1483C72A9FF</x:v>
      </x:c>
      <x:c r="B1021" s="12" t="str">
        <x:v>Easycom</x:v>
      </x:c>
      <x:c r="C1021" s="12" t="str">
        <x:v>CORP-0266</x:v>
      </x:c>
      <x:c r="D1021" s="12" t="str">
        <x:v>Indore</x:v>
      </x:c>
      <x:c r="E1021" s="12" t="str">
        <x:v>Cliffton Corporate</x:v>
      </x:c>
      <x:c r="F1021" s="12" t="str">
        <x:v>43 inch LED TV</x:v>
      </x:c>
      <x:c r="G1021" s="20" t="n">
        <x:v>1</x:v>
      </x:c>
      <x:c r="H1021" s="12" t="str">
        <x:v>Inventory-listed building/workspace context; current occupancy and screen access unverified</x:v>
      </x:c>
      <x:c r="I1021" s="12" t="str">
        <x:v>Mixed business audience</x:v>
      </x:c>
      <x:c r="J1021" s="12" t="str">
        <x:v>Unresolved</x:v>
      </x:c>
      <x:c r="K1021" s="2" t="str">
        <x:v>MAIN-270</x:v>
      </x:c>
    </x:row>
    <x:row r="1022" ht="46" customHeight="1">
      <x:c r="A1022" s="2" t="str">
        <x:v>TEN-C3C9FF9406F1</x:v>
      </x:c>
      <x:c r="B1022" s="12" t="str">
        <x:v>Vidhiniti</x:v>
      </x:c>
      <x:c r="C1022" s="12" t="str">
        <x:v>CORP-0266</x:v>
      </x:c>
      <x:c r="D1022" s="12" t="str">
        <x:v>Indore</x:v>
      </x:c>
      <x:c r="E1022" s="12" t="str">
        <x:v>Cliffton Corporate</x:v>
      </x:c>
      <x:c r="F1022" s="12" t="str">
        <x:v>43 inch LED TV</x:v>
      </x:c>
      <x:c r="G1022" s="20" t="n">
        <x:v>1</x:v>
      </x:c>
      <x:c r="H1022" s="12" t="str">
        <x:v>Inventory-listed building/workspace context; current occupancy and screen access unverified</x:v>
      </x:c>
      <x:c r="I1022" s="12" t="str">
        <x:v>Mixed business audience</x:v>
      </x:c>
      <x:c r="J1022" s="12" t="str">
        <x:v>Unresolved</x:v>
      </x:c>
      <x:c r="K1022" s="2" t="str">
        <x:v>MAIN-270</x:v>
      </x:c>
    </x:row>
    <x:row r="1023" ht="46" customHeight="1">
      <x:c r="A1023" s="2" t="str">
        <x:v>TEN-CF8527DC52D8</x:v>
      </x:c>
      <x:c r="B1023" s="12" t="str">
        <x:v>NUVOCO</x:v>
      </x:c>
      <x:c r="C1023" s="12" t="str">
        <x:v>CORP-0266</x:v>
      </x:c>
      <x:c r="D1023" s="12" t="str">
        <x:v>Indore</x:v>
      </x:c>
      <x:c r="E1023" s="12" t="str">
        <x:v>Cliffton Corporate</x:v>
      </x:c>
      <x:c r="F1023" s="12" t="str">
        <x:v>43 inch LED TV</x:v>
      </x:c>
      <x:c r="G1023" s="20" t="n">
        <x:v>1</x:v>
      </x:c>
      <x:c r="H1023" s="12" t="str">
        <x:v>Inventory-listed building/workspace context; current occupancy and screen access unverified</x:v>
      </x:c>
      <x:c r="I1023" s="12" t="str">
        <x:v>Mixed business audience</x:v>
      </x:c>
      <x:c r="J1023" s="12" t="str">
        <x:v>Engineering &amp; manufacturing</x:v>
      </x:c>
      <x:c r="K1023" s="2" t="str">
        <x:v>MAIN-270</x:v>
      </x:c>
    </x:row>
    <x:row r="1024" ht="46" customHeight="1">
      <x:c r="A1024" s="2" t="str">
        <x:v>TEN-EFA1AA1770B7</x:v>
      </x:c>
      <x:c r="B1024" s="12" t="str">
        <x:v>Bajaj Allianz</x:v>
      </x:c>
      <x:c r="C1024" s="12" t="str">
        <x:v>CORP-0266</x:v>
      </x:c>
      <x:c r="D1024" s="12" t="str">
        <x:v>Indore</x:v>
      </x:c>
      <x:c r="E1024" s="12" t="str">
        <x:v>Cliffton Corporate</x:v>
      </x:c>
      <x:c r="F1024" s="12" t="str">
        <x:v>43 inch LED TV</x:v>
      </x:c>
      <x:c r="G1024" s="20" t="n">
        <x:v>1</x:v>
      </x:c>
      <x:c r="H1024" s="12" t="str">
        <x:v>Inventory-listed building/workspace context; current occupancy and screen access unverified</x:v>
      </x:c>
      <x:c r="I1024" s="12" t="str">
        <x:v>Large enterprise</x:v>
      </x:c>
      <x:c r="J1024" s="12" t="str">
        <x:v>Finance &amp; insurance</x:v>
      </x:c>
      <x:c r="K1024" s="2" t="str">
        <x:v>MAIN-270</x:v>
      </x:c>
    </x:row>
    <x:row r="1025" ht="46" customHeight="1">
      <x:c r="A1025" s="2" t="str">
        <x:v>TEN-F38062E0D24B</x:v>
      </x:c>
      <x:c r="B1025" s="12" t="str">
        <x:v>Altin</x:v>
      </x:c>
      <x:c r="C1025" s="12" t="str">
        <x:v>CORP-0266</x:v>
      </x:c>
      <x:c r="D1025" s="12" t="str">
        <x:v>Indore</x:v>
      </x:c>
      <x:c r="E1025" s="12" t="str">
        <x:v>Cliffton Corporate</x:v>
      </x:c>
      <x:c r="F1025" s="12" t="str">
        <x:v>43 inch LED TV</x:v>
      </x:c>
      <x:c r="G1025" s="20" t="n">
        <x:v>1</x:v>
      </x:c>
      <x:c r="H1025" s="12" t="str">
        <x:v>Inventory-listed building/workspace context; current occupancy and screen access unverified</x:v>
      </x:c>
      <x:c r="I1025" s="12" t="str">
        <x:v>Mixed business audience</x:v>
      </x:c>
      <x:c r="J1025" s="12" t="str">
        <x:v>Unresolved</x:v>
      </x:c>
      <x:c r="K1025" s="2" t="str">
        <x:v>MAIN-270</x:v>
      </x:c>
    </x:row>
    <x:row r="1026" ht="46" customHeight="1">
      <x:c r="A1026" s="2" t="str">
        <x:v>TEN-20A7D31FBA30</x:v>
      </x:c>
      <x:c r="B1026" s="12" t="str">
        <x:v>QUESS</x:v>
      </x:c>
      <x:c r="C1026" s="12" t="str">
        <x:v>CORP-0267</x:v>
      </x:c>
      <x:c r="D1026" s="12" t="str">
        <x:v>Indore</x:v>
      </x:c>
      <x:c r="E1026" s="12" t="str">
        <x:v>Dhan Trident</x:v>
      </x:c>
      <x:c r="F1026" s="12" t="str">
        <x:v>43 inch LED TV</x:v>
      </x:c>
      <x:c r="G1026" s="20" t="n">
        <x:v>2</x:v>
      </x:c>
      <x:c r="H1026" s="12" t="str">
        <x:v>Inventory-listed building/workspace context; current occupancy and screen access unverified</x:v>
      </x:c>
      <x:c r="I1026" s="12" t="str">
        <x:v>Mixed business audience</x:v>
      </x:c>
      <x:c r="J1026" s="12" t="str">
        <x:v>Professional services</x:v>
      </x:c>
      <x:c r="K1026" s="2" t="str">
        <x:v>MAIN-271</x:v>
      </x:c>
    </x:row>
    <x:row r="1027" ht="46" customHeight="1">
      <x:c r="A1027" s="2" t="str">
        <x:v>TEN-305094995AAD</x:v>
      </x:c>
      <x:c r="B1027" s="12" t="str">
        <x:v>SIDBI</x:v>
      </x:c>
      <x:c r="C1027" s="12" t="str">
        <x:v>CORP-0267</x:v>
      </x:c>
      <x:c r="D1027" s="12" t="str">
        <x:v>Indore</x:v>
      </x:c>
      <x:c r="E1027" s="12" t="str">
        <x:v>Dhan Trident</x:v>
      </x:c>
      <x:c r="F1027" s="12" t="str">
        <x:v>43 inch LED TV</x:v>
      </x:c>
      <x:c r="G1027" s="20" t="n">
        <x:v>2</x:v>
      </x:c>
      <x:c r="H1027" s="12" t="str">
        <x:v>Inventory-listed building/workspace context; current occupancy and screen access unverified</x:v>
      </x:c>
      <x:c r="I1027" s="12" t="str">
        <x:v>Mixed business audience</x:v>
      </x:c>
      <x:c r="J1027" s="12" t="str">
        <x:v>Finance &amp; insurance</x:v>
      </x:c>
      <x:c r="K1027" s="2" t="str">
        <x:v>MAIN-271</x:v>
      </x:c>
    </x:row>
    <x:row r="1028" ht="46" customHeight="1">
      <x:c r="A1028" s="2" t="str">
        <x:v>TEN-3C294306421C</x:v>
      </x:c>
      <x:c r="B1028" s="12" t="str">
        <x:v>L&amp;T Finance</x:v>
      </x:c>
      <x:c r="C1028" s="12" t="str">
        <x:v>CORP-0267</x:v>
      </x:c>
      <x:c r="D1028" s="12" t="str">
        <x:v>Indore</x:v>
      </x:c>
      <x:c r="E1028" s="12" t="str">
        <x:v>Dhan Trident</x:v>
      </x:c>
      <x:c r="F1028" s="12" t="str">
        <x:v>43 inch LED TV</x:v>
      </x:c>
      <x:c r="G1028" s="20" t="n">
        <x:v>2</x:v>
      </x:c>
      <x:c r="H1028" s="12" t="str">
        <x:v>Inventory-listed building/workspace context; current occupancy and screen access unverified</x:v>
      </x:c>
      <x:c r="I1028" s="12" t="str">
        <x:v>Large enterprise</x:v>
      </x:c>
      <x:c r="J1028" s="12" t="str">
        <x:v>Finance &amp; insurance</x:v>
      </x:c>
      <x:c r="K1028" s="2" t="str">
        <x:v>MAIN-271</x:v>
      </x:c>
    </x:row>
    <x:row r="1029" ht="46" customHeight="1">
      <x:c r="A1029" s="2" t="str">
        <x:v>TEN-52CC75641406</x:v>
      </x:c>
      <x:c r="B1029" s="12" t="str">
        <x:v>Axis Bank</x:v>
      </x:c>
      <x:c r="C1029" s="12" t="str">
        <x:v>CORP-0267</x:v>
      </x:c>
      <x:c r="D1029" s="12" t="str">
        <x:v>Indore</x:v>
      </x:c>
      <x:c r="E1029" s="12" t="str">
        <x:v>Dhan Trident</x:v>
      </x:c>
      <x:c r="F1029" s="12" t="str">
        <x:v>43 inch LED TV</x:v>
      </x:c>
      <x:c r="G1029" s="20" t="n">
        <x:v>2</x:v>
      </x:c>
      <x:c r="H1029" s="12" t="str">
        <x:v>Inventory-listed building/workspace context; current occupancy and screen access unverified</x:v>
      </x:c>
      <x:c r="I1029" s="12" t="str">
        <x:v>Large enterprise</x:v>
      </x:c>
      <x:c r="J1029" s="12" t="str">
        <x:v>Finance &amp; insurance</x:v>
      </x:c>
      <x:c r="K1029" s="2" t="str">
        <x:v>MAIN-271</x:v>
      </x:c>
    </x:row>
    <x:row r="1030" ht="46" customHeight="1">
      <x:c r="A1030" s="2" t="str">
        <x:v>TEN-5DB1123C398D</x:v>
      </x:c>
      <x:c r="B1030" s="12" t="str">
        <x:v>Bharat Certis</x:v>
      </x:c>
      <x:c r="C1030" s="12" t="str">
        <x:v>CORP-0267</x:v>
      </x:c>
      <x:c r="D1030" s="12" t="str">
        <x:v>Indore</x:v>
      </x:c>
      <x:c r="E1030" s="12" t="str">
        <x:v>Dhan Trident</x:v>
      </x:c>
      <x:c r="F1030" s="12" t="str">
        <x:v>43 inch LED TV</x:v>
      </x:c>
      <x:c r="G1030" s="20" t="n">
        <x:v>2</x:v>
      </x:c>
      <x:c r="H1030" s="12" t="str">
        <x:v>Inventory-listed building/workspace context; current occupancy and screen access unverified</x:v>
      </x:c>
      <x:c r="I1030" s="12" t="str">
        <x:v>Medium-scale prospects</x:v>
      </x:c>
      <x:c r="J1030" s="12" t="str">
        <x:v>Engineering &amp; manufacturing</x:v>
      </x:c>
      <x:c r="K1030" s="2" t="str">
        <x:v>MAIN-271</x:v>
      </x:c>
    </x:row>
    <x:row r="1031" ht="46" customHeight="1">
      <x:c r="A1031" s="2" t="str">
        <x:v>TEN-6E06B8D9E2A3</x:v>
      </x:c>
      <x:c r="B1031" s="12" t="str">
        <x:v>Vakarangee</x:v>
      </x:c>
      <x:c r="C1031" s="12" t="str">
        <x:v>CORP-0267</x:v>
      </x:c>
      <x:c r="D1031" s="12" t="str">
        <x:v>Indore</x:v>
      </x:c>
      <x:c r="E1031" s="12" t="str">
        <x:v>Dhan Trident</x:v>
      </x:c>
      <x:c r="F1031" s="12" t="str">
        <x:v>43 inch LED TV</x:v>
      </x:c>
      <x:c r="G1031" s="20" t="n">
        <x:v>2</x:v>
      </x:c>
      <x:c r="H1031" s="12" t="str">
        <x:v>Inventory-listed building/workspace context; current occupancy and screen access unverified</x:v>
      </x:c>
      <x:c r="I1031" s="12" t="str">
        <x:v>Mixed business audience</x:v>
      </x:c>
      <x:c r="J1031" s="12" t="str">
        <x:v>Unresolved</x:v>
      </x:c>
      <x:c r="K1031" s="2" t="str">
        <x:v>MAIN-271</x:v>
      </x:c>
    </x:row>
    <x:row r="1032" ht="46" customHeight="1">
      <x:c r="A1032" s="2" t="str">
        <x:v>TEN-92A46CAA865E</x:v>
      </x:c>
      <x:c r="B1032" s="12" t="str">
        <x:v>Keen Solution</x:v>
      </x:c>
      <x:c r="C1032" s="12" t="str">
        <x:v>CORP-0267</x:v>
      </x:c>
      <x:c r="D1032" s="12" t="str">
        <x:v>Indore</x:v>
      </x:c>
      <x:c r="E1032" s="12" t="str">
        <x:v>Dhan Trident</x:v>
      </x:c>
      <x:c r="F1032" s="12" t="str">
        <x:v>43 inch LED TV</x:v>
      </x:c>
      <x:c r="G1032" s="20" t="n">
        <x:v>2</x:v>
      </x:c>
      <x:c r="H1032" s="12" t="str">
        <x:v>Inventory-listed building/workspace context; current occupancy and screen access unverified</x:v>
      </x:c>
      <x:c r="I1032" s="12" t="str">
        <x:v>Mixed business audience</x:v>
      </x:c>
      <x:c r="J1032" s="12" t="str">
        <x:v>Unresolved</x:v>
      </x:c>
      <x:c r="K1032" s="2" t="str">
        <x:v>MAIN-271</x:v>
      </x:c>
    </x:row>
    <x:row r="1033" ht="46" customHeight="1">
      <x:c r="A1033" s="2" t="str">
        <x:v>TEN-A12F99DD2F8D</x:v>
      </x:c>
      <x:c r="B1033" s="12" t="str">
        <x:v>Mahindra Finance</x:v>
      </x:c>
      <x:c r="C1033" s="12" t="str">
        <x:v>CORP-0267</x:v>
      </x:c>
      <x:c r="D1033" s="12" t="str">
        <x:v>Indore</x:v>
      </x:c>
      <x:c r="E1033" s="12" t="str">
        <x:v>Dhan Trident</x:v>
      </x:c>
      <x:c r="F1033" s="12" t="str">
        <x:v>43 inch LED TV</x:v>
      </x:c>
      <x:c r="G1033" s="20" t="n">
        <x:v>2</x:v>
      </x:c>
      <x:c r="H1033" s="12" t="str">
        <x:v>Inventory-listed building/workspace context; current occupancy and screen access unverified</x:v>
      </x:c>
      <x:c r="I1033" s="12" t="str">
        <x:v>Large enterprise</x:v>
      </x:c>
      <x:c r="J1033" s="12" t="str">
        <x:v>Finance &amp; insurance</x:v>
      </x:c>
      <x:c r="K1033" s="2" t="str">
        <x:v>MAIN-271</x:v>
      </x:c>
    </x:row>
    <x:row r="1034" ht="46" customHeight="1">
      <x:c r="A1034" s="2" t="str">
        <x:v>TEN-A9E3F127D53F</x:v>
      </x:c>
      <x:c r="B1034" s="12" t="str">
        <x:v>IDFC First Bank</x:v>
      </x:c>
      <x:c r="C1034" s="12" t="str">
        <x:v>CORP-0267</x:v>
      </x:c>
      <x:c r="D1034" s="12" t="str">
        <x:v>Indore</x:v>
      </x:c>
      <x:c r="E1034" s="12" t="str">
        <x:v>Dhan Trident</x:v>
      </x:c>
      <x:c r="F1034" s="12" t="str">
        <x:v>43 inch LED TV</x:v>
      </x:c>
      <x:c r="G1034" s="20" t="n">
        <x:v>2</x:v>
      </x:c>
      <x:c r="H1034" s="12" t="str">
        <x:v>Inventory-listed building/workspace context; current occupancy and screen access unverified</x:v>
      </x:c>
      <x:c r="I1034" s="12" t="str">
        <x:v>Large enterprise</x:v>
      </x:c>
      <x:c r="J1034" s="12" t="str">
        <x:v>Finance &amp; insurance</x:v>
      </x:c>
      <x:c r="K1034" s="2" t="str">
        <x:v>MAIN-271</x:v>
      </x:c>
    </x:row>
    <x:row r="1035" ht="46" customHeight="1">
      <x:c r="A1035" s="2" t="str">
        <x:v>TEN-BB9D93D4756A</x:v>
      </x:c>
      <x:c r="B1035" s="12" t="str">
        <x:v>Tata AIA</x:v>
      </x:c>
      <x:c r="C1035" s="12" t="str">
        <x:v>CORP-0267</x:v>
      </x:c>
      <x:c r="D1035" s="12" t="str">
        <x:v>Indore</x:v>
      </x:c>
      <x:c r="E1035" s="12" t="str">
        <x:v>Dhan Trident</x:v>
      </x:c>
      <x:c r="F1035" s="12" t="str">
        <x:v>43 inch LED TV</x:v>
      </x:c>
      <x:c r="G1035" s="20" t="n">
        <x:v>2</x:v>
      </x:c>
      <x:c r="H1035" s="12" t="str">
        <x:v>Inventory-listed building/workspace context; current occupancy and screen access unverified</x:v>
      </x:c>
      <x:c r="I1035" s="12" t="str">
        <x:v>Large enterprise</x:v>
      </x:c>
      <x:c r="J1035" s="12" t="str">
        <x:v>Finance &amp; insurance</x:v>
      </x:c>
      <x:c r="K1035" s="2" t="str">
        <x:v>MAIN-271</x:v>
      </x:c>
    </x:row>
    <x:row r="1036" ht="46" customHeight="1">
      <x:c r="A1036" s="2" t="str">
        <x:v>TEN-BC3067AC45DF</x:v>
      </x:c>
      <x:c r="B1036" s="12" t="str">
        <x:v>Schneider Electric</x:v>
      </x:c>
      <x:c r="C1036" s="12" t="str">
        <x:v>CORP-0267</x:v>
      </x:c>
      <x:c r="D1036" s="12" t="str">
        <x:v>Indore</x:v>
      </x:c>
      <x:c r="E1036" s="12" t="str">
        <x:v>Dhan Trident</x:v>
      </x:c>
      <x:c r="F1036" s="12" t="str">
        <x:v>43 inch LED TV</x:v>
      </x:c>
      <x:c r="G1036" s="20" t="n">
        <x:v>2</x:v>
      </x:c>
      <x:c r="H1036" s="12" t="str">
        <x:v>Inventory-listed building/workspace context; current occupancy and screen access unverified</x:v>
      </x:c>
      <x:c r="I1036" s="12" t="str">
        <x:v>Large enterprise</x:v>
      </x:c>
      <x:c r="J1036" s="12" t="str">
        <x:v>Engineering &amp; manufacturing</x:v>
      </x:c>
      <x:c r="K1036" s="2" t="str">
        <x:v>MAIN-271</x:v>
      </x:c>
    </x:row>
    <x:row r="1037" ht="46" customHeight="1">
      <x:c r="A1037" s="2" t="str">
        <x:v>TEN-C3AFC9E0B8DF</x:v>
      </x:c>
      <x:c r="B1037" s="12" t="str">
        <x:v>UGRO Capital</x:v>
      </x:c>
      <x:c r="C1037" s="12" t="str">
        <x:v>CORP-0267</x:v>
      </x:c>
      <x:c r="D1037" s="12" t="str">
        <x:v>Indore</x:v>
      </x:c>
      <x:c r="E1037" s="12" t="str">
        <x:v>Dhan Trident</x:v>
      </x:c>
      <x:c r="F1037" s="12" t="str">
        <x:v>43 inch LED TV</x:v>
      </x:c>
      <x:c r="G1037" s="20" t="n">
        <x:v>2</x:v>
      </x:c>
      <x:c r="H1037" s="12" t="str">
        <x:v>Inventory-listed building/workspace context; current occupancy and screen access unverified</x:v>
      </x:c>
      <x:c r="I1037" s="12" t="str">
        <x:v>Mixed business audience</x:v>
      </x:c>
      <x:c r="J1037" s="12" t="str">
        <x:v>Finance &amp; insurance</x:v>
      </x:c>
      <x:c r="K1037" s="2" t="str">
        <x:v>MAIN-271</x:v>
      </x:c>
    </x:row>
    <x:row r="1038" ht="46" customHeight="1">
      <x:c r="A1038" s="2" t="str">
        <x:v>TEN-C94B4C730018</x:v>
      </x:c>
      <x:c r="B1038" s="12" t="str">
        <x:v>Shreenath Logistics</x:v>
      </x:c>
      <x:c r="C1038" s="12" t="str">
        <x:v>CORP-0267</x:v>
      </x:c>
      <x:c r="D1038" s="12" t="str">
        <x:v>Indore</x:v>
      </x:c>
      <x:c r="E1038" s="12" t="str">
        <x:v>Dhan Trident</x:v>
      </x:c>
      <x:c r="F1038" s="12" t="str">
        <x:v>43 inch LED TV</x:v>
      </x:c>
      <x:c r="G1038" s="20" t="n">
        <x:v>2</x:v>
      </x:c>
      <x:c r="H1038" s="12" t="str">
        <x:v>Inventory-listed building/workspace context; current occupancy and screen access unverified</x:v>
      </x:c>
      <x:c r="I1038" s="12" t="str">
        <x:v>Medium-scale prospects</x:v>
      </x:c>
      <x:c r="J1038" s="12" t="str">
        <x:v>Trade, consumer &amp; logistics</x:v>
      </x:c>
      <x:c r="K1038" s="2" t="str">
        <x:v>MAIN-271</x:v>
      </x:c>
    </x:row>
    <x:row r="1039" ht="46" customHeight="1">
      <x:c r="A1039" s="2" t="str">
        <x:v>TEN-D0879CBAC1A9</x:v>
      </x:c>
      <x:c r="B1039" s="12" t="str">
        <x:v>Asian Paints</x:v>
      </x:c>
      <x:c r="C1039" s="12" t="str">
        <x:v>CORP-0267</x:v>
      </x:c>
      <x:c r="D1039" s="12" t="str">
        <x:v>Indore</x:v>
      </x:c>
      <x:c r="E1039" s="12" t="str">
        <x:v>Dhan Trident</x:v>
      </x:c>
      <x:c r="F1039" s="12" t="str">
        <x:v>43 inch LED TV</x:v>
      </x:c>
      <x:c r="G1039" s="20" t="n">
        <x:v>2</x:v>
      </x:c>
      <x:c r="H1039" s="12" t="str">
        <x:v>Inventory-listed building/workspace context; current occupancy and screen access unverified</x:v>
      </x:c>
      <x:c r="I1039" s="12" t="str">
        <x:v>Mixed business audience</x:v>
      </x:c>
      <x:c r="J1039" s="12" t="str">
        <x:v>Engineering &amp; manufacturing</x:v>
      </x:c>
      <x:c r="K1039" s="2" t="str">
        <x:v>MAIN-271</x:v>
      </x:c>
    </x:row>
    <x:row r="1040" ht="46" customHeight="1">
      <x:c r="A1040" s="2" t="str">
        <x:v>TEN-D113F5BCE96F</x:v>
      </x:c>
      <x:c r="B1040" s="12" t="str">
        <x:v>GRIHUM</x:v>
      </x:c>
      <x:c r="C1040" s="12" t="str">
        <x:v>CORP-0267</x:v>
      </x:c>
      <x:c r="D1040" s="12" t="str">
        <x:v>Indore</x:v>
      </x:c>
      <x:c r="E1040" s="12" t="str">
        <x:v>Dhan Trident</x:v>
      </x:c>
      <x:c r="F1040" s="12" t="str">
        <x:v>43 inch LED TV</x:v>
      </x:c>
      <x:c r="G1040" s="20" t="n">
        <x:v>2</x:v>
      </x:c>
      <x:c r="H1040" s="12" t="str">
        <x:v>Inventory-listed building/workspace context; current occupancy and screen access unverified</x:v>
      </x:c>
      <x:c r="I1040" s="12" t="str">
        <x:v>Mixed business audience</x:v>
      </x:c>
      <x:c r="J1040" s="12" t="str">
        <x:v>Finance &amp; insurance</x:v>
      </x:c>
      <x:c r="K1040" s="2" t="str">
        <x:v>MAIN-271</x:v>
      </x:c>
    </x:row>
    <x:row r="1041" ht="46" customHeight="1">
      <x:c r="A1041" s="2" t="str">
        <x:v>TEN-DF36F95F74EA</x:v>
      </x:c>
      <x:c r="B1041" s="12" t="str">
        <x:v>ORAVEL</x:v>
      </x:c>
      <x:c r="C1041" s="12" t="str">
        <x:v>CORP-0267</x:v>
      </x:c>
      <x:c r="D1041" s="12" t="str">
        <x:v>Indore</x:v>
      </x:c>
      <x:c r="E1041" s="12" t="str">
        <x:v>Dhan Trident</x:v>
      </x:c>
      <x:c r="F1041" s="12" t="str">
        <x:v>43 inch LED TV</x:v>
      </x:c>
      <x:c r="G1041" s="20" t="n">
        <x:v>2</x:v>
      </x:c>
      <x:c r="H1041" s="12" t="str">
        <x:v>Inventory-listed building/workspace context; current occupancy and screen access unverified</x:v>
      </x:c>
      <x:c r="I1041" s="12" t="str">
        <x:v>Mixed business audience</x:v>
      </x:c>
      <x:c r="J1041" s="12" t="str">
        <x:v>Trade, consumer &amp; logistics</x:v>
      </x:c>
      <x:c r="K1041" s="2" t="str">
        <x:v>MAIN-271</x:v>
      </x:c>
    </x:row>
    <x:row r="1042" ht="46" customHeight="1">
      <x:c r="A1042" s="2" t="str">
        <x:v>TEN-E970D13343C8</x:v>
      </x:c>
      <x:c r="B1042" s="12" t="str">
        <x:v>Reliance Retail</x:v>
      </x:c>
      <x:c r="C1042" s="12" t="str">
        <x:v>CORP-0267</x:v>
      </x:c>
      <x:c r="D1042" s="12" t="str">
        <x:v>Indore</x:v>
      </x:c>
      <x:c r="E1042" s="12" t="str">
        <x:v>Dhan Trident</x:v>
      </x:c>
      <x:c r="F1042" s="12" t="str">
        <x:v>43 inch LED TV</x:v>
      </x:c>
      <x:c r="G1042" s="20" t="n">
        <x:v>2</x:v>
      </x:c>
      <x:c r="H1042" s="12" t="str">
        <x:v>Inventory-listed building/workspace context; current occupancy and screen access unverified</x:v>
      </x:c>
      <x:c r="I1042" s="12" t="str">
        <x:v>Large enterprise</x:v>
      </x:c>
      <x:c r="J1042" s="12" t="str">
        <x:v>Trade, consumer &amp; logistics</x:v>
      </x:c>
      <x:c r="K1042" s="2" t="str">
        <x:v>MAIN-271</x:v>
      </x:c>
    </x:row>
    <x:row r="1043" ht="46" customHeight="1">
      <x:c r="A1043" s="2" t="str">
        <x:v>TEN-EC14C966B91D</x:v>
      </x:c>
      <x:c r="B1043" s="12" t="str">
        <x:v>Orient Electric</x:v>
      </x:c>
      <x:c r="C1043" s="12" t="str">
        <x:v>CORP-0267</x:v>
      </x:c>
      <x:c r="D1043" s="12" t="str">
        <x:v>Indore</x:v>
      </x:c>
      <x:c r="E1043" s="12" t="str">
        <x:v>Dhan Trident</x:v>
      </x:c>
      <x:c r="F1043" s="12" t="str">
        <x:v>43 inch LED TV</x:v>
      </x:c>
      <x:c r="G1043" s="20" t="n">
        <x:v>2</x:v>
      </x:c>
      <x:c r="H1043" s="12" t="str">
        <x:v>Inventory-listed building/workspace context; current occupancy and screen access unverified</x:v>
      </x:c>
      <x:c r="I1043" s="12" t="str">
        <x:v>Mixed business audience</x:v>
      </x:c>
      <x:c r="J1043" s="12" t="str">
        <x:v>Engineering &amp; manufacturing</x:v>
      </x:c>
      <x:c r="K1043" s="2" t="str">
        <x:v>MAIN-271</x:v>
      </x:c>
    </x:row>
    <x:row r="1044" ht="46" customHeight="1">
      <x:c r="A1044" s="2" t="str">
        <x:v>TEN-F0434252015E</x:v>
      </x:c>
      <x:c r="B1044" s="12" t="str">
        <x:v>Home First</x:v>
      </x:c>
      <x:c r="C1044" s="12" t="str">
        <x:v>CORP-0267</x:v>
      </x:c>
      <x:c r="D1044" s="12" t="str">
        <x:v>Indore</x:v>
      </x:c>
      <x:c r="E1044" s="12" t="str">
        <x:v>Dhan Trident</x:v>
      </x:c>
      <x:c r="F1044" s="12" t="str">
        <x:v>43 inch LED TV</x:v>
      </x:c>
      <x:c r="G1044" s="20" t="n">
        <x:v>2</x:v>
      </x:c>
      <x:c r="H1044" s="12" t="str">
        <x:v>Inventory-listed building/workspace context; current occupancy and screen access unverified</x:v>
      </x:c>
      <x:c r="I1044" s="12" t="str">
        <x:v>Mixed business audience</x:v>
      </x:c>
      <x:c r="J1044" s="12" t="str">
        <x:v>Finance &amp; insurance</x:v>
      </x:c>
      <x:c r="K1044" s="2" t="str">
        <x:v>MAIN-271</x:v>
      </x:c>
    </x:row>
    <x:row r="1045" ht="46" customHeight="1">
      <x:c r="A1045" s="2" t="str">
        <x:v>TEN-F0F59D5208F6</x:v>
      </x:c>
      <x:c r="B1045" s="12" t="str">
        <x:v>AU Bank</x:v>
      </x:c>
      <x:c r="C1045" s="12" t="str">
        <x:v>CORP-0267</x:v>
      </x:c>
      <x:c r="D1045" s="12" t="str">
        <x:v>Indore</x:v>
      </x:c>
      <x:c r="E1045" s="12" t="str">
        <x:v>Dhan Trident</x:v>
      </x:c>
      <x:c r="F1045" s="12" t="str">
        <x:v>43 inch LED TV</x:v>
      </x:c>
      <x:c r="G1045" s="20" t="n">
        <x:v>2</x:v>
      </x:c>
      <x:c r="H1045" s="12" t="str">
        <x:v>Inventory-listed building/workspace context; current occupancy and screen access unverified</x:v>
      </x:c>
      <x:c r="I1045" s="12" t="str">
        <x:v>Mixed business audience</x:v>
      </x:c>
      <x:c r="J1045" s="12" t="str">
        <x:v>Finance &amp; insurance</x:v>
      </x:c>
      <x:c r="K1045" s="2" t="str">
        <x:v>MAIN-271</x:v>
      </x:c>
    </x:row>
    <x:row r="1046" ht="46" customHeight="1">
      <x:c r="A1046" s="2" t="str">
        <x:v>TEN-115B79902469</x:v>
      </x:c>
      <x:c r="B1046" s="12" t="str">
        <x:v>Ruhi Enterprises</x:v>
      </x:c>
      <x:c r="C1046" s="12" t="str">
        <x:v>CORP-0268</x:v>
      </x:c>
      <x:c r="D1046" s="12" t="str">
        <x:v>Indore</x:v>
      </x:c>
      <x:c r="E1046" s="12" t="str">
        <x:v>Maloo - 01</x:v>
      </x:c>
      <x:c r="F1046" s="12" t="str">
        <x:v>43 inch LED TV</x:v>
      </x:c>
      <x:c r="G1046" s="20" t="n">
        <x:v>1</x:v>
      </x:c>
      <x:c r="H1046" s="12" t="str">
        <x:v>Inventory-listed building/workspace context; current occupancy and screen access unverified</x:v>
      </x:c>
      <x:c r="I1046" s="12" t="str">
        <x:v>Mixed business audience</x:v>
      </x:c>
      <x:c r="J1046" s="12" t="str">
        <x:v>Unresolved</x:v>
      </x:c>
      <x:c r="K1046" s="2" t="str">
        <x:v>MAIN-272</x:v>
      </x:c>
    </x:row>
    <x:row r="1047" ht="46" customHeight="1">
      <x:c r="A1047" s="2" t="str">
        <x:v>TEN-135FC7A09DA2</x:v>
      </x:c>
      <x:c r="B1047" s="12" t="str">
        <x:v>Alive</x:v>
      </x:c>
      <x:c r="C1047" s="12" t="str">
        <x:v>CORP-0268</x:v>
      </x:c>
      <x:c r="D1047" s="12" t="str">
        <x:v>Indore</x:v>
      </x:c>
      <x:c r="E1047" s="12" t="str">
        <x:v>Maloo - 01</x:v>
      </x:c>
      <x:c r="F1047" s="12" t="str">
        <x:v>43 inch LED TV</x:v>
      </x:c>
      <x:c r="G1047" s="20" t="n">
        <x:v>1</x:v>
      </x:c>
      <x:c r="H1047" s="12" t="str">
        <x:v>Inventory-listed building/workspace context; current occupancy and screen access unverified</x:v>
      </x:c>
      <x:c r="I1047" s="12" t="str">
        <x:v>Mixed business audience</x:v>
      </x:c>
      <x:c r="J1047" s="12" t="str">
        <x:v>Unresolved</x:v>
      </x:c>
      <x:c r="K1047" s="2" t="str">
        <x:v>MAIN-272</x:v>
      </x:c>
    </x:row>
    <x:row r="1048" ht="46" customHeight="1">
      <x:c r="A1048" s="2" t="str">
        <x:v>TEN-223A5501D90B</x:v>
      </x:c>
      <x:c r="B1048" s="12" t="str">
        <x:v>PR 24X7</x:v>
      </x:c>
      <x:c r="C1048" s="12" t="str">
        <x:v>CORP-0268</x:v>
      </x:c>
      <x:c r="D1048" s="12" t="str">
        <x:v>Indore</x:v>
      </x:c>
      <x:c r="E1048" s="12" t="str">
        <x:v>Maloo - 01</x:v>
      </x:c>
      <x:c r="F1048" s="12" t="str">
        <x:v>43 inch LED TV</x:v>
      </x:c>
      <x:c r="G1048" s="20" t="n">
        <x:v>1</x:v>
      </x:c>
      <x:c r="H1048" s="12" t="str">
        <x:v>Inventory-listed building/workspace context; current occupancy and screen access unverified</x:v>
      </x:c>
      <x:c r="I1048" s="12" t="str">
        <x:v>Small-scale prospects</x:v>
      </x:c>
      <x:c r="J1048" s="12" t="str">
        <x:v>Professional services</x:v>
      </x:c>
      <x:c r="K1048" s="2" t="str">
        <x:v>MAIN-272</x:v>
      </x:c>
    </x:row>
    <x:row r="1049" ht="46" customHeight="1">
      <x:c r="A1049" s="2" t="str">
        <x:v>TEN-337FC025530C</x:v>
      </x:c>
      <x:c r="B1049" s="12" t="str">
        <x:v>ATC India</x:v>
      </x:c>
      <x:c r="C1049" s="12" t="str">
        <x:v>CORP-0268</x:v>
      </x:c>
      <x:c r="D1049" s="12" t="str">
        <x:v>Indore</x:v>
      </x:c>
      <x:c r="E1049" s="12" t="str">
        <x:v>Maloo - 01</x:v>
      </x:c>
      <x:c r="F1049" s="12" t="str">
        <x:v>43 inch LED TV</x:v>
      </x:c>
      <x:c r="G1049" s="20" t="n">
        <x:v>1</x:v>
      </x:c>
      <x:c r="H1049" s="12" t="str">
        <x:v>Inventory-listed building/workspace context; current occupancy and screen access unverified</x:v>
      </x:c>
      <x:c r="I1049" s="12" t="str">
        <x:v>Mixed business audience</x:v>
      </x:c>
      <x:c r="J1049" s="12" t="str">
        <x:v>IT &amp; digital</x:v>
      </x:c>
      <x:c r="K1049" s="2" t="str">
        <x:v>MAIN-272</x:v>
      </x:c>
    </x:row>
    <x:row r="1050" ht="46" customHeight="1">
      <x:c r="A1050" s="2" t="str">
        <x:v>TEN-36E26473A4E8</x:v>
      </x:c>
      <x:c r="B1050" s="12" t="str">
        <x:v>Alstom</x:v>
      </x:c>
      <x:c r="C1050" s="12" t="str">
        <x:v>CORP-0268</x:v>
      </x:c>
      <x:c r="D1050" s="12" t="str">
        <x:v>Indore</x:v>
      </x:c>
      <x:c r="E1050" s="12" t="str">
        <x:v>Maloo - 01</x:v>
      </x:c>
      <x:c r="F1050" s="12" t="str">
        <x:v>43 inch LED TV</x:v>
      </x:c>
      <x:c r="G1050" s="20" t="n">
        <x:v>1</x:v>
      </x:c>
      <x:c r="H1050" s="12" t="str">
        <x:v>Inventory-listed building/workspace context; current occupancy and screen access unverified</x:v>
      </x:c>
      <x:c r="I1050" s="12" t="str">
        <x:v>Large enterprise</x:v>
      </x:c>
      <x:c r="J1050" s="12" t="str">
        <x:v>Engineering &amp; manufacturing</x:v>
      </x:c>
      <x:c r="K1050" s="2" t="str">
        <x:v>MAIN-272</x:v>
      </x:c>
    </x:row>
    <x:row r="1051" ht="46" customHeight="1">
      <x:c r="A1051" s="2" t="str">
        <x:v>TEN-45F6BC07047C</x:v>
      </x:c>
      <x:c r="B1051" s="12" t="str">
        <x:v>Nayara Energy</x:v>
      </x:c>
      <x:c r="C1051" s="12" t="str">
        <x:v>CORP-0268</x:v>
      </x:c>
      <x:c r="D1051" s="12" t="str">
        <x:v>Indore</x:v>
      </x:c>
      <x:c r="E1051" s="12" t="str">
        <x:v>Maloo - 01</x:v>
      </x:c>
      <x:c r="F1051" s="12" t="str">
        <x:v>43 inch LED TV</x:v>
      </x:c>
      <x:c r="G1051" s="20" t="n">
        <x:v>1</x:v>
      </x:c>
      <x:c r="H1051" s="12" t="str">
        <x:v>Inventory-listed building/workspace context; current occupancy and screen access unverified</x:v>
      </x:c>
      <x:c r="I1051" s="12" t="str">
        <x:v>Mixed business audience</x:v>
      </x:c>
      <x:c r="J1051" s="12" t="str">
        <x:v>Engineering &amp; manufacturing</x:v>
      </x:c>
      <x:c r="K1051" s="2" t="str">
        <x:v>MAIN-272</x:v>
      </x:c>
    </x:row>
    <x:row r="1052" ht="46" customHeight="1">
      <x:c r="A1052" s="2" t="str">
        <x:v>TEN-46C759E87193</x:v>
      </x:c>
      <x:c r="B1052" s="12" t="str">
        <x:v>Panasonic</x:v>
      </x:c>
      <x:c r="C1052" s="12" t="str">
        <x:v>CORP-0268</x:v>
      </x:c>
      <x:c r="D1052" s="12" t="str">
        <x:v>Indore</x:v>
      </x:c>
      <x:c r="E1052" s="12" t="str">
        <x:v>Maloo - 01</x:v>
      </x:c>
      <x:c r="F1052" s="12" t="str">
        <x:v>43 inch LED TV</x:v>
      </x:c>
      <x:c r="G1052" s="20" t="n">
        <x:v>1</x:v>
      </x:c>
      <x:c r="H1052" s="12" t="str">
        <x:v>Inventory-listed building/workspace context; current occupancy and screen access unverified</x:v>
      </x:c>
      <x:c r="I1052" s="12" t="str">
        <x:v>Large enterprise</x:v>
      </x:c>
      <x:c r="J1052" s="12" t="str">
        <x:v>Engineering &amp; manufacturing</x:v>
      </x:c>
      <x:c r="K1052" s="2" t="str">
        <x:v>MAIN-272</x:v>
      </x:c>
    </x:row>
    <x:row r="1053" ht="46" customHeight="1">
      <x:c r="A1053" s="2" t="str">
        <x:v>TEN-5803587E6791</x:v>
      </x:c>
      <x:c r="B1053" s="12" t="str">
        <x:v>Carrier</x:v>
      </x:c>
      <x:c r="C1053" s="12" t="str">
        <x:v>CORP-0268</x:v>
      </x:c>
      <x:c r="D1053" s="12" t="str">
        <x:v>Indore</x:v>
      </x:c>
      <x:c r="E1053" s="12" t="str">
        <x:v>Maloo - 01</x:v>
      </x:c>
      <x:c r="F1053" s="12" t="str">
        <x:v>43 inch LED TV</x:v>
      </x:c>
      <x:c r="G1053" s="20" t="n">
        <x:v>1</x:v>
      </x:c>
      <x:c r="H1053" s="12" t="str">
        <x:v>Inventory-listed building/workspace context; current occupancy and screen access unverified</x:v>
      </x:c>
      <x:c r="I1053" s="12" t="str">
        <x:v>Mixed business audience</x:v>
      </x:c>
      <x:c r="J1053" s="12" t="str">
        <x:v>Engineering &amp; manufacturing</x:v>
      </x:c>
      <x:c r="K1053" s="2" t="str">
        <x:v>MAIN-272</x:v>
      </x:c>
    </x:row>
    <x:row r="1054" ht="46" customHeight="1">
      <x:c r="A1054" s="2" t="str">
        <x:v>TEN-615F95D34C39</x:v>
      </x:c>
      <x:c r="B1054" s="12" t="str">
        <x:v>Vedang Cellular Service</x:v>
      </x:c>
      <x:c r="C1054" s="12" t="str">
        <x:v>CORP-0268</x:v>
      </x:c>
      <x:c r="D1054" s="12" t="str">
        <x:v>Indore</x:v>
      </x:c>
      <x:c r="E1054" s="12" t="str">
        <x:v>Maloo - 01</x:v>
      </x:c>
      <x:c r="F1054" s="12" t="str">
        <x:v>43 inch LED TV</x:v>
      </x:c>
      <x:c r="G1054" s="20" t="n">
        <x:v>1</x:v>
      </x:c>
      <x:c r="H1054" s="12" t="str">
        <x:v>Inventory-listed building/workspace context; current occupancy and screen access unverified</x:v>
      </x:c>
      <x:c r="I1054" s="12" t="str">
        <x:v>Mixed business audience</x:v>
      </x:c>
      <x:c r="J1054" s="12" t="str">
        <x:v>Unresolved</x:v>
      </x:c>
      <x:c r="K1054" s="2" t="str">
        <x:v>MAIN-272</x:v>
      </x:c>
    </x:row>
    <x:row r="1055" ht="46" customHeight="1">
      <x:c r="A1055" s="2" t="str">
        <x:v>TEN-6E39FF852CB7</x:v>
      </x:c>
      <x:c r="B1055" s="12" t="str">
        <x:v>SUD Life</x:v>
      </x:c>
      <x:c r="C1055" s="12" t="str">
        <x:v>CORP-0268</x:v>
      </x:c>
      <x:c r="D1055" s="12" t="str">
        <x:v>Indore</x:v>
      </x:c>
      <x:c r="E1055" s="12" t="str">
        <x:v>Maloo - 01</x:v>
      </x:c>
      <x:c r="F1055" s="12" t="str">
        <x:v>43 inch LED TV</x:v>
      </x:c>
      <x:c r="G1055" s="20" t="n">
        <x:v>1</x:v>
      </x:c>
      <x:c r="H1055" s="12" t="str">
        <x:v>Inventory-listed building/workspace context; current occupancy and screen access unverified</x:v>
      </x:c>
      <x:c r="I1055" s="12" t="str">
        <x:v>Mixed business audience</x:v>
      </x:c>
      <x:c r="J1055" s="12" t="str">
        <x:v>Finance &amp; insurance</x:v>
      </x:c>
      <x:c r="K1055" s="2" t="str">
        <x:v>MAIN-272</x:v>
      </x:c>
    </x:row>
    <x:row r="1056" ht="46" customHeight="1">
      <x:c r="A1056" s="2" t="str">
        <x:v>TEN-6FC71948C40F</x:v>
      </x:c>
      <x:c r="B1056" s="12" t="str">
        <x:v>Regus</x:v>
      </x:c>
      <x:c r="C1056" s="12" t="str">
        <x:v>CORP-0268</x:v>
      </x:c>
      <x:c r="D1056" s="12" t="str">
        <x:v>Indore</x:v>
      </x:c>
      <x:c r="E1056" s="12" t="str">
        <x:v>Maloo - 01</x:v>
      </x:c>
      <x:c r="F1056" s="12" t="str">
        <x:v>43 inch LED TV</x:v>
      </x:c>
      <x:c r="G1056" s="20" t="n">
        <x:v>1</x:v>
      </x:c>
      <x:c r="H1056" s="12" t="str">
        <x:v>Inventory-listed building/workspace context; current occupancy and screen access unverified</x:v>
      </x:c>
      <x:c r="I1056" s="12" t="str">
        <x:v>Mixed business audience</x:v>
      </x:c>
      <x:c r="J1056" s="12" t="str">
        <x:v>Workspace &amp; property operations</x:v>
      </x:c>
      <x:c r="K1056" s="2" t="str">
        <x:v>MAIN-272</x:v>
      </x:c>
    </x:row>
    <x:row r="1057" ht="46" customHeight="1">
      <x:c r="A1057" s="2" t="str">
        <x:v>TEN-934CA7C0EEF3</x:v>
      </x:c>
      <x:c r="B1057" s="12" t="str">
        <x:v>AISECT</x:v>
      </x:c>
      <x:c r="C1057" s="12" t="str">
        <x:v>CORP-0268</x:v>
      </x:c>
      <x:c r="D1057" s="12" t="str">
        <x:v>Indore</x:v>
      </x:c>
      <x:c r="E1057" s="12" t="str">
        <x:v>Maloo - 01</x:v>
      </x:c>
      <x:c r="F1057" s="12" t="str">
        <x:v>43 inch LED TV</x:v>
      </x:c>
      <x:c r="G1057" s="20" t="n">
        <x:v>1</x:v>
      </x:c>
      <x:c r="H1057" s="12" t="str">
        <x:v>Inventory-listed building/workspace context; current occupancy and screen access unverified</x:v>
      </x:c>
      <x:c r="I1057" s="12" t="str">
        <x:v>Mixed business audience</x:v>
      </x:c>
      <x:c r="J1057" s="12" t="str">
        <x:v>Education</x:v>
      </x:c>
      <x:c r="K1057" s="2" t="str">
        <x:v>MAIN-272</x:v>
      </x:c>
    </x:row>
    <x:row r="1058" ht="46" customHeight="1">
      <x:c r="A1058" s="2" t="str">
        <x:v>TEN-9F6BB1723925</x:v>
      </x:c>
      <x:c r="B1058" s="12" t="str">
        <x:v>NGRT Systems</x:v>
      </x:c>
      <x:c r="C1058" s="12" t="str">
        <x:v>CORP-0268</x:v>
      </x:c>
      <x:c r="D1058" s="12" t="str">
        <x:v>Indore</x:v>
      </x:c>
      <x:c r="E1058" s="12" t="str">
        <x:v>Maloo - 01</x:v>
      </x:c>
      <x:c r="F1058" s="12" t="str">
        <x:v>43 inch LED TV</x:v>
      </x:c>
      <x:c r="G1058" s="20" t="n">
        <x:v>1</x:v>
      </x:c>
      <x:c r="H1058" s="12" t="str">
        <x:v>Inventory-listed building/workspace context; current occupancy and screen access unverified</x:v>
      </x:c>
      <x:c r="I1058" s="12" t="str">
        <x:v>Mixed business audience</x:v>
      </x:c>
      <x:c r="J1058" s="12" t="str">
        <x:v>Unresolved</x:v>
      </x:c>
      <x:c r="K1058" s="2" t="str">
        <x:v>MAIN-272</x:v>
      </x:c>
    </x:row>
    <x:row r="1059" ht="46" customHeight="1">
      <x:c r="A1059" s="2" t="str">
        <x:v>TEN-A0342370923A</x:v>
      </x:c>
      <x:c r="B1059" s="12" t="str">
        <x:v>Accretion Aviation</x:v>
      </x:c>
      <x:c r="C1059" s="12" t="str">
        <x:v>CORP-0268</x:v>
      </x:c>
      <x:c r="D1059" s="12" t="str">
        <x:v>Indore</x:v>
      </x:c>
      <x:c r="E1059" s="12" t="str">
        <x:v>Maloo - 01</x:v>
      </x:c>
      <x:c r="F1059" s="12" t="str">
        <x:v>43 inch LED TV</x:v>
      </x:c>
      <x:c r="G1059" s="20" t="n">
        <x:v>1</x:v>
      </x:c>
      <x:c r="H1059" s="12" t="str">
        <x:v>Inventory-listed building/workspace context; current occupancy and screen access unverified</x:v>
      </x:c>
      <x:c r="I1059" s="12" t="str">
        <x:v>Small-scale prospects</x:v>
      </x:c>
      <x:c r="J1059" s="12" t="str">
        <x:v>Trade, consumer &amp; logistics</x:v>
      </x:c>
      <x:c r="K1059" s="2" t="str">
        <x:v>MAIN-272</x:v>
      </x:c>
    </x:row>
    <x:row r="1060" ht="46" customHeight="1">
      <x:c r="A1060" s="2" t="str">
        <x:v>TEN-AE6C79D10F1F</x:v>
      </x:c>
      <x:c r="B1060" s="12" t="str">
        <x:v>HERO</x:v>
      </x:c>
      <x:c r="C1060" s="12" t="str">
        <x:v>CORP-0268</x:v>
      </x:c>
      <x:c r="D1060" s="12" t="str">
        <x:v>Indore</x:v>
      </x:c>
      <x:c r="E1060" s="12" t="str">
        <x:v>Maloo - 01</x:v>
      </x:c>
      <x:c r="F1060" s="12" t="str">
        <x:v>43 inch LED TV</x:v>
      </x:c>
      <x:c r="G1060" s="20" t="n">
        <x:v>1</x:v>
      </x:c>
      <x:c r="H1060" s="12" t="str">
        <x:v>Inventory-listed building/workspace context; current occupancy and screen access unverified</x:v>
      </x:c>
      <x:c r="I1060" s="12" t="str">
        <x:v>Mixed business audience</x:v>
      </x:c>
      <x:c r="J1060" s="12" t="str">
        <x:v>Engineering &amp; manufacturing</x:v>
      </x:c>
      <x:c r="K1060" s="2" t="str">
        <x:v>MAIN-272</x:v>
      </x:c>
    </x:row>
    <x:row r="1061" ht="46" customHeight="1">
      <x:c r="A1061" s="2" t="str">
        <x:v>TEN-C81D24A89AC9</x:v>
      </x:c>
      <x:c r="B1061" s="12" t="str">
        <x:v>MCC</x:v>
      </x:c>
      <x:c r="C1061" s="12" t="str">
        <x:v>CORP-0268</x:v>
      </x:c>
      <x:c r="D1061" s="12" t="str">
        <x:v>Indore</x:v>
      </x:c>
      <x:c r="E1061" s="12" t="str">
        <x:v>Maloo - 01</x:v>
      </x:c>
      <x:c r="F1061" s="12" t="str">
        <x:v>43 inch LED TV</x:v>
      </x:c>
      <x:c r="G1061" s="20" t="n">
        <x:v>1</x:v>
      </x:c>
      <x:c r="H1061" s="12" t="str">
        <x:v>Inventory-listed building/workspace context; current occupancy and screen access unverified</x:v>
      </x:c>
      <x:c r="I1061" s="12" t="str">
        <x:v>Mixed business audience</x:v>
      </x:c>
      <x:c r="J1061" s="12" t="str">
        <x:v>Unresolved</x:v>
      </x:c>
      <x:c r="K1061" s="2" t="str">
        <x:v>MAIN-272</x:v>
      </x:c>
    </x:row>
    <x:row r="1062" ht="46" customHeight="1">
      <x:c r="A1062" s="2" t="str">
        <x:v>TEN-CA27C6C18E1C</x:v>
      </x:c>
      <x:c r="B1062" s="12" t="str">
        <x:v>AISECT University</x:v>
      </x:c>
      <x:c r="C1062" s="12" t="str">
        <x:v>CORP-0268</x:v>
      </x:c>
      <x:c r="D1062" s="12" t="str">
        <x:v>Indore</x:v>
      </x:c>
      <x:c r="E1062" s="12" t="str">
        <x:v>Maloo - 01</x:v>
      </x:c>
      <x:c r="F1062" s="12" t="str">
        <x:v>43 inch LED TV</x:v>
      </x:c>
      <x:c r="G1062" s="20" t="n">
        <x:v>1</x:v>
      </x:c>
      <x:c r="H1062" s="12" t="str">
        <x:v>Inventory-listed building/workspace context; current occupancy and screen access unverified</x:v>
      </x:c>
      <x:c r="I1062" s="12" t="str">
        <x:v>Institutional</x:v>
      </x:c>
      <x:c r="J1062" s="12" t="str">
        <x:v>Education</x:v>
      </x:c>
      <x:c r="K1062" s="2" t="str">
        <x:v>MAIN-272</x:v>
      </x:c>
    </x:row>
    <x:row r="1063" ht="46" customHeight="1">
      <x:c r="A1063" s="2" t="str">
        <x:v>TEN-D9ADBE0C3AA9</x:v>
      </x:c>
      <x:c r="B1063" s="12" t="str">
        <x:v>Vimta</x:v>
      </x:c>
      <x:c r="C1063" s="12" t="str">
        <x:v>CORP-0268</x:v>
      </x:c>
      <x:c r="D1063" s="12" t="str">
        <x:v>Indore</x:v>
      </x:c>
      <x:c r="E1063" s="12" t="str">
        <x:v>Maloo - 01</x:v>
      </x:c>
      <x:c r="F1063" s="12" t="str">
        <x:v>43 inch LED TV</x:v>
      </x:c>
      <x:c r="G1063" s="20" t="n">
        <x:v>1</x:v>
      </x:c>
      <x:c r="H1063" s="12" t="str">
        <x:v>Inventory-listed building/workspace context; current occupancy and screen access unverified</x:v>
      </x:c>
      <x:c r="I1063" s="12" t="str">
        <x:v>Mixed business audience</x:v>
      </x:c>
      <x:c r="J1063" s="12" t="str">
        <x:v>Healthcare &amp; life sciences</x:v>
      </x:c>
      <x:c r="K1063" s="2" t="str">
        <x:v>MAIN-272</x:v>
      </x:c>
    </x:row>
    <x:row r="1064" ht="46" customHeight="1">
      <x:c r="A1064" s="2" t="str">
        <x:v>TEN-E0C400B0984A</x:v>
      </x:c>
      <x:c r="B1064" s="12" t="str">
        <x:v>Bluestar</x:v>
      </x:c>
      <x:c r="C1064" s="12" t="str">
        <x:v>CORP-0268</x:v>
      </x:c>
      <x:c r="D1064" s="12" t="str">
        <x:v>Indore</x:v>
      </x:c>
      <x:c r="E1064" s="12" t="str">
        <x:v>Maloo - 01</x:v>
      </x:c>
      <x:c r="F1064" s="12" t="str">
        <x:v>43 inch LED TV</x:v>
      </x:c>
      <x:c r="G1064" s="20" t="n">
        <x:v>1</x:v>
      </x:c>
      <x:c r="H1064" s="12" t="str">
        <x:v>Inventory-listed building/workspace context; current occupancy and screen access unverified</x:v>
      </x:c>
      <x:c r="I1064" s="12" t="str">
        <x:v>Mixed business audience</x:v>
      </x:c>
      <x:c r="J1064" s="12" t="str">
        <x:v>Engineering &amp; manufacturing</x:v>
      </x:c>
      <x:c r="K1064" s="2" t="str">
        <x:v>MAIN-272</x:v>
      </x:c>
    </x:row>
    <x:row r="1065" ht="46" customHeight="1">
      <x:c r="A1065" s="2" t="str">
        <x:v>TEN-E73975ED917E</x:v>
      </x:c>
      <x:c r="B1065" s="12" t="str">
        <x:v>NEXA</x:v>
      </x:c>
      <x:c r="C1065" s="12" t="str">
        <x:v>CORP-0268</x:v>
      </x:c>
      <x:c r="D1065" s="12" t="str">
        <x:v>Indore</x:v>
      </x:c>
      <x:c r="E1065" s="12" t="str">
        <x:v>Maloo - 01</x:v>
      </x:c>
      <x:c r="F1065" s="12" t="str">
        <x:v>43 inch LED TV</x:v>
      </x:c>
      <x:c r="G1065" s="20" t="n">
        <x:v>1</x:v>
      </x:c>
      <x:c r="H1065" s="12" t="str">
        <x:v>Inventory-listed building/workspace context; current occupancy and screen access unverified</x:v>
      </x:c>
      <x:c r="I1065" s="12" t="str">
        <x:v>Mixed business audience</x:v>
      </x:c>
      <x:c r="J1065" s="12" t="str">
        <x:v>Trade, consumer &amp; logistics</x:v>
      </x:c>
      <x:c r="K1065" s="2" t="str">
        <x:v>MAIN-272</x:v>
      </x:c>
    </x:row>
    <x:row r="1066" ht="46" customHeight="1">
      <x:c r="A1066" s="2" t="str">
        <x:v>TEN-EA8975B4C51B</x:v>
      </x:c>
      <x:c r="B1066" s="12" t="str">
        <x:v>Kent Mineral RO</x:v>
      </x:c>
      <x:c r="C1066" s="12" t="str">
        <x:v>CORP-0268</x:v>
      </x:c>
      <x:c r="D1066" s="12" t="str">
        <x:v>Indore</x:v>
      </x:c>
      <x:c r="E1066" s="12" t="str">
        <x:v>Maloo - 01</x:v>
      </x:c>
      <x:c r="F1066" s="12" t="str">
        <x:v>43 inch LED TV</x:v>
      </x:c>
      <x:c r="G1066" s="20" t="n">
        <x:v>1</x:v>
      </x:c>
      <x:c r="H1066" s="12" t="str">
        <x:v>Inventory-listed building/workspace context; current occupancy and screen access unverified</x:v>
      </x:c>
      <x:c r="I1066" s="12" t="str">
        <x:v>Mixed business audience</x:v>
      </x:c>
      <x:c r="J1066" s="12" t="str">
        <x:v>Engineering &amp; manufacturing</x:v>
      </x:c>
      <x:c r="K1066" s="2" t="str">
        <x:v>MAIN-272</x:v>
      </x:c>
    </x:row>
    <x:row r="1067" ht="46" customHeight="1">
      <x:c r="A1067" s="2" t="str">
        <x:v>TEN-EFC1A00D0AE7</x:v>
      </x:c>
      <x:c r="B1067" s="12" t="str">
        <x:v>TATA Hitachi</x:v>
      </x:c>
      <x:c r="C1067" s="12" t="str">
        <x:v>CORP-0268</x:v>
      </x:c>
      <x:c r="D1067" s="12" t="str">
        <x:v>Indore</x:v>
      </x:c>
      <x:c r="E1067" s="12" t="str">
        <x:v>Maloo - 01</x:v>
      </x:c>
      <x:c r="F1067" s="12" t="str">
        <x:v>43 inch LED TV</x:v>
      </x:c>
      <x:c r="G1067" s="20" t="n">
        <x:v>1</x:v>
      </x:c>
      <x:c r="H1067" s="12" t="str">
        <x:v>Inventory-listed building/workspace context; current occupancy and screen access unverified</x:v>
      </x:c>
      <x:c r="I1067" s="12" t="str">
        <x:v>Large enterprise</x:v>
      </x:c>
      <x:c r="J1067" s="12" t="str">
        <x:v>Engineering &amp; manufacturing</x:v>
      </x:c>
      <x:c r="K1067" s="2" t="str">
        <x:v>MAIN-272</x:v>
      </x:c>
    </x:row>
    <x:row r="1068" ht="46" customHeight="1">
      <x:c r="A1068" s="2" t="str">
        <x:v>TEN-FDAC38268C21</x:v>
      </x:c>
      <x:c r="B1068" s="12" t="str">
        <x:v>Red FM</x:v>
      </x:c>
      <x:c r="C1068" s="12" t="str">
        <x:v>CORP-0268</x:v>
      </x:c>
      <x:c r="D1068" s="12" t="str">
        <x:v>Indore</x:v>
      </x:c>
      <x:c r="E1068" s="12" t="str">
        <x:v>Maloo - 01</x:v>
      </x:c>
      <x:c r="F1068" s="12" t="str">
        <x:v>43 inch LED TV</x:v>
      </x:c>
      <x:c r="G1068" s="20" t="n">
        <x:v>1</x:v>
      </x:c>
      <x:c r="H1068" s="12" t="str">
        <x:v>Inventory-listed building/workspace context; current occupancy and screen access unverified</x:v>
      </x:c>
      <x:c r="I1068" s="12" t="str">
        <x:v>Mixed business audience</x:v>
      </x:c>
      <x:c r="J1068" s="12" t="str">
        <x:v>Trade, consumer &amp; logistics</x:v>
      </x:c>
      <x:c r="K1068" s="2" t="str">
        <x:v>MAIN-272</x:v>
      </x:c>
    </x:row>
    <x:row r="1069" ht="46" customHeight="1">
      <x:c r="A1069" s="2" t="str">
        <x:v>TEN-0129C6C3CDEB</x:v>
      </x:c>
      <x:c r="B1069" s="12" t="str">
        <x:v>LifeCell International Pvt. Ltd</x:v>
      </x:c>
      <x:c r="C1069" s="12" t="str">
        <x:v>CORP-0269</x:v>
      </x:c>
      <x:c r="D1069" s="12" t="str">
        <x:v>Indore</x:v>
      </x:c>
      <x:c r="E1069" s="12" t="str">
        <x:v>Metro Tower</x:v>
      </x:c>
      <x:c r="F1069" s="12" t="str">
        <x:v>43 inch LED TV</x:v>
      </x:c>
      <x:c r="G1069" s="20" t="n">
        <x:v>2</x:v>
      </x:c>
      <x:c r="H1069" s="12" t="str">
        <x:v>Inventory-listed building/workspace context; current occupancy and screen access unverified</x:v>
      </x:c>
      <x:c r="I1069" s="12" t="str">
        <x:v>Mixed business audience</x:v>
      </x:c>
      <x:c r="J1069" s="12" t="str">
        <x:v>Healthcare &amp; life sciences</x:v>
      </x:c>
      <x:c r="K1069" s="2" t="str">
        <x:v>MAIN-273</x:v>
      </x:c>
    </x:row>
    <x:row r="1070" ht="46" customHeight="1">
      <x:c r="A1070" s="2" t="str">
        <x:v>TEN-1F31C89E234E</x:v>
      </x:c>
      <x:c r="B1070" s="12" t="str">
        <x:v>Reddito Capital Research Private Limited</x:v>
      </x:c>
      <x:c r="C1070" s="12" t="str">
        <x:v>CORP-0269</x:v>
      </x:c>
      <x:c r="D1070" s="12" t="str">
        <x:v>Indore</x:v>
      </x:c>
      <x:c r="E1070" s="12" t="str">
        <x:v>Metro Tower</x:v>
      </x:c>
      <x:c r="F1070" s="12" t="str">
        <x:v>43 inch LED TV</x:v>
      </x:c>
      <x:c r="G1070" s="20" t="n">
        <x:v>2</x:v>
      </x:c>
      <x:c r="H1070" s="12" t="str">
        <x:v>Inventory-listed building/workspace context; current occupancy and screen access unverified</x:v>
      </x:c>
      <x:c r="I1070" s="12" t="str">
        <x:v>Medium-scale prospects</x:v>
      </x:c>
      <x:c r="J1070" s="12" t="str">
        <x:v>Finance &amp; insurance</x:v>
      </x:c>
      <x:c r="K1070" s="2" t="str">
        <x:v>MAIN-273</x:v>
      </x:c>
    </x:row>
    <x:row r="1071" ht="46" customHeight="1">
      <x:c r="A1071" s="2" t="str">
        <x:v>TEN-26974B5A07BB</x:v>
      </x:c>
      <x:c r="B1071" s="12" t="str">
        <x:v>Shaad Agro Private Limited</x:v>
      </x:c>
      <x:c r="C1071" s="12" t="str">
        <x:v>CORP-0269</x:v>
      </x:c>
      <x:c r="D1071" s="12" t="str">
        <x:v>Indore</x:v>
      </x:c>
      <x:c r="E1071" s="12" t="str">
        <x:v>Metro Tower</x:v>
      </x:c>
      <x:c r="F1071" s="12" t="str">
        <x:v>43 inch LED TV</x:v>
      </x:c>
      <x:c r="G1071" s="20" t="n">
        <x:v>2</x:v>
      </x:c>
      <x:c r="H1071" s="12" t="str">
        <x:v>Inventory-listed building/workspace context; current occupancy and screen access unverified</x:v>
      </x:c>
      <x:c r="I1071" s="12" t="str">
        <x:v>Small-scale prospects</x:v>
      </x:c>
      <x:c r="J1071" s="12" t="str">
        <x:v>Trade, consumer &amp; logistics</x:v>
      </x:c>
      <x:c r="K1071" s="2" t="str">
        <x:v>MAIN-273</x:v>
      </x:c>
    </x:row>
    <x:row r="1072" ht="46" customHeight="1">
      <x:c r="A1072" s="2" t="str">
        <x:v>TEN-336DDD08276C</x:v>
      </x:c>
      <x:c r="B1072" s="12" t="str">
        <x:v>Paskola Value Management Consultant Private Limited</x:v>
      </x:c>
      <x:c r="C1072" s="12" t="str">
        <x:v>CORP-0269</x:v>
      </x:c>
      <x:c r="D1072" s="12" t="str">
        <x:v>Indore</x:v>
      </x:c>
      <x:c r="E1072" s="12" t="str">
        <x:v>Metro Tower</x:v>
      </x:c>
      <x:c r="F1072" s="12" t="str">
        <x:v>43 inch LED TV</x:v>
      </x:c>
      <x:c r="G1072" s="20" t="n">
        <x:v>2</x:v>
      </x:c>
      <x:c r="H1072" s="12" t="str">
        <x:v>Inventory-listed building/workspace context; current occupancy and screen access unverified</x:v>
      </x:c>
      <x:c r="I1072" s="12" t="str">
        <x:v>Small-scale prospects</x:v>
      </x:c>
      <x:c r="J1072" s="12" t="str">
        <x:v>Professional services</x:v>
      </x:c>
      <x:c r="K1072" s="2" t="str">
        <x:v>MAIN-273</x:v>
      </x:c>
    </x:row>
    <x:row r="1073" ht="46" customHeight="1">
      <x:c r="A1073" s="2" t="str">
        <x:v>TEN-4E0D8ECA527F</x:v>
      </x:c>
      <x:c r="B1073" s="12" t="str">
        <x:v>Addrest Tech Solutions Private Limited</x:v>
      </x:c>
      <x:c r="C1073" s="12" t="str">
        <x:v>CORP-0269</x:v>
      </x:c>
      <x:c r="D1073" s="12" t="str">
        <x:v>Indore</x:v>
      </x:c>
      <x:c r="E1073" s="12" t="str">
        <x:v>Metro Tower</x:v>
      </x:c>
      <x:c r="F1073" s="12" t="str">
        <x:v>43 inch LED TV</x:v>
      </x:c>
      <x:c r="G1073" s="20" t="n">
        <x:v>2</x:v>
      </x:c>
      <x:c r="H1073" s="12" t="str">
        <x:v>Inventory-listed building/workspace context; current occupancy and screen access unverified</x:v>
      </x:c>
      <x:c r="I1073" s="12" t="str">
        <x:v>Mixed business audience</x:v>
      </x:c>
      <x:c r="J1073" s="12" t="str">
        <x:v>Unresolved</x:v>
      </x:c>
      <x:c r="K1073" s="2" t="str">
        <x:v>MAIN-273</x:v>
      </x:c>
    </x:row>
    <x:row r="1074" ht="46" customHeight="1">
      <x:c r="A1074" s="2" t="str">
        <x:v>TEN-4F55DE894B56</x:v>
      </x:c>
      <x:c r="B1074" s="12" t="str">
        <x:v>Wisdom Box Infosystem LLP</x:v>
      </x:c>
      <x:c r="C1074" s="12" t="str">
        <x:v>CORP-0269</x:v>
      </x:c>
      <x:c r="D1074" s="12" t="str">
        <x:v>Indore</x:v>
      </x:c>
      <x:c r="E1074" s="12" t="str">
        <x:v>Metro Tower</x:v>
      </x:c>
      <x:c r="F1074" s="12" t="str">
        <x:v>43 inch LED TV</x:v>
      </x:c>
      <x:c r="G1074" s="20" t="n">
        <x:v>2</x:v>
      </x:c>
      <x:c r="H1074" s="12" t="str">
        <x:v>Inventory-listed building/workspace context; current occupancy and screen access unverified</x:v>
      </x:c>
      <x:c r="I1074" s="12" t="str">
        <x:v>Mixed business audience</x:v>
      </x:c>
      <x:c r="J1074" s="12" t="str">
        <x:v>Unresolved</x:v>
      </x:c>
      <x:c r="K1074" s="2" t="str">
        <x:v>MAIN-273</x:v>
      </x:c>
    </x:row>
    <x:row r="1075" ht="46" customHeight="1">
      <x:c r="A1075" s="2" t="str">
        <x:v>TEN-6AC98C9B1C20</x:v>
      </x:c>
      <x:c r="B1075" s="12" t="str">
        <x:v>Stockbazari NVR Technologies Private Limited</x:v>
      </x:c>
      <x:c r="C1075" s="12" t="str">
        <x:v>CORP-0269</x:v>
      </x:c>
      <x:c r="D1075" s="12" t="str">
        <x:v>Indore</x:v>
      </x:c>
      <x:c r="E1075" s="12" t="str">
        <x:v>Metro Tower</x:v>
      </x:c>
      <x:c r="F1075" s="12" t="str">
        <x:v>43 inch LED TV</x:v>
      </x:c>
      <x:c r="G1075" s="20" t="n">
        <x:v>2</x:v>
      </x:c>
      <x:c r="H1075" s="12" t="str">
        <x:v>Inventory-listed building/workspace context; current occupancy and screen access unverified</x:v>
      </x:c>
      <x:c r="I1075" s="12" t="str">
        <x:v>Medium-scale prospects</x:v>
      </x:c>
      <x:c r="J1075" s="12" t="str">
        <x:v>Finance &amp; insurance</x:v>
      </x:c>
      <x:c r="K1075" s="2" t="str">
        <x:v>MAIN-273</x:v>
      </x:c>
    </x:row>
    <x:row r="1076" ht="46" customHeight="1">
      <x:c r="A1076" s="2" t="str">
        <x:v>TEN-916E00835FFF</x:v>
      </x:c>
      <x:c r="B1076" s="12" t="str">
        <x:v>Premshree IT Park LLP</x:v>
      </x:c>
      <x:c r="C1076" s="12" t="str">
        <x:v>CORP-0269</x:v>
      </x:c>
      <x:c r="D1076" s="12" t="str">
        <x:v>Indore</x:v>
      </x:c>
      <x:c r="E1076" s="12" t="str">
        <x:v>Metro Tower</x:v>
      </x:c>
      <x:c r="F1076" s="12" t="str">
        <x:v>43 inch LED TV</x:v>
      </x:c>
      <x:c r="G1076" s="20" t="n">
        <x:v>2</x:v>
      </x:c>
      <x:c r="H1076" s="12" t="str">
        <x:v>Inventory-listed building/workspace context; current occupancy and screen access unverified</x:v>
      </x:c>
      <x:c r="I1076" s="12" t="str">
        <x:v>Small-scale prospects</x:v>
      </x:c>
      <x:c r="J1076" s="12" t="str">
        <x:v>Trade, consumer &amp; logistics</x:v>
      </x:c>
      <x:c r="K1076" s="2" t="str">
        <x:v>MAIN-273</x:v>
      </x:c>
    </x:row>
    <x:row r="1077" ht="46" customHeight="1">
      <x:c r="A1077" s="2" t="str">
        <x:v>TEN-97436A7FB207</x:v>
      </x:c>
      <x:c r="B1077" s="12" t="str">
        <x:v>Surtel Technologies Private Limited</x:v>
      </x:c>
      <x:c r="C1077" s="12" t="str">
        <x:v>CORP-0269</x:v>
      </x:c>
      <x:c r="D1077" s="12" t="str">
        <x:v>Indore</x:v>
      </x:c>
      <x:c r="E1077" s="12" t="str">
        <x:v>Metro Tower</x:v>
      </x:c>
      <x:c r="F1077" s="12" t="str">
        <x:v>43 inch LED TV</x:v>
      </x:c>
      <x:c r="G1077" s="20" t="n">
        <x:v>2</x:v>
      </x:c>
      <x:c r="H1077" s="12" t="str">
        <x:v>Inventory-listed building/workspace context; current occupancy and screen access unverified</x:v>
      </x:c>
      <x:c r="I1077" s="12" t="str">
        <x:v>Mixed business audience</x:v>
      </x:c>
      <x:c r="J1077" s="12" t="str">
        <x:v>Unresolved</x:v>
      </x:c>
      <x:c r="K1077" s="2" t="str">
        <x:v>MAIN-273</x:v>
      </x:c>
    </x:row>
    <x:row r="1078" ht="46" customHeight="1">
      <x:c r="A1078" s="2" t="str">
        <x:v>TEN-9CEA2EBE4EB1</x:v>
      </x:c>
      <x:c r="B1078" s="12" t="str">
        <x:v>Soni Agriculture &amp; Live Stock Private Limited</x:v>
      </x:c>
      <x:c r="C1078" s="12" t="str">
        <x:v>CORP-0269</x:v>
      </x:c>
      <x:c r="D1078" s="12" t="str">
        <x:v>Indore</x:v>
      </x:c>
      <x:c r="E1078" s="12" t="str">
        <x:v>Metro Tower</x:v>
      </x:c>
      <x:c r="F1078" s="12" t="str">
        <x:v>43 inch LED TV</x:v>
      </x:c>
      <x:c r="G1078" s="20" t="n">
        <x:v>2</x:v>
      </x:c>
      <x:c r="H1078" s="12" t="str">
        <x:v>Inventory-listed building/workspace context; current occupancy and screen access unverified</x:v>
      </x:c>
      <x:c r="I1078" s="12" t="str">
        <x:v>Small-scale prospects</x:v>
      </x:c>
      <x:c r="J1078" s="12" t="str">
        <x:v>Trade, consumer &amp; logistics</x:v>
      </x:c>
      <x:c r="K1078" s="2" t="str">
        <x:v>MAIN-273</x:v>
      </x:c>
    </x:row>
    <x:row r="1079" ht="46" customHeight="1">
      <x:c r="A1079" s="2" t="str">
        <x:v>TEN-A21333F9DEE9</x:v>
      </x:c>
      <x:c r="B1079" s="12" t="str">
        <x:v>Ishani Finserv Private Limited</x:v>
      </x:c>
      <x:c r="C1079" s="12" t="str">
        <x:v>CORP-0269</x:v>
      </x:c>
      <x:c r="D1079" s="12" t="str">
        <x:v>Indore</x:v>
      </x:c>
      <x:c r="E1079" s="12" t="str">
        <x:v>Metro Tower</x:v>
      </x:c>
      <x:c r="F1079" s="12" t="str">
        <x:v>43 inch LED TV</x:v>
      </x:c>
      <x:c r="G1079" s="20" t="n">
        <x:v>2</x:v>
      </x:c>
      <x:c r="H1079" s="12" t="str">
        <x:v>Inventory-listed building/workspace context; current occupancy and screen access unverified</x:v>
      </x:c>
      <x:c r="I1079" s="12" t="str">
        <x:v>Medium-scale prospects</x:v>
      </x:c>
      <x:c r="J1079" s="12" t="str">
        <x:v>Finance &amp; insurance</x:v>
      </x:c>
      <x:c r="K1079" s="2" t="str">
        <x:v>MAIN-273</x:v>
      </x:c>
    </x:row>
    <x:row r="1080" ht="46" customHeight="1">
      <x:c r="A1080" s="2" t="str">
        <x:v>TEN-AC9D9F310977</x:v>
      </x:c>
      <x:c r="B1080" s="12" t="str">
        <x:v>Swan Investment Distributors Private Limited</x:v>
      </x:c>
      <x:c r="C1080" s="12" t="str">
        <x:v>CORP-0269</x:v>
      </x:c>
      <x:c r="D1080" s="12" t="str">
        <x:v>Indore</x:v>
      </x:c>
      <x:c r="E1080" s="12" t="str">
        <x:v>Metro Tower</x:v>
      </x:c>
      <x:c r="F1080" s="12" t="str">
        <x:v>43 inch LED TV</x:v>
      </x:c>
      <x:c r="G1080" s="20" t="n">
        <x:v>2</x:v>
      </x:c>
      <x:c r="H1080" s="12" t="str">
        <x:v>Inventory-listed building/workspace context; current occupancy and screen access unverified</x:v>
      </x:c>
      <x:c r="I1080" s="12" t="str">
        <x:v>Medium-scale prospects</x:v>
      </x:c>
      <x:c r="J1080" s="12" t="str">
        <x:v>Finance &amp; insurance</x:v>
      </x:c>
      <x:c r="K1080" s="2" t="str">
        <x:v>MAIN-273</x:v>
      </x:c>
    </x:row>
    <x:row r="1081" ht="46" customHeight="1">
      <x:c r="A1081" s="2" t="str">
        <x:v>TEN-BDA2979FE4F0</x:v>
      </x:c>
      <x:c r="B1081" s="12" t="str">
        <x:v>Hightee Hotels Private Limited</x:v>
      </x:c>
      <x:c r="C1081" s="12" t="str">
        <x:v>CORP-0269</x:v>
      </x:c>
      <x:c r="D1081" s="12" t="str">
        <x:v>Indore</x:v>
      </x:c>
      <x:c r="E1081" s="12" t="str">
        <x:v>Metro Tower</x:v>
      </x:c>
      <x:c r="F1081" s="12" t="str">
        <x:v>43 inch LED TV</x:v>
      </x:c>
      <x:c r="G1081" s="20" t="n">
        <x:v>2</x:v>
      </x:c>
      <x:c r="H1081" s="12" t="str">
        <x:v>Inventory-listed building/workspace context; current occupancy and screen access unverified</x:v>
      </x:c>
      <x:c r="I1081" s="12" t="str">
        <x:v>Small-scale prospects</x:v>
      </x:c>
      <x:c r="J1081" s="12" t="str">
        <x:v>Trade, consumer &amp; logistics</x:v>
      </x:c>
      <x:c r="K1081" s="2" t="str">
        <x:v>MAIN-273</x:v>
      </x:c>
    </x:row>
    <x:row r="1082" ht="46" customHeight="1">
      <x:c r="A1082" s="2" t="str">
        <x:v>TEN-D60A7EBBA35C</x:v>
      </x:c>
      <x:c r="B1082" s="12" t="str">
        <x:v>Aspire Techlish Solutions LLP</x:v>
      </x:c>
      <x:c r="C1082" s="12" t="str">
        <x:v>CORP-0269</x:v>
      </x:c>
      <x:c r="D1082" s="12" t="str">
        <x:v>Indore</x:v>
      </x:c>
      <x:c r="E1082" s="12" t="str">
        <x:v>Metro Tower</x:v>
      </x:c>
      <x:c r="F1082" s="12" t="str">
        <x:v>43 inch LED TV</x:v>
      </x:c>
      <x:c r="G1082" s="20" t="n">
        <x:v>2</x:v>
      </x:c>
      <x:c r="H1082" s="12" t="str">
        <x:v>Inventory-listed building/workspace context; current occupancy and screen access unverified</x:v>
      </x:c>
      <x:c r="I1082" s="12" t="str">
        <x:v>Mixed business audience</x:v>
      </x:c>
      <x:c r="J1082" s="12" t="str">
        <x:v>Unresolved</x:v>
      </x:c>
      <x:c r="K1082" s="2" t="str">
        <x:v>MAIN-273</x:v>
      </x:c>
    </x:row>
    <x:row r="1083" ht="46" customHeight="1">
      <x:c r="A1083" s="2" t="str">
        <x:v>TEN-13B3D65B3A89</x:v>
      </x:c>
      <x:c r="B1083" s="12" t="str">
        <x:v>Workie</x:v>
      </x:c>
      <x:c r="C1083" s="12" t="str">
        <x:v>CORP-0270</x:v>
      </x:c>
      <x:c r="D1083" s="12" t="str">
        <x:v>Indore</x:v>
      </x:c>
      <x:c r="E1083" s="12" t="str">
        <x:v>Princess Sky Line</x:v>
      </x:c>
      <x:c r="F1083" s="12" t="str">
        <x:v>55 inch LED TV</x:v>
      </x:c>
      <x:c r="G1083" s="20" t="n">
        <x:v>1</x:v>
      </x:c>
      <x:c r="H1083" s="12" t="str">
        <x:v>Inventory-listed building/workspace context; current occupancy and screen access unverified</x:v>
      </x:c>
      <x:c r="I1083" s="12" t="str">
        <x:v>Mixed business audience</x:v>
      </x:c>
      <x:c r="J1083" s="12" t="str">
        <x:v>Workspace &amp; property operations</x:v>
      </x:c>
      <x:c r="K1083" s="2" t="str">
        <x:v>MAIN-274</x:v>
      </x:c>
    </x:row>
    <x:row r="1084" ht="46" customHeight="1">
      <x:c r="A1084" s="2" t="str">
        <x:v>TEN-21F20696E755</x:v>
      </x:c>
      <x:c r="B1084" s="12" t="str">
        <x:v>Seventh IT Technology</x:v>
      </x:c>
      <x:c r="C1084" s="12" t="str">
        <x:v>CORP-0270</x:v>
      </x:c>
      <x:c r="D1084" s="12" t="str">
        <x:v>Indore</x:v>
      </x:c>
      <x:c r="E1084" s="12" t="str">
        <x:v>Princess Sky Line</x:v>
      </x:c>
      <x:c r="F1084" s="12" t="str">
        <x:v>55 inch LED TV</x:v>
      </x:c>
      <x:c r="G1084" s="20" t="n">
        <x:v>1</x:v>
      </x:c>
      <x:c r="H1084" s="12" t="str">
        <x:v>Inventory-listed building/workspace context; current occupancy and screen access unverified</x:v>
      </x:c>
      <x:c r="I1084" s="12" t="str">
        <x:v>Mixed business audience</x:v>
      </x:c>
      <x:c r="J1084" s="12" t="str">
        <x:v>Unresolved</x:v>
      </x:c>
      <x:c r="K1084" s="2" t="str">
        <x:v>MAIN-274</x:v>
      </x:c>
    </x:row>
    <x:row r="1085" ht="46" customHeight="1">
      <x:c r="A1085" s="2" t="str">
        <x:v>TEN-285D895E54B2</x:v>
      </x:c>
      <x:c r="B1085" s="12" t="str">
        <x:v>Visa Alliance</x:v>
      </x:c>
      <x:c r="C1085" s="12" t="str">
        <x:v>CORP-0270</x:v>
      </x:c>
      <x:c r="D1085" s="12" t="str">
        <x:v>Indore</x:v>
      </x:c>
      <x:c r="E1085" s="12" t="str">
        <x:v>Princess Sky Line</x:v>
      </x:c>
      <x:c r="F1085" s="12" t="str">
        <x:v>55 inch LED TV</x:v>
      </x:c>
      <x:c r="G1085" s="20" t="n">
        <x:v>1</x:v>
      </x:c>
      <x:c r="H1085" s="12" t="str">
        <x:v>Inventory-listed building/workspace context; current occupancy and screen access unverified</x:v>
      </x:c>
      <x:c r="I1085" s="12" t="str">
        <x:v>Medium-scale prospects</x:v>
      </x:c>
      <x:c r="J1085" s="12" t="str">
        <x:v>Finance &amp; insurance</x:v>
      </x:c>
      <x:c r="K1085" s="2" t="str">
        <x:v>MAIN-274</x:v>
      </x:c>
    </x:row>
    <x:row r="1086" ht="46" customHeight="1">
      <x:c r="A1086" s="2" t="str">
        <x:v>TEN-3532BE488AD1</x:v>
      </x:c>
      <x:c r="B1086" s="12" t="str">
        <x:v>SOFTOPS</x:v>
      </x:c>
      <x:c r="C1086" s="12" t="str">
        <x:v>CORP-0270</x:v>
      </x:c>
      <x:c r="D1086" s="12" t="str">
        <x:v>Indore</x:v>
      </x:c>
      <x:c r="E1086" s="12" t="str">
        <x:v>Princess Sky Line</x:v>
      </x:c>
      <x:c r="F1086" s="12" t="str">
        <x:v>55 inch LED TV</x:v>
      </x:c>
      <x:c r="G1086" s="20" t="n">
        <x:v>1</x:v>
      </x:c>
      <x:c r="H1086" s="12" t="str">
        <x:v>Inventory-listed building/workspace context; current occupancy and screen access unverified</x:v>
      </x:c>
      <x:c r="I1086" s="12" t="str">
        <x:v>Small-scale prospects</x:v>
      </x:c>
      <x:c r="J1086" s="12" t="str">
        <x:v>IT &amp; digital</x:v>
      </x:c>
      <x:c r="K1086" s="2" t="str">
        <x:v>MAIN-274</x:v>
      </x:c>
    </x:row>
    <x:row r="1087" ht="46" customHeight="1">
      <x:c r="A1087" s="2" t="str">
        <x:v>TEN-391AC3F6E1D6</x:v>
      </x:c>
      <x:c r="B1087" s="12" t="str">
        <x:v>Phoenix Event Media</x:v>
      </x:c>
      <x:c r="C1087" s="12" t="str">
        <x:v>CORP-0270</x:v>
      </x:c>
      <x:c r="D1087" s="12" t="str">
        <x:v>Indore</x:v>
      </x:c>
      <x:c r="E1087" s="12" t="str">
        <x:v>Princess Sky Line</x:v>
      </x:c>
      <x:c r="F1087" s="12" t="str">
        <x:v>55 inch LED TV</x:v>
      </x:c>
      <x:c r="G1087" s="20" t="n">
        <x:v>1</x:v>
      </x:c>
      <x:c r="H1087" s="12" t="str">
        <x:v>Inventory-listed building/workspace context; current occupancy and screen access unverified</x:v>
      </x:c>
      <x:c r="I1087" s="12" t="str">
        <x:v>Small-scale prospects</x:v>
      </x:c>
      <x:c r="J1087" s="12" t="str">
        <x:v>Trade, consumer &amp; logistics</x:v>
      </x:c>
      <x:c r="K1087" s="2" t="str">
        <x:v>MAIN-274</x:v>
      </x:c>
    </x:row>
    <x:row r="1088" ht="46" customHeight="1">
      <x:c r="A1088" s="2" t="str">
        <x:v>TEN-6F9E06E492D7</x:v>
      </x:c>
      <x:c r="B1088" s="12" t="str">
        <x:v>Sumeru Global</x:v>
      </x:c>
      <x:c r="C1088" s="12" t="str">
        <x:v>CORP-0270</x:v>
      </x:c>
      <x:c r="D1088" s="12" t="str">
        <x:v>Indore</x:v>
      </x:c>
      <x:c r="E1088" s="12" t="str">
        <x:v>Princess Sky Line</x:v>
      </x:c>
      <x:c r="F1088" s="12" t="str">
        <x:v>55 inch LED TV</x:v>
      </x:c>
      <x:c r="G1088" s="20" t="n">
        <x:v>1</x:v>
      </x:c>
      <x:c r="H1088" s="12" t="str">
        <x:v>Inventory-listed building/workspace context; current occupancy and screen access unverified</x:v>
      </x:c>
      <x:c r="I1088" s="12" t="str">
        <x:v>Mixed business audience</x:v>
      </x:c>
      <x:c r="J1088" s="12" t="str">
        <x:v>Unresolved</x:v>
      </x:c>
      <x:c r="K1088" s="2" t="str">
        <x:v>MAIN-274</x:v>
      </x:c>
    </x:row>
    <x:row r="1089" ht="46" customHeight="1">
      <x:c r="A1089" s="2" t="str">
        <x:v>TEN-779119155C24</x:v>
      </x:c>
      <x:c r="B1089" s="12" t="str">
        <x:v>ESP Softech</x:v>
      </x:c>
      <x:c r="C1089" s="12" t="str">
        <x:v>CORP-0270</x:v>
      </x:c>
      <x:c r="D1089" s="12" t="str">
        <x:v>Indore</x:v>
      </x:c>
      <x:c r="E1089" s="12" t="str">
        <x:v>Princess Sky Line</x:v>
      </x:c>
      <x:c r="F1089" s="12" t="str">
        <x:v>55 inch LED TV</x:v>
      </x:c>
      <x:c r="G1089" s="20" t="n">
        <x:v>1</x:v>
      </x:c>
      <x:c r="H1089" s="12" t="str">
        <x:v>Inventory-listed building/workspace context; current occupancy and screen access unverified</x:v>
      </x:c>
      <x:c r="I1089" s="12" t="str">
        <x:v>Small-scale prospects</x:v>
      </x:c>
      <x:c r="J1089" s="12" t="str">
        <x:v>IT &amp; digital</x:v>
      </x:c>
      <x:c r="K1089" s="2" t="str">
        <x:v>MAIN-274</x:v>
      </x:c>
    </x:row>
    <x:row r="1090" ht="46" customHeight="1">
      <x:c r="A1090" s="2" t="str">
        <x:v>TEN-9DA70176374D</x:v>
      </x:c>
      <x:c r="B1090" s="12" t="str">
        <x:v>Westside</x:v>
      </x:c>
      <x:c r="C1090" s="12" t="str">
        <x:v>CORP-0270</x:v>
      </x:c>
      <x:c r="D1090" s="12" t="str">
        <x:v>Indore</x:v>
      </x:c>
      <x:c r="E1090" s="12" t="str">
        <x:v>Princess Sky Line</x:v>
      </x:c>
      <x:c r="F1090" s="12" t="str">
        <x:v>55 inch LED TV</x:v>
      </x:c>
      <x:c r="G1090" s="20" t="n">
        <x:v>1</x:v>
      </x:c>
      <x:c r="H1090" s="12" t="str">
        <x:v>Inventory-listed building/workspace context; current occupancy and screen access unverified</x:v>
      </x:c>
      <x:c r="I1090" s="12" t="str">
        <x:v>Large enterprise</x:v>
      </x:c>
      <x:c r="J1090" s="12" t="str">
        <x:v>Trade, consumer &amp; logistics</x:v>
      </x:c>
      <x:c r="K1090" s="2" t="str">
        <x:v>MAIN-274</x:v>
      </x:c>
    </x:row>
    <x:row r="1091" ht="46" customHeight="1">
      <x:c r="A1091" s="2" t="str">
        <x:v>TEN-9EC50CBFF08B</x:v>
      </x:c>
      <x:c r="B1091" s="12" t="str">
        <x:v>TATA Play</x:v>
      </x:c>
      <x:c r="C1091" s="12" t="str">
        <x:v>CORP-0270</x:v>
      </x:c>
      <x:c r="D1091" s="12" t="str">
        <x:v>Indore</x:v>
      </x:c>
      <x:c r="E1091" s="12" t="str">
        <x:v>Princess Sky Line</x:v>
      </x:c>
      <x:c r="F1091" s="12" t="str">
        <x:v>55 inch LED TV</x:v>
      </x:c>
      <x:c r="G1091" s="20" t="n">
        <x:v>1</x:v>
      </x:c>
      <x:c r="H1091" s="12" t="str">
        <x:v>Inventory-listed building/workspace context; current occupancy and screen access unverified</x:v>
      </x:c>
      <x:c r="I1091" s="12" t="str">
        <x:v>Large enterprise</x:v>
      </x:c>
      <x:c r="J1091" s="12" t="str">
        <x:v>IT &amp; digital</x:v>
      </x:c>
      <x:c r="K1091" s="2" t="str">
        <x:v>MAIN-274</x:v>
      </x:c>
    </x:row>
    <x:row r="1092" ht="46" customHeight="1">
      <x:c r="A1092" s="2" t="str">
        <x:v>TEN-C548E6EFB312</x:v>
      </x:c>
      <x:c r="B1092" s="12" t="str">
        <x:v>Havells</x:v>
      </x:c>
      <x:c r="C1092" s="12" t="str">
        <x:v>CORP-0270</x:v>
      </x:c>
      <x:c r="D1092" s="12" t="str">
        <x:v>Indore</x:v>
      </x:c>
      <x:c r="E1092" s="12" t="str">
        <x:v>Princess Sky Line</x:v>
      </x:c>
      <x:c r="F1092" s="12" t="str">
        <x:v>55 inch LED TV</x:v>
      </x:c>
      <x:c r="G1092" s="20" t="n">
        <x:v>1</x:v>
      </x:c>
      <x:c r="H1092" s="12" t="str">
        <x:v>Inventory-listed building/workspace context; current occupancy and screen access unverified</x:v>
      </x:c>
      <x:c r="I1092" s="12" t="str">
        <x:v>Mixed business audience</x:v>
      </x:c>
      <x:c r="J1092" s="12" t="str">
        <x:v>Engineering &amp; manufacturing</x:v>
      </x:c>
      <x:c r="K1092" s="2" t="str">
        <x:v>MAIN-274</x:v>
      </x:c>
    </x:row>
    <x:row r="1093" ht="46" customHeight="1">
      <x:c r="A1093" s="2" t="str">
        <x:v>TEN-C912B7601C6F</x:v>
      </x:c>
      <x:c r="B1093" s="12" t="str">
        <x:v>L&amp;T Construction</x:v>
      </x:c>
      <x:c r="C1093" s="12" t="str">
        <x:v>CORP-0270</x:v>
      </x:c>
      <x:c r="D1093" s="12" t="str">
        <x:v>Indore</x:v>
      </x:c>
      <x:c r="E1093" s="12" t="str">
        <x:v>Princess Sky Line</x:v>
      </x:c>
      <x:c r="F1093" s="12" t="str">
        <x:v>55 inch LED TV</x:v>
      </x:c>
      <x:c r="G1093" s="20" t="n">
        <x:v>1</x:v>
      </x:c>
      <x:c r="H1093" s="12" t="str">
        <x:v>Inventory-listed building/workspace context; current occupancy and screen access unverified</x:v>
      </x:c>
      <x:c r="I1093" s="12" t="str">
        <x:v>Large enterprise</x:v>
      </x:c>
      <x:c r="J1093" s="12" t="str">
        <x:v>Engineering &amp; manufacturing</x:v>
      </x:c>
      <x:c r="K1093" s="2" t="str">
        <x:v>MAIN-274</x:v>
      </x:c>
    </x:row>
    <x:row r="1094" ht="46" customHeight="1">
      <x:c r="A1094" s="2" t="str">
        <x:v>TEN-CDFF61B47EDF</x:v>
      </x:c>
      <x:c r="B1094" s="12" t="str">
        <x:v>Kabelo</x:v>
      </x:c>
      <x:c r="C1094" s="12" t="str">
        <x:v>CORP-0270</x:v>
      </x:c>
      <x:c r="D1094" s="12" t="str">
        <x:v>Indore</x:v>
      </x:c>
      <x:c r="E1094" s="12" t="str">
        <x:v>Princess Sky Line</x:v>
      </x:c>
      <x:c r="F1094" s="12" t="str">
        <x:v>55 inch LED TV</x:v>
      </x:c>
      <x:c r="G1094" s="20" t="n">
        <x:v>1</x:v>
      </x:c>
      <x:c r="H1094" s="12" t="str">
        <x:v>Inventory-listed building/workspace context; current occupancy and screen access unverified</x:v>
      </x:c>
      <x:c r="I1094" s="12" t="str">
        <x:v>Mixed business audience</x:v>
      </x:c>
      <x:c r="J1094" s="12" t="str">
        <x:v>Unresolved</x:v>
      </x:c>
      <x:c r="K1094" s="2" t="str">
        <x:v>MAIN-274</x:v>
      </x:c>
    </x:row>
    <x:row r="1095" ht="46" customHeight="1">
      <x:c r="A1095" s="2" t="str">
        <x:v>TEN-DF9DEDCFAC33</x:v>
      </x:c>
      <x:c r="B1095" s="12" t="str">
        <x:v>Integra Magna</x:v>
      </x:c>
      <x:c r="C1095" s="12" t="str">
        <x:v>CORP-0270</x:v>
      </x:c>
      <x:c r="D1095" s="12" t="str">
        <x:v>Indore</x:v>
      </x:c>
      <x:c r="E1095" s="12" t="str">
        <x:v>Princess Sky Line</x:v>
      </x:c>
      <x:c r="F1095" s="12" t="str">
        <x:v>55 inch LED TV</x:v>
      </x:c>
      <x:c r="G1095" s="20" t="n">
        <x:v>1</x:v>
      </x:c>
      <x:c r="H1095" s="12" t="str">
        <x:v>Inventory-listed building/workspace context; current occupancy and screen access unverified</x:v>
      </x:c>
      <x:c r="I1095" s="12" t="str">
        <x:v>Small-scale prospects</x:v>
      </x:c>
      <x:c r="J1095" s="12" t="str">
        <x:v>Professional services</x:v>
      </x:c>
      <x:c r="K1095" s="2" t="str">
        <x:v>MAIN-274</x:v>
      </x:c>
    </x:row>
    <x:row r="1096" ht="46" customHeight="1">
      <x:c r="A1096" s="2" t="str">
        <x:v>TEN-EBEED76FF4AE</x:v>
      </x:c>
      <x:c r="B1096" s="12" t="str">
        <x:v>Work Fox</x:v>
      </x:c>
      <x:c r="C1096" s="12" t="str">
        <x:v>CORP-0270</x:v>
      </x:c>
      <x:c r="D1096" s="12" t="str">
        <x:v>Indore</x:v>
      </x:c>
      <x:c r="E1096" s="12" t="str">
        <x:v>Princess Sky Line</x:v>
      </x:c>
      <x:c r="F1096" s="12" t="str">
        <x:v>55 inch LED TV</x:v>
      </x:c>
      <x:c r="G1096" s="20" t="n">
        <x:v>1</x:v>
      </x:c>
      <x:c r="H1096" s="12" t="str">
        <x:v>Inventory-listed building/workspace context; current occupancy and screen access unverified</x:v>
      </x:c>
      <x:c r="I1096" s="12" t="str">
        <x:v>Mixed business audience</x:v>
      </x:c>
      <x:c r="J1096" s="12" t="str">
        <x:v>Unresolved</x:v>
      </x:c>
      <x:c r="K1096" s="2" t="str">
        <x:v>MAIN-274</x:v>
      </x:c>
    </x:row>
    <x:row r="1097" ht="46" customHeight="1">
      <x:c r="A1097" s="2" t="str">
        <x:v>TEN-EEC364C03494</x:v>
      </x:c>
      <x:c r="B1097" s="12" t="str">
        <x:v>RAS Infra</x:v>
      </x:c>
      <x:c r="C1097" s="12" t="str">
        <x:v>CORP-0270</x:v>
      </x:c>
      <x:c r="D1097" s="12" t="str">
        <x:v>Indore</x:v>
      </x:c>
      <x:c r="E1097" s="12" t="str">
        <x:v>Princess Sky Line</x:v>
      </x:c>
      <x:c r="F1097" s="12" t="str">
        <x:v>55 inch LED TV</x:v>
      </x:c>
      <x:c r="G1097" s="20" t="n">
        <x:v>1</x:v>
      </x:c>
      <x:c r="H1097" s="12" t="str">
        <x:v>Inventory-listed building/workspace context; current occupancy and screen access unverified</x:v>
      </x:c>
      <x:c r="I1097" s="12" t="str">
        <x:v>Medium-scale prospects</x:v>
      </x:c>
      <x:c r="J1097" s="12" t="str">
        <x:v>Engineering &amp; manufacturing</x:v>
      </x:c>
      <x:c r="K1097" s="2" t="str">
        <x:v>MAIN-274</x:v>
      </x:c>
    </x:row>
    <x:row r="1098" ht="46" customHeight="1">
      <x:c r="A1098" s="2" t="str">
        <x:v>TEN-FE47F9E7F7A1</x:v>
      </x:c>
      <x:c r="B1098" s="12" t="str">
        <x:v>AngelOne</x:v>
      </x:c>
      <x:c r="C1098" s="12" t="str">
        <x:v>CORP-0270</x:v>
      </x:c>
      <x:c r="D1098" s="12" t="str">
        <x:v>Indore</x:v>
      </x:c>
      <x:c r="E1098" s="12" t="str">
        <x:v>Princess Sky Line</x:v>
      </x:c>
      <x:c r="F1098" s="12" t="str">
        <x:v>55 inch LED TV</x:v>
      </x:c>
      <x:c r="G1098" s="20" t="n">
        <x:v>1</x:v>
      </x:c>
      <x:c r="H1098" s="12" t="str">
        <x:v>Inventory-listed building/workspace context; current occupancy and screen access unverified</x:v>
      </x:c>
      <x:c r="I1098" s="12" t="str">
        <x:v>Mixed business audience</x:v>
      </x:c>
      <x:c r="J1098" s="12" t="str">
        <x:v>Finance &amp; insurance</x:v>
      </x:c>
      <x:c r="K1098" s="2" t="str">
        <x:v>MAIN-274</x:v>
      </x:c>
    </x:row>
    <x:row r="1099" ht="46" customHeight="1">
      <x:c r="A1099" s="2" t="str">
        <x:v>TEN-08BAA6938F5C</x:v>
      </x:c>
      <x:c r="B1099" s="12" t="str">
        <x:v>PNB Met Life</x:v>
      </x:c>
      <x:c r="C1099" s="12" t="str">
        <x:v>CORP-0271</x:v>
      </x:c>
      <x:c r="D1099" s="12" t="str">
        <x:v>Indore</x:v>
      </x:c>
      <x:c r="E1099" s="12" t="str">
        <x:v>Princess Sky Park</x:v>
      </x:c>
      <x:c r="F1099" s="12" t="str">
        <x:v>55 inch LED TV</x:v>
      </x:c>
      <x:c r="G1099" s="20" t="n">
        <x:v>1</x:v>
      </x:c>
      <x:c r="H1099" s="12" t="str">
        <x:v>Inventory-listed building/workspace context; current occupancy and screen access unverified</x:v>
      </x:c>
      <x:c r="I1099" s="12" t="str">
        <x:v>Mixed business audience</x:v>
      </x:c>
      <x:c r="J1099" s="12" t="str">
        <x:v>Finance &amp; insurance</x:v>
      </x:c>
      <x:c r="K1099" s="2" t="str">
        <x:v>MAIN-275</x:v>
      </x:c>
    </x:row>
    <x:row r="1100" ht="46" customHeight="1">
      <x:c r="A1100" s="2" t="str">
        <x:v>TEN-0BC851D8E886</x:v>
      </x:c>
      <x:c r="B1100" s="12" t="str">
        <x:v>Metro</x:v>
      </x:c>
      <x:c r="C1100" s="12" t="str">
        <x:v>CORP-0271</x:v>
      </x:c>
      <x:c r="D1100" s="12" t="str">
        <x:v>Indore</x:v>
      </x:c>
      <x:c r="E1100" s="12" t="str">
        <x:v>Princess Sky Park</x:v>
      </x:c>
      <x:c r="F1100" s="12" t="str">
        <x:v>55 inch LED TV</x:v>
      </x:c>
      <x:c r="G1100" s="20" t="n">
        <x:v>1</x:v>
      </x:c>
      <x:c r="H1100" s="12" t="str">
        <x:v>Inventory-listed building/workspace context; current occupancy and screen access unverified</x:v>
      </x:c>
      <x:c r="I1100" s="12" t="str">
        <x:v>Small-scale prospects</x:v>
      </x:c>
      <x:c r="J1100" s="12" t="str">
        <x:v>Trade, consumer &amp; logistics</x:v>
      </x:c>
      <x:c r="K1100" s="2" t="str">
        <x:v>MAIN-275</x:v>
      </x:c>
    </x:row>
    <x:row r="1101" ht="46" customHeight="1">
      <x:c r="A1101" s="2" t="str">
        <x:v>TEN-1BC985E184F6</x:v>
      </x:c>
      <x:c r="B1101" s="12" t="str">
        <x:v>Alzato Overseas Education</x:v>
      </x:c>
      <x:c r="C1101" s="12" t="str">
        <x:v>CORP-0271</x:v>
      </x:c>
      <x:c r="D1101" s="12" t="str">
        <x:v>Indore</x:v>
      </x:c>
      <x:c r="E1101" s="12" t="str">
        <x:v>Princess Sky Park</x:v>
      </x:c>
      <x:c r="F1101" s="12" t="str">
        <x:v>55 inch LED TV</x:v>
      </x:c>
      <x:c r="G1101" s="20" t="n">
        <x:v>1</x:v>
      </x:c>
      <x:c r="H1101" s="12" t="str">
        <x:v>Inventory-listed building/workspace context; current occupancy and screen access unverified</x:v>
      </x:c>
      <x:c r="I1101" s="12" t="str">
        <x:v>Small-scale prospects</x:v>
      </x:c>
      <x:c r="J1101" s="12" t="str">
        <x:v>Education</x:v>
      </x:c>
      <x:c r="K1101" s="2" t="str">
        <x:v>MAIN-275</x:v>
      </x:c>
    </x:row>
    <x:row r="1102" ht="46" customHeight="1">
      <x:c r="A1102" s="2" t="str">
        <x:v>TEN-2667DE31EFF0</x:v>
      </x:c>
      <x:c r="B1102" s="12" t="str">
        <x:v>Vguard</x:v>
      </x:c>
      <x:c r="C1102" s="12" t="str">
        <x:v>CORP-0271</x:v>
      </x:c>
      <x:c r="D1102" s="12" t="str">
        <x:v>Indore</x:v>
      </x:c>
      <x:c r="E1102" s="12" t="str">
        <x:v>Princess Sky Park</x:v>
      </x:c>
      <x:c r="F1102" s="12" t="str">
        <x:v>55 inch LED TV</x:v>
      </x:c>
      <x:c r="G1102" s="20" t="n">
        <x:v>1</x:v>
      </x:c>
      <x:c r="H1102" s="12" t="str">
        <x:v>Inventory-listed building/workspace context; current occupancy and screen access unverified</x:v>
      </x:c>
      <x:c r="I1102" s="12" t="str">
        <x:v>Mixed business audience</x:v>
      </x:c>
      <x:c r="J1102" s="12" t="str">
        <x:v>Engineering &amp; manufacturing</x:v>
      </x:c>
      <x:c r="K1102" s="2" t="str">
        <x:v>MAIN-275</x:v>
      </x:c>
    </x:row>
    <x:row r="1103" ht="46" customHeight="1">
      <x:c r="A1103" s="2" t="str">
        <x:v>TEN-342144404B2C</x:v>
      </x:c>
      <x:c r="B1103" s="12" t="str">
        <x:v>JC Ventures</x:v>
      </x:c>
      <x:c r="C1103" s="12" t="str">
        <x:v>CORP-0271</x:v>
      </x:c>
      <x:c r="D1103" s="12" t="str">
        <x:v>Indore</x:v>
      </x:c>
      <x:c r="E1103" s="12" t="str">
        <x:v>Princess Sky Park</x:v>
      </x:c>
      <x:c r="F1103" s="12" t="str">
        <x:v>55 inch LED TV</x:v>
      </x:c>
      <x:c r="G1103" s="20" t="n">
        <x:v>1</x:v>
      </x:c>
      <x:c r="H1103" s="12" t="str">
        <x:v>Inventory-listed building/workspace context; current occupancy and screen access unverified</x:v>
      </x:c>
      <x:c r="I1103" s="12" t="str">
        <x:v>Mixed business audience</x:v>
      </x:c>
      <x:c r="J1103" s="12" t="str">
        <x:v>Unresolved</x:v>
      </x:c>
      <x:c r="K1103" s="2" t="str">
        <x:v>MAIN-275</x:v>
      </x:c>
    </x:row>
    <x:row r="1104" ht="46" customHeight="1">
      <x:c r="A1104" s="2" t="str">
        <x:v>TEN-40A7E9ACB062</x:v>
      </x:c>
      <x:c r="B1104" s="12" t="str">
        <x:v>Titan</x:v>
      </x:c>
      <x:c r="C1104" s="12" t="str">
        <x:v>CORP-0271</x:v>
      </x:c>
      <x:c r="D1104" s="12" t="str">
        <x:v>Indore</x:v>
      </x:c>
      <x:c r="E1104" s="12" t="str">
        <x:v>Princess Sky Park</x:v>
      </x:c>
      <x:c r="F1104" s="12" t="str">
        <x:v>55 inch LED TV</x:v>
      </x:c>
      <x:c r="G1104" s="20" t="n">
        <x:v>1</x:v>
      </x:c>
      <x:c r="H1104" s="12" t="str">
        <x:v>Inventory-listed building/workspace context; current occupancy and screen access unverified</x:v>
      </x:c>
      <x:c r="I1104" s="12" t="str">
        <x:v>Large enterprise</x:v>
      </x:c>
      <x:c r="J1104" s="12" t="str">
        <x:v>Trade, consumer &amp; logistics</x:v>
      </x:c>
      <x:c r="K1104" s="2" t="str">
        <x:v>MAIN-275</x:v>
      </x:c>
    </x:row>
    <x:row r="1105" ht="46" customHeight="1">
      <x:c r="A1105" s="2" t="str">
        <x:v>TEN-48EF6586AAC8</x:v>
      </x:c>
      <x:c r="B1105" s="12" t="str">
        <x:v>JK Lakshmi Cement</x:v>
      </x:c>
      <x:c r="C1105" s="12" t="str">
        <x:v>CORP-0271</x:v>
      </x:c>
      <x:c r="D1105" s="12" t="str">
        <x:v>Indore</x:v>
      </x:c>
      <x:c r="E1105" s="12" t="str">
        <x:v>Princess Sky Park</x:v>
      </x:c>
      <x:c r="F1105" s="12" t="str">
        <x:v>55 inch LED TV</x:v>
      </x:c>
      <x:c r="G1105" s="20" t="n">
        <x:v>1</x:v>
      </x:c>
      <x:c r="H1105" s="12" t="str">
        <x:v>Inventory-listed building/workspace context; current occupancy and screen access unverified</x:v>
      </x:c>
      <x:c r="I1105" s="12" t="str">
        <x:v>Mixed business audience</x:v>
      </x:c>
      <x:c r="J1105" s="12" t="str">
        <x:v>Engineering &amp; manufacturing</x:v>
      </x:c>
      <x:c r="K1105" s="2" t="str">
        <x:v>MAIN-275</x:v>
      </x:c>
    </x:row>
    <x:row r="1106" ht="46" customHeight="1">
      <x:c r="A1106" s="2" t="str">
        <x:v>TEN-4E928BF5B45A</x:v>
      </x:c>
      <x:c r="B1106" s="12" t="str">
        <x:v>Morni Saree</x:v>
      </x:c>
      <x:c r="C1106" s="12" t="str">
        <x:v>CORP-0271</x:v>
      </x:c>
      <x:c r="D1106" s="12" t="str">
        <x:v>Indore</x:v>
      </x:c>
      <x:c r="E1106" s="12" t="str">
        <x:v>Princess Sky Park</x:v>
      </x:c>
      <x:c r="F1106" s="12" t="str">
        <x:v>55 inch LED TV</x:v>
      </x:c>
      <x:c r="G1106" s="20" t="n">
        <x:v>1</x:v>
      </x:c>
      <x:c r="H1106" s="12" t="str">
        <x:v>Inventory-listed building/workspace context; current occupancy and screen access unverified</x:v>
      </x:c>
      <x:c r="I1106" s="12" t="str">
        <x:v>Small-scale prospects</x:v>
      </x:c>
      <x:c r="J1106" s="12" t="str">
        <x:v>Trade, consumer &amp; logistics</x:v>
      </x:c>
      <x:c r="K1106" s="2" t="str">
        <x:v>MAIN-275</x:v>
      </x:c>
    </x:row>
    <x:row r="1107" ht="46" customHeight="1">
      <x:c r="A1107" s="2" t="str">
        <x:v>TEN-6BF6072410B7</x:v>
      </x:c>
      <x:c r="B1107" s="12" t="str">
        <x:v>Tanishq</x:v>
      </x:c>
      <x:c r="C1107" s="12" t="str">
        <x:v>CORP-0271</x:v>
      </x:c>
      <x:c r="D1107" s="12" t="str">
        <x:v>Indore</x:v>
      </x:c>
      <x:c r="E1107" s="12" t="str">
        <x:v>Princess Sky Park</x:v>
      </x:c>
      <x:c r="F1107" s="12" t="str">
        <x:v>55 inch LED TV</x:v>
      </x:c>
      <x:c r="G1107" s="20" t="n">
        <x:v>1</x:v>
      </x:c>
      <x:c r="H1107" s="12" t="str">
        <x:v>Inventory-listed building/workspace context; current occupancy and screen access unverified</x:v>
      </x:c>
      <x:c r="I1107" s="12" t="str">
        <x:v>Large enterprise</x:v>
      </x:c>
      <x:c r="J1107" s="12" t="str">
        <x:v>Trade, consumer &amp; logistics</x:v>
      </x:c>
      <x:c r="K1107" s="2" t="str">
        <x:v>MAIN-275</x:v>
      </x:c>
    </x:row>
    <x:row r="1108" ht="46" customHeight="1">
      <x:c r="A1108" s="2" t="str">
        <x:v>TEN-6D11383E271F</x:v>
      </x:c>
      <x:c r="B1108" s="12" t="str">
        <x:v>Rise Agro Infra Pvt. Ltd</x:v>
      </x:c>
      <x:c r="C1108" s="12" t="str">
        <x:v>CORP-0271</x:v>
      </x:c>
      <x:c r="D1108" s="12" t="str">
        <x:v>Indore</x:v>
      </x:c>
      <x:c r="E1108" s="12" t="str">
        <x:v>Princess Sky Park</x:v>
      </x:c>
      <x:c r="F1108" s="12" t="str">
        <x:v>55 inch LED TV</x:v>
      </x:c>
      <x:c r="G1108" s="20" t="n">
        <x:v>1</x:v>
      </x:c>
      <x:c r="H1108" s="12" t="str">
        <x:v>Inventory-listed building/workspace context; current occupancy and screen access unverified</x:v>
      </x:c>
      <x:c r="I1108" s="12" t="str">
        <x:v>Medium-scale prospects</x:v>
      </x:c>
      <x:c r="J1108" s="12" t="str">
        <x:v>Engineering &amp; manufacturing</x:v>
      </x:c>
      <x:c r="K1108" s="2" t="str">
        <x:v>MAIN-275</x:v>
      </x:c>
    </x:row>
    <x:row r="1109" ht="46" customHeight="1">
      <x:c r="A1109" s="2" t="str">
        <x:v>TEN-7746C2BF988E</x:v>
      </x:c>
      <x:c r="B1109" s="12" t="str">
        <x:v>Kone</x:v>
      </x:c>
      <x:c r="C1109" s="12" t="str">
        <x:v>CORP-0271</x:v>
      </x:c>
      <x:c r="D1109" s="12" t="str">
        <x:v>Indore</x:v>
      </x:c>
      <x:c r="E1109" s="12" t="str">
        <x:v>Princess Sky Park</x:v>
      </x:c>
      <x:c r="F1109" s="12" t="str">
        <x:v>55 inch LED TV</x:v>
      </x:c>
      <x:c r="G1109" s="20" t="n">
        <x:v>1</x:v>
      </x:c>
      <x:c r="H1109" s="12" t="str">
        <x:v>Inventory-listed building/workspace context; current occupancy and screen access unverified</x:v>
      </x:c>
      <x:c r="I1109" s="12" t="str">
        <x:v>Mixed business audience</x:v>
      </x:c>
      <x:c r="J1109" s="12" t="str">
        <x:v>Engineering &amp; manufacturing</x:v>
      </x:c>
      <x:c r="K1109" s="2" t="str">
        <x:v>MAIN-275</x:v>
      </x:c>
    </x:row>
    <x:row r="1110" ht="46" customHeight="1">
      <x:c r="A1110" s="2" t="str">
        <x:v>TEN-8147E6FED86D</x:v>
      </x:c>
      <x:c r="B1110" s="12" t="str">
        <x:v>OPPO</x:v>
      </x:c>
      <x:c r="C1110" s="12" t="str">
        <x:v>CORP-0271</x:v>
      </x:c>
      <x:c r="D1110" s="12" t="str">
        <x:v>Indore</x:v>
      </x:c>
      <x:c r="E1110" s="12" t="str">
        <x:v>Princess Sky Park</x:v>
      </x:c>
      <x:c r="F1110" s="12" t="str">
        <x:v>55 inch LED TV</x:v>
      </x:c>
      <x:c r="G1110" s="20" t="n">
        <x:v>1</x:v>
      </x:c>
      <x:c r="H1110" s="12" t="str">
        <x:v>Inventory-listed building/workspace context; current occupancy and screen access unverified</x:v>
      </x:c>
      <x:c r="I1110" s="12" t="str">
        <x:v>Mixed business audience</x:v>
      </x:c>
      <x:c r="J1110" s="12" t="str">
        <x:v>Engineering &amp; manufacturing</x:v>
      </x:c>
      <x:c r="K1110" s="2" t="str">
        <x:v>MAIN-275</x:v>
      </x:c>
    </x:row>
    <x:row r="1111" ht="46" customHeight="1">
      <x:c r="A1111" s="2" t="str">
        <x:v>TEN-9CC857B15A66</x:v>
      </x:c>
      <x:c r="B1111" s="12" t="str">
        <x:v>USHA</x:v>
      </x:c>
      <x:c r="C1111" s="12" t="str">
        <x:v>CORP-0271</x:v>
      </x:c>
      <x:c r="D1111" s="12" t="str">
        <x:v>Indore</x:v>
      </x:c>
      <x:c r="E1111" s="12" t="str">
        <x:v>Princess Sky Park</x:v>
      </x:c>
      <x:c r="F1111" s="12" t="str">
        <x:v>55 inch LED TV</x:v>
      </x:c>
      <x:c r="G1111" s="20" t="n">
        <x:v>1</x:v>
      </x:c>
      <x:c r="H1111" s="12" t="str">
        <x:v>Inventory-listed building/workspace context; current occupancy and screen access unverified</x:v>
      </x:c>
      <x:c r="I1111" s="12" t="str">
        <x:v>Mixed business audience</x:v>
      </x:c>
      <x:c r="J1111" s="12" t="str">
        <x:v>Engineering &amp; manufacturing</x:v>
      </x:c>
      <x:c r="K1111" s="2" t="str">
        <x:v>MAIN-275</x:v>
      </x:c>
    </x:row>
    <x:row r="1112" ht="46" customHeight="1">
      <x:c r="A1112" s="2" t="str">
        <x:v>TEN-9E5953867F35</x:v>
      </x:c>
      <x:c r="B1112" s="12" t="str">
        <x:v>Sony Pictures</x:v>
      </x:c>
      <x:c r="C1112" s="12" t="str">
        <x:v>CORP-0271</x:v>
      </x:c>
      <x:c r="D1112" s="12" t="str">
        <x:v>Indore</x:v>
      </x:c>
      <x:c r="E1112" s="12" t="str">
        <x:v>Princess Sky Park</x:v>
      </x:c>
      <x:c r="F1112" s="12" t="str">
        <x:v>55 inch LED TV</x:v>
      </x:c>
      <x:c r="G1112" s="20" t="n">
        <x:v>1</x:v>
      </x:c>
      <x:c r="H1112" s="12" t="str">
        <x:v>Inventory-listed building/workspace context; current occupancy and screen access unverified</x:v>
      </x:c>
      <x:c r="I1112" s="12" t="str">
        <x:v>Mixed business audience</x:v>
      </x:c>
      <x:c r="J1112" s="12" t="str">
        <x:v>Trade, consumer &amp; logistics</x:v>
      </x:c>
      <x:c r="K1112" s="2" t="str">
        <x:v>MAIN-275</x:v>
      </x:c>
    </x:row>
    <x:row r="1113" ht="46" customHeight="1">
      <x:c r="A1113" s="2" t="str">
        <x:v>TEN-A38C2D7BFC42</x:v>
      </x:c>
      <x:c r="B1113" s="12" t="str">
        <x:v>Unilever</x:v>
      </x:c>
      <x:c r="C1113" s="12" t="str">
        <x:v>CORP-0271</x:v>
      </x:c>
      <x:c r="D1113" s="12" t="str">
        <x:v>Indore</x:v>
      </x:c>
      <x:c r="E1113" s="12" t="str">
        <x:v>Princess Sky Park</x:v>
      </x:c>
      <x:c r="F1113" s="12" t="str">
        <x:v>55 inch LED TV</x:v>
      </x:c>
      <x:c r="G1113" s="20" t="n">
        <x:v>1</x:v>
      </x:c>
      <x:c r="H1113" s="12" t="str">
        <x:v>Inventory-listed building/workspace context; current occupancy and screen access unverified</x:v>
      </x:c>
      <x:c r="I1113" s="12" t="str">
        <x:v>Large enterprise</x:v>
      </x:c>
      <x:c r="J1113" s="12" t="str">
        <x:v>Trade, consumer &amp; logistics</x:v>
      </x:c>
      <x:c r="K1113" s="2" t="str">
        <x:v>MAIN-275</x:v>
      </x:c>
    </x:row>
    <x:row r="1114" ht="46" customHeight="1">
      <x:c r="A1114" s="2" t="str">
        <x:v>TEN-A6C5ECD8B565</x:v>
      </x:c>
      <x:c r="B1114" s="12" t="str">
        <x:v>WitMates</x:v>
      </x:c>
      <x:c r="C1114" s="12" t="str">
        <x:v>CORP-0271</x:v>
      </x:c>
      <x:c r="D1114" s="12" t="str">
        <x:v>Indore</x:v>
      </x:c>
      <x:c r="E1114" s="12" t="str">
        <x:v>Princess Sky Park</x:v>
      </x:c>
      <x:c r="F1114" s="12" t="str">
        <x:v>55 inch LED TV</x:v>
      </x:c>
      <x:c r="G1114" s="20" t="n">
        <x:v>1</x:v>
      </x:c>
      <x:c r="H1114" s="12" t="str">
        <x:v>Inventory-listed building/workspace context; current occupancy and screen access unverified</x:v>
      </x:c>
      <x:c r="I1114" s="12" t="str">
        <x:v>Mixed business audience</x:v>
      </x:c>
      <x:c r="J1114" s="12" t="str">
        <x:v>Unresolved</x:v>
      </x:c>
      <x:c r="K1114" s="2" t="str">
        <x:v>MAIN-275</x:v>
      </x:c>
    </x:row>
    <x:row r="1115" ht="46" customHeight="1">
      <x:c r="A1115" s="2" t="str">
        <x:v>TEN-B91BF0E0084F</x:v>
      </x:c>
      <x:c r="B1115" s="12" t="str">
        <x:v>cargill</x:v>
      </x:c>
      <x:c r="C1115" s="12" t="str">
        <x:v>CORP-0271</x:v>
      </x:c>
      <x:c r="D1115" s="12" t="str">
        <x:v>Indore</x:v>
      </x:c>
      <x:c r="E1115" s="12" t="str">
        <x:v>Princess Sky Park</x:v>
      </x:c>
      <x:c r="F1115" s="12" t="str">
        <x:v>55 inch LED TV</x:v>
      </x:c>
      <x:c r="G1115" s="20" t="n">
        <x:v>1</x:v>
      </x:c>
      <x:c r="H1115" s="12" t="str">
        <x:v>Inventory-listed building/workspace context; current occupancy and screen access unverified</x:v>
      </x:c>
      <x:c r="I1115" s="12" t="str">
        <x:v>Mixed business audience</x:v>
      </x:c>
      <x:c r="J1115" s="12" t="str">
        <x:v>Trade, consumer &amp; logistics</x:v>
      </x:c>
      <x:c r="K1115" s="2" t="str">
        <x:v>MAIN-275</x:v>
      </x:c>
    </x:row>
    <x:row r="1116" ht="46" customHeight="1">
      <x:c r="A1116" s="2" t="str">
        <x:v>TEN-BB5FB69704FE</x:v>
      </x:c>
      <x:c r="B1116" s="12" t="str">
        <x:v>Befree</x:v>
      </x:c>
      <x:c r="C1116" s="12" t="str">
        <x:v>CORP-0271</x:v>
      </x:c>
      <x:c r="D1116" s="12" t="str">
        <x:v>Indore</x:v>
      </x:c>
      <x:c r="E1116" s="12" t="str">
        <x:v>Princess Sky Park</x:v>
      </x:c>
      <x:c r="F1116" s="12" t="str">
        <x:v>55 inch LED TV</x:v>
      </x:c>
      <x:c r="G1116" s="20" t="n">
        <x:v>1</x:v>
      </x:c>
      <x:c r="H1116" s="12" t="str">
        <x:v>Inventory-listed building/workspace context; current occupancy and screen access unverified</x:v>
      </x:c>
      <x:c r="I1116" s="12" t="str">
        <x:v>Small-scale prospects</x:v>
      </x:c>
      <x:c r="J1116" s="12" t="str">
        <x:v>Professional services</x:v>
      </x:c>
      <x:c r="K1116" s="2" t="str">
        <x:v>MAIN-275</x:v>
      </x:c>
    </x:row>
    <x:row r="1117" ht="46" customHeight="1">
      <x:c r="A1117" s="2" t="str">
        <x:v>TEN-D158BE41DB87</x:v>
      </x:c>
      <x:c r="B1117" s="12" t="str">
        <x:v>Mars</x:v>
      </x:c>
      <x:c r="C1117" s="12" t="str">
        <x:v>CORP-0271</x:v>
      </x:c>
      <x:c r="D1117" s="12" t="str">
        <x:v>Indore</x:v>
      </x:c>
      <x:c r="E1117" s="12" t="str">
        <x:v>Princess Sky Park</x:v>
      </x:c>
      <x:c r="F1117" s="12" t="str">
        <x:v>55 inch LED TV</x:v>
      </x:c>
      <x:c r="G1117" s="20" t="n">
        <x:v>1</x:v>
      </x:c>
      <x:c r="H1117" s="12" t="str">
        <x:v>Inventory-listed building/workspace context; current occupancy and screen access unverified</x:v>
      </x:c>
      <x:c r="I1117" s="12" t="str">
        <x:v>Mixed business audience</x:v>
      </x:c>
      <x:c r="J1117" s="12" t="str">
        <x:v>Trade, consumer &amp; logistics</x:v>
      </x:c>
      <x:c r="K1117" s="2" t="str">
        <x:v>MAIN-275</x:v>
      </x:c>
    </x:row>
    <x:row r="1118" ht="46" customHeight="1">
      <x:c r="A1118" s="2" t="str">
        <x:v>TEN-D462DBD2DAB0</x:v>
      </x:c>
      <x:c r="B1118" s="12" t="str">
        <x:v>JSW</x:v>
      </x:c>
      <x:c r="C1118" s="12" t="str">
        <x:v>CORP-0271</x:v>
      </x:c>
      <x:c r="D1118" s="12" t="str">
        <x:v>Indore</x:v>
      </x:c>
      <x:c r="E1118" s="12" t="str">
        <x:v>Princess Sky Park</x:v>
      </x:c>
      <x:c r="F1118" s="12" t="str">
        <x:v>55 inch LED TV</x:v>
      </x:c>
      <x:c r="G1118" s="20" t="n">
        <x:v>1</x:v>
      </x:c>
      <x:c r="H1118" s="12" t="str">
        <x:v>Inventory-listed building/workspace context; current occupancy and screen access unverified</x:v>
      </x:c>
      <x:c r="I1118" s="12" t="str">
        <x:v>Mixed business audience</x:v>
      </x:c>
      <x:c r="J1118" s="12" t="str">
        <x:v>Engineering &amp; manufacturing</x:v>
      </x:c>
      <x:c r="K1118" s="2" t="str">
        <x:v>MAIN-275</x:v>
      </x:c>
    </x:row>
    <x:row r="1119" ht="46" customHeight="1">
      <x:c r="A1119" s="2" t="str">
        <x:v>TEN-DC49949A782B</x:v>
      </x:c>
      <x:c r="B1119" s="12" t="str">
        <x:v>Crocs</x:v>
      </x:c>
      <x:c r="C1119" s="12" t="str">
        <x:v>CORP-0271</x:v>
      </x:c>
      <x:c r="D1119" s="12" t="str">
        <x:v>Indore</x:v>
      </x:c>
      <x:c r="E1119" s="12" t="str">
        <x:v>Princess Sky Park</x:v>
      </x:c>
      <x:c r="F1119" s="12" t="str">
        <x:v>55 inch LED TV</x:v>
      </x:c>
      <x:c r="G1119" s="20" t="n">
        <x:v>1</x:v>
      </x:c>
      <x:c r="H1119" s="12" t="str">
        <x:v>Inventory-listed building/workspace context; current occupancy and screen access unverified</x:v>
      </x:c>
      <x:c r="I1119" s="12" t="str">
        <x:v>Mixed business audience</x:v>
      </x:c>
      <x:c r="J1119" s="12" t="str">
        <x:v>Trade, consumer &amp; logistics</x:v>
      </x:c>
      <x:c r="K1119" s="2" t="str">
        <x:v>MAIN-275</x:v>
      </x:c>
    </x:row>
    <x:row r="1120" ht="46" customHeight="1">
      <x:c r="A1120" s="2" t="str">
        <x:v>TEN-F43C7B93298A</x:v>
      </x:c>
      <x:c r="B1120" s="12" t="str">
        <x:v>Antares</x:v>
      </x:c>
      <x:c r="C1120" s="12" t="str">
        <x:v>CORP-0271</x:v>
      </x:c>
      <x:c r="D1120" s="12" t="str">
        <x:v>Indore</x:v>
      </x:c>
      <x:c r="E1120" s="12" t="str">
        <x:v>Princess Sky Park</x:v>
      </x:c>
      <x:c r="F1120" s="12" t="str">
        <x:v>55 inch LED TV</x:v>
      </x:c>
      <x:c r="G1120" s="20" t="n">
        <x:v>1</x:v>
      </x:c>
      <x:c r="H1120" s="12" t="str">
        <x:v>Inventory-listed building/workspace context; current occupancy and screen access unverified</x:v>
      </x:c>
      <x:c r="I1120" s="12" t="str">
        <x:v>Mixed business audience</x:v>
      </x:c>
      <x:c r="J1120" s="12" t="str">
        <x:v>Unresolved</x:v>
      </x:c>
      <x:c r="K1120" s="2" t="str">
        <x:v>MAIN-275</x:v>
      </x:c>
    </x:row>
    <x:row r="1121" ht="46" customHeight="1">
      <x:c r="A1121" s="2" t="str">
        <x:v>TEN-F5DB59F358F0</x:v>
      </x:c>
      <x:c r="B1121" s="12" t="str">
        <x:v>JadeBlue</x:v>
      </x:c>
      <x:c r="C1121" s="12" t="str">
        <x:v>CORP-0271</x:v>
      </x:c>
      <x:c r="D1121" s="12" t="str">
        <x:v>Indore</x:v>
      </x:c>
      <x:c r="E1121" s="12" t="str">
        <x:v>Princess Sky Park</x:v>
      </x:c>
      <x:c r="F1121" s="12" t="str">
        <x:v>55 inch LED TV</x:v>
      </x:c>
      <x:c r="G1121" s="20" t="n">
        <x:v>1</x:v>
      </x:c>
      <x:c r="H1121" s="12" t="str">
        <x:v>Inventory-listed building/workspace context; current occupancy and screen access unverified</x:v>
      </x:c>
      <x:c r="I1121" s="12" t="str">
        <x:v>Mixed business audience</x:v>
      </x:c>
      <x:c r="J1121" s="12" t="str">
        <x:v>Trade, consumer &amp; logistics</x:v>
      </x:c>
      <x:c r="K1121" s="2" t="str">
        <x:v>MAIN-275</x:v>
      </x:c>
    </x:row>
    <x:row r="1122" ht="46" customHeight="1">
      <x:c r="A1122" s="2" t="str">
        <x:v>TEN-F8F474A55BEF</x:v>
      </x:c>
      <x:c r="B1122" s="12" t="str">
        <x:v>Supreme</x:v>
      </x:c>
      <x:c r="C1122" s="12" t="str">
        <x:v>CORP-0271</x:v>
      </x:c>
      <x:c r="D1122" s="12" t="str">
        <x:v>Indore</x:v>
      </x:c>
      <x:c r="E1122" s="12" t="str">
        <x:v>Princess Sky Park</x:v>
      </x:c>
      <x:c r="F1122" s="12" t="str">
        <x:v>55 inch LED TV</x:v>
      </x:c>
      <x:c r="G1122" s="20" t="n">
        <x:v>1</x:v>
      </x:c>
      <x:c r="H1122" s="12" t="str">
        <x:v>Inventory-listed building/workspace context; current occupancy and screen access unverified</x:v>
      </x:c>
      <x:c r="I1122" s="12" t="str">
        <x:v>Mixed business audience</x:v>
      </x:c>
      <x:c r="J1122" s="12" t="str">
        <x:v>Unresolved</x:v>
      </x:c>
      <x:c r="K1122" s="2" t="str">
        <x:v>MAIN-275</x:v>
      </x:c>
    </x:row>
    <x:row r="1123" ht="46" customHeight="1">
      <x:c r="A1123" s="2" t="str">
        <x:v>TEN-2DA96B231E19</x:v>
      </x:c>
      <x:c r="B1123" s="12" t="str">
        <x:v>Indra IVF</x:v>
      </x:c>
      <x:c r="C1123" s="12" t="str">
        <x:v>CORP-0272</x:v>
      </x:c>
      <x:c r="D1123" s="12" t="str">
        <x:v>Indore</x:v>
      </x:c>
      <x:c r="E1123" s="12" t="str">
        <x:v>Satyaraj Complex</x:v>
      </x:c>
      <x:c r="F1123" s="12" t="str">
        <x:v>43 inch LED TV</x:v>
      </x:c>
      <x:c r="G1123" s="20" t="n">
        <x:v>1</x:v>
      </x:c>
      <x:c r="H1123" s="12" t="str">
        <x:v>Inventory-listed building/workspace context; current occupancy and screen access unverified</x:v>
      </x:c>
      <x:c r="I1123" s="12" t="str">
        <x:v>Mixed business audience</x:v>
      </x:c>
      <x:c r="J1123" s="12" t="str">
        <x:v>Healthcare &amp; life sciences</x:v>
      </x:c>
      <x:c r="K1123" s="2" t="str">
        <x:v>MAIN-276</x:v>
      </x:c>
    </x:row>
    <x:row r="1124" ht="46" customHeight="1">
      <x:c r="A1124" s="2" t="str">
        <x:v>TEN-2E0B81FD4E43</x:v>
      </x:c>
      <x:c r="B1124" s="12" t="str">
        <x:v>Reliance Jewels</x:v>
      </x:c>
      <x:c r="C1124" s="12" t="str">
        <x:v>CORP-0272</x:v>
      </x:c>
      <x:c r="D1124" s="12" t="str">
        <x:v>Indore</x:v>
      </x:c>
      <x:c r="E1124" s="12" t="str">
        <x:v>Satyaraj Complex</x:v>
      </x:c>
      <x:c r="F1124" s="12" t="str">
        <x:v>43 inch LED TV</x:v>
      </x:c>
      <x:c r="G1124" s="20" t="n">
        <x:v>1</x:v>
      </x:c>
      <x:c r="H1124" s="12" t="str">
        <x:v>Inventory-listed building/workspace context; current occupancy and screen access unverified</x:v>
      </x:c>
      <x:c r="I1124" s="12" t="str">
        <x:v>Large enterprise</x:v>
      </x:c>
      <x:c r="J1124" s="12" t="str">
        <x:v>Trade, consumer &amp; logistics</x:v>
      </x:c>
      <x:c r="K1124" s="2" t="str">
        <x:v>MAIN-276</x:v>
      </x:c>
    </x:row>
    <x:row r="1125" ht="46" customHeight="1">
      <x:c r="A1125" s="2" t="str">
        <x:v>TEN-4390DF4D2AFF</x:v>
      </x:c>
      <x:c r="B1125" s="12" t="str">
        <x:v>HDFC Life</x:v>
      </x:c>
      <x:c r="C1125" s="12" t="str">
        <x:v>CORP-0272</x:v>
      </x:c>
      <x:c r="D1125" s="12" t="str">
        <x:v>Indore</x:v>
      </x:c>
      <x:c r="E1125" s="12" t="str">
        <x:v>Satyaraj Complex</x:v>
      </x:c>
      <x:c r="F1125" s="12" t="str">
        <x:v>43 inch LED TV</x:v>
      </x:c>
      <x:c r="G1125" s="20" t="n">
        <x:v>1</x:v>
      </x:c>
      <x:c r="H1125" s="12" t="str">
        <x:v>Inventory-listed building/workspace context; current occupancy and screen access unverified</x:v>
      </x:c>
      <x:c r="I1125" s="12" t="str">
        <x:v>Large enterprise</x:v>
      </x:c>
      <x:c r="J1125" s="12" t="str">
        <x:v>Finance &amp; insurance</x:v>
      </x:c>
      <x:c r="K1125" s="2" t="str">
        <x:v>MAIN-276</x:v>
      </x:c>
    </x:row>
    <x:row r="1126" ht="46" customHeight="1">
      <x:c r="A1126" s="2" t="str">
        <x:v>TEN-46F3D8FACEF4</x:v>
      </x:c>
      <x:c r="B1126" s="12" t="str">
        <x:v>The Eighteen</x:v>
      </x:c>
      <x:c r="C1126" s="12" t="str">
        <x:v>CORP-0272</x:v>
      </x:c>
      <x:c r="D1126" s="12" t="str">
        <x:v>Indore</x:v>
      </x:c>
      <x:c r="E1126" s="12" t="str">
        <x:v>Satyaraj Complex</x:v>
      </x:c>
      <x:c r="F1126" s="12" t="str">
        <x:v>43 inch LED TV</x:v>
      </x:c>
      <x:c r="G1126" s="20" t="n">
        <x:v>1</x:v>
      </x:c>
      <x:c r="H1126" s="12" t="str">
        <x:v>Inventory-listed building/workspace context; current occupancy and screen access unverified</x:v>
      </x:c>
      <x:c r="I1126" s="12" t="str">
        <x:v>Mixed business audience</x:v>
      </x:c>
      <x:c r="J1126" s="12" t="str">
        <x:v>Unresolved</x:v>
      </x:c>
      <x:c r="K1126" s="2" t="str">
        <x:v>MAIN-276</x:v>
      </x:c>
    </x:row>
    <x:row r="1127" ht="46" customHeight="1">
      <x:c r="A1127" s="2" t="str">
        <x:v>TEN-65326AA32AB9</x:v>
      </x:c>
      <x:c r="B1127" s="12" t="str">
        <x:v>State Bank of India</x:v>
      </x:c>
      <x:c r="C1127" s="12" t="str">
        <x:v>CORP-0272</x:v>
      </x:c>
      <x:c r="D1127" s="12" t="str">
        <x:v>Indore</x:v>
      </x:c>
      <x:c r="E1127" s="12" t="str">
        <x:v>Satyaraj Complex</x:v>
      </x:c>
      <x:c r="F1127" s="12" t="str">
        <x:v>43 inch LED TV</x:v>
      </x:c>
      <x:c r="G1127" s="20" t="n">
        <x:v>1</x:v>
      </x:c>
      <x:c r="H1127" s="12" t="str">
        <x:v>Inventory-listed building/workspace context; current occupancy and screen access unverified</x:v>
      </x:c>
      <x:c r="I1127" s="12" t="str">
        <x:v>Large enterprise</x:v>
      </x:c>
      <x:c r="J1127" s="12" t="str">
        <x:v>Finance &amp; insurance</x:v>
      </x:c>
      <x:c r="K1127" s="2" t="str">
        <x:v>MAIN-276</x:v>
      </x:c>
    </x:row>
    <x:row r="1128" ht="46" customHeight="1">
      <x:c r="A1128" s="2" t="str">
        <x:v>TEN-8F00E521A8BC</x:v>
      </x:c>
      <x:c r="B1128" s="12" t="str">
        <x:v>ORRA</x:v>
      </x:c>
      <x:c r="C1128" s="12" t="str">
        <x:v>CORP-0272</x:v>
      </x:c>
      <x:c r="D1128" s="12" t="str">
        <x:v>Indore</x:v>
      </x:c>
      <x:c r="E1128" s="12" t="str">
        <x:v>Satyaraj Complex</x:v>
      </x:c>
      <x:c r="F1128" s="12" t="str">
        <x:v>43 inch LED TV</x:v>
      </x:c>
      <x:c r="G1128" s="20" t="n">
        <x:v>1</x:v>
      </x:c>
      <x:c r="H1128" s="12" t="str">
        <x:v>Inventory-listed building/workspace context; current occupancy and screen access unverified</x:v>
      </x:c>
      <x:c r="I1128" s="12" t="str">
        <x:v>Mixed business audience</x:v>
      </x:c>
      <x:c r="J1128" s="12" t="str">
        <x:v>Trade, consumer &amp; logistics</x:v>
      </x:c>
      <x:c r="K1128" s="2" t="str">
        <x:v>MAIN-276</x:v>
      </x:c>
    </x:row>
    <x:row r="1129" ht="46" customHeight="1">
      <x:c r="A1129" s="2" t="str">
        <x:v>TEN-119AAADEDD3A</x:v>
      </x:c>
      <x:c r="B1129" s="12" t="str">
        <x:v>Whisper Media</x:v>
      </x:c>
      <x:c r="C1129" s="12" t="str">
        <x:v>CORP-0273</x:v>
      </x:c>
      <x:c r="D1129" s="12" t="str">
        <x:v>Kochi</x:v>
      </x:c>
      <x:c r="E1129" s="12" t="str">
        <x:v>Awfis - Mezmatrix</x:v>
      </x:c>
      <x:c r="F1129" s="12" t="str">
        <x:v>32 inch LED TV</x:v>
      </x:c>
      <x:c r="G1129" s="20" t="n">
        <x:v>2</x:v>
      </x:c>
      <x:c r="H1129" s="12" t="str">
        <x:v>Inventory-listed building/workspace context; current occupancy and screen access unverified</x:v>
      </x:c>
      <x:c r="I1129" s="12" t="str">
        <x:v>Small-scale prospects</x:v>
      </x:c>
      <x:c r="J1129" s="12" t="str">
        <x:v>Trade, consumer &amp; logistics</x:v>
      </x:c>
      <x:c r="K1129" s="2" t="str">
        <x:v>MAIN-277</x:v>
      </x:c>
    </x:row>
    <x:row r="1130" ht="46" customHeight="1">
      <x:c r="A1130" s="2" t="str">
        <x:v>TEN-1218A0632377</x:v>
      </x:c>
      <x:c r="B1130" s="12" t="str">
        <x:v>Qartlz Pvt.Ltd</x:v>
      </x:c>
      <x:c r="C1130" s="12" t="str">
        <x:v>CORP-0273</x:v>
      </x:c>
      <x:c r="D1130" s="12" t="str">
        <x:v>Kochi</x:v>
      </x:c>
      <x:c r="E1130" s="12" t="str">
        <x:v>Awfis - Mezmatrix</x:v>
      </x:c>
      <x:c r="F1130" s="12" t="str">
        <x:v>32 inch LED TV</x:v>
      </x:c>
      <x:c r="G1130" s="20" t="n">
        <x:v>2</x:v>
      </x:c>
      <x:c r="H1130" s="12" t="str">
        <x:v>Inventory-listed building/workspace context; current occupancy and screen access unverified</x:v>
      </x:c>
      <x:c r="I1130" s="12" t="str">
        <x:v>Mixed business audience</x:v>
      </x:c>
      <x:c r="J1130" s="12" t="str">
        <x:v>Unresolved</x:v>
      </x:c>
      <x:c r="K1130" s="2" t="str">
        <x:v>MAIN-277</x:v>
      </x:c>
    </x:row>
    <x:row r="1131" ht="46" customHeight="1">
      <x:c r="A1131" s="2" t="str">
        <x:v>TEN-2C43A4D50743</x:v>
      </x:c>
      <x:c r="B1131" s="12" t="str">
        <x:v>Edu Bird</x:v>
      </x:c>
      <x:c r="C1131" s="12" t="str">
        <x:v>CORP-0273</x:v>
      </x:c>
      <x:c r="D1131" s="12" t="str">
        <x:v>Kochi</x:v>
      </x:c>
      <x:c r="E1131" s="12" t="str">
        <x:v>Awfis - Mezmatrix</x:v>
      </x:c>
      <x:c r="F1131" s="12" t="str">
        <x:v>32 inch LED TV</x:v>
      </x:c>
      <x:c r="G1131" s="20" t="n">
        <x:v>2</x:v>
      </x:c>
      <x:c r="H1131" s="12" t="str">
        <x:v>Inventory-listed building/workspace context; current occupancy and screen access unverified</x:v>
      </x:c>
      <x:c r="I1131" s="12" t="str">
        <x:v>Small-scale prospects</x:v>
      </x:c>
      <x:c r="J1131" s="12" t="str">
        <x:v>Education</x:v>
      </x:c>
      <x:c r="K1131" s="2" t="str">
        <x:v>MAIN-277</x:v>
      </x:c>
    </x:row>
    <x:row r="1132" ht="46" customHeight="1">
      <x:c r="A1132" s="2" t="str">
        <x:v>TEN-31A2AFA67FE9</x:v>
      </x:c>
      <x:c r="B1132" s="12" t="str">
        <x:v>Bizgrace Delight PVT LTD</x:v>
      </x:c>
      <x:c r="C1132" s="12" t="str">
        <x:v>CORP-0273</x:v>
      </x:c>
      <x:c r="D1132" s="12" t="str">
        <x:v>Kochi</x:v>
      </x:c>
      <x:c r="E1132" s="12" t="str">
        <x:v>Awfis - Mezmatrix</x:v>
      </x:c>
      <x:c r="F1132" s="12" t="str">
        <x:v>32 inch LED TV</x:v>
      </x:c>
      <x:c r="G1132" s="20" t="n">
        <x:v>2</x:v>
      </x:c>
      <x:c r="H1132" s="12" t="str">
        <x:v>Inventory-listed building/workspace context; current occupancy and screen access unverified</x:v>
      </x:c>
      <x:c r="I1132" s="12" t="str">
        <x:v>Mixed business audience</x:v>
      </x:c>
      <x:c r="J1132" s="12" t="str">
        <x:v>Unresolved</x:v>
      </x:c>
      <x:c r="K1132" s="2" t="str">
        <x:v>MAIN-277</x:v>
      </x:c>
    </x:row>
    <x:row r="1133" ht="46" customHeight="1">
      <x:c r="A1133" s="2" t="str">
        <x:v>TEN-8743108309E5</x:v>
      </x:c>
      <x:c r="B1133" s="12" t="str">
        <x:v>Inbounderz</x:v>
      </x:c>
      <x:c r="C1133" s="12" t="str">
        <x:v>CORP-0273</x:v>
      </x:c>
      <x:c r="D1133" s="12" t="str">
        <x:v>Kochi</x:v>
      </x:c>
      <x:c r="E1133" s="12" t="str">
        <x:v>Awfis - Mezmatrix</x:v>
      </x:c>
      <x:c r="F1133" s="12" t="str">
        <x:v>32 inch LED TV</x:v>
      </x:c>
      <x:c r="G1133" s="20" t="n">
        <x:v>2</x:v>
      </x:c>
      <x:c r="H1133" s="12" t="str">
        <x:v>Inventory-listed building/workspace context; current occupancy and screen access unverified</x:v>
      </x:c>
      <x:c r="I1133" s="12" t="str">
        <x:v>Small-scale prospects</x:v>
      </x:c>
      <x:c r="J1133" s="12" t="str">
        <x:v>Professional services</x:v>
      </x:c>
      <x:c r="K1133" s="2" t="str">
        <x:v>MAIN-277</x:v>
      </x:c>
    </x:row>
    <x:row r="1134" ht="46" customHeight="1">
      <x:c r="A1134" s="2" t="str">
        <x:v>TEN-D80C916AEFE7</x:v>
      </x:c>
      <x:c r="B1134" s="12" t="str">
        <x:v>Hexxarch</x:v>
      </x:c>
      <x:c r="C1134" s="12" t="str">
        <x:v>CORP-0273</x:v>
      </x:c>
      <x:c r="D1134" s="12" t="str">
        <x:v>Kochi</x:v>
      </x:c>
      <x:c r="E1134" s="12" t="str">
        <x:v>Awfis - Mezmatrix</x:v>
      </x:c>
      <x:c r="F1134" s="12" t="str">
        <x:v>32 inch LED TV</x:v>
      </x:c>
      <x:c r="G1134" s="20" t="n">
        <x:v>2</x:v>
      </x:c>
      <x:c r="H1134" s="12" t="str">
        <x:v>Inventory-listed building/workspace context; current occupancy and screen access unverified</x:v>
      </x:c>
      <x:c r="I1134" s="12" t="str">
        <x:v>Mixed business audience</x:v>
      </x:c>
      <x:c r="J1134" s="12" t="str">
        <x:v>Unresolved</x:v>
      </x:c>
      <x:c r="K1134" s="2" t="str">
        <x:v>MAIN-277</x:v>
      </x:c>
    </x:row>
    <x:row r="1135" ht="46" customHeight="1">
      <x:c r="A1135" s="2" t="str">
        <x:v>TEN-43C2D8676CC0</x:v>
      </x:c>
      <x:c r="B1135" s="12" t="str">
        <x:v>Tally Solutions Pvt Ltd</x:v>
      </x:c>
      <x:c r="C1135" s="12" t="str">
        <x:v>CORP-0274</x:v>
      </x:c>
      <x:c r="D1135" s="12" t="str">
        <x:v>Kolkata</x:v>
      </x:c>
      <x:c r="E1135" s="12" t="str">
        <x:v>Awfis - Acropolis Mall</x:v>
      </x:c>
      <x:c r="F1135" s="12" t="str">
        <x:v>32 inch LED TV</x:v>
      </x:c>
      <x:c r="G1135" s="20" t="n">
        <x:v>1</x:v>
      </x:c>
      <x:c r="H1135" s="12" t="str">
        <x:v>Inventory-listed building/workspace context; current occupancy and screen access unverified</x:v>
      </x:c>
      <x:c r="I1135" s="12" t="str">
        <x:v>Mixed business audience</x:v>
      </x:c>
      <x:c r="J1135" s="12" t="str">
        <x:v>IT &amp; digital</x:v>
      </x:c>
      <x:c r="K1135" s="2" t="str">
        <x:v>MAIN-278</x:v>
      </x:c>
    </x:row>
    <x:row r="1136" ht="46" customHeight="1">
      <x:c r="A1136" s="2" t="str">
        <x:v>TEN-AFF6767D0CEC</x:v>
      </x:c>
      <x:c r="B1136" s="12" t="str">
        <x:v>KHWAHISH</x:v>
      </x:c>
      <x:c r="C1136" s="12" t="str">
        <x:v>CORP-0274</x:v>
      </x:c>
      <x:c r="D1136" s="12" t="str">
        <x:v>Kolkata</x:v>
      </x:c>
      <x:c r="E1136" s="12" t="str">
        <x:v>Awfis - Acropolis Mall</x:v>
      </x:c>
      <x:c r="F1136" s="12" t="str">
        <x:v>32 inch LED TV</x:v>
      </x:c>
      <x:c r="G1136" s="20" t="n">
        <x:v>1</x:v>
      </x:c>
      <x:c r="H1136" s="12" t="str">
        <x:v>Inventory-listed building/workspace context; current occupancy and screen access unverified</x:v>
      </x:c>
      <x:c r="I1136" s="12" t="str">
        <x:v>Small-scale prospects</x:v>
      </x:c>
      <x:c r="J1136" s="12" t="str">
        <x:v>Trade, consumer &amp; logistics</x:v>
      </x:c>
      <x:c r="K1136" s="2" t="str">
        <x:v>MAIN-278</x:v>
      </x:c>
    </x:row>
    <x:row r="1137" ht="46" customHeight="1">
      <x:c r="A1137" s="2" t="str">
        <x:v>TEN-D56060015633</x:v>
      </x:c>
      <x:c r="B1137" s="12" t="str">
        <x:v>SMSRC Private Limited</x:v>
      </x:c>
      <x:c r="C1137" s="12" t="str">
        <x:v>CORP-0274</x:v>
      </x:c>
      <x:c r="D1137" s="12" t="str">
        <x:v>Kolkata</x:v>
      </x:c>
      <x:c r="E1137" s="12" t="str">
        <x:v>Awfis - Acropolis Mall</x:v>
      </x:c>
      <x:c r="F1137" s="12" t="str">
        <x:v>32 inch LED TV</x:v>
      </x:c>
      <x:c r="G1137" s="20" t="n">
        <x:v>1</x:v>
      </x:c>
      <x:c r="H1137" s="12" t="str">
        <x:v>Inventory-listed building/workspace context; current occupancy and screen access unverified</x:v>
      </x:c>
      <x:c r="I1137" s="12" t="str">
        <x:v>Mixed business audience</x:v>
      </x:c>
      <x:c r="J1137" s="12" t="str">
        <x:v>Unresolved</x:v>
      </x:c>
      <x:c r="K1137" s="2" t="str">
        <x:v>MAIN-278</x:v>
      </x:c>
    </x:row>
    <x:row r="1138" ht="46" customHeight="1">
      <x:c r="A1138" s="2" t="str">
        <x:v>TEN-B46907E2D3AD</x:v>
      </x:c>
      <x:c r="B1138" s="12" t="str">
        <x:v>Steel Consultancy Services</x:v>
      </x:c>
      <x:c r="C1138" s="12" t="str">
        <x:v>CORP-0275</x:v>
      </x:c>
      <x:c r="D1138" s="12" t="str">
        <x:v>Kolkata</x:v>
      </x:c>
      <x:c r="E1138" s="12" t="str">
        <x:v>Awfis - Delta Towers</x:v>
      </x:c>
      <x:c r="F1138" s="12" t="str">
        <x:v>32 inch LED TV</x:v>
      </x:c>
      <x:c r="G1138" s="20" t="n">
        <x:v>3</x:v>
      </x:c>
      <x:c r="H1138" s="12" t="str">
        <x:v>Inventory-listed building/workspace context; current occupancy and screen access unverified</x:v>
      </x:c>
      <x:c r="I1138" s="12" t="str">
        <x:v>Medium-scale prospects</x:v>
      </x:c>
      <x:c r="J1138" s="12" t="str">
        <x:v>Engineering &amp; manufacturing</x:v>
      </x:c>
      <x:c r="K1138" s="2" t="str">
        <x:v>MAIN-279</x:v>
      </x:c>
    </x:row>
    <x:row r="1139" ht="46" customHeight="1">
      <x:c r="A1139" s="2" t="str">
        <x:v>TEN-0E9A282DFFCB</x:v>
      </x:c>
      <x:c r="B1139" s="12" t="str">
        <x:v>ROBORA</x:v>
      </x:c>
      <x:c r="C1139" s="12" t="str">
        <x:v>CORP-0024</x:v>
      </x:c>
      <x:c r="D1139" s="12" t="str">
        <x:v>Bengaluru</x:v>
      </x:c>
      <x:c r="E1139" s="12" t="str">
        <x:v>Bhive Workspace - HSR Layout 27Th Main</x:v>
      </x:c>
      <x:c r="F1139" s="12" t="str">
        <x:v>32 inch LED TV</x:v>
      </x:c>
      <x:c r="G1139" s="20" t="n">
        <x:v>1</x:v>
      </x:c>
      <x:c r="H1139" s="12" t="str">
        <x:v>Inventory-listed building/workspace context; current occupancy and screen access unverified</x:v>
      </x:c>
      <x:c r="I1139" s="12" t="str">
        <x:v>Mixed business audience</x:v>
      </x:c>
      <x:c r="J1139" s="12" t="str">
        <x:v>Unresolved</x:v>
      </x:c>
      <x:c r="K1139" s="2" t="str">
        <x:v>MAIN-028</x:v>
      </x:c>
    </x:row>
    <x:row r="1140" ht="46" customHeight="1">
      <x:c r="A1140" s="2" t="str">
        <x:v>TEN-1C5B10435526</x:v>
      </x:c>
      <x:c r="B1140" s="12" t="str">
        <x:v>Magical Nest Pvt Ltd</x:v>
      </x:c>
      <x:c r="C1140" s="12" t="str">
        <x:v>CORP-0024</x:v>
      </x:c>
      <x:c r="D1140" s="12" t="str">
        <x:v>Bengaluru</x:v>
      </x:c>
      <x:c r="E1140" s="12" t="str">
        <x:v>Bhive Workspace - HSR Layout 27Th Main</x:v>
      </x:c>
      <x:c r="F1140" s="12" t="str">
        <x:v>32 inch LED TV</x:v>
      </x:c>
      <x:c r="G1140" s="20" t="n">
        <x:v>1</x:v>
      </x:c>
      <x:c r="H1140" s="12" t="str">
        <x:v>Inventory-listed building/workspace context; current occupancy and screen access unverified</x:v>
      </x:c>
      <x:c r="I1140" s="12" t="str">
        <x:v>Mixed business audience</x:v>
      </x:c>
      <x:c r="J1140" s="12" t="str">
        <x:v>Unresolved</x:v>
      </x:c>
      <x:c r="K1140" s="2" t="str">
        <x:v>MAIN-028</x:v>
      </x:c>
    </x:row>
    <x:row r="1141" ht="46" customHeight="1">
      <x:c r="A1141" s="2" t="str">
        <x:v>TEN-1F1E5E68B842</x:v>
      </x:c>
      <x:c r="B1141" s="12" t="str">
        <x:v>Perceived Design Pvt Ltd</x:v>
      </x:c>
      <x:c r="C1141" s="12" t="str">
        <x:v>CORP-0024</x:v>
      </x:c>
      <x:c r="D1141" s="12" t="str">
        <x:v>Bengaluru</x:v>
      </x:c>
      <x:c r="E1141" s="12" t="str">
        <x:v>Bhive Workspace - HSR Layout 27Th Main</x:v>
      </x:c>
      <x:c r="F1141" s="12" t="str">
        <x:v>32 inch LED TV</x:v>
      </x:c>
      <x:c r="G1141" s="20" t="n">
        <x:v>1</x:v>
      </x:c>
      <x:c r="H1141" s="12" t="str">
        <x:v>Inventory-listed building/workspace context; current occupancy and screen access unverified</x:v>
      </x:c>
      <x:c r="I1141" s="12" t="str">
        <x:v>Mixed business audience</x:v>
      </x:c>
      <x:c r="J1141" s="12" t="str">
        <x:v>Unresolved</x:v>
      </x:c>
      <x:c r="K1141" s="2" t="str">
        <x:v>MAIN-028</x:v>
      </x:c>
    </x:row>
    <x:row r="1142" ht="46" customHeight="1">
      <x:c r="A1142" s="2" t="str">
        <x:v>TEN-21D1AC1A15C8</x:v>
      </x:c>
      <x:c r="B1142" s="12" t="str">
        <x:v>Tokovr</x:v>
      </x:c>
      <x:c r="C1142" s="12" t="str">
        <x:v>CORP-0024</x:v>
      </x:c>
      <x:c r="D1142" s="12" t="str">
        <x:v>Bengaluru</x:v>
      </x:c>
      <x:c r="E1142" s="12" t="str">
        <x:v>Bhive Workspace - HSR Layout 27Th Main</x:v>
      </x:c>
      <x:c r="F1142" s="12" t="str">
        <x:v>32 inch LED TV</x:v>
      </x:c>
      <x:c r="G1142" s="20" t="n">
        <x:v>1</x:v>
      </x:c>
      <x:c r="H1142" s="12" t="str">
        <x:v>Inventory-listed building/workspace context; current occupancy and screen access unverified</x:v>
      </x:c>
      <x:c r="I1142" s="12" t="str">
        <x:v>Mixed business audience</x:v>
      </x:c>
      <x:c r="J1142" s="12" t="str">
        <x:v>Unresolved</x:v>
      </x:c>
      <x:c r="K1142" s="2" t="str">
        <x:v>MAIN-028</x:v>
      </x:c>
    </x:row>
    <x:row r="1143" ht="46" customHeight="1">
      <x:c r="A1143" s="2" t="str">
        <x:v>TEN-53CEEF981FF3</x:v>
      </x:c>
      <x:c r="B1143" s="12" t="str">
        <x:v>Scientiamobile Technologies India Pvt Ltd</x:v>
      </x:c>
      <x:c r="C1143" s="12" t="str">
        <x:v>CORP-0024</x:v>
      </x:c>
      <x:c r="D1143" s="12" t="str">
        <x:v>Bengaluru</x:v>
      </x:c>
      <x:c r="E1143" s="12" t="str">
        <x:v>Bhive Workspace - HSR Layout 27Th Main</x:v>
      </x:c>
      <x:c r="F1143" s="12" t="str">
        <x:v>32 inch LED TV</x:v>
      </x:c>
      <x:c r="G1143" s="20" t="n">
        <x:v>1</x:v>
      </x:c>
      <x:c r="H1143" s="12" t="str">
        <x:v>Inventory-listed building/workspace context; current occupancy and screen access unverified</x:v>
      </x:c>
      <x:c r="I1143" s="12" t="str">
        <x:v>Mixed business audience</x:v>
      </x:c>
      <x:c r="J1143" s="12" t="str">
        <x:v>Unresolved</x:v>
      </x:c>
      <x:c r="K1143" s="2" t="str">
        <x:v>MAIN-028</x:v>
      </x:c>
    </x:row>
    <x:row r="1144" ht="46" customHeight="1">
      <x:c r="A1144" s="2" t="str">
        <x:v>TEN-5530B09CCCE4</x:v>
      </x:c>
      <x:c r="B1144" s="12" t="str">
        <x:v>BLUEJAY WORKTECH PRIVATE LIMITED</x:v>
      </x:c>
      <x:c r="C1144" s="12" t="str">
        <x:v>CORP-0024</x:v>
      </x:c>
      <x:c r="D1144" s="12" t="str">
        <x:v>Bengaluru</x:v>
      </x:c>
      <x:c r="E1144" s="12" t="str">
        <x:v>Bhive Workspace - HSR Layout 27Th Main</x:v>
      </x:c>
      <x:c r="F1144" s="12" t="str">
        <x:v>32 inch LED TV</x:v>
      </x:c>
      <x:c r="G1144" s="20" t="n">
        <x:v>1</x:v>
      </x:c>
      <x:c r="H1144" s="12" t="str">
        <x:v>Inventory-listed building/workspace context; current occupancy and screen access unverified</x:v>
      </x:c>
      <x:c r="I1144" s="12" t="str">
        <x:v>Mixed business audience</x:v>
      </x:c>
      <x:c r="J1144" s="12" t="str">
        <x:v>Unresolved</x:v>
      </x:c>
      <x:c r="K1144" s="2" t="str">
        <x:v>MAIN-028</x:v>
      </x:c>
    </x:row>
    <x:row r="1145" ht="46" customHeight="1">
      <x:c r="A1145" s="2" t="str">
        <x:v>TEN-C2614279D52E</x:v>
      </x:c>
      <x:c r="B1145" s="12" t="str">
        <x:v>Goldstone Technologies Limited</x:v>
      </x:c>
      <x:c r="C1145" s="12" t="str">
        <x:v>CORP-0024</x:v>
      </x:c>
      <x:c r="D1145" s="12" t="str">
        <x:v>Bengaluru</x:v>
      </x:c>
      <x:c r="E1145" s="12" t="str">
        <x:v>Bhive Workspace - HSR Layout 27Th Main</x:v>
      </x:c>
      <x:c r="F1145" s="12" t="str">
        <x:v>32 inch LED TV</x:v>
      </x:c>
      <x:c r="G1145" s="20" t="n">
        <x:v>1</x:v>
      </x:c>
      <x:c r="H1145" s="12" t="str">
        <x:v>Inventory-listed building/workspace context; current occupancy and screen access unverified</x:v>
      </x:c>
      <x:c r="I1145" s="12" t="str">
        <x:v>Mixed business audience</x:v>
      </x:c>
      <x:c r="J1145" s="12" t="str">
        <x:v>IT &amp; digital</x:v>
      </x:c>
      <x:c r="K1145" s="2" t="str">
        <x:v>MAIN-028</x:v>
      </x:c>
    </x:row>
    <x:row r="1146" ht="46" customHeight="1">
      <x:c r="A1146" s="2" t="str">
        <x:v>TEN-CC59F257497B</x:v>
      </x:c>
      <x:c r="B1146" s="12" t="str">
        <x:v>Glossaread Technologies Pvt Ltd</x:v>
      </x:c>
      <x:c r="C1146" s="12" t="str">
        <x:v>CORP-0024</x:v>
      </x:c>
      <x:c r="D1146" s="12" t="str">
        <x:v>Bengaluru</x:v>
      </x:c>
      <x:c r="E1146" s="12" t="str">
        <x:v>Bhive Workspace - HSR Layout 27Th Main</x:v>
      </x:c>
      <x:c r="F1146" s="12" t="str">
        <x:v>32 inch LED TV</x:v>
      </x:c>
      <x:c r="G1146" s="20" t="n">
        <x:v>1</x:v>
      </x:c>
      <x:c r="H1146" s="12" t="str">
        <x:v>Inventory-listed building/workspace context; current occupancy and screen access unverified</x:v>
      </x:c>
      <x:c r="I1146" s="12" t="str">
        <x:v>Small-scale prospects</x:v>
      </x:c>
      <x:c r="J1146" s="12" t="str">
        <x:v>Education</x:v>
      </x:c>
      <x:c r="K1146" s="2" t="str">
        <x:v>MAIN-028</x:v>
      </x:c>
    </x:row>
    <x:row r="1147" ht="46" customHeight="1">
      <x:c r="A1147" s="2" t="str">
        <x:v>TEN-D718C642648D</x:v>
      </x:c>
      <x:c r="B1147" s="12" t="str">
        <x:v>SUPER V TECHNOLOGIES</x:v>
      </x:c>
      <x:c r="C1147" s="12" t="str">
        <x:v>CORP-0024</x:v>
      </x:c>
      <x:c r="D1147" s="12" t="str">
        <x:v>Bengaluru</x:v>
      </x:c>
      <x:c r="E1147" s="12" t="str">
        <x:v>Bhive Workspace - HSR Layout 27Th Main</x:v>
      </x:c>
      <x:c r="F1147" s="12" t="str">
        <x:v>32 inch LED TV</x:v>
      </x:c>
      <x:c r="G1147" s="20" t="n">
        <x:v>1</x:v>
      </x:c>
      <x:c r="H1147" s="12" t="str">
        <x:v>Inventory-listed building/workspace context; current occupancy and screen access unverified</x:v>
      </x:c>
      <x:c r="I1147" s="12" t="str">
        <x:v>Mixed business audience</x:v>
      </x:c>
      <x:c r="J1147" s="12" t="str">
        <x:v>Unresolved</x:v>
      </x:c>
      <x:c r="K1147" s="2" t="str">
        <x:v>MAIN-028</x:v>
      </x:c>
    </x:row>
    <x:row r="1148" ht="46" customHeight="1">
      <x:c r="A1148" s="2" t="str">
        <x:v>TEN-EDB7F8479A70</x:v>
      </x:c>
      <x:c r="B1148" s="12" t="str">
        <x:v>Findem technologies India Pvt ltd</x:v>
      </x:c>
      <x:c r="C1148" s="12" t="str">
        <x:v>CORP-0024</x:v>
      </x:c>
      <x:c r="D1148" s="12" t="str">
        <x:v>Bengaluru</x:v>
      </x:c>
      <x:c r="E1148" s="12" t="str">
        <x:v>Bhive Workspace - HSR Layout 27Th Main</x:v>
      </x:c>
      <x:c r="F1148" s="12" t="str">
        <x:v>32 inch LED TV</x:v>
      </x:c>
      <x:c r="G1148" s="20" t="n">
        <x:v>1</x:v>
      </x:c>
      <x:c r="H1148" s="12" t="str">
        <x:v>Inventory-listed building/workspace context; current occupancy and screen access unverified</x:v>
      </x:c>
      <x:c r="I1148" s="12" t="str">
        <x:v>Small-scale prospects</x:v>
      </x:c>
      <x:c r="J1148" s="12" t="str">
        <x:v>Professional services</x:v>
      </x:c>
      <x:c r="K1148" s="2" t="str">
        <x:v>MAIN-028</x:v>
      </x:c>
    </x:row>
    <x:row r="1149" ht="46" customHeight="1">
      <x:c r="A1149" s="2" t="str">
        <x:v>TEN-F0A871FED375</x:v>
      </x:c>
      <x:c r="B1149" s="12" t="str">
        <x:v>SOBEK GUARDING PVT LTD</x:v>
      </x:c>
      <x:c r="C1149" s="12" t="str">
        <x:v>CORP-0024</x:v>
      </x:c>
      <x:c r="D1149" s="12" t="str">
        <x:v>Bengaluru</x:v>
      </x:c>
      <x:c r="E1149" s="12" t="str">
        <x:v>Bhive Workspace - HSR Layout 27Th Main</x:v>
      </x:c>
      <x:c r="F1149" s="12" t="str">
        <x:v>32 inch LED TV</x:v>
      </x:c>
      <x:c r="G1149" s="20" t="n">
        <x:v>1</x:v>
      </x:c>
      <x:c r="H1149" s="12" t="str">
        <x:v>Inventory-listed building/workspace context; current occupancy and screen access unverified</x:v>
      </x:c>
      <x:c r="I1149" s="12" t="str">
        <x:v>Mixed business audience</x:v>
      </x:c>
      <x:c r="J1149" s="12" t="str">
        <x:v>Unresolved</x:v>
      </x:c>
      <x:c r="K1149" s="2" t="str">
        <x:v>MAIN-028</x:v>
      </x:c>
    </x:row>
    <x:row r="1150" ht="46" customHeight="1">
      <x:c r="A1150" s="2" t="str">
        <x:v>TEN-1401F867297B</x:v>
      </x:c>
      <x:c r="B1150" s="12" t="str">
        <x:v>PromotEdge</x:v>
      </x:c>
      <x:c r="C1150" s="12" t="str">
        <x:v>CORP-0276</x:v>
      </x:c>
      <x:c r="D1150" s="12" t="str">
        <x:v>Kolkata</x:v>
      </x:c>
      <x:c r="E1150" s="12" t="str">
        <x:v>Awfis - Eco Center</x:v>
      </x:c>
      <x:c r="F1150" s="12" t="str">
        <x:v>32 inch LED TV</x:v>
      </x:c>
      <x:c r="G1150" s="20" t="n">
        <x:v>2</x:v>
      </x:c>
      <x:c r="H1150" s="12" t="str">
        <x:v>Inventory-listed building/workspace context; current occupancy and screen access unverified</x:v>
      </x:c>
      <x:c r="I1150" s="12" t="str">
        <x:v>Medium-scale prospects</x:v>
      </x:c>
      <x:c r="J1150" s="12" t="str">
        <x:v>Professional services</x:v>
      </x:c>
      <x:c r="K1150" s="2" t="str">
        <x:v>MAIN-280</x:v>
      </x:c>
    </x:row>
    <x:row r="1151" ht="46" customHeight="1">
      <x:c r="A1151" s="2" t="str">
        <x:v>TEN-40F1C7433997</x:v>
      </x:c>
      <x:c r="B1151" s="12" t="str">
        <x:v>Rocmob Performance Private Limited</x:v>
      </x:c>
      <x:c r="C1151" s="12" t="str">
        <x:v>CORP-0276</x:v>
      </x:c>
      <x:c r="D1151" s="12" t="str">
        <x:v>Kolkata</x:v>
      </x:c>
      <x:c r="E1151" s="12" t="str">
        <x:v>Awfis - Eco Center</x:v>
      </x:c>
      <x:c r="F1151" s="12" t="str">
        <x:v>32 inch LED TV</x:v>
      </x:c>
      <x:c r="G1151" s="20" t="n">
        <x:v>2</x:v>
      </x:c>
      <x:c r="H1151" s="12" t="str">
        <x:v>Inventory-listed building/workspace context; current occupancy and screen access unverified</x:v>
      </x:c>
      <x:c r="I1151" s="12" t="str">
        <x:v>Mixed business audience</x:v>
      </x:c>
      <x:c r="J1151" s="12" t="str">
        <x:v>Unresolved</x:v>
      </x:c>
      <x:c r="K1151" s="2" t="str">
        <x:v>MAIN-280</x:v>
      </x:c>
    </x:row>
    <x:row r="1152" ht="46" customHeight="1">
      <x:c r="A1152" s="2" t="str">
        <x:v>TEN-670A277FECF1</x:v>
      </x:c>
      <x:c r="B1152" s="12" t="str">
        <x:v>Merico Agro</x:v>
      </x:c>
      <x:c r="C1152" s="12" t="str">
        <x:v>CORP-0276</x:v>
      </x:c>
      <x:c r="D1152" s="12" t="str">
        <x:v>Kolkata</x:v>
      </x:c>
      <x:c r="E1152" s="12" t="str">
        <x:v>Awfis - Eco Center</x:v>
      </x:c>
      <x:c r="F1152" s="12" t="str">
        <x:v>32 inch LED TV</x:v>
      </x:c>
      <x:c r="G1152" s="20" t="n">
        <x:v>2</x:v>
      </x:c>
      <x:c r="H1152" s="12" t="str">
        <x:v>Inventory-listed building/workspace context; current occupancy and screen access unverified</x:v>
      </x:c>
      <x:c r="I1152" s="12" t="str">
        <x:v>Small-scale prospects</x:v>
      </x:c>
      <x:c r="J1152" s="12" t="str">
        <x:v>Trade, consumer &amp; logistics</x:v>
      </x:c>
      <x:c r="K1152" s="2" t="str">
        <x:v>MAIN-280</x:v>
      </x:c>
    </x:row>
    <x:row r="1153" ht="46" customHeight="1">
      <x:c r="A1153" s="2" t="str">
        <x:v>TEN-6B8E94322C2D</x:v>
      </x:c>
      <x:c r="B1153" s="12" t="str">
        <x:v>Grant Thornton INDUS</x:v>
      </x:c>
      <x:c r="C1153" s="12" t="str">
        <x:v>CORP-0276</x:v>
      </x:c>
      <x:c r="D1153" s="12" t="str">
        <x:v>Kolkata</x:v>
      </x:c>
      <x:c r="E1153" s="12" t="str">
        <x:v>Awfis - Eco Center</x:v>
      </x:c>
      <x:c r="F1153" s="12" t="str">
        <x:v>32 inch LED TV</x:v>
      </x:c>
      <x:c r="G1153" s="20" t="n">
        <x:v>2</x:v>
      </x:c>
      <x:c r="H1153" s="12" t="str">
        <x:v>Inventory-listed building/workspace context; current occupancy and screen access unverified</x:v>
      </x:c>
      <x:c r="I1153" s="12" t="str">
        <x:v>Mixed business audience</x:v>
      </x:c>
      <x:c r="J1153" s="12" t="str">
        <x:v>Professional services</x:v>
      </x:c>
      <x:c r="K1153" s="2" t="str">
        <x:v>MAIN-280</x:v>
      </x:c>
    </x:row>
    <x:row r="1154" ht="46" customHeight="1">
      <x:c r="A1154" s="2" t="str">
        <x:v>TEN-6BFBAAC71E1C</x:v>
      </x:c>
      <x:c r="B1154" s="12" t="str">
        <x:v>Altair</x:v>
      </x:c>
      <x:c r="C1154" s="12" t="str">
        <x:v>CORP-0276</x:v>
      </x:c>
      <x:c r="D1154" s="12" t="str">
        <x:v>Kolkata</x:v>
      </x:c>
      <x:c r="E1154" s="12" t="str">
        <x:v>Awfis - Eco Center</x:v>
      </x:c>
      <x:c r="F1154" s="12" t="str">
        <x:v>32 inch LED TV</x:v>
      </x:c>
      <x:c r="G1154" s="20" t="n">
        <x:v>2</x:v>
      </x:c>
      <x:c r="H1154" s="12" t="str">
        <x:v>Inventory-listed building/workspace context; current occupancy and screen access unverified</x:v>
      </x:c>
      <x:c r="I1154" s="12" t="str">
        <x:v>Mixed business audience</x:v>
      </x:c>
      <x:c r="J1154" s="12" t="str">
        <x:v>IT &amp; digital</x:v>
      </x:c>
      <x:c r="K1154" s="2" t="str">
        <x:v>MAIN-280</x:v>
      </x:c>
    </x:row>
    <x:row r="1155" ht="46" customHeight="1">
      <x:c r="A1155" s="2" t="str">
        <x:v>TEN-A546690B1C8E</x:v>
      </x:c>
      <x:c r="B1155" s="12" t="str">
        <x:v>ACOS technology</x:v>
      </x:c>
      <x:c r="C1155" s="12" t="str">
        <x:v>CORP-0276</x:v>
      </x:c>
      <x:c r="D1155" s="12" t="str">
        <x:v>Kolkata</x:v>
      </x:c>
      <x:c r="E1155" s="12" t="str">
        <x:v>Awfis - Eco Center</x:v>
      </x:c>
      <x:c r="F1155" s="12" t="str">
        <x:v>32 inch LED TV</x:v>
      </x:c>
      <x:c r="G1155" s="20" t="n">
        <x:v>2</x:v>
      </x:c>
      <x:c r="H1155" s="12" t="str">
        <x:v>Inventory-listed building/workspace context; current occupancy and screen access unverified</x:v>
      </x:c>
      <x:c r="I1155" s="12" t="str">
        <x:v>Mixed business audience</x:v>
      </x:c>
      <x:c r="J1155" s="12" t="str">
        <x:v>Unresolved</x:v>
      </x:c>
      <x:c r="K1155" s="2" t="str">
        <x:v>MAIN-280</x:v>
      </x:c>
    </x:row>
    <x:row r="1156" ht="46" customHeight="1">
      <x:c r="A1156" s="2" t="str">
        <x:v>TEN-C70D08EBFA9A</x:v>
      </x:c>
      <x:c r="B1156" s="12" t="str">
        <x:v>ABP Wedding HQ</x:v>
      </x:c>
      <x:c r="C1156" s="12" t="str">
        <x:v>CORP-0276</x:v>
      </x:c>
      <x:c r="D1156" s="12" t="str">
        <x:v>Kolkata</x:v>
      </x:c>
      <x:c r="E1156" s="12" t="str">
        <x:v>Awfis - Eco Center</x:v>
      </x:c>
      <x:c r="F1156" s="12" t="str">
        <x:v>32 inch LED TV</x:v>
      </x:c>
      <x:c r="G1156" s="20" t="n">
        <x:v>2</x:v>
      </x:c>
      <x:c r="H1156" s="12" t="str">
        <x:v>Inventory-listed building/workspace context; current occupancy and screen access unverified</x:v>
      </x:c>
      <x:c r="I1156" s="12" t="str">
        <x:v>Mixed business audience</x:v>
      </x:c>
      <x:c r="J1156" s="12" t="str">
        <x:v>Trade, consumer &amp; logistics</x:v>
      </x:c>
      <x:c r="K1156" s="2" t="str">
        <x:v>MAIN-280</x:v>
      </x:c>
    </x:row>
    <x:row r="1157" ht="46" customHeight="1">
      <x:c r="A1157" s="2" t="str">
        <x:v>TEN-D61C2F8C1A58</x:v>
      </x:c>
      <x:c r="B1157" s="12" t="str">
        <x:v>OneStop Weddings</x:v>
      </x:c>
      <x:c r="C1157" s="12" t="str">
        <x:v>CORP-0276</x:v>
      </x:c>
      <x:c r="D1157" s="12" t="str">
        <x:v>Kolkata</x:v>
      </x:c>
      <x:c r="E1157" s="12" t="str">
        <x:v>Awfis - Eco Center</x:v>
      </x:c>
      <x:c r="F1157" s="12" t="str">
        <x:v>32 inch LED TV</x:v>
      </x:c>
      <x:c r="G1157" s="20" t="n">
        <x:v>2</x:v>
      </x:c>
      <x:c r="H1157" s="12" t="str">
        <x:v>Inventory-listed building/workspace context; current occupancy and screen access unverified</x:v>
      </x:c>
      <x:c r="I1157" s="12" t="str">
        <x:v>Small-scale prospects</x:v>
      </x:c>
      <x:c r="J1157" s="12" t="str">
        <x:v>Trade, consumer &amp; logistics</x:v>
      </x:c>
      <x:c r="K1157" s="2" t="str">
        <x:v>MAIN-280</x:v>
      </x:c>
    </x:row>
    <x:row r="1158" ht="46" customHeight="1">
      <x:c r="A1158" s="2" t="str">
        <x:v>TEN-0D4FF0BF40A4</x:v>
      </x:c>
      <x:c r="B1158" s="12" t="str">
        <x:v>Ambuja Neotia</x:v>
      </x:c>
      <x:c r="C1158" s="12" t="str">
        <x:v>CORP-0277</x:v>
      </x:c>
      <x:c r="D1158" s="12" t="str">
        <x:v>Kolkata</x:v>
      </x:c>
      <x:c r="E1158" s="12" t="str">
        <x:v>Awfis - Ecospace Business Park</x:v>
      </x:c>
      <x:c r="F1158" s="12" t="str">
        <x:v>32 inch LED TV</x:v>
      </x:c>
      <x:c r="G1158" s="20" t="n">
        <x:v>1</x:v>
      </x:c>
      <x:c r="H1158" s="12" t="str">
        <x:v>Inventory-listed building/workspace context; current occupancy and screen access unverified</x:v>
      </x:c>
      <x:c r="I1158" s="12" t="str">
        <x:v>Mixed business audience</x:v>
      </x:c>
      <x:c r="J1158" s="12" t="str">
        <x:v>Trade, consumer &amp; logistics</x:v>
      </x:c>
      <x:c r="K1158" s="2" t="str">
        <x:v>MAIN-281</x:v>
      </x:c>
    </x:row>
    <x:row r="1159" ht="46" customHeight="1">
      <x:c r="A1159" s="2" t="str">
        <x:v>TEN-18D2D996398B</x:v>
      </x:c>
      <x:c r="B1159" s="12" t="str">
        <x:v>Voith Paper Technology India Pvt Ltd</x:v>
      </x:c>
      <x:c r="C1159" s="12" t="str">
        <x:v>CORP-0277</x:v>
      </x:c>
      <x:c r="D1159" s="12" t="str">
        <x:v>Kolkata</x:v>
      </x:c>
      <x:c r="E1159" s="12" t="str">
        <x:v>Awfis - Ecospace Business Park</x:v>
      </x:c>
      <x:c r="F1159" s="12" t="str">
        <x:v>32 inch LED TV</x:v>
      </x:c>
      <x:c r="G1159" s="20" t="n">
        <x:v>1</x:v>
      </x:c>
      <x:c r="H1159" s="12" t="str">
        <x:v>Inventory-listed building/workspace context; current occupancy and screen access unverified</x:v>
      </x:c>
      <x:c r="I1159" s="12" t="str">
        <x:v>Mixed business audience</x:v>
      </x:c>
      <x:c r="J1159" s="12" t="str">
        <x:v>Engineering &amp; manufacturing</x:v>
      </x:c>
      <x:c r="K1159" s="2" t="str">
        <x:v>MAIN-281</x:v>
      </x:c>
    </x:row>
    <x:row r="1160" ht="46" customHeight="1">
      <x:c r="A1160" s="2" t="str">
        <x:v>TEN-5FA790F3630F</x:v>
      </x:c>
      <x:c r="B1160" s="12" t="str">
        <x:v>Tata Consultancy Services</x:v>
      </x:c>
      <x:c r="C1160" s="12" t="str">
        <x:v>CORP-0277</x:v>
      </x:c>
      <x:c r="D1160" s="12" t="str">
        <x:v>Kolkata</x:v>
      </x:c>
      <x:c r="E1160" s="12" t="str">
        <x:v>Awfis - Ecospace Business Park</x:v>
      </x:c>
      <x:c r="F1160" s="12" t="str">
        <x:v>32 inch LED TV</x:v>
      </x:c>
      <x:c r="G1160" s="20" t="n">
        <x:v>1</x:v>
      </x:c>
      <x:c r="H1160" s="12" t="str">
        <x:v>Inventory-listed building/workspace context; current occupancy and screen access unverified</x:v>
      </x:c>
      <x:c r="I1160" s="12" t="str">
        <x:v>Large enterprise</x:v>
      </x:c>
      <x:c r="J1160" s="12" t="str">
        <x:v>IT &amp; digital</x:v>
      </x:c>
      <x:c r="K1160" s="2" t="str">
        <x:v>MAIN-281</x:v>
      </x:c>
    </x:row>
    <x:row r="1161" ht="46" customHeight="1">
      <x:c r="A1161" s="2" t="str">
        <x:v>TEN-A3F403EC4923</x:v>
      </x:c>
      <x:c r="B1161" s="12" t="str">
        <x:v>Bajaj Allianz Life Insurance Company Limited</x:v>
      </x:c>
      <x:c r="C1161" s="12" t="str">
        <x:v>CORP-0277</x:v>
      </x:c>
      <x:c r="D1161" s="12" t="str">
        <x:v>Kolkata</x:v>
      </x:c>
      <x:c r="E1161" s="12" t="str">
        <x:v>Awfis - Ecospace Business Park</x:v>
      </x:c>
      <x:c r="F1161" s="12" t="str">
        <x:v>32 inch LED TV</x:v>
      </x:c>
      <x:c r="G1161" s="20" t="n">
        <x:v>1</x:v>
      </x:c>
      <x:c r="H1161" s="12" t="str">
        <x:v>Inventory-listed building/workspace context; current occupancy and screen access unverified</x:v>
      </x:c>
      <x:c r="I1161" s="12" t="str">
        <x:v>Large enterprise</x:v>
      </x:c>
      <x:c r="J1161" s="12" t="str">
        <x:v>Finance &amp; insurance</x:v>
      </x:c>
      <x:c r="K1161" s="2" t="str">
        <x:v>MAIN-281</x:v>
      </x:c>
    </x:row>
    <x:row r="1162" ht="46" customHeight="1">
      <x:c r="A1162" s="2" t="str">
        <x:v>TEN-C639481B6C24</x:v>
      </x:c>
      <x:c r="B1162" s="12" t="str">
        <x:v>Webvio Technologies Private Limited</x:v>
      </x:c>
      <x:c r="C1162" s="12" t="str">
        <x:v>CORP-0277</x:v>
      </x:c>
      <x:c r="D1162" s="12" t="str">
        <x:v>Kolkata</x:v>
      </x:c>
      <x:c r="E1162" s="12" t="str">
        <x:v>Awfis - Ecospace Business Park</x:v>
      </x:c>
      <x:c r="F1162" s="12" t="str">
        <x:v>32 inch LED TV</x:v>
      </x:c>
      <x:c r="G1162" s="20" t="n">
        <x:v>1</x:v>
      </x:c>
      <x:c r="H1162" s="12" t="str">
        <x:v>Inventory-listed building/workspace context; current occupancy and screen access unverified</x:v>
      </x:c>
      <x:c r="I1162" s="12" t="str">
        <x:v>Small-scale prospects</x:v>
      </x:c>
      <x:c r="J1162" s="12" t="str">
        <x:v>Trade, consumer &amp; logistics</x:v>
      </x:c>
      <x:c r="K1162" s="2" t="str">
        <x:v>MAIN-281</x:v>
      </x:c>
    </x:row>
    <x:row r="1163" ht="46" customHeight="1">
      <x:c r="A1163" s="2" t="str">
        <x:v>TEN-1E76D28260D9</x:v>
      </x:c>
      <x:c r="B1163" s="12" t="str">
        <x:v>Dhruv Food Industry Pvt. Ltd</x:v>
      </x:c>
      <x:c r="C1163" s="12" t="str">
        <x:v>CORP-0278</x:v>
      </x:c>
      <x:c r="D1163" s="12" t="str">
        <x:v>Kolkata</x:v>
      </x:c>
      <x:c r="E1163" s="12" t="str">
        <x:v>Awfis - Ecospace Business Park 2</x:v>
      </x:c>
      <x:c r="F1163" s="12" t="str">
        <x:v>32 inch LED TV</x:v>
      </x:c>
      <x:c r="G1163" s="20" t="n">
        <x:v>2</x:v>
      </x:c>
      <x:c r="H1163" s="12" t="str">
        <x:v>Inventory-listed building/workspace context; current occupancy and screen access unverified</x:v>
      </x:c>
      <x:c r="I1163" s="12" t="str">
        <x:v>Small-scale prospects</x:v>
      </x:c>
      <x:c r="J1163" s="12" t="str">
        <x:v>Trade, consumer &amp; logistics</x:v>
      </x:c>
      <x:c r="K1163" s="2" t="str">
        <x:v>MAIN-282</x:v>
      </x:c>
    </x:row>
    <x:row r="1164" ht="46" customHeight="1">
      <x:c r="A1164" s="2" t="str">
        <x:v>TEN-4CC8C2DA7EF5</x:v>
      </x:c>
      <x:c r="B1164" s="12" t="str">
        <x:v>DIGIrabbits</x:v>
      </x:c>
      <x:c r="C1164" s="12" t="str">
        <x:v>CORP-0278</x:v>
      </x:c>
      <x:c r="D1164" s="12" t="str">
        <x:v>Kolkata</x:v>
      </x:c>
      <x:c r="E1164" s="12" t="str">
        <x:v>Awfis - Ecospace Business Park 2</x:v>
      </x:c>
      <x:c r="F1164" s="12" t="str">
        <x:v>32 inch LED TV</x:v>
      </x:c>
      <x:c r="G1164" s="20" t="n">
        <x:v>2</x:v>
      </x:c>
      <x:c r="H1164" s="12" t="str">
        <x:v>Inventory-listed building/workspace context; current occupancy and screen access unverified</x:v>
      </x:c>
      <x:c r="I1164" s="12" t="str">
        <x:v>Mixed business audience</x:v>
      </x:c>
      <x:c r="J1164" s="12" t="str">
        <x:v>Unresolved</x:v>
      </x:c>
      <x:c r="K1164" s="2" t="str">
        <x:v>MAIN-282</x:v>
      </x:c>
    </x:row>
    <x:row r="1165" ht="46" customHeight="1">
      <x:c r="A1165" s="2" t="str">
        <x:v>TEN-54576A5562BF</x:v>
      </x:c>
      <x:c r="B1165" s="12" t="str">
        <x:v>PAHAL TRAVEL</x:v>
      </x:c>
      <x:c r="C1165" s="12" t="str">
        <x:v>CORP-0278</x:v>
      </x:c>
      <x:c r="D1165" s="12" t="str">
        <x:v>Kolkata</x:v>
      </x:c>
      <x:c r="E1165" s="12" t="str">
        <x:v>Awfis - Ecospace Business Park 2</x:v>
      </x:c>
      <x:c r="F1165" s="12" t="str">
        <x:v>32 inch LED TV</x:v>
      </x:c>
      <x:c r="G1165" s="20" t="n">
        <x:v>2</x:v>
      </x:c>
      <x:c r="H1165" s="12" t="str">
        <x:v>Inventory-listed building/workspace context; current occupancy and screen access unverified</x:v>
      </x:c>
      <x:c r="I1165" s="12" t="str">
        <x:v>Small-scale prospects</x:v>
      </x:c>
      <x:c r="J1165" s="12" t="str">
        <x:v>Trade, consumer &amp; logistics</x:v>
      </x:c>
      <x:c r="K1165" s="2" t="str">
        <x:v>MAIN-282</x:v>
      </x:c>
    </x:row>
    <x:row r="1166" ht="46" customHeight="1">
      <x:c r="A1166" s="2" t="str">
        <x:v>TEN-7AC726F69096</x:v>
      </x:c>
      <x:c r="B1166" s="12" t="str">
        <x:v>oneskai</x:v>
      </x:c>
      <x:c r="C1166" s="12" t="str">
        <x:v>CORP-0278</x:v>
      </x:c>
      <x:c r="D1166" s="12" t="str">
        <x:v>Kolkata</x:v>
      </x:c>
      <x:c r="E1166" s="12" t="str">
        <x:v>Awfis - Ecospace Business Park 2</x:v>
      </x:c>
      <x:c r="F1166" s="12" t="str">
        <x:v>32 inch LED TV</x:v>
      </x:c>
      <x:c r="G1166" s="20" t="n">
        <x:v>2</x:v>
      </x:c>
      <x:c r="H1166" s="12" t="str">
        <x:v>Inventory-listed building/workspace context; current occupancy and screen access unverified</x:v>
      </x:c>
      <x:c r="I1166" s="12" t="str">
        <x:v>Mixed business audience</x:v>
      </x:c>
      <x:c r="J1166" s="12" t="str">
        <x:v>Unresolved</x:v>
      </x:c>
      <x:c r="K1166" s="2" t="str">
        <x:v>MAIN-282</x:v>
      </x:c>
    </x:row>
    <x:row r="1167" ht="46" customHeight="1">
      <x:c r="A1167" s="2" t="str">
        <x:v>TEN-8BFE9C212422</x:v>
      </x:c>
      <x:c r="B1167" s="12" t="str">
        <x:v>Orphius Healthcare Private Limited</x:v>
      </x:c>
      <x:c r="C1167" s="12" t="str">
        <x:v>CORP-0278</x:v>
      </x:c>
      <x:c r="D1167" s="12" t="str">
        <x:v>Kolkata</x:v>
      </x:c>
      <x:c r="E1167" s="12" t="str">
        <x:v>Awfis - Ecospace Business Park 2</x:v>
      </x:c>
      <x:c r="F1167" s="12" t="str">
        <x:v>32 inch LED TV</x:v>
      </x:c>
      <x:c r="G1167" s="20" t="n">
        <x:v>2</x:v>
      </x:c>
      <x:c r="H1167" s="12" t="str">
        <x:v>Inventory-listed building/workspace context; current occupancy and screen access unverified</x:v>
      </x:c>
      <x:c r="I1167" s="12" t="str">
        <x:v>Small-scale prospects</x:v>
      </x:c>
      <x:c r="J1167" s="12" t="str">
        <x:v>Healthcare &amp; life sciences</x:v>
      </x:c>
      <x:c r="K1167" s="2" t="str">
        <x:v>MAIN-282</x:v>
      </x:c>
    </x:row>
    <x:row r="1168" ht="46" customHeight="1">
      <x:c r="A1168" s="2" t="str">
        <x:v>TEN-92CBFF4101A3</x:v>
      </x:c>
      <x:c r="B1168" s="12" t="str">
        <x:v>Home and Solution</x:v>
      </x:c>
      <x:c r="C1168" s="12" t="str">
        <x:v>CORP-0278</x:v>
      </x:c>
      <x:c r="D1168" s="12" t="str">
        <x:v>Kolkata</x:v>
      </x:c>
      <x:c r="E1168" s="12" t="str">
        <x:v>Awfis - Ecospace Business Park 2</x:v>
      </x:c>
      <x:c r="F1168" s="12" t="str">
        <x:v>32 inch LED TV</x:v>
      </x:c>
      <x:c r="G1168" s="20" t="n">
        <x:v>2</x:v>
      </x:c>
      <x:c r="H1168" s="12" t="str">
        <x:v>Inventory-listed building/workspace context; current occupancy and screen access unverified</x:v>
      </x:c>
      <x:c r="I1168" s="12" t="str">
        <x:v>Mixed business audience</x:v>
      </x:c>
      <x:c r="J1168" s="12" t="str">
        <x:v>Unresolved</x:v>
      </x:c>
      <x:c r="K1168" s="2" t="str">
        <x:v>MAIN-282</x:v>
      </x:c>
    </x:row>
    <x:row r="1169" ht="46" customHeight="1">
      <x:c r="A1169" s="2" t="str">
        <x:v>TEN-C77D619554DC</x:v>
      </x:c>
      <x:c r="B1169" s="12" t="str">
        <x:v>NEATmet</x:v>
      </x:c>
      <x:c r="C1169" s="12" t="str">
        <x:v>CORP-0278</x:v>
      </x:c>
      <x:c r="D1169" s="12" t="str">
        <x:v>Kolkata</x:v>
      </x:c>
      <x:c r="E1169" s="12" t="str">
        <x:v>Awfis - Ecospace Business Park 2</x:v>
      </x:c>
      <x:c r="F1169" s="12" t="str">
        <x:v>32 inch LED TV</x:v>
      </x:c>
      <x:c r="G1169" s="20" t="n">
        <x:v>2</x:v>
      </x:c>
      <x:c r="H1169" s="12" t="str">
        <x:v>Inventory-listed building/workspace context; current occupancy and screen access unverified</x:v>
      </x:c>
      <x:c r="I1169" s="12" t="str">
        <x:v>Mixed business audience</x:v>
      </x:c>
      <x:c r="J1169" s="12" t="str">
        <x:v>Unresolved</x:v>
      </x:c>
      <x:c r="K1169" s="2" t="str">
        <x:v>MAIN-282</x:v>
      </x:c>
    </x:row>
    <x:row r="1170" ht="46" customHeight="1">
      <x:c r="A1170" s="2" t="str">
        <x:v>TEN-2E0773AD6B19</x:v>
      </x:c>
      <x:c r="B1170" s="12" t="str">
        <x:v>Fisdom</x:v>
      </x:c>
      <x:c r="C1170" s="12" t="str">
        <x:v>CORP-0279</x:v>
      </x:c>
      <x:c r="D1170" s="12" t="str">
        <x:v>Kolkata</x:v>
      </x:c>
      <x:c r="E1170" s="12" t="str">
        <x:v>Awfis - Siddha Esplanade</x:v>
      </x:c>
      <x:c r="F1170" s="12" t="str">
        <x:v>32 inch LED TV</x:v>
      </x:c>
      <x:c r="G1170" s="20" t="n">
        <x:v>2</x:v>
      </x:c>
      <x:c r="H1170" s="12" t="str">
        <x:v>Inventory-listed building/workspace context; current occupancy and screen access unverified</x:v>
      </x:c>
      <x:c r="I1170" s="12" t="str">
        <x:v>Medium-scale prospects</x:v>
      </x:c>
      <x:c r="J1170" s="12" t="str">
        <x:v>Finance &amp; insurance</x:v>
      </x:c>
      <x:c r="K1170" s="2" t="str">
        <x:v>MAIN-283</x:v>
      </x:c>
    </x:row>
    <x:row r="1171" ht="46" customHeight="1">
      <x:c r="A1171" s="2" t="str">
        <x:v>TEN-68BAD0BF4A37</x:v>
      </x:c>
      <x:c r="B1171" s="12" t="str">
        <x:v>NTT DATA</x:v>
      </x:c>
      <x:c r="C1171" s="12" t="str">
        <x:v>CORP-0279</x:v>
      </x:c>
      <x:c r="D1171" s="12" t="str">
        <x:v>Kolkata</x:v>
      </x:c>
      <x:c r="E1171" s="12" t="str">
        <x:v>Awfis - Siddha Esplanade</x:v>
      </x:c>
      <x:c r="F1171" s="12" t="str">
        <x:v>32 inch LED TV</x:v>
      </x:c>
      <x:c r="G1171" s="20" t="n">
        <x:v>2</x:v>
      </x:c>
      <x:c r="H1171" s="12" t="str">
        <x:v>Inventory-listed building/workspace context; current occupancy and screen access unverified</x:v>
      </x:c>
      <x:c r="I1171" s="12" t="str">
        <x:v>Large enterprise</x:v>
      </x:c>
      <x:c r="J1171" s="12" t="str">
        <x:v>IT &amp; digital</x:v>
      </x:c>
      <x:c r="K1171" s="2" t="str">
        <x:v>MAIN-283</x:v>
      </x:c>
    </x:row>
    <x:row r="1172" ht="46" customHeight="1">
      <x:c r="A1172" s="2" t="str">
        <x:v>TEN-F6941EA19143</x:v>
      </x:c>
      <x:c r="B1172" s="12" t="str">
        <x:v>Jade Global</x:v>
      </x:c>
      <x:c r="C1172" s="12" t="str">
        <x:v>CORP-0279</x:v>
      </x:c>
      <x:c r="D1172" s="12" t="str">
        <x:v>Kolkata</x:v>
      </x:c>
      <x:c r="E1172" s="12" t="str">
        <x:v>Awfis - Siddha Esplanade</x:v>
      </x:c>
      <x:c r="F1172" s="12" t="str">
        <x:v>32 inch LED TV</x:v>
      </x:c>
      <x:c r="G1172" s="20" t="n">
        <x:v>2</x:v>
      </x:c>
      <x:c r="H1172" s="12" t="str">
        <x:v>Inventory-listed building/workspace context; current occupancy and screen access unverified</x:v>
      </x:c>
      <x:c r="I1172" s="12" t="str">
        <x:v>Mixed business audience</x:v>
      </x:c>
      <x:c r="J1172" s="12" t="str">
        <x:v>IT &amp; digital</x:v>
      </x:c>
      <x:c r="K1172" s="2" t="str">
        <x:v>MAIN-283</x:v>
      </x:c>
    </x:row>
    <x:row r="1173" ht="46" customHeight="1">
      <x:c r="A1173" s="2" t="str">
        <x:v>TEN-17840323EA59</x:v>
      </x:c>
      <x:c r="B1173" s="12" t="str">
        <x:v>Juniper</x:v>
      </x:c>
      <x:c r="C1173" s="12" t="str">
        <x:v>CORP-0280</x:v>
      </x:c>
      <x:c r="D1173" s="12" t="str">
        <x:v>Kolkata</x:v>
      </x:c>
      <x:c r="E1173" s="12" t="str">
        <x:v>Awfis - Technopolis</x:v>
      </x:c>
      <x:c r="F1173" s="12" t="str">
        <x:v>32 inch LED TV</x:v>
      </x:c>
      <x:c r="G1173" s="20" t="n">
        <x:v>2</x:v>
      </x:c>
      <x:c r="H1173" s="12" t="str">
        <x:v>Inventory-listed building/workspace context; current occupancy and screen access unverified</x:v>
      </x:c>
      <x:c r="I1173" s="12" t="str">
        <x:v>Mixed business audience</x:v>
      </x:c>
      <x:c r="J1173" s="12" t="str">
        <x:v>IT &amp; digital</x:v>
      </x:c>
      <x:c r="K1173" s="2" t="str">
        <x:v>MAIN-284</x:v>
      </x:c>
    </x:row>
    <x:row r="1174" ht="46" customHeight="1">
      <x:c r="A1174" s="2" t="str">
        <x:v>TEN-2C404B75B9D4</x:v>
      </x:c>
      <x:c r="B1174" s="12" t="str">
        <x:v>Metal7</x:v>
      </x:c>
      <x:c r="C1174" s="12" t="str">
        <x:v>CORP-0280</x:v>
      </x:c>
      <x:c r="D1174" s="12" t="str">
        <x:v>Kolkata</x:v>
      </x:c>
      <x:c r="E1174" s="12" t="str">
        <x:v>Awfis - Technopolis</x:v>
      </x:c>
      <x:c r="F1174" s="12" t="str">
        <x:v>32 inch LED TV</x:v>
      </x:c>
      <x:c r="G1174" s="20" t="n">
        <x:v>2</x:v>
      </x:c>
      <x:c r="H1174" s="12" t="str">
        <x:v>Inventory-listed building/workspace context; current occupancy and screen access unverified</x:v>
      </x:c>
      <x:c r="I1174" s="12" t="str">
        <x:v>Medium-scale prospects</x:v>
      </x:c>
      <x:c r="J1174" s="12" t="str">
        <x:v>Engineering &amp; manufacturing</x:v>
      </x:c>
      <x:c r="K1174" s="2" t="str">
        <x:v>MAIN-284</x:v>
      </x:c>
    </x:row>
    <x:row r="1175" ht="46" customHeight="1">
      <x:c r="A1175" s="2" t="str">
        <x:v>TEN-2CB3DF79B99F</x:v>
      </x:c>
      <x:c r="B1175" s="12" t="str">
        <x:v>renta car</x:v>
      </x:c>
      <x:c r="C1175" s="12" t="str">
        <x:v>CORP-0280</x:v>
      </x:c>
      <x:c r="D1175" s="12" t="str">
        <x:v>Kolkata</x:v>
      </x:c>
      <x:c r="E1175" s="12" t="str">
        <x:v>Awfis - Technopolis</x:v>
      </x:c>
      <x:c r="F1175" s="12" t="str">
        <x:v>32 inch LED TV</x:v>
      </x:c>
      <x:c r="G1175" s="20" t="n">
        <x:v>2</x:v>
      </x:c>
      <x:c r="H1175" s="12" t="str">
        <x:v>Inventory-listed building/workspace context; current occupancy and screen access unverified</x:v>
      </x:c>
      <x:c r="I1175" s="12" t="str">
        <x:v>Mixed business audience</x:v>
      </x:c>
      <x:c r="J1175" s="12" t="str">
        <x:v>Unresolved</x:v>
      </x:c>
      <x:c r="K1175" s="2" t="str">
        <x:v>MAIN-284</x:v>
      </x:c>
    </x:row>
    <x:row r="1176" ht="46" customHeight="1">
      <x:c r="A1176" s="2" t="str">
        <x:v>TEN-3E18C4D2C923</x:v>
      </x:c>
      <x:c r="B1176" s="12" t="str">
        <x:v>Neosoft</x:v>
      </x:c>
      <x:c r="C1176" s="12" t="str">
        <x:v>CORP-0280</x:v>
      </x:c>
      <x:c r="D1176" s="12" t="str">
        <x:v>Kolkata</x:v>
      </x:c>
      <x:c r="E1176" s="12" t="str">
        <x:v>Awfis - Technopolis</x:v>
      </x:c>
      <x:c r="F1176" s="12" t="str">
        <x:v>32 inch LED TV</x:v>
      </x:c>
      <x:c r="G1176" s="20" t="n">
        <x:v>2</x:v>
      </x:c>
      <x:c r="H1176" s="12" t="str">
        <x:v>Inventory-listed building/workspace context; current occupancy and screen access unverified</x:v>
      </x:c>
      <x:c r="I1176" s="12" t="str">
        <x:v>Mixed business audience</x:v>
      </x:c>
      <x:c r="J1176" s="12" t="str">
        <x:v>IT &amp; digital</x:v>
      </x:c>
      <x:c r="K1176" s="2" t="str">
        <x:v>MAIN-284</x:v>
      </x:c>
    </x:row>
    <x:row r="1177" ht="46" customHeight="1">
      <x:c r="A1177" s="2" t="str">
        <x:v>TEN-9D1FA6A70A5F</x:v>
      </x:c>
      <x:c r="B1177" s="12" t="str">
        <x:v>EXBO group</x:v>
      </x:c>
      <x:c r="C1177" s="12" t="str">
        <x:v>CORP-0280</x:v>
      </x:c>
      <x:c r="D1177" s="12" t="str">
        <x:v>Kolkata</x:v>
      </x:c>
      <x:c r="E1177" s="12" t="str">
        <x:v>Awfis - Technopolis</x:v>
      </x:c>
      <x:c r="F1177" s="12" t="str">
        <x:v>32 inch LED TV</x:v>
      </x:c>
      <x:c r="G1177" s="20" t="n">
        <x:v>2</x:v>
      </x:c>
      <x:c r="H1177" s="12" t="str">
        <x:v>Inventory-listed building/workspace context; current occupancy and screen access unverified</x:v>
      </x:c>
      <x:c r="I1177" s="12" t="str">
        <x:v>Mixed business audience</x:v>
      </x:c>
      <x:c r="J1177" s="12" t="str">
        <x:v>Unresolved</x:v>
      </x:c>
      <x:c r="K1177" s="2" t="str">
        <x:v>MAIN-284</x:v>
      </x:c>
    </x:row>
    <x:row r="1178" ht="46" customHeight="1">
      <x:c r="A1178" s="2" t="str">
        <x:v>TEN-BC236A8ABD26</x:v>
      </x:c>
      <x:c r="B1178" s="12" t="str">
        <x:v>Toshiba</x:v>
      </x:c>
      <x:c r="C1178" s="12" t="str">
        <x:v>CORP-0280</x:v>
      </x:c>
      <x:c r="D1178" s="12" t="str">
        <x:v>Kolkata</x:v>
      </x:c>
      <x:c r="E1178" s="12" t="str">
        <x:v>Awfis - Technopolis</x:v>
      </x:c>
      <x:c r="F1178" s="12" t="str">
        <x:v>32 inch LED TV</x:v>
      </x:c>
      <x:c r="G1178" s="20" t="n">
        <x:v>2</x:v>
      </x:c>
      <x:c r="H1178" s="12" t="str">
        <x:v>Inventory-listed building/workspace context; current occupancy and screen access unverified</x:v>
      </x:c>
      <x:c r="I1178" s="12" t="str">
        <x:v>Mixed business audience</x:v>
      </x:c>
      <x:c r="J1178" s="12" t="str">
        <x:v>Engineering &amp; manufacturing</x:v>
      </x:c>
      <x:c r="K1178" s="2" t="str">
        <x:v>MAIN-284</x:v>
      </x:c>
    </x:row>
    <x:row r="1179" ht="46" customHeight="1">
      <x:c r="A1179" s="2" t="str">
        <x:v>TEN-C8FB87999BD0</x:v>
      </x:c>
      <x:c r="B1179" s="12" t="str">
        <x:v>Vcomply</x:v>
      </x:c>
      <x:c r="C1179" s="12" t="str">
        <x:v>CORP-0280</x:v>
      </x:c>
      <x:c r="D1179" s="12" t="str">
        <x:v>Kolkata</x:v>
      </x:c>
      <x:c r="E1179" s="12" t="str">
        <x:v>Awfis - Technopolis</x:v>
      </x:c>
      <x:c r="F1179" s="12" t="str">
        <x:v>32 inch LED TV</x:v>
      </x:c>
      <x:c r="G1179" s="20" t="n">
        <x:v>2</x:v>
      </x:c>
      <x:c r="H1179" s="12" t="str">
        <x:v>Inventory-listed building/workspace context; current occupancy and screen access unverified</x:v>
      </x:c>
      <x:c r="I1179" s="12" t="str">
        <x:v>Mixed business audience</x:v>
      </x:c>
      <x:c r="J1179" s="12" t="str">
        <x:v>Unresolved</x:v>
      </x:c>
      <x:c r="K1179" s="2" t="str">
        <x:v>MAIN-284</x:v>
      </x:c>
    </x:row>
    <x:row r="1180" ht="46" customHeight="1">
      <x:c r="A1180" s="2" t="str">
        <x:v>TEN-EEFE8E76853C</x:v>
      </x:c>
      <x:c r="B1180" s="12" t="str">
        <x:v>Ms pankaj</x:v>
      </x:c>
      <x:c r="C1180" s="12" t="str">
        <x:v>CORP-0280</x:v>
      </x:c>
      <x:c r="D1180" s="12" t="str">
        <x:v>Kolkata</x:v>
      </x:c>
      <x:c r="E1180" s="12" t="str">
        <x:v>Awfis - Technopolis</x:v>
      </x:c>
      <x:c r="F1180" s="12" t="str">
        <x:v>32 inch LED TV</x:v>
      </x:c>
      <x:c r="G1180" s="20" t="n">
        <x:v>2</x:v>
      </x:c>
      <x:c r="H1180" s="12" t="str">
        <x:v>Inventory-listed building/workspace context; current occupancy and screen access unverified</x:v>
      </x:c>
      <x:c r="I1180" s="12" t="str">
        <x:v>Mixed business audience</x:v>
      </x:c>
      <x:c r="J1180" s="12" t="str">
        <x:v>Unresolved</x:v>
      </x:c>
      <x:c r="K1180" s="2" t="str">
        <x:v>MAIN-284</x:v>
      </x:c>
    </x:row>
    <x:row r="1181" ht="46" customHeight="1">
      <x:c r="A1181" s="2" t="str">
        <x:v>TEN-F54AB844242B</x:v>
      </x:c>
      <x:c r="B1181" s="12" t="str">
        <x:v>Ixoraa</x:v>
      </x:c>
      <x:c r="C1181" s="12" t="str">
        <x:v>CORP-0280</x:v>
      </x:c>
      <x:c r="D1181" s="12" t="str">
        <x:v>Kolkata</x:v>
      </x:c>
      <x:c r="E1181" s="12" t="str">
        <x:v>Awfis - Technopolis</x:v>
      </x:c>
      <x:c r="F1181" s="12" t="str">
        <x:v>32 inch LED TV</x:v>
      </x:c>
      <x:c r="G1181" s="20" t="n">
        <x:v>2</x:v>
      </x:c>
      <x:c r="H1181" s="12" t="str">
        <x:v>Inventory-listed building/workspace context; current occupancy and screen access unverified</x:v>
      </x:c>
      <x:c r="I1181" s="12" t="str">
        <x:v>Mixed business audience</x:v>
      </x:c>
      <x:c r="J1181" s="12" t="str">
        <x:v>Unresolved</x:v>
      </x:c>
      <x:c r="K1181" s="2" t="str">
        <x:v>MAIN-284</x:v>
      </x:c>
    </x:row>
    <x:row r="1182" ht="46" customHeight="1">
      <x:c r="A1182" s="2" t="str">
        <x:v>TEN-F7E439011DF5</x:v>
      </x:c>
      <x:c r="B1182" s="12" t="str">
        <x:v>Moonatic</x:v>
      </x:c>
      <x:c r="C1182" s="12" t="str">
        <x:v>CORP-0280</x:v>
      </x:c>
      <x:c r="D1182" s="12" t="str">
        <x:v>Kolkata</x:v>
      </x:c>
      <x:c r="E1182" s="12" t="str">
        <x:v>Awfis - Technopolis</x:v>
      </x:c>
      <x:c r="F1182" s="12" t="str">
        <x:v>32 inch LED TV</x:v>
      </x:c>
      <x:c r="G1182" s="20" t="n">
        <x:v>2</x:v>
      </x:c>
      <x:c r="H1182" s="12" t="str">
        <x:v>Inventory-listed building/workspace context; current occupancy and screen access unverified</x:v>
      </x:c>
      <x:c r="I1182" s="12" t="str">
        <x:v>Mixed business audience</x:v>
      </x:c>
      <x:c r="J1182" s="12" t="str">
        <x:v>Unresolved</x:v>
      </x:c>
      <x:c r="K1182" s="2" t="str">
        <x:v>MAIN-284</x:v>
      </x:c>
    </x:row>
    <x:row r="1183" ht="46" customHeight="1">
      <x:c r="A1183" s="2" t="str">
        <x:v>TEN-F8CC5DBFE162</x:v>
      </x:c>
      <x:c r="B1183" s="12" t="str">
        <x:v>Kong head</x:v>
      </x:c>
      <x:c r="C1183" s="12" t="str">
        <x:v>CORP-0280</x:v>
      </x:c>
      <x:c r="D1183" s="12" t="str">
        <x:v>Kolkata</x:v>
      </x:c>
      <x:c r="E1183" s="12" t="str">
        <x:v>Awfis - Technopolis</x:v>
      </x:c>
      <x:c r="F1183" s="12" t="str">
        <x:v>32 inch LED TV</x:v>
      </x:c>
      <x:c r="G1183" s="20" t="n">
        <x:v>2</x:v>
      </x:c>
      <x:c r="H1183" s="12" t="str">
        <x:v>Inventory-listed building/workspace context; current occupancy and screen access unverified</x:v>
      </x:c>
      <x:c r="I1183" s="12" t="str">
        <x:v>Mixed business audience</x:v>
      </x:c>
      <x:c r="J1183" s="12" t="str">
        <x:v>Unresolved</x:v>
      </x:c>
      <x:c r="K1183" s="2" t="str">
        <x:v>MAIN-284</x:v>
      </x:c>
    </x:row>
    <x:row r="1184" ht="46" customHeight="1">
      <x:c r="A1184" s="2" t="str">
        <x:v>TEN-17840323EA59</x:v>
      </x:c>
      <x:c r="B1184" s="12" t="str">
        <x:v>Juniper</x:v>
      </x:c>
      <x:c r="C1184" s="12" t="str">
        <x:v>CORP-0281</x:v>
      </x:c>
      <x:c r="D1184" s="12" t="str">
        <x:v>Kolkata</x:v>
      </x:c>
      <x:c r="E1184" s="12" t="str">
        <x:v>Awfis - Technopolis</x:v>
      </x:c>
      <x:c r="F1184" s="12" t="str">
        <x:v>32 inch LED TV</x:v>
      </x:c>
      <x:c r="G1184" s="20" t="n">
        <x:v>1</x:v>
      </x:c>
      <x:c r="H1184" s="12" t="str">
        <x:v>Same-building name inference from another supplied inventory row; exact site-ID match absent</x:v>
      </x:c>
      <x:c r="I1184" s="12" t="str">
        <x:v>Mixed business audience</x:v>
      </x:c>
      <x:c r="J1184" s="12" t="str">
        <x:v>IT &amp; digital</x:v>
      </x:c>
      <x:c r="K1184" s="2" t="str">
        <x:v>MAIN-285</x:v>
      </x:c>
    </x:row>
    <x:row r="1185" ht="46" customHeight="1">
      <x:c r="A1185" s="2" t="str">
        <x:v>TEN-2C404B75B9D4</x:v>
      </x:c>
      <x:c r="B1185" s="12" t="str">
        <x:v>Metal7</x:v>
      </x:c>
      <x:c r="C1185" s="12" t="str">
        <x:v>CORP-0281</x:v>
      </x:c>
      <x:c r="D1185" s="12" t="str">
        <x:v>Kolkata</x:v>
      </x:c>
      <x:c r="E1185" s="12" t="str">
        <x:v>Awfis - Technopolis</x:v>
      </x:c>
      <x:c r="F1185" s="12" t="str">
        <x:v>32 inch LED TV</x:v>
      </x:c>
      <x:c r="G1185" s="20" t="n">
        <x:v>1</x:v>
      </x:c>
      <x:c r="H1185" s="12" t="str">
        <x:v>Same-building name inference from another supplied inventory row; exact site-ID match absent</x:v>
      </x:c>
      <x:c r="I1185" s="12" t="str">
        <x:v>Medium-scale prospects</x:v>
      </x:c>
      <x:c r="J1185" s="12" t="str">
        <x:v>Engineering &amp; manufacturing</x:v>
      </x:c>
      <x:c r="K1185" s="2" t="str">
        <x:v>MAIN-285</x:v>
      </x:c>
    </x:row>
    <x:row r="1186" ht="46" customHeight="1">
      <x:c r="A1186" s="2" t="str">
        <x:v>TEN-2CB3DF79B99F</x:v>
      </x:c>
      <x:c r="B1186" s="12" t="str">
        <x:v>renta car</x:v>
      </x:c>
      <x:c r="C1186" s="12" t="str">
        <x:v>CORP-0281</x:v>
      </x:c>
      <x:c r="D1186" s="12" t="str">
        <x:v>Kolkata</x:v>
      </x:c>
      <x:c r="E1186" s="12" t="str">
        <x:v>Awfis - Technopolis</x:v>
      </x:c>
      <x:c r="F1186" s="12" t="str">
        <x:v>32 inch LED TV</x:v>
      </x:c>
      <x:c r="G1186" s="20" t="n">
        <x:v>1</x:v>
      </x:c>
      <x:c r="H1186" s="12" t="str">
        <x:v>Same-building name inference from another supplied inventory row; exact site-ID match absent</x:v>
      </x:c>
      <x:c r="I1186" s="12" t="str">
        <x:v>Mixed business audience</x:v>
      </x:c>
      <x:c r="J1186" s="12" t="str">
        <x:v>Unresolved</x:v>
      </x:c>
      <x:c r="K1186" s="2" t="str">
        <x:v>MAIN-285</x:v>
      </x:c>
    </x:row>
    <x:row r="1187" ht="46" customHeight="1">
      <x:c r="A1187" s="2" t="str">
        <x:v>TEN-3E18C4D2C923</x:v>
      </x:c>
      <x:c r="B1187" s="12" t="str">
        <x:v>Neosoft</x:v>
      </x:c>
      <x:c r="C1187" s="12" t="str">
        <x:v>CORP-0281</x:v>
      </x:c>
      <x:c r="D1187" s="12" t="str">
        <x:v>Kolkata</x:v>
      </x:c>
      <x:c r="E1187" s="12" t="str">
        <x:v>Awfis - Technopolis</x:v>
      </x:c>
      <x:c r="F1187" s="12" t="str">
        <x:v>32 inch LED TV</x:v>
      </x:c>
      <x:c r="G1187" s="20" t="n">
        <x:v>1</x:v>
      </x:c>
      <x:c r="H1187" s="12" t="str">
        <x:v>Same-building name inference from another supplied inventory row; exact site-ID match absent</x:v>
      </x:c>
      <x:c r="I1187" s="12" t="str">
        <x:v>Mixed business audience</x:v>
      </x:c>
      <x:c r="J1187" s="12" t="str">
        <x:v>IT &amp; digital</x:v>
      </x:c>
      <x:c r="K1187" s="2" t="str">
        <x:v>MAIN-285</x:v>
      </x:c>
    </x:row>
    <x:row r="1188" ht="46" customHeight="1">
      <x:c r="A1188" s="2" t="str">
        <x:v>TEN-9D1FA6A70A5F</x:v>
      </x:c>
      <x:c r="B1188" s="12" t="str">
        <x:v>EXBO group</x:v>
      </x:c>
      <x:c r="C1188" s="12" t="str">
        <x:v>CORP-0281</x:v>
      </x:c>
      <x:c r="D1188" s="12" t="str">
        <x:v>Kolkata</x:v>
      </x:c>
      <x:c r="E1188" s="12" t="str">
        <x:v>Awfis - Technopolis</x:v>
      </x:c>
      <x:c r="F1188" s="12" t="str">
        <x:v>32 inch LED TV</x:v>
      </x:c>
      <x:c r="G1188" s="20" t="n">
        <x:v>1</x:v>
      </x:c>
      <x:c r="H1188" s="12" t="str">
        <x:v>Same-building name inference from another supplied inventory row; exact site-ID match absent</x:v>
      </x:c>
      <x:c r="I1188" s="12" t="str">
        <x:v>Mixed business audience</x:v>
      </x:c>
      <x:c r="J1188" s="12" t="str">
        <x:v>Unresolved</x:v>
      </x:c>
      <x:c r="K1188" s="2" t="str">
        <x:v>MAIN-285</x:v>
      </x:c>
    </x:row>
    <x:row r="1189" ht="46" customHeight="1">
      <x:c r="A1189" s="2" t="str">
        <x:v>TEN-BC236A8ABD26</x:v>
      </x:c>
      <x:c r="B1189" s="12" t="str">
        <x:v>Toshiba</x:v>
      </x:c>
      <x:c r="C1189" s="12" t="str">
        <x:v>CORP-0281</x:v>
      </x:c>
      <x:c r="D1189" s="12" t="str">
        <x:v>Kolkata</x:v>
      </x:c>
      <x:c r="E1189" s="12" t="str">
        <x:v>Awfis - Technopolis</x:v>
      </x:c>
      <x:c r="F1189" s="12" t="str">
        <x:v>32 inch LED TV</x:v>
      </x:c>
      <x:c r="G1189" s="20" t="n">
        <x:v>1</x:v>
      </x:c>
      <x:c r="H1189" s="12" t="str">
        <x:v>Same-building name inference from another supplied inventory row; exact site-ID match absent</x:v>
      </x:c>
      <x:c r="I1189" s="12" t="str">
        <x:v>Mixed business audience</x:v>
      </x:c>
      <x:c r="J1189" s="12" t="str">
        <x:v>Engineering &amp; manufacturing</x:v>
      </x:c>
      <x:c r="K1189" s="2" t="str">
        <x:v>MAIN-285</x:v>
      </x:c>
    </x:row>
    <x:row r="1190" ht="46" customHeight="1">
      <x:c r="A1190" s="2" t="str">
        <x:v>TEN-C8FB87999BD0</x:v>
      </x:c>
      <x:c r="B1190" s="12" t="str">
        <x:v>Vcomply</x:v>
      </x:c>
      <x:c r="C1190" s="12" t="str">
        <x:v>CORP-0281</x:v>
      </x:c>
      <x:c r="D1190" s="12" t="str">
        <x:v>Kolkata</x:v>
      </x:c>
      <x:c r="E1190" s="12" t="str">
        <x:v>Awfis - Technopolis</x:v>
      </x:c>
      <x:c r="F1190" s="12" t="str">
        <x:v>32 inch LED TV</x:v>
      </x:c>
      <x:c r="G1190" s="20" t="n">
        <x:v>1</x:v>
      </x:c>
      <x:c r="H1190" s="12" t="str">
        <x:v>Same-building name inference from another supplied inventory row; exact site-ID match absent</x:v>
      </x:c>
      <x:c r="I1190" s="12" t="str">
        <x:v>Mixed business audience</x:v>
      </x:c>
      <x:c r="J1190" s="12" t="str">
        <x:v>Unresolved</x:v>
      </x:c>
      <x:c r="K1190" s="2" t="str">
        <x:v>MAIN-285</x:v>
      </x:c>
    </x:row>
    <x:row r="1191" ht="46" customHeight="1">
      <x:c r="A1191" s="2" t="str">
        <x:v>TEN-EEFE8E76853C</x:v>
      </x:c>
      <x:c r="B1191" s="12" t="str">
        <x:v>Ms pankaj</x:v>
      </x:c>
      <x:c r="C1191" s="12" t="str">
        <x:v>CORP-0281</x:v>
      </x:c>
      <x:c r="D1191" s="12" t="str">
        <x:v>Kolkata</x:v>
      </x:c>
      <x:c r="E1191" s="12" t="str">
        <x:v>Awfis - Technopolis</x:v>
      </x:c>
      <x:c r="F1191" s="12" t="str">
        <x:v>32 inch LED TV</x:v>
      </x:c>
      <x:c r="G1191" s="20" t="n">
        <x:v>1</x:v>
      </x:c>
      <x:c r="H1191" s="12" t="str">
        <x:v>Same-building name inference from another supplied inventory row; exact site-ID match absent</x:v>
      </x:c>
      <x:c r="I1191" s="12" t="str">
        <x:v>Mixed business audience</x:v>
      </x:c>
      <x:c r="J1191" s="12" t="str">
        <x:v>Unresolved</x:v>
      </x:c>
      <x:c r="K1191" s="2" t="str">
        <x:v>MAIN-285</x:v>
      </x:c>
    </x:row>
    <x:row r="1192" ht="46" customHeight="1">
      <x:c r="A1192" s="2" t="str">
        <x:v>TEN-F54AB844242B</x:v>
      </x:c>
      <x:c r="B1192" s="12" t="str">
        <x:v>Ixoraa</x:v>
      </x:c>
      <x:c r="C1192" s="12" t="str">
        <x:v>CORP-0281</x:v>
      </x:c>
      <x:c r="D1192" s="12" t="str">
        <x:v>Kolkata</x:v>
      </x:c>
      <x:c r="E1192" s="12" t="str">
        <x:v>Awfis - Technopolis</x:v>
      </x:c>
      <x:c r="F1192" s="12" t="str">
        <x:v>32 inch LED TV</x:v>
      </x:c>
      <x:c r="G1192" s="20" t="n">
        <x:v>1</x:v>
      </x:c>
      <x:c r="H1192" s="12" t="str">
        <x:v>Same-building name inference from another supplied inventory row; exact site-ID match absent</x:v>
      </x:c>
      <x:c r="I1192" s="12" t="str">
        <x:v>Mixed business audience</x:v>
      </x:c>
      <x:c r="J1192" s="12" t="str">
        <x:v>Unresolved</x:v>
      </x:c>
      <x:c r="K1192" s="2" t="str">
        <x:v>MAIN-285</x:v>
      </x:c>
    </x:row>
    <x:row r="1193" ht="46" customHeight="1">
      <x:c r="A1193" s="2" t="str">
        <x:v>TEN-F7E439011DF5</x:v>
      </x:c>
      <x:c r="B1193" s="12" t="str">
        <x:v>Moonatic</x:v>
      </x:c>
      <x:c r="C1193" s="12" t="str">
        <x:v>CORP-0281</x:v>
      </x:c>
      <x:c r="D1193" s="12" t="str">
        <x:v>Kolkata</x:v>
      </x:c>
      <x:c r="E1193" s="12" t="str">
        <x:v>Awfis - Technopolis</x:v>
      </x:c>
      <x:c r="F1193" s="12" t="str">
        <x:v>32 inch LED TV</x:v>
      </x:c>
      <x:c r="G1193" s="20" t="n">
        <x:v>1</x:v>
      </x:c>
      <x:c r="H1193" s="12" t="str">
        <x:v>Same-building name inference from another supplied inventory row; exact site-ID match absent</x:v>
      </x:c>
      <x:c r="I1193" s="12" t="str">
        <x:v>Mixed business audience</x:v>
      </x:c>
      <x:c r="J1193" s="12" t="str">
        <x:v>Unresolved</x:v>
      </x:c>
      <x:c r="K1193" s="2" t="str">
        <x:v>MAIN-285</x:v>
      </x:c>
    </x:row>
    <x:row r="1194" ht="46" customHeight="1">
      <x:c r="A1194" s="2" t="str">
        <x:v>TEN-F8CC5DBFE162</x:v>
      </x:c>
      <x:c r="B1194" s="12" t="str">
        <x:v>Kong head</x:v>
      </x:c>
      <x:c r="C1194" s="12" t="str">
        <x:v>CORP-0281</x:v>
      </x:c>
      <x:c r="D1194" s="12" t="str">
        <x:v>Kolkata</x:v>
      </x:c>
      <x:c r="E1194" s="12" t="str">
        <x:v>Awfis - Technopolis</x:v>
      </x:c>
      <x:c r="F1194" s="12" t="str">
        <x:v>32 inch LED TV</x:v>
      </x:c>
      <x:c r="G1194" s="20" t="n">
        <x:v>1</x:v>
      </x:c>
      <x:c r="H1194" s="12" t="str">
        <x:v>Same-building name inference from another supplied inventory row; exact site-ID match absent</x:v>
      </x:c>
      <x:c r="I1194" s="12" t="str">
        <x:v>Mixed business audience</x:v>
      </x:c>
      <x:c r="J1194" s="12" t="str">
        <x:v>Unresolved</x:v>
      </x:c>
      <x:c r="K1194" s="2" t="str">
        <x:v>MAIN-285</x:v>
      </x:c>
    </x:row>
    <x:row r="1195" ht="46" customHeight="1">
      <x:c r="A1195" s="2" t="str">
        <x:v>TEN-44747DEEA5CA</x:v>
      </x:c>
      <x:c r="B1195" s="12" t="str">
        <x:v>CSoft Marketing Pvt Ltd</x:v>
      </x:c>
      <x:c r="C1195" s="12" t="str">
        <x:v>CORP-0282</x:v>
      </x:c>
      <x:c r="D1195" s="12" t="str">
        <x:v>Kolkata</x:v>
      </x:c>
      <x:c r="E1195" s="12" t="str">
        <x:v>Awfis GWS</x:v>
      </x:c>
      <x:c r="F1195" s="12" t="str">
        <x:v>32 inch LED TV</x:v>
      </x:c>
      <x:c r="G1195" s="20" t="n">
        <x:v>8</x:v>
      </x:c>
      <x:c r="H1195" s="12" t="str">
        <x:v>Inventory-listed building/workspace context; current occupancy and screen access unverified</x:v>
      </x:c>
      <x:c r="I1195" s="12" t="str">
        <x:v>Small-scale prospects</x:v>
      </x:c>
      <x:c r="J1195" s="12" t="str">
        <x:v>Professional services</x:v>
      </x:c>
      <x:c r="K1195" s="2" t="str">
        <x:v>MAIN-286</x:v>
      </x:c>
    </x:row>
    <x:row r="1196" ht="46" customHeight="1">
      <x:c r="A1196" s="2" t="str">
        <x:v>TEN-622192EE7D1F</x:v>
      </x:c>
      <x:c r="B1196" s="12" t="str">
        <x:v>Gainwell Commosales Pvt Lt</x:v>
      </x:c>
      <x:c r="C1196" s="12" t="str">
        <x:v>CORP-0282</x:v>
      </x:c>
      <x:c r="D1196" s="12" t="str">
        <x:v>Kolkata</x:v>
      </x:c>
      <x:c r="E1196" s="12" t="str">
        <x:v>Awfis GWS</x:v>
      </x:c>
      <x:c r="F1196" s="12" t="str">
        <x:v>32 inch LED TV</x:v>
      </x:c>
      <x:c r="G1196" s="20" t="n">
        <x:v>8</x:v>
      </x:c>
      <x:c r="H1196" s="12" t="str">
        <x:v>Inventory-listed building/workspace context; current occupancy and screen access unverified</x:v>
      </x:c>
      <x:c r="I1196" s="12" t="str">
        <x:v>Small-scale prospects</x:v>
      </x:c>
      <x:c r="J1196" s="12" t="str">
        <x:v>Trade, consumer &amp; logistics</x:v>
      </x:c>
      <x:c r="K1196" s="2" t="str">
        <x:v>MAIN-286</x:v>
      </x:c>
    </x:row>
    <x:row r="1197" ht="46" customHeight="1">
      <x:c r="A1197" s="2" t="str">
        <x:v>TEN-91CD363A290C</x:v>
      </x:c>
      <x:c r="B1197" s="12" t="str">
        <x:v>Genpact Tomso Solution Ltd</x:v>
      </x:c>
      <x:c r="C1197" s="12" t="str">
        <x:v>CORP-0282</x:v>
      </x:c>
      <x:c r="D1197" s="12" t="str">
        <x:v>Kolkata</x:v>
      </x:c>
      <x:c r="E1197" s="12" t="str">
        <x:v>Awfis GWS</x:v>
      </x:c>
      <x:c r="F1197" s="12" t="str">
        <x:v>32 inch LED TV</x:v>
      </x:c>
      <x:c r="G1197" s="20" t="n">
        <x:v>8</x:v>
      </x:c>
      <x:c r="H1197" s="12" t="str">
        <x:v>Inventory-listed building/workspace context; current occupancy and screen access unverified</x:v>
      </x:c>
      <x:c r="I1197" s="12" t="str">
        <x:v>Mixed business audience</x:v>
      </x:c>
      <x:c r="J1197" s="12" t="str">
        <x:v>IT &amp; digital</x:v>
      </x:c>
      <x:c r="K1197" s="2" t="str">
        <x:v>MAIN-286</x:v>
      </x:c>
    </x:row>
    <x:row r="1198" ht="46" customHeight="1">
      <x:c r="A1198" s="2" t="str">
        <x:v>TEN-DBE7EEE76AB6</x:v>
      </x:c>
      <x:c r="B1198" s="12" t="str">
        <x:v>CIEL HR Services Pvt Ltd</x:v>
      </x:c>
      <x:c r="C1198" s="12" t="str">
        <x:v>CORP-0282</x:v>
      </x:c>
      <x:c r="D1198" s="12" t="str">
        <x:v>Kolkata</x:v>
      </x:c>
      <x:c r="E1198" s="12" t="str">
        <x:v>Awfis GWS</x:v>
      </x:c>
      <x:c r="F1198" s="12" t="str">
        <x:v>32 inch LED TV</x:v>
      </x:c>
      <x:c r="G1198" s="20" t="n">
        <x:v>8</x:v>
      </x:c>
      <x:c r="H1198" s="12" t="str">
        <x:v>Inventory-listed building/workspace context; current occupancy and screen access unverified</x:v>
      </x:c>
      <x:c r="I1198" s="12" t="str">
        <x:v>Small-scale prospects</x:v>
      </x:c>
      <x:c r="J1198" s="12" t="str">
        <x:v>Professional services</x:v>
      </x:c>
      <x:c r="K1198" s="2" t="str">
        <x:v>MAIN-286</x:v>
      </x:c>
    </x:row>
    <x:row r="1199" ht="46" customHeight="1">
      <x:c r="A1199" s="2" t="str">
        <x:v>TEN-86BB95263026</x:v>
      </x:c>
      <x:c r="B1199" s="12" t="str">
        <x:v>Svarna Infrastructre &amp; Builder Pvt Ltd</x:v>
      </x:c>
      <x:c r="C1199" s="12" t="str">
        <x:v>CORP-0283</x:v>
      </x:c>
      <x:c r="D1199" s="12" t="str">
        <x:v>Kolkata</x:v>
      </x:c>
      <x:c r="E1199" s="12" t="str">
        <x:v>DLF Galleria</x:v>
      </x:c>
      <x:c r="F1199" s="12" t="str">
        <x:v>32 inch LED TV</x:v>
      </x:c>
      <x:c r="G1199" s="20" t="n">
        <x:v>5</x:v>
      </x:c>
      <x:c r="H1199" s="12" t="str">
        <x:v>Inventory-listed building/workspace context; current occupancy and screen access unverified</x:v>
      </x:c>
      <x:c r="I1199" s="12" t="str">
        <x:v>Medium-scale prospects</x:v>
      </x:c>
      <x:c r="J1199" s="12" t="str">
        <x:v>Engineering &amp; manufacturing</x:v>
      </x:c>
      <x:c r="K1199" s="2" t="str">
        <x:v>MAIN-287</x:v>
      </x:c>
    </x:row>
    <x:row r="1200" ht="46" customHeight="1">
      <x:c r="A1200" s="2" t="str">
        <x:v>TEN-995AA36A28FC</x:v>
      </x:c>
      <x:c r="B1200" s="12" t="str">
        <x:v>CTA-Comtemporary Training academy</x:v>
      </x:c>
      <x:c r="C1200" s="12" t="str">
        <x:v>CORP-0283</x:v>
      </x:c>
      <x:c r="D1200" s="12" t="str">
        <x:v>Kolkata</x:v>
      </x:c>
      <x:c r="E1200" s="12" t="str">
        <x:v>DLF Galleria</x:v>
      </x:c>
      <x:c r="F1200" s="12" t="str">
        <x:v>32 inch LED TV</x:v>
      </x:c>
      <x:c r="G1200" s="20" t="n">
        <x:v>5</x:v>
      </x:c>
      <x:c r="H1200" s="12" t="str">
        <x:v>Inventory-listed building/workspace context; current occupancy and screen access unverified</x:v>
      </x:c>
      <x:c r="I1200" s="12" t="str">
        <x:v>Small-scale prospects</x:v>
      </x:c>
      <x:c r="J1200" s="12" t="str">
        <x:v>Education</x:v>
      </x:c>
      <x:c r="K1200" s="2" t="str">
        <x:v>MAIN-287</x:v>
      </x:c>
    </x:row>
    <x:row r="1201" ht="46" customHeight="1">
      <x:c r="A1201" s="2" t="str">
        <x:v>TEN-B112C787549C</x:v>
      </x:c>
      <x:c r="B1201" s="12" t="str">
        <x:v>OG Hep Pvt Ltd</x:v>
      </x:c>
      <x:c r="C1201" s="12" t="str">
        <x:v>CORP-0283</x:v>
      </x:c>
      <x:c r="D1201" s="12" t="str">
        <x:v>Kolkata</x:v>
      </x:c>
      <x:c r="E1201" s="12" t="str">
        <x:v>DLF Galleria</x:v>
      </x:c>
      <x:c r="F1201" s="12" t="str">
        <x:v>32 inch LED TV</x:v>
      </x:c>
      <x:c r="G1201" s="20" t="n">
        <x:v>5</x:v>
      </x:c>
      <x:c r="H1201" s="12" t="str">
        <x:v>Inventory-listed building/workspace context; current occupancy and screen access unverified</x:v>
      </x:c>
      <x:c r="I1201" s="12" t="str">
        <x:v>Mixed business audience</x:v>
      </x:c>
      <x:c r="J1201" s="12" t="str">
        <x:v>Unresolved</x:v>
      </x:c>
      <x:c r="K1201" s="2" t="str">
        <x:v>MAIN-287</x:v>
      </x:c>
    </x:row>
    <x:row r="1202" ht="46" customHeight="1">
      <x:c r="A1202" s="2" t="str">
        <x:v>TEN-BBC77584AD9B</x:v>
      </x:c>
      <x:c r="B1202" s="12" t="str">
        <x:v>Textbelt Industries Pvt Ltd</x:v>
      </x:c>
      <x:c r="C1202" s="12" t="str">
        <x:v>CORP-0283</x:v>
      </x:c>
      <x:c r="D1202" s="12" t="str">
        <x:v>Kolkata</x:v>
      </x:c>
      <x:c r="E1202" s="12" t="str">
        <x:v>DLF Galleria</x:v>
      </x:c>
      <x:c r="F1202" s="12" t="str">
        <x:v>32 inch LED TV</x:v>
      </x:c>
      <x:c r="G1202" s="20" t="n">
        <x:v>5</x:v>
      </x:c>
      <x:c r="H1202" s="12" t="str">
        <x:v>Inventory-listed building/workspace context; current occupancy and screen access unverified</x:v>
      </x:c>
      <x:c r="I1202" s="12" t="str">
        <x:v>Mixed business audience</x:v>
      </x:c>
      <x:c r="J1202" s="12" t="str">
        <x:v>Unresolved</x:v>
      </x:c>
      <x:c r="K1202" s="2" t="str">
        <x:v>MAIN-287</x:v>
      </x:c>
    </x:row>
    <x:row r="1203" ht="46" customHeight="1">
      <x:c r="A1203" s="2" t="str">
        <x:v>TEN-D237B55ECC46</x:v>
      </x:c>
      <x:c r="B1203" s="12" t="str">
        <x:v>DUCA Industries Pvt Ltd</x:v>
      </x:c>
      <x:c r="C1203" s="12" t="str">
        <x:v>CORP-0283</x:v>
      </x:c>
      <x:c r="D1203" s="12" t="str">
        <x:v>Kolkata</x:v>
      </x:c>
      <x:c r="E1203" s="12" t="str">
        <x:v>DLF Galleria</x:v>
      </x:c>
      <x:c r="F1203" s="12" t="str">
        <x:v>32 inch LED TV</x:v>
      </x:c>
      <x:c r="G1203" s="20" t="n">
        <x:v>5</x:v>
      </x:c>
      <x:c r="H1203" s="12" t="str">
        <x:v>Inventory-listed building/workspace context; current occupancy and screen access unverified</x:v>
      </x:c>
      <x:c r="I1203" s="12" t="str">
        <x:v>Mixed business audience</x:v>
      </x:c>
      <x:c r="J1203" s="12" t="str">
        <x:v>Unresolved</x:v>
      </x:c>
      <x:c r="K1203" s="2" t="str">
        <x:v>MAIN-287</x:v>
      </x:c>
    </x:row>
    <x:row r="1204" ht="46" customHeight="1">
      <x:c r="A1204" s="2" t="str">
        <x:v>TEN-D33230E775D9</x:v>
      </x:c>
      <x:c r="B1204" s="12" t="str">
        <x:v>eParivahan</x:v>
      </x:c>
      <x:c r="C1204" s="12" t="str">
        <x:v>CORP-0283</x:v>
      </x:c>
      <x:c r="D1204" s="12" t="str">
        <x:v>Kolkata</x:v>
      </x:c>
      <x:c r="E1204" s="12" t="str">
        <x:v>DLF Galleria</x:v>
      </x:c>
      <x:c r="F1204" s="12" t="str">
        <x:v>32 inch LED TV</x:v>
      </x:c>
      <x:c r="G1204" s="20" t="n">
        <x:v>5</x:v>
      </x:c>
      <x:c r="H1204" s="12" t="str">
        <x:v>Inventory-listed building/workspace context; current occupancy and screen access unverified</x:v>
      </x:c>
      <x:c r="I1204" s="12" t="str">
        <x:v>Medium-scale prospects</x:v>
      </x:c>
      <x:c r="J1204" s="12" t="str">
        <x:v>Trade, consumer &amp; logistics</x:v>
      </x:c>
      <x:c r="K1204" s="2" t="str">
        <x:v>MAIN-287</x:v>
      </x:c>
    </x:row>
    <x:row r="1205" ht="46" customHeight="1">
      <x:c r="A1205" s="2" t="str">
        <x:v>TEN-E5180142EA22</x:v>
      </x:c>
      <x:c r="B1205" s="12" t="str">
        <x:v>ZoomedInPixel Comunication Pvt Ltd</x:v>
      </x:c>
      <x:c r="C1205" s="12" t="str">
        <x:v>CORP-0283</x:v>
      </x:c>
      <x:c r="D1205" s="12" t="str">
        <x:v>Kolkata</x:v>
      </x:c>
      <x:c r="E1205" s="12" t="str">
        <x:v>DLF Galleria</x:v>
      </x:c>
      <x:c r="F1205" s="12" t="str">
        <x:v>32 inch LED TV</x:v>
      </x:c>
      <x:c r="G1205" s="20" t="n">
        <x:v>5</x:v>
      </x:c>
      <x:c r="H1205" s="12" t="str">
        <x:v>Inventory-listed building/workspace context; current occupancy and screen access unverified</x:v>
      </x:c>
      <x:c r="I1205" s="12" t="str">
        <x:v>Mixed business audience</x:v>
      </x:c>
      <x:c r="J1205" s="12" t="str">
        <x:v>Unresolved</x:v>
      </x:c>
      <x:c r="K1205" s="2" t="str">
        <x:v>MAIN-287</x:v>
      </x:c>
    </x:row>
    <x:row r="1206" ht="46" customHeight="1">
      <x:c r="A1206" s="2" t="str">
        <x:v>TEN-EC60AE731320</x:v>
      </x:c>
      <x:c r="B1206" s="12" t="str">
        <x:v>Rishi Group</x:v>
      </x:c>
      <x:c r="C1206" s="12" t="str">
        <x:v>CORP-0283</x:v>
      </x:c>
      <x:c r="D1206" s="12" t="str">
        <x:v>Kolkata</x:v>
      </x:c>
      <x:c r="E1206" s="12" t="str">
        <x:v>DLF Galleria</x:v>
      </x:c>
      <x:c r="F1206" s="12" t="str">
        <x:v>32 inch LED TV</x:v>
      </x:c>
      <x:c r="G1206" s="20" t="n">
        <x:v>5</x:v>
      </x:c>
      <x:c r="H1206" s="12" t="str">
        <x:v>Inventory-listed building/workspace context; current occupancy and screen access unverified</x:v>
      </x:c>
      <x:c r="I1206" s="12" t="str">
        <x:v>Mixed business audience</x:v>
      </x:c>
      <x:c r="J1206" s="12" t="str">
        <x:v>Unresolved</x:v>
      </x:c>
      <x:c r="K1206" s="2" t="str">
        <x:v>MAIN-287</x:v>
      </x:c>
    </x:row>
    <x:row r="1207" ht="46" customHeight="1">
      <x:c r="A1207" s="2" t="str">
        <x:v>TEN-F7B286C658EE</x:v>
      </x:c>
      <x:c r="B1207" s="12" t="str">
        <x:v>Copro Solutions Pvt Ltd</x:v>
      </x:c>
      <x:c r="C1207" s="12" t="str">
        <x:v>CORP-0283</x:v>
      </x:c>
      <x:c r="D1207" s="12" t="str">
        <x:v>Kolkata</x:v>
      </x:c>
      <x:c r="E1207" s="12" t="str">
        <x:v>DLF Galleria</x:v>
      </x:c>
      <x:c r="F1207" s="12" t="str">
        <x:v>32 inch LED TV</x:v>
      </x:c>
      <x:c r="G1207" s="20" t="n">
        <x:v>5</x:v>
      </x:c>
      <x:c r="H1207" s="12" t="str">
        <x:v>Inventory-listed building/workspace context; current occupancy and screen access unverified</x:v>
      </x:c>
      <x:c r="I1207" s="12" t="str">
        <x:v>Mixed business audience</x:v>
      </x:c>
      <x:c r="J1207" s="12" t="str">
        <x:v>Unresolved</x:v>
      </x:c>
      <x:c r="K1207" s="2" t="str">
        <x:v>MAIN-287</x:v>
      </x:c>
    </x:row>
    <x:row r="1208" ht="46" customHeight="1">
      <x:c r="A1208" s="2" t="str">
        <x:v>TEN-0A2E2E688479</x:v>
      </x:c>
      <x:c r="B1208" s="12" t="str">
        <x:v>GTL</x:v>
      </x:c>
      <x:c r="C1208" s="12" t="str">
        <x:v>CORP-0284</x:v>
      </x:c>
      <x:c r="D1208" s="12" t="str">
        <x:v>Lucknow</x:v>
      </x:c>
      <x:c r="E1208" s="12" t="str">
        <x:v>Bhavya Corporate Tower</x:v>
      </x:c>
      <x:c r="F1208" s="12" t="str">
        <x:v>43 inch LED TV</x:v>
      </x:c>
      <x:c r="G1208" s="20" t="n">
        <x:v>2</x:v>
      </x:c>
      <x:c r="H1208" s="12" t="str">
        <x:v>Inventory-listed building/workspace context; current occupancy and screen access unverified</x:v>
      </x:c>
      <x:c r="I1208" s="12" t="str">
        <x:v>Mixed business audience</x:v>
      </x:c>
      <x:c r="J1208" s="12" t="str">
        <x:v>Unresolved</x:v>
      </x:c>
      <x:c r="K1208" s="2" t="str">
        <x:v>MAIN-288</x:v>
      </x:c>
    </x:row>
    <x:row r="1209" ht="46" customHeight="1">
      <x:c r="A1209" s="2" t="str">
        <x:v>TEN-199013F9C68B</x:v>
      </x:c>
      <x:c r="B1209" s="12" t="str">
        <x:v>India News</x:v>
      </x:c>
      <x:c r="C1209" s="12" t="str">
        <x:v>CORP-0284</x:v>
      </x:c>
      <x:c r="D1209" s="12" t="str">
        <x:v>Lucknow</x:v>
      </x:c>
      <x:c r="E1209" s="12" t="str">
        <x:v>Bhavya Corporate Tower</x:v>
      </x:c>
      <x:c r="F1209" s="12" t="str">
        <x:v>43 inch LED TV</x:v>
      </x:c>
      <x:c r="G1209" s="20" t="n">
        <x:v>2</x:v>
      </x:c>
      <x:c r="H1209" s="12" t="str">
        <x:v>Inventory-listed building/workspace context; current occupancy and screen access unverified</x:v>
      </x:c>
      <x:c r="I1209" s="12" t="str">
        <x:v>Mixed business audience</x:v>
      </x:c>
      <x:c r="J1209" s="12" t="str">
        <x:v>Trade, consumer &amp; logistics</x:v>
      </x:c>
      <x:c r="K1209" s="2" t="str">
        <x:v>MAIN-288</x:v>
      </x:c>
    </x:row>
    <x:row r="1210" ht="46" customHeight="1">
      <x:c r="A1210" s="2" t="str">
        <x:v>TEN-2EE57059EE6D</x:v>
      </x:c>
      <x:c r="B1210" s="12" t="str">
        <x:v>awesomesauce</x:v>
      </x:c>
      <x:c r="C1210" s="12" t="str">
        <x:v>CORP-0284</x:v>
      </x:c>
      <x:c r="D1210" s="12" t="str">
        <x:v>Lucknow</x:v>
      </x:c>
      <x:c r="E1210" s="12" t="str">
        <x:v>Bhavya Corporate Tower</x:v>
      </x:c>
      <x:c r="F1210" s="12" t="str">
        <x:v>43 inch LED TV</x:v>
      </x:c>
      <x:c r="G1210" s="20" t="n">
        <x:v>2</x:v>
      </x:c>
      <x:c r="H1210" s="12" t="str">
        <x:v>Inventory-listed building/workspace context; current occupancy and screen access unverified</x:v>
      </x:c>
      <x:c r="I1210" s="12" t="str">
        <x:v>Mixed business audience</x:v>
      </x:c>
      <x:c r="J1210" s="12" t="str">
        <x:v>Unresolved</x:v>
      </x:c>
      <x:c r="K1210" s="2" t="str">
        <x:v>MAIN-288</x:v>
      </x:c>
    </x:row>
    <x:row r="1211" ht="46" customHeight="1">
      <x:c r="A1211" s="2" t="str">
        <x:v>TEN-38DA413E1AFF</x:v>
      </x:c>
      <x:c r="B1211" s="12" t="str">
        <x:v>spiny</x:v>
      </x:c>
      <x:c r="C1211" s="12" t="str">
        <x:v>CORP-0284</x:v>
      </x:c>
      <x:c r="D1211" s="12" t="str">
        <x:v>Lucknow</x:v>
      </x:c>
      <x:c r="E1211" s="12" t="str">
        <x:v>Bhavya Corporate Tower</x:v>
      </x:c>
      <x:c r="F1211" s="12" t="str">
        <x:v>43 inch LED TV</x:v>
      </x:c>
      <x:c r="G1211" s="20" t="n">
        <x:v>2</x:v>
      </x:c>
      <x:c r="H1211" s="12" t="str">
        <x:v>Inventory-listed building/workspace context; current occupancy and screen access unverified</x:v>
      </x:c>
      <x:c r="I1211" s="12" t="str">
        <x:v>Mixed business audience</x:v>
      </x:c>
      <x:c r="J1211" s="12" t="str">
        <x:v>Unresolved</x:v>
      </x:c>
      <x:c r="K1211" s="2" t="str">
        <x:v>MAIN-288</x:v>
      </x:c>
    </x:row>
    <x:row r="1212" ht="46" customHeight="1">
      <x:c r="A1212" s="2" t="str">
        <x:v>TEN-4DB63E5149AB</x:v>
      </x:c>
      <x:c r="B1212" s="12" t="str">
        <x:v>GTS Infratech</x:v>
      </x:c>
      <x:c r="C1212" s="12" t="str">
        <x:v>CORP-0284</x:v>
      </x:c>
      <x:c r="D1212" s="12" t="str">
        <x:v>Lucknow</x:v>
      </x:c>
      <x:c r="E1212" s="12" t="str">
        <x:v>Bhavya Corporate Tower</x:v>
      </x:c>
      <x:c r="F1212" s="12" t="str">
        <x:v>43 inch LED TV</x:v>
      </x:c>
      <x:c r="G1212" s="20" t="n">
        <x:v>2</x:v>
      </x:c>
      <x:c r="H1212" s="12" t="str">
        <x:v>Inventory-listed building/workspace context; current occupancy and screen access unverified</x:v>
      </x:c>
      <x:c r="I1212" s="12" t="str">
        <x:v>Small-scale prospects</x:v>
      </x:c>
      <x:c r="J1212" s="12" t="str">
        <x:v>Trade, consumer &amp; logistics</x:v>
      </x:c>
      <x:c r="K1212" s="2" t="str">
        <x:v>MAIN-288</x:v>
      </x:c>
    </x:row>
    <x:row r="1213" ht="46" customHeight="1">
      <x:c r="A1213" s="2" t="str">
        <x:v>TEN-637CB01B6C0E</x:v>
      </x:c>
      <x:c r="B1213" s="12" t="str">
        <x:v>SpaceN</x:v>
      </x:c>
      <x:c r="C1213" s="12" t="str">
        <x:v>CORP-0284</x:v>
      </x:c>
      <x:c r="D1213" s="12" t="str">
        <x:v>Lucknow</x:v>
      </x:c>
      <x:c r="E1213" s="12" t="str">
        <x:v>Bhavya Corporate Tower</x:v>
      </x:c>
      <x:c r="F1213" s="12" t="str">
        <x:v>43 inch LED TV</x:v>
      </x:c>
      <x:c r="G1213" s="20" t="n">
        <x:v>2</x:v>
      </x:c>
      <x:c r="H1213" s="12" t="str">
        <x:v>Inventory-listed building/workspace context; current occupancy and screen access unverified</x:v>
      </x:c>
      <x:c r="I1213" s="12" t="str">
        <x:v>Small-scale prospects</x:v>
      </x:c>
      <x:c r="J1213" s="12" t="str">
        <x:v>Trade, consumer &amp; logistics</x:v>
      </x:c>
      <x:c r="K1213" s="2" t="str">
        <x:v>MAIN-288</x:v>
      </x:c>
    </x:row>
    <x:row r="1214" ht="46" customHeight="1">
      <x:c r="A1214" s="2" t="str">
        <x:v>TEN-7EC18FCAE18F</x:v>
      </x:c>
      <x:c r="B1214" s="12" t="str">
        <x:v>Neohub</x:v>
      </x:c>
      <x:c r="C1214" s="12" t="str">
        <x:v>CORP-0284</x:v>
      </x:c>
      <x:c r="D1214" s="12" t="str">
        <x:v>Lucknow</x:v>
      </x:c>
      <x:c r="E1214" s="12" t="str">
        <x:v>Bhavya Corporate Tower</x:v>
      </x:c>
      <x:c r="F1214" s="12" t="str">
        <x:v>43 inch LED TV</x:v>
      </x:c>
      <x:c r="G1214" s="20" t="n">
        <x:v>2</x:v>
      </x:c>
      <x:c r="H1214" s="12" t="str">
        <x:v>Inventory-listed building/workspace context; current occupancy and screen access unverified</x:v>
      </x:c>
      <x:c r="I1214" s="12" t="str">
        <x:v>Mixed business audience</x:v>
      </x:c>
      <x:c r="J1214" s="12" t="str">
        <x:v>Unresolved</x:v>
      </x:c>
      <x:c r="K1214" s="2" t="str">
        <x:v>MAIN-288</x:v>
      </x:c>
    </x:row>
    <x:row r="1215" ht="46" customHeight="1">
      <x:c r="A1215" s="2" t="str">
        <x:v>TEN-7F5D07BD8295</x:v>
      </x:c>
      <x:c r="B1215" s="12" t="str">
        <x:v>Wood Rap</x:v>
      </x:c>
      <x:c r="C1215" s="12" t="str">
        <x:v>CORP-0284</x:v>
      </x:c>
      <x:c r="D1215" s="12" t="str">
        <x:v>Lucknow</x:v>
      </x:c>
      <x:c r="E1215" s="12" t="str">
        <x:v>Bhavya Corporate Tower</x:v>
      </x:c>
      <x:c r="F1215" s="12" t="str">
        <x:v>43 inch LED TV</x:v>
      </x:c>
      <x:c r="G1215" s="20" t="n">
        <x:v>2</x:v>
      </x:c>
      <x:c r="H1215" s="12" t="str">
        <x:v>Inventory-listed building/workspace context; current occupancy and screen access unverified</x:v>
      </x:c>
      <x:c r="I1215" s="12" t="str">
        <x:v>Mixed business audience</x:v>
      </x:c>
      <x:c r="J1215" s="12" t="str">
        <x:v>Unresolved</x:v>
      </x:c>
      <x:c r="K1215" s="2" t="str">
        <x:v>MAIN-288</x:v>
      </x:c>
    </x:row>
    <x:row r="1216" ht="46" customHeight="1">
      <x:c r="A1216" s="2" t="str">
        <x:v>TEN-BC652A17D88B</x:v>
      </x:c>
      <x:c r="B1216" s="12" t="str">
        <x:v>car24</x:v>
      </x:c>
      <x:c r="C1216" s="12" t="str">
        <x:v>CORP-0284</x:v>
      </x:c>
      <x:c r="D1216" s="12" t="str">
        <x:v>Lucknow</x:v>
      </x:c>
      <x:c r="E1216" s="12" t="str">
        <x:v>Bhavya Corporate Tower</x:v>
      </x:c>
      <x:c r="F1216" s="12" t="str">
        <x:v>43 inch LED TV</x:v>
      </x:c>
      <x:c r="G1216" s="20" t="n">
        <x:v>2</x:v>
      </x:c>
      <x:c r="H1216" s="12" t="str">
        <x:v>Inventory-listed building/workspace context; current occupancy and screen access unverified</x:v>
      </x:c>
      <x:c r="I1216" s="12" t="str">
        <x:v>Mixed business audience</x:v>
      </x:c>
      <x:c r="J1216" s="12" t="str">
        <x:v>Trade, consumer &amp; logistics</x:v>
      </x:c>
      <x:c r="K1216" s="2" t="str">
        <x:v>MAIN-288</x:v>
      </x:c>
    </x:row>
    <x:row r="1217" ht="46" customHeight="1">
      <x:c r="A1217" s="2" t="str">
        <x:v>TEN-D4F5F3367894</x:v>
      </x:c>
      <x:c r="B1217" s="12" t="str">
        <x:v>Boxally</x:v>
      </x:c>
      <x:c r="C1217" s="12" t="str">
        <x:v>CORP-0284</x:v>
      </x:c>
      <x:c r="D1217" s="12" t="str">
        <x:v>Lucknow</x:v>
      </x:c>
      <x:c r="E1217" s="12" t="str">
        <x:v>Bhavya Corporate Tower</x:v>
      </x:c>
      <x:c r="F1217" s="12" t="str">
        <x:v>43 inch LED TV</x:v>
      </x:c>
      <x:c r="G1217" s="20" t="n">
        <x:v>2</x:v>
      </x:c>
      <x:c r="H1217" s="12" t="str">
        <x:v>Inventory-listed building/workspace context; current occupancy and screen access unverified</x:v>
      </x:c>
      <x:c r="I1217" s="12" t="str">
        <x:v>Mixed business audience</x:v>
      </x:c>
      <x:c r="J1217" s="12" t="str">
        <x:v>Unresolved</x:v>
      </x:c>
      <x:c r="K1217" s="2" t="str">
        <x:v>MAIN-288</x:v>
      </x:c>
    </x:row>
    <x:row r="1218" ht="46" customHeight="1">
      <x:c r="A1218" s="2" t="str">
        <x:v>TEN-EC9203AA35AB</x:v>
      </x:c>
      <x:c r="B1218" s="12" t="str">
        <x:v>Gramic</x:v>
      </x:c>
      <x:c r="C1218" s="12" t="str">
        <x:v>CORP-0284</x:v>
      </x:c>
      <x:c r="D1218" s="12" t="str">
        <x:v>Lucknow</x:v>
      </x:c>
      <x:c r="E1218" s="12" t="str">
        <x:v>Bhavya Corporate Tower</x:v>
      </x:c>
      <x:c r="F1218" s="12" t="str">
        <x:v>43 inch LED TV</x:v>
      </x:c>
      <x:c r="G1218" s="20" t="n">
        <x:v>2</x:v>
      </x:c>
      <x:c r="H1218" s="12" t="str">
        <x:v>Inventory-listed building/workspace context; current occupancy and screen access unverified</x:v>
      </x:c>
      <x:c r="I1218" s="12" t="str">
        <x:v>Mixed business audience</x:v>
      </x:c>
      <x:c r="J1218" s="12" t="str">
        <x:v>Unresolved</x:v>
      </x:c>
      <x:c r="K1218" s="2" t="str">
        <x:v>MAIN-288</x:v>
      </x:c>
    </x:row>
    <x:row r="1219" ht="46" customHeight="1">
      <x:c r="A1219" s="2" t="str">
        <x:v>TEN-45324BA64065</x:v>
      </x:c>
      <x:c r="B1219" s="12" t="str">
        <x:v>Zenith LLP</x:v>
      </x:c>
      <x:c r="C1219" s="12" t="str">
        <x:v>CORP-0025</x:v>
      </x:c>
      <x:c r="D1219" s="12" t="str">
        <x:v>Bengaluru</x:v>
      </x:c>
      <x:c r="E1219" s="12" t="str">
        <x:v>Bhive Workspace - HSR Sector 6 Service Road Unit A</x:v>
      </x:c>
      <x:c r="F1219" s="12" t="str">
        <x:v>32 inch LED TV</x:v>
      </x:c>
      <x:c r="G1219" s="20" t="n">
        <x:v>3</x:v>
      </x:c>
      <x:c r="H1219" s="12" t="str">
        <x:v>Inventory-listed building/workspace context; current occupancy and screen access unverified</x:v>
      </x:c>
      <x:c r="I1219" s="12" t="str">
        <x:v>Mixed business audience</x:v>
      </x:c>
      <x:c r="J1219" s="12" t="str">
        <x:v>Unresolved</x:v>
      </x:c>
      <x:c r="K1219" s="2" t="str">
        <x:v>MAIN-029</x:v>
      </x:c>
    </x:row>
    <x:row r="1220" ht="46" customHeight="1">
      <x:c r="A1220" s="2" t="str">
        <x:v>TEN-912465DAB3C4</x:v>
      </x:c>
      <x:c r="B1220" s="12" t="str">
        <x:v>TuskerWorkspace Pvt.Ltd</x:v>
      </x:c>
      <x:c r="C1220" s="12" t="str">
        <x:v>CORP-0025</x:v>
      </x:c>
      <x:c r="D1220" s="12" t="str">
        <x:v>Bengaluru</x:v>
      </x:c>
      <x:c r="E1220" s="12" t="str">
        <x:v>Bhive Workspace - HSR Sector 6 Service Road Unit A</x:v>
      </x:c>
      <x:c r="F1220" s="12" t="str">
        <x:v>32 inch LED TV</x:v>
      </x:c>
      <x:c r="G1220" s="20" t="n">
        <x:v>3</x:v>
      </x:c>
      <x:c r="H1220" s="12" t="str">
        <x:v>Inventory-listed building/workspace context; current occupancy and screen access unverified</x:v>
      </x:c>
      <x:c r="I1220" s="12" t="str">
        <x:v>Mixed business audience</x:v>
      </x:c>
      <x:c r="J1220" s="12" t="str">
        <x:v>Workspace &amp; property operations</x:v>
      </x:c>
      <x:c r="K1220" s="2" t="str">
        <x:v>MAIN-029</x:v>
      </x:c>
    </x:row>
    <x:row r="1221" ht="46" customHeight="1">
      <x:c r="A1221" s="2" t="str">
        <x:v>TEN-A37CB298D632</x:v>
      </x:c>
      <x:c r="B1221" s="12" t="str">
        <x:v>Boston Business Solutions Pvt.Ltd</x:v>
      </x:c>
      <x:c r="C1221" s="12" t="str">
        <x:v>CORP-0025</x:v>
      </x:c>
      <x:c r="D1221" s="12" t="str">
        <x:v>Bengaluru</x:v>
      </x:c>
      <x:c r="E1221" s="12" t="str">
        <x:v>Bhive Workspace - HSR Sector 6 Service Road Unit A</x:v>
      </x:c>
      <x:c r="F1221" s="12" t="str">
        <x:v>32 inch LED TV</x:v>
      </x:c>
      <x:c r="G1221" s="20" t="n">
        <x:v>3</x:v>
      </x:c>
      <x:c r="H1221" s="12" t="str">
        <x:v>Inventory-listed building/workspace context; current occupancy and screen access unverified</x:v>
      </x:c>
      <x:c r="I1221" s="12" t="str">
        <x:v>Mixed business audience</x:v>
      </x:c>
      <x:c r="J1221" s="12" t="str">
        <x:v>Unresolved</x:v>
      </x:c>
      <x:c r="K1221" s="2" t="str">
        <x:v>MAIN-029</x:v>
      </x:c>
    </x:row>
    <x:row r="1222" ht="46" customHeight="1">
      <x:c r="A1222" s="2" t="str">
        <x:v>TEN-C6AEEBB4913C</x:v>
      </x:c>
      <x:c r="B1222" s="12" t="str">
        <x:v>Netambit</x:v>
      </x:c>
      <x:c r="C1222" s="12" t="str">
        <x:v>CORP-0025</x:v>
      </x:c>
      <x:c r="D1222" s="12" t="str">
        <x:v>Bengaluru</x:v>
      </x:c>
      <x:c r="E1222" s="12" t="str">
        <x:v>Bhive Workspace - HSR Sector 6 Service Road Unit A</x:v>
      </x:c>
      <x:c r="F1222" s="12" t="str">
        <x:v>32 inch LED TV</x:v>
      </x:c>
      <x:c r="G1222" s="20" t="n">
        <x:v>3</x:v>
      </x:c>
      <x:c r="H1222" s="12" t="str">
        <x:v>Inventory-listed building/workspace context; current occupancy and screen access unverified</x:v>
      </x:c>
      <x:c r="I1222" s="12" t="str">
        <x:v>Small-scale prospects</x:v>
      </x:c>
      <x:c r="J1222" s="12" t="str">
        <x:v>Professional services</x:v>
      </x:c>
      <x:c r="K1222" s="2" t="str">
        <x:v>MAIN-029</x:v>
      </x:c>
    </x:row>
    <x:row r="1223" ht="46" customHeight="1">
      <x:c r="A1223" s="2" t="str">
        <x:v>TEN-DF08715E63C4</x:v>
      </x:c>
      <x:c r="B1223" s="12" t="str">
        <x:v>SpaceAtlas Proptech LLP</x:v>
      </x:c>
      <x:c r="C1223" s="12" t="str">
        <x:v>CORP-0025</x:v>
      </x:c>
      <x:c r="D1223" s="12" t="str">
        <x:v>Bengaluru</x:v>
      </x:c>
      <x:c r="E1223" s="12" t="str">
        <x:v>Bhive Workspace - HSR Sector 6 Service Road Unit A</x:v>
      </x:c>
      <x:c r="F1223" s="12" t="str">
        <x:v>32 inch LED TV</x:v>
      </x:c>
      <x:c r="G1223" s="20" t="n">
        <x:v>3</x:v>
      </x:c>
      <x:c r="H1223" s="12" t="str">
        <x:v>Inventory-listed building/workspace context; current occupancy and screen access unverified</x:v>
      </x:c>
      <x:c r="I1223" s="12" t="str">
        <x:v>Small-scale prospects</x:v>
      </x:c>
      <x:c r="J1223" s="12" t="str">
        <x:v>Trade, consumer &amp; logistics</x:v>
      </x:c>
      <x:c r="K1223" s="2" t="str">
        <x:v>MAIN-029</x:v>
      </x:c>
    </x:row>
    <x:row r="1224" ht="46" customHeight="1">
      <x:c r="A1224" s="2" t="str">
        <x:v>TEN-0A1B7BF36AFB</x:v>
      </x:c>
      <x:c r="B1224" s="12" t="str">
        <x:v>SIS Limited</x:v>
      </x:c>
      <x:c r="C1224" s="12" t="str">
        <x:v>CORP-0286</x:v>
      </x:c>
      <x:c r="D1224" s="12" t="str">
        <x:v>Lucknow</x:v>
      </x:c>
      <x:c r="E1224" s="12" t="str">
        <x:v>Eldeco Elegente</x:v>
      </x:c>
      <x:c r="F1224" s="12" t="str">
        <x:v>55 inch LED TV</x:v>
      </x:c>
      <x:c r="G1224" s="20" t="n">
        <x:v>1</x:v>
      </x:c>
      <x:c r="H1224" s="12" t="str">
        <x:v>Inventory-listed building/workspace context; current occupancy and screen access unverified</x:v>
      </x:c>
      <x:c r="I1224" s="12" t="str">
        <x:v>Mixed business audience</x:v>
      </x:c>
      <x:c r="J1224" s="12" t="str">
        <x:v>Trade, consumer &amp; logistics</x:v>
      </x:c>
      <x:c r="K1224" s="2" t="str">
        <x:v>MAIN-290</x:v>
      </x:c>
    </x:row>
    <x:row r="1225" ht="46" customHeight="1">
      <x:c r="A1225" s="2" t="str">
        <x:v>TEN-217C7370F820</x:v>
      </x:c>
      <x:c r="B1225" s="12" t="str">
        <x:v>Amrit Planners Pvt. Ltd</x:v>
      </x:c>
      <x:c r="C1225" s="12" t="str">
        <x:v>CORP-0286</x:v>
      </x:c>
      <x:c r="D1225" s="12" t="str">
        <x:v>Lucknow</x:v>
      </x:c>
      <x:c r="E1225" s="12" t="str">
        <x:v>Eldeco Elegente</x:v>
      </x:c>
      <x:c r="F1225" s="12" t="str">
        <x:v>55 inch LED TV</x:v>
      </x:c>
      <x:c r="G1225" s="20" t="n">
        <x:v>1</x:v>
      </x:c>
      <x:c r="H1225" s="12" t="str">
        <x:v>Inventory-listed building/workspace context; current occupancy and screen access unverified</x:v>
      </x:c>
      <x:c r="I1225" s="12" t="str">
        <x:v>Small-scale prospects</x:v>
      </x:c>
      <x:c r="J1225" s="12" t="str">
        <x:v>Professional services</x:v>
      </x:c>
      <x:c r="K1225" s="2" t="str">
        <x:v>MAIN-290</x:v>
      </x:c>
    </x:row>
    <x:row r="1226" ht="46" customHeight="1">
      <x:c r="A1226" s="2" t="str">
        <x:v>TEN-28ACA2C7A273</x:v>
      </x:c>
      <x:c r="B1226" s="12" t="str">
        <x:v>VastuGenesis Architects</x:v>
      </x:c>
      <x:c r="C1226" s="12" t="str">
        <x:v>CORP-0286</x:v>
      </x:c>
      <x:c r="D1226" s="12" t="str">
        <x:v>Lucknow</x:v>
      </x:c>
      <x:c r="E1226" s="12" t="str">
        <x:v>Eldeco Elegente</x:v>
      </x:c>
      <x:c r="F1226" s="12" t="str">
        <x:v>55 inch LED TV</x:v>
      </x:c>
      <x:c r="G1226" s="20" t="n">
        <x:v>1</x:v>
      </x:c>
      <x:c r="H1226" s="12" t="str">
        <x:v>Inventory-listed building/workspace context; current occupancy and screen access unverified</x:v>
      </x:c>
      <x:c r="I1226" s="12" t="str">
        <x:v>Small-scale prospects</x:v>
      </x:c>
      <x:c r="J1226" s="12" t="str">
        <x:v>Professional services</x:v>
      </x:c>
      <x:c r="K1226" s="2" t="str">
        <x:v>MAIN-290</x:v>
      </x:c>
    </x:row>
    <x:row r="1227" ht="46" customHeight="1">
      <x:c r="A1227" s="2" t="str">
        <x:v>TEN-77D42BF0BA58</x:v>
      </x:c>
      <x:c r="B1227" s="12" t="str">
        <x:v>Epitome Interior</x:v>
      </x:c>
      <x:c r="C1227" s="12" t="str">
        <x:v>CORP-0286</x:v>
      </x:c>
      <x:c r="D1227" s="12" t="str">
        <x:v>Lucknow</x:v>
      </x:c>
      <x:c r="E1227" s="12" t="str">
        <x:v>Eldeco Elegente</x:v>
      </x:c>
      <x:c r="F1227" s="12" t="str">
        <x:v>55 inch LED TV</x:v>
      </x:c>
      <x:c r="G1227" s="20" t="n">
        <x:v>1</x:v>
      </x:c>
      <x:c r="H1227" s="12" t="str">
        <x:v>Inventory-listed building/workspace context; current occupancy and screen access unverified</x:v>
      </x:c>
      <x:c r="I1227" s="12" t="str">
        <x:v>Small-scale prospects</x:v>
      </x:c>
      <x:c r="J1227" s="12" t="str">
        <x:v>Professional services</x:v>
      </x:c>
      <x:c r="K1227" s="2" t="str">
        <x:v>MAIN-290</x:v>
      </x:c>
    </x:row>
    <x:row r="1228" ht="46" customHeight="1">
      <x:c r="A1228" s="2" t="str">
        <x:v>TEN-83E66BCA4229</x:v>
      </x:c>
      <x:c r="B1228" s="12" t="str">
        <x:v>Safety Zone (AMP Services)</x:v>
      </x:c>
      <x:c r="C1228" s="12" t="str">
        <x:v>CORP-0286</x:v>
      </x:c>
      <x:c r="D1228" s="12" t="str">
        <x:v>Lucknow</x:v>
      </x:c>
      <x:c r="E1228" s="12" t="str">
        <x:v>Eldeco Elegente</x:v>
      </x:c>
      <x:c r="F1228" s="12" t="str">
        <x:v>55 inch LED TV</x:v>
      </x:c>
      <x:c r="G1228" s="20" t="n">
        <x:v>1</x:v>
      </x:c>
      <x:c r="H1228" s="12" t="str">
        <x:v>Inventory-listed building/workspace context; current occupancy and screen access unverified</x:v>
      </x:c>
      <x:c r="I1228" s="12" t="str">
        <x:v>Mixed business audience</x:v>
      </x:c>
      <x:c r="J1228" s="12" t="str">
        <x:v>Unresolved</x:v>
      </x:c>
      <x:c r="K1228" s="2" t="str">
        <x:v>MAIN-290</x:v>
      </x:c>
    </x:row>
    <x:row r="1229" ht="46" customHeight="1">
      <x:c r="A1229" s="2" t="str">
        <x:v>TEN-FA0DDD5275C1</x:v>
      </x:c>
      <x:c r="B1229" s="12" t="str">
        <x:v>Comfort My Travel</x:v>
      </x:c>
      <x:c r="C1229" s="12" t="str">
        <x:v>CORP-0286</x:v>
      </x:c>
      <x:c r="D1229" s="12" t="str">
        <x:v>Lucknow</x:v>
      </x:c>
      <x:c r="E1229" s="12" t="str">
        <x:v>Eldeco Elegente</x:v>
      </x:c>
      <x:c r="F1229" s="12" t="str">
        <x:v>55 inch LED TV</x:v>
      </x:c>
      <x:c r="G1229" s="20" t="n">
        <x:v>1</x:v>
      </x:c>
      <x:c r="H1229" s="12" t="str">
        <x:v>Inventory-listed building/workspace context; current occupancy and screen access unverified</x:v>
      </x:c>
      <x:c r="I1229" s="12" t="str">
        <x:v>Small-scale prospects</x:v>
      </x:c>
      <x:c r="J1229" s="12" t="str">
        <x:v>Trade, consumer &amp; logistics</x:v>
      </x:c>
      <x:c r="K1229" s="2" t="str">
        <x:v>MAIN-290</x:v>
      </x:c>
    </x:row>
    <x:row r="1230" ht="46" customHeight="1">
      <x:c r="A1230" s="2" t="str">
        <x:v>TEN-00BC9C2397F4</x:v>
      </x:c>
      <x:c r="B1230" s="12" t="str">
        <x:v>Bhutani Group</x:v>
      </x:c>
      <x:c r="C1230" s="12" t="str">
        <x:v>CORP-0287</x:v>
      </x:c>
      <x:c r="D1230" s="12" t="str">
        <x:v>Lucknow</x:v>
      </x:c>
      <x:c r="E1230" s="12" t="str">
        <x:v>Levana Cyber Heights</x:v>
      </x:c>
      <x:c r="F1230" s="12" t="str">
        <x:v>55 inch LED TV</x:v>
      </x:c>
      <x:c r="G1230" s="20" t="n">
        <x:v>4</x:v>
      </x:c>
      <x:c r="H1230" s="12" t="str">
        <x:v>Inventory-listed building/workspace context; current occupancy and screen access unverified</x:v>
      </x:c>
      <x:c r="I1230" s="12" t="str">
        <x:v>Mixed business audience</x:v>
      </x:c>
      <x:c r="J1230" s="12" t="str">
        <x:v>Trade, consumer &amp; logistics</x:v>
      </x:c>
      <x:c r="K1230" s="2" t="str">
        <x:v>MAIN-291</x:v>
      </x:c>
    </x:row>
    <x:row r="1231" ht="46" customHeight="1">
      <x:c r="A1231" s="2" t="str">
        <x:v>TEN-40E88EA2F489</x:v>
      </x:c>
      <x:c r="B1231" s="12" t="str">
        <x:v>Anglo eastern</x:v>
      </x:c>
      <x:c r="C1231" s="12" t="str">
        <x:v>CORP-0287</x:v>
      </x:c>
      <x:c r="D1231" s="12" t="str">
        <x:v>Lucknow</x:v>
      </x:c>
      <x:c r="E1231" s="12" t="str">
        <x:v>Levana Cyber Heights</x:v>
      </x:c>
      <x:c r="F1231" s="12" t="str">
        <x:v>55 inch LED TV</x:v>
      </x:c>
      <x:c r="G1231" s="20" t="n">
        <x:v>4</x:v>
      </x:c>
      <x:c r="H1231" s="12" t="str">
        <x:v>Inventory-listed building/workspace context; current occupancy and screen access unverified</x:v>
      </x:c>
      <x:c r="I1231" s="12" t="str">
        <x:v>Mixed business audience</x:v>
      </x:c>
      <x:c r="J1231" s="12" t="str">
        <x:v>Trade, consumer &amp; logistics</x:v>
      </x:c>
      <x:c r="K1231" s="2" t="str">
        <x:v>MAIN-291</x:v>
      </x:c>
    </x:row>
    <x:row r="1232" ht="46" customHeight="1">
      <x:c r="A1232" s="2" t="str">
        <x:v>TEN-4390DF4D2AFF</x:v>
      </x:c>
      <x:c r="B1232" s="12" t="str">
        <x:v>HDFC Life</x:v>
      </x:c>
      <x:c r="C1232" s="12" t="str">
        <x:v>CORP-0287</x:v>
      </x:c>
      <x:c r="D1232" s="12" t="str">
        <x:v>Lucknow</x:v>
      </x:c>
      <x:c r="E1232" s="12" t="str">
        <x:v>Levana Cyber Heights</x:v>
      </x:c>
      <x:c r="F1232" s="12" t="str">
        <x:v>55 inch LED TV</x:v>
      </x:c>
      <x:c r="G1232" s="20" t="n">
        <x:v>4</x:v>
      </x:c>
      <x:c r="H1232" s="12" t="str">
        <x:v>Inventory-listed building/workspace context; current occupancy and screen access unverified</x:v>
      </x:c>
      <x:c r="I1232" s="12" t="str">
        <x:v>Large enterprise</x:v>
      </x:c>
      <x:c r="J1232" s="12" t="str">
        <x:v>Finance &amp; insurance</x:v>
      </x:c>
      <x:c r="K1232" s="2" t="str">
        <x:v>MAIN-291</x:v>
      </x:c>
    </x:row>
    <x:row r="1233" ht="46" customHeight="1">
      <x:c r="A1233" s="2" t="str">
        <x:v>TEN-4C139C225475</x:v>
      </x:c>
      <x:c r="B1233" s="12" t="str">
        <x:v>Acer India</x:v>
      </x:c>
      <x:c r="C1233" s="12" t="str">
        <x:v>CORP-0287</x:v>
      </x:c>
      <x:c r="D1233" s="12" t="str">
        <x:v>Lucknow</x:v>
      </x:c>
      <x:c r="E1233" s="12" t="str">
        <x:v>Levana Cyber Heights</x:v>
      </x:c>
      <x:c r="F1233" s="12" t="str">
        <x:v>55 inch LED TV</x:v>
      </x:c>
      <x:c r="G1233" s="20" t="n">
        <x:v>4</x:v>
      </x:c>
      <x:c r="H1233" s="12" t="str">
        <x:v>Inventory-listed building/workspace context; current occupancy and screen access unverified</x:v>
      </x:c>
      <x:c r="I1233" s="12" t="str">
        <x:v>Mixed business audience</x:v>
      </x:c>
      <x:c r="J1233" s="12" t="str">
        <x:v>Engineering &amp; manufacturing</x:v>
      </x:c>
      <x:c r="K1233" s="2" t="str">
        <x:v>MAIN-291</x:v>
      </x:c>
    </x:row>
    <x:row r="1234" ht="46" customHeight="1">
      <x:c r="A1234" s="2" t="str">
        <x:v>TEN-A1CAB074F125</x:v>
      </x:c>
      <x:c r="B1234" s="12" t="str">
        <x:v>atlantis Diagnostic center</x:v>
      </x:c>
      <x:c r="C1234" s="12" t="str">
        <x:v>CORP-0287</x:v>
      </x:c>
      <x:c r="D1234" s="12" t="str">
        <x:v>Lucknow</x:v>
      </x:c>
      <x:c r="E1234" s="12" t="str">
        <x:v>Levana Cyber Heights</x:v>
      </x:c>
      <x:c r="F1234" s="12" t="str">
        <x:v>55 inch LED TV</x:v>
      </x:c>
      <x:c r="G1234" s="20" t="n">
        <x:v>4</x:v>
      </x:c>
      <x:c r="H1234" s="12" t="str">
        <x:v>Inventory-listed building/workspace context; current occupancy and screen access unverified</x:v>
      </x:c>
      <x:c r="I1234" s="12" t="str">
        <x:v>Small-scale prospects</x:v>
      </x:c>
      <x:c r="J1234" s="12" t="str">
        <x:v>Healthcare &amp; life sciences</x:v>
      </x:c>
      <x:c r="K1234" s="2" t="str">
        <x:v>MAIN-291</x:v>
      </x:c>
    </x:row>
    <x:row r="1235" ht="46" customHeight="1">
      <x:c r="A1235" s="2" t="str">
        <x:v>TEN-A51B11D31E60</x:v>
      </x:c>
      <x:c r="B1235" s="12" t="str">
        <x:v>Big daddy</x:v>
      </x:c>
      <x:c r="C1235" s="12" t="str">
        <x:v>CORP-0287</x:v>
      </x:c>
      <x:c r="D1235" s="12" t="str">
        <x:v>Lucknow</x:v>
      </x:c>
      <x:c r="E1235" s="12" t="str">
        <x:v>Levana Cyber Heights</x:v>
      </x:c>
      <x:c r="F1235" s="12" t="str">
        <x:v>55 inch LED TV</x:v>
      </x:c>
      <x:c r="G1235" s="20" t="n">
        <x:v>4</x:v>
      </x:c>
      <x:c r="H1235" s="12" t="str">
        <x:v>Inventory-listed building/workspace context; current occupancy and screen access unverified</x:v>
      </x:c>
      <x:c r="I1235" s="12" t="str">
        <x:v>Mixed business audience</x:v>
      </x:c>
      <x:c r="J1235" s="12" t="str">
        <x:v>Unresolved</x:v>
      </x:c>
      <x:c r="K1235" s="2" t="str">
        <x:v>MAIN-291</x:v>
      </x:c>
    </x:row>
    <x:row r="1236" ht="46" customHeight="1">
      <x:c r="A1236" s="2" t="str">
        <x:v>TEN-C8E1ABF7F3C8</x:v>
      </x:c>
      <x:c r="B1236" s="12" t="str">
        <x:v>Square Yard</x:v>
      </x:c>
      <x:c r="C1236" s="12" t="str">
        <x:v>CORP-0287</x:v>
      </x:c>
      <x:c r="D1236" s="12" t="str">
        <x:v>Lucknow</x:v>
      </x:c>
      <x:c r="E1236" s="12" t="str">
        <x:v>Levana Cyber Heights</x:v>
      </x:c>
      <x:c r="F1236" s="12" t="str">
        <x:v>55 inch LED TV</x:v>
      </x:c>
      <x:c r="G1236" s="20" t="n">
        <x:v>4</x:v>
      </x:c>
      <x:c r="H1236" s="12" t="str">
        <x:v>Inventory-listed building/workspace context; current occupancy and screen access unverified</x:v>
      </x:c>
      <x:c r="I1236" s="12" t="str">
        <x:v>Mixed business audience</x:v>
      </x:c>
      <x:c r="J1236" s="12" t="str">
        <x:v>Trade, consumer &amp; logistics</x:v>
      </x:c>
      <x:c r="K1236" s="2" t="str">
        <x:v>MAIN-291</x:v>
      </x:c>
    </x:row>
    <x:row r="1237" ht="46" customHeight="1">
      <x:c r="A1237" s="2" t="str">
        <x:v>TEN-FA6E54D148C8</x:v>
      </x:c>
      <x:c r="B1237" s="12" t="str">
        <x:v>Bingo bee</x:v>
      </x:c>
      <x:c r="C1237" s="12" t="str">
        <x:v>CORP-0287</x:v>
      </x:c>
      <x:c r="D1237" s="12" t="str">
        <x:v>Lucknow</x:v>
      </x:c>
      <x:c r="E1237" s="12" t="str">
        <x:v>Levana Cyber Heights</x:v>
      </x:c>
      <x:c r="F1237" s="12" t="str">
        <x:v>55 inch LED TV</x:v>
      </x:c>
      <x:c r="G1237" s="20" t="n">
        <x:v>4</x:v>
      </x:c>
      <x:c r="H1237" s="12" t="str">
        <x:v>Inventory-listed building/workspace context; current occupancy and screen access unverified</x:v>
      </x:c>
      <x:c r="I1237" s="12" t="str">
        <x:v>Mixed business audience</x:v>
      </x:c>
      <x:c r="J1237" s="12" t="str">
        <x:v>Unresolved</x:v>
      </x:c>
      <x:c r="K1237" s="2" t="str">
        <x:v>MAIN-291</x:v>
      </x:c>
    </x:row>
    <x:row r="1238" ht="46" customHeight="1">
      <x:c r="A1238" s="2" t="str">
        <x:v>TEN-29D7F81C9D8B</x:v>
      </x:c>
      <x:c r="B1238" s="12" t="str">
        <x:v>omaxe housing</x:v>
      </x:c>
      <x:c r="C1238" s="12" t="str">
        <x:v>CORP-0288</x:v>
      </x:c>
      <x:c r="D1238" s="12" t="str">
        <x:v>Lucknow</x:v>
      </x:c>
      <x:c r="E1238" s="12" t="str">
        <x:v>Levana Cyber Tower</x:v>
      </x:c>
      <x:c r="F1238" s="12" t="str">
        <x:v>55 inch LED TV</x:v>
      </x:c>
      <x:c r="G1238" s="20" t="n">
        <x:v>3</x:v>
      </x:c>
      <x:c r="H1238" s="12" t="str">
        <x:v>Inventory-listed building/workspace context; current occupancy and screen access unverified</x:v>
      </x:c>
      <x:c r="I1238" s="12" t="str">
        <x:v>Mixed business audience</x:v>
      </x:c>
      <x:c r="J1238" s="12" t="str">
        <x:v>Trade, consumer &amp; logistics</x:v>
      </x:c>
      <x:c r="K1238" s="2" t="str">
        <x:v>MAIN-292</x:v>
      </x:c>
    </x:row>
    <x:row r="1239" ht="46" customHeight="1">
      <x:c r="A1239" s="2" t="str">
        <x:v>TEN-42777503B9F4</x:v>
      </x:c>
      <x:c r="B1239" s="12" t="str">
        <x:v>Purple Finance</x:v>
      </x:c>
      <x:c r="C1239" s="12" t="str">
        <x:v>CORP-0288</x:v>
      </x:c>
      <x:c r="D1239" s="12" t="str">
        <x:v>Lucknow</x:v>
      </x:c>
      <x:c r="E1239" s="12" t="str">
        <x:v>Levana Cyber Tower</x:v>
      </x:c>
      <x:c r="F1239" s="12" t="str">
        <x:v>55 inch LED TV</x:v>
      </x:c>
      <x:c r="G1239" s="20" t="n">
        <x:v>3</x:v>
      </x:c>
      <x:c r="H1239" s="12" t="str">
        <x:v>Inventory-listed building/workspace context; current occupancy and screen access unverified</x:v>
      </x:c>
      <x:c r="I1239" s="12" t="str">
        <x:v>Medium-scale prospects</x:v>
      </x:c>
      <x:c r="J1239" s="12" t="str">
        <x:v>Finance &amp; insurance</x:v>
      </x:c>
      <x:c r="K1239" s="2" t="str">
        <x:v>MAIN-292</x:v>
      </x:c>
    </x:row>
    <x:row r="1240" ht="46" customHeight="1">
      <x:c r="A1240" s="2" t="str">
        <x:v>TEN-45699C1D6DAE</x:v>
      </x:c>
      <x:c r="B1240" s="12" t="str">
        <x:v>Care Health</x:v>
      </x:c>
      <x:c r="C1240" s="12" t="str">
        <x:v>CORP-0288</x:v>
      </x:c>
      <x:c r="D1240" s="12" t="str">
        <x:v>Lucknow</x:v>
      </x:c>
      <x:c r="E1240" s="12" t="str">
        <x:v>Levana Cyber Tower</x:v>
      </x:c>
      <x:c r="F1240" s="12" t="str">
        <x:v>55 inch LED TV</x:v>
      </x:c>
      <x:c r="G1240" s="20" t="n">
        <x:v>3</x:v>
      </x:c>
      <x:c r="H1240" s="12" t="str">
        <x:v>Inventory-listed building/workspace context; current occupancy and screen access unverified</x:v>
      </x:c>
      <x:c r="I1240" s="12" t="str">
        <x:v>Mixed business audience</x:v>
      </x:c>
      <x:c r="J1240" s="12" t="str">
        <x:v>Finance &amp; insurance</x:v>
      </x:c>
      <x:c r="K1240" s="2" t="str">
        <x:v>MAIN-292</x:v>
      </x:c>
    </x:row>
    <x:row r="1241" ht="46" customHeight="1">
      <x:c r="A1241" s="2" t="str">
        <x:v>TEN-65C07372CD3C</x:v>
      </x:c>
      <x:c r="B1241" s="12" t="str">
        <x:v>Finesse informition system</x:v>
      </x:c>
      <x:c r="C1241" s="12" t="str">
        <x:v>CORP-0288</x:v>
      </x:c>
      <x:c r="D1241" s="12" t="str">
        <x:v>Lucknow</x:v>
      </x:c>
      <x:c r="E1241" s="12" t="str">
        <x:v>Levana Cyber Tower</x:v>
      </x:c>
      <x:c r="F1241" s="12" t="str">
        <x:v>55 inch LED TV</x:v>
      </x:c>
      <x:c r="G1241" s="20" t="n">
        <x:v>3</x:v>
      </x:c>
      <x:c r="H1241" s="12" t="str">
        <x:v>Inventory-listed building/workspace context; current occupancy and screen access unverified</x:v>
      </x:c>
      <x:c r="I1241" s="12" t="str">
        <x:v>Mixed business audience</x:v>
      </x:c>
      <x:c r="J1241" s="12" t="str">
        <x:v>Unresolved</x:v>
      </x:c>
      <x:c r="K1241" s="2" t="str">
        <x:v>MAIN-292</x:v>
      </x:c>
    </x:row>
    <x:row r="1242" ht="46" customHeight="1">
      <x:c r="A1242" s="2" t="str">
        <x:v>TEN-7539C30876CE</x:v>
      </x:c>
      <x:c r="B1242" s="12" t="str">
        <x:v>OMC Power Pvt ltd</x:v>
      </x:c>
      <x:c r="C1242" s="12" t="str">
        <x:v>CORP-0288</x:v>
      </x:c>
      <x:c r="D1242" s="12" t="str">
        <x:v>Lucknow</x:v>
      </x:c>
      <x:c r="E1242" s="12" t="str">
        <x:v>Levana Cyber Tower</x:v>
      </x:c>
      <x:c r="F1242" s="12" t="str">
        <x:v>55 inch LED TV</x:v>
      </x:c>
      <x:c r="G1242" s="20" t="n">
        <x:v>3</x:v>
      </x:c>
      <x:c r="H1242" s="12" t="str">
        <x:v>Inventory-listed building/workspace context; current occupancy and screen access unverified</x:v>
      </x:c>
      <x:c r="I1242" s="12" t="str">
        <x:v>Medium-scale prospects</x:v>
      </x:c>
      <x:c r="J1242" s="12" t="str">
        <x:v>Engineering &amp; manufacturing</x:v>
      </x:c>
      <x:c r="K1242" s="2" t="str">
        <x:v>MAIN-292</x:v>
      </x:c>
    </x:row>
    <x:row r="1243" ht="46" customHeight="1">
      <x:c r="A1243" s="2" t="str">
        <x:v>TEN-8816BD509BFD</x:v>
      </x:c>
      <x:c r="B1243" s="12" t="str">
        <x:v>Birla Corpooration</x:v>
      </x:c>
      <x:c r="C1243" s="12" t="str">
        <x:v>CORP-0288</x:v>
      </x:c>
      <x:c r="D1243" s="12" t="str">
        <x:v>Lucknow</x:v>
      </x:c>
      <x:c r="E1243" s="12" t="str">
        <x:v>Levana Cyber Tower</x:v>
      </x:c>
      <x:c r="F1243" s="12" t="str">
        <x:v>55 inch LED TV</x:v>
      </x:c>
      <x:c r="G1243" s="20" t="n">
        <x:v>3</x:v>
      </x:c>
      <x:c r="H1243" s="12" t="str">
        <x:v>Inventory-listed building/workspace context; current occupancy and screen access unverified</x:v>
      </x:c>
      <x:c r="I1243" s="12" t="str">
        <x:v>Mixed business audience</x:v>
      </x:c>
      <x:c r="J1243" s="12" t="str">
        <x:v>Engineering &amp; manufacturing</x:v>
      </x:c>
      <x:c r="K1243" s="2" t="str">
        <x:v>MAIN-292</x:v>
      </x:c>
    </x:row>
    <x:row r="1244" ht="46" customHeight="1">
      <x:c r="A1244" s="2" t="str">
        <x:v>TEN-E4F62EEBC64C</x:v>
      </x:c>
      <x:c r="B1244" s="12" t="str">
        <x:v>Raj Desigens &amp; exhibitis</x:v>
      </x:c>
      <x:c r="C1244" s="12" t="str">
        <x:v>CORP-0288</x:v>
      </x:c>
      <x:c r="D1244" s="12" t="str">
        <x:v>Lucknow</x:v>
      </x:c>
      <x:c r="E1244" s="12" t="str">
        <x:v>Levana Cyber Tower</x:v>
      </x:c>
      <x:c r="F1244" s="12" t="str">
        <x:v>55 inch LED TV</x:v>
      </x:c>
      <x:c r="G1244" s="20" t="n">
        <x:v>3</x:v>
      </x:c>
      <x:c r="H1244" s="12" t="str">
        <x:v>Inventory-listed building/workspace context; current occupancy and screen access unverified</x:v>
      </x:c>
      <x:c r="I1244" s="12" t="str">
        <x:v>Mixed business audience</x:v>
      </x:c>
      <x:c r="J1244" s="12" t="str">
        <x:v>Unresolved</x:v>
      </x:c>
      <x:c r="K1244" s="2" t="str">
        <x:v>MAIN-292</x:v>
      </x:c>
    </x:row>
    <x:row r="1245" ht="46" customHeight="1">
      <x:c r="A1245" s="2" t="str">
        <x:v>TEN-8217BB19EBF1</x:v>
      </x:c>
      <x:c r="B1245" s="12" t="str">
        <x:v>J.P. Morgan</x:v>
      </x:c>
      <x:c r="C1245" s="12" t="str">
        <x:v>CORP-0289</x:v>
      </x:c>
      <x:c r="D1245" s="12" t="str">
        <x:v>Mumbai</x:v>
      </x:c>
      <x:c r="E1245" s="12" t="str">
        <x:v>Altimus (TS)</x:v>
      </x:c>
      <x:c r="F1245" s="12" t="str">
        <x:v>55 inch LED TV</x:v>
      </x:c>
      <x:c r="G1245" s="20" t="n">
        <x:v>1</x:v>
      </x:c>
      <x:c r="H1245" s="12" t="str">
        <x:v>Same-building name inference from another supplied inventory row; exact site-ID match absent</x:v>
      </x:c>
      <x:c r="I1245" s="12" t="str">
        <x:v>Large enterprise</x:v>
      </x:c>
      <x:c r="J1245" s="12" t="str">
        <x:v>Finance &amp; insurance</x:v>
      </x:c>
      <x:c r="K1245" s="2" t="str">
        <x:v>MAIN-293</x:v>
      </x:c>
    </x:row>
    <x:row r="1246" ht="46" customHeight="1">
      <x:c r="A1246" s="2" t="str">
        <x:v>TEN-0FBBCA859902</x:v>
      </x:c>
      <x:c r="B1246" s="12" t="str">
        <x:v>Popular interior</x:v>
      </x:c>
      <x:c r="C1246" s="12" t="str">
        <x:v>CORP-0290</x:v>
      </x:c>
      <x:c r="D1246" s="12" t="str">
        <x:v>Mumbai</x:v>
      </x:c>
      <x:c r="E1246" s="12" t="str">
        <x:v>Avior Corporate Park</x:v>
      </x:c>
      <x:c r="F1246" s="12" t="str">
        <x:v>32 inch LED TV</x:v>
      </x:c>
      <x:c r="G1246" s="20" t="n">
        <x:v>39</x:v>
      </x:c>
      <x:c r="H1246" s="12" t="str">
        <x:v>Inventory-listed building/workspace context; current occupancy and screen access unverified</x:v>
      </x:c>
      <x:c r="I1246" s="12" t="str">
        <x:v>Small-scale prospects</x:v>
      </x:c>
      <x:c r="J1246" s="12" t="str">
        <x:v>Professional services</x:v>
      </x:c>
      <x:c r="K1246" s="2" t="str">
        <x:v>MAIN-294</x:v>
      </x:c>
    </x:row>
    <x:row r="1247" ht="46" customHeight="1">
      <x:c r="A1247" s="2" t="str">
        <x:v>TEN-17DC2BB3BD30</x:v>
      </x:c>
      <x:c r="B1247" s="12" t="str">
        <x:v>Pehel child development centre</x:v>
      </x:c>
      <x:c r="C1247" s="12" t="str">
        <x:v>CORP-0290</x:v>
      </x:c>
      <x:c r="D1247" s="12" t="str">
        <x:v>Mumbai</x:v>
      </x:c>
      <x:c r="E1247" s="12" t="str">
        <x:v>Avior Corporate Park</x:v>
      </x:c>
      <x:c r="F1247" s="12" t="str">
        <x:v>32 inch LED TV</x:v>
      </x:c>
      <x:c r="G1247" s="20" t="n">
        <x:v>39</x:v>
      </x:c>
      <x:c r="H1247" s="12" t="str">
        <x:v>Inventory-listed building/workspace context; current occupancy and screen access unverified</x:v>
      </x:c>
      <x:c r="I1247" s="12" t="str">
        <x:v>Small-scale prospects</x:v>
      </x:c>
      <x:c r="J1247" s="12" t="str">
        <x:v>Education</x:v>
      </x:c>
      <x:c r="K1247" s="2" t="str">
        <x:v>MAIN-294</x:v>
      </x:c>
    </x:row>
    <x:row r="1248" ht="46" customHeight="1">
      <x:c r="A1248" s="2" t="str">
        <x:v>TEN-201CFFEC4ACD</x:v>
      </x:c>
      <x:c r="B1248" s="12" t="str">
        <x:v>Paras Metallurgical Industries</x:v>
      </x:c>
      <x:c r="C1248" s="12" t="str">
        <x:v>CORP-0290</x:v>
      </x:c>
      <x:c r="D1248" s="12" t="str">
        <x:v>Mumbai</x:v>
      </x:c>
      <x:c r="E1248" s="12" t="str">
        <x:v>Avior Corporate Park</x:v>
      </x:c>
      <x:c r="F1248" s="12" t="str">
        <x:v>32 inch LED TV</x:v>
      </x:c>
      <x:c r="G1248" s="20" t="n">
        <x:v>39</x:v>
      </x:c>
      <x:c r="H1248" s="12" t="str">
        <x:v>Inventory-listed building/workspace context; current occupancy and screen access unverified</x:v>
      </x:c>
      <x:c r="I1248" s="12" t="str">
        <x:v>Medium-scale prospects</x:v>
      </x:c>
      <x:c r="J1248" s="12" t="str">
        <x:v>Engineering &amp; manufacturing</x:v>
      </x:c>
      <x:c r="K1248" s="2" t="str">
        <x:v>MAIN-294</x:v>
      </x:c>
    </x:row>
    <x:row r="1249" ht="46" customHeight="1">
      <x:c r="A1249" s="2" t="str">
        <x:v>TEN-2592FDF194F6</x:v>
      </x:c>
      <x:c r="B1249" s="12" t="str">
        <x:v>Mishara</x:v>
      </x:c>
      <x:c r="C1249" s="12" t="str">
        <x:v>CORP-0290</x:v>
      </x:c>
      <x:c r="D1249" s="12" t="str">
        <x:v>Mumbai</x:v>
      </x:c>
      <x:c r="E1249" s="12" t="str">
        <x:v>Avior Corporate Park</x:v>
      </x:c>
      <x:c r="F1249" s="12" t="str">
        <x:v>32 inch LED TV</x:v>
      </x:c>
      <x:c r="G1249" s="20" t="n">
        <x:v>39</x:v>
      </x:c>
      <x:c r="H1249" s="12" t="str">
        <x:v>Inventory-listed building/workspace context; current occupancy and screen access unverified</x:v>
      </x:c>
      <x:c r="I1249" s="12" t="str">
        <x:v>Mixed business audience</x:v>
      </x:c>
      <x:c r="J1249" s="12" t="str">
        <x:v>Unresolved</x:v>
      </x:c>
      <x:c r="K1249" s="2" t="str">
        <x:v>MAIN-294</x:v>
      </x:c>
    </x:row>
    <x:row r="1250" ht="46" customHeight="1">
      <x:c r="A1250" s="2" t="str">
        <x:v>TEN-511D184A4002</x:v>
      </x:c>
      <x:c r="B1250" s="12" t="str">
        <x:v>Jindal Warehouse</x:v>
      </x:c>
      <x:c r="C1250" s="12" t="str">
        <x:v>CORP-0290</x:v>
      </x:c>
      <x:c r="D1250" s="12" t="str">
        <x:v>Mumbai</x:v>
      </x:c>
      <x:c r="E1250" s="12" t="str">
        <x:v>Avior Corporate Park</x:v>
      </x:c>
      <x:c r="F1250" s="12" t="str">
        <x:v>32 inch LED TV</x:v>
      </x:c>
      <x:c r="G1250" s="20" t="n">
        <x:v>39</x:v>
      </x:c>
      <x:c r="H1250" s="12" t="str">
        <x:v>Inventory-listed building/workspace context; current occupancy and screen access unverified</x:v>
      </x:c>
      <x:c r="I1250" s="12" t="str">
        <x:v>Mixed business audience</x:v>
      </x:c>
      <x:c r="J1250" s="12" t="str">
        <x:v>Trade, consumer &amp; logistics</x:v>
      </x:c>
      <x:c r="K1250" s="2" t="str">
        <x:v>MAIN-294</x:v>
      </x:c>
    </x:row>
    <x:row r="1251" ht="46" customHeight="1">
      <x:c r="A1251" s="2" t="str">
        <x:v>TEN-BC193D0D7F42</x:v>
      </x:c>
      <x:c r="B1251" s="12" t="str">
        <x:v>Iconic Family saloon</x:v>
      </x:c>
      <x:c r="C1251" s="12" t="str">
        <x:v>CORP-0290</x:v>
      </x:c>
      <x:c r="D1251" s="12" t="str">
        <x:v>Mumbai</x:v>
      </x:c>
      <x:c r="E1251" s="12" t="str">
        <x:v>Avior Corporate Park</x:v>
      </x:c>
      <x:c r="F1251" s="12" t="str">
        <x:v>32 inch LED TV</x:v>
      </x:c>
      <x:c r="G1251" s="20" t="n">
        <x:v>39</x:v>
      </x:c>
      <x:c r="H1251" s="12" t="str">
        <x:v>Inventory-listed building/workspace context; current occupancy and screen access unverified</x:v>
      </x:c>
      <x:c r="I1251" s="12" t="str">
        <x:v>Small-scale prospects</x:v>
      </x:c>
      <x:c r="J1251" s="12" t="str">
        <x:v>Trade, consumer &amp; logistics</x:v>
      </x:c>
      <x:c r="K1251" s="2" t="str">
        <x:v>MAIN-294</x:v>
      </x:c>
    </x:row>
    <x:row r="1252" ht="46" customHeight="1">
      <x:c r="A1252" s="2" t="str">
        <x:v>TEN-C0BC2A1F1E0F</x:v>
      </x:c>
      <x:c r="B1252" s="12" t="str">
        <x:v>Gibbs</x:v>
      </x:c>
      <x:c r="C1252" s="12" t="str">
        <x:v>CORP-0290</x:v>
      </x:c>
      <x:c r="D1252" s="12" t="str">
        <x:v>Mumbai</x:v>
      </x:c>
      <x:c r="E1252" s="12" t="str">
        <x:v>Avior Corporate Park</x:v>
      </x:c>
      <x:c r="F1252" s="12" t="str">
        <x:v>32 inch LED TV</x:v>
      </x:c>
      <x:c r="G1252" s="20" t="n">
        <x:v>39</x:v>
      </x:c>
      <x:c r="H1252" s="12" t="str">
        <x:v>Inventory-listed building/workspace context; current occupancy and screen access unverified</x:v>
      </x:c>
      <x:c r="I1252" s="12" t="str">
        <x:v>Mixed business audience</x:v>
      </x:c>
      <x:c r="J1252" s="12" t="str">
        <x:v>Unresolved</x:v>
      </x:c>
      <x:c r="K1252" s="2" t="str">
        <x:v>MAIN-294</x:v>
      </x:c>
    </x:row>
    <x:row r="1253" ht="46" customHeight="1">
      <x:c r="A1253" s="2" t="str">
        <x:v>TEN-C1EA652089D1</x:v>
      </x:c>
      <x:c r="B1253" s="12" t="str">
        <x:v>Porlob</x:v>
      </x:c>
      <x:c r="C1253" s="12" t="str">
        <x:v>CORP-0290</x:v>
      </x:c>
      <x:c r="D1253" s="12" t="str">
        <x:v>Mumbai</x:v>
      </x:c>
      <x:c r="E1253" s="12" t="str">
        <x:v>Avior Corporate Park</x:v>
      </x:c>
      <x:c r="F1253" s="12" t="str">
        <x:v>32 inch LED TV</x:v>
      </x:c>
      <x:c r="G1253" s="20" t="n">
        <x:v>39</x:v>
      </x:c>
      <x:c r="H1253" s="12" t="str">
        <x:v>Inventory-listed building/workspace context; current occupancy and screen access unverified</x:v>
      </x:c>
      <x:c r="I1253" s="12" t="str">
        <x:v>Small-scale prospects</x:v>
      </x:c>
      <x:c r="J1253" s="12" t="str">
        <x:v>IT &amp; digital</x:v>
      </x:c>
      <x:c r="K1253" s="2" t="str">
        <x:v>MAIN-294</x:v>
      </x:c>
    </x:row>
    <x:row r="1254" ht="46" customHeight="1">
      <x:c r="A1254" s="2" t="str">
        <x:v>TEN-CE5430F7ABD8</x:v>
      </x:c>
      <x:c r="B1254" s="12" t="str">
        <x:v>Josho Learning PVT.LTD</x:v>
      </x:c>
      <x:c r="C1254" s="12" t="str">
        <x:v>CORP-0290</x:v>
      </x:c>
      <x:c r="D1254" s="12" t="str">
        <x:v>Mumbai</x:v>
      </x:c>
      <x:c r="E1254" s="12" t="str">
        <x:v>Avior Corporate Park</x:v>
      </x:c>
      <x:c r="F1254" s="12" t="str">
        <x:v>32 inch LED TV</x:v>
      </x:c>
      <x:c r="G1254" s="20" t="n">
        <x:v>39</x:v>
      </x:c>
      <x:c r="H1254" s="12" t="str">
        <x:v>Inventory-listed building/workspace context; current occupancy and screen access unverified</x:v>
      </x:c>
      <x:c r="I1254" s="12" t="str">
        <x:v>Small-scale prospects</x:v>
      </x:c>
      <x:c r="J1254" s="12" t="str">
        <x:v>Education</x:v>
      </x:c>
      <x:c r="K1254" s="2" t="str">
        <x:v>MAIN-294</x:v>
      </x:c>
    </x:row>
    <x:row r="1255" ht="46" customHeight="1">
      <x:c r="A1255" s="2" t="str">
        <x:v>TEN-EAEBA0777B03</x:v>
      </x:c>
      <x:c r="B1255" s="12" t="str">
        <x:v>Kundalika rafting</x:v>
      </x:c>
      <x:c r="C1255" s="12" t="str">
        <x:v>CORP-0290</x:v>
      </x:c>
      <x:c r="D1255" s="12" t="str">
        <x:v>Mumbai</x:v>
      </x:c>
      <x:c r="E1255" s="12" t="str">
        <x:v>Avior Corporate Park</x:v>
      </x:c>
      <x:c r="F1255" s="12" t="str">
        <x:v>32 inch LED TV</x:v>
      </x:c>
      <x:c r="G1255" s="20" t="n">
        <x:v>39</x:v>
      </x:c>
      <x:c r="H1255" s="12" t="str">
        <x:v>Inventory-listed building/workspace context; current occupancy and screen access unverified</x:v>
      </x:c>
      <x:c r="I1255" s="12" t="str">
        <x:v>Small-scale prospects</x:v>
      </x:c>
      <x:c r="J1255" s="12" t="str">
        <x:v>Trade, consumer &amp; logistics</x:v>
      </x:c>
      <x:c r="K1255" s="2" t="str">
        <x:v>MAIN-294</x:v>
      </x:c>
    </x:row>
    <x:row r="1256" ht="46" customHeight="1">
      <x:c r="A1256" s="2" t="str">
        <x:v>TEN-5362C2C3DA52</x:v>
      </x:c>
      <x:c r="B1256" s="12" t="str">
        <x:v>VITO</x:v>
      </x:c>
      <x:c r="C1256" s="12" t="str">
        <x:v>CORP-0291</x:v>
      </x:c>
      <x:c r="D1256" s="12" t="str">
        <x:v>Mumbai</x:v>
      </x:c>
      <x:c r="E1256" s="12" t="str">
        <x:v>Awfis - Adani Inspire, BKC</x:v>
      </x:c>
      <x:c r="F1256" s="12" t="str">
        <x:v>32 inch LED TV</x:v>
      </x:c>
      <x:c r="G1256" s="20" t="n">
        <x:v>1</x:v>
      </x:c>
      <x:c r="H1256" s="12" t="str">
        <x:v>Inventory-listed building/workspace context; current occupancy and screen access unverified</x:v>
      </x:c>
      <x:c r="I1256" s="12" t="str">
        <x:v>Mixed business audience</x:v>
      </x:c>
      <x:c r="J1256" s="12" t="str">
        <x:v>Unresolved</x:v>
      </x:c>
      <x:c r="K1256" s="2" t="str">
        <x:v>MAIN-295</x:v>
      </x:c>
    </x:row>
    <x:row r="1257" ht="46" customHeight="1">
      <x:c r="A1257" s="2" t="str">
        <x:v>TEN-705C1B5267C6</x:v>
      </x:c>
      <x:c r="B1257" s="12" t="str">
        <x:v>BOLT TECH</x:v>
      </x:c>
      <x:c r="C1257" s="12" t="str">
        <x:v>CORP-0291</x:v>
      </x:c>
      <x:c r="D1257" s="12" t="str">
        <x:v>Mumbai</x:v>
      </x:c>
      <x:c r="E1257" s="12" t="str">
        <x:v>Awfis - Adani Inspire, BKC</x:v>
      </x:c>
      <x:c r="F1257" s="12" t="str">
        <x:v>32 inch LED TV</x:v>
      </x:c>
      <x:c r="G1257" s="20" t="n">
        <x:v>1</x:v>
      </x:c>
      <x:c r="H1257" s="12" t="str">
        <x:v>Inventory-listed building/workspace context; current occupancy and screen access unverified</x:v>
      </x:c>
      <x:c r="I1257" s="12" t="str">
        <x:v>Medium-scale prospects</x:v>
      </x:c>
      <x:c r="J1257" s="12" t="str">
        <x:v>Finance &amp; insurance</x:v>
      </x:c>
      <x:c r="K1257" s="2" t="str">
        <x:v>MAIN-295</x:v>
      </x:c>
    </x:row>
    <x:row r="1258" ht="46" customHeight="1">
      <x:c r="A1258" s="2" t="str">
        <x:v>TEN-7FC379543F07</x:v>
      </x:c>
      <x:c r="B1258" s="12" t="str">
        <x:v>MUFG</x:v>
      </x:c>
      <x:c r="C1258" s="12" t="str">
        <x:v>CORP-0291</x:v>
      </x:c>
      <x:c r="D1258" s="12" t="str">
        <x:v>Mumbai</x:v>
      </x:c>
      <x:c r="E1258" s="12" t="str">
        <x:v>Awfis - Adani Inspire, BKC</x:v>
      </x:c>
      <x:c r="F1258" s="12" t="str">
        <x:v>32 inch LED TV</x:v>
      </x:c>
      <x:c r="G1258" s="20" t="n">
        <x:v>1</x:v>
      </x:c>
      <x:c r="H1258" s="12" t="str">
        <x:v>Inventory-listed building/workspace context; current occupancy and screen access unverified</x:v>
      </x:c>
      <x:c r="I1258" s="12" t="str">
        <x:v>Mixed business audience</x:v>
      </x:c>
      <x:c r="J1258" s="12" t="str">
        <x:v>Finance &amp; insurance</x:v>
      </x:c>
      <x:c r="K1258" s="2" t="str">
        <x:v>MAIN-295</x:v>
      </x:c>
    </x:row>
    <x:row r="1259" ht="46" customHeight="1">
      <x:c r="A1259" s="2" t="str">
        <x:v>TEN-A5BCAFB06351</x:v>
      </x:c>
      <x:c r="B1259" s="12" t="str">
        <x:v>AUTOLYTICS</x:v>
      </x:c>
      <x:c r="C1259" s="12" t="str">
        <x:v>CORP-0291</x:v>
      </x:c>
      <x:c r="D1259" s="12" t="str">
        <x:v>Mumbai</x:v>
      </x:c>
      <x:c r="E1259" s="12" t="str">
        <x:v>Awfis - Adani Inspire, BKC</x:v>
      </x:c>
      <x:c r="F1259" s="12" t="str">
        <x:v>32 inch LED TV</x:v>
      </x:c>
      <x:c r="G1259" s="20" t="n">
        <x:v>1</x:v>
      </x:c>
      <x:c r="H1259" s="12" t="str">
        <x:v>Inventory-listed building/workspace context; current occupancy and screen access unverified</x:v>
      </x:c>
      <x:c r="I1259" s="12" t="str">
        <x:v>Mixed business audience</x:v>
      </x:c>
      <x:c r="J1259" s="12" t="str">
        <x:v>Unresolved</x:v>
      </x:c>
      <x:c r="K1259" s="2" t="str">
        <x:v>MAIN-295</x:v>
      </x:c>
    </x:row>
    <x:row r="1260" ht="46" customHeight="1">
      <x:c r="A1260" s="2" t="str">
        <x:v>TEN-B3C6A33B50CF</x:v>
      </x:c>
      <x:c r="B1260" s="12" t="str">
        <x:v>DE DIETRICH</x:v>
      </x:c>
      <x:c r="C1260" s="12" t="str">
        <x:v>CORP-0291</x:v>
      </x:c>
      <x:c r="D1260" s="12" t="str">
        <x:v>Mumbai</x:v>
      </x:c>
      <x:c r="E1260" s="12" t="str">
        <x:v>Awfis - Adani Inspire, BKC</x:v>
      </x:c>
      <x:c r="F1260" s="12" t="str">
        <x:v>32 inch LED TV</x:v>
      </x:c>
      <x:c r="G1260" s="20" t="n">
        <x:v>1</x:v>
      </x:c>
      <x:c r="H1260" s="12" t="str">
        <x:v>Inventory-listed building/workspace context; current occupancy and screen access unverified</x:v>
      </x:c>
      <x:c r="I1260" s="12" t="str">
        <x:v>Mixed business audience</x:v>
      </x:c>
      <x:c r="J1260" s="12" t="str">
        <x:v>Engineering &amp; manufacturing</x:v>
      </x:c>
      <x:c r="K1260" s="2" t="str">
        <x:v>MAIN-295</x:v>
      </x:c>
    </x:row>
    <x:row r="1261" ht="46" customHeight="1">
      <x:c r="A1261" s="2" t="str">
        <x:v>TEN-355F52D9EF7F</x:v>
      </x:c>
      <x:c r="B1261" s="12" t="str">
        <x:v>SCHLUMBERGER OILFIELD EASTERN LIMITED</x:v>
      </x:c>
      <x:c r="C1261" s="12" t="str">
        <x:v>CORP-0292</x:v>
      </x:c>
      <x:c r="D1261" s="12" t="str">
        <x:v>Mumbai</x:v>
      </x:c>
      <x:c r="E1261" s="12" t="str">
        <x:v>Awfis - Cyber One</x:v>
      </x:c>
      <x:c r="F1261" s="12" t="str">
        <x:v>32 inch LED TV</x:v>
      </x:c>
      <x:c r="G1261" s="20" t="n">
        <x:v>1</x:v>
      </x:c>
      <x:c r="H1261" s="12" t="str">
        <x:v>Inventory-listed building/workspace context; current occupancy and screen access unverified</x:v>
      </x:c>
      <x:c r="I1261" s="12" t="str">
        <x:v>Mixed business audience</x:v>
      </x:c>
      <x:c r="J1261" s="12" t="str">
        <x:v>Engineering &amp; manufacturing</x:v>
      </x:c>
      <x:c r="K1261" s="2" t="str">
        <x:v>MAIN-296</x:v>
      </x:c>
    </x:row>
    <x:row r="1262" ht="46" customHeight="1">
      <x:c r="A1262" s="2" t="str">
        <x:v>TEN-371A223F5468</x:v>
      </x:c>
      <x:c r="B1262" s="12" t="str">
        <x:v>RADCLIFFE EDUCATION PVT LTD</x:v>
      </x:c>
      <x:c r="C1262" s="12" t="str">
        <x:v>CORP-0292</x:v>
      </x:c>
      <x:c r="D1262" s="12" t="str">
        <x:v>Mumbai</x:v>
      </x:c>
      <x:c r="E1262" s="12" t="str">
        <x:v>Awfis - Cyber One</x:v>
      </x:c>
      <x:c r="F1262" s="12" t="str">
        <x:v>32 inch LED TV</x:v>
      </x:c>
      <x:c r="G1262" s="20" t="n">
        <x:v>1</x:v>
      </x:c>
      <x:c r="H1262" s="12" t="str">
        <x:v>Inventory-listed building/workspace context; current occupancy and screen access unverified</x:v>
      </x:c>
      <x:c r="I1262" s="12" t="str">
        <x:v>Mixed business audience</x:v>
      </x:c>
      <x:c r="J1262" s="12" t="str">
        <x:v>Education</x:v>
      </x:c>
      <x:c r="K1262" s="2" t="str">
        <x:v>MAIN-296</x:v>
      </x:c>
    </x:row>
    <x:row r="1263" ht="46" customHeight="1">
      <x:c r="A1263" s="2" t="str">
        <x:v>TEN-479084FF9511</x:v>
      </x:c>
      <x:c r="B1263" s="12" t="str">
        <x:v>Skymet Weather Services Pvt</x:v>
      </x:c>
      <x:c r="C1263" s="12" t="str">
        <x:v>CORP-0292</x:v>
      </x:c>
      <x:c r="D1263" s="12" t="str">
        <x:v>Mumbai</x:v>
      </x:c>
      <x:c r="E1263" s="12" t="str">
        <x:v>Awfis - Cyber One</x:v>
      </x:c>
      <x:c r="F1263" s="12" t="str">
        <x:v>32 inch LED TV</x:v>
      </x:c>
      <x:c r="G1263" s="20" t="n">
        <x:v>1</x:v>
      </x:c>
      <x:c r="H1263" s="12" t="str">
        <x:v>Inventory-listed building/workspace context; current occupancy and screen access unverified</x:v>
      </x:c>
      <x:c r="I1263" s="12" t="str">
        <x:v>Small-scale prospects</x:v>
      </x:c>
      <x:c r="J1263" s="12" t="str">
        <x:v>IT &amp; digital</x:v>
      </x:c>
      <x:c r="K1263" s="2" t="str">
        <x:v>MAIN-296</x:v>
      </x:c>
    </x:row>
    <x:row r="1264" ht="46" customHeight="1">
      <x:c r="A1264" s="2" t="str">
        <x:v>TEN-61D4EDA9A318</x:v>
      </x:c>
      <x:c r="B1264" s="12" t="str">
        <x:v>NEXTQORE PRIVATE LIMITED</x:v>
      </x:c>
      <x:c r="C1264" s="12" t="str">
        <x:v>CORP-0292</x:v>
      </x:c>
      <x:c r="D1264" s="12" t="str">
        <x:v>Mumbai</x:v>
      </x:c>
      <x:c r="E1264" s="12" t="str">
        <x:v>Awfis - Cyber One</x:v>
      </x:c>
      <x:c r="F1264" s="12" t="str">
        <x:v>32 inch LED TV</x:v>
      </x:c>
      <x:c r="G1264" s="20" t="n">
        <x:v>1</x:v>
      </x:c>
      <x:c r="H1264" s="12" t="str">
        <x:v>Inventory-listed building/workspace context; current occupancy and screen access unverified</x:v>
      </x:c>
      <x:c r="I1264" s="12" t="str">
        <x:v>Mixed business audience</x:v>
      </x:c>
      <x:c r="J1264" s="12" t="str">
        <x:v>Unresolved</x:v>
      </x:c>
      <x:c r="K1264" s="2" t="str">
        <x:v>MAIN-296</x:v>
      </x:c>
    </x:row>
    <x:row r="1265" ht="46" customHeight="1">
      <x:c r="A1265" s="2" t="str">
        <x:v>TEN-7E64662BC085</x:v>
      </x:c>
      <x:c r="B1265" s="12" t="str">
        <x:v>SCHLUMBERGER SOLUTIONS PRIVATE LIMITED</x:v>
      </x:c>
      <x:c r="C1265" s="12" t="str">
        <x:v>CORP-0292</x:v>
      </x:c>
      <x:c r="D1265" s="12" t="str">
        <x:v>Mumbai</x:v>
      </x:c>
      <x:c r="E1265" s="12" t="str">
        <x:v>Awfis - Cyber One</x:v>
      </x:c>
      <x:c r="F1265" s="12" t="str">
        <x:v>32 inch LED TV</x:v>
      </x:c>
      <x:c r="G1265" s="20" t="n">
        <x:v>1</x:v>
      </x:c>
      <x:c r="H1265" s="12" t="str">
        <x:v>Inventory-listed building/workspace context; current occupancy and screen access unverified</x:v>
      </x:c>
      <x:c r="I1265" s="12" t="str">
        <x:v>Mixed business audience</x:v>
      </x:c>
      <x:c r="J1265" s="12" t="str">
        <x:v>Engineering &amp; manufacturing</x:v>
      </x:c>
      <x:c r="K1265" s="2" t="str">
        <x:v>MAIN-296</x:v>
      </x:c>
    </x:row>
    <x:row r="1266" ht="46" customHeight="1">
      <x:c r="A1266" s="2" t="str">
        <x:v>TEN-8808F6FA4B8D</x:v>
      </x:c>
      <x:c r="B1266" s="12" t="str">
        <x:v>Lifestarter Project Pvt Ltd</x:v>
      </x:c>
      <x:c r="C1266" s="12" t="str">
        <x:v>CORP-0292</x:v>
      </x:c>
      <x:c r="D1266" s="12" t="str">
        <x:v>Mumbai</x:v>
      </x:c>
      <x:c r="E1266" s="12" t="str">
        <x:v>Awfis - Cyber One</x:v>
      </x:c>
      <x:c r="F1266" s="12" t="str">
        <x:v>32 inch LED TV</x:v>
      </x:c>
      <x:c r="G1266" s="20" t="n">
        <x:v>1</x:v>
      </x:c>
      <x:c r="H1266" s="12" t="str">
        <x:v>Inventory-listed building/workspace context; current occupancy and screen access unverified</x:v>
      </x:c>
      <x:c r="I1266" s="12" t="str">
        <x:v>Mixed business audience</x:v>
      </x:c>
      <x:c r="J1266" s="12" t="str">
        <x:v>Unresolved</x:v>
      </x:c>
      <x:c r="K1266" s="2" t="str">
        <x:v>MAIN-296</x:v>
      </x:c>
    </x:row>
    <x:row r="1267" ht="46" customHeight="1">
      <x:c r="A1267" s="2" t="str">
        <x:v>TEN-904C75C4FCE9</x:v>
      </x:c>
      <x:c r="B1267" s="12" t="str">
        <x:v>KASPERSKY LAB INDIA PRIVATE LIMITE</x:v>
      </x:c>
      <x:c r="C1267" s="12" t="str">
        <x:v>CORP-0292</x:v>
      </x:c>
      <x:c r="D1267" s="12" t="str">
        <x:v>Mumbai</x:v>
      </x:c>
      <x:c r="E1267" s="12" t="str">
        <x:v>Awfis - Cyber One</x:v>
      </x:c>
      <x:c r="F1267" s="12" t="str">
        <x:v>32 inch LED TV</x:v>
      </x:c>
      <x:c r="G1267" s="20" t="n">
        <x:v>1</x:v>
      </x:c>
      <x:c r="H1267" s="12" t="str">
        <x:v>Inventory-listed building/workspace context; current occupancy and screen access unverified</x:v>
      </x:c>
      <x:c r="I1267" s="12" t="str">
        <x:v>Mixed business audience</x:v>
      </x:c>
      <x:c r="J1267" s="12" t="str">
        <x:v>IT &amp; digital</x:v>
      </x:c>
      <x:c r="K1267" s="2" t="str">
        <x:v>MAIN-296</x:v>
      </x:c>
    </x:row>
    <x:row r="1268" ht="46" customHeight="1">
      <x:c r="A1268" s="2" t="str">
        <x:v>TEN-A2BE5E2994D8</x:v>
      </x:c>
      <x:c r="B1268" s="12" t="str">
        <x:v>Planquadrat India Pvt Ltd</x:v>
      </x:c>
      <x:c r="C1268" s="12" t="str">
        <x:v>CORP-0292</x:v>
      </x:c>
      <x:c r="D1268" s="12" t="str">
        <x:v>Mumbai</x:v>
      </x:c>
      <x:c r="E1268" s="12" t="str">
        <x:v>Awfis - Cyber One</x:v>
      </x:c>
      <x:c r="F1268" s="12" t="str">
        <x:v>32 inch LED TV</x:v>
      </x:c>
      <x:c r="G1268" s="20" t="n">
        <x:v>1</x:v>
      </x:c>
      <x:c r="H1268" s="12" t="str">
        <x:v>Inventory-listed building/workspace context; current occupancy and screen access unverified</x:v>
      </x:c>
      <x:c r="I1268" s="12" t="str">
        <x:v>Small-scale prospects</x:v>
      </x:c>
      <x:c r="J1268" s="12" t="str">
        <x:v>Professional services</x:v>
      </x:c>
      <x:c r="K1268" s="2" t="str">
        <x:v>MAIN-296</x:v>
      </x:c>
    </x:row>
    <x:row r="1269" ht="46" customHeight="1">
      <x:c r="A1269" s="2" t="str">
        <x:v>TEN-CA17E7D3259A</x:v>
      </x:c>
      <x:c r="B1269" s="12" t="str">
        <x:v>PRISTYN CARE</x:v>
      </x:c>
      <x:c r="C1269" s="12" t="str">
        <x:v>CORP-0292</x:v>
      </x:c>
      <x:c r="D1269" s="12" t="str">
        <x:v>Mumbai</x:v>
      </x:c>
      <x:c r="E1269" s="12" t="str">
        <x:v>Awfis - Cyber One</x:v>
      </x:c>
      <x:c r="F1269" s="12" t="str">
        <x:v>32 inch LED TV</x:v>
      </x:c>
      <x:c r="G1269" s="20" t="n">
        <x:v>1</x:v>
      </x:c>
      <x:c r="H1269" s="12" t="str">
        <x:v>Inventory-listed building/workspace context; current occupancy and screen access unverified</x:v>
      </x:c>
      <x:c r="I1269" s="12" t="str">
        <x:v>Mixed business audience</x:v>
      </x:c>
      <x:c r="J1269" s="12" t="str">
        <x:v>Healthcare &amp; life sciences</x:v>
      </x:c>
      <x:c r="K1269" s="2" t="str">
        <x:v>MAIN-296</x:v>
      </x:c>
    </x:row>
    <x:row r="1270" ht="46" customHeight="1">
      <x:c r="A1270" s="2" t="str">
        <x:v>TEN-458F293830E4</x:v>
      </x:c>
      <x:c r="B1270" s="12" t="str">
        <x:v>TaskUs India Private Limited</x:v>
      </x:c>
      <x:c r="C1270" s="12" t="str">
        <x:v>CORP-0293</x:v>
      </x:c>
      <x:c r="D1270" s="12" t="str">
        <x:v>Mumbai</x:v>
      </x:c>
      <x:c r="E1270" s="12" t="str">
        <x:v>Awfis - Empire Tower</x:v>
      </x:c>
      <x:c r="F1270" s="12" t="str">
        <x:v>32 inch LED TV</x:v>
      </x:c>
      <x:c r="G1270" s="20" t="n">
        <x:v>1</x:v>
      </x:c>
      <x:c r="H1270" s="12" t="str">
        <x:v>Inventory-listed building/workspace context; current occupancy and screen access unverified</x:v>
      </x:c>
      <x:c r="I1270" s="12" t="str">
        <x:v>Mixed business audience</x:v>
      </x:c>
      <x:c r="J1270" s="12" t="str">
        <x:v>IT &amp; digital</x:v>
      </x:c>
      <x:c r="K1270" s="2" t="str">
        <x:v>MAIN-297</x:v>
      </x:c>
    </x:row>
    <x:row r="1271" ht="46" customHeight="1">
      <x:c r="A1271" s="2" t="str">
        <x:v>TEN-5BBB79904634</x:v>
      </x:c>
      <x:c r="B1271" s="12" t="str">
        <x:v>GEBBS Healthcare Solutions Pvt Ltd</x:v>
      </x:c>
      <x:c r="C1271" s="12" t="str">
        <x:v>CORP-0293</x:v>
      </x:c>
      <x:c r="D1271" s="12" t="str">
        <x:v>Mumbai</x:v>
      </x:c>
      <x:c r="E1271" s="12" t="str">
        <x:v>Awfis - Empire Tower</x:v>
      </x:c>
      <x:c r="F1271" s="12" t="str">
        <x:v>32 inch LED TV</x:v>
      </x:c>
      <x:c r="G1271" s="20" t="n">
        <x:v>1</x:v>
      </x:c>
      <x:c r="H1271" s="12" t="str">
        <x:v>Inventory-listed building/workspace context; current occupancy and screen access unverified</x:v>
      </x:c>
      <x:c r="I1271" s="12" t="str">
        <x:v>Mixed business audience</x:v>
      </x:c>
      <x:c r="J1271" s="12" t="str">
        <x:v>Healthcare &amp; life sciences</x:v>
      </x:c>
      <x:c r="K1271" s="2" t="str">
        <x:v>MAIN-297</x:v>
      </x:c>
    </x:row>
    <x:row r="1272" ht="46" customHeight="1">
      <x:c r="A1272" s="2" t="str">
        <x:v>TEN-8FA9382A9706</x:v>
      </x:c>
      <x:c r="B1272" s="12" t="str">
        <x:v>Alten Calsoft Labs (India) Private Limited</x:v>
      </x:c>
      <x:c r="C1272" s="12" t="str">
        <x:v>CORP-0293</x:v>
      </x:c>
      <x:c r="D1272" s="12" t="str">
        <x:v>Mumbai</x:v>
      </x:c>
      <x:c r="E1272" s="12" t="str">
        <x:v>Awfis - Empire Tower</x:v>
      </x:c>
      <x:c r="F1272" s="12" t="str">
        <x:v>32 inch LED TV</x:v>
      </x:c>
      <x:c r="G1272" s="20" t="n">
        <x:v>1</x:v>
      </x:c>
      <x:c r="H1272" s="12" t="str">
        <x:v>Inventory-listed building/workspace context; current occupancy and screen access unverified</x:v>
      </x:c>
      <x:c r="I1272" s="12" t="str">
        <x:v>Mixed business audience</x:v>
      </x:c>
      <x:c r="J1272" s="12" t="str">
        <x:v>IT &amp; digital</x:v>
      </x:c>
      <x:c r="K1272" s="2" t="str">
        <x:v>MAIN-297</x:v>
      </x:c>
    </x:row>
    <x:row r="1273" ht="46" customHeight="1">
      <x:c r="A1273" s="2" t="str">
        <x:v>TEN-CF94E9B95014</x:v>
      </x:c>
      <x:c r="B1273" s="12" t="str">
        <x:v>CORBION INDIA PRIVATE LIMITED</x:v>
      </x:c>
      <x:c r="C1273" s="12" t="str">
        <x:v>CORP-0293</x:v>
      </x:c>
      <x:c r="D1273" s="12" t="str">
        <x:v>Mumbai</x:v>
      </x:c>
      <x:c r="E1273" s="12" t="str">
        <x:v>Awfis - Empire Tower</x:v>
      </x:c>
      <x:c r="F1273" s="12" t="str">
        <x:v>32 inch LED TV</x:v>
      </x:c>
      <x:c r="G1273" s="20" t="n">
        <x:v>1</x:v>
      </x:c>
      <x:c r="H1273" s="12" t="str">
        <x:v>Inventory-listed building/workspace context; current occupancy and screen access unverified</x:v>
      </x:c>
      <x:c r="I1273" s="12" t="str">
        <x:v>Mixed business audience</x:v>
      </x:c>
      <x:c r="J1273" s="12" t="str">
        <x:v>Engineering &amp; manufacturing</x:v>
      </x:c>
      <x:c r="K1273" s="2" t="str">
        <x:v>MAIN-297</x:v>
      </x:c>
    </x:row>
    <x:row r="1274" ht="46" customHeight="1">
      <x:c r="A1274" s="2" t="str">
        <x:v>TEN-D0B98ADA645D</x:v>
      </x:c>
      <x:c r="B1274" s="12" t="str">
        <x:v>CGG Services India Private Limited</x:v>
      </x:c>
      <x:c r="C1274" s="12" t="str">
        <x:v>CORP-0293</x:v>
      </x:c>
      <x:c r="D1274" s="12" t="str">
        <x:v>Mumbai</x:v>
      </x:c>
      <x:c r="E1274" s="12" t="str">
        <x:v>Awfis - Empire Tower</x:v>
      </x:c>
      <x:c r="F1274" s="12" t="str">
        <x:v>32 inch LED TV</x:v>
      </x:c>
      <x:c r="G1274" s="20" t="n">
        <x:v>1</x:v>
      </x:c>
      <x:c r="H1274" s="12" t="str">
        <x:v>Inventory-listed building/workspace context; current occupancy and screen access unverified</x:v>
      </x:c>
      <x:c r="I1274" s="12" t="str">
        <x:v>Mixed business audience</x:v>
      </x:c>
      <x:c r="J1274" s="12" t="str">
        <x:v>Engineering &amp; manufacturing</x:v>
      </x:c>
      <x:c r="K1274" s="2" t="str">
        <x:v>MAIN-297</x:v>
      </x:c>
    </x:row>
    <x:row r="1275" ht="46" customHeight="1">
      <x:c r="A1275" s="2" t="str">
        <x:v>TEN-3702E185B519</x:v>
      </x:c>
      <x:c r="B1275" s="12" t="str">
        <x:v>Shobhas World</x:v>
      </x:c>
      <x:c r="C1275" s="12" t="str">
        <x:v>CORP-0294</x:v>
      </x:c>
      <x:c r="D1275" s="12" t="str">
        <x:v>Mumbai</x:v>
      </x:c>
      <x:c r="E1275" s="12" t="str">
        <x:v>Awfis - Kalpataru Prime</x:v>
      </x:c>
      <x:c r="F1275" s="12" t="str">
        <x:v>32 inch LED TV</x:v>
      </x:c>
      <x:c r="G1275" s="20" t="n">
        <x:v>2</x:v>
      </x:c>
      <x:c r="H1275" s="12" t="str">
        <x:v>Inventory-listed building/workspace context; current occupancy and screen access unverified</x:v>
      </x:c>
      <x:c r="I1275" s="12" t="str">
        <x:v>Mixed business audience</x:v>
      </x:c>
      <x:c r="J1275" s="12" t="str">
        <x:v>Unresolved</x:v>
      </x:c>
      <x:c r="K1275" s="2" t="str">
        <x:v>MAIN-298</x:v>
      </x:c>
    </x:row>
    <x:row r="1276" ht="46" customHeight="1">
      <x:c r="A1276" s="2" t="str">
        <x:v>TEN-3CE3F5332C33</x:v>
      </x:c>
      <x:c r="B1276" s="12" t="str">
        <x:v>Coactuar</x:v>
      </x:c>
      <x:c r="C1276" s="12" t="str">
        <x:v>CORP-0294</x:v>
      </x:c>
      <x:c r="D1276" s="12" t="str">
        <x:v>Mumbai</x:v>
      </x:c>
      <x:c r="E1276" s="12" t="str">
        <x:v>Awfis - Kalpataru Prime</x:v>
      </x:c>
      <x:c r="F1276" s="12" t="str">
        <x:v>32 inch LED TV</x:v>
      </x:c>
      <x:c r="G1276" s="20" t="n">
        <x:v>2</x:v>
      </x:c>
      <x:c r="H1276" s="12" t="str">
        <x:v>Inventory-listed building/workspace context; current occupancy and screen access unverified</x:v>
      </x:c>
      <x:c r="I1276" s="12" t="str">
        <x:v>Mixed business audience</x:v>
      </x:c>
      <x:c r="J1276" s="12" t="str">
        <x:v>Unresolved</x:v>
      </x:c>
      <x:c r="K1276" s="2" t="str">
        <x:v>MAIN-298</x:v>
      </x:c>
    </x:row>
    <x:row r="1277" ht="46" customHeight="1">
      <x:c r="A1277" s="2" t="str">
        <x:v>TEN-5393AAF00CE1</x:v>
      </x:c>
      <x:c r="B1277" s="12" t="str">
        <x:v>Idolize</x:v>
      </x:c>
      <x:c r="C1277" s="12" t="str">
        <x:v>CORP-0294</x:v>
      </x:c>
      <x:c r="D1277" s="12" t="str">
        <x:v>Mumbai</x:v>
      </x:c>
      <x:c r="E1277" s="12" t="str">
        <x:v>Awfis - Kalpataru Prime</x:v>
      </x:c>
      <x:c r="F1277" s="12" t="str">
        <x:v>32 inch LED TV</x:v>
      </x:c>
      <x:c r="G1277" s="20" t="n">
        <x:v>2</x:v>
      </x:c>
      <x:c r="H1277" s="12" t="str">
        <x:v>Inventory-listed building/workspace context; current occupancy and screen access unverified</x:v>
      </x:c>
      <x:c r="I1277" s="12" t="str">
        <x:v>Mixed business audience</x:v>
      </x:c>
      <x:c r="J1277" s="12" t="str">
        <x:v>Unresolved</x:v>
      </x:c>
      <x:c r="K1277" s="2" t="str">
        <x:v>MAIN-298</x:v>
      </x:c>
    </x:row>
    <x:row r="1278" ht="46" customHeight="1">
      <x:c r="A1278" s="2" t="str">
        <x:v>TEN-8902B4CC832B</x:v>
      </x:c>
      <x:c r="B1278" s="12" t="str">
        <x:v>BIFCO</x:v>
      </x:c>
      <x:c r="C1278" s="12" t="str">
        <x:v>CORP-0294</x:v>
      </x:c>
      <x:c r="D1278" s="12" t="str">
        <x:v>Mumbai</x:v>
      </x:c>
      <x:c r="E1278" s="12" t="str">
        <x:v>Awfis - Kalpataru Prime</x:v>
      </x:c>
      <x:c r="F1278" s="12" t="str">
        <x:v>32 inch LED TV</x:v>
      </x:c>
      <x:c r="G1278" s="20" t="n">
        <x:v>2</x:v>
      </x:c>
      <x:c r="H1278" s="12" t="str">
        <x:v>Inventory-listed building/workspace context; current occupancy and screen access unverified</x:v>
      </x:c>
      <x:c r="I1278" s="12" t="str">
        <x:v>Mixed business audience</x:v>
      </x:c>
      <x:c r="J1278" s="12" t="str">
        <x:v>Unresolved</x:v>
      </x:c>
      <x:c r="K1278" s="2" t="str">
        <x:v>MAIN-298</x:v>
      </x:c>
    </x:row>
    <x:row r="1279" ht="46" customHeight="1">
      <x:c r="A1279" s="2" t="str">
        <x:v>TEN-8D75FBD6F92C</x:v>
      </x:c>
      <x:c r="B1279" s="12" t="str">
        <x:v>Vedam</x:v>
      </x:c>
      <x:c r="C1279" s="12" t="str">
        <x:v>CORP-0294</x:v>
      </x:c>
      <x:c r="D1279" s="12" t="str">
        <x:v>Mumbai</x:v>
      </x:c>
      <x:c r="E1279" s="12" t="str">
        <x:v>Awfis - Kalpataru Prime</x:v>
      </x:c>
      <x:c r="F1279" s="12" t="str">
        <x:v>32 inch LED TV</x:v>
      </x:c>
      <x:c r="G1279" s="20" t="n">
        <x:v>2</x:v>
      </x:c>
      <x:c r="H1279" s="12" t="str">
        <x:v>Inventory-listed building/workspace context; current occupancy and screen access unverified</x:v>
      </x:c>
      <x:c r="I1279" s="12" t="str">
        <x:v>Mixed business audience</x:v>
      </x:c>
      <x:c r="J1279" s="12" t="str">
        <x:v>Unresolved</x:v>
      </x:c>
      <x:c r="K1279" s="2" t="str">
        <x:v>MAIN-298</x:v>
      </x:c>
    </x:row>
    <x:row r="1280" ht="46" customHeight="1">
      <x:c r="A1280" s="2" t="str">
        <x:v>TEN-9D4238E274CB</x:v>
      </x:c>
      <x:c r="B1280" s="12" t="str">
        <x:v>Big picture</x:v>
      </x:c>
      <x:c r="C1280" s="12" t="str">
        <x:v>CORP-0294</x:v>
      </x:c>
      <x:c r="D1280" s="12" t="str">
        <x:v>Mumbai</x:v>
      </x:c>
      <x:c r="E1280" s="12" t="str">
        <x:v>Awfis - Kalpataru Prime</x:v>
      </x:c>
      <x:c r="F1280" s="12" t="str">
        <x:v>32 inch LED TV</x:v>
      </x:c>
      <x:c r="G1280" s="20" t="n">
        <x:v>2</x:v>
      </x:c>
      <x:c r="H1280" s="12" t="str">
        <x:v>Inventory-listed building/workspace context; current occupancy and screen access unverified</x:v>
      </x:c>
      <x:c r="I1280" s="12" t="str">
        <x:v>Mixed business audience</x:v>
      </x:c>
      <x:c r="J1280" s="12" t="str">
        <x:v>Unresolved</x:v>
      </x:c>
      <x:c r="K1280" s="2" t="str">
        <x:v>MAIN-298</x:v>
      </x:c>
    </x:row>
    <x:row r="1281" ht="46" customHeight="1">
      <x:c r="A1281" s="2" t="str">
        <x:v>TEN-A2107A1D62E5</x:v>
      </x:c>
      <x:c r="B1281" s="12" t="str">
        <x:v>Terralenze</x:v>
      </x:c>
      <x:c r="C1281" s="12" t="str">
        <x:v>CORP-0294</x:v>
      </x:c>
      <x:c r="D1281" s="12" t="str">
        <x:v>Mumbai</x:v>
      </x:c>
      <x:c r="E1281" s="12" t="str">
        <x:v>Awfis - Kalpataru Prime</x:v>
      </x:c>
      <x:c r="F1281" s="12" t="str">
        <x:v>32 inch LED TV</x:v>
      </x:c>
      <x:c r="G1281" s="20" t="n">
        <x:v>2</x:v>
      </x:c>
      <x:c r="H1281" s="12" t="str">
        <x:v>Inventory-listed building/workspace context; current occupancy and screen access unverified</x:v>
      </x:c>
      <x:c r="I1281" s="12" t="str">
        <x:v>Mixed business audience</x:v>
      </x:c>
      <x:c r="J1281" s="12" t="str">
        <x:v>Unresolved</x:v>
      </x:c>
      <x:c r="K1281" s="2" t="str">
        <x:v>MAIN-298</x:v>
      </x:c>
    </x:row>
    <x:row r="1282" ht="46" customHeight="1">
      <x:c r="A1282" s="2" t="str">
        <x:v>TEN-BEAAFA510BCC</x:v>
      </x:c>
      <x:c r="B1282" s="12" t="str">
        <x:v>Monster</x:v>
      </x:c>
      <x:c r="C1282" s="12" t="str">
        <x:v>CORP-0294</x:v>
      </x:c>
      <x:c r="D1282" s="12" t="str">
        <x:v>Mumbai</x:v>
      </x:c>
      <x:c r="E1282" s="12" t="str">
        <x:v>Awfis - Kalpataru Prime</x:v>
      </x:c>
      <x:c r="F1282" s="12" t="str">
        <x:v>32 inch LED TV</x:v>
      </x:c>
      <x:c r="G1282" s="20" t="n">
        <x:v>2</x:v>
      </x:c>
      <x:c r="H1282" s="12" t="str">
        <x:v>Inventory-listed building/workspace context; current occupancy and screen access unverified</x:v>
      </x:c>
      <x:c r="I1282" s="12" t="str">
        <x:v>Mixed business audience</x:v>
      </x:c>
      <x:c r="J1282" s="12" t="str">
        <x:v>Professional services</x:v>
      </x:c>
      <x:c r="K1282" s="2" t="str">
        <x:v>MAIN-298</x:v>
      </x:c>
    </x:row>
    <x:row r="1283" ht="46" customHeight="1">
      <x:c r="A1283" s="2" t="str">
        <x:v>TEN-C10188F01158</x:v>
      </x:c>
      <x:c r="B1283" s="12" t="str">
        <x:v>Jisram</x:v>
      </x:c>
      <x:c r="C1283" s="12" t="str">
        <x:v>CORP-0294</x:v>
      </x:c>
      <x:c r="D1283" s="12" t="str">
        <x:v>Mumbai</x:v>
      </x:c>
      <x:c r="E1283" s="12" t="str">
        <x:v>Awfis - Kalpataru Prime</x:v>
      </x:c>
      <x:c r="F1283" s="12" t="str">
        <x:v>32 inch LED TV</x:v>
      </x:c>
      <x:c r="G1283" s="20" t="n">
        <x:v>2</x:v>
      </x:c>
      <x:c r="H1283" s="12" t="str">
        <x:v>Inventory-listed building/workspace context; current occupancy and screen access unverified</x:v>
      </x:c>
      <x:c r="I1283" s="12" t="str">
        <x:v>Mixed business audience</x:v>
      </x:c>
      <x:c r="J1283" s="12" t="str">
        <x:v>Unresolved</x:v>
      </x:c>
      <x:c r="K1283" s="2" t="str">
        <x:v>MAIN-298</x:v>
      </x:c>
    </x:row>
    <x:row r="1284" ht="46" customHeight="1">
      <x:c r="A1284" s="2" t="str">
        <x:v>TEN-4DB086C6D158</x:v>
      </x:c>
      <x:c r="B1284" s="12" t="str">
        <x:v>Pan Gulf Technologies Pvt. Ltd</x:v>
      </x:c>
      <x:c r="C1284" s="12" t="str">
        <x:v>CORP-0295</x:v>
      </x:c>
      <x:c r="D1284" s="12" t="str">
        <x:v>Mumbai</x:v>
      </x:c>
      <x:c r="E1284" s="12" t="str">
        <x:v>Awfis - Lodha IThink</x:v>
      </x:c>
      <x:c r="F1284" s="12" t="str">
        <x:v>32 inch LED TV</x:v>
      </x:c>
      <x:c r="G1284" s="20" t="n">
        <x:v>1</x:v>
      </x:c>
      <x:c r="H1284" s="12" t="str">
        <x:v>Inventory-listed building/workspace context; current occupancy and screen access unverified</x:v>
      </x:c>
      <x:c r="I1284" s="12" t="str">
        <x:v>Mixed business audience</x:v>
      </x:c>
      <x:c r="J1284" s="12" t="str">
        <x:v>Unresolved</x:v>
      </x:c>
      <x:c r="K1284" s="2" t="str">
        <x:v>MAIN-299</x:v>
      </x:c>
    </x:row>
    <x:row r="1285" ht="46" customHeight="1">
      <x:c r="A1285" s="2" t="str">
        <x:v>TEN-859FAA1E34CC</x:v>
      </x:c>
      <x:c r="B1285" s="12" t="str">
        <x:v>Techint India Private Limited</x:v>
      </x:c>
      <x:c r="C1285" s="12" t="str">
        <x:v>CORP-0295</x:v>
      </x:c>
      <x:c r="D1285" s="12" t="str">
        <x:v>Mumbai</x:v>
      </x:c>
      <x:c r="E1285" s="12" t="str">
        <x:v>Awfis - Lodha IThink</x:v>
      </x:c>
      <x:c r="F1285" s="12" t="str">
        <x:v>32 inch LED TV</x:v>
      </x:c>
      <x:c r="G1285" s="20" t="n">
        <x:v>1</x:v>
      </x:c>
      <x:c r="H1285" s="12" t="str">
        <x:v>Inventory-listed building/workspace context; current occupancy and screen access unverified</x:v>
      </x:c>
      <x:c r="I1285" s="12" t="str">
        <x:v>Mixed business audience</x:v>
      </x:c>
      <x:c r="J1285" s="12" t="str">
        <x:v>Engineering &amp; manufacturing</x:v>
      </x:c>
      <x:c r="K1285" s="2" t="str">
        <x:v>MAIN-299</x:v>
      </x:c>
    </x:row>
    <x:row r="1286" ht="46" customHeight="1">
      <x:c r="A1286" s="2" t="str">
        <x:v>TEN-8D7782804191</x:v>
      </x:c>
      <x:c r="B1286" s="12" t="str">
        <x:v>Euronet Services India</x:v>
      </x:c>
      <x:c r="C1286" s="12" t="str">
        <x:v>CORP-0295</x:v>
      </x:c>
      <x:c r="D1286" s="12" t="str">
        <x:v>Mumbai</x:v>
      </x:c>
      <x:c r="E1286" s="12" t="str">
        <x:v>Awfis - Lodha IThink</x:v>
      </x:c>
      <x:c r="F1286" s="12" t="str">
        <x:v>32 inch LED TV</x:v>
      </x:c>
      <x:c r="G1286" s="20" t="n">
        <x:v>1</x:v>
      </x:c>
      <x:c r="H1286" s="12" t="str">
        <x:v>Inventory-listed building/workspace context; current occupancy and screen access unverified</x:v>
      </x:c>
      <x:c r="I1286" s="12" t="str">
        <x:v>Mixed business audience</x:v>
      </x:c>
      <x:c r="J1286" s="12" t="str">
        <x:v>Finance &amp; insurance</x:v>
      </x:c>
      <x:c r="K1286" s="2" t="str">
        <x:v>MAIN-299</x:v>
      </x:c>
    </x:row>
    <x:row r="1287" ht="46" customHeight="1">
      <x:c r="A1287" s="2" t="str">
        <x:v>TEN-C8FC51571F17</x:v>
      </x:c>
      <x:c r="B1287" s="12" t="str">
        <x:v>Ingenero Technologies (I) Pvt. Ltd</x:v>
      </x:c>
      <x:c r="C1287" s="12" t="str">
        <x:v>CORP-0295</x:v>
      </x:c>
      <x:c r="D1287" s="12" t="str">
        <x:v>Mumbai</x:v>
      </x:c>
      <x:c r="E1287" s="12" t="str">
        <x:v>Awfis - Lodha IThink</x:v>
      </x:c>
      <x:c r="F1287" s="12" t="str">
        <x:v>32 inch LED TV</x:v>
      </x:c>
      <x:c r="G1287" s="20" t="n">
        <x:v>1</x:v>
      </x:c>
      <x:c r="H1287" s="12" t="str">
        <x:v>Inventory-listed building/workspace context; current occupancy and screen access unverified</x:v>
      </x:c>
      <x:c r="I1287" s="12" t="str">
        <x:v>Medium-scale prospects</x:v>
      </x:c>
      <x:c r="J1287" s="12" t="str">
        <x:v>Engineering &amp; manufacturing</x:v>
      </x:c>
      <x:c r="K1287" s="2" t="str">
        <x:v>MAIN-299</x:v>
      </x:c>
    </x:row>
    <x:row r="1288" ht="46" customHeight="1">
      <x:c r="A1288" s="2" t="str">
        <x:v>TEN-01198AB1CD80</x:v>
      </x:c>
      <x:c r="B1288" s="12" t="str">
        <x:v>Protecto India Pvt.Ltd</x:v>
      </x:c>
      <x:c r="C1288" s="12" t="str">
        <x:v>CORP-0026</x:v>
      </x:c>
      <x:c r="D1288" s="12" t="str">
        <x:v>Bengaluru</x:v>
      </x:c>
      <x:c r="E1288" s="12" t="str">
        <x:v>Bhive Workspace - Indiranagar</x:v>
      </x:c>
      <x:c r="F1288" s="12" t="str">
        <x:v>32 inch LED TV</x:v>
      </x:c>
      <x:c r="G1288" s="20" t="n">
        <x:v>6</x:v>
      </x:c>
      <x:c r="H1288" s="12" t="str">
        <x:v>Inventory-listed building/workspace context; current occupancy and screen access unverified</x:v>
      </x:c>
      <x:c r="I1288" s="12" t="str">
        <x:v>Mixed business audience</x:v>
      </x:c>
      <x:c r="J1288" s="12" t="str">
        <x:v>Unresolved</x:v>
      </x:c>
      <x:c r="K1288" s="2" t="str">
        <x:v>MAIN-030</x:v>
      </x:c>
    </x:row>
    <x:row r="1289" ht="46" customHeight="1">
      <x:c r="A1289" s="2" t="str">
        <x:v>TEN-057756A71604</x:v>
      </x:c>
      <x:c r="B1289" s="12" t="str">
        <x:v>ETAN Transactional India Pvt.Ltd</x:v>
      </x:c>
      <x:c r="C1289" s="12" t="str">
        <x:v>CORP-0026</x:v>
      </x:c>
      <x:c r="D1289" s="12" t="str">
        <x:v>Bengaluru</x:v>
      </x:c>
      <x:c r="E1289" s="12" t="str">
        <x:v>Bhive Workspace - Indiranagar</x:v>
      </x:c>
      <x:c r="F1289" s="12" t="str">
        <x:v>32 inch LED TV</x:v>
      </x:c>
      <x:c r="G1289" s="20" t="n">
        <x:v>6</x:v>
      </x:c>
      <x:c r="H1289" s="12" t="str">
        <x:v>Inventory-listed building/workspace context; current occupancy and screen access unverified</x:v>
      </x:c>
      <x:c r="I1289" s="12" t="str">
        <x:v>Mixed business audience</x:v>
      </x:c>
      <x:c r="J1289" s="12" t="str">
        <x:v>Unresolved</x:v>
      </x:c>
      <x:c r="K1289" s="2" t="str">
        <x:v>MAIN-030</x:v>
      </x:c>
    </x:row>
    <x:row r="1290" ht="46" customHeight="1">
      <x:c r="A1290" s="2" t="str">
        <x:v>TEN-11D3882F484B</x:v>
      </x:c>
      <x:c r="B1290" s="12" t="str">
        <x:v>Dynami Technologies Pvt.Ltd</x:v>
      </x:c>
      <x:c r="C1290" s="12" t="str">
        <x:v>CORP-0026</x:v>
      </x:c>
      <x:c r="D1290" s="12" t="str">
        <x:v>Bengaluru</x:v>
      </x:c>
      <x:c r="E1290" s="12" t="str">
        <x:v>Bhive Workspace - Indiranagar</x:v>
      </x:c>
      <x:c r="F1290" s="12" t="str">
        <x:v>32 inch LED TV</x:v>
      </x:c>
      <x:c r="G1290" s="20" t="n">
        <x:v>6</x:v>
      </x:c>
      <x:c r="H1290" s="12" t="str">
        <x:v>Inventory-listed building/workspace context; current occupancy and screen access unverified</x:v>
      </x:c>
      <x:c r="I1290" s="12" t="str">
        <x:v>Mixed business audience</x:v>
      </x:c>
      <x:c r="J1290" s="12" t="str">
        <x:v>Unresolved</x:v>
      </x:c>
      <x:c r="K1290" s="2" t="str">
        <x:v>MAIN-030</x:v>
      </x:c>
    </x:row>
    <x:row r="1291" ht="46" customHeight="1">
      <x:c r="A1291" s="2" t="str">
        <x:v>TEN-1DE8CBBDF5B3</x:v>
      </x:c>
      <x:c r="B1291" s="12" t="str">
        <x:v>Augsburg Innowerks Pvt.Ltd</x:v>
      </x:c>
      <x:c r="C1291" s="12" t="str">
        <x:v>CORP-0026</x:v>
      </x:c>
      <x:c r="D1291" s="12" t="str">
        <x:v>Bengaluru</x:v>
      </x:c>
      <x:c r="E1291" s="12" t="str">
        <x:v>Bhive Workspace - Indiranagar</x:v>
      </x:c>
      <x:c r="F1291" s="12" t="str">
        <x:v>32 inch LED TV</x:v>
      </x:c>
      <x:c r="G1291" s="20" t="n">
        <x:v>6</x:v>
      </x:c>
      <x:c r="H1291" s="12" t="str">
        <x:v>Inventory-listed building/workspace context; current occupancy and screen access unverified</x:v>
      </x:c>
      <x:c r="I1291" s="12" t="str">
        <x:v>Mixed business audience</x:v>
      </x:c>
      <x:c r="J1291" s="12" t="str">
        <x:v>Unresolved</x:v>
      </x:c>
      <x:c r="K1291" s="2" t="str">
        <x:v>MAIN-030</x:v>
      </x:c>
    </x:row>
    <x:row r="1292" ht="46" customHeight="1">
      <x:c r="A1292" s="2" t="str">
        <x:v>TEN-2CE860A5EC59</x:v>
      </x:c>
      <x:c r="B1292" s="12" t="str">
        <x:v>NR Developers and Promoters</x:v>
      </x:c>
      <x:c r="C1292" s="12" t="str">
        <x:v>CORP-0026</x:v>
      </x:c>
      <x:c r="D1292" s="12" t="str">
        <x:v>Bengaluru</x:v>
      </x:c>
      <x:c r="E1292" s="12" t="str">
        <x:v>Bhive Workspace - Indiranagar</x:v>
      </x:c>
      <x:c r="F1292" s="12" t="str">
        <x:v>32 inch LED TV</x:v>
      </x:c>
      <x:c r="G1292" s="20" t="n">
        <x:v>6</x:v>
      </x:c>
      <x:c r="H1292" s="12" t="str">
        <x:v>Inventory-listed building/workspace context; current occupancy and screen access unverified</x:v>
      </x:c>
      <x:c r="I1292" s="12" t="str">
        <x:v>Small-scale prospects</x:v>
      </x:c>
      <x:c r="J1292" s="12" t="str">
        <x:v>Trade, consumer &amp; logistics</x:v>
      </x:c>
      <x:c r="K1292" s="2" t="str">
        <x:v>MAIN-030</x:v>
      </x:c>
    </x:row>
    <x:row r="1293" ht="46" customHeight="1">
      <x:c r="A1293" s="2" t="str">
        <x:v>TEN-3FAD6CDAE2DF</x:v>
      </x:c>
      <x:c r="B1293" s="12" t="str">
        <x:v>Energetic AI Pvt.Ltd</x:v>
      </x:c>
      <x:c r="C1293" s="12" t="str">
        <x:v>CORP-0026</x:v>
      </x:c>
      <x:c r="D1293" s="12" t="str">
        <x:v>Bengaluru</x:v>
      </x:c>
      <x:c r="E1293" s="12" t="str">
        <x:v>Bhive Workspace - Indiranagar</x:v>
      </x:c>
      <x:c r="F1293" s="12" t="str">
        <x:v>32 inch LED TV</x:v>
      </x:c>
      <x:c r="G1293" s="20" t="n">
        <x:v>6</x:v>
      </x:c>
      <x:c r="H1293" s="12" t="str">
        <x:v>Inventory-listed building/workspace context; current occupancy and screen access unverified</x:v>
      </x:c>
      <x:c r="I1293" s="12" t="str">
        <x:v>Small-scale prospects</x:v>
      </x:c>
      <x:c r="J1293" s="12" t="str">
        <x:v>IT &amp; digital</x:v>
      </x:c>
      <x:c r="K1293" s="2" t="str">
        <x:v>MAIN-030</x:v>
      </x:c>
    </x:row>
    <x:row r="1294" ht="46" customHeight="1">
      <x:c r="A1294" s="2" t="str">
        <x:v>TEN-93CA6984E0A1</x:v>
      </x:c>
      <x:c r="B1294" s="12" t="str">
        <x:v>FIRMSAP Rentals LLP</x:v>
      </x:c>
      <x:c r="C1294" s="12" t="str">
        <x:v>CORP-0026</x:v>
      </x:c>
      <x:c r="D1294" s="12" t="str">
        <x:v>Bengaluru</x:v>
      </x:c>
      <x:c r="E1294" s="12" t="str">
        <x:v>Bhive Workspace - Indiranagar</x:v>
      </x:c>
      <x:c r="F1294" s="12" t="str">
        <x:v>32 inch LED TV</x:v>
      </x:c>
      <x:c r="G1294" s="20" t="n">
        <x:v>6</x:v>
      </x:c>
      <x:c r="H1294" s="12" t="str">
        <x:v>Inventory-listed building/workspace context; current occupancy and screen access unverified</x:v>
      </x:c>
      <x:c r="I1294" s="12" t="str">
        <x:v>Mixed business audience</x:v>
      </x:c>
      <x:c r="J1294" s="12" t="str">
        <x:v>Unresolved</x:v>
      </x:c>
      <x:c r="K1294" s="2" t="str">
        <x:v>MAIN-030</x:v>
      </x:c>
    </x:row>
    <x:row r="1295" ht="46" customHeight="1">
      <x:c r="A1295" s="2" t="str">
        <x:v>TEN-96311B221568</x:v>
      </x:c>
      <x:c r="B1295" s="12" t="str">
        <x:v>Chutney Retails Services Pvt.Ltd</x:v>
      </x:c>
      <x:c r="C1295" s="12" t="str">
        <x:v>CORP-0026</x:v>
      </x:c>
      <x:c r="D1295" s="12" t="str">
        <x:v>Bengaluru</x:v>
      </x:c>
      <x:c r="E1295" s="12" t="str">
        <x:v>Bhive Workspace - Indiranagar</x:v>
      </x:c>
      <x:c r="F1295" s="12" t="str">
        <x:v>32 inch LED TV</x:v>
      </x:c>
      <x:c r="G1295" s="20" t="n">
        <x:v>6</x:v>
      </x:c>
      <x:c r="H1295" s="12" t="str">
        <x:v>Inventory-listed building/workspace context; current occupancy and screen access unverified</x:v>
      </x:c>
      <x:c r="I1295" s="12" t="str">
        <x:v>Small-scale prospects</x:v>
      </x:c>
      <x:c r="J1295" s="12" t="str">
        <x:v>Trade, consumer &amp; logistics</x:v>
      </x:c>
      <x:c r="K1295" s="2" t="str">
        <x:v>MAIN-030</x:v>
      </x:c>
    </x:row>
    <x:row r="1296" ht="46" customHeight="1">
      <x:c r="A1296" s="2" t="str">
        <x:v>TEN-97B55E7BDDF1</x:v>
      </x:c>
      <x:c r="B1296" s="12" t="str">
        <x:v>Manrasa Technologies Pvt.Lt</x:v>
      </x:c>
      <x:c r="C1296" s="12" t="str">
        <x:v>CORP-0026</x:v>
      </x:c>
      <x:c r="D1296" s="12" t="str">
        <x:v>Bengaluru</x:v>
      </x:c>
      <x:c r="E1296" s="12" t="str">
        <x:v>Bhive Workspace - Indiranagar</x:v>
      </x:c>
      <x:c r="F1296" s="12" t="str">
        <x:v>32 inch LED TV</x:v>
      </x:c>
      <x:c r="G1296" s="20" t="n">
        <x:v>6</x:v>
      </x:c>
      <x:c r="H1296" s="12" t="str">
        <x:v>Inventory-listed building/workspace context; current occupancy and screen access unverified</x:v>
      </x:c>
      <x:c r="I1296" s="12" t="str">
        <x:v>Mixed business audience</x:v>
      </x:c>
      <x:c r="J1296" s="12" t="str">
        <x:v>Unresolved</x:v>
      </x:c>
      <x:c r="K1296" s="2" t="str">
        <x:v>MAIN-030</x:v>
      </x:c>
    </x:row>
    <x:row r="1297" ht="46" customHeight="1">
      <x:c r="A1297" s="2" t="str">
        <x:v>TEN-D3DBB73A0C6F</x:v>
      </x:c>
      <x:c r="B1297" s="12" t="str">
        <x:v>Chill Life Hospitality LLP</x:v>
      </x:c>
      <x:c r="C1297" s="12" t="str">
        <x:v>CORP-0026</x:v>
      </x:c>
      <x:c r="D1297" s="12" t="str">
        <x:v>Bengaluru</x:v>
      </x:c>
      <x:c r="E1297" s="12" t="str">
        <x:v>Bhive Workspace - Indiranagar</x:v>
      </x:c>
      <x:c r="F1297" s="12" t="str">
        <x:v>32 inch LED TV</x:v>
      </x:c>
      <x:c r="G1297" s="20" t="n">
        <x:v>6</x:v>
      </x:c>
      <x:c r="H1297" s="12" t="str">
        <x:v>Inventory-listed building/workspace context; current occupancy and screen access unverified</x:v>
      </x:c>
      <x:c r="I1297" s="12" t="str">
        <x:v>Small-scale prospects</x:v>
      </x:c>
      <x:c r="J1297" s="12" t="str">
        <x:v>Trade, consumer &amp; logistics</x:v>
      </x:c>
      <x:c r="K1297" s="2" t="str">
        <x:v>MAIN-030</x:v>
      </x:c>
    </x:row>
    <x:row r="1298" ht="46" customHeight="1">
      <x:c r="A1298" s="2" t="str">
        <x:v>TEN-E457419AAEE3</x:v>
      </x:c>
      <x:c r="B1298" s="12" t="str">
        <x:v>Roling Arrays Consulting Pvt.Ltd</x:v>
      </x:c>
      <x:c r="C1298" s="12" t="str">
        <x:v>CORP-0026</x:v>
      </x:c>
      <x:c r="D1298" s="12" t="str">
        <x:v>Bengaluru</x:v>
      </x:c>
      <x:c r="E1298" s="12" t="str">
        <x:v>Bhive Workspace - Indiranagar</x:v>
      </x:c>
      <x:c r="F1298" s="12" t="str">
        <x:v>32 inch LED TV</x:v>
      </x:c>
      <x:c r="G1298" s="20" t="n">
        <x:v>6</x:v>
      </x:c>
      <x:c r="H1298" s="12" t="str">
        <x:v>Inventory-listed building/workspace context; current occupancy and screen access unverified</x:v>
      </x:c>
      <x:c r="I1298" s="12" t="str">
        <x:v>Small-scale prospects</x:v>
      </x:c>
      <x:c r="J1298" s="12" t="str">
        <x:v>Professional services</x:v>
      </x:c>
      <x:c r="K1298" s="2" t="str">
        <x:v>MAIN-030</x:v>
      </x:c>
    </x:row>
    <x:row r="1299" ht="46" customHeight="1">
      <x:c r="A1299" s="2" t="str">
        <x:v>TEN-00CDD24B4743</x:v>
      </x:c>
      <x:c r="B1299" s="12" t="str">
        <x:v>LOne Ranger</x:v>
      </x:c>
      <x:c r="C1299" s="12" t="str">
        <x:v>CORP-0296</x:v>
      </x:c>
      <x:c r="D1299" s="12" t="str">
        <x:v>Mumbai</x:v>
      </x:c>
      <x:c r="E1299" s="12" t="str">
        <x:v>Awfis - Lokhandwala Aston Building</x:v>
      </x:c>
      <x:c r="F1299" s="12" t="str">
        <x:v>32 inch LED TV</x:v>
      </x:c>
      <x:c r="G1299" s="20" t="n">
        <x:v>1</x:v>
      </x:c>
      <x:c r="H1299" s="12" t="str">
        <x:v>Inventory-listed building/workspace context; current occupancy and screen access unverified</x:v>
      </x:c>
      <x:c r="I1299" s="12" t="str">
        <x:v>Mixed business audience</x:v>
      </x:c>
      <x:c r="J1299" s="12" t="str">
        <x:v>Unresolved</x:v>
      </x:c>
      <x:c r="K1299" s="2" t="str">
        <x:v>MAIN-300</x:v>
      </x:c>
    </x:row>
    <x:row r="1300" ht="46" customHeight="1">
      <x:c r="A1300" s="2" t="str">
        <x:v>TEN-166DE523A0A8</x:v>
      </x:c>
      <x:c r="B1300" s="12" t="str">
        <x:v>Beleive realtors</x:v>
      </x:c>
      <x:c r="C1300" s="12" t="str">
        <x:v>CORP-0296</x:v>
      </x:c>
      <x:c r="D1300" s="12" t="str">
        <x:v>Mumbai</x:v>
      </x:c>
      <x:c r="E1300" s="12" t="str">
        <x:v>Awfis - Lokhandwala Aston Building</x:v>
      </x:c>
      <x:c r="F1300" s="12" t="str">
        <x:v>32 inch LED TV</x:v>
      </x:c>
      <x:c r="G1300" s="20" t="n">
        <x:v>1</x:v>
      </x:c>
      <x:c r="H1300" s="12" t="str">
        <x:v>Inventory-listed building/workspace context; current occupancy and screen access unverified</x:v>
      </x:c>
      <x:c r="I1300" s="12" t="str">
        <x:v>Small-scale prospects</x:v>
      </x:c>
      <x:c r="J1300" s="12" t="str">
        <x:v>Trade, consumer &amp; logistics</x:v>
      </x:c>
      <x:c r="K1300" s="2" t="str">
        <x:v>MAIN-300</x:v>
      </x:c>
    </x:row>
    <x:row r="1301" ht="46" customHeight="1">
      <x:c r="A1301" s="2" t="str">
        <x:v>TEN-3CF778DB1DB4</x:v>
      </x:c>
      <x:c r="B1301" s="12" t="str">
        <x:v>Mayoral ModaInfantil pvt ltd</x:v>
      </x:c>
      <x:c r="C1301" s="12" t="str">
        <x:v>CORP-0296</x:v>
      </x:c>
      <x:c r="D1301" s="12" t="str">
        <x:v>Mumbai</x:v>
      </x:c>
      <x:c r="E1301" s="12" t="str">
        <x:v>Awfis - Lokhandwala Aston Building</x:v>
      </x:c>
      <x:c r="F1301" s="12" t="str">
        <x:v>32 inch LED TV</x:v>
      </x:c>
      <x:c r="G1301" s="20" t="n">
        <x:v>1</x:v>
      </x:c>
      <x:c r="H1301" s="12" t="str">
        <x:v>Inventory-listed building/workspace context; current occupancy and screen access unverified</x:v>
      </x:c>
      <x:c r="I1301" s="12" t="str">
        <x:v>Mixed business audience</x:v>
      </x:c>
      <x:c r="J1301" s="12" t="str">
        <x:v>Unresolved</x:v>
      </x:c>
      <x:c r="K1301" s="2" t="str">
        <x:v>MAIN-300</x:v>
      </x:c>
    </x:row>
    <x:row r="1302" ht="46" customHeight="1">
      <x:c r="A1302" s="2" t="str">
        <x:v>TEN-3FB64171B8B2</x:v>
      </x:c>
      <x:c r="B1302" s="12" t="str">
        <x:v>Y axis</x:v>
      </x:c>
      <x:c r="C1302" s="12" t="str">
        <x:v>CORP-0296</x:v>
      </x:c>
      <x:c r="D1302" s="12" t="str">
        <x:v>Mumbai</x:v>
      </x:c>
      <x:c r="E1302" s="12" t="str">
        <x:v>Awfis - Lokhandwala Aston Building</x:v>
      </x:c>
      <x:c r="F1302" s="12" t="str">
        <x:v>32 inch LED TV</x:v>
      </x:c>
      <x:c r="G1302" s="20" t="n">
        <x:v>1</x:v>
      </x:c>
      <x:c r="H1302" s="12" t="str">
        <x:v>Inventory-listed building/workspace context; current occupancy and screen access unverified</x:v>
      </x:c>
      <x:c r="I1302" s="12" t="str">
        <x:v>Mixed business audience</x:v>
      </x:c>
      <x:c r="J1302" s="12" t="str">
        <x:v>Professional services</x:v>
      </x:c>
      <x:c r="K1302" s="2" t="str">
        <x:v>MAIN-300</x:v>
      </x:c>
    </x:row>
    <x:row r="1303" ht="46" customHeight="1">
      <x:c r="A1303" s="2" t="str">
        <x:v>TEN-5DD986B04CFE</x:v>
      </x:c>
      <x:c r="B1303" s="12" t="str">
        <x:v>RKD Studious</x:v>
      </x:c>
      <x:c r="C1303" s="12" t="str">
        <x:v>CORP-0296</x:v>
      </x:c>
      <x:c r="D1303" s="12" t="str">
        <x:v>Mumbai</x:v>
      </x:c>
      <x:c r="E1303" s="12" t="str">
        <x:v>Awfis - Lokhandwala Aston Building</x:v>
      </x:c>
      <x:c r="F1303" s="12" t="str">
        <x:v>32 inch LED TV</x:v>
      </x:c>
      <x:c r="G1303" s="20" t="n">
        <x:v>1</x:v>
      </x:c>
      <x:c r="H1303" s="12" t="str">
        <x:v>Inventory-listed building/workspace context; current occupancy and screen access unverified</x:v>
      </x:c>
      <x:c r="I1303" s="12" t="str">
        <x:v>Small-scale prospects</x:v>
      </x:c>
      <x:c r="J1303" s="12" t="str">
        <x:v>Trade, consumer &amp; logistics</x:v>
      </x:c>
      <x:c r="K1303" s="2" t="str">
        <x:v>MAIN-300</x:v>
      </x:c>
    </x:row>
    <x:row r="1304" ht="46" customHeight="1">
      <x:c r="A1304" s="2" t="str">
        <x:v>TEN-861283AE7D6D</x:v>
      </x:c>
      <x:c r="B1304" s="12" t="str">
        <x:v>hudl</x:v>
      </x:c>
      <x:c r="C1304" s="12" t="str">
        <x:v>CORP-0296</x:v>
      </x:c>
      <x:c r="D1304" s="12" t="str">
        <x:v>Mumbai</x:v>
      </x:c>
      <x:c r="E1304" s="12" t="str">
        <x:v>Awfis - Lokhandwala Aston Building</x:v>
      </x:c>
      <x:c r="F1304" s="12" t="str">
        <x:v>32 inch LED TV</x:v>
      </x:c>
      <x:c r="G1304" s="20" t="n">
        <x:v>1</x:v>
      </x:c>
      <x:c r="H1304" s="12" t="str">
        <x:v>Inventory-listed building/workspace context; current occupancy and screen access unverified</x:v>
      </x:c>
      <x:c r="I1304" s="12" t="str">
        <x:v>Mixed business audience</x:v>
      </x:c>
      <x:c r="J1304" s="12" t="str">
        <x:v>Trade, consumer &amp; logistics</x:v>
      </x:c>
      <x:c r="K1304" s="2" t="str">
        <x:v>MAIN-300</x:v>
      </x:c>
    </x:row>
    <x:row r="1305" ht="46" customHeight="1">
      <x:c r="A1305" s="2" t="str">
        <x:v>TEN-93A2EEF4D997</x:v>
      </x:c>
      <x:c r="B1305" s="12" t="str">
        <x:v>Nirman productions Pvt Ltd</x:v>
      </x:c>
      <x:c r="C1305" s="12" t="str">
        <x:v>CORP-0296</x:v>
      </x:c>
      <x:c r="D1305" s="12" t="str">
        <x:v>Mumbai</x:v>
      </x:c>
      <x:c r="E1305" s="12" t="str">
        <x:v>Awfis - Lokhandwala Aston Building</x:v>
      </x:c>
      <x:c r="F1305" s="12" t="str">
        <x:v>32 inch LED TV</x:v>
      </x:c>
      <x:c r="G1305" s="20" t="n">
        <x:v>1</x:v>
      </x:c>
      <x:c r="H1305" s="12" t="str">
        <x:v>Inventory-listed building/workspace context; current occupancy and screen access unverified</x:v>
      </x:c>
      <x:c r="I1305" s="12" t="str">
        <x:v>Small-scale prospects</x:v>
      </x:c>
      <x:c r="J1305" s="12" t="str">
        <x:v>Trade, consumer &amp; logistics</x:v>
      </x:c>
      <x:c r="K1305" s="2" t="str">
        <x:v>MAIN-300</x:v>
      </x:c>
    </x:row>
    <x:row r="1306" ht="46" customHeight="1">
      <x:c r="A1306" s="2" t="str">
        <x:v>TEN-CEAA3A09F22D</x:v>
      </x:c>
      <x:c r="B1306" s="12" t="str">
        <x:v>T&amp;K interactive</x:v>
      </x:c>
      <x:c r="C1306" s="12" t="str">
        <x:v>CORP-0296</x:v>
      </x:c>
      <x:c r="D1306" s="12" t="str">
        <x:v>Mumbai</x:v>
      </x:c>
      <x:c r="E1306" s="12" t="str">
        <x:v>Awfis - Lokhandwala Aston Building</x:v>
      </x:c>
      <x:c r="F1306" s="12" t="str">
        <x:v>32 inch LED TV</x:v>
      </x:c>
      <x:c r="G1306" s="20" t="n">
        <x:v>1</x:v>
      </x:c>
      <x:c r="H1306" s="12" t="str">
        <x:v>Inventory-listed building/workspace context; current occupancy and screen access unverified</x:v>
      </x:c>
      <x:c r="I1306" s="12" t="str">
        <x:v>Mixed business audience</x:v>
      </x:c>
      <x:c r="J1306" s="12" t="str">
        <x:v>Unresolved</x:v>
      </x:c>
      <x:c r="K1306" s="2" t="str">
        <x:v>MAIN-300</x:v>
      </x:c>
    </x:row>
    <x:row r="1307" ht="46" customHeight="1">
      <x:c r="A1307" s="2" t="str">
        <x:v>TEN-D2E4BC60D287</x:v>
      </x:c>
      <x:c r="B1307" s="12" t="str">
        <x:v>American Wellness</x:v>
      </x:c>
      <x:c r="C1307" s="12" t="str">
        <x:v>CORP-0296</x:v>
      </x:c>
      <x:c r="D1307" s="12" t="str">
        <x:v>Mumbai</x:v>
      </x:c>
      <x:c r="E1307" s="12" t="str">
        <x:v>Awfis - Lokhandwala Aston Building</x:v>
      </x:c>
      <x:c r="F1307" s="12" t="str">
        <x:v>32 inch LED TV</x:v>
      </x:c>
      <x:c r="G1307" s="20" t="n">
        <x:v>1</x:v>
      </x:c>
      <x:c r="H1307" s="12" t="str">
        <x:v>Inventory-listed building/workspace context; current occupancy and screen access unverified</x:v>
      </x:c>
      <x:c r="I1307" s="12" t="str">
        <x:v>Small-scale prospects</x:v>
      </x:c>
      <x:c r="J1307" s="12" t="str">
        <x:v>Healthcare &amp; life sciences</x:v>
      </x:c>
      <x:c r="K1307" s="2" t="str">
        <x:v>MAIN-300</x:v>
      </x:c>
    </x:row>
    <x:row r="1308" ht="46" customHeight="1">
      <x:c r="A1308" s="2" t="str">
        <x:v>TEN-DB3A04A96C4C</x:v>
      </x:c>
      <x:c r="B1308" s="12" t="str">
        <x:v>Ashish Life science pvt ltd</x:v>
      </x:c>
      <x:c r="C1308" s="12" t="str">
        <x:v>CORP-0296</x:v>
      </x:c>
      <x:c r="D1308" s="12" t="str">
        <x:v>Mumbai</x:v>
      </x:c>
      <x:c r="E1308" s="12" t="str">
        <x:v>Awfis - Lokhandwala Aston Building</x:v>
      </x:c>
      <x:c r="F1308" s="12" t="str">
        <x:v>32 inch LED TV</x:v>
      </x:c>
      <x:c r="G1308" s="20" t="n">
        <x:v>1</x:v>
      </x:c>
      <x:c r="H1308" s="12" t="str">
        <x:v>Inventory-listed building/workspace context; current occupancy and screen access unverified</x:v>
      </x:c>
      <x:c r="I1308" s="12" t="str">
        <x:v>Medium-scale prospects</x:v>
      </x:c>
      <x:c r="J1308" s="12" t="str">
        <x:v>Healthcare &amp; life sciences</x:v>
      </x:c>
      <x:c r="K1308" s="2" t="str">
        <x:v>MAIN-300</x:v>
      </x:c>
    </x:row>
    <x:row r="1309" ht="46" customHeight="1">
      <x:c r="A1309" s="2" t="str">
        <x:v>TEN-298147A4B3E2</x:v>
      </x:c>
      <x:c r="B1309" s="12" t="str">
        <x:v>Awfis</x:v>
      </x:c>
      <x:c r="C1309" s="12" t="str">
        <x:v>CORP-0297</x:v>
      </x:c>
      <x:c r="D1309" s="12" t="str">
        <x:v>Mumbai</x:v>
      </x:c>
      <x:c r="E1309" s="12" t="str">
        <x:v>Awfis - Raheja Titanium</x:v>
      </x:c>
      <x:c r="F1309" s="12" t="str">
        <x:v>32 inch LED TV</x:v>
      </x:c>
      <x:c r="G1309" s="20" t="n">
        <x:v>1</x:v>
      </x:c>
      <x:c r="H1309" s="12" t="str">
        <x:v>Workspace operator inferred from explicit property name; tenant occupants unconfirmed</x:v>
      </x:c>
      <x:c r="I1309" s="12" t="str">
        <x:v>Mixed business audience</x:v>
      </x:c>
      <x:c r="J1309" s="12" t="str">
        <x:v>Workspace &amp; property operations</x:v>
      </x:c>
      <x:c r="K1309" s="2" t="str">
        <x:v>MAIN-301</x:v>
      </x:c>
    </x:row>
    <x:row r="1310" ht="46" customHeight="1">
      <x:c r="A1310" s="2" t="str">
        <x:v>TEN-3E18C4D2C923</x:v>
      </x:c>
      <x:c r="B1310" s="12" t="str">
        <x:v>Neosoft</x:v>
      </x:c>
      <x:c r="C1310" s="12" t="str">
        <x:v>CORP-0298</x:v>
      </x:c>
      <x:c r="D1310" s="12" t="str">
        <x:v>Mumbai</x:v>
      </x:c>
      <x:c r="E1310" s="12" t="str">
        <x:v>Awfis - Ruby Towers</x:v>
      </x:c>
      <x:c r="F1310" s="12" t="str">
        <x:v>32 inch LED TV</x:v>
      </x:c>
      <x:c r="G1310" s="20" t="n">
        <x:v>2</x:v>
      </x:c>
      <x:c r="H1310" s="12" t="str">
        <x:v>Inventory-listed building/workspace context; current occupancy and screen access unverified</x:v>
      </x:c>
      <x:c r="I1310" s="12" t="str">
        <x:v>Mixed business audience</x:v>
      </x:c>
      <x:c r="J1310" s="12" t="str">
        <x:v>IT &amp; digital</x:v>
      </x:c>
      <x:c r="K1310" s="2" t="str">
        <x:v>MAIN-302</x:v>
      </x:c>
    </x:row>
    <x:row r="1311" ht="46" customHeight="1">
      <x:c r="A1311" s="2" t="str">
        <x:v>TEN-496B7BB6B430</x:v>
      </x:c>
      <x:c r="B1311" s="12" t="str">
        <x:v>Asset Reconstruction Company (India) Ltd</x:v>
      </x:c>
      <x:c r="C1311" s="12" t="str">
        <x:v>CORP-0298</x:v>
      </x:c>
      <x:c r="D1311" s="12" t="str">
        <x:v>Mumbai</x:v>
      </x:c>
      <x:c r="E1311" s="12" t="str">
        <x:v>Awfis - Ruby Towers</x:v>
      </x:c>
      <x:c r="F1311" s="12" t="str">
        <x:v>32 inch LED TV</x:v>
      </x:c>
      <x:c r="G1311" s="20" t="n">
        <x:v>2</x:v>
      </x:c>
      <x:c r="H1311" s="12" t="str">
        <x:v>Inventory-listed building/workspace context; current occupancy and screen access unverified</x:v>
      </x:c>
      <x:c r="I1311" s="12" t="str">
        <x:v>Mixed business audience</x:v>
      </x:c>
      <x:c r="J1311" s="12" t="str">
        <x:v>Finance &amp; insurance</x:v>
      </x:c>
      <x:c r="K1311" s="2" t="str">
        <x:v>MAIN-302</x:v>
      </x:c>
    </x:row>
    <x:row r="1312" ht="46" customHeight="1">
      <x:c r="A1312" s="2" t="str">
        <x:v>TEN-CB18F9AE9A8C</x:v>
      </x:c>
      <x:c r="B1312" s="12" t="str">
        <x:v>Web Werks India Pvt Ltd</x:v>
      </x:c>
      <x:c r="C1312" s="12" t="str">
        <x:v>CORP-0298</x:v>
      </x:c>
      <x:c r="D1312" s="12" t="str">
        <x:v>Mumbai</x:v>
      </x:c>
      <x:c r="E1312" s="12" t="str">
        <x:v>Awfis - Ruby Towers</x:v>
      </x:c>
      <x:c r="F1312" s="12" t="str">
        <x:v>32 inch LED TV</x:v>
      </x:c>
      <x:c r="G1312" s="20" t="n">
        <x:v>2</x:v>
      </x:c>
      <x:c r="H1312" s="12" t="str">
        <x:v>Inventory-listed building/workspace context; current occupancy and screen access unverified</x:v>
      </x:c>
      <x:c r="I1312" s="12" t="str">
        <x:v>Mixed business audience</x:v>
      </x:c>
      <x:c r="J1312" s="12" t="str">
        <x:v>IT &amp; digital</x:v>
      </x:c>
      <x:c r="K1312" s="2" t="str">
        <x:v>MAIN-302</x:v>
      </x:c>
    </x:row>
    <x:row r="1313" ht="46" customHeight="1">
      <x:c r="A1313" s="2" t="str">
        <x:v>TEN-0333C4F2B8CC</x:v>
      </x:c>
      <x:c r="B1313" s="12" t="str">
        <x:v>RR Kabel</x:v>
      </x:c>
      <x:c r="C1313" s="12" t="str">
        <x:v>CORP-0299</x:v>
      </x:c>
      <x:c r="D1313" s="12" t="str">
        <x:v>Mumbai</x:v>
      </x:c>
      <x:c r="E1313" s="12" t="str">
        <x:v>Awfis - Schindler House</x:v>
      </x:c>
      <x:c r="F1313" s="12" t="str">
        <x:v>32 inch LED TV</x:v>
      </x:c>
      <x:c r="G1313" s="20" t="n">
        <x:v>1</x:v>
      </x:c>
      <x:c r="H1313" s="12" t="str">
        <x:v>Inventory-listed building/workspace context; current occupancy and screen access unverified</x:v>
      </x:c>
      <x:c r="I1313" s="12" t="str">
        <x:v>Mixed business audience</x:v>
      </x:c>
      <x:c r="J1313" s="12" t="str">
        <x:v>Engineering &amp; manufacturing</x:v>
      </x:c>
      <x:c r="K1313" s="2" t="str">
        <x:v>MAIN-303</x:v>
      </x:c>
    </x:row>
    <x:row r="1314" ht="46" customHeight="1">
      <x:c r="A1314" s="2" t="str">
        <x:v>TEN-49548B34B134</x:v>
      </x:c>
      <x:c r="B1314" s="12" t="str">
        <x:v>MMR</x:v>
      </x:c>
      <x:c r="C1314" s="12" t="str">
        <x:v>CORP-0299</x:v>
      </x:c>
      <x:c r="D1314" s="12" t="str">
        <x:v>Mumbai</x:v>
      </x:c>
      <x:c r="E1314" s="12" t="str">
        <x:v>Awfis - Schindler House</x:v>
      </x:c>
      <x:c r="F1314" s="12" t="str">
        <x:v>32 inch LED TV</x:v>
      </x:c>
      <x:c r="G1314" s="20" t="n">
        <x:v>1</x:v>
      </x:c>
      <x:c r="H1314" s="12" t="str">
        <x:v>Inventory-listed building/workspace context; current occupancy and screen access unverified</x:v>
      </x:c>
      <x:c r="I1314" s="12" t="str">
        <x:v>Mixed business audience</x:v>
      </x:c>
      <x:c r="J1314" s="12" t="str">
        <x:v>Unresolved</x:v>
      </x:c>
      <x:c r="K1314" s="2" t="str">
        <x:v>MAIN-303</x:v>
      </x:c>
    </x:row>
    <x:row r="1315" ht="46" customHeight="1">
      <x:c r="A1315" s="2" t="str">
        <x:v>TEN-4E8C67D62118</x:v>
      </x:c>
      <x:c r="B1315" s="12" t="str">
        <x:v>FLipkart</x:v>
      </x:c>
      <x:c r="C1315" s="12" t="str">
        <x:v>CORP-0299</x:v>
      </x:c>
      <x:c r="D1315" s="12" t="str">
        <x:v>Mumbai</x:v>
      </x:c>
      <x:c r="E1315" s="12" t="str">
        <x:v>Awfis - Schindler House</x:v>
      </x:c>
      <x:c r="F1315" s="12" t="str">
        <x:v>32 inch LED TV</x:v>
      </x:c>
      <x:c r="G1315" s="20" t="n">
        <x:v>1</x:v>
      </x:c>
      <x:c r="H1315" s="12" t="str">
        <x:v>Inventory-listed building/workspace context; current occupancy and screen access unverified</x:v>
      </x:c>
      <x:c r="I1315" s="12" t="str">
        <x:v>Mixed business audience</x:v>
      </x:c>
      <x:c r="J1315" s="12" t="str">
        <x:v>Trade, consumer &amp; logistics</x:v>
      </x:c>
      <x:c r="K1315" s="2" t="str">
        <x:v>MAIN-303</x:v>
      </x:c>
    </x:row>
    <x:row r="1316" ht="46" customHeight="1">
      <x:c r="A1316" s="2" t="str">
        <x:v>TEN-76CFAA52B5B5</x:v>
      </x:c>
      <x:c r="B1316" s="12" t="str">
        <x:v>Bhartnext</x:v>
      </x:c>
      <x:c r="C1316" s="12" t="str">
        <x:v>CORP-0299</x:v>
      </x:c>
      <x:c r="D1316" s="12" t="str">
        <x:v>Mumbai</x:v>
      </x:c>
      <x:c r="E1316" s="12" t="str">
        <x:v>Awfis - Schindler House</x:v>
      </x:c>
      <x:c r="F1316" s="12" t="str">
        <x:v>32 inch LED TV</x:v>
      </x:c>
      <x:c r="G1316" s="20" t="n">
        <x:v>1</x:v>
      </x:c>
      <x:c r="H1316" s="12" t="str">
        <x:v>Inventory-listed building/workspace context; current occupancy and screen access unverified</x:v>
      </x:c>
      <x:c r="I1316" s="12" t="str">
        <x:v>Mixed business audience</x:v>
      </x:c>
      <x:c r="J1316" s="12" t="str">
        <x:v>Unresolved</x:v>
      </x:c>
      <x:c r="K1316" s="2" t="str">
        <x:v>MAIN-303</x:v>
      </x:c>
    </x:row>
    <x:row r="1317" ht="46" customHeight="1">
      <x:c r="A1317" s="2" t="str">
        <x:v>TEN-8A092F1101A6</x:v>
      </x:c>
      <x:c r="B1317" s="12" t="str">
        <x:v>Pixelated</x:v>
      </x:c>
      <x:c r="C1317" s="12" t="str">
        <x:v>CORP-0299</x:v>
      </x:c>
      <x:c r="D1317" s="12" t="str">
        <x:v>Mumbai</x:v>
      </x:c>
      <x:c r="E1317" s="12" t="str">
        <x:v>Awfis - Schindler House</x:v>
      </x:c>
      <x:c r="F1317" s="12" t="str">
        <x:v>32 inch LED TV</x:v>
      </x:c>
      <x:c r="G1317" s="20" t="n">
        <x:v>1</x:v>
      </x:c>
      <x:c r="H1317" s="12" t="str">
        <x:v>Inventory-listed building/workspace context; current occupancy and screen access unverified</x:v>
      </x:c>
      <x:c r="I1317" s="12" t="str">
        <x:v>Mixed business audience</x:v>
      </x:c>
      <x:c r="J1317" s="12" t="str">
        <x:v>Unresolved</x:v>
      </x:c>
      <x:c r="K1317" s="2" t="str">
        <x:v>MAIN-303</x:v>
      </x:c>
    </x:row>
    <x:row r="1318" ht="46" customHeight="1">
      <x:c r="A1318" s="2" t="str">
        <x:v>TEN-8FEEAF77AB0E</x:v>
      </x:c>
      <x:c r="B1318" s="12" t="str">
        <x:v>Serviceberry</x:v>
      </x:c>
      <x:c r="C1318" s="12" t="str">
        <x:v>CORP-0299</x:v>
      </x:c>
      <x:c r="D1318" s="12" t="str">
        <x:v>Mumbai</x:v>
      </x:c>
      <x:c r="E1318" s="12" t="str">
        <x:v>Awfis - Schindler House</x:v>
      </x:c>
      <x:c r="F1318" s="12" t="str">
        <x:v>32 inch LED TV</x:v>
      </x:c>
      <x:c r="G1318" s="20" t="n">
        <x:v>1</x:v>
      </x:c>
      <x:c r="H1318" s="12" t="str">
        <x:v>Inventory-listed building/workspace context; current occupancy and screen access unverified</x:v>
      </x:c>
      <x:c r="I1318" s="12" t="str">
        <x:v>Small-scale prospects</x:v>
      </x:c>
      <x:c r="J1318" s="12" t="str">
        <x:v>IT &amp; digital</x:v>
      </x:c>
      <x:c r="K1318" s="2" t="str">
        <x:v>MAIN-303</x:v>
      </x:c>
    </x:row>
    <x:row r="1319" ht="46" customHeight="1">
      <x:c r="A1319" s="2" t="str">
        <x:v>TEN-A309C887A783</x:v>
      </x:c>
      <x:c r="B1319" s="12" t="str">
        <x:v>Cleartrip</x:v>
      </x:c>
      <x:c r="C1319" s="12" t="str">
        <x:v>CORP-0299</x:v>
      </x:c>
      <x:c r="D1319" s="12" t="str">
        <x:v>Mumbai</x:v>
      </x:c>
      <x:c r="E1319" s="12" t="str">
        <x:v>Awfis - Schindler House</x:v>
      </x:c>
      <x:c r="F1319" s="12" t="str">
        <x:v>32 inch LED TV</x:v>
      </x:c>
      <x:c r="G1319" s="20" t="n">
        <x:v>1</x:v>
      </x:c>
      <x:c r="H1319" s="12" t="str">
        <x:v>Inventory-listed building/workspace context; current occupancy and screen access unverified</x:v>
      </x:c>
      <x:c r="I1319" s="12" t="str">
        <x:v>Mixed business audience</x:v>
      </x:c>
      <x:c r="J1319" s="12" t="str">
        <x:v>Trade, consumer &amp; logistics</x:v>
      </x:c>
      <x:c r="K1319" s="2" t="str">
        <x:v>MAIN-303</x:v>
      </x:c>
    </x:row>
    <x:row r="1320" ht="46" customHeight="1">
      <x:c r="A1320" s="2" t="str">
        <x:v>TEN-017ED77F31FC</x:v>
      </x:c>
      <x:c r="B1320" s="12" t="str">
        <x:v>Gozoop group</x:v>
      </x:c>
      <x:c r="C1320" s="12" t="str">
        <x:v>CORP-0300</x:v>
      </x:c>
      <x:c r="D1320" s="12" t="str">
        <x:v>Mumbai</x:v>
      </x:c>
      <x:c r="E1320" s="12" t="str">
        <x:v>Awfis - Skyline Icon</x:v>
      </x:c>
      <x:c r="F1320" s="12" t="str">
        <x:v>32 inch LED TV</x:v>
      </x:c>
      <x:c r="G1320" s="20" t="n">
        <x:v>2</x:v>
      </x:c>
      <x:c r="H1320" s="12" t="str">
        <x:v>Inventory-listed building/workspace context; current occupancy and screen access unverified</x:v>
      </x:c>
      <x:c r="I1320" s="12" t="str">
        <x:v>Small-scale prospects</x:v>
      </x:c>
      <x:c r="J1320" s="12" t="str">
        <x:v>Professional services</x:v>
      </x:c>
      <x:c r="K1320" s="2" t="str">
        <x:v>MAIN-304</x:v>
      </x:c>
    </x:row>
    <x:row r="1321" ht="46" customHeight="1">
      <x:c r="A1321" s="2" t="str">
        <x:v>TEN-30CD0B02435B</x:v>
      </x:c>
      <x:c r="B1321" s="12" t="str">
        <x:v>Baldor technologies</x:v>
      </x:c>
      <x:c r="C1321" s="12" t="str">
        <x:v>CORP-0300</x:v>
      </x:c>
      <x:c r="D1321" s="12" t="str">
        <x:v>Mumbai</x:v>
      </x:c>
      <x:c r="E1321" s="12" t="str">
        <x:v>Awfis - Skyline Icon</x:v>
      </x:c>
      <x:c r="F1321" s="12" t="str">
        <x:v>32 inch LED TV</x:v>
      </x:c>
      <x:c r="G1321" s="20" t="n">
        <x:v>2</x:v>
      </x:c>
      <x:c r="H1321" s="12" t="str">
        <x:v>Inventory-listed building/workspace context; current occupancy and screen access unverified</x:v>
      </x:c>
      <x:c r="I1321" s="12" t="str">
        <x:v>Mixed business audience</x:v>
      </x:c>
      <x:c r="J1321" s="12" t="str">
        <x:v>Unresolved</x:v>
      </x:c>
      <x:c r="K1321" s="2" t="str">
        <x:v>MAIN-304</x:v>
      </x:c>
    </x:row>
    <x:row r="1322" ht="46" customHeight="1">
      <x:c r="A1322" s="2" t="str">
        <x:v>TEN-34E334A5632D</x:v>
      </x:c>
      <x:c r="B1322" s="12" t="str">
        <x:v>Dhani Loans amnd evices</x:v>
      </x:c>
      <x:c r="C1322" s="12" t="str">
        <x:v>CORP-0300</x:v>
      </x:c>
      <x:c r="D1322" s="12" t="str">
        <x:v>Mumbai</x:v>
      </x:c>
      <x:c r="E1322" s="12" t="str">
        <x:v>Awfis - Skyline Icon</x:v>
      </x:c>
      <x:c r="F1322" s="12" t="str">
        <x:v>32 inch LED TV</x:v>
      </x:c>
      <x:c r="G1322" s="20" t="n">
        <x:v>2</x:v>
      </x:c>
      <x:c r="H1322" s="12" t="str">
        <x:v>Inventory-listed building/workspace context; current occupancy and screen access unverified</x:v>
      </x:c>
      <x:c r="I1322" s="12" t="str">
        <x:v>Mixed business audience</x:v>
      </x:c>
      <x:c r="J1322" s="12" t="str">
        <x:v>Finance &amp; insurance</x:v>
      </x:c>
      <x:c r="K1322" s="2" t="str">
        <x:v>MAIN-304</x:v>
      </x:c>
    </x:row>
    <x:row r="1323" ht="46" customHeight="1">
      <x:c r="A1323" s="2" t="str">
        <x:v>TEN-59C96154EEBA</x:v>
      </x:c>
      <x:c r="B1323" s="12" t="str">
        <x:v>More retails pvt ltd</x:v>
      </x:c>
      <x:c r="C1323" s="12" t="str">
        <x:v>CORP-0300</x:v>
      </x:c>
      <x:c r="D1323" s="12" t="str">
        <x:v>Mumbai</x:v>
      </x:c>
      <x:c r="E1323" s="12" t="str">
        <x:v>Awfis - Skyline Icon</x:v>
      </x:c>
      <x:c r="F1323" s="12" t="str">
        <x:v>32 inch LED TV</x:v>
      </x:c>
      <x:c r="G1323" s="20" t="n">
        <x:v>2</x:v>
      </x:c>
      <x:c r="H1323" s="12" t="str">
        <x:v>Inventory-listed building/workspace context; current occupancy and screen access unverified</x:v>
      </x:c>
      <x:c r="I1323" s="12" t="str">
        <x:v>Mixed business audience</x:v>
      </x:c>
      <x:c r="J1323" s="12" t="str">
        <x:v>Trade, consumer &amp; logistics</x:v>
      </x:c>
      <x:c r="K1323" s="2" t="str">
        <x:v>MAIN-304</x:v>
      </x:c>
    </x:row>
    <x:row r="1324" ht="46" customHeight="1">
      <x:c r="A1324" s="2" t="str">
        <x:v>TEN-6DC1E5EDD38E</x:v>
      </x:c>
      <x:c r="B1324" s="12" t="str">
        <x:v>VOdafone India ltd</x:v>
      </x:c>
      <x:c r="C1324" s="12" t="str">
        <x:v>CORP-0300</x:v>
      </x:c>
      <x:c r="D1324" s="12" t="str">
        <x:v>Mumbai</x:v>
      </x:c>
      <x:c r="E1324" s="12" t="str">
        <x:v>Awfis - Skyline Icon</x:v>
      </x:c>
      <x:c r="F1324" s="12" t="str">
        <x:v>32 inch LED TV</x:v>
      </x:c>
      <x:c r="G1324" s="20" t="n">
        <x:v>2</x:v>
      </x:c>
      <x:c r="H1324" s="12" t="str">
        <x:v>Inventory-listed building/workspace context; current occupancy and screen access unverified</x:v>
      </x:c>
      <x:c r="I1324" s="12" t="str">
        <x:v>Mixed business audience</x:v>
      </x:c>
      <x:c r="J1324" s="12" t="str">
        <x:v>IT &amp; digital</x:v>
      </x:c>
      <x:c r="K1324" s="2" t="str">
        <x:v>MAIN-304</x:v>
      </x:c>
    </x:row>
    <x:row r="1325" ht="46" customHeight="1">
      <x:c r="A1325" s="2" t="str">
        <x:v>TEN-81E4FD2D1FF2</x:v>
      </x:c>
      <x:c r="B1325" s="12" t="str">
        <x:v>Yusen Logisticcs pvt ltd</x:v>
      </x:c>
      <x:c r="C1325" s="12" t="str">
        <x:v>CORP-0300</x:v>
      </x:c>
      <x:c r="D1325" s="12" t="str">
        <x:v>Mumbai</x:v>
      </x:c>
      <x:c r="E1325" s="12" t="str">
        <x:v>Awfis - Skyline Icon</x:v>
      </x:c>
      <x:c r="F1325" s="12" t="str">
        <x:v>32 inch LED TV</x:v>
      </x:c>
      <x:c r="G1325" s="20" t="n">
        <x:v>2</x:v>
      </x:c>
      <x:c r="H1325" s="12" t="str">
        <x:v>Inventory-listed building/workspace context; current occupancy and screen access unverified</x:v>
      </x:c>
      <x:c r="I1325" s="12" t="str">
        <x:v>Mixed business audience</x:v>
      </x:c>
      <x:c r="J1325" s="12" t="str">
        <x:v>Trade, consumer &amp; logistics</x:v>
      </x:c>
      <x:c r="K1325" s="2" t="str">
        <x:v>MAIN-304</x:v>
      </x:c>
    </x:row>
    <x:row r="1326" ht="46" customHeight="1">
      <x:c r="A1326" s="2" t="str">
        <x:v>TEN-8ADB906B0167</x:v>
      </x:c>
      <x:c r="B1326" s="12" t="str">
        <x:v>cean network express india pvt ltd</x:v>
      </x:c>
      <x:c r="C1326" s="12" t="str">
        <x:v>CORP-0300</x:v>
      </x:c>
      <x:c r="D1326" s="12" t="str">
        <x:v>Mumbai</x:v>
      </x:c>
      <x:c r="E1326" s="12" t="str">
        <x:v>Awfis - Skyline Icon</x:v>
      </x:c>
      <x:c r="F1326" s="12" t="str">
        <x:v>32 inch LED TV</x:v>
      </x:c>
      <x:c r="G1326" s="20" t="n">
        <x:v>2</x:v>
      </x:c>
      <x:c r="H1326" s="12" t="str">
        <x:v>Inventory-listed building/workspace context; current occupancy and screen access unverified</x:v>
      </x:c>
      <x:c r="I1326" s="12" t="str">
        <x:v>Mixed business audience</x:v>
      </x:c>
      <x:c r="J1326" s="12" t="str">
        <x:v>Trade, consumer &amp; logistics</x:v>
      </x:c>
      <x:c r="K1326" s="2" t="str">
        <x:v>MAIN-304</x:v>
      </x:c>
    </x:row>
    <x:row r="1327" ht="46" customHeight="1">
      <x:c r="A1327" s="2" t="str">
        <x:v>TEN-C270FFA2797F</x:v>
      </x:c>
      <x:c r="B1327" s="12" t="str">
        <x:v>Indus towers ltd</x:v>
      </x:c>
      <x:c r="C1327" s="12" t="str">
        <x:v>CORP-0300</x:v>
      </x:c>
      <x:c r="D1327" s="12" t="str">
        <x:v>Mumbai</x:v>
      </x:c>
      <x:c r="E1327" s="12" t="str">
        <x:v>Awfis - Skyline Icon</x:v>
      </x:c>
      <x:c r="F1327" s="12" t="str">
        <x:v>32 inch LED TV</x:v>
      </x:c>
      <x:c r="G1327" s="20" t="n">
        <x:v>2</x:v>
      </x:c>
      <x:c r="H1327" s="12" t="str">
        <x:v>Inventory-listed building/workspace context; current occupancy and screen access unverified</x:v>
      </x:c>
      <x:c r="I1327" s="12" t="str">
        <x:v>Mixed business audience</x:v>
      </x:c>
      <x:c r="J1327" s="12" t="str">
        <x:v>Engineering &amp; manufacturing</x:v>
      </x:c>
      <x:c r="K1327" s="2" t="str">
        <x:v>MAIN-304</x:v>
      </x:c>
    </x:row>
    <x:row r="1328" ht="46" customHeight="1">
      <x:c r="A1328" s="2" t="str">
        <x:v>TEN-D616A0BCE12E</x:v>
      </x:c>
      <x:c r="B1328" s="12" t="str">
        <x:v>prsashasti developrs pvt ltd</x:v>
      </x:c>
      <x:c r="C1328" s="12" t="str">
        <x:v>CORP-0300</x:v>
      </x:c>
      <x:c r="D1328" s="12" t="str">
        <x:v>Mumbai</x:v>
      </x:c>
      <x:c r="E1328" s="12" t="str">
        <x:v>Awfis - Skyline Icon</x:v>
      </x:c>
      <x:c r="F1328" s="12" t="str">
        <x:v>32 inch LED TV</x:v>
      </x:c>
      <x:c r="G1328" s="20" t="n">
        <x:v>2</x:v>
      </x:c>
      <x:c r="H1328" s="12" t="str">
        <x:v>Inventory-listed building/workspace context; current occupancy and screen access unverified</x:v>
      </x:c>
      <x:c r="I1328" s="12" t="str">
        <x:v>Small-scale prospects</x:v>
      </x:c>
      <x:c r="J1328" s="12" t="str">
        <x:v>Trade, consumer &amp; logistics</x:v>
      </x:c>
      <x:c r="K1328" s="2" t="str">
        <x:v>MAIN-304</x:v>
      </x:c>
    </x:row>
    <x:row r="1329" ht="46" customHeight="1">
      <x:c r="A1329" s="2" t="str">
        <x:v>TEN-F558F36CF55C</x:v>
      </x:c>
      <x:c r="B1329" s="12" t="str">
        <x:v>FCM travel PVt ltd</x:v>
      </x:c>
      <x:c r="C1329" s="12" t="str">
        <x:v>CORP-0300</x:v>
      </x:c>
      <x:c r="D1329" s="12" t="str">
        <x:v>Mumbai</x:v>
      </x:c>
      <x:c r="E1329" s="12" t="str">
        <x:v>Awfis - Skyline Icon</x:v>
      </x:c>
      <x:c r="F1329" s="12" t="str">
        <x:v>32 inch LED TV</x:v>
      </x:c>
      <x:c r="G1329" s="20" t="n">
        <x:v>2</x:v>
      </x:c>
      <x:c r="H1329" s="12" t="str">
        <x:v>Inventory-listed building/workspace context; current occupancy and screen access unverified</x:v>
      </x:c>
      <x:c r="I1329" s="12" t="str">
        <x:v>Mixed business audience</x:v>
      </x:c>
      <x:c r="J1329" s="12" t="str">
        <x:v>Trade, consumer &amp; logistics</x:v>
      </x:c>
      <x:c r="K1329" s="2" t="str">
        <x:v>MAIN-304</x:v>
      </x:c>
    </x:row>
    <x:row r="1330" ht="46" customHeight="1">
      <x:c r="A1330" s="2" t="str">
        <x:v>TEN-1C593F87A18C</x:v>
      </x:c>
      <x:c r="B1330" s="12" t="str">
        <x:v>Yes Bank</x:v>
      </x:c>
      <x:c r="C1330" s="12" t="str">
        <x:v>CORP-0301</x:v>
      </x:c>
      <x:c r="D1330" s="12" t="str">
        <x:v>Mumbai</x:v>
      </x:c>
      <x:c r="E1330" s="12" t="str">
        <x:v>Awfis - Vaman Techno Center</x:v>
      </x:c>
      <x:c r="F1330" s="12" t="str">
        <x:v>32 inch LED TV</x:v>
      </x:c>
      <x:c r="G1330" s="20" t="n">
        <x:v>2</x:v>
      </x:c>
      <x:c r="H1330" s="12" t="str">
        <x:v>Inventory-listed building/workspace context; current occupancy and screen access unverified</x:v>
      </x:c>
      <x:c r="I1330" s="12" t="str">
        <x:v>Large enterprise</x:v>
      </x:c>
      <x:c r="J1330" s="12" t="str">
        <x:v>Finance &amp; insurance</x:v>
      </x:c>
      <x:c r="K1330" s="2" t="str">
        <x:v>MAIN-305</x:v>
      </x:c>
    </x:row>
    <x:row r="1331" ht="46" customHeight="1">
      <x:c r="A1331" s="2" t="str">
        <x:v>TEN-2C4019B762AB</x:v>
      </x:c>
      <x:c r="B1331" s="12" t="str">
        <x:v>Gr. Impactguru technology ventures Pvt. LTD</x:v>
      </x:c>
      <x:c r="C1331" s="12" t="str">
        <x:v>CORP-0301</x:v>
      </x:c>
      <x:c r="D1331" s="12" t="str">
        <x:v>Mumbai</x:v>
      </x:c>
      <x:c r="E1331" s="12" t="str">
        <x:v>Awfis - Vaman Techno Center</x:v>
      </x:c>
      <x:c r="F1331" s="12" t="str">
        <x:v>32 inch LED TV</x:v>
      </x:c>
      <x:c r="G1331" s="20" t="n">
        <x:v>2</x:v>
      </x:c>
      <x:c r="H1331" s="12" t="str">
        <x:v>Inventory-listed building/workspace context; current occupancy and screen access unverified</x:v>
      </x:c>
      <x:c r="I1331" s="12" t="str">
        <x:v>Mixed business audience</x:v>
      </x:c>
      <x:c r="J1331" s="12" t="str">
        <x:v>Unresolved</x:v>
      </x:c>
      <x:c r="K1331" s="2" t="str">
        <x:v>MAIN-305</x:v>
      </x:c>
    </x:row>
    <x:row r="1332" ht="46" customHeight="1">
      <x:c r="A1332" s="2" t="str">
        <x:v>TEN-2FD515B5FF3F</x:v>
      </x:c>
      <x:c r="B1332" s="12" t="str">
        <x:v>Brima Sagar Maharastra Distilleries LTD</x:v>
      </x:c>
      <x:c r="C1332" s="12" t="str">
        <x:v>CORP-0301</x:v>
      </x:c>
      <x:c r="D1332" s="12" t="str">
        <x:v>Mumbai</x:v>
      </x:c>
      <x:c r="E1332" s="12" t="str">
        <x:v>Awfis - Vaman Techno Center</x:v>
      </x:c>
      <x:c r="F1332" s="12" t="str">
        <x:v>32 inch LED TV</x:v>
      </x:c>
      <x:c r="G1332" s="20" t="n">
        <x:v>2</x:v>
      </x:c>
      <x:c r="H1332" s="12" t="str">
        <x:v>Inventory-listed building/workspace context; current occupancy and screen access unverified</x:v>
      </x:c>
      <x:c r="I1332" s="12" t="str">
        <x:v>Small-scale prospects</x:v>
      </x:c>
      <x:c r="J1332" s="12" t="str">
        <x:v>Trade, consumer &amp; logistics</x:v>
      </x:c>
      <x:c r="K1332" s="2" t="str">
        <x:v>MAIN-305</x:v>
      </x:c>
    </x:row>
    <x:row r="1333" ht="46" customHeight="1">
      <x:c r="A1333" s="2" t="str">
        <x:v>TEN-45DAE655BCBD</x:v>
      </x:c>
      <x:c r="B1333" s="12" t="str">
        <x:v>U.Y Industries PVT. LTD</x:v>
      </x:c>
      <x:c r="C1333" s="12" t="str">
        <x:v>CORP-0301</x:v>
      </x:c>
      <x:c r="D1333" s="12" t="str">
        <x:v>Mumbai</x:v>
      </x:c>
      <x:c r="E1333" s="12" t="str">
        <x:v>Awfis - Vaman Techno Center</x:v>
      </x:c>
      <x:c r="F1333" s="12" t="str">
        <x:v>32 inch LED TV</x:v>
      </x:c>
      <x:c r="G1333" s="20" t="n">
        <x:v>2</x:v>
      </x:c>
      <x:c r="H1333" s="12" t="str">
        <x:v>Inventory-listed building/workspace context; current occupancy and screen access unverified</x:v>
      </x:c>
      <x:c r="I1333" s="12" t="str">
        <x:v>Mixed business audience</x:v>
      </x:c>
      <x:c r="J1333" s="12" t="str">
        <x:v>Unresolved</x:v>
      </x:c>
      <x:c r="K1333" s="2" t="str">
        <x:v>MAIN-305</x:v>
      </x:c>
    </x:row>
    <x:row r="1334" ht="46" customHeight="1">
      <x:c r="A1334" s="2" t="str">
        <x:v>TEN-930A6627E874</x:v>
      </x:c>
      <x:c r="B1334" s="12" t="str">
        <x:v>Impaxt Guru Technology ventures</x:v>
      </x:c>
      <x:c r="C1334" s="12" t="str">
        <x:v>CORP-0301</x:v>
      </x:c>
      <x:c r="D1334" s="12" t="str">
        <x:v>Mumbai</x:v>
      </x:c>
      <x:c r="E1334" s="12" t="str">
        <x:v>Awfis - Vaman Techno Center</x:v>
      </x:c>
      <x:c r="F1334" s="12" t="str">
        <x:v>32 inch LED TV</x:v>
      </x:c>
      <x:c r="G1334" s="20" t="n">
        <x:v>2</x:v>
      </x:c>
      <x:c r="H1334" s="12" t="str">
        <x:v>Inventory-listed building/workspace context; current occupancy and screen access unverified</x:v>
      </x:c>
      <x:c r="I1334" s="12" t="str">
        <x:v>Mixed business audience</x:v>
      </x:c>
      <x:c r="J1334" s="12" t="str">
        <x:v>Unresolved</x:v>
      </x:c>
      <x:c r="K1334" s="2" t="str">
        <x:v>MAIN-305</x:v>
      </x:c>
    </x:row>
    <x:row r="1335" ht="46" customHeight="1">
      <x:c r="A1335" s="2" t="str">
        <x:v>TEN-9C77A4603B32</x:v>
      </x:c>
      <x:c r="B1335" s="12" t="str">
        <x:v>Rustic Earth</x:v>
      </x:c>
      <x:c r="C1335" s="12" t="str">
        <x:v>CORP-0301</x:v>
      </x:c>
      <x:c r="D1335" s="12" t="str">
        <x:v>Mumbai</x:v>
      </x:c>
      <x:c r="E1335" s="12" t="str">
        <x:v>Awfis - Vaman Techno Center</x:v>
      </x:c>
      <x:c r="F1335" s="12" t="str">
        <x:v>32 inch LED TV</x:v>
      </x:c>
      <x:c r="G1335" s="20" t="n">
        <x:v>2</x:v>
      </x:c>
      <x:c r="H1335" s="12" t="str">
        <x:v>Inventory-listed building/workspace context; current occupancy and screen access unverified</x:v>
      </x:c>
      <x:c r="I1335" s="12" t="str">
        <x:v>Mixed business audience</x:v>
      </x:c>
      <x:c r="J1335" s="12" t="str">
        <x:v>Unresolved</x:v>
      </x:c>
      <x:c r="K1335" s="2" t="str">
        <x:v>MAIN-305</x:v>
      </x:c>
    </x:row>
    <x:row r="1336" ht="46" customHeight="1">
      <x:c r="A1336" s="2" t="str">
        <x:v>TEN-E978525A3709</x:v>
      </x:c>
      <x:c r="B1336" s="12" t="str">
        <x:v>Brihans Laboratories</x:v>
      </x:c>
      <x:c r="C1336" s="12" t="str">
        <x:v>CORP-0301</x:v>
      </x:c>
      <x:c r="D1336" s="12" t="str">
        <x:v>Mumbai</x:v>
      </x:c>
      <x:c r="E1336" s="12" t="str">
        <x:v>Awfis - Vaman Techno Center</x:v>
      </x:c>
      <x:c r="F1336" s="12" t="str">
        <x:v>32 inch LED TV</x:v>
      </x:c>
      <x:c r="G1336" s="20" t="n">
        <x:v>2</x:v>
      </x:c>
      <x:c r="H1336" s="12" t="str">
        <x:v>Inventory-listed building/workspace context; current occupancy and screen access unverified</x:v>
      </x:c>
      <x:c r="I1336" s="12" t="str">
        <x:v>Small-scale prospects</x:v>
      </x:c>
      <x:c r="J1336" s="12" t="str">
        <x:v>Healthcare &amp; life sciences</x:v>
      </x:c>
      <x:c r="K1336" s="2" t="str">
        <x:v>MAIN-305</x:v>
      </x:c>
    </x:row>
    <x:row r="1337" ht="46" customHeight="1">
      <x:c r="A1337" s="2" t="str">
        <x:v>TEN-762CB01FB1C2</x:v>
      </x:c>
      <x:c r="B1337" s="12" t="str">
        <x:v>GMM Pfaudler</x:v>
      </x:c>
      <x:c r="C1337" s="12" t="str">
        <x:v>CORP-0302</x:v>
      </x:c>
      <x:c r="D1337" s="12" t="str">
        <x:v>Mumbai</x:v>
      </x:c>
      <x:c r="E1337" s="12" t="str">
        <x:v>Awfis - Vios Towers</x:v>
      </x:c>
      <x:c r="F1337" s="12" t="str">
        <x:v>32 inch LED TV</x:v>
      </x:c>
      <x:c r="G1337" s="20" t="n">
        <x:v>1</x:v>
      </x:c>
      <x:c r="H1337" s="12" t="str">
        <x:v>Inventory-listed building/workspace context; current occupancy and screen access unverified</x:v>
      </x:c>
      <x:c r="I1337" s="12" t="str">
        <x:v>Mixed business audience</x:v>
      </x:c>
      <x:c r="J1337" s="12" t="str">
        <x:v>Engineering &amp; manufacturing</x:v>
      </x:c>
      <x:c r="K1337" s="2" t="str">
        <x:v>MAIN-306</x:v>
      </x:c>
    </x:row>
    <x:row r="1338" ht="46" customHeight="1">
      <x:c r="A1338" s="2" t="str">
        <x:v>TEN-7A70CA8FF555</x:v>
      </x:c>
      <x:c r="B1338" s="12" t="str">
        <x:v>Nainit Savla</x:v>
      </x:c>
      <x:c r="C1338" s="12" t="str">
        <x:v>CORP-0302</x:v>
      </x:c>
      <x:c r="D1338" s="12" t="str">
        <x:v>Mumbai</x:v>
      </x:c>
      <x:c r="E1338" s="12" t="str">
        <x:v>Awfis - Vios Towers</x:v>
      </x:c>
      <x:c r="F1338" s="12" t="str">
        <x:v>32 inch LED TV</x:v>
      </x:c>
      <x:c r="G1338" s="20" t="n">
        <x:v>1</x:v>
      </x:c>
      <x:c r="H1338" s="12" t="str">
        <x:v>Inventory-listed building/workspace context; current occupancy and screen access unverified</x:v>
      </x:c>
      <x:c r="I1338" s="12" t="str">
        <x:v>Mixed business audience</x:v>
      </x:c>
      <x:c r="J1338" s="12" t="str">
        <x:v>Unresolved</x:v>
      </x:c>
      <x:c r="K1338" s="2" t="str">
        <x:v>MAIN-306</x:v>
      </x:c>
    </x:row>
    <x:row r="1339" ht="46" customHeight="1">
      <x:c r="A1339" s="2" t="str">
        <x:v>TEN-0474E7AB4372</x:v>
      </x:c>
      <x:c r="B1339" s="12" t="str">
        <x:v>Krishna Foils Corporation</x:v>
      </x:c>
      <x:c r="C1339" s="12" t="str">
        <x:v>CORP-0303</x:v>
      </x:c>
      <x:c r="D1339" s="12" t="str">
        <x:v>Mumbai</x:v>
      </x:c>
      <x:c r="E1339" s="12" t="str">
        <x:v>Blue Rose IND</x:v>
      </x:c>
      <x:c r="F1339" s="12" t="str">
        <x:v>32 inch LED TV</x:v>
      </x:c>
      <x:c r="G1339" s="20" t="n">
        <x:v>22</x:v>
      </x:c>
      <x:c r="H1339" s="12" t="str">
        <x:v>Inventory-listed building/workspace context; current occupancy and screen access unverified</x:v>
      </x:c>
      <x:c r="I1339" s="12" t="str">
        <x:v>Medium-scale prospects</x:v>
      </x:c>
      <x:c r="J1339" s="12" t="str">
        <x:v>Engineering &amp; manufacturing</x:v>
      </x:c>
      <x:c r="K1339" s="2" t="str">
        <x:v>MAIN-307</x:v>
      </x:c>
    </x:row>
    <x:row r="1340" ht="46" customHeight="1">
      <x:c r="A1340" s="2" t="str">
        <x:v>TEN-22D6EAAAD3BD</x:v>
      </x:c>
      <x:c r="B1340" s="12" t="str">
        <x:v>Crux Digital Pvt Ltd</x:v>
      </x:c>
      <x:c r="C1340" s="12" t="str">
        <x:v>CORP-0303</x:v>
      </x:c>
      <x:c r="D1340" s="12" t="str">
        <x:v>Mumbai</x:v>
      </x:c>
      <x:c r="E1340" s="12" t="str">
        <x:v>Blue Rose IND</x:v>
      </x:c>
      <x:c r="F1340" s="12" t="str">
        <x:v>32 inch LED TV</x:v>
      </x:c>
      <x:c r="G1340" s="20" t="n">
        <x:v>22</x:v>
      </x:c>
      <x:c r="H1340" s="12" t="str">
        <x:v>Inventory-listed building/workspace context; current occupancy and screen access unverified</x:v>
      </x:c>
      <x:c r="I1340" s="12" t="str">
        <x:v>Small-scale prospects</x:v>
      </x:c>
      <x:c r="J1340" s="12" t="str">
        <x:v>IT &amp; digital</x:v>
      </x:c>
      <x:c r="K1340" s="2" t="str">
        <x:v>MAIN-307</x:v>
      </x:c>
    </x:row>
    <x:row r="1341" ht="46" customHeight="1">
      <x:c r="A1341" s="2" t="str">
        <x:v>TEN-2C76D29FC1CC</x:v>
      </x:c>
      <x:c r="B1341" s="12" t="str">
        <x:v>Muez Hest India Pvt. Ltd</x:v>
      </x:c>
      <x:c r="C1341" s="12" t="str">
        <x:v>CORP-0303</x:v>
      </x:c>
      <x:c r="D1341" s="12" t="str">
        <x:v>Mumbai</x:v>
      </x:c>
      <x:c r="E1341" s="12" t="str">
        <x:v>Blue Rose IND</x:v>
      </x:c>
      <x:c r="F1341" s="12" t="str">
        <x:v>32 inch LED TV</x:v>
      </x:c>
      <x:c r="G1341" s="20" t="n">
        <x:v>22</x:v>
      </x:c>
      <x:c r="H1341" s="12" t="str">
        <x:v>Inventory-listed building/workspace context; current occupancy and screen access unverified</x:v>
      </x:c>
      <x:c r="I1341" s="12" t="str">
        <x:v>Medium-scale prospects</x:v>
      </x:c>
      <x:c r="J1341" s="12" t="str">
        <x:v>Engineering &amp; manufacturing</x:v>
      </x:c>
      <x:c r="K1341" s="2" t="str">
        <x:v>MAIN-307</x:v>
      </x:c>
    </x:row>
    <x:row r="1342" ht="46" customHeight="1">
      <x:c r="A1342" s="2" t="str">
        <x:v>TEN-33207C8AC7FA</x:v>
      </x:c>
      <x:c r="B1342" s="12" t="str">
        <x:v>Ellusion Entertainment</x:v>
      </x:c>
      <x:c r="C1342" s="12" t="str">
        <x:v>CORP-0303</x:v>
      </x:c>
      <x:c r="D1342" s="12" t="str">
        <x:v>Mumbai</x:v>
      </x:c>
      <x:c r="E1342" s="12" t="str">
        <x:v>Blue Rose IND</x:v>
      </x:c>
      <x:c r="F1342" s="12" t="str">
        <x:v>32 inch LED TV</x:v>
      </x:c>
      <x:c r="G1342" s="20" t="n">
        <x:v>22</x:v>
      </x:c>
      <x:c r="H1342" s="12" t="str">
        <x:v>Inventory-listed building/workspace context; current occupancy and screen access unverified</x:v>
      </x:c>
      <x:c r="I1342" s="12" t="str">
        <x:v>Small-scale prospects</x:v>
      </x:c>
      <x:c r="J1342" s="12" t="str">
        <x:v>Trade, consumer &amp; logistics</x:v>
      </x:c>
      <x:c r="K1342" s="2" t="str">
        <x:v>MAIN-307</x:v>
      </x:c>
    </x:row>
    <x:row r="1343" ht="46" customHeight="1">
      <x:c r="A1343" s="2" t="str">
        <x:v>TEN-436E0E6B6326</x:v>
      </x:c>
      <x:c r="B1343" s="12" t="str">
        <x:v>CINEGENCE</x:v>
      </x:c>
      <x:c r="C1343" s="12" t="str">
        <x:v>CORP-0303</x:v>
      </x:c>
      <x:c r="D1343" s="12" t="str">
        <x:v>Mumbai</x:v>
      </x:c>
      <x:c r="E1343" s="12" t="str">
        <x:v>Blue Rose IND</x:v>
      </x:c>
      <x:c r="F1343" s="12" t="str">
        <x:v>32 inch LED TV</x:v>
      </x:c>
      <x:c r="G1343" s="20" t="n">
        <x:v>22</x:v>
      </x:c>
      <x:c r="H1343" s="12" t="str">
        <x:v>Inventory-listed building/workspace context; current occupancy and screen access unverified</x:v>
      </x:c>
      <x:c r="I1343" s="12" t="str">
        <x:v>Small-scale prospects</x:v>
      </x:c>
      <x:c r="J1343" s="12" t="str">
        <x:v>Trade, consumer &amp; logistics</x:v>
      </x:c>
      <x:c r="K1343" s="2" t="str">
        <x:v>MAIN-307</x:v>
      </x:c>
    </x:row>
    <x:row r="1344" ht="46" customHeight="1">
      <x:c r="A1344" s="2" t="str">
        <x:v>TEN-606E58F1D65E</x:v>
      </x:c>
      <x:c r="B1344" s="12" t="str">
        <x:v>Amba Enterprises Limited</x:v>
      </x:c>
      <x:c r="C1344" s="12" t="str">
        <x:v>CORP-0303</x:v>
      </x:c>
      <x:c r="D1344" s="12" t="str">
        <x:v>Mumbai</x:v>
      </x:c>
      <x:c r="E1344" s="12" t="str">
        <x:v>Blue Rose IND</x:v>
      </x:c>
      <x:c r="F1344" s="12" t="str">
        <x:v>32 inch LED TV</x:v>
      </x:c>
      <x:c r="G1344" s="20" t="n">
        <x:v>22</x:v>
      </x:c>
      <x:c r="H1344" s="12" t="str">
        <x:v>Inventory-listed building/workspace context; current occupancy and screen access unverified</x:v>
      </x:c>
      <x:c r="I1344" s="12" t="str">
        <x:v>Mixed business audience</x:v>
      </x:c>
      <x:c r="J1344" s="12" t="str">
        <x:v>Unresolved</x:v>
      </x:c>
      <x:c r="K1344" s="2" t="str">
        <x:v>MAIN-307</x:v>
      </x:c>
    </x:row>
    <x:row r="1345" ht="46" customHeight="1">
      <x:c r="A1345" s="2" t="str">
        <x:v>TEN-90BDBD8E6D14</x:v>
      </x:c>
      <x:c r="B1345" s="12" t="str">
        <x:v>GHCL Limited</x:v>
      </x:c>
      <x:c r="C1345" s="12" t="str">
        <x:v>CORP-0303</x:v>
      </x:c>
      <x:c r="D1345" s="12" t="str">
        <x:v>Mumbai</x:v>
      </x:c>
      <x:c r="E1345" s="12" t="str">
        <x:v>Blue Rose IND</x:v>
      </x:c>
      <x:c r="F1345" s="12" t="str">
        <x:v>32 inch LED TV</x:v>
      </x:c>
      <x:c r="G1345" s="20" t="n">
        <x:v>22</x:v>
      </x:c>
      <x:c r="H1345" s="12" t="str">
        <x:v>Inventory-listed building/workspace context; current occupancy and screen access unverified</x:v>
      </x:c>
      <x:c r="I1345" s="12" t="str">
        <x:v>Large enterprise</x:v>
      </x:c>
      <x:c r="J1345" s="12" t="str">
        <x:v>Engineering &amp; manufacturing</x:v>
      </x:c>
      <x:c r="K1345" s="2" t="str">
        <x:v>MAIN-307</x:v>
      </x:c>
    </x:row>
    <x:row r="1346" ht="46" customHeight="1">
      <x:c r="A1346" s="2" t="str">
        <x:v>TEN-C3253FB0AE69</x:v>
      </x:c>
      <x:c r="B1346" s="12" t="str">
        <x:v>JOPINGS INTERCRAFT LLP</x:v>
      </x:c>
      <x:c r="C1346" s="12" t="str">
        <x:v>CORP-0303</x:v>
      </x:c>
      <x:c r="D1346" s="12" t="str">
        <x:v>Mumbai</x:v>
      </x:c>
      <x:c r="E1346" s="12" t="str">
        <x:v>Blue Rose IND</x:v>
      </x:c>
      <x:c r="F1346" s="12" t="str">
        <x:v>32 inch LED TV</x:v>
      </x:c>
      <x:c r="G1346" s="20" t="n">
        <x:v>22</x:v>
      </x:c>
      <x:c r="H1346" s="12" t="str">
        <x:v>Inventory-listed building/workspace context; current occupancy and screen access unverified</x:v>
      </x:c>
      <x:c r="I1346" s="12" t="str">
        <x:v>Mixed business audience</x:v>
      </x:c>
      <x:c r="J1346" s="12" t="str">
        <x:v>Unresolved</x:v>
      </x:c>
      <x:c r="K1346" s="2" t="str">
        <x:v>MAIN-307</x:v>
      </x:c>
    </x:row>
    <x:row r="1347" ht="46" customHeight="1">
      <x:c r="A1347" s="2" t="str">
        <x:v>TEN-E0D827A703DC</x:v>
      </x:c>
      <x:c r="B1347" s="12" t="str">
        <x:v>AKP Sublimations</x:v>
      </x:c>
      <x:c r="C1347" s="12" t="str">
        <x:v>CORP-0303</x:v>
      </x:c>
      <x:c r="D1347" s="12" t="str">
        <x:v>Mumbai</x:v>
      </x:c>
      <x:c r="E1347" s="12" t="str">
        <x:v>Blue Rose IND</x:v>
      </x:c>
      <x:c r="F1347" s="12" t="str">
        <x:v>32 inch LED TV</x:v>
      </x:c>
      <x:c r="G1347" s="20" t="n">
        <x:v>22</x:v>
      </x:c>
      <x:c r="H1347" s="12" t="str">
        <x:v>Inventory-listed building/workspace context; current occupancy and screen access unverified</x:v>
      </x:c>
      <x:c r="I1347" s="12" t="str">
        <x:v>Mixed business audience</x:v>
      </x:c>
      <x:c r="J1347" s="12" t="str">
        <x:v>Unresolved</x:v>
      </x:c>
      <x:c r="K1347" s="2" t="str">
        <x:v>MAIN-307</x:v>
      </x:c>
    </x:row>
    <x:row r="1348" ht="46" customHeight="1">
      <x:c r="A1348" s="2" t="str">
        <x:v>TEN-2C08FF12203D</x:v>
      </x:c>
      <x:c r="B1348" s="12" t="str">
        <x:v>Wellness forever</x:v>
      </x:c>
      <x:c r="C1348" s="12" t="str">
        <x:v>CORP-0304</x:v>
      </x:c>
      <x:c r="D1348" s="12" t="str">
        <x:v>Mumbai</x:v>
      </x:c>
      <x:c r="E1348" s="12" t="str">
        <x:v>Bsel Tech Park</x:v>
      </x:c>
      <x:c r="F1348" s="12" t="str">
        <x:v>32 inch LED TV</x:v>
      </x:c>
      <x:c r="G1348" s="20" t="n">
        <x:v>47</x:v>
      </x:c>
      <x:c r="H1348" s="12" t="str">
        <x:v>Inventory-listed building/workspace context; current occupancy and screen access unverified</x:v>
      </x:c>
      <x:c r="I1348" s="12" t="str">
        <x:v>Large enterprise</x:v>
      </x:c>
      <x:c r="J1348" s="12" t="str">
        <x:v>Healthcare &amp; life sciences</x:v>
      </x:c>
      <x:c r="K1348" s="2" t="str">
        <x:v>MAIN-308</x:v>
      </x:c>
    </x:row>
    <x:row r="1349" ht="46" customHeight="1">
      <x:c r="A1349" s="2" t="str">
        <x:v>TEN-4819C4E4B5D3</x:v>
      </x:c>
      <x:c r="B1349" s="12" t="str">
        <x:v>Webvistar Technifo pvt ltd</x:v>
      </x:c>
      <x:c r="C1349" s="12" t="str">
        <x:v>CORP-0304</x:v>
      </x:c>
      <x:c r="D1349" s="12" t="str">
        <x:v>Mumbai</x:v>
      </x:c>
      <x:c r="E1349" s="12" t="str">
        <x:v>Bsel Tech Park</x:v>
      </x:c>
      <x:c r="F1349" s="12" t="str">
        <x:v>32 inch LED TV</x:v>
      </x:c>
      <x:c r="G1349" s="20" t="n">
        <x:v>47</x:v>
      </x:c>
      <x:c r="H1349" s="12" t="str">
        <x:v>Inventory-listed building/workspace context; current occupancy and screen access unverified</x:v>
      </x:c>
      <x:c r="I1349" s="12" t="str">
        <x:v>Mixed business audience</x:v>
      </x:c>
      <x:c r="J1349" s="12" t="str">
        <x:v>Unresolved</x:v>
      </x:c>
      <x:c r="K1349" s="2" t="str">
        <x:v>MAIN-308</x:v>
      </x:c>
    </x:row>
    <x:row r="1350" ht="46" customHeight="1">
      <x:c r="A1350" s="2" t="str">
        <x:v>TEN-52D3771C1219</x:v>
      </x:c>
      <x:c r="B1350" s="12" t="str">
        <x:v>Aditya birla capital health insurance</x:v>
      </x:c>
      <x:c r="C1350" s="12" t="str">
        <x:v>CORP-0304</x:v>
      </x:c>
      <x:c r="D1350" s="12" t="str">
        <x:v>Mumbai</x:v>
      </x:c>
      <x:c r="E1350" s="12" t="str">
        <x:v>Bsel Tech Park</x:v>
      </x:c>
      <x:c r="F1350" s="12" t="str">
        <x:v>32 inch LED TV</x:v>
      </x:c>
      <x:c r="G1350" s="20" t="n">
        <x:v>47</x:v>
      </x:c>
      <x:c r="H1350" s="12" t="str">
        <x:v>Inventory-listed building/workspace context; current occupancy and screen access unverified</x:v>
      </x:c>
      <x:c r="I1350" s="12" t="str">
        <x:v>Large enterprise</x:v>
      </x:c>
      <x:c r="J1350" s="12" t="str">
        <x:v>Finance &amp; insurance</x:v>
      </x:c>
      <x:c r="K1350" s="2" t="str">
        <x:v>MAIN-308</x:v>
      </x:c>
    </x:row>
    <x:row r="1351" ht="46" customHeight="1">
      <x:c r="A1351" s="2" t="str">
        <x:v>TEN-5ED10AC2ED61</x:v>
      </x:c>
      <x:c r="B1351" s="12" t="str">
        <x:v>Wanbury Ltd</x:v>
      </x:c>
      <x:c r="C1351" s="12" t="str">
        <x:v>CORP-0304</x:v>
      </x:c>
      <x:c r="D1351" s="12" t="str">
        <x:v>Mumbai</x:v>
      </x:c>
      <x:c r="E1351" s="12" t="str">
        <x:v>Bsel Tech Park</x:v>
      </x:c>
      <x:c r="F1351" s="12" t="str">
        <x:v>32 inch LED TV</x:v>
      </x:c>
      <x:c r="G1351" s="20" t="n">
        <x:v>47</x:v>
      </x:c>
      <x:c r="H1351" s="12" t="str">
        <x:v>Inventory-listed building/workspace context; current occupancy and screen access unverified</x:v>
      </x:c>
      <x:c r="I1351" s="12" t="str">
        <x:v>Large enterprise</x:v>
      </x:c>
      <x:c r="J1351" s="12" t="str">
        <x:v>Healthcare &amp; life sciences</x:v>
      </x:c>
      <x:c r="K1351" s="2" t="str">
        <x:v>MAIN-308</x:v>
      </x:c>
    </x:row>
    <x:row r="1352" ht="46" customHeight="1">
      <x:c r="A1352" s="2" t="str">
        <x:v>TEN-748D67EDE4D7</x:v>
      </x:c>
      <x:c r="B1352" s="12" t="str">
        <x:v>Vodafone Idea store</x:v>
      </x:c>
      <x:c r="C1352" s="12" t="str">
        <x:v>CORP-0304</x:v>
      </x:c>
      <x:c r="D1352" s="12" t="str">
        <x:v>Mumbai</x:v>
      </x:c>
      <x:c r="E1352" s="12" t="str">
        <x:v>Bsel Tech Park</x:v>
      </x:c>
      <x:c r="F1352" s="12" t="str">
        <x:v>32 inch LED TV</x:v>
      </x:c>
      <x:c r="G1352" s="20" t="n">
        <x:v>47</x:v>
      </x:c>
      <x:c r="H1352" s="12" t="str">
        <x:v>Inventory-listed building/workspace context; current occupancy and screen access unverified</x:v>
      </x:c>
      <x:c r="I1352" s="12" t="str">
        <x:v>Mixed business audience</x:v>
      </x:c>
      <x:c r="J1352" s="12" t="str">
        <x:v>IT &amp; digital</x:v>
      </x:c>
      <x:c r="K1352" s="2" t="str">
        <x:v>MAIN-308</x:v>
      </x:c>
    </x:row>
    <x:row r="1353" ht="46" customHeight="1">
      <x:c r="A1353" s="2" t="str">
        <x:v>TEN-8E96374870CC</x:v>
      </x:c>
      <x:c r="B1353" s="12" t="str">
        <x:v>EIKEM SOUTH ASIA PVT LTD</x:v>
      </x:c>
      <x:c r="C1353" s="12" t="str">
        <x:v>CORP-0304</x:v>
      </x:c>
      <x:c r="D1353" s="12" t="str">
        <x:v>Mumbai</x:v>
      </x:c>
      <x:c r="E1353" s="12" t="str">
        <x:v>Bsel Tech Park</x:v>
      </x:c>
      <x:c r="F1353" s="12" t="str">
        <x:v>32 inch LED TV</x:v>
      </x:c>
      <x:c r="G1353" s="20" t="n">
        <x:v>47</x:v>
      </x:c>
      <x:c r="H1353" s="12" t="str">
        <x:v>Inventory-listed building/workspace context; current occupancy and screen access unverified</x:v>
      </x:c>
      <x:c r="I1353" s="12" t="str">
        <x:v>Mixed business audience</x:v>
      </x:c>
      <x:c r="J1353" s="12" t="str">
        <x:v>Engineering &amp; manufacturing</x:v>
      </x:c>
      <x:c r="K1353" s="2" t="str">
        <x:v>MAIN-308</x:v>
      </x:c>
    </x:row>
    <x:row r="1354" ht="46" customHeight="1">
      <x:c r="A1354" s="2" t="str">
        <x:v>TEN-C92BBCAD9CDE</x:v>
      </x:c>
      <x:c r="B1354" s="12" t="str">
        <x:v>P-Mech Consultant pvt ltd</x:v>
      </x:c>
      <x:c r="C1354" s="12" t="str">
        <x:v>CORP-0304</x:v>
      </x:c>
      <x:c r="D1354" s="12" t="str">
        <x:v>Mumbai</x:v>
      </x:c>
      <x:c r="E1354" s="12" t="str">
        <x:v>Bsel Tech Park</x:v>
      </x:c>
      <x:c r="F1354" s="12" t="str">
        <x:v>32 inch LED TV</x:v>
      </x:c>
      <x:c r="G1354" s="20" t="n">
        <x:v>47</x:v>
      </x:c>
      <x:c r="H1354" s="12" t="str">
        <x:v>Inventory-listed building/workspace context; current occupancy and screen access unverified</x:v>
      </x:c>
      <x:c r="I1354" s="12" t="str">
        <x:v>Medium-scale prospects</x:v>
      </x:c>
      <x:c r="J1354" s="12" t="str">
        <x:v>Engineering &amp; manufacturing</x:v>
      </x:c>
      <x:c r="K1354" s="2" t="str">
        <x:v>MAIN-308</x:v>
      </x:c>
    </x:row>
    <x:row r="1355" ht="46" customHeight="1">
      <x:c r="A1355" s="2" t="str">
        <x:v>TEN-E8A956B73F6D</x:v>
      </x:c>
      <x:c r="B1355" s="12" t="str">
        <x:v>Cams Vashi Office</x:v>
      </x:c>
      <x:c r="C1355" s="12" t="str">
        <x:v>CORP-0304</x:v>
      </x:c>
      <x:c r="D1355" s="12" t="str">
        <x:v>Mumbai</x:v>
      </x:c>
      <x:c r="E1355" s="12" t="str">
        <x:v>Bsel Tech Park</x:v>
      </x:c>
      <x:c r="F1355" s="12" t="str">
        <x:v>32 inch LED TV</x:v>
      </x:c>
      <x:c r="G1355" s="20" t="n">
        <x:v>47</x:v>
      </x:c>
      <x:c r="H1355" s="12" t="str">
        <x:v>Inventory-listed building/workspace context; current occupancy and screen access unverified</x:v>
      </x:c>
      <x:c r="I1355" s="12" t="str">
        <x:v>Mixed business audience</x:v>
      </x:c>
      <x:c r="J1355" s="12" t="str">
        <x:v>Finance &amp; insurance</x:v>
      </x:c>
      <x:c r="K1355" s="2" t="str">
        <x:v>MAIN-308</x:v>
      </x:c>
    </x:row>
    <x:row r="1356" ht="46" customHeight="1">
      <x:c r="A1356" s="2" t="str">
        <x:v>TEN-FB22E0C0AFC9</x:v>
      </x:c>
      <x:c r="B1356" s="12" t="str">
        <x:v>Aimil ltd</x:v>
      </x:c>
      <x:c r="C1356" s="12" t="str">
        <x:v>CORP-0304</x:v>
      </x:c>
      <x:c r="D1356" s="12" t="str">
        <x:v>Mumbai</x:v>
      </x:c>
      <x:c r="E1356" s="12" t="str">
        <x:v>Bsel Tech Park</x:v>
      </x:c>
      <x:c r="F1356" s="12" t="str">
        <x:v>32 inch LED TV</x:v>
      </x:c>
      <x:c r="G1356" s="20" t="n">
        <x:v>47</x:v>
      </x:c>
      <x:c r="H1356" s="12" t="str">
        <x:v>Inventory-listed building/workspace context; current occupancy and screen access unverified</x:v>
      </x:c>
      <x:c r="I1356" s="12" t="str">
        <x:v>Large enterprise</x:v>
      </x:c>
      <x:c r="J1356" s="12" t="str">
        <x:v>Engineering &amp; manufacturing</x:v>
      </x:c>
      <x:c r="K1356" s="2" t="str">
        <x:v>MAIN-308</x:v>
      </x:c>
    </x:row>
    <x:row r="1357" ht="46" customHeight="1">
      <x:c r="A1357" s="2" t="str">
        <x:v>TEN-4FBD42D10201</x:v>
      </x:c>
      <x:c r="B1357" s="12" t="str">
        <x:v>ShadowFax Mumbai</x:v>
      </x:c>
      <x:c r="C1357" s="12" t="str">
        <x:v>CORP-0305</x:v>
      </x:c>
      <x:c r="D1357" s="12" t="str">
        <x:v>Mumbai</x:v>
      </x:c>
      <x:c r="E1357" s="12" t="str">
        <x:v>Carnival HUB Work Spaces</x:v>
      </x:c>
      <x:c r="F1357" s="12" t="str">
        <x:v>32 inch LED TV</x:v>
      </x:c>
      <x:c r="G1357" s="20" t="n">
        <x:v>1</x:v>
      </x:c>
      <x:c r="H1357" s="12" t="str">
        <x:v>Inventory-listed building/workspace context; current occupancy and screen access unverified</x:v>
      </x:c>
      <x:c r="I1357" s="12" t="str">
        <x:v>Mixed business audience</x:v>
      </x:c>
      <x:c r="J1357" s="12" t="str">
        <x:v>Trade, consumer &amp; logistics</x:v>
      </x:c>
      <x:c r="K1357" s="2" t="str">
        <x:v>MAIN-309</x:v>
      </x:c>
    </x:row>
    <x:row r="1358" ht="46" customHeight="1">
      <x:c r="A1358" s="2" t="str">
        <x:v>TEN-C41AB9D1B907</x:v>
      </x:c>
      <x:c r="B1358" s="12" t="str">
        <x:v>Realmi Mobile</x:v>
      </x:c>
      <x:c r="C1358" s="12" t="str">
        <x:v>CORP-0305</x:v>
      </x:c>
      <x:c r="D1358" s="12" t="str">
        <x:v>Mumbai</x:v>
      </x:c>
      <x:c r="E1358" s="12" t="str">
        <x:v>Carnival HUB Work Spaces</x:v>
      </x:c>
      <x:c r="F1358" s="12" t="str">
        <x:v>32 inch LED TV</x:v>
      </x:c>
      <x:c r="G1358" s="20" t="n">
        <x:v>1</x:v>
      </x:c>
      <x:c r="H1358" s="12" t="str">
        <x:v>Inventory-listed building/workspace context; current occupancy and screen access unverified</x:v>
      </x:c>
      <x:c r="I1358" s="12" t="str">
        <x:v>Mixed business audience</x:v>
      </x:c>
      <x:c r="J1358" s="12" t="str">
        <x:v>Trade, consumer &amp; logistics</x:v>
      </x:c>
      <x:c r="K1358" s="2" t="str">
        <x:v>MAIN-309</x:v>
      </x:c>
    </x:row>
    <x:row r="1359" ht="46" customHeight="1">
      <x:c r="A1359" s="2" t="str">
        <x:v>TEN-04D50CB55236</x:v>
      </x:c>
      <x:c r="B1359" s="12" t="str">
        <x:v>Mymoneykarma Infomatics India Pvt ltd</x:v>
      </x:c>
      <x:c r="C1359" s="12" t="str">
        <x:v>CORP-0027</x:v>
      </x:c>
      <x:c r="D1359" s="12" t="str">
        <x:v>Bengaluru</x:v>
      </x:c>
      <x:c r="E1359" s="12" t="str">
        <x:v>Bhive Workspace - Koramangala 5TH Block</x:v>
      </x:c>
      <x:c r="F1359" s="12" t="str">
        <x:v>32 inch LED TV</x:v>
      </x:c>
      <x:c r="G1359" s="20" t="n">
        <x:v>2</x:v>
      </x:c>
      <x:c r="H1359" s="12" t="str">
        <x:v>Inventory-listed building/workspace context; current occupancy and screen access unverified</x:v>
      </x:c>
      <x:c r="I1359" s="12" t="str">
        <x:v>Medium-scale prospects</x:v>
      </x:c>
      <x:c r="J1359" s="12" t="str">
        <x:v>Finance &amp; insurance</x:v>
      </x:c>
      <x:c r="K1359" s="2" t="str">
        <x:v>MAIN-031</x:v>
      </x:c>
    </x:row>
    <x:row r="1360" ht="46" customHeight="1">
      <x:c r="A1360" s="2" t="str">
        <x:v>TEN-0932D55AA74D</x:v>
      </x:c>
      <x:c r="B1360" s="12" t="str">
        <x:v>Abreco Freight Pvt.Ltd</x:v>
      </x:c>
      <x:c r="C1360" s="12" t="str">
        <x:v>CORP-0027</x:v>
      </x:c>
      <x:c r="D1360" s="12" t="str">
        <x:v>Bengaluru</x:v>
      </x:c>
      <x:c r="E1360" s="12" t="str">
        <x:v>Bhive Workspace - Koramangala 5TH Block</x:v>
      </x:c>
      <x:c r="F1360" s="12" t="str">
        <x:v>32 inch LED TV</x:v>
      </x:c>
      <x:c r="G1360" s="20" t="n">
        <x:v>2</x:v>
      </x:c>
      <x:c r="H1360" s="12" t="str">
        <x:v>Inventory-listed building/workspace context; current occupancy and screen access unverified</x:v>
      </x:c>
      <x:c r="I1360" s="12" t="str">
        <x:v>Medium-scale prospects</x:v>
      </x:c>
      <x:c r="J1360" s="12" t="str">
        <x:v>Trade, consumer &amp; logistics</x:v>
      </x:c>
      <x:c r="K1360" s="2" t="str">
        <x:v>MAIN-031</x:v>
      </x:c>
    </x:row>
    <x:row r="1361" ht="46" customHeight="1">
      <x:c r="A1361" s="2" t="str">
        <x:v>TEN-442034601B25</x:v>
      </x:c>
      <x:c r="B1361" s="12" t="str">
        <x:v>Insuremile</x:v>
      </x:c>
      <x:c r="C1361" s="12" t="str">
        <x:v>CORP-0027</x:v>
      </x:c>
      <x:c r="D1361" s="12" t="str">
        <x:v>Bengaluru</x:v>
      </x:c>
      <x:c r="E1361" s="12" t="str">
        <x:v>Bhive Workspace - Koramangala 5TH Block</x:v>
      </x:c>
      <x:c r="F1361" s="12" t="str">
        <x:v>32 inch LED TV</x:v>
      </x:c>
      <x:c r="G1361" s="20" t="n">
        <x:v>2</x:v>
      </x:c>
      <x:c r="H1361" s="12" t="str">
        <x:v>Inventory-listed building/workspace context; current occupancy and screen access unverified</x:v>
      </x:c>
      <x:c r="I1361" s="12" t="str">
        <x:v>Medium-scale prospects</x:v>
      </x:c>
      <x:c r="J1361" s="12" t="str">
        <x:v>Finance &amp; insurance</x:v>
      </x:c>
      <x:c r="K1361" s="2" t="str">
        <x:v>MAIN-031</x:v>
      </x:c>
    </x:row>
    <x:row r="1362" ht="46" customHeight="1">
      <x:c r="A1362" s="2" t="str">
        <x:v>TEN-4CC77A869D12</x:v>
      </x:c>
      <x:c r="B1362" s="12" t="str">
        <x:v>Kloude Code Technologies Pvt.Ltd</x:v>
      </x:c>
      <x:c r="C1362" s="12" t="str">
        <x:v>CORP-0027</x:v>
      </x:c>
      <x:c r="D1362" s="12" t="str">
        <x:v>Bengaluru</x:v>
      </x:c>
      <x:c r="E1362" s="12" t="str">
        <x:v>Bhive Workspace - Koramangala 5TH Block</x:v>
      </x:c>
      <x:c r="F1362" s="12" t="str">
        <x:v>32 inch LED TV</x:v>
      </x:c>
      <x:c r="G1362" s="20" t="n">
        <x:v>2</x:v>
      </x:c>
      <x:c r="H1362" s="12" t="str">
        <x:v>Inventory-listed building/workspace context; current occupancy and screen access unverified</x:v>
      </x:c>
      <x:c r="I1362" s="12" t="str">
        <x:v>Mixed business audience</x:v>
      </x:c>
      <x:c r="J1362" s="12" t="str">
        <x:v>Unresolved</x:v>
      </x:c>
      <x:c r="K1362" s="2" t="str">
        <x:v>MAIN-031</x:v>
      </x:c>
    </x:row>
    <x:row r="1363" ht="46" customHeight="1">
      <x:c r="A1363" s="2" t="str">
        <x:v>TEN-8780B4FF8456</x:v>
      </x:c>
      <x:c r="B1363" s="12" t="str">
        <x:v>Catalyst Trusteeship Ltd</x:v>
      </x:c>
      <x:c r="C1363" s="12" t="str">
        <x:v>CORP-0027</x:v>
      </x:c>
      <x:c r="D1363" s="12" t="str">
        <x:v>Bengaluru</x:v>
      </x:c>
      <x:c r="E1363" s="12" t="str">
        <x:v>Bhive Workspace - Koramangala 5TH Block</x:v>
      </x:c>
      <x:c r="F1363" s="12" t="str">
        <x:v>32 inch LED TV</x:v>
      </x:c>
      <x:c r="G1363" s="20" t="n">
        <x:v>2</x:v>
      </x:c>
      <x:c r="H1363" s="12" t="str">
        <x:v>Inventory-listed building/workspace context; current occupancy and screen access unverified</x:v>
      </x:c>
      <x:c r="I1363" s="12" t="str">
        <x:v>Mixed business audience</x:v>
      </x:c>
      <x:c r="J1363" s="12" t="str">
        <x:v>Finance &amp; insurance</x:v>
      </x:c>
      <x:c r="K1363" s="2" t="str">
        <x:v>MAIN-031</x:v>
      </x:c>
    </x:row>
    <x:row r="1364" ht="46" customHeight="1">
      <x:c r="A1364" s="2" t="str">
        <x:v>TEN-91B387646AE7</x:v>
      </x:c>
      <x:c r="B1364" s="12" t="str">
        <x:v>Tyreplex Technologies Pvt.Ltd</x:v>
      </x:c>
      <x:c r="C1364" s="12" t="str">
        <x:v>CORP-0027</x:v>
      </x:c>
      <x:c r="D1364" s="12" t="str">
        <x:v>Bengaluru</x:v>
      </x:c>
      <x:c r="E1364" s="12" t="str">
        <x:v>Bhive Workspace - Koramangala 5TH Block</x:v>
      </x:c>
      <x:c r="F1364" s="12" t="str">
        <x:v>32 inch LED TV</x:v>
      </x:c>
      <x:c r="G1364" s="20" t="n">
        <x:v>2</x:v>
      </x:c>
      <x:c r="H1364" s="12" t="str">
        <x:v>Inventory-listed building/workspace context; current occupancy and screen access unverified</x:v>
      </x:c>
      <x:c r="I1364" s="12" t="str">
        <x:v>Small-scale prospects</x:v>
      </x:c>
      <x:c r="J1364" s="12" t="str">
        <x:v>Trade, consumer &amp; logistics</x:v>
      </x:c>
      <x:c r="K1364" s="2" t="str">
        <x:v>MAIN-031</x:v>
      </x:c>
    </x:row>
    <x:row r="1365" ht="46" customHeight="1">
      <x:c r="A1365" s="2" t="str">
        <x:v>TEN-9C17595C000B</x:v>
      </x:c>
      <x:c r="B1365" s="12" t="str">
        <x:v>Secure Connection Pvt.Ltd</x:v>
      </x:c>
      <x:c r="C1365" s="12" t="str">
        <x:v>CORP-0027</x:v>
      </x:c>
      <x:c r="D1365" s="12" t="str">
        <x:v>Bengaluru</x:v>
      </x:c>
      <x:c r="E1365" s="12" t="str">
        <x:v>Bhive Workspace - Koramangala 5TH Block</x:v>
      </x:c>
      <x:c r="F1365" s="12" t="str">
        <x:v>32 inch LED TV</x:v>
      </x:c>
      <x:c r="G1365" s="20" t="n">
        <x:v>2</x:v>
      </x:c>
      <x:c r="H1365" s="12" t="str">
        <x:v>Inventory-listed building/workspace context; current occupancy and screen access unverified</x:v>
      </x:c>
      <x:c r="I1365" s="12" t="str">
        <x:v>Mixed business audience</x:v>
      </x:c>
      <x:c r="J1365" s="12" t="str">
        <x:v>Unresolved</x:v>
      </x:c>
      <x:c r="K1365" s="2" t="str">
        <x:v>MAIN-031</x:v>
      </x:c>
    </x:row>
    <x:row r="1366" ht="46" customHeight="1">
      <x:c r="A1366" s="2" t="str">
        <x:v>TEN-AE331F7CF136</x:v>
      </x:c>
      <x:c r="B1366" s="12" t="str">
        <x:v>Digirovers Solutions</x:v>
      </x:c>
      <x:c r="C1366" s="12" t="str">
        <x:v>CORP-0027</x:v>
      </x:c>
      <x:c r="D1366" s="12" t="str">
        <x:v>Bengaluru</x:v>
      </x:c>
      <x:c r="E1366" s="12" t="str">
        <x:v>Bhive Workspace - Koramangala 5TH Block</x:v>
      </x:c>
      <x:c r="F1366" s="12" t="str">
        <x:v>32 inch LED TV</x:v>
      </x:c>
      <x:c r="G1366" s="20" t="n">
        <x:v>2</x:v>
      </x:c>
      <x:c r="H1366" s="12" t="str">
        <x:v>Inventory-listed building/workspace context; current occupancy and screen access unverified</x:v>
      </x:c>
      <x:c r="I1366" s="12" t="str">
        <x:v>Mixed business audience</x:v>
      </x:c>
      <x:c r="J1366" s="12" t="str">
        <x:v>Unresolved</x:v>
      </x:c>
      <x:c r="K1366" s="2" t="str">
        <x:v>MAIN-031</x:v>
      </x:c>
    </x:row>
    <x:row r="1367" ht="46" customHeight="1">
      <x:c r="A1367" s="2" t="str">
        <x:v>TEN-BDCF2FEA9EB0</x:v>
      </x:c>
      <x:c r="B1367" s="12" t="str">
        <x:v>Teachmile</x:v>
      </x:c>
      <x:c r="C1367" s="12" t="str">
        <x:v>CORP-0027</x:v>
      </x:c>
      <x:c r="D1367" s="12" t="str">
        <x:v>Bengaluru</x:v>
      </x:c>
      <x:c r="E1367" s="12" t="str">
        <x:v>Bhive Workspace - Koramangala 5TH Block</x:v>
      </x:c>
      <x:c r="F1367" s="12" t="str">
        <x:v>32 inch LED TV</x:v>
      </x:c>
      <x:c r="G1367" s="20" t="n">
        <x:v>2</x:v>
      </x:c>
      <x:c r="H1367" s="12" t="str">
        <x:v>Inventory-listed building/workspace context; current occupancy and screen access unverified</x:v>
      </x:c>
      <x:c r="I1367" s="12" t="str">
        <x:v>Small-scale prospects</x:v>
      </x:c>
      <x:c r="J1367" s="12" t="str">
        <x:v>Education</x:v>
      </x:c>
      <x:c r="K1367" s="2" t="str">
        <x:v>MAIN-031</x:v>
      </x:c>
    </x:row>
    <x:row r="1368" ht="46" customHeight="1">
      <x:c r="A1368" s="2" t="str">
        <x:v>TEN-DE8400B24025</x:v>
      </x:c>
      <x:c r="B1368" s="12" t="str">
        <x:v>Bharathi &amp; Associations Asset Building Pvt.Ltd</x:v>
      </x:c>
      <x:c r="C1368" s="12" t="str">
        <x:v>CORP-0027</x:v>
      </x:c>
      <x:c r="D1368" s="12" t="str">
        <x:v>Bengaluru</x:v>
      </x:c>
      <x:c r="E1368" s="12" t="str">
        <x:v>Bhive Workspace - Koramangala 5TH Block</x:v>
      </x:c>
      <x:c r="F1368" s="12" t="str">
        <x:v>32 inch LED TV</x:v>
      </x:c>
      <x:c r="G1368" s="20" t="n">
        <x:v>2</x:v>
      </x:c>
      <x:c r="H1368" s="12" t="str">
        <x:v>Inventory-listed building/workspace context; current occupancy and screen access unverified</x:v>
      </x:c>
      <x:c r="I1368" s="12" t="str">
        <x:v>Mixed business audience</x:v>
      </x:c>
      <x:c r="J1368" s="12" t="str">
        <x:v>Unresolved</x:v>
      </x:c>
      <x:c r="K1368" s="2" t="str">
        <x:v>MAIN-031</x:v>
      </x:c>
    </x:row>
    <x:row r="1369" ht="46" customHeight="1">
      <x:c r="A1369" s="2" t="str">
        <x:v>TEN-EF524E426F94</x:v>
      </x:c>
      <x:c r="B1369" s="12" t="str">
        <x:v>Quiqup Innovation Pvt.Ltd</x:v>
      </x:c>
      <x:c r="C1369" s="12" t="str">
        <x:v>CORP-0027</x:v>
      </x:c>
      <x:c r="D1369" s="12" t="str">
        <x:v>Bengaluru</x:v>
      </x:c>
      <x:c r="E1369" s="12" t="str">
        <x:v>Bhive Workspace - Koramangala 5TH Block</x:v>
      </x:c>
      <x:c r="F1369" s="12" t="str">
        <x:v>32 inch LED TV</x:v>
      </x:c>
      <x:c r="G1369" s="20" t="n">
        <x:v>2</x:v>
      </x:c>
      <x:c r="H1369" s="12" t="str">
        <x:v>Inventory-listed building/workspace context; current occupancy and screen access unverified</x:v>
      </x:c>
      <x:c r="I1369" s="12" t="str">
        <x:v>Medium-scale prospects</x:v>
      </x:c>
      <x:c r="J1369" s="12" t="str">
        <x:v>Trade, consumer &amp; logistics</x:v>
      </x:c>
      <x:c r="K1369" s="2" t="str">
        <x:v>MAIN-031</x:v>
      </x:c>
    </x:row>
    <x:row r="1370" ht="46" customHeight="1">
      <x:c r="A1370" s="2" t="str">
        <x:v>TEN-58DF597940A3</x:v>
      </x:c>
      <x:c r="B1370" s="12" t="str">
        <x:v>Expert Sources Global Services Pvt Ltd</x:v>
      </x:c>
      <x:c r="C1370" s="12" t="str">
        <x:v>CORP-0308</x:v>
      </x:c>
      <x:c r="D1370" s="12" t="str">
        <x:v>Mumbai</x:v>
      </x:c>
      <x:c r="E1370" s="12" t="str">
        <x:v>Deekay Tech Park</x:v>
      </x:c>
      <x:c r="F1370" s="12" t="str">
        <x:v>32 inch LED TV</x:v>
      </x:c>
      <x:c r="G1370" s="20" t="n">
        <x:v>6</x:v>
      </x:c>
      <x:c r="H1370" s="12" t="str">
        <x:v>Inventory-listed building/workspace context; current occupancy and screen access unverified</x:v>
      </x:c>
      <x:c r="I1370" s="12" t="str">
        <x:v>Mixed business audience</x:v>
      </x:c>
      <x:c r="J1370" s="12" t="str">
        <x:v>Unresolved</x:v>
      </x:c>
      <x:c r="K1370" s="2" t="str">
        <x:v>MAIN-312</x:v>
      </x:c>
    </x:row>
    <x:row r="1371" ht="46" customHeight="1">
      <x:c r="A1371" s="2" t="str">
        <x:v>TEN-E323D2D2ED43</x:v>
      </x:c>
      <x:c r="B1371" s="12" t="str">
        <x:v>Nikarams technologies</x:v>
      </x:c>
      <x:c r="C1371" s="12" t="str">
        <x:v>CORP-0308</x:v>
      </x:c>
      <x:c r="D1371" s="12" t="str">
        <x:v>Mumbai</x:v>
      </x:c>
      <x:c r="E1371" s="12" t="str">
        <x:v>Deekay Tech Park</x:v>
      </x:c>
      <x:c r="F1371" s="12" t="str">
        <x:v>32 inch LED TV</x:v>
      </x:c>
      <x:c r="G1371" s="20" t="n">
        <x:v>6</x:v>
      </x:c>
      <x:c r="H1371" s="12" t="str">
        <x:v>Inventory-listed building/workspace context; current occupancy and screen access unverified</x:v>
      </x:c>
      <x:c r="I1371" s="12" t="str">
        <x:v>Mixed business audience</x:v>
      </x:c>
      <x:c r="J1371" s="12" t="str">
        <x:v>Unresolved</x:v>
      </x:c>
      <x:c r="K1371" s="2" t="str">
        <x:v>MAIN-312</x:v>
      </x:c>
    </x:row>
    <x:row r="1372" ht="46" customHeight="1">
      <x:c r="A1372" s="2" t="str">
        <x:v>TEN-17C1A739EC36</x:v>
      </x:c>
      <x:c r="B1372" s="12" t="str">
        <x:v>New Rampgreen Technologies Pvt. Ltd</x:v>
      </x:c>
      <x:c r="C1372" s="12" t="str">
        <x:v>CORP-0309</x:v>
      </x:c>
      <x:c r="D1372" s="12" t="str">
        <x:v>Mumbai</x:v>
      </x:c>
      <x:c r="E1372" s="12" t="str">
        <x:v>Everest Nirwana</x:v>
      </x:c>
      <x:c r="F1372" s="12" t="str">
        <x:v>32 inch LED TV</x:v>
      </x:c>
      <x:c r="G1372" s="20" t="n">
        <x:v>21</x:v>
      </x:c>
      <x:c r="H1372" s="12" t="str">
        <x:v>Inventory-listed building/workspace context; current occupancy and screen access unverified</x:v>
      </x:c>
      <x:c r="I1372" s="12" t="str">
        <x:v>Small-scale prospects</x:v>
      </x:c>
      <x:c r="J1372" s="12" t="str">
        <x:v>IT &amp; digital</x:v>
      </x:c>
      <x:c r="K1372" s="2" t="str">
        <x:v>MAIN-313</x:v>
      </x:c>
    </x:row>
    <x:row r="1373" ht="46" customHeight="1">
      <x:c r="A1373" s="2" t="str">
        <x:v>TEN-2EF84D923835</x:v>
      </x:c>
      <x:c r="B1373" s="12" t="str">
        <x:v>Sage Software Solutions Pvt Ltd</x:v>
      </x:c>
      <x:c r="C1373" s="12" t="str">
        <x:v>CORP-0309</x:v>
      </x:c>
      <x:c r="D1373" s="12" t="str">
        <x:v>Mumbai</x:v>
      </x:c>
      <x:c r="E1373" s="12" t="str">
        <x:v>Everest Nirwana</x:v>
      </x:c>
      <x:c r="F1373" s="12" t="str">
        <x:v>32 inch LED TV</x:v>
      </x:c>
      <x:c r="G1373" s="20" t="n">
        <x:v>21</x:v>
      </x:c>
      <x:c r="H1373" s="12" t="str">
        <x:v>Inventory-listed building/workspace context; current occupancy and screen access unverified</x:v>
      </x:c>
      <x:c r="I1373" s="12" t="str">
        <x:v>Mixed business audience</x:v>
      </x:c>
      <x:c r="J1373" s="12" t="str">
        <x:v>IT &amp; digital</x:v>
      </x:c>
      <x:c r="K1373" s="2" t="str">
        <x:v>MAIN-313</x:v>
      </x:c>
    </x:row>
    <x:row r="1374" ht="46" customHeight="1">
      <x:c r="A1374" s="2" t="str">
        <x:v>TEN-62CD49329E56</x:v>
      </x:c>
      <x:c r="B1374" s="12" t="str">
        <x:v>Inogic</x:v>
      </x:c>
      <x:c r="C1374" s="12" t="str">
        <x:v>CORP-0309</x:v>
      </x:c>
      <x:c r="D1374" s="12" t="str">
        <x:v>Mumbai</x:v>
      </x:c>
      <x:c r="E1374" s="12" t="str">
        <x:v>Everest Nirwana</x:v>
      </x:c>
      <x:c r="F1374" s="12" t="str">
        <x:v>32 inch LED TV</x:v>
      </x:c>
      <x:c r="G1374" s="20" t="n">
        <x:v>21</x:v>
      </x:c>
      <x:c r="H1374" s="12" t="str">
        <x:v>Inventory-listed building/workspace context; current occupancy and screen access unverified</x:v>
      </x:c>
      <x:c r="I1374" s="12" t="str">
        <x:v>Small-scale prospects</x:v>
      </x:c>
      <x:c r="J1374" s="12" t="str">
        <x:v>IT &amp; digital</x:v>
      </x:c>
      <x:c r="K1374" s="2" t="str">
        <x:v>MAIN-313</x:v>
      </x:c>
    </x:row>
    <x:row r="1375" ht="46" customHeight="1">
      <x:c r="A1375" s="2" t="str">
        <x:v>TEN-6A758510FE04</x:v>
      </x:c>
      <x:c r="B1375" s="12" t="str">
        <x:v>VFORM TECHNOPACK PRIVATE LIMITED</x:v>
      </x:c>
      <x:c r="C1375" s="12" t="str">
        <x:v>CORP-0309</x:v>
      </x:c>
      <x:c r="D1375" s="12" t="str">
        <x:v>Mumbai</x:v>
      </x:c>
      <x:c r="E1375" s="12" t="str">
        <x:v>Everest Nirwana</x:v>
      </x:c>
      <x:c r="F1375" s="12" t="str">
        <x:v>32 inch LED TV</x:v>
      </x:c>
      <x:c r="G1375" s="20" t="n">
        <x:v>21</x:v>
      </x:c>
      <x:c r="H1375" s="12" t="str">
        <x:v>Inventory-listed building/workspace context; current occupancy and screen access unverified</x:v>
      </x:c>
      <x:c r="I1375" s="12" t="str">
        <x:v>Medium-scale prospects</x:v>
      </x:c>
      <x:c r="J1375" s="12" t="str">
        <x:v>Engineering &amp; manufacturing</x:v>
      </x:c>
      <x:c r="K1375" s="2" t="str">
        <x:v>MAIN-313</x:v>
      </x:c>
    </x:row>
    <x:row r="1376" ht="46" customHeight="1">
      <x:c r="A1376" s="2" t="str">
        <x:v>TEN-7A6085BE2ECB</x:v>
      </x:c>
      <x:c r="B1376" s="12" t="str">
        <x:v>Pocket HRMS</x:v>
      </x:c>
      <x:c r="C1376" s="12" t="str">
        <x:v>CORP-0309</x:v>
      </x:c>
      <x:c r="D1376" s="12" t="str">
        <x:v>Mumbai</x:v>
      </x:c>
      <x:c r="E1376" s="12" t="str">
        <x:v>Everest Nirwana</x:v>
      </x:c>
      <x:c r="F1376" s="12" t="str">
        <x:v>32 inch LED TV</x:v>
      </x:c>
      <x:c r="G1376" s="20" t="n">
        <x:v>21</x:v>
      </x:c>
      <x:c r="H1376" s="12" t="str">
        <x:v>Inventory-listed building/workspace context; current occupancy and screen access unverified</x:v>
      </x:c>
      <x:c r="I1376" s="12" t="str">
        <x:v>Small-scale prospects</x:v>
      </x:c>
      <x:c r="J1376" s="12" t="str">
        <x:v>IT &amp; digital</x:v>
      </x:c>
      <x:c r="K1376" s="2" t="str">
        <x:v>MAIN-313</x:v>
      </x:c>
    </x:row>
    <x:row r="1377" ht="46" customHeight="1">
      <x:c r="A1377" s="2" t="str">
        <x:v>TEN-7F1BE9AADC7F</x:v>
      </x:c>
      <x:c r="B1377" s="12" t="str">
        <x:v>7c cafe</x:v>
      </x:c>
      <x:c r="C1377" s="12" t="str">
        <x:v>CORP-0309</x:v>
      </x:c>
      <x:c r="D1377" s="12" t="str">
        <x:v>Mumbai</x:v>
      </x:c>
      <x:c r="E1377" s="12" t="str">
        <x:v>Everest Nirwana</x:v>
      </x:c>
      <x:c r="F1377" s="12" t="str">
        <x:v>32 inch LED TV</x:v>
      </x:c>
      <x:c r="G1377" s="20" t="n">
        <x:v>21</x:v>
      </x:c>
      <x:c r="H1377" s="12" t="str">
        <x:v>Inventory-listed building/workspace context; current occupancy and screen access unverified</x:v>
      </x:c>
      <x:c r="I1377" s="12" t="str">
        <x:v>Micro-scale prospects</x:v>
      </x:c>
      <x:c r="J1377" s="12" t="str">
        <x:v>Trade, consumer &amp; logistics</x:v>
      </x:c>
      <x:c r="K1377" s="2" t="str">
        <x:v>MAIN-313</x:v>
      </x:c>
    </x:row>
    <x:row r="1378" ht="46" customHeight="1">
      <x:c r="A1378" s="2" t="str">
        <x:v>TEN-839D47983478</x:v>
      </x:c>
      <x:c r="B1378" s="12" t="str">
        <x:v>Zebra on wheels</x:v>
      </x:c>
      <x:c r="C1378" s="12" t="str">
        <x:v>CORP-0309</x:v>
      </x:c>
      <x:c r="D1378" s="12" t="str">
        <x:v>Mumbai</x:v>
      </x:c>
      <x:c r="E1378" s="12" t="str">
        <x:v>Everest Nirwana</x:v>
      </x:c>
      <x:c r="F1378" s="12" t="str">
        <x:v>32 inch LED TV</x:v>
      </x:c>
      <x:c r="G1378" s="20" t="n">
        <x:v>21</x:v>
      </x:c>
      <x:c r="H1378" s="12" t="str">
        <x:v>Inventory-listed building/workspace context; current occupancy and screen access unverified</x:v>
      </x:c>
      <x:c r="I1378" s="12" t="str">
        <x:v>Mixed business audience</x:v>
      </x:c>
      <x:c r="J1378" s="12" t="str">
        <x:v>Unresolved</x:v>
      </x:c>
      <x:c r="K1378" s="2" t="str">
        <x:v>MAIN-313</x:v>
      </x:c>
    </x:row>
    <x:row r="1379" ht="46" customHeight="1">
      <x:c r="A1379" s="2" t="str">
        <x:v>TEN-AFC9E379D2B5</x:v>
      </x:c>
      <x:c r="B1379" s="12" t="str">
        <x:v>Digicell</x:v>
      </x:c>
      <x:c r="C1379" s="12" t="str">
        <x:v>CORP-0309</x:v>
      </x:c>
      <x:c r="D1379" s="12" t="str">
        <x:v>Mumbai</x:v>
      </x:c>
      <x:c r="E1379" s="12" t="str">
        <x:v>Everest Nirwana</x:v>
      </x:c>
      <x:c r="F1379" s="12" t="str">
        <x:v>32 inch LED TV</x:v>
      </x:c>
      <x:c r="G1379" s="20" t="n">
        <x:v>21</x:v>
      </x:c>
      <x:c r="H1379" s="12" t="str">
        <x:v>Inventory-listed building/workspace context; current occupancy and screen access unverified</x:v>
      </x:c>
      <x:c r="I1379" s="12" t="str">
        <x:v>Mixed business audience</x:v>
      </x:c>
      <x:c r="J1379" s="12" t="str">
        <x:v>Unresolved</x:v>
      </x:c>
      <x:c r="K1379" s="2" t="str">
        <x:v>MAIN-313</x:v>
      </x:c>
    </x:row>
    <x:row r="1380" ht="46" customHeight="1">
      <x:c r="A1380" s="2" t="str">
        <x:v>TEN-C0F32A457876</x:v>
      </x:c>
      <x:c r="B1380" s="12" t="str">
        <x:v>Greytix</x:v>
      </x:c>
      <x:c r="C1380" s="12" t="str">
        <x:v>CORP-0309</x:v>
      </x:c>
      <x:c r="D1380" s="12" t="str">
        <x:v>Mumbai</x:v>
      </x:c>
      <x:c r="E1380" s="12" t="str">
        <x:v>Everest Nirwana</x:v>
      </x:c>
      <x:c r="F1380" s="12" t="str">
        <x:v>32 inch LED TV</x:v>
      </x:c>
      <x:c r="G1380" s="20" t="n">
        <x:v>21</x:v>
      </x:c>
      <x:c r="H1380" s="12" t="str">
        <x:v>Inventory-listed building/workspace context; current occupancy and screen access unverified</x:v>
      </x:c>
      <x:c r="I1380" s="12" t="str">
        <x:v>Mixed business audience</x:v>
      </x:c>
      <x:c r="J1380" s="12" t="str">
        <x:v>Unresolved</x:v>
      </x:c>
      <x:c r="K1380" s="2" t="str">
        <x:v>MAIN-313</x:v>
      </x:c>
    </x:row>
    <x:row r="1381" ht="46" customHeight="1">
      <x:c r="A1381" s="2" t="str">
        <x:v>TEN-E8742C488447</x:v>
      </x:c>
      <x:c r="B1381" s="12" t="str">
        <x:v>Charcoal Eats</x:v>
      </x:c>
      <x:c r="C1381" s="12" t="str">
        <x:v>CORP-0309</x:v>
      </x:c>
      <x:c r="D1381" s="12" t="str">
        <x:v>Mumbai</x:v>
      </x:c>
      <x:c r="E1381" s="12" t="str">
        <x:v>Everest Nirwana</x:v>
      </x:c>
      <x:c r="F1381" s="12" t="str">
        <x:v>32 inch LED TV</x:v>
      </x:c>
      <x:c r="G1381" s="20" t="n">
        <x:v>21</x:v>
      </x:c>
      <x:c r="H1381" s="12" t="str">
        <x:v>Inventory-listed building/workspace context; current occupancy and screen access unverified</x:v>
      </x:c>
      <x:c r="I1381" s="12" t="str">
        <x:v>Small-scale prospects</x:v>
      </x:c>
      <x:c r="J1381" s="12" t="str">
        <x:v>Trade, consumer &amp; logistics</x:v>
      </x:c>
      <x:c r="K1381" s="2" t="str">
        <x:v>MAIN-313</x:v>
      </x:c>
    </x:row>
    <x:row r="1382" ht="46" customHeight="1">
      <x:c r="A1382" s="2" t="str">
        <x:v>TEN-008C592B5A21</x:v>
      </x:c>
      <x:c r="B1382" s="12" t="str">
        <x:v>Universal NutriScience Pvt Ltd</x:v>
      </x:c>
      <x:c r="C1382" s="12" t="str">
        <x:v>CORP-0312</x:v>
      </x:c>
      <x:c r="D1382" s="12" t="str">
        <x:v>Mumbai</x:v>
      </x:c>
      <x:c r="E1382" s="12" t="str">
        <x:v>Fleet House Global Park</x:v>
      </x:c>
      <x:c r="F1382" s="12" t="str">
        <x:v>43 inch LED TV</x:v>
      </x:c>
      <x:c r="G1382" s="20" t="n">
        <x:v>2</x:v>
      </x:c>
      <x:c r="H1382" s="12" t="str">
        <x:v>Inventory-listed building/workspace context; current occupancy and screen access unverified</x:v>
      </x:c>
      <x:c r="I1382" s="12" t="str">
        <x:v>Medium-scale prospects</x:v>
      </x:c>
      <x:c r="J1382" s="12" t="str">
        <x:v>Healthcare &amp; life sciences</x:v>
      </x:c>
      <x:c r="K1382" s="2" t="str">
        <x:v>MAIN-316</x:v>
      </x:c>
    </x:row>
    <x:row r="1383" ht="46" customHeight="1">
      <x:c r="A1383" s="2" t="str">
        <x:v>TEN-50F0697A25EA</x:v>
      </x:c>
      <x:c r="B1383" s="12" t="str">
        <x:v>Fortrea</x:v>
      </x:c>
      <x:c r="C1383" s="12" t="str">
        <x:v>CORP-0312</x:v>
      </x:c>
      <x:c r="D1383" s="12" t="str">
        <x:v>Mumbai</x:v>
      </x:c>
      <x:c r="E1383" s="12" t="str">
        <x:v>Fleet House Global Park</x:v>
      </x:c>
      <x:c r="F1383" s="12" t="str">
        <x:v>43 inch LED TV</x:v>
      </x:c>
      <x:c r="G1383" s="20" t="n">
        <x:v>2</x:v>
      </x:c>
      <x:c r="H1383" s="12" t="str">
        <x:v>Inventory-listed building/workspace context; current occupancy and screen access unverified</x:v>
      </x:c>
      <x:c r="I1383" s="12" t="str">
        <x:v>Mixed business audience</x:v>
      </x:c>
      <x:c r="J1383" s="12" t="str">
        <x:v>Healthcare &amp; life sciences</x:v>
      </x:c>
      <x:c r="K1383" s="2" t="str">
        <x:v>MAIN-316</x:v>
      </x:c>
    </x:row>
    <x:row r="1384" ht="46" customHeight="1">
      <x:c r="A1384" s="2" t="str">
        <x:v>TEN-6B2B539857F5</x:v>
      </x:c>
      <x:c r="B1384" s="12" t="str">
        <x:v>Ethika Insurance Broking Pvt. Ltd</x:v>
      </x:c>
      <x:c r="C1384" s="12" t="str">
        <x:v>CORP-0312</x:v>
      </x:c>
      <x:c r="D1384" s="12" t="str">
        <x:v>Mumbai</x:v>
      </x:c>
      <x:c r="E1384" s="12" t="str">
        <x:v>Fleet House Global Park</x:v>
      </x:c>
      <x:c r="F1384" s="12" t="str">
        <x:v>43 inch LED TV</x:v>
      </x:c>
      <x:c r="G1384" s="20" t="n">
        <x:v>2</x:v>
      </x:c>
      <x:c r="H1384" s="12" t="str">
        <x:v>Inventory-listed building/workspace context; current occupancy and screen access unverified</x:v>
      </x:c>
      <x:c r="I1384" s="12" t="str">
        <x:v>Small-scale prospects</x:v>
      </x:c>
      <x:c r="J1384" s="12" t="str">
        <x:v>Finance &amp; insurance</x:v>
      </x:c>
      <x:c r="K1384" s="2" t="str">
        <x:v>MAIN-316</x:v>
      </x:c>
    </x:row>
    <x:row r="1385" ht="46" customHeight="1">
      <x:c r="A1385" s="2" t="str">
        <x:v>TEN-BCA1134C91EB</x:v>
      </x:c>
      <x:c r="B1385" s="12" t="str">
        <x:v>Texport Syndicate Private Limited</x:v>
      </x:c>
      <x:c r="C1385" s="12" t="str">
        <x:v>CORP-0312</x:v>
      </x:c>
      <x:c r="D1385" s="12" t="str">
        <x:v>Mumbai</x:v>
      </x:c>
      <x:c r="E1385" s="12" t="str">
        <x:v>Fleet House Global Park</x:v>
      </x:c>
      <x:c r="F1385" s="12" t="str">
        <x:v>43 inch LED TV</x:v>
      </x:c>
      <x:c r="G1385" s="20" t="n">
        <x:v>2</x:v>
      </x:c>
      <x:c r="H1385" s="12" t="str">
        <x:v>Inventory-listed building/workspace context; current occupancy and screen access unverified</x:v>
      </x:c>
      <x:c r="I1385" s="12" t="str">
        <x:v>Medium-scale prospects</x:v>
      </x:c>
      <x:c r="J1385" s="12" t="str">
        <x:v>Engineering &amp; manufacturing</x:v>
      </x:c>
      <x:c r="K1385" s="2" t="str">
        <x:v>MAIN-316</x:v>
      </x:c>
    </x:row>
    <x:row r="1386" ht="46" customHeight="1">
      <x:c r="A1386" s="2" t="str">
        <x:v>TEN-01CDE5809600</x:v>
      </x:c>
      <x:c r="B1386" s="12" t="str">
        <x:v>Sapio Analytics</x:v>
      </x:c>
      <x:c r="C1386" s="12" t="str">
        <x:v>CORP-0314</x:v>
      </x:c>
      <x:c r="D1386" s="12" t="str">
        <x:v>Mumbai</x:v>
      </x:c>
      <x:c r="E1386" s="12" t="str">
        <x:v>Kaledonia (Redbrick Offices)</x:v>
      </x:c>
      <x:c r="F1386" s="12" t="str">
        <x:v>32 inch LED TV</x:v>
      </x:c>
      <x:c r="G1386" s="20" t="n">
        <x:v>2</x:v>
      </x:c>
      <x:c r="H1386" s="12" t="str">
        <x:v>Inventory-listed building/workspace context; current occupancy and screen access unverified</x:v>
      </x:c>
      <x:c r="I1386" s="12" t="str">
        <x:v>Small-scale prospects</x:v>
      </x:c>
      <x:c r="J1386" s="12" t="str">
        <x:v>IT &amp; digital</x:v>
      </x:c>
      <x:c r="K1386" s="2" t="str">
        <x:v>MAIN-318</x:v>
      </x:c>
    </x:row>
    <x:row r="1387" ht="46" customHeight="1">
      <x:c r="A1387" s="2" t="str">
        <x:v>TEN-1A88E4F7C46C</x:v>
      </x:c>
      <x:c r="B1387" s="12" t="str">
        <x:v>WebAxis</x:v>
      </x:c>
      <x:c r="C1387" s="12" t="str">
        <x:v>CORP-0314</x:v>
      </x:c>
      <x:c r="D1387" s="12" t="str">
        <x:v>Mumbai</x:v>
      </x:c>
      <x:c r="E1387" s="12" t="str">
        <x:v>Kaledonia (Redbrick Offices)</x:v>
      </x:c>
      <x:c r="F1387" s="12" t="str">
        <x:v>32 inch LED TV</x:v>
      </x:c>
      <x:c r="G1387" s="20" t="n">
        <x:v>2</x:v>
      </x:c>
      <x:c r="H1387" s="12" t="str">
        <x:v>Inventory-listed building/workspace context; current occupancy and screen access unverified</x:v>
      </x:c>
      <x:c r="I1387" s="12" t="str">
        <x:v>Mixed business audience</x:v>
      </x:c>
      <x:c r="J1387" s="12" t="str">
        <x:v>Unresolved</x:v>
      </x:c>
      <x:c r="K1387" s="2" t="str">
        <x:v>MAIN-318</x:v>
      </x:c>
    </x:row>
    <x:row r="1388" ht="46" customHeight="1">
      <x:c r="A1388" s="2" t="str">
        <x:v>TEN-4EEBA7BCE105</x:v>
      </x:c>
      <x:c r="B1388" s="12" t="str">
        <x:v>Maharashtra Aviation Academy</x:v>
      </x:c>
      <x:c r="C1388" s="12" t="str">
        <x:v>CORP-0314</x:v>
      </x:c>
      <x:c r="D1388" s="12" t="str">
        <x:v>Mumbai</x:v>
      </x:c>
      <x:c r="E1388" s="12" t="str">
        <x:v>Kaledonia (Redbrick Offices)</x:v>
      </x:c>
      <x:c r="F1388" s="12" t="str">
        <x:v>32 inch LED TV</x:v>
      </x:c>
      <x:c r="G1388" s="20" t="n">
        <x:v>2</x:v>
      </x:c>
      <x:c r="H1388" s="12" t="str">
        <x:v>Inventory-listed building/workspace context; current occupancy and screen access unverified</x:v>
      </x:c>
      <x:c r="I1388" s="12" t="str">
        <x:v>Small-scale prospects</x:v>
      </x:c>
      <x:c r="J1388" s="12" t="str">
        <x:v>Education</x:v>
      </x:c>
      <x:c r="K1388" s="2" t="str">
        <x:v>MAIN-318</x:v>
      </x:c>
    </x:row>
    <x:row r="1389" ht="46" customHeight="1">
      <x:c r="A1389" s="2" t="str">
        <x:v>TEN-70BA232C2774</x:v>
      </x:c>
      <x:c r="B1389" s="12" t="str">
        <x:v>Corporatehunt</x:v>
      </x:c>
      <x:c r="C1389" s="12" t="str">
        <x:v>CORP-0314</x:v>
      </x:c>
      <x:c r="D1389" s="12" t="str">
        <x:v>Mumbai</x:v>
      </x:c>
      <x:c r="E1389" s="12" t="str">
        <x:v>Kaledonia (Redbrick Offices)</x:v>
      </x:c>
      <x:c r="F1389" s="12" t="str">
        <x:v>32 inch LED TV</x:v>
      </x:c>
      <x:c r="G1389" s="20" t="n">
        <x:v>2</x:v>
      </x:c>
      <x:c r="H1389" s="12" t="str">
        <x:v>Inventory-listed building/workspace context; current occupancy and screen access unverified</x:v>
      </x:c>
      <x:c r="I1389" s="12" t="str">
        <x:v>Small-scale prospects</x:v>
      </x:c>
      <x:c r="J1389" s="12" t="str">
        <x:v>Professional services</x:v>
      </x:c>
      <x:c r="K1389" s="2" t="str">
        <x:v>MAIN-318</x:v>
      </x:c>
    </x:row>
    <x:row r="1390" ht="46" customHeight="1">
      <x:c r="A1390" s="2" t="str">
        <x:v>TEN-8D05759FFE00</x:v>
      </x:c>
      <x:c r="B1390" s="12" t="str">
        <x:v>GoAir Training Centre Kaledonia</x:v>
      </x:c>
      <x:c r="C1390" s="12" t="str">
        <x:v>CORP-0314</x:v>
      </x:c>
      <x:c r="D1390" s="12" t="str">
        <x:v>Mumbai</x:v>
      </x:c>
      <x:c r="E1390" s="12" t="str">
        <x:v>Kaledonia (Redbrick Offices)</x:v>
      </x:c>
      <x:c r="F1390" s="12" t="str">
        <x:v>32 inch LED TV</x:v>
      </x:c>
      <x:c r="G1390" s="20" t="n">
        <x:v>2</x:v>
      </x:c>
      <x:c r="H1390" s="12" t="str">
        <x:v>Inventory-listed building/workspace context; current occupancy and screen access unverified</x:v>
      </x:c>
      <x:c r="I1390" s="12" t="str">
        <x:v>Mixed business audience</x:v>
      </x:c>
      <x:c r="J1390" s="12" t="str">
        <x:v>Trade, consumer &amp; logistics</x:v>
      </x:c>
      <x:c r="K1390" s="2" t="str">
        <x:v>MAIN-318</x:v>
      </x:c>
    </x:row>
    <x:row r="1391" ht="46" customHeight="1">
      <x:c r="A1391" s="2" t="str">
        <x:v>TEN-A678093949D3</x:v>
      </x:c>
      <x:c r="B1391" s="12" t="str">
        <x:v>Imarticus Learning Mumbai</x:v>
      </x:c>
      <x:c r="C1391" s="12" t="str">
        <x:v>CORP-0314</x:v>
      </x:c>
      <x:c r="D1391" s="12" t="str">
        <x:v>Mumbai</x:v>
      </x:c>
      <x:c r="E1391" s="12" t="str">
        <x:v>Kaledonia (Redbrick Offices)</x:v>
      </x:c>
      <x:c r="F1391" s="12" t="str">
        <x:v>32 inch LED TV</x:v>
      </x:c>
      <x:c r="G1391" s="20" t="n">
        <x:v>2</x:v>
      </x:c>
      <x:c r="H1391" s="12" t="str">
        <x:v>Inventory-listed building/workspace context; current occupancy and screen access unverified</x:v>
      </x:c>
      <x:c r="I1391" s="12" t="str">
        <x:v>Mixed business audience</x:v>
      </x:c>
      <x:c r="J1391" s="12" t="str">
        <x:v>Education</x:v>
      </x:c>
      <x:c r="K1391" s="2" t="str">
        <x:v>MAIN-318</x:v>
      </x:c>
    </x:row>
    <x:row r="1392" ht="46" customHeight="1">
      <x:c r="A1392" s="2" t="str">
        <x:v>TEN-BB53FE43D8A6</x:v>
      </x:c>
      <x:c r="B1392" s="12" t="str">
        <x:v>Brandmovers India</x:v>
      </x:c>
      <x:c r="C1392" s="12" t="str">
        <x:v>CORP-0314</x:v>
      </x:c>
      <x:c r="D1392" s="12" t="str">
        <x:v>Mumbai</x:v>
      </x:c>
      <x:c r="E1392" s="12" t="str">
        <x:v>Kaledonia (Redbrick Offices)</x:v>
      </x:c>
      <x:c r="F1392" s="12" t="str">
        <x:v>32 inch LED TV</x:v>
      </x:c>
      <x:c r="G1392" s="20" t="n">
        <x:v>2</x:v>
      </x:c>
      <x:c r="H1392" s="12" t="str">
        <x:v>Inventory-listed building/workspace context; current occupancy and screen access unverified</x:v>
      </x:c>
      <x:c r="I1392" s="12" t="str">
        <x:v>Small-scale prospects</x:v>
      </x:c>
      <x:c r="J1392" s="12" t="str">
        <x:v>Professional services</x:v>
      </x:c>
      <x:c r="K1392" s="2" t="str">
        <x:v>MAIN-318</x:v>
      </x:c>
    </x:row>
    <x:row r="1393" ht="46" customHeight="1">
      <x:c r="A1393" s="2" t="str">
        <x:v>TEN-E3DC8F201DEF</x:v>
      </x:c>
      <x:c r="B1393" s="12" t="str">
        <x:v>ARKA Fincap Ltd</x:v>
      </x:c>
      <x:c r="C1393" s="12" t="str">
        <x:v>CORP-0314</x:v>
      </x:c>
      <x:c r="D1393" s="12" t="str">
        <x:v>Mumbai</x:v>
      </x:c>
      <x:c r="E1393" s="12" t="str">
        <x:v>Kaledonia (Redbrick Offices)</x:v>
      </x:c>
      <x:c r="F1393" s="12" t="str">
        <x:v>32 inch LED TV</x:v>
      </x:c>
      <x:c r="G1393" s="20" t="n">
        <x:v>2</x:v>
      </x:c>
      <x:c r="H1393" s="12" t="str">
        <x:v>Inventory-listed building/workspace context; current occupancy and screen access unverified</x:v>
      </x:c>
      <x:c r="I1393" s="12" t="str">
        <x:v>Mixed business audience</x:v>
      </x:c>
      <x:c r="J1393" s="12" t="str">
        <x:v>Finance &amp; insurance</x:v>
      </x:c>
      <x:c r="K1393" s="2" t="str">
        <x:v>MAIN-318</x:v>
      </x:c>
    </x:row>
    <x:row r="1394" ht="46" customHeight="1">
      <x:c r="A1394" s="2" t="str">
        <x:v>TEN-13BC031717FC</x:v>
      </x:c>
      <x:c r="B1394" s="12" t="str">
        <x:v>Reliance Home Finance</x:v>
      </x:c>
      <x:c r="C1394" s="12" t="str">
        <x:v>CORP-0315</x:v>
      </x:c>
      <x:c r="D1394" s="12" t="str">
        <x:v>Mumbai</x:v>
      </x:c>
      <x:c r="E1394" s="12" t="str">
        <x:v>Kalpataru Prime (Redbrick Offices)</x:v>
      </x:c>
      <x:c r="F1394" s="12" t="str">
        <x:v>32 inch LED TV</x:v>
      </x:c>
      <x:c r="G1394" s="20" t="n">
        <x:v>1</x:v>
      </x:c>
      <x:c r="H1394" s="12" t="str">
        <x:v>Inventory-listed building/workspace context; current occupancy and screen access unverified</x:v>
      </x:c>
      <x:c r="I1394" s="12" t="str">
        <x:v>Mixed business audience</x:v>
      </x:c>
      <x:c r="J1394" s="12" t="str">
        <x:v>Finance &amp; insurance</x:v>
      </x:c>
      <x:c r="K1394" s="2" t="str">
        <x:v>MAIN-319</x:v>
      </x:c>
    </x:row>
    <x:row r="1395" ht="46" customHeight="1">
      <x:c r="A1395" s="2" t="str">
        <x:v>TEN-1EE00EFBFE12</x:v>
      </x:c>
      <x:c r="B1395" s="12" t="str">
        <x:v>Owens Asia Private Limited</x:v>
      </x:c>
      <x:c r="C1395" s="12" t="str">
        <x:v>CORP-0315</x:v>
      </x:c>
      <x:c r="D1395" s="12" t="str">
        <x:v>Mumbai</x:v>
      </x:c>
      <x:c r="E1395" s="12" t="str">
        <x:v>Kalpataru Prime (Redbrick Offices)</x:v>
      </x:c>
      <x:c r="F1395" s="12" t="str">
        <x:v>32 inch LED TV</x:v>
      </x:c>
      <x:c r="G1395" s="20" t="n">
        <x:v>1</x:v>
      </x:c>
      <x:c r="H1395" s="12" t="str">
        <x:v>Inventory-listed building/workspace context; current occupancy and screen access unverified</x:v>
      </x:c>
      <x:c r="I1395" s="12" t="str">
        <x:v>Mixed business audience</x:v>
      </x:c>
      <x:c r="J1395" s="12" t="str">
        <x:v>Unresolved</x:v>
      </x:c>
      <x:c r="K1395" s="2" t="str">
        <x:v>MAIN-319</x:v>
      </x:c>
    </x:row>
    <x:row r="1396" ht="46" customHeight="1">
      <x:c r="A1396" s="2" t="str">
        <x:v>TEN-4BB05FE0A3D5</x:v>
      </x:c>
      <x:c r="B1396" s="12" t="str">
        <x:v>Procentris India Private Limited</x:v>
      </x:c>
      <x:c r="C1396" s="12" t="str">
        <x:v>CORP-0315</x:v>
      </x:c>
      <x:c r="D1396" s="12" t="str">
        <x:v>Mumbai</x:v>
      </x:c>
      <x:c r="E1396" s="12" t="str">
        <x:v>Kalpataru Prime (Redbrick Offices)</x:v>
      </x:c>
      <x:c r="F1396" s="12" t="str">
        <x:v>32 inch LED TV</x:v>
      </x:c>
      <x:c r="G1396" s="20" t="n">
        <x:v>1</x:v>
      </x:c>
      <x:c r="H1396" s="12" t="str">
        <x:v>Inventory-listed building/workspace context; current occupancy and screen access unverified</x:v>
      </x:c>
      <x:c r="I1396" s="12" t="str">
        <x:v>Small-scale prospects</x:v>
      </x:c>
      <x:c r="J1396" s="12" t="str">
        <x:v>IT &amp; digital</x:v>
      </x:c>
      <x:c r="K1396" s="2" t="str">
        <x:v>MAIN-319</x:v>
      </x:c>
    </x:row>
    <x:row r="1397" ht="46" customHeight="1">
      <x:c r="A1397" s="2" t="str">
        <x:v>TEN-56026A5BCEFA</x:v>
      </x:c>
      <x:c r="B1397" s="12" t="str">
        <x:v>GDFS Wealth</x:v>
      </x:c>
      <x:c r="C1397" s="12" t="str">
        <x:v>CORP-0315</x:v>
      </x:c>
      <x:c r="D1397" s="12" t="str">
        <x:v>Mumbai</x:v>
      </x:c>
      <x:c r="E1397" s="12" t="str">
        <x:v>Kalpataru Prime (Redbrick Offices)</x:v>
      </x:c>
      <x:c r="F1397" s="12" t="str">
        <x:v>32 inch LED TV</x:v>
      </x:c>
      <x:c r="G1397" s="20" t="n">
        <x:v>1</x:v>
      </x:c>
      <x:c r="H1397" s="12" t="str">
        <x:v>Inventory-listed building/workspace context; current occupancy and screen access unverified</x:v>
      </x:c>
      <x:c r="I1397" s="12" t="str">
        <x:v>Medium-scale prospects</x:v>
      </x:c>
      <x:c r="J1397" s="12" t="str">
        <x:v>Finance &amp; insurance</x:v>
      </x:c>
      <x:c r="K1397" s="2" t="str">
        <x:v>MAIN-319</x:v>
      </x:c>
    </x:row>
    <x:row r="1398" ht="46" customHeight="1">
      <x:c r="A1398" s="2" t="str">
        <x:v>TEN-9181FE4A83A6</x:v>
      </x:c>
      <x:c r="B1398" s="12" t="str">
        <x:v>Financial Software &amp; Systems Pvt Ltd</x:v>
      </x:c>
      <x:c r="C1398" s="12" t="str">
        <x:v>CORP-0315</x:v>
      </x:c>
      <x:c r="D1398" s="12" t="str">
        <x:v>Mumbai</x:v>
      </x:c>
      <x:c r="E1398" s="12" t="str">
        <x:v>Kalpataru Prime (Redbrick Offices)</x:v>
      </x:c>
      <x:c r="F1398" s="12" t="str">
        <x:v>32 inch LED TV</x:v>
      </x:c>
      <x:c r="G1398" s="20" t="n">
        <x:v>1</x:v>
      </x:c>
      <x:c r="H1398" s="12" t="str">
        <x:v>Inventory-listed building/workspace context; current occupancy and screen access unverified</x:v>
      </x:c>
      <x:c r="I1398" s="12" t="str">
        <x:v>Mixed business audience</x:v>
      </x:c>
      <x:c r="J1398" s="12" t="str">
        <x:v>Finance &amp; insurance</x:v>
      </x:c>
      <x:c r="K1398" s="2" t="str">
        <x:v>MAIN-319</x:v>
      </x:c>
    </x:row>
    <x:row r="1399" ht="46" customHeight="1">
      <x:c r="A1399" s="2" t="str">
        <x:v>TEN-B14ECF80C8CB</x:v>
      </x:c>
      <x:c r="B1399" s="12" t="str">
        <x:v>Cogent</x:v>
      </x:c>
      <x:c r="C1399" s="12" t="str">
        <x:v>CORP-0315</x:v>
      </x:c>
      <x:c r="D1399" s="12" t="str">
        <x:v>Mumbai</x:v>
      </x:c>
      <x:c r="E1399" s="12" t="str">
        <x:v>Kalpataru Prime (Redbrick Offices)</x:v>
      </x:c>
      <x:c r="F1399" s="12" t="str">
        <x:v>32 inch LED TV</x:v>
      </x:c>
      <x:c r="G1399" s="20" t="n">
        <x:v>1</x:v>
      </x:c>
      <x:c r="H1399" s="12" t="str">
        <x:v>Inventory-listed building/workspace context; current occupancy and screen access unverified</x:v>
      </x:c>
      <x:c r="I1399" s="12" t="str">
        <x:v>Mixed business audience</x:v>
      </x:c>
      <x:c r="J1399" s="12" t="str">
        <x:v>Unresolved</x:v>
      </x:c>
      <x:c r="K1399" s="2" t="str">
        <x:v>MAIN-319</x:v>
      </x:c>
    </x:row>
    <x:row r="1400" ht="46" customHeight="1">
      <x:c r="A1400" s="2" t="str">
        <x:v>TEN-DEF227101D5D</x:v>
      </x:c>
      <x:c r="B1400" s="12" t="str">
        <x:v>Shree Laxmi Auto Mobile Engineering Works</x:v>
      </x:c>
      <x:c r="C1400" s="12" t="str">
        <x:v>CORP-0315</x:v>
      </x:c>
      <x:c r="D1400" s="12" t="str">
        <x:v>Mumbai</x:v>
      </x:c>
      <x:c r="E1400" s="12" t="str">
        <x:v>Kalpataru Prime (Redbrick Offices)</x:v>
      </x:c>
      <x:c r="F1400" s="12" t="str">
        <x:v>32 inch LED TV</x:v>
      </x:c>
      <x:c r="G1400" s="20" t="n">
        <x:v>1</x:v>
      </x:c>
      <x:c r="H1400" s="12" t="str">
        <x:v>Inventory-listed building/workspace context; current occupancy and screen access unverified</x:v>
      </x:c>
      <x:c r="I1400" s="12" t="str">
        <x:v>Medium-scale prospects</x:v>
      </x:c>
      <x:c r="J1400" s="12" t="str">
        <x:v>Engineering &amp; manufacturing</x:v>
      </x:c>
      <x:c r="K1400" s="2" t="str">
        <x:v>MAIN-319</x:v>
      </x:c>
    </x:row>
    <x:row r="1401" ht="46" customHeight="1">
      <x:c r="A1401" s="2" t="str">
        <x:v>TEN-05E5855E29EC</x:v>
      </x:c>
      <x:c r="B1401" s="12" t="str">
        <x:v>Winner Games and Technology Pvt.Ltd</x:v>
      </x:c>
      <x:c r="C1401" s="12" t="str">
        <x:v>CORP-0028</x:v>
      </x:c>
      <x:c r="D1401" s="12" t="str">
        <x:v>Bengaluru</x:v>
      </x:c>
      <x:c r="E1401" s="12" t="str">
        <x:v>Bhive Workspace - MG Road</x:v>
      </x:c>
      <x:c r="F1401" s="12" t="str">
        <x:v>32 inch LED TV</x:v>
      </x:c>
      <x:c r="G1401" s="20" t="n">
        <x:v>2</x:v>
      </x:c>
      <x:c r="H1401" s="12" t="str">
        <x:v>Inventory-listed building/workspace context; current occupancy and screen access unverified</x:v>
      </x:c>
      <x:c r="I1401" s="12" t="str">
        <x:v>Small-scale prospects</x:v>
      </x:c>
      <x:c r="J1401" s="12" t="str">
        <x:v>Trade, consumer &amp; logistics</x:v>
      </x:c>
      <x:c r="K1401" s="2" t="str">
        <x:v>MAIN-032</x:v>
      </x:c>
    </x:row>
    <x:row r="1402" ht="46" customHeight="1">
      <x:c r="A1402" s="2" t="str">
        <x:v>TEN-0B6A8948E21D</x:v>
      </x:c>
      <x:c r="B1402" s="12" t="str">
        <x:v>Fabulous Club Pvt.Ltd</x:v>
      </x:c>
      <x:c r="C1402" s="12" t="str">
        <x:v>CORP-0028</x:v>
      </x:c>
      <x:c r="D1402" s="12" t="str">
        <x:v>Bengaluru</x:v>
      </x:c>
      <x:c r="E1402" s="12" t="str">
        <x:v>Bhive Workspace - MG Road</x:v>
      </x:c>
      <x:c r="F1402" s="12" t="str">
        <x:v>32 inch LED TV</x:v>
      </x:c>
      <x:c r="G1402" s="20" t="n">
        <x:v>2</x:v>
      </x:c>
      <x:c r="H1402" s="12" t="str">
        <x:v>Inventory-listed building/workspace context; current occupancy and screen access unverified</x:v>
      </x:c>
      <x:c r="I1402" s="12" t="str">
        <x:v>Mixed business audience</x:v>
      </x:c>
      <x:c r="J1402" s="12" t="str">
        <x:v>Unresolved</x:v>
      </x:c>
      <x:c r="K1402" s="2" t="str">
        <x:v>MAIN-032</x:v>
      </x:c>
    </x:row>
    <x:row r="1403" ht="46" customHeight="1">
      <x:c r="A1403" s="2" t="str">
        <x:v>TEN-16CA3200A70E</x:v>
      </x:c>
      <x:c r="B1403" s="12" t="str">
        <x:v>Ensculp</x:v>
      </x:c>
      <x:c r="C1403" s="12" t="str">
        <x:v>CORP-0028</x:v>
      </x:c>
      <x:c r="D1403" s="12" t="str">
        <x:v>Bengaluru</x:v>
      </x:c>
      <x:c r="E1403" s="12" t="str">
        <x:v>Bhive Workspace - MG Road</x:v>
      </x:c>
      <x:c r="F1403" s="12" t="str">
        <x:v>32 inch LED TV</x:v>
      </x:c>
      <x:c r="G1403" s="20" t="n">
        <x:v>2</x:v>
      </x:c>
      <x:c r="H1403" s="12" t="str">
        <x:v>Inventory-listed building/workspace context; current occupancy and screen access unverified</x:v>
      </x:c>
      <x:c r="I1403" s="12" t="str">
        <x:v>Mixed business audience</x:v>
      </x:c>
      <x:c r="J1403" s="12" t="str">
        <x:v>Unresolved</x:v>
      </x:c>
      <x:c r="K1403" s="2" t="str">
        <x:v>MAIN-032</x:v>
      </x:c>
    </x:row>
    <x:row r="1404" ht="46" customHeight="1">
      <x:c r="A1404" s="2" t="str">
        <x:v>TEN-2F13FED7698A</x:v>
      </x:c>
      <x:c r="B1404" s="12" t="str">
        <x:v>NK Realtors</x:v>
      </x:c>
      <x:c r="C1404" s="12" t="str">
        <x:v>CORP-0028</x:v>
      </x:c>
      <x:c r="D1404" s="12" t="str">
        <x:v>Bengaluru</x:v>
      </x:c>
      <x:c r="E1404" s="12" t="str">
        <x:v>Bhive Workspace - MG Road</x:v>
      </x:c>
      <x:c r="F1404" s="12" t="str">
        <x:v>32 inch LED TV</x:v>
      </x:c>
      <x:c r="G1404" s="20" t="n">
        <x:v>2</x:v>
      </x:c>
      <x:c r="H1404" s="12" t="str">
        <x:v>Inventory-listed building/workspace context; current occupancy and screen access unverified</x:v>
      </x:c>
      <x:c r="I1404" s="12" t="str">
        <x:v>Small-scale prospects</x:v>
      </x:c>
      <x:c r="J1404" s="12" t="str">
        <x:v>Trade, consumer &amp; logistics</x:v>
      </x:c>
      <x:c r="K1404" s="2" t="str">
        <x:v>MAIN-032</x:v>
      </x:c>
    </x:row>
    <x:row r="1405" ht="46" customHeight="1">
      <x:c r="A1405" s="2" t="str">
        <x:v>TEN-389E9A21EACC</x:v>
      </x:c>
      <x:c r="B1405" s="12" t="str">
        <x:v>Optinn Solutions Pvt.Ltd</x:v>
      </x:c>
      <x:c r="C1405" s="12" t="str">
        <x:v>CORP-0028</x:v>
      </x:c>
      <x:c r="D1405" s="12" t="str">
        <x:v>Bengaluru</x:v>
      </x:c>
      <x:c r="E1405" s="12" t="str">
        <x:v>Bhive Workspace - MG Road</x:v>
      </x:c>
      <x:c r="F1405" s="12" t="str">
        <x:v>32 inch LED TV</x:v>
      </x:c>
      <x:c r="G1405" s="20" t="n">
        <x:v>2</x:v>
      </x:c>
      <x:c r="H1405" s="12" t="str">
        <x:v>Inventory-listed building/workspace context; current occupancy and screen access unverified</x:v>
      </x:c>
      <x:c r="I1405" s="12" t="str">
        <x:v>Mixed business audience</x:v>
      </x:c>
      <x:c r="J1405" s="12" t="str">
        <x:v>Unresolved</x:v>
      </x:c>
      <x:c r="K1405" s="2" t="str">
        <x:v>MAIN-032</x:v>
      </x:c>
    </x:row>
    <x:row r="1406" ht="46" customHeight="1">
      <x:c r="A1406" s="2" t="str">
        <x:v>TEN-51CFE7F8A5FA</x:v>
      </x:c>
      <x:c r="B1406" s="12" t="str">
        <x:v>Iquadrant Projects Pvt.Ltd</x:v>
      </x:c>
      <x:c r="C1406" s="12" t="str">
        <x:v>CORP-0028</x:v>
      </x:c>
      <x:c r="D1406" s="12" t="str">
        <x:v>Bengaluru</x:v>
      </x:c>
      <x:c r="E1406" s="12" t="str">
        <x:v>Bhive Workspace - MG Road</x:v>
      </x:c>
      <x:c r="F1406" s="12" t="str">
        <x:v>32 inch LED TV</x:v>
      </x:c>
      <x:c r="G1406" s="20" t="n">
        <x:v>2</x:v>
      </x:c>
      <x:c r="H1406" s="12" t="str">
        <x:v>Inventory-listed building/workspace context; current occupancy and screen access unverified</x:v>
      </x:c>
      <x:c r="I1406" s="12" t="str">
        <x:v>Mixed business audience</x:v>
      </x:c>
      <x:c r="J1406" s="12" t="str">
        <x:v>Unresolved</x:v>
      </x:c>
      <x:c r="K1406" s="2" t="str">
        <x:v>MAIN-032</x:v>
      </x:c>
    </x:row>
    <x:row r="1407" ht="46" customHeight="1">
      <x:c r="A1407" s="2" t="str">
        <x:v>TEN-9504045C2AB3</x:v>
      </x:c>
      <x:c r="B1407" s="12" t="str">
        <x:v>One Earth</x:v>
      </x:c>
      <x:c r="C1407" s="12" t="str">
        <x:v>CORP-0028</x:v>
      </x:c>
      <x:c r="D1407" s="12" t="str">
        <x:v>Bengaluru</x:v>
      </x:c>
      <x:c r="E1407" s="12" t="str">
        <x:v>Bhive Workspace - MG Road</x:v>
      </x:c>
      <x:c r="F1407" s="12" t="str">
        <x:v>32 inch LED TV</x:v>
      </x:c>
      <x:c r="G1407" s="20" t="n">
        <x:v>2</x:v>
      </x:c>
      <x:c r="H1407" s="12" t="str">
        <x:v>Inventory-listed building/workspace context; current occupancy and screen access unverified</x:v>
      </x:c>
      <x:c r="I1407" s="12" t="str">
        <x:v>Mixed business audience</x:v>
      </x:c>
      <x:c r="J1407" s="12" t="str">
        <x:v>Unresolved</x:v>
      </x:c>
      <x:c r="K1407" s="2" t="str">
        <x:v>MAIN-032</x:v>
      </x:c>
    </x:row>
    <x:row r="1408" ht="46" customHeight="1">
      <x:c r="A1408" s="2" t="str">
        <x:v>TEN-9504C9232320</x:v>
      </x:c>
      <x:c r="B1408" s="12" t="str">
        <x:v>Experinztrak Pvt.Ltd</x:v>
      </x:c>
      <x:c r="C1408" s="12" t="str">
        <x:v>CORP-0028</x:v>
      </x:c>
      <x:c r="D1408" s="12" t="str">
        <x:v>Bengaluru</x:v>
      </x:c>
      <x:c r="E1408" s="12" t="str">
        <x:v>Bhive Workspace - MG Road</x:v>
      </x:c>
      <x:c r="F1408" s="12" t="str">
        <x:v>32 inch LED TV</x:v>
      </x:c>
      <x:c r="G1408" s="20" t="n">
        <x:v>2</x:v>
      </x:c>
      <x:c r="H1408" s="12" t="str">
        <x:v>Inventory-listed building/workspace context; current occupancy and screen access unverified</x:v>
      </x:c>
      <x:c r="I1408" s="12" t="str">
        <x:v>Mixed business audience</x:v>
      </x:c>
      <x:c r="J1408" s="12" t="str">
        <x:v>Unresolved</x:v>
      </x:c>
      <x:c r="K1408" s="2" t="str">
        <x:v>MAIN-032</x:v>
      </x:c>
    </x:row>
    <x:row r="1409" ht="46" customHeight="1">
      <x:c r="A1409" s="2" t="str">
        <x:v>TEN-9B9A4AB08A56</x:v>
      </x:c>
      <x:c r="B1409" s="12" t="str">
        <x:v>NSD Solutions</x:v>
      </x:c>
      <x:c r="C1409" s="12" t="str">
        <x:v>CORP-0028</x:v>
      </x:c>
      <x:c r="D1409" s="12" t="str">
        <x:v>Bengaluru</x:v>
      </x:c>
      <x:c r="E1409" s="12" t="str">
        <x:v>Bhive Workspace - MG Road</x:v>
      </x:c>
      <x:c r="F1409" s="12" t="str">
        <x:v>32 inch LED TV</x:v>
      </x:c>
      <x:c r="G1409" s="20" t="n">
        <x:v>2</x:v>
      </x:c>
      <x:c r="H1409" s="12" t="str">
        <x:v>Inventory-listed building/workspace context; current occupancy and screen access unverified</x:v>
      </x:c>
      <x:c r="I1409" s="12" t="str">
        <x:v>Mixed business audience</x:v>
      </x:c>
      <x:c r="J1409" s="12" t="str">
        <x:v>Unresolved</x:v>
      </x:c>
      <x:c r="K1409" s="2" t="str">
        <x:v>MAIN-032</x:v>
      </x:c>
    </x:row>
    <x:row r="1410" ht="46" customHeight="1">
      <x:c r="A1410" s="2" t="str">
        <x:v>TEN-B32819CCF671</x:v>
      </x:c>
      <x:c r="B1410" s="12" t="str">
        <x:v>Crafting Dialogue Pvt.Ltd</x:v>
      </x:c>
      <x:c r="C1410" s="12" t="str">
        <x:v>CORP-0028</x:v>
      </x:c>
      <x:c r="D1410" s="12" t="str">
        <x:v>Bengaluru</x:v>
      </x:c>
      <x:c r="E1410" s="12" t="str">
        <x:v>Bhive Workspace - MG Road</x:v>
      </x:c>
      <x:c r="F1410" s="12" t="str">
        <x:v>32 inch LED TV</x:v>
      </x:c>
      <x:c r="G1410" s="20" t="n">
        <x:v>2</x:v>
      </x:c>
      <x:c r="H1410" s="12" t="str">
        <x:v>Inventory-listed building/workspace context; current occupancy and screen access unverified</x:v>
      </x:c>
      <x:c r="I1410" s="12" t="str">
        <x:v>Mixed business audience</x:v>
      </x:c>
      <x:c r="J1410" s="12" t="str">
        <x:v>Unresolved</x:v>
      </x:c>
      <x:c r="K1410" s="2" t="str">
        <x:v>MAIN-032</x:v>
      </x:c>
    </x:row>
    <x:row r="1411" ht="46" customHeight="1">
      <x:c r="A1411" s="2" t="str">
        <x:v>TEN-F405EA0EE2B7</x:v>
      </x:c>
      <x:c r="B1411" s="12" t="str">
        <x:v>Hill and Bach Lifestyle</x:v>
      </x:c>
      <x:c r="C1411" s="12" t="str">
        <x:v>CORP-0028</x:v>
      </x:c>
      <x:c r="D1411" s="12" t="str">
        <x:v>Bengaluru</x:v>
      </x:c>
      <x:c r="E1411" s="12" t="str">
        <x:v>Bhive Workspace - MG Road</x:v>
      </x:c>
      <x:c r="F1411" s="12" t="str">
        <x:v>32 inch LED TV</x:v>
      </x:c>
      <x:c r="G1411" s="20" t="n">
        <x:v>2</x:v>
      </x:c>
      <x:c r="H1411" s="12" t="str">
        <x:v>Inventory-listed building/workspace context; current occupancy and screen access unverified</x:v>
      </x:c>
      <x:c r="I1411" s="12" t="str">
        <x:v>Small-scale prospects</x:v>
      </x:c>
      <x:c r="J1411" s="12" t="str">
        <x:v>Trade, consumer &amp; logistics</x:v>
      </x:c>
      <x:c r="K1411" s="2" t="str">
        <x:v>MAIN-032</x:v>
      </x:c>
    </x:row>
    <x:row r="1412" ht="46" customHeight="1">
      <x:c r="A1412" s="2" t="str">
        <x:v>TEN-62357265C4F9</x:v>
      </x:c>
      <x:c r="B1412" s="12" t="str">
        <x:v>Ak Marble &amp; Granite ( India ) Private Limited</x:v>
      </x:c>
      <x:c r="C1412" s="12" t="str">
        <x:v>CORP-0316</x:v>
      </x:c>
      <x:c r="D1412" s="12" t="str">
        <x:v>Mumbai</x:v>
      </x:c>
      <x:c r="E1412" s="12" t="str">
        <x:v>Kane Plaza</x:v>
      </x:c>
      <x:c r="F1412" s="12" t="str">
        <x:v>32 inch LED TV</x:v>
      </x:c>
      <x:c r="G1412" s="20" t="n">
        <x:v>6</x:v>
      </x:c>
      <x:c r="H1412" s="12" t="str">
        <x:v>Inventory-listed building/workspace context; current occupancy and screen access unverified</x:v>
      </x:c>
      <x:c r="I1412" s="12" t="str">
        <x:v>Medium-scale prospects</x:v>
      </x:c>
      <x:c r="J1412" s="12" t="str">
        <x:v>Engineering &amp; manufacturing</x:v>
      </x:c>
      <x:c r="K1412" s="2" t="str">
        <x:v>MAIN-320</x:v>
      </x:c>
    </x:row>
    <x:row r="1413" ht="46" customHeight="1">
      <x:c r="A1413" s="2" t="str">
        <x:v>TEN-97BC11E6C347</x:v>
      </x:c>
      <x:c r="B1413" s="12" t="str">
        <x:v>Maharstra Masala And Jenral Stoer</x:v>
      </x:c>
      <x:c r="C1413" s="12" t="str">
        <x:v>CORP-0316</x:v>
      </x:c>
      <x:c r="D1413" s="12" t="str">
        <x:v>Mumbai</x:v>
      </x:c>
      <x:c r="E1413" s="12" t="str">
        <x:v>Kane Plaza</x:v>
      </x:c>
      <x:c r="F1413" s="12" t="str">
        <x:v>32 inch LED TV</x:v>
      </x:c>
      <x:c r="G1413" s="20" t="n">
        <x:v>6</x:v>
      </x:c>
      <x:c r="H1413" s="12" t="str">
        <x:v>Inventory-listed building/workspace context; current occupancy and screen access unverified</x:v>
      </x:c>
      <x:c r="I1413" s="12" t="str">
        <x:v>Small-scale prospects</x:v>
      </x:c>
      <x:c r="J1413" s="12" t="str">
        <x:v>Trade, consumer &amp; logistics</x:v>
      </x:c>
      <x:c r="K1413" s="2" t="str">
        <x:v>MAIN-320</x:v>
      </x:c>
    </x:row>
    <x:row r="1414" ht="46" customHeight="1">
      <x:c r="A1414" s="2" t="str">
        <x:v>TEN-D4CA40CB2DE3</x:v>
      </x:c>
      <x:c r="B1414" s="12" t="str">
        <x:v>Harish caters</x:v>
      </x:c>
      <x:c r="C1414" s="12" t="str">
        <x:v>CORP-0316</x:v>
      </x:c>
      <x:c r="D1414" s="12" t="str">
        <x:v>Mumbai</x:v>
      </x:c>
      <x:c r="E1414" s="12" t="str">
        <x:v>Kane Plaza</x:v>
      </x:c>
      <x:c r="F1414" s="12" t="str">
        <x:v>32 inch LED TV</x:v>
      </x:c>
      <x:c r="G1414" s="20" t="n">
        <x:v>6</x:v>
      </x:c>
      <x:c r="H1414" s="12" t="str">
        <x:v>Inventory-listed building/workspace context; current occupancy and screen access unverified</x:v>
      </x:c>
      <x:c r="I1414" s="12" t="str">
        <x:v>Small-scale prospects</x:v>
      </x:c>
      <x:c r="J1414" s="12" t="str">
        <x:v>Trade, consumer &amp; logistics</x:v>
      </x:c>
      <x:c r="K1414" s="2" t="str">
        <x:v>MAIN-320</x:v>
      </x:c>
    </x:row>
    <x:row r="1415" ht="46" customHeight="1">
      <x:c r="A1415" s="2" t="str">
        <x:v>TEN-D92D491D68E3</x:v>
      </x:c>
      <x:c r="B1415" s="12" t="str">
        <x:v>Jitendra Shop</x:v>
      </x:c>
      <x:c r="C1415" s="12" t="str">
        <x:v>CORP-0316</x:v>
      </x:c>
      <x:c r="D1415" s="12" t="str">
        <x:v>Mumbai</x:v>
      </x:c>
      <x:c r="E1415" s="12" t="str">
        <x:v>Kane Plaza</x:v>
      </x:c>
      <x:c r="F1415" s="12" t="str">
        <x:v>32 inch LED TV</x:v>
      </x:c>
      <x:c r="G1415" s="20" t="n">
        <x:v>6</x:v>
      </x:c>
      <x:c r="H1415" s="12" t="str">
        <x:v>Inventory-listed building/workspace context; current occupancy and screen access unverified</x:v>
      </x:c>
      <x:c r="I1415" s="12" t="str">
        <x:v>Small-scale prospects</x:v>
      </x:c>
      <x:c r="J1415" s="12" t="str">
        <x:v>Trade, consumer &amp; logistics</x:v>
      </x:c>
      <x:c r="K1415" s="2" t="str">
        <x:v>MAIN-320</x:v>
      </x:c>
    </x:row>
    <x:row r="1416" ht="46" customHeight="1">
      <x:c r="A1416" s="2" t="str">
        <x:v>TEN-DF285E1CF24C</x:v>
      </x:c>
      <x:c r="B1416" s="12" t="str">
        <x:v>Nazar Store</x:v>
      </x:c>
      <x:c r="C1416" s="12" t="str">
        <x:v>CORP-0316</x:v>
      </x:c>
      <x:c r="D1416" s="12" t="str">
        <x:v>Mumbai</x:v>
      </x:c>
      <x:c r="E1416" s="12" t="str">
        <x:v>Kane Plaza</x:v>
      </x:c>
      <x:c r="F1416" s="12" t="str">
        <x:v>32 inch LED TV</x:v>
      </x:c>
      <x:c r="G1416" s="20" t="n">
        <x:v>6</x:v>
      </x:c>
      <x:c r="H1416" s="12" t="str">
        <x:v>Inventory-listed building/workspace context; current occupancy and screen access unverified</x:v>
      </x:c>
      <x:c r="I1416" s="12" t="str">
        <x:v>Small-scale prospects</x:v>
      </x:c>
      <x:c r="J1416" s="12" t="str">
        <x:v>Trade, consumer &amp; logistics</x:v>
      </x:c>
      <x:c r="K1416" s="2" t="str">
        <x:v>MAIN-320</x:v>
      </x:c>
    </x:row>
    <x:row r="1417" ht="46" customHeight="1">
      <x:c r="A1417" s="2" t="str">
        <x:v>TEN-0269ACD8F795</x:v>
      </x:c>
      <x:c r="B1417" s="12" t="str">
        <x:v>Ventura Securities Ltd</x:v>
      </x:c>
      <x:c r="C1417" s="12" t="str">
        <x:v>CORP-0317</x:v>
      </x:c>
      <x:c r="D1417" s="12" t="str">
        <x:v>Mumbai</x:v>
      </x:c>
      <x:c r="E1417" s="12" t="str">
        <x:v>Lodha Ithink (Redbrick Offices)</x:v>
      </x:c>
      <x:c r="F1417" s="12" t="str">
        <x:v>32 inch LED TV</x:v>
      </x:c>
      <x:c r="G1417" s="20" t="n">
        <x:v>1</x:v>
      </x:c>
      <x:c r="H1417" s="12" t="str">
        <x:v>Inventory-listed building/workspace context; current occupancy and screen access unverified</x:v>
      </x:c>
      <x:c r="I1417" s="12" t="str">
        <x:v>Mixed business audience</x:v>
      </x:c>
      <x:c r="J1417" s="12" t="str">
        <x:v>Finance &amp; insurance</x:v>
      </x:c>
      <x:c r="K1417" s="2" t="str">
        <x:v>MAIN-321</x:v>
      </x:c>
    </x:row>
    <x:row r="1418" ht="46" customHeight="1">
      <x:c r="A1418" s="2" t="str">
        <x:v>TEN-220688A64425</x:v>
      </x:c>
      <x:c r="B1418" s="12" t="str">
        <x:v>Ipsos DSC</x:v>
      </x:c>
      <x:c r="C1418" s="12" t="str">
        <x:v>CORP-0317</x:v>
      </x:c>
      <x:c r="D1418" s="12" t="str">
        <x:v>Mumbai</x:v>
      </x:c>
      <x:c r="E1418" s="12" t="str">
        <x:v>Lodha Ithink (Redbrick Offices)</x:v>
      </x:c>
      <x:c r="F1418" s="12" t="str">
        <x:v>32 inch LED TV</x:v>
      </x:c>
      <x:c r="G1418" s="20" t="n">
        <x:v>1</x:v>
      </x:c>
      <x:c r="H1418" s="12" t="str">
        <x:v>Inventory-listed building/workspace context; current occupancy and screen access unverified</x:v>
      </x:c>
      <x:c r="I1418" s="12" t="str">
        <x:v>Mixed business audience</x:v>
      </x:c>
      <x:c r="J1418" s="12" t="str">
        <x:v>Professional services</x:v>
      </x:c>
      <x:c r="K1418" s="2" t="str">
        <x:v>MAIN-321</x:v>
      </x:c>
    </x:row>
    <x:row r="1419" ht="46" customHeight="1">
      <x:c r="A1419" s="2" t="str">
        <x:v>TEN-275AAF160D86</x:v>
      </x:c>
      <x:c r="B1419" s="12" t="str">
        <x:v>Novateur Electrical &amp; Digital System Pvt. Ltd</x:v>
      </x:c>
      <x:c r="C1419" s="12" t="str">
        <x:v>CORP-0317</x:v>
      </x:c>
      <x:c r="D1419" s="12" t="str">
        <x:v>Mumbai</x:v>
      </x:c>
      <x:c r="E1419" s="12" t="str">
        <x:v>Lodha Ithink (Redbrick Offices)</x:v>
      </x:c>
      <x:c r="F1419" s="12" t="str">
        <x:v>32 inch LED TV</x:v>
      </x:c>
      <x:c r="G1419" s="20" t="n">
        <x:v>1</x:v>
      </x:c>
      <x:c r="H1419" s="12" t="str">
        <x:v>Inventory-listed building/workspace context; current occupancy and screen access unverified</x:v>
      </x:c>
      <x:c r="I1419" s="12" t="str">
        <x:v>Mixed business audience</x:v>
      </x:c>
      <x:c r="J1419" s="12" t="str">
        <x:v>Engineering &amp; manufacturing</x:v>
      </x:c>
      <x:c r="K1419" s="2" t="str">
        <x:v>MAIN-321</x:v>
      </x:c>
    </x:row>
    <x:row r="1420" ht="46" customHeight="1">
      <x:c r="A1420" s="2" t="str">
        <x:v>TEN-5303A5FDFA90</x:v>
      </x:c>
      <x:c r="B1420" s="12" t="str">
        <x:v>ProgIST Solutions LLP</x:v>
      </x:c>
      <x:c r="C1420" s="12" t="str">
        <x:v>CORP-0317</x:v>
      </x:c>
      <x:c r="D1420" s="12" t="str">
        <x:v>Mumbai</x:v>
      </x:c>
      <x:c r="E1420" s="12" t="str">
        <x:v>Lodha Ithink (Redbrick Offices)</x:v>
      </x:c>
      <x:c r="F1420" s="12" t="str">
        <x:v>32 inch LED TV</x:v>
      </x:c>
      <x:c r="G1420" s="20" t="n">
        <x:v>1</x:v>
      </x:c>
      <x:c r="H1420" s="12" t="str">
        <x:v>Inventory-listed building/workspace context; current occupancy and screen access unverified</x:v>
      </x:c>
      <x:c r="I1420" s="12" t="str">
        <x:v>Small-scale prospects</x:v>
      </x:c>
      <x:c r="J1420" s="12" t="str">
        <x:v>IT &amp; digital</x:v>
      </x:c>
      <x:c r="K1420" s="2" t="str">
        <x:v>MAIN-321</x:v>
      </x:c>
    </x:row>
    <x:row r="1421" ht="46" customHeight="1">
      <x:c r="A1421" s="2" t="str">
        <x:v>TEN-859FAA1E34CC</x:v>
      </x:c>
      <x:c r="B1421" s="12" t="str">
        <x:v>Techint India Private Limited</x:v>
      </x:c>
      <x:c r="C1421" s="12" t="str">
        <x:v>CORP-0317</x:v>
      </x:c>
      <x:c r="D1421" s="12" t="str">
        <x:v>Mumbai</x:v>
      </x:c>
      <x:c r="E1421" s="12" t="str">
        <x:v>Lodha Ithink (Redbrick Offices)</x:v>
      </x:c>
      <x:c r="F1421" s="12" t="str">
        <x:v>32 inch LED TV</x:v>
      </x:c>
      <x:c r="G1421" s="20" t="n">
        <x:v>1</x:v>
      </x:c>
      <x:c r="H1421" s="12" t="str">
        <x:v>Inventory-listed building/workspace context; current occupancy and screen access unverified</x:v>
      </x:c>
      <x:c r="I1421" s="12" t="str">
        <x:v>Mixed business audience</x:v>
      </x:c>
      <x:c r="J1421" s="12" t="str">
        <x:v>Engineering &amp; manufacturing</x:v>
      </x:c>
      <x:c r="K1421" s="2" t="str">
        <x:v>MAIN-321</x:v>
      </x:c>
    </x:row>
    <x:row r="1422" ht="46" customHeight="1">
      <x:c r="A1422" s="2" t="str">
        <x:v>TEN-8D7782804191</x:v>
      </x:c>
      <x:c r="B1422" s="12" t="str">
        <x:v>Euronet Services India</x:v>
      </x:c>
      <x:c r="C1422" s="12" t="str">
        <x:v>CORP-0317</x:v>
      </x:c>
      <x:c r="D1422" s="12" t="str">
        <x:v>Mumbai</x:v>
      </x:c>
      <x:c r="E1422" s="12" t="str">
        <x:v>Lodha Ithink (Redbrick Offices)</x:v>
      </x:c>
      <x:c r="F1422" s="12" t="str">
        <x:v>32 inch LED TV</x:v>
      </x:c>
      <x:c r="G1422" s="20" t="n">
        <x:v>1</x:v>
      </x:c>
      <x:c r="H1422" s="12" t="str">
        <x:v>Inventory-listed building/workspace context; current occupancy and screen access unverified</x:v>
      </x:c>
      <x:c r="I1422" s="12" t="str">
        <x:v>Mixed business audience</x:v>
      </x:c>
      <x:c r="J1422" s="12" t="str">
        <x:v>Finance &amp; insurance</x:v>
      </x:c>
      <x:c r="K1422" s="2" t="str">
        <x:v>MAIN-321</x:v>
      </x:c>
    </x:row>
    <x:row r="1423" ht="46" customHeight="1">
      <x:c r="A1423" s="2" t="str">
        <x:v>TEN-B863E69832C3</x:v>
      </x:c>
      <x:c r="B1423" s="12" t="str">
        <x:v>Panasonic Life Solutions</x:v>
      </x:c>
      <x:c r="C1423" s="12" t="str">
        <x:v>CORP-0317</x:v>
      </x:c>
      <x:c r="D1423" s="12" t="str">
        <x:v>Mumbai</x:v>
      </x:c>
      <x:c r="E1423" s="12" t="str">
        <x:v>Lodha Ithink (Redbrick Offices)</x:v>
      </x:c>
      <x:c r="F1423" s="12" t="str">
        <x:v>32 inch LED TV</x:v>
      </x:c>
      <x:c r="G1423" s="20" t="n">
        <x:v>1</x:v>
      </x:c>
      <x:c r="H1423" s="12" t="str">
        <x:v>Inventory-listed building/workspace context; current occupancy and screen access unverified</x:v>
      </x:c>
      <x:c r="I1423" s="12" t="str">
        <x:v>Large enterprise</x:v>
      </x:c>
      <x:c r="J1423" s="12" t="str">
        <x:v>Engineering &amp; manufacturing</x:v>
      </x:c>
      <x:c r="K1423" s="2" t="str">
        <x:v>MAIN-321</x:v>
      </x:c>
    </x:row>
    <x:row r="1424" ht="46" customHeight="1">
      <x:c r="A1424" s="2" t="str">
        <x:v>TEN-C8FC51571F17</x:v>
      </x:c>
      <x:c r="B1424" s="12" t="str">
        <x:v>Ingenero Technologies (I) Pvt. Ltd</x:v>
      </x:c>
      <x:c r="C1424" s="12" t="str">
        <x:v>CORP-0317</x:v>
      </x:c>
      <x:c r="D1424" s="12" t="str">
        <x:v>Mumbai</x:v>
      </x:c>
      <x:c r="E1424" s="12" t="str">
        <x:v>Lodha Ithink (Redbrick Offices)</x:v>
      </x:c>
      <x:c r="F1424" s="12" t="str">
        <x:v>32 inch LED TV</x:v>
      </x:c>
      <x:c r="G1424" s="20" t="n">
        <x:v>1</x:v>
      </x:c>
      <x:c r="H1424" s="12" t="str">
        <x:v>Inventory-listed building/workspace context; current occupancy and screen access unverified</x:v>
      </x:c>
      <x:c r="I1424" s="12" t="str">
        <x:v>Medium-scale prospects</x:v>
      </x:c>
      <x:c r="J1424" s="12" t="str">
        <x:v>Engineering &amp; manufacturing</x:v>
      </x:c>
      <x:c r="K1424" s="2" t="str">
        <x:v>MAIN-321</x:v>
      </x:c>
    </x:row>
    <x:row r="1425" ht="46" customHeight="1">
      <x:c r="A1425" s="2" t="str">
        <x:v>TEN-D1CD02082C62</x:v>
      </x:c>
      <x:c r="B1425" s="12" t="str">
        <x:v>Onmobile Global</x:v>
      </x:c>
      <x:c r="C1425" s="12" t="str">
        <x:v>CORP-0317</x:v>
      </x:c>
      <x:c r="D1425" s="12" t="str">
        <x:v>Mumbai</x:v>
      </x:c>
      <x:c r="E1425" s="12" t="str">
        <x:v>Lodha Ithink (Redbrick Offices)</x:v>
      </x:c>
      <x:c r="F1425" s="12" t="str">
        <x:v>32 inch LED TV</x:v>
      </x:c>
      <x:c r="G1425" s="20" t="n">
        <x:v>1</x:v>
      </x:c>
      <x:c r="H1425" s="12" t="str">
        <x:v>Inventory-listed building/workspace context; current occupancy and screen access unverified</x:v>
      </x:c>
      <x:c r="I1425" s="12" t="str">
        <x:v>Mixed business audience</x:v>
      </x:c>
      <x:c r="J1425" s="12" t="str">
        <x:v>IT &amp; digital</x:v>
      </x:c>
      <x:c r="K1425" s="2" t="str">
        <x:v>MAIN-321</x:v>
      </x:c>
    </x:row>
    <x:row r="1426" ht="46" customHeight="1">
      <x:c r="A1426" s="2" t="str">
        <x:v>TEN-D34D1901D9D3</x:v>
      </x:c>
      <x:c r="B1426" s="12" t="str">
        <x:v>NoBroker</x:v>
      </x:c>
      <x:c r="C1426" s="12" t="str">
        <x:v>CORP-0317</x:v>
      </x:c>
      <x:c r="D1426" s="12" t="str">
        <x:v>Mumbai</x:v>
      </x:c>
      <x:c r="E1426" s="12" t="str">
        <x:v>Lodha Ithink (Redbrick Offices)</x:v>
      </x:c>
      <x:c r="F1426" s="12" t="str">
        <x:v>32 inch LED TV</x:v>
      </x:c>
      <x:c r="G1426" s="20" t="n">
        <x:v>1</x:v>
      </x:c>
      <x:c r="H1426" s="12" t="str">
        <x:v>Inventory-listed building/workspace context; current occupancy and screen access unverified</x:v>
      </x:c>
      <x:c r="I1426" s="12" t="str">
        <x:v>Mixed business audience</x:v>
      </x:c>
      <x:c r="J1426" s="12" t="str">
        <x:v>Trade, consumer &amp; logistics</x:v>
      </x:c>
      <x:c r="K1426" s="2" t="str">
        <x:v>MAIN-321</x:v>
      </x:c>
    </x:row>
    <x:row r="1427" ht="46" customHeight="1">
      <x:c r="A1427" s="2" t="str">
        <x:v>TEN-1A400B0DD288</x:v>
      </x:c>
      <x:c r="B1427" s="12" t="str">
        <x:v>TATA Medicals</x:v>
      </x:c>
      <x:c r="C1427" s="12" t="str">
        <x:v>CORP-0319</x:v>
      </x:c>
      <x:c r="D1427" s="12" t="str">
        <x:v>Mumbai</x:v>
      </x:c>
      <x:c r="E1427" s="12" t="str">
        <x:v>Mumbai - BKC</x:v>
      </x:c>
      <x:c r="F1427" s="12" t="str">
        <x:v>32 inch LED TV</x:v>
      </x:c>
      <x:c r="G1427" s="20" t="n">
        <x:v>1</x:v>
      </x:c>
      <x:c r="H1427" s="12" t="str">
        <x:v>Inventory-listed building/workspace context; current occupancy and screen access unverified</x:v>
      </x:c>
      <x:c r="I1427" s="12" t="str">
        <x:v>Mixed business audience</x:v>
      </x:c>
      <x:c r="J1427" s="12" t="str">
        <x:v>Healthcare &amp; life sciences</x:v>
      </x:c>
      <x:c r="K1427" s="2" t="str">
        <x:v>MAIN-323</x:v>
      </x:c>
    </x:row>
    <x:row r="1428" ht="46" customHeight="1">
      <x:c r="A1428" s="2" t="str">
        <x:v>TEN-2772569204D6</x:v>
      </x:c>
      <x:c r="B1428" s="12" t="str">
        <x:v>Felabaility HR Solutions</x:v>
      </x:c>
      <x:c r="C1428" s="12" t="str">
        <x:v>CORP-0319</x:v>
      </x:c>
      <x:c r="D1428" s="12" t="str">
        <x:v>Mumbai</x:v>
      </x:c>
      <x:c r="E1428" s="12" t="str">
        <x:v>Mumbai - BKC</x:v>
      </x:c>
      <x:c r="F1428" s="12" t="str">
        <x:v>32 inch LED TV</x:v>
      </x:c>
      <x:c r="G1428" s="20" t="n">
        <x:v>1</x:v>
      </x:c>
      <x:c r="H1428" s="12" t="str">
        <x:v>Inventory-listed building/workspace context; current occupancy and screen access unverified</x:v>
      </x:c>
      <x:c r="I1428" s="12" t="str">
        <x:v>Small-scale prospects</x:v>
      </x:c>
      <x:c r="J1428" s="12" t="str">
        <x:v>Professional services</x:v>
      </x:c>
      <x:c r="K1428" s="2" t="str">
        <x:v>MAIN-323</x:v>
      </x:c>
    </x:row>
    <x:row r="1429" ht="46" customHeight="1">
      <x:c r="A1429" s="2" t="str">
        <x:v>TEN-3333361BCCFC</x:v>
      </x:c>
      <x:c r="B1429" s="12" t="str">
        <x:v>Tech4billion Media Pvt Ltd</x:v>
      </x:c>
      <x:c r="C1429" s="12" t="str">
        <x:v>CORP-0319</x:v>
      </x:c>
      <x:c r="D1429" s="12" t="str">
        <x:v>Mumbai</x:v>
      </x:c>
      <x:c r="E1429" s="12" t="str">
        <x:v>Mumbai - BKC</x:v>
      </x:c>
      <x:c r="F1429" s="12" t="str">
        <x:v>32 inch LED TV</x:v>
      </x:c>
      <x:c r="G1429" s="20" t="n">
        <x:v>1</x:v>
      </x:c>
      <x:c r="H1429" s="12" t="str">
        <x:v>Inventory-listed building/workspace context; current occupancy and screen access unverified</x:v>
      </x:c>
      <x:c r="I1429" s="12" t="str">
        <x:v>Small-scale prospects</x:v>
      </x:c>
      <x:c r="J1429" s="12" t="str">
        <x:v>Trade, consumer &amp; logistics</x:v>
      </x:c>
      <x:c r="K1429" s="2" t="str">
        <x:v>MAIN-323</x:v>
      </x:c>
    </x:row>
    <x:row r="1430" ht="46" customHeight="1">
      <x:c r="A1430" s="2" t="str">
        <x:v>TEN-3688FF078C0E</x:v>
      </x:c>
      <x:c r="B1430" s="12" t="str">
        <x:v>ABC Consultants</x:v>
      </x:c>
      <x:c r="C1430" s="12" t="str">
        <x:v>CORP-0319</x:v>
      </x:c>
      <x:c r="D1430" s="12" t="str">
        <x:v>Mumbai</x:v>
      </x:c>
      <x:c r="E1430" s="12" t="str">
        <x:v>Mumbai - BKC</x:v>
      </x:c>
      <x:c r="F1430" s="12" t="str">
        <x:v>32 inch LED TV</x:v>
      </x:c>
      <x:c r="G1430" s="20" t="n">
        <x:v>1</x:v>
      </x:c>
      <x:c r="H1430" s="12" t="str">
        <x:v>Inventory-listed building/workspace context; current occupancy and screen access unverified</x:v>
      </x:c>
      <x:c r="I1430" s="12" t="str">
        <x:v>Mixed business audience</x:v>
      </x:c>
      <x:c r="J1430" s="12" t="str">
        <x:v>Professional services</x:v>
      </x:c>
      <x:c r="K1430" s="2" t="str">
        <x:v>MAIN-323</x:v>
      </x:c>
    </x:row>
    <x:row r="1431" ht="46" customHeight="1">
      <x:c r="A1431" s="2" t="str">
        <x:v>TEN-627EA7935C00</x:v>
      </x:c>
      <x:c r="B1431" s="12" t="str">
        <x:v>Goindia Advisors</x:v>
      </x:c>
      <x:c r="C1431" s="12" t="str">
        <x:v>CORP-0319</x:v>
      </x:c>
      <x:c r="D1431" s="12" t="str">
        <x:v>Mumbai</x:v>
      </x:c>
      <x:c r="E1431" s="12" t="str">
        <x:v>Mumbai - BKC</x:v>
      </x:c>
      <x:c r="F1431" s="12" t="str">
        <x:v>32 inch LED TV</x:v>
      </x:c>
      <x:c r="G1431" s="20" t="n">
        <x:v>1</x:v>
      </x:c>
      <x:c r="H1431" s="12" t="str">
        <x:v>Inventory-listed building/workspace context; current occupancy and screen access unverified</x:v>
      </x:c>
      <x:c r="I1431" s="12" t="str">
        <x:v>Small-scale prospects</x:v>
      </x:c>
      <x:c r="J1431" s="12" t="str">
        <x:v>Professional services</x:v>
      </x:c>
      <x:c r="K1431" s="2" t="str">
        <x:v>MAIN-323</x:v>
      </x:c>
    </x:row>
    <x:row r="1432" ht="46" customHeight="1">
      <x:c r="A1432" s="2" t="str">
        <x:v>TEN-78D2184A1F2B</x:v>
      </x:c>
      <x:c r="B1432" s="12" t="str">
        <x:v>Kredx</x:v>
      </x:c>
      <x:c r="C1432" s="12" t="str">
        <x:v>CORP-0319</x:v>
      </x:c>
      <x:c r="D1432" s="12" t="str">
        <x:v>Mumbai</x:v>
      </x:c>
      <x:c r="E1432" s="12" t="str">
        <x:v>Mumbai - BKC</x:v>
      </x:c>
      <x:c r="F1432" s="12" t="str">
        <x:v>32 inch LED TV</x:v>
      </x:c>
      <x:c r="G1432" s="20" t="n">
        <x:v>1</x:v>
      </x:c>
      <x:c r="H1432" s="12" t="str">
        <x:v>Inventory-listed building/workspace context; current occupancy and screen access unverified</x:v>
      </x:c>
      <x:c r="I1432" s="12" t="str">
        <x:v>Medium-scale prospects</x:v>
      </x:c>
      <x:c r="J1432" s="12" t="str">
        <x:v>Finance &amp; insurance</x:v>
      </x:c>
      <x:c r="K1432" s="2" t="str">
        <x:v>MAIN-323</x:v>
      </x:c>
    </x:row>
    <x:row r="1433" ht="46" customHeight="1">
      <x:c r="A1433" s="2" t="str">
        <x:v>TEN-91C446C3D4D7</x:v>
      </x:c>
      <x:c r="B1433" s="12" t="str">
        <x:v>Strata Property Management service</x:v>
      </x:c>
      <x:c r="C1433" s="12" t="str">
        <x:v>CORP-0319</x:v>
      </x:c>
      <x:c r="D1433" s="12" t="str">
        <x:v>Mumbai</x:v>
      </x:c>
      <x:c r="E1433" s="12" t="str">
        <x:v>Mumbai - BKC</x:v>
      </x:c>
      <x:c r="F1433" s="12" t="str">
        <x:v>32 inch LED TV</x:v>
      </x:c>
      <x:c r="G1433" s="20" t="n">
        <x:v>1</x:v>
      </x:c>
      <x:c r="H1433" s="12" t="str">
        <x:v>Inventory-listed building/workspace context; current occupancy and screen access unverified</x:v>
      </x:c>
      <x:c r="I1433" s="12" t="str">
        <x:v>Small-scale prospects</x:v>
      </x:c>
      <x:c r="J1433" s="12" t="str">
        <x:v>Trade, consumer &amp; logistics</x:v>
      </x:c>
      <x:c r="K1433" s="2" t="str">
        <x:v>MAIN-323</x:v>
      </x:c>
    </x:row>
    <x:row r="1434" ht="46" customHeight="1">
      <x:c r="A1434" s="2" t="str">
        <x:v>TEN-92968129C75E</x:v>
      </x:c>
      <x:c r="B1434" s="12" t="str">
        <x:v>TATA Asset management services</x:v>
      </x:c>
      <x:c r="C1434" s="12" t="str">
        <x:v>CORP-0319</x:v>
      </x:c>
      <x:c r="D1434" s="12" t="str">
        <x:v>Mumbai</x:v>
      </x:c>
      <x:c r="E1434" s="12" t="str">
        <x:v>Mumbai - BKC</x:v>
      </x:c>
      <x:c r="F1434" s="12" t="str">
        <x:v>32 inch LED TV</x:v>
      </x:c>
      <x:c r="G1434" s="20" t="n">
        <x:v>1</x:v>
      </x:c>
      <x:c r="H1434" s="12" t="str">
        <x:v>Inventory-listed building/workspace context; current occupancy and screen access unverified</x:v>
      </x:c>
      <x:c r="I1434" s="12" t="str">
        <x:v>Large enterprise</x:v>
      </x:c>
      <x:c r="J1434" s="12" t="str">
        <x:v>Finance &amp; insurance</x:v>
      </x:c>
      <x:c r="K1434" s="2" t="str">
        <x:v>MAIN-323</x:v>
      </x:c>
    </x:row>
    <x:row r="1435" ht="46" customHeight="1">
      <x:c r="A1435" s="2" t="str">
        <x:v>TEN-CC51F3504D6F</x:v>
      </x:c>
      <x:c r="B1435" s="12" t="str">
        <x:v>SBI Mutual Funds</x:v>
      </x:c>
      <x:c r="C1435" s="12" t="str">
        <x:v>CORP-0319</x:v>
      </x:c>
      <x:c r="D1435" s="12" t="str">
        <x:v>Mumbai</x:v>
      </x:c>
      <x:c r="E1435" s="12" t="str">
        <x:v>Mumbai - BKC</x:v>
      </x:c>
      <x:c r="F1435" s="12" t="str">
        <x:v>32 inch LED TV</x:v>
      </x:c>
      <x:c r="G1435" s="20" t="n">
        <x:v>1</x:v>
      </x:c>
      <x:c r="H1435" s="12" t="str">
        <x:v>Inventory-listed building/workspace context; current occupancy and screen access unverified</x:v>
      </x:c>
      <x:c r="I1435" s="12" t="str">
        <x:v>Large enterprise</x:v>
      </x:c>
      <x:c r="J1435" s="12" t="str">
        <x:v>Finance &amp; insurance</x:v>
      </x:c>
      <x:c r="K1435" s="2" t="str">
        <x:v>MAIN-323</x:v>
      </x:c>
    </x:row>
    <x:row r="1436" ht="46" customHeight="1">
      <x:c r="A1436" s="2" t="str">
        <x:v>TEN-EA1792C21111</x:v>
      </x:c>
      <x:c r="B1436" s="12" t="str">
        <x:v>Fractal Investments Pvt Ltd</x:v>
      </x:c>
      <x:c r="C1436" s="12" t="str">
        <x:v>CORP-0319</x:v>
      </x:c>
      <x:c r="D1436" s="12" t="str">
        <x:v>Mumbai</x:v>
      </x:c>
      <x:c r="E1436" s="12" t="str">
        <x:v>Mumbai - BKC</x:v>
      </x:c>
      <x:c r="F1436" s="12" t="str">
        <x:v>32 inch LED TV</x:v>
      </x:c>
      <x:c r="G1436" s="20" t="n">
        <x:v>1</x:v>
      </x:c>
      <x:c r="H1436" s="12" t="str">
        <x:v>Inventory-listed building/workspace context; current occupancy and screen access unverified</x:v>
      </x:c>
      <x:c r="I1436" s="12" t="str">
        <x:v>Medium-scale prospects</x:v>
      </x:c>
      <x:c r="J1436" s="12" t="str">
        <x:v>Finance &amp; insurance</x:v>
      </x:c>
      <x:c r="K1436" s="2" t="str">
        <x:v>MAIN-323</x:v>
      </x:c>
    </x:row>
    <x:row r="1437" ht="46" customHeight="1">
      <x:c r="A1437" s="2" t="str">
        <x:v>TEN-0D0617B41A0D</x:v>
      </x:c>
      <x:c r="B1437" s="12" t="str">
        <x:v>CFA Institute</x:v>
      </x:c>
      <x:c r="C1437" s="12" t="str">
        <x:v>CORP-0321</x:v>
      </x:c>
      <x:c r="D1437" s="12" t="str">
        <x:v>Mumbai</x:v>
      </x:c>
      <x:c r="E1437" s="12" t="str">
        <x:v>Nucleus - One BKC</x:v>
      </x:c>
      <x:c r="F1437" s="12" t="str">
        <x:v>55 inch LED TV</x:v>
      </x:c>
      <x:c r="G1437" s="20" t="n">
        <x:v>2</x:v>
      </x:c>
      <x:c r="H1437" s="12" t="str">
        <x:v>Inventory-listed building/workspace context; current occupancy and screen access unverified</x:v>
      </x:c>
      <x:c r="I1437" s="12" t="str">
        <x:v>Institutional</x:v>
      </x:c>
      <x:c r="J1437" s="12" t="str">
        <x:v>Government &amp; nonprofit</x:v>
      </x:c>
      <x:c r="K1437" s="2" t="str">
        <x:v>MAIN-325</x:v>
      </x:c>
    </x:row>
    <x:row r="1438" ht="46" customHeight="1">
      <x:c r="A1438" s="2" t="str">
        <x:v>TEN-19A94B5F240F</x:v>
      </x:c>
      <x:c r="B1438" s="12" t="str">
        <x:v>Kamani Foods</x:v>
      </x:c>
      <x:c r="C1438" s="12" t="str">
        <x:v>CORP-0321</x:v>
      </x:c>
      <x:c r="D1438" s="12" t="str">
        <x:v>Mumbai</x:v>
      </x:c>
      <x:c r="E1438" s="12" t="str">
        <x:v>Nucleus - One BKC</x:v>
      </x:c>
      <x:c r="F1438" s="12" t="str">
        <x:v>55 inch LED TV</x:v>
      </x:c>
      <x:c r="G1438" s="20" t="n">
        <x:v>2</x:v>
      </x:c>
      <x:c r="H1438" s="12" t="str">
        <x:v>Inventory-listed building/workspace context; current occupancy and screen access unverified</x:v>
      </x:c>
      <x:c r="I1438" s="12" t="str">
        <x:v>Small-scale prospects</x:v>
      </x:c>
      <x:c r="J1438" s="12" t="str">
        <x:v>Trade, consumer &amp; logistics</x:v>
      </x:c>
      <x:c r="K1438" s="2" t="str">
        <x:v>MAIN-325</x:v>
      </x:c>
    </x:row>
    <x:row r="1439" ht="46" customHeight="1">
      <x:c r="A1439" s="2" t="str">
        <x:v>TEN-1A9BDE0C8985</x:v>
      </x:c>
      <x:c r="B1439" s="12" t="str">
        <x:v>Glander International Bunkering Pvt Ltd</x:v>
      </x:c>
      <x:c r="C1439" s="12" t="str">
        <x:v>CORP-0321</x:v>
      </x:c>
      <x:c r="D1439" s="12" t="str">
        <x:v>Mumbai</x:v>
      </x:c>
      <x:c r="E1439" s="12" t="str">
        <x:v>Nucleus - One BKC</x:v>
      </x:c>
      <x:c r="F1439" s="12" t="str">
        <x:v>55 inch LED TV</x:v>
      </x:c>
      <x:c r="G1439" s="20" t="n">
        <x:v>2</x:v>
      </x:c>
      <x:c r="H1439" s="12" t="str">
        <x:v>Inventory-listed building/workspace context; current occupancy and screen access unverified</x:v>
      </x:c>
      <x:c r="I1439" s="12" t="str">
        <x:v>Mixed business audience</x:v>
      </x:c>
      <x:c r="J1439" s="12" t="str">
        <x:v>Trade, consumer &amp; logistics</x:v>
      </x:c>
      <x:c r="K1439" s="2" t="str">
        <x:v>MAIN-325</x:v>
      </x:c>
    </x:row>
    <x:row r="1440" ht="46" customHeight="1">
      <x:c r="A1440" s="2" t="str">
        <x:v>TEN-1D36B3EBD188</x:v>
      </x:c>
      <x:c r="B1440" s="12" t="str">
        <x:v>Sawariya Futureworks Limited</x:v>
      </x:c>
      <x:c r="C1440" s="12" t="str">
        <x:v>CORP-0321</x:v>
      </x:c>
      <x:c r="D1440" s="12" t="str">
        <x:v>Mumbai</x:v>
      </x:c>
      <x:c r="E1440" s="12" t="str">
        <x:v>Nucleus - One BKC</x:v>
      </x:c>
      <x:c r="F1440" s="12" t="str">
        <x:v>55 inch LED TV</x:v>
      </x:c>
      <x:c r="G1440" s="20" t="n">
        <x:v>2</x:v>
      </x:c>
      <x:c r="H1440" s="12" t="str">
        <x:v>Inventory-listed building/workspace context; current occupancy and screen access unverified</x:v>
      </x:c>
      <x:c r="I1440" s="12" t="str">
        <x:v>Mixed business audience</x:v>
      </x:c>
      <x:c r="J1440" s="12" t="str">
        <x:v>Unresolved</x:v>
      </x:c>
      <x:c r="K1440" s="2" t="str">
        <x:v>MAIN-325</x:v>
      </x:c>
    </x:row>
    <x:row r="1441" ht="46" customHeight="1">
      <x:c r="A1441" s="2" t="str">
        <x:v>TEN-5E97C0064347</x:v>
      </x:c>
      <x:c r="B1441" s="12" t="str">
        <x:v>Dream11</x:v>
      </x:c>
      <x:c r="C1441" s="12" t="str">
        <x:v>CORP-0321</x:v>
      </x:c>
      <x:c r="D1441" s="12" t="str">
        <x:v>Mumbai</x:v>
      </x:c>
      <x:c r="E1441" s="12" t="str">
        <x:v>Nucleus - One BKC</x:v>
      </x:c>
      <x:c r="F1441" s="12" t="str">
        <x:v>55 inch LED TV</x:v>
      </x:c>
      <x:c r="G1441" s="20" t="n">
        <x:v>2</x:v>
      </x:c>
      <x:c r="H1441" s="12" t="str">
        <x:v>Inventory-listed building/workspace context; current occupancy and screen access unverified</x:v>
      </x:c>
      <x:c r="I1441" s="12" t="str">
        <x:v>Mixed business audience</x:v>
      </x:c>
      <x:c r="J1441" s="12" t="str">
        <x:v>Trade, consumer &amp; logistics</x:v>
      </x:c>
      <x:c r="K1441" s="2" t="str">
        <x:v>MAIN-325</x:v>
      </x:c>
    </x:row>
    <x:row r="1442" ht="46" customHeight="1">
      <x:c r="A1442" s="2" t="str">
        <x:v>TEN-82F0EBFD4F57</x:v>
      </x:c>
      <x:c r="B1442" s="12" t="str">
        <x:v>ICBC</x:v>
      </x:c>
      <x:c r="C1442" s="12" t="str">
        <x:v>CORP-0321</x:v>
      </x:c>
      <x:c r="D1442" s="12" t="str">
        <x:v>Mumbai</x:v>
      </x:c>
      <x:c r="E1442" s="12" t="str">
        <x:v>Nucleus - One BKC</x:v>
      </x:c>
      <x:c r="F1442" s="12" t="str">
        <x:v>55 inch LED TV</x:v>
      </x:c>
      <x:c r="G1442" s="20" t="n">
        <x:v>2</x:v>
      </x:c>
      <x:c r="H1442" s="12" t="str">
        <x:v>Inventory-listed building/workspace context; current occupancy and screen access unverified</x:v>
      </x:c>
      <x:c r="I1442" s="12" t="str">
        <x:v>Mixed business audience</x:v>
      </x:c>
      <x:c r="J1442" s="12" t="str">
        <x:v>Finance &amp; insurance</x:v>
      </x:c>
      <x:c r="K1442" s="2" t="str">
        <x:v>MAIN-325</x:v>
      </x:c>
    </x:row>
    <x:row r="1443" ht="46" customHeight="1">
      <x:c r="A1443" s="2" t="str">
        <x:v>TEN-9AAB56726C26</x:v>
      </x:c>
      <x:c r="B1443" s="12" t="str">
        <x:v>PIX Transmissions Ltd</x:v>
      </x:c>
      <x:c r="C1443" s="12" t="str">
        <x:v>CORP-0321</x:v>
      </x:c>
      <x:c r="D1443" s="12" t="str">
        <x:v>Mumbai</x:v>
      </x:c>
      <x:c r="E1443" s="12" t="str">
        <x:v>Nucleus - One BKC</x:v>
      </x:c>
      <x:c r="F1443" s="12" t="str">
        <x:v>55 inch LED TV</x:v>
      </x:c>
      <x:c r="G1443" s="20" t="n">
        <x:v>2</x:v>
      </x:c>
      <x:c r="H1443" s="12" t="str">
        <x:v>Inventory-listed building/workspace context; current occupancy and screen access unverified</x:v>
      </x:c>
      <x:c r="I1443" s="12" t="str">
        <x:v>Mixed business audience</x:v>
      </x:c>
      <x:c r="J1443" s="12" t="str">
        <x:v>Engineering &amp; manufacturing</x:v>
      </x:c>
      <x:c r="K1443" s="2" t="str">
        <x:v>MAIN-325</x:v>
      </x:c>
    </x:row>
    <x:row r="1444" ht="46" customHeight="1">
      <x:c r="A1444" s="2" t="str">
        <x:v>TEN-C113FA983474</x:v>
      </x:c>
      <x:c r="B1444" s="12" t="str">
        <x:v>Amezone</x:v>
      </x:c>
      <x:c r="C1444" s="12" t="str">
        <x:v>CORP-0321</x:v>
      </x:c>
      <x:c r="D1444" s="12" t="str">
        <x:v>Mumbai</x:v>
      </x:c>
      <x:c r="E1444" s="12" t="str">
        <x:v>Nucleus - One BKC</x:v>
      </x:c>
      <x:c r="F1444" s="12" t="str">
        <x:v>55 inch LED TV</x:v>
      </x:c>
      <x:c r="G1444" s="20" t="n">
        <x:v>2</x:v>
      </x:c>
      <x:c r="H1444" s="12" t="str">
        <x:v>Inventory-listed building/workspace context; current occupancy and screen access unverified</x:v>
      </x:c>
      <x:c r="I1444" s="12" t="str">
        <x:v>Mixed business audience</x:v>
      </x:c>
      <x:c r="J1444" s="12" t="str">
        <x:v>Unresolved</x:v>
      </x:c>
      <x:c r="K1444" s="2" t="str">
        <x:v>MAIN-325</x:v>
      </x:c>
    </x:row>
    <x:row r="1445" ht="46" customHeight="1">
      <x:c r="A1445" s="2" t="str">
        <x:v>TEN-D383F63EC668</x:v>
      </x:c>
      <x:c r="B1445" s="12" t="str">
        <x:v>Swiss Reinsurance company pvt ltd</x:v>
      </x:c>
      <x:c r="C1445" s="12" t="str">
        <x:v>CORP-0321</x:v>
      </x:c>
      <x:c r="D1445" s="12" t="str">
        <x:v>Mumbai</x:v>
      </x:c>
      <x:c r="E1445" s="12" t="str">
        <x:v>Nucleus - One BKC</x:v>
      </x:c>
      <x:c r="F1445" s="12" t="str">
        <x:v>55 inch LED TV</x:v>
      </x:c>
      <x:c r="G1445" s="20" t="n">
        <x:v>2</x:v>
      </x:c>
      <x:c r="H1445" s="12" t="str">
        <x:v>Inventory-listed building/workspace context; current occupancy and screen access unverified</x:v>
      </x:c>
      <x:c r="I1445" s="12" t="str">
        <x:v>Large enterprise</x:v>
      </x:c>
      <x:c r="J1445" s="12" t="str">
        <x:v>Finance &amp; insurance</x:v>
      </x:c>
      <x:c r="K1445" s="2" t="str">
        <x:v>MAIN-325</x:v>
      </x:c>
    </x:row>
    <x:row r="1446" ht="46" customHeight="1">
      <x:c r="A1446" s="2" t="str">
        <x:v>TEN-D7828298EF2E</x:v>
      </x:c>
      <x:c r="B1446" s="12" t="str">
        <x:v>Trafigura India Pvt Ltd</x:v>
      </x:c>
      <x:c r="C1446" s="12" t="str">
        <x:v>CORP-0321</x:v>
      </x:c>
      <x:c r="D1446" s="12" t="str">
        <x:v>Mumbai</x:v>
      </x:c>
      <x:c r="E1446" s="12" t="str">
        <x:v>Nucleus - One BKC</x:v>
      </x:c>
      <x:c r="F1446" s="12" t="str">
        <x:v>55 inch LED TV</x:v>
      </x:c>
      <x:c r="G1446" s="20" t="n">
        <x:v>2</x:v>
      </x:c>
      <x:c r="H1446" s="12" t="str">
        <x:v>Inventory-listed building/workspace context; current occupancy and screen access unverified</x:v>
      </x:c>
      <x:c r="I1446" s="12" t="str">
        <x:v>Mixed business audience</x:v>
      </x:c>
      <x:c r="J1446" s="12" t="str">
        <x:v>Trade, consumer &amp; logistics</x:v>
      </x:c>
      <x:c r="K1446" s="2" t="str">
        <x:v>MAIN-325</x:v>
      </x:c>
    </x:row>
    <x:row r="1447" ht="46" customHeight="1">
      <x:c r="A1447" s="2" t="str">
        <x:v>TEN-EC27AEBDBCFB</x:v>
      </x:c>
      <x:c r="B1447" s="12" t="str">
        <x:v>RISE World Limited</x:v>
      </x:c>
      <x:c r="C1447" s="12" t="str">
        <x:v>CORP-0321</x:v>
      </x:c>
      <x:c r="D1447" s="12" t="str">
        <x:v>Mumbai</x:v>
      </x:c>
      <x:c r="E1447" s="12" t="str">
        <x:v>Nucleus - One BKC</x:v>
      </x:c>
      <x:c r="F1447" s="12" t="str">
        <x:v>55 inch LED TV</x:v>
      </x:c>
      <x:c r="G1447" s="20" t="n">
        <x:v>2</x:v>
      </x:c>
      <x:c r="H1447" s="12" t="str">
        <x:v>Inventory-listed building/workspace context; current occupancy and screen access unverified</x:v>
      </x:c>
      <x:c r="I1447" s="12" t="str">
        <x:v>Mixed business audience</x:v>
      </x:c>
      <x:c r="J1447" s="12" t="str">
        <x:v>Unresolved</x:v>
      </x:c>
      <x:c r="K1447" s="2" t="str">
        <x:v>MAIN-325</x:v>
      </x:c>
    </x:row>
    <x:row r="1448" ht="46" customHeight="1">
      <x:c r="A1448" s="2" t="str">
        <x:v>TEN-1A7118C1FC7F</x:v>
      </x:c>
      <x:c r="B1448" s="12" t="str">
        <x:v>Atradious India Credit Management service</x:v>
      </x:c>
      <x:c r="C1448" s="12" t="str">
        <x:v>CORP-0322</x:v>
      </x:c>
      <x:c r="D1448" s="12" t="str">
        <x:v>Mumbai</x:v>
      </x:c>
      <x:c r="E1448" s="12" t="str">
        <x:v>Nucleus - One International Center</x:v>
      </x:c>
      <x:c r="F1448" s="12" t="str">
        <x:v>55 inch LED TV</x:v>
      </x:c>
      <x:c r="G1448" s="20" t="n">
        <x:v>9</x:v>
      </x:c>
      <x:c r="H1448" s="12" t="str">
        <x:v>Campus/portfolio roster; individual building occupancy unverified</x:v>
      </x:c>
      <x:c r="I1448" s="12" t="str">
        <x:v>Mixed business audience</x:v>
      </x:c>
      <x:c r="J1448" s="12" t="str">
        <x:v>Finance &amp; insurance</x:v>
      </x:c>
      <x:c r="K1448" s="2" t="str">
        <x:v>MAIN-326</x:v>
      </x:c>
    </x:row>
    <x:row r="1449" ht="46" customHeight="1">
      <x:c r="A1449" s="2" t="str">
        <x:v>TEN-1AA929D469F6</x:v>
      </x:c>
      <x:c r="B1449" s="12" t="str">
        <x:v>TUNGALOY India pvt ltd</x:v>
      </x:c>
      <x:c r="C1449" s="12" t="str">
        <x:v>CORP-0322</x:v>
      </x:c>
      <x:c r="D1449" s="12" t="str">
        <x:v>Mumbai</x:v>
      </x:c>
      <x:c r="E1449" s="12" t="str">
        <x:v>Nucleus - One International Center</x:v>
      </x:c>
      <x:c r="F1449" s="12" t="str">
        <x:v>55 inch LED TV</x:v>
      </x:c>
      <x:c r="G1449" s="20" t="n">
        <x:v>9</x:v>
      </x:c>
      <x:c r="H1449" s="12" t="str">
        <x:v>Campus/portfolio roster; individual building occupancy unverified</x:v>
      </x:c>
      <x:c r="I1449" s="12" t="str">
        <x:v>Mixed business audience</x:v>
      </x:c>
      <x:c r="J1449" s="12" t="str">
        <x:v>Engineering &amp; manufacturing</x:v>
      </x:c>
      <x:c r="K1449" s="2" t="str">
        <x:v>MAIN-326</x:v>
      </x:c>
    </x:row>
    <x:row r="1450" ht="46" customHeight="1">
      <x:c r="A1450" s="2" t="str">
        <x:v>TEN-36780DC603DA</x:v>
      </x:c>
      <x:c r="B1450" s="12" t="str">
        <x:v>Atraduius Collection</x:v>
      </x:c>
      <x:c r="C1450" s="12" t="str">
        <x:v>CORP-0322</x:v>
      </x:c>
      <x:c r="D1450" s="12" t="str">
        <x:v>Mumbai</x:v>
      </x:c>
      <x:c r="E1450" s="12" t="str">
        <x:v>Nucleus - One International Center</x:v>
      </x:c>
      <x:c r="F1450" s="12" t="str">
        <x:v>55 inch LED TV</x:v>
      </x:c>
      <x:c r="G1450" s="20" t="n">
        <x:v>9</x:v>
      </x:c>
      <x:c r="H1450" s="12" t="str">
        <x:v>Campus/portfolio roster; individual building occupancy unverified</x:v>
      </x:c>
      <x:c r="I1450" s="12" t="str">
        <x:v>Mixed business audience</x:v>
      </x:c>
      <x:c r="J1450" s="12" t="str">
        <x:v>Finance &amp; insurance</x:v>
      </x:c>
      <x:c r="K1450" s="2" t="str">
        <x:v>MAIN-326</x:v>
      </x:c>
    </x:row>
    <x:row r="1451" ht="46" customHeight="1">
      <x:c r="A1451" s="2" t="str">
        <x:v>TEN-7C48F1E5A50A</x:v>
      </x:c>
      <x:c r="B1451" s="12" t="str">
        <x:v>Pepper India Business Service Pvt Ltd</x:v>
      </x:c>
      <x:c r="C1451" s="12" t="str">
        <x:v>CORP-0322</x:v>
      </x:c>
      <x:c r="D1451" s="12" t="str">
        <x:v>Mumbai</x:v>
      </x:c>
      <x:c r="E1451" s="12" t="str">
        <x:v>Nucleus - One International Center</x:v>
      </x:c>
      <x:c r="F1451" s="12" t="str">
        <x:v>55 inch LED TV</x:v>
      </x:c>
      <x:c r="G1451" s="20" t="n">
        <x:v>9</x:v>
      </x:c>
      <x:c r="H1451" s="12" t="str">
        <x:v>Campus/portfolio roster; individual building occupancy unverified</x:v>
      </x:c>
      <x:c r="I1451" s="12" t="str">
        <x:v>Mixed business audience</x:v>
      </x:c>
      <x:c r="J1451" s="12" t="str">
        <x:v>Unresolved</x:v>
      </x:c>
      <x:c r="K1451" s="2" t="str">
        <x:v>MAIN-326</x:v>
      </x:c>
    </x:row>
    <x:row r="1452" ht="46" customHeight="1">
      <x:c r="A1452" s="2" t="str">
        <x:v>TEN-801A43D48DD3</x:v>
      </x:c>
      <x:c r="B1452" s="12" t="str">
        <x:v>Mondelez India Food Pvt Ltd</x:v>
      </x:c>
      <x:c r="C1452" s="12" t="str">
        <x:v>CORP-0322</x:v>
      </x:c>
      <x:c r="D1452" s="12" t="str">
        <x:v>Mumbai</x:v>
      </x:c>
      <x:c r="E1452" s="12" t="str">
        <x:v>Nucleus - One International Center</x:v>
      </x:c>
      <x:c r="F1452" s="12" t="str">
        <x:v>55 inch LED TV</x:v>
      </x:c>
      <x:c r="G1452" s="20" t="n">
        <x:v>9</x:v>
      </x:c>
      <x:c r="H1452" s="12" t="str">
        <x:v>Campus/portfolio roster; individual building occupancy unverified</x:v>
      </x:c>
      <x:c r="I1452" s="12" t="str">
        <x:v>Mixed business audience</x:v>
      </x:c>
      <x:c r="J1452" s="12" t="str">
        <x:v>Trade, consumer &amp; logistics</x:v>
      </x:c>
      <x:c r="K1452" s="2" t="str">
        <x:v>MAIN-326</x:v>
      </x:c>
    </x:row>
    <x:row r="1453" ht="46" customHeight="1">
      <x:c r="A1453" s="2" t="str">
        <x:v>TEN-8E6ECCA9BBE1</x:v>
      </x:c>
      <x:c r="B1453" s="12" t="str">
        <x:v>Moet Hennessy India Pvt Ltd</x:v>
      </x:c>
      <x:c r="C1453" s="12" t="str">
        <x:v>CORP-0322</x:v>
      </x:c>
      <x:c r="D1453" s="12" t="str">
        <x:v>Mumbai</x:v>
      </x:c>
      <x:c r="E1453" s="12" t="str">
        <x:v>Nucleus - One International Center</x:v>
      </x:c>
      <x:c r="F1453" s="12" t="str">
        <x:v>55 inch LED TV</x:v>
      </x:c>
      <x:c r="G1453" s="20" t="n">
        <x:v>9</x:v>
      </x:c>
      <x:c r="H1453" s="12" t="str">
        <x:v>Campus/portfolio roster; individual building occupancy unverified</x:v>
      </x:c>
      <x:c r="I1453" s="12" t="str">
        <x:v>Mixed business audience</x:v>
      </x:c>
      <x:c r="J1453" s="12" t="str">
        <x:v>Trade, consumer &amp; logistics</x:v>
      </x:c>
      <x:c r="K1453" s="2" t="str">
        <x:v>MAIN-326</x:v>
      </x:c>
    </x:row>
    <x:row r="1454" ht="46" customHeight="1">
      <x:c r="A1454" s="2" t="str">
        <x:v>TEN-96F63367FE10</x:v>
      </x:c>
      <x:c r="B1454" s="12" t="str">
        <x:v>Anurag Pandey RJ</x:v>
      </x:c>
      <x:c r="C1454" s="12" t="str">
        <x:v>CORP-0322</x:v>
      </x:c>
      <x:c r="D1454" s="12" t="str">
        <x:v>Mumbai</x:v>
      </x:c>
      <x:c r="E1454" s="12" t="str">
        <x:v>Nucleus - One International Center</x:v>
      </x:c>
      <x:c r="F1454" s="12" t="str">
        <x:v>55 inch LED TV</x:v>
      </x:c>
      <x:c r="G1454" s="20" t="n">
        <x:v>9</x:v>
      </x:c>
      <x:c r="H1454" s="12" t="str">
        <x:v>Campus/portfolio roster; individual building occupancy unverified</x:v>
      </x:c>
      <x:c r="I1454" s="12" t="str">
        <x:v>Mixed business audience</x:v>
      </x:c>
      <x:c r="J1454" s="12" t="str">
        <x:v>Unresolved</x:v>
      </x:c>
      <x:c r="K1454" s="2" t="str">
        <x:v>MAIN-326</x:v>
      </x:c>
    </x:row>
    <x:row r="1455" ht="46" customHeight="1">
      <x:c r="A1455" s="2" t="str">
        <x:v>TEN-A53F68861A8C</x:v>
      </x:c>
      <x:c r="B1455" s="12" t="str">
        <x:v>EuroLife Health Care Pvt Ltd</x:v>
      </x:c>
      <x:c r="C1455" s="12" t="str">
        <x:v>CORP-0322</x:v>
      </x:c>
      <x:c r="D1455" s="12" t="str">
        <x:v>Mumbai</x:v>
      </x:c>
      <x:c r="E1455" s="12" t="str">
        <x:v>Nucleus - One International Center</x:v>
      </x:c>
      <x:c r="F1455" s="12" t="str">
        <x:v>55 inch LED TV</x:v>
      </x:c>
      <x:c r="G1455" s="20" t="n">
        <x:v>9</x:v>
      </x:c>
      <x:c r="H1455" s="12" t="str">
        <x:v>Campus/portfolio roster; individual building occupancy unverified</x:v>
      </x:c>
      <x:c r="I1455" s="12" t="str">
        <x:v>Small-scale prospects</x:v>
      </x:c>
      <x:c r="J1455" s="12" t="str">
        <x:v>Healthcare &amp; life sciences</x:v>
      </x:c>
      <x:c r="K1455" s="2" t="str">
        <x:v>MAIN-326</x:v>
      </x:c>
    </x:row>
    <x:row r="1456" ht="46" customHeight="1">
      <x:c r="A1456" s="2" t="str">
        <x:v>TEN-E622BF93922B</x:v>
      </x:c>
      <x:c r="B1456" s="12" t="str">
        <x:v>Fever 104 FM</x:v>
      </x:c>
      <x:c r="C1456" s="12" t="str">
        <x:v>CORP-0322</x:v>
      </x:c>
      <x:c r="D1456" s="12" t="str">
        <x:v>Mumbai</x:v>
      </x:c>
      <x:c r="E1456" s="12" t="str">
        <x:v>Nucleus - One International Center</x:v>
      </x:c>
      <x:c r="F1456" s="12" t="str">
        <x:v>55 inch LED TV</x:v>
      </x:c>
      <x:c r="G1456" s="20" t="n">
        <x:v>9</x:v>
      </x:c>
      <x:c r="H1456" s="12" t="str">
        <x:v>Campus/portfolio roster; individual building occupancy unverified</x:v>
      </x:c>
      <x:c r="I1456" s="12" t="str">
        <x:v>Mixed business audience</x:v>
      </x:c>
      <x:c r="J1456" s="12" t="str">
        <x:v>Trade, consumer &amp; logistics</x:v>
      </x:c>
      <x:c r="K1456" s="2" t="str">
        <x:v>MAIN-326</x:v>
      </x:c>
    </x:row>
    <x:row r="1457" ht="46" customHeight="1">
      <x:c r="A1457" s="2" t="str">
        <x:v>TEN-FF15D0106369</x:v>
      </x:c>
      <x:c r="B1457" s="12" t="str">
        <x:v>KOTRA Mumbai</x:v>
      </x:c>
      <x:c r="C1457" s="12" t="str">
        <x:v>CORP-0322</x:v>
      </x:c>
      <x:c r="D1457" s="12" t="str">
        <x:v>Mumbai</x:v>
      </x:c>
      <x:c r="E1457" s="12" t="str">
        <x:v>Nucleus - One International Center</x:v>
      </x:c>
      <x:c r="F1457" s="12" t="str">
        <x:v>55 inch LED TV</x:v>
      </x:c>
      <x:c r="G1457" s="20" t="n">
        <x:v>9</x:v>
      </x:c>
      <x:c r="H1457" s="12" t="str">
        <x:v>Campus/portfolio roster; individual building occupancy unverified</x:v>
      </x:c>
      <x:c r="I1457" s="12" t="str">
        <x:v>Institutional</x:v>
      </x:c>
      <x:c r="J1457" s="12" t="str">
        <x:v>Government &amp; nonprofit</x:v>
      </x:c>
      <x:c r="K1457" s="2" t="str">
        <x:v>MAIN-326</x:v>
      </x:c>
    </x:row>
    <x:row r="1458" ht="46" customHeight="1">
      <x:c r="A1458" s="2" t="str">
        <x:v>TEN-0343379BA4A0</x:v>
      </x:c>
      <x:c r="B1458" s="12" t="str">
        <x:v>Khaitan &amp; Co</x:v>
      </x:c>
      <x:c r="C1458" s="12" t="str">
        <x:v>CORP-0323</x:v>
      </x:c>
      <x:c r="D1458" s="12" t="str">
        <x:v>Mumbai</x:v>
      </x:c>
      <x:c r="E1458" s="12" t="str">
        <x:v>Nucleus - One World Center</x:v>
      </x:c>
      <x:c r="F1458" s="12" t="str">
        <x:v>55 inch LED TV</x:v>
      </x:c>
      <x:c r="G1458" s="20" t="n">
        <x:v>8</x:v>
      </x:c>
      <x:c r="H1458" s="12" t="str">
        <x:v>Inventory-listed building/workspace context; current occupancy and screen access unverified</x:v>
      </x:c>
      <x:c r="I1458" s="12" t="str">
        <x:v>Large enterprise</x:v>
      </x:c>
      <x:c r="J1458" s="12" t="str">
        <x:v>Professional services</x:v>
      </x:c>
      <x:c r="K1458" s="2" t="str">
        <x:v>MAIN-327</x:v>
      </x:c>
    </x:row>
    <x:row r="1459" ht="46" customHeight="1">
      <x:c r="A1459" s="2" t="str">
        <x:v>TEN-36B6546CB786</x:v>
      </x:c>
      <x:c r="B1459" s="12" t="str">
        <x:v>Indusind bank Corporate office</x:v>
      </x:c>
      <x:c r="C1459" s="12" t="str">
        <x:v>CORP-0323</x:v>
      </x:c>
      <x:c r="D1459" s="12" t="str">
        <x:v>Mumbai</x:v>
      </x:c>
      <x:c r="E1459" s="12" t="str">
        <x:v>Nucleus - One World Center</x:v>
      </x:c>
      <x:c r="F1459" s="12" t="str">
        <x:v>55 inch LED TV</x:v>
      </x:c>
      <x:c r="G1459" s="20" t="n">
        <x:v>8</x:v>
      </x:c>
      <x:c r="H1459" s="12" t="str">
        <x:v>Inventory-listed building/workspace context; current occupancy and screen access unverified</x:v>
      </x:c>
      <x:c r="I1459" s="12" t="str">
        <x:v>Large enterprise</x:v>
      </x:c>
      <x:c r="J1459" s="12" t="str">
        <x:v>Finance &amp; insurance</x:v>
      </x:c>
      <x:c r="K1459" s="2" t="str">
        <x:v>MAIN-327</x:v>
      </x:c>
    </x:row>
    <x:row r="1460" ht="46" customHeight="1">
      <x:c r="A1460" s="2" t="str">
        <x:v>TEN-460DF29B25EA</x:v>
      </x:c>
      <x:c r="B1460" s="12" t="str">
        <x:v>Mylan Pharmaceuticals</x:v>
      </x:c>
      <x:c r="C1460" s="12" t="str">
        <x:v>CORP-0323</x:v>
      </x:c>
      <x:c r="D1460" s="12" t="str">
        <x:v>Mumbai</x:v>
      </x:c>
      <x:c r="E1460" s="12" t="str">
        <x:v>Nucleus - One World Center</x:v>
      </x:c>
      <x:c r="F1460" s="12" t="str">
        <x:v>55 inch LED TV</x:v>
      </x:c>
      <x:c r="G1460" s="20" t="n">
        <x:v>8</x:v>
      </x:c>
      <x:c r="H1460" s="12" t="str">
        <x:v>Inventory-listed building/workspace context; current occupancy and screen access unverified</x:v>
      </x:c>
      <x:c r="I1460" s="12" t="str">
        <x:v>Mixed business audience</x:v>
      </x:c>
      <x:c r="J1460" s="12" t="str">
        <x:v>Healthcare &amp; life sciences</x:v>
      </x:c>
      <x:c r="K1460" s="2" t="str">
        <x:v>MAIN-327</x:v>
      </x:c>
    </x:row>
    <x:row r="1461" ht="46" customHeight="1">
      <x:c r="A1461" s="2" t="str">
        <x:v>TEN-4B10DE9A2535</x:v>
      </x:c>
      <x:c r="B1461" s="12" t="str">
        <x:v>Prahar</x:v>
      </x:c>
      <x:c r="C1461" s="12" t="str">
        <x:v>CORP-0323</x:v>
      </x:c>
      <x:c r="D1461" s="12" t="str">
        <x:v>Mumbai</x:v>
      </x:c>
      <x:c r="E1461" s="12" t="str">
        <x:v>Nucleus - One World Center</x:v>
      </x:c>
      <x:c r="F1461" s="12" t="str">
        <x:v>55 inch LED TV</x:v>
      </x:c>
      <x:c r="G1461" s="20" t="n">
        <x:v>8</x:v>
      </x:c>
      <x:c r="H1461" s="12" t="str">
        <x:v>Inventory-listed building/workspace context; current occupancy and screen access unverified</x:v>
      </x:c>
      <x:c r="I1461" s="12" t="str">
        <x:v>Mixed business audience</x:v>
      </x:c>
      <x:c r="J1461" s="12" t="str">
        <x:v>Unresolved</x:v>
      </x:c>
      <x:c r="K1461" s="2" t="str">
        <x:v>MAIN-327</x:v>
      </x:c>
    </x:row>
    <x:row r="1462" ht="46" customHeight="1">
      <x:c r="A1462" s="2" t="str">
        <x:v>TEN-7925879E314A</x:v>
      </x:c>
      <x:c r="B1462" s="12" t="str">
        <x:v>Flexiloans Teachnologies Pvt Ltd</x:v>
      </x:c>
      <x:c r="C1462" s="12" t="str">
        <x:v>CORP-0323</x:v>
      </x:c>
      <x:c r="D1462" s="12" t="str">
        <x:v>Mumbai</x:v>
      </x:c>
      <x:c r="E1462" s="12" t="str">
        <x:v>Nucleus - One World Center</x:v>
      </x:c>
      <x:c r="F1462" s="12" t="str">
        <x:v>55 inch LED TV</x:v>
      </x:c>
      <x:c r="G1462" s="20" t="n">
        <x:v>8</x:v>
      </x:c>
      <x:c r="H1462" s="12" t="str">
        <x:v>Inventory-listed building/workspace context; current occupancy and screen access unverified</x:v>
      </x:c>
      <x:c r="I1462" s="12" t="str">
        <x:v>Medium-scale prospects</x:v>
      </x:c>
      <x:c r="J1462" s="12" t="str">
        <x:v>Finance &amp; insurance</x:v>
      </x:c>
      <x:c r="K1462" s="2" t="str">
        <x:v>MAIN-327</x:v>
      </x:c>
    </x:row>
    <x:row r="1463" ht="46" customHeight="1">
      <x:c r="A1463" s="2" t="str">
        <x:v>TEN-9A29B1AC02B6</x:v>
      </x:c>
      <x:c r="B1463" s="12" t="str">
        <x:v>RBL Bank Ltd</x:v>
      </x:c>
      <x:c r="C1463" s="12" t="str">
        <x:v>CORP-0323</x:v>
      </x:c>
      <x:c r="D1463" s="12" t="str">
        <x:v>Mumbai</x:v>
      </x:c>
      <x:c r="E1463" s="12" t="str">
        <x:v>Nucleus - One World Center</x:v>
      </x:c>
      <x:c r="F1463" s="12" t="str">
        <x:v>55 inch LED TV</x:v>
      </x:c>
      <x:c r="G1463" s="20" t="n">
        <x:v>8</x:v>
      </x:c>
      <x:c r="H1463" s="12" t="str">
        <x:v>Inventory-listed building/workspace context; current occupancy and screen access unverified</x:v>
      </x:c>
      <x:c r="I1463" s="12" t="str">
        <x:v>Mixed business audience</x:v>
      </x:c>
      <x:c r="J1463" s="12" t="str">
        <x:v>Finance &amp; insurance</x:v>
      </x:c>
      <x:c r="K1463" s="2" t="str">
        <x:v>MAIN-327</x:v>
      </x:c>
    </x:row>
    <x:row r="1464" ht="46" customHeight="1">
      <x:c r="A1464" s="2" t="str">
        <x:v>TEN-A9E3F127D53F</x:v>
      </x:c>
      <x:c r="B1464" s="12" t="str">
        <x:v>IDFC First Bank</x:v>
      </x:c>
      <x:c r="C1464" s="12" t="str">
        <x:v>CORP-0323</x:v>
      </x:c>
      <x:c r="D1464" s="12" t="str">
        <x:v>Mumbai</x:v>
      </x:c>
      <x:c r="E1464" s="12" t="str">
        <x:v>Nucleus - One World Center</x:v>
      </x:c>
      <x:c r="F1464" s="12" t="str">
        <x:v>55 inch LED TV</x:v>
      </x:c>
      <x:c r="G1464" s="20" t="n">
        <x:v>8</x:v>
      </x:c>
      <x:c r="H1464" s="12" t="str">
        <x:v>Inventory-listed building/workspace context; current occupancy and screen access unverified</x:v>
      </x:c>
      <x:c r="I1464" s="12" t="str">
        <x:v>Large enterprise</x:v>
      </x:c>
      <x:c r="J1464" s="12" t="str">
        <x:v>Finance &amp; insurance</x:v>
      </x:c>
      <x:c r="K1464" s="2" t="str">
        <x:v>MAIN-327</x:v>
      </x:c>
    </x:row>
    <x:row r="1465" ht="46" customHeight="1">
      <x:c r="A1465" s="2" t="str">
        <x:v>TEN-CB571403F03F</x:v>
      </x:c>
      <x:c r="B1465" s="12" t="str">
        <x:v>Thomson Reuters</x:v>
      </x:c>
      <x:c r="C1465" s="12" t="str">
        <x:v>CORP-0323</x:v>
      </x:c>
      <x:c r="D1465" s="12" t="str">
        <x:v>Mumbai</x:v>
      </x:c>
      <x:c r="E1465" s="12" t="str">
        <x:v>Nucleus - One World Center</x:v>
      </x:c>
      <x:c r="F1465" s="12" t="str">
        <x:v>55 inch LED TV</x:v>
      </x:c>
      <x:c r="G1465" s="20" t="n">
        <x:v>8</x:v>
      </x:c>
      <x:c r="H1465" s="12" t="str">
        <x:v>Inventory-listed building/workspace context; current occupancy and screen access unverified</x:v>
      </x:c>
      <x:c r="I1465" s="12" t="str">
        <x:v>Large enterprise</x:v>
      </x:c>
      <x:c r="J1465" s="12" t="str">
        <x:v>IT &amp; digital</x:v>
      </x:c>
      <x:c r="K1465" s="2" t="str">
        <x:v>MAIN-327</x:v>
      </x:c>
    </x:row>
    <x:row r="1466" ht="46" customHeight="1">
      <x:c r="A1466" s="2" t="str">
        <x:v>TEN-CFE74AB3F5EB</x:v>
      </x:c>
      <x:c r="B1466" s="12" t="str">
        <x:v>Indospace Development Management Pvt Ltd</x:v>
      </x:c>
      <x:c r="C1466" s="12" t="str">
        <x:v>CORP-0323</x:v>
      </x:c>
      <x:c r="D1466" s="12" t="str">
        <x:v>Mumbai</x:v>
      </x:c>
      <x:c r="E1466" s="12" t="str">
        <x:v>Nucleus - One World Center</x:v>
      </x:c>
      <x:c r="F1466" s="12" t="str">
        <x:v>55 inch LED TV</x:v>
      </x:c>
      <x:c r="G1466" s="20" t="n">
        <x:v>8</x:v>
      </x:c>
      <x:c r="H1466" s="12" t="str">
        <x:v>Inventory-listed building/workspace context; current occupancy and screen access unverified</x:v>
      </x:c>
      <x:c r="I1466" s="12" t="str">
        <x:v>Mixed business audience</x:v>
      </x:c>
      <x:c r="J1466" s="12" t="str">
        <x:v>Trade, consumer &amp; logistics</x:v>
      </x:c>
      <x:c r="K1466" s="2" t="str">
        <x:v>MAIN-327</x:v>
      </x:c>
    </x:row>
    <x:row r="1467" ht="46" customHeight="1">
      <x:c r="A1467" s="2" t="str">
        <x:v>TEN-F1D95BCB2EFB</x:v>
      </x:c>
      <x:c r="B1467" s="12" t="str">
        <x:v>Transunion Software Services Pvt Ltd</x:v>
      </x:c>
      <x:c r="C1467" s="12" t="str">
        <x:v>CORP-0323</x:v>
      </x:c>
      <x:c r="D1467" s="12" t="str">
        <x:v>Mumbai</x:v>
      </x:c>
      <x:c r="E1467" s="12" t="str">
        <x:v>Nucleus - One World Center</x:v>
      </x:c>
      <x:c r="F1467" s="12" t="str">
        <x:v>55 inch LED TV</x:v>
      </x:c>
      <x:c r="G1467" s="20" t="n">
        <x:v>8</x:v>
      </x:c>
      <x:c r="H1467" s="12" t="str">
        <x:v>Inventory-listed building/workspace context; current occupancy and screen access unverified</x:v>
      </x:c>
      <x:c r="I1467" s="12" t="str">
        <x:v>Mixed business audience</x:v>
      </x:c>
      <x:c r="J1467" s="12" t="str">
        <x:v>IT &amp; digital</x:v>
      </x:c>
      <x:c r="K1467" s="2" t="str">
        <x:v>MAIN-327</x:v>
      </x:c>
    </x:row>
    <x:row r="1468" ht="46" customHeight="1">
      <x:c r="A1468" s="2" t="str">
        <x:v>TEN-1A250C4D13AC</x:v>
      </x:c>
      <x:c r="B1468" s="12" t="str">
        <x:v>Klay</x:v>
      </x:c>
      <x:c r="C1468" s="12" t="str">
        <x:v>CORP-0324</x:v>
      </x:c>
      <x:c r="D1468" s="12" t="str">
        <x:v>Mumbai</x:v>
      </x:c>
      <x:c r="E1468" s="12" t="str">
        <x:v>Nucleus - Prima Bay</x:v>
      </x:c>
      <x:c r="F1468" s="12" t="str">
        <x:v>55 inch LED TV</x:v>
      </x:c>
      <x:c r="G1468" s="20" t="n">
        <x:v>3</x:v>
      </x:c>
      <x:c r="H1468" s="12" t="str">
        <x:v>Inventory-listed building/workspace context; current occupancy and screen access unverified</x:v>
      </x:c>
      <x:c r="I1468" s="12" t="str">
        <x:v>Mixed business audience</x:v>
      </x:c>
      <x:c r="J1468" s="12" t="str">
        <x:v>Education</x:v>
      </x:c>
      <x:c r="K1468" s="2" t="str">
        <x:v>MAIN-328</x:v>
      </x:c>
    </x:row>
    <x:row r="1469" ht="46" customHeight="1">
      <x:c r="A1469" s="2" t="str">
        <x:v>TEN-BC3067AC45DF</x:v>
      </x:c>
      <x:c r="B1469" s="12" t="str">
        <x:v>Schneider Electric</x:v>
      </x:c>
      <x:c r="C1469" s="12" t="str">
        <x:v>CORP-0324</x:v>
      </x:c>
      <x:c r="D1469" s="12" t="str">
        <x:v>Mumbai</x:v>
      </x:c>
      <x:c r="E1469" s="12" t="str">
        <x:v>Nucleus - Prima Bay</x:v>
      </x:c>
      <x:c r="F1469" s="12" t="str">
        <x:v>55 inch LED TV</x:v>
      </x:c>
      <x:c r="G1469" s="20" t="n">
        <x:v>3</x:v>
      </x:c>
      <x:c r="H1469" s="12" t="str">
        <x:v>Inventory-listed building/workspace context; current occupancy and screen access unverified</x:v>
      </x:c>
      <x:c r="I1469" s="12" t="str">
        <x:v>Large enterprise</x:v>
      </x:c>
      <x:c r="J1469" s="12" t="str">
        <x:v>Engineering &amp; manufacturing</x:v>
      </x:c>
      <x:c r="K1469" s="2" t="str">
        <x:v>MAIN-328</x:v>
      </x:c>
    </x:row>
    <x:row r="1470" ht="46" customHeight="1">
      <x:c r="A1470" s="2" t="str">
        <x:v>TEN-5B3F0160CC24</x:v>
      </x:c>
      <x:c r="B1470" s="12" t="str">
        <x:v>Swelect Pvt.Ltd</x:v>
      </x:c>
      <x:c r="C1470" s="12" t="str">
        <x:v>CORP-0029</x:v>
      </x:c>
      <x:c r="D1470" s="12" t="str">
        <x:v>Bengaluru</x:v>
      </x:c>
      <x:c r="E1470" s="12" t="str">
        <x:v>Bridge - Excel</x:v>
      </x:c>
      <x:c r="F1470" s="12" t="str">
        <x:v>32 inch LED TV</x:v>
      </x:c>
      <x:c r="G1470" s="20" t="n">
        <x:v>1</x:v>
      </x:c>
      <x:c r="H1470" s="12" t="str">
        <x:v>Inventory-listed building/workspace context; current occupancy and screen access unverified</x:v>
      </x:c>
      <x:c r="I1470" s="12" t="str">
        <x:v>Mixed business audience</x:v>
      </x:c>
      <x:c r="J1470" s="12" t="str">
        <x:v>Engineering &amp; manufacturing</x:v>
      </x:c>
      <x:c r="K1470" s="2" t="str">
        <x:v>MAIN-033</x:v>
      </x:c>
    </x:row>
    <x:row r="1471" ht="46" customHeight="1">
      <x:c r="A1471" s="2" t="str">
        <x:v>TEN-A5525ED3A856</x:v>
      </x:c>
      <x:c r="B1471" s="12" t="str">
        <x:v>Forth Fortuner</x:v>
      </x:c>
      <x:c r="C1471" s="12" t="str">
        <x:v>CORP-0029</x:v>
      </x:c>
      <x:c r="D1471" s="12" t="str">
        <x:v>Bengaluru</x:v>
      </x:c>
      <x:c r="E1471" s="12" t="str">
        <x:v>Bridge - Excel</x:v>
      </x:c>
      <x:c r="F1471" s="12" t="str">
        <x:v>32 inch LED TV</x:v>
      </x:c>
      <x:c r="G1471" s="20" t="n">
        <x:v>1</x:v>
      </x:c>
      <x:c r="H1471" s="12" t="str">
        <x:v>Inventory-listed building/workspace context; current occupancy and screen access unverified</x:v>
      </x:c>
      <x:c r="I1471" s="12" t="str">
        <x:v>Mixed business audience</x:v>
      </x:c>
      <x:c r="J1471" s="12" t="str">
        <x:v>Unresolved</x:v>
      </x:c>
      <x:c r="K1471" s="2" t="str">
        <x:v>MAIN-033</x:v>
      </x:c>
    </x:row>
    <x:row r="1472" ht="46" customHeight="1">
      <x:c r="A1472" s="2" t="str">
        <x:v>TEN-092903F0473D</x:v>
      </x:c>
      <x:c r="B1472" s="12" t="str">
        <x:v>Aditya Birla Health Insurance Co. Limited</x:v>
      </x:c>
      <x:c r="C1472" s="12" t="str">
        <x:v>CORP-0327</x:v>
      </x:c>
      <x:c r="D1472" s="12" t="str">
        <x:v>Mumbai</x:v>
      </x:c>
      <x:c r="E1472" s="12" t="str">
        <x:v>One World Centre (Redbrick Offices)</x:v>
      </x:c>
      <x:c r="F1472" s="12" t="str">
        <x:v>32 inch LED TV</x:v>
      </x:c>
      <x:c r="G1472" s="20" t="n">
        <x:v>1</x:v>
      </x:c>
      <x:c r="H1472" s="12" t="str">
        <x:v>Inventory-listed building/workspace context; current occupancy and screen access unverified</x:v>
      </x:c>
      <x:c r="I1472" s="12" t="str">
        <x:v>Large enterprise</x:v>
      </x:c>
      <x:c r="J1472" s="12" t="str">
        <x:v>Finance &amp; insurance</x:v>
      </x:c>
      <x:c r="K1472" s="2" t="str">
        <x:v>MAIN-331</x:v>
      </x:c>
    </x:row>
    <x:row r="1473" ht="46" customHeight="1">
      <x:c r="A1473" s="2" t="str">
        <x:v>TEN-4C7CA5D23DE5</x:v>
      </x:c>
      <x:c r="B1473" s="12" t="str">
        <x:v>Kirloskar Capital Ltd</x:v>
      </x:c>
      <x:c r="C1473" s="12" t="str">
        <x:v>CORP-0327</x:v>
      </x:c>
      <x:c r="D1473" s="12" t="str">
        <x:v>Mumbai</x:v>
      </x:c>
      <x:c r="E1473" s="12" t="str">
        <x:v>One World Centre (Redbrick Offices)</x:v>
      </x:c>
      <x:c r="F1473" s="12" t="str">
        <x:v>32 inch LED TV</x:v>
      </x:c>
      <x:c r="G1473" s="20" t="n">
        <x:v>1</x:v>
      </x:c>
      <x:c r="H1473" s="12" t="str">
        <x:v>Inventory-listed building/workspace context; current occupancy and screen access unverified</x:v>
      </x:c>
      <x:c r="I1473" s="12" t="str">
        <x:v>Mixed business audience</x:v>
      </x:c>
      <x:c r="J1473" s="12" t="str">
        <x:v>Finance &amp; insurance</x:v>
      </x:c>
      <x:c r="K1473" s="2" t="str">
        <x:v>MAIN-331</x:v>
      </x:c>
    </x:row>
    <x:row r="1474" ht="46" customHeight="1">
      <x:c r="A1474" s="2" t="str">
        <x:v>TEN-62D03FBBED53</x:v>
      </x:c>
      <x:c r="B1474" s="12" t="str">
        <x:v>British Council</x:v>
      </x:c>
      <x:c r="C1474" s="12" t="str">
        <x:v>CORP-0327</x:v>
      </x:c>
      <x:c r="D1474" s="12" t="str">
        <x:v>Mumbai</x:v>
      </x:c>
      <x:c r="E1474" s="12" t="str">
        <x:v>One World Centre (Redbrick Offices)</x:v>
      </x:c>
      <x:c r="F1474" s="12" t="str">
        <x:v>32 inch LED TV</x:v>
      </x:c>
      <x:c r="G1474" s="20" t="n">
        <x:v>1</x:v>
      </x:c>
      <x:c r="H1474" s="12" t="str">
        <x:v>Inventory-listed building/workspace context; current occupancy and screen access unverified</x:v>
      </x:c>
      <x:c r="I1474" s="12" t="str">
        <x:v>Institutional</x:v>
      </x:c>
      <x:c r="J1474" s="12" t="str">
        <x:v>Government &amp; nonprofit</x:v>
      </x:c>
      <x:c r="K1474" s="2" t="str">
        <x:v>MAIN-331</x:v>
      </x:c>
    </x:row>
    <x:row r="1475" ht="46" customHeight="1">
      <x:c r="A1475" s="2" t="str">
        <x:v>TEN-6D85929AD09C</x:v>
      </x:c>
      <x:c r="B1475" s="12" t="str">
        <x:v>SORIL Infra Resources Limited</x:v>
      </x:c>
      <x:c r="C1475" s="12" t="str">
        <x:v>CORP-0327</x:v>
      </x:c>
      <x:c r="D1475" s="12" t="str">
        <x:v>Mumbai</x:v>
      </x:c>
      <x:c r="E1475" s="12" t="str">
        <x:v>One World Centre (Redbrick Offices)</x:v>
      </x:c>
      <x:c r="F1475" s="12" t="str">
        <x:v>32 inch LED TV</x:v>
      </x:c>
      <x:c r="G1475" s="20" t="n">
        <x:v>1</x:v>
      </x:c>
      <x:c r="H1475" s="12" t="str">
        <x:v>Inventory-listed building/workspace context; current occupancy and screen access unverified</x:v>
      </x:c>
      <x:c r="I1475" s="12" t="str">
        <x:v>Mixed business audience</x:v>
      </x:c>
      <x:c r="J1475" s="12" t="str">
        <x:v>Engineering &amp; manufacturing</x:v>
      </x:c>
      <x:c r="K1475" s="2" t="str">
        <x:v>MAIN-331</x:v>
      </x:c>
    </x:row>
    <x:row r="1476" ht="46" customHeight="1">
      <x:c r="A1476" s="2" t="str">
        <x:v>TEN-818F82632375</x:v>
      </x:c>
      <x:c r="B1476" s="12" t="str">
        <x:v>Prahaar</x:v>
      </x:c>
      <x:c r="C1476" s="12" t="str">
        <x:v>CORP-0327</x:v>
      </x:c>
      <x:c r="D1476" s="12" t="str">
        <x:v>Mumbai</x:v>
      </x:c>
      <x:c r="E1476" s="12" t="str">
        <x:v>One World Centre (Redbrick Offices)</x:v>
      </x:c>
      <x:c r="F1476" s="12" t="str">
        <x:v>32 inch LED TV</x:v>
      </x:c>
      <x:c r="G1476" s="20" t="n">
        <x:v>1</x:v>
      </x:c>
      <x:c r="H1476" s="12" t="str">
        <x:v>Inventory-listed building/workspace context; current occupancy and screen access unverified</x:v>
      </x:c>
      <x:c r="I1476" s="12" t="str">
        <x:v>Mixed business audience</x:v>
      </x:c>
      <x:c r="J1476" s="12" t="str">
        <x:v>Unresolved</x:v>
      </x:c>
      <x:c r="K1476" s="2" t="str">
        <x:v>MAIN-331</x:v>
      </x:c>
    </x:row>
    <x:row r="1477" ht="46" customHeight="1">
      <x:c r="A1477" s="2" t="str">
        <x:v>TEN-B0073002DBE1</x:v>
      </x:c>
      <x:c r="B1477" s="12" t="str">
        <x:v>Oman India Joint Investment Fund</x:v>
      </x:c>
      <x:c r="C1477" s="12" t="str">
        <x:v>CORP-0327</x:v>
      </x:c>
      <x:c r="D1477" s="12" t="str">
        <x:v>Mumbai</x:v>
      </x:c>
      <x:c r="E1477" s="12" t="str">
        <x:v>One World Centre (Redbrick Offices)</x:v>
      </x:c>
      <x:c r="F1477" s="12" t="str">
        <x:v>32 inch LED TV</x:v>
      </x:c>
      <x:c r="G1477" s="20" t="n">
        <x:v>1</x:v>
      </x:c>
      <x:c r="H1477" s="12" t="str">
        <x:v>Inventory-listed building/workspace context; current occupancy and screen access unverified</x:v>
      </x:c>
      <x:c r="I1477" s="12" t="str">
        <x:v>Medium-scale prospects</x:v>
      </x:c>
      <x:c r="J1477" s="12" t="str">
        <x:v>Finance &amp; insurance</x:v>
      </x:c>
      <x:c r="K1477" s="2" t="str">
        <x:v>MAIN-331</x:v>
      </x:c>
    </x:row>
    <x:row r="1478" ht="46" customHeight="1">
      <x:c r="A1478" s="2" t="str">
        <x:v>TEN-EE47961584F5</x:v>
      </x:c>
      <x:c r="B1478" s="12" t="str">
        <x:v>Flexiloans Technologies Pvt. Ltd</x:v>
      </x:c>
      <x:c r="C1478" s="12" t="str">
        <x:v>CORP-0327</x:v>
      </x:c>
      <x:c r="D1478" s="12" t="str">
        <x:v>Mumbai</x:v>
      </x:c>
      <x:c r="E1478" s="12" t="str">
        <x:v>One World Centre (Redbrick Offices)</x:v>
      </x:c>
      <x:c r="F1478" s="12" t="str">
        <x:v>32 inch LED TV</x:v>
      </x:c>
      <x:c r="G1478" s="20" t="n">
        <x:v>1</x:v>
      </x:c>
      <x:c r="H1478" s="12" t="str">
        <x:v>Inventory-listed building/workspace context; current occupancy and screen access unverified</x:v>
      </x:c>
      <x:c r="I1478" s="12" t="str">
        <x:v>Medium-scale prospects</x:v>
      </x:c>
      <x:c r="J1478" s="12" t="str">
        <x:v>Finance &amp; insurance</x:v>
      </x:c>
      <x:c r="K1478" s="2" t="str">
        <x:v>MAIN-331</x:v>
      </x:c>
    </x:row>
    <x:row r="1479" ht="46" customHeight="1">
      <x:c r="A1479" s="2" t="str">
        <x:v>TEN-3C6BC4EB7AAD</x:v>
      </x:c>
      <x:c r="B1479" s="12" t="str">
        <x:v>Oyo Workspace</x:v>
      </x:c>
      <x:c r="C1479" s="12" t="str">
        <x:v>CORP-0328</x:v>
      </x:c>
      <x:c r="D1479" s="12" t="str">
        <x:v>Mumbai</x:v>
      </x:c>
      <x:c r="E1479" s="12" t="str">
        <x:v>Oyo Workspace - Solitaire</x:v>
      </x:c>
      <x:c r="F1479" s="12" t="str">
        <x:v>32 inch LED TV</x:v>
      </x:c>
      <x:c r="G1479" s="20" t="n">
        <x:v>3</x:v>
      </x:c>
      <x:c r="H1479" s="12" t="str">
        <x:v>Workspace operator inferred from explicit property name; tenant occupants unconfirmed</x:v>
      </x:c>
      <x:c r="I1479" s="12" t="str">
        <x:v>Mixed business audience</x:v>
      </x:c>
      <x:c r="J1479" s="12" t="str">
        <x:v>Workspace &amp; property operations</x:v>
      </x:c>
      <x:c r="K1479" s="2" t="str">
        <x:v>MAIN-332</x:v>
      </x:c>
    </x:row>
    <x:row r="1480" ht="46" customHeight="1">
      <x:c r="A1480" s="2" t="str">
        <x:v>TEN-1EE64F788B53</x:v>
      </x:c>
      <x:c r="B1480" s="12" t="str">
        <x:v>VEDIKENT BUDDY LLP</x:v>
      </x:c>
      <x:c r="C1480" s="12" t="str">
        <x:v>CORP-0329</x:v>
      </x:c>
      <x:c r="D1480" s="12" t="str">
        <x:v>Mumbai</x:v>
      </x:c>
      <x:c r="E1480" s="12" t="str">
        <x:v>Oyo Workspace - Time Square</x:v>
      </x:c>
      <x:c r="F1480" s="12" t="str">
        <x:v>32 inch LED TV</x:v>
      </x:c>
      <x:c r="G1480" s="20" t="n">
        <x:v>1</x:v>
      </x:c>
      <x:c r="H1480" s="12" t="str">
        <x:v>Inventory-listed building/workspace context; current occupancy and screen access unverified</x:v>
      </x:c>
      <x:c r="I1480" s="12" t="str">
        <x:v>Mixed business audience</x:v>
      </x:c>
      <x:c r="J1480" s="12" t="str">
        <x:v>Unresolved</x:v>
      </x:c>
      <x:c r="K1480" s="2" t="str">
        <x:v>MAIN-333</x:v>
      </x:c>
    </x:row>
    <x:row r="1481" ht="46" customHeight="1">
      <x:c r="A1481" s="2" t="str">
        <x:v>TEN-33BC7F9C1F26</x:v>
      </x:c>
      <x:c r="B1481" s="12" t="str">
        <x:v>MUKESH DAVE</x:v>
      </x:c>
      <x:c r="C1481" s="12" t="str">
        <x:v>CORP-0329</x:v>
      </x:c>
      <x:c r="D1481" s="12" t="str">
        <x:v>Mumbai</x:v>
      </x:c>
      <x:c r="E1481" s="12" t="str">
        <x:v>Oyo Workspace - Time Square</x:v>
      </x:c>
      <x:c r="F1481" s="12" t="str">
        <x:v>32 inch LED TV</x:v>
      </x:c>
      <x:c r="G1481" s="20" t="n">
        <x:v>1</x:v>
      </x:c>
      <x:c r="H1481" s="12" t="str">
        <x:v>Inventory-listed building/workspace context; current occupancy and screen access unverified</x:v>
      </x:c>
      <x:c r="I1481" s="12" t="str">
        <x:v>Mixed business audience</x:v>
      </x:c>
      <x:c r="J1481" s="12" t="str">
        <x:v>Unresolved</x:v>
      </x:c>
      <x:c r="K1481" s="2" t="str">
        <x:v>MAIN-333</x:v>
      </x:c>
    </x:row>
    <x:row r="1482" ht="46" customHeight="1">
      <x:c r="A1482" s="2" t="str">
        <x:v>TEN-35EFAAA811DC</x:v>
      </x:c>
      <x:c r="B1482" s="12" t="str">
        <x:v>EURASIAN BUSINESS SERVICES PRIVATE LIMITED</x:v>
      </x:c>
      <x:c r="C1482" s="12" t="str">
        <x:v>CORP-0329</x:v>
      </x:c>
      <x:c r="D1482" s="12" t="str">
        <x:v>Mumbai</x:v>
      </x:c>
      <x:c r="E1482" s="12" t="str">
        <x:v>Oyo Workspace - Time Square</x:v>
      </x:c>
      <x:c r="F1482" s="12" t="str">
        <x:v>32 inch LED TV</x:v>
      </x:c>
      <x:c r="G1482" s="20" t="n">
        <x:v>1</x:v>
      </x:c>
      <x:c r="H1482" s="12" t="str">
        <x:v>Inventory-listed building/workspace context; current occupancy and screen access unverified</x:v>
      </x:c>
      <x:c r="I1482" s="12" t="str">
        <x:v>Mixed business audience</x:v>
      </x:c>
      <x:c r="J1482" s="12" t="str">
        <x:v>Unresolved</x:v>
      </x:c>
      <x:c r="K1482" s="2" t="str">
        <x:v>MAIN-333</x:v>
      </x:c>
    </x:row>
    <x:row r="1483" ht="46" customHeight="1">
      <x:c r="A1483" s="2" t="str">
        <x:v>TEN-789301E9239F</x:v>
      </x:c>
      <x:c r="B1483" s="12" t="str">
        <x:v>QUICKYEARNING PRIVATE LIMITED</x:v>
      </x:c>
      <x:c r="C1483" s="12" t="str">
        <x:v>CORP-0329</x:v>
      </x:c>
      <x:c r="D1483" s="12" t="str">
        <x:v>Mumbai</x:v>
      </x:c>
      <x:c r="E1483" s="12" t="str">
        <x:v>Oyo Workspace - Time Square</x:v>
      </x:c>
      <x:c r="F1483" s="12" t="str">
        <x:v>32 inch LED TV</x:v>
      </x:c>
      <x:c r="G1483" s="20" t="n">
        <x:v>1</x:v>
      </x:c>
      <x:c r="H1483" s="12" t="str">
        <x:v>Inventory-listed building/workspace context; current occupancy and screen access unverified</x:v>
      </x:c>
      <x:c r="I1483" s="12" t="str">
        <x:v>Mixed business audience</x:v>
      </x:c>
      <x:c r="J1483" s="12" t="str">
        <x:v>Unresolved</x:v>
      </x:c>
      <x:c r="K1483" s="2" t="str">
        <x:v>MAIN-333</x:v>
      </x:c>
    </x:row>
    <x:row r="1484" ht="46" customHeight="1">
      <x:c r="A1484" s="2" t="str">
        <x:v>TEN-9843CE209EFD</x:v>
      </x:c>
      <x:c r="B1484" s="12" t="str">
        <x:v>Vayu Realty</x:v>
      </x:c>
      <x:c r="C1484" s="12" t="str">
        <x:v>CORP-0329</x:v>
      </x:c>
      <x:c r="D1484" s="12" t="str">
        <x:v>Mumbai</x:v>
      </x:c>
      <x:c r="E1484" s="12" t="str">
        <x:v>Oyo Workspace - Time Square</x:v>
      </x:c>
      <x:c r="F1484" s="12" t="str">
        <x:v>32 inch LED TV</x:v>
      </x:c>
      <x:c r="G1484" s="20" t="n">
        <x:v>1</x:v>
      </x:c>
      <x:c r="H1484" s="12" t="str">
        <x:v>Inventory-listed building/workspace context; current occupancy and screen access unverified</x:v>
      </x:c>
      <x:c r="I1484" s="12" t="str">
        <x:v>Small-scale prospects</x:v>
      </x:c>
      <x:c r="J1484" s="12" t="str">
        <x:v>Trade, consumer &amp; logistics</x:v>
      </x:c>
      <x:c r="K1484" s="2" t="str">
        <x:v>MAIN-333</x:v>
      </x:c>
    </x:row>
    <x:row r="1485" ht="46" customHeight="1">
      <x:c r="A1485" s="2" t="str">
        <x:v>TEN-9C192EC7E759</x:v>
      </x:c>
      <x:c r="B1485" s="12" t="str">
        <x:v>Farmer counsil of bharth</x:v>
      </x:c>
      <x:c r="C1485" s="12" t="str">
        <x:v>CORP-0329</x:v>
      </x:c>
      <x:c r="D1485" s="12" t="str">
        <x:v>Mumbai</x:v>
      </x:c>
      <x:c r="E1485" s="12" t="str">
        <x:v>Oyo Workspace - Time Square</x:v>
      </x:c>
      <x:c r="F1485" s="12" t="str">
        <x:v>32 inch LED TV</x:v>
      </x:c>
      <x:c r="G1485" s="20" t="n">
        <x:v>1</x:v>
      </x:c>
      <x:c r="H1485" s="12" t="str">
        <x:v>Inventory-listed building/workspace context; current occupancy and screen access unverified</x:v>
      </x:c>
      <x:c r="I1485" s="12" t="str">
        <x:v>Institutional</x:v>
      </x:c>
      <x:c r="J1485" s="12" t="str">
        <x:v>Government &amp; nonprofit</x:v>
      </x:c>
      <x:c r="K1485" s="2" t="str">
        <x:v>MAIN-333</x:v>
      </x:c>
    </x:row>
    <x:row r="1486" ht="46" customHeight="1">
      <x:c r="A1486" s="2" t="str">
        <x:v>TEN-CEDC7C952F52</x:v>
      </x:c>
      <x:c r="B1486" s="12" t="str">
        <x:v>Penta Freight Private Limited</x:v>
      </x:c>
      <x:c r="C1486" s="12" t="str">
        <x:v>CORP-0329</x:v>
      </x:c>
      <x:c r="D1486" s="12" t="str">
        <x:v>Mumbai</x:v>
      </x:c>
      <x:c r="E1486" s="12" t="str">
        <x:v>Oyo Workspace - Time Square</x:v>
      </x:c>
      <x:c r="F1486" s="12" t="str">
        <x:v>32 inch LED TV</x:v>
      </x:c>
      <x:c r="G1486" s="20" t="n">
        <x:v>1</x:v>
      </x:c>
      <x:c r="H1486" s="12" t="str">
        <x:v>Inventory-listed building/workspace context; current occupancy and screen access unverified</x:v>
      </x:c>
      <x:c r="I1486" s="12" t="str">
        <x:v>Medium-scale prospects</x:v>
      </x:c>
      <x:c r="J1486" s="12" t="str">
        <x:v>Trade, consumer &amp; logistics</x:v>
      </x:c>
      <x:c r="K1486" s="2" t="str">
        <x:v>MAIN-333</x:v>
      </x:c>
    </x:row>
    <x:row r="1487" ht="46" customHeight="1">
      <x:c r="A1487" s="2" t="str">
        <x:v>TEN-DC1A32B41282</x:v>
      </x:c>
      <x:c r="B1487" s="12" t="str">
        <x:v>RAINSHINE ENTERTAINMENT Pvt.Ltd</x:v>
      </x:c>
      <x:c r="C1487" s="12" t="str">
        <x:v>CORP-0329</x:v>
      </x:c>
      <x:c r="D1487" s="12" t="str">
        <x:v>Mumbai</x:v>
      </x:c>
      <x:c r="E1487" s="12" t="str">
        <x:v>Oyo Workspace - Time Square</x:v>
      </x:c>
      <x:c r="F1487" s="12" t="str">
        <x:v>32 inch LED TV</x:v>
      </x:c>
      <x:c r="G1487" s="20" t="n">
        <x:v>1</x:v>
      </x:c>
      <x:c r="H1487" s="12" t="str">
        <x:v>Inventory-listed building/workspace context; current occupancy and screen access unverified</x:v>
      </x:c>
      <x:c r="I1487" s="12" t="str">
        <x:v>Small-scale prospects</x:v>
      </x:c>
      <x:c r="J1487" s="12" t="str">
        <x:v>Trade, consumer &amp; logistics</x:v>
      </x:c>
      <x:c r="K1487" s="2" t="str">
        <x:v>MAIN-333</x:v>
      </x:c>
    </x:row>
    <x:row r="1488" ht="46" customHeight="1">
      <x:c r="A1488" s="2" t="str">
        <x:v>TEN-E69A3E303D06</x:v>
      </x:c>
      <x:c r="B1488" s="12" t="str">
        <x:v>Truvoices reaserch and cunusutant Pvt.Ltd</x:v>
      </x:c>
      <x:c r="C1488" s="12" t="str">
        <x:v>CORP-0329</x:v>
      </x:c>
      <x:c r="D1488" s="12" t="str">
        <x:v>Mumbai</x:v>
      </x:c>
      <x:c r="E1488" s="12" t="str">
        <x:v>Oyo Workspace - Time Square</x:v>
      </x:c>
      <x:c r="F1488" s="12" t="str">
        <x:v>32 inch LED TV</x:v>
      </x:c>
      <x:c r="G1488" s="20" t="n">
        <x:v>1</x:v>
      </x:c>
      <x:c r="H1488" s="12" t="str">
        <x:v>Inventory-listed building/workspace context; current occupancy and screen access unverified</x:v>
      </x:c>
      <x:c r="I1488" s="12" t="str">
        <x:v>Small-scale prospects</x:v>
      </x:c>
      <x:c r="J1488" s="12" t="str">
        <x:v>Professional services</x:v>
      </x:c>
      <x:c r="K1488" s="2" t="str">
        <x:v>MAIN-333</x:v>
      </x:c>
    </x:row>
    <x:row r="1489" ht="46" customHeight="1">
      <x:c r="A1489" s="2" t="str">
        <x:v>TEN-EF8D39F68EC6</x:v>
      </x:c>
      <x:c r="B1489" s="12" t="str">
        <x:v>Mapv Solution</x:v>
      </x:c>
      <x:c r="C1489" s="12" t="str">
        <x:v>CORP-0329</x:v>
      </x:c>
      <x:c r="D1489" s="12" t="str">
        <x:v>Mumbai</x:v>
      </x:c>
      <x:c r="E1489" s="12" t="str">
        <x:v>Oyo Workspace - Time Square</x:v>
      </x:c>
      <x:c r="F1489" s="12" t="str">
        <x:v>32 inch LED TV</x:v>
      </x:c>
      <x:c r="G1489" s="20" t="n">
        <x:v>1</x:v>
      </x:c>
      <x:c r="H1489" s="12" t="str">
        <x:v>Inventory-listed building/workspace context; current occupancy and screen access unverified</x:v>
      </x:c>
      <x:c r="I1489" s="12" t="str">
        <x:v>Mixed business audience</x:v>
      </x:c>
      <x:c r="J1489" s="12" t="str">
        <x:v>Unresolved</x:v>
      </x:c>
      <x:c r="K1489" s="2" t="str">
        <x:v>MAIN-333</x:v>
      </x:c>
    </x:row>
    <x:row r="1490" ht="46" customHeight="1">
      <x:c r="A1490" s="2" t="str">
        <x:v>TEN-FF14B3331AFF</x:v>
      </x:c>
      <x:c r="B1490" s="12" t="str">
        <x:v>KRION CONSULTING PVT LTD</x:v>
      </x:c>
      <x:c r="C1490" s="12" t="str">
        <x:v>CORP-0329</x:v>
      </x:c>
      <x:c r="D1490" s="12" t="str">
        <x:v>Mumbai</x:v>
      </x:c>
      <x:c r="E1490" s="12" t="str">
        <x:v>Oyo Workspace - Time Square</x:v>
      </x:c>
      <x:c r="F1490" s="12" t="str">
        <x:v>32 inch LED TV</x:v>
      </x:c>
      <x:c r="G1490" s="20" t="n">
        <x:v>1</x:v>
      </x:c>
      <x:c r="H1490" s="12" t="str">
        <x:v>Inventory-listed building/workspace context; current occupancy and screen access unverified</x:v>
      </x:c>
      <x:c r="I1490" s="12" t="str">
        <x:v>Small-scale prospects</x:v>
      </x:c>
      <x:c r="J1490" s="12" t="str">
        <x:v>Professional services</x:v>
      </x:c>
      <x:c r="K1490" s="2" t="str">
        <x:v>MAIN-333</x:v>
      </x:c>
    </x:row>
    <x:row r="1491" ht="46" customHeight="1">
      <x:c r="A1491" s="2" t="str">
        <x:v>TEN-3648B43DCA8B</x:v>
      </x:c>
      <x:c r="B1491" s="12" t="str">
        <x:v>The Game Ranch</x:v>
      </x:c>
      <x:c r="C1491" s="12" t="str">
        <x:v>CORP-0330</x:v>
      </x:c>
      <x:c r="D1491" s="12" t="str">
        <x:v>Mumbai</x:v>
      </x:c>
      <x:c r="E1491" s="12" t="str">
        <x:v>Paradigm Technology Park</x:v>
      </x:c>
      <x:c r="F1491" s="12" t="str">
        <x:v>43 inch LED TV</x:v>
      </x:c>
      <x:c r="G1491" s="20" t="n">
        <x:v>1</x:v>
      </x:c>
      <x:c r="H1491" s="12" t="str">
        <x:v>Inventory-listed building/workspace context; current occupancy and screen access unverified</x:v>
      </x:c>
      <x:c r="I1491" s="12" t="str">
        <x:v>Small-scale prospects</x:v>
      </x:c>
      <x:c r="J1491" s="12" t="str">
        <x:v>Trade, consumer &amp; logistics</x:v>
      </x:c>
      <x:c r="K1491" s="2" t="str">
        <x:v>MAIN-334</x:v>
      </x:c>
    </x:row>
    <x:row r="1492" ht="46" customHeight="1">
      <x:c r="A1492" s="2" t="str">
        <x:v>TEN-78E3559A99F9</x:v>
      </x:c>
      <x:c r="B1492" s="12" t="str">
        <x:v>Travelex India Pvt Ltd</x:v>
      </x:c>
      <x:c r="C1492" s="12" t="str">
        <x:v>CORP-0330</x:v>
      </x:c>
      <x:c r="D1492" s="12" t="str">
        <x:v>Mumbai</x:v>
      </x:c>
      <x:c r="E1492" s="12" t="str">
        <x:v>Paradigm Technology Park</x:v>
      </x:c>
      <x:c r="F1492" s="12" t="str">
        <x:v>43 inch LED TV</x:v>
      </x:c>
      <x:c r="G1492" s="20" t="n">
        <x:v>1</x:v>
      </x:c>
      <x:c r="H1492" s="12" t="str">
        <x:v>Inventory-listed building/workspace context; current occupancy and screen access unverified</x:v>
      </x:c>
      <x:c r="I1492" s="12" t="str">
        <x:v>Mixed business audience</x:v>
      </x:c>
      <x:c r="J1492" s="12" t="str">
        <x:v>Trade, consumer &amp; logistics</x:v>
      </x:c>
      <x:c r="K1492" s="2" t="str">
        <x:v>MAIN-334</x:v>
      </x:c>
    </x:row>
    <x:row r="1493" ht="46" customHeight="1">
      <x:c r="A1493" s="2" t="str">
        <x:v>TEN-ADC38A504E62</x:v>
      </x:c>
      <x:c r="B1493" s="12" t="str">
        <x:v>NYVFXWAALA</x:v>
      </x:c>
      <x:c r="C1493" s="12" t="str">
        <x:v>CORP-0330</x:v>
      </x:c>
      <x:c r="D1493" s="12" t="str">
        <x:v>Mumbai</x:v>
      </x:c>
      <x:c r="E1493" s="12" t="str">
        <x:v>Paradigm Technology Park</x:v>
      </x:c>
      <x:c r="F1493" s="12" t="str">
        <x:v>43 inch LED TV</x:v>
      </x:c>
      <x:c r="G1493" s="20" t="n">
        <x:v>1</x:v>
      </x:c>
      <x:c r="H1493" s="12" t="str">
        <x:v>Inventory-listed building/workspace context; current occupancy and screen access unverified</x:v>
      </x:c>
      <x:c r="I1493" s="12" t="str">
        <x:v>Small-scale prospects</x:v>
      </x:c>
      <x:c r="J1493" s="12" t="str">
        <x:v>Trade, consumer &amp; logistics</x:v>
      </x:c>
      <x:c r="K1493" s="2" t="str">
        <x:v>MAIN-334</x:v>
      </x:c>
    </x:row>
    <x:row r="1494" ht="46" customHeight="1">
      <x:c r="A1494" s="2" t="str">
        <x:v>TEN-8217BB19EBF1</x:v>
      </x:c>
      <x:c r="B1494" s="12" t="str">
        <x:v>J.P. Morgan</x:v>
      </x:c>
      <x:c r="C1494" s="12" t="str">
        <x:v>CORP-0332</x:v>
      </x:c>
      <x:c r="D1494" s="12" t="str">
        <x:v>Mumbai</x:v>
      </x:c>
      <x:c r="E1494" s="12" t="str">
        <x:v>Raheja Mindspace - Altimus </x:v>
      </x:c>
      <x:c r="F1494" s="12" t="str">
        <x:v>55 inch LED TV</x:v>
      </x:c>
      <x:c r="G1494" s="20" t="n">
        <x:v>2</x:v>
      </x:c>
      <x:c r="H1494" s="12" t="str">
        <x:v>Inventory-listed building/workspace context; current occupancy and screen access unverified</x:v>
      </x:c>
      <x:c r="I1494" s="12" t="str">
        <x:v>Large enterprise</x:v>
      </x:c>
      <x:c r="J1494" s="12" t="str">
        <x:v>Finance &amp; insurance</x:v>
      </x:c>
      <x:c r="K1494" s="2" t="str">
        <x:v>MAIN-336</x:v>
      </x:c>
    </x:row>
    <x:row r="1495" ht="46" customHeight="1">
      <x:c r="A1495" s="2" t="str">
        <x:v>TEN-413FC25CD812</x:v>
      </x:c>
      <x:c r="B1495" s="12" t="str">
        <x:v>LTI</x:v>
      </x:c>
      <x:c r="C1495" s="12" t="str">
        <x:v>CORP-0333</x:v>
      </x:c>
      <x:c r="D1495" s="12" t="str">
        <x:v>Mumbai</x:v>
      </x:c>
      <x:c r="E1495" s="12" t="str">
        <x:v>Raheja Mindspace IT Park - Airoli East</x:v>
      </x:c>
      <x:c r="F1495" s="12" t="str">
        <x:v>32 inch LED TV</x:v>
      </x:c>
      <x:c r="G1495" s="20" t="n">
        <x:v>12</x:v>
      </x:c>
      <x:c r="H1495" s="12" t="str">
        <x:v>Inventory-listed building/workspace context; current occupancy and screen access unverified</x:v>
      </x:c>
      <x:c r="I1495" s="12" t="str">
        <x:v>Large enterprise</x:v>
      </x:c>
      <x:c r="J1495" s="12" t="str">
        <x:v>IT &amp; digital</x:v>
      </x:c>
      <x:c r="K1495" s="2" t="str">
        <x:v>MAIN-337</x:v>
      </x:c>
    </x:row>
    <x:row r="1496" ht="46" customHeight="1">
      <x:c r="A1496" s="2" t="str">
        <x:v>TEN-4D748EBD71AF</x:v>
      </x:c>
      <x:c r="B1496" s="12" t="str">
        <x:v>Accenture</x:v>
      </x:c>
      <x:c r="C1496" s="12" t="str">
        <x:v>CORP-0333</x:v>
      </x:c>
      <x:c r="D1496" s="12" t="str">
        <x:v>Mumbai</x:v>
      </x:c>
      <x:c r="E1496" s="12" t="str">
        <x:v>Raheja Mindspace IT Park - Airoli East</x:v>
      </x:c>
      <x:c r="F1496" s="12" t="str">
        <x:v>32 inch LED TV</x:v>
      </x:c>
      <x:c r="G1496" s="20" t="n">
        <x:v>12</x:v>
      </x:c>
      <x:c r="H1496" s="12" t="str">
        <x:v>Inventory-listed building/workspace context; current occupancy and screen access unverified</x:v>
      </x:c>
      <x:c r="I1496" s="12" t="str">
        <x:v>Large enterprise</x:v>
      </x:c>
      <x:c r="J1496" s="12" t="str">
        <x:v>IT &amp; digital</x:v>
      </x:c>
      <x:c r="K1496" s="2" t="str">
        <x:v>MAIN-337</x:v>
      </x:c>
    </x:row>
    <x:row r="1497" ht="46" customHeight="1">
      <x:c r="A1497" s="2" t="str">
        <x:v>TEN-5528A266F145</x:v>
      </x:c>
      <x:c r="B1497" s="12" t="str">
        <x:v>Wipro</x:v>
      </x:c>
      <x:c r="C1497" s="12" t="str">
        <x:v>CORP-0333</x:v>
      </x:c>
      <x:c r="D1497" s="12" t="str">
        <x:v>Mumbai</x:v>
      </x:c>
      <x:c r="E1497" s="12" t="str">
        <x:v>Raheja Mindspace IT Park - Airoli East</x:v>
      </x:c>
      <x:c r="F1497" s="12" t="str">
        <x:v>32 inch LED TV</x:v>
      </x:c>
      <x:c r="G1497" s="20" t="n">
        <x:v>12</x:v>
      </x:c>
      <x:c r="H1497" s="12" t="str">
        <x:v>Inventory-listed building/workspace context; current occupancy and screen access unverified</x:v>
      </x:c>
      <x:c r="I1497" s="12" t="str">
        <x:v>Large enterprise</x:v>
      </x:c>
      <x:c r="J1497" s="12" t="str">
        <x:v>IT &amp; digital</x:v>
      </x:c>
      <x:c r="K1497" s="2" t="str">
        <x:v>MAIN-337</x:v>
      </x:c>
    </x:row>
    <x:row r="1498" ht="46" customHeight="1">
      <x:c r="A1498" s="2" t="str">
        <x:v>TEN-6A63F4755B0E</x:v>
      </x:c>
      <x:c r="B1498" s="12" t="str">
        <x:v>L&amp;T</x:v>
      </x:c>
      <x:c r="C1498" s="12" t="str">
        <x:v>CORP-0333</x:v>
      </x:c>
      <x:c r="D1498" s="12" t="str">
        <x:v>Mumbai</x:v>
      </x:c>
      <x:c r="E1498" s="12" t="str">
        <x:v>Raheja Mindspace IT Park - Airoli East</x:v>
      </x:c>
      <x:c r="F1498" s="12" t="str">
        <x:v>32 inch LED TV</x:v>
      </x:c>
      <x:c r="G1498" s="20" t="n">
        <x:v>12</x:v>
      </x:c>
      <x:c r="H1498" s="12" t="str">
        <x:v>Inventory-listed building/workspace context; current occupancy and screen access unverified</x:v>
      </x:c>
      <x:c r="I1498" s="12" t="str">
        <x:v>Large enterprise</x:v>
      </x:c>
      <x:c r="J1498" s="12" t="str">
        <x:v>Engineering &amp; manufacturing</x:v>
      </x:c>
      <x:c r="K1498" s="2" t="str">
        <x:v>MAIN-337</x:v>
      </x:c>
    </x:row>
    <x:row r="1499" ht="46" customHeight="1">
      <x:c r="A1499" s="2" t="str">
        <x:v>TEN-86F73DFE7BB6</x:v>
      </x:c>
      <x:c r="B1499" s="12" t="str">
        <x:v>Cognizant</x:v>
      </x:c>
      <x:c r="C1499" s="12" t="str">
        <x:v>CORP-0333</x:v>
      </x:c>
      <x:c r="D1499" s="12" t="str">
        <x:v>Mumbai</x:v>
      </x:c>
      <x:c r="E1499" s="12" t="str">
        <x:v>Raheja Mindspace IT Park - Airoli East</x:v>
      </x:c>
      <x:c r="F1499" s="12" t="str">
        <x:v>32 inch LED TV</x:v>
      </x:c>
      <x:c r="G1499" s="20" t="n">
        <x:v>12</x:v>
      </x:c>
      <x:c r="H1499" s="12" t="str">
        <x:v>Inventory-listed building/workspace context; current occupancy and screen access unverified</x:v>
      </x:c>
      <x:c r="I1499" s="12" t="str">
        <x:v>Large enterprise</x:v>
      </x:c>
      <x:c r="J1499" s="12" t="str">
        <x:v>IT &amp; digital</x:v>
      </x:c>
      <x:c r="K1499" s="2" t="str">
        <x:v>MAIN-337</x:v>
      </x:c>
    </x:row>
    <x:row r="1500" ht="46" customHeight="1">
      <x:c r="A1500" s="2" t="str">
        <x:v>TEN-88C817E54866</x:v>
      </x:c>
      <x:c r="B1500" s="12" t="str">
        <x:v>Citius Tech</x:v>
      </x:c>
      <x:c r="C1500" s="12" t="str">
        <x:v>CORP-0333</x:v>
      </x:c>
      <x:c r="D1500" s="12" t="str">
        <x:v>Mumbai</x:v>
      </x:c>
      <x:c r="E1500" s="12" t="str">
        <x:v>Raheja Mindspace IT Park - Airoli East</x:v>
      </x:c>
      <x:c r="F1500" s="12" t="str">
        <x:v>32 inch LED TV</x:v>
      </x:c>
      <x:c r="G1500" s="20" t="n">
        <x:v>12</x:v>
      </x:c>
      <x:c r="H1500" s="12" t="str">
        <x:v>Inventory-listed building/workspace context; current occupancy and screen access unverified</x:v>
      </x:c>
      <x:c r="I1500" s="12" t="str">
        <x:v>Large enterprise</x:v>
      </x:c>
      <x:c r="J1500" s="12" t="str">
        <x:v>Healthcare &amp; life sciences</x:v>
      </x:c>
      <x:c r="K1500" s="2" t="str">
        <x:v>MAIN-337</x:v>
      </x:c>
    </x:row>
    <x:row r="1501" ht="46" customHeight="1">
      <x:c r="A1501" s="2" t="str">
        <x:v>TEN-916A98F0FA2A</x:v>
      </x:c>
      <x:c r="B1501" s="12" t="str">
        <x:v>IBM</x:v>
      </x:c>
      <x:c r="C1501" s="12" t="str">
        <x:v>CORP-0333</x:v>
      </x:c>
      <x:c r="D1501" s="12" t="str">
        <x:v>Mumbai</x:v>
      </x:c>
      <x:c r="E1501" s="12" t="str">
        <x:v>Raheja Mindspace IT Park - Airoli East</x:v>
      </x:c>
      <x:c r="F1501" s="12" t="str">
        <x:v>32 inch LED TV</x:v>
      </x:c>
      <x:c r="G1501" s="20" t="n">
        <x:v>12</x:v>
      </x:c>
      <x:c r="H1501" s="12" t="str">
        <x:v>Inventory-listed building/workspace context; current occupancy and screen access unverified</x:v>
      </x:c>
      <x:c r="I1501" s="12" t="str">
        <x:v>Large enterprise</x:v>
      </x:c>
      <x:c r="J1501" s="12" t="str">
        <x:v>IT &amp; digital</x:v>
      </x:c>
      <x:c r="K1501" s="2" t="str">
        <x:v>MAIN-337</x:v>
      </x:c>
    </x:row>
    <x:row r="1502" ht="46" customHeight="1">
      <x:c r="A1502" s="2" t="str">
        <x:v>TEN-9A2067692E3A</x:v>
      </x:c>
      <x:c r="B1502" s="12" t="str">
        <x:v>GLOBE UP</x:v>
      </x:c>
      <x:c r="C1502" s="12" t="str">
        <x:v>CORP-0333</x:v>
      </x:c>
      <x:c r="D1502" s="12" t="str">
        <x:v>Mumbai</x:v>
      </x:c>
      <x:c r="E1502" s="12" t="str">
        <x:v>Raheja Mindspace IT Park - Airoli East</x:v>
      </x:c>
      <x:c r="F1502" s="12" t="str">
        <x:v>32 inch LED TV</x:v>
      </x:c>
      <x:c r="G1502" s="20" t="n">
        <x:v>12</x:v>
      </x:c>
      <x:c r="H1502" s="12" t="str">
        <x:v>Inventory-listed building/workspace context; current occupancy and screen access unverified</x:v>
      </x:c>
      <x:c r="I1502" s="12" t="str">
        <x:v>Mixed business audience</x:v>
      </x:c>
      <x:c r="J1502" s="12" t="str">
        <x:v>Unresolved</x:v>
      </x:c>
      <x:c r="K1502" s="2" t="str">
        <x:v>MAIN-337</x:v>
      </x:c>
    </x:row>
    <x:row r="1503" ht="46" customHeight="1">
      <x:c r="A1503" s="2" t="str">
        <x:v>TEN-9CF8C9635F36</x:v>
      </x:c>
      <x:c r="B1503" s="12" t="str">
        <x:v>Teradata</x:v>
      </x:c>
      <x:c r="C1503" s="12" t="str">
        <x:v>CORP-0333</x:v>
      </x:c>
      <x:c r="D1503" s="12" t="str">
        <x:v>Mumbai</x:v>
      </x:c>
      <x:c r="E1503" s="12" t="str">
        <x:v>Raheja Mindspace IT Park - Airoli East</x:v>
      </x:c>
      <x:c r="F1503" s="12" t="str">
        <x:v>32 inch LED TV</x:v>
      </x:c>
      <x:c r="G1503" s="20" t="n">
        <x:v>12</x:v>
      </x:c>
      <x:c r="H1503" s="12" t="str">
        <x:v>Inventory-listed building/workspace context; current occupancy and screen access unverified</x:v>
      </x:c>
      <x:c r="I1503" s="12" t="str">
        <x:v>Mixed business audience</x:v>
      </x:c>
      <x:c r="J1503" s="12" t="str">
        <x:v>IT &amp; digital</x:v>
      </x:c>
      <x:c r="K1503" s="2" t="str">
        <x:v>MAIN-337</x:v>
      </x:c>
    </x:row>
    <x:row r="1504" ht="46" customHeight="1">
      <x:c r="A1504" s="2" t="str">
        <x:v>TEN-C004492EC46F</x:v>
      </x:c>
      <x:c r="B1504" s="12" t="str">
        <x:v>Eclerx</x:v>
      </x:c>
      <x:c r="C1504" s="12" t="str">
        <x:v>CORP-0333</x:v>
      </x:c>
      <x:c r="D1504" s="12" t="str">
        <x:v>Mumbai</x:v>
      </x:c>
      <x:c r="E1504" s="12" t="str">
        <x:v>Raheja Mindspace IT Park - Airoli East</x:v>
      </x:c>
      <x:c r="F1504" s="12" t="str">
        <x:v>32 inch LED TV</x:v>
      </x:c>
      <x:c r="G1504" s="20" t="n">
        <x:v>12</x:v>
      </x:c>
      <x:c r="H1504" s="12" t="str">
        <x:v>Inventory-listed building/workspace context; current occupancy and screen access unverified</x:v>
      </x:c>
      <x:c r="I1504" s="12" t="str">
        <x:v>Large enterprise</x:v>
      </x:c>
      <x:c r="J1504" s="12" t="str">
        <x:v>IT &amp; digital</x:v>
      </x:c>
      <x:c r="K1504" s="2" t="str">
        <x:v>MAIN-337</x:v>
      </x:c>
    </x:row>
    <x:row r="1505" ht="46" customHeight="1">
      <x:c r="A1505" s="2" t="str">
        <x:v>TEN-D9BA66358074</x:v>
      </x:c>
      <x:c r="B1505" s="12" t="str">
        <x:v>Crisil</x:v>
      </x:c>
      <x:c r="C1505" s="12" t="str">
        <x:v>CORP-0333</x:v>
      </x:c>
      <x:c r="D1505" s="12" t="str">
        <x:v>Mumbai</x:v>
      </x:c>
      <x:c r="E1505" s="12" t="str">
        <x:v>Raheja Mindspace IT Park - Airoli East</x:v>
      </x:c>
      <x:c r="F1505" s="12" t="str">
        <x:v>32 inch LED TV</x:v>
      </x:c>
      <x:c r="G1505" s="20" t="n">
        <x:v>12</x:v>
      </x:c>
      <x:c r="H1505" s="12" t="str">
        <x:v>Inventory-listed building/workspace context; current occupancy and screen access unverified</x:v>
      </x:c>
      <x:c r="I1505" s="12" t="str">
        <x:v>Large enterprise</x:v>
      </x:c>
      <x:c r="J1505" s="12" t="str">
        <x:v>Finance &amp; insurance</x:v>
      </x:c>
      <x:c r="K1505" s="2" t="str">
        <x:v>MAIN-337</x:v>
      </x:c>
    </x:row>
    <x:row r="1506" ht="46" customHeight="1">
      <x:c r="A1506" s="2" t="str">
        <x:v>TEN-0D8D7B583F99</x:v>
      </x:c>
      <x:c r="B1506" s="12" t="str">
        <x:v>UBS</x:v>
      </x:c>
      <x:c r="C1506" s="12" t="str">
        <x:v>CORP-0334</x:v>
      </x:c>
      <x:c r="D1506" s="12" t="str">
        <x:v>Mumbai</x:v>
      </x:c>
      <x:c r="E1506" s="12" t="str">
        <x:v>Raheja Mindspaces - Airoli West</x:v>
      </x:c>
      <x:c r="F1506" s="12" t="str">
        <x:v>55 inch LED TV</x:v>
      </x:c>
      <x:c r="G1506" s="20" t="n">
        <x:v>5</x:v>
      </x:c>
      <x:c r="H1506" s="12" t="str">
        <x:v>Inventory-listed building/workspace context; current occupancy and screen access unverified</x:v>
      </x:c>
      <x:c r="I1506" s="12" t="str">
        <x:v>Mixed business audience</x:v>
      </x:c>
      <x:c r="J1506" s="12" t="str">
        <x:v>Finance &amp; insurance</x:v>
      </x:c>
      <x:c r="K1506" s="2" t="str">
        <x:v>MAIN-338</x:v>
      </x:c>
    </x:row>
    <x:row r="1507" ht="46" customHeight="1">
      <x:c r="A1507" s="2" t="str">
        <x:v>TEN-1699A5C0AE77</x:v>
      </x:c>
      <x:c r="B1507" s="12" t="str">
        <x:v>Black Box</x:v>
      </x:c>
      <x:c r="C1507" s="12" t="str">
        <x:v>CORP-0334</x:v>
      </x:c>
      <x:c r="D1507" s="12" t="str">
        <x:v>Mumbai</x:v>
      </x:c>
      <x:c r="E1507" s="12" t="str">
        <x:v>Raheja Mindspaces - Airoli West</x:v>
      </x:c>
      <x:c r="F1507" s="12" t="str">
        <x:v>55 inch LED TV</x:v>
      </x:c>
      <x:c r="G1507" s="20" t="n">
        <x:v>5</x:v>
      </x:c>
      <x:c r="H1507" s="12" t="str">
        <x:v>Inventory-listed building/workspace context; current occupancy and screen access unverified</x:v>
      </x:c>
      <x:c r="I1507" s="12" t="str">
        <x:v>Mixed business audience</x:v>
      </x:c>
      <x:c r="J1507" s="12" t="str">
        <x:v>IT &amp; digital</x:v>
      </x:c>
      <x:c r="K1507" s="2" t="str">
        <x:v>MAIN-338</x:v>
      </x:c>
    </x:row>
    <x:row r="1508" ht="46" customHeight="1">
      <x:c r="A1508" s="2" t="str">
        <x:v>TEN-1DED0A1D282F</x:v>
      </x:c>
      <x:c r="B1508" s="12" t="str">
        <x:v>KRC</x:v>
      </x:c>
      <x:c r="C1508" s="12" t="str">
        <x:v>CORP-0334</x:v>
      </x:c>
      <x:c r="D1508" s="12" t="str">
        <x:v>Mumbai</x:v>
      </x:c>
      <x:c r="E1508" s="12" t="str">
        <x:v>Raheja Mindspaces - Airoli West</x:v>
      </x:c>
      <x:c r="F1508" s="12" t="str">
        <x:v>55 inch LED TV</x:v>
      </x:c>
      <x:c r="G1508" s="20" t="n">
        <x:v>5</x:v>
      </x:c>
      <x:c r="H1508" s="12" t="str">
        <x:v>Inventory-listed building/workspace context; current occupancy and screen access unverified</x:v>
      </x:c>
      <x:c r="I1508" s="12" t="str">
        <x:v>Mixed business audience</x:v>
      </x:c>
      <x:c r="J1508" s="12" t="str">
        <x:v>Unresolved</x:v>
      </x:c>
      <x:c r="K1508" s="2" t="str">
        <x:v>MAIN-338</x:v>
      </x:c>
    </x:row>
    <x:row r="1509" ht="46" customHeight="1">
      <x:c r="A1509" s="2" t="str">
        <x:v>TEN-46FF0B8F24EC</x:v>
      </x:c>
      <x:c r="B1509" s="12" t="str">
        <x:v>ATOS</x:v>
      </x:c>
      <x:c r="C1509" s="12" t="str">
        <x:v>CORP-0334</x:v>
      </x:c>
      <x:c r="D1509" s="12" t="str">
        <x:v>Mumbai</x:v>
      </x:c>
      <x:c r="E1509" s="12" t="str">
        <x:v>Raheja Mindspaces - Airoli West</x:v>
      </x:c>
      <x:c r="F1509" s="12" t="str">
        <x:v>55 inch LED TV</x:v>
      </x:c>
      <x:c r="G1509" s="20" t="n">
        <x:v>5</x:v>
      </x:c>
      <x:c r="H1509" s="12" t="str">
        <x:v>Inventory-listed building/workspace context; current occupancy and screen access unverified</x:v>
      </x:c>
      <x:c r="I1509" s="12" t="str">
        <x:v>Large enterprise</x:v>
      </x:c>
      <x:c r="J1509" s="12" t="str">
        <x:v>IT &amp; digital</x:v>
      </x:c>
      <x:c r="K1509" s="2" t="str">
        <x:v>MAIN-338</x:v>
      </x:c>
    </x:row>
    <x:row r="1510" ht="46" customHeight="1">
      <x:c r="A1510" s="2" t="str">
        <x:v>TEN-4D748EBD71AF</x:v>
      </x:c>
      <x:c r="B1510" s="12" t="str">
        <x:v>Accenture</x:v>
      </x:c>
      <x:c r="C1510" s="12" t="str">
        <x:v>CORP-0334</x:v>
      </x:c>
      <x:c r="D1510" s="12" t="str">
        <x:v>Mumbai</x:v>
      </x:c>
      <x:c r="E1510" s="12" t="str">
        <x:v>Raheja Mindspaces - Airoli West</x:v>
      </x:c>
      <x:c r="F1510" s="12" t="str">
        <x:v>55 inch LED TV</x:v>
      </x:c>
      <x:c r="G1510" s="20" t="n">
        <x:v>5</x:v>
      </x:c>
      <x:c r="H1510" s="12" t="str">
        <x:v>Inventory-listed building/workspace context; current occupancy and screen access unverified</x:v>
      </x:c>
      <x:c r="I1510" s="12" t="str">
        <x:v>Large enterprise</x:v>
      </x:c>
      <x:c r="J1510" s="12" t="str">
        <x:v>IT &amp; digital</x:v>
      </x:c>
      <x:c r="K1510" s="2" t="str">
        <x:v>MAIN-338</x:v>
      </x:c>
    </x:row>
    <x:row r="1511" ht="46" customHeight="1">
      <x:c r="A1511" s="2" t="str">
        <x:v>TEN-52CC75641406</x:v>
      </x:c>
      <x:c r="B1511" s="12" t="str">
        <x:v>Axis Bank</x:v>
      </x:c>
      <x:c r="C1511" s="12" t="str">
        <x:v>CORP-0334</x:v>
      </x:c>
      <x:c r="D1511" s="12" t="str">
        <x:v>Mumbai</x:v>
      </x:c>
      <x:c r="E1511" s="12" t="str">
        <x:v>Raheja Mindspaces - Airoli West</x:v>
      </x:c>
      <x:c r="F1511" s="12" t="str">
        <x:v>55 inch LED TV</x:v>
      </x:c>
      <x:c r="G1511" s="20" t="n">
        <x:v>5</x:v>
      </x:c>
      <x:c r="H1511" s="12" t="str">
        <x:v>Inventory-listed building/workspace context; current occupancy and screen access unverified</x:v>
      </x:c>
      <x:c r="I1511" s="12" t="str">
        <x:v>Large enterprise</x:v>
      </x:c>
      <x:c r="J1511" s="12" t="str">
        <x:v>Finance &amp; insurance</x:v>
      </x:c>
      <x:c r="K1511" s="2" t="str">
        <x:v>MAIN-338</x:v>
      </x:c>
    </x:row>
    <x:row r="1512" ht="46" customHeight="1">
      <x:c r="A1512" s="2" t="str">
        <x:v>TEN-5528A266F145</x:v>
      </x:c>
      <x:c r="B1512" s="12" t="str">
        <x:v>Wipro</x:v>
      </x:c>
      <x:c r="C1512" s="12" t="str">
        <x:v>CORP-0334</x:v>
      </x:c>
      <x:c r="D1512" s="12" t="str">
        <x:v>Mumbai</x:v>
      </x:c>
      <x:c r="E1512" s="12" t="str">
        <x:v>Raheja Mindspaces - Airoli West</x:v>
      </x:c>
      <x:c r="F1512" s="12" t="str">
        <x:v>55 inch LED TV</x:v>
      </x:c>
      <x:c r="G1512" s="20" t="n">
        <x:v>5</x:v>
      </x:c>
      <x:c r="H1512" s="12" t="str">
        <x:v>Inventory-listed building/workspace context; current occupancy and screen access unverified</x:v>
      </x:c>
      <x:c r="I1512" s="12" t="str">
        <x:v>Large enterprise</x:v>
      </x:c>
      <x:c r="J1512" s="12" t="str">
        <x:v>IT &amp; digital</x:v>
      </x:c>
      <x:c r="K1512" s="2" t="str">
        <x:v>MAIN-338</x:v>
      </x:c>
    </x:row>
    <x:row r="1513" ht="46" customHeight="1">
      <x:c r="A1513" s="2" t="str">
        <x:v>TEN-723943909E6B</x:v>
      </x:c>
      <x:c r="B1513" s="12" t="str">
        <x:v>Crossasyst</x:v>
      </x:c>
      <x:c r="C1513" s="12" t="str">
        <x:v>CORP-0334</x:v>
      </x:c>
      <x:c r="D1513" s="12" t="str">
        <x:v>Mumbai</x:v>
      </x:c>
      <x:c r="E1513" s="12" t="str">
        <x:v>Raheja Mindspaces - Airoli West</x:v>
      </x:c>
      <x:c r="F1513" s="12" t="str">
        <x:v>55 inch LED TV</x:v>
      </x:c>
      <x:c r="G1513" s="20" t="n">
        <x:v>5</x:v>
      </x:c>
      <x:c r="H1513" s="12" t="str">
        <x:v>Inventory-listed building/workspace context; current occupancy and screen access unverified</x:v>
      </x:c>
      <x:c r="I1513" s="12" t="str">
        <x:v>Small-scale prospects</x:v>
      </x:c>
      <x:c r="J1513" s="12" t="str">
        <x:v>IT &amp; digital</x:v>
      </x:c>
      <x:c r="K1513" s="2" t="str">
        <x:v>MAIN-338</x:v>
      </x:c>
    </x:row>
    <x:row r="1514" ht="46" customHeight="1">
      <x:c r="A1514" s="2" t="str">
        <x:v>TEN-9499A1BE2319</x:v>
      </x:c>
      <x:c r="B1514" s="12" t="str">
        <x:v>EY Service PVT LTD</x:v>
      </x:c>
      <x:c r="C1514" s="12" t="str">
        <x:v>CORP-0334</x:v>
      </x:c>
      <x:c r="D1514" s="12" t="str">
        <x:v>Mumbai</x:v>
      </x:c>
      <x:c r="E1514" s="12" t="str">
        <x:v>Raheja Mindspaces - Airoli West</x:v>
      </x:c>
      <x:c r="F1514" s="12" t="str">
        <x:v>55 inch LED TV</x:v>
      </x:c>
      <x:c r="G1514" s="20" t="n">
        <x:v>5</x:v>
      </x:c>
      <x:c r="H1514" s="12" t="str">
        <x:v>Inventory-listed building/workspace context; current occupancy and screen access unverified</x:v>
      </x:c>
      <x:c r="I1514" s="12" t="str">
        <x:v>Large enterprise</x:v>
      </x:c>
      <x:c r="J1514" s="12" t="str">
        <x:v>Professional services</x:v>
      </x:c>
      <x:c r="K1514" s="2" t="str">
        <x:v>MAIN-338</x:v>
      </x:c>
    </x:row>
    <x:row r="1515" ht="46" customHeight="1">
      <x:c r="A1515" s="2" t="str">
        <x:v>TEN-972F82E4DD0E</x:v>
      </x:c>
      <x:c r="B1515" s="12" t="str">
        <x:v>Here Solutions</x:v>
      </x:c>
      <x:c r="C1515" s="12" t="str">
        <x:v>CORP-0334</x:v>
      </x:c>
      <x:c r="D1515" s="12" t="str">
        <x:v>Mumbai</x:v>
      </x:c>
      <x:c r="E1515" s="12" t="str">
        <x:v>Raheja Mindspaces - Airoli West</x:v>
      </x:c>
      <x:c r="F1515" s="12" t="str">
        <x:v>55 inch LED TV</x:v>
      </x:c>
      <x:c r="G1515" s="20" t="n">
        <x:v>5</x:v>
      </x:c>
      <x:c r="H1515" s="12" t="str">
        <x:v>Inventory-listed building/workspace context; current occupancy and screen access unverified</x:v>
      </x:c>
      <x:c r="I1515" s="12" t="str">
        <x:v>Mixed business audience</x:v>
      </x:c>
      <x:c r="J1515" s="12" t="str">
        <x:v>Unresolved</x:v>
      </x:c>
      <x:c r="K1515" s="2" t="str">
        <x:v>MAIN-338</x:v>
      </x:c>
    </x:row>
    <x:row r="1516" ht="46" customHeight="1">
      <x:c r="A1516" s="2" t="str">
        <x:v>TEN-A49AC35AAD06</x:v>
      </x:c>
      <x:c r="B1516" s="12" t="str">
        <x:v>Essar UK</x:v>
      </x:c>
      <x:c r="C1516" s="12" t="str">
        <x:v>CORP-0334</x:v>
      </x:c>
      <x:c r="D1516" s="12" t="str">
        <x:v>Mumbai</x:v>
      </x:c>
      <x:c r="E1516" s="12" t="str">
        <x:v>Raheja Mindspaces - Airoli West</x:v>
      </x:c>
      <x:c r="F1516" s="12" t="str">
        <x:v>55 inch LED TV</x:v>
      </x:c>
      <x:c r="G1516" s="20" t="n">
        <x:v>5</x:v>
      </x:c>
      <x:c r="H1516" s="12" t="str">
        <x:v>Inventory-listed building/workspace context; current occupancy and screen access unverified</x:v>
      </x:c>
      <x:c r="I1516" s="12" t="str">
        <x:v>Mixed business audience</x:v>
      </x:c>
      <x:c r="J1516" s="12" t="str">
        <x:v>Engineering &amp; manufacturing</x:v>
      </x:c>
      <x:c r="K1516" s="2" t="str">
        <x:v>MAIN-338</x:v>
      </x:c>
    </x:row>
    <x:row r="1517" ht="46" customHeight="1">
      <x:c r="A1517" s="2" t="str">
        <x:v>TEN-AA432FAD821D</x:v>
      </x:c>
      <x:c r="B1517" s="12" t="str">
        <x:v>IDFC</x:v>
      </x:c>
      <x:c r="C1517" s="12" t="str">
        <x:v>CORP-0334</x:v>
      </x:c>
      <x:c r="D1517" s="12" t="str">
        <x:v>Mumbai</x:v>
      </x:c>
      <x:c r="E1517" s="12" t="str">
        <x:v>Raheja Mindspaces - Airoli West</x:v>
      </x:c>
      <x:c r="F1517" s="12" t="str">
        <x:v>55 inch LED TV</x:v>
      </x:c>
      <x:c r="G1517" s="20" t="n">
        <x:v>5</x:v>
      </x:c>
      <x:c r="H1517" s="12" t="str">
        <x:v>Inventory-listed building/workspace context; current occupancy and screen access unverified</x:v>
      </x:c>
      <x:c r="I1517" s="12" t="str">
        <x:v>Mixed business audience</x:v>
      </x:c>
      <x:c r="J1517" s="12" t="str">
        <x:v>Finance &amp; insurance</x:v>
      </x:c>
      <x:c r="K1517" s="2" t="str">
        <x:v>MAIN-338</x:v>
      </x:c>
    </x:row>
    <x:row r="1518" ht="46" customHeight="1">
      <x:c r="A1518" s="2" t="str">
        <x:v>TEN-B023B39C07DC</x:v>
      </x:c>
      <x:c r="B1518" s="12" t="str">
        <x:v>HDFC</x:v>
      </x:c>
      <x:c r="C1518" s="12" t="str">
        <x:v>CORP-0334</x:v>
      </x:c>
      <x:c r="D1518" s="12" t="str">
        <x:v>Mumbai</x:v>
      </x:c>
      <x:c r="E1518" s="12" t="str">
        <x:v>Raheja Mindspaces - Airoli West</x:v>
      </x:c>
      <x:c r="F1518" s="12" t="str">
        <x:v>55 inch LED TV</x:v>
      </x:c>
      <x:c r="G1518" s="20" t="n">
        <x:v>5</x:v>
      </x:c>
      <x:c r="H1518" s="12" t="str">
        <x:v>Inventory-listed building/workspace context; current occupancy and screen access unverified</x:v>
      </x:c>
      <x:c r="I1518" s="12" t="str">
        <x:v>Large enterprise</x:v>
      </x:c>
      <x:c r="J1518" s="12" t="str">
        <x:v>Finance &amp; insurance</x:v>
      </x:c>
      <x:c r="K1518" s="2" t="str">
        <x:v>MAIN-338</x:v>
      </x:c>
    </x:row>
    <x:row r="1519" ht="46" customHeight="1">
      <x:c r="A1519" s="2" t="str">
        <x:v>TEN-B07B67C76413</x:v>
      </x:c>
      <x:c r="B1519" s="12" t="str">
        <x:v>Sharekhan</x:v>
      </x:c>
      <x:c r="C1519" s="12" t="str">
        <x:v>CORP-0334</x:v>
      </x:c>
      <x:c r="D1519" s="12" t="str">
        <x:v>Mumbai</x:v>
      </x:c>
      <x:c r="E1519" s="12" t="str">
        <x:v>Raheja Mindspaces - Airoli West</x:v>
      </x:c>
      <x:c r="F1519" s="12" t="str">
        <x:v>55 inch LED TV</x:v>
      </x:c>
      <x:c r="G1519" s="20" t="n">
        <x:v>5</x:v>
      </x:c>
      <x:c r="H1519" s="12" t="str">
        <x:v>Inventory-listed building/workspace context; current occupancy and screen access unverified</x:v>
      </x:c>
      <x:c r="I1519" s="12" t="str">
        <x:v>Mixed business audience</x:v>
      </x:c>
      <x:c r="J1519" s="12" t="str">
        <x:v>Finance &amp; insurance</x:v>
      </x:c>
      <x:c r="K1519" s="2" t="str">
        <x:v>MAIN-338</x:v>
      </x:c>
    </x:row>
    <x:row r="1520" ht="46" customHeight="1">
      <x:c r="A1520" s="2" t="str">
        <x:v>TEN-B921575579A8</x:v>
      </x:c>
      <x:c r="B1520" s="12" t="str">
        <x:v>GEP</x:v>
      </x:c>
      <x:c r="C1520" s="12" t="str">
        <x:v>CORP-0334</x:v>
      </x:c>
      <x:c r="D1520" s="12" t="str">
        <x:v>Mumbai</x:v>
      </x:c>
      <x:c r="E1520" s="12" t="str">
        <x:v>Raheja Mindspaces - Airoli West</x:v>
      </x:c>
      <x:c r="F1520" s="12" t="str">
        <x:v>55 inch LED TV</x:v>
      </x:c>
      <x:c r="G1520" s="20" t="n">
        <x:v>5</x:v>
      </x:c>
      <x:c r="H1520" s="12" t="str">
        <x:v>Inventory-listed building/workspace context; current occupancy and screen access unverified</x:v>
      </x:c>
      <x:c r="I1520" s="12" t="str">
        <x:v>Mixed business audience</x:v>
      </x:c>
      <x:c r="J1520" s="12" t="str">
        <x:v>IT &amp; digital</x:v>
      </x:c>
      <x:c r="K1520" s="2" t="str">
        <x:v>MAIN-338</x:v>
      </x:c>
    </x:row>
    <x:row r="1521" ht="46" customHeight="1">
      <x:c r="A1521" s="2" t="str">
        <x:v>TEN-DA16E7A8F245</x:v>
      </x:c>
      <x:c r="B1521" s="12" t="str">
        <x:v>Technimount</x:v>
      </x:c>
      <x:c r="C1521" s="12" t="str">
        <x:v>CORP-0334</x:v>
      </x:c>
      <x:c r="D1521" s="12" t="str">
        <x:v>Mumbai</x:v>
      </x:c>
      <x:c r="E1521" s="12" t="str">
        <x:v>Raheja Mindspaces - Airoli West</x:v>
      </x:c>
      <x:c r="F1521" s="12" t="str">
        <x:v>55 inch LED TV</x:v>
      </x:c>
      <x:c r="G1521" s="20" t="n">
        <x:v>5</x:v>
      </x:c>
      <x:c r="H1521" s="12" t="str">
        <x:v>Inventory-listed building/workspace context; current occupancy and screen access unverified</x:v>
      </x:c>
      <x:c r="I1521" s="12" t="str">
        <x:v>Mixed business audience</x:v>
      </x:c>
      <x:c r="J1521" s="12" t="str">
        <x:v>Unresolved</x:v>
      </x:c>
      <x:c r="K1521" s="2" t="str">
        <x:v>MAIN-338</x:v>
      </x:c>
    </x:row>
    <x:row r="1522" ht="46" customHeight="1">
      <x:c r="A1522" s="2" t="str">
        <x:v>TEN-E9167BFA6167</x:v>
      </x:c>
      <x:c r="B1522" s="12" t="str">
        <x:v>Finicity</x:v>
      </x:c>
      <x:c r="C1522" s="12" t="str">
        <x:v>CORP-0334</x:v>
      </x:c>
      <x:c r="D1522" s="12" t="str">
        <x:v>Mumbai</x:v>
      </x:c>
      <x:c r="E1522" s="12" t="str">
        <x:v>Raheja Mindspaces - Airoli West</x:v>
      </x:c>
      <x:c r="F1522" s="12" t="str">
        <x:v>55 inch LED TV</x:v>
      </x:c>
      <x:c r="G1522" s="20" t="n">
        <x:v>5</x:v>
      </x:c>
      <x:c r="H1522" s="12" t="str">
        <x:v>Inventory-listed building/workspace context; current occupancy and screen access unverified</x:v>
      </x:c>
      <x:c r="I1522" s="12" t="str">
        <x:v>Mixed business audience</x:v>
      </x:c>
      <x:c r="J1522" s="12" t="str">
        <x:v>Finance &amp; insurance</x:v>
      </x:c>
      <x:c r="K1522" s="2" t="str">
        <x:v>MAIN-338</x:v>
      </x:c>
    </x:row>
    <x:row r="1523" ht="46" customHeight="1">
      <x:c r="A1523" s="2" t="str">
        <x:v>TEN-F0D2BE946F8E</x:v>
      </x:c>
      <x:c r="B1523" s="12" t="str">
        <x:v>CMA</x:v>
      </x:c>
      <x:c r="C1523" s="12" t="str">
        <x:v>CORP-0334</x:v>
      </x:c>
      <x:c r="D1523" s="12" t="str">
        <x:v>Mumbai</x:v>
      </x:c>
      <x:c r="E1523" s="12" t="str">
        <x:v>Raheja Mindspaces - Airoli West</x:v>
      </x:c>
      <x:c r="F1523" s="12" t="str">
        <x:v>55 inch LED TV</x:v>
      </x:c>
      <x:c r="G1523" s="20" t="n">
        <x:v>5</x:v>
      </x:c>
      <x:c r="H1523" s="12" t="str">
        <x:v>Inventory-listed building/workspace context; current occupancy and screen access unverified</x:v>
      </x:c>
      <x:c r="I1523" s="12" t="str">
        <x:v>Mixed business audience</x:v>
      </x:c>
      <x:c r="J1523" s="12" t="str">
        <x:v>Unresolved</x:v>
      </x:c>
      <x:c r="K1523" s="2" t="str">
        <x:v>MAIN-338</x:v>
      </x:c>
    </x:row>
    <x:row r="1524" ht="46" customHeight="1">
      <x:c r="A1524" s="2" t="str">
        <x:v>TEN-F4B98DC0EA7C</x:v>
      </x:c>
      <x:c r="B1524" s="12" t="str">
        <x:v>Infrasoft (Kiya.ai)</x:v>
      </x:c>
      <x:c r="C1524" s="12" t="str">
        <x:v>CORP-0334</x:v>
      </x:c>
      <x:c r="D1524" s="12" t="str">
        <x:v>Mumbai</x:v>
      </x:c>
      <x:c r="E1524" s="12" t="str">
        <x:v>Raheja Mindspaces - Airoli West</x:v>
      </x:c>
      <x:c r="F1524" s="12" t="str">
        <x:v>55 inch LED TV</x:v>
      </x:c>
      <x:c r="G1524" s="20" t="n">
        <x:v>5</x:v>
      </x:c>
      <x:c r="H1524" s="12" t="str">
        <x:v>Inventory-listed building/workspace context; current occupancy and screen access unverified</x:v>
      </x:c>
      <x:c r="I1524" s="12" t="str">
        <x:v>Mixed business audience</x:v>
      </x:c>
      <x:c r="J1524" s="12" t="str">
        <x:v>IT &amp; digital</x:v>
      </x:c>
      <x:c r="K1524" s="2" t="str">
        <x:v>MAIN-338</x:v>
      </x:c>
    </x:row>
    <x:row r="1525" ht="46" customHeight="1">
      <x:c r="A1525" s="2" t="str">
        <x:v>TEN-0E6024625C2C</x:v>
      </x:c>
      <x:c r="B1525" s="12" t="str">
        <x:v>Blenheim Chalcot IT Services India Pvt. Ltd. (Navi Mumbai)</x:v>
      </x:c>
      <x:c r="C1525" s="12" t="str">
        <x:v>CORP-0337</x:v>
      </x:c>
      <x:c r="D1525" s="12" t="str">
        <x:v>Mumbai</x:v>
      </x:c>
      <x:c r="E1525" s="12" t="str">
        <x:v>Rupa Renaissance (Redbrick Offices)</x:v>
      </x:c>
      <x:c r="F1525" s="12" t="str">
        <x:v>32 inch LED TV</x:v>
      </x:c>
      <x:c r="G1525" s="20" t="n">
        <x:v>1</x:v>
      </x:c>
      <x:c r="H1525" s="12" t="str">
        <x:v>Inventory-listed building/workspace context; current occupancy and screen access unverified</x:v>
      </x:c>
      <x:c r="I1525" s="12" t="str">
        <x:v>Mixed business audience</x:v>
      </x:c>
      <x:c r="J1525" s="12" t="str">
        <x:v>Finance &amp; insurance</x:v>
      </x:c>
      <x:c r="K1525" s="2" t="str">
        <x:v>MAIN-341</x:v>
      </x:c>
    </x:row>
    <x:row r="1526" ht="46" customHeight="1">
      <x:c r="A1526" s="2" t="str">
        <x:v>TEN-3C79F72B4753</x:v>
      </x:c>
      <x:c r="B1526" s="12" t="str">
        <x:v>Infinx</x:v>
      </x:c>
      <x:c r="C1526" s="12" t="str">
        <x:v>CORP-0337</x:v>
      </x:c>
      <x:c r="D1526" s="12" t="str">
        <x:v>Mumbai</x:v>
      </x:c>
      <x:c r="E1526" s="12" t="str">
        <x:v>Rupa Renaissance (Redbrick Offices)</x:v>
      </x:c>
      <x:c r="F1526" s="12" t="str">
        <x:v>32 inch LED TV</x:v>
      </x:c>
      <x:c r="G1526" s="20" t="n">
        <x:v>1</x:v>
      </x:c>
      <x:c r="H1526" s="12" t="str">
        <x:v>Inventory-listed building/workspace context; current occupancy and screen access unverified</x:v>
      </x:c>
      <x:c r="I1526" s="12" t="str">
        <x:v>Mixed business audience</x:v>
      </x:c>
      <x:c r="J1526" s="12" t="str">
        <x:v>IT &amp; digital</x:v>
      </x:c>
      <x:c r="K1526" s="2" t="str">
        <x:v>MAIN-341</x:v>
      </x:c>
    </x:row>
    <x:row r="1527" ht="46" customHeight="1">
      <x:c r="A1527" s="2" t="str">
        <x:v>TEN-4817EBAEA4B9</x:v>
      </x:c>
      <x:c r="B1527" s="12" t="str">
        <x:v>Inspire Cospaces</x:v>
      </x:c>
      <x:c r="C1527" s="12" t="str">
        <x:v>CORP-0337</x:v>
      </x:c>
      <x:c r="D1527" s="12" t="str">
        <x:v>Mumbai</x:v>
      </x:c>
      <x:c r="E1527" s="12" t="str">
        <x:v>Rupa Renaissance (Redbrick Offices)</x:v>
      </x:c>
      <x:c r="F1527" s="12" t="str">
        <x:v>32 inch LED TV</x:v>
      </x:c>
      <x:c r="G1527" s="20" t="n">
        <x:v>1</x:v>
      </x:c>
      <x:c r="H1527" s="12" t="str">
        <x:v>Inventory-listed building/workspace context; current occupancy and screen access unverified</x:v>
      </x:c>
      <x:c r="I1527" s="12" t="str">
        <x:v>Mixed business audience</x:v>
      </x:c>
      <x:c r="J1527" s="12" t="str">
        <x:v>Workspace &amp; property operations</x:v>
      </x:c>
      <x:c r="K1527" s="2" t="str">
        <x:v>MAIN-341</x:v>
      </x:c>
    </x:row>
    <x:row r="1528" ht="46" customHeight="1">
      <x:c r="A1528" s="2" t="str">
        <x:v>TEN-8DAD9A71BA1C</x:v>
      </x:c>
      <x:c r="B1528" s="12" t="str">
        <x:v>Electricité de France</x:v>
      </x:c>
      <x:c r="C1528" s="12" t="str">
        <x:v>CORP-0337</x:v>
      </x:c>
      <x:c r="D1528" s="12" t="str">
        <x:v>Mumbai</x:v>
      </x:c>
      <x:c r="E1528" s="12" t="str">
        <x:v>Rupa Renaissance (Redbrick Offices)</x:v>
      </x:c>
      <x:c r="F1528" s="12" t="str">
        <x:v>32 inch LED TV</x:v>
      </x:c>
      <x:c r="G1528" s="20" t="n">
        <x:v>1</x:v>
      </x:c>
      <x:c r="H1528" s="12" t="str">
        <x:v>Inventory-listed building/workspace context; current occupancy and screen access unverified</x:v>
      </x:c>
      <x:c r="I1528" s="12" t="str">
        <x:v>Mixed business audience</x:v>
      </x:c>
      <x:c r="J1528" s="12" t="str">
        <x:v>Engineering &amp; manufacturing</x:v>
      </x:c>
      <x:c r="K1528" s="2" t="str">
        <x:v>MAIN-341</x:v>
      </x:c>
    </x:row>
    <x:row r="1529" ht="46" customHeight="1">
      <x:c r="A1529" s="2" t="str">
        <x:v>TEN-FF339EB08605</x:v>
      </x:c>
      <x:c r="B1529" s="12" t="str">
        <x:v>Econship Tech Pvt. Ltd</x:v>
      </x:c>
      <x:c r="C1529" s="12" t="str">
        <x:v>CORP-0337</x:v>
      </x:c>
      <x:c r="D1529" s="12" t="str">
        <x:v>Mumbai</x:v>
      </x:c>
      <x:c r="E1529" s="12" t="str">
        <x:v>Rupa Renaissance (Redbrick Offices)</x:v>
      </x:c>
      <x:c r="F1529" s="12" t="str">
        <x:v>32 inch LED TV</x:v>
      </x:c>
      <x:c r="G1529" s="20" t="n">
        <x:v>1</x:v>
      </x:c>
      <x:c r="H1529" s="12" t="str">
        <x:v>Inventory-listed building/workspace context; current occupancy and screen access unverified</x:v>
      </x:c>
      <x:c r="I1529" s="12" t="str">
        <x:v>Medium-scale prospects</x:v>
      </x:c>
      <x:c r="J1529" s="12" t="str">
        <x:v>Trade, consumer &amp; logistics</x:v>
      </x:c>
      <x:c r="K1529" s="2" t="str">
        <x:v>MAIN-341</x:v>
      </x:c>
    </x:row>
    <x:row r="1530" ht="46" customHeight="1">
      <x:c r="A1530" s="2" t="str">
        <x:v>TEN-2195B4F4BEF0</x:v>
      </x:c>
      <x:c r="B1530" s="12" t="str">
        <x:v>Meera Cotton &amp; Synthetic Mills ( Pvt ) Ltd</x:v>
      </x:c>
      <x:c r="C1530" s="12" t="str">
        <x:v>CORP-0338</x:v>
      </x:c>
      <x:c r="D1530" s="12" t="str">
        <x:v>Mumbai</x:v>
      </x:c>
      <x:c r="E1530" s="12" t="str">
        <x:v>Rustomjee Eaze Zone Mall</x:v>
      </x:c>
      <x:c r="F1530" s="12" t="str">
        <x:v>32 inch LED TV</x:v>
      </x:c>
      <x:c r="G1530" s="20" t="n">
        <x:v>26</x:v>
      </x:c>
      <x:c r="H1530" s="12" t="str">
        <x:v>Inventory-listed building/workspace context; current occupancy and screen access unverified</x:v>
      </x:c>
      <x:c r="I1530" s="12" t="str">
        <x:v>Medium-scale prospects</x:v>
      </x:c>
      <x:c r="J1530" s="12" t="str">
        <x:v>Engineering &amp; manufacturing</x:v>
      </x:c>
      <x:c r="K1530" s="2" t="str">
        <x:v>MAIN-342</x:v>
      </x:c>
    </x:row>
    <x:row r="1531" ht="46" customHeight="1">
      <x:c r="A1531" s="2" t="str">
        <x:v>TEN-332F87BC5E89</x:v>
      </x:c>
      <x:c r="B1531" s="12" t="str">
        <x:v>Smile Please Media</x:v>
      </x:c>
      <x:c r="C1531" s="12" t="str">
        <x:v>CORP-0338</x:v>
      </x:c>
      <x:c r="D1531" s="12" t="str">
        <x:v>Mumbai</x:v>
      </x:c>
      <x:c r="E1531" s="12" t="str">
        <x:v>Rustomjee Eaze Zone Mall</x:v>
      </x:c>
      <x:c r="F1531" s="12" t="str">
        <x:v>32 inch LED TV</x:v>
      </x:c>
      <x:c r="G1531" s="20" t="n">
        <x:v>26</x:v>
      </x:c>
      <x:c r="H1531" s="12" t="str">
        <x:v>Inventory-listed building/workspace context; current occupancy and screen access unverified</x:v>
      </x:c>
      <x:c r="I1531" s="12" t="str">
        <x:v>Small-scale prospects</x:v>
      </x:c>
      <x:c r="J1531" s="12" t="str">
        <x:v>Trade, consumer &amp; logistics</x:v>
      </x:c>
      <x:c r="K1531" s="2" t="str">
        <x:v>MAIN-342</x:v>
      </x:c>
    </x:row>
    <x:row r="1532" ht="46" customHeight="1">
      <x:c r="A1532" s="2" t="str">
        <x:v>TEN-5E0268F6057E</x:v>
      </x:c>
      <x:c r="B1532" s="12" t="str">
        <x:v>Studio Youmania</x:v>
      </x:c>
      <x:c r="C1532" s="12" t="str">
        <x:v>CORP-0338</x:v>
      </x:c>
      <x:c r="D1532" s="12" t="str">
        <x:v>Mumbai</x:v>
      </x:c>
      <x:c r="E1532" s="12" t="str">
        <x:v>Rustomjee Eaze Zone Mall</x:v>
      </x:c>
      <x:c r="F1532" s="12" t="str">
        <x:v>32 inch LED TV</x:v>
      </x:c>
      <x:c r="G1532" s="20" t="n">
        <x:v>26</x:v>
      </x:c>
      <x:c r="H1532" s="12" t="str">
        <x:v>Inventory-listed building/workspace context; current occupancy and screen access unverified</x:v>
      </x:c>
      <x:c r="I1532" s="12" t="str">
        <x:v>Mixed business audience</x:v>
      </x:c>
      <x:c r="J1532" s="12" t="str">
        <x:v>Unresolved</x:v>
      </x:c>
      <x:c r="K1532" s="2" t="str">
        <x:v>MAIN-342</x:v>
      </x:c>
    </x:row>
    <x:row r="1533" ht="46" customHeight="1">
      <x:c r="A1533" s="2" t="str">
        <x:v>TEN-6084B957DCD5</x:v>
      </x:c>
      <x:c r="B1533" s="12" t="str">
        <x:v>ABHIYANK ENTERPRISES</x:v>
      </x:c>
      <x:c r="C1533" s="12" t="str">
        <x:v>CORP-0338</x:v>
      </x:c>
      <x:c r="D1533" s="12" t="str">
        <x:v>Mumbai</x:v>
      </x:c>
      <x:c r="E1533" s="12" t="str">
        <x:v>Rustomjee Eaze Zone Mall</x:v>
      </x:c>
      <x:c r="F1533" s="12" t="str">
        <x:v>32 inch LED TV</x:v>
      </x:c>
      <x:c r="G1533" s="20" t="n">
        <x:v>26</x:v>
      </x:c>
      <x:c r="H1533" s="12" t="str">
        <x:v>Inventory-listed building/workspace context; current occupancy and screen access unverified</x:v>
      </x:c>
      <x:c r="I1533" s="12" t="str">
        <x:v>Mixed business audience</x:v>
      </x:c>
      <x:c r="J1533" s="12" t="str">
        <x:v>Unresolved</x:v>
      </x:c>
      <x:c r="K1533" s="2" t="str">
        <x:v>MAIN-342</x:v>
      </x:c>
    </x:row>
    <x:row r="1534" ht="46" customHeight="1">
      <x:c r="A1534" s="2" t="str">
        <x:v>TEN-74CE377FCE32</x:v>
      </x:c>
      <x:c r="B1534" s="12" t="str">
        <x:v>MAC REVIVE</x:v>
      </x:c>
      <x:c r="C1534" s="12" t="str">
        <x:v>CORP-0338</x:v>
      </x:c>
      <x:c r="D1534" s="12" t="str">
        <x:v>Mumbai</x:v>
      </x:c>
      <x:c r="E1534" s="12" t="str">
        <x:v>Rustomjee Eaze Zone Mall</x:v>
      </x:c>
      <x:c r="F1534" s="12" t="str">
        <x:v>32 inch LED TV</x:v>
      </x:c>
      <x:c r="G1534" s="20" t="n">
        <x:v>26</x:v>
      </x:c>
      <x:c r="H1534" s="12" t="str">
        <x:v>Inventory-listed building/workspace context; current occupancy and screen access unverified</x:v>
      </x:c>
      <x:c r="I1534" s="12" t="str">
        <x:v>Mixed business audience</x:v>
      </x:c>
      <x:c r="J1534" s="12" t="str">
        <x:v>Unresolved</x:v>
      </x:c>
      <x:c r="K1534" s="2" t="str">
        <x:v>MAIN-342</x:v>
      </x:c>
    </x:row>
    <x:row r="1535" ht="46" customHeight="1">
      <x:c r="A1535" s="2" t="str">
        <x:v>TEN-757CC22101FA</x:v>
      </x:c>
      <x:c r="B1535" s="12" t="str">
        <x:v>Professional Associates</x:v>
      </x:c>
      <x:c r="C1535" s="12" t="str">
        <x:v>CORP-0338</x:v>
      </x:c>
      <x:c r="D1535" s="12" t="str">
        <x:v>Mumbai</x:v>
      </x:c>
      <x:c r="E1535" s="12" t="str">
        <x:v>Rustomjee Eaze Zone Mall</x:v>
      </x:c>
      <x:c r="F1535" s="12" t="str">
        <x:v>32 inch LED TV</x:v>
      </x:c>
      <x:c r="G1535" s="20" t="n">
        <x:v>26</x:v>
      </x:c>
      <x:c r="H1535" s="12" t="str">
        <x:v>Inventory-listed building/workspace context; current occupancy and screen access unverified</x:v>
      </x:c>
      <x:c r="I1535" s="12" t="str">
        <x:v>Mixed business audience</x:v>
      </x:c>
      <x:c r="J1535" s="12" t="str">
        <x:v>Unresolved</x:v>
      </x:c>
      <x:c r="K1535" s="2" t="str">
        <x:v>MAIN-342</x:v>
      </x:c>
    </x:row>
    <x:row r="1536" ht="46" customHeight="1">
      <x:c r="A1536" s="2" t="str">
        <x:v>TEN-B6AA44AC4564</x:v>
      </x:c>
      <x:c r="B1536" s="12" t="str">
        <x:v>nand Rathi Share And Stock Brokers Ltd</x:v>
      </x:c>
      <x:c r="C1536" s="12" t="str">
        <x:v>CORP-0338</x:v>
      </x:c>
      <x:c r="D1536" s="12" t="str">
        <x:v>Mumbai</x:v>
      </x:c>
      <x:c r="E1536" s="12" t="str">
        <x:v>Rustomjee Eaze Zone Mall</x:v>
      </x:c>
      <x:c r="F1536" s="12" t="str">
        <x:v>32 inch LED TV</x:v>
      </x:c>
      <x:c r="G1536" s="20" t="n">
        <x:v>26</x:v>
      </x:c>
      <x:c r="H1536" s="12" t="str">
        <x:v>Inventory-listed building/workspace context; current occupancy and screen access unverified</x:v>
      </x:c>
      <x:c r="I1536" s="12" t="str">
        <x:v>Mixed business audience</x:v>
      </x:c>
      <x:c r="J1536" s="12" t="str">
        <x:v>Finance &amp; insurance</x:v>
      </x:c>
      <x:c r="K1536" s="2" t="str">
        <x:v>MAIN-342</x:v>
      </x:c>
    </x:row>
    <x:row r="1537" ht="46" customHeight="1">
      <x:c r="A1537" s="2" t="str">
        <x:v>TEN-B8675CD3E646</x:v>
      </x:c>
      <x:c r="B1537" s="12" t="str">
        <x:v>RAMA Corporate &amp; IT Solutions LLP</x:v>
      </x:c>
      <x:c r="C1537" s="12" t="str">
        <x:v>CORP-0338</x:v>
      </x:c>
      <x:c r="D1537" s="12" t="str">
        <x:v>Mumbai</x:v>
      </x:c>
      <x:c r="E1537" s="12" t="str">
        <x:v>Rustomjee Eaze Zone Mall</x:v>
      </x:c>
      <x:c r="F1537" s="12" t="str">
        <x:v>32 inch LED TV</x:v>
      </x:c>
      <x:c r="G1537" s="20" t="n">
        <x:v>26</x:v>
      </x:c>
      <x:c r="H1537" s="12" t="str">
        <x:v>Inventory-listed building/workspace context; current occupancy and screen access unverified</x:v>
      </x:c>
      <x:c r="I1537" s="12" t="str">
        <x:v>Small-scale prospects</x:v>
      </x:c>
      <x:c r="J1537" s="12" t="str">
        <x:v>IT &amp; digital</x:v>
      </x:c>
      <x:c r="K1537" s="2" t="str">
        <x:v>MAIN-342</x:v>
      </x:c>
    </x:row>
    <x:row r="1538" ht="46" customHeight="1">
      <x:c r="A1538" s="2" t="str">
        <x:v>TEN-EA0C33070EEE</x:v>
      </x:c>
      <x:c r="B1538" s="12" t="str">
        <x:v>Qbytech Solutions Pvt Ltd</x:v>
      </x:c>
      <x:c r="C1538" s="12" t="str">
        <x:v>CORP-0338</x:v>
      </x:c>
      <x:c r="D1538" s="12" t="str">
        <x:v>Mumbai</x:v>
      </x:c>
      <x:c r="E1538" s="12" t="str">
        <x:v>Rustomjee Eaze Zone Mall</x:v>
      </x:c>
      <x:c r="F1538" s="12" t="str">
        <x:v>32 inch LED TV</x:v>
      </x:c>
      <x:c r="G1538" s="20" t="n">
        <x:v>26</x:v>
      </x:c>
      <x:c r="H1538" s="12" t="str">
        <x:v>Inventory-listed building/workspace context; current occupancy and screen access unverified</x:v>
      </x:c>
      <x:c r="I1538" s="12" t="str">
        <x:v>Mixed business audience</x:v>
      </x:c>
      <x:c r="J1538" s="12" t="str">
        <x:v>Unresolved</x:v>
      </x:c>
      <x:c r="K1538" s="2" t="str">
        <x:v>MAIN-342</x:v>
      </x:c>
    </x:row>
    <x:row r="1539" ht="46" customHeight="1">
      <x:c r="A1539" s="2" t="str">
        <x:v>TEN-F95278102ACA</x:v>
      </x:c>
      <x:c r="B1539" s="12" t="str">
        <x:v>BOTHRA PROPERTIES</x:v>
      </x:c>
      <x:c r="C1539" s="12" t="str">
        <x:v>CORP-0338</x:v>
      </x:c>
      <x:c r="D1539" s="12" t="str">
        <x:v>Mumbai</x:v>
      </x:c>
      <x:c r="E1539" s="12" t="str">
        <x:v>Rustomjee Eaze Zone Mall</x:v>
      </x:c>
      <x:c r="F1539" s="12" t="str">
        <x:v>32 inch LED TV</x:v>
      </x:c>
      <x:c r="G1539" s="20" t="n">
        <x:v>26</x:v>
      </x:c>
      <x:c r="H1539" s="12" t="str">
        <x:v>Inventory-listed building/workspace context; current occupancy and screen access unverified</x:v>
      </x:c>
      <x:c r="I1539" s="12" t="str">
        <x:v>Small-scale prospects</x:v>
      </x:c>
      <x:c r="J1539" s="12" t="str">
        <x:v>Trade, consumer &amp; logistics</x:v>
      </x:c>
      <x:c r="K1539" s="2" t="str">
        <x:v>MAIN-342</x:v>
      </x:c>
    </x:row>
    <x:row r="1540" ht="46" customHeight="1">
      <x:c r="A1540" s="2" t="str">
        <x:v>TEN-21CE05DB330F</x:v>
      </x:c>
      <x:c r="B1540" s="12" t="str">
        <x:v>Media Nucleus India</x:v>
      </x:c>
      <x:c r="C1540" s="12" t="str">
        <x:v>CORP-0339</x:v>
      </x:c>
      <x:c r="D1540" s="12" t="str">
        <x:v>Mumbai</x:v>
      </x:c>
      <x:c r="E1540" s="12" t="str">
        <x:v>Sagar Tech Plaza A </x:v>
      </x:c>
      <x:c r="F1540" s="12" t="str">
        <x:v>32 inch LED TV</x:v>
      </x:c>
      <x:c r="G1540" s="20" t="n">
        <x:v>2</x:v>
      </x:c>
      <x:c r="H1540" s="12" t="str">
        <x:v>Campus/portfolio roster; individual building occupancy unverified</x:v>
      </x:c>
      <x:c r="I1540" s="12" t="str">
        <x:v>Small-scale prospects</x:v>
      </x:c>
      <x:c r="J1540" s="12" t="str">
        <x:v>Trade, consumer &amp; logistics</x:v>
      </x:c>
      <x:c r="K1540" s="2" t="str">
        <x:v>MAIN-343</x:v>
      </x:c>
    </x:row>
    <x:row r="1541" ht="46" customHeight="1">
      <x:c r="A1541" s="2" t="str">
        <x:v>TEN-24071FD75C0B</x:v>
      </x:c>
      <x:c r="B1541" s="12" t="str">
        <x:v>Vision Engineering</x:v>
      </x:c>
      <x:c r="C1541" s="12" t="str">
        <x:v>CORP-0339</x:v>
      </x:c>
      <x:c r="D1541" s="12" t="str">
        <x:v>Mumbai</x:v>
      </x:c>
      <x:c r="E1541" s="12" t="str">
        <x:v>Sagar Tech Plaza A </x:v>
      </x:c>
      <x:c r="F1541" s="12" t="str">
        <x:v>32 inch LED TV</x:v>
      </x:c>
      <x:c r="G1541" s="20" t="n">
        <x:v>2</x:v>
      </x:c>
      <x:c r="H1541" s="12" t="str">
        <x:v>Campus/portfolio roster; individual building occupancy unverified</x:v>
      </x:c>
      <x:c r="I1541" s="12" t="str">
        <x:v>Medium-scale prospects</x:v>
      </x:c>
      <x:c r="J1541" s="12" t="str">
        <x:v>Engineering &amp; manufacturing</x:v>
      </x:c>
      <x:c r="K1541" s="2" t="str">
        <x:v>MAIN-343</x:v>
      </x:c>
    </x:row>
    <x:row r="1542" ht="46" customHeight="1">
      <x:c r="A1542" s="2" t="str">
        <x:v>TEN-2F98BAE5C1A1</x:v>
      </x:c>
      <x:c r="B1542" s="12" t="str">
        <x:v>UBM India</x:v>
      </x:c>
      <x:c r="C1542" s="12" t="str">
        <x:v>CORP-0339</x:v>
      </x:c>
      <x:c r="D1542" s="12" t="str">
        <x:v>Mumbai</x:v>
      </x:c>
      <x:c r="E1542" s="12" t="str">
        <x:v>Sagar Tech Plaza A </x:v>
      </x:c>
      <x:c r="F1542" s="12" t="str">
        <x:v>32 inch LED TV</x:v>
      </x:c>
      <x:c r="G1542" s="20" t="n">
        <x:v>2</x:v>
      </x:c>
      <x:c r="H1542" s="12" t="str">
        <x:v>Campus/portfolio roster; individual building occupancy unverified</x:v>
      </x:c>
      <x:c r="I1542" s="12" t="str">
        <x:v>Mixed business audience</x:v>
      </x:c>
      <x:c r="J1542" s="12" t="str">
        <x:v>Trade, consumer &amp; logistics</x:v>
      </x:c>
      <x:c r="K1542" s="2" t="str">
        <x:v>MAIN-343</x:v>
      </x:c>
    </x:row>
    <x:row r="1543" ht="46" customHeight="1">
      <x:c r="A1543" s="2" t="str">
        <x:v>TEN-AAEEA46EA3EC</x:v>
      </x:c>
      <x:c r="B1543" s="12" t="str">
        <x:v>ABC Techno Labs</x:v>
      </x:c>
      <x:c r="C1543" s="12" t="str">
        <x:v>CORP-0339</x:v>
      </x:c>
      <x:c r="D1543" s="12" t="str">
        <x:v>Mumbai</x:v>
      </x:c>
      <x:c r="E1543" s="12" t="str">
        <x:v>Sagar Tech Plaza A </x:v>
      </x:c>
      <x:c r="F1543" s="12" t="str">
        <x:v>32 inch LED TV</x:v>
      </x:c>
      <x:c r="G1543" s="20" t="n">
        <x:v>2</x:v>
      </x:c>
      <x:c r="H1543" s="12" t="str">
        <x:v>Campus/portfolio roster; individual building occupancy unverified</x:v>
      </x:c>
      <x:c r="I1543" s="12" t="str">
        <x:v>Medium-scale prospects</x:v>
      </x:c>
      <x:c r="J1543" s="12" t="str">
        <x:v>Engineering &amp; manufacturing</x:v>
      </x:c>
      <x:c r="K1543" s="2" t="str">
        <x:v>MAIN-343</x:v>
      </x:c>
    </x:row>
    <x:row r="1544" ht="46" customHeight="1">
      <x:c r="A1544" s="2" t="str">
        <x:v>TEN-E080263FD3AF</x:v>
      </x:c>
      <x:c r="B1544" s="12" t="str">
        <x:v>Victaulic India</x:v>
      </x:c>
      <x:c r="C1544" s="12" t="str">
        <x:v>CORP-0339</x:v>
      </x:c>
      <x:c r="D1544" s="12" t="str">
        <x:v>Mumbai</x:v>
      </x:c>
      <x:c r="E1544" s="12" t="str">
        <x:v>Sagar Tech Plaza A </x:v>
      </x:c>
      <x:c r="F1544" s="12" t="str">
        <x:v>32 inch LED TV</x:v>
      </x:c>
      <x:c r="G1544" s="20" t="n">
        <x:v>2</x:v>
      </x:c>
      <x:c r="H1544" s="12" t="str">
        <x:v>Campus/portfolio roster; individual building occupancy unverified</x:v>
      </x:c>
      <x:c r="I1544" s="12" t="str">
        <x:v>Mixed business audience</x:v>
      </x:c>
      <x:c r="J1544" s="12" t="str">
        <x:v>Engineering &amp; manufacturing</x:v>
      </x:c>
      <x:c r="K1544" s="2" t="str">
        <x:v>MAIN-343</x:v>
      </x:c>
    </x:row>
    <x:row r="1545" ht="46" customHeight="1">
      <x:c r="A1545" s="2" t="str">
        <x:v>TEN-FECD0178719F</x:v>
      </x:c>
      <x:c r="B1545" s="12" t="str">
        <x:v>De Dietrich Process Systems</x:v>
      </x:c>
      <x:c r="C1545" s="12" t="str">
        <x:v>CORP-0339</x:v>
      </x:c>
      <x:c r="D1545" s="12" t="str">
        <x:v>Mumbai</x:v>
      </x:c>
      <x:c r="E1545" s="12" t="str">
        <x:v>Sagar Tech Plaza A </x:v>
      </x:c>
      <x:c r="F1545" s="12" t="str">
        <x:v>32 inch LED TV</x:v>
      </x:c>
      <x:c r="G1545" s="20" t="n">
        <x:v>2</x:v>
      </x:c>
      <x:c r="H1545" s="12" t="str">
        <x:v>Campus/portfolio roster; individual building occupancy unverified</x:v>
      </x:c>
      <x:c r="I1545" s="12" t="str">
        <x:v>Mixed business audience</x:v>
      </x:c>
      <x:c r="J1545" s="12" t="str">
        <x:v>Engineering &amp; manufacturing</x:v>
      </x:c>
      <x:c r="K1545" s="2" t="str">
        <x:v>MAIN-343</x:v>
      </x:c>
    </x:row>
    <x:row r="1546" ht="46" customHeight="1">
      <x:c r="A1546" s="2" t="str">
        <x:v>TEN-21CE05DB330F</x:v>
      </x:c>
      <x:c r="B1546" s="12" t="str">
        <x:v>Media Nucleus India</x:v>
      </x:c>
      <x:c r="C1546" s="12" t="str">
        <x:v>CORP-0340</x:v>
      </x:c>
      <x:c r="D1546" s="12" t="str">
        <x:v>Mumbai</x:v>
      </x:c>
      <x:c r="E1546" s="12" t="str">
        <x:v>Sagar Tech Plaza A {IE}</x:v>
      </x:c>
      <x:c r="F1546" s="12" t="str">
        <x:v>24 inch LED TV</x:v>
      </x:c>
      <x:c r="G1546" s="20" t="n">
        <x:v>3</x:v>
      </x:c>
      <x:c r="H1546" s="12" t="str">
        <x:v>Campus/portfolio roster; individual building occupancy unverified</x:v>
      </x:c>
      <x:c r="I1546" s="12" t="str">
        <x:v>Small-scale prospects</x:v>
      </x:c>
      <x:c r="J1546" s="12" t="str">
        <x:v>Trade, consumer &amp; logistics</x:v>
      </x:c>
      <x:c r="K1546" s="2" t="str">
        <x:v>MAIN-344</x:v>
      </x:c>
    </x:row>
    <x:row r="1547" ht="46" customHeight="1">
      <x:c r="A1547" s="2" t="str">
        <x:v>TEN-24071FD75C0B</x:v>
      </x:c>
      <x:c r="B1547" s="12" t="str">
        <x:v>Vision Engineering</x:v>
      </x:c>
      <x:c r="C1547" s="12" t="str">
        <x:v>CORP-0340</x:v>
      </x:c>
      <x:c r="D1547" s="12" t="str">
        <x:v>Mumbai</x:v>
      </x:c>
      <x:c r="E1547" s="12" t="str">
        <x:v>Sagar Tech Plaza A {IE}</x:v>
      </x:c>
      <x:c r="F1547" s="12" t="str">
        <x:v>24 inch LED TV</x:v>
      </x:c>
      <x:c r="G1547" s="20" t="n">
        <x:v>3</x:v>
      </x:c>
      <x:c r="H1547" s="12" t="str">
        <x:v>Campus/portfolio roster; individual building occupancy unverified</x:v>
      </x:c>
      <x:c r="I1547" s="12" t="str">
        <x:v>Medium-scale prospects</x:v>
      </x:c>
      <x:c r="J1547" s="12" t="str">
        <x:v>Engineering &amp; manufacturing</x:v>
      </x:c>
      <x:c r="K1547" s="2" t="str">
        <x:v>MAIN-344</x:v>
      </x:c>
    </x:row>
    <x:row r="1548" ht="46" customHeight="1">
      <x:c r="A1548" s="2" t="str">
        <x:v>TEN-66035669957D</x:v>
      </x:c>
      <x:c r="B1548" s="12" t="str">
        <x:v>UBM India (Events &amp; Exhibitions)</x:v>
      </x:c>
      <x:c r="C1548" s="12" t="str">
        <x:v>CORP-0340</x:v>
      </x:c>
      <x:c r="D1548" s="12" t="str">
        <x:v>Mumbai</x:v>
      </x:c>
      <x:c r="E1548" s="12" t="str">
        <x:v>Sagar Tech Plaza A {IE}</x:v>
      </x:c>
      <x:c r="F1548" s="12" t="str">
        <x:v>24 inch LED TV</x:v>
      </x:c>
      <x:c r="G1548" s="20" t="n">
        <x:v>3</x:v>
      </x:c>
      <x:c r="H1548" s="12" t="str">
        <x:v>Campus/portfolio roster; individual building occupancy unverified</x:v>
      </x:c>
      <x:c r="I1548" s="12" t="str">
        <x:v>Mixed business audience</x:v>
      </x:c>
      <x:c r="J1548" s="12" t="str">
        <x:v>Trade, consumer &amp; logistics</x:v>
      </x:c>
      <x:c r="K1548" s="2" t="str">
        <x:v>MAIN-344</x:v>
      </x:c>
    </x:row>
    <x:row r="1549" ht="46" customHeight="1">
      <x:c r="A1549" s="2" t="str">
        <x:v>TEN-AAEEA46EA3EC</x:v>
      </x:c>
      <x:c r="B1549" s="12" t="str">
        <x:v>ABC Techno Labs</x:v>
      </x:c>
      <x:c r="C1549" s="12" t="str">
        <x:v>CORP-0340</x:v>
      </x:c>
      <x:c r="D1549" s="12" t="str">
        <x:v>Mumbai</x:v>
      </x:c>
      <x:c r="E1549" s="12" t="str">
        <x:v>Sagar Tech Plaza A {IE}</x:v>
      </x:c>
      <x:c r="F1549" s="12" t="str">
        <x:v>24 inch LED TV</x:v>
      </x:c>
      <x:c r="G1549" s="20" t="n">
        <x:v>3</x:v>
      </x:c>
      <x:c r="H1549" s="12" t="str">
        <x:v>Campus/portfolio roster; individual building occupancy unverified</x:v>
      </x:c>
      <x:c r="I1549" s="12" t="str">
        <x:v>Medium-scale prospects</x:v>
      </x:c>
      <x:c r="J1549" s="12" t="str">
        <x:v>Engineering &amp; manufacturing</x:v>
      </x:c>
      <x:c r="K1549" s="2" t="str">
        <x:v>MAIN-344</x:v>
      </x:c>
    </x:row>
    <x:row r="1550" ht="46" customHeight="1">
      <x:c r="A1550" s="2" t="str">
        <x:v>TEN-E080263FD3AF</x:v>
      </x:c>
      <x:c r="B1550" s="12" t="str">
        <x:v>Victaulic India</x:v>
      </x:c>
      <x:c r="C1550" s="12" t="str">
        <x:v>CORP-0340</x:v>
      </x:c>
      <x:c r="D1550" s="12" t="str">
        <x:v>Mumbai</x:v>
      </x:c>
      <x:c r="E1550" s="12" t="str">
        <x:v>Sagar Tech Plaza A {IE}</x:v>
      </x:c>
      <x:c r="F1550" s="12" t="str">
        <x:v>24 inch LED TV</x:v>
      </x:c>
      <x:c r="G1550" s="20" t="n">
        <x:v>3</x:v>
      </x:c>
      <x:c r="H1550" s="12" t="str">
        <x:v>Campus/portfolio roster; individual building occupancy unverified</x:v>
      </x:c>
      <x:c r="I1550" s="12" t="str">
        <x:v>Mixed business audience</x:v>
      </x:c>
      <x:c r="J1550" s="12" t="str">
        <x:v>Engineering &amp; manufacturing</x:v>
      </x:c>
      <x:c r="K1550" s="2" t="str">
        <x:v>MAIN-344</x:v>
      </x:c>
    </x:row>
    <x:row r="1551" ht="46" customHeight="1">
      <x:c r="A1551" s="2" t="str">
        <x:v>TEN-FECD0178719F</x:v>
      </x:c>
      <x:c r="B1551" s="12" t="str">
        <x:v>De Dietrich Process Systems</x:v>
      </x:c>
      <x:c r="C1551" s="12" t="str">
        <x:v>CORP-0340</x:v>
      </x:c>
      <x:c r="D1551" s="12" t="str">
        <x:v>Mumbai</x:v>
      </x:c>
      <x:c r="E1551" s="12" t="str">
        <x:v>Sagar Tech Plaza A {IE}</x:v>
      </x:c>
      <x:c r="F1551" s="12" t="str">
        <x:v>24 inch LED TV</x:v>
      </x:c>
      <x:c r="G1551" s="20" t="n">
        <x:v>3</x:v>
      </x:c>
      <x:c r="H1551" s="12" t="str">
        <x:v>Campus/portfolio roster; individual building occupancy unverified</x:v>
      </x:c>
      <x:c r="I1551" s="12" t="str">
        <x:v>Mixed business audience</x:v>
      </x:c>
      <x:c r="J1551" s="12" t="str">
        <x:v>Engineering &amp; manufacturing</x:v>
      </x:c>
      <x:c r="K1551" s="2" t="str">
        <x:v>MAIN-344</x:v>
      </x:c>
    </x:row>
    <x:row r="1552" ht="46" customHeight="1">
      <x:c r="A1552" s="2" t="str">
        <x:v>TEN-413BB748AA81</x:v>
      </x:c>
      <x:c r="B1552" s="12" t="str">
        <x:v>WNS Global Services</x:v>
      </x:c>
      <x:c r="C1552" s="12" t="str">
        <x:v>CORP-0341</x:v>
      </x:c>
      <x:c r="D1552" s="12" t="str">
        <x:v>Mumbai</x:v>
      </x:c>
      <x:c r="E1552" s="12" t="str">
        <x:v>Sagar Tech Plaza B </x:v>
      </x:c>
      <x:c r="F1552" s="12" t="str">
        <x:v>32 inch LED TV</x:v>
      </x:c>
      <x:c r="G1552" s="20" t="n">
        <x:v>1</x:v>
      </x:c>
      <x:c r="H1552" s="12" t="str">
        <x:v>Campus/portfolio roster; individual building occupancy unverified</x:v>
      </x:c>
      <x:c r="I1552" s="12" t="str">
        <x:v>Mixed business audience</x:v>
      </x:c>
      <x:c r="J1552" s="12" t="str">
        <x:v>IT &amp; digital</x:v>
      </x:c>
      <x:c r="K1552" s="2" t="str">
        <x:v>MAIN-345</x:v>
      </x:c>
    </x:row>
    <x:row r="1553" ht="46" customHeight="1">
      <x:c r="A1553" s="2" t="str">
        <x:v>TEN-4D748EBD71AF</x:v>
      </x:c>
      <x:c r="B1553" s="12" t="str">
        <x:v>Accenture</x:v>
      </x:c>
      <x:c r="C1553" s="12" t="str">
        <x:v>CORP-0341</x:v>
      </x:c>
      <x:c r="D1553" s="12" t="str">
        <x:v>Mumbai</x:v>
      </x:c>
      <x:c r="E1553" s="12" t="str">
        <x:v>Sagar Tech Plaza B </x:v>
      </x:c>
      <x:c r="F1553" s="12" t="str">
        <x:v>32 inch LED TV</x:v>
      </x:c>
      <x:c r="G1553" s="20" t="n">
        <x:v>1</x:v>
      </x:c>
      <x:c r="H1553" s="12" t="str">
        <x:v>Campus/portfolio roster; individual building occupancy unverified</x:v>
      </x:c>
      <x:c r="I1553" s="12" t="str">
        <x:v>Large enterprise</x:v>
      </x:c>
      <x:c r="J1553" s="12" t="str">
        <x:v>IT &amp; digital</x:v>
      </x:c>
      <x:c r="K1553" s="2" t="str">
        <x:v>MAIN-345</x:v>
      </x:c>
    </x:row>
    <x:row r="1554" ht="46" customHeight="1">
      <x:c r="A1554" s="2" t="str">
        <x:v>TEN-6A9D4FE5CE43</x:v>
      </x:c>
      <x:c r="B1554" s="12" t="str">
        <x:v>Arlo Ship Management</x:v>
      </x:c>
      <x:c r="C1554" s="12" t="str">
        <x:v>CORP-0341</x:v>
      </x:c>
      <x:c r="D1554" s="12" t="str">
        <x:v>Mumbai</x:v>
      </x:c>
      <x:c r="E1554" s="12" t="str">
        <x:v>Sagar Tech Plaza B </x:v>
      </x:c>
      <x:c r="F1554" s="12" t="str">
        <x:v>32 inch LED TV</x:v>
      </x:c>
      <x:c r="G1554" s="20" t="n">
        <x:v>1</x:v>
      </x:c>
      <x:c r="H1554" s="12" t="str">
        <x:v>Campus/portfolio roster; individual building occupancy unverified</x:v>
      </x:c>
      <x:c r="I1554" s="12" t="str">
        <x:v>Small-scale prospects</x:v>
      </x:c>
      <x:c r="J1554" s="12" t="str">
        <x:v>Trade, consumer &amp; logistics</x:v>
      </x:c>
      <x:c r="K1554" s="2" t="str">
        <x:v>MAIN-345</x:v>
      </x:c>
    </x:row>
    <x:row r="1555" ht="46" customHeight="1">
      <x:c r="A1555" s="2" t="str">
        <x:v>TEN-80E224094D7E</x:v>
      </x:c>
      <x:c r="B1555" s="12" t="str">
        <x:v>Sutherland Global Services</x:v>
      </x:c>
      <x:c r="C1555" s="12" t="str">
        <x:v>CORP-0341</x:v>
      </x:c>
      <x:c r="D1555" s="12" t="str">
        <x:v>Mumbai</x:v>
      </x:c>
      <x:c r="E1555" s="12" t="str">
        <x:v>Sagar Tech Plaza B </x:v>
      </x:c>
      <x:c r="F1555" s="12" t="str">
        <x:v>32 inch LED TV</x:v>
      </x:c>
      <x:c r="G1555" s="20" t="n">
        <x:v>1</x:v>
      </x:c>
      <x:c r="H1555" s="12" t="str">
        <x:v>Campus/portfolio roster; individual building occupancy unverified</x:v>
      </x:c>
      <x:c r="I1555" s="12" t="str">
        <x:v>Mixed business audience</x:v>
      </x:c>
      <x:c r="J1555" s="12" t="str">
        <x:v>IT &amp; digital</x:v>
      </x:c>
      <x:c r="K1555" s="2" t="str">
        <x:v>MAIN-345</x:v>
      </x:c>
    </x:row>
    <x:row r="1556" ht="46" customHeight="1">
      <x:c r="A1556" s="2" t="str">
        <x:v>TEN-F55A85B2F2EB</x:v>
      </x:c>
      <x:c r="B1556" s="12" t="str">
        <x:v>Capgemini</x:v>
      </x:c>
      <x:c r="C1556" s="12" t="str">
        <x:v>CORP-0341</x:v>
      </x:c>
      <x:c r="D1556" s="12" t="str">
        <x:v>Mumbai</x:v>
      </x:c>
      <x:c r="E1556" s="12" t="str">
        <x:v>Sagar Tech Plaza B </x:v>
      </x:c>
      <x:c r="F1556" s="12" t="str">
        <x:v>32 inch LED TV</x:v>
      </x:c>
      <x:c r="G1556" s="20" t="n">
        <x:v>1</x:v>
      </x:c>
      <x:c r="H1556" s="12" t="str">
        <x:v>Campus/portfolio roster; individual building occupancy unverified</x:v>
      </x:c>
      <x:c r="I1556" s="12" t="str">
        <x:v>Large enterprise</x:v>
      </x:c>
      <x:c r="J1556" s="12" t="str">
        <x:v>IT &amp; digital</x:v>
      </x:c>
      <x:c r="K1556" s="2" t="str">
        <x:v>MAIN-345</x:v>
      </x:c>
    </x:row>
    <x:row r="1557" ht="46" customHeight="1">
      <x:c r="A1557" s="2" t="str">
        <x:v>TEN-FECD0178719F</x:v>
      </x:c>
      <x:c r="B1557" s="12" t="str">
        <x:v>De Dietrich Process Systems</x:v>
      </x:c>
      <x:c r="C1557" s="12" t="str">
        <x:v>CORP-0341</x:v>
      </x:c>
      <x:c r="D1557" s="12" t="str">
        <x:v>Mumbai</x:v>
      </x:c>
      <x:c r="E1557" s="12" t="str">
        <x:v>Sagar Tech Plaza B </x:v>
      </x:c>
      <x:c r="F1557" s="12" t="str">
        <x:v>32 inch LED TV</x:v>
      </x:c>
      <x:c r="G1557" s="20" t="n">
        <x:v>1</x:v>
      </x:c>
      <x:c r="H1557" s="12" t="str">
        <x:v>Campus/portfolio roster; individual building occupancy unverified</x:v>
      </x:c>
      <x:c r="I1557" s="12" t="str">
        <x:v>Mixed business audience</x:v>
      </x:c>
      <x:c r="J1557" s="12" t="str">
        <x:v>Engineering &amp; manufacturing</x:v>
      </x:c>
      <x:c r="K1557" s="2" t="str">
        <x:v>MAIN-345</x:v>
      </x:c>
    </x:row>
    <x:row r="1558" ht="46" customHeight="1">
      <x:c r="A1558" s="2" t="str">
        <x:v>TEN-24071FD75C0B</x:v>
      </x:c>
      <x:c r="B1558" s="12" t="str">
        <x:v>Vision Engineering</x:v>
      </x:c>
      <x:c r="C1558" s="12" t="str">
        <x:v>CORP-0342</x:v>
      </x:c>
      <x:c r="D1558" s="12" t="str">
        <x:v>Mumbai</x:v>
      </x:c>
      <x:c r="E1558" s="12" t="str">
        <x:v>Sagar Tech Plaza B {IE}</x:v>
      </x:c>
      <x:c r="F1558" s="12" t="str">
        <x:v>24 inch LED TV</x:v>
      </x:c>
      <x:c r="G1558" s="20" t="n">
        <x:v>3</x:v>
      </x:c>
      <x:c r="H1558" s="12" t="str">
        <x:v>Campus/portfolio roster; individual building occupancy unverified</x:v>
      </x:c>
      <x:c r="I1558" s="12" t="str">
        <x:v>Medium-scale prospects</x:v>
      </x:c>
      <x:c r="J1558" s="12" t="str">
        <x:v>Engineering &amp; manufacturing</x:v>
      </x:c>
      <x:c r="K1558" s="2" t="str">
        <x:v>MAIN-346</x:v>
      </x:c>
    </x:row>
    <x:row r="1559" ht="46" customHeight="1">
      <x:c r="A1559" s="2" t="str">
        <x:v>TEN-413BB748AA81</x:v>
      </x:c>
      <x:c r="B1559" s="12" t="str">
        <x:v>WNS Global Services</x:v>
      </x:c>
      <x:c r="C1559" s="12" t="str">
        <x:v>CORP-0342</x:v>
      </x:c>
      <x:c r="D1559" s="12" t="str">
        <x:v>Mumbai</x:v>
      </x:c>
      <x:c r="E1559" s="12" t="str">
        <x:v>Sagar Tech Plaza B {IE}</x:v>
      </x:c>
      <x:c r="F1559" s="12" t="str">
        <x:v>24 inch LED TV</x:v>
      </x:c>
      <x:c r="G1559" s="20" t="n">
        <x:v>3</x:v>
      </x:c>
      <x:c r="H1559" s="12" t="str">
        <x:v>Campus/portfolio roster; individual building occupancy unverified</x:v>
      </x:c>
      <x:c r="I1559" s="12" t="str">
        <x:v>Mixed business audience</x:v>
      </x:c>
      <x:c r="J1559" s="12" t="str">
        <x:v>IT &amp; digital</x:v>
      </x:c>
      <x:c r="K1559" s="2" t="str">
        <x:v>MAIN-346</x:v>
      </x:c>
    </x:row>
    <x:row r="1560" ht="46" customHeight="1">
      <x:c r="A1560" s="2" t="str">
        <x:v>TEN-4D748EBD71AF</x:v>
      </x:c>
      <x:c r="B1560" s="12" t="str">
        <x:v>Accenture</x:v>
      </x:c>
      <x:c r="C1560" s="12" t="str">
        <x:v>CORP-0342</x:v>
      </x:c>
      <x:c r="D1560" s="12" t="str">
        <x:v>Mumbai</x:v>
      </x:c>
      <x:c r="E1560" s="12" t="str">
        <x:v>Sagar Tech Plaza B {IE}</x:v>
      </x:c>
      <x:c r="F1560" s="12" t="str">
        <x:v>24 inch LED TV</x:v>
      </x:c>
      <x:c r="G1560" s="20" t="n">
        <x:v>3</x:v>
      </x:c>
      <x:c r="H1560" s="12" t="str">
        <x:v>Campus/portfolio roster; individual building occupancy unverified</x:v>
      </x:c>
      <x:c r="I1560" s="12" t="str">
        <x:v>Large enterprise</x:v>
      </x:c>
      <x:c r="J1560" s="12" t="str">
        <x:v>IT &amp; digital</x:v>
      </x:c>
      <x:c r="K1560" s="2" t="str">
        <x:v>MAIN-346</x:v>
      </x:c>
    </x:row>
    <x:row r="1561" ht="46" customHeight="1">
      <x:c r="A1561" s="2" t="str">
        <x:v>TEN-6A9D4FE5CE43</x:v>
      </x:c>
      <x:c r="B1561" s="12" t="str">
        <x:v>Arlo Ship Management</x:v>
      </x:c>
      <x:c r="C1561" s="12" t="str">
        <x:v>CORP-0342</x:v>
      </x:c>
      <x:c r="D1561" s="12" t="str">
        <x:v>Mumbai</x:v>
      </x:c>
      <x:c r="E1561" s="12" t="str">
        <x:v>Sagar Tech Plaza B {IE}</x:v>
      </x:c>
      <x:c r="F1561" s="12" t="str">
        <x:v>24 inch LED TV</x:v>
      </x:c>
      <x:c r="G1561" s="20" t="n">
        <x:v>3</x:v>
      </x:c>
      <x:c r="H1561" s="12" t="str">
        <x:v>Campus/portfolio roster; individual building occupancy unverified</x:v>
      </x:c>
      <x:c r="I1561" s="12" t="str">
        <x:v>Small-scale prospects</x:v>
      </x:c>
      <x:c r="J1561" s="12" t="str">
        <x:v>Trade, consumer &amp; logistics</x:v>
      </x:c>
      <x:c r="K1561" s="2" t="str">
        <x:v>MAIN-346</x:v>
      </x:c>
    </x:row>
    <x:row r="1562" ht="46" customHeight="1">
      <x:c r="A1562" s="2" t="str">
        <x:v>TEN-80E224094D7E</x:v>
      </x:c>
      <x:c r="B1562" s="12" t="str">
        <x:v>Sutherland Global Services</x:v>
      </x:c>
      <x:c r="C1562" s="12" t="str">
        <x:v>CORP-0342</x:v>
      </x:c>
      <x:c r="D1562" s="12" t="str">
        <x:v>Mumbai</x:v>
      </x:c>
      <x:c r="E1562" s="12" t="str">
        <x:v>Sagar Tech Plaza B {IE}</x:v>
      </x:c>
      <x:c r="F1562" s="12" t="str">
        <x:v>24 inch LED TV</x:v>
      </x:c>
      <x:c r="G1562" s="20" t="n">
        <x:v>3</x:v>
      </x:c>
      <x:c r="H1562" s="12" t="str">
        <x:v>Campus/portfolio roster; individual building occupancy unverified</x:v>
      </x:c>
      <x:c r="I1562" s="12" t="str">
        <x:v>Mixed business audience</x:v>
      </x:c>
      <x:c r="J1562" s="12" t="str">
        <x:v>IT &amp; digital</x:v>
      </x:c>
      <x:c r="K1562" s="2" t="str">
        <x:v>MAIN-346</x:v>
      </x:c>
    </x:row>
    <x:row r="1563" ht="46" customHeight="1">
      <x:c r="A1563" s="2" t="str">
        <x:v>TEN-F55A85B2F2EB</x:v>
      </x:c>
      <x:c r="B1563" s="12" t="str">
        <x:v>Capgemini</x:v>
      </x:c>
      <x:c r="C1563" s="12" t="str">
        <x:v>CORP-0342</x:v>
      </x:c>
      <x:c r="D1563" s="12" t="str">
        <x:v>Mumbai</x:v>
      </x:c>
      <x:c r="E1563" s="12" t="str">
        <x:v>Sagar Tech Plaza B {IE}</x:v>
      </x:c>
      <x:c r="F1563" s="12" t="str">
        <x:v>24 inch LED TV</x:v>
      </x:c>
      <x:c r="G1563" s="20" t="n">
        <x:v>3</x:v>
      </x:c>
      <x:c r="H1563" s="12" t="str">
        <x:v>Campus/portfolio roster; individual building occupancy unverified</x:v>
      </x:c>
      <x:c r="I1563" s="12" t="str">
        <x:v>Large enterprise</x:v>
      </x:c>
      <x:c r="J1563" s="12" t="str">
        <x:v>IT &amp; digital</x:v>
      </x:c>
      <x:c r="K1563" s="2" t="str">
        <x:v>MAIN-346</x:v>
      </x:c>
    </x:row>
    <x:row r="1564" ht="46" customHeight="1">
      <x:c r="A1564" s="2" t="str">
        <x:v>TEN-FECD0178719F</x:v>
      </x:c>
      <x:c r="B1564" s="12" t="str">
        <x:v>De Dietrich Process Systems</x:v>
      </x:c>
      <x:c r="C1564" s="12" t="str">
        <x:v>CORP-0342</x:v>
      </x:c>
      <x:c r="D1564" s="12" t="str">
        <x:v>Mumbai</x:v>
      </x:c>
      <x:c r="E1564" s="12" t="str">
        <x:v>Sagar Tech Plaza B {IE}</x:v>
      </x:c>
      <x:c r="F1564" s="12" t="str">
        <x:v>24 inch LED TV</x:v>
      </x:c>
      <x:c r="G1564" s="20" t="n">
        <x:v>3</x:v>
      </x:c>
      <x:c r="H1564" s="12" t="str">
        <x:v>Campus/portfolio roster; individual building occupancy unverified</x:v>
      </x:c>
      <x:c r="I1564" s="12" t="str">
        <x:v>Mixed business audience</x:v>
      </x:c>
      <x:c r="J1564" s="12" t="str">
        <x:v>Engineering &amp; manufacturing</x:v>
      </x:c>
      <x:c r="K1564" s="2" t="str">
        <x:v>MAIN-346</x:v>
      </x:c>
    </x:row>
    <x:row r="1565" ht="46" customHeight="1">
      <x:c r="A1565" s="2" t="str">
        <x:v>TEN-652C71309085</x:v>
      </x:c>
      <x:c r="B1565" s="12" t="str">
        <x:v>Buzz Bee Studio</x:v>
      </x:c>
      <x:c r="C1565" s="12" t="str">
        <x:v>CORP-0343</x:v>
      </x:c>
      <x:c r="D1565" s="12" t="str">
        <x:v>Mumbai</x:v>
      </x:c>
      <x:c r="E1565" s="12" t="str">
        <x:v>Symphony IT Park (Redbrick Offices)</x:v>
      </x:c>
      <x:c r="F1565" s="12" t="str">
        <x:v>32 inch LED TV</x:v>
      </x:c>
      <x:c r="G1565" s="20" t="n">
        <x:v>2</x:v>
      </x:c>
      <x:c r="H1565" s="12" t="str">
        <x:v>Inventory-listed building/workspace context; current occupancy and screen access unverified</x:v>
      </x:c>
      <x:c r="I1565" s="12" t="str">
        <x:v>Small-scale prospects</x:v>
      </x:c>
      <x:c r="J1565" s="12" t="str">
        <x:v>Professional services</x:v>
      </x:c>
      <x:c r="K1565" s="2" t="str">
        <x:v>MAIN-347</x:v>
      </x:c>
    </x:row>
    <x:row r="1566" ht="46" customHeight="1">
      <x:c r="A1566" s="2" t="str">
        <x:v>TEN-7505CCD0823D</x:v>
      </x:c>
      <x:c r="B1566" s="12" t="str">
        <x:v>ATHENA BPO PVT. LTD</x:v>
      </x:c>
      <x:c r="C1566" s="12" t="str">
        <x:v>CORP-0343</x:v>
      </x:c>
      <x:c r="D1566" s="12" t="str">
        <x:v>Mumbai</x:v>
      </x:c>
      <x:c r="E1566" s="12" t="str">
        <x:v>Symphony IT Park (Redbrick Offices)</x:v>
      </x:c>
      <x:c r="F1566" s="12" t="str">
        <x:v>32 inch LED TV</x:v>
      </x:c>
      <x:c r="G1566" s="20" t="n">
        <x:v>2</x:v>
      </x:c>
      <x:c r="H1566" s="12" t="str">
        <x:v>Inventory-listed building/workspace context; current occupancy and screen access unverified</x:v>
      </x:c>
      <x:c r="I1566" s="12" t="str">
        <x:v>Small-scale prospects</x:v>
      </x:c>
      <x:c r="J1566" s="12" t="str">
        <x:v>IT &amp; digital</x:v>
      </x:c>
      <x:c r="K1566" s="2" t="str">
        <x:v>MAIN-347</x:v>
      </x:c>
    </x:row>
    <x:row r="1567" ht="46" customHeight="1">
      <x:c r="A1567" s="2" t="str">
        <x:v>TEN-AAE414031EA7</x:v>
      </x:c>
      <x:c r="B1567" s="12" t="str">
        <x:v>Vernost Marketing Technology Solutions Pvt. Ltd</x:v>
      </x:c>
      <x:c r="C1567" s="12" t="str">
        <x:v>CORP-0343</x:v>
      </x:c>
      <x:c r="D1567" s="12" t="str">
        <x:v>Mumbai</x:v>
      </x:c>
      <x:c r="E1567" s="12" t="str">
        <x:v>Symphony IT Park (Redbrick Offices)</x:v>
      </x:c>
      <x:c r="F1567" s="12" t="str">
        <x:v>32 inch LED TV</x:v>
      </x:c>
      <x:c r="G1567" s="20" t="n">
        <x:v>2</x:v>
      </x:c>
      <x:c r="H1567" s="12" t="str">
        <x:v>Inventory-listed building/workspace context; current occupancy and screen access unverified</x:v>
      </x:c>
      <x:c r="I1567" s="12" t="str">
        <x:v>Small-scale prospects</x:v>
      </x:c>
      <x:c r="J1567" s="12" t="str">
        <x:v>IT &amp; digital</x:v>
      </x:c>
      <x:c r="K1567" s="2" t="str">
        <x:v>MAIN-347</x:v>
      </x:c>
    </x:row>
    <x:row r="1568" ht="46" customHeight="1">
      <x:c r="A1568" s="2" t="str">
        <x:v>TEN-773606B8B731</x:v>
      </x:c>
      <x:c r="B1568" s="12" t="str">
        <x:v>AdvaCare Pharma USA</x:v>
      </x:c>
      <x:c r="C1568" s="12" t="str">
        <x:v>CORP-0344</x:v>
      </x:c>
      <x:c r="D1568" s="12" t="str">
        <x:v>Mumbai</x:v>
      </x:c>
      <x:c r="E1568" s="12" t="str">
        <x:v>TEX Centre (Redbrick Offices)</x:v>
      </x:c>
      <x:c r="F1568" s="12" t="str">
        <x:v>32 inch LED TV</x:v>
      </x:c>
      <x:c r="G1568" s="20" t="n">
        <x:v>1</x:v>
      </x:c>
      <x:c r="H1568" s="12" t="str">
        <x:v>Inventory-listed building/workspace context; current occupancy and screen access unverified</x:v>
      </x:c>
      <x:c r="I1568" s="12" t="str">
        <x:v>Medium-scale prospects</x:v>
      </x:c>
      <x:c r="J1568" s="12" t="str">
        <x:v>Healthcare &amp; life sciences</x:v>
      </x:c>
      <x:c r="K1568" s="2" t="str">
        <x:v>MAIN-348</x:v>
      </x:c>
    </x:row>
    <x:row r="1569" ht="46" customHeight="1">
      <x:c r="A1569" s="2" t="str">
        <x:v>TEN-85F83B52EA01</x:v>
      </x:c>
      <x:c r="B1569" s="12" t="str">
        <x:v>Evo Foods</x:v>
      </x:c>
      <x:c r="C1569" s="12" t="str">
        <x:v>CORP-0344</x:v>
      </x:c>
      <x:c r="D1569" s="12" t="str">
        <x:v>Mumbai</x:v>
      </x:c>
      <x:c r="E1569" s="12" t="str">
        <x:v>TEX Centre (Redbrick Offices)</x:v>
      </x:c>
      <x:c r="F1569" s="12" t="str">
        <x:v>32 inch LED TV</x:v>
      </x:c>
      <x:c r="G1569" s="20" t="n">
        <x:v>1</x:v>
      </x:c>
      <x:c r="H1569" s="12" t="str">
        <x:v>Inventory-listed building/workspace context; current occupancy and screen access unverified</x:v>
      </x:c>
      <x:c r="I1569" s="12" t="str">
        <x:v>Small-scale prospects</x:v>
      </x:c>
      <x:c r="J1569" s="12" t="str">
        <x:v>Trade, consumer &amp; logistics</x:v>
      </x:c>
      <x:c r="K1569" s="2" t="str">
        <x:v>MAIN-348</x:v>
      </x:c>
    </x:row>
    <x:row r="1570" ht="46" customHeight="1">
      <x:c r="A1570" s="2" t="str">
        <x:v>TEN-950FC4DC0333</x:v>
      </x:c>
      <x:c r="B1570" s="12" t="str">
        <x:v>Intertek India</x:v>
      </x:c>
      <x:c r="C1570" s="12" t="str">
        <x:v>CORP-0344</x:v>
      </x:c>
      <x:c r="D1570" s="12" t="str">
        <x:v>Mumbai</x:v>
      </x:c>
      <x:c r="E1570" s="12" t="str">
        <x:v>TEX Centre (Redbrick Offices)</x:v>
      </x:c>
      <x:c r="F1570" s="12" t="str">
        <x:v>32 inch LED TV</x:v>
      </x:c>
      <x:c r="G1570" s="20" t="n">
        <x:v>1</x:v>
      </x:c>
      <x:c r="H1570" s="12" t="str">
        <x:v>Inventory-listed building/workspace context; current occupancy and screen access unverified</x:v>
      </x:c>
      <x:c r="I1570" s="12" t="str">
        <x:v>Mixed business audience</x:v>
      </x:c>
      <x:c r="J1570" s="12" t="str">
        <x:v>Professional services</x:v>
      </x:c>
      <x:c r="K1570" s="2" t="str">
        <x:v>MAIN-348</x:v>
      </x:c>
    </x:row>
    <x:row r="1571" ht="46" customHeight="1">
      <x:c r="A1571" s="2" t="str">
        <x:v>TEN-D50C629E9CEF</x:v>
      </x:c>
      <x:c r="B1571" s="12" t="str">
        <x:v>Ace Logic Business Solutions</x:v>
      </x:c>
      <x:c r="C1571" s="12" t="str">
        <x:v>CORP-0344</x:v>
      </x:c>
      <x:c r="D1571" s="12" t="str">
        <x:v>Mumbai</x:v>
      </x:c>
      <x:c r="E1571" s="12" t="str">
        <x:v>TEX Centre (Redbrick Offices)</x:v>
      </x:c>
      <x:c r="F1571" s="12" t="str">
        <x:v>32 inch LED TV</x:v>
      </x:c>
      <x:c r="G1571" s="20" t="n">
        <x:v>1</x:v>
      </x:c>
      <x:c r="H1571" s="12" t="str">
        <x:v>Inventory-listed building/workspace context; current occupancy and screen access unverified</x:v>
      </x:c>
      <x:c r="I1571" s="12" t="str">
        <x:v>Small-scale prospects</x:v>
      </x:c>
      <x:c r="J1571" s="12" t="str">
        <x:v>Professional services</x:v>
      </x:c>
      <x:c r="K1571" s="2" t="str">
        <x:v>MAIN-348</x:v>
      </x:c>
    </x:row>
    <x:row r="1572" ht="46" customHeight="1">
      <x:c r="A1572" s="2" t="str">
        <x:v>TEN-F37232276DC6</x:v>
      </x:c>
      <x:c r="B1572" s="12" t="str">
        <x:v>Time Technoplast Ltd</x:v>
      </x:c>
      <x:c r="C1572" s="12" t="str">
        <x:v>CORP-0344</x:v>
      </x:c>
      <x:c r="D1572" s="12" t="str">
        <x:v>Mumbai</x:v>
      </x:c>
      <x:c r="E1572" s="12" t="str">
        <x:v>TEX Centre (Redbrick Offices)</x:v>
      </x:c>
      <x:c r="F1572" s="12" t="str">
        <x:v>32 inch LED TV</x:v>
      </x:c>
      <x:c r="G1572" s="20" t="n">
        <x:v>1</x:v>
      </x:c>
      <x:c r="H1572" s="12" t="str">
        <x:v>Inventory-listed building/workspace context; current occupancy and screen access unverified</x:v>
      </x:c>
      <x:c r="I1572" s="12" t="str">
        <x:v>Mixed business audience</x:v>
      </x:c>
      <x:c r="J1572" s="12" t="str">
        <x:v>Engineering &amp; manufacturing</x:v>
      </x:c>
      <x:c r="K1572" s="2" t="str">
        <x:v>MAIN-348</x:v>
      </x:c>
    </x:row>
    <x:row r="1573" ht="46" customHeight="1">
      <x:c r="A1573" s="2" t="str">
        <x:v>TEN-0F0BA7A72DF3</x:v>
      </x:c>
      <x:c r="B1573" s="12" t="str">
        <x:v>HYBRID 360FIT</x:v>
      </x:c>
      <x:c r="C1573" s="12" t="str">
        <x:v>CORP-0345</x:v>
      </x:c>
      <x:c r="D1573" s="12" t="str">
        <x:v>Mumbai</x:v>
      </x:c>
      <x:c r="E1573" s="12" t="str">
        <x:v>The Landmark - Kharghar</x:v>
      </x:c>
      <x:c r="F1573" s="12" t="str">
        <x:v>32 inch LED TV</x:v>
      </x:c>
      <x:c r="G1573" s="20" t="n">
        <x:v>10</x:v>
      </x:c>
      <x:c r="H1573" s="12" t="str">
        <x:v>Inventory-listed building/workspace context; current occupancy and screen access unverified</x:v>
      </x:c>
      <x:c r="I1573" s="12" t="str">
        <x:v>Mixed business audience</x:v>
      </x:c>
      <x:c r="J1573" s="12" t="str">
        <x:v>Unresolved</x:v>
      </x:c>
      <x:c r="K1573" s="2" t="str">
        <x:v>MAIN-349</x:v>
      </x:c>
    </x:row>
    <x:row r="1574" ht="46" customHeight="1">
      <x:c r="A1574" s="2" t="str">
        <x:v>TEN-3960A582F1CE</x:v>
      </x:c>
      <x:c r="B1574" s="12" t="str">
        <x:v>Labh Homemakers Pvt Ltd</x:v>
      </x:c>
      <x:c r="C1574" s="12" t="str">
        <x:v>CORP-0345</x:v>
      </x:c>
      <x:c r="D1574" s="12" t="str">
        <x:v>Mumbai</x:v>
      </x:c>
      <x:c r="E1574" s="12" t="str">
        <x:v>The Landmark - Kharghar</x:v>
      </x:c>
      <x:c r="F1574" s="12" t="str">
        <x:v>32 inch LED TV</x:v>
      </x:c>
      <x:c r="G1574" s="20" t="n">
        <x:v>10</x:v>
      </x:c>
      <x:c r="H1574" s="12" t="str">
        <x:v>Inventory-listed building/workspace context; current occupancy and screen access unverified</x:v>
      </x:c>
      <x:c r="I1574" s="12" t="str">
        <x:v>Small-scale prospects</x:v>
      </x:c>
      <x:c r="J1574" s="12" t="str">
        <x:v>Trade, consumer &amp; logistics</x:v>
      </x:c>
      <x:c r="K1574" s="2" t="str">
        <x:v>MAIN-349</x:v>
      </x:c>
    </x:row>
    <x:row r="1575" ht="46" customHeight="1">
      <x:c r="A1575" s="2" t="str">
        <x:v>TEN-62CF3B92AF07</x:v>
      </x:c>
      <x:c r="B1575" s="12" t="str">
        <x:v>The sharp kids</x:v>
      </x:c>
      <x:c r="C1575" s="12" t="str">
        <x:v>CORP-0345</x:v>
      </x:c>
      <x:c r="D1575" s="12" t="str">
        <x:v>Mumbai</x:v>
      </x:c>
      <x:c r="E1575" s="12" t="str">
        <x:v>The Landmark - Kharghar</x:v>
      </x:c>
      <x:c r="F1575" s="12" t="str">
        <x:v>32 inch LED TV</x:v>
      </x:c>
      <x:c r="G1575" s="20" t="n">
        <x:v>10</x:v>
      </x:c>
      <x:c r="H1575" s="12" t="str">
        <x:v>Inventory-listed building/workspace context; current occupancy and screen access unverified</x:v>
      </x:c>
      <x:c r="I1575" s="12" t="str">
        <x:v>Small-scale prospects</x:v>
      </x:c>
      <x:c r="J1575" s="12" t="str">
        <x:v>Education</x:v>
      </x:c>
      <x:c r="K1575" s="2" t="str">
        <x:v>MAIN-349</x:v>
      </x:c>
    </x:row>
    <x:row r="1576" ht="46" customHeight="1">
      <x:c r="A1576" s="2" t="str">
        <x:v>TEN-3A4504E28AA9</x:v>
      </x:c>
      <x:c r="B1576" s="12" t="str">
        <x:v>Telco</x:v>
      </x:c>
      <x:c r="C1576" s="12" t="str">
        <x:v>CORP-0031</x:v>
      </x:c>
      <x:c r="D1576" s="12" t="str">
        <x:v>Bengaluru</x:v>
      </x:c>
      <x:c r="E1576" s="12" t="str">
        <x:v>Bridge - Work 365 Space</x:v>
      </x:c>
      <x:c r="F1576" s="12" t="str">
        <x:v>32 inch LED TV</x:v>
      </x:c>
      <x:c r="G1576" s="20" t="n">
        <x:v>1</x:v>
      </x:c>
      <x:c r="H1576" s="12" t="str">
        <x:v>Inventory-listed building/workspace context; current occupancy and screen access unverified</x:v>
      </x:c>
      <x:c r="I1576" s="12" t="str">
        <x:v>Mixed business audience</x:v>
      </x:c>
      <x:c r="J1576" s="12" t="str">
        <x:v>Unresolved</x:v>
      </x:c>
      <x:c r="K1576" s="2" t="str">
        <x:v>MAIN-035</x:v>
      </x:c>
    </x:row>
    <x:row r="1577" ht="46" customHeight="1">
      <x:c r="A1577" s="2" t="str">
        <x:v>TEN-4D017C35F549</x:v>
      </x:c>
      <x:c r="B1577" s="12" t="str">
        <x:v>Feel at Home</x:v>
      </x:c>
      <x:c r="C1577" s="12" t="str">
        <x:v>CORP-0031</x:v>
      </x:c>
      <x:c r="D1577" s="12" t="str">
        <x:v>Bengaluru</x:v>
      </x:c>
      <x:c r="E1577" s="12" t="str">
        <x:v>Bridge - Work 365 Space</x:v>
      </x:c>
      <x:c r="F1577" s="12" t="str">
        <x:v>32 inch LED TV</x:v>
      </x:c>
      <x:c r="G1577" s="20" t="n">
        <x:v>1</x:v>
      </x:c>
      <x:c r="H1577" s="12" t="str">
        <x:v>Inventory-listed building/workspace context; current occupancy and screen access unverified</x:v>
      </x:c>
      <x:c r="I1577" s="12" t="str">
        <x:v>Mixed business audience</x:v>
      </x:c>
      <x:c r="J1577" s="12" t="str">
        <x:v>Unresolved</x:v>
      </x:c>
      <x:c r="K1577" s="2" t="str">
        <x:v>MAIN-035</x:v>
      </x:c>
    </x:row>
    <x:row r="1578" ht="46" customHeight="1">
      <x:c r="A1578" s="2" t="str">
        <x:v>TEN-65F6D553633D</x:v>
      </x:c>
      <x:c r="B1578" s="12" t="str">
        <x:v>BWW</x:v>
      </x:c>
      <x:c r="C1578" s="12" t="str">
        <x:v>CORP-0031</x:v>
      </x:c>
      <x:c r="D1578" s="12" t="str">
        <x:v>Bengaluru</x:v>
      </x:c>
      <x:c r="E1578" s="12" t="str">
        <x:v>Bridge - Work 365 Space</x:v>
      </x:c>
      <x:c r="F1578" s="12" t="str">
        <x:v>32 inch LED TV</x:v>
      </x:c>
      <x:c r="G1578" s="20" t="n">
        <x:v>1</x:v>
      </x:c>
      <x:c r="H1578" s="12" t="str">
        <x:v>Inventory-listed building/workspace context; current occupancy and screen access unverified</x:v>
      </x:c>
      <x:c r="I1578" s="12" t="str">
        <x:v>Mixed business audience</x:v>
      </x:c>
      <x:c r="J1578" s="12" t="str">
        <x:v>Unresolved</x:v>
      </x:c>
      <x:c r="K1578" s="2" t="str">
        <x:v>MAIN-035</x:v>
      </x:c>
    </x:row>
    <x:row r="1579" ht="46" customHeight="1">
      <x:c r="A1579" s="2" t="str">
        <x:v>TEN-AB266C5DBB39</x:v>
      </x:c>
      <x:c r="B1579" s="12" t="str">
        <x:v>3 concepts Building solutions</x:v>
      </x:c>
      <x:c r="C1579" s="12" t="str">
        <x:v>CORP-0031</x:v>
      </x:c>
      <x:c r="D1579" s="12" t="str">
        <x:v>Bengaluru</x:v>
      </x:c>
      <x:c r="E1579" s="12" t="str">
        <x:v>Bridge - Work 365 Space</x:v>
      </x:c>
      <x:c r="F1579" s="12" t="str">
        <x:v>32 inch LED TV</x:v>
      </x:c>
      <x:c r="G1579" s="20" t="n">
        <x:v>1</x:v>
      </x:c>
      <x:c r="H1579" s="12" t="str">
        <x:v>Inventory-listed building/workspace context; current occupancy and screen access unverified</x:v>
      </x:c>
      <x:c r="I1579" s="12" t="str">
        <x:v>Mixed business audience</x:v>
      </x:c>
      <x:c r="J1579" s="12" t="str">
        <x:v>Unresolved</x:v>
      </x:c>
      <x:c r="K1579" s="2" t="str">
        <x:v>MAIN-035</x:v>
      </x:c>
    </x:row>
    <x:row r="1580" ht="46" customHeight="1">
      <x:c r="A1580" s="2" t="str">
        <x:v>TEN-CF788C68A5A1</x:v>
      </x:c>
      <x:c r="B1580" s="12" t="str">
        <x:v>Premier Abodes</x:v>
      </x:c>
      <x:c r="C1580" s="12" t="str">
        <x:v>CORP-0031</x:v>
      </x:c>
      <x:c r="D1580" s="12" t="str">
        <x:v>Bengaluru</x:v>
      </x:c>
      <x:c r="E1580" s="12" t="str">
        <x:v>Bridge - Work 365 Space</x:v>
      </x:c>
      <x:c r="F1580" s="12" t="str">
        <x:v>32 inch LED TV</x:v>
      </x:c>
      <x:c r="G1580" s="20" t="n">
        <x:v>1</x:v>
      </x:c>
      <x:c r="H1580" s="12" t="str">
        <x:v>Inventory-listed building/workspace context; current occupancy and screen access unverified</x:v>
      </x:c>
      <x:c r="I1580" s="12" t="str">
        <x:v>Mixed business audience</x:v>
      </x:c>
      <x:c r="J1580" s="12" t="str">
        <x:v>Unresolved</x:v>
      </x:c>
      <x:c r="K1580" s="2" t="str">
        <x:v>MAIN-035</x:v>
      </x:c>
    </x:row>
    <x:row r="1581" ht="46" customHeight="1">
      <x:c r="A1581" s="2" t="str">
        <x:v>TEN-F750F88F10BD</x:v>
      </x:c>
      <x:c r="B1581" s="12" t="str">
        <x:v>LearNow</x:v>
      </x:c>
      <x:c r="C1581" s="12" t="str">
        <x:v>CORP-0031</x:v>
      </x:c>
      <x:c r="D1581" s="12" t="str">
        <x:v>Bengaluru</x:v>
      </x:c>
      <x:c r="E1581" s="12" t="str">
        <x:v>Bridge - Work 365 Space</x:v>
      </x:c>
      <x:c r="F1581" s="12" t="str">
        <x:v>32 inch LED TV</x:v>
      </x:c>
      <x:c r="G1581" s="20" t="n">
        <x:v>1</x:v>
      </x:c>
      <x:c r="H1581" s="12" t="str">
        <x:v>Inventory-listed building/workspace context; current occupancy and screen access unverified</x:v>
      </x:c>
      <x:c r="I1581" s="12" t="str">
        <x:v>Small-scale prospects</x:v>
      </x:c>
      <x:c r="J1581" s="12" t="str">
        <x:v>Education</x:v>
      </x:c>
      <x:c r="K1581" s="2" t="str">
        <x:v>MAIN-035</x:v>
      </x:c>
    </x:row>
    <x:row r="1582" ht="46" customHeight="1">
      <x:c r="A1582" s="2" t="str">
        <x:v>TEN-0170851682E7</x:v>
      </x:c>
      <x:c r="B1582" s="12" t="str">
        <x:v>Halewood Laboratories Pvt. Ltd</x:v>
      </x:c>
      <x:c r="C1582" s="12" t="str">
        <x:v>CORP-0346</x:v>
      </x:c>
      <x:c r="D1582" s="12" t="str">
        <x:v>Mumbai</x:v>
      </x:c>
      <x:c r="E1582" s="12" t="str">
        <x:v>The Summit Business Park Premises</x:v>
      </x:c>
      <x:c r="F1582" s="12" t="str">
        <x:v>32 inch LED TV</x:v>
      </x:c>
      <x:c r="G1582" s="20" t="n">
        <x:v>70</x:v>
      </x:c>
      <x:c r="H1582" s="12" t="str">
        <x:v>Inventory-listed building/workspace context; current occupancy and screen access unverified</x:v>
      </x:c>
      <x:c r="I1582" s="12" t="str">
        <x:v>Medium-scale prospects</x:v>
      </x:c>
      <x:c r="J1582" s="12" t="str">
        <x:v>Healthcare &amp; life sciences</x:v>
      </x:c>
      <x:c r="K1582" s="2" t="str">
        <x:v>MAIN-350</x:v>
      </x:c>
    </x:row>
    <x:row r="1583" ht="46" customHeight="1">
      <x:c r="A1583" s="2" t="str">
        <x:v>TEN-0294C6401D36</x:v>
      </x:c>
      <x:c r="B1583" s="12" t="str">
        <x:v>Proactive Data Systems Pvt. Ltd</x:v>
      </x:c>
      <x:c r="C1583" s="12" t="str">
        <x:v>CORP-0346</x:v>
      </x:c>
      <x:c r="D1583" s="12" t="str">
        <x:v>Mumbai</x:v>
      </x:c>
      <x:c r="E1583" s="12" t="str">
        <x:v>The Summit Business Park Premises</x:v>
      </x:c>
      <x:c r="F1583" s="12" t="str">
        <x:v>32 inch LED TV</x:v>
      </x:c>
      <x:c r="G1583" s="20" t="n">
        <x:v>70</x:v>
      </x:c>
      <x:c r="H1583" s="12" t="str">
        <x:v>Inventory-listed building/workspace context; current occupancy and screen access unverified</x:v>
      </x:c>
      <x:c r="I1583" s="12" t="str">
        <x:v>Medium-scale prospects</x:v>
      </x:c>
      <x:c r="J1583" s="12" t="str">
        <x:v>IT &amp; digital</x:v>
      </x:c>
      <x:c r="K1583" s="2" t="str">
        <x:v>MAIN-350</x:v>
      </x:c>
    </x:row>
    <x:row r="1584" ht="46" customHeight="1">
      <x:c r="A1584" s="2" t="str">
        <x:v>TEN-19546A6A3D52</x:v>
      </x:c>
      <x:c r="B1584" s="12" t="str">
        <x:v>Belito solution LLP</x:v>
      </x:c>
      <x:c r="C1584" s="12" t="str">
        <x:v>CORP-0346</x:v>
      </x:c>
      <x:c r="D1584" s="12" t="str">
        <x:v>Mumbai</x:v>
      </x:c>
      <x:c r="E1584" s="12" t="str">
        <x:v>The Summit Business Park Premises</x:v>
      </x:c>
      <x:c r="F1584" s="12" t="str">
        <x:v>32 inch LED TV</x:v>
      </x:c>
      <x:c r="G1584" s="20" t="n">
        <x:v>70</x:v>
      </x:c>
      <x:c r="H1584" s="12" t="str">
        <x:v>Inventory-listed building/workspace context; current occupancy and screen access unverified</x:v>
      </x:c>
      <x:c r="I1584" s="12" t="str">
        <x:v>Mixed business audience</x:v>
      </x:c>
      <x:c r="J1584" s="12" t="str">
        <x:v>Unresolved</x:v>
      </x:c>
      <x:c r="K1584" s="2" t="str">
        <x:v>MAIN-350</x:v>
      </x:c>
    </x:row>
    <x:row r="1585" ht="46" customHeight="1">
      <x:c r="A1585" s="2" t="str">
        <x:v>TEN-40C5B64FE457</x:v>
      </x:c>
      <x:c r="B1585" s="12" t="str">
        <x:v>Matrix &amp; Cheryls Education Studio</x:v>
      </x:c>
      <x:c r="C1585" s="12" t="str">
        <x:v>CORP-0346</x:v>
      </x:c>
      <x:c r="D1585" s="12" t="str">
        <x:v>Mumbai</x:v>
      </x:c>
      <x:c r="E1585" s="12" t="str">
        <x:v>The Summit Business Park Premises</x:v>
      </x:c>
      <x:c r="F1585" s="12" t="str">
        <x:v>32 inch LED TV</x:v>
      </x:c>
      <x:c r="G1585" s="20" t="n">
        <x:v>70</x:v>
      </x:c>
      <x:c r="H1585" s="12" t="str">
        <x:v>Inventory-listed building/workspace context; current occupancy and screen access unverified</x:v>
      </x:c>
      <x:c r="I1585" s="12" t="str">
        <x:v>Mixed business audience</x:v>
      </x:c>
      <x:c r="J1585" s="12" t="str">
        <x:v>Education</x:v>
      </x:c>
      <x:c r="K1585" s="2" t="str">
        <x:v>MAIN-350</x:v>
      </x:c>
    </x:row>
    <x:row r="1586" ht="46" customHeight="1">
      <x:c r="A1586" s="2" t="str">
        <x:v>TEN-48FEE15EC13F</x:v>
      </x:c>
      <x:c r="B1586" s="12" t="str">
        <x:v>Growth Corner Advisor Pvt. Ltd</x:v>
      </x:c>
      <x:c r="C1586" s="12" t="str">
        <x:v>CORP-0346</x:v>
      </x:c>
      <x:c r="D1586" s="12" t="str">
        <x:v>Mumbai</x:v>
      </x:c>
      <x:c r="E1586" s="12" t="str">
        <x:v>The Summit Business Park Premises</x:v>
      </x:c>
      <x:c r="F1586" s="12" t="str">
        <x:v>32 inch LED TV</x:v>
      </x:c>
      <x:c r="G1586" s="20" t="n">
        <x:v>70</x:v>
      </x:c>
      <x:c r="H1586" s="12" t="str">
        <x:v>Inventory-listed building/workspace context; current occupancy and screen access unverified</x:v>
      </x:c>
      <x:c r="I1586" s="12" t="str">
        <x:v>Mixed business audience</x:v>
      </x:c>
      <x:c r="J1586" s="12" t="str">
        <x:v>Professional services</x:v>
      </x:c>
      <x:c r="K1586" s="2" t="str">
        <x:v>MAIN-350</x:v>
      </x:c>
    </x:row>
    <x:row r="1587" ht="46" customHeight="1">
      <x:c r="A1587" s="2" t="str">
        <x:v>TEN-67F112877A5A</x:v>
      </x:c>
      <x:c r="B1587" s="12" t="str">
        <x:v>Proactive Data Systems Pvt</x:v>
      </x:c>
      <x:c r="C1587" s="12" t="str">
        <x:v>CORP-0346</x:v>
      </x:c>
      <x:c r="D1587" s="12" t="str">
        <x:v>Mumbai</x:v>
      </x:c>
      <x:c r="E1587" s="12" t="str">
        <x:v>The Summit Business Park Premises</x:v>
      </x:c>
      <x:c r="F1587" s="12" t="str">
        <x:v>32 inch LED TV</x:v>
      </x:c>
      <x:c r="G1587" s="20" t="n">
        <x:v>70</x:v>
      </x:c>
      <x:c r="H1587" s="12" t="str">
        <x:v>Inventory-listed building/workspace context; current occupancy and screen access unverified</x:v>
      </x:c>
      <x:c r="I1587" s="12" t="str">
        <x:v>Medium-scale prospects</x:v>
      </x:c>
      <x:c r="J1587" s="12" t="str">
        <x:v>IT &amp; digital</x:v>
      </x:c>
      <x:c r="K1587" s="2" t="str">
        <x:v>MAIN-350</x:v>
      </x:c>
    </x:row>
    <x:row r="1588" ht="46" customHeight="1">
      <x:c r="A1588" s="2" t="str">
        <x:v>TEN-70E16A6A7C42</x:v>
      </x:c>
      <x:c r="B1588" s="12" t="str">
        <x:v>Acumen HR Consulting Services</x:v>
      </x:c>
      <x:c r="C1588" s="12" t="str">
        <x:v>CORP-0346</x:v>
      </x:c>
      <x:c r="D1588" s="12" t="str">
        <x:v>Mumbai</x:v>
      </x:c>
      <x:c r="E1588" s="12" t="str">
        <x:v>The Summit Business Park Premises</x:v>
      </x:c>
      <x:c r="F1588" s="12" t="str">
        <x:v>32 inch LED TV</x:v>
      </x:c>
      <x:c r="G1588" s="20" t="n">
        <x:v>70</x:v>
      </x:c>
      <x:c r="H1588" s="12" t="str">
        <x:v>Inventory-listed building/workspace context; current occupancy and screen access unverified</x:v>
      </x:c>
      <x:c r="I1588" s="12" t="str">
        <x:v>Small-scale prospects</x:v>
      </x:c>
      <x:c r="J1588" s="12" t="str">
        <x:v>Professional services</x:v>
      </x:c>
      <x:c r="K1588" s="2" t="str">
        <x:v>MAIN-350</x:v>
      </x:c>
    </x:row>
    <x:row r="1589" ht="46" customHeight="1">
      <x:c r="A1589" s="2" t="str">
        <x:v>TEN-AC6537F236BF</x:v>
      </x:c>
      <x:c r="B1589" s="12" t="str">
        <x:v>E-Axis Immigration Pvt. Ltd</x:v>
      </x:c>
      <x:c r="C1589" s="12" t="str">
        <x:v>CORP-0346</x:v>
      </x:c>
      <x:c r="D1589" s="12" t="str">
        <x:v>Mumbai</x:v>
      </x:c>
      <x:c r="E1589" s="12" t="str">
        <x:v>The Summit Business Park Premises</x:v>
      </x:c>
      <x:c r="F1589" s="12" t="str">
        <x:v>32 inch LED TV</x:v>
      </x:c>
      <x:c r="G1589" s="20" t="n">
        <x:v>70</x:v>
      </x:c>
      <x:c r="H1589" s="12" t="str">
        <x:v>Inventory-listed building/workspace context; current occupancy and screen access unverified</x:v>
      </x:c>
      <x:c r="I1589" s="12" t="str">
        <x:v>Mixed business audience</x:v>
      </x:c>
      <x:c r="J1589" s="12" t="str">
        <x:v>Professional services</x:v>
      </x:c>
      <x:c r="K1589" s="2" t="str">
        <x:v>MAIN-350</x:v>
      </x:c>
    </x:row>
    <x:row r="1590" ht="46" customHeight="1">
      <x:c r="A1590" s="2" t="str">
        <x:v>TEN-B783B550E2C6</x:v>
      </x:c>
      <x:c r="B1590" s="12" t="str">
        <x:v>FREIGHT SYSTEMS (I) PVT. LTD</x:v>
      </x:c>
      <x:c r="C1590" s="12" t="str">
        <x:v>CORP-0346</x:v>
      </x:c>
      <x:c r="D1590" s="12" t="str">
        <x:v>Mumbai</x:v>
      </x:c>
      <x:c r="E1590" s="12" t="str">
        <x:v>The Summit Business Park Premises</x:v>
      </x:c>
      <x:c r="F1590" s="12" t="str">
        <x:v>32 inch LED TV</x:v>
      </x:c>
      <x:c r="G1590" s="20" t="n">
        <x:v>70</x:v>
      </x:c>
      <x:c r="H1590" s="12" t="str">
        <x:v>Inventory-listed building/workspace context; current occupancy and screen access unverified</x:v>
      </x:c>
      <x:c r="I1590" s="12" t="str">
        <x:v>Mixed business audience</x:v>
      </x:c>
      <x:c r="J1590" s="12" t="str">
        <x:v>Trade, consumer &amp; logistics</x:v>
      </x:c>
      <x:c r="K1590" s="2" t="str">
        <x:v>MAIN-350</x:v>
      </x:c>
    </x:row>
    <x:row r="1591" ht="46" customHeight="1">
      <x:c r="A1591" s="2" t="str">
        <x:v>TEN-EA5C473E1C47</x:v>
      </x:c>
      <x:c r="B1591" s="12" t="str">
        <x:v>RRDL and Associates</x:v>
      </x:c>
      <x:c r="C1591" s="12" t="str">
        <x:v>CORP-0346</x:v>
      </x:c>
      <x:c r="D1591" s="12" t="str">
        <x:v>Mumbai</x:v>
      </x:c>
      <x:c r="E1591" s="12" t="str">
        <x:v>The Summit Business Park Premises</x:v>
      </x:c>
      <x:c r="F1591" s="12" t="str">
        <x:v>32 inch LED TV</x:v>
      </x:c>
      <x:c r="G1591" s="20" t="n">
        <x:v>70</x:v>
      </x:c>
      <x:c r="H1591" s="12" t="str">
        <x:v>Inventory-listed building/workspace context; current occupancy and screen access unverified</x:v>
      </x:c>
      <x:c r="I1591" s="12" t="str">
        <x:v>Mixed business audience</x:v>
      </x:c>
      <x:c r="J1591" s="12" t="str">
        <x:v>Unresolved</x:v>
      </x:c>
      <x:c r="K1591" s="2" t="str">
        <x:v>MAIN-350</x:v>
      </x:c>
    </x:row>
    <x:row r="1592" ht="46" customHeight="1">
      <x:c r="A1592" s="2" t="str">
        <x:v>TEN-FF33B1F9D92F</x:v>
      </x:c>
      <x:c r="B1592" s="12" t="str">
        <x:v>FinMen Advisors Pvt Ltd</x:v>
      </x:c>
      <x:c r="C1592" s="12" t="str">
        <x:v>CORP-0346</x:v>
      </x:c>
      <x:c r="D1592" s="12" t="str">
        <x:v>Mumbai</x:v>
      </x:c>
      <x:c r="E1592" s="12" t="str">
        <x:v>The Summit Business Park Premises</x:v>
      </x:c>
      <x:c r="F1592" s="12" t="str">
        <x:v>32 inch LED TV</x:v>
      </x:c>
      <x:c r="G1592" s="20" t="n">
        <x:v>70</x:v>
      </x:c>
      <x:c r="H1592" s="12" t="str">
        <x:v>Inventory-listed building/workspace context; current occupancy and screen access unverified</x:v>
      </x:c>
      <x:c r="I1592" s="12" t="str">
        <x:v>Medium-scale prospects</x:v>
      </x:c>
      <x:c r="J1592" s="12" t="str">
        <x:v>Finance &amp; insurance</x:v>
      </x:c>
      <x:c r="K1592" s="2" t="str">
        <x:v>MAIN-350</x:v>
      </x:c>
    </x:row>
    <x:row r="1593" ht="46" customHeight="1">
      <x:c r="A1593" s="2" t="str">
        <x:v>TEN-33E6C4FE4E0A</x:v>
      </x:c>
      <x:c r="B1593" s="12" t="str">
        <x:v>Mobavenue media pvt ltd</x:v>
      </x:c>
      <x:c r="C1593" s="12" t="str">
        <x:v>CORP-0347</x:v>
      </x:c>
      <x:c r="D1593" s="12" t="str">
        <x:v>Mumbai</x:v>
      </x:c>
      <x:c r="E1593" s="12" t="str">
        <x:v>The Western Edge 2</x:v>
      </x:c>
      <x:c r="F1593" s="12" t="str">
        <x:v>32 inch LED TV</x:v>
      </x:c>
      <x:c r="G1593" s="20" t="n">
        <x:v>39</x:v>
      </x:c>
      <x:c r="H1593" s="12" t="str">
        <x:v>Inventory-listed building/workspace context; current occupancy and screen access unverified</x:v>
      </x:c>
      <x:c r="I1593" s="12" t="str">
        <x:v>Small-scale prospects</x:v>
      </x:c>
      <x:c r="J1593" s="12" t="str">
        <x:v>Trade, consumer &amp; logistics</x:v>
      </x:c>
      <x:c r="K1593" s="2" t="str">
        <x:v>MAIN-351</x:v>
      </x:c>
    </x:row>
    <x:row r="1594" ht="46" customHeight="1">
      <x:c r="A1594" s="2" t="str">
        <x:v>TEN-5EB8C702BE35</x:v>
      </x:c>
      <x:c r="B1594" s="12" t="str">
        <x:v>Medwiz health care</x:v>
      </x:c>
      <x:c r="C1594" s="12" t="str">
        <x:v>CORP-0347</x:v>
      </x:c>
      <x:c r="D1594" s="12" t="str">
        <x:v>Mumbai</x:v>
      </x:c>
      <x:c r="E1594" s="12" t="str">
        <x:v>The Western Edge 2</x:v>
      </x:c>
      <x:c r="F1594" s="12" t="str">
        <x:v>32 inch LED TV</x:v>
      </x:c>
      <x:c r="G1594" s="20" t="n">
        <x:v>39</x:v>
      </x:c>
      <x:c r="H1594" s="12" t="str">
        <x:v>Inventory-listed building/workspace context; current occupancy and screen access unverified</x:v>
      </x:c>
      <x:c r="I1594" s="12" t="str">
        <x:v>Small-scale prospects</x:v>
      </x:c>
      <x:c r="J1594" s="12" t="str">
        <x:v>Healthcare &amp; life sciences</x:v>
      </x:c>
      <x:c r="K1594" s="2" t="str">
        <x:v>MAIN-351</x:v>
      </x:c>
    </x:row>
    <x:row r="1595" ht="46" customHeight="1">
      <x:c r="A1595" s="2" t="str">
        <x:v>TEN-63A06480467E</x:v>
      </x:c>
      <x:c r="B1595" s="12" t="str">
        <x:v>Teamlease edtech ltd</x:v>
      </x:c>
      <x:c r="C1595" s="12" t="str">
        <x:v>CORP-0347</x:v>
      </x:c>
      <x:c r="D1595" s="12" t="str">
        <x:v>Mumbai</x:v>
      </x:c>
      <x:c r="E1595" s="12" t="str">
        <x:v>The Western Edge 2</x:v>
      </x:c>
      <x:c r="F1595" s="12" t="str">
        <x:v>32 inch LED TV</x:v>
      </x:c>
      <x:c r="G1595" s="20" t="n">
        <x:v>39</x:v>
      </x:c>
      <x:c r="H1595" s="12" t="str">
        <x:v>Inventory-listed building/workspace context; current occupancy and screen access unverified</x:v>
      </x:c>
      <x:c r="I1595" s="12" t="str">
        <x:v>Large enterprise</x:v>
      </x:c>
      <x:c r="J1595" s="12" t="str">
        <x:v>Education</x:v>
      </x:c>
      <x:c r="K1595" s="2" t="str">
        <x:v>MAIN-351</x:v>
      </x:c>
    </x:row>
    <x:row r="1596" ht="46" customHeight="1">
      <x:c r="A1596" s="2" t="str">
        <x:v>TEN-6AE306FD3DA9</x:v>
      </x:c>
      <x:c r="B1596" s="12" t="str">
        <x:v>Shreeji woodcraft PVT.LTD</x:v>
      </x:c>
      <x:c r="C1596" s="12" t="str">
        <x:v>CORP-0347</x:v>
      </x:c>
      <x:c r="D1596" s="12" t="str">
        <x:v>Mumbai</x:v>
      </x:c>
      <x:c r="E1596" s="12" t="str">
        <x:v>The Western Edge 2</x:v>
      </x:c>
      <x:c r="F1596" s="12" t="str">
        <x:v>32 inch LED TV</x:v>
      </x:c>
      <x:c r="G1596" s="20" t="n">
        <x:v>39</x:v>
      </x:c>
      <x:c r="H1596" s="12" t="str">
        <x:v>Inventory-listed building/workspace context; current occupancy and screen access unverified</x:v>
      </x:c>
      <x:c r="I1596" s="12" t="str">
        <x:v>Medium-scale prospects</x:v>
      </x:c>
      <x:c r="J1596" s="12" t="str">
        <x:v>Engineering &amp; manufacturing</x:v>
      </x:c>
      <x:c r="K1596" s="2" t="str">
        <x:v>MAIN-351</x:v>
      </x:c>
    </x:row>
    <x:row r="1597" ht="46" customHeight="1">
      <x:c r="A1597" s="2" t="str">
        <x:v>TEN-9366394BE9A7</x:v>
      </x:c>
      <x:c r="B1597" s="12" t="str">
        <x:v>Guru krupa grp</x:v>
      </x:c>
      <x:c r="C1597" s="12" t="str">
        <x:v>CORP-0347</x:v>
      </x:c>
      <x:c r="D1597" s="12" t="str">
        <x:v>Mumbai</x:v>
      </x:c>
      <x:c r="E1597" s="12" t="str">
        <x:v>The Western Edge 2</x:v>
      </x:c>
      <x:c r="F1597" s="12" t="str">
        <x:v>32 inch LED TV</x:v>
      </x:c>
      <x:c r="G1597" s="20" t="n">
        <x:v>39</x:v>
      </x:c>
      <x:c r="H1597" s="12" t="str">
        <x:v>Inventory-listed building/workspace context; current occupancy and screen access unverified</x:v>
      </x:c>
      <x:c r="I1597" s="12" t="str">
        <x:v>Mixed business audience</x:v>
      </x:c>
      <x:c r="J1597" s="12" t="str">
        <x:v>Unresolved</x:v>
      </x:c>
      <x:c r="K1597" s="2" t="str">
        <x:v>MAIN-351</x:v>
      </x:c>
    </x:row>
    <x:row r="1598" ht="46" customHeight="1">
      <x:c r="A1598" s="2" t="str">
        <x:v>TEN-AF407DAC656E</x:v>
      </x:c>
      <x:c r="B1598" s="12" t="str">
        <x:v>Sick india pvt ltd</x:v>
      </x:c>
      <x:c r="C1598" s="12" t="str">
        <x:v>CORP-0347</x:v>
      </x:c>
      <x:c r="D1598" s="12" t="str">
        <x:v>Mumbai</x:v>
      </x:c>
      <x:c r="E1598" s="12" t="str">
        <x:v>The Western Edge 2</x:v>
      </x:c>
      <x:c r="F1598" s="12" t="str">
        <x:v>32 inch LED TV</x:v>
      </x:c>
      <x:c r="G1598" s="20" t="n">
        <x:v>39</x:v>
      </x:c>
      <x:c r="H1598" s="12" t="str">
        <x:v>Inventory-listed building/workspace context; current occupancy and screen access unverified</x:v>
      </x:c>
      <x:c r="I1598" s="12" t="str">
        <x:v>Large enterprise</x:v>
      </x:c>
      <x:c r="J1598" s="12" t="str">
        <x:v>Engineering &amp; manufacturing</x:v>
      </x:c>
      <x:c r="K1598" s="2" t="str">
        <x:v>MAIN-351</x:v>
      </x:c>
    </x:row>
    <x:row r="1599" ht="46" customHeight="1">
      <x:c r="A1599" s="2" t="str">
        <x:v>TEN-C9A41E937F53</x:v>
      </x:c>
      <x:c r="B1599" s="12" t="str">
        <x:v>My insurance club</x:v>
      </x:c>
      <x:c r="C1599" s="12" t="str">
        <x:v>CORP-0347</x:v>
      </x:c>
      <x:c r="D1599" s="12" t="str">
        <x:v>Mumbai</x:v>
      </x:c>
      <x:c r="E1599" s="12" t="str">
        <x:v>The Western Edge 2</x:v>
      </x:c>
      <x:c r="F1599" s="12" t="str">
        <x:v>32 inch LED TV</x:v>
      </x:c>
      <x:c r="G1599" s="20" t="n">
        <x:v>39</x:v>
      </x:c>
      <x:c r="H1599" s="12" t="str">
        <x:v>Inventory-listed building/workspace context; current occupancy and screen access unverified</x:v>
      </x:c>
      <x:c r="I1599" s="12" t="str">
        <x:v>Medium-scale prospects</x:v>
      </x:c>
      <x:c r="J1599" s="12" t="str">
        <x:v>Finance &amp; insurance</x:v>
      </x:c>
      <x:c r="K1599" s="2" t="str">
        <x:v>MAIN-351</x:v>
      </x:c>
    </x:row>
    <x:row r="1600" ht="46" customHeight="1">
      <x:c r="A1600" s="2" t="str">
        <x:v>TEN-CAF0DEEE6D40</x:v>
      </x:c>
      <x:c r="B1600" s="12" t="str">
        <x:v>Mahanagar gas ltd</x:v>
      </x:c>
      <x:c r="C1600" s="12" t="str">
        <x:v>CORP-0347</x:v>
      </x:c>
      <x:c r="D1600" s="12" t="str">
        <x:v>Mumbai</x:v>
      </x:c>
      <x:c r="E1600" s="12" t="str">
        <x:v>The Western Edge 2</x:v>
      </x:c>
      <x:c r="F1600" s="12" t="str">
        <x:v>32 inch LED TV</x:v>
      </x:c>
      <x:c r="G1600" s="20" t="n">
        <x:v>39</x:v>
      </x:c>
      <x:c r="H1600" s="12" t="str">
        <x:v>Inventory-listed building/workspace context; current occupancy and screen access unverified</x:v>
      </x:c>
      <x:c r="I1600" s="12" t="str">
        <x:v>Large enterprise</x:v>
      </x:c>
      <x:c r="J1600" s="12" t="str">
        <x:v>Engineering &amp; manufacturing</x:v>
      </x:c>
      <x:c r="K1600" s="2" t="str">
        <x:v>MAIN-351</x:v>
      </x:c>
    </x:row>
    <x:row r="1601" ht="46" customHeight="1">
      <x:c r="A1601" s="2" t="str">
        <x:v>TEN-CD777AFE8002</x:v>
      </x:c>
      <x:c r="B1601" s="12" t="str">
        <x:v>Ace technologies grp</x:v>
      </x:c>
      <x:c r="C1601" s="12" t="str">
        <x:v>CORP-0347</x:v>
      </x:c>
      <x:c r="D1601" s="12" t="str">
        <x:v>Mumbai</x:v>
      </x:c>
      <x:c r="E1601" s="12" t="str">
        <x:v>The Western Edge 2</x:v>
      </x:c>
      <x:c r="F1601" s="12" t="str">
        <x:v>32 inch LED TV</x:v>
      </x:c>
      <x:c r="G1601" s="20" t="n">
        <x:v>39</x:v>
      </x:c>
      <x:c r="H1601" s="12" t="str">
        <x:v>Inventory-listed building/workspace context; current occupancy and screen access unverified</x:v>
      </x:c>
      <x:c r="I1601" s="12" t="str">
        <x:v>Mixed business audience</x:v>
      </x:c>
      <x:c r="J1601" s="12" t="str">
        <x:v>Unresolved</x:v>
      </x:c>
      <x:c r="K1601" s="2" t="str">
        <x:v>MAIN-351</x:v>
      </x:c>
    </x:row>
    <x:row r="1602" ht="46" customHeight="1">
      <x:c r="A1602" s="2" t="str">
        <x:v>TEN-D010DD4A03E6</x:v>
      </x:c>
      <x:c r="B1602" s="12" t="str">
        <x:v>Rotex automation</x:v>
      </x:c>
      <x:c r="C1602" s="12" t="str">
        <x:v>CORP-0347</x:v>
      </x:c>
      <x:c r="D1602" s="12" t="str">
        <x:v>Mumbai</x:v>
      </x:c>
      <x:c r="E1602" s="12" t="str">
        <x:v>The Western Edge 2</x:v>
      </x:c>
      <x:c r="F1602" s="12" t="str">
        <x:v>32 inch LED TV</x:v>
      </x:c>
      <x:c r="G1602" s="20" t="n">
        <x:v>39</x:v>
      </x:c>
      <x:c r="H1602" s="12" t="str">
        <x:v>Inventory-listed building/workspace context; current occupancy and screen access unverified</x:v>
      </x:c>
      <x:c r="I1602" s="12" t="str">
        <x:v>Medium-scale prospects</x:v>
      </x:c>
      <x:c r="J1602" s="12" t="str">
        <x:v>Engineering &amp; manufacturing</x:v>
      </x:c>
      <x:c r="K1602" s="2" t="str">
        <x:v>MAIN-351</x:v>
      </x:c>
    </x:row>
    <x:row r="1603" ht="46" customHeight="1">
      <x:c r="A1603" s="2" t="str">
        <x:v>TEN-D6F3D69FDAC8</x:v>
      </x:c>
      <x:c r="B1603" s="12" t="str">
        <x:v>WARPP ENGINEERS PVT LTD</x:v>
      </x:c>
      <x:c r="C1603" s="12" t="str">
        <x:v>CORP-0347</x:v>
      </x:c>
      <x:c r="D1603" s="12" t="str">
        <x:v>Mumbai</x:v>
      </x:c>
      <x:c r="E1603" s="12" t="str">
        <x:v>The Western Edge 2</x:v>
      </x:c>
      <x:c r="F1603" s="12" t="str">
        <x:v>32 inch LED TV</x:v>
      </x:c>
      <x:c r="G1603" s="20" t="n">
        <x:v>39</x:v>
      </x:c>
      <x:c r="H1603" s="12" t="str">
        <x:v>Inventory-listed building/workspace context; current occupancy and screen access unverified</x:v>
      </x:c>
      <x:c r="I1603" s="12" t="str">
        <x:v>Medium-scale prospects</x:v>
      </x:c>
      <x:c r="J1603" s="12" t="str">
        <x:v>Engineering &amp; manufacturing</x:v>
      </x:c>
      <x:c r="K1603" s="2" t="str">
        <x:v>MAIN-351</x:v>
      </x:c>
    </x:row>
    <x:row r="1604" ht="46" customHeight="1">
      <x:c r="A1604" s="2" t="str">
        <x:v>TEN-0446C1106A93</x:v>
      </x:c>
      <x:c r="B1604" s="12" t="str">
        <x:v>Iron Mountain INDIA Pvt Ltd</x:v>
      </x:c>
      <x:c r="C1604" s="12" t="str">
        <x:v>CORP-0348</x:v>
      </x:c>
      <x:c r="D1604" s="12" t="str">
        <x:v>Mumbai</x:v>
      </x:c>
      <x:c r="E1604" s="12" t="str">
        <x:v>Times Square Tech Park</x:v>
      </x:c>
      <x:c r="F1604" s="12" t="str">
        <x:v>43 inch LED TV</x:v>
      </x:c>
      <x:c r="G1604" s="20" t="n">
        <x:v>4</x:v>
      </x:c>
      <x:c r="H1604" s="12" t="str">
        <x:v>Inventory-listed building/workspace context; current occupancy and screen access unverified</x:v>
      </x:c>
      <x:c r="I1604" s="12" t="str">
        <x:v>Large enterprise</x:v>
      </x:c>
      <x:c r="J1604" s="12" t="str">
        <x:v>Trade, consumer &amp; logistics</x:v>
      </x:c>
      <x:c r="K1604" s="2" t="str">
        <x:v>MAIN-352</x:v>
      </x:c>
    </x:row>
    <x:row r="1605" ht="46" customHeight="1">
      <x:c r="A1605" s="2" t="str">
        <x:v>TEN-70570D313277</x:v>
      </x:c>
      <x:c r="B1605" s="12" t="str">
        <x:v>Interactive Brokers India Pvt. Ltd</x:v>
      </x:c>
      <x:c r="C1605" s="12" t="str">
        <x:v>CORP-0348</x:v>
      </x:c>
      <x:c r="D1605" s="12" t="str">
        <x:v>Mumbai</x:v>
      </x:c>
      <x:c r="E1605" s="12" t="str">
        <x:v>Times Square Tech Park</x:v>
      </x:c>
      <x:c r="F1605" s="12" t="str">
        <x:v>43 inch LED TV</x:v>
      </x:c>
      <x:c r="G1605" s="20" t="n">
        <x:v>4</x:v>
      </x:c>
      <x:c r="H1605" s="12" t="str">
        <x:v>Inventory-listed building/workspace context; current occupancy and screen access unverified</x:v>
      </x:c>
      <x:c r="I1605" s="12" t="str">
        <x:v>Mixed business audience</x:v>
      </x:c>
      <x:c r="J1605" s="12" t="str">
        <x:v>Finance &amp; insurance</x:v>
      </x:c>
      <x:c r="K1605" s="2" t="str">
        <x:v>MAIN-352</x:v>
      </x:c>
    </x:row>
    <x:row r="1606" ht="46" customHeight="1">
      <x:c r="A1606" s="2" t="str">
        <x:v>TEN-8A7939DD00E0</x:v>
      </x:c>
      <x:c r="B1606" s="12" t="str">
        <x:v>Viva Composite Panel Pvt Ltd</x:v>
      </x:c>
      <x:c r="C1606" s="12" t="str">
        <x:v>CORP-0348</x:v>
      </x:c>
      <x:c r="D1606" s="12" t="str">
        <x:v>Mumbai</x:v>
      </x:c>
      <x:c r="E1606" s="12" t="str">
        <x:v>Times Square Tech Park</x:v>
      </x:c>
      <x:c r="F1606" s="12" t="str">
        <x:v>43 inch LED TV</x:v>
      </x:c>
      <x:c r="G1606" s="20" t="n">
        <x:v>4</x:v>
      </x:c>
      <x:c r="H1606" s="12" t="str">
        <x:v>Inventory-listed building/workspace context; current occupancy and screen access unverified</x:v>
      </x:c>
      <x:c r="I1606" s="12" t="str">
        <x:v>Medium-scale prospects</x:v>
      </x:c>
      <x:c r="J1606" s="12" t="str">
        <x:v>Engineering &amp; manufacturing</x:v>
      </x:c>
      <x:c r="K1606" s="2" t="str">
        <x:v>MAIN-352</x:v>
      </x:c>
    </x:row>
    <x:row r="1607" ht="46" customHeight="1">
      <x:c r="A1607" s="2" t="str">
        <x:v>TEN-C3DB07F84AD2</x:v>
      </x:c>
      <x:c r="B1607" s="12" t="str">
        <x:v>Raksha Health Insurance TPA Pvt Ltd</x:v>
      </x:c>
      <x:c r="C1607" s="12" t="str">
        <x:v>CORP-0348</x:v>
      </x:c>
      <x:c r="D1607" s="12" t="str">
        <x:v>Mumbai</x:v>
      </x:c>
      <x:c r="E1607" s="12" t="str">
        <x:v>Times Square Tech Park</x:v>
      </x:c>
      <x:c r="F1607" s="12" t="str">
        <x:v>43 inch LED TV</x:v>
      </x:c>
      <x:c r="G1607" s="20" t="n">
        <x:v>4</x:v>
      </x:c>
      <x:c r="H1607" s="12" t="str">
        <x:v>Inventory-listed building/workspace context; current occupancy and screen access unverified</x:v>
      </x:c>
      <x:c r="I1607" s="12" t="str">
        <x:v>Medium-scale prospects</x:v>
      </x:c>
      <x:c r="J1607" s="12" t="str">
        <x:v>Finance &amp; insurance</x:v>
      </x:c>
      <x:c r="K1607" s="2" t="str">
        <x:v>MAIN-352</x:v>
      </x:c>
    </x:row>
    <x:row r="1608" ht="46" customHeight="1">
      <x:c r="A1608" s="2" t="str">
        <x:v>TEN-CEDC7C952F52</x:v>
      </x:c>
      <x:c r="B1608" s="12" t="str">
        <x:v>Penta Freight Private Limited</x:v>
      </x:c>
      <x:c r="C1608" s="12" t="str">
        <x:v>CORP-0348</x:v>
      </x:c>
      <x:c r="D1608" s="12" t="str">
        <x:v>Mumbai</x:v>
      </x:c>
      <x:c r="E1608" s="12" t="str">
        <x:v>Times Square Tech Park</x:v>
      </x:c>
      <x:c r="F1608" s="12" t="str">
        <x:v>43 inch LED TV</x:v>
      </x:c>
      <x:c r="G1608" s="20" t="n">
        <x:v>4</x:v>
      </x:c>
      <x:c r="H1608" s="12" t="str">
        <x:v>Inventory-listed building/workspace context; current occupancy and screen access unverified</x:v>
      </x:c>
      <x:c r="I1608" s="12" t="str">
        <x:v>Medium-scale prospects</x:v>
      </x:c>
      <x:c r="J1608" s="12" t="str">
        <x:v>Trade, consumer &amp; logistics</x:v>
      </x:c>
      <x:c r="K1608" s="2" t="str">
        <x:v>MAIN-352</x:v>
      </x:c>
    </x:row>
    <x:row r="1609" ht="46" customHeight="1">
      <x:c r="A1609" s="2" t="str">
        <x:v>TEN-E443E35E8926</x:v>
      </x:c>
      <x:c r="B1609" s="12" t="str">
        <x:v>Digital Vidya</x:v>
      </x:c>
      <x:c r="C1609" s="12" t="str">
        <x:v>CORP-0348</x:v>
      </x:c>
      <x:c r="D1609" s="12" t="str">
        <x:v>Mumbai</x:v>
      </x:c>
      <x:c r="E1609" s="12" t="str">
        <x:v>Times Square Tech Park</x:v>
      </x:c>
      <x:c r="F1609" s="12" t="str">
        <x:v>43 inch LED TV</x:v>
      </x:c>
      <x:c r="G1609" s="20" t="n">
        <x:v>4</x:v>
      </x:c>
      <x:c r="H1609" s="12" t="str">
        <x:v>Inventory-listed building/workspace context; current occupancy and screen access unverified</x:v>
      </x:c>
      <x:c r="I1609" s="12" t="str">
        <x:v>Small-scale prospects</x:v>
      </x:c>
      <x:c r="J1609" s="12" t="str">
        <x:v>Education</x:v>
      </x:c>
      <x:c r="K1609" s="2" t="str">
        <x:v>MAIN-352</x:v>
      </x:c>
    </x:row>
    <x:row r="1610" ht="46" customHeight="1">
      <x:c r="A1610" s="2" t="str">
        <x:v>TEN-FADB5FECC373</x:v>
      </x:c>
      <x:c r="B1610" s="12" t="str">
        <x:v>Beco - Kwick Living (I) Pvt Ltd</x:v>
      </x:c>
      <x:c r="C1610" s="12" t="str">
        <x:v>CORP-0348</x:v>
      </x:c>
      <x:c r="D1610" s="12" t="str">
        <x:v>Mumbai</x:v>
      </x:c>
      <x:c r="E1610" s="12" t="str">
        <x:v>Times Square Tech Park</x:v>
      </x:c>
      <x:c r="F1610" s="12" t="str">
        <x:v>43 inch LED TV</x:v>
      </x:c>
      <x:c r="G1610" s="20" t="n">
        <x:v>4</x:v>
      </x:c>
      <x:c r="H1610" s="12" t="str">
        <x:v>Inventory-listed building/workspace context; current occupancy and screen access unverified</x:v>
      </x:c>
      <x:c r="I1610" s="12" t="str">
        <x:v>Small-scale prospects</x:v>
      </x:c>
      <x:c r="J1610" s="12" t="str">
        <x:v>Trade, consumer &amp; logistics</x:v>
      </x:c>
      <x:c r="K1610" s="2" t="str">
        <x:v>MAIN-352</x:v>
      </x:c>
    </x:row>
    <x:row r="1611" ht="46" customHeight="1">
      <x:c r="A1611" s="2" t="str">
        <x:v>TEN-10D01265A325</x:v>
      </x:c>
      <x:c r="B1611" s="12" t="str">
        <x:v>BerryPlus Technologies Private Limited</x:v>
      </x:c>
      <x:c r="C1611" s="12" t="str">
        <x:v>CORP-0349</x:v>
      </x:c>
      <x:c r="D1611" s="12" t="str">
        <x:v>Mumbai</x:v>
      </x:c>
      <x:c r="E1611" s="12" t="str">
        <x:v>WeWork - BKC</x:v>
      </x:c>
      <x:c r="F1611" s="12" t="str">
        <x:v>43 inch LED TV</x:v>
      </x:c>
      <x:c r="G1611" s="20" t="n">
        <x:v>17</x:v>
      </x:c>
      <x:c r="H1611" s="12" t="str">
        <x:v>Inventory-listed building/workspace context; current occupancy and screen access unverified</x:v>
      </x:c>
      <x:c r="I1611" s="12" t="str">
        <x:v>Mixed business audience</x:v>
      </x:c>
      <x:c r="J1611" s="12" t="str">
        <x:v>Unresolved</x:v>
      </x:c>
      <x:c r="K1611" s="2" t="str">
        <x:v>MAIN-353</x:v>
      </x:c>
    </x:row>
    <x:row r="1612" ht="46" customHeight="1">
      <x:c r="A1612" s="2" t="str">
        <x:v>TEN-2E1662BB6811</x:v>
      </x:c>
      <x:c r="B1612" s="12" t="str">
        <x:v>Leaders' Quest</x:v>
      </x:c>
      <x:c r="C1612" s="12" t="str">
        <x:v>CORP-0349</x:v>
      </x:c>
      <x:c r="D1612" s="12" t="str">
        <x:v>Mumbai</x:v>
      </x:c>
      <x:c r="E1612" s="12" t="str">
        <x:v>WeWork - BKC</x:v>
      </x:c>
      <x:c r="F1612" s="12" t="str">
        <x:v>43 inch LED TV</x:v>
      </x:c>
      <x:c r="G1612" s="20" t="n">
        <x:v>17</x:v>
      </x:c>
      <x:c r="H1612" s="12" t="str">
        <x:v>Inventory-listed building/workspace context; current occupancy and screen access unverified</x:v>
      </x:c>
      <x:c r="I1612" s="12" t="str">
        <x:v>Small-scale prospects</x:v>
      </x:c>
      <x:c r="J1612" s="12" t="str">
        <x:v>Professional services</x:v>
      </x:c>
      <x:c r="K1612" s="2" t="str">
        <x:v>MAIN-353</x:v>
      </x:c>
    </x:row>
    <x:row r="1613" ht="46" customHeight="1">
      <x:c r="A1613" s="2" t="str">
        <x:v>TEN-40C9B208C300</x:v>
      </x:c>
      <x:c r="B1613" s="12" t="str">
        <x:v>Quantinio Technologies Private Limited</x:v>
      </x:c>
      <x:c r="C1613" s="12" t="str">
        <x:v>CORP-0349</x:v>
      </x:c>
      <x:c r="D1613" s="12" t="str">
        <x:v>Mumbai</x:v>
      </x:c>
      <x:c r="E1613" s="12" t="str">
        <x:v>WeWork - BKC</x:v>
      </x:c>
      <x:c r="F1613" s="12" t="str">
        <x:v>43 inch LED TV</x:v>
      </x:c>
      <x:c r="G1613" s="20" t="n">
        <x:v>17</x:v>
      </x:c>
      <x:c r="H1613" s="12" t="str">
        <x:v>Inventory-listed building/workspace context; current occupancy and screen access unverified</x:v>
      </x:c>
      <x:c r="I1613" s="12" t="str">
        <x:v>Mixed business audience</x:v>
      </x:c>
      <x:c r="J1613" s="12" t="str">
        <x:v>Unresolved</x:v>
      </x:c>
      <x:c r="K1613" s="2" t="str">
        <x:v>MAIN-353</x:v>
      </x:c>
    </x:row>
    <x:row r="1614" ht="46" customHeight="1">
      <x:c r="A1614" s="2" t="str">
        <x:v>TEN-4A3F94504EB7</x:v>
      </x:c>
      <x:c r="B1614" s="12" t="str">
        <x:v>Pinstorm Technologies Limited</x:v>
      </x:c>
      <x:c r="C1614" s="12" t="str">
        <x:v>CORP-0349</x:v>
      </x:c>
      <x:c r="D1614" s="12" t="str">
        <x:v>Mumbai</x:v>
      </x:c>
      <x:c r="E1614" s="12" t="str">
        <x:v>WeWork - BKC</x:v>
      </x:c>
      <x:c r="F1614" s="12" t="str">
        <x:v>43 inch LED TV</x:v>
      </x:c>
      <x:c r="G1614" s="20" t="n">
        <x:v>17</x:v>
      </x:c>
      <x:c r="H1614" s="12" t="str">
        <x:v>Inventory-listed building/workspace context; current occupancy and screen access unverified</x:v>
      </x:c>
      <x:c r="I1614" s="12" t="str">
        <x:v>Small-scale prospects</x:v>
      </x:c>
      <x:c r="J1614" s="12" t="str">
        <x:v>Professional services</x:v>
      </x:c>
      <x:c r="K1614" s="2" t="str">
        <x:v>MAIN-353</x:v>
      </x:c>
    </x:row>
    <x:row r="1615" ht="46" customHeight="1">
      <x:c r="A1615" s="2" t="str">
        <x:v>TEN-A8C0A50B8328</x:v>
      </x:c>
      <x:c r="B1615" s="12" t="str">
        <x:v>Eduwork International Services Pvt. Ltd</x:v>
      </x:c>
      <x:c r="C1615" s="12" t="str">
        <x:v>CORP-0349</x:v>
      </x:c>
      <x:c r="D1615" s="12" t="str">
        <x:v>Mumbai</x:v>
      </x:c>
      <x:c r="E1615" s="12" t="str">
        <x:v>WeWork - BKC</x:v>
      </x:c>
      <x:c r="F1615" s="12" t="str">
        <x:v>43 inch LED TV</x:v>
      </x:c>
      <x:c r="G1615" s="20" t="n">
        <x:v>17</x:v>
      </x:c>
      <x:c r="H1615" s="12" t="str">
        <x:v>Inventory-listed building/workspace context; current occupancy and screen access unverified</x:v>
      </x:c>
      <x:c r="I1615" s="12" t="str">
        <x:v>Small-scale prospects</x:v>
      </x:c>
      <x:c r="J1615" s="12" t="str">
        <x:v>Education</x:v>
      </x:c>
      <x:c r="K1615" s="2" t="str">
        <x:v>MAIN-353</x:v>
      </x:c>
    </x:row>
    <x:row r="1616" ht="46" customHeight="1">
      <x:c r="A1616" s="2" t="str">
        <x:v>TEN-D73ADB1D6681</x:v>
      </x:c>
      <x:c r="B1616" s="12" t="str">
        <x:v>Eiosys Private Limited</x:v>
      </x:c>
      <x:c r="C1616" s="12" t="str">
        <x:v>CORP-0349</x:v>
      </x:c>
      <x:c r="D1616" s="12" t="str">
        <x:v>Mumbai</x:v>
      </x:c>
      <x:c r="E1616" s="12" t="str">
        <x:v>WeWork - BKC</x:v>
      </x:c>
      <x:c r="F1616" s="12" t="str">
        <x:v>43 inch LED TV</x:v>
      </x:c>
      <x:c r="G1616" s="20" t="n">
        <x:v>17</x:v>
      </x:c>
      <x:c r="H1616" s="12" t="str">
        <x:v>Inventory-listed building/workspace context; current occupancy and screen access unverified</x:v>
      </x:c>
      <x:c r="I1616" s="12" t="str">
        <x:v>Small-scale prospects</x:v>
      </x:c>
      <x:c r="J1616" s="12" t="str">
        <x:v>IT &amp; digital</x:v>
      </x:c>
      <x:c r="K1616" s="2" t="str">
        <x:v>MAIN-353</x:v>
      </x:c>
    </x:row>
    <x:row r="1617" ht="46" customHeight="1">
      <x:c r="A1617" s="2" t="str">
        <x:v>TEN-A95540D918DF</x:v>
      </x:c>
      <x:c r="B1617" s="12" t="str">
        <x:v>Indian hotels company pvt ltd</x:v>
      </x:c>
      <x:c r="C1617" s="12" t="str">
        <x:v>CORP-0350</x:v>
      </x:c>
      <x:c r="D1617" s="12" t="str">
        <x:v>Mumbai</x:v>
      </x:c>
      <x:c r="E1617" s="12" t="str">
        <x:v>Wework - Express Tower</x:v>
      </x:c>
      <x:c r="F1617" s="12" t="str">
        <x:v>43 inch LED TV</x:v>
      </x:c>
      <x:c r="G1617" s="20" t="n">
        <x:v>1</x:v>
      </x:c>
      <x:c r="H1617" s="12" t="str">
        <x:v>Inventory-listed building/workspace context; current occupancy and screen access unverified</x:v>
      </x:c>
      <x:c r="I1617" s="12" t="str">
        <x:v>Large enterprise</x:v>
      </x:c>
      <x:c r="J1617" s="12" t="str">
        <x:v>Trade, consumer &amp; logistics</x:v>
      </x:c>
      <x:c r="K1617" s="2" t="str">
        <x:v>MAIN-354</x:v>
      </x:c>
    </x:row>
    <x:row r="1618" ht="46" customHeight="1">
      <x:c r="A1618" s="2" t="str">
        <x:v>TEN-B70A5DB4FE8D</x:v>
      </x:c>
      <x:c r="B1618" s="12" t="str">
        <x:v>Consulate General of spain</x:v>
      </x:c>
      <x:c r="C1618" s="12" t="str">
        <x:v>CORP-0350</x:v>
      </x:c>
      <x:c r="D1618" s="12" t="str">
        <x:v>Mumbai</x:v>
      </x:c>
      <x:c r="E1618" s="12" t="str">
        <x:v>Wework - Express Tower</x:v>
      </x:c>
      <x:c r="F1618" s="12" t="str">
        <x:v>43 inch LED TV</x:v>
      </x:c>
      <x:c r="G1618" s="20" t="n">
        <x:v>1</x:v>
      </x:c>
      <x:c r="H1618" s="12" t="str">
        <x:v>Inventory-listed building/workspace context; current occupancy and screen access unverified</x:v>
      </x:c>
      <x:c r="I1618" s="12" t="str">
        <x:v>Institutional</x:v>
      </x:c>
      <x:c r="J1618" s="12" t="str">
        <x:v>Government &amp; nonprofit</x:v>
      </x:c>
      <x:c r="K1618" s="2" t="str">
        <x:v>MAIN-354</x:v>
      </x:c>
    </x:row>
    <x:row r="1619" ht="46" customHeight="1">
      <x:c r="A1619" s="2" t="str">
        <x:v>TEN-344BFF8B2788</x:v>
      </x:c>
      <x:c r="B1619" s="12" t="str">
        <x:v>KPMG</x:v>
      </x:c>
      <x:c r="C1619" s="12" t="str">
        <x:v>CORP-0351</x:v>
      </x:c>
      <x:c r="D1619" s="12" t="str">
        <x:v>Mumbai</x:v>
      </x:c>
      <x:c r="E1619" s="12" t="str">
        <x:v>WeWork - Nesco IT Park</x:v>
      </x:c>
      <x:c r="F1619" s="12" t="str">
        <x:v>43 inch LED TV</x:v>
      </x:c>
      <x:c r="G1619" s="20" t="n">
        <x:v>4</x:v>
      </x:c>
      <x:c r="H1619" s="12" t="str">
        <x:v>Inventory-listed building/workspace context; current occupancy and screen access unverified</x:v>
      </x:c>
      <x:c r="I1619" s="12" t="str">
        <x:v>Large enterprise</x:v>
      </x:c>
      <x:c r="J1619" s="12" t="str">
        <x:v>Professional services</x:v>
      </x:c>
      <x:c r="K1619" s="2" t="str">
        <x:v>MAIN-355</x:v>
      </x:c>
    </x:row>
    <x:row r="1620" ht="46" customHeight="1">
      <x:c r="A1620" s="2" t="str">
        <x:v>TEN-A07443C67004</x:v>
      </x:c>
      <x:c r="B1620" s="12" t="str">
        <x:v>Dominos Pizza</x:v>
      </x:c>
      <x:c r="C1620" s="12" t="str">
        <x:v>CORP-0351</x:v>
      </x:c>
      <x:c r="D1620" s="12" t="str">
        <x:v>Mumbai</x:v>
      </x:c>
      <x:c r="E1620" s="12" t="str">
        <x:v>WeWork - Nesco IT Park</x:v>
      </x:c>
      <x:c r="F1620" s="12" t="str">
        <x:v>43 inch LED TV</x:v>
      </x:c>
      <x:c r="G1620" s="20" t="n">
        <x:v>4</x:v>
      </x:c>
      <x:c r="H1620" s="12" t="str">
        <x:v>Inventory-listed building/workspace context; current occupancy and screen access unverified</x:v>
      </x:c>
      <x:c r="I1620" s="12" t="str">
        <x:v>Mixed business audience</x:v>
      </x:c>
      <x:c r="J1620" s="12" t="str">
        <x:v>Trade, consumer &amp; logistics</x:v>
      </x:c>
      <x:c r="K1620" s="2" t="str">
        <x:v>MAIN-355</x:v>
      </x:c>
    </x:row>
    <x:row r="1621" ht="46" customHeight="1">
      <x:c r="A1621" s="2" t="str">
        <x:v>TEN-263FF83A24E8</x:v>
      </x:c>
      <x:c r="B1621" s="12" t="str">
        <x:v>Bonito Designs Goregaon Mumbai</x:v>
      </x:c>
      <x:c r="C1621" s="12" t="str">
        <x:v>CORP-0352</x:v>
      </x:c>
      <x:c r="D1621" s="12" t="str">
        <x:v>Mumbai</x:v>
      </x:c>
      <x:c r="E1621" s="12" t="str">
        <x:v>WeWork - Oberoi Commerz</x:v>
      </x:c>
      <x:c r="F1621" s="12" t="str">
        <x:v>43 inch LED TV</x:v>
      </x:c>
      <x:c r="G1621" s="20" t="n">
        <x:v>8</x:v>
      </x:c>
      <x:c r="H1621" s="12" t="str">
        <x:v>Inventory-listed building/workspace context; current occupancy and screen access unverified</x:v>
      </x:c>
      <x:c r="I1621" s="12" t="str">
        <x:v>Small-scale prospects</x:v>
      </x:c>
      <x:c r="J1621" s="12" t="str">
        <x:v>Professional services</x:v>
      </x:c>
      <x:c r="K1621" s="2" t="str">
        <x:v>MAIN-356</x:v>
      </x:c>
    </x:row>
    <x:row r="1622" ht="46" customHeight="1">
      <x:c r="A1622" s="2" t="str">
        <x:v>TEN-2D3A352738FE</x:v>
      </x:c>
      <x:c r="B1622" s="12" t="str">
        <x:v>Morgan Stanley Financial Advisors</x:v>
      </x:c>
      <x:c r="C1622" s="12" t="str">
        <x:v>CORP-0352</x:v>
      </x:c>
      <x:c r="D1622" s="12" t="str">
        <x:v>Mumbai</x:v>
      </x:c>
      <x:c r="E1622" s="12" t="str">
        <x:v>WeWork - Oberoi Commerz</x:v>
      </x:c>
      <x:c r="F1622" s="12" t="str">
        <x:v>43 inch LED TV</x:v>
      </x:c>
      <x:c r="G1622" s="20" t="n">
        <x:v>8</x:v>
      </x:c>
      <x:c r="H1622" s="12" t="str">
        <x:v>Inventory-listed building/workspace context; current occupancy and screen access unverified</x:v>
      </x:c>
      <x:c r="I1622" s="12" t="str">
        <x:v>Mixed business audience</x:v>
      </x:c>
      <x:c r="J1622" s="12" t="str">
        <x:v>Finance &amp; insurance</x:v>
      </x:c>
      <x:c r="K1622" s="2" t="str">
        <x:v>MAIN-356</x:v>
      </x:c>
    </x:row>
    <x:row r="1623" ht="46" customHeight="1">
      <x:c r="A1623" s="2" t="str">
        <x:v>TEN-999743C47BE0</x:v>
      </x:c>
      <x:c r="B1623" s="12" t="str">
        <x:v>ITW Consulting Pvt Ltd</x:v>
      </x:c>
      <x:c r="C1623" s="12" t="str">
        <x:v>CORP-0352</x:v>
      </x:c>
      <x:c r="D1623" s="12" t="str">
        <x:v>Mumbai</x:v>
      </x:c>
      <x:c r="E1623" s="12" t="str">
        <x:v>WeWork - Oberoi Commerz</x:v>
      </x:c>
      <x:c r="F1623" s="12" t="str">
        <x:v>43 inch LED TV</x:v>
      </x:c>
      <x:c r="G1623" s="20" t="n">
        <x:v>8</x:v>
      </x:c>
      <x:c r="H1623" s="12" t="str">
        <x:v>Inventory-listed building/workspace context; current occupancy and screen access unverified</x:v>
      </x:c>
      <x:c r="I1623" s="12" t="str">
        <x:v>Mixed business audience</x:v>
      </x:c>
      <x:c r="J1623" s="12" t="str">
        <x:v>Professional services</x:v>
      </x:c>
      <x:c r="K1623" s="2" t="str">
        <x:v>MAIN-356</x:v>
      </x:c>
    </x:row>
    <x:row r="1624" ht="46" customHeight="1">
      <x:c r="A1624" s="2" t="str">
        <x:v>TEN-9C74E7799258</x:v>
      </x:c>
      <x:c r="B1624" s="12" t="str">
        <x:v>Navicent Solutions Private Limited</x:v>
      </x:c>
      <x:c r="C1624" s="12" t="str">
        <x:v>CORP-0352</x:v>
      </x:c>
      <x:c r="D1624" s="12" t="str">
        <x:v>Mumbai</x:v>
      </x:c>
      <x:c r="E1624" s="12" t="str">
        <x:v>WeWork - Oberoi Commerz</x:v>
      </x:c>
      <x:c r="F1624" s="12" t="str">
        <x:v>43 inch LED TV</x:v>
      </x:c>
      <x:c r="G1624" s="20" t="n">
        <x:v>8</x:v>
      </x:c>
      <x:c r="H1624" s="12" t="str">
        <x:v>Inventory-listed building/workspace context; current occupancy and screen access unverified</x:v>
      </x:c>
      <x:c r="I1624" s="12" t="str">
        <x:v>Mixed business audience</x:v>
      </x:c>
      <x:c r="J1624" s="12" t="str">
        <x:v>Unresolved</x:v>
      </x:c>
      <x:c r="K1624" s="2" t="str">
        <x:v>MAIN-356</x:v>
      </x:c>
    </x:row>
    <x:row r="1625" ht="46" customHeight="1">
      <x:c r="A1625" s="2" t="str">
        <x:v>TEN-B8183D6109C1</x:v>
      </x:c>
      <x:c r="B1625" s="12" t="str">
        <x:v>Bolanile Infratech Pvt Ltd</x:v>
      </x:c>
      <x:c r="C1625" s="12" t="str">
        <x:v>CORP-0352</x:v>
      </x:c>
      <x:c r="D1625" s="12" t="str">
        <x:v>Mumbai</x:v>
      </x:c>
      <x:c r="E1625" s="12" t="str">
        <x:v>WeWork - Oberoi Commerz</x:v>
      </x:c>
      <x:c r="F1625" s="12" t="str">
        <x:v>43 inch LED TV</x:v>
      </x:c>
      <x:c r="G1625" s="20" t="n">
        <x:v>8</x:v>
      </x:c>
      <x:c r="H1625" s="12" t="str">
        <x:v>Inventory-listed building/workspace context; current occupancy and screen access unverified</x:v>
      </x:c>
      <x:c r="I1625" s="12" t="str">
        <x:v>Small-scale prospects</x:v>
      </x:c>
      <x:c r="J1625" s="12" t="str">
        <x:v>Trade, consumer &amp; logistics</x:v>
      </x:c>
      <x:c r="K1625" s="2" t="str">
        <x:v>MAIN-356</x:v>
      </x:c>
    </x:row>
    <x:row r="1626" ht="46" customHeight="1">
      <x:c r="A1626" s="2" t="str">
        <x:v>TEN-F6F0CA999510</x:v>
      </x:c>
      <x:c r="B1626" s="12" t="str">
        <x:v>Prospera Productions</x:v>
      </x:c>
      <x:c r="C1626" s="12" t="str">
        <x:v>CORP-0352</x:v>
      </x:c>
      <x:c r="D1626" s="12" t="str">
        <x:v>Mumbai</x:v>
      </x:c>
      <x:c r="E1626" s="12" t="str">
        <x:v>WeWork - Oberoi Commerz</x:v>
      </x:c>
      <x:c r="F1626" s="12" t="str">
        <x:v>43 inch LED TV</x:v>
      </x:c>
      <x:c r="G1626" s="20" t="n">
        <x:v>8</x:v>
      </x:c>
      <x:c r="H1626" s="12" t="str">
        <x:v>Inventory-listed building/workspace context; current occupancy and screen access unverified</x:v>
      </x:c>
      <x:c r="I1626" s="12" t="str">
        <x:v>Small-scale prospects</x:v>
      </x:c>
      <x:c r="J1626" s="12" t="str">
        <x:v>Trade, consumer &amp; logistics</x:v>
      </x:c>
      <x:c r="K1626" s="2" t="str">
        <x:v>MAIN-356</x:v>
      </x:c>
    </x:row>
    <x:row r="1627" ht="46" customHeight="1">
      <x:c r="A1627" s="2" t="str">
        <x:v>TEN-5E520C1DF23A</x:v>
      </x:c>
      <x:c r="B1627" s="12" t="str">
        <x:v>Rockworth Systems Furniture India Private Limited</x:v>
      </x:c>
      <x:c r="C1627" s="12" t="str">
        <x:v>CORP-0353</x:v>
      </x:c>
      <x:c r="D1627" s="12" t="str">
        <x:v>Mumbai</x:v>
      </x:c>
      <x:c r="E1627" s="12" t="str">
        <x:v>Wework - Raheja Platinum</x:v>
      </x:c>
      <x:c r="F1627" s="12" t="str">
        <x:v>43 inch LED TV</x:v>
      </x:c>
      <x:c r="G1627" s="20" t="n">
        <x:v>19</x:v>
      </x:c>
      <x:c r="H1627" s="12" t="str">
        <x:v>Company-listed tower/campus context; exact screen access unverified</x:v>
      </x:c>
      <x:c r="I1627" s="12" t="str">
        <x:v>Small-scale prospects</x:v>
      </x:c>
      <x:c r="J1627" s="12" t="str">
        <x:v>Trade, consumer &amp; logistics</x:v>
      </x:c>
      <x:c r="K1627" s="2" t="str">
        <x:v>MAIN-357</x:v>
      </x:c>
    </x:row>
    <x:row r="1628" ht="46" customHeight="1">
      <x:c r="A1628" s="2" t="str">
        <x:v>TEN-6B2B539857F5</x:v>
      </x:c>
      <x:c r="B1628" s="12" t="str">
        <x:v>Ethika Insurance Broking Pvt. Ltd</x:v>
      </x:c>
      <x:c r="C1628" s="12" t="str">
        <x:v>CORP-0353</x:v>
      </x:c>
      <x:c r="D1628" s="12" t="str">
        <x:v>Mumbai</x:v>
      </x:c>
      <x:c r="E1628" s="12" t="str">
        <x:v>Wework - Raheja Platinum</x:v>
      </x:c>
      <x:c r="F1628" s="12" t="str">
        <x:v>43 inch LED TV</x:v>
      </x:c>
      <x:c r="G1628" s="20" t="n">
        <x:v>19</x:v>
      </x:c>
      <x:c r="H1628" s="12" t="str">
        <x:v>Company-listed tower/campus context; exact screen access unverified</x:v>
      </x:c>
      <x:c r="I1628" s="12" t="str">
        <x:v>Small-scale prospects</x:v>
      </x:c>
      <x:c r="J1628" s="12" t="str">
        <x:v>Finance &amp; insurance</x:v>
      </x:c>
      <x:c r="K1628" s="2" t="str">
        <x:v>MAIN-357</x:v>
      </x:c>
    </x:row>
    <x:row r="1629" ht="46" customHeight="1">
      <x:c r="A1629" s="2" t="str">
        <x:v>TEN-7691050A7104</x:v>
      </x:c>
      <x:c r="B1629" s="12" t="str">
        <x:v>NetObjex</x:v>
      </x:c>
      <x:c r="C1629" s="12" t="str">
        <x:v>CORP-0353</x:v>
      </x:c>
      <x:c r="D1629" s="12" t="str">
        <x:v>Mumbai</x:v>
      </x:c>
      <x:c r="E1629" s="12" t="str">
        <x:v>Wework - Raheja Platinum</x:v>
      </x:c>
      <x:c r="F1629" s="12" t="str">
        <x:v>43 inch LED TV</x:v>
      </x:c>
      <x:c r="G1629" s="20" t="n">
        <x:v>19</x:v>
      </x:c>
      <x:c r="H1629" s="12" t="str">
        <x:v>Company-listed tower/campus context; exact screen access unverified</x:v>
      </x:c>
      <x:c r="I1629" s="12" t="str">
        <x:v>Small-scale prospects</x:v>
      </x:c>
      <x:c r="J1629" s="12" t="str">
        <x:v>IT &amp; digital</x:v>
      </x:c>
      <x:c r="K1629" s="2" t="str">
        <x:v>MAIN-357</x:v>
      </x:c>
    </x:row>
    <x:row r="1630" ht="46" customHeight="1">
      <x:c r="A1630" s="2" t="str">
        <x:v>TEN-FE37A1FFE9AC</x:v>
      </x:c>
      <x:c r="B1630" s="12" t="str">
        <x:v>WEH Ventures</x:v>
      </x:c>
      <x:c r="C1630" s="12" t="str">
        <x:v>CORP-0353</x:v>
      </x:c>
      <x:c r="D1630" s="12" t="str">
        <x:v>Mumbai</x:v>
      </x:c>
      <x:c r="E1630" s="12" t="str">
        <x:v>Wework - Raheja Platinum</x:v>
      </x:c>
      <x:c r="F1630" s="12" t="str">
        <x:v>43 inch LED TV</x:v>
      </x:c>
      <x:c r="G1630" s="20" t="n">
        <x:v>19</x:v>
      </x:c>
      <x:c r="H1630" s="12" t="str">
        <x:v>Company-listed tower/campus context; exact screen access unverified</x:v>
      </x:c>
      <x:c r="I1630" s="12" t="str">
        <x:v>Medium-scale prospects</x:v>
      </x:c>
      <x:c r="J1630" s="12" t="str">
        <x:v>Finance &amp; insurance</x:v>
      </x:c>
      <x:c r="K1630" s="2" t="str">
        <x:v>MAIN-357</x:v>
      </x:c>
    </x:row>
    <x:row r="1631" ht="46" customHeight="1">
      <x:c r="A1631" s="2" t="str">
        <x:v>TEN-FFCF2D2DD7B5</x:v>
      </x:c>
      <x:c r="B1631" s="12" t="str">
        <x:v>Dyneema</x:v>
      </x:c>
      <x:c r="C1631" s="12" t="str">
        <x:v>CORP-0353</x:v>
      </x:c>
      <x:c r="D1631" s="12" t="str">
        <x:v>Mumbai</x:v>
      </x:c>
      <x:c r="E1631" s="12" t="str">
        <x:v>Wework - Raheja Platinum</x:v>
      </x:c>
      <x:c r="F1631" s="12" t="str">
        <x:v>43 inch LED TV</x:v>
      </x:c>
      <x:c r="G1631" s="20" t="n">
        <x:v>19</x:v>
      </x:c>
      <x:c r="H1631" s="12" t="str">
        <x:v>Company-listed tower/campus context; exact screen access unverified</x:v>
      </x:c>
      <x:c r="I1631" s="12" t="str">
        <x:v>Mixed business audience</x:v>
      </x:c>
      <x:c r="J1631" s="12" t="str">
        <x:v>Engineering &amp; manufacturing</x:v>
      </x:c>
      <x:c r="K1631" s="2" t="str">
        <x:v>MAIN-357</x:v>
      </x:c>
    </x:row>
    <x:row r="1632" ht="46" customHeight="1">
      <x:c r="A1632" s="2" t="str">
        <x:v>TEN-CF5DE55991E4</x:v>
      </x:c>
      <x:c r="B1632" s="12" t="str">
        <x:v>Bharathi axa life insurance</x:v>
      </x:c>
      <x:c r="C1632" s="12" t="str">
        <x:v>CORP-0354</x:v>
      </x:c>
      <x:c r="D1632" s="12" t="str">
        <x:v>Mumbai</x:v>
      </x:c>
      <x:c r="E1632" s="12" t="str">
        <x:v>WeWork - Spectrum</x:v>
      </x:c>
      <x:c r="F1632" s="12" t="str">
        <x:v>43 inch LED TV</x:v>
      </x:c>
      <x:c r="G1632" s="20" t="n">
        <x:v>8</x:v>
      </x:c>
      <x:c r="H1632" s="12" t="str">
        <x:v>Inventory-listed building/workspace context; current occupancy and screen access unverified</x:v>
      </x:c>
      <x:c r="I1632" s="12" t="str">
        <x:v>Mixed business audience</x:v>
      </x:c>
      <x:c r="J1632" s="12" t="str">
        <x:v>Finance &amp; insurance</x:v>
      </x:c>
      <x:c r="K1632" s="2" t="str">
        <x:v>MAIN-358</x:v>
      </x:c>
    </x:row>
    <x:row r="1633" ht="46" customHeight="1">
      <x:c r="A1633" s="2" t="str">
        <x:v>TEN-1F2DC6C58E3F</x:v>
      </x:c>
      <x:c r="B1633" s="12" t="str">
        <x:v>Ideeya Technologies</x:v>
      </x:c>
      <x:c r="C1633" s="12" t="str">
        <x:v>CORP-0355</x:v>
      </x:c>
      <x:c r="D1633" s="12" t="str">
        <x:v>Mumbai</x:v>
      </x:c>
      <x:c r="E1633" s="12" t="str">
        <x:v>Wework - Vaswani Chambers</x:v>
      </x:c>
      <x:c r="F1633" s="12" t="str">
        <x:v>43 inch LED TV</x:v>
      </x:c>
      <x:c r="G1633" s="20" t="n">
        <x:v>3</x:v>
      </x:c>
      <x:c r="H1633" s="12" t="str">
        <x:v>Inventory-listed building/workspace context; current occupancy and screen access unverified</x:v>
      </x:c>
      <x:c r="I1633" s="12" t="str">
        <x:v>Mixed business audience</x:v>
      </x:c>
      <x:c r="J1633" s="12" t="str">
        <x:v>Unresolved</x:v>
      </x:c>
      <x:c r="K1633" s="2" t="str">
        <x:v>MAIN-359</x:v>
      </x:c>
    </x:row>
    <x:row r="1634" ht="46" customHeight="1">
      <x:c r="A1634" s="2" t="str">
        <x:v>TEN-1F7F342C1544</x:v>
      </x:c>
      <x:c r="B1634" s="12" t="str">
        <x:v>Atlys India Pvt Ltd</x:v>
      </x:c>
      <x:c r="C1634" s="12" t="str">
        <x:v>CORP-0355</x:v>
      </x:c>
      <x:c r="D1634" s="12" t="str">
        <x:v>Mumbai</x:v>
      </x:c>
      <x:c r="E1634" s="12" t="str">
        <x:v>Wework - Vaswani Chambers</x:v>
      </x:c>
      <x:c r="F1634" s="12" t="str">
        <x:v>43 inch LED TV</x:v>
      </x:c>
      <x:c r="G1634" s="20" t="n">
        <x:v>3</x:v>
      </x:c>
      <x:c r="H1634" s="12" t="str">
        <x:v>Inventory-listed building/workspace context; current occupancy and screen access unverified</x:v>
      </x:c>
      <x:c r="I1634" s="12" t="str">
        <x:v>Small-scale prospects</x:v>
      </x:c>
      <x:c r="J1634" s="12" t="str">
        <x:v>Professional services</x:v>
      </x:c>
      <x:c r="K1634" s="2" t="str">
        <x:v>MAIN-359</x:v>
      </x:c>
    </x:row>
    <x:row r="1635" ht="46" customHeight="1">
      <x:c r="A1635" s="2" t="str">
        <x:v>TEN-23C3202EF35A</x:v>
      </x:c>
      <x:c r="B1635" s="12" t="str">
        <x:v>Manarj Innovations pvt. Ltd</x:v>
      </x:c>
      <x:c r="C1635" s="12" t="str">
        <x:v>CORP-0355</x:v>
      </x:c>
      <x:c r="D1635" s="12" t="str">
        <x:v>Mumbai</x:v>
      </x:c>
      <x:c r="E1635" s="12" t="str">
        <x:v>Wework - Vaswani Chambers</x:v>
      </x:c>
      <x:c r="F1635" s="12" t="str">
        <x:v>43 inch LED TV</x:v>
      </x:c>
      <x:c r="G1635" s="20" t="n">
        <x:v>3</x:v>
      </x:c>
      <x:c r="H1635" s="12" t="str">
        <x:v>Inventory-listed building/workspace context; current occupancy and screen access unverified</x:v>
      </x:c>
      <x:c r="I1635" s="12" t="str">
        <x:v>Mixed business audience</x:v>
      </x:c>
      <x:c r="J1635" s="12" t="str">
        <x:v>Unresolved</x:v>
      </x:c>
      <x:c r="K1635" s="2" t="str">
        <x:v>MAIN-359</x:v>
      </x:c>
    </x:row>
    <x:row r="1636" ht="46" customHeight="1">
      <x:c r="A1636" s="2" t="str">
        <x:v>TEN-7D436D761FA5</x:v>
      </x:c>
      <x:c r="B1636" s="12" t="str">
        <x:v>NDTV Mumbai</x:v>
      </x:c>
      <x:c r="C1636" s="12" t="str">
        <x:v>CORP-0355</x:v>
      </x:c>
      <x:c r="D1636" s="12" t="str">
        <x:v>Mumbai</x:v>
      </x:c>
      <x:c r="E1636" s="12" t="str">
        <x:v>Wework - Vaswani Chambers</x:v>
      </x:c>
      <x:c r="F1636" s="12" t="str">
        <x:v>43 inch LED TV</x:v>
      </x:c>
      <x:c r="G1636" s="20" t="n">
        <x:v>3</x:v>
      </x:c>
      <x:c r="H1636" s="12" t="str">
        <x:v>Inventory-listed building/workspace context; current occupancy and screen access unverified</x:v>
      </x:c>
      <x:c r="I1636" s="12" t="str">
        <x:v>Mixed business audience</x:v>
      </x:c>
      <x:c r="J1636" s="12" t="str">
        <x:v>Trade, consumer &amp; logistics</x:v>
      </x:c>
      <x:c r="K1636" s="2" t="str">
        <x:v>MAIN-359</x:v>
      </x:c>
    </x:row>
    <x:row r="1637" ht="46" customHeight="1">
      <x:c r="A1637" s="2" t="str">
        <x:v>TEN-93355E9D939C</x:v>
      </x:c>
      <x:c r="B1637" s="12" t="str">
        <x:v>Indie Radiation Private Limited</x:v>
      </x:c>
      <x:c r="C1637" s="12" t="str">
        <x:v>CORP-0355</x:v>
      </x:c>
      <x:c r="D1637" s="12" t="str">
        <x:v>Mumbai</x:v>
      </x:c>
      <x:c r="E1637" s="12" t="str">
        <x:v>Wework - Vaswani Chambers</x:v>
      </x:c>
      <x:c r="F1637" s="12" t="str">
        <x:v>43 inch LED TV</x:v>
      </x:c>
      <x:c r="G1637" s="20" t="n">
        <x:v>3</x:v>
      </x:c>
      <x:c r="H1637" s="12" t="str">
        <x:v>Inventory-listed building/workspace context; current occupancy and screen access unverified</x:v>
      </x:c>
      <x:c r="I1637" s="12" t="str">
        <x:v>Mixed business audience</x:v>
      </x:c>
      <x:c r="J1637" s="12" t="str">
        <x:v>Unresolved</x:v>
      </x:c>
      <x:c r="K1637" s="2" t="str">
        <x:v>MAIN-359</x:v>
      </x:c>
    </x:row>
    <x:row r="1638" ht="46" customHeight="1">
      <x:c r="A1638" s="2" t="str">
        <x:v>TEN-F790189B8F49</x:v>
      </x:c>
      <x:c r="B1638" s="12" t="str">
        <x:v>Sonal Holland Wine Academy</x:v>
      </x:c>
      <x:c r="C1638" s="12" t="str">
        <x:v>CORP-0355</x:v>
      </x:c>
      <x:c r="D1638" s="12" t="str">
        <x:v>Mumbai</x:v>
      </x:c>
      <x:c r="E1638" s="12" t="str">
        <x:v>Wework - Vaswani Chambers</x:v>
      </x:c>
      <x:c r="F1638" s="12" t="str">
        <x:v>43 inch LED TV</x:v>
      </x:c>
      <x:c r="G1638" s="20" t="n">
        <x:v>3</x:v>
      </x:c>
      <x:c r="H1638" s="12" t="str">
        <x:v>Inventory-listed building/workspace context; current occupancy and screen access unverified</x:v>
      </x:c>
      <x:c r="I1638" s="12" t="str">
        <x:v>Small-scale prospects</x:v>
      </x:c>
      <x:c r="J1638" s="12" t="str">
        <x:v>Education</x:v>
      </x:c>
      <x:c r="K1638" s="2" t="str">
        <x:v>MAIN-359</x:v>
      </x:c>
    </x:row>
    <x:row r="1639" ht="46" customHeight="1">
      <x:c r="A1639" s="2" t="str">
        <x:v>TEN-2A2AD6E644C7</x:v>
      </x:c>
      <x:c r="B1639" s="12" t="str">
        <x:v>FYND</x:v>
      </x:c>
      <x:c r="C1639" s="12" t="str">
        <x:v>CORP-0356</x:v>
      </x:c>
      <x:c r="D1639" s="12" t="str">
        <x:v>Mumbai</x:v>
      </x:c>
      <x:c r="E1639" s="12" t="str">
        <x:v>Wework - Vijay Diamond</x:v>
      </x:c>
      <x:c r="F1639" s="12" t="str">
        <x:v>43 inch LED TV</x:v>
      </x:c>
      <x:c r="G1639" s="20" t="n">
        <x:v>4</x:v>
      </x:c>
      <x:c r="H1639" s="12" t="str">
        <x:v>Inventory-listed building/workspace context; current occupancy and screen access unverified</x:v>
      </x:c>
      <x:c r="I1639" s="12" t="str">
        <x:v>Small-scale prospects</x:v>
      </x:c>
      <x:c r="J1639" s="12" t="str">
        <x:v>Trade, consumer &amp; logistics</x:v>
      </x:c>
      <x:c r="K1639" s="2" t="str">
        <x:v>MAIN-360</x:v>
      </x:c>
    </x:row>
    <x:row r="1640" ht="46" customHeight="1">
      <x:c r="A1640" s="2" t="str">
        <x:v>TEN-3B5F1F4D82D5</x:v>
      </x:c>
      <x:c r="B1640" s="12" t="str">
        <x:v>Simplicity Investing India Private Limited</x:v>
      </x:c>
      <x:c r="C1640" s="12" t="str">
        <x:v>CORP-0357</x:v>
      </x:c>
      <x:c r="D1640" s="12" t="str">
        <x:v>Mumbai</x:v>
      </x:c>
      <x:c r="E1640" s="12" t="str">
        <x:v>WeWork - Vikhroil 247</x:v>
      </x:c>
      <x:c r="F1640" s="12" t="str">
        <x:v>43 inch LED TV</x:v>
      </x:c>
      <x:c r="G1640" s="20" t="n">
        <x:v>4</x:v>
      </x:c>
      <x:c r="H1640" s="12" t="str">
        <x:v>Inventory-listed building/workspace context; current occupancy and screen access unverified</x:v>
      </x:c>
      <x:c r="I1640" s="12" t="str">
        <x:v>Medium-scale prospects</x:v>
      </x:c>
      <x:c r="J1640" s="12" t="str">
        <x:v>Finance &amp; insurance</x:v>
      </x:c>
      <x:c r="K1640" s="2" t="str">
        <x:v>MAIN-361</x:v>
      </x:c>
    </x:row>
    <x:row r="1641" ht="46" customHeight="1">
      <x:c r="A1641" s="2" t="str">
        <x:v>TEN-57178E4DABB3</x:v>
      </x:c>
      <x:c r="B1641" s="12" t="str">
        <x:v>AISeon Healthcare Technologies Pvt. Ltd</x:v>
      </x:c>
      <x:c r="C1641" s="12" t="str">
        <x:v>CORP-0357</x:v>
      </x:c>
      <x:c r="D1641" s="12" t="str">
        <x:v>Mumbai</x:v>
      </x:c>
      <x:c r="E1641" s="12" t="str">
        <x:v>WeWork - Vikhroil 247</x:v>
      </x:c>
      <x:c r="F1641" s="12" t="str">
        <x:v>43 inch LED TV</x:v>
      </x:c>
      <x:c r="G1641" s="20" t="n">
        <x:v>4</x:v>
      </x:c>
      <x:c r="H1641" s="12" t="str">
        <x:v>Inventory-listed building/workspace context; current occupancy and screen access unverified</x:v>
      </x:c>
      <x:c r="I1641" s="12" t="str">
        <x:v>Small-scale prospects</x:v>
      </x:c>
      <x:c r="J1641" s="12" t="str">
        <x:v>Healthcare &amp; life sciences</x:v>
      </x:c>
      <x:c r="K1641" s="2" t="str">
        <x:v>MAIN-361</x:v>
      </x:c>
    </x:row>
    <x:row r="1642" ht="46" customHeight="1">
      <x:c r="A1642" s="2" t="str">
        <x:v>TEN-841072F668E0</x:v>
      </x:c>
      <x:c r="B1642" s="12" t="str">
        <x:v>Felix Advisory Private Limited</x:v>
      </x:c>
      <x:c r="C1642" s="12" t="str">
        <x:v>CORP-0357</x:v>
      </x:c>
      <x:c r="D1642" s="12" t="str">
        <x:v>Mumbai</x:v>
      </x:c>
      <x:c r="E1642" s="12" t="str">
        <x:v>WeWork - Vikhroil 247</x:v>
      </x:c>
      <x:c r="F1642" s="12" t="str">
        <x:v>43 inch LED TV</x:v>
      </x:c>
      <x:c r="G1642" s="20" t="n">
        <x:v>4</x:v>
      </x:c>
      <x:c r="H1642" s="12" t="str">
        <x:v>Inventory-listed building/workspace context; current occupancy and screen access unverified</x:v>
      </x:c>
      <x:c r="I1642" s="12" t="str">
        <x:v>Small-scale prospects</x:v>
      </x:c>
      <x:c r="J1642" s="12" t="str">
        <x:v>Professional services</x:v>
      </x:c>
      <x:c r="K1642" s="2" t="str">
        <x:v>MAIN-361</x:v>
      </x:c>
    </x:row>
    <x:row r="1643" ht="46" customHeight="1">
      <x:c r="A1643" s="2" t="str">
        <x:v>TEN-D81104AA66DA</x:v>
      </x:c>
      <x:c r="B1643" s="12" t="str">
        <x:v>Nexus Select Malls Corporate Office</x:v>
      </x:c>
      <x:c r="C1643" s="12" t="str">
        <x:v>CORP-0357</x:v>
      </x:c>
      <x:c r="D1643" s="12" t="str">
        <x:v>Mumbai</x:v>
      </x:c>
      <x:c r="E1643" s="12" t="str">
        <x:v>WeWork - Vikhroil 247</x:v>
      </x:c>
      <x:c r="F1643" s="12" t="str">
        <x:v>43 inch LED TV</x:v>
      </x:c>
      <x:c r="G1643" s="20" t="n">
        <x:v>4</x:v>
      </x:c>
      <x:c r="H1643" s="12" t="str">
        <x:v>Inventory-listed building/workspace context; current occupancy and screen access unverified</x:v>
      </x:c>
      <x:c r="I1643" s="12" t="str">
        <x:v>Mixed business audience</x:v>
      </x:c>
      <x:c r="J1643" s="12" t="str">
        <x:v>Trade, consumer &amp; logistics</x:v>
      </x:c>
      <x:c r="K1643" s="2" t="str">
        <x:v>MAIN-361</x:v>
      </x:c>
    </x:row>
    <x:row r="1644" ht="46" customHeight="1">
      <x:c r="A1644" s="2" t="str">
        <x:v>TEN-4A49FD0B38E1</x:v>
      </x:c>
      <x:c r="B1644" s="12" t="str">
        <x:v>Envu India</x:v>
      </x:c>
      <x:c r="C1644" s="12" t="str">
        <x:v>CORP-0358</x:v>
      </x:c>
      <x:c r="D1644" s="12" t="str">
        <x:v>Mumbai</x:v>
      </x:c>
      <x:c r="E1644" s="12" t="str">
        <x:v>WeWork - Zenia</x:v>
      </x:c>
      <x:c r="F1644" s="12" t="str">
        <x:v>43 inch LED TV</x:v>
      </x:c>
      <x:c r="G1644" s="20" t="n">
        <x:v>12</x:v>
      </x:c>
      <x:c r="H1644" s="12" t="str">
        <x:v>Inventory-listed building/workspace context; current occupancy and screen access unverified</x:v>
      </x:c>
      <x:c r="I1644" s="12" t="str">
        <x:v>Mixed business audience</x:v>
      </x:c>
      <x:c r="J1644" s="12" t="str">
        <x:v>Engineering &amp; manufacturing</x:v>
      </x:c>
      <x:c r="K1644" s="2" t="str">
        <x:v>MAIN-362</x:v>
      </x:c>
    </x:row>
    <x:row r="1645" ht="46" customHeight="1">
      <x:c r="A1645" s="2" t="str">
        <x:v>TEN-6C4F14749F20</x:v>
      </x:c>
      <x:c r="B1645" s="12" t="str">
        <x:v>SunInfra Energies Private Limited</x:v>
      </x:c>
      <x:c r="C1645" s="12" t="str">
        <x:v>CORP-0358</x:v>
      </x:c>
      <x:c r="D1645" s="12" t="str">
        <x:v>Mumbai</x:v>
      </x:c>
      <x:c r="E1645" s="12" t="str">
        <x:v>WeWork - Zenia</x:v>
      </x:c>
      <x:c r="F1645" s="12" t="str">
        <x:v>43 inch LED TV</x:v>
      </x:c>
      <x:c r="G1645" s="20" t="n">
        <x:v>12</x:v>
      </x:c>
      <x:c r="H1645" s="12" t="str">
        <x:v>Inventory-listed building/workspace context; current occupancy and screen access unverified</x:v>
      </x:c>
      <x:c r="I1645" s="12" t="str">
        <x:v>Medium-scale prospects</x:v>
      </x:c>
      <x:c r="J1645" s="12" t="str">
        <x:v>Engineering &amp; manufacturing</x:v>
      </x:c>
      <x:c r="K1645" s="2" t="str">
        <x:v>MAIN-362</x:v>
      </x:c>
    </x:row>
    <x:row r="1646" ht="46" customHeight="1">
      <x:c r="A1646" s="2" t="str">
        <x:v>TEN-6C506FB53136</x:v>
      </x:c>
      <x:c r="B1646" s="12" t="str">
        <x:v>Nobis Technologies Pvt. Ltd</x:v>
      </x:c>
      <x:c r="C1646" s="12" t="str">
        <x:v>CORP-0358</x:v>
      </x:c>
      <x:c r="D1646" s="12" t="str">
        <x:v>Mumbai</x:v>
      </x:c>
      <x:c r="E1646" s="12" t="str">
        <x:v>WeWork - Zenia</x:v>
      </x:c>
      <x:c r="F1646" s="12" t="str">
        <x:v>43 inch LED TV</x:v>
      </x:c>
      <x:c r="G1646" s="20" t="n">
        <x:v>12</x:v>
      </x:c>
      <x:c r="H1646" s="12" t="str">
        <x:v>Inventory-listed building/workspace context; current occupancy and screen access unverified</x:v>
      </x:c>
      <x:c r="I1646" s="12" t="str">
        <x:v>Mixed business audience</x:v>
      </x:c>
      <x:c r="J1646" s="12" t="str">
        <x:v>Unresolved</x:v>
      </x:c>
      <x:c r="K1646" s="2" t="str">
        <x:v>MAIN-362</x:v>
      </x:c>
    </x:row>
    <x:row r="1647" ht="46" customHeight="1">
      <x:c r="A1647" s="2" t="str">
        <x:v>TEN-7BA3AA933005</x:v>
      </x:c>
      <x:c r="B1647" s="12" t="str">
        <x:v>Zapkey</x:v>
      </x:c>
      <x:c r="C1647" s="12" t="str">
        <x:v>CORP-0358</x:v>
      </x:c>
      <x:c r="D1647" s="12" t="str">
        <x:v>Mumbai</x:v>
      </x:c>
      <x:c r="E1647" s="12" t="str">
        <x:v>WeWork - Zenia</x:v>
      </x:c>
      <x:c r="F1647" s="12" t="str">
        <x:v>43 inch LED TV</x:v>
      </x:c>
      <x:c r="G1647" s="20" t="n">
        <x:v>12</x:v>
      </x:c>
      <x:c r="H1647" s="12" t="str">
        <x:v>Inventory-listed building/workspace context; current occupancy and screen access unverified</x:v>
      </x:c>
      <x:c r="I1647" s="12" t="str">
        <x:v>Small-scale prospects</x:v>
      </x:c>
      <x:c r="J1647" s="12" t="str">
        <x:v>Trade, consumer &amp; logistics</x:v>
      </x:c>
      <x:c r="K1647" s="2" t="str">
        <x:v>MAIN-362</x:v>
      </x:c>
    </x:row>
    <x:row r="1648" ht="46" customHeight="1">
      <x:c r="A1648" s="2" t="str">
        <x:v>TEN-A88384F59E7A</x:v>
      </x:c>
      <x:c r="B1648" s="12" t="str">
        <x:v>PDG Software India Pvt. Ltd</x:v>
      </x:c>
      <x:c r="C1648" s="12" t="str">
        <x:v>CORP-0358</x:v>
      </x:c>
      <x:c r="D1648" s="12" t="str">
        <x:v>Mumbai</x:v>
      </x:c>
      <x:c r="E1648" s="12" t="str">
        <x:v>WeWork - Zenia</x:v>
      </x:c>
      <x:c r="F1648" s="12" t="str">
        <x:v>43 inch LED TV</x:v>
      </x:c>
      <x:c r="G1648" s="20" t="n">
        <x:v>12</x:v>
      </x:c>
      <x:c r="H1648" s="12" t="str">
        <x:v>Inventory-listed building/workspace context; current occupancy and screen access unverified</x:v>
      </x:c>
      <x:c r="I1648" s="12" t="str">
        <x:v>Small-scale prospects</x:v>
      </x:c>
      <x:c r="J1648" s="12" t="str">
        <x:v>IT &amp; digital</x:v>
      </x:c>
      <x:c r="K1648" s="2" t="str">
        <x:v>MAIN-362</x:v>
      </x:c>
    </x:row>
    <x:row r="1649" ht="46" customHeight="1">
      <x:c r="A1649" s="2" t="str">
        <x:v>TEN-B4806FD1AEE1</x:v>
      </x:c>
      <x:c r="B1649" s="12" t="str">
        <x:v>JGC Construction International Pte Ltd</x:v>
      </x:c>
      <x:c r="C1649" s="12" t="str">
        <x:v>CORP-0358</x:v>
      </x:c>
      <x:c r="D1649" s="12" t="str">
        <x:v>Mumbai</x:v>
      </x:c>
      <x:c r="E1649" s="12" t="str">
        <x:v>WeWork - Zenia</x:v>
      </x:c>
      <x:c r="F1649" s="12" t="str">
        <x:v>43 inch LED TV</x:v>
      </x:c>
      <x:c r="G1649" s="20" t="n">
        <x:v>12</x:v>
      </x:c>
      <x:c r="H1649" s="12" t="str">
        <x:v>Inventory-listed building/workspace context; current occupancy and screen access unverified</x:v>
      </x:c>
      <x:c r="I1649" s="12" t="str">
        <x:v>Mixed business audience</x:v>
      </x:c>
      <x:c r="J1649" s="12" t="str">
        <x:v>Engineering &amp; manufacturing</x:v>
      </x:c>
      <x:c r="K1649" s="2" t="str">
        <x:v>MAIN-362</x:v>
      </x:c>
    </x:row>
    <x:row r="1650" ht="46" customHeight="1">
      <x:c r="A1650" s="2" t="str">
        <x:v>TEN-298147A4B3E2</x:v>
      </x:c>
      <x:c r="B1650" s="12" t="str">
        <x:v>Awfis</x:v>
      </x:c>
      <x:c r="C1650" s="12" t="str">
        <x:v>CORP-0360</x:v>
      </x:c>
      <x:c r="D1650" s="12" t="str">
        <x:v>Delhi NCR</x:v>
      </x:c>
      <x:c r="E1650" s="12" t="str">
        <x:v>Awfis - Bhutani Technopark</x:v>
      </x:c>
      <x:c r="F1650" s="12" t="str">
        <x:v>32 inch LED TV</x:v>
      </x:c>
      <x:c r="G1650" s="20" t="n">
        <x:v>1</x:v>
      </x:c>
      <x:c r="H1650" s="12" t="str">
        <x:v>Workspace operator inferred from explicit property name; tenant occupants unconfirmed</x:v>
      </x:c>
      <x:c r="I1650" s="12" t="str">
        <x:v>Mixed business audience</x:v>
      </x:c>
      <x:c r="J1650" s="12" t="str">
        <x:v>Workspace &amp; property operations</x:v>
      </x:c>
      <x:c r="K1650" s="2" t="str">
        <x:v>MAIN-364</x:v>
      </x:c>
    </x:row>
    <x:row r="1651" ht="46" customHeight="1">
      <x:c r="A1651" s="2" t="str">
        <x:v>TEN-298147A4B3E2</x:v>
      </x:c>
      <x:c r="B1651" s="12" t="str">
        <x:v>Awfis</x:v>
      </x:c>
      <x:c r="C1651" s="12" t="str">
        <x:v>CORP-0361</x:v>
      </x:c>
      <x:c r="D1651" s="12" t="str">
        <x:v>Delhi NCR</x:v>
      </x:c>
      <x:c r="E1651" s="12" t="str">
        <x:v>Awfis - Connaught Place</x:v>
      </x:c>
      <x:c r="F1651" s="12" t="str">
        <x:v>32 inch LED TV</x:v>
      </x:c>
      <x:c r="G1651" s="20" t="n">
        <x:v>1</x:v>
      </x:c>
      <x:c r="H1651" s="12" t="str">
        <x:v>Workspace operator inferred from explicit property name; tenant occupants unconfirmed</x:v>
      </x:c>
      <x:c r="I1651" s="12" t="str">
        <x:v>Mixed business audience</x:v>
      </x:c>
      <x:c r="J1651" s="12" t="str">
        <x:v>Workspace &amp; property operations</x:v>
      </x:c>
      <x:c r="K1651" s="2" t="str">
        <x:v>MAIN-365</x:v>
      </x:c>
    </x:row>
    <x:row r="1652" ht="46" customHeight="1">
      <x:c r="A1652" s="2" t="str">
        <x:v>TEN-38E35F68D170</x:v>
      </x:c>
      <x:c r="B1652" s="12" t="str">
        <x:v>Altran Technologies India Pvt. Ltd</x:v>
      </x:c>
      <x:c r="C1652" s="12" t="str">
        <x:v>CORP-0362</x:v>
      </x:c>
      <x:c r="D1652" s="12" t="str">
        <x:v>Delhi NCR</x:v>
      </x:c>
      <x:c r="E1652" s="12" t="str">
        <x:v>Awfis - Knowledge Boulevard</x:v>
      </x:c>
      <x:c r="F1652" s="12" t="str">
        <x:v>32 inch LED TV</x:v>
      </x:c>
      <x:c r="G1652" s="20" t="n">
        <x:v>3</x:v>
      </x:c>
      <x:c r="H1652" s="12" t="str">
        <x:v>Inventory-listed building/workspace context; current occupancy and screen access unverified</x:v>
      </x:c>
      <x:c r="I1652" s="12" t="str">
        <x:v>Mixed business audience</x:v>
      </x:c>
      <x:c r="J1652" s="12" t="str">
        <x:v>IT &amp; digital</x:v>
      </x:c>
      <x:c r="K1652" s="2" t="str">
        <x:v>MAIN-366</x:v>
      </x:c>
    </x:row>
    <x:row r="1653" ht="46" customHeight="1">
      <x:c r="A1653" s="2" t="str">
        <x:v>TEN-39DB6EEDD0D0</x:v>
      </x:c>
      <x:c r="B1653" s="12" t="str">
        <x:v>Tectura India</x:v>
      </x:c>
      <x:c r="C1653" s="12" t="str">
        <x:v>CORP-0362</x:v>
      </x:c>
      <x:c r="D1653" s="12" t="str">
        <x:v>Delhi NCR</x:v>
      </x:c>
      <x:c r="E1653" s="12" t="str">
        <x:v>Awfis - Knowledge Boulevard</x:v>
      </x:c>
      <x:c r="F1653" s="12" t="str">
        <x:v>32 inch LED TV</x:v>
      </x:c>
      <x:c r="G1653" s="20" t="n">
        <x:v>3</x:v>
      </x:c>
      <x:c r="H1653" s="12" t="str">
        <x:v>Inventory-listed building/workspace context; current occupancy and screen access unverified</x:v>
      </x:c>
      <x:c r="I1653" s="12" t="str">
        <x:v>Mixed business audience</x:v>
      </x:c>
      <x:c r="J1653" s="12" t="str">
        <x:v>IT &amp; digital</x:v>
      </x:c>
      <x:c r="K1653" s="2" t="str">
        <x:v>MAIN-366</x:v>
      </x:c>
    </x:row>
    <x:row r="1654" ht="46" customHeight="1">
      <x:c r="A1654" s="2" t="str">
        <x:v>TEN-9625EE75B676</x:v>
      </x:c>
      <x:c r="B1654" s="12" t="str">
        <x:v>Ericsson India Global Services</x:v>
      </x:c>
      <x:c r="C1654" s="12" t="str">
        <x:v>CORP-0362</x:v>
      </x:c>
      <x:c r="D1654" s="12" t="str">
        <x:v>Delhi NCR</x:v>
      </x:c>
      <x:c r="E1654" s="12" t="str">
        <x:v>Awfis - Knowledge Boulevard</x:v>
      </x:c>
      <x:c r="F1654" s="12" t="str">
        <x:v>32 inch LED TV</x:v>
      </x:c>
      <x:c r="G1654" s="20" t="n">
        <x:v>3</x:v>
      </x:c>
      <x:c r="H1654" s="12" t="str">
        <x:v>Inventory-listed building/workspace context; current occupancy and screen access unverified</x:v>
      </x:c>
      <x:c r="I1654" s="12" t="str">
        <x:v>Large enterprise</x:v>
      </x:c>
      <x:c r="J1654" s="12" t="str">
        <x:v>IT &amp; digital</x:v>
      </x:c>
      <x:c r="K1654" s="2" t="str">
        <x:v>MAIN-366</x:v>
      </x:c>
    </x:row>
    <x:row r="1655" ht="46" customHeight="1">
      <x:c r="A1655" s="2" t="str">
        <x:v>TEN-C7F623980871</x:v>
      </x:c>
      <x:c r="B1655" s="12" t="str">
        <x:v>Affiliated Computer Services of India Pvt Ltd</x:v>
      </x:c>
      <x:c r="C1655" s="12" t="str">
        <x:v>CORP-0362</x:v>
      </x:c>
      <x:c r="D1655" s="12" t="str">
        <x:v>Delhi NCR</x:v>
      </x:c>
      <x:c r="E1655" s="12" t="str">
        <x:v>Awfis - Knowledge Boulevard</x:v>
      </x:c>
      <x:c r="F1655" s="12" t="str">
        <x:v>32 inch LED TV</x:v>
      </x:c>
      <x:c r="G1655" s="20" t="n">
        <x:v>3</x:v>
      </x:c>
      <x:c r="H1655" s="12" t="str">
        <x:v>Inventory-listed building/workspace context; current occupancy and screen access unverified</x:v>
      </x:c>
      <x:c r="I1655" s="12" t="str">
        <x:v>Mixed business audience</x:v>
      </x:c>
      <x:c r="J1655" s="12" t="str">
        <x:v>IT &amp; digital</x:v>
      </x:c>
      <x:c r="K1655" s="2" t="str">
        <x:v>MAIN-366</x:v>
      </x:c>
    </x:row>
    <x:row r="1656" ht="46" customHeight="1">
      <x:c r="A1656" s="2" t="str">
        <x:v>TEN-D1E9A66243A1</x:v>
      </x:c>
      <x:c r="B1656" s="12" t="str">
        <x:v>Drishtee</x:v>
      </x:c>
      <x:c r="C1656" s="12" t="str">
        <x:v>CORP-0362</x:v>
      </x:c>
      <x:c r="D1656" s="12" t="str">
        <x:v>Delhi NCR</x:v>
      </x:c>
      <x:c r="E1656" s="12" t="str">
        <x:v>Awfis - Knowledge Boulevard</x:v>
      </x:c>
      <x:c r="F1656" s="12" t="str">
        <x:v>32 inch LED TV</x:v>
      </x:c>
      <x:c r="G1656" s="20" t="n">
        <x:v>3</x:v>
      </x:c>
      <x:c r="H1656" s="12" t="str">
        <x:v>Inventory-listed building/workspace context; current occupancy and screen access unverified</x:v>
      </x:c>
      <x:c r="I1656" s="12" t="str">
        <x:v>Mixed business audience</x:v>
      </x:c>
      <x:c r="J1656" s="12" t="str">
        <x:v>Unresolved</x:v>
      </x:c>
      <x:c r="K1656" s="2" t="str">
        <x:v>MAIN-366</x:v>
      </x:c>
    </x:row>
    <x:row r="1657" ht="46" customHeight="1">
      <x:c r="A1657" s="2" t="str">
        <x:v>TEN-D2930875EE54</x:v>
      </x:c>
      <x:c r="B1657" s="12" t="str">
        <x:v>Quiver Infoservices Ltd</x:v>
      </x:c>
      <x:c r="C1657" s="12" t="str">
        <x:v>CORP-0362</x:v>
      </x:c>
      <x:c r="D1657" s="12" t="str">
        <x:v>Delhi NCR</x:v>
      </x:c>
      <x:c r="E1657" s="12" t="str">
        <x:v>Awfis - Knowledge Boulevard</x:v>
      </x:c>
      <x:c r="F1657" s="12" t="str">
        <x:v>32 inch LED TV</x:v>
      </x:c>
      <x:c r="G1657" s="20" t="n">
        <x:v>3</x:v>
      </x:c>
      <x:c r="H1657" s="12" t="str">
        <x:v>Inventory-listed building/workspace context; current occupancy and screen access unverified</x:v>
      </x:c>
      <x:c r="I1657" s="12" t="str">
        <x:v>Mixed business audience</x:v>
      </x:c>
      <x:c r="J1657" s="12" t="str">
        <x:v>Unresolved</x:v>
      </x:c>
      <x:c r="K1657" s="2" t="str">
        <x:v>MAIN-366</x:v>
      </x:c>
    </x:row>
    <x:row r="1658" ht="46" customHeight="1">
      <x:c r="A1658" s="2" t="str">
        <x:v>TEN-FA64C255E7B6</x:v>
      </x:c>
      <x:c r="B1658" s="12" t="str">
        <x:v>Mishi office</x:v>
      </x:c>
      <x:c r="C1658" s="12" t="str">
        <x:v>CORP-0362</x:v>
      </x:c>
      <x:c r="D1658" s="12" t="str">
        <x:v>Delhi NCR</x:v>
      </x:c>
      <x:c r="E1658" s="12" t="str">
        <x:v>Awfis - Knowledge Boulevard</x:v>
      </x:c>
      <x:c r="F1658" s="12" t="str">
        <x:v>32 inch LED TV</x:v>
      </x:c>
      <x:c r="G1658" s="20" t="n">
        <x:v>3</x:v>
      </x:c>
      <x:c r="H1658" s="12" t="str">
        <x:v>Inventory-listed building/workspace context; current occupancy and screen access unverified</x:v>
      </x:c>
      <x:c r="I1658" s="12" t="str">
        <x:v>Mixed business audience</x:v>
      </x:c>
      <x:c r="J1658" s="12" t="str">
        <x:v>Unresolved</x:v>
      </x:c>
      <x:c r="K1658" s="2" t="str">
        <x:v>MAIN-366</x:v>
      </x:c>
    </x:row>
    <x:row r="1659" ht="46" customHeight="1">
      <x:c r="A1659" s="2" t="str">
        <x:v>TEN-FF0B654DAE85</x:v>
      </x:c>
      <x:c r="B1659" s="12" t="str">
        <x:v>Bureau Veritas GSSC</x:v>
      </x:c>
      <x:c r="C1659" s="12" t="str">
        <x:v>CORP-0362</x:v>
      </x:c>
      <x:c r="D1659" s="12" t="str">
        <x:v>Delhi NCR</x:v>
      </x:c>
      <x:c r="E1659" s="12" t="str">
        <x:v>Awfis - Knowledge Boulevard</x:v>
      </x:c>
      <x:c r="F1659" s="12" t="str">
        <x:v>32 inch LED TV</x:v>
      </x:c>
      <x:c r="G1659" s="20" t="n">
        <x:v>3</x:v>
      </x:c>
      <x:c r="H1659" s="12" t="str">
        <x:v>Inventory-listed building/workspace context; current occupancy and screen access unverified</x:v>
      </x:c>
      <x:c r="I1659" s="12" t="str">
        <x:v>Mixed business audience</x:v>
      </x:c>
      <x:c r="J1659" s="12" t="str">
        <x:v>Professional services</x:v>
      </x:c>
      <x:c r="K1659" s="2" t="str">
        <x:v>MAIN-366</x:v>
      </x:c>
    </x:row>
    <x:row r="1660" ht="46" customHeight="1">
      <x:c r="A1660" s="2" t="str">
        <x:v>TEN-3AB43178E7C3</x:v>
      </x:c>
      <x:c r="B1660" s="12" t="str">
        <x:v>Neeuweg Technologies</x:v>
      </x:c>
      <x:c r="C1660" s="12" t="str">
        <x:v>CORP-0363</x:v>
      </x:c>
      <x:c r="D1660" s="12" t="str">
        <x:v>Delhi NCR</x:v>
      </x:c>
      <x:c r="E1660" s="12" t="str">
        <x:v>Awfis - Majestic Signia</x:v>
      </x:c>
      <x:c r="F1660" s="12" t="str">
        <x:v>32 inch LED TV</x:v>
      </x:c>
      <x:c r="G1660" s="20" t="n">
        <x:v>2</x:v>
      </x:c>
      <x:c r="H1660" s="12" t="str">
        <x:v>Inventory-listed building/workspace context; current occupancy and screen access unverified</x:v>
      </x:c>
      <x:c r="I1660" s="12" t="str">
        <x:v>Mixed business audience</x:v>
      </x:c>
      <x:c r="J1660" s="12" t="str">
        <x:v>Unresolved</x:v>
      </x:c>
      <x:c r="K1660" s="2" t="str">
        <x:v>MAIN-367</x:v>
      </x:c>
    </x:row>
    <x:row r="1661" ht="46" customHeight="1">
      <x:c r="A1661" s="2" t="str">
        <x:v>TEN-671EB40229E4</x:v>
      </x:c>
      <x:c r="B1661" s="12" t="str">
        <x:v>Insights Opinion</x:v>
      </x:c>
      <x:c r="C1661" s="12" t="str">
        <x:v>CORP-0363</x:v>
      </x:c>
      <x:c r="D1661" s="12" t="str">
        <x:v>Delhi NCR</x:v>
      </x:c>
      <x:c r="E1661" s="12" t="str">
        <x:v>Awfis - Majestic Signia</x:v>
      </x:c>
      <x:c r="F1661" s="12" t="str">
        <x:v>32 inch LED TV</x:v>
      </x:c>
      <x:c r="G1661" s="20" t="n">
        <x:v>2</x:v>
      </x:c>
      <x:c r="H1661" s="12" t="str">
        <x:v>Inventory-listed building/workspace context; current occupancy and screen access unverified</x:v>
      </x:c>
      <x:c r="I1661" s="12" t="str">
        <x:v>Small-scale prospects</x:v>
      </x:c>
      <x:c r="J1661" s="12" t="str">
        <x:v>Professional services</x:v>
      </x:c>
      <x:c r="K1661" s="2" t="str">
        <x:v>MAIN-367</x:v>
      </x:c>
    </x:row>
    <x:row r="1662" ht="46" customHeight="1">
      <x:c r="A1662" s="2" t="str">
        <x:v>TEN-B19C4E0394F9</x:v>
      </x:c>
      <x:c r="B1662" s="12" t="str">
        <x:v>UXDLAB Software</x:v>
      </x:c>
      <x:c r="C1662" s="12" t="str">
        <x:v>CORP-0363</x:v>
      </x:c>
      <x:c r="D1662" s="12" t="str">
        <x:v>Delhi NCR</x:v>
      </x:c>
      <x:c r="E1662" s="12" t="str">
        <x:v>Awfis - Majestic Signia</x:v>
      </x:c>
      <x:c r="F1662" s="12" t="str">
        <x:v>32 inch LED TV</x:v>
      </x:c>
      <x:c r="G1662" s="20" t="n">
        <x:v>2</x:v>
      </x:c>
      <x:c r="H1662" s="12" t="str">
        <x:v>Inventory-listed building/workspace context; current occupancy and screen access unverified</x:v>
      </x:c>
      <x:c r="I1662" s="12" t="str">
        <x:v>Small-scale prospects</x:v>
      </x:c>
      <x:c r="J1662" s="12" t="str">
        <x:v>IT &amp; digital</x:v>
      </x:c>
      <x:c r="K1662" s="2" t="str">
        <x:v>MAIN-367</x:v>
      </x:c>
    </x:row>
    <x:row r="1663" ht="46" customHeight="1">
      <x:c r="A1663" s="2" t="str">
        <x:v>TEN-BEFD8D06B80C</x:v>
      </x:c>
      <x:c r="B1663" s="12" t="str">
        <x:v>MEESHA INTERNATIONAL</x:v>
      </x:c>
      <x:c r="C1663" s="12" t="str">
        <x:v>CORP-0363</x:v>
      </x:c>
      <x:c r="D1663" s="12" t="str">
        <x:v>Delhi NCR</x:v>
      </x:c>
      <x:c r="E1663" s="12" t="str">
        <x:v>Awfis - Majestic Signia</x:v>
      </x:c>
      <x:c r="F1663" s="12" t="str">
        <x:v>32 inch LED TV</x:v>
      </x:c>
      <x:c r="G1663" s="20" t="n">
        <x:v>2</x:v>
      </x:c>
      <x:c r="H1663" s="12" t="str">
        <x:v>Inventory-listed building/workspace context; current occupancy and screen access unverified</x:v>
      </x:c>
      <x:c r="I1663" s="12" t="str">
        <x:v>Mixed business audience</x:v>
      </x:c>
      <x:c r="J1663" s="12" t="str">
        <x:v>Unresolved</x:v>
      </x:c>
      <x:c r="K1663" s="2" t="str">
        <x:v>MAIN-367</x:v>
      </x:c>
    </x:row>
    <x:row r="1664" ht="46" customHeight="1">
      <x:c r="A1664" s="2" t="str">
        <x:v>TEN-482FDA90611F</x:v>
      </x:c>
      <x:c r="B1664" s="12" t="str">
        <x:v>Atos Global IT Solutions and Services Private Limited</x:v>
      </x:c>
      <x:c r="C1664" s="12" t="str">
        <x:v>CORP-0033</x:v>
      </x:c>
      <x:c r="D1664" s="12" t="str">
        <x:v>Bengaluru</x:v>
      </x:c>
      <x:c r="E1664" s="12" t="str">
        <x:v>Brookfield - Centennial</x:v>
      </x:c>
      <x:c r="F1664" s="12" t="str">
        <x:v>55 inch LED TV</x:v>
      </x:c>
      <x:c r="G1664" s="20" t="n">
        <x:v>2</x:v>
      </x:c>
      <x:c r="H1664" s="12" t="str">
        <x:v>Company-listed building/campus context; workspace membership and screen access unverified</x:v>
      </x:c>
      <x:c r="I1664" s="12" t="str">
        <x:v>Large enterprise</x:v>
      </x:c>
      <x:c r="J1664" s="12" t="str">
        <x:v>IT &amp; digital</x:v>
      </x:c>
      <x:c r="K1664" s="2" t="str">
        <x:v>MAIN-037</x:v>
      </x:c>
    </x:row>
    <x:row r="1665" ht="46" customHeight="1">
      <x:c r="A1665" s="2" t="str">
        <x:v>TEN-A3B1C08CAD5D</x:v>
      </x:c>
      <x:c r="B1665" s="12" t="str">
        <x:v>Syntel Pvt Ltd</x:v>
      </x:c>
      <x:c r="C1665" s="12" t="str">
        <x:v>CORP-0033</x:v>
      </x:c>
      <x:c r="D1665" s="12" t="str">
        <x:v>Bengaluru</x:v>
      </x:c>
      <x:c r="E1665" s="12" t="str">
        <x:v>Brookfield - Centennial</x:v>
      </x:c>
      <x:c r="F1665" s="12" t="str">
        <x:v>55 inch LED TV</x:v>
      </x:c>
      <x:c r="G1665" s="20" t="n">
        <x:v>2</x:v>
      </x:c>
      <x:c r="H1665" s="12" t="str">
        <x:v>Company-listed building/campus context; workspace membership and screen access unverified</x:v>
      </x:c>
      <x:c r="I1665" s="12" t="str">
        <x:v>Large enterprise</x:v>
      </x:c>
      <x:c r="J1665" s="12" t="str">
        <x:v>IT &amp; digital</x:v>
      </x:c>
      <x:c r="K1665" s="2" t="str">
        <x:v>MAIN-037</x:v>
      </x:c>
    </x:row>
    <x:row r="1666" ht="46" customHeight="1">
      <x:c r="A1666" s="2" t="str">
        <x:v>TEN-A59639D4A5A6</x:v>
      </x:c>
      <x:c r="B1666" s="12" t="str">
        <x:v>Paladion Networks Pvt Ltd</x:v>
      </x:c>
      <x:c r="C1666" s="12" t="str">
        <x:v>CORP-0033</x:v>
      </x:c>
      <x:c r="D1666" s="12" t="str">
        <x:v>Bengaluru</x:v>
      </x:c>
      <x:c r="E1666" s="12" t="str">
        <x:v>Brookfield - Centennial</x:v>
      </x:c>
      <x:c r="F1666" s="12" t="str">
        <x:v>55 inch LED TV</x:v>
      </x:c>
      <x:c r="G1666" s="20" t="n">
        <x:v>2</x:v>
      </x:c>
      <x:c r="H1666" s="12" t="str">
        <x:v>Company-listed building/campus context; workspace membership and screen access unverified</x:v>
      </x:c>
      <x:c r="I1666" s="12" t="str">
        <x:v>Large enterprise</x:v>
      </x:c>
      <x:c r="J1666" s="12" t="str">
        <x:v>IT &amp; digital</x:v>
      </x:c>
      <x:c r="K1666" s="2" t="str">
        <x:v>MAIN-037</x:v>
      </x:c>
    </x:row>
    <x:row r="1667" ht="46" customHeight="1">
      <x:c r="A1667" s="2" t="str">
        <x:v>TEN-D18D18F1C7DA</x:v>
      </x:c>
      <x:c r="B1667" s="12" t="str">
        <x:v>Eviden IT Services Private Limited</x:v>
      </x:c>
      <x:c r="C1667" s="12" t="str">
        <x:v>CORP-0033</x:v>
      </x:c>
      <x:c r="D1667" s="12" t="str">
        <x:v>Bengaluru</x:v>
      </x:c>
      <x:c r="E1667" s="12" t="str">
        <x:v>Brookfield - Centennial</x:v>
      </x:c>
      <x:c r="F1667" s="12" t="str">
        <x:v>55 inch LED TV</x:v>
      </x:c>
      <x:c r="G1667" s="20" t="n">
        <x:v>2</x:v>
      </x:c>
      <x:c r="H1667" s="12" t="str">
        <x:v>Company-listed building/campus context; workspace membership and screen access unverified</x:v>
      </x:c>
      <x:c r="I1667" s="12" t="str">
        <x:v>Large enterprise</x:v>
      </x:c>
      <x:c r="J1667" s="12" t="str">
        <x:v>IT &amp; digital</x:v>
      </x:c>
      <x:c r="K1667" s="2" t="str">
        <x:v>MAIN-037</x:v>
      </x:c>
    </x:row>
    <x:row r="1668" ht="46" customHeight="1">
      <x:c r="A1668" s="2" t="str">
        <x:v>TEN-51377B2CA4B8</x:v>
      </x:c>
      <x:c r="B1668" s="12" t="str">
        <x:v>Avanthika InnovationsPVT</x:v>
      </x:c>
      <x:c r="C1668" s="12" t="str">
        <x:v>CORP-0367</x:v>
      </x:c>
      <x:c r="D1668" s="12" t="str">
        <x:v>Delhi NCR</x:v>
      </x:c>
      <x:c r="E1668" s="12" t="str">
        <x:v>Etherea - Coworking Space</x:v>
      </x:c>
      <x:c r="F1668" s="12" t="str">
        <x:v>32 inch LED TV</x:v>
      </x:c>
      <x:c r="G1668" s="20" t="n">
        <x:v>3</x:v>
      </x:c>
      <x:c r="H1668" s="12" t="str">
        <x:v>Inventory-listed building/workspace context; current occupancy and screen access unverified</x:v>
      </x:c>
      <x:c r="I1668" s="12" t="str">
        <x:v>Mixed business audience</x:v>
      </x:c>
      <x:c r="J1668" s="12" t="str">
        <x:v>Unresolved</x:v>
      </x:c>
      <x:c r="K1668" s="2" t="str">
        <x:v>MAIN-371</x:v>
      </x:c>
    </x:row>
    <x:row r="1669" ht="46" customHeight="1">
      <x:c r="A1669" s="2" t="str">
        <x:v>TEN-761A47C104F3</x:v>
      </x:c>
      <x:c r="B1669" s="12" t="str">
        <x:v>Parkmate Hive</x:v>
      </x:c>
      <x:c r="C1669" s="12" t="str">
        <x:v>CORP-0367</x:v>
      </x:c>
      <x:c r="D1669" s="12" t="str">
        <x:v>Delhi NCR</x:v>
      </x:c>
      <x:c r="E1669" s="12" t="str">
        <x:v>Etherea - Coworking Space</x:v>
      </x:c>
      <x:c r="F1669" s="12" t="str">
        <x:v>32 inch LED TV</x:v>
      </x:c>
      <x:c r="G1669" s="20" t="n">
        <x:v>3</x:v>
      </x:c>
      <x:c r="H1669" s="12" t="str">
        <x:v>Inventory-listed building/workspace context; current occupancy and screen access unverified</x:v>
      </x:c>
      <x:c r="I1669" s="12" t="str">
        <x:v>Mixed business audience</x:v>
      </x:c>
      <x:c r="J1669" s="12" t="str">
        <x:v>Unresolved</x:v>
      </x:c>
      <x:c r="K1669" s="2" t="str">
        <x:v>MAIN-371</x:v>
      </x:c>
    </x:row>
    <x:row r="1670" ht="46" customHeight="1">
      <x:c r="A1670" s="2" t="str">
        <x:v>TEN-9E29CC6A4F3E</x:v>
      </x:c>
      <x:c r="B1670" s="12" t="str">
        <x:v>Badaghaar</x:v>
      </x:c>
      <x:c r="C1670" s="12" t="str">
        <x:v>CORP-0367</x:v>
      </x:c>
      <x:c r="D1670" s="12" t="str">
        <x:v>Delhi NCR</x:v>
      </x:c>
      <x:c r="E1670" s="12" t="str">
        <x:v>Etherea - Coworking Space</x:v>
      </x:c>
      <x:c r="F1670" s="12" t="str">
        <x:v>32 inch LED TV</x:v>
      </x:c>
      <x:c r="G1670" s="20" t="n">
        <x:v>3</x:v>
      </x:c>
      <x:c r="H1670" s="12" t="str">
        <x:v>Inventory-listed building/workspace context; current occupancy and screen access unverified</x:v>
      </x:c>
      <x:c r="I1670" s="12" t="str">
        <x:v>Mixed business audience</x:v>
      </x:c>
      <x:c r="J1670" s="12" t="str">
        <x:v>Unresolved</x:v>
      </x:c>
      <x:c r="K1670" s="2" t="str">
        <x:v>MAIN-371</x:v>
      </x:c>
    </x:row>
    <x:row r="1671" ht="46" customHeight="1">
      <x:c r="A1671" s="2" t="str">
        <x:v>TEN-068C60202969</x:v>
      </x:c>
      <x:c r="B1671" s="12" t="str">
        <x:v>ZUBDHA PRIVATE LIMITED</x:v>
      </x:c>
      <x:c r="C1671" s="12" t="str">
        <x:v>CORP-0369</x:v>
      </x:c>
      <x:c r="D1671" s="12" t="str">
        <x:v>Delhi NCR</x:v>
      </x:c>
      <x:c r="E1671" s="12" t="str">
        <x:v>India Accelerator Coworking - The Iconic Corenthum</x:v>
      </x:c>
      <x:c r="F1671" s="12" t="str">
        <x:v>55 inch LED TV</x:v>
      </x:c>
      <x:c r="G1671" s="20" t="n">
        <x:v>6</x:v>
      </x:c>
      <x:c r="H1671" s="12" t="str">
        <x:v>Inventory-listed building/workspace context; current occupancy and screen access unverified</x:v>
      </x:c>
      <x:c r="I1671" s="12" t="str">
        <x:v>Mixed business audience</x:v>
      </x:c>
      <x:c r="J1671" s="12" t="str">
        <x:v>Unresolved</x:v>
      </x:c>
      <x:c r="K1671" s="2" t="str">
        <x:v>MAIN-373</x:v>
      </x:c>
    </x:row>
    <x:row r="1672" ht="46" customHeight="1">
      <x:c r="A1672" s="2" t="str">
        <x:v>TEN-1CFBC06C3B3F</x:v>
      </x:c>
      <x:c r="B1672" s="12" t="str">
        <x:v>Upflex anarock india pvt ltd</x:v>
      </x:c>
      <x:c r="C1672" s="12" t="str">
        <x:v>CORP-0369</x:v>
      </x:c>
      <x:c r="D1672" s="12" t="str">
        <x:v>Delhi NCR</x:v>
      </x:c>
      <x:c r="E1672" s="12" t="str">
        <x:v>India Accelerator Coworking - The Iconic Corenthum</x:v>
      </x:c>
      <x:c r="F1672" s="12" t="str">
        <x:v>55 inch LED TV</x:v>
      </x:c>
      <x:c r="G1672" s="20" t="n">
        <x:v>6</x:v>
      </x:c>
      <x:c r="H1672" s="12" t="str">
        <x:v>Inventory-listed building/workspace context; current occupancy and screen access unverified</x:v>
      </x:c>
      <x:c r="I1672" s="12" t="str">
        <x:v>Mixed business audience</x:v>
      </x:c>
      <x:c r="J1672" s="12" t="str">
        <x:v>Trade, consumer &amp; logistics</x:v>
      </x:c>
      <x:c r="K1672" s="2" t="str">
        <x:v>MAIN-373</x:v>
      </x:c>
    </x:row>
    <x:row r="1673" ht="46" customHeight="1">
      <x:c r="A1673" s="2" t="str">
        <x:v>TEN-4AEC6EEBDC4E</x:v>
      </x:c>
      <x:c r="B1673" s="12" t="str">
        <x:v>Brandzindia Services Private Limited</x:v>
      </x:c>
      <x:c r="C1673" s="12" t="str">
        <x:v>CORP-0369</x:v>
      </x:c>
      <x:c r="D1673" s="12" t="str">
        <x:v>Delhi NCR</x:v>
      </x:c>
      <x:c r="E1673" s="12" t="str">
        <x:v>India Accelerator Coworking - The Iconic Corenthum</x:v>
      </x:c>
      <x:c r="F1673" s="12" t="str">
        <x:v>55 inch LED TV</x:v>
      </x:c>
      <x:c r="G1673" s="20" t="n">
        <x:v>6</x:v>
      </x:c>
      <x:c r="H1673" s="12" t="str">
        <x:v>Inventory-listed building/workspace context; current occupancy and screen access unverified</x:v>
      </x:c>
      <x:c r="I1673" s="12" t="str">
        <x:v>Small-scale prospects</x:v>
      </x:c>
      <x:c r="J1673" s="12" t="str">
        <x:v>Professional services</x:v>
      </x:c>
      <x:c r="K1673" s="2" t="str">
        <x:v>MAIN-373</x:v>
      </x:c>
    </x:row>
    <x:row r="1674" ht="46" customHeight="1">
      <x:c r="A1674" s="2" t="str">
        <x:v>TEN-4EE91ACB050F</x:v>
      </x:c>
      <x:c r="B1674" s="12" t="str">
        <x:v>KRH MANUFACTURING AND MANAGEMENT PRIVATE LIMITED</x:v>
      </x:c>
      <x:c r="C1674" s="12" t="str">
        <x:v>CORP-0369</x:v>
      </x:c>
      <x:c r="D1674" s="12" t="str">
        <x:v>Delhi NCR</x:v>
      </x:c>
      <x:c r="E1674" s="12" t="str">
        <x:v>India Accelerator Coworking - The Iconic Corenthum</x:v>
      </x:c>
      <x:c r="F1674" s="12" t="str">
        <x:v>55 inch LED TV</x:v>
      </x:c>
      <x:c r="G1674" s="20" t="n">
        <x:v>6</x:v>
      </x:c>
      <x:c r="H1674" s="12" t="str">
        <x:v>Inventory-listed building/workspace context; current occupancy and screen access unverified</x:v>
      </x:c>
      <x:c r="I1674" s="12" t="str">
        <x:v>Medium-scale prospects</x:v>
      </x:c>
      <x:c r="J1674" s="12" t="str">
        <x:v>Engineering &amp; manufacturing</x:v>
      </x:c>
      <x:c r="K1674" s="2" t="str">
        <x:v>MAIN-373</x:v>
      </x:c>
    </x:row>
    <x:row r="1675" ht="46" customHeight="1">
      <x:c r="A1675" s="2" t="str">
        <x:v>TEN-587750C75D36</x:v>
      </x:c>
      <x:c r="B1675" s="12" t="str">
        <x:v>Qdesq Realtech Private Limited</x:v>
      </x:c>
      <x:c r="C1675" s="12" t="str">
        <x:v>CORP-0369</x:v>
      </x:c>
      <x:c r="D1675" s="12" t="str">
        <x:v>Delhi NCR</x:v>
      </x:c>
      <x:c r="E1675" s="12" t="str">
        <x:v>India Accelerator Coworking - The Iconic Corenthum</x:v>
      </x:c>
      <x:c r="F1675" s="12" t="str">
        <x:v>55 inch LED TV</x:v>
      </x:c>
      <x:c r="G1675" s="20" t="n">
        <x:v>6</x:v>
      </x:c>
      <x:c r="H1675" s="12" t="str">
        <x:v>Inventory-listed building/workspace context; current occupancy and screen access unverified</x:v>
      </x:c>
      <x:c r="I1675" s="12" t="str">
        <x:v>Small-scale prospects</x:v>
      </x:c>
      <x:c r="J1675" s="12" t="str">
        <x:v>Trade, consumer &amp; logistics</x:v>
      </x:c>
      <x:c r="K1675" s="2" t="str">
        <x:v>MAIN-373</x:v>
      </x:c>
    </x:row>
    <x:row r="1676" ht="46" customHeight="1">
      <x:c r="A1676" s="2" t="str">
        <x:v>TEN-A67355571C1D</x:v>
      </x:c>
      <x:c r="B1676" s="12" t="str">
        <x:v>Legal Angle</x:v>
      </x:c>
      <x:c r="C1676" s="12" t="str">
        <x:v>CORP-0369</x:v>
      </x:c>
      <x:c r="D1676" s="12" t="str">
        <x:v>Delhi NCR</x:v>
      </x:c>
      <x:c r="E1676" s="12" t="str">
        <x:v>India Accelerator Coworking - The Iconic Corenthum</x:v>
      </x:c>
      <x:c r="F1676" s="12" t="str">
        <x:v>55 inch LED TV</x:v>
      </x:c>
      <x:c r="G1676" s="20" t="n">
        <x:v>6</x:v>
      </x:c>
      <x:c r="H1676" s="12" t="str">
        <x:v>Inventory-listed building/workspace context; current occupancy and screen access unverified</x:v>
      </x:c>
      <x:c r="I1676" s="12" t="str">
        <x:v>Small-scale prospects</x:v>
      </x:c>
      <x:c r="J1676" s="12" t="str">
        <x:v>Professional services</x:v>
      </x:c>
      <x:c r="K1676" s="2" t="str">
        <x:v>MAIN-373</x:v>
      </x:c>
    </x:row>
    <x:row r="1677" ht="46" customHeight="1">
      <x:c r="A1677" s="2" t="str">
        <x:v>TEN-C07185675D77</x:v>
      </x:c>
      <x:c r="B1677" s="12" t="str">
        <x:v>Oye Turtle LLP ( Earlier it was Spotlight)</x:v>
      </x:c>
      <x:c r="C1677" s="12" t="str">
        <x:v>CORP-0369</x:v>
      </x:c>
      <x:c r="D1677" s="12" t="str">
        <x:v>Delhi NCR</x:v>
      </x:c>
      <x:c r="E1677" s="12" t="str">
        <x:v>India Accelerator Coworking - The Iconic Corenthum</x:v>
      </x:c>
      <x:c r="F1677" s="12" t="str">
        <x:v>55 inch LED TV</x:v>
      </x:c>
      <x:c r="G1677" s="20" t="n">
        <x:v>6</x:v>
      </x:c>
      <x:c r="H1677" s="12" t="str">
        <x:v>Inventory-listed building/workspace context; current occupancy and screen access unverified</x:v>
      </x:c>
      <x:c r="I1677" s="12" t="str">
        <x:v>Mixed business audience</x:v>
      </x:c>
      <x:c r="J1677" s="12" t="str">
        <x:v>Unresolved</x:v>
      </x:c>
      <x:c r="K1677" s="2" t="str">
        <x:v>MAIN-373</x:v>
      </x:c>
    </x:row>
    <x:row r="1678" ht="46" customHeight="1">
      <x:c r="A1678" s="2" t="str">
        <x:v>TEN-E5ACEA4453C8</x:v>
      </x:c>
      <x:c r="B1678" s="12" t="str">
        <x:v>The BIZ LADY</x:v>
      </x:c>
      <x:c r="C1678" s="12" t="str">
        <x:v>CORP-0369</x:v>
      </x:c>
      <x:c r="D1678" s="12" t="str">
        <x:v>Delhi NCR</x:v>
      </x:c>
      <x:c r="E1678" s="12" t="str">
        <x:v>India Accelerator Coworking - The Iconic Corenthum</x:v>
      </x:c>
      <x:c r="F1678" s="12" t="str">
        <x:v>55 inch LED TV</x:v>
      </x:c>
      <x:c r="G1678" s="20" t="n">
        <x:v>6</x:v>
      </x:c>
      <x:c r="H1678" s="12" t="str">
        <x:v>Inventory-listed building/workspace context; current occupancy and screen access unverified</x:v>
      </x:c>
      <x:c r="I1678" s="12" t="str">
        <x:v>Mixed business audience</x:v>
      </x:c>
      <x:c r="J1678" s="12" t="str">
        <x:v>Unresolved</x:v>
      </x:c>
      <x:c r="K1678" s="2" t="str">
        <x:v>MAIN-373</x:v>
      </x:c>
    </x:row>
    <x:row r="1679" ht="46" customHeight="1">
      <x:c r="A1679" s="2" t="str">
        <x:v>TEN-E916968E4822</x:v>
      </x:c>
      <x:c r="B1679" s="12" t="str">
        <x:v>EURONICS INDUSTRIES PRIVATE LIMITED</x:v>
      </x:c>
      <x:c r="C1679" s="12" t="str">
        <x:v>CORP-0369</x:v>
      </x:c>
      <x:c r="D1679" s="12" t="str">
        <x:v>Delhi NCR</x:v>
      </x:c>
      <x:c r="E1679" s="12" t="str">
        <x:v>India Accelerator Coworking - The Iconic Corenthum</x:v>
      </x:c>
      <x:c r="F1679" s="12" t="str">
        <x:v>55 inch LED TV</x:v>
      </x:c>
      <x:c r="G1679" s="20" t="n">
        <x:v>6</x:v>
      </x:c>
      <x:c r="H1679" s="12" t="str">
        <x:v>Inventory-listed building/workspace context; current occupancy and screen access unverified</x:v>
      </x:c>
      <x:c r="I1679" s="12" t="str">
        <x:v>Medium-scale prospects</x:v>
      </x:c>
      <x:c r="J1679" s="12" t="str">
        <x:v>Engineering &amp; manufacturing</x:v>
      </x:c>
      <x:c r="K1679" s="2" t="str">
        <x:v>MAIN-373</x:v>
      </x:c>
    </x:row>
    <x:row r="1680" ht="46" customHeight="1">
      <x:c r="A1680" s="2" t="str">
        <x:v>TEN-F640633E9C84</x:v>
      </x:c>
      <x:c r="B1680" s="12" t="str">
        <x:v>SANEG ENGINEERING PRIVATE LIMITED</x:v>
      </x:c>
      <x:c r="C1680" s="12" t="str">
        <x:v>CORP-0369</x:v>
      </x:c>
      <x:c r="D1680" s="12" t="str">
        <x:v>Delhi NCR</x:v>
      </x:c>
      <x:c r="E1680" s="12" t="str">
        <x:v>India Accelerator Coworking - The Iconic Corenthum</x:v>
      </x:c>
      <x:c r="F1680" s="12" t="str">
        <x:v>55 inch LED TV</x:v>
      </x:c>
      <x:c r="G1680" s="20" t="n">
        <x:v>6</x:v>
      </x:c>
      <x:c r="H1680" s="12" t="str">
        <x:v>Inventory-listed building/workspace context; current occupancy and screen access unverified</x:v>
      </x:c>
      <x:c r="I1680" s="12" t="str">
        <x:v>Medium-scale prospects</x:v>
      </x:c>
      <x:c r="J1680" s="12" t="str">
        <x:v>Engineering &amp; manufacturing</x:v>
      </x:c>
      <x:c r="K1680" s="2" t="str">
        <x:v>MAIN-373</x:v>
      </x:c>
    </x:row>
    <x:row r="1681" ht="46" customHeight="1">
      <x:c r="A1681" s="2" t="str">
        <x:v>TEN-09D0F443DA94</x:v>
      </x:c>
      <x:c r="B1681" s="12" t="str">
        <x:v>Hire Indians Infotech Pvt Ltd</x:v>
      </x:c>
      <x:c r="C1681" s="12" t="str">
        <x:v>CORP-0370</x:v>
      </x:c>
      <x:c r="D1681" s="12" t="str">
        <x:v>Delhi NCR</x:v>
      </x:c>
      <x:c r="E1681" s="12" t="str">
        <x:v>Logix Infotech Park</x:v>
      </x:c>
      <x:c r="F1681" s="12" t="str">
        <x:v>55 inch LED TV</x:v>
      </x:c>
      <x:c r="G1681" s="20" t="n">
        <x:v>2</x:v>
      </x:c>
      <x:c r="H1681" s="12" t="str">
        <x:v>Inventory-listed building/workspace context; current occupancy and screen access unverified</x:v>
      </x:c>
      <x:c r="I1681" s="12" t="str">
        <x:v>Small-scale prospects</x:v>
      </x:c>
      <x:c r="J1681" s="12" t="str">
        <x:v>IT &amp; digital</x:v>
      </x:c>
      <x:c r="K1681" s="2" t="str">
        <x:v>MAIN-374</x:v>
      </x:c>
    </x:row>
    <x:row r="1682" ht="46" customHeight="1">
      <x:c r="A1682" s="2" t="str">
        <x:v>TEN-2D6265593158</x:v>
      </x:c>
      <x:c r="B1682" s="12" t="str">
        <x:v>Niva Bupa Health Insurance Company Limited</x:v>
      </x:c>
      <x:c r="C1682" s="12" t="str">
        <x:v>CORP-0370</x:v>
      </x:c>
      <x:c r="D1682" s="12" t="str">
        <x:v>Delhi NCR</x:v>
      </x:c>
      <x:c r="E1682" s="12" t="str">
        <x:v>Logix Infotech Park</x:v>
      </x:c>
      <x:c r="F1682" s="12" t="str">
        <x:v>55 inch LED TV</x:v>
      </x:c>
      <x:c r="G1682" s="20" t="n">
        <x:v>2</x:v>
      </x:c>
      <x:c r="H1682" s="12" t="str">
        <x:v>Inventory-listed building/workspace context; current occupancy and screen access unverified</x:v>
      </x:c>
      <x:c r="I1682" s="12" t="str">
        <x:v>Mixed business audience</x:v>
      </x:c>
      <x:c r="J1682" s="12" t="str">
        <x:v>Finance &amp; insurance</x:v>
      </x:c>
      <x:c r="K1682" s="2" t="str">
        <x:v>MAIN-374</x:v>
      </x:c>
    </x:row>
    <x:row r="1683" ht="46" customHeight="1">
      <x:c r="A1683" s="2" t="str">
        <x:v>TEN-321230932C5B</x:v>
      </x:c>
      <x:c r="B1683" s="12" t="str">
        <x:v>HashStudioz Technologies PVT. LTD</x:v>
      </x:c>
      <x:c r="C1683" s="12" t="str">
        <x:v>CORP-0370</x:v>
      </x:c>
      <x:c r="D1683" s="12" t="str">
        <x:v>Delhi NCR</x:v>
      </x:c>
      <x:c r="E1683" s="12" t="str">
        <x:v>Logix Infotech Park</x:v>
      </x:c>
      <x:c r="F1683" s="12" t="str">
        <x:v>55 inch LED TV</x:v>
      </x:c>
      <x:c r="G1683" s="20" t="n">
        <x:v>2</x:v>
      </x:c>
      <x:c r="H1683" s="12" t="str">
        <x:v>Inventory-listed building/workspace context; current occupancy and screen access unverified</x:v>
      </x:c>
      <x:c r="I1683" s="12" t="str">
        <x:v>Small-scale prospects</x:v>
      </x:c>
      <x:c r="J1683" s="12" t="str">
        <x:v>IT &amp; digital</x:v>
      </x:c>
      <x:c r="K1683" s="2" t="str">
        <x:v>MAIN-374</x:v>
      </x:c>
    </x:row>
    <x:row r="1684" ht="46" customHeight="1">
      <x:c r="A1684" s="2" t="str">
        <x:v>TEN-6400FD4DD74A</x:v>
      </x:c>
      <x:c r="B1684" s="12" t="str">
        <x:v>TrackOlap</x:v>
      </x:c>
      <x:c r="C1684" s="12" t="str">
        <x:v>CORP-0370</x:v>
      </x:c>
      <x:c r="D1684" s="12" t="str">
        <x:v>Delhi NCR</x:v>
      </x:c>
      <x:c r="E1684" s="12" t="str">
        <x:v>Logix Infotech Park</x:v>
      </x:c>
      <x:c r="F1684" s="12" t="str">
        <x:v>55 inch LED TV</x:v>
      </x:c>
      <x:c r="G1684" s="20" t="n">
        <x:v>2</x:v>
      </x:c>
      <x:c r="H1684" s="12" t="str">
        <x:v>Inventory-listed building/workspace context; current occupancy and screen access unverified</x:v>
      </x:c>
      <x:c r="I1684" s="12" t="str">
        <x:v>Small-scale prospects</x:v>
      </x:c>
      <x:c r="J1684" s="12" t="str">
        <x:v>IT &amp; digital</x:v>
      </x:c>
      <x:c r="K1684" s="2" t="str">
        <x:v>MAIN-374</x:v>
      </x:c>
    </x:row>
    <x:row r="1685" ht="46" customHeight="1">
      <x:c r="A1685" s="2" t="str">
        <x:v>TEN-B116E9D247D3</x:v>
      </x:c>
      <x:c r="B1685" s="12" t="str">
        <x:v>Technopolis Global Pvt. ltd</x:v>
      </x:c>
      <x:c r="C1685" s="12" t="str">
        <x:v>CORP-0370</x:v>
      </x:c>
      <x:c r="D1685" s="12" t="str">
        <x:v>Delhi NCR</x:v>
      </x:c>
      <x:c r="E1685" s="12" t="str">
        <x:v>Logix Infotech Park</x:v>
      </x:c>
      <x:c r="F1685" s="12" t="str">
        <x:v>55 inch LED TV</x:v>
      </x:c>
      <x:c r="G1685" s="20" t="n">
        <x:v>2</x:v>
      </x:c>
      <x:c r="H1685" s="12" t="str">
        <x:v>Inventory-listed building/workspace context; current occupancy and screen access unverified</x:v>
      </x:c>
      <x:c r="I1685" s="12" t="str">
        <x:v>Mixed business audience</x:v>
      </x:c>
      <x:c r="J1685" s="12" t="str">
        <x:v>Unresolved</x:v>
      </x:c>
      <x:c r="K1685" s="2" t="str">
        <x:v>MAIN-374</x:v>
      </x:c>
    </x:row>
    <x:row r="1686" ht="46" customHeight="1">
      <x:c r="A1686" s="2" t="str">
        <x:v>TEN-D4B4760000F5</x:v>
      </x:c>
      <x:c r="B1686" s="12" t="str">
        <x:v>Anritsu India Pvt. Ltd</x:v>
      </x:c>
      <x:c r="C1686" s="12" t="str">
        <x:v>CORP-0370</x:v>
      </x:c>
      <x:c r="D1686" s="12" t="str">
        <x:v>Delhi NCR</x:v>
      </x:c>
      <x:c r="E1686" s="12" t="str">
        <x:v>Logix Infotech Park</x:v>
      </x:c>
      <x:c r="F1686" s="12" t="str">
        <x:v>55 inch LED TV</x:v>
      </x:c>
      <x:c r="G1686" s="20" t="n">
        <x:v>2</x:v>
      </x:c>
      <x:c r="H1686" s="12" t="str">
        <x:v>Inventory-listed building/workspace context; current occupancy and screen access unverified</x:v>
      </x:c>
      <x:c r="I1686" s="12" t="str">
        <x:v>Mixed business audience</x:v>
      </x:c>
      <x:c r="J1686" s="12" t="str">
        <x:v>IT &amp; digital</x:v>
      </x:c>
      <x:c r="K1686" s="2" t="str">
        <x:v>MAIN-374</x:v>
      </x:c>
    </x:row>
    <x:row r="1687" ht="46" customHeight="1">
      <x:c r="A1687" s="2" t="str">
        <x:v>TEN-09D0F443DA94</x:v>
      </x:c>
      <x:c r="B1687" s="12" t="str">
        <x:v>Hire Indians Infotech Pvt Ltd</x:v>
      </x:c>
      <x:c r="C1687" s="12" t="str">
        <x:v>CORP-0371</x:v>
      </x:c>
      <x:c r="D1687" s="12" t="str">
        <x:v>Delhi NCR</x:v>
      </x:c>
      <x:c r="E1687" s="12" t="str">
        <x:v>Logix Infotech Park</x:v>
      </x:c>
      <x:c r="F1687" s="12" t="str">
        <x:v>32 inch LED TV</x:v>
      </x:c>
      <x:c r="G1687" s="20" t="n">
        <x:v>4</x:v>
      </x:c>
      <x:c r="H1687" s="12" t="str">
        <x:v>Inventory-listed building/workspace context; current occupancy and screen access unverified</x:v>
      </x:c>
      <x:c r="I1687" s="12" t="str">
        <x:v>Small-scale prospects</x:v>
      </x:c>
      <x:c r="J1687" s="12" t="str">
        <x:v>IT &amp; digital</x:v>
      </x:c>
      <x:c r="K1687" s="2" t="str">
        <x:v>MAIN-375</x:v>
      </x:c>
    </x:row>
    <x:row r="1688" ht="46" customHeight="1">
      <x:c r="A1688" s="2" t="str">
        <x:v>TEN-2D6265593158</x:v>
      </x:c>
      <x:c r="B1688" s="12" t="str">
        <x:v>Niva Bupa Health Insurance Company Limited</x:v>
      </x:c>
      <x:c r="C1688" s="12" t="str">
        <x:v>CORP-0371</x:v>
      </x:c>
      <x:c r="D1688" s="12" t="str">
        <x:v>Delhi NCR</x:v>
      </x:c>
      <x:c r="E1688" s="12" t="str">
        <x:v>Logix Infotech Park</x:v>
      </x:c>
      <x:c r="F1688" s="12" t="str">
        <x:v>32 inch LED TV</x:v>
      </x:c>
      <x:c r="G1688" s="20" t="n">
        <x:v>4</x:v>
      </x:c>
      <x:c r="H1688" s="12" t="str">
        <x:v>Inventory-listed building/workspace context; current occupancy and screen access unverified</x:v>
      </x:c>
      <x:c r="I1688" s="12" t="str">
        <x:v>Mixed business audience</x:v>
      </x:c>
      <x:c r="J1688" s="12" t="str">
        <x:v>Finance &amp; insurance</x:v>
      </x:c>
      <x:c r="K1688" s="2" t="str">
        <x:v>MAIN-375</x:v>
      </x:c>
    </x:row>
    <x:row r="1689" ht="46" customHeight="1">
      <x:c r="A1689" s="2" t="str">
        <x:v>TEN-321230932C5B</x:v>
      </x:c>
      <x:c r="B1689" s="12" t="str">
        <x:v>HashStudioz Technologies PVT. LTD</x:v>
      </x:c>
      <x:c r="C1689" s="12" t="str">
        <x:v>CORP-0371</x:v>
      </x:c>
      <x:c r="D1689" s="12" t="str">
        <x:v>Delhi NCR</x:v>
      </x:c>
      <x:c r="E1689" s="12" t="str">
        <x:v>Logix Infotech Park</x:v>
      </x:c>
      <x:c r="F1689" s="12" t="str">
        <x:v>32 inch LED TV</x:v>
      </x:c>
      <x:c r="G1689" s="20" t="n">
        <x:v>4</x:v>
      </x:c>
      <x:c r="H1689" s="12" t="str">
        <x:v>Inventory-listed building/workspace context; current occupancy and screen access unverified</x:v>
      </x:c>
      <x:c r="I1689" s="12" t="str">
        <x:v>Small-scale prospects</x:v>
      </x:c>
      <x:c r="J1689" s="12" t="str">
        <x:v>IT &amp; digital</x:v>
      </x:c>
      <x:c r="K1689" s="2" t="str">
        <x:v>MAIN-375</x:v>
      </x:c>
    </x:row>
    <x:row r="1690" ht="46" customHeight="1">
      <x:c r="A1690" s="2" t="str">
        <x:v>TEN-6400FD4DD74A</x:v>
      </x:c>
      <x:c r="B1690" s="12" t="str">
        <x:v>TrackOlap</x:v>
      </x:c>
      <x:c r="C1690" s="12" t="str">
        <x:v>CORP-0371</x:v>
      </x:c>
      <x:c r="D1690" s="12" t="str">
        <x:v>Delhi NCR</x:v>
      </x:c>
      <x:c r="E1690" s="12" t="str">
        <x:v>Logix Infotech Park</x:v>
      </x:c>
      <x:c r="F1690" s="12" t="str">
        <x:v>32 inch LED TV</x:v>
      </x:c>
      <x:c r="G1690" s="20" t="n">
        <x:v>4</x:v>
      </x:c>
      <x:c r="H1690" s="12" t="str">
        <x:v>Inventory-listed building/workspace context; current occupancy and screen access unverified</x:v>
      </x:c>
      <x:c r="I1690" s="12" t="str">
        <x:v>Small-scale prospects</x:v>
      </x:c>
      <x:c r="J1690" s="12" t="str">
        <x:v>IT &amp; digital</x:v>
      </x:c>
      <x:c r="K1690" s="2" t="str">
        <x:v>MAIN-375</x:v>
      </x:c>
    </x:row>
    <x:row r="1691" ht="46" customHeight="1">
      <x:c r="A1691" s="2" t="str">
        <x:v>TEN-B116E9D247D3</x:v>
      </x:c>
      <x:c r="B1691" s="12" t="str">
        <x:v>Technopolis Global Pvt. ltd</x:v>
      </x:c>
      <x:c r="C1691" s="12" t="str">
        <x:v>CORP-0371</x:v>
      </x:c>
      <x:c r="D1691" s="12" t="str">
        <x:v>Delhi NCR</x:v>
      </x:c>
      <x:c r="E1691" s="12" t="str">
        <x:v>Logix Infotech Park</x:v>
      </x:c>
      <x:c r="F1691" s="12" t="str">
        <x:v>32 inch LED TV</x:v>
      </x:c>
      <x:c r="G1691" s="20" t="n">
        <x:v>4</x:v>
      </x:c>
      <x:c r="H1691" s="12" t="str">
        <x:v>Inventory-listed building/workspace context; current occupancy and screen access unverified</x:v>
      </x:c>
      <x:c r="I1691" s="12" t="str">
        <x:v>Mixed business audience</x:v>
      </x:c>
      <x:c r="J1691" s="12" t="str">
        <x:v>Unresolved</x:v>
      </x:c>
      <x:c r="K1691" s="2" t="str">
        <x:v>MAIN-375</x:v>
      </x:c>
    </x:row>
    <x:row r="1692" ht="46" customHeight="1">
      <x:c r="A1692" s="2" t="str">
        <x:v>TEN-D4B4760000F5</x:v>
      </x:c>
      <x:c r="B1692" s="12" t="str">
        <x:v>Anritsu India Pvt. Ltd</x:v>
      </x:c>
      <x:c r="C1692" s="12" t="str">
        <x:v>CORP-0371</x:v>
      </x:c>
      <x:c r="D1692" s="12" t="str">
        <x:v>Delhi NCR</x:v>
      </x:c>
      <x:c r="E1692" s="12" t="str">
        <x:v>Logix Infotech Park</x:v>
      </x:c>
      <x:c r="F1692" s="12" t="str">
        <x:v>32 inch LED TV</x:v>
      </x:c>
      <x:c r="G1692" s="20" t="n">
        <x:v>4</x:v>
      </x:c>
      <x:c r="H1692" s="12" t="str">
        <x:v>Inventory-listed building/workspace context; current occupancy and screen access unverified</x:v>
      </x:c>
      <x:c r="I1692" s="12" t="str">
        <x:v>Mixed business audience</x:v>
      </x:c>
      <x:c r="J1692" s="12" t="str">
        <x:v>IT &amp; digital</x:v>
      </x:c>
      <x:c r="K1692" s="2" t="str">
        <x:v>MAIN-375</x:v>
      </x:c>
    </x:row>
    <x:row r="1693" ht="46" customHeight="1">
      <x:c r="A1693" s="2" t="str">
        <x:v>TEN-845294EF5247</x:v>
      </x:c>
      <x:c r="B1693" s="12" t="str">
        <x:v>Info Edge (India) Ltd. — Jeevansathi</x:v>
      </x:c>
      <x:c r="C1693" s="12" t="str">
        <x:v>CORP-0372</x:v>
      </x:c>
      <x:c r="D1693" s="12" t="str">
        <x:v>Delhi NCR</x:v>
      </x:c>
      <x:c r="E1693" s="12" t="str">
        <x:v>Qbicals Coworking - Sector 63</x:v>
      </x:c>
      <x:c r="F1693" s="12" t="str">
        <x:v>32 inch LED TV</x:v>
      </x:c>
      <x:c r="G1693" s="20" t="n">
        <x:v>2</x:v>
      </x:c>
      <x:c r="H1693" s="12" t="str">
        <x:v>Company-listed building/campus context; workspace membership and screen access unverified</x:v>
      </x:c>
      <x:c r="I1693" s="12" t="str">
        <x:v>Mixed business audience</x:v>
      </x:c>
      <x:c r="J1693" s="12" t="str">
        <x:v>Trade, consumer &amp; logistics</x:v>
      </x:c>
      <x:c r="K1693" s="2" t="str">
        <x:v>MAIN-376</x:v>
      </x:c>
    </x:row>
    <x:row r="1694" ht="46" customHeight="1">
      <x:c r="A1694" s="2" t="str">
        <x:v>TEN-5B81D52D4310</x:v>
      </x:c>
      <x:c r="B1694" s="12" t="str">
        <x:v>WeWork</x:v>
      </x:c>
      <x:c r="C1694" s="12" t="str">
        <x:v>CORP-0373</x:v>
      </x:c>
      <x:c r="D1694" s="12" t="str">
        <x:v>Delhi NCR</x:v>
      </x:c>
      <x:c r="E1694" s="12" t="str">
        <x:v>WeWork - Berger One</x:v>
      </x:c>
      <x:c r="F1694" s="12" t="str">
        <x:v>43 inch LED TV</x:v>
      </x:c>
      <x:c r="G1694" s="20" t="n">
        <x:v>6</x:v>
      </x:c>
      <x:c r="H1694" s="12" t="str">
        <x:v>Workspace operator inferred from explicit property name; tenant occupants unconfirmed</x:v>
      </x:c>
      <x:c r="I1694" s="12" t="str">
        <x:v>Mixed business audience</x:v>
      </x:c>
      <x:c r="J1694" s="12" t="str">
        <x:v>Workspace &amp; property operations</x:v>
      </x:c>
      <x:c r="K1694" s="2" t="str">
        <x:v>MAIN-377</x:v>
      </x:c>
    </x:row>
    <x:row r="1695" ht="46" customHeight="1">
      <x:c r="A1695" s="2" t="str">
        <x:v>TEN-02E5BF6EE24C</x:v>
      </x:c>
      <x:c r="B1695" s="12" t="str">
        <x:v>Instadeal</x:v>
      </x:c>
      <x:c r="C1695" s="12" t="str">
        <x:v>CORP-0374</x:v>
      </x:c>
      <x:c r="D1695" s="12" t="str">
        <x:v>Delhi NCR</x:v>
      </x:c>
      <x:c r="E1695" s="12" t="str">
        <x:v>World Trade Tower</x:v>
      </x:c>
      <x:c r="F1695" s="12" t="str">
        <x:v>43 inch LED TV</x:v>
      </x:c>
      <x:c r="G1695" s="20" t="n">
        <x:v>13</x:v>
      </x:c>
      <x:c r="H1695" s="12" t="str">
        <x:v>Inventory-listed building/workspace context; current occupancy and screen access unverified</x:v>
      </x:c>
      <x:c r="I1695" s="12" t="str">
        <x:v>Small-scale prospects</x:v>
      </x:c>
      <x:c r="J1695" s="12" t="str">
        <x:v>Trade, consumer &amp; logistics</x:v>
      </x:c>
      <x:c r="K1695" s="2" t="str">
        <x:v>MAIN-378</x:v>
      </x:c>
    </x:row>
    <x:row r="1696" ht="46" customHeight="1">
      <x:c r="A1696" s="2" t="str">
        <x:v>TEN-0574A9A166FD</x:v>
      </x:c>
      <x:c r="B1696" s="12" t="str">
        <x:v>Elconconnectors Cables Pvt Ltd</x:v>
      </x:c>
      <x:c r="C1696" s="12" t="str">
        <x:v>CORP-0374</x:v>
      </x:c>
      <x:c r="D1696" s="12" t="str">
        <x:v>Delhi NCR</x:v>
      </x:c>
      <x:c r="E1696" s="12" t="str">
        <x:v>World Trade Tower</x:v>
      </x:c>
      <x:c r="F1696" s="12" t="str">
        <x:v>43 inch LED TV</x:v>
      </x:c>
      <x:c r="G1696" s="20" t="n">
        <x:v>13</x:v>
      </x:c>
      <x:c r="H1696" s="12" t="str">
        <x:v>Inventory-listed building/workspace context; current occupancy and screen access unverified</x:v>
      </x:c>
      <x:c r="I1696" s="12" t="str">
        <x:v>Medium-scale prospects</x:v>
      </x:c>
      <x:c r="J1696" s="12" t="str">
        <x:v>Engineering &amp; manufacturing</x:v>
      </x:c>
      <x:c r="K1696" s="2" t="str">
        <x:v>MAIN-378</x:v>
      </x:c>
    </x:row>
    <x:row r="1697" ht="46" customHeight="1">
      <x:c r="A1697" s="2" t="str">
        <x:v>TEN-64872098ACA9</x:v>
      </x:c>
      <x:c r="B1697" s="12" t="str">
        <x:v>Ultratech Cement Limited</x:v>
      </x:c>
      <x:c r="C1697" s="12" t="str">
        <x:v>CORP-0374</x:v>
      </x:c>
      <x:c r="D1697" s="12" t="str">
        <x:v>Delhi NCR</x:v>
      </x:c>
      <x:c r="E1697" s="12" t="str">
        <x:v>World Trade Tower</x:v>
      </x:c>
      <x:c r="F1697" s="12" t="str">
        <x:v>43 inch LED TV</x:v>
      </x:c>
      <x:c r="G1697" s="20" t="n">
        <x:v>13</x:v>
      </x:c>
      <x:c r="H1697" s="12" t="str">
        <x:v>Inventory-listed building/workspace context; current occupancy and screen access unverified</x:v>
      </x:c>
      <x:c r="I1697" s="12" t="str">
        <x:v>Large enterprise</x:v>
      </x:c>
      <x:c r="J1697" s="12" t="str">
        <x:v>Engineering &amp; manufacturing</x:v>
      </x:c>
      <x:c r="K1697" s="2" t="str">
        <x:v>MAIN-378</x:v>
      </x:c>
    </x:row>
    <x:row r="1698" ht="46" customHeight="1">
      <x:c r="A1698" s="2" t="str">
        <x:v>TEN-66CADC6FE62F</x:v>
      </x:c>
      <x:c r="B1698" s="12" t="str">
        <x:v>Cube Highways and Transport Assets Advisors Private Limited</x:v>
      </x:c>
      <x:c r="C1698" s="12" t="str">
        <x:v>CORP-0374</x:v>
      </x:c>
      <x:c r="D1698" s="12" t="str">
        <x:v>Delhi NCR</x:v>
      </x:c>
      <x:c r="E1698" s="12" t="str">
        <x:v>World Trade Tower</x:v>
      </x:c>
      <x:c r="F1698" s="12" t="str">
        <x:v>43 inch LED TV</x:v>
      </x:c>
      <x:c r="G1698" s="20" t="n">
        <x:v>13</x:v>
      </x:c>
      <x:c r="H1698" s="12" t="str">
        <x:v>Inventory-listed building/workspace context; current occupancy and screen access unverified</x:v>
      </x:c>
      <x:c r="I1698" s="12" t="str">
        <x:v>Mixed business audience</x:v>
      </x:c>
      <x:c r="J1698" s="12" t="str">
        <x:v>Professional services</x:v>
      </x:c>
      <x:c r="K1698" s="2" t="str">
        <x:v>MAIN-378</x:v>
      </x:c>
    </x:row>
    <x:row r="1699" ht="46" customHeight="1">
      <x:c r="A1699" s="2" t="str">
        <x:v>TEN-958DC8F886EA</x:v>
      </x:c>
      <x:c r="B1699" s="12" t="str">
        <x:v>House Of Diagnostics</x:v>
      </x:c>
      <x:c r="C1699" s="12" t="str">
        <x:v>CORP-0374</x:v>
      </x:c>
      <x:c r="D1699" s="12" t="str">
        <x:v>Delhi NCR</x:v>
      </x:c>
      <x:c r="E1699" s="12" t="str">
        <x:v>World Trade Tower</x:v>
      </x:c>
      <x:c r="F1699" s="12" t="str">
        <x:v>43 inch LED TV</x:v>
      </x:c>
      <x:c r="G1699" s="20" t="n">
        <x:v>13</x:v>
      </x:c>
      <x:c r="H1699" s="12" t="str">
        <x:v>Inventory-listed building/workspace context; current occupancy and screen access unverified</x:v>
      </x:c>
      <x:c r="I1699" s="12" t="str">
        <x:v>Small-scale prospects</x:v>
      </x:c>
      <x:c r="J1699" s="12" t="str">
        <x:v>Healthcare &amp; life sciences</x:v>
      </x:c>
      <x:c r="K1699" s="2" t="str">
        <x:v>MAIN-378</x:v>
      </x:c>
    </x:row>
    <x:row r="1700" ht="46" customHeight="1">
      <x:c r="A1700" s="2" t="str">
        <x:v>TEN-0CCB511F7B14</x:v>
      </x:c>
      <x:c r="B1700" s="12" t="str">
        <x:v>Candle light club</x:v>
      </x:c>
      <x:c r="C1700" s="12" t="str">
        <x:v>CORP-0375</x:v>
      </x:c>
      <x:c r="D1700" s="12" t="str">
        <x:v>Pune</x:v>
      </x:c>
      <x:c r="E1700" s="12" t="str">
        <x:v>11 Cowork</x:v>
      </x:c>
      <x:c r="F1700" s="12" t="str">
        <x:v>32 inch LED TV</x:v>
      </x:c>
      <x:c r="G1700" s="20" t="n">
        <x:v>1</x:v>
      </x:c>
      <x:c r="H1700" s="12" t="str">
        <x:v>Inventory-listed building/workspace context; current occupancy and screen access unverified</x:v>
      </x:c>
      <x:c r="I1700" s="12" t="str">
        <x:v>Small-scale prospects</x:v>
      </x:c>
      <x:c r="J1700" s="12" t="str">
        <x:v>Trade, consumer &amp; logistics</x:v>
      </x:c>
      <x:c r="K1700" s="2" t="str">
        <x:v>MAIN-379</x:v>
      </x:c>
    </x:row>
    <x:row r="1701" ht="46" customHeight="1">
      <x:c r="A1701" s="2" t="str">
        <x:v>TEN-53313CE6DF7D</x:v>
      </x:c>
      <x:c r="B1701" s="12" t="str">
        <x:v>Richer health Nutrition</x:v>
      </x:c>
      <x:c r="C1701" s="12" t="str">
        <x:v>CORP-0375</x:v>
      </x:c>
      <x:c r="D1701" s="12" t="str">
        <x:v>Pune</x:v>
      </x:c>
      <x:c r="E1701" s="12" t="str">
        <x:v>11 Cowork</x:v>
      </x:c>
      <x:c r="F1701" s="12" t="str">
        <x:v>32 inch LED TV</x:v>
      </x:c>
      <x:c r="G1701" s="20" t="n">
        <x:v>1</x:v>
      </x:c>
      <x:c r="H1701" s="12" t="str">
        <x:v>Inventory-listed building/workspace context; current occupancy and screen access unverified</x:v>
      </x:c>
      <x:c r="I1701" s="12" t="str">
        <x:v>Small-scale prospects</x:v>
      </x:c>
      <x:c r="J1701" s="12" t="str">
        <x:v>Healthcare &amp; life sciences</x:v>
      </x:c>
      <x:c r="K1701" s="2" t="str">
        <x:v>MAIN-379</x:v>
      </x:c>
    </x:row>
    <x:row r="1702" ht="46" customHeight="1">
      <x:c r="A1702" s="2" t="str">
        <x:v>TEN-8F6404B5FB2F</x:v>
      </x:c>
      <x:c r="B1702" s="12" t="str">
        <x:v>Phantom hospitality</x:v>
      </x:c>
      <x:c r="C1702" s="12" t="str">
        <x:v>CORP-0375</x:v>
      </x:c>
      <x:c r="D1702" s="12" t="str">
        <x:v>Pune</x:v>
      </x:c>
      <x:c r="E1702" s="12" t="str">
        <x:v>11 Cowork</x:v>
      </x:c>
      <x:c r="F1702" s="12" t="str">
        <x:v>32 inch LED TV</x:v>
      </x:c>
      <x:c r="G1702" s="20" t="n">
        <x:v>1</x:v>
      </x:c>
      <x:c r="H1702" s="12" t="str">
        <x:v>Inventory-listed building/workspace context; current occupancy and screen access unverified</x:v>
      </x:c>
      <x:c r="I1702" s="12" t="str">
        <x:v>Small-scale prospects</x:v>
      </x:c>
      <x:c r="J1702" s="12" t="str">
        <x:v>Trade, consumer &amp; logistics</x:v>
      </x:c>
      <x:c r="K1702" s="2" t="str">
        <x:v>MAIN-379</x:v>
      </x:c>
    </x:row>
    <x:row r="1703" ht="46" customHeight="1">
      <x:c r="A1703" s="2" t="str">
        <x:v>TEN-AA989F3D8E31</x:v>
      </x:c>
      <x:c r="B1703" s="12" t="str">
        <x:v>Elite tankship</x:v>
      </x:c>
      <x:c r="C1703" s="12" t="str">
        <x:v>CORP-0375</x:v>
      </x:c>
      <x:c r="D1703" s="12" t="str">
        <x:v>Pune</x:v>
      </x:c>
      <x:c r="E1703" s="12" t="str">
        <x:v>11 Cowork</x:v>
      </x:c>
      <x:c r="F1703" s="12" t="str">
        <x:v>32 inch LED TV</x:v>
      </x:c>
      <x:c r="G1703" s="20" t="n">
        <x:v>1</x:v>
      </x:c>
      <x:c r="H1703" s="12" t="str">
        <x:v>Inventory-listed building/workspace context; current occupancy and screen access unverified</x:v>
      </x:c>
      <x:c r="I1703" s="12" t="str">
        <x:v>Medium-scale prospects</x:v>
      </x:c>
      <x:c r="J1703" s="12" t="str">
        <x:v>Trade, consumer &amp; logistics</x:v>
      </x:c>
      <x:c r="K1703" s="2" t="str">
        <x:v>MAIN-379</x:v>
      </x:c>
    </x:row>
    <x:row r="1704" ht="46" customHeight="1">
      <x:c r="A1704" s="2" t="str">
        <x:v>TEN-B046733A1A26</x:v>
      </x:c>
      <x:c r="B1704" s="12" t="str">
        <x:v>Shahaji fortune grp</x:v>
      </x:c>
      <x:c r="C1704" s="12" t="str">
        <x:v>CORP-0375</x:v>
      </x:c>
      <x:c r="D1704" s="12" t="str">
        <x:v>Pune</x:v>
      </x:c>
      <x:c r="E1704" s="12" t="str">
        <x:v>11 Cowork</x:v>
      </x:c>
      <x:c r="F1704" s="12" t="str">
        <x:v>32 inch LED TV</x:v>
      </x:c>
      <x:c r="G1704" s="20" t="n">
        <x:v>1</x:v>
      </x:c>
      <x:c r="H1704" s="12" t="str">
        <x:v>Inventory-listed building/workspace context; current occupancy and screen access unverified</x:v>
      </x:c>
      <x:c r="I1704" s="12" t="str">
        <x:v>Mixed business audience</x:v>
      </x:c>
      <x:c r="J1704" s="12" t="str">
        <x:v>Unresolved</x:v>
      </x:c>
      <x:c r="K1704" s="2" t="str">
        <x:v>MAIN-379</x:v>
      </x:c>
    </x:row>
    <x:row r="1705" ht="46" customHeight="1">
      <x:c r="A1705" s="2" t="str">
        <x:v>TEN-B8DA2A0FAF46</x:v>
      </x:c>
      <x:c r="B1705" s="12" t="str">
        <x:v>Aniket enterprises</x:v>
      </x:c>
      <x:c r="C1705" s="12" t="str">
        <x:v>CORP-0375</x:v>
      </x:c>
      <x:c r="D1705" s="12" t="str">
        <x:v>Pune</x:v>
      </x:c>
      <x:c r="E1705" s="12" t="str">
        <x:v>11 Cowork</x:v>
      </x:c>
      <x:c r="F1705" s="12" t="str">
        <x:v>32 inch LED TV</x:v>
      </x:c>
      <x:c r="G1705" s="20" t="n">
        <x:v>1</x:v>
      </x:c>
      <x:c r="H1705" s="12" t="str">
        <x:v>Inventory-listed building/workspace context; current occupancy and screen access unverified</x:v>
      </x:c>
      <x:c r="I1705" s="12" t="str">
        <x:v>Mixed business audience</x:v>
      </x:c>
      <x:c r="J1705" s="12" t="str">
        <x:v>Unresolved</x:v>
      </x:c>
      <x:c r="K1705" s="2" t="str">
        <x:v>MAIN-379</x:v>
      </x:c>
    </x:row>
    <x:row r="1706" ht="46" customHeight="1">
      <x:c r="A1706" s="2" t="str">
        <x:v>TEN-E03A5ACF6E58</x:v>
      </x:c>
      <x:c r="B1706" s="12" t="str">
        <x:v>Haldirams</x:v>
      </x:c>
      <x:c r="C1706" s="12" t="str">
        <x:v>CORP-0375</x:v>
      </x:c>
      <x:c r="D1706" s="12" t="str">
        <x:v>Pune</x:v>
      </x:c>
      <x:c r="E1706" s="12" t="str">
        <x:v>11 Cowork</x:v>
      </x:c>
      <x:c r="F1706" s="12" t="str">
        <x:v>32 inch LED TV</x:v>
      </x:c>
      <x:c r="G1706" s="20" t="n">
        <x:v>1</x:v>
      </x:c>
      <x:c r="H1706" s="12" t="str">
        <x:v>Inventory-listed building/workspace context; current occupancy and screen access unverified</x:v>
      </x:c>
      <x:c r="I1706" s="12" t="str">
        <x:v>Mixed business audience</x:v>
      </x:c>
      <x:c r="J1706" s="12" t="str">
        <x:v>Trade, consumer &amp; logistics</x:v>
      </x:c>
      <x:c r="K1706" s="2" t="str">
        <x:v>MAIN-379</x:v>
      </x:c>
    </x:row>
    <x:row r="1707" ht="46" customHeight="1">
      <x:c r="A1707" s="2" t="str">
        <x:v>TEN-265E801D779A</x:v>
      </x:c>
      <x:c r="B1707" s="12" t="str">
        <x:v>CRIF Solution Private Limited</x:v>
      </x:c>
      <x:c r="C1707" s="12" t="str">
        <x:v>CORP-0376</x:v>
      </x:c>
      <x:c r="D1707" s="12" t="str">
        <x:v>Pune</x:v>
      </x:c>
      <x:c r="E1707" s="12" t="str">
        <x:v>43Eq Technology Park</x:v>
      </x:c>
      <x:c r="F1707" s="12" t="str">
        <x:v>43 inch LED TV</x:v>
      </x:c>
      <x:c r="G1707" s="20" t="n">
        <x:v>6</x:v>
      </x:c>
      <x:c r="H1707" s="12" t="str">
        <x:v>Inventory-listed building/workspace context; current occupancy and screen access unverified</x:v>
      </x:c>
      <x:c r="I1707" s="12" t="str">
        <x:v>Mixed business audience</x:v>
      </x:c>
      <x:c r="J1707" s="12" t="str">
        <x:v>Finance &amp; insurance</x:v>
      </x:c>
      <x:c r="K1707" s="2" t="str">
        <x:v>MAIN-380</x:v>
      </x:c>
    </x:row>
    <x:row r="1708" ht="46" customHeight="1">
      <x:c r="A1708" s="2" t="str">
        <x:v>TEN-0B5D48FD30C7</x:v>
      </x:c>
      <x:c r="B1708" s="12" t="str">
        <x:v>Signify Innovations India Ltd. (Cooper Lighting Solutions)</x:v>
      </x:c>
      <x:c r="C1708" s="12" t="str">
        <x:v>CORP-0377</x:v>
      </x:c>
      <x:c r="D1708" s="12" t="str">
        <x:v>Pune</x:v>
      </x:c>
      <x:c r="E1708" s="12" t="str">
        <x:v>Amar Pristine Tech Park</x:v>
      </x:c>
      <x:c r="F1708" s="12" t="str">
        <x:v>43 inch LED TV</x:v>
      </x:c>
      <x:c r="G1708" s="20" t="n">
        <x:v>4</x:v>
      </x:c>
      <x:c r="H1708" s="12" t="str">
        <x:v>Inventory-listed building/workspace context; current occupancy and screen access unverified</x:v>
      </x:c>
      <x:c r="I1708" s="12" t="str">
        <x:v>Mixed business audience</x:v>
      </x:c>
      <x:c r="J1708" s="12" t="str">
        <x:v>Engineering &amp; manufacturing</x:v>
      </x:c>
      <x:c r="K1708" s="2" t="str">
        <x:v>MAIN-381</x:v>
      </x:c>
    </x:row>
    <x:row r="1709" ht="46" customHeight="1">
      <x:c r="A1709" s="2" t="str">
        <x:v>TEN-181DA5EB3FBF</x:v>
      </x:c>
      <x:c r="B1709" s="12" t="str">
        <x:v>Poonawalla Finance Pvt. Ltd</x:v>
      </x:c>
      <x:c r="C1709" s="12" t="str">
        <x:v>CORP-0377</x:v>
      </x:c>
      <x:c r="D1709" s="12" t="str">
        <x:v>Pune</x:v>
      </x:c>
      <x:c r="E1709" s="12" t="str">
        <x:v>Amar Pristine Tech Park</x:v>
      </x:c>
      <x:c r="F1709" s="12" t="str">
        <x:v>43 inch LED TV</x:v>
      </x:c>
      <x:c r="G1709" s="20" t="n">
        <x:v>4</x:v>
      </x:c>
      <x:c r="H1709" s="12" t="str">
        <x:v>Inventory-listed building/workspace context; current occupancy and screen access unverified</x:v>
      </x:c>
      <x:c r="I1709" s="12" t="str">
        <x:v>Mixed business audience</x:v>
      </x:c>
      <x:c r="J1709" s="12" t="str">
        <x:v>Finance &amp; insurance</x:v>
      </x:c>
      <x:c r="K1709" s="2" t="str">
        <x:v>MAIN-381</x:v>
      </x:c>
    </x:row>
    <x:row r="1710" ht="46" customHeight="1">
      <x:c r="A1710" s="2" t="str">
        <x:v>TEN-1A76EBA762D9</x:v>
      </x:c>
      <x:c r="B1710" s="12" t="str">
        <x:v>Ziff Davis Performance Marketing</x:v>
      </x:c>
      <x:c r="C1710" s="12" t="str">
        <x:v>CORP-0377</x:v>
      </x:c>
      <x:c r="D1710" s="12" t="str">
        <x:v>Pune</x:v>
      </x:c>
      <x:c r="E1710" s="12" t="str">
        <x:v>Amar Pristine Tech Park</x:v>
      </x:c>
      <x:c r="F1710" s="12" t="str">
        <x:v>43 inch LED TV</x:v>
      </x:c>
      <x:c r="G1710" s="20" t="n">
        <x:v>4</x:v>
      </x:c>
      <x:c r="H1710" s="12" t="str">
        <x:v>Inventory-listed building/workspace context; current occupancy and screen access unverified</x:v>
      </x:c>
      <x:c r="I1710" s="12" t="str">
        <x:v>Mixed business audience</x:v>
      </x:c>
      <x:c r="J1710" s="12" t="str">
        <x:v>Professional services</x:v>
      </x:c>
      <x:c r="K1710" s="2" t="str">
        <x:v>MAIN-381</x:v>
      </x:c>
    </x:row>
    <x:row r="1711" ht="46" customHeight="1">
      <x:c r="A1711" s="2" t="str">
        <x:v>TEN-2DC3FC5EA3A9</x:v>
      </x:c>
      <x:c r="B1711" s="12" t="str">
        <x:v>Cyient Ltd</x:v>
      </x:c>
      <x:c r="C1711" s="12" t="str">
        <x:v>CORP-0377</x:v>
      </x:c>
      <x:c r="D1711" s="12" t="str">
        <x:v>Pune</x:v>
      </x:c>
      <x:c r="E1711" s="12" t="str">
        <x:v>Amar Pristine Tech Park</x:v>
      </x:c>
      <x:c r="F1711" s="12" t="str">
        <x:v>43 inch LED TV</x:v>
      </x:c>
      <x:c r="G1711" s="20" t="n">
        <x:v>4</x:v>
      </x:c>
      <x:c r="H1711" s="12" t="str">
        <x:v>Inventory-listed building/workspace context; current occupancy and screen access unverified</x:v>
      </x:c>
      <x:c r="I1711" s="12" t="str">
        <x:v>Large enterprise</x:v>
      </x:c>
      <x:c r="J1711" s="12" t="str">
        <x:v>Engineering &amp; manufacturing</x:v>
      </x:c>
      <x:c r="K1711" s="2" t="str">
        <x:v>MAIN-381</x:v>
      </x:c>
    </x:row>
    <x:row r="1712" ht="46" customHeight="1">
      <x:c r="A1712" s="2" t="str">
        <x:v>TEN-2F339524DD3D</x:v>
      </x:c>
      <x:c r="B1712" s="12" t="str">
        <x:v>Beghou Consulting</x:v>
      </x:c>
      <x:c r="C1712" s="12" t="str">
        <x:v>CORP-0377</x:v>
      </x:c>
      <x:c r="D1712" s="12" t="str">
        <x:v>Pune</x:v>
      </x:c>
      <x:c r="E1712" s="12" t="str">
        <x:v>Amar Pristine Tech Park</x:v>
      </x:c>
      <x:c r="F1712" s="12" t="str">
        <x:v>43 inch LED TV</x:v>
      </x:c>
      <x:c r="G1712" s="20" t="n">
        <x:v>4</x:v>
      </x:c>
      <x:c r="H1712" s="12" t="str">
        <x:v>Inventory-listed building/workspace context; current occupancy and screen access unverified</x:v>
      </x:c>
      <x:c r="I1712" s="12" t="str">
        <x:v>Small-scale prospects</x:v>
      </x:c>
      <x:c r="J1712" s="12" t="str">
        <x:v>Professional services</x:v>
      </x:c>
      <x:c r="K1712" s="2" t="str">
        <x:v>MAIN-381</x:v>
      </x:c>
    </x:row>
    <x:row r="1713" ht="46" customHeight="1">
      <x:c r="A1713" s="2" t="str">
        <x:v>TEN-4D3373CF6F0F</x:v>
      </x:c>
      <x:c r="B1713" s="12" t="str">
        <x:v>METRO GLOBAL SOLUTION CENTER</x:v>
      </x:c>
      <x:c r="C1713" s="12" t="str">
        <x:v>CORP-0377</x:v>
      </x:c>
      <x:c r="D1713" s="12" t="str">
        <x:v>Pune</x:v>
      </x:c>
      <x:c r="E1713" s="12" t="str">
        <x:v>Amar Pristine Tech Park</x:v>
      </x:c>
      <x:c r="F1713" s="12" t="str">
        <x:v>43 inch LED TV</x:v>
      </x:c>
      <x:c r="G1713" s="20" t="n">
        <x:v>4</x:v>
      </x:c>
      <x:c r="H1713" s="12" t="str">
        <x:v>Inventory-listed building/workspace context; current occupancy and screen access unverified</x:v>
      </x:c>
      <x:c r="I1713" s="12" t="str">
        <x:v>Mixed business audience</x:v>
      </x:c>
      <x:c r="J1713" s="12" t="str">
        <x:v>Trade, consumer &amp; logistics</x:v>
      </x:c>
      <x:c r="K1713" s="2" t="str">
        <x:v>MAIN-381</x:v>
      </x:c>
    </x:row>
    <x:row r="1714" ht="46" customHeight="1">
      <x:c r="A1714" s="2" t="str">
        <x:v>TEN-5E4D9D0A79B0</x:v>
      </x:c>
      <x:c r="B1714" s="12" t="str">
        <x:v>FPT Automotive India</x:v>
      </x:c>
      <x:c r="C1714" s="12" t="str">
        <x:v>CORP-0377</x:v>
      </x:c>
      <x:c r="D1714" s="12" t="str">
        <x:v>Pune</x:v>
      </x:c>
      <x:c r="E1714" s="12" t="str">
        <x:v>Amar Pristine Tech Park</x:v>
      </x:c>
      <x:c r="F1714" s="12" t="str">
        <x:v>43 inch LED TV</x:v>
      </x:c>
      <x:c r="G1714" s="20" t="n">
        <x:v>4</x:v>
      </x:c>
      <x:c r="H1714" s="12" t="str">
        <x:v>Inventory-listed building/workspace context; current occupancy and screen access unverified</x:v>
      </x:c>
      <x:c r="I1714" s="12" t="str">
        <x:v>Mixed business audience</x:v>
      </x:c>
      <x:c r="J1714" s="12" t="str">
        <x:v>Engineering &amp; manufacturing</x:v>
      </x:c>
      <x:c r="K1714" s="2" t="str">
        <x:v>MAIN-381</x:v>
      </x:c>
    </x:row>
    <x:row r="1715" ht="46" customHeight="1">
      <x:c r="A1715" s="2" t="str">
        <x:v>TEN-A1330F668902</x:v>
      </x:c>
      <x:c r="B1715" s="12" t="str">
        <x:v>Crane Consulting and Outsourcing Pvt Ltd</x:v>
      </x:c>
      <x:c r="C1715" s="12" t="str">
        <x:v>CORP-0377</x:v>
      </x:c>
      <x:c r="D1715" s="12" t="str">
        <x:v>Pune</x:v>
      </x:c>
      <x:c r="E1715" s="12" t="str">
        <x:v>Amar Pristine Tech Park</x:v>
      </x:c>
      <x:c r="F1715" s="12" t="str">
        <x:v>43 inch LED TV</x:v>
      </x:c>
      <x:c r="G1715" s="20" t="n">
        <x:v>4</x:v>
      </x:c>
      <x:c r="H1715" s="12" t="str">
        <x:v>Inventory-listed building/workspace context; current occupancy and screen access unverified</x:v>
      </x:c>
      <x:c r="I1715" s="12" t="str">
        <x:v>Small-scale prospects</x:v>
      </x:c>
      <x:c r="J1715" s="12" t="str">
        <x:v>Professional services</x:v>
      </x:c>
      <x:c r="K1715" s="2" t="str">
        <x:v>MAIN-381</x:v>
      </x:c>
    </x:row>
    <x:row r="1716" ht="46" customHeight="1">
      <x:c r="A1716" s="2" t="str">
        <x:v>TEN-D33E381C60D5</x:v>
      </x:c>
      <x:c r="B1716" s="12" t="str">
        <x:v>Mindbody Software Pvt. Ltd</x:v>
      </x:c>
      <x:c r="C1716" s="12" t="str">
        <x:v>CORP-0377</x:v>
      </x:c>
      <x:c r="D1716" s="12" t="str">
        <x:v>Pune</x:v>
      </x:c>
      <x:c r="E1716" s="12" t="str">
        <x:v>Amar Pristine Tech Park</x:v>
      </x:c>
      <x:c r="F1716" s="12" t="str">
        <x:v>43 inch LED TV</x:v>
      </x:c>
      <x:c r="G1716" s="20" t="n">
        <x:v>4</x:v>
      </x:c>
      <x:c r="H1716" s="12" t="str">
        <x:v>Inventory-listed building/workspace context; current occupancy and screen access unverified</x:v>
      </x:c>
      <x:c r="I1716" s="12" t="str">
        <x:v>Mixed business audience</x:v>
      </x:c>
      <x:c r="J1716" s="12" t="str">
        <x:v>IT &amp; digital</x:v>
      </x:c>
      <x:c r="K1716" s="2" t="str">
        <x:v>MAIN-381</x:v>
      </x:c>
    </x:row>
    <x:row r="1717" ht="46" customHeight="1">
      <x:c r="A1717" s="2" t="str">
        <x:v>TEN-01272F6C55B7</x:v>
      </x:c>
      <x:c r="B1717" s="12" t="str">
        <x:v>Schaeffler India Limited Corporate Office</x:v>
      </x:c>
      <x:c r="C1717" s="12" t="str">
        <x:v>CORP-0378</x:v>
      </x:c>
      <x:c r="D1717" s="12" t="str">
        <x:v>Pune</x:v>
      </x:c>
      <x:c r="E1717" s="12" t="str">
        <x:v>Amar Sadanand Tech Park</x:v>
      </x:c>
      <x:c r="F1717" s="12" t="str">
        <x:v>43 inch LED TV</x:v>
      </x:c>
      <x:c r="G1717" s="20" t="n">
        <x:v>7</x:v>
      </x:c>
      <x:c r="H1717" s="12" t="str">
        <x:v>Inventory-listed building/workspace context; current occupancy and screen access unverified</x:v>
      </x:c>
      <x:c r="I1717" s="12" t="str">
        <x:v>Mixed business audience</x:v>
      </x:c>
      <x:c r="J1717" s="12" t="str">
        <x:v>Engineering &amp; manufacturing</x:v>
      </x:c>
      <x:c r="K1717" s="2" t="str">
        <x:v>MAIN-382</x:v>
      </x:c>
    </x:row>
    <x:row r="1718" ht="46" customHeight="1">
      <x:c r="A1718" s="2" t="str">
        <x:v>TEN-53F71D1CF28F</x:v>
      </x:c>
      <x:c r="B1718" s="12" t="str">
        <x:v>Bridgestone city office</x:v>
      </x:c>
      <x:c r="C1718" s="12" t="str">
        <x:v>CORP-0378</x:v>
      </x:c>
      <x:c r="D1718" s="12" t="str">
        <x:v>Pune</x:v>
      </x:c>
      <x:c r="E1718" s="12" t="str">
        <x:v>Amar Sadanand Tech Park</x:v>
      </x:c>
      <x:c r="F1718" s="12" t="str">
        <x:v>43 inch LED TV</x:v>
      </x:c>
      <x:c r="G1718" s="20" t="n">
        <x:v>7</x:v>
      </x:c>
      <x:c r="H1718" s="12" t="str">
        <x:v>Inventory-listed building/workspace context; current occupancy and screen access unverified</x:v>
      </x:c>
      <x:c r="I1718" s="12" t="str">
        <x:v>Mixed business audience</x:v>
      </x:c>
      <x:c r="J1718" s="12" t="str">
        <x:v>Engineering &amp; manufacturing</x:v>
      </x:c>
      <x:c r="K1718" s="2" t="str">
        <x:v>MAIN-382</x:v>
      </x:c>
    </x:row>
    <x:row r="1719" ht="46" customHeight="1">
      <x:c r="A1719" s="2" t="str">
        <x:v>TEN-83FAF196AC32</x:v>
      </x:c>
      <x:c r="B1719" s="12" t="str">
        <x:v>Just In Time Watch Store</x:v>
      </x:c>
      <x:c r="C1719" s="12" t="str">
        <x:v>CORP-0378</x:v>
      </x:c>
      <x:c r="D1719" s="12" t="str">
        <x:v>Pune</x:v>
      </x:c>
      <x:c r="E1719" s="12" t="str">
        <x:v>Amar Sadanand Tech Park</x:v>
      </x:c>
      <x:c r="F1719" s="12" t="str">
        <x:v>43 inch LED TV</x:v>
      </x:c>
      <x:c r="G1719" s="20" t="n">
        <x:v>7</x:v>
      </x:c>
      <x:c r="H1719" s="12" t="str">
        <x:v>Inventory-listed building/workspace context; current occupancy and screen access unverified</x:v>
      </x:c>
      <x:c r="I1719" s="12" t="str">
        <x:v>Small-scale prospects</x:v>
      </x:c>
      <x:c r="J1719" s="12" t="str">
        <x:v>Trade, consumer &amp; logistics</x:v>
      </x:c>
      <x:c r="K1719" s="2" t="str">
        <x:v>MAIN-382</x:v>
      </x:c>
    </x:row>
    <x:row r="1720" ht="46" customHeight="1">
      <x:c r="A1720" s="2" t="str">
        <x:v>TEN-C0CDA80C9315</x:v>
      </x:c>
      <x:c r="B1720" s="12" t="str">
        <x:v>Stryder Cycle Pvt Ltd (Cyc.clic)</x:v>
      </x:c>
      <x:c r="C1720" s="12" t="str">
        <x:v>CORP-0378</x:v>
      </x:c>
      <x:c r="D1720" s="12" t="str">
        <x:v>Pune</x:v>
      </x:c>
      <x:c r="E1720" s="12" t="str">
        <x:v>Amar Sadanand Tech Park</x:v>
      </x:c>
      <x:c r="F1720" s="12" t="str">
        <x:v>43 inch LED TV</x:v>
      </x:c>
      <x:c r="G1720" s="20" t="n">
        <x:v>7</x:v>
      </x:c>
      <x:c r="H1720" s="12" t="str">
        <x:v>Inventory-listed building/workspace context; current occupancy and screen access unverified</x:v>
      </x:c>
      <x:c r="I1720" s="12" t="str">
        <x:v>Mixed business audience</x:v>
      </x:c>
      <x:c r="J1720" s="12" t="str">
        <x:v>Engineering &amp; manufacturing</x:v>
      </x:c>
      <x:c r="K1720" s="2" t="str">
        <x:v>MAIN-382</x:v>
      </x:c>
    </x:row>
    <x:row r="1721" ht="46" customHeight="1">
      <x:c r="A1721" s="2" t="str">
        <x:v>TEN-F626E376EF5E</x:v>
      </x:c>
      <x:c r="B1721" s="12" t="str">
        <x:v>Hyosung T &amp; D India Pvt. Ltd</x:v>
      </x:c>
      <x:c r="C1721" s="12" t="str">
        <x:v>CORP-0379</x:v>
      </x:c>
      <x:c r="D1721" s="12" t="str">
        <x:v>Pune</x:v>
      </x:c>
      <x:c r="E1721" s="12" t="str">
        <x:v>Amar Tech Center</x:v>
      </x:c>
      <x:c r="F1721" s="12" t="str">
        <x:v>43 inch LED TV</x:v>
      </x:c>
      <x:c r="G1721" s="20" t="n">
        <x:v>4</x:v>
      </x:c>
      <x:c r="H1721" s="12" t="str">
        <x:v>Inventory-listed building/workspace context; current occupancy and screen access unverified</x:v>
      </x:c>
      <x:c r="I1721" s="12" t="str">
        <x:v>Mixed business audience</x:v>
      </x:c>
      <x:c r="J1721" s="12" t="str">
        <x:v>Engineering &amp; manufacturing</x:v>
      </x:c>
      <x:c r="K1721" s="2" t="str">
        <x:v>MAIN-383</x:v>
      </x:c>
    </x:row>
    <x:row r="1722" ht="46" customHeight="1">
      <x:c r="A1722" s="2" t="str">
        <x:v>TEN-55851B7ABCA3</x:v>
      </x:c>
      <x:c r="B1722" s="12" t="str">
        <x:v>Onward Technologies</x:v>
      </x:c>
      <x:c r="C1722" s="12" t="str">
        <x:v>CORP-0380</x:v>
      </x:c>
      <x:c r="D1722" s="12" t="str">
        <x:v>Pune</x:v>
      </x:c>
      <x:c r="E1722" s="12" t="str">
        <x:v>Amar Tech Park (TS)</x:v>
      </x:c>
      <x:c r="F1722" s="12" t="str">
        <x:v>55 inch LED TV</x:v>
      </x:c>
      <x:c r="G1722" s="20" t="n">
        <x:v>2</x:v>
      </x:c>
      <x:c r="H1722" s="12" t="str">
        <x:v>Company-listed building/campus context; workspace membership and screen access unverified</x:v>
      </x:c>
      <x:c r="I1722" s="12" t="str">
        <x:v>Mixed business audience</x:v>
      </x:c>
      <x:c r="J1722" s="12" t="str">
        <x:v>Engineering &amp; manufacturing</x:v>
      </x:c>
      <x:c r="K1722" s="2" t="str">
        <x:v>MAIN-384</x:v>
      </x:c>
    </x:row>
    <x:row r="1723" ht="46" customHeight="1">
      <x:c r="A1723" s="2" t="str">
        <x:v>TEN-7FB575E3B4B0</x:v>
      </x:c>
      <x:c r="B1723" s="12" t="str">
        <x:v>BMW TechWorks India</x:v>
      </x:c>
      <x:c r="C1723" s="12" t="str">
        <x:v>CORP-0380</x:v>
      </x:c>
      <x:c r="D1723" s="12" t="str">
        <x:v>Pune</x:v>
      </x:c>
      <x:c r="E1723" s="12" t="str">
        <x:v>Amar Tech Park (TS)</x:v>
      </x:c>
      <x:c r="F1723" s="12" t="str">
        <x:v>55 inch LED TV</x:v>
      </x:c>
      <x:c r="G1723" s="20" t="n">
        <x:v>2</x:v>
      </x:c>
      <x:c r="H1723" s="12" t="str">
        <x:v>Company-listed building/campus context; workspace membership and screen access unverified</x:v>
      </x:c>
      <x:c r="I1723" s="12" t="str">
        <x:v>Mixed business audience</x:v>
      </x:c>
      <x:c r="J1723" s="12" t="str">
        <x:v>IT &amp; digital</x:v>
      </x:c>
      <x:c r="K1723" s="2" t="str">
        <x:v>MAIN-384</x:v>
      </x:c>
    </x:row>
    <x:row r="1724" ht="46" customHeight="1">
      <x:c r="A1724" s="2" t="str">
        <x:v>TEN-D96307B671BF</x:v>
      </x:c>
      <x:c r="B1724" s="12" t="str">
        <x:v>Redbrick IT Support Limited</x:v>
      </x:c>
      <x:c r="C1724" s="12" t="str">
        <x:v>CORP-0380</x:v>
      </x:c>
      <x:c r="D1724" s="12" t="str">
        <x:v>Pune</x:v>
      </x:c>
      <x:c r="E1724" s="12" t="str">
        <x:v>Amar Tech Park (TS)</x:v>
      </x:c>
      <x:c r="F1724" s="12" t="str">
        <x:v>55 inch LED TV</x:v>
      </x:c>
      <x:c r="G1724" s="20" t="n">
        <x:v>2</x:v>
      </x:c>
      <x:c r="H1724" s="12" t="str">
        <x:v>Company-listed building/campus context; workspace membership and screen access unverified</x:v>
      </x:c>
      <x:c r="I1724" s="12" t="str">
        <x:v>Small-scale prospects</x:v>
      </x:c>
      <x:c r="J1724" s="12" t="str">
        <x:v>IT &amp; digital</x:v>
      </x:c>
      <x:c r="K1724" s="2" t="str">
        <x:v>MAIN-384</x:v>
      </x:c>
    </x:row>
    <x:row r="1725" ht="46" customHeight="1">
      <x:c r="A1725" s="2" t="str">
        <x:v>TEN-FCD721E29835</x:v>
      </x:c>
      <x:c r="B1725" s="12" t="str">
        <x:v>Lentra AI Private Limited</x:v>
      </x:c>
      <x:c r="C1725" s="12" t="str">
        <x:v>CORP-0380</x:v>
      </x:c>
      <x:c r="D1725" s="12" t="str">
        <x:v>Pune</x:v>
      </x:c>
      <x:c r="E1725" s="12" t="str">
        <x:v>Amar Tech Park (TS)</x:v>
      </x:c>
      <x:c r="F1725" s="12" t="str">
        <x:v>55 inch LED TV</x:v>
      </x:c>
      <x:c r="G1725" s="20" t="n">
        <x:v>2</x:v>
      </x:c>
      <x:c r="H1725" s="12" t="str">
        <x:v>Company-listed building/campus context; workspace membership and screen access unverified</x:v>
      </x:c>
      <x:c r="I1725" s="12" t="str">
        <x:v>Small-scale prospects</x:v>
      </x:c>
      <x:c r="J1725" s="12" t="str">
        <x:v>IT &amp; digital</x:v>
      </x:c>
      <x:c r="K1725" s="2" t="str">
        <x:v>MAIN-384</x:v>
      </x:c>
    </x:row>
    <x:row r="1726" ht="46" customHeight="1">
      <x:c r="A1726" s="2" t="str">
        <x:v>TEN-221912755C05</x:v>
      </x:c>
      <x:c r="B1726" s="12" t="str">
        <x:v>Edufund</x:v>
      </x:c>
      <x:c r="C1726" s="12" t="str">
        <x:v>CORP-0381</x:v>
      </x:c>
      <x:c r="D1726" s="12" t="str">
        <x:v>Pune</x:v>
      </x:c>
      <x:c r="E1726" s="12" t="str">
        <x:v>Anchors Coworking</x:v>
      </x:c>
      <x:c r="F1726" s="12" t="str">
        <x:v>32 inch LED TV</x:v>
      </x:c>
      <x:c r="G1726" s="20" t="n">
        <x:v>1</x:v>
      </x:c>
      <x:c r="H1726" s="12" t="str">
        <x:v>Inventory-listed building/workspace context; current occupancy and screen access unverified</x:v>
      </x:c>
      <x:c r="I1726" s="12" t="str">
        <x:v>Small-scale prospects</x:v>
      </x:c>
      <x:c r="J1726" s="12" t="str">
        <x:v>Education</x:v>
      </x:c>
      <x:c r="K1726" s="2" t="str">
        <x:v>MAIN-385</x:v>
      </x:c>
    </x:row>
    <x:row r="1727" ht="46" customHeight="1">
      <x:c r="A1727" s="2" t="str">
        <x:v>TEN-41D71312C5C1</x:v>
      </x:c>
      <x:c r="B1727" s="12" t="str">
        <x:v>IAMPOS</x:v>
      </x:c>
      <x:c r="C1727" s="12" t="str">
        <x:v>CORP-0381</x:v>
      </x:c>
      <x:c r="D1727" s="12" t="str">
        <x:v>Pune</x:v>
      </x:c>
      <x:c r="E1727" s="12" t="str">
        <x:v>Anchors Coworking</x:v>
      </x:c>
      <x:c r="F1727" s="12" t="str">
        <x:v>32 inch LED TV</x:v>
      </x:c>
      <x:c r="G1727" s="20" t="n">
        <x:v>1</x:v>
      </x:c>
      <x:c r="H1727" s="12" t="str">
        <x:v>Inventory-listed building/workspace context; current occupancy and screen access unverified</x:v>
      </x:c>
      <x:c r="I1727" s="12" t="str">
        <x:v>Mixed business audience</x:v>
      </x:c>
      <x:c r="J1727" s="12" t="str">
        <x:v>Unresolved</x:v>
      </x:c>
      <x:c r="K1727" s="2" t="str">
        <x:v>MAIN-385</x:v>
      </x:c>
    </x:row>
    <x:row r="1728" ht="46" customHeight="1">
      <x:c r="A1728" s="2" t="str">
        <x:v>TEN-8144549A7116</x:v>
      </x:c>
      <x:c r="B1728" s="12" t="str">
        <x:v>ETP</x:v>
      </x:c>
      <x:c r="C1728" s="12" t="str">
        <x:v>CORP-0381</x:v>
      </x:c>
      <x:c r="D1728" s="12" t="str">
        <x:v>Pune</x:v>
      </x:c>
      <x:c r="E1728" s="12" t="str">
        <x:v>Anchors Coworking</x:v>
      </x:c>
      <x:c r="F1728" s="12" t="str">
        <x:v>32 inch LED TV</x:v>
      </x:c>
      <x:c r="G1728" s="20" t="n">
        <x:v>1</x:v>
      </x:c>
      <x:c r="H1728" s="12" t="str">
        <x:v>Inventory-listed building/workspace context; current occupancy and screen access unverified</x:v>
      </x:c>
      <x:c r="I1728" s="12" t="str">
        <x:v>Mixed business audience</x:v>
      </x:c>
      <x:c r="J1728" s="12" t="str">
        <x:v>Unresolved</x:v>
      </x:c>
      <x:c r="K1728" s="2" t="str">
        <x:v>MAIN-385</x:v>
      </x:c>
    </x:row>
    <x:row r="1729" ht="46" customHeight="1">
      <x:c r="A1729" s="2" t="str">
        <x:v>TEN-99E829F578DD</x:v>
      </x:c>
      <x:c r="B1729" s="12" t="str">
        <x:v>Cars24</x:v>
      </x:c>
      <x:c r="C1729" s="12" t="str">
        <x:v>CORP-0381</x:v>
      </x:c>
      <x:c r="D1729" s="12" t="str">
        <x:v>Pune</x:v>
      </x:c>
      <x:c r="E1729" s="12" t="str">
        <x:v>Anchors Coworking</x:v>
      </x:c>
      <x:c r="F1729" s="12" t="str">
        <x:v>32 inch LED TV</x:v>
      </x:c>
      <x:c r="G1729" s="20" t="n">
        <x:v>1</x:v>
      </x:c>
      <x:c r="H1729" s="12" t="str">
        <x:v>Inventory-listed building/workspace context; current occupancy and screen access unverified</x:v>
      </x:c>
      <x:c r="I1729" s="12" t="str">
        <x:v>Mixed business audience</x:v>
      </x:c>
      <x:c r="J1729" s="12" t="str">
        <x:v>Trade, consumer &amp; logistics</x:v>
      </x:c>
      <x:c r="K1729" s="2" t="str">
        <x:v>MAIN-385</x:v>
      </x:c>
    </x:row>
    <x:row r="1730" ht="46" customHeight="1">
      <x:c r="A1730" s="2" t="str">
        <x:v>TEN-A15C13F2DAF4</x:v>
      </x:c>
      <x:c r="B1730" s="12" t="str">
        <x:v>GLIMPSFIVE</x:v>
      </x:c>
      <x:c r="C1730" s="12" t="str">
        <x:v>CORP-0381</x:v>
      </x:c>
      <x:c r="D1730" s="12" t="str">
        <x:v>Pune</x:v>
      </x:c>
      <x:c r="E1730" s="12" t="str">
        <x:v>Anchors Coworking</x:v>
      </x:c>
      <x:c r="F1730" s="12" t="str">
        <x:v>32 inch LED TV</x:v>
      </x:c>
      <x:c r="G1730" s="20" t="n">
        <x:v>1</x:v>
      </x:c>
      <x:c r="H1730" s="12" t="str">
        <x:v>Inventory-listed building/workspace context; current occupancy and screen access unverified</x:v>
      </x:c>
      <x:c r="I1730" s="12" t="str">
        <x:v>Mixed business audience</x:v>
      </x:c>
      <x:c r="J1730" s="12" t="str">
        <x:v>Unresolved</x:v>
      </x:c>
      <x:c r="K1730" s="2" t="str">
        <x:v>MAIN-385</x:v>
      </x:c>
    </x:row>
    <x:row r="1731" ht="46" customHeight="1">
      <x:c r="A1731" s="2" t="str">
        <x:v>TEN-A96613F3E4DD</x:v>
      </x:c>
      <x:c r="B1731" s="12" t="str">
        <x:v>Giveplease</x:v>
      </x:c>
      <x:c r="C1731" s="12" t="str">
        <x:v>CORP-0381</x:v>
      </x:c>
      <x:c r="D1731" s="12" t="str">
        <x:v>Pune</x:v>
      </x:c>
      <x:c r="E1731" s="12" t="str">
        <x:v>Anchors Coworking</x:v>
      </x:c>
      <x:c r="F1731" s="12" t="str">
        <x:v>32 inch LED TV</x:v>
      </x:c>
      <x:c r="G1731" s="20" t="n">
        <x:v>1</x:v>
      </x:c>
      <x:c r="H1731" s="12" t="str">
        <x:v>Inventory-listed building/workspace context; current occupancy and screen access unverified</x:v>
      </x:c>
      <x:c r="I1731" s="12" t="str">
        <x:v>Mixed business audience</x:v>
      </x:c>
      <x:c r="J1731" s="12" t="str">
        <x:v>Unresolved</x:v>
      </x:c>
      <x:c r="K1731" s="2" t="str">
        <x:v>MAIN-385</x:v>
      </x:c>
    </x:row>
    <x:row r="1732" ht="46" customHeight="1">
      <x:c r="A1732" s="2" t="str">
        <x:v>TEN-DC70656A098D</x:v>
      </x:c>
      <x:c r="B1732" s="12" t="str">
        <x:v>SAVEMAX</x:v>
      </x:c>
      <x:c r="C1732" s="12" t="str">
        <x:v>CORP-0381</x:v>
      </x:c>
      <x:c r="D1732" s="12" t="str">
        <x:v>Pune</x:v>
      </x:c>
      <x:c r="E1732" s="12" t="str">
        <x:v>Anchors Coworking</x:v>
      </x:c>
      <x:c r="F1732" s="12" t="str">
        <x:v>32 inch LED TV</x:v>
      </x:c>
      <x:c r="G1732" s="20" t="n">
        <x:v>1</x:v>
      </x:c>
      <x:c r="H1732" s="12" t="str">
        <x:v>Inventory-listed building/workspace context; current occupancy and screen access unverified</x:v>
      </x:c>
      <x:c r="I1732" s="12" t="str">
        <x:v>Small-scale prospects</x:v>
      </x:c>
      <x:c r="J1732" s="12" t="str">
        <x:v>Trade, consumer &amp; logistics</x:v>
      </x:c>
      <x:c r="K1732" s="2" t="str">
        <x:v>MAIN-385</x:v>
      </x:c>
    </x:row>
    <x:row r="1733" ht="46" customHeight="1">
      <x:c r="A1733" s="2" t="str">
        <x:v>TEN-EEBDEB528F38</x:v>
      </x:c>
      <x:c r="B1733" s="12" t="str">
        <x:v>MYCARE</x:v>
      </x:c>
      <x:c r="C1733" s="12" t="str">
        <x:v>CORP-0381</x:v>
      </x:c>
      <x:c r="D1733" s="12" t="str">
        <x:v>Pune</x:v>
      </x:c>
      <x:c r="E1733" s="12" t="str">
        <x:v>Anchors Coworking</x:v>
      </x:c>
      <x:c r="F1733" s="12" t="str">
        <x:v>32 inch LED TV</x:v>
      </x:c>
      <x:c r="G1733" s="20" t="n">
        <x:v>1</x:v>
      </x:c>
      <x:c r="H1733" s="12" t="str">
        <x:v>Inventory-listed building/workspace context; current occupancy and screen access unverified</x:v>
      </x:c>
      <x:c r="I1733" s="12" t="str">
        <x:v>Small-scale prospects</x:v>
      </x:c>
      <x:c r="J1733" s="12" t="str">
        <x:v>Healthcare &amp; life sciences</x:v>
      </x:c>
      <x:c r="K1733" s="2" t="str">
        <x:v>MAIN-385</x:v>
      </x:c>
    </x:row>
    <x:row r="1734" ht="46" customHeight="1">
      <x:c r="A1734" s="2" t="str">
        <x:v>TEN-21547F90B021</x:v>
      </x:c>
      <x:c r="B1734" s="12" t="str">
        <x:v>ElectRay Technologies Pvt. Ltd</x:v>
      </x:c>
      <x:c r="C1734" s="12" t="str">
        <x:v>CORP-0382</x:v>
      </x:c>
      <x:c r="D1734" s="12" t="str">
        <x:v>Pune</x:v>
      </x:c>
      <x:c r="E1734" s="12" t="str">
        <x:v>Awfis - Amanora Mall</x:v>
      </x:c>
      <x:c r="F1734" s="12" t="str">
        <x:v>32 inch LED TV</x:v>
      </x:c>
      <x:c r="G1734" s="20" t="n">
        <x:v>1</x:v>
      </x:c>
      <x:c r="H1734" s="12" t="str">
        <x:v>Inventory-listed building/workspace context; current occupancy and screen access unverified</x:v>
      </x:c>
      <x:c r="I1734" s="12" t="str">
        <x:v>Mixed business audience</x:v>
      </x:c>
      <x:c r="J1734" s="12" t="str">
        <x:v>Unresolved</x:v>
      </x:c>
      <x:c r="K1734" s="2" t="str">
        <x:v>MAIN-386</x:v>
      </x:c>
    </x:row>
    <x:row r="1735" ht="46" customHeight="1">
      <x:c r="A1735" s="2" t="str">
        <x:v>TEN-468F13A024BF</x:v>
      </x:c>
      <x:c r="B1735" s="12" t="str">
        <x:v>SQR INFOTECH PVT LTD</x:v>
      </x:c>
      <x:c r="C1735" s="12" t="str">
        <x:v>CORP-0382</x:v>
      </x:c>
      <x:c r="D1735" s="12" t="str">
        <x:v>Pune</x:v>
      </x:c>
      <x:c r="E1735" s="12" t="str">
        <x:v>Awfis - Amanora Mall</x:v>
      </x:c>
      <x:c r="F1735" s="12" t="str">
        <x:v>32 inch LED TV</x:v>
      </x:c>
      <x:c r="G1735" s="20" t="n">
        <x:v>1</x:v>
      </x:c>
      <x:c r="H1735" s="12" t="str">
        <x:v>Inventory-listed building/workspace context; current occupancy and screen access unverified</x:v>
      </x:c>
      <x:c r="I1735" s="12" t="str">
        <x:v>Small-scale prospects</x:v>
      </x:c>
      <x:c r="J1735" s="12" t="str">
        <x:v>IT &amp; digital</x:v>
      </x:c>
      <x:c r="K1735" s="2" t="str">
        <x:v>MAIN-386</x:v>
      </x:c>
    </x:row>
    <x:row r="1736" ht="46" customHeight="1">
      <x:c r="A1736" s="2" t="str">
        <x:v>TEN-4B78498AB581</x:v>
      </x:c>
      <x:c r="B1736" s="12" t="str">
        <x:v>ConnectingDots Infotech</x:v>
      </x:c>
      <x:c r="C1736" s="12" t="str">
        <x:v>CORP-0382</x:v>
      </x:c>
      <x:c r="D1736" s="12" t="str">
        <x:v>Pune</x:v>
      </x:c>
      <x:c r="E1736" s="12" t="str">
        <x:v>Awfis - Amanora Mall</x:v>
      </x:c>
      <x:c r="F1736" s="12" t="str">
        <x:v>32 inch LED TV</x:v>
      </x:c>
      <x:c r="G1736" s="20" t="n">
        <x:v>1</x:v>
      </x:c>
      <x:c r="H1736" s="12" t="str">
        <x:v>Inventory-listed building/workspace context; current occupancy and screen access unverified</x:v>
      </x:c>
      <x:c r="I1736" s="12" t="str">
        <x:v>Small-scale prospects</x:v>
      </x:c>
      <x:c r="J1736" s="12" t="str">
        <x:v>IT &amp; digital</x:v>
      </x:c>
      <x:c r="K1736" s="2" t="str">
        <x:v>MAIN-386</x:v>
      </x:c>
    </x:row>
    <x:row r="1737" ht="46" customHeight="1">
      <x:c r="A1737" s="2" t="str">
        <x:v>TEN-6039480EF58D</x:v>
      </x:c>
      <x:c r="B1737" s="12" t="str">
        <x:v>The Sleep Company Experience Store -Amanora</x:v>
      </x:c>
      <x:c r="C1737" s="12" t="str">
        <x:v>CORP-0382</x:v>
      </x:c>
      <x:c r="D1737" s="12" t="str">
        <x:v>Pune</x:v>
      </x:c>
      <x:c r="E1737" s="12" t="str">
        <x:v>Awfis - Amanora Mall</x:v>
      </x:c>
      <x:c r="F1737" s="12" t="str">
        <x:v>32 inch LED TV</x:v>
      </x:c>
      <x:c r="G1737" s="20" t="n">
        <x:v>1</x:v>
      </x:c>
      <x:c r="H1737" s="12" t="str">
        <x:v>Inventory-listed building/workspace context; current occupancy and screen access unverified</x:v>
      </x:c>
      <x:c r="I1737" s="12" t="str">
        <x:v>Mixed business audience</x:v>
      </x:c>
      <x:c r="J1737" s="12" t="str">
        <x:v>Trade, consumer &amp; logistics</x:v>
      </x:c>
      <x:c r="K1737" s="2" t="str">
        <x:v>MAIN-386</x:v>
      </x:c>
    </x:row>
    <x:row r="1738" ht="46" customHeight="1">
      <x:c r="A1738" s="2" t="str">
        <x:v>TEN-606A7820DBB1</x:v>
      </x:c>
      <x:c r="B1738" s="12" t="str">
        <x:v>Aviabird Technologies Pvt. Ltd</x:v>
      </x:c>
      <x:c r="C1738" s="12" t="str">
        <x:v>CORP-0382</x:v>
      </x:c>
      <x:c r="D1738" s="12" t="str">
        <x:v>Pune</x:v>
      </x:c>
      <x:c r="E1738" s="12" t="str">
        <x:v>Awfis - Amanora Mall</x:v>
      </x:c>
      <x:c r="F1738" s="12" t="str">
        <x:v>32 inch LED TV</x:v>
      </x:c>
      <x:c r="G1738" s="20" t="n">
        <x:v>1</x:v>
      </x:c>
      <x:c r="H1738" s="12" t="str">
        <x:v>Inventory-listed building/workspace context; current occupancy and screen access unverified</x:v>
      </x:c>
      <x:c r="I1738" s="12" t="str">
        <x:v>Small-scale prospects</x:v>
      </x:c>
      <x:c r="J1738" s="12" t="str">
        <x:v>IT &amp; digital</x:v>
      </x:c>
      <x:c r="K1738" s="2" t="str">
        <x:v>MAIN-386</x:v>
      </x:c>
    </x:row>
    <x:row r="1739" ht="46" customHeight="1">
      <x:c r="A1739" s="2" t="str">
        <x:v>TEN-82912B769ADD</x:v>
      </x:c>
      <x:c r="B1739" s="12" t="str">
        <x:v>Symbiotic Technology Solutions Pvt Ltd</x:v>
      </x:c>
      <x:c r="C1739" s="12" t="str">
        <x:v>CORP-0382</x:v>
      </x:c>
      <x:c r="D1739" s="12" t="str">
        <x:v>Pune</x:v>
      </x:c>
      <x:c r="E1739" s="12" t="str">
        <x:v>Awfis - Amanora Mall</x:v>
      </x:c>
      <x:c r="F1739" s="12" t="str">
        <x:v>32 inch LED TV</x:v>
      </x:c>
      <x:c r="G1739" s="20" t="n">
        <x:v>1</x:v>
      </x:c>
      <x:c r="H1739" s="12" t="str">
        <x:v>Inventory-listed building/workspace context; current occupancy and screen access unverified</x:v>
      </x:c>
      <x:c r="I1739" s="12" t="str">
        <x:v>Small-scale prospects</x:v>
      </x:c>
      <x:c r="J1739" s="12" t="str">
        <x:v>IT &amp; digital</x:v>
      </x:c>
      <x:c r="K1739" s="2" t="str">
        <x:v>MAIN-386</x:v>
      </x:c>
    </x:row>
    <x:row r="1740" ht="46" customHeight="1">
      <x:c r="A1740" s="2" t="str">
        <x:v>TEN-945F177BCC3D</x:v>
      </x:c>
      <x:c r="B1740" s="12" t="str">
        <x:v>Anukoolan Solutions</x:v>
      </x:c>
      <x:c r="C1740" s="12" t="str">
        <x:v>CORP-0382</x:v>
      </x:c>
      <x:c r="D1740" s="12" t="str">
        <x:v>Pune</x:v>
      </x:c>
      <x:c r="E1740" s="12" t="str">
        <x:v>Awfis - Amanora Mall</x:v>
      </x:c>
      <x:c r="F1740" s="12" t="str">
        <x:v>32 inch LED TV</x:v>
      </x:c>
      <x:c r="G1740" s="20" t="n">
        <x:v>1</x:v>
      </x:c>
      <x:c r="H1740" s="12" t="str">
        <x:v>Inventory-listed building/workspace context; current occupancy and screen access unverified</x:v>
      </x:c>
      <x:c r="I1740" s="12" t="str">
        <x:v>Mixed business audience</x:v>
      </x:c>
      <x:c r="J1740" s="12" t="str">
        <x:v>Unresolved</x:v>
      </x:c>
      <x:c r="K1740" s="2" t="str">
        <x:v>MAIN-386</x:v>
      </x:c>
    </x:row>
    <x:row r="1741" ht="46" customHeight="1">
      <x:c r="A1741" s="2" t="str">
        <x:v>TEN-9B085FDF9B41</x:v>
      </x:c>
      <x:c r="B1741" s="12" t="str">
        <x:v>CCube9 infotech Pvt. Ltd</x:v>
      </x:c>
      <x:c r="C1741" s="12" t="str">
        <x:v>CORP-0382</x:v>
      </x:c>
      <x:c r="D1741" s="12" t="str">
        <x:v>Pune</x:v>
      </x:c>
      <x:c r="E1741" s="12" t="str">
        <x:v>Awfis - Amanora Mall</x:v>
      </x:c>
      <x:c r="F1741" s="12" t="str">
        <x:v>32 inch LED TV</x:v>
      </x:c>
      <x:c r="G1741" s="20" t="n">
        <x:v>1</x:v>
      </x:c>
      <x:c r="H1741" s="12" t="str">
        <x:v>Inventory-listed building/workspace context; current occupancy and screen access unverified</x:v>
      </x:c>
      <x:c r="I1741" s="12" t="str">
        <x:v>Small-scale prospects</x:v>
      </x:c>
      <x:c r="J1741" s="12" t="str">
        <x:v>IT &amp; digital</x:v>
      </x:c>
      <x:c r="K1741" s="2" t="str">
        <x:v>MAIN-386</x:v>
      </x:c>
    </x:row>
    <x:row r="1742" ht="46" customHeight="1">
      <x:c r="A1742" s="2" t="str">
        <x:v>TEN-C0593D51DA8B</x:v>
      </x:c>
      <x:c r="B1742" s="12" t="str">
        <x:v>Marcomm Essentials</x:v>
      </x:c>
      <x:c r="C1742" s="12" t="str">
        <x:v>CORP-0382</x:v>
      </x:c>
      <x:c r="D1742" s="12" t="str">
        <x:v>Pune</x:v>
      </x:c>
      <x:c r="E1742" s="12" t="str">
        <x:v>Awfis - Amanora Mall</x:v>
      </x:c>
      <x:c r="F1742" s="12" t="str">
        <x:v>32 inch LED TV</x:v>
      </x:c>
      <x:c r="G1742" s="20" t="n">
        <x:v>1</x:v>
      </x:c>
      <x:c r="H1742" s="12" t="str">
        <x:v>Inventory-listed building/workspace context; current occupancy and screen access unverified</x:v>
      </x:c>
      <x:c r="I1742" s="12" t="str">
        <x:v>Small-scale prospects</x:v>
      </x:c>
      <x:c r="J1742" s="12" t="str">
        <x:v>Professional services</x:v>
      </x:c>
      <x:c r="K1742" s="2" t="str">
        <x:v>MAIN-386</x:v>
      </x:c>
    </x:row>
    <x:row r="1743" ht="46" customHeight="1">
      <x:c r="A1743" s="2" t="str">
        <x:v>TEN-F1431134EFB9</x:v>
      </x:c>
      <x:c r="B1743" s="12" t="str">
        <x:v>Enovate IT Outsourcing Pvt Ltd</x:v>
      </x:c>
      <x:c r="C1743" s="12" t="str">
        <x:v>CORP-0382</x:v>
      </x:c>
      <x:c r="D1743" s="12" t="str">
        <x:v>Pune</x:v>
      </x:c>
      <x:c r="E1743" s="12" t="str">
        <x:v>Awfis - Amanora Mall</x:v>
      </x:c>
      <x:c r="F1743" s="12" t="str">
        <x:v>32 inch LED TV</x:v>
      </x:c>
      <x:c r="G1743" s="20" t="n">
        <x:v>1</x:v>
      </x:c>
      <x:c r="H1743" s="12" t="str">
        <x:v>Inventory-listed building/workspace context; current occupancy and screen access unverified</x:v>
      </x:c>
      <x:c r="I1743" s="12" t="str">
        <x:v>Small-scale prospects</x:v>
      </x:c>
      <x:c r="J1743" s="12" t="str">
        <x:v>IT &amp; digital</x:v>
      </x:c>
      <x:c r="K1743" s="2" t="str">
        <x:v>MAIN-386</x:v>
      </x:c>
    </x:row>
    <x:row r="1744" ht="46" customHeight="1">
      <x:c r="A1744" s="2" t="str">
        <x:v>TEN-FDDB23A263CE</x:v>
      </x:c>
      <x:c r="B1744" s="12" t="str">
        <x:v>NutaNXT Technologies India</x:v>
      </x:c>
      <x:c r="C1744" s="12" t="str">
        <x:v>CORP-0382</x:v>
      </x:c>
      <x:c r="D1744" s="12" t="str">
        <x:v>Pune</x:v>
      </x:c>
      <x:c r="E1744" s="12" t="str">
        <x:v>Awfis - Amanora Mall</x:v>
      </x:c>
      <x:c r="F1744" s="12" t="str">
        <x:v>32 inch LED TV</x:v>
      </x:c>
      <x:c r="G1744" s="20" t="n">
        <x:v>1</x:v>
      </x:c>
      <x:c r="H1744" s="12" t="str">
        <x:v>Inventory-listed building/workspace context; current occupancy and screen access unverified</x:v>
      </x:c>
      <x:c r="I1744" s="12" t="str">
        <x:v>Small-scale prospects</x:v>
      </x:c>
      <x:c r="J1744" s="12" t="str">
        <x:v>IT &amp; digital</x:v>
      </x:c>
      <x:c r="K1744" s="2" t="str">
        <x:v>MAIN-386</x:v>
      </x:c>
    </x:row>
    <x:row r="1745" ht="46" customHeight="1">
      <x:c r="A1745" s="2" t="str">
        <x:v>TEN-298147A4B3E2</x:v>
      </x:c>
      <x:c r="B1745" s="12" t="str">
        <x:v>Awfis</x:v>
      </x:c>
      <x:c r="C1745" s="12" t="str">
        <x:v>CORP-0383</x:v>
      </x:c>
      <x:c r="D1745" s="12" t="str">
        <x:v>Pune</x:v>
      </x:c>
      <x:c r="E1745" s="12" t="str">
        <x:v>Awfis - Baner Business Bay</x:v>
      </x:c>
      <x:c r="F1745" s="12" t="str">
        <x:v>32 inch LED TV</x:v>
      </x:c>
      <x:c r="G1745" s="20" t="n">
        <x:v>1</x:v>
      </x:c>
      <x:c r="H1745" s="12" t="str">
        <x:v>Workspace operator inferred from explicit property name; tenant occupants unconfirmed</x:v>
      </x:c>
      <x:c r="I1745" s="12" t="str">
        <x:v>Mixed business audience</x:v>
      </x:c>
      <x:c r="J1745" s="12" t="str">
        <x:v>Workspace &amp; property operations</x:v>
      </x:c>
      <x:c r="K1745" s="2" t="str">
        <x:v>MAIN-387</x:v>
      </x:c>
    </x:row>
    <x:row r="1746" ht="46" customHeight="1">
      <x:c r="A1746" s="2" t="str">
        <x:v>TEN-32436E849088</x:v>
      </x:c>
      <x:c r="B1746" s="12" t="str">
        <x:v>WeEn Semiconductors</x:v>
      </x:c>
      <x:c r="C1746" s="12" t="str">
        <x:v>CORP-0384</x:v>
      </x:c>
      <x:c r="D1746" s="12" t="str">
        <x:v>Pune</x:v>
      </x:c>
      <x:c r="E1746" s="12" t="str">
        <x:v>Awfis - GK Mall</x:v>
      </x:c>
      <x:c r="F1746" s="12" t="str">
        <x:v>32 inch LED TV</x:v>
      </x:c>
      <x:c r="G1746" s="20" t="n">
        <x:v>2</x:v>
      </x:c>
      <x:c r="H1746" s="12" t="str">
        <x:v>Inventory-listed building/workspace context; current occupancy and screen access unverified</x:v>
      </x:c>
      <x:c r="I1746" s="12" t="str">
        <x:v>Mixed business audience</x:v>
      </x:c>
      <x:c r="J1746" s="12" t="str">
        <x:v>Engineering &amp; manufacturing</x:v>
      </x:c>
      <x:c r="K1746" s="2" t="str">
        <x:v>MAIN-388</x:v>
      </x:c>
    </x:row>
    <x:row r="1747" ht="46" customHeight="1">
      <x:c r="A1747" s="2" t="str">
        <x:v>TEN-5E5F0F62ACE8</x:v>
      </x:c>
      <x:c r="B1747" s="12" t="str">
        <x:v>Aims Digital Services</x:v>
      </x:c>
      <x:c r="C1747" s="12" t="str">
        <x:v>CORP-0384</x:v>
      </x:c>
      <x:c r="D1747" s="12" t="str">
        <x:v>Pune</x:v>
      </x:c>
      <x:c r="E1747" s="12" t="str">
        <x:v>Awfis - GK Mall</x:v>
      </x:c>
      <x:c r="F1747" s="12" t="str">
        <x:v>32 inch LED TV</x:v>
      </x:c>
      <x:c r="G1747" s="20" t="n">
        <x:v>2</x:v>
      </x:c>
      <x:c r="H1747" s="12" t="str">
        <x:v>Inventory-listed building/workspace context; current occupancy and screen access unverified</x:v>
      </x:c>
      <x:c r="I1747" s="12" t="str">
        <x:v>Small-scale prospects</x:v>
      </x:c>
      <x:c r="J1747" s="12" t="str">
        <x:v>IT &amp; digital</x:v>
      </x:c>
      <x:c r="K1747" s="2" t="str">
        <x:v>MAIN-388</x:v>
      </x:c>
    </x:row>
    <x:row r="1748" ht="46" customHeight="1">
      <x:c r="A1748" s="2" t="str">
        <x:v>TEN-CB5214A112D9</x:v>
      </x:c>
      <x:c r="B1748" s="12" t="str">
        <x:v>Brand Studios (Atlas Copco Group)</x:v>
      </x:c>
      <x:c r="C1748" s="12" t="str">
        <x:v>CORP-0384</x:v>
      </x:c>
      <x:c r="D1748" s="12" t="str">
        <x:v>Pune</x:v>
      </x:c>
      <x:c r="E1748" s="12" t="str">
        <x:v>Awfis - GK Mall</x:v>
      </x:c>
      <x:c r="F1748" s="12" t="str">
        <x:v>32 inch LED TV</x:v>
      </x:c>
      <x:c r="G1748" s="20" t="n">
        <x:v>2</x:v>
      </x:c>
      <x:c r="H1748" s="12" t="str">
        <x:v>Inventory-listed building/workspace context; current occupancy and screen access unverified</x:v>
      </x:c>
      <x:c r="I1748" s="12" t="str">
        <x:v>Mixed business audience</x:v>
      </x:c>
      <x:c r="J1748" s="12" t="str">
        <x:v>Engineering &amp; manufacturing</x:v>
      </x:c>
      <x:c r="K1748" s="2" t="str">
        <x:v>MAIN-388</x:v>
      </x:c>
    </x:row>
    <x:row r="1749" ht="46" customHeight="1">
      <x:c r="A1749" s="2" t="str">
        <x:v>TEN-0326E980B70D</x:v>
      </x:c>
      <x:c r="B1749" s="12" t="str">
        <x:v>Percivon Technologies Pvt Ltd Pune (India)</x:v>
      </x:c>
      <x:c r="C1749" s="12" t="str">
        <x:v>CORP-0385</x:v>
      </x:c>
      <x:c r="D1749" s="12" t="str">
        <x:v>Pune</x:v>
      </x:c>
      <x:c r="E1749" s="12" t="str">
        <x:v>Awfis - Nyati Empress</x:v>
      </x:c>
      <x:c r="F1749" s="12" t="str">
        <x:v>32 inch LED TV</x:v>
      </x:c>
      <x:c r="G1749" s="20" t="n">
        <x:v>2</x:v>
      </x:c>
      <x:c r="H1749" s="12" t="str">
        <x:v>Inventory-listed building/workspace context; current occupancy and screen access unverified</x:v>
      </x:c>
      <x:c r="I1749" s="12" t="str">
        <x:v>Mixed business audience</x:v>
      </x:c>
      <x:c r="J1749" s="12" t="str">
        <x:v>Unresolved</x:v>
      </x:c>
      <x:c r="K1749" s="2" t="str">
        <x:v>MAIN-389</x:v>
      </x:c>
    </x:row>
    <x:row r="1750" ht="46" customHeight="1">
      <x:c r="A1750" s="2" t="str">
        <x:v>TEN-06727277697A</x:v>
      </x:c>
      <x:c r="B1750" s="12" t="str">
        <x:v>Unique School App India LLP</x:v>
      </x:c>
      <x:c r="C1750" s="12" t="str">
        <x:v>CORP-0385</x:v>
      </x:c>
      <x:c r="D1750" s="12" t="str">
        <x:v>Pune</x:v>
      </x:c>
      <x:c r="E1750" s="12" t="str">
        <x:v>Awfis - Nyati Empress</x:v>
      </x:c>
      <x:c r="F1750" s="12" t="str">
        <x:v>32 inch LED TV</x:v>
      </x:c>
      <x:c r="G1750" s="20" t="n">
        <x:v>2</x:v>
      </x:c>
      <x:c r="H1750" s="12" t="str">
        <x:v>Inventory-listed building/workspace context; current occupancy and screen access unverified</x:v>
      </x:c>
      <x:c r="I1750" s="12" t="str">
        <x:v>Small-scale prospects</x:v>
      </x:c>
      <x:c r="J1750" s="12" t="str">
        <x:v>Education</x:v>
      </x:c>
      <x:c r="K1750" s="2" t="str">
        <x:v>MAIN-389</x:v>
      </x:c>
    </x:row>
    <x:row r="1751" ht="46" customHeight="1">
      <x:c r="A1751" s="2" t="str">
        <x:v>TEN-2998ED5504A1</x:v>
      </x:c>
      <x:c r="B1751" s="12" t="str">
        <x:v>Maestro Realtek</x:v>
      </x:c>
      <x:c r="C1751" s="12" t="str">
        <x:v>CORP-0385</x:v>
      </x:c>
      <x:c r="D1751" s="12" t="str">
        <x:v>Pune</x:v>
      </x:c>
      <x:c r="E1751" s="12" t="str">
        <x:v>Awfis - Nyati Empress</x:v>
      </x:c>
      <x:c r="F1751" s="12" t="str">
        <x:v>32 inch LED TV</x:v>
      </x:c>
      <x:c r="G1751" s="20" t="n">
        <x:v>2</x:v>
      </x:c>
      <x:c r="H1751" s="12" t="str">
        <x:v>Inventory-listed building/workspace context; current occupancy and screen access unverified</x:v>
      </x:c>
      <x:c r="I1751" s="12" t="str">
        <x:v>Small-scale prospects</x:v>
      </x:c>
      <x:c r="J1751" s="12" t="str">
        <x:v>Trade, consumer &amp; logistics</x:v>
      </x:c>
      <x:c r="K1751" s="2" t="str">
        <x:v>MAIN-389</x:v>
      </x:c>
    </x:row>
    <x:row r="1752" ht="46" customHeight="1">
      <x:c r="A1752" s="2" t="str">
        <x:v>TEN-38C0CE06A8BC</x:v>
      </x:c>
      <x:c r="B1752" s="12" t="str">
        <x:v>Assystem Stup</x:v>
      </x:c>
      <x:c r="C1752" s="12" t="str">
        <x:v>CORP-0385</x:v>
      </x:c>
      <x:c r="D1752" s="12" t="str">
        <x:v>Pune</x:v>
      </x:c>
      <x:c r="E1752" s="12" t="str">
        <x:v>Awfis - Nyati Empress</x:v>
      </x:c>
      <x:c r="F1752" s="12" t="str">
        <x:v>32 inch LED TV</x:v>
      </x:c>
      <x:c r="G1752" s="20" t="n">
        <x:v>2</x:v>
      </x:c>
      <x:c r="H1752" s="12" t="str">
        <x:v>Inventory-listed building/workspace context; current occupancy and screen access unverified</x:v>
      </x:c>
      <x:c r="I1752" s="12" t="str">
        <x:v>Mixed business audience</x:v>
      </x:c>
      <x:c r="J1752" s="12" t="str">
        <x:v>Engineering &amp; manufacturing</x:v>
      </x:c>
      <x:c r="K1752" s="2" t="str">
        <x:v>MAIN-389</x:v>
      </x:c>
    </x:row>
    <x:row r="1753" ht="46" customHeight="1">
      <x:c r="A1753" s="2" t="str">
        <x:v>TEN-6969B4A0FF58</x:v>
      </x:c>
      <x:c r="B1753" s="12" t="str">
        <x:v>RadarSoft Technologies LLP</x:v>
      </x:c>
      <x:c r="C1753" s="12" t="str">
        <x:v>CORP-0385</x:v>
      </x:c>
      <x:c r="D1753" s="12" t="str">
        <x:v>Pune</x:v>
      </x:c>
      <x:c r="E1753" s="12" t="str">
        <x:v>Awfis - Nyati Empress</x:v>
      </x:c>
      <x:c r="F1753" s="12" t="str">
        <x:v>32 inch LED TV</x:v>
      </x:c>
      <x:c r="G1753" s="20" t="n">
        <x:v>2</x:v>
      </x:c>
      <x:c r="H1753" s="12" t="str">
        <x:v>Inventory-listed building/workspace context; current occupancy and screen access unverified</x:v>
      </x:c>
      <x:c r="I1753" s="12" t="str">
        <x:v>Mixed business audience</x:v>
      </x:c>
      <x:c r="J1753" s="12" t="str">
        <x:v>Unresolved</x:v>
      </x:c>
      <x:c r="K1753" s="2" t="str">
        <x:v>MAIN-389</x:v>
      </x:c>
    </x:row>
    <x:row r="1754" ht="46" customHeight="1">
      <x:c r="A1754" s="2" t="str">
        <x:v>TEN-7415B9829C2E</x:v>
      </x:c>
      <x:c r="B1754" s="12" t="str">
        <x:v>Motion Education Vimannagar</x:v>
      </x:c>
      <x:c r="C1754" s="12" t="str">
        <x:v>CORP-0385</x:v>
      </x:c>
      <x:c r="D1754" s="12" t="str">
        <x:v>Pune</x:v>
      </x:c>
      <x:c r="E1754" s="12" t="str">
        <x:v>Awfis - Nyati Empress</x:v>
      </x:c>
      <x:c r="F1754" s="12" t="str">
        <x:v>32 inch LED TV</x:v>
      </x:c>
      <x:c r="G1754" s="20" t="n">
        <x:v>2</x:v>
      </x:c>
      <x:c r="H1754" s="12" t="str">
        <x:v>Inventory-listed building/workspace context; current occupancy and screen access unverified</x:v>
      </x:c>
      <x:c r="I1754" s="12" t="str">
        <x:v>Mixed business audience</x:v>
      </x:c>
      <x:c r="J1754" s="12" t="str">
        <x:v>Education</x:v>
      </x:c>
      <x:c r="K1754" s="2" t="str">
        <x:v>MAIN-389</x:v>
      </x:c>
    </x:row>
    <x:row r="1755" ht="46" customHeight="1">
      <x:c r="A1755" s="2" t="str">
        <x:v>TEN-8304F5E570A0</x:v>
      </x:c>
      <x:c r="B1755" s="12" t="str">
        <x:v>Synpulse India Pvt Ltd</x:v>
      </x:c>
      <x:c r="C1755" s="12" t="str">
        <x:v>CORP-0385</x:v>
      </x:c>
      <x:c r="D1755" s="12" t="str">
        <x:v>Pune</x:v>
      </x:c>
      <x:c r="E1755" s="12" t="str">
        <x:v>Awfis - Nyati Empress</x:v>
      </x:c>
      <x:c r="F1755" s="12" t="str">
        <x:v>32 inch LED TV</x:v>
      </x:c>
      <x:c r="G1755" s="20" t="n">
        <x:v>2</x:v>
      </x:c>
      <x:c r="H1755" s="12" t="str">
        <x:v>Inventory-listed building/workspace context; current occupancy and screen access unverified</x:v>
      </x:c>
      <x:c r="I1755" s="12" t="str">
        <x:v>Mixed business audience</x:v>
      </x:c>
      <x:c r="J1755" s="12" t="str">
        <x:v>Unresolved</x:v>
      </x:c>
      <x:c r="K1755" s="2" t="str">
        <x:v>MAIN-389</x:v>
      </x:c>
    </x:row>
    <x:row r="1756" ht="46" customHeight="1">
      <x:c r="A1756" s="2" t="str">
        <x:v>TEN-83D4208E08C1</x:v>
      </x:c>
      <x:c r="B1756" s="12" t="str">
        <x:v>Fortis Links LLP</x:v>
      </x:c>
      <x:c r="C1756" s="12" t="str">
        <x:v>CORP-0385</x:v>
      </x:c>
      <x:c r="D1756" s="12" t="str">
        <x:v>Pune</x:v>
      </x:c>
      <x:c r="E1756" s="12" t="str">
        <x:v>Awfis - Nyati Empress</x:v>
      </x:c>
      <x:c r="F1756" s="12" t="str">
        <x:v>32 inch LED TV</x:v>
      </x:c>
      <x:c r="G1756" s="20" t="n">
        <x:v>2</x:v>
      </x:c>
      <x:c r="H1756" s="12" t="str">
        <x:v>Inventory-listed building/workspace context; current occupancy and screen access unverified</x:v>
      </x:c>
      <x:c r="I1756" s="12" t="str">
        <x:v>Mixed business audience</x:v>
      </x:c>
      <x:c r="J1756" s="12" t="str">
        <x:v>Unresolved</x:v>
      </x:c>
      <x:c r="K1756" s="2" t="str">
        <x:v>MAIN-389</x:v>
      </x:c>
    </x:row>
    <x:row r="1757" ht="46" customHeight="1">
      <x:c r="A1757" s="2" t="str">
        <x:v>TEN-90FAE2E6BE07</x:v>
      </x:c>
      <x:c r="B1757" s="12" t="str">
        <x:v>AMEYA ASSOCIATES LLP</x:v>
      </x:c>
      <x:c r="C1757" s="12" t="str">
        <x:v>CORP-0385</x:v>
      </x:c>
      <x:c r="D1757" s="12" t="str">
        <x:v>Pune</x:v>
      </x:c>
      <x:c r="E1757" s="12" t="str">
        <x:v>Awfis - Nyati Empress</x:v>
      </x:c>
      <x:c r="F1757" s="12" t="str">
        <x:v>32 inch LED TV</x:v>
      </x:c>
      <x:c r="G1757" s="20" t="n">
        <x:v>2</x:v>
      </x:c>
      <x:c r="H1757" s="12" t="str">
        <x:v>Inventory-listed building/workspace context; current occupancy and screen access unverified</x:v>
      </x:c>
      <x:c r="I1757" s="12" t="str">
        <x:v>Mixed business audience</x:v>
      </x:c>
      <x:c r="J1757" s="12" t="str">
        <x:v>Unresolved</x:v>
      </x:c>
      <x:c r="K1757" s="2" t="str">
        <x:v>MAIN-389</x:v>
      </x:c>
    </x:row>
    <x:row r="1758" ht="46" customHeight="1">
      <x:c r="A1758" s="2" t="str">
        <x:v>TEN-9C6170918FFD</x:v>
      </x:c>
      <x:c r="B1758" s="12" t="str">
        <x:v>Convergint India Pvt. Ltd</x:v>
      </x:c>
      <x:c r="C1758" s="12" t="str">
        <x:v>CORP-0385</x:v>
      </x:c>
      <x:c r="D1758" s="12" t="str">
        <x:v>Pune</x:v>
      </x:c>
      <x:c r="E1758" s="12" t="str">
        <x:v>Awfis - Nyati Empress</x:v>
      </x:c>
      <x:c r="F1758" s="12" t="str">
        <x:v>32 inch LED TV</x:v>
      </x:c>
      <x:c r="G1758" s="20" t="n">
        <x:v>2</x:v>
      </x:c>
      <x:c r="H1758" s="12" t="str">
        <x:v>Inventory-listed building/workspace context; current occupancy and screen access unverified</x:v>
      </x:c>
      <x:c r="I1758" s="12" t="str">
        <x:v>Mixed business audience</x:v>
      </x:c>
      <x:c r="J1758" s="12" t="str">
        <x:v>IT &amp; digital</x:v>
      </x:c>
      <x:c r="K1758" s="2" t="str">
        <x:v>MAIN-389</x:v>
      </x:c>
    </x:row>
    <x:row r="1759" ht="46" customHeight="1">
      <x:c r="A1759" s="2" t="str">
        <x:v>TEN-6228A5824A1E</x:v>
      </x:c>
      <x:c r="B1759" s="12" t="str">
        <x:v>Morgan Stanley</x:v>
      </x:c>
      <x:c r="C1759" s="12" t="str">
        <x:v>CORP-0035</x:v>
      </x:c>
      <x:c r="D1759" s="12" t="str">
        <x:v>Bengaluru</x:v>
      </x:c>
      <x:c r="E1759" s="12" t="str">
        <x:v>Brookfield - EcoWorld</x:v>
      </x:c>
      <x:c r="F1759" s="12" t="str">
        <x:v>55 inch LED TV</x:v>
      </x:c>
      <x:c r="G1759" s="20" t="n">
        <x:v>16</x:v>
      </x:c>
      <x:c r="H1759" s="12" t="str">
        <x:v>Company-listed tower/campus context; exact screen access unverified</x:v>
      </x:c>
      <x:c r="I1759" s="12" t="str">
        <x:v>Large enterprise</x:v>
      </x:c>
      <x:c r="J1759" s="12" t="str">
        <x:v>Finance &amp; insurance</x:v>
      </x:c>
      <x:c r="K1759" s="2" t="str">
        <x:v>MAIN-039</x:v>
      </x:c>
    </x:row>
    <x:row r="1760" ht="46" customHeight="1">
      <x:c r="A1760" s="2" t="str">
        <x:v>TEN-CB8F9497136D</x:v>
      </x:c>
      <x:c r="B1760" s="12" t="str">
        <x:v>Cadence Design Systems (I) Pvt Ltd</x:v>
      </x:c>
      <x:c r="C1760" s="12" t="str">
        <x:v>CORP-0035</x:v>
      </x:c>
      <x:c r="D1760" s="12" t="str">
        <x:v>Bengaluru</x:v>
      </x:c>
      <x:c r="E1760" s="12" t="str">
        <x:v>Brookfield - EcoWorld</x:v>
      </x:c>
      <x:c r="F1760" s="12" t="str">
        <x:v>55 inch LED TV</x:v>
      </x:c>
      <x:c r="G1760" s="20" t="n">
        <x:v>16</x:v>
      </x:c>
      <x:c r="H1760" s="12" t="str">
        <x:v>Company-listed tower/campus context; exact screen access unverified</x:v>
      </x:c>
      <x:c r="I1760" s="12" t="str">
        <x:v>Large enterprise</x:v>
      </x:c>
      <x:c r="J1760" s="12" t="str">
        <x:v>Engineering &amp; manufacturing</x:v>
      </x:c>
      <x:c r="K1760" s="2" t="str">
        <x:v>MAIN-039</x:v>
      </x:c>
    </x:row>
    <x:row r="1761" ht="46" customHeight="1">
      <x:c r="A1761" s="2" t="str">
        <x:v>TEN-E1F3AEFC4A1F</x:v>
      </x:c>
      <x:c r="B1761" s="12" t="str">
        <x:v>Capgemini Technology Services India Limited</x:v>
      </x:c>
      <x:c r="C1761" s="12" t="str">
        <x:v>CORP-0035</x:v>
      </x:c>
      <x:c r="D1761" s="12" t="str">
        <x:v>Bengaluru</x:v>
      </x:c>
      <x:c r="E1761" s="12" t="str">
        <x:v>Brookfield - EcoWorld</x:v>
      </x:c>
      <x:c r="F1761" s="12" t="str">
        <x:v>55 inch LED TV</x:v>
      </x:c>
      <x:c r="G1761" s="20" t="n">
        <x:v>16</x:v>
      </x:c>
      <x:c r="H1761" s="12" t="str">
        <x:v>Company-listed tower/campus context; exact screen access unverified</x:v>
      </x:c>
      <x:c r="I1761" s="12" t="str">
        <x:v>Large enterprise</x:v>
      </x:c>
      <x:c r="J1761" s="12" t="str">
        <x:v>IT &amp; digital</x:v>
      </x:c>
      <x:c r="K1761" s="2" t="str">
        <x:v>MAIN-039</x:v>
      </x:c>
    </x:row>
    <x:row r="1762" ht="46" customHeight="1">
      <x:c r="A1762" s="2" t="str">
        <x:v>TEN-E2FECF32E1CD</x:v>
      </x:c>
      <x:c r="B1762" s="12" t="str">
        <x:v>COWRKS India Private Limited</x:v>
      </x:c>
      <x:c r="C1762" s="12" t="str">
        <x:v>CORP-0035</x:v>
      </x:c>
      <x:c r="D1762" s="12" t="str">
        <x:v>Bengaluru</x:v>
      </x:c>
      <x:c r="E1762" s="12" t="str">
        <x:v>Brookfield - EcoWorld</x:v>
      </x:c>
      <x:c r="F1762" s="12" t="str">
        <x:v>55 inch LED TV</x:v>
      </x:c>
      <x:c r="G1762" s="20" t="n">
        <x:v>16</x:v>
      </x:c>
      <x:c r="H1762" s="12" t="str">
        <x:v>Company-listed tower/campus context; exact screen access unverified</x:v>
      </x:c>
      <x:c r="I1762" s="12" t="str">
        <x:v>Mixed business audience</x:v>
      </x:c>
      <x:c r="J1762" s="12" t="str">
        <x:v>Workspace &amp; property operations</x:v>
      </x:c>
      <x:c r="K1762" s="2" t="str">
        <x:v>MAIN-039</x:v>
      </x:c>
    </x:row>
    <x:row r="1763" ht="46" customHeight="1">
      <x:c r="A1763" s="2" t="str">
        <x:v>TEN-0BF65E02B55B</x:v>
      </x:c>
      <x:c r="B1763" s="12" t="str">
        <x:v>Reliance digital</x:v>
      </x:c>
      <x:c r="C1763" s="12" t="str">
        <x:v>CORP-0386</x:v>
      </x:c>
      <x:c r="D1763" s="12" t="str">
        <x:v>Pune</x:v>
      </x:c>
      <x:c r="E1763" s="12" t="str">
        <x:v>Awfis - Que Spaces</x:v>
      </x:c>
      <x:c r="F1763" s="12" t="str">
        <x:v>32 inch LED TV</x:v>
      </x:c>
      <x:c r="G1763" s="20" t="n">
        <x:v>1</x:v>
      </x:c>
      <x:c r="H1763" s="12" t="str">
        <x:v>Inventory-listed building/workspace context; current occupancy and screen access unverified</x:v>
      </x:c>
      <x:c r="I1763" s="12" t="str">
        <x:v>Large enterprise</x:v>
      </x:c>
      <x:c r="J1763" s="12" t="str">
        <x:v>Trade, consumer &amp; logistics</x:v>
      </x:c>
      <x:c r="K1763" s="2" t="str">
        <x:v>MAIN-390</x:v>
      </x:c>
    </x:row>
    <x:row r="1764" ht="46" customHeight="1">
      <x:c r="A1764" s="2" t="str">
        <x:v>TEN-177143D144A7</x:v>
      </x:c>
      <x:c r="B1764" s="12" t="str">
        <x:v>Marieclaire</x:v>
      </x:c>
      <x:c r="C1764" s="12" t="str">
        <x:v>CORP-0386</x:v>
      </x:c>
      <x:c r="D1764" s="12" t="str">
        <x:v>Pune</x:v>
      </x:c>
      <x:c r="E1764" s="12" t="str">
        <x:v>Awfis - Que Spaces</x:v>
      </x:c>
      <x:c r="F1764" s="12" t="str">
        <x:v>32 inch LED TV</x:v>
      </x:c>
      <x:c r="G1764" s="20" t="n">
        <x:v>1</x:v>
      </x:c>
      <x:c r="H1764" s="12" t="str">
        <x:v>Inventory-listed building/workspace context; current occupancy and screen access unverified</x:v>
      </x:c>
      <x:c r="I1764" s="12" t="str">
        <x:v>Mixed business audience</x:v>
      </x:c>
      <x:c r="J1764" s="12" t="str">
        <x:v>Trade, consumer &amp; logistics</x:v>
      </x:c>
      <x:c r="K1764" s="2" t="str">
        <x:v>MAIN-390</x:v>
      </x:c>
    </x:row>
    <x:row r="1765" ht="46" customHeight="1">
      <x:c r="A1765" s="2" t="str">
        <x:v>TEN-17EF62BE4FAF</x:v>
      </x:c>
      <x:c r="B1765" s="12" t="str">
        <x:v>croma</x:v>
      </x:c>
      <x:c r="C1765" s="12" t="str">
        <x:v>CORP-0386</x:v>
      </x:c>
      <x:c r="D1765" s="12" t="str">
        <x:v>Pune</x:v>
      </x:c>
      <x:c r="E1765" s="12" t="str">
        <x:v>Awfis - Que Spaces</x:v>
      </x:c>
      <x:c r="F1765" s="12" t="str">
        <x:v>32 inch LED TV</x:v>
      </x:c>
      <x:c r="G1765" s="20" t="n">
        <x:v>1</x:v>
      </x:c>
      <x:c r="H1765" s="12" t="str">
        <x:v>Inventory-listed building/workspace context; current occupancy and screen access unverified</x:v>
      </x:c>
      <x:c r="I1765" s="12" t="str">
        <x:v>Large enterprise</x:v>
      </x:c>
      <x:c r="J1765" s="12" t="str">
        <x:v>Trade, consumer &amp; logistics</x:v>
      </x:c>
      <x:c r="K1765" s="2" t="str">
        <x:v>MAIN-390</x:v>
      </x:c>
    </x:row>
    <x:row r="1766" ht="46" customHeight="1">
      <x:c r="A1766" s="2" t="str">
        <x:v>TEN-1CC4F645DA2D</x:v>
      </x:c>
      <x:c r="B1766" s="12" t="str">
        <x:v>pantaloons</x:v>
      </x:c>
      <x:c r="C1766" s="12" t="str">
        <x:v>CORP-0386</x:v>
      </x:c>
      <x:c r="D1766" s="12" t="str">
        <x:v>Pune</x:v>
      </x:c>
      <x:c r="E1766" s="12" t="str">
        <x:v>Awfis - Que Spaces</x:v>
      </x:c>
      <x:c r="F1766" s="12" t="str">
        <x:v>32 inch LED TV</x:v>
      </x:c>
      <x:c r="G1766" s="20" t="n">
        <x:v>1</x:v>
      </x:c>
      <x:c r="H1766" s="12" t="str">
        <x:v>Inventory-listed building/workspace context; current occupancy and screen access unverified</x:v>
      </x:c>
      <x:c r="I1766" s="12" t="str">
        <x:v>Mixed business audience</x:v>
      </x:c>
      <x:c r="J1766" s="12" t="str">
        <x:v>Trade, consumer &amp; logistics</x:v>
      </x:c>
      <x:c r="K1766" s="2" t="str">
        <x:v>MAIN-390</x:v>
      </x:c>
    </x:row>
    <x:row r="1767" ht="46" customHeight="1">
      <x:c r="A1767" s="2" t="str">
        <x:v>TEN-400B12B9213E</x:v>
      </x:c>
      <x:c r="B1767" s="12" t="str">
        <x:v>Shopper stop</x:v>
      </x:c>
      <x:c r="C1767" s="12" t="str">
        <x:v>CORP-0386</x:v>
      </x:c>
      <x:c r="D1767" s="12" t="str">
        <x:v>Pune</x:v>
      </x:c>
      <x:c r="E1767" s="12" t="str">
        <x:v>Awfis - Que Spaces</x:v>
      </x:c>
      <x:c r="F1767" s="12" t="str">
        <x:v>32 inch LED TV</x:v>
      </x:c>
      <x:c r="G1767" s="20" t="n">
        <x:v>1</x:v>
      </x:c>
      <x:c r="H1767" s="12" t="str">
        <x:v>Inventory-listed building/workspace context; current occupancy and screen access unverified</x:v>
      </x:c>
      <x:c r="I1767" s="12" t="str">
        <x:v>Mixed business audience</x:v>
      </x:c>
      <x:c r="J1767" s="12" t="str">
        <x:v>Trade, consumer &amp; logistics</x:v>
      </x:c>
      <x:c r="K1767" s="2" t="str">
        <x:v>MAIN-390</x:v>
      </x:c>
    </x:row>
    <x:row r="1768" ht="46" customHeight="1">
      <x:c r="A1768" s="2" t="str">
        <x:v>TEN-44D980DAC028</x:v>
      </x:c>
      <x:c r="B1768" s="12" t="str">
        <x:v>Regal</x:v>
      </x:c>
      <x:c r="C1768" s="12" t="str">
        <x:v>CORP-0386</x:v>
      </x:c>
      <x:c r="D1768" s="12" t="str">
        <x:v>Pune</x:v>
      </x:c>
      <x:c r="E1768" s="12" t="str">
        <x:v>Awfis - Que Spaces</x:v>
      </x:c>
      <x:c r="F1768" s="12" t="str">
        <x:v>32 inch LED TV</x:v>
      </x:c>
      <x:c r="G1768" s="20" t="n">
        <x:v>1</x:v>
      </x:c>
      <x:c r="H1768" s="12" t="str">
        <x:v>Inventory-listed building/workspace context; current occupancy and screen access unverified</x:v>
      </x:c>
      <x:c r="I1768" s="12" t="str">
        <x:v>Mixed business audience</x:v>
      </x:c>
      <x:c r="J1768" s="12" t="str">
        <x:v>Unresolved</x:v>
      </x:c>
      <x:c r="K1768" s="2" t="str">
        <x:v>MAIN-390</x:v>
      </x:c>
    </x:row>
    <x:row r="1769" ht="46" customHeight="1">
      <x:c r="A1769" s="2" t="str">
        <x:v>TEN-4DEC05E892A7</x:v>
      </x:c>
      <x:c r="B1769" s="12" t="str">
        <x:v>trends</x:v>
      </x:c>
      <x:c r="C1769" s="12" t="str">
        <x:v>CORP-0386</x:v>
      </x:c>
      <x:c r="D1769" s="12" t="str">
        <x:v>Pune</x:v>
      </x:c>
      <x:c r="E1769" s="12" t="str">
        <x:v>Awfis - Que Spaces</x:v>
      </x:c>
      <x:c r="F1769" s="12" t="str">
        <x:v>32 inch LED TV</x:v>
      </x:c>
      <x:c r="G1769" s="20" t="n">
        <x:v>1</x:v>
      </x:c>
      <x:c r="H1769" s="12" t="str">
        <x:v>Inventory-listed building/workspace context; current occupancy and screen access unverified</x:v>
      </x:c>
      <x:c r="I1769" s="12" t="str">
        <x:v>Small-scale prospects</x:v>
      </x:c>
      <x:c r="J1769" s="12" t="str">
        <x:v>Trade, consumer &amp; logistics</x:v>
      </x:c>
      <x:c r="K1769" s="2" t="str">
        <x:v>MAIN-390</x:v>
      </x:c>
    </x:row>
    <x:row r="1770" ht="46" customHeight="1">
      <x:c r="A1770" s="2" t="str">
        <x:v>TEN-61A78304B3C4</x:v>
      </x:c>
      <x:c r="B1770" s="12" t="str">
        <x:v>Lifestyle</x:v>
      </x:c>
      <x:c r="C1770" s="12" t="str">
        <x:v>CORP-0386</x:v>
      </x:c>
      <x:c r="D1770" s="12" t="str">
        <x:v>Pune</x:v>
      </x:c>
      <x:c r="E1770" s="12" t="str">
        <x:v>Awfis - Que Spaces</x:v>
      </x:c>
      <x:c r="F1770" s="12" t="str">
        <x:v>32 inch LED TV</x:v>
      </x:c>
      <x:c r="G1770" s="20" t="n">
        <x:v>1</x:v>
      </x:c>
      <x:c r="H1770" s="12" t="str">
        <x:v>Inventory-listed building/workspace context; current occupancy and screen access unverified</x:v>
      </x:c>
      <x:c r="I1770" s="12" t="str">
        <x:v>Mixed business audience</x:v>
      </x:c>
      <x:c r="J1770" s="12" t="str">
        <x:v>Trade, consumer &amp; logistics</x:v>
      </x:c>
      <x:c r="K1770" s="2" t="str">
        <x:v>MAIN-390</x:v>
      </x:c>
    </x:row>
    <x:row r="1771" ht="46" customHeight="1">
      <x:c r="A1771" s="2" t="str">
        <x:v>TEN-76D9D5E81093</x:v>
      </x:c>
      <x:c r="B1771" s="12" t="str">
        <x:v>i venus</x:v>
      </x:c>
      <x:c r="C1771" s="12" t="str">
        <x:v>CORP-0386</x:v>
      </x:c>
      <x:c r="D1771" s="12" t="str">
        <x:v>Pune</x:v>
      </x:c>
      <x:c r="E1771" s="12" t="str">
        <x:v>Awfis - Que Spaces</x:v>
      </x:c>
      <x:c r="F1771" s="12" t="str">
        <x:v>32 inch LED TV</x:v>
      </x:c>
      <x:c r="G1771" s="20" t="n">
        <x:v>1</x:v>
      </x:c>
      <x:c r="H1771" s="12" t="str">
        <x:v>Inventory-listed building/workspace context; current occupancy and screen access unverified</x:v>
      </x:c>
      <x:c r="I1771" s="12" t="str">
        <x:v>Small-scale prospects</x:v>
      </x:c>
      <x:c r="J1771" s="12" t="str">
        <x:v>Trade, consumer &amp; logistics</x:v>
      </x:c>
      <x:c r="K1771" s="2" t="str">
        <x:v>MAIN-390</x:v>
      </x:c>
    </x:row>
    <x:row r="1772" ht="46" customHeight="1">
      <x:c r="A1772" s="2" t="str">
        <x:v>TEN-93969D193161</x:v>
      </x:c>
      <x:c r="B1772" s="12" t="str">
        <x:v>Hp</x:v>
      </x:c>
      <x:c r="C1772" s="12" t="str">
        <x:v>CORP-0386</x:v>
      </x:c>
      <x:c r="D1772" s="12" t="str">
        <x:v>Pune</x:v>
      </x:c>
      <x:c r="E1772" s="12" t="str">
        <x:v>Awfis - Que Spaces</x:v>
      </x:c>
      <x:c r="F1772" s="12" t="str">
        <x:v>32 inch LED TV</x:v>
      </x:c>
      <x:c r="G1772" s="20" t="n">
        <x:v>1</x:v>
      </x:c>
      <x:c r="H1772" s="12" t="str">
        <x:v>Inventory-listed building/workspace context; current occupancy and screen access unverified</x:v>
      </x:c>
      <x:c r="I1772" s="12" t="str">
        <x:v>Mixed business audience</x:v>
      </x:c>
      <x:c r="J1772" s="12" t="str">
        <x:v>Engineering &amp; manufacturing</x:v>
      </x:c>
      <x:c r="K1772" s="2" t="str">
        <x:v>MAIN-390</x:v>
      </x:c>
    </x:row>
    <x:row r="1773" ht="46" customHeight="1">
      <x:c r="A1773" s="2" t="str">
        <x:v>TEN-9ADA93CCAD10</x:v>
      </x:c>
      <x:c r="B1773" s="12" t="str">
        <x:v>Habibs</x:v>
      </x:c>
      <x:c r="C1773" s="12" t="str">
        <x:v>CORP-0386</x:v>
      </x:c>
      <x:c r="D1773" s="12" t="str">
        <x:v>Pune</x:v>
      </x:c>
      <x:c r="E1773" s="12" t="str">
        <x:v>Awfis - Que Spaces</x:v>
      </x:c>
      <x:c r="F1773" s="12" t="str">
        <x:v>32 inch LED TV</x:v>
      </x:c>
      <x:c r="G1773" s="20" t="n">
        <x:v>1</x:v>
      </x:c>
      <x:c r="H1773" s="12" t="str">
        <x:v>Inventory-listed building/workspace context; current occupancy and screen access unverified</x:v>
      </x:c>
      <x:c r="I1773" s="12" t="str">
        <x:v>Mixed business audience</x:v>
      </x:c>
      <x:c r="J1773" s="12" t="str">
        <x:v>Trade, consumer &amp; logistics</x:v>
      </x:c>
      <x:c r="K1773" s="2" t="str">
        <x:v>MAIN-390</x:v>
      </x:c>
    </x:row>
    <x:row r="1774" ht="46" customHeight="1">
      <x:c r="A1774" s="2" t="str">
        <x:v>TEN-9BAF3A40312F</x:v>
      </x:c>
      <x:c r="B1774" s="12" t="str">
        <x:v>Max</x:v>
      </x:c>
      <x:c r="C1774" s="12" t="str">
        <x:v>CORP-0386</x:v>
      </x:c>
      <x:c r="D1774" s="12" t="str">
        <x:v>Pune</x:v>
      </x:c>
      <x:c r="E1774" s="12" t="str">
        <x:v>Awfis - Que Spaces</x:v>
      </x:c>
      <x:c r="F1774" s="12" t="str">
        <x:v>32 inch LED TV</x:v>
      </x:c>
      <x:c r="G1774" s="20" t="n">
        <x:v>1</x:v>
      </x:c>
      <x:c r="H1774" s="12" t="str">
        <x:v>Inventory-listed building/workspace context; current occupancy and screen access unverified</x:v>
      </x:c>
      <x:c r="I1774" s="12" t="str">
        <x:v>Small-scale prospects</x:v>
      </x:c>
      <x:c r="J1774" s="12" t="str">
        <x:v>Trade, consumer &amp; logistics</x:v>
      </x:c>
      <x:c r="K1774" s="2" t="str">
        <x:v>MAIN-390</x:v>
      </x:c>
    </x:row>
    <x:row r="1775" ht="46" customHeight="1">
      <x:c r="A1775" s="2" t="str">
        <x:v>TEN-B423960A2E90</x:v>
      </x:c>
      <x:c r="B1775" s="12" t="str">
        <x:v>Shervil</x:v>
      </x:c>
      <x:c r="C1775" s="12" t="str">
        <x:v>CORP-0386</x:v>
      </x:c>
      <x:c r="D1775" s="12" t="str">
        <x:v>Pune</x:v>
      </x:c>
      <x:c r="E1775" s="12" t="str">
        <x:v>Awfis - Que Spaces</x:v>
      </x:c>
      <x:c r="F1775" s="12" t="str">
        <x:v>32 inch LED TV</x:v>
      </x:c>
      <x:c r="G1775" s="20" t="n">
        <x:v>1</x:v>
      </x:c>
      <x:c r="H1775" s="12" t="str">
        <x:v>Inventory-listed building/workspace context; current occupancy and screen access unverified</x:v>
      </x:c>
      <x:c r="I1775" s="12" t="str">
        <x:v>Mixed business audience</x:v>
      </x:c>
      <x:c r="J1775" s="12" t="str">
        <x:v>Unresolved</x:v>
      </x:c>
      <x:c r="K1775" s="2" t="str">
        <x:v>MAIN-390</x:v>
      </x:c>
    </x:row>
    <x:row r="1776" ht="46" customHeight="1">
      <x:c r="A1776" s="2" t="str">
        <x:v>TEN-C82109C6EDE0</x:v>
      </x:c>
      <x:c r="B1776" s="12" t="str">
        <x:v>Cinepolis</x:v>
      </x:c>
      <x:c r="C1776" s="12" t="str">
        <x:v>CORP-0386</x:v>
      </x:c>
      <x:c r="D1776" s="12" t="str">
        <x:v>Pune</x:v>
      </x:c>
      <x:c r="E1776" s="12" t="str">
        <x:v>Awfis - Que Spaces</x:v>
      </x:c>
      <x:c r="F1776" s="12" t="str">
        <x:v>32 inch LED TV</x:v>
      </x:c>
      <x:c r="G1776" s="20" t="n">
        <x:v>1</x:v>
      </x:c>
      <x:c r="H1776" s="12" t="str">
        <x:v>Inventory-listed building/workspace context; current occupancy and screen access unverified</x:v>
      </x:c>
      <x:c r="I1776" s="12" t="str">
        <x:v>Mixed business audience</x:v>
      </x:c>
      <x:c r="J1776" s="12" t="str">
        <x:v>Trade, consumer &amp; logistics</x:v>
      </x:c>
      <x:c r="K1776" s="2" t="str">
        <x:v>MAIN-390</x:v>
      </x:c>
    </x:row>
    <x:row r="1777" ht="46" customHeight="1">
      <x:c r="A1777" s="2" t="str">
        <x:v>TEN-D6C66DBDE5EB</x:v>
      </x:c>
      <x:c r="B1777" s="12" t="str">
        <x:v>Robotouch</x:v>
      </x:c>
      <x:c r="C1777" s="12" t="str">
        <x:v>CORP-0386</x:v>
      </x:c>
      <x:c r="D1777" s="12" t="str">
        <x:v>Pune</x:v>
      </x:c>
      <x:c r="E1777" s="12" t="str">
        <x:v>Awfis - Que Spaces</x:v>
      </x:c>
      <x:c r="F1777" s="12" t="str">
        <x:v>32 inch LED TV</x:v>
      </x:c>
      <x:c r="G1777" s="20" t="n">
        <x:v>1</x:v>
      </x:c>
      <x:c r="H1777" s="12" t="str">
        <x:v>Inventory-listed building/workspace context; current occupancy and screen access unverified</x:v>
      </x:c>
      <x:c r="I1777" s="12" t="str">
        <x:v>Mixed business audience</x:v>
      </x:c>
      <x:c r="J1777" s="12" t="str">
        <x:v>Unresolved</x:v>
      </x:c>
      <x:c r="K1777" s="2" t="str">
        <x:v>MAIN-390</x:v>
      </x:c>
    </x:row>
    <x:row r="1778" ht="46" customHeight="1">
      <x:c r="A1778" s="2" t="str">
        <x:v>TEN-EC1837F50F67</x:v>
      </x:c>
      <x:c r="B1778" s="12" t="str">
        <x:v>Absolute barbecue</x:v>
      </x:c>
      <x:c r="C1778" s="12" t="str">
        <x:v>CORP-0386</x:v>
      </x:c>
      <x:c r="D1778" s="12" t="str">
        <x:v>Pune</x:v>
      </x:c>
      <x:c r="E1778" s="12" t="str">
        <x:v>Awfis - Que Spaces</x:v>
      </x:c>
      <x:c r="F1778" s="12" t="str">
        <x:v>32 inch LED TV</x:v>
      </x:c>
      <x:c r="G1778" s="20" t="n">
        <x:v>1</x:v>
      </x:c>
      <x:c r="H1778" s="12" t="str">
        <x:v>Inventory-listed building/workspace context; current occupancy and screen access unverified</x:v>
      </x:c>
      <x:c r="I1778" s="12" t="str">
        <x:v>Mixed business audience</x:v>
      </x:c>
      <x:c r="J1778" s="12" t="str">
        <x:v>Trade, consumer &amp; logistics</x:v>
      </x:c>
      <x:c r="K1778" s="2" t="str">
        <x:v>MAIN-390</x:v>
      </x:c>
    </x:row>
    <x:row r="1779" ht="46" customHeight="1">
      <x:c r="A1779" s="2" t="str">
        <x:v>TEN-EEE1C1ADE652</x:v>
      </x:c>
      <x:c r="B1779" s="12" t="str">
        <x:v>Mi</x:v>
      </x:c>
      <x:c r="C1779" s="12" t="str">
        <x:v>CORP-0386</x:v>
      </x:c>
      <x:c r="D1779" s="12" t="str">
        <x:v>Pune</x:v>
      </x:c>
      <x:c r="E1779" s="12" t="str">
        <x:v>Awfis - Que Spaces</x:v>
      </x:c>
      <x:c r="F1779" s="12" t="str">
        <x:v>32 inch LED TV</x:v>
      </x:c>
      <x:c r="G1779" s="20" t="n">
        <x:v>1</x:v>
      </x:c>
      <x:c r="H1779" s="12" t="str">
        <x:v>Inventory-listed building/workspace context; current occupancy and screen access unverified</x:v>
      </x:c>
      <x:c r="I1779" s="12" t="str">
        <x:v>Small-scale prospects</x:v>
      </x:c>
      <x:c r="J1779" s="12" t="str">
        <x:v>Trade, consumer &amp; logistics</x:v>
      </x:c>
      <x:c r="K1779" s="2" t="str">
        <x:v>MAIN-390</x:v>
      </x:c>
    </x:row>
    <x:row r="1780" ht="46" customHeight="1">
      <x:c r="A1780" s="2" t="str">
        <x:v>TEN-F9505A739A8F</x:v>
      </x:c>
      <x:c r="B1780" s="12" t="str">
        <x:v>VIP</x:v>
      </x:c>
      <x:c r="C1780" s="12" t="str">
        <x:v>CORP-0386</x:v>
      </x:c>
      <x:c r="D1780" s="12" t="str">
        <x:v>Pune</x:v>
      </x:c>
      <x:c r="E1780" s="12" t="str">
        <x:v>Awfis - Que Spaces</x:v>
      </x:c>
      <x:c r="F1780" s="12" t="str">
        <x:v>32 inch LED TV</x:v>
      </x:c>
      <x:c r="G1780" s="20" t="n">
        <x:v>1</x:v>
      </x:c>
      <x:c r="H1780" s="12" t="str">
        <x:v>Inventory-listed building/workspace context; current occupancy and screen access unverified</x:v>
      </x:c>
      <x:c r="I1780" s="12" t="str">
        <x:v>Small-scale prospects</x:v>
      </x:c>
      <x:c r="J1780" s="12" t="str">
        <x:v>Trade, consumer &amp; logistics</x:v>
      </x:c>
      <x:c r="K1780" s="2" t="str">
        <x:v>MAIN-390</x:v>
      </x:c>
    </x:row>
    <x:row r="1781" ht="46" customHeight="1">
      <x:c r="A1781" s="2" t="str">
        <x:v>TEN-FF7C6D9BF585</x:v>
      </x:c>
      <x:c r="B1781" s="12" t="str">
        <x:v>Cue spaces</x:v>
      </x:c>
      <x:c r="C1781" s="12" t="str">
        <x:v>CORP-0386</x:v>
      </x:c>
      <x:c r="D1781" s="12" t="str">
        <x:v>Pune</x:v>
      </x:c>
      <x:c r="E1781" s="12" t="str">
        <x:v>Awfis - Que Spaces</x:v>
      </x:c>
      <x:c r="F1781" s="12" t="str">
        <x:v>32 inch LED TV</x:v>
      </x:c>
      <x:c r="G1781" s="20" t="n">
        <x:v>1</x:v>
      </x:c>
      <x:c r="H1781" s="12" t="str">
        <x:v>Inventory-listed building/workspace context; current occupancy and screen access unverified</x:v>
      </x:c>
      <x:c r="I1781" s="12" t="str">
        <x:v>Mixed business audience</x:v>
      </x:c>
      <x:c r="J1781" s="12" t="str">
        <x:v>Workspace &amp; property operations</x:v>
      </x:c>
      <x:c r="K1781" s="2" t="str">
        <x:v>MAIN-390</x:v>
      </x:c>
    </x:row>
    <x:row r="1782" ht="46" customHeight="1">
      <x:c r="A1782" s="2" t="str">
        <x:v>TEN-440B05A629E1</x:v>
      </x:c>
      <x:c r="B1782" s="12" t="str">
        <x:v>Listenlights Pvt. Ltd</x:v>
      </x:c>
      <x:c r="C1782" s="12" t="str">
        <x:v>CORP-0387</x:v>
      </x:c>
      <x:c r="D1782" s="12" t="str">
        <x:v>Pune</x:v>
      </x:c>
      <x:c r="E1782" s="12" t="str">
        <x:v>Awfis - Sterling Towers</x:v>
      </x:c>
      <x:c r="F1782" s="12" t="str">
        <x:v>32 inch LED TV</x:v>
      </x:c>
      <x:c r="G1782" s="20" t="n">
        <x:v>1</x:v>
      </x:c>
      <x:c r="H1782" s="12" t="str">
        <x:v>Inventory-listed building/workspace context; current occupancy and screen access unverified</x:v>
      </x:c>
      <x:c r="I1782" s="12" t="str">
        <x:v>Medium-scale prospects</x:v>
      </x:c>
      <x:c r="J1782" s="12" t="str">
        <x:v>Engineering &amp; manufacturing</x:v>
      </x:c>
      <x:c r="K1782" s="2" t="str">
        <x:v>MAIN-391</x:v>
      </x:c>
    </x:row>
    <x:row r="1783" ht="46" customHeight="1">
      <x:c r="A1783" s="2" t="str">
        <x:v>TEN-F14290F59852</x:v>
      </x:c>
      <x:c r="B1783" s="12" t="str">
        <x:v>Inditrade Capital</x:v>
      </x:c>
      <x:c r="C1783" s="12" t="str">
        <x:v>CORP-0387</x:v>
      </x:c>
      <x:c r="D1783" s="12" t="str">
        <x:v>Pune</x:v>
      </x:c>
      <x:c r="E1783" s="12" t="str">
        <x:v>Awfis - Sterling Towers</x:v>
      </x:c>
      <x:c r="F1783" s="12" t="str">
        <x:v>32 inch LED TV</x:v>
      </x:c>
      <x:c r="G1783" s="20" t="n">
        <x:v>1</x:v>
      </x:c>
      <x:c r="H1783" s="12" t="str">
        <x:v>Inventory-listed building/workspace context; current occupancy and screen access unverified</x:v>
      </x:c>
      <x:c r="I1783" s="12" t="str">
        <x:v>Mixed business audience</x:v>
      </x:c>
      <x:c r="J1783" s="12" t="str">
        <x:v>Finance &amp; insurance</x:v>
      </x:c>
      <x:c r="K1783" s="2" t="str">
        <x:v>MAIN-391</x:v>
      </x:c>
    </x:row>
    <x:row r="1784" ht="46" customHeight="1">
      <x:c r="A1784" s="2" t="str">
        <x:v>TEN-110C38B1F574</x:v>
      </x:c>
      <x:c r="B1784" s="12" t="str">
        <x:v>Hella India automotivepvt.ltd</x:v>
      </x:c>
      <x:c r="C1784" s="12" t="str">
        <x:v>CORP-0388</x:v>
      </x:c>
      <x:c r="D1784" s="12" t="str">
        <x:v>Pune</x:v>
      </x:c>
      <x:c r="E1784" s="12" t="str">
        <x:v>Awfis - The Kode</x:v>
      </x:c>
      <x:c r="F1784" s="12" t="str">
        <x:v>32 inch LED TV</x:v>
      </x:c>
      <x:c r="G1784" s="20" t="n">
        <x:v>2</x:v>
      </x:c>
      <x:c r="H1784" s="12" t="str">
        <x:v>Inventory-listed building/workspace context; current occupancy and screen access unverified</x:v>
      </x:c>
      <x:c r="I1784" s="12" t="str">
        <x:v>Mixed business audience</x:v>
      </x:c>
      <x:c r="J1784" s="12" t="str">
        <x:v>Engineering &amp; manufacturing</x:v>
      </x:c>
      <x:c r="K1784" s="2" t="str">
        <x:v>MAIN-392</x:v>
      </x:c>
    </x:row>
    <x:row r="1785" ht="46" customHeight="1">
      <x:c r="A1785" s="2" t="str">
        <x:v>TEN-2B016B188C7A</x:v>
      </x:c>
      <x:c r="B1785" s="12" t="str">
        <x:v>Walworth Reality</x:v>
      </x:c>
      <x:c r="C1785" s="12" t="str">
        <x:v>CORP-0388</x:v>
      </x:c>
      <x:c r="D1785" s="12" t="str">
        <x:v>Pune</x:v>
      </x:c>
      <x:c r="E1785" s="12" t="str">
        <x:v>Awfis - The Kode</x:v>
      </x:c>
      <x:c r="F1785" s="12" t="str">
        <x:v>32 inch LED TV</x:v>
      </x:c>
      <x:c r="G1785" s="20" t="n">
        <x:v>2</x:v>
      </x:c>
      <x:c r="H1785" s="12" t="str">
        <x:v>Inventory-listed building/workspace context; current occupancy and screen access unverified</x:v>
      </x:c>
      <x:c r="I1785" s="12" t="str">
        <x:v>Small-scale prospects</x:v>
      </x:c>
      <x:c r="J1785" s="12" t="str">
        <x:v>Trade, consumer &amp; logistics</x:v>
      </x:c>
      <x:c r="K1785" s="2" t="str">
        <x:v>MAIN-392</x:v>
      </x:c>
    </x:row>
    <x:row r="1786" ht="46" customHeight="1">
      <x:c r="A1786" s="2" t="str">
        <x:v>TEN-333981AAF1CC</x:v>
      </x:c>
      <x:c r="B1786" s="12" t="str">
        <x:v>Cloudnaut Technologies LLP</x:v>
      </x:c>
      <x:c r="C1786" s="12" t="str">
        <x:v>CORP-0390</x:v>
      </x:c>
      <x:c r="D1786" s="12" t="str">
        <x:v>Pune</x:v>
      </x:c>
      <x:c r="E1786" s="12" t="str">
        <x:v>Bootstart - Clover Hills Plaza</x:v>
      </x:c>
      <x:c r="F1786" s="12" t="str">
        <x:v>32 inch LED TV</x:v>
      </x:c>
      <x:c r="G1786" s="20" t="n">
        <x:v>1</x:v>
      </x:c>
      <x:c r="H1786" s="12" t="str">
        <x:v>Inventory-listed building/workspace context; current occupancy and screen access unverified</x:v>
      </x:c>
      <x:c r="I1786" s="12" t="str">
        <x:v>Small-scale prospects</x:v>
      </x:c>
      <x:c r="J1786" s="12" t="str">
        <x:v>IT &amp; digital</x:v>
      </x:c>
      <x:c r="K1786" s="2" t="str">
        <x:v>MAIN-394</x:v>
      </x:c>
    </x:row>
    <x:row r="1787" ht="46" customHeight="1">
      <x:c r="A1787" s="2" t="str">
        <x:v>TEN-1C3EC3D2C486</x:v>
      </x:c>
      <x:c r="B1787" s="12" t="str">
        <x:v>O A Dewani &amp; co</x:v>
      </x:c>
      <x:c r="C1787" s="12" t="str">
        <x:v>CORP-0391</x:v>
      </x:c>
      <x:c r="D1787" s="12" t="str">
        <x:v>Pune</x:v>
      </x:c>
      <x:c r="E1787" s="12" t="str">
        <x:v>Bootstart Arcadian</x:v>
      </x:c>
      <x:c r="F1787" s="12" t="str">
        <x:v>32 inch LED TV</x:v>
      </x:c>
      <x:c r="G1787" s="20" t="n">
        <x:v>1</x:v>
      </x:c>
      <x:c r="H1787" s="12" t="str">
        <x:v>Inventory-listed building/workspace context; current occupancy and screen access unverified</x:v>
      </x:c>
      <x:c r="I1787" s="12" t="str">
        <x:v>Mixed business audience</x:v>
      </x:c>
      <x:c r="J1787" s="12" t="str">
        <x:v>Unresolved</x:v>
      </x:c>
      <x:c r="K1787" s="2" t="str">
        <x:v>MAIN-395</x:v>
      </x:c>
    </x:row>
    <x:row r="1788" ht="46" customHeight="1">
      <x:c r="A1788" s="2" t="str">
        <x:v>TEN-905DC3BE01C5</x:v>
      </x:c>
      <x:c r="B1788" s="12" t="str">
        <x:v>Derma Space</x:v>
      </x:c>
      <x:c r="C1788" s="12" t="str">
        <x:v>CORP-0391</x:v>
      </x:c>
      <x:c r="D1788" s="12" t="str">
        <x:v>Pune</x:v>
      </x:c>
      <x:c r="E1788" s="12" t="str">
        <x:v>Bootstart Arcadian</x:v>
      </x:c>
      <x:c r="F1788" s="12" t="str">
        <x:v>32 inch LED TV</x:v>
      </x:c>
      <x:c r="G1788" s="20" t="n">
        <x:v>1</x:v>
      </x:c>
      <x:c r="H1788" s="12" t="str">
        <x:v>Inventory-listed building/workspace context; current occupancy and screen access unverified</x:v>
      </x:c>
      <x:c r="I1788" s="12" t="str">
        <x:v>Small-scale prospects</x:v>
      </x:c>
      <x:c r="J1788" s="12" t="str">
        <x:v>Healthcare &amp; life sciences</x:v>
      </x:c>
      <x:c r="K1788" s="2" t="str">
        <x:v>MAIN-395</x:v>
      </x:c>
    </x:row>
    <x:row r="1789" ht="46" customHeight="1">
      <x:c r="A1789" s="2" t="str">
        <x:v>TEN-99B6213B308F</x:v>
      </x:c>
      <x:c r="B1789" s="12" t="str">
        <x:v>Patron Accounting LLP</x:v>
      </x:c>
      <x:c r="C1789" s="12" t="str">
        <x:v>CORP-0391</x:v>
      </x:c>
      <x:c r="D1789" s="12" t="str">
        <x:v>Pune</x:v>
      </x:c>
      <x:c r="E1789" s="12" t="str">
        <x:v>Bootstart Arcadian</x:v>
      </x:c>
      <x:c r="F1789" s="12" t="str">
        <x:v>32 inch LED TV</x:v>
      </x:c>
      <x:c r="G1789" s="20" t="n">
        <x:v>1</x:v>
      </x:c>
      <x:c r="H1789" s="12" t="str">
        <x:v>Inventory-listed building/workspace context; current occupancy and screen access unverified</x:v>
      </x:c>
      <x:c r="I1789" s="12" t="str">
        <x:v>Small-scale prospects</x:v>
      </x:c>
      <x:c r="J1789" s="12" t="str">
        <x:v>Professional services</x:v>
      </x:c>
      <x:c r="K1789" s="2" t="str">
        <x:v>MAIN-395</x:v>
      </x:c>
    </x:row>
    <x:row r="1790" ht="46" customHeight="1">
      <x:c r="A1790" s="2" t="str">
        <x:v>TEN-BB2996861C7F</x:v>
      </x:c>
      <x:c r="B1790" s="12" t="str">
        <x:v>Shepherd's Hill</x:v>
      </x:c>
      <x:c r="C1790" s="12" t="str">
        <x:v>CORP-0391</x:v>
      </x:c>
      <x:c r="D1790" s="12" t="str">
        <x:v>Pune</x:v>
      </x:c>
      <x:c r="E1790" s="12" t="str">
        <x:v>Bootstart Arcadian</x:v>
      </x:c>
      <x:c r="F1790" s="12" t="str">
        <x:v>32 inch LED TV</x:v>
      </x:c>
      <x:c r="G1790" s="20" t="n">
        <x:v>1</x:v>
      </x:c>
      <x:c r="H1790" s="12" t="str">
        <x:v>Inventory-listed building/workspace context; current occupancy and screen access unverified</x:v>
      </x:c>
      <x:c r="I1790" s="12" t="str">
        <x:v>Mixed business audience</x:v>
      </x:c>
      <x:c r="J1790" s="12" t="str">
        <x:v>Unresolved</x:v>
      </x:c>
      <x:c r="K1790" s="2" t="str">
        <x:v>MAIN-395</x:v>
      </x:c>
    </x:row>
    <x:row r="1791" ht="46" customHeight="1">
      <x:c r="A1791" s="2" t="str">
        <x:v>TEN-BDE489F8D79E</x:v>
      </x:c>
      <x:c r="B1791" s="12" t="str">
        <x:v>Diplomat Bio-Information Pvt.Ltd</x:v>
      </x:c>
      <x:c r="C1791" s="12" t="str">
        <x:v>CORP-0391</x:v>
      </x:c>
      <x:c r="D1791" s="12" t="str">
        <x:v>Pune</x:v>
      </x:c>
      <x:c r="E1791" s="12" t="str">
        <x:v>Bootstart Arcadian</x:v>
      </x:c>
      <x:c r="F1791" s="12" t="str">
        <x:v>32 inch LED TV</x:v>
      </x:c>
      <x:c r="G1791" s="20" t="n">
        <x:v>1</x:v>
      </x:c>
      <x:c r="H1791" s="12" t="str">
        <x:v>Inventory-listed building/workspace context; current occupancy and screen access unverified</x:v>
      </x:c>
      <x:c r="I1791" s="12" t="str">
        <x:v>Small-scale prospects</x:v>
      </x:c>
      <x:c r="J1791" s="12" t="str">
        <x:v>Healthcare &amp; life sciences</x:v>
      </x:c>
      <x:c r="K1791" s="2" t="str">
        <x:v>MAIN-395</x:v>
      </x:c>
    </x:row>
    <x:row r="1792" ht="46" customHeight="1">
      <x:c r="A1792" s="2" t="str">
        <x:v>TEN-C679DA09E353</x:v>
      </x:c>
      <x:c r="B1792" s="12" t="str">
        <x:v>IVORY</x:v>
      </x:c>
      <x:c r="C1792" s="12" t="str">
        <x:v>CORP-0391</x:v>
      </x:c>
      <x:c r="D1792" s="12" t="str">
        <x:v>Pune</x:v>
      </x:c>
      <x:c r="E1792" s="12" t="str">
        <x:v>Bootstart Arcadian</x:v>
      </x:c>
      <x:c r="F1792" s="12" t="str">
        <x:v>32 inch LED TV</x:v>
      </x:c>
      <x:c r="G1792" s="20" t="n">
        <x:v>1</x:v>
      </x:c>
      <x:c r="H1792" s="12" t="str">
        <x:v>Inventory-listed building/workspace context; current occupancy and screen access unverified</x:v>
      </x:c>
      <x:c r="I1792" s="12" t="str">
        <x:v>Mixed business audience</x:v>
      </x:c>
      <x:c r="J1792" s="12" t="str">
        <x:v>Unresolved</x:v>
      </x:c>
      <x:c r="K1792" s="2" t="str">
        <x:v>MAIN-395</x:v>
      </x:c>
    </x:row>
    <x:row r="1793" ht="46" customHeight="1">
      <x:c r="A1793" s="2" t="str">
        <x:v>TEN-FD729CB32F6E</x:v>
      </x:c>
      <x:c r="B1793" s="12" t="str">
        <x:v>Rajesh Builders</x:v>
      </x:c>
      <x:c r="C1793" s="12" t="str">
        <x:v>CORP-0391</x:v>
      </x:c>
      <x:c r="D1793" s="12" t="str">
        <x:v>Pune</x:v>
      </x:c>
      <x:c r="E1793" s="12" t="str">
        <x:v>Bootstart Arcadian</x:v>
      </x:c>
      <x:c r="F1793" s="12" t="str">
        <x:v>32 inch LED TV</x:v>
      </x:c>
      <x:c r="G1793" s="20" t="n">
        <x:v>1</x:v>
      </x:c>
      <x:c r="H1793" s="12" t="str">
        <x:v>Inventory-listed building/workspace context; current occupancy and screen access unverified</x:v>
      </x:c>
      <x:c r="I1793" s="12" t="str">
        <x:v>Small-scale prospects</x:v>
      </x:c>
      <x:c r="J1793" s="12" t="str">
        <x:v>Trade, consumer &amp; logistics</x:v>
      </x:c>
      <x:c r="K1793" s="2" t="str">
        <x:v>MAIN-395</x:v>
      </x:c>
    </x:row>
    <x:row r="1794" ht="46" customHeight="1">
      <x:c r="A1794" s="2" t="str">
        <x:v>TEN-2DF359358C9E</x:v>
      </x:c>
      <x:c r="B1794" s="12" t="str">
        <x:v>Deserve Labs</x:v>
      </x:c>
      <x:c r="C1794" s="12" t="str">
        <x:v>CORP-0393</x:v>
      </x:c>
      <x:c r="D1794" s="12" t="str">
        <x:v>Pune</x:v>
      </x:c>
      <x:c r="E1794" s="12" t="str">
        <x:v>BSB Capital (Redbrick Offices)</x:v>
      </x:c>
      <x:c r="F1794" s="12" t="str">
        <x:v>32 inch LED TV</x:v>
      </x:c>
      <x:c r="G1794" s="20" t="n">
        <x:v>1</x:v>
      </x:c>
      <x:c r="H1794" s="12" t="str">
        <x:v>Inventory-listed building/workspace context; current occupancy and screen access unverified</x:v>
      </x:c>
      <x:c r="I1794" s="12" t="str">
        <x:v>Mixed business audience</x:v>
      </x:c>
      <x:c r="J1794" s="12" t="str">
        <x:v>Unresolved</x:v>
      </x:c>
      <x:c r="K1794" s="2" t="str">
        <x:v>MAIN-397</x:v>
      </x:c>
    </x:row>
    <x:row r="1795" ht="46" customHeight="1">
      <x:c r="A1795" s="2" t="str">
        <x:v>TEN-6A50CCC096D5</x:v>
      </x:c>
      <x:c r="B1795" s="12" t="str">
        <x:v>Zensar</x:v>
      </x:c>
      <x:c r="C1795" s="12" t="str">
        <x:v>CORP-0394</x:v>
      </x:c>
      <x:c r="D1795" s="12" t="str">
        <x:v>Pune</x:v>
      </x:c>
      <x:c r="E1795" s="12" t="str">
        <x:v>Credence Global Solutions</x:v>
      </x:c>
      <x:c r="F1795" s="12" t="str">
        <x:v>32 inch LED TV</x:v>
      </x:c>
      <x:c r="G1795" s="20" t="n">
        <x:v>7</x:v>
      </x:c>
      <x:c r="H1795" s="12" t="str">
        <x:v>Inventory-listed building/workspace context; current occupancy and screen access unverified</x:v>
      </x:c>
      <x:c r="I1795" s="12" t="str">
        <x:v>Mixed business audience</x:v>
      </x:c>
      <x:c r="J1795" s="12" t="str">
        <x:v>IT &amp; digital</x:v>
      </x:c>
      <x:c r="K1795" s="2" t="str">
        <x:v>MAIN-398</x:v>
      </x:c>
    </x:row>
    <x:row r="1796" ht="46" customHeight="1">
      <x:c r="A1796" s="2" t="str">
        <x:v>TEN-D934E49EEA7C</x:v>
      </x:c>
      <x:c r="B1796" s="12" t="str">
        <x:v>Credence</x:v>
      </x:c>
      <x:c r="C1796" s="12" t="str">
        <x:v>CORP-0394</x:v>
      </x:c>
      <x:c r="D1796" s="12" t="str">
        <x:v>Pune</x:v>
      </x:c>
      <x:c r="E1796" s="12" t="str">
        <x:v>Credence Global Solutions</x:v>
      </x:c>
      <x:c r="F1796" s="12" t="str">
        <x:v>32 inch LED TV</x:v>
      </x:c>
      <x:c r="G1796" s="20" t="n">
        <x:v>7</x:v>
      </x:c>
      <x:c r="H1796" s="12" t="str">
        <x:v>Inventory-listed building/workspace context; current occupancy and screen access unverified</x:v>
      </x:c>
      <x:c r="I1796" s="12" t="str">
        <x:v>Mixed business audience</x:v>
      </x:c>
      <x:c r="J1796" s="12" t="str">
        <x:v>Unresolved</x:v>
      </x:c>
      <x:c r="K1796" s="2" t="str">
        <x:v>MAIN-398</x:v>
      </x:c>
    </x:row>
    <x:row r="1797" ht="46" customHeight="1">
      <x:c r="A1797" s="2" t="str">
        <x:v>TEN-F19F825E6EF8</x:v>
      </x:c>
      <x:c r="B1797" s="12" t="str">
        <x:v>conneqt</x:v>
      </x:c>
      <x:c r="C1797" s="12" t="str">
        <x:v>CORP-0394</x:v>
      </x:c>
      <x:c r="D1797" s="12" t="str">
        <x:v>Pune</x:v>
      </x:c>
      <x:c r="E1797" s="12" t="str">
        <x:v>Credence Global Solutions</x:v>
      </x:c>
      <x:c r="F1797" s="12" t="str">
        <x:v>32 inch LED TV</x:v>
      </x:c>
      <x:c r="G1797" s="20" t="n">
        <x:v>7</x:v>
      </x:c>
      <x:c r="H1797" s="12" t="str">
        <x:v>Inventory-listed building/workspace context; current occupancy and screen access unverified</x:v>
      </x:c>
      <x:c r="I1797" s="12" t="str">
        <x:v>Mixed business audience</x:v>
      </x:c>
      <x:c r="J1797" s="12" t="str">
        <x:v>IT &amp; digital</x:v>
      </x:c>
      <x:c r="K1797" s="2" t="str">
        <x:v>MAIN-398</x:v>
      </x:c>
    </x:row>
    <x:row r="1798" ht="46" customHeight="1">
      <x:c r="A1798" s="2" t="str">
        <x:v>TEN-066213415683</x:v>
      </x:c>
      <x:c r="B1798" s="12" t="str">
        <x:v>Techweb IT solutions</x:v>
      </x:c>
      <x:c r="C1798" s="12" t="str">
        <x:v>CORP-0398</x:v>
      </x:c>
      <x:c r="D1798" s="12" t="str">
        <x:v>Pune</x:v>
      </x:c>
      <x:c r="E1798" s="12" t="str">
        <x:v>Kolte Patil Downtown City Vista</x:v>
      </x:c>
      <x:c r="F1798" s="12" t="str">
        <x:v>32 inch LED TV</x:v>
      </x:c>
      <x:c r="G1798" s="20" t="n">
        <x:v>9</x:v>
      </x:c>
      <x:c r="H1798" s="12" t="str">
        <x:v>Inventory-listed building/workspace context; current occupancy and screen access unverified</x:v>
      </x:c>
      <x:c r="I1798" s="12" t="str">
        <x:v>Small-scale prospects</x:v>
      </x:c>
      <x:c r="J1798" s="12" t="str">
        <x:v>IT &amp; digital</x:v>
      </x:c>
      <x:c r="K1798" s="2" t="str">
        <x:v>MAIN-402</x:v>
      </x:c>
    </x:row>
    <x:row r="1799" ht="46" customHeight="1">
      <x:c r="A1799" s="2" t="str">
        <x:v>TEN-2BA699ECCB6E</x:v>
      </x:c>
      <x:c r="B1799" s="12" t="str">
        <x:v>Crane NXT Pvt. Ltd</x:v>
      </x:c>
      <x:c r="C1799" s="12" t="str">
        <x:v>CORP-0399</x:v>
      </x:c>
      <x:c r="D1799" s="12" t="str">
        <x:v>Pune</x:v>
      </x:c>
      <x:c r="E1799" s="12" t="str">
        <x:v>M Agile Tech Park</x:v>
      </x:c>
      <x:c r="F1799" s="12" t="str">
        <x:v>43 inch LED TV</x:v>
      </x:c>
      <x:c r="G1799" s="20" t="n">
        <x:v>4</x:v>
      </x:c>
      <x:c r="H1799" s="12" t="str">
        <x:v>Inventory-listed building/workspace context; current occupancy and screen access unverified</x:v>
      </x:c>
      <x:c r="I1799" s="12" t="str">
        <x:v>Mixed business audience</x:v>
      </x:c>
      <x:c r="J1799" s="12" t="str">
        <x:v>Engineering &amp; manufacturing</x:v>
      </x:c>
      <x:c r="K1799" s="2" t="str">
        <x:v>MAIN-403</x:v>
      </x:c>
    </x:row>
    <x:row r="1800" ht="46" customHeight="1">
      <x:c r="A1800" s="2" t="str">
        <x:v>TEN-32D5FF7368CA</x:v>
      </x:c>
      <x:c r="B1800" s="12" t="str">
        <x:v>Jade Global Software Pvt. Ltd</x:v>
      </x:c>
      <x:c r="C1800" s="12" t="str">
        <x:v>CORP-0399</x:v>
      </x:c>
      <x:c r="D1800" s="12" t="str">
        <x:v>Pune</x:v>
      </x:c>
      <x:c r="E1800" s="12" t="str">
        <x:v>M Agile Tech Park</x:v>
      </x:c>
      <x:c r="F1800" s="12" t="str">
        <x:v>43 inch LED TV</x:v>
      </x:c>
      <x:c r="G1800" s="20" t="n">
        <x:v>4</x:v>
      </x:c>
      <x:c r="H1800" s="12" t="str">
        <x:v>Inventory-listed building/workspace context; current occupancy and screen access unverified</x:v>
      </x:c>
      <x:c r="I1800" s="12" t="str">
        <x:v>Mixed business audience</x:v>
      </x:c>
      <x:c r="J1800" s="12" t="str">
        <x:v>IT &amp; digital</x:v>
      </x:c>
      <x:c r="K1800" s="2" t="str">
        <x:v>MAIN-403</x:v>
      </x:c>
    </x:row>
    <x:row r="1801" ht="46" customHeight="1">
      <x:c r="A1801" s="2" t="str">
        <x:v>TEN-433FFE8165A6</x:v>
      </x:c>
      <x:c r="B1801" s="12" t="str">
        <x:v>ITC Infotech</x:v>
      </x:c>
      <x:c r="C1801" s="12" t="str">
        <x:v>CORP-0399</x:v>
      </x:c>
      <x:c r="D1801" s="12" t="str">
        <x:v>Pune</x:v>
      </x:c>
      <x:c r="E1801" s="12" t="str">
        <x:v>M Agile Tech Park</x:v>
      </x:c>
      <x:c r="F1801" s="12" t="str">
        <x:v>43 inch LED TV</x:v>
      </x:c>
      <x:c r="G1801" s="20" t="n">
        <x:v>4</x:v>
      </x:c>
      <x:c r="H1801" s="12" t="str">
        <x:v>Inventory-listed building/workspace context; current occupancy and screen access unverified</x:v>
      </x:c>
      <x:c r="I1801" s="12" t="str">
        <x:v>Mixed business audience</x:v>
      </x:c>
      <x:c r="J1801" s="12" t="str">
        <x:v>IT &amp; digital</x:v>
      </x:c>
      <x:c r="K1801" s="2" t="str">
        <x:v>MAIN-403</x:v>
      </x:c>
    </x:row>
    <x:row r="1802" ht="46" customHeight="1">
      <x:c r="A1802" s="2" t="str">
        <x:v>TEN-9287B2BCD212</x:v>
      </x:c>
      <x:c r="B1802" s="12" t="str">
        <x:v>Anchanto Services Pvt Ltd</x:v>
      </x:c>
      <x:c r="C1802" s="12" t="str">
        <x:v>CORP-0399</x:v>
      </x:c>
      <x:c r="D1802" s="12" t="str">
        <x:v>Pune</x:v>
      </x:c>
      <x:c r="E1802" s="12" t="str">
        <x:v>M Agile Tech Park</x:v>
      </x:c>
      <x:c r="F1802" s="12" t="str">
        <x:v>43 inch LED TV</x:v>
      </x:c>
      <x:c r="G1802" s="20" t="n">
        <x:v>4</x:v>
      </x:c>
      <x:c r="H1802" s="12" t="str">
        <x:v>Inventory-listed building/workspace context; current occupancy and screen access unverified</x:v>
      </x:c>
      <x:c r="I1802" s="12" t="str">
        <x:v>Small-scale prospects</x:v>
      </x:c>
      <x:c r="J1802" s="12" t="str">
        <x:v>IT &amp; digital</x:v>
      </x:c>
      <x:c r="K1802" s="2" t="str">
        <x:v>MAIN-403</x:v>
      </x:c>
    </x:row>
    <x:row r="1803" ht="46" customHeight="1">
      <x:c r="A1803" s="2" t="str">
        <x:v>TEN-C59546E98326</x:v>
      </x:c>
      <x:c r="B1803" s="12" t="str">
        <x:v>Wissen Technology</x:v>
      </x:c>
      <x:c r="C1803" s="12" t="str">
        <x:v>CORP-0399</x:v>
      </x:c>
      <x:c r="D1803" s="12" t="str">
        <x:v>Pune</x:v>
      </x:c>
      <x:c r="E1803" s="12" t="str">
        <x:v>M Agile Tech Park</x:v>
      </x:c>
      <x:c r="F1803" s="12" t="str">
        <x:v>43 inch LED TV</x:v>
      </x:c>
      <x:c r="G1803" s="20" t="n">
        <x:v>4</x:v>
      </x:c>
      <x:c r="H1803" s="12" t="str">
        <x:v>Inventory-listed building/workspace context; current occupancy and screen access unverified</x:v>
      </x:c>
      <x:c r="I1803" s="12" t="str">
        <x:v>Mixed business audience</x:v>
      </x:c>
      <x:c r="J1803" s="12" t="str">
        <x:v>IT &amp; digital</x:v>
      </x:c>
      <x:c r="K1803" s="2" t="str">
        <x:v>MAIN-403</x:v>
      </x:c>
    </x:row>
    <x:row r="1804" ht="46" customHeight="1">
      <x:c r="A1804" s="2" t="str">
        <x:v>TEN-E1F0AD0EC4D2</x:v>
      </x:c>
      <x:c r="B1804" s="12" t="str">
        <x:v>Abhijeet Plastics India Pvt. Ltd</x:v>
      </x:c>
      <x:c r="C1804" s="12" t="str">
        <x:v>CORP-0399</x:v>
      </x:c>
      <x:c r="D1804" s="12" t="str">
        <x:v>Pune</x:v>
      </x:c>
      <x:c r="E1804" s="12" t="str">
        <x:v>M Agile Tech Park</x:v>
      </x:c>
      <x:c r="F1804" s="12" t="str">
        <x:v>43 inch LED TV</x:v>
      </x:c>
      <x:c r="G1804" s="20" t="n">
        <x:v>4</x:v>
      </x:c>
      <x:c r="H1804" s="12" t="str">
        <x:v>Inventory-listed building/workspace context; current occupancy and screen access unverified</x:v>
      </x:c>
      <x:c r="I1804" s="12" t="str">
        <x:v>Medium-scale prospects</x:v>
      </x:c>
      <x:c r="J1804" s="12" t="str">
        <x:v>Engineering &amp; manufacturing</x:v>
      </x:c>
      <x:c r="K1804" s="2" t="str">
        <x:v>MAIN-403</x:v>
      </x:c>
    </x:row>
    <x:row r="1805" ht="46" customHeight="1">
      <x:c r="A1805" s="2" t="str">
        <x:v>TEN-EE34A3B310C4</x:v>
      </x:c>
      <x:c r="B1805" s="12" t="str">
        <x:v>Connexis Technologies Pvt. Ltd</x:v>
      </x:c>
      <x:c r="C1805" s="12" t="str">
        <x:v>CORP-0399</x:v>
      </x:c>
      <x:c r="D1805" s="12" t="str">
        <x:v>Pune</x:v>
      </x:c>
      <x:c r="E1805" s="12" t="str">
        <x:v>M Agile Tech Park</x:v>
      </x:c>
      <x:c r="F1805" s="12" t="str">
        <x:v>43 inch LED TV</x:v>
      </x:c>
      <x:c r="G1805" s="20" t="n">
        <x:v>4</x:v>
      </x:c>
      <x:c r="H1805" s="12" t="str">
        <x:v>Inventory-listed building/workspace context; current occupancy and screen access unverified</x:v>
      </x:c>
      <x:c r="I1805" s="12" t="str">
        <x:v>Small-scale prospects</x:v>
      </x:c>
      <x:c r="J1805" s="12" t="str">
        <x:v>IT &amp; digital</x:v>
      </x:c>
      <x:c r="K1805" s="2" t="str">
        <x:v>MAIN-403</x:v>
      </x:c>
    </x:row>
    <x:row r="1806" ht="46" customHeight="1">
      <x:c r="A1806" s="2" t="str">
        <x:v>TEN-64169C68A9B2</x:v>
      </x:c>
      <x:c r="B1806" s="12" t="str">
        <x:v>Oriental Insurance Company Limited</x:v>
      </x:c>
      <x:c r="C1806" s="12" t="str">
        <x:v>CORP-0400</x:v>
      </x:c>
      <x:c r="D1806" s="12" t="str">
        <x:v>Pune</x:v>
      </x:c>
      <x:c r="E1806" s="12" t="str">
        <x:v>Mayfield Towers</x:v>
      </x:c>
      <x:c r="F1806" s="12" t="str">
        <x:v>43 inch LED TV</x:v>
      </x:c>
      <x:c r="G1806" s="20" t="n">
        <x:v>3</x:v>
      </x:c>
      <x:c r="H1806" s="12" t="str">
        <x:v>Inventory-listed building/workspace context; current occupancy and screen access unverified</x:v>
      </x:c>
      <x:c r="I1806" s="12" t="str">
        <x:v>Mixed business audience</x:v>
      </x:c>
      <x:c r="J1806" s="12" t="str">
        <x:v>Finance &amp; insurance</x:v>
      </x:c>
      <x:c r="K1806" s="2" t="str">
        <x:v>MAIN-404</x:v>
      </x:c>
    </x:row>
    <x:row r="1807" ht="46" customHeight="1">
      <x:c r="A1807" s="2" t="str">
        <x:v>TEN-66DFC81EEFC3</x:v>
      </x:c>
      <x:c r="B1807" s="12" t="str">
        <x:v>Softcell Software Group</x:v>
      </x:c>
      <x:c r="C1807" s="12" t="str">
        <x:v>CORP-0400</x:v>
      </x:c>
      <x:c r="D1807" s="12" t="str">
        <x:v>Pune</x:v>
      </x:c>
      <x:c r="E1807" s="12" t="str">
        <x:v>Mayfield Towers</x:v>
      </x:c>
      <x:c r="F1807" s="12" t="str">
        <x:v>43 inch LED TV</x:v>
      </x:c>
      <x:c r="G1807" s="20" t="n">
        <x:v>3</x:v>
      </x:c>
      <x:c r="H1807" s="12" t="str">
        <x:v>Inventory-listed building/workspace context; current occupancy and screen access unverified</x:v>
      </x:c>
      <x:c r="I1807" s="12" t="str">
        <x:v>Mixed business audience</x:v>
      </x:c>
      <x:c r="J1807" s="12" t="str">
        <x:v>IT &amp; digital</x:v>
      </x:c>
      <x:c r="K1807" s="2" t="str">
        <x:v>MAIN-404</x:v>
      </x:c>
    </x:row>
    <x:row r="1808" ht="46" customHeight="1">
      <x:c r="A1808" s="2" t="str">
        <x:v>TEN-B47C6547D90A</x:v>
      </x:c>
      <x:c r="B1808" s="12" t="str">
        <x:v>Kennametal India Ltd</x:v>
      </x:c>
      <x:c r="C1808" s="12" t="str">
        <x:v>CORP-0400</x:v>
      </x:c>
      <x:c r="D1808" s="12" t="str">
        <x:v>Pune</x:v>
      </x:c>
      <x:c r="E1808" s="12" t="str">
        <x:v>Mayfield Towers</x:v>
      </x:c>
      <x:c r="F1808" s="12" t="str">
        <x:v>43 inch LED TV</x:v>
      </x:c>
      <x:c r="G1808" s="20" t="n">
        <x:v>3</x:v>
      </x:c>
      <x:c r="H1808" s="12" t="str">
        <x:v>Inventory-listed building/workspace context; current occupancy and screen access unverified</x:v>
      </x:c>
      <x:c r="I1808" s="12" t="str">
        <x:v>Mixed business audience</x:v>
      </x:c>
      <x:c r="J1808" s="12" t="str">
        <x:v>Engineering &amp; manufacturing</x:v>
      </x:c>
      <x:c r="K1808" s="2" t="str">
        <x:v>MAIN-404</x:v>
      </x:c>
    </x:row>
    <x:row r="1809" ht="46" customHeight="1">
      <x:c r="A1809" s="2" t="str">
        <x:v>TEN-DF18A5911CC8</x:v>
      </x:c>
      <x:c r="B1809" s="12" t="str">
        <x:v>Racold Thermo Private Ltd</x:v>
      </x:c>
      <x:c r="C1809" s="12" t="str">
        <x:v>CORP-0400</x:v>
      </x:c>
      <x:c r="D1809" s="12" t="str">
        <x:v>Pune</x:v>
      </x:c>
      <x:c r="E1809" s="12" t="str">
        <x:v>Mayfield Towers</x:v>
      </x:c>
      <x:c r="F1809" s="12" t="str">
        <x:v>43 inch LED TV</x:v>
      </x:c>
      <x:c r="G1809" s="20" t="n">
        <x:v>3</x:v>
      </x:c>
      <x:c r="H1809" s="12" t="str">
        <x:v>Inventory-listed building/workspace context; current occupancy and screen access unverified</x:v>
      </x:c>
      <x:c r="I1809" s="12" t="str">
        <x:v>Mixed business audience</x:v>
      </x:c>
      <x:c r="J1809" s="12" t="str">
        <x:v>Engineering &amp; manufacturing</x:v>
      </x:c>
      <x:c r="K1809" s="2" t="str">
        <x:v>MAIN-404</x:v>
      </x:c>
    </x:row>
    <x:row r="1810" ht="46" customHeight="1">
      <x:c r="A1810" s="2" t="str">
        <x:v>TEN-F05B963F9327</x:v>
      </x:c>
      <x:c r="B1810" s="12" t="str">
        <x:v>Accel IT Services ( A division of Accel Limited)</x:v>
      </x:c>
      <x:c r="C1810" s="12" t="str">
        <x:v>CORP-0400</x:v>
      </x:c>
      <x:c r="D1810" s="12" t="str">
        <x:v>Pune</x:v>
      </x:c>
      <x:c r="E1810" s="12" t="str">
        <x:v>Mayfield Towers</x:v>
      </x:c>
      <x:c r="F1810" s="12" t="str">
        <x:v>43 inch LED TV</x:v>
      </x:c>
      <x:c r="G1810" s="20" t="n">
        <x:v>3</x:v>
      </x:c>
      <x:c r="H1810" s="12" t="str">
        <x:v>Inventory-listed building/workspace context; current occupancy and screen access unverified</x:v>
      </x:c>
      <x:c r="I1810" s="12" t="str">
        <x:v>Mixed business audience</x:v>
      </x:c>
      <x:c r="J1810" s="12" t="str">
        <x:v>IT &amp; digital</x:v>
      </x:c>
      <x:c r="K1810" s="2" t="str">
        <x:v>MAIN-404</x:v>
      </x:c>
    </x:row>
    <x:row r="1811" ht="46" customHeight="1">
      <x:c r="A1811" s="2" t="str">
        <x:v>TEN-F192623D2043</x:v>
      </x:c>
      <x:c r="B1811" s="12" t="str">
        <x:v>OLA Experience Centre</x:v>
      </x:c>
      <x:c r="C1811" s="12" t="str">
        <x:v>CORP-0400</x:v>
      </x:c>
      <x:c r="D1811" s="12" t="str">
        <x:v>Pune</x:v>
      </x:c>
      <x:c r="E1811" s="12" t="str">
        <x:v>Mayfield Towers</x:v>
      </x:c>
      <x:c r="F1811" s="12" t="str">
        <x:v>43 inch LED TV</x:v>
      </x:c>
      <x:c r="G1811" s="20" t="n">
        <x:v>3</x:v>
      </x:c>
      <x:c r="H1811" s="12" t="str">
        <x:v>Inventory-listed building/workspace context; current occupancy and screen access unverified</x:v>
      </x:c>
      <x:c r="I1811" s="12" t="str">
        <x:v>Mixed business audience</x:v>
      </x:c>
      <x:c r="J1811" s="12" t="str">
        <x:v>Trade, consumer &amp; logistics</x:v>
      </x:c>
      <x:c r="K1811" s="2" t="str">
        <x:v>MAIN-404</x:v>
      </x:c>
    </x:row>
    <x:row r="1812" ht="46" customHeight="1">
      <x:c r="A1812" s="2" t="str">
        <x:v>TEN-0519A3DAAF8C</x:v>
      </x:c>
      <x:c r="B1812" s="12" t="str">
        <x:v>Wintech Digital Solutions LLP</x:v>
      </x:c>
      <x:c r="C1812" s="12" t="str">
        <x:v>CORP-0401</x:v>
      </x:c>
      <x:c r="D1812" s="12" t="str">
        <x:v>Pune</x:v>
      </x:c>
      <x:c r="E1812" s="12" t="str">
        <x:v>Olympia B Premises</x:v>
      </x:c>
      <x:c r="F1812" s="12" t="str">
        <x:v>32 inch LED TV</x:v>
      </x:c>
      <x:c r="G1812" s="20" t="n">
        <x:v>1</x:v>
      </x:c>
      <x:c r="H1812" s="12" t="str">
        <x:v>Inventory-listed building/workspace context; current occupancy and screen access unverified</x:v>
      </x:c>
      <x:c r="I1812" s="12" t="str">
        <x:v>Small-scale prospects</x:v>
      </x:c>
      <x:c r="J1812" s="12" t="str">
        <x:v>IT &amp; digital</x:v>
      </x:c>
      <x:c r="K1812" s="2" t="str">
        <x:v>MAIN-405</x:v>
      </x:c>
    </x:row>
    <x:row r="1813" ht="46" customHeight="1">
      <x:c r="A1813" s="2" t="str">
        <x:v>TEN-113BF217B1F3</x:v>
      </x:c>
      <x:c r="B1813" s="12" t="str">
        <x:v>Epinomi Training Consulting</x:v>
      </x:c>
      <x:c r="C1813" s="12" t="str">
        <x:v>CORP-0401</x:v>
      </x:c>
      <x:c r="D1813" s="12" t="str">
        <x:v>Pune</x:v>
      </x:c>
      <x:c r="E1813" s="12" t="str">
        <x:v>Olympia B Premises</x:v>
      </x:c>
      <x:c r="F1813" s="12" t="str">
        <x:v>32 inch LED TV</x:v>
      </x:c>
      <x:c r="G1813" s="20" t="n">
        <x:v>1</x:v>
      </x:c>
      <x:c r="H1813" s="12" t="str">
        <x:v>Inventory-listed building/workspace context; current occupancy and screen access unverified</x:v>
      </x:c>
      <x:c r="I1813" s="12" t="str">
        <x:v>Small-scale prospects</x:v>
      </x:c>
      <x:c r="J1813" s="12" t="str">
        <x:v>Professional services</x:v>
      </x:c>
      <x:c r="K1813" s="2" t="str">
        <x:v>MAIN-405</x:v>
      </x:c>
    </x:row>
    <x:row r="1814" ht="46" customHeight="1">
      <x:c r="A1814" s="2" t="str">
        <x:v>TEN-5287C35B15B1</x:v>
      </x:c>
      <x:c r="B1814" s="12" t="str">
        <x:v>Accleco</x:v>
      </x:c>
      <x:c r="C1814" s="12" t="str">
        <x:v>CORP-0401</x:v>
      </x:c>
      <x:c r="D1814" s="12" t="str">
        <x:v>Pune</x:v>
      </x:c>
      <x:c r="E1814" s="12" t="str">
        <x:v>Olympia B Premises</x:v>
      </x:c>
      <x:c r="F1814" s="12" t="str">
        <x:v>32 inch LED TV</x:v>
      </x:c>
      <x:c r="G1814" s="20" t="n">
        <x:v>1</x:v>
      </x:c>
      <x:c r="H1814" s="12" t="str">
        <x:v>Inventory-listed building/workspace context; current occupancy and screen access unverified</x:v>
      </x:c>
      <x:c r="I1814" s="12" t="str">
        <x:v>Small-scale prospects</x:v>
      </x:c>
      <x:c r="J1814" s="12" t="str">
        <x:v>Professional services</x:v>
      </x:c>
      <x:c r="K1814" s="2" t="str">
        <x:v>MAIN-405</x:v>
      </x:c>
    </x:row>
    <x:row r="1815" ht="46" customHeight="1">
      <x:c r="A1815" s="2" t="str">
        <x:v>TEN-834434DB6B68</x:v>
      </x:c>
      <x:c r="B1815" s="12" t="str">
        <x:v>Gryphon Academy Pvt. Ltd</x:v>
      </x:c>
      <x:c r="C1815" s="12" t="str">
        <x:v>CORP-0401</x:v>
      </x:c>
      <x:c r="D1815" s="12" t="str">
        <x:v>Pune</x:v>
      </x:c>
      <x:c r="E1815" s="12" t="str">
        <x:v>Olympia B Premises</x:v>
      </x:c>
      <x:c r="F1815" s="12" t="str">
        <x:v>32 inch LED TV</x:v>
      </x:c>
      <x:c r="G1815" s="20" t="n">
        <x:v>1</x:v>
      </x:c>
      <x:c r="H1815" s="12" t="str">
        <x:v>Inventory-listed building/workspace context; current occupancy and screen access unverified</x:v>
      </x:c>
      <x:c r="I1815" s="12" t="str">
        <x:v>Small-scale prospects</x:v>
      </x:c>
      <x:c r="J1815" s="12" t="str">
        <x:v>Education</x:v>
      </x:c>
      <x:c r="K1815" s="2" t="str">
        <x:v>MAIN-405</x:v>
      </x:c>
    </x:row>
    <x:row r="1816" ht="46" customHeight="1">
      <x:c r="A1816" s="2" t="str">
        <x:v>TEN-89AA1F9C78E6</x:v>
      </x:c>
      <x:c r="B1816" s="12" t="str">
        <x:v>Elite Admission</x:v>
      </x:c>
      <x:c r="C1816" s="12" t="str">
        <x:v>CORP-0401</x:v>
      </x:c>
      <x:c r="D1816" s="12" t="str">
        <x:v>Pune</x:v>
      </x:c>
      <x:c r="E1816" s="12" t="str">
        <x:v>Olympia B Premises</x:v>
      </x:c>
      <x:c r="F1816" s="12" t="str">
        <x:v>32 inch LED TV</x:v>
      </x:c>
      <x:c r="G1816" s="20" t="n">
        <x:v>1</x:v>
      </x:c>
      <x:c r="H1816" s="12" t="str">
        <x:v>Inventory-listed building/workspace context; current occupancy and screen access unverified</x:v>
      </x:c>
      <x:c r="I1816" s="12" t="str">
        <x:v>Small-scale prospects</x:v>
      </x:c>
      <x:c r="J1816" s="12" t="str">
        <x:v>Education</x:v>
      </x:c>
      <x:c r="K1816" s="2" t="str">
        <x:v>MAIN-405</x:v>
      </x:c>
    </x:row>
    <x:row r="1817" ht="46" customHeight="1">
      <x:c r="A1817" s="2" t="str">
        <x:v>TEN-E975E0EC9394</x:v>
      </x:c>
      <x:c r="B1817" s="12" t="str">
        <x:v>Smartscripts Private Limited</x:v>
      </x:c>
      <x:c r="C1817" s="12" t="str">
        <x:v>CORP-0401</x:v>
      </x:c>
      <x:c r="D1817" s="12" t="str">
        <x:v>Pune</x:v>
      </x:c>
      <x:c r="E1817" s="12" t="str">
        <x:v>Olympia B Premises</x:v>
      </x:c>
      <x:c r="F1817" s="12" t="str">
        <x:v>32 inch LED TV</x:v>
      </x:c>
      <x:c r="G1817" s="20" t="n">
        <x:v>1</x:v>
      </x:c>
      <x:c r="H1817" s="12" t="str">
        <x:v>Inventory-listed building/workspace context; current occupancy and screen access unverified</x:v>
      </x:c>
      <x:c r="I1817" s="12" t="str">
        <x:v>Mixed business audience</x:v>
      </x:c>
      <x:c r="J1817" s="12" t="str">
        <x:v>Unresolved</x:v>
      </x:c>
      <x:c r="K1817" s="2" t="str">
        <x:v>MAIN-405</x:v>
      </x:c>
    </x:row>
    <x:row r="1818" ht="46" customHeight="1">
      <x:c r="A1818" s="2" t="str">
        <x:v>TEN-F01F46101559</x:v>
      </x:c>
      <x:c r="B1818" s="12" t="str">
        <x:v>ACHALARE REALTORS</x:v>
      </x:c>
      <x:c r="C1818" s="12" t="str">
        <x:v>CORP-0401</x:v>
      </x:c>
      <x:c r="D1818" s="12" t="str">
        <x:v>Pune</x:v>
      </x:c>
      <x:c r="E1818" s="12" t="str">
        <x:v>Olympia B Premises</x:v>
      </x:c>
      <x:c r="F1818" s="12" t="str">
        <x:v>32 inch LED TV</x:v>
      </x:c>
      <x:c r="G1818" s="20" t="n">
        <x:v>1</x:v>
      </x:c>
      <x:c r="H1818" s="12" t="str">
        <x:v>Inventory-listed building/workspace context; current occupancy and screen access unverified</x:v>
      </x:c>
      <x:c r="I1818" s="12" t="str">
        <x:v>Small-scale prospects</x:v>
      </x:c>
      <x:c r="J1818" s="12" t="str">
        <x:v>Trade, consumer &amp; logistics</x:v>
      </x:c>
      <x:c r="K1818" s="2" t="str">
        <x:v>MAIN-405</x:v>
      </x:c>
    </x:row>
    <x:row r="1819" ht="46" customHeight="1">
      <x:c r="A1819" s="2" t="str">
        <x:v>TEN-FD8D253C74F8</x:v>
      </x:c>
      <x:c r="B1819" s="12" t="str">
        <x:v>RealX</x:v>
      </x:c>
      <x:c r="C1819" s="12" t="str">
        <x:v>CORP-0401</x:v>
      </x:c>
      <x:c r="D1819" s="12" t="str">
        <x:v>Pune</x:v>
      </x:c>
      <x:c r="E1819" s="12" t="str">
        <x:v>Olympia B Premises</x:v>
      </x:c>
      <x:c r="F1819" s="12" t="str">
        <x:v>32 inch LED TV</x:v>
      </x:c>
      <x:c r="G1819" s="20" t="n">
        <x:v>1</x:v>
      </x:c>
      <x:c r="H1819" s="12" t="str">
        <x:v>Inventory-listed building/workspace context; current occupancy and screen access unverified</x:v>
      </x:c>
      <x:c r="I1819" s="12" t="str">
        <x:v>Mixed business audience</x:v>
      </x:c>
      <x:c r="J1819" s="12" t="str">
        <x:v>Unresolved</x:v>
      </x:c>
      <x:c r="K1819" s="2" t="str">
        <x:v>MAIN-405</x:v>
      </x:c>
    </x:row>
    <x:row r="1820" ht="46" customHeight="1">
      <x:c r="A1820" s="2" t="str">
        <x:v>TEN-0519A3DAAF8C</x:v>
      </x:c>
      <x:c r="B1820" s="12" t="str">
        <x:v>Wintech Digital Solutions LLP</x:v>
      </x:c>
      <x:c r="C1820" s="12" t="str">
        <x:v>CORP-0402</x:v>
      </x:c>
      <x:c r="D1820" s="12" t="str">
        <x:v>Pune</x:v>
      </x:c>
      <x:c r="E1820" s="12" t="str">
        <x:v>OLYMPIA B PREMISES Inside Elevator</x:v>
      </x:c>
      <x:c r="F1820" s="12" t="str">
        <x:v>24 inch LED TV</x:v>
      </x:c>
      <x:c r="G1820" s="20" t="n">
        <x:v>1</x:v>
      </x:c>
      <x:c r="H1820" s="12" t="str">
        <x:v>Same-building name inference from another supplied inventory row; exact site-ID match absent</x:v>
      </x:c>
      <x:c r="I1820" s="12" t="str">
        <x:v>Small-scale prospects</x:v>
      </x:c>
      <x:c r="J1820" s="12" t="str">
        <x:v>IT &amp; digital</x:v>
      </x:c>
      <x:c r="K1820" s="2" t="str">
        <x:v>MAIN-406</x:v>
      </x:c>
    </x:row>
    <x:row r="1821" ht="46" customHeight="1">
      <x:c r="A1821" s="2" t="str">
        <x:v>TEN-113BF217B1F3</x:v>
      </x:c>
      <x:c r="B1821" s="12" t="str">
        <x:v>Epinomi Training Consulting</x:v>
      </x:c>
      <x:c r="C1821" s="12" t="str">
        <x:v>CORP-0402</x:v>
      </x:c>
      <x:c r="D1821" s="12" t="str">
        <x:v>Pune</x:v>
      </x:c>
      <x:c r="E1821" s="12" t="str">
        <x:v>OLYMPIA B PREMISES Inside Elevator</x:v>
      </x:c>
      <x:c r="F1821" s="12" t="str">
        <x:v>24 inch LED TV</x:v>
      </x:c>
      <x:c r="G1821" s="20" t="n">
        <x:v>1</x:v>
      </x:c>
      <x:c r="H1821" s="12" t="str">
        <x:v>Same-building name inference from another supplied inventory row; exact site-ID match absent</x:v>
      </x:c>
      <x:c r="I1821" s="12" t="str">
        <x:v>Small-scale prospects</x:v>
      </x:c>
      <x:c r="J1821" s="12" t="str">
        <x:v>Professional services</x:v>
      </x:c>
      <x:c r="K1821" s="2" t="str">
        <x:v>MAIN-406</x:v>
      </x:c>
    </x:row>
    <x:row r="1822" ht="46" customHeight="1">
      <x:c r="A1822" s="2" t="str">
        <x:v>TEN-5287C35B15B1</x:v>
      </x:c>
      <x:c r="B1822" s="12" t="str">
        <x:v>Accleco</x:v>
      </x:c>
      <x:c r="C1822" s="12" t="str">
        <x:v>CORP-0402</x:v>
      </x:c>
      <x:c r="D1822" s="12" t="str">
        <x:v>Pune</x:v>
      </x:c>
      <x:c r="E1822" s="12" t="str">
        <x:v>OLYMPIA B PREMISES Inside Elevator</x:v>
      </x:c>
      <x:c r="F1822" s="12" t="str">
        <x:v>24 inch LED TV</x:v>
      </x:c>
      <x:c r="G1822" s="20" t="n">
        <x:v>1</x:v>
      </x:c>
      <x:c r="H1822" s="12" t="str">
        <x:v>Same-building name inference from another supplied inventory row; exact site-ID match absent</x:v>
      </x:c>
      <x:c r="I1822" s="12" t="str">
        <x:v>Small-scale prospects</x:v>
      </x:c>
      <x:c r="J1822" s="12" t="str">
        <x:v>Professional services</x:v>
      </x:c>
      <x:c r="K1822" s="2" t="str">
        <x:v>MAIN-406</x:v>
      </x:c>
    </x:row>
    <x:row r="1823" ht="46" customHeight="1">
      <x:c r="A1823" s="2" t="str">
        <x:v>TEN-834434DB6B68</x:v>
      </x:c>
      <x:c r="B1823" s="12" t="str">
        <x:v>Gryphon Academy Pvt. Ltd</x:v>
      </x:c>
      <x:c r="C1823" s="12" t="str">
        <x:v>CORP-0402</x:v>
      </x:c>
      <x:c r="D1823" s="12" t="str">
        <x:v>Pune</x:v>
      </x:c>
      <x:c r="E1823" s="12" t="str">
        <x:v>OLYMPIA B PREMISES Inside Elevator</x:v>
      </x:c>
      <x:c r="F1823" s="12" t="str">
        <x:v>24 inch LED TV</x:v>
      </x:c>
      <x:c r="G1823" s="20" t="n">
        <x:v>1</x:v>
      </x:c>
      <x:c r="H1823" s="12" t="str">
        <x:v>Same-building name inference from another supplied inventory row; exact site-ID match absent</x:v>
      </x:c>
      <x:c r="I1823" s="12" t="str">
        <x:v>Small-scale prospects</x:v>
      </x:c>
      <x:c r="J1823" s="12" t="str">
        <x:v>Education</x:v>
      </x:c>
      <x:c r="K1823" s="2" t="str">
        <x:v>MAIN-406</x:v>
      </x:c>
    </x:row>
    <x:row r="1824" ht="46" customHeight="1">
      <x:c r="A1824" s="2" t="str">
        <x:v>TEN-89AA1F9C78E6</x:v>
      </x:c>
      <x:c r="B1824" s="12" t="str">
        <x:v>Elite Admission</x:v>
      </x:c>
      <x:c r="C1824" s="12" t="str">
        <x:v>CORP-0402</x:v>
      </x:c>
      <x:c r="D1824" s="12" t="str">
        <x:v>Pune</x:v>
      </x:c>
      <x:c r="E1824" s="12" t="str">
        <x:v>OLYMPIA B PREMISES Inside Elevator</x:v>
      </x:c>
      <x:c r="F1824" s="12" t="str">
        <x:v>24 inch LED TV</x:v>
      </x:c>
      <x:c r="G1824" s="20" t="n">
        <x:v>1</x:v>
      </x:c>
      <x:c r="H1824" s="12" t="str">
        <x:v>Same-building name inference from another supplied inventory row; exact site-ID match absent</x:v>
      </x:c>
      <x:c r="I1824" s="12" t="str">
        <x:v>Small-scale prospects</x:v>
      </x:c>
      <x:c r="J1824" s="12" t="str">
        <x:v>Education</x:v>
      </x:c>
      <x:c r="K1824" s="2" t="str">
        <x:v>MAIN-406</x:v>
      </x:c>
    </x:row>
    <x:row r="1825" ht="46" customHeight="1">
      <x:c r="A1825" s="2" t="str">
        <x:v>TEN-E975E0EC9394</x:v>
      </x:c>
      <x:c r="B1825" s="12" t="str">
        <x:v>Smartscripts Private Limited</x:v>
      </x:c>
      <x:c r="C1825" s="12" t="str">
        <x:v>CORP-0402</x:v>
      </x:c>
      <x:c r="D1825" s="12" t="str">
        <x:v>Pune</x:v>
      </x:c>
      <x:c r="E1825" s="12" t="str">
        <x:v>OLYMPIA B PREMISES Inside Elevator</x:v>
      </x:c>
      <x:c r="F1825" s="12" t="str">
        <x:v>24 inch LED TV</x:v>
      </x:c>
      <x:c r="G1825" s="20" t="n">
        <x:v>1</x:v>
      </x:c>
      <x:c r="H1825" s="12" t="str">
        <x:v>Same-building name inference from another supplied inventory row; exact site-ID match absent</x:v>
      </x:c>
      <x:c r="I1825" s="12" t="str">
        <x:v>Mixed business audience</x:v>
      </x:c>
      <x:c r="J1825" s="12" t="str">
        <x:v>Unresolved</x:v>
      </x:c>
      <x:c r="K1825" s="2" t="str">
        <x:v>MAIN-406</x:v>
      </x:c>
    </x:row>
    <x:row r="1826" ht="46" customHeight="1">
      <x:c r="A1826" s="2" t="str">
        <x:v>TEN-F01F46101559</x:v>
      </x:c>
      <x:c r="B1826" s="12" t="str">
        <x:v>ACHALARE REALTORS</x:v>
      </x:c>
      <x:c r="C1826" s="12" t="str">
        <x:v>CORP-0402</x:v>
      </x:c>
      <x:c r="D1826" s="12" t="str">
        <x:v>Pune</x:v>
      </x:c>
      <x:c r="E1826" s="12" t="str">
        <x:v>OLYMPIA B PREMISES Inside Elevator</x:v>
      </x:c>
      <x:c r="F1826" s="12" t="str">
        <x:v>24 inch LED TV</x:v>
      </x:c>
      <x:c r="G1826" s="20" t="n">
        <x:v>1</x:v>
      </x:c>
      <x:c r="H1826" s="12" t="str">
        <x:v>Same-building name inference from another supplied inventory row; exact site-ID match absent</x:v>
      </x:c>
      <x:c r="I1826" s="12" t="str">
        <x:v>Small-scale prospects</x:v>
      </x:c>
      <x:c r="J1826" s="12" t="str">
        <x:v>Trade, consumer &amp; logistics</x:v>
      </x:c>
      <x:c r="K1826" s="2" t="str">
        <x:v>MAIN-406</x:v>
      </x:c>
    </x:row>
    <x:row r="1827" ht="46" customHeight="1">
      <x:c r="A1827" s="2" t="str">
        <x:v>TEN-FD8D253C74F8</x:v>
      </x:c>
      <x:c r="B1827" s="12" t="str">
        <x:v>RealX</x:v>
      </x:c>
      <x:c r="C1827" s="12" t="str">
        <x:v>CORP-0402</x:v>
      </x:c>
      <x:c r="D1827" s="12" t="str">
        <x:v>Pune</x:v>
      </x:c>
      <x:c r="E1827" s="12" t="str">
        <x:v>OLYMPIA B PREMISES Inside Elevator</x:v>
      </x:c>
      <x:c r="F1827" s="12" t="str">
        <x:v>24 inch LED TV</x:v>
      </x:c>
      <x:c r="G1827" s="20" t="n">
        <x:v>1</x:v>
      </x:c>
      <x:c r="H1827" s="12" t="str">
        <x:v>Same-building name inference from another supplied inventory row; exact site-ID match absent</x:v>
      </x:c>
      <x:c r="I1827" s="12" t="str">
        <x:v>Mixed business audience</x:v>
      </x:c>
      <x:c r="J1827" s="12" t="str">
        <x:v>Unresolved</x:v>
      </x:c>
      <x:c r="K1827" s="2" t="str">
        <x:v>MAIN-406</x:v>
      </x:c>
    </x:row>
    <x:row r="1828" ht="46" customHeight="1">
      <x:c r="A1828" s="2" t="str">
        <x:v>TEN-03D5A073B430</x:v>
      </x:c>
      <x:c r="B1828" s="12" t="str">
        <x:v>The Oriental Insurance Co.Ltd</x:v>
      </x:c>
      <x:c r="C1828" s="12" t="str">
        <x:v>CORP-0403</x:v>
      </x:c>
      <x:c r="D1828" s="12" t="str">
        <x:v>Pune</x:v>
      </x:c>
      <x:c r="E1828" s="12" t="str">
        <x:v>Oyo Workspace - Innov8 Suman Business Park</x:v>
      </x:c>
      <x:c r="F1828" s="12" t="str">
        <x:v>32 inch LED TV</x:v>
      </x:c>
      <x:c r="G1828" s="20" t="n">
        <x:v>2</x:v>
      </x:c>
      <x:c r="H1828" s="12" t="str">
        <x:v>Inventory-listed building/workspace context; current occupancy and screen access unverified</x:v>
      </x:c>
      <x:c r="I1828" s="12" t="str">
        <x:v>Mixed business audience</x:v>
      </x:c>
      <x:c r="J1828" s="12" t="str">
        <x:v>Finance &amp; insurance</x:v>
      </x:c>
      <x:c r="K1828" s="2" t="str">
        <x:v>MAIN-407</x:v>
      </x:c>
    </x:row>
    <x:row r="1829" ht="46" customHeight="1">
      <x:c r="A1829" s="2" t="str">
        <x:v>TEN-047619AF3AB9</x:v>
      </x:c>
      <x:c r="B1829" s="12" t="str">
        <x:v>TATA Community Initiatives Trust</x:v>
      </x:c>
      <x:c r="C1829" s="12" t="str">
        <x:v>CORP-0403</x:v>
      </x:c>
      <x:c r="D1829" s="12" t="str">
        <x:v>Pune</x:v>
      </x:c>
      <x:c r="E1829" s="12" t="str">
        <x:v>Oyo Workspace - Innov8 Suman Business Park</x:v>
      </x:c>
      <x:c r="F1829" s="12" t="str">
        <x:v>32 inch LED TV</x:v>
      </x:c>
      <x:c r="G1829" s="20" t="n">
        <x:v>2</x:v>
      </x:c>
      <x:c r="H1829" s="12" t="str">
        <x:v>Inventory-listed building/workspace context; current occupancy and screen access unverified</x:v>
      </x:c>
      <x:c r="I1829" s="12" t="str">
        <x:v>Institutional</x:v>
      </x:c>
      <x:c r="J1829" s="12" t="str">
        <x:v>Government &amp; nonprofit</x:v>
      </x:c>
      <x:c r="K1829" s="2" t="str">
        <x:v>MAIN-407</x:v>
      </x:c>
    </x:row>
    <x:row r="1830" ht="46" customHeight="1">
      <x:c r="A1830" s="2" t="str">
        <x:v>TEN-0A337D28CD0B</x:v>
      </x:c>
      <x:c r="B1830" s="12" t="str">
        <x:v>Tasty Bite Eatables Limited</x:v>
      </x:c>
      <x:c r="C1830" s="12" t="str">
        <x:v>CORP-0403</x:v>
      </x:c>
      <x:c r="D1830" s="12" t="str">
        <x:v>Pune</x:v>
      </x:c>
      <x:c r="E1830" s="12" t="str">
        <x:v>Oyo Workspace - Innov8 Suman Business Park</x:v>
      </x:c>
      <x:c r="F1830" s="12" t="str">
        <x:v>32 inch LED TV</x:v>
      </x:c>
      <x:c r="G1830" s="20" t="n">
        <x:v>2</x:v>
      </x:c>
      <x:c r="H1830" s="12" t="str">
        <x:v>Inventory-listed building/workspace context; current occupancy and screen access unverified</x:v>
      </x:c>
      <x:c r="I1830" s="12" t="str">
        <x:v>Mixed business audience</x:v>
      </x:c>
      <x:c r="J1830" s="12" t="str">
        <x:v>Trade, consumer &amp; logistics</x:v>
      </x:c>
      <x:c r="K1830" s="2" t="str">
        <x:v>MAIN-407</x:v>
      </x:c>
    </x:row>
    <x:row r="1831" ht="46" customHeight="1">
      <x:c r="A1831" s="2" t="str">
        <x:v>TEN-0AD3D799437B</x:v>
      </x:c>
      <x:c r="B1831" s="12" t="str">
        <x:v>ATC Telecom Infrastructure</x:v>
      </x:c>
      <x:c r="C1831" s="12" t="str">
        <x:v>CORP-0403</x:v>
      </x:c>
      <x:c r="D1831" s="12" t="str">
        <x:v>Pune</x:v>
      </x:c>
      <x:c r="E1831" s="12" t="str">
        <x:v>Oyo Workspace - Innov8 Suman Business Park</x:v>
      </x:c>
      <x:c r="F1831" s="12" t="str">
        <x:v>32 inch LED TV</x:v>
      </x:c>
      <x:c r="G1831" s="20" t="n">
        <x:v>2</x:v>
      </x:c>
      <x:c r="H1831" s="12" t="str">
        <x:v>Inventory-listed building/workspace context; current occupancy and screen access unverified</x:v>
      </x:c>
      <x:c r="I1831" s="12" t="str">
        <x:v>Mixed business audience</x:v>
      </x:c>
      <x:c r="J1831" s="12" t="str">
        <x:v>IT &amp; digital</x:v>
      </x:c>
      <x:c r="K1831" s="2" t="str">
        <x:v>MAIN-407</x:v>
      </x:c>
    </x:row>
    <x:row r="1832" ht="46" customHeight="1">
      <x:c r="A1832" s="2" t="str">
        <x:v>TEN-2FCA526E6EBB</x:v>
      </x:c>
      <x:c r="B1832" s="12" t="str">
        <x:v>RevalAnalytical Services</x:v>
      </x:c>
      <x:c r="C1832" s="12" t="str">
        <x:v>CORP-0403</x:v>
      </x:c>
      <x:c r="D1832" s="12" t="str">
        <x:v>Pune</x:v>
      </x:c>
      <x:c r="E1832" s="12" t="str">
        <x:v>Oyo Workspace - Innov8 Suman Business Park</x:v>
      </x:c>
      <x:c r="F1832" s="12" t="str">
        <x:v>32 inch LED TV</x:v>
      </x:c>
      <x:c r="G1832" s="20" t="n">
        <x:v>2</x:v>
      </x:c>
      <x:c r="H1832" s="12" t="str">
        <x:v>Inventory-listed building/workspace context; current occupancy and screen access unverified</x:v>
      </x:c>
      <x:c r="I1832" s="12" t="str">
        <x:v>Small-scale prospects</x:v>
      </x:c>
      <x:c r="J1832" s="12" t="str">
        <x:v>IT &amp; digital</x:v>
      </x:c>
      <x:c r="K1832" s="2" t="str">
        <x:v>MAIN-407</x:v>
      </x:c>
    </x:row>
    <x:row r="1833" ht="46" customHeight="1">
      <x:c r="A1833" s="2" t="str">
        <x:v>TEN-487AAAFE33F4</x:v>
      </x:c>
      <x:c r="B1833" s="12" t="str">
        <x:v>Racold Thermo Limited</x:v>
      </x:c>
      <x:c r="C1833" s="12" t="str">
        <x:v>CORP-0403</x:v>
      </x:c>
      <x:c r="D1833" s="12" t="str">
        <x:v>Pune</x:v>
      </x:c>
      <x:c r="E1833" s="12" t="str">
        <x:v>Oyo Workspace - Innov8 Suman Business Park</x:v>
      </x:c>
      <x:c r="F1833" s="12" t="str">
        <x:v>32 inch LED TV</x:v>
      </x:c>
      <x:c r="G1833" s="20" t="n">
        <x:v>2</x:v>
      </x:c>
      <x:c r="H1833" s="12" t="str">
        <x:v>Inventory-listed building/workspace context; current occupancy and screen access unverified</x:v>
      </x:c>
      <x:c r="I1833" s="12" t="str">
        <x:v>Mixed business audience</x:v>
      </x:c>
      <x:c r="J1833" s="12" t="str">
        <x:v>Engineering &amp; manufacturing</x:v>
      </x:c>
      <x:c r="K1833" s="2" t="str">
        <x:v>MAIN-407</x:v>
      </x:c>
    </x:row>
    <x:row r="1834" ht="46" customHeight="1">
      <x:c r="A1834" s="2" t="str">
        <x:v>TEN-4E958160A031</x:v>
      </x:c>
      <x:c r="B1834" s="12" t="str">
        <x:v>LUJO AUTOCORP</x:v>
      </x:c>
      <x:c r="C1834" s="12" t="str">
        <x:v>CORP-0403</x:v>
      </x:c>
      <x:c r="D1834" s="12" t="str">
        <x:v>Pune</x:v>
      </x:c>
      <x:c r="E1834" s="12" t="str">
        <x:v>Oyo Workspace - Innov8 Suman Business Park</x:v>
      </x:c>
      <x:c r="F1834" s="12" t="str">
        <x:v>32 inch LED TV</x:v>
      </x:c>
      <x:c r="G1834" s="20" t="n">
        <x:v>2</x:v>
      </x:c>
      <x:c r="H1834" s="12" t="str">
        <x:v>Inventory-listed building/workspace context; current occupancy and screen access unverified</x:v>
      </x:c>
      <x:c r="I1834" s="12" t="str">
        <x:v>Medium-scale prospects</x:v>
      </x:c>
      <x:c r="J1834" s="12" t="str">
        <x:v>Engineering &amp; manufacturing</x:v>
      </x:c>
      <x:c r="K1834" s="2" t="str">
        <x:v>MAIN-407</x:v>
      </x:c>
    </x:row>
    <x:row r="1835" ht="46" customHeight="1">
      <x:c r="A1835" s="2" t="str">
        <x:v>TEN-56FA58CE1FC6</x:v>
      </x:c>
      <x:c r="B1835" s="12" t="str">
        <x:v>Indian Register of Shipping</x:v>
      </x:c>
      <x:c r="C1835" s="12" t="str">
        <x:v>CORP-0403</x:v>
      </x:c>
      <x:c r="D1835" s="12" t="str">
        <x:v>Pune</x:v>
      </x:c>
      <x:c r="E1835" s="12" t="str">
        <x:v>Oyo Workspace - Innov8 Suman Business Park</x:v>
      </x:c>
      <x:c r="F1835" s="12" t="str">
        <x:v>32 inch LED TV</x:v>
      </x:c>
      <x:c r="G1835" s="20" t="n">
        <x:v>2</x:v>
      </x:c>
      <x:c r="H1835" s="12" t="str">
        <x:v>Inventory-listed building/workspace context; current occupancy and screen access unverified</x:v>
      </x:c>
      <x:c r="I1835" s="12" t="str">
        <x:v>Mixed business audience</x:v>
      </x:c>
      <x:c r="J1835" s="12" t="str">
        <x:v>Trade, consumer &amp; logistics</x:v>
      </x:c>
      <x:c r="K1835" s="2" t="str">
        <x:v>MAIN-407</x:v>
      </x:c>
    </x:row>
    <x:row r="1836" ht="46" customHeight="1">
      <x:c r="A1836" s="2" t="str">
        <x:v>TEN-81BA24BC70DD</x:v>
      </x:c>
      <x:c r="B1836" s="12" t="str">
        <x:v>Softech Technologies Global</x:v>
      </x:c>
      <x:c r="C1836" s="12" t="str">
        <x:v>CORP-0403</x:v>
      </x:c>
      <x:c r="D1836" s="12" t="str">
        <x:v>Pune</x:v>
      </x:c>
      <x:c r="E1836" s="12" t="str">
        <x:v>Oyo Workspace - Innov8 Suman Business Park</x:v>
      </x:c>
      <x:c r="F1836" s="12" t="str">
        <x:v>32 inch LED TV</x:v>
      </x:c>
      <x:c r="G1836" s="20" t="n">
        <x:v>2</x:v>
      </x:c>
      <x:c r="H1836" s="12" t="str">
        <x:v>Inventory-listed building/workspace context; current occupancy and screen access unverified</x:v>
      </x:c>
      <x:c r="I1836" s="12" t="str">
        <x:v>Mixed business audience</x:v>
      </x:c>
      <x:c r="J1836" s="12" t="str">
        <x:v>Unresolved</x:v>
      </x:c>
      <x:c r="K1836" s="2" t="str">
        <x:v>MAIN-407</x:v>
      </x:c>
    </x:row>
    <x:row r="1837" ht="46" customHeight="1">
      <x:c r="A1837" s="2" t="str">
        <x:v>TEN-89794163A43F</x:v>
      </x:c>
      <x:c r="B1837" s="12" t="str">
        <x:v>Rivulis Irrigation India Pvt.Ltd</x:v>
      </x:c>
      <x:c r="C1837" s="12" t="str">
        <x:v>CORP-0403</x:v>
      </x:c>
      <x:c r="D1837" s="12" t="str">
        <x:v>Pune</x:v>
      </x:c>
      <x:c r="E1837" s="12" t="str">
        <x:v>Oyo Workspace - Innov8 Suman Business Park</x:v>
      </x:c>
      <x:c r="F1837" s="12" t="str">
        <x:v>32 inch LED TV</x:v>
      </x:c>
      <x:c r="G1837" s="20" t="n">
        <x:v>2</x:v>
      </x:c>
      <x:c r="H1837" s="12" t="str">
        <x:v>Inventory-listed building/workspace context; current occupancy and screen access unverified</x:v>
      </x:c>
      <x:c r="I1837" s="12" t="str">
        <x:v>Mixed business audience</x:v>
      </x:c>
      <x:c r="J1837" s="12" t="str">
        <x:v>Engineering &amp; manufacturing</x:v>
      </x:c>
      <x:c r="K1837" s="2" t="str">
        <x:v>MAIN-407</x:v>
      </x:c>
    </x:row>
    <x:row r="1838" ht="46" customHeight="1">
      <x:c r="A1838" s="2" t="str">
        <x:v>TEN-F877D8925526</x:v>
      </x:c>
      <x:c r="B1838" s="12" t="str">
        <x:v>Religare Securities</x:v>
      </x:c>
      <x:c r="C1838" s="12" t="str">
        <x:v>CORP-0403</x:v>
      </x:c>
      <x:c r="D1838" s="12" t="str">
        <x:v>Pune</x:v>
      </x:c>
      <x:c r="E1838" s="12" t="str">
        <x:v>Oyo Workspace - Innov8 Suman Business Park</x:v>
      </x:c>
      <x:c r="F1838" s="12" t="str">
        <x:v>32 inch LED TV</x:v>
      </x:c>
      <x:c r="G1838" s="20" t="n">
        <x:v>2</x:v>
      </x:c>
      <x:c r="H1838" s="12" t="str">
        <x:v>Inventory-listed building/workspace context; current occupancy and screen access unverified</x:v>
      </x:c>
      <x:c r="I1838" s="12" t="str">
        <x:v>Mixed business audience</x:v>
      </x:c>
      <x:c r="J1838" s="12" t="str">
        <x:v>Finance &amp; insurance</x:v>
      </x:c>
      <x:c r="K1838" s="2" t="str">
        <x:v>MAIN-407</x:v>
      </x:c>
    </x:row>
    <x:row r="1839" ht="46" customHeight="1">
      <x:c r="A1839" s="2" t="str">
        <x:v>TEN-06CA3A8EC4E5</x:v>
      </x:c>
      <x:c r="B1839" s="12" t="str">
        <x:v>Xcaliber Infotech Pvt. Ltd</x:v>
      </x:c>
      <x:c r="C1839" s="12" t="str">
        <x:v>CORP-0405</x:v>
      </x:c>
      <x:c r="D1839" s="12" t="str">
        <x:v>Pune</x:v>
      </x:c>
      <x:c r="E1839" s="12" t="str">
        <x:v>Pavillion Mall (Redbrick Offices)</x:v>
      </x:c>
      <x:c r="F1839" s="12" t="str">
        <x:v>32 inch LED TV</x:v>
      </x:c>
      <x:c r="G1839" s="20" t="n">
        <x:v>1</x:v>
      </x:c>
      <x:c r="H1839" s="12" t="str">
        <x:v>Inventory-listed building/workspace context; current occupancy and screen access unverified</x:v>
      </x:c>
      <x:c r="I1839" s="12" t="str">
        <x:v>Small-scale prospects</x:v>
      </x:c>
      <x:c r="J1839" s="12" t="str">
        <x:v>IT &amp; digital</x:v>
      </x:c>
      <x:c r="K1839" s="2" t="str">
        <x:v>MAIN-409</x:v>
      </x:c>
    </x:row>
    <x:row r="1840" ht="46" customHeight="1">
      <x:c r="A1840" s="2" t="str">
        <x:v>TEN-8811A6E72E7C</x:v>
      </x:c>
      <x:c r="B1840" s="12" t="str">
        <x:v>Golden Ratio Consulting Private Limited</x:v>
      </x:c>
      <x:c r="C1840" s="12" t="str">
        <x:v>CORP-0405</x:v>
      </x:c>
      <x:c r="D1840" s="12" t="str">
        <x:v>Pune</x:v>
      </x:c>
      <x:c r="E1840" s="12" t="str">
        <x:v>Pavillion Mall (Redbrick Offices)</x:v>
      </x:c>
      <x:c r="F1840" s="12" t="str">
        <x:v>32 inch LED TV</x:v>
      </x:c>
      <x:c r="G1840" s="20" t="n">
        <x:v>1</x:v>
      </x:c>
      <x:c r="H1840" s="12" t="str">
        <x:v>Inventory-listed building/workspace context; current occupancy and screen access unverified</x:v>
      </x:c>
      <x:c r="I1840" s="12" t="str">
        <x:v>Small-scale prospects</x:v>
      </x:c>
      <x:c r="J1840" s="12" t="str">
        <x:v>Professional services</x:v>
      </x:c>
      <x:c r="K1840" s="2" t="str">
        <x:v>MAIN-409</x:v>
      </x:c>
    </x:row>
    <x:row r="1841" ht="46" customHeight="1">
      <x:c r="A1841" s="2" t="str">
        <x:v>TEN-AA07CBFFEF18</x:v>
      </x:c>
      <x:c r="B1841" s="12" t="str">
        <x:v>LogicMonitor</x:v>
      </x:c>
      <x:c r="C1841" s="12" t="str">
        <x:v>CORP-0405</x:v>
      </x:c>
      <x:c r="D1841" s="12" t="str">
        <x:v>Pune</x:v>
      </x:c>
      <x:c r="E1841" s="12" t="str">
        <x:v>Pavillion Mall (Redbrick Offices)</x:v>
      </x:c>
      <x:c r="F1841" s="12" t="str">
        <x:v>32 inch LED TV</x:v>
      </x:c>
      <x:c r="G1841" s="20" t="n">
        <x:v>1</x:v>
      </x:c>
      <x:c r="H1841" s="12" t="str">
        <x:v>Inventory-listed building/workspace context; current occupancy and screen access unverified</x:v>
      </x:c>
      <x:c r="I1841" s="12" t="str">
        <x:v>Mixed business audience</x:v>
      </x:c>
      <x:c r="J1841" s="12" t="str">
        <x:v>IT &amp; digital</x:v>
      </x:c>
      <x:c r="K1841" s="2" t="str">
        <x:v>MAIN-409</x:v>
      </x:c>
    </x:row>
    <x:row r="1842" ht="46" customHeight="1">
      <x:c r="A1842" s="2" t="str">
        <x:v>TEN-EC11082DA4CE</x:v>
      </x:c>
      <x:c r="B1842" s="12" t="str">
        <x:v>Anju Life Sciences Private Limited</x:v>
      </x:c>
      <x:c r="C1842" s="12" t="str">
        <x:v>CORP-0405</x:v>
      </x:c>
      <x:c r="D1842" s="12" t="str">
        <x:v>Pune</x:v>
      </x:c>
      <x:c r="E1842" s="12" t="str">
        <x:v>Pavillion Mall (Redbrick Offices)</x:v>
      </x:c>
      <x:c r="F1842" s="12" t="str">
        <x:v>32 inch LED TV</x:v>
      </x:c>
      <x:c r="G1842" s="20" t="n">
        <x:v>1</x:v>
      </x:c>
      <x:c r="H1842" s="12" t="str">
        <x:v>Inventory-listed building/workspace context; current occupancy and screen access unverified</x:v>
      </x:c>
      <x:c r="I1842" s="12" t="str">
        <x:v>Medium-scale prospects</x:v>
      </x:c>
      <x:c r="J1842" s="12" t="str">
        <x:v>Healthcare &amp; life sciences</x:v>
      </x:c>
      <x:c r="K1842" s="2" t="str">
        <x:v>MAIN-409</x:v>
      </x:c>
    </x:row>
    <x:row r="1843" ht="46" customHeight="1">
      <x:c r="A1843" s="2" t="str">
        <x:v>TEN-3494B3B134A1</x:v>
      </x:c>
      <x:c r="B1843" s="12" t="str">
        <x:v>Nitya IT Solution</x:v>
      </x:c>
      <x:c r="C1843" s="12" t="str">
        <x:v>CORP-0406</x:v>
      </x:c>
      <x:c r="D1843" s="12" t="str">
        <x:v>Pune</x:v>
      </x:c>
      <x:c r="E1843" s="12" t="str">
        <x:v>PBP Balewadi High Street (Redbrick Offices)</x:v>
      </x:c>
      <x:c r="F1843" s="12" t="str">
        <x:v>32 inch LED TV</x:v>
      </x:c>
      <x:c r="G1843" s="20" t="n">
        <x:v>1</x:v>
      </x:c>
      <x:c r="H1843" s="12" t="str">
        <x:v>Campus/portfolio roster; individual building occupancy unverified</x:v>
      </x:c>
      <x:c r="I1843" s="12" t="str">
        <x:v>Mixed business audience</x:v>
      </x:c>
      <x:c r="J1843" s="12" t="str">
        <x:v>Unresolved</x:v>
      </x:c>
      <x:c r="K1843" s="2" t="str">
        <x:v>MAIN-410</x:v>
      </x:c>
    </x:row>
    <x:row r="1844" ht="46" customHeight="1">
      <x:c r="A1844" s="2" t="str">
        <x:v>TEN-3FAC3110656F</x:v>
      </x:c>
      <x:c r="B1844" s="12" t="str">
        <x:v>Rockwell Automation</x:v>
      </x:c>
      <x:c r="C1844" s="12" t="str">
        <x:v>CORP-0406</x:v>
      </x:c>
      <x:c r="D1844" s="12" t="str">
        <x:v>Pune</x:v>
      </x:c>
      <x:c r="E1844" s="12" t="str">
        <x:v>PBP Balewadi High Street (Redbrick Offices)</x:v>
      </x:c>
      <x:c r="F1844" s="12" t="str">
        <x:v>32 inch LED TV</x:v>
      </x:c>
      <x:c r="G1844" s="20" t="n">
        <x:v>1</x:v>
      </x:c>
      <x:c r="H1844" s="12" t="str">
        <x:v>Campus/portfolio roster; individual building occupancy unverified</x:v>
      </x:c>
      <x:c r="I1844" s="12" t="str">
        <x:v>Mixed business audience</x:v>
      </x:c>
      <x:c r="J1844" s="12" t="str">
        <x:v>Engineering &amp; manufacturing</x:v>
      </x:c>
      <x:c r="K1844" s="2" t="str">
        <x:v>MAIN-410</x:v>
      </x:c>
    </x:row>
    <x:row r="1845" ht="46" customHeight="1">
      <x:c r="A1845" s="2" t="str">
        <x:v>TEN-807B0FE3F8D3</x:v>
      </x:c>
      <x:c r="B1845" s="12" t="str">
        <x:v>John Crane Sealing Systems I Pvt Ltd</x:v>
      </x:c>
      <x:c r="C1845" s="12" t="str">
        <x:v>CORP-0406</x:v>
      </x:c>
      <x:c r="D1845" s="12" t="str">
        <x:v>Pune</x:v>
      </x:c>
      <x:c r="E1845" s="12" t="str">
        <x:v>PBP Balewadi High Street (Redbrick Offices)</x:v>
      </x:c>
      <x:c r="F1845" s="12" t="str">
        <x:v>32 inch LED TV</x:v>
      </x:c>
      <x:c r="G1845" s="20" t="n">
        <x:v>1</x:v>
      </x:c>
      <x:c r="H1845" s="12" t="str">
        <x:v>Campus/portfolio roster; individual building occupancy unverified</x:v>
      </x:c>
      <x:c r="I1845" s="12" t="str">
        <x:v>Mixed business audience</x:v>
      </x:c>
      <x:c r="J1845" s="12" t="str">
        <x:v>Engineering &amp; manufacturing</x:v>
      </x:c>
      <x:c r="K1845" s="2" t="str">
        <x:v>MAIN-410</x:v>
      </x:c>
    </x:row>
    <x:row r="1846" ht="46" customHeight="1">
      <x:c r="A1846" s="2" t="str">
        <x:v>TEN-CD9B8AD2B916</x:v>
      </x:c>
      <x:c r="B1846" s="12" t="str">
        <x:v>Shivam Logistics Movers and Packers</x:v>
      </x:c>
      <x:c r="C1846" s="12" t="str">
        <x:v>CORP-0406</x:v>
      </x:c>
      <x:c r="D1846" s="12" t="str">
        <x:v>Pune</x:v>
      </x:c>
      <x:c r="E1846" s="12" t="str">
        <x:v>PBP Balewadi High Street (Redbrick Offices)</x:v>
      </x:c>
      <x:c r="F1846" s="12" t="str">
        <x:v>32 inch LED TV</x:v>
      </x:c>
      <x:c r="G1846" s="20" t="n">
        <x:v>1</x:v>
      </x:c>
      <x:c r="H1846" s="12" t="str">
        <x:v>Campus/portfolio roster; individual building occupancy unverified</x:v>
      </x:c>
      <x:c r="I1846" s="12" t="str">
        <x:v>Medium-scale prospects</x:v>
      </x:c>
      <x:c r="J1846" s="12" t="str">
        <x:v>Trade, consumer &amp; logistics</x:v>
      </x:c>
      <x:c r="K1846" s="2" t="str">
        <x:v>MAIN-410</x:v>
      </x:c>
    </x:row>
    <x:row r="1847" ht="46" customHeight="1">
      <x:c r="A1847" s="2" t="str">
        <x:v>TEN-DA5DBDFC224C</x:v>
      </x:c>
      <x:c r="B1847" s="12" t="str">
        <x:v>Xseven Marketing</x:v>
      </x:c>
      <x:c r="C1847" s="12" t="str">
        <x:v>CORP-0406</x:v>
      </x:c>
      <x:c r="D1847" s="12" t="str">
        <x:v>Pune</x:v>
      </x:c>
      <x:c r="E1847" s="12" t="str">
        <x:v>PBP Balewadi High Street (Redbrick Offices)</x:v>
      </x:c>
      <x:c r="F1847" s="12" t="str">
        <x:v>32 inch LED TV</x:v>
      </x:c>
      <x:c r="G1847" s="20" t="n">
        <x:v>1</x:v>
      </x:c>
      <x:c r="H1847" s="12" t="str">
        <x:v>Campus/portfolio roster; individual building occupancy unverified</x:v>
      </x:c>
      <x:c r="I1847" s="12" t="str">
        <x:v>Small-scale prospects</x:v>
      </x:c>
      <x:c r="J1847" s="12" t="str">
        <x:v>Professional services</x:v>
      </x:c>
      <x:c r="K1847" s="2" t="str">
        <x:v>MAIN-410</x:v>
      </x:c>
    </x:row>
    <x:row r="1848" ht="46" customHeight="1">
      <x:c r="A1848" s="2" t="str">
        <x:v>TEN-0D8D7B583F99</x:v>
      </x:c>
      <x:c r="B1848" s="12" t="str">
        <x:v>UBS</x:v>
      </x:c>
      <x:c r="C1848" s="12" t="str">
        <x:v>CORP-0409</x:v>
      </x:c>
      <x:c r="D1848" s="12" t="str">
        <x:v>Pune</x:v>
      </x:c>
      <x:c r="E1848" s="12" t="str">
        <x:v>Raheja Mindspaces - Yerawada</x:v>
      </x:c>
      <x:c r="F1848" s="12" t="str">
        <x:v>55 inch LED TV</x:v>
      </x:c>
      <x:c r="G1848" s="20" t="n">
        <x:v>2</x:v>
      </x:c>
      <x:c r="H1848" s="12" t="str">
        <x:v>Inventory-listed building/workspace context; current occupancy and screen access unverified</x:v>
      </x:c>
      <x:c r="I1848" s="12" t="str">
        <x:v>Mixed business audience</x:v>
      </x:c>
      <x:c r="J1848" s="12" t="str">
        <x:v>Finance &amp; insurance</x:v>
      </x:c>
      <x:c r="K1848" s="2" t="str">
        <x:v>MAIN-413</x:v>
      </x:c>
    </x:row>
    <x:row r="1849" ht="46" customHeight="1">
      <x:c r="A1849" s="2" t="str">
        <x:v>TEN-4F6B9E1C24D9</x:v>
      </x:c>
      <x:c r="B1849" s="12" t="str">
        <x:v>Cadence</x:v>
      </x:c>
      <x:c r="C1849" s="12" t="str">
        <x:v>CORP-0409</x:v>
      </x:c>
      <x:c r="D1849" s="12" t="str">
        <x:v>Pune</x:v>
      </x:c>
      <x:c r="E1849" s="12" t="str">
        <x:v>Raheja Mindspaces - Yerawada</x:v>
      </x:c>
      <x:c r="F1849" s="12" t="str">
        <x:v>55 inch LED TV</x:v>
      </x:c>
      <x:c r="G1849" s="20" t="n">
        <x:v>2</x:v>
      </x:c>
      <x:c r="H1849" s="12" t="str">
        <x:v>Inventory-listed building/workspace context; current occupancy and screen access unverified</x:v>
      </x:c>
      <x:c r="I1849" s="12" t="str">
        <x:v>Mixed business audience</x:v>
      </x:c>
      <x:c r="J1849" s="12" t="str">
        <x:v>Engineering &amp; manufacturing</x:v>
      </x:c>
      <x:c r="K1849" s="2" t="str">
        <x:v>MAIN-413</x:v>
      </x:c>
    </x:row>
    <x:row r="1850" ht="46" customHeight="1">
      <x:c r="A1850" s="2" t="str">
        <x:v>TEN-5FA790F3630F</x:v>
      </x:c>
      <x:c r="B1850" s="12" t="str">
        <x:v>Tata Consultancy Services</x:v>
      </x:c>
      <x:c r="C1850" s="12" t="str">
        <x:v>CORP-0409</x:v>
      </x:c>
      <x:c r="D1850" s="12" t="str">
        <x:v>Pune</x:v>
      </x:c>
      <x:c r="E1850" s="12" t="str">
        <x:v>Raheja Mindspaces - Yerawada</x:v>
      </x:c>
      <x:c r="F1850" s="12" t="str">
        <x:v>55 inch LED TV</x:v>
      </x:c>
      <x:c r="G1850" s="20" t="n">
        <x:v>2</x:v>
      </x:c>
      <x:c r="H1850" s="12" t="str">
        <x:v>Inventory-listed building/workspace context; current occupancy and screen access unverified</x:v>
      </x:c>
      <x:c r="I1850" s="12" t="str">
        <x:v>Large enterprise</x:v>
      </x:c>
      <x:c r="J1850" s="12" t="str">
        <x:v>IT &amp; digital</x:v>
      </x:c>
      <x:c r="K1850" s="2" t="str">
        <x:v>MAIN-413</x:v>
      </x:c>
    </x:row>
    <x:row r="1851" ht="46" customHeight="1">
      <x:c r="A1851" s="2" t="str">
        <x:v>TEN-62F2CF2F4744</x:v>
      </x:c>
      <x:c r="B1851" s="12" t="str">
        <x:v>Prins Venture</x:v>
      </x:c>
      <x:c r="C1851" s="12" t="str">
        <x:v>CORP-0409</x:v>
      </x:c>
      <x:c r="D1851" s="12" t="str">
        <x:v>Pune</x:v>
      </x:c>
      <x:c r="E1851" s="12" t="str">
        <x:v>Raheja Mindspaces - Yerawada</x:v>
      </x:c>
      <x:c r="F1851" s="12" t="str">
        <x:v>55 inch LED TV</x:v>
      </x:c>
      <x:c r="G1851" s="20" t="n">
        <x:v>2</x:v>
      </x:c>
      <x:c r="H1851" s="12" t="str">
        <x:v>Inventory-listed building/workspace context; current occupancy and screen access unverified</x:v>
      </x:c>
      <x:c r="I1851" s="12" t="str">
        <x:v>Mixed business audience</x:v>
      </x:c>
      <x:c r="J1851" s="12" t="str">
        <x:v>Unresolved</x:v>
      </x:c>
      <x:c r="K1851" s="2" t="str">
        <x:v>MAIN-413</x:v>
      </x:c>
    </x:row>
    <x:row r="1852" ht="46" customHeight="1">
      <x:c r="A1852" s="2" t="str">
        <x:v>TEN-78DA4A596A88</x:v>
      </x:c>
      <x:c r="B1852" s="12" t="str">
        <x:v>ABS</x:v>
      </x:c>
      <x:c r="C1852" s="12" t="str">
        <x:v>CORP-0409</x:v>
      </x:c>
      <x:c r="D1852" s="12" t="str">
        <x:v>Pune</x:v>
      </x:c>
      <x:c r="E1852" s="12" t="str">
        <x:v>Raheja Mindspaces - Yerawada</x:v>
      </x:c>
      <x:c r="F1852" s="12" t="str">
        <x:v>55 inch LED TV</x:v>
      </x:c>
      <x:c r="G1852" s="20" t="n">
        <x:v>2</x:v>
      </x:c>
      <x:c r="H1852" s="12" t="str">
        <x:v>Inventory-listed building/workspace context; current occupancy and screen access unverified</x:v>
      </x:c>
      <x:c r="I1852" s="12" t="str">
        <x:v>Mixed business audience</x:v>
      </x:c>
      <x:c r="J1852" s="12" t="str">
        <x:v>Unresolved</x:v>
      </x:c>
      <x:c r="K1852" s="2" t="str">
        <x:v>MAIN-413</x:v>
      </x:c>
    </x:row>
    <x:row r="1853" ht="46" customHeight="1">
      <x:c r="A1853" s="2" t="str">
        <x:v>TEN-AE00016741A7</x:v>
      </x:c>
      <x:c r="B1853" s="12" t="str">
        <x:v>Queen Street</x:v>
      </x:c>
      <x:c r="C1853" s="12" t="str">
        <x:v>CORP-0409</x:v>
      </x:c>
      <x:c r="D1853" s="12" t="str">
        <x:v>Pune</x:v>
      </x:c>
      <x:c r="E1853" s="12" t="str">
        <x:v>Raheja Mindspaces - Yerawada</x:v>
      </x:c>
      <x:c r="F1853" s="12" t="str">
        <x:v>55 inch LED TV</x:v>
      </x:c>
      <x:c r="G1853" s="20" t="n">
        <x:v>2</x:v>
      </x:c>
      <x:c r="H1853" s="12" t="str">
        <x:v>Inventory-listed building/workspace context; current occupancy and screen access unverified</x:v>
      </x:c>
      <x:c r="I1853" s="12" t="str">
        <x:v>Mixed business audience</x:v>
      </x:c>
      <x:c r="J1853" s="12" t="str">
        <x:v>Unresolved</x:v>
      </x:c>
      <x:c r="K1853" s="2" t="str">
        <x:v>MAIN-413</x:v>
      </x:c>
    </x:row>
    <x:row r="1854" ht="46" customHeight="1">
      <x:c r="A1854" s="2" t="str">
        <x:v>TEN-BA46922C1A73</x:v>
      </x:c>
      <x:c r="B1854" s="12" t="str">
        <x:v>Inventive Health</x:v>
      </x:c>
      <x:c r="C1854" s="12" t="str">
        <x:v>CORP-0409</x:v>
      </x:c>
      <x:c r="D1854" s="12" t="str">
        <x:v>Pune</x:v>
      </x:c>
      <x:c r="E1854" s="12" t="str">
        <x:v>Raheja Mindspaces - Yerawada</x:v>
      </x:c>
      <x:c r="F1854" s="12" t="str">
        <x:v>55 inch LED TV</x:v>
      </x:c>
      <x:c r="G1854" s="20" t="n">
        <x:v>2</x:v>
      </x:c>
      <x:c r="H1854" s="12" t="str">
        <x:v>Inventory-listed building/workspace context; current occupancy and screen access unverified</x:v>
      </x:c>
      <x:c r="I1854" s="12" t="str">
        <x:v>Mixed business audience</x:v>
      </x:c>
      <x:c r="J1854" s="12" t="str">
        <x:v>Healthcare &amp; life sciences</x:v>
      </x:c>
      <x:c r="K1854" s="2" t="str">
        <x:v>MAIN-413</x:v>
      </x:c>
    </x:row>
    <x:row r="1855" ht="46" customHeight="1">
      <x:c r="A1855" s="2" t="str">
        <x:v>TEN-C09DEE999673</x:v>
      </x:c>
      <x:c r="B1855" s="12" t="str">
        <x:v>Vodafone</x:v>
      </x:c>
      <x:c r="C1855" s="12" t="str">
        <x:v>CORP-0409</x:v>
      </x:c>
      <x:c r="D1855" s="12" t="str">
        <x:v>Pune</x:v>
      </x:c>
      <x:c r="E1855" s="12" t="str">
        <x:v>Raheja Mindspaces - Yerawada</x:v>
      </x:c>
      <x:c r="F1855" s="12" t="str">
        <x:v>55 inch LED TV</x:v>
      </x:c>
      <x:c r="G1855" s="20" t="n">
        <x:v>2</x:v>
      </x:c>
      <x:c r="H1855" s="12" t="str">
        <x:v>Inventory-listed building/workspace context; current occupancy and screen access unverified</x:v>
      </x:c>
      <x:c r="I1855" s="12" t="str">
        <x:v>Mixed business audience</x:v>
      </x:c>
      <x:c r="J1855" s="12" t="str">
        <x:v>IT &amp; digital</x:v>
      </x:c>
      <x:c r="K1855" s="2" t="str">
        <x:v>MAIN-413</x:v>
      </x:c>
    </x:row>
    <x:row r="1856" ht="46" customHeight="1">
      <x:c r="A1856" s="2" t="str">
        <x:v>TEN-CBC62794911F</x:v>
      </x:c>
      <x:c r="B1856" s="12" t="str">
        <x:v>Amazon</x:v>
      </x:c>
      <x:c r="C1856" s="12" t="str">
        <x:v>CORP-0409</x:v>
      </x:c>
      <x:c r="D1856" s="12" t="str">
        <x:v>Pune</x:v>
      </x:c>
      <x:c r="E1856" s="12" t="str">
        <x:v>Raheja Mindspaces - Yerawada</x:v>
      </x:c>
      <x:c r="F1856" s="12" t="str">
        <x:v>55 inch LED TV</x:v>
      </x:c>
      <x:c r="G1856" s="20" t="n">
        <x:v>2</x:v>
      </x:c>
      <x:c r="H1856" s="12" t="str">
        <x:v>Inventory-listed building/workspace context; current occupancy and screen access unverified</x:v>
      </x:c>
      <x:c r="I1856" s="12" t="str">
        <x:v>Large enterprise</x:v>
      </x:c>
      <x:c r="J1856" s="12" t="str">
        <x:v>IT &amp; digital</x:v>
      </x:c>
      <x:c r="K1856" s="2" t="str">
        <x:v>MAIN-413</x:v>
      </x:c>
    </x:row>
    <x:row r="1857" ht="46" customHeight="1">
      <x:c r="A1857" s="2" t="str">
        <x:v>TEN-D83FDFEE4416</x:v>
      </x:c>
      <x:c r="B1857" s="12" t="str">
        <x:v>Aptify</x:v>
      </x:c>
      <x:c r="C1857" s="12" t="str">
        <x:v>CORP-0409</x:v>
      </x:c>
      <x:c r="D1857" s="12" t="str">
        <x:v>Pune</x:v>
      </x:c>
      <x:c r="E1857" s="12" t="str">
        <x:v>Raheja Mindspaces - Yerawada</x:v>
      </x:c>
      <x:c r="F1857" s="12" t="str">
        <x:v>55 inch LED TV</x:v>
      </x:c>
      <x:c r="G1857" s="20" t="n">
        <x:v>2</x:v>
      </x:c>
      <x:c r="H1857" s="12" t="str">
        <x:v>Inventory-listed building/workspace context; current occupancy and screen access unverified</x:v>
      </x:c>
      <x:c r="I1857" s="12" t="str">
        <x:v>Mixed business audience</x:v>
      </x:c>
      <x:c r="J1857" s="12" t="str">
        <x:v>IT &amp; digital</x:v>
      </x:c>
      <x:c r="K1857" s="2" t="str">
        <x:v>MAIN-413</x:v>
      </x:c>
    </x:row>
    <x:row r="1858" ht="46" customHeight="1">
      <x:c r="A1858" s="2" t="str">
        <x:v>TEN-E9992F5DAD60</x:v>
      </x:c>
      <x:c r="B1858" s="12" t="str">
        <x:v>BNY Mellon</x:v>
      </x:c>
      <x:c r="C1858" s="12" t="str">
        <x:v>CORP-0409</x:v>
      </x:c>
      <x:c r="D1858" s="12" t="str">
        <x:v>Pune</x:v>
      </x:c>
      <x:c r="E1858" s="12" t="str">
        <x:v>Raheja Mindspaces - Yerawada</x:v>
      </x:c>
      <x:c r="F1858" s="12" t="str">
        <x:v>55 inch LED TV</x:v>
      </x:c>
      <x:c r="G1858" s="20" t="n">
        <x:v>2</x:v>
      </x:c>
      <x:c r="H1858" s="12" t="str">
        <x:v>Inventory-listed building/workspace context; current occupancy and screen access unverified</x:v>
      </x:c>
      <x:c r="I1858" s="12" t="str">
        <x:v>Mixed business audience</x:v>
      </x:c>
      <x:c r="J1858" s="12" t="str">
        <x:v>Finance &amp; insurance</x:v>
      </x:c>
      <x:c r="K1858" s="2" t="str">
        <x:v>MAIN-413</x:v>
      </x:c>
    </x:row>
    <x:row r="1859" ht="46" customHeight="1">
      <x:c r="A1859" s="2" t="str">
        <x:v>TEN-EE841894B95B</x:v>
      </x:c>
      <x:c r="B1859" s="12" t="str">
        <x:v>Tea Post</x:v>
      </x:c>
      <x:c r="C1859" s="12" t="str">
        <x:v>CORP-0409</x:v>
      </x:c>
      <x:c r="D1859" s="12" t="str">
        <x:v>Pune</x:v>
      </x:c>
      <x:c r="E1859" s="12" t="str">
        <x:v>Raheja Mindspaces - Yerawada</x:v>
      </x:c>
      <x:c r="F1859" s="12" t="str">
        <x:v>55 inch LED TV</x:v>
      </x:c>
      <x:c r="G1859" s="20" t="n">
        <x:v>2</x:v>
      </x:c>
      <x:c r="H1859" s="12" t="str">
        <x:v>Inventory-listed building/workspace context; current occupancy and screen access unverified</x:v>
      </x:c>
      <x:c r="I1859" s="12" t="str">
        <x:v>Mixed business audience</x:v>
      </x:c>
      <x:c r="J1859" s="12" t="str">
        <x:v>Trade, consumer &amp; logistics</x:v>
      </x:c>
      <x:c r="K1859" s="2" t="str">
        <x:v>MAIN-413</x:v>
      </x:c>
    </x:row>
    <x:row r="1860" ht="46" customHeight="1">
      <x:c r="A1860" s="2" t="str">
        <x:v>TEN-EFA1AA1770B7</x:v>
      </x:c>
      <x:c r="B1860" s="12" t="str">
        <x:v>Bajaj Allianz</x:v>
      </x:c>
      <x:c r="C1860" s="12" t="str">
        <x:v>CORP-0409</x:v>
      </x:c>
      <x:c r="D1860" s="12" t="str">
        <x:v>Pune</x:v>
      </x:c>
      <x:c r="E1860" s="12" t="str">
        <x:v>Raheja Mindspaces - Yerawada</x:v>
      </x:c>
      <x:c r="F1860" s="12" t="str">
        <x:v>55 inch LED TV</x:v>
      </x:c>
      <x:c r="G1860" s="20" t="n">
        <x:v>2</x:v>
      </x:c>
      <x:c r="H1860" s="12" t="str">
        <x:v>Inventory-listed building/workspace context; current occupancy and screen access unverified</x:v>
      </x:c>
      <x:c r="I1860" s="12" t="str">
        <x:v>Large enterprise</x:v>
      </x:c>
      <x:c r="J1860" s="12" t="str">
        <x:v>Finance &amp; insurance</x:v>
      </x:c>
      <x:c r="K1860" s="2" t="str">
        <x:v>MAIN-413</x:v>
      </x:c>
    </x:row>
    <x:row r="1861" ht="46" customHeight="1">
      <x:c r="A1861" s="2" t="str">
        <x:v>TEN-F5D48E8663A5</x:v>
      </x:c>
      <x:c r="B1861" s="12" t="str">
        <x:v>Tibco</x:v>
      </x:c>
      <x:c r="C1861" s="12" t="str">
        <x:v>CORP-0409</x:v>
      </x:c>
      <x:c r="D1861" s="12" t="str">
        <x:v>Pune</x:v>
      </x:c>
      <x:c r="E1861" s="12" t="str">
        <x:v>Raheja Mindspaces - Yerawada</x:v>
      </x:c>
      <x:c r="F1861" s="12" t="str">
        <x:v>55 inch LED TV</x:v>
      </x:c>
      <x:c r="G1861" s="20" t="n">
        <x:v>2</x:v>
      </x:c>
      <x:c r="H1861" s="12" t="str">
        <x:v>Inventory-listed building/workspace context; current occupancy and screen access unverified</x:v>
      </x:c>
      <x:c r="I1861" s="12" t="str">
        <x:v>Mixed business audience</x:v>
      </x:c>
      <x:c r="J1861" s="12" t="str">
        <x:v>IT &amp; digital</x:v>
      </x:c>
      <x:c r="K1861" s="2" t="str">
        <x:v>MAIN-413</x:v>
      </x:c>
    </x:row>
    <x:row r="1862" ht="46" customHeight="1">
      <x:c r="A1862" s="2" t="str">
        <x:v>TEN-FB73478A8028</x:v>
      </x:c>
      <x:c r="B1862" s="12" t="str">
        <x:v>Schlumberger</x:v>
      </x:c>
      <x:c r="C1862" s="12" t="str">
        <x:v>CORP-0409</x:v>
      </x:c>
      <x:c r="D1862" s="12" t="str">
        <x:v>Pune</x:v>
      </x:c>
      <x:c r="E1862" s="12" t="str">
        <x:v>Raheja Mindspaces - Yerawada</x:v>
      </x:c>
      <x:c r="F1862" s="12" t="str">
        <x:v>55 inch LED TV</x:v>
      </x:c>
      <x:c r="G1862" s="20" t="n">
        <x:v>2</x:v>
      </x:c>
      <x:c r="H1862" s="12" t="str">
        <x:v>Inventory-listed building/workspace context; current occupancy and screen access unverified</x:v>
      </x:c>
      <x:c r="I1862" s="12" t="str">
        <x:v>Mixed business audience</x:v>
      </x:c>
      <x:c r="J1862" s="12" t="str">
        <x:v>Engineering &amp; manufacturing</x:v>
      </x:c>
      <x:c r="K1862" s="2" t="str">
        <x:v>MAIN-413</x:v>
      </x:c>
    </x:row>
    <x:row r="1863" ht="46" customHeight="1">
      <x:c r="A1863" s="2" t="str">
        <x:v>TEN-53D60BF43086</x:v>
      </x:c>
      <x:c r="B1863" s="12" t="str">
        <x:v>Larsen &amp; Toubro Technology Services</x:v>
      </x:c>
      <x:c r="C1863" s="12" t="str">
        <x:v>CORP-0410</x:v>
      </x:c>
      <x:c r="D1863" s="12" t="str">
        <x:v>Pune</x:v>
      </x:c>
      <x:c r="E1863" s="12" t="str">
        <x:v>Smartworks Amar Madhuban Tech Park</x:v>
      </x:c>
      <x:c r="F1863" s="12" t="str">
        <x:v>43 inch LED TV</x:v>
      </x:c>
      <x:c r="G1863" s="20" t="n">
        <x:v>3</x:v>
      </x:c>
      <x:c r="H1863" s="12" t="str">
        <x:v>Inventory-listed building/workspace context; current occupancy and screen access unverified</x:v>
      </x:c>
      <x:c r="I1863" s="12" t="str">
        <x:v>Large enterprise</x:v>
      </x:c>
      <x:c r="J1863" s="12" t="str">
        <x:v>Engineering &amp; manufacturing</x:v>
      </x:c>
      <x:c r="K1863" s="2" t="str">
        <x:v>MAIN-414</x:v>
      </x:c>
    </x:row>
    <x:row r="1864" ht="46" customHeight="1">
      <x:c r="A1864" s="2" t="str">
        <x:v>TEN-F0BE48C951D0</x:v>
      </x:c>
      <x:c r="B1864" s="12" t="str">
        <x:v>ITHENA Technologies Pvt. Ltd</x:v>
      </x:c>
      <x:c r="C1864" s="12" t="str">
        <x:v>CORP-0410</x:v>
      </x:c>
      <x:c r="D1864" s="12" t="str">
        <x:v>Pune</x:v>
      </x:c>
      <x:c r="E1864" s="12" t="str">
        <x:v>Smartworks Amar Madhuban Tech Park</x:v>
      </x:c>
      <x:c r="F1864" s="12" t="str">
        <x:v>43 inch LED TV</x:v>
      </x:c>
      <x:c r="G1864" s="20" t="n">
        <x:v>3</x:v>
      </x:c>
      <x:c r="H1864" s="12" t="str">
        <x:v>Inventory-listed building/workspace context; current occupancy and screen access unverified</x:v>
      </x:c>
      <x:c r="I1864" s="12" t="str">
        <x:v>Small-scale prospects</x:v>
      </x:c>
      <x:c r="J1864" s="12" t="str">
        <x:v>IT &amp; digital</x:v>
      </x:c>
      <x:c r="K1864" s="2" t="str">
        <x:v>MAIN-414</x:v>
      </x:c>
    </x:row>
    <x:row r="1865" ht="46" customHeight="1">
      <x:c r="A1865" s="2" t="str">
        <x:v>TEN-F56CF5CC1A07</x:v>
      </x:c>
      <x:c r="B1865" s="12" t="str">
        <x:v>Tridiagonal Solution Pvt. Ltd</x:v>
      </x:c>
      <x:c r="C1865" s="12" t="str">
        <x:v>CORP-0410</x:v>
      </x:c>
      <x:c r="D1865" s="12" t="str">
        <x:v>Pune</x:v>
      </x:c>
      <x:c r="E1865" s="12" t="str">
        <x:v>Smartworks Amar Madhuban Tech Park</x:v>
      </x:c>
      <x:c r="F1865" s="12" t="str">
        <x:v>43 inch LED TV</x:v>
      </x:c>
      <x:c r="G1865" s="20" t="n">
        <x:v>3</x:v>
      </x:c>
      <x:c r="H1865" s="12" t="str">
        <x:v>Inventory-listed building/workspace context; current occupancy and screen access unverified</x:v>
      </x:c>
      <x:c r="I1865" s="12" t="str">
        <x:v>Medium-scale prospects</x:v>
      </x:c>
      <x:c r="J1865" s="12" t="str">
        <x:v>Engineering &amp; manufacturing</x:v>
      </x:c>
      <x:c r="K1865" s="2" t="str">
        <x:v>MAIN-414</x:v>
      </x:c>
    </x:row>
    <x:row r="1866" ht="46" customHeight="1">
      <x:c r="A1866" s="2" t="str">
        <x:v>TEN-1D042210FE01</x:v>
      </x:c>
      <x:c r="B1866" s="12" t="str">
        <x:v>DSK Detective Agency Pune</x:v>
      </x:c>
      <x:c r="C1866" s="12" t="str">
        <x:v>CORP-0411</x:v>
      </x:c>
      <x:c r="D1866" s="12" t="str">
        <x:v>Pune</x:v>
      </x:c>
      <x:c r="E1866" s="12" t="str">
        <x:v>The Powerpoint Coworking Space</x:v>
      </x:c>
      <x:c r="F1866" s="12" t="str">
        <x:v>32 inch LED TV</x:v>
      </x:c>
      <x:c r="G1866" s="20" t="n">
        <x:v>1</x:v>
      </x:c>
      <x:c r="H1866" s="12" t="str">
        <x:v>Inventory-listed building/workspace context; current occupancy and screen access unverified</x:v>
      </x:c>
      <x:c r="I1866" s="12" t="str">
        <x:v>Small-scale prospects</x:v>
      </x:c>
      <x:c r="J1866" s="12" t="str">
        <x:v>Professional services</x:v>
      </x:c>
      <x:c r="K1866" s="2" t="str">
        <x:v>MAIN-415</x:v>
      </x:c>
    </x:row>
    <x:row r="1867" ht="46" customHeight="1">
      <x:c r="A1867" s="2" t="str">
        <x:v>TEN-313934832607</x:v>
      </x:c>
      <x:c r="B1867" s="12" t="str">
        <x:v>dynamic health studio</x:v>
      </x:c>
      <x:c r="C1867" s="12" t="str">
        <x:v>CORP-0411</x:v>
      </x:c>
      <x:c r="D1867" s="12" t="str">
        <x:v>Pune</x:v>
      </x:c>
      <x:c r="E1867" s="12" t="str">
        <x:v>The Powerpoint Coworking Space</x:v>
      </x:c>
      <x:c r="F1867" s="12" t="str">
        <x:v>32 inch LED TV</x:v>
      </x:c>
      <x:c r="G1867" s="20" t="n">
        <x:v>1</x:v>
      </x:c>
      <x:c r="H1867" s="12" t="str">
        <x:v>Inventory-listed building/workspace context; current occupancy and screen access unverified</x:v>
      </x:c>
      <x:c r="I1867" s="12" t="str">
        <x:v>Small-scale prospects</x:v>
      </x:c>
      <x:c r="J1867" s="12" t="str">
        <x:v>Healthcare &amp; life sciences</x:v>
      </x:c>
      <x:c r="K1867" s="2" t="str">
        <x:v>MAIN-415</x:v>
      </x:c>
    </x:row>
    <x:row r="1868" ht="46" customHeight="1">
      <x:c r="A1868" s="2" t="str">
        <x:v>TEN-34B4DA2E643E</x:v>
      </x:c>
      <x:c r="B1868" s="12" t="str">
        <x:v>Talentracker Technologies CCW</x:v>
      </x:c>
      <x:c r="C1868" s="12" t="str">
        <x:v>CORP-0411</x:v>
      </x:c>
      <x:c r="D1868" s="12" t="str">
        <x:v>Pune</x:v>
      </x:c>
      <x:c r="E1868" s="12" t="str">
        <x:v>The Powerpoint Coworking Space</x:v>
      </x:c>
      <x:c r="F1868" s="12" t="str">
        <x:v>32 inch LED TV</x:v>
      </x:c>
      <x:c r="G1868" s="20" t="n">
        <x:v>1</x:v>
      </x:c>
      <x:c r="H1868" s="12" t="str">
        <x:v>Inventory-listed building/workspace context; current occupancy and screen access unverified</x:v>
      </x:c>
      <x:c r="I1868" s="12" t="str">
        <x:v>Small-scale prospects</x:v>
      </x:c>
      <x:c r="J1868" s="12" t="str">
        <x:v>Professional services</x:v>
      </x:c>
      <x:c r="K1868" s="2" t="str">
        <x:v>MAIN-415</x:v>
      </x:c>
    </x:row>
    <x:row r="1869" ht="46" customHeight="1">
      <x:c r="A1869" s="2" t="str">
        <x:v>TEN-39AE983C4636</x:v>
      </x:c>
      <x:c r="B1869" s="12" t="str">
        <x:v>Eatsure food court</x:v>
      </x:c>
      <x:c r="C1869" s="12" t="str">
        <x:v>CORP-0411</x:v>
      </x:c>
      <x:c r="D1869" s="12" t="str">
        <x:v>Pune</x:v>
      </x:c>
      <x:c r="E1869" s="12" t="str">
        <x:v>The Powerpoint Coworking Space</x:v>
      </x:c>
      <x:c r="F1869" s="12" t="str">
        <x:v>32 inch LED TV</x:v>
      </x:c>
      <x:c r="G1869" s="20" t="n">
        <x:v>1</x:v>
      </x:c>
      <x:c r="H1869" s="12" t="str">
        <x:v>Inventory-listed building/workspace context; current occupancy and screen access unverified</x:v>
      </x:c>
      <x:c r="I1869" s="12" t="str">
        <x:v>Mixed business audience</x:v>
      </x:c>
      <x:c r="J1869" s="12" t="str">
        <x:v>Trade, consumer &amp; logistics</x:v>
      </x:c>
      <x:c r="K1869" s="2" t="str">
        <x:v>MAIN-415</x:v>
      </x:c>
    </x:row>
    <x:row r="1870" ht="46" customHeight="1">
      <x:c r="A1870" s="2" t="str">
        <x:v>TEN-9214F6CD648F</x:v>
      </x:c>
      <x:c r="B1870" s="12" t="str">
        <x:v>Rahul shiksha academy</x:v>
      </x:c>
      <x:c r="C1870" s="12" t="str">
        <x:v>CORP-0411</x:v>
      </x:c>
      <x:c r="D1870" s="12" t="str">
        <x:v>Pune</x:v>
      </x:c>
      <x:c r="E1870" s="12" t="str">
        <x:v>The Powerpoint Coworking Space</x:v>
      </x:c>
      <x:c r="F1870" s="12" t="str">
        <x:v>32 inch LED TV</x:v>
      </x:c>
      <x:c r="G1870" s="20" t="n">
        <x:v>1</x:v>
      </x:c>
      <x:c r="H1870" s="12" t="str">
        <x:v>Inventory-listed building/workspace context; current occupancy and screen access unverified</x:v>
      </x:c>
      <x:c r="I1870" s="12" t="str">
        <x:v>Small-scale prospects</x:v>
      </x:c>
      <x:c r="J1870" s="12" t="str">
        <x:v>Education</x:v>
      </x:c>
      <x:c r="K1870" s="2" t="str">
        <x:v>MAIN-415</x:v>
      </x:c>
    </x:row>
    <x:row r="1871" ht="46" customHeight="1">
      <x:c r="A1871" s="2" t="str">
        <x:v>TEN-A2E949894464</x:v>
      </x:c>
      <x:c r="B1871" s="12" t="str">
        <x:v>Ping pong entertainment</x:v>
      </x:c>
      <x:c r="C1871" s="12" t="str">
        <x:v>CORP-0411</x:v>
      </x:c>
      <x:c r="D1871" s="12" t="str">
        <x:v>Pune</x:v>
      </x:c>
      <x:c r="E1871" s="12" t="str">
        <x:v>The Powerpoint Coworking Space</x:v>
      </x:c>
      <x:c r="F1871" s="12" t="str">
        <x:v>32 inch LED TV</x:v>
      </x:c>
      <x:c r="G1871" s="20" t="n">
        <x:v>1</x:v>
      </x:c>
      <x:c r="H1871" s="12" t="str">
        <x:v>Inventory-listed building/workspace context; current occupancy and screen access unverified</x:v>
      </x:c>
      <x:c r="I1871" s="12" t="str">
        <x:v>Small-scale prospects</x:v>
      </x:c>
      <x:c r="J1871" s="12" t="str">
        <x:v>Trade, consumer &amp; logistics</x:v>
      </x:c>
      <x:c r="K1871" s="2" t="str">
        <x:v>MAIN-415</x:v>
      </x:c>
    </x:row>
    <x:row r="1872" ht="46" customHeight="1">
      <x:c r="A1872" s="2" t="str">
        <x:v>TEN-B89A12E50ABA</x:v>
      </x:c>
      <x:c r="B1872" s="12" t="str">
        <x:v>Charterd Coworks</x:v>
      </x:c>
      <x:c r="C1872" s="12" t="str">
        <x:v>CORP-0411</x:v>
      </x:c>
      <x:c r="D1872" s="12" t="str">
        <x:v>Pune</x:v>
      </x:c>
      <x:c r="E1872" s="12" t="str">
        <x:v>The Powerpoint Coworking Space</x:v>
      </x:c>
      <x:c r="F1872" s="12" t="str">
        <x:v>32 inch LED TV</x:v>
      </x:c>
      <x:c r="G1872" s="20" t="n">
        <x:v>1</x:v>
      </x:c>
      <x:c r="H1872" s="12" t="str">
        <x:v>Inventory-listed building/workspace context; current occupancy and screen access unverified</x:v>
      </x:c>
      <x:c r="I1872" s="12" t="str">
        <x:v>Mixed business audience</x:v>
      </x:c>
      <x:c r="J1872" s="12" t="str">
        <x:v>Workspace &amp; property operations</x:v>
      </x:c>
      <x:c r="K1872" s="2" t="str">
        <x:v>MAIN-415</x:v>
      </x:c>
    </x:row>
    <x:row r="1873" ht="46" customHeight="1">
      <x:c r="A1873" s="2" t="str">
        <x:v>TEN-BABF16146449</x:v>
      </x:c>
      <x:c r="B1873" s="12" t="str">
        <x:v>Core project engineer and consultant</x:v>
      </x:c>
      <x:c r="C1873" s="12" t="str">
        <x:v>CORP-0411</x:v>
      </x:c>
      <x:c r="D1873" s="12" t="str">
        <x:v>Pune</x:v>
      </x:c>
      <x:c r="E1873" s="12" t="str">
        <x:v>The Powerpoint Coworking Space</x:v>
      </x:c>
      <x:c r="F1873" s="12" t="str">
        <x:v>32 inch LED TV</x:v>
      </x:c>
      <x:c r="G1873" s="20" t="n">
        <x:v>1</x:v>
      </x:c>
      <x:c r="H1873" s="12" t="str">
        <x:v>Inventory-listed building/workspace context; current occupancy and screen access unverified</x:v>
      </x:c>
      <x:c r="I1873" s="12" t="str">
        <x:v>Medium-scale prospects</x:v>
      </x:c>
      <x:c r="J1873" s="12" t="str">
        <x:v>Engineering &amp; manufacturing</x:v>
      </x:c>
      <x:c r="K1873" s="2" t="str">
        <x:v>MAIN-415</x:v>
      </x:c>
    </x:row>
    <x:row r="1874" ht="46" customHeight="1">
      <x:c r="A1874" s="2" t="str">
        <x:v>TEN-BC5D38FDFD90</x:v>
      </x:c>
      <x:c r="B1874" s="12" t="str">
        <x:v>We Idliwale Baroom</x:v>
      </x:c>
      <x:c r="C1874" s="12" t="str">
        <x:v>CORP-0411</x:v>
      </x:c>
      <x:c r="D1874" s="12" t="str">
        <x:v>Pune</x:v>
      </x:c>
      <x:c r="E1874" s="12" t="str">
        <x:v>The Powerpoint Coworking Space</x:v>
      </x:c>
      <x:c r="F1874" s="12" t="str">
        <x:v>32 inch LED TV</x:v>
      </x:c>
      <x:c r="G1874" s="20" t="n">
        <x:v>1</x:v>
      </x:c>
      <x:c r="H1874" s="12" t="str">
        <x:v>Inventory-listed building/workspace context; current occupancy and screen access unverified</x:v>
      </x:c>
      <x:c r="I1874" s="12" t="str">
        <x:v>Small-scale prospects</x:v>
      </x:c>
      <x:c r="J1874" s="12" t="str">
        <x:v>Trade, consumer &amp; logistics</x:v>
      </x:c>
      <x:c r="K1874" s="2" t="str">
        <x:v>MAIN-415</x:v>
      </x:c>
    </x:row>
    <x:row r="1875" ht="46" customHeight="1">
      <x:c r="A1875" s="2" t="str">
        <x:v>TEN-BC7208810F72</x:v>
      </x:c>
      <x:c r="B1875" s="12" t="str">
        <x:v>kyansh construction pvt ltd</x:v>
      </x:c>
      <x:c r="C1875" s="12" t="str">
        <x:v>CORP-0411</x:v>
      </x:c>
      <x:c r="D1875" s="12" t="str">
        <x:v>Pune</x:v>
      </x:c>
      <x:c r="E1875" s="12" t="str">
        <x:v>The Powerpoint Coworking Space</x:v>
      </x:c>
      <x:c r="F1875" s="12" t="str">
        <x:v>32 inch LED TV</x:v>
      </x:c>
      <x:c r="G1875" s="20" t="n">
        <x:v>1</x:v>
      </x:c>
      <x:c r="H1875" s="12" t="str">
        <x:v>Inventory-listed building/workspace context; current occupancy and screen access unverified</x:v>
      </x:c>
      <x:c r="I1875" s="12" t="str">
        <x:v>Medium-scale prospects</x:v>
      </x:c>
      <x:c r="J1875" s="12" t="str">
        <x:v>Engineering &amp; manufacturing</x:v>
      </x:c>
      <x:c r="K1875" s="2" t="str">
        <x:v>MAIN-415</x:v>
      </x:c>
    </x:row>
    <x:row r="1876" ht="46" customHeight="1">
      <x:c r="A1876" s="2" t="str">
        <x:v>TEN-C2243270963A</x:v>
      </x:c>
      <x:c r="B1876" s="12" t="str">
        <x:v>Clyde Industries pvt ltd</x:v>
      </x:c>
      <x:c r="C1876" s="12" t="str">
        <x:v>CORP-0411</x:v>
      </x:c>
      <x:c r="D1876" s="12" t="str">
        <x:v>Pune</x:v>
      </x:c>
      <x:c r="E1876" s="12" t="str">
        <x:v>The Powerpoint Coworking Space</x:v>
      </x:c>
      <x:c r="F1876" s="12" t="str">
        <x:v>32 inch LED TV</x:v>
      </x:c>
      <x:c r="G1876" s="20" t="n">
        <x:v>1</x:v>
      </x:c>
      <x:c r="H1876" s="12" t="str">
        <x:v>Inventory-listed building/workspace context; current occupancy and screen access unverified</x:v>
      </x:c>
      <x:c r="I1876" s="12" t="str">
        <x:v>Medium-scale prospects</x:v>
      </x:c>
      <x:c r="J1876" s="12" t="str">
        <x:v>Engineering &amp; manufacturing</x:v>
      </x:c>
      <x:c r="K1876" s="2" t="str">
        <x:v>MAIN-415</x:v>
      </x:c>
    </x:row>
    <x:row r="1877" ht="46" customHeight="1">
      <x:c r="A1877" s="2" t="str">
        <x:v>TEN-DF3CFF77814A</x:v>
      </x:c>
      <x:c r="B1877" s="12" t="str">
        <x:v>GTS technosoft pvt ltd</x:v>
      </x:c>
      <x:c r="C1877" s="12" t="str">
        <x:v>CORP-0411</x:v>
      </x:c>
      <x:c r="D1877" s="12" t="str">
        <x:v>Pune</x:v>
      </x:c>
      <x:c r="E1877" s="12" t="str">
        <x:v>The Powerpoint Coworking Space</x:v>
      </x:c>
      <x:c r="F1877" s="12" t="str">
        <x:v>32 inch LED TV</x:v>
      </x:c>
      <x:c r="G1877" s="20" t="n">
        <x:v>1</x:v>
      </x:c>
      <x:c r="H1877" s="12" t="str">
        <x:v>Inventory-listed building/workspace context; current occupancy and screen access unverified</x:v>
      </x:c>
      <x:c r="I1877" s="12" t="str">
        <x:v>Mixed business audience</x:v>
      </x:c>
      <x:c r="J1877" s="12" t="str">
        <x:v>Unresolved</x:v>
      </x:c>
      <x:c r="K1877" s="2" t="str">
        <x:v>MAIN-415</x:v>
      </x:c>
    </x:row>
    <x:row r="1878" ht="46" customHeight="1">
      <x:c r="A1878" s="2" t="str">
        <x:v>TEN-5B81D52D4310</x:v>
      </x:c>
      <x:c r="B1878" s="12" t="str">
        <x:v>WeWork</x:v>
      </x:c>
      <x:c r="C1878" s="12" t="str">
        <x:v>CORP-0412</x:v>
      </x:c>
      <x:c r="D1878" s="12" t="str">
        <x:v>Pune</x:v>
      </x:c>
      <x:c r="E1878" s="12" t="str">
        <x:v>WeWork - Amanora</x:v>
      </x:c>
      <x:c r="F1878" s="12" t="str">
        <x:v>43 inch LED TV</x:v>
      </x:c>
      <x:c r="G1878" s="20" t="n">
        <x:v>2</x:v>
      </x:c>
      <x:c r="H1878" s="12" t="str">
        <x:v>Workspace operator inferred from explicit property name; tenant occupants unconfirmed</x:v>
      </x:c>
      <x:c r="I1878" s="12" t="str">
        <x:v>Mixed business audience</x:v>
      </x:c>
      <x:c r="J1878" s="12" t="str">
        <x:v>Workspace &amp; property operations</x:v>
      </x:c>
      <x:c r="K1878" s="2" t="str">
        <x:v>MAIN-416</x:v>
      </x:c>
    </x:row>
    <x:row r="1879" ht="46" customHeight="1">
      <x:c r="A1879" s="2" t="str">
        <x:v>TEN-40CBF518E84A</x:v>
      </x:c>
      <x:c r="B1879" s="12" t="str">
        <x:v>Sudharsan Chemical industries LTD</x:v>
      </x:c>
      <x:c r="C1879" s="12" t="str">
        <x:v>CORP-0413</x:v>
      </x:c>
      <x:c r="D1879" s="12" t="str">
        <x:v>Pune</x:v>
      </x:c>
      <x:c r="E1879" s="12" t="str">
        <x:v>Wework - Eleven West</x:v>
      </x:c>
      <x:c r="F1879" s="12" t="str">
        <x:v>43 inch LED TV</x:v>
      </x:c>
      <x:c r="G1879" s="20" t="n">
        <x:v>4</x:v>
      </x:c>
      <x:c r="H1879" s="12" t="str">
        <x:v>Inventory-listed building/workspace context; current occupancy and screen access unverified</x:v>
      </x:c>
      <x:c r="I1879" s="12" t="str">
        <x:v>Mixed business audience</x:v>
      </x:c>
      <x:c r="J1879" s="12" t="str">
        <x:v>Engineering &amp; manufacturing</x:v>
      </x:c>
      <x:c r="K1879" s="2" t="str">
        <x:v>MAIN-417</x:v>
      </x:c>
    </x:row>
    <x:row r="1880" ht="46" customHeight="1">
      <x:c r="A1880" s="2" t="str">
        <x:v>TEN-5B81D52D4310</x:v>
      </x:c>
      <x:c r="B1880" s="12" t="str">
        <x:v>WeWork</x:v>
      </x:c>
      <x:c r="C1880" s="12" t="str">
        <x:v>CORP-0414</x:v>
      </x:c>
      <x:c r="D1880" s="12" t="str">
        <x:v>Pune</x:v>
      </x:c>
      <x:c r="E1880" s="12" t="str">
        <x:v>WeWork - EON IT Park</x:v>
      </x:c>
      <x:c r="F1880" s="12" t="str">
        <x:v>43 inch LED TV</x:v>
      </x:c>
      <x:c r="G1880" s="20" t="n">
        <x:v>1</x:v>
      </x:c>
      <x:c r="H1880" s="12" t="str">
        <x:v>Workspace operator inferred from explicit property name; tenant occupants unconfirmed</x:v>
      </x:c>
      <x:c r="I1880" s="12" t="str">
        <x:v>Mixed business audience</x:v>
      </x:c>
      <x:c r="J1880" s="12" t="str">
        <x:v>Workspace &amp; property operations</x:v>
      </x:c>
      <x:c r="K1880" s="2" t="str">
        <x:v>MAIN-418</x:v>
      </x:c>
    </x:row>
    <x:row r="1881" ht="46" customHeight="1">
      <x:c r="A1881" s="2" t="str">
        <x:v>TEN-05BAAC1A6C05</x:v>
      </x:c>
      <x:c r="B1881" s="12" t="str">
        <x:v>Sai baba autowheels</x:v>
      </x:c>
      <x:c r="C1881" s="12" t="str">
        <x:v>CORP-0415</x:v>
      </x:c>
      <x:c r="D1881" s="12" t="str">
        <x:v>Pune</x:v>
      </x:c>
      <x:c r="E1881" s="12" t="str">
        <x:v>WeWork - Futura</x:v>
      </x:c>
      <x:c r="F1881" s="12" t="str">
        <x:v>43 inch LED TV</x:v>
      </x:c>
      <x:c r="G1881" s="20" t="n">
        <x:v>2</x:v>
      </x:c>
      <x:c r="H1881" s="12" t="str">
        <x:v>Inventory-listed building/workspace context; current occupancy and screen access unverified</x:v>
      </x:c>
      <x:c r="I1881" s="12" t="str">
        <x:v>Mixed business audience</x:v>
      </x:c>
      <x:c r="J1881" s="12" t="str">
        <x:v>Unresolved</x:v>
      </x:c>
      <x:c r="K1881" s="2" t="str">
        <x:v>MAIN-419</x:v>
      </x:c>
    </x:row>
    <x:row r="1882" ht="46" customHeight="1">
      <x:c r="A1882" s="2" t="str">
        <x:v>TEN-752C9AB593B6</x:v>
      </x:c>
      <x:c r="B1882" s="12" t="str">
        <x:v>Janizga Spa</x:v>
      </x:c>
      <x:c r="C1882" s="12" t="str">
        <x:v>CORP-0415</x:v>
      </x:c>
      <x:c r="D1882" s="12" t="str">
        <x:v>Pune</x:v>
      </x:c>
      <x:c r="E1882" s="12" t="str">
        <x:v>WeWork - Futura</x:v>
      </x:c>
      <x:c r="F1882" s="12" t="str">
        <x:v>43 inch LED TV</x:v>
      </x:c>
      <x:c r="G1882" s="20" t="n">
        <x:v>2</x:v>
      </x:c>
      <x:c r="H1882" s="12" t="str">
        <x:v>Inventory-listed building/workspace context; current occupancy and screen access unverified</x:v>
      </x:c>
      <x:c r="I1882" s="12" t="str">
        <x:v>Small-scale prospects</x:v>
      </x:c>
      <x:c r="J1882" s="12" t="str">
        <x:v>Trade, consumer &amp; logistics</x:v>
      </x:c>
      <x:c r="K1882" s="2" t="str">
        <x:v>MAIN-419</x:v>
      </x:c>
    </x:row>
    <x:row r="1883" ht="46" customHeight="1">
      <x:c r="A1883" s="2" t="str">
        <x:v>TEN-A8C9C0A3E774</x:v>
      </x:c>
      <x:c r="B1883" s="12" t="str">
        <x:v>MSCI</x:v>
      </x:c>
      <x:c r="C1883" s="12" t="str">
        <x:v>CORP-0415</x:v>
      </x:c>
      <x:c r="D1883" s="12" t="str">
        <x:v>Pune</x:v>
      </x:c>
      <x:c r="E1883" s="12" t="str">
        <x:v>WeWork - Futura</x:v>
      </x:c>
      <x:c r="F1883" s="12" t="str">
        <x:v>43 inch LED TV</x:v>
      </x:c>
      <x:c r="G1883" s="20" t="n">
        <x:v>2</x:v>
      </x:c>
      <x:c r="H1883" s="12" t="str">
        <x:v>Inventory-listed building/workspace context; current occupancy and screen access unverified</x:v>
      </x:c>
      <x:c r="I1883" s="12" t="str">
        <x:v>Mixed business audience</x:v>
      </x:c>
      <x:c r="J1883" s="12" t="str">
        <x:v>Finance &amp; insurance</x:v>
      </x:c>
      <x:c r="K1883" s="2" t="str">
        <x:v>MAIN-419</x:v>
      </x:c>
    </x:row>
    <x:row r="1884" ht="46" customHeight="1">
      <x:c r="A1884" s="2" t="str">
        <x:v>TEN-0343379BA4A0</x:v>
      </x:c>
      <x:c r="B1884" s="12" t="str">
        <x:v>Khaitan &amp; Co</x:v>
      </x:c>
      <x:c r="C1884" s="12" t="str">
        <x:v>CORP-0416</x:v>
      </x:c>
      <x:c r="D1884" s="12" t="str">
        <x:v>Pune</x:v>
      </x:c>
      <x:c r="E1884" s="12" t="str">
        <x:v>WeWork - Raheja Woods</x:v>
      </x:c>
      <x:c r="F1884" s="12" t="str">
        <x:v>43 inch LED TV</x:v>
      </x:c>
      <x:c r="G1884" s="20" t="n">
        <x:v>6</x:v>
      </x:c>
      <x:c r="H1884" s="12" t="str">
        <x:v>Inventory-listed building/workspace context; current occupancy and screen access unverified</x:v>
      </x:c>
      <x:c r="I1884" s="12" t="str">
        <x:v>Large enterprise</x:v>
      </x:c>
      <x:c r="J1884" s="12" t="str">
        <x:v>Professional services</x:v>
      </x:c>
      <x:c r="K1884" s="2" t="str">
        <x:v>MAIN-420</x:v>
      </x:c>
    </x:row>
    <x:row r="1885" ht="46" customHeight="1">
      <x:c r="A1885" s="2" t="str">
        <x:v>TEN-908D8D983772</x:v>
      </x:c>
      <x:c r="B1885" s="12" t="str">
        <x:v>GWESOFT LLP</x:v>
      </x:c>
      <x:c r="C1885" s="12" t="str">
        <x:v>CORP-0417</x:v>
      </x:c>
      <x:c r="D1885" s="12" t="str">
        <x:v>Pune</x:v>
      </x:c>
      <x:c r="E1885" s="12" t="str">
        <x:v>WeWork - World Trade Centre</x:v>
      </x:c>
      <x:c r="F1885" s="12" t="str">
        <x:v>43 inch LED TV</x:v>
      </x:c>
      <x:c r="G1885" s="20" t="n">
        <x:v>4</x:v>
      </x:c>
      <x:c r="H1885" s="12" t="str">
        <x:v>Inventory-listed building/workspace context; current occupancy and screen access unverified</x:v>
      </x:c>
      <x:c r="I1885" s="12" t="str">
        <x:v>Small-scale prospects</x:v>
      </x:c>
      <x:c r="J1885" s="12" t="str">
        <x:v>IT &amp; digital</x:v>
      </x:c>
      <x:c r="K1885" s="2" t="str">
        <x:v>MAIN-421</x:v>
      </x:c>
    </x:row>
    <x:row r="1886" ht="46" customHeight="1">
      <x:c r="A1886" s="2" t="str">
        <x:v>TEN-0C0136DB04F2</x:v>
      </x:c>
      <x:c r="B1886" s="12" t="str">
        <x:v>Bajaj Housing finance</x:v>
      </x:c>
      <x:c r="C1886" s="12" t="str">
        <x:v>CORP-0418</x:v>
      </x:c>
      <x:c r="D1886" s="12" t="str">
        <x:v>Pune</x:v>
      </x:c>
      <x:c r="E1886" s="12" t="str">
        <x:v>Workflow by Oyo - Icon Tower</x:v>
      </x:c>
      <x:c r="F1886" s="12" t="str">
        <x:v>32 inch LED TV</x:v>
      </x:c>
      <x:c r="G1886" s="20" t="n">
        <x:v>3</x:v>
      </x:c>
      <x:c r="H1886" s="12" t="str">
        <x:v>Inventory-listed building/workspace context; current occupancy and screen access unverified</x:v>
      </x:c>
      <x:c r="I1886" s="12" t="str">
        <x:v>Large enterprise</x:v>
      </x:c>
      <x:c r="J1886" s="12" t="str">
        <x:v>Finance &amp; insurance</x:v>
      </x:c>
      <x:c r="K1886" s="2" t="str">
        <x:v>MAIN-422</x:v>
      </x:c>
    </x:row>
    <x:row r="1887" ht="46" customHeight="1">
      <x:c r="A1887" s="2" t="str">
        <x:v>TEN-18A174B5F51D</x:v>
      </x:c>
      <x:c r="B1887" s="12" t="str">
        <x:v>Bramasol</x:v>
      </x:c>
      <x:c r="C1887" s="12" t="str">
        <x:v>CORP-0418</x:v>
      </x:c>
      <x:c r="D1887" s="12" t="str">
        <x:v>Pune</x:v>
      </x:c>
      <x:c r="E1887" s="12" t="str">
        <x:v>Workflow by Oyo - Icon Tower</x:v>
      </x:c>
      <x:c r="F1887" s="12" t="str">
        <x:v>32 inch LED TV</x:v>
      </x:c>
      <x:c r="G1887" s="20" t="n">
        <x:v>3</x:v>
      </x:c>
      <x:c r="H1887" s="12" t="str">
        <x:v>Inventory-listed building/workspace context; current occupancy and screen access unverified</x:v>
      </x:c>
      <x:c r="I1887" s="12" t="str">
        <x:v>Small-scale prospects</x:v>
      </x:c>
      <x:c r="J1887" s="12" t="str">
        <x:v>IT &amp; digital</x:v>
      </x:c>
      <x:c r="K1887" s="2" t="str">
        <x:v>MAIN-422</x:v>
      </x:c>
    </x:row>
    <x:row r="1888" ht="46" customHeight="1">
      <x:c r="A1888" s="2" t="str">
        <x:v>TEN-205EC7DC0390</x:v>
      </x:c>
      <x:c r="B1888" s="12" t="str">
        <x:v>Schenell</x:v>
      </x:c>
      <x:c r="C1888" s="12" t="str">
        <x:v>CORP-0418</x:v>
      </x:c>
      <x:c r="D1888" s="12" t="str">
        <x:v>Pune</x:v>
      </x:c>
      <x:c r="E1888" s="12" t="str">
        <x:v>Workflow by Oyo - Icon Tower</x:v>
      </x:c>
      <x:c r="F1888" s="12" t="str">
        <x:v>32 inch LED TV</x:v>
      </x:c>
      <x:c r="G1888" s="20" t="n">
        <x:v>3</x:v>
      </x:c>
      <x:c r="H1888" s="12" t="str">
        <x:v>Inventory-listed building/workspace context; current occupancy and screen access unverified</x:v>
      </x:c>
      <x:c r="I1888" s="12" t="str">
        <x:v>Mixed business audience</x:v>
      </x:c>
      <x:c r="J1888" s="12" t="str">
        <x:v>Unresolved</x:v>
      </x:c>
      <x:c r="K1888" s="2" t="str">
        <x:v>MAIN-422</x:v>
      </x:c>
    </x:row>
    <x:row r="1889" ht="46" customHeight="1">
      <x:c r="A1889" s="2" t="str">
        <x:v>TEN-243411AB0A80</x:v>
      </x:c>
      <x:c r="B1889" s="12" t="str">
        <x:v>Athena Health</x:v>
      </x:c>
      <x:c r="C1889" s="12" t="str">
        <x:v>CORP-0418</x:v>
      </x:c>
      <x:c r="D1889" s="12" t="str">
        <x:v>Pune</x:v>
      </x:c>
      <x:c r="E1889" s="12" t="str">
        <x:v>Workflow by Oyo - Icon Tower</x:v>
      </x:c>
      <x:c r="F1889" s="12" t="str">
        <x:v>32 inch LED TV</x:v>
      </x:c>
      <x:c r="G1889" s="20" t="n">
        <x:v>3</x:v>
      </x:c>
      <x:c r="H1889" s="12" t="str">
        <x:v>Inventory-listed building/workspace context; current occupancy and screen access unverified</x:v>
      </x:c>
      <x:c r="I1889" s="12" t="str">
        <x:v>Mixed business audience</x:v>
      </x:c>
      <x:c r="J1889" s="12" t="str">
        <x:v>Healthcare &amp; life sciences</x:v>
      </x:c>
      <x:c r="K1889" s="2" t="str">
        <x:v>MAIN-422</x:v>
      </x:c>
    </x:row>
    <x:row r="1890" ht="46" customHeight="1">
      <x:c r="A1890" s="2" t="str">
        <x:v>TEN-55A9F4F8994B</x:v>
      </x:c>
      <x:c r="B1890" s="12" t="str">
        <x:v>Ola</x:v>
      </x:c>
      <x:c r="C1890" s="12" t="str">
        <x:v>CORP-0418</x:v>
      </x:c>
      <x:c r="D1890" s="12" t="str">
        <x:v>Pune</x:v>
      </x:c>
      <x:c r="E1890" s="12" t="str">
        <x:v>Workflow by Oyo - Icon Tower</x:v>
      </x:c>
      <x:c r="F1890" s="12" t="str">
        <x:v>32 inch LED TV</x:v>
      </x:c>
      <x:c r="G1890" s="20" t="n">
        <x:v>3</x:v>
      </x:c>
      <x:c r="H1890" s="12" t="str">
        <x:v>Inventory-listed building/workspace context; current occupancy and screen access unverified</x:v>
      </x:c>
      <x:c r="I1890" s="12" t="str">
        <x:v>Mixed business audience</x:v>
      </x:c>
      <x:c r="J1890" s="12" t="str">
        <x:v>Trade, consumer &amp; logistics</x:v>
      </x:c>
      <x:c r="K1890" s="2" t="str">
        <x:v>MAIN-422</x:v>
      </x:c>
    </x:row>
    <x:row r="1891" ht="46" customHeight="1">
      <x:c r="A1891" s="2" t="str">
        <x:v>TEN-65326AA32AB9</x:v>
      </x:c>
      <x:c r="B1891" s="12" t="str">
        <x:v>State Bank of India</x:v>
      </x:c>
      <x:c r="C1891" s="12" t="str">
        <x:v>CORP-0418</x:v>
      </x:c>
      <x:c r="D1891" s="12" t="str">
        <x:v>Pune</x:v>
      </x:c>
      <x:c r="E1891" s="12" t="str">
        <x:v>Workflow by Oyo - Icon Tower</x:v>
      </x:c>
      <x:c r="F1891" s="12" t="str">
        <x:v>32 inch LED TV</x:v>
      </x:c>
      <x:c r="G1891" s="20" t="n">
        <x:v>3</x:v>
      </x:c>
      <x:c r="H1891" s="12" t="str">
        <x:v>Inventory-listed building/workspace context; current occupancy and screen access unverified</x:v>
      </x:c>
      <x:c r="I1891" s="12" t="str">
        <x:v>Large enterprise</x:v>
      </x:c>
      <x:c r="J1891" s="12" t="str">
        <x:v>Finance &amp; insurance</x:v>
      </x:c>
      <x:c r="K1891" s="2" t="str">
        <x:v>MAIN-422</x:v>
      </x:c>
    </x:row>
    <x:row r="1892" ht="46" customHeight="1">
      <x:c r="A1892" s="2" t="str">
        <x:v>TEN-B3DEB173436F</x:v>
      </x:c>
      <x:c r="B1892" s="12" t="str">
        <x:v>MOJO</x:v>
      </x:c>
      <x:c r="C1892" s="12" t="str">
        <x:v>CORP-0418</x:v>
      </x:c>
      <x:c r="D1892" s="12" t="str">
        <x:v>Pune</x:v>
      </x:c>
      <x:c r="E1892" s="12" t="str">
        <x:v>Workflow by Oyo - Icon Tower</x:v>
      </x:c>
      <x:c r="F1892" s="12" t="str">
        <x:v>32 inch LED TV</x:v>
      </x:c>
      <x:c r="G1892" s="20" t="n">
        <x:v>3</x:v>
      </x:c>
      <x:c r="H1892" s="12" t="str">
        <x:v>Inventory-listed building/workspace context; current occupancy and screen access unverified</x:v>
      </x:c>
      <x:c r="I1892" s="12" t="str">
        <x:v>Mixed business audience</x:v>
      </x:c>
      <x:c r="J1892" s="12" t="str">
        <x:v>Unresolved</x:v>
      </x:c>
      <x:c r="K1892" s="2" t="str">
        <x:v>MAIN-422</x:v>
      </x:c>
    </x:row>
    <x:row r="1893" ht="46" customHeight="1">
      <x:c r="A1893" s="2" t="str">
        <x:v>TEN-F48B6B2935C5</x:v>
      </x:c>
      <x:c r="B1893" s="12" t="str">
        <x:v>Housiey</x:v>
      </x:c>
      <x:c r="C1893" s="12" t="str">
        <x:v>CORP-0418</x:v>
      </x:c>
      <x:c r="D1893" s="12" t="str">
        <x:v>Pune</x:v>
      </x:c>
      <x:c r="E1893" s="12" t="str">
        <x:v>Workflow by Oyo - Icon Tower</x:v>
      </x:c>
      <x:c r="F1893" s="12" t="str">
        <x:v>32 inch LED TV</x:v>
      </x:c>
      <x:c r="G1893" s="20" t="n">
        <x:v>3</x:v>
      </x:c>
      <x:c r="H1893" s="12" t="str">
        <x:v>Inventory-listed building/workspace context; current occupancy and screen access unverified</x:v>
      </x:c>
      <x:c r="I1893" s="12" t="str">
        <x:v>Small-scale prospects</x:v>
      </x:c>
      <x:c r="J1893" s="12" t="str">
        <x:v>Trade, consumer &amp; logistics</x:v>
      </x:c>
      <x:c r="K1893" s="2" t="str">
        <x:v>MAIN-422</x:v>
      </x:c>
    </x:row>
    <x:row r="1894" ht="46" customHeight="1">
      <x:c r="A1894" s="2" t="str">
        <x:v>TEN-26965549D9A4</x:v>
      </x:c>
      <x:c r="B1894" s="12" t="str">
        <x:v>Immidart Technologies</x:v>
      </x:c>
      <x:c r="C1894" s="12" t="str">
        <x:v>CORP-0040</x:v>
      </x:c>
      <x:c r="D1894" s="12" t="str">
        <x:v>Bengaluru</x:v>
      </x:c>
      <x:c r="E1894" s="12" t="str">
        <x:v>DSR Techno Cube IT Park</x:v>
      </x:c>
      <x:c r="F1894" s="12" t="str">
        <x:v>43 inch LED TV</x:v>
      </x:c>
      <x:c r="G1894" s="20" t="n">
        <x:v>2</x:v>
      </x:c>
      <x:c r="H1894" s="12" t="str">
        <x:v>Inventory-listed building/workspace context; current occupancy and screen access unverified</x:v>
      </x:c>
      <x:c r="I1894" s="12" t="str">
        <x:v>Small-scale prospects</x:v>
      </x:c>
      <x:c r="J1894" s="12" t="str">
        <x:v>IT &amp; digital</x:v>
      </x:c>
      <x:c r="K1894" s="2" t="str">
        <x:v>MAIN-044</x:v>
      </x:c>
    </x:row>
    <x:row r="1895" ht="46" customHeight="1">
      <x:c r="A1895" s="2" t="str">
        <x:v>TEN-4ACDF81AA293</x:v>
      </x:c>
      <x:c r="B1895" s="12" t="str">
        <x:v>CloudifyOps Pvt Ltd</x:v>
      </x:c>
      <x:c r="C1895" s="12" t="str">
        <x:v>CORP-0040</x:v>
      </x:c>
      <x:c r="D1895" s="12" t="str">
        <x:v>Bengaluru</x:v>
      </x:c>
      <x:c r="E1895" s="12" t="str">
        <x:v>DSR Techno Cube IT Park</x:v>
      </x:c>
      <x:c r="F1895" s="12" t="str">
        <x:v>43 inch LED TV</x:v>
      </x:c>
      <x:c r="G1895" s="20" t="n">
        <x:v>2</x:v>
      </x:c>
      <x:c r="H1895" s="12" t="str">
        <x:v>Inventory-listed building/workspace context; current occupancy and screen access unverified</x:v>
      </x:c>
      <x:c r="I1895" s="12" t="str">
        <x:v>Small-scale prospects</x:v>
      </x:c>
      <x:c r="J1895" s="12" t="str">
        <x:v>IT &amp; digital</x:v>
      </x:c>
      <x:c r="K1895" s="2" t="str">
        <x:v>MAIN-044</x:v>
      </x:c>
    </x:row>
    <x:row r="1896" ht="46" customHeight="1">
      <x:c r="A1896" s="2" t="str">
        <x:v>TEN-ACC1CC2BE8B0</x:v>
      </x:c>
      <x:c r="B1896" s="12" t="str">
        <x:v>Celona Networks Private Limited</x:v>
      </x:c>
      <x:c r="C1896" s="12" t="str">
        <x:v>CORP-0040</x:v>
      </x:c>
      <x:c r="D1896" s="12" t="str">
        <x:v>Bengaluru</x:v>
      </x:c>
      <x:c r="E1896" s="12" t="str">
        <x:v>DSR Techno Cube IT Park</x:v>
      </x:c>
      <x:c r="F1896" s="12" t="str">
        <x:v>43 inch LED TV</x:v>
      </x:c>
      <x:c r="G1896" s="20" t="n">
        <x:v>2</x:v>
      </x:c>
      <x:c r="H1896" s="12" t="str">
        <x:v>Inventory-listed building/workspace context; current occupancy and screen access unverified</x:v>
      </x:c>
      <x:c r="I1896" s="12" t="str">
        <x:v>Small-scale prospects</x:v>
      </x:c>
      <x:c r="J1896" s="12" t="str">
        <x:v>IT &amp; digital</x:v>
      </x:c>
      <x:c r="K1896" s="2" t="str">
        <x:v>MAIN-044</x:v>
      </x:c>
    </x:row>
    <x:row r="1897" ht="46" customHeight="1">
      <x:c r="A1897" s="2" t="str">
        <x:v>TEN-CBE8E62BDCBE</x:v>
      </x:c>
      <x:c r="B1897" s="12" t="str">
        <x:v>TTK Global Mobility Services</x:v>
      </x:c>
      <x:c r="C1897" s="12" t="str">
        <x:v>CORP-0040</x:v>
      </x:c>
      <x:c r="D1897" s="12" t="str">
        <x:v>Bengaluru</x:v>
      </x:c>
      <x:c r="E1897" s="12" t="str">
        <x:v>DSR Techno Cube IT Park</x:v>
      </x:c>
      <x:c r="F1897" s="12" t="str">
        <x:v>43 inch LED TV</x:v>
      </x:c>
      <x:c r="G1897" s="20" t="n">
        <x:v>2</x:v>
      </x:c>
      <x:c r="H1897" s="12" t="str">
        <x:v>Inventory-listed building/workspace context; current occupancy and screen access unverified</x:v>
      </x:c>
      <x:c r="I1897" s="12" t="str">
        <x:v>Small-scale prospects</x:v>
      </x:c>
      <x:c r="J1897" s="12" t="str">
        <x:v>Professional services</x:v>
      </x:c>
      <x:c r="K1897" s="2" t="str">
        <x:v>MAIN-044</x:v>
      </x:c>
    </x:row>
    <x:row r="1898" ht="46" customHeight="1">
      <x:c r="A1898" s="2" t="str">
        <x:v>TEN-16362ADD6C25</x:v>
      </x:c>
      <x:c r="B1898" s="12" t="str">
        <x:v>Charzera tech pvt ltd</x:v>
      </x:c>
      <x:c r="C1898" s="12" t="str">
        <x:v>CORP-0041</x:v>
      </x:c>
      <x:c r="D1898" s="12" t="str">
        <x:v>Bengaluru</x:v>
      </x:c>
      <x:c r="E1898" s="12" t="str">
        <x:v>Ecradle Coworking Space</x:v>
      </x:c>
      <x:c r="F1898" s="12" t="str">
        <x:v>32 inch LED TV</x:v>
      </x:c>
      <x:c r="G1898" s="20" t="n">
        <x:v>2</x:v>
      </x:c>
      <x:c r="H1898" s="12" t="str">
        <x:v>Inventory-listed building/workspace context; current occupancy and screen access unverified</x:v>
      </x:c>
      <x:c r="I1898" s="12" t="str">
        <x:v>Mixed business audience</x:v>
      </x:c>
      <x:c r="J1898" s="12" t="str">
        <x:v>Unresolved</x:v>
      </x:c>
      <x:c r="K1898" s="2" t="str">
        <x:v>MAIN-045</x:v>
      </x:c>
    </x:row>
    <x:row r="1899" ht="46" customHeight="1">
      <x:c r="A1899" s="2" t="str">
        <x:v>TEN-1F166FC93DD9</x:v>
      </x:c>
      <x:c r="B1899" s="12" t="str">
        <x:v>DSYNCULTR</x:v>
      </x:c>
      <x:c r="C1899" s="12" t="str">
        <x:v>CORP-0041</x:v>
      </x:c>
      <x:c r="D1899" s="12" t="str">
        <x:v>Bengaluru</x:v>
      </x:c>
      <x:c r="E1899" s="12" t="str">
        <x:v>Ecradle Coworking Space</x:v>
      </x:c>
      <x:c r="F1899" s="12" t="str">
        <x:v>32 inch LED TV</x:v>
      </x:c>
      <x:c r="G1899" s="20" t="n">
        <x:v>2</x:v>
      </x:c>
      <x:c r="H1899" s="12" t="str">
        <x:v>Inventory-listed building/workspace context; current occupancy and screen access unverified</x:v>
      </x:c>
      <x:c r="I1899" s="12" t="str">
        <x:v>Mixed business audience</x:v>
      </x:c>
      <x:c r="J1899" s="12" t="str">
        <x:v>Unresolved</x:v>
      </x:c>
      <x:c r="K1899" s="2" t="str">
        <x:v>MAIN-045</x:v>
      </x:c>
    </x:row>
    <x:row r="1900" ht="46" customHeight="1">
      <x:c r="A1900" s="2" t="str">
        <x:v>TEN-58991ECEAA88</x:v>
      </x:c>
      <x:c r="B1900" s="12" t="str">
        <x:v>Realty Focus</x:v>
      </x:c>
      <x:c r="C1900" s="12" t="str">
        <x:v>CORP-0041</x:v>
      </x:c>
      <x:c r="D1900" s="12" t="str">
        <x:v>Bengaluru</x:v>
      </x:c>
      <x:c r="E1900" s="12" t="str">
        <x:v>Ecradle Coworking Space</x:v>
      </x:c>
      <x:c r="F1900" s="12" t="str">
        <x:v>32 inch LED TV</x:v>
      </x:c>
      <x:c r="G1900" s="20" t="n">
        <x:v>2</x:v>
      </x:c>
      <x:c r="H1900" s="12" t="str">
        <x:v>Inventory-listed building/workspace context; current occupancy and screen access unverified</x:v>
      </x:c>
      <x:c r="I1900" s="12" t="str">
        <x:v>Small-scale prospects</x:v>
      </x:c>
      <x:c r="J1900" s="12" t="str">
        <x:v>Trade, consumer &amp; logistics</x:v>
      </x:c>
      <x:c r="K1900" s="2" t="str">
        <x:v>MAIN-045</x:v>
      </x:c>
    </x:row>
    <x:row r="1901" ht="46" customHeight="1">
      <x:c r="A1901" s="2" t="str">
        <x:v>TEN-676234A77596</x:v>
      </x:c>
      <x:c r="B1901" s="12" t="str">
        <x:v>span workz</x:v>
      </x:c>
      <x:c r="C1901" s="12" t="str">
        <x:v>CORP-0041</x:v>
      </x:c>
      <x:c r="D1901" s="12" t="str">
        <x:v>Bengaluru</x:v>
      </x:c>
      <x:c r="E1901" s="12" t="str">
        <x:v>Ecradle Coworking Space</x:v>
      </x:c>
      <x:c r="F1901" s="12" t="str">
        <x:v>32 inch LED TV</x:v>
      </x:c>
      <x:c r="G1901" s="20" t="n">
        <x:v>2</x:v>
      </x:c>
      <x:c r="H1901" s="12" t="str">
        <x:v>Inventory-listed building/workspace context; current occupancy and screen access unverified</x:v>
      </x:c>
      <x:c r="I1901" s="12" t="str">
        <x:v>Small-scale prospects</x:v>
      </x:c>
      <x:c r="J1901" s="12" t="str">
        <x:v>Trade, consumer &amp; logistics</x:v>
      </x:c>
      <x:c r="K1901" s="2" t="str">
        <x:v>MAIN-045</x:v>
      </x:c>
    </x:row>
    <x:row r="1902" ht="46" customHeight="1">
      <x:c r="A1902" s="2" t="str">
        <x:v>TEN-786F7AC509DC</x:v>
      </x:c>
      <x:c r="B1902" s="12" t="str">
        <x:v>Knowic Infotech pvt ltd</x:v>
      </x:c>
      <x:c r="C1902" s="12" t="str">
        <x:v>CORP-0041</x:v>
      </x:c>
      <x:c r="D1902" s="12" t="str">
        <x:v>Bengaluru</x:v>
      </x:c>
      <x:c r="E1902" s="12" t="str">
        <x:v>Ecradle Coworking Space</x:v>
      </x:c>
      <x:c r="F1902" s="12" t="str">
        <x:v>32 inch LED TV</x:v>
      </x:c>
      <x:c r="G1902" s="20" t="n">
        <x:v>2</x:v>
      </x:c>
      <x:c r="H1902" s="12" t="str">
        <x:v>Inventory-listed building/workspace context; current occupancy and screen access unverified</x:v>
      </x:c>
      <x:c r="I1902" s="12" t="str">
        <x:v>Small-scale prospects</x:v>
      </x:c>
      <x:c r="J1902" s="12" t="str">
        <x:v>IT &amp; digital</x:v>
      </x:c>
      <x:c r="K1902" s="2" t="str">
        <x:v>MAIN-045</x:v>
      </x:c>
    </x:row>
    <x:row r="1903" ht="46" customHeight="1">
      <x:c r="A1903" s="2" t="str">
        <x:v>TEN-883B582891E2</x:v>
      </x:c>
      <x:c r="B1903" s="12" t="str">
        <x:v>Nodesec</x:v>
      </x:c>
      <x:c r="C1903" s="12" t="str">
        <x:v>CORP-0041</x:v>
      </x:c>
      <x:c r="D1903" s="12" t="str">
        <x:v>Bengaluru</x:v>
      </x:c>
      <x:c r="E1903" s="12" t="str">
        <x:v>Ecradle Coworking Space</x:v>
      </x:c>
      <x:c r="F1903" s="12" t="str">
        <x:v>32 inch LED TV</x:v>
      </x:c>
      <x:c r="G1903" s="20" t="n">
        <x:v>2</x:v>
      </x:c>
      <x:c r="H1903" s="12" t="str">
        <x:v>Inventory-listed building/workspace context; current occupancy and screen access unverified</x:v>
      </x:c>
      <x:c r="I1903" s="12" t="str">
        <x:v>Mixed business audience</x:v>
      </x:c>
      <x:c r="J1903" s="12" t="str">
        <x:v>Unresolved</x:v>
      </x:c>
      <x:c r="K1903" s="2" t="str">
        <x:v>MAIN-045</x:v>
      </x:c>
    </x:row>
    <x:row r="1904" ht="46" customHeight="1">
      <x:c r="A1904" s="2" t="str">
        <x:v>TEN-8D2FC7FF868A</x:v>
      </x:c>
      <x:c r="B1904" s="12" t="str">
        <x:v>IM solutions</x:v>
      </x:c>
      <x:c r="C1904" s="12" t="str">
        <x:v>CORP-0041</x:v>
      </x:c>
      <x:c r="D1904" s="12" t="str">
        <x:v>Bengaluru</x:v>
      </x:c>
      <x:c r="E1904" s="12" t="str">
        <x:v>Ecradle Coworking Space</x:v>
      </x:c>
      <x:c r="F1904" s="12" t="str">
        <x:v>32 inch LED TV</x:v>
      </x:c>
      <x:c r="G1904" s="20" t="n">
        <x:v>2</x:v>
      </x:c>
      <x:c r="H1904" s="12" t="str">
        <x:v>Inventory-listed building/workspace context; current occupancy and screen access unverified</x:v>
      </x:c>
      <x:c r="I1904" s="12" t="str">
        <x:v>Mixed business audience</x:v>
      </x:c>
      <x:c r="J1904" s="12" t="str">
        <x:v>Unresolved</x:v>
      </x:c>
      <x:c r="K1904" s="2" t="str">
        <x:v>MAIN-045</x:v>
      </x:c>
    </x:row>
    <x:row r="1905" ht="46" customHeight="1">
      <x:c r="A1905" s="2" t="str">
        <x:v>TEN-981025AEFE37</x:v>
      </x:c>
      <x:c r="B1905" s="12" t="str">
        <x:v>audiocodes</x:v>
      </x:c>
      <x:c r="C1905" s="12" t="str">
        <x:v>CORP-0041</x:v>
      </x:c>
      <x:c r="D1905" s="12" t="str">
        <x:v>Bengaluru</x:v>
      </x:c>
      <x:c r="E1905" s="12" t="str">
        <x:v>Ecradle Coworking Space</x:v>
      </x:c>
      <x:c r="F1905" s="12" t="str">
        <x:v>32 inch LED TV</x:v>
      </x:c>
      <x:c r="G1905" s="20" t="n">
        <x:v>2</x:v>
      </x:c>
      <x:c r="H1905" s="12" t="str">
        <x:v>Inventory-listed building/workspace context; current occupancy and screen access unverified</x:v>
      </x:c>
      <x:c r="I1905" s="12" t="str">
        <x:v>Mixed business audience</x:v>
      </x:c>
      <x:c r="J1905" s="12" t="str">
        <x:v>IT &amp; digital</x:v>
      </x:c>
      <x:c r="K1905" s="2" t="str">
        <x:v>MAIN-045</x:v>
      </x:c>
    </x:row>
    <x:row r="1906" ht="46" customHeight="1">
      <x:c r="A1906" s="2" t="str">
        <x:v>TEN-BC35E03468A2</x:v>
      </x:c>
      <x:c r="B1906" s="12" t="str">
        <x:v>Motorola service centre</x:v>
      </x:c>
      <x:c r="C1906" s="12" t="str">
        <x:v>CORP-0041</x:v>
      </x:c>
      <x:c r="D1906" s="12" t="str">
        <x:v>Bengaluru</x:v>
      </x:c>
      <x:c r="E1906" s="12" t="str">
        <x:v>Ecradle Coworking Space</x:v>
      </x:c>
      <x:c r="F1906" s="12" t="str">
        <x:v>32 inch LED TV</x:v>
      </x:c>
      <x:c r="G1906" s="20" t="n">
        <x:v>2</x:v>
      </x:c>
      <x:c r="H1906" s="12" t="str">
        <x:v>Inventory-listed building/workspace context; current occupancy and screen access unverified</x:v>
      </x:c>
      <x:c r="I1906" s="12" t="str">
        <x:v>Mixed business audience</x:v>
      </x:c>
      <x:c r="J1906" s="12" t="str">
        <x:v>Engineering &amp; manufacturing</x:v>
      </x:c>
      <x:c r="K1906" s="2" t="str">
        <x:v>MAIN-045</x:v>
      </x:c>
    </x:row>
    <x:row r="1907" ht="46" customHeight="1">
      <x:c r="A1907" s="2" t="str">
        <x:v>TEN-BF362F202CF6</x:v>
      </x:c>
      <x:c r="B1907" s="12" t="str">
        <x:v>VE10xSOFT india pvt ltd</x:v>
      </x:c>
      <x:c r="C1907" s="12" t="str">
        <x:v>CORP-0041</x:v>
      </x:c>
      <x:c r="D1907" s="12" t="str">
        <x:v>Bengaluru</x:v>
      </x:c>
      <x:c r="E1907" s="12" t="str">
        <x:v>Ecradle Coworking Space</x:v>
      </x:c>
      <x:c r="F1907" s="12" t="str">
        <x:v>32 inch LED TV</x:v>
      </x:c>
      <x:c r="G1907" s="20" t="n">
        <x:v>2</x:v>
      </x:c>
      <x:c r="H1907" s="12" t="str">
        <x:v>Inventory-listed building/workspace context; current occupancy and screen access unverified</x:v>
      </x:c>
      <x:c r="I1907" s="12" t="str">
        <x:v>Mixed business audience</x:v>
      </x:c>
      <x:c r="J1907" s="12" t="str">
        <x:v>Unresolved</x:v>
      </x:c>
      <x:c r="K1907" s="2" t="str">
        <x:v>MAIN-045</x:v>
      </x:c>
    </x:row>
    <x:row r="1908" ht="46" customHeight="1">
      <x:c r="A1908" s="2" t="str">
        <x:v>TEN-E76AB53619A7</x:v>
      </x:c>
      <x:c r="B1908" s="12" t="str">
        <x:v>Deevia Software India</x:v>
      </x:c>
      <x:c r="C1908" s="12" t="str">
        <x:v>CORP-0041</x:v>
      </x:c>
      <x:c r="D1908" s="12" t="str">
        <x:v>Bengaluru</x:v>
      </x:c>
      <x:c r="E1908" s="12" t="str">
        <x:v>Ecradle Coworking Space</x:v>
      </x:c>
      <x:c r="F1908" s="12" t="str">
        <x:v>32 inch LED TV</x:v>
      </x:c>
      <x:c r="G1908" s="20" t="n">
        <x:v>2</x:v>
      </x:c>
      <x:c r="H1908" s="12" t="str">
        <x:v>Inventory-listed building/workspace context; current occupancy and screen access unverified</x:v>
      </x:c>
      <x:c r="I1908" s="12" t="str">
        <x:v>Small-scale prospects</x:v>
      </x:c>
      <x:c r="J1908" s="12" t="str">
        <x:v>IT &amp; digital</x:v>
      </x:c>
      <x:c r="K1908" s="2" t="str">
        <x:v>MAIN-045</x:v>
      </x:c>
    </x:row>
    <x:row r="1909" ht="46" customHeight="1">
      <x:c r="A1909" s="2" t="str">
        <x:v>TEN-0DC405922287</x:v>
      </x:c>
      <x:c r="B1909" s="12" t="str">
        <x:v>GlobalLogic India Private Limited</x:v>
      </x:c>
      <x:c r="C1909" s="12" t="str">
        <x:v>CORP-0042</x:v>
      </x:c>
      <x:c r="D1909" s="12" t="str">
        <x:v>Bengaluru</x:v>
      </x:c>
      <x:c r="E1909" s="12" t="str">
        <x:v>Global Technology Park</x:v>
      </x:c>
      <x:c r="F1909" s="12" t="str">
        <x:v>43 inch LED TV</x:v>
      </x:c>
      <x:c r="G1909" s="20" t="n">
        <x:v>2</x:v>
      </x:c>
      <x:c r="H1909" s="12" t="str">
        <x:v>Campus/portfolio roster; individual building occupancy unverified</x:v>
      </x:c>
      <x:c r="I1909" s="12" t="str">
        <x:v>Mixed business audience</x:v>
      </x:c>
      <x:c r="J1909" s="12" t="str">
        <x:v>IT &amp; digital</x:v>
      </x:c>
      <x:c r="K1909" s="2" t="str">
        <x:v>MAIN-046</x:v>
      </x:c>
    </x:row>
    <x:row r="1910" ht="46" customHeight="1">
      <x:c r="A1910" s="2" t="str">
        <x:v>TEN-4D748EBD71AF</x:v>
      </x:c>
      <x:c r="B1910" s="12" t="str">
        <x:v>Accenture</x:v>
      </x:c>
      <x:c r="C1910" s="12" t="str">
        <x:v>CORP-0042</x:v>
      </x:c>
      <x:c r="D1910" s="12" t="str">
        <x:v>Bengaluru</x:v>
      </x:c>
      <x:c r="E1910" s="12" t="str">
        <x:v>Global Technology Park</x:v>
      </x:c>
      <x:c r="F1910" s="12" t="str">
        <x:v>43 inch LED TV</x:v>
      </x:c>
      <x:c r="G1910" s="20" t="n">
        <x:v>2</x:v>
      </x:c>
      <x:c r="H1910" s="12" t="str">
        <x:v>Campus/portfolio roster; individual building occupancy unverified</x:v>
      </x:c>
      <x:c r="I1910" s="12" t="str">
        <x:v>Large enterprise</x:v>
      </x:c>
      <x:c r="J1910" s="12" t="str">
        <x:v>IT &amp; digital</x:v>
      </x:c>
      <x:c r="K1910" s="2" t="str">
        <x:v>MAIN-046</x:v>
      </x:c>
    </x:row>
    <x:row r="1911" ht="46" customHeight="1">
      <x:c r="A1911" s="2" t="str">
        <x:v>TEN-8B2321A1E6EF</x:v>
      </x:c>
      <x:c r="B1911" s="12" t="str">
        <x:v>Societe Generale Global Solution Center</x:v>
      </x:c>
      <x:c r="C1911" s="12" t="str">
        <x:v>CORP-0042</x:v>
      </x:c>
      <x:c r="D1911" s="12" t="str">
        <x:v>Bengaluru</x:v>
      </x:c>
      <x:c r="E1911" s="12" t="str">
        <x:v>Global Technology Park</x:v>
      </x:c>
      <x:c r="F1911" s="12" t="str">
        <x:v>43 inch LED TV</x:v>
      </x:c>
      <x:c r="G1911" s="20" t="n">
        <x:v>2</x:v>
      </x:c>
      <x:c r="H1911" s="12" t="str">
        <x:v>Campus/portfolio roster; individual building occupancy unverified</x:v>
      </x:c>
      <x:c r="I1911" s="12" t="str">
        <x:v>Large enterprise</x:v>
      </x:c>
      <x:c r="J1911" s="12" t="str">
        <x:v>Finance &amp; insurance</x:v>
      </x:c>
      <x:c r="K1911" s="2" t="str">
        <x:v>MAIN-046</x:v>
      </x:c>
    </x:row>
    <x:row r="1912" ht="46" customHeight="1">
      <x:c r="A1912" s="2" t="str">
        <x:v>TEN-F4CEA31C825C</x:v>
      </x:c>
      <x:c r="B1912" s="12" t="str">
        <x:v>Transworld Systems India</x:v>
      </x:c>
      <x:c r="C1912" s="12" t="str">
        <x:v>CORP-0042</x:v>
      </x:c>
      <x:c r="D1912" s="12" t="str">
        <x:v>Bengaluru</x:v>
      </x:c>
      <x:c r="E1912" s="12" t="str">
        <x:v>Global Technology Park</x:v>
      </x:c>
      <x:c r="F1912" s="12" t="str">
        <x:v>43 inch LED TV</x:v>
      </x:c>
      <x:c r="G1912" s="20" t="n">
        <x:v>2</x:v>
      </x:c>
      <x:c r="H1912" s="12" t="str">
        <x:v>Campus/portfolio roster; individual building occupancy unverified</x:v>
      </x:c>
      <x:c r="I1912" s="12" t="str">
        <x:v>Mixed business audience</x:v>
      </x:c>
      <x:c r="J1912" s="12" t="str">
        <x:v>IT &amp; digital</x:v>
      </x:c>
      <x:c r="K1912" s="2" t="str">
        <x:v>MAIN-046</x:v>
      </x:c>
    </x:row>
    <x:row r="1913" ht="46" customHeight="1">
      <x:c r="A1913" s="2" t="str">
        <x:v>TEN-0DC405922287</x:v>
      </x:c>
      <x:c r="B1913" s="12" t="str">
        <x:v>GlobalLogic India Private Limited</x:v>
      </x:c>
      <x:c r="C1913" s="12" t="str">
        <x:v>CORP-0043</x:v>
      </x:c>
      <x:c r="D1913" s="12" t="str">
        <x:v>Bengaluru</x:v>
      </x:c>
      <x:c r="E1913" s="12" t="str">
        <x:v>Global Technology park </x:v>
      </x:c>
      <x:c r="F1913" s="12" t="str">
        <x:v>43 inch LED TV</x:v>
      </x:c>
      <x:c r="G1913" s="20" t="n">
        <x:v>4</x:v>
      </x:c>
      <x:c r="H1913" s="12" t="str">
        <x:v>Campus/portfolio roster; individual building occupancy unverified</x:v>
      </x:c>
      <x:c r="I1913" s="12" t="str">
        <x:v>Mixed business audience</x:v>
      </x:c>
      <x:c r="J1913" s="12" t="str">
        <x:v>IT &amp; digital</x:v>
      </x:c>
      <x:c r="K1913" s="2" t="str">
        <x:v>MAIN-047</x:v>
      </x:c>
    </x:row>
    <x:row r="1914" ht="46" customHeight="1">
      <x:c r="A1914" s="2" t="str">
        <x:v>TEN-4D748EBD71AF</x:v>
      </x:c>
      <x:c r="B1914" s="12" t="str">
        <x:v>Accenture</x:v>
      </x:c>
      <x:c r="C1914" s="12" t="str">
        <x:v>CORP-0043</x:v>
      </x:c>
      <x:c r="D1914" s="12" t="str">
        <x:v>Bengaluru</x:v>
      </x:c>
      <x:c r="E1914" s="12" t="str">
        <x:v>Global Technology park </x:v>
      </x:c>
      <x:c r="F1914" s="12" t="str">
        <x:v>43 inch LED TV</x:v>
      </x:c>
      <x:c r="G1914" s="20" t="n">
        <x:v>4</x:v>
      </x:c>
      <x:c r="H1914" s="12" t="str">
        <x:v>Campus/portfolio roster; individual building occupancy unverified</x:v>
      </x:c>
      <x:c r="I1914" s="12" t="str">
        <x:v>Large enterprise</x:v>
      </x:c>
      <x:c r="J1914" s="12" t="str">
        <x:v>IT &amp; digital</x:v>
      </x:c>
      <x:c r="K1914" s="2" t="str">
        <x:v>MAIN-047</x:v>
      </x:c>
    </x:row>
    <x:row r="1915" ht="46" customHeight="1">
      <x:c r="A1915" s="2" t="str">
        <x:v>TEN-8B2321A1E6EF</x:v>
      </x:c>
      <x:c r="B1915" s="12" t="str">
        <x:v>Societe Generale Global Solution Center</x:v>
      </x:c>
      <x:c r="C1915" s="12" t="str">
        <x:v>CORP-0043</x:v>
      </x:c>
      <x:c r="D1915" s="12" t="str">
        <x:v>Bengaluru</x:v>
      </x:c>
      <x:c r="E1915" s="12" t="str">
        <x:v>Global Technology park </x:v>
      </x:c>
      <x:c r="F1915" s="12" t="str">
        <x:v>43 inch LED TV</x:v>
      </x:c>
      <x:c r="G1915" s="20" t="n">
        <x:v>4</x:v>
      </x:c>
      <x:c r="H1915" s="12" t="str">
        <x:v>Campus/portfolio roster; individual building occupancy unverified</x:v>
      </x:c>
      <x:c r="I1915" s="12" t="str">
        <x:v>Large enterprise</x:v>
      </x:c>
      <x:c r="J1915" s="12" t="str">
        <x:v>Finance &amp; insurance</x:v>
      </x:c>
      <x:c r="K1915" s="2" t="str">
        <x:v>MAIN-047</x:v>
      </x:c>
    </x:row>
    <x:row r="1916" ht="46" customHeight="1">
      <x:c r="A1916" s="2" t="str">
        <x:v>TEN-F4CEA31C825C</x:v>
      </x:c>
      <x:c r="B1916" s="12" t="str">
        <x:v>Transworld Systems India</x:v>
      </x:c>
      <x:c r="C1916" s="12" t="str">
        <x:v>CORP-0043</x:v>
      </x:c>
      <x:c r="D1916" s="12" t="str">
        <x:v>Bengaluru</x:v>
      </x:c>
      <x:c r="E1916" s="12" t="str">
        <x:v>Global Technology park </x:v>
      </x:c>
      <x:c r="F1916" s="12" t="str">
        <x:v>43 inch LED TV</x:v>
      </x:c>
      <x:c r="G1916" s="20" t="n">
        <x:v>4</x:v>
      </x:c>
      <x:c r="H1916" s="12" t="str">
        <x:v>Campus/portfolio roster; individual building occupancy unverified</x:v>
      </x:c>
      <x:c r="I1916" s="12" t="str">
        <x:v>Mixed business audience</x:v>
      </x:c>
      <x:c r="J1916" s="12" t="str">
        <x:v>IT &amp; digital</x:v>
      </x:c>
      <x:c r="K1916" s="2" t="str">
        <x:v>MAIN-047</x:v>
      </x:c>
    </x:row>
    <x:row r="1917" ht="46" customHeight="1">
      <x:c r="A1917" s="2" t="str">
        <x:v>TEN-1C7A49CFBD0F</x:v>
      </x:c>
      <x:c r="B1917" s="12" t="str">
        <x:v>AMD Architects</x:v>
      </x:c>
      <x:c r="C1917" s="12" t="str">
        <x:v>CORP-0044</x:v>
      </x:c>
      <x:c r="D1917" s="12" t="str">
        <x:v>Bengaluru</x:v>
      </x:c>
      <x:c r="E1917" s="12" t="str">
        <x:v>Golden Millenium Tech Park</x:v>
      </x:c>
      <x:c r="F1917" s="12" t="str">
        <x:v>43 inch LED TV</x:v>
      </x:c>
      <x:c r="G1917" s="20" t="n">
        <x:v>3</x:v>
      </x:c>
      <x:c r="H1917" s="12" t="str">
        <x:v>Campus/portfolio roster; individual building occupancy unverified</x:v>
      </x:c>
      <x:c r="I1917" s="12" t="str">
        <x:v>Small-scale prospects</x:v>
      </x:c>
      <x:c r="J1917" s="12" t="str">
        <x:v>Professional services</x:v>
      </x:c>
      <x:c r="K1917" s="2" t="str">
        <x:v>MAIN-048</x:v>
      </x:c>
    </x:row>
    <x:row r="1918" ht="46" customHeight="1">
      <x:c r="A1918" s="2" t="str">
        <x:v>TEN-70FB189454F7</x:v>
      </x:c>
      <x:c r="B1918" s="12" t="str">
        <x:v>WIND WORLD (INDIA) LTD</x:v>
      </x:c>
      <x:c r="C1918" s="12" t="str">
        <x:v>CORP-0044</x:v>
      </x:c>
      <x:c r="D1918" s="12" t="str">
        <x:v>Bengaluru</x:v>
      </x:c>
      <x:c r="E1918" s="12" t="str">
        <x:v>Golden Millenium Tech Park</x:v>
      </x:c>
      <x:c r="F1918" s="12" t="str">
        <x:v>43 inch LED TV</x:v>
      </x:c>
      <x:c r="G1918" s="20" t="n">
        <x:v>3</x:v>
      </x:c>
      <x:c r="H1918" s="12" t="str">
        <x:v>Campus/portfolio roster; individual building occupancy unverified</x:v>
      </x:c>
      <x:c r="I1918" s="12" t="str">
        <x:v>Mixed business audience</x:v>
      </x:c>
      <x:c r="J1918" s="12" t="str">
        <x:v>Engineering &amp; manufacturing</x:v>
      </x:c>
      <x:c r="K1918" s="2" t="str">
        <x:v>MAIN-048</x:v>
      </x:c>
    </x:row>
    <x:row r="1919" ht="46" customHeight="1">
      <x:c r="A1919" s="2" t="str">
        <x:v>TEN-F0FE959E9D6B</x:v>
      </x:c>
      <x:c r="B1919" s="12" t="str">
        <x:v>Fcm Travel Solutions India Pvt Ltd</x:v>
      </x:c>
      <x:c r="C1919" s="12" t="str">
        <x:v>CORP-0044</x:v>
      </x:c>
      <x:c r="D1919" s="12" t="str">
        <x:v>Bengaluru</x:v>
      </x:c>
      <x:c r="E1919" s="12" t="str">
        <x:v>Golden Millenium Tech Park</x:v>
      </x:c>
      <x:c r="F1919" s="12" t="str">
        <x:v>43 inch LED TV</x:v>
      </x:c>
      <x:c r="G1919" s="20" t="n">
        <x:v>3</x:v>
      </x:c>
      <x:c r="H1919" s="12" t="str">
        <x:v>Campus/portfolio roster; individual building occupancy unverified</x:v>
      </x:c>
      <x:c r="I1919" s="12" t="str">
        <x:v>Mixed business audience</x:v>
      </x:c>
      <x:c r="J1919" s="12" t="str">
        <x:v>Trade, consumer &amp; logistics</x:v>
      </x:c>
      <x:c r="K1919" s="2" t="str">
        <x:v>MAIN-048</x:v>
      </x:c>
    </x:row>
    <x:row r="1920" ht="46" customHeight="1">
      <x:c r="A1920" s="2" t="str">
        <x:v>TEN-1C7A49CFBD0F</x:v>
      </x:c>
      <x:c r="B1920" s="12" t="str">
        <x:v>AMD Architects</x:v>
      </x:c>
      <x:c r="C1920" s="12" t="str">
        <x:v>CORP-0045</x:v>
      </x:c>
      <x:c r="D1920" s="12" t="str">
        <x:v>Bengaluru</x:v>
      </x:c>
      <x:c r="E1920" s="12" t="str">
        <x:v>Golden Millenium Tech Park (Pod Screens)</x:v>
      </x:c>
      <x:c r="F1920" s="12" t="str">
        <x:v>43 inch LED TV</x:v>
      </x:c>
      <x:c r="G1920" s="20" t="n">
        <x:v>2</x:v>
      </x:c>
      <x:c r="H1920" s="12" t="str">
        <x:v>Campus/portfolio roster; individual building occupancy unverified</x:v>
      </x:c>
      <x:c r="I1920" s="12" t="str">
        <x:v>Small-scale prospects</x:v>
      </x:c>
      <x:c r="J1920" s="12" t="str">
        <x:v>Professional services</x:v>
      </x:c>
      <x:c r="K1920" s="2" t="str">
        <x:v>MAIN-049</x:v>
      </x:c>
    </x:row>
    <x:row r="1921" ht="46" customHeight="1">
      <x:c r="A1921" s="2" t="str">
        <x:v>TEN-70FB189454F7</x:v>
      </x:c>
      <x:c r="B1921" s="12" t="str">
        <x:v>WIND WORLD (INDIA) LTD</x:v>
      </x:c>
      <x:c r="C1921" s="12" t="str">
        <x:v>CORP-0045</x:v>
      </x:c>
      <x:c r="D1921" s="12" t="str">
        <x:v>Bengaluru</x:v>
      </x:c>
      <x:c r="E1921" s="12" t="str">
        <x:v>Golden Millenium Tech Park (Pod Screens)</x:v>
      </x:c>
      <x:c r="F1921" s="12" t="str">
        <x:v>43 inch LED TV</x:v>
      </x:c>
      <x:c r="G1921" s="20" t="n">
        <x:v>2</x:v>
      </x:c>
      <x:c r="H1921" s="12" t="str">
        <x:v>Campus/portfolio roster; individual building occupancy unverified</x:v>
      </x:c>
      <x:c r="I1921" s="12" t="str">
        <x:v>Mixed business audience</x:v>
      </x:c>
      <x:c r="J1921" s="12" t="str">
        <x:v>Engineering &amp; manufacturing</x:v>
      </x:c>
      <x:c r="K1921" s="2" t="str">
        <x:v>MAIN-049</x:v>
      </x:c>
    </x:row>
    <x:row r="1922" ht="46" customHeight="1">
      <x:c r="A1922" s="2" t="str">
        <x:v>TEN-87E2BA2B12A3</x:v>
      </x:c>
      <x:c r="B1922" s="12" t="str">
        <x:v>JustAnswer</x:v>
      </x:c>
      <x:c r="C1922" s="12" t="str">
        <x:v>CORP-0045</x:v>
      </x:c>
      <x:c r="D1922" s="12" t="str">
        <x:v>Bengaluru</x:v>
      </x:c>
      <x:c r="E1922" s="12" t="str">
        <x:v>Golden Millenium Tech Park (Pod Screens)</x:v>
      </x:c>
      <x:c r="F1922" s="12" t="str">
        <x:v>43 inch LED TV</x:v>
      </x:c>
      <x:c r="G1922" s="20" t="n">
        <x:v>2</x:v>
      </x:c>
      <x:c r="H1922" s="12" t="str">
        <x:v>Campus/portfolio roster; individual building occupancy unverified</x:v>
      </x:c>
      <x:c r="I1922" s="12" t="str">
        <x:v>Mixed business audience</x:v>
      </x:c>
      <x:c r="J1922" s="12" t="str">
        <x:v>Professional services</x:v>
      </x:c>
      <x:c r="K1922" s="2" t="str">
        <x:v>MAIN-049</x:v>
      </x:c>
    </x:row>
    <x:row r="1923" ht="46" customHeight="1">
      <x:c r="A1923" s="2" t="str">
        <x:v>TEN-CAC431BD1CA4</x:v>
      </x:c>
      <x:c r="B1923" s="12" t="str">
        <x:v>DataCore Software India Pvt Ltd</x:v>
      </x:c>
      <x:c r="C1923" s="12" t="str">
        <x:v>CORP-0045</x:v>
      </x:c>
      <x:c r="D1923" s="12" t="str">
        <x:v>Bengaluru</x:v>
      </x:c>
      <x:c r="E1923" s="12" t="str">
        <x:v>Golden Millenium Tech Park (Pod Screens)</x:v>
      </x:c>
      <x:c r="F1923" s="12" t="str">
        <x:v>43 inch LED TV</x:v>
      </x:c>
      <x:c r="G1923" s="20" t="n">
        <x:v>2</x:v>
      </x:c>
      <x:c r="H1923" s="12" t="str">
        <x:v>Campus/portfolio roster; individual building occupancy unverified</x:v>
      </x:c>
      <x:c r="I1923" s="12" t="str">
        <x:v>Mixed business audience</x:v>
      </x:c>
      <x:c r="J1923" s="12" t="str">
        <x:v>IT &amp; digital</x:v>
      </x:c>
      <x:c r="K1923" s="2" t="str">
        <x:v>MAIN-049</x:v>
      </x:c>
    </x:row>
    <x:row r="1924" ht="46" customHeight="1">
      <x:c r="A1924" s="2" t="str">
        <x:v>TEN-F0FE959E9D6B</x:v>
      </x:c>
      <x:c r="B1924" s="12" t="str">
        <x:v>Fcm Travel Solutions India Pvt Ltd</x:v>
      </x:c>
      <x:c r="C1924" s="12" t="str">
        <x:v>CORP-0045</x:v>
      </x:c>
      <x:c r="D1924" s="12" t="str">
        <x:v>Bengaluru</x:v>
      </x:c>
      <x:c r="E1924" s="12" t="str">
        <x:v>Golden Millenium Tech Park (Pod Screens)</x:v>
      </x:c>
      <x:c r="F1924" s="12" t="str">
        <x:v>43 inch LED TV</x:v>
      </x:c>
      <x:c r="G1924" s="20" t="n">
        <x:v>2</x:v>
      </x:c>
      <x:c r="H1924" s="12" t="str">
        <x:v>Campus/portfolio roster; individual building occupancy unverified</x:v>
      </x:c>
      <x:c r="I1924" s="12" t="str">
        <x:v>Mixed business audience</x:v>
      </x:c>
      <x:c r="J1924" s="12" t="str">
        <x:v>Trade, consumer &amp; logistics</x:v>
      </x:c>
      <x:c r="K1924" s="2" t="str">
        <x:v>MAIN-049</x:v>
      </x:c>
    </x:row>
    <x:row r="1925" ht="46" customHeight="1">
      <x:c r="A1925" s="2" t="str">
        <x:v>TEN-2D2BD6458539</x:v>
      </x:c>
      <x:c r="B1925" s="12" t="str">
        <x:v>Bodal Chemicals Limited</x:v>
      </x:c>
      <x:c r="C1925" s="12" t="str">
        <x:v>CORP-0001</x:v>
      </x:c>
      <x:c r="D1925" s="12" t="str">
        <x:v>Ahmedabad</x:v>
      </x:c>
      <x:c r="E1925" s="12" t="str">
        <x:v>Awfis - Krish Cubical</x:v>
      </x:c>
      <x:c r="F1925" s="12" t="str">
        <x:v>32 inch LED TV</x:v>
      </x:c>
      <x:c r="G1925" s="20" t="n">
        <x:v>1</x:v>
      </x:c>
      <x:c r="H1925" s="12" t="str">
        <x:v>Company-listed building/campus context; workspace membership and screen access unverified</x:v>
      </x:c>
      <x:c r="I1925" s="12" t="str">
        <x:v>Mixed business audience</x:v>
      </x:c>
      <x:c r="J1925" s="12" t="str">
        <x:v>Engineering &amp; manufacturing</x:v>
      </x:c>
      <x:c r="K1925" s="2" t="str">
        <x:v>MAIN-005</x:v>
      </x:c>
    </x:row>
    <x:row r="1926" ht="46" customHeight="1">
      <x:c r="A1926" s="2" t="str">
        <x:v>TEN-CBCCDBFD029C</x:v>
      </x:c>
      <x:c r="B1926" s="12" t="str">
        <x:v>Three Sixty Five Business Consultancy Pvt Ltd</x:v>
      </x:c>
      <x:c r="C1926" s="12" t="str">
        <x:v>CORP-0001</x:v>
      </x:c>
      <x:c r="D1926" s="12" t="str">
        <x:v>Ahmedabad</x:v>
      </x:c>
      <x:c r="E1926" s="12" t="str">
        <x:v>Awfis - Krish Cubical</x:v>
      </x:c>
      <x:c r="F1926" s="12" t="str">
        <x:v>32 inch LED TV</x:v>
      </x:c>
      <x:c r="G1926" s="20" t="n">
        <x:v>1</x:v>
      </x:c>
      <x:c r="H1926" s="12" t="str">
        <x:v>Company-listed building/campus context; workspace membership and screen access unverified</x:v>
      </x:c>
      <x:c r="I1926" s="12" t="str">
        <x:v>Small-scale prospects</x:v>
      </x:c>
      <x:c r="J1926" s="12" t="str">
        <x:v>Professional services</x:v>
      </x:c>
      <x:c r="K1926" s="2" t="str">
        <x:v>MAIN-005</x:v>
      </x:c>
    </x:row>
    <x:row r="1927" ht="46" customHeight="1">
      <x:c r="A1927" s="2" t="str">
        <x:v>TEN-EFEC1FDBFFA5</x:v>
      </x:c>
      <x:c r="B1927" s="12" t="str">
        <x:v>Delex Logiexpress Pvt. Ltd</x:v>
      </x:c>
      <x:c r="C1927" s="12" t="str">
        <x:v>CORP-0001</x:v>
      </x:c>
      <x:c r="D1927" s="12" t="str">
        <x:v>Ahmedabad</x:v>
      </x:c>
      <x:c r="E1927" s="12" t="str">
        <x:v>Awfis - Krish Cubical</x:v>
      </x:c>
      <x:c r="F1927" s="12" t="str">
        <x:v>32 inch LED TV</x:v>
      </x:c>
      <x:c r="G1927" s="20" t="n">
        <x:v>1</x:v>
      </x:c>
      <x:c r="H1927" s="12" t="str">
        <x:v>Company-listed building/campus context; workspace membership and screen access unverified</x:v>
      </x:c>
      <x:c r="I1927" s="12" t="str">
        <x:v>Medium-scale prospects</x:v>
      </x:c>
      <x:c r="J1927" s="12" t="str">
        <x:v>Trade, consumer &amp; logistics</x:v>
      </x:c>
      <x:c r="K1927" s="2" t="str">
        <x:v>MAIN-005</x:v>
      </x:c>
    </x:row>
    <x:row r="1928" ht="46" customHeight="1">
      <x:c r="A1928" s="2" t="str">
        <x:v>TEN-350D5C6F5255</x:v>
      </x:c>
      <x:c r="B1928" s="12" t="str">
        <x:v>Exium India Pvt.Ltd</x:v>
      </x:c>
      <x:c r="C1928" s="12" t="str">
        <x:v>CORP-0046</x:v>
      </x:c>
      <x:c r="D1928" s="12" t="str">
        <x:v>Bengaluru</x:v>
      </x:c>
      <x:c r="E1928" s="12" t="str">
        <x:v>Golden Square</x:v>
      </x:c>
      <x:c r="F1928" s="12" t="str">
        <x:v>32 inch LED TV</x:v>
      </x:c>
      <x:c r="G1928" s="20" t="n">
        <x:v>1</x:v>
      </x:c>
      <x:c r="H1928" s="12" t="str">
        <x:v>Inventory-listed building/workspace context; current occupancy and screen access unverified</x:v>
      </x:c>
      <x:c r="I1928" s="12" t="str">
        <x:v>Small-scale prospects</x:v>
      </x:c>
      <x:c r="J1928" s="12" t="str">
        <x:v>IT &amp; digital</x:v>
      </x:c>
      <x:c r="K1928" s="2" t="str">
        <x:v>MAIN-050</x:v>
      </x:c>
    </x:row>
    <x:row r="1929" ht="46" customHeight="1">
      <x:c r="A1929" s="2" t="str">
        <x:v>TEN-4DD0879CF20C</x:v>
      </x:c>
      <x:c r="B1929" s="12" t="str">
        <x:v>Liberated Enterprise Creators LLp</x:v>
      </x:c>
      <x:c r="C1929" s="12" t="str">
        <x:v>CORP-0046</x:v>
      </x:c>
      <x:c r="D1929" s="12" t="str">
        <x:v>Bengaluru</x:v>
      </x:c>
      <x:c r="E1929" s="12" t="str">
        <x:v>Golden Square</x:v>
      </x:c>
      <x:c r="F1929" s="12" t="str">
        <x:v>32 inch LED TV</x:v>
      </x:c>
      <x:c r="G1929" s="20" t="n">
        <x:v>1</x:v>
      </x:c>
      <x:c r="H1929" s="12" t="str">
        <x:v>Inventory-listed building/workspace context; current occupancy and screen access unverified</x:v>
      </x:c>
      <x:c r="I1929" s="12" t="str">
        <x:v>Mixed business audience</x:v>
      </x:c>
      <x:c r="J1929" s="12" t="str">
        <x:v>Unresolved</x:v>
      </x:c>
      <x:c r="K1929" s="2" t="str">
        <x:v>MAIN-050</x:v>
      </x:c>
    </x:row>
    <x:row r="1930" ht="46" customHeight="1">
      <x:c r="A1930" s="2" t="str">
        <x:v>TEN-5CBF5F7BE7A6</x:v>
      </x:c>
      <x:c r="B1930" s="12" t="str">
        <x:v>Foscher Pvt.Ltd</x:v>
      </x:c>
      <x:c r="C1930" s="12" t="str">
        <x:v>CORP-0046</x:v>
      </x:c>
      <x:c r="D1930" s="12" t="str">
        <x:v>Bengaluru</x:v>
      </x:c>
      <x:c r="E1930" s="12" t="str">
        <x:v>Golden Square</x:v>
      </x:c>
      <x:c r="F1930" s="12" t="str">
        <x:v>32 inch LED TV</x:v>
      </x:c>
      <x:c r="G1930" s="20" t="n">
        <x:v>1</x:v>
      </x:c>
      <x:c r="H1930" s="12" t="str">
        <x:v>Inventory-listed building/workspace context; current occupancy and screen access unverified</x:v>
      </x:c>
      <x:c r="I1930" s="12" t="str">
        <x:v>Mixed business audience</x:v>
      </x:c>
      <x:c r="J1930" s="12" t="str">
        <x:v>Unresolved</x:v>
      </x:c>
      <x:c r="K1930" s="2" t="str">
        <x:v>MAIN-050</x:v>
      </x:c>
    </x:row>
    <x:row r="1931" ht="46" customHeight="1">
      <x:c r="A1931" s="2" t="str">
        <x:v>TEN-84B3A38783C4</x:v>
      </x:c>
      <x:c r="B1931" s="12" t="str">
        <x:v>Biomartt Exports Private Limited</x:v>
      </x:c>
      <x:c r="C1931" s="12" t="str">
        <x:v>CORP-0046</x:v>
      </x:c>
      <x:c r="D1931" s="12" t="str">
        <x:v>Bengaluru</x:v>
      </x:c>
      <x:c r="E1931" s="12" t="str">
        <x:v>Golden Square</x:v>
      </x:c>
      <x:c r="F1931" s="12" t="str">
        <x:v>32 inch LED TV</x:v>
      </x:c>
      <x:c r="G1931" s="20" t="n">
        <x:v>1</x:v>
      </x:c>
      <x:c r="H1931" s="12" t="str">
        <x:v>Inventory-listed building/workspace context; current occupancy and screen access unverified</x:v>
      </x:c>
      <x:c r="I1931" s="12" t="str">
        <x:v>Small-scale prospects</x:v>
      </x:c>
      <x:c r="J1931" s="12" t="str">
        <x:v>Trade, consumer &amp; logistics</x:v>
      </x:c>
      <x:c r="K1931" s="2" t="str">
        <x:v>MAIN-050</x:v>
      </x:c>
    </x:row>
    <x:row r="1932" ht="46" customHeight="1">
      <x:c r="A1932" s="2" t="str">
        <x:v>TEN-872F9565D946</x:v>
      </x:c>
      <x:c r="B1932" s="12" t="str">
        <x:v>Kyro-SAAS Technologies Pvt.Ltd</x:v>
      </x:c>
      <x:c r="C1932" s="12" t="str">
        <x:v>CORP-0046</x:v>
      </x:c>
      <x:c r="D1932" s="12" t="str">
        <x:v>Bengaluru</x:v>
      </x:c>
      <x:c r="E1932" s="12" t="str">
        <x:v>Golden Square</x:v>
      </x:c>
      <x:c r="F1932" s="12" t="str">
        <x:v>32 inch LED TV</x:v>
      </x:c>
      <x:c r="G1932" s="20" t="n">
        <x:v>1</x:v>
      </x:c>
      <x:c r="H1932" s="12" t="str">
        <x:v>Inventory-listed building/workspace context; current occupancy and screen access unverified</x:v>
      </x:c>
      <x:c r="I1932" s="12" t="str">
        <x:v>Small-scale prospects</x:v>
      </x:c>
      <x:c r="J1932" s="12" t="str">
        <x:v>IT &amp; digital</x:v>
      </x:c>
      <x:c r="K1932" s="2" t="str">
        <x:v>MAIN-050</x:v>
      </x:c>
    </x:row>
    <x:row r="1933" ht="46" customHeight="1">
      <x:c r="A1933" s="2" t="str">
        <x:v>TEN-95D77927F473</x:v>
      </x:c>
      <x:c r="B1933" s="12" t="str">
        <x:v>L7 Informatics India Pvt.Ltd</x:v>
      </x:c>
      <x:c r="C1933" s="12" t="str">
        <x:v>CORP-0046</x:v>
      </x:c>
      <x:c r="D1933" s="12" t="str">
        <x:v>Bengaluru</x:v>
      </x:c>
      <x:c r="E1933" s="12" t="str">
        <x:v>Golden Square</x:v>
      </x:c>
      <x:c r="F1933" s="12" t="str">
        <x:v>32 inch LED TV</x:v>
      </x:c>
      <x:c r="G1933" s="20" t="n">
        <x:v>1</x:v>
      </x:c>
      <x:c r="H1933" s="12" t="str">
        <x:v>Inventory-listed building/workspace context; current occupancy and screen access unverified</x:v>
      </x:c>
      <x:c r="I1933" s="12" t="str">
        <x:v>Small-scale prospects</x:v>
      </x:c>
      <x:c r="J1933" s="12" t="str">
        <x:v>IT &amp; digital</x:v>
      </x:c>
      <x:c r="K1933" s="2" t="str">
        <x:v>MAIN-050</x:v>
      </x:c>
    </x:row>
    <x:row r="1934" ht="46" customHeight="1">
      <x:c r="A1934" s="2" t="str">
        <x:v>TEN-9B4FBAB33228</x:v>
      </x:c>
      <x:c r="B1934" s="12" t="str">
        <x:v>Network Advantage LLP</x:v>
      </x:c>
      <x:c r="C1934" s="12" t="str">
        <x:v>CORP-0046</x:v>
      </x:c>
      <x:c r="D1934" s="12" t="str">
        <x:v>Bengaluru</x:v>
      </x:c>
      <x:c r="E1934" s="12" t="str">
        <x:v>Golden Square</x:v>
      </x:c>
      <x:c r="F1934" s="12" t="str">
        <x:v>32 inch LED TV</x:v>
      </x:c>
      <x:c r="G1934" s="20" t="n">
        <x:v>1</x:v>
      </x:c>
      <x:c r="H1934" s="12" t="str">
        <x:v>Inventory-listed building/workspace context; current occupancy and screen access unverified</x:v>
      </x:c>
      <x:c r="I1934" s="12" t="str">
        <x:v>Small-scale prospects</x:v>
      </x:c>
      <x:c r="J1934" s="12" t="str">
        <x:v>IT &amp; digital</x:v>
      </x:c>
      <x:c r="K1934" s="2" t="str">
        <x:v>MAIN-050</x:v>
      </x:c>
    </x:row>
    <x:row r="1935" ht="46" customHeight="1">
      <x:c r="A1935" s="2" t="str">
        <x:v>TEN-A9FCC2041375</x:v>
      </x:c>
      <x:c r="B1935" s="12" t="str">
        <x:v>Neuroglee Therapeutics India Pvt.Ltd</x:v>
      </x:c>
      <x:c r="C1935" s="12" t="str">
        <x:v>CORP-0046</x:v>
      </x:c>
      <x:c r="D1935" s="12" t="str">
        <x:v>Bengaluru</x:v>
      </x:c>
      <x:c r="E1935" s="12" t="str">
        <x:v>Golden Square</x:v>
      </x:c>
      <x:c r="F1935" s="12" t="str">
        <x:v>32 inch LED TV</x:v>
      </x:c>
      <x:c r="G1935" s="20" t="n">
        <x:v>1</x:v>
      </x:c>
      <x:c r="H1935" s="12" t="str">
        <x:v>Inventory-listed building/workspace context; current occupancy and screen access unverified</x:v>
      </x:c>
      <x:c r="I1935" s="12" t="str">
        <x:v>Medium-scale prospects</x:v>
      </x:c>
      <x:c r="J1935" s="12" t="str">
        <x:v>Healthcare &amp; life sciences</x:v>
      </x:c>
      <x:c r="K1935" s="2" t="str">
        <x:v>MAIN-050</x:v>
      </x:c>
    </x:row>
    <x:row r="1936" ht="46" customHeight="1">
      <x:c r="A1936" s="2" t="str">
        <x:v>TEN-AA2312B42CA4</x:v>
      </x:c>
      <x:c r="B1936" s="12" t="str">
        <x:v>Techthota agritech Private Limite</x:v>
      </x:c>
      <x:c r="C1936" s="12" t="str">
        <x:v>CORP-0046</x:v>
      </x:c>
      <x:c r="D1936" s="12" t="str">
        <x:v>Bengaluru</x:v>
      </x:c>
      <x:c r="E1936" s="12" t="str">
        <x:v>Golden Square</x:v>
      </x:c>
      <x:c r="F1936" s="12" t="str">
        <x:v>32 inch LED TV</x:v>
      </x:c>
      <x:c r="G1936" s="20" t="n">
        <x:v>1</x:v>
      </x:c>
      <x:c r="H1936" s="12" t="str">
        <x:v>Inventory-listed building/workspace context; current occupancy and screen access unverified</x:v>
      </x:c>
      <x:c r="I1936" s="12" t="str">
        <x:v>Mixed business audience</x:v>
      </x:c>
      <x:c r="J1936" s="12" t="str">
        <x:v>Unresolved</x:v>
      </x:c>
      <x:c r="K1936" s="2" t="str">
        <x:v>MAIN-050</x:v>
      </x:c>
    </x:row>
    <x:row r="1937" ht="46" customHeight="1">
      <x:c r="A1937" s="2" t="str">
        <x:v>TEN-E5E162DE2CA1</x:v>
      </x:c>
      <x:c r="B1937" s="12" t="str">
        <x:v>MediaMath India Pvt.Ltd</x:v>
      </x:c>
      <x:c r="C1937" s="12" t="str">
        <x:v>CORP-0046</x:v>
      </x:c>
      <x:c r="D1937" s="12" t="str">
        <x:v>Bengaluru</x:v>
      </x:c>
      <x:c r="E1937" s="12" t="str">
        <x:v>Golden Square</x:v>
      </x:c>
      <x:c r="F1937" s="12" t="str">
        <x:v>32 inch LED TV</x:v>
      </x:c>
      <x:c r="G1937" s="20" t="n">
        <x:v>1</x:v>
      </x:c>
      <x:c r="H1937" s="12" t="str">
        <x:v>Inventory-listed building/workspace context; current occupancy and screen access unverified</x:v>
      </x:c>
      <x:c r="I1937" s="12" t="str">
        <x:v>Mixed business audience</x:v>
      </x:c>
      <x:c r="J1937" s="12" t="str">
        <x:v>Trade, consumer &amp; logistics</x:v>
      </x:c>
      <x:c r="K1937" s="2" t="str">
        <x:v>MAIN-050</x:v>
      </x:c>
    </x:row>
    <x:row r="1938" ht="46" customHeight="1">
      <x:c r="A1938" s="2" t="str">
        <x:v>TEN-E63F4ABE40AA</x:v>
      </x:c>
      <x:c r="B1938" s="12" t="str">
        <x:v>YojakaPvt.Ltd</x:v>
      </x:c>
      <x:c r="C1938" s="12" t="str">
        <x:v>CORP-0046</x:v>
      </x:c>
      <x:c r="D1938" s="12" t="str">
        <x:v>Bengaluru</x:v>
      </x:c>
      <x:c r="E1938" s="12" t="str">
        <x:v>Golden Square</x:v>
      </x:c>
      <x:c r="F1938" s="12" t="str">
        <x:v>32 inch LED TV</x:v>
      </x:c>
      <x:c r="G1938" s="20" t="n">
        <x:v>1</x:v>
      </x:c>
      <x:c r="H1938" s="12" t="str">
        <x:v>Inventory-listed building/workspace context; current occupancy and screen access unverified</x:v>
      </x:c>
      <x:c r="I1938" s="12" t="str">
        <x:v>Mixed business audience</x:v>
      </x:c>
      <x:c r="J1938" s="12" t="str">
        <x:v>Unresolved</x:v>
      </x:c>
      <x:c r="K1938" s="2" t="str">
        <x:v>MAIN-050</x:v>
      </x:c>
    </x:row>
    <x:row r="1939" ht="46" customHeight="1">
      <x:c r="A1939" s="2" t="str">
        <x:v>TEN-023FA99679B2</x:v>
      </x:c>
      <x:c r="B1939" s="12" t="str">
        <x:v>2gether</x:v>
      </x:c>
      <x:c r="C1939" s="12" t="str">
        <x:v>CORP-0048</x:v>
      </x:c>
      <x:c r="D1939" s="12" t="str">
        <x:v>Bengaluru</x:v>
      </x:c>
      <x:c r="E1939" s="12" t="str">
        <x:v>Mantri Commercio</x:v>
      </x:c>
      <x:c r="F1939" s="12" t="str">
        <x:v>32 inch LED TV</x:v>
      </x:c>
      <x:c r="G1939" s="20" t="n">
        <x:v>18</x:v>
      </x:c>
      <x:c r="H1939" s="12" t="str">
        <x:v>Inventory-listed building/workspace context; current occupancy and screen access unverified</x:v>
      </x:c>
      <x:c r="I1939" s="12" t="str">
        <x:v>Mixed business audience</x:v>
      </x:c>
      <x:c r="J1939" s="12" t="str">
        <x:v>Unresolved</x:v>
      </x:c>
      <x:c r="K1939" s="2" t="str">
        <x:v>MAIN-052</x:v>
      </x:c>
    </x:row>
    <x:row r="1940" ht="46" customHeight="1">
      <x:c r="A1940" s="2" t="str">
        <x:v>TEN-071009974983</x:v>
      </x:c>
      <x:c r="B1940" s="12" t="str">
        <x:v>Blue Yonder</x:v>
      </x:c>
      <x:c r="C1940" s="12" t="str">
        <x:v>CORP-0048</x:v>
      </x:c>
      <x:c r="D1940" s="12" t="str">
        <x:v>Bengaluru</x:v>
      </x:c>
      <x:c r="E1940" s="12" t="str">
        <x:v>Mantri Commercio</x:v>
      </x:c>
      <x:c r="F1940" s="12" t="str">
        <x:v>32 inch LED TV</x:v>
      </x:c>
      <x:c r="G1940" s="20" t="n">
        <x:v>18</x:v>
      </x:c>
      <x:c r="H1940" s="12" t="str">
        <x:v>Inventory-listed building/workspace context; current occupancy and screen access unverified</x:v>
      </x:c>
      <x:c r="I1940" s="12" t="str">
        <x:v>Large enterprise</x:v>
      </x:c>
      <x:c r="J1940" s="12" t="str">
        <x:v>IT &amp; digital</x:v>
      </x:c>
      <x:c r="K1940" s="2" t="str">
        <x:v>MAIN-052</x:v>
      </x:c>
    </x:row>
    <x:row r="1941" ht="46" customHeight="1">
      <x:c r="A1941" s="2" t="str">
        <x:v>TEN-BB424F07FC73</x:v>
      </x:c>
      <x:c r="B1941" s="12" t="str">
        <x:v>Analog Devices</x:v>
      </x:c>
      <x:c r="C1941" s="12" t="str">
        <x:v>CORP-0048</x:v>
      </x:c>
      <x:c r="D1941" s="12" t="str">
        <x:v>Bengaluru</x:v>
      </x:c>
      <x:c r="E1941" s="12" t="str">
        <x:v>Mantri Commercio</x:v>
      </x:c>
      <x:c r="F1941" s="12" t="str">
        <x:v>32 inch LED TV</x:v>
      </x:c>
      <x:c r="G1941" s="20" t="n">
        <x:v>18</x:v>
      </x:c>
      <x:c r="H1941" s="12" t="str">
        <x:v>Inventory-listed building/workspace context; current occupancy and screen access unverified</x:v>
      </x:c>
      <x:c r="I1941" s="12" t="str">
        <x:v>Large enterprise</x:v>
      </x:c>
      <x:c r="J1941" s="12" t="str">
        <x:v>Engineering &amp; manufacturing</x:v>
      </x:c>
      <x:c r="K1941" s="2" t="str">
        <x:v>MAIN-052</x:v>
      </x:c>
    </x:row>
    <x:row r="1942" ht="46" customHeight="1">
      <x:c r="A1942" s="2" t="str">
        <x:v>TEN-CF08FCCD9D8B</x:v>
      </x:c>
      <x:c r="B1942" s="12" t="str">
        <x:v>Diligent</x:v>
      </x:c>
      <x:c r="C1942" s="12" t="str">
        <x:v>CORP-0048</x:v>
      </x:c>
      <x:c r="D1942" s="12" t="str">
        <x:v>Bengaluru</x:v>
      </x:c>
      <x:c r="E1942" s="12" t="str">
        <x:v>Mantri Commercio</x:v>
      </x:c>
      <x:c r="F1942" s="12" t="str">
        <x:v>32 inch LED TV</x:v>
      </x:c>
      <x:c r="G1942" s="20" t="n">
        <x:v>18</x:v>
      </x:c>
      <x:c r="H1942" s="12" t="str">
        <x:v>Inventory-listed building/workspace context; current occupancy and screen access unverified</x:v>
      </x:c>
      <x:c r="I1942" s="12" t="str">
        <x:v>Large enterprise</x:v>
      </x:c>
      <x:c r="J1942" s="12" t="str">
        <x:v>IT &amp; digital</x:v>
      </x:c>
      <x:c r="K1942" s="2" t="str">
        <x:v>MAIN-052</x:v>
      </x:c>
    </x:row>
    <x:row r="1943" ht="46" customHeight="1">
      <x:c r="A1943" s="2" t="str">
        <x:v>TEN-3C994B7C46CE</x:v>
      </x:c>
      <x:c r="B1943" s="12" t="str">
        <x:v>Canara Bank-General Branch</x:v>
      </x:c>
      <x:c r="C1943" s="12" t="str">
        <x:v>CORP-0049</x:v>
      </x:c>
      <x:c r="D1943" s="12" t="str">
        <x:v>Bengaluru</x:v>
      </x:c>
      <x:c r="E1943" s="12" t="str">
        <x:v>Maruthi Mansion</x:v>
      </x:c>
      <x:c r="F1943" s="12" t="str">
        <x:v>32 inch LED TV</x:v>
      </x:c>
      <x:c r="G1943" s="20" t="n">
        <x:v>4</x:v>
      </x:c>
      <x:c r="H1943" s="12" t="str">
        <x:v>Inventory-listed building/workspace context; current occupancy and screen access unverified</x:v>
      </x:c>
      <x:c r="I1943" s="12" t="str">
        <x:v>Large enterprise</x:v>
      </x:c>
      <x:c r="J1943" s="12" t="str">
        <x:v>Finance &amp; insurance</x:v>
      </x:c>
      <x:c r="K1943" s="2" t="str">
        <x:v>MAIN-053</x:v>
      </x:c>
    </x:row>
    <x:row r="1944" ht="46" customHeight="1">
      <x:c r="A1944" s="2" t="str">
        <x:v>TEN-94E4888B30AD</x:v>
      </x:c>
      <x:c r="B1944" s="12" t="str">
        <x:v>Kukkr Bangalore</x:v>
      </x:c>
      <x:c r="C1944" s="12" t="str">
        <x:v>CORP-0049</x:v>
      </x:c>
      <x:c r="D1944" s="12" t="str">
        <x:v>Bengaluru</x:v>
      </x:c>
      <x:c r="E1944" s="12" t="str">
        <x:v>Maruthi Mansion</x:v>
      </x:c>
      <x:c r="F1944" s="12" t="str">
        <x:v>32 inch LED TV</x:v>
      </x:c>
      <x:c r="G1944" s="20" t="n">
        <x:v>4</x:v>
      </x:c>
      <x:c r="H1944" s="12" t="str">
        <x:v>Inventory-listed building/workspace context; current occupancy and screen access unverified</x:v>
      </x:c>
      <x:c r="I1944" s="12" t="str">
        <x:v>Mixed business audience</x:v>
      </x:c>
      <x:c r="J1944" s="12" t="str">
        <x:v>Unresolved</x:v>
      </x:c>
      <x:c r="K1944" s="2" t="str">
        <x:v>MAIN-053</x:v>
      </x:c>
    </x:row>
    <x:row r="1945" ht="46" customHeight="1">
      <x:c r="A1945" s="2" t="str">
        <x:v>TEN-D8AA00083F8E</x:v>
      </x:c>
      <x:c r="B1945" s="12" t="str">
        <x:v>Page Point Services India Pvt Ltd</x:v>
      </x:c>
      <x:c r="C1945" s="12" t="str">
        <x:v>CORP-0049</x:v>
      </x:c>
      <x:c r="D1945" s="12" t="str">
        <x:v>Bengaluru</x:v>
      </x:c>
      <x:c r="E1945" s="12" t="str">
        <x:v>Maruthi Mansion</x:v>
      </x:c>
      <x:c r="F1945" s="12" t="str">
        <x:v>32 inch LED TV</x:v>
      </x:c>
      <x:c r="G1945" s="20" t="n">
        <x:v>4</x:v>
      </x:c>
      <x:c r="H1945" s="12" t="str">
        <x:v>Inventory-listed building/workspace context; current occupancy and screen access unverified</x:v>
      </x:c>
      <x:c r="I1945" s="12" t="str">
        <x:v>Mixed business audience</x:v>
      </x:c>
      <x:c r="J1945" s="12" t="str">
        <x:v>Unresolved</x:v>
      </x:c>
      <x:c r="K1945" s="2" t="str">
        <x:v>MAIN-053</x:v>
      </x:c>
    </x:row>
    <x:row r="1946" ht="46" customHeight="1">
      <x:c r="A1946" s="2" t="str">
        <x:v>TEN-29F13F64AB10</x:v>
      </x:c>
      <x:c r="B1946" s="12" t="str">
        <x:v>Eurofins IT Solutions Pvt Limited</x:v>
      </x:c>
      <x:c r="C1946" s="12" t="str">
        <x:v>CORP-0050</x:v>
      </x:c>
      <x:c r="D1946" s="12" t="str">
        <x:v>Bengaluru</x:v>
      </x:c>
      <x:c r="E1946" s="12" t="str">
        <x:v>Maruthi Platinum</x:v>
      </x:c>
      <x:c r="F1946" s="12" t="str">
        <x:v>32 inch LED TV</x:v>
      </x:c>
      <x:c r="G1946" s="20" t="n">
        <x:v>19</x:v>
      </x:c>
      <x:c r="H1946" s="12" t="str">
        <x:v>Inventory-listed building/workspace context; current occupancy and screen access unverified</x:v>
      </x:c>
      <x:c r="I1946" s="12" t="str">
        <x:v>Mixed business audience</x:v>
      </x:c>
      <x:c r="J1946" s="12" t="str">
        <x:v>IT &amp; digital</x:v>
      </x:c>
      <x:c r="K1946" s="2" t="str">
        <x:v>MAIN-054</x:v>
      </x:c>
    </x:row>
    <x:row r="1947" ht="46" customHeight="1">
      <x:c r="A1947" s="2" t="str">
        <x:v>TEN-391E3B1AA5D2</x:v>
      </x:c>
      <x:c r="B1947" s="12" t="str">
        <x:v>CIPHOR</x:v>
      </x:c>
      <x:c r="C1947" s="12" t="str">
        <x:v>CORP-0050</x:v>
      </x:c>
      <x:c r="D1947" s="12" t="str">
        <x:v>Bengaluru</x:v>
      </x:c>
      <x:c r="E1947" s="12" t="str">
        <x:v>Maruthi Platinum</x:v>
      </x:c>
      <x:c r="F1947" s="12" t="str">
        <x:v>32 inch LED TV</x:v>
      </x:c>
      <x:c r="G1947" s="20" t="n">
        <x:v>19</x:v>
      </x:c>
      <x:c r="H1947" s="12" t="str">
        <x:v>Inventory-listed building/workspace context; current occupancy and screen access unverified</x:v>
      </x:c>
      <x:c r="I1947" s="12" t="str">
        <x:v>Small-scale prospects</x:v>
      </x:c>
      <x:c r="J1947" s="12" t="str">
        <x:v>IT &amp; digital</x:v>
      </x:c>
      <x:c r="K1947" s="2" t="str">
        <x:v>MAIN-054</x:v>
      </x:c>
    </x:row>
    <x:row r="1948" ht="46" customHeight="1">
      <x:c r="A1948" s="2" t="str">
        <x:v>TEN-65326AA32AB9</x:v>
      </x:c>
      <x:c r="B1948" s="12" t="str">
        <x:v>State Bank of India</x:v>
      </x:c>
      <x:c r="C1948" s="12" t="str">
        <x:v>CORP-0050</x:v>
      </x:c>
      <x:c r="D1948" s="12" t="str">
        <x:v>Bengaluru</x:v>
      </x:c>
      <x:c r="E1948" s="12" t="str">
        <x:v>Maruthi Platinum</x:v>
      </x:c>
      <x:c r="F1948" s="12" t="str">
        <x:v>32 inch LED TV</x:v>
      </x:c>
      <x:c r="G1948" s="20" t="n">
        <x:v>19</x:v>
      </x:c>
      <x:c r="H1948" s="12" t="str">
        <x:v>Inventory-listed building/workspace context; current occupancy and screen access unverified</x:v>
      </x:c>
      <x:c r="I1948" s="12" t="str">
        <x:v>Large enterprise</x:v>
      </x:c>
      <x:c r="J1948" s="12" t="str">
        <x:v>Finance &amp; insurance</x:v>
      </x:c>
      <x:c r="K1948" s="2" t="str">
        <x:v>MAIN-054</x:v>
      </x:c>
    </x:row>
    <x:row r="1949" ht="46" customHeight="1">
      <x:c r="A1949" s="2" t="str">
        <x:v>TEN-0A5D7E2C01FC</x:v>
      </x:c>
      <x:c r="B1949" s="12" t="str">
        <x:v>CRS Info Solutions Salesforce Training Course</x:v>
      </x:c>
      <x:c r="C1949" s="12" t="str">
        <x:v>CORP-0051</x:v>
      </x:c>
      <x:c r="D1949" s="12" t="str">
        <x:v>Bengaluru</x:v>
      </x:c>
      <x:c r="E1949" s="12" t="str">
        <x:v>Novel Offices - MSR Novel</x:v>
      </x:c>
      <x:c r="F1949" s="12" t="str">
        <x:v>32 inch LED TV</x:v>
      </x:c>
      <x:c r="G1949" s="20" t="n">
        <x:v>2</x:v>
      </x:c>
      <x:c r="H1949" s="12" t="str">
        <x:v>Inventory-listed building/workspace context; current occupancy and screen access unverified</x:v>
      </x:c>
      <x:c r="I1949" s="12" t="str">
        <x:v>Small-scale prospects</x:v>
      </x:c>
      <x:c r="J1949" s="12" t="str">
        <x:v>Education</x:v>
      </x:c>
      <x:c r="K1949" s="2" t="str">
        <x:v>MAIN-MSRY7ANC</x:v>
      </x:c>
    </x:row>
    <x:row r="1950" ht="46" customHeight="1">
      <x:c r="A1950" s="2" t="str">
        <x:v>TEN-4EEAB8193C3F</x:v>
      </x:c>
      <x:c r="B1950" s="12" t="str">
        <x:v>Concentric AI</x:v>
      </x:c>
      <x:c r="C1950" s="12" t="str">
        <x:v>CORP-0051</x:v>
      </x:c>
      <x:c r="D1950" s="12" t="str">
        <x:v>Bengaluru</x:v>
      </x:c>
      <x:c r="E1950" s="12" t="str">
        <x:v>Novel Offices - MSR Novel</x:v>
      </x:c>
      <x:c r="F1950" s="12" t="str">
        <x:v>32 inch LED TV</x:v>
      </x:c>
      <x:c r="G1950" s="20" t="n">
        <x:v>2</x:v>
      </x:c>
      <x:c r="H1950" s="12" t="str">
        <x:v>Inventory-listed building/workspace context; current occupancy and screen access unverified</x:v>
      </x:c>
      <x:c r="I1950" s="12" t="str">
        <x:v>Small-scale prospects</x:v>
      </x:c>
      <x:c r="J1950" s="12" t="str">
        <x:v>IT &amp; digital</x:v>
      </x:c>
      <x:c r="K1950" s="2" t="str">
        <x:v>MAIN-MSRY7ANC</x:v>
      </x:c>
    </x:row>
    <x:row r="1951" ht="46" customHeight="1">
      <x:c r="A1951" s="2" t="str">
        <x:v>TEN-9A5A957FDC10</x:v>
      </x:c>
      <x:c r="B1951" s="12" t="str">
        <x:v>Pragathi Solutions</x:v>
      </x:c>
      <x:c r="C1951" s="12" t="str">
        <x:v>CORP-0051</x:v>
      </x:c>
      <x:c r="D1951" s="12" t="str">
        <x:v>Bengaluru</x:v>
      </x:c>
      <x:c r="E1951" s="12" t="str">
        <x:v>Novel Offices - MSR Novel</x:v>
      </x:c>
      <x:c r="F1951" s="12" t="str">
        <x:v>32 inch LED TV</x:v>
      </x:c>
      <x:c r="G1951" s="20" t="n">
        <x:v>2</x:v>
      </x:c>
      <x:c r="H1951" s="12" t="str">
        <x:v>Inventory-listed building/workspace context; current occupancy and screen access unverified</x:v>
      </x:c>
      <x:c r="I1951" s="12" t="str">
        <x:v>Mixed business audience</x:v>
      </x:c>
      <x:c r="J1951" s="12" t="str">
        <x:v>Unresolved</x:v>
      </x:c>
      <x:c r="K1951" s="2" t="str">
        <x:v>MAIN-MSRY7ANC</x:v>
      </x:c>
    </x:row>
    <x:row r="1952" ht="46" customHeight="1">
      <x:c r="A1952" s="2" t="str">
        <x:v>TEN-9B3AF305EFBE</x:v>
      </x:c>
      <x:c r="B1952" s="12" t="str">
        <x:v>Bhima Jewellers</x:v>
      </x:c>
      <x:c r="C1952" s="12" t="str">
        <x:v>CORP-0051</x:v>
      </x:c>
      <x:c r="D1952" s="12" t="str">
        <x:v>Bengaluru</x:v>
      </x:c>
      <x:c r="E1952" s="12" t="str">
        <x:v>Novel Offices - MSR Novel</x:v>
      </x:c>
      <x:c r="F1952" s="12" t="str">
        <x:v>32 inch LED TV</x:v>
      </x:c>
      <x:c r="G1952" s="20" t="n">
        <x:v>2</x:v>
      </x:c>
      <x:c r="H1952" s="12" t="str">
        <x:v>Inventory-listed building/workspace context; current occupancy and screen access unverified</x:v>
      </x:c>
      <x:c r="I1952" s="12" t="str">
        <x:v>Mixed business audience</x:v>
      </x:c>
      <x:c r="J1952" s="12" t="str">
        <x:v>Trade, consumer &amp; logistics</x:v>
      </x:c>
      <x:c r="K1952" s="2" t="str">
        <x:v>MAIN-MSRY7ANC</x:v>
      </x:c>
    </x:row>
    <x:row r="1953" ht="46" customHeight="1">
      <x:c r="A1953" s="2" t="str">
        <x:v>TEN-0A5D7E2C01FC</x:v>
      </x:c>
      <x:c r="B1953" s="12" t="str">
        <x:v>CRS Info Solutions Salesforce Training Course</x:v>
      </x:c>
      <x:c r="C1953" s="12" t="str">
        <x:v>CORP-0052</x:v>
      </x:c>
      <x:c r="D1953" s="12" t="str">
        <x:v>Bengaluru</x:v>
      </x:c>
      <x:c r="E1953" s="12" t="str">
        <x:v>Novel Offices - MSR Novel</x:v>
      </x:c>
      <x:c r="F1953" s="12" t="str">
        <x:v>43 inch LED TV</x:v>
      </x:c>
      <x:c r="G1953" s="20" t="n">
        <x:v>4</x:v>
      </x:c>
      <x:c r="H1953" s="12" t="str">
        <x:v>Inventory-listed building/workspace context; current occupancy and screen access unverified</x:v>
      </x:c>
      <x:c r="I1953" s="12" t="str">
        <x:v>Small-scale prospects</x:v>
      </x:c>
      <x:c r="J1953" s="12" t="str">
        <x:v>Education</x:v>
      </x:c>
      <x:c r="K1953" s="2" t="str">
        <x:v>MAIN-MSRY7ANC</x:v>
      </x:c>
    </x:row>
    <x:row r="1954" ht="46" customHeight="1">
      <x:c r="A1954" s="2" t="str">
        <x:v>TEN-4EEAB8193C3F</x:v>
      </x:c>
      <x:c r="B1954" s="12" t="str">
        <x:v>Concentric AI</x:v>
      </x:c>
      <x:c r="C1954" s="12" t="str">
        <x:v>CORP-0052</x:v>
      </x:c>
      <x:c r="D1954" s="12" t="str">
        <x:v>Bengaluru</x:v>
      </x:c>
      <x:c r="E1954" s="12" t="str">
        <x:v>Novel Offices - MSR Novel</x:v>
      </x:c>
      <x:c r="F1954" s="12" t="str">
        <x:v>43 inch LED TV</x:v>
      </x:c>
      <x:c r="G1954" s="20" t="n">
        <x:v>4</x:v>
      </x:c>
      <x:c r="H1954" s="12" t="str">
        <x:v>Inventory-listed building/workspace context; current occupancy and screen access unverified</x:v>
      </x:c>
      <x:c r="I1954" s="12" t="str">
        <x:v>Small-scale prospects</x:v>
      </x:c>
      <x:c r="J1954" s="12" t="str">
        <x:v>IT &amp; digital</x:v>
      </x:c>
      <x:c r="K1954" s="2" t="str">
        <x:v>MAIN-MSRY7ANC</x:v>
      </x:c>
    </x:row>
    <x:row r="1955" ht="46" customHeight="1">
      <x:c r="A1955" s="2" t="str">
        <x:v>TEN-9A5A957FDC10</x:v>
      </x:c>
      <x:c r="B1955" s="12" t="str">
        <x:v>Pragathi Solutions</x:v>
      </x:c>
      <x:c r="C1955" s="12" t="str">
        <x:v>CORP-0052</x:v>
      </x:c>
      <x:c r="D1955" s="12" t="str">
        <x:v>Bengaluru</x:v>
      </x:c>
      <x:c r="E1955" s="12" t="str">
        <x:v>Novel Offices - MSR Novel</x:v>
      </x:c>
      <x:c r="F1955" s="12" t="str">
        <x:v>43 inch LED TV</x:v>
      </x:c>
      <x:c r="G1955" s="20" t="n">
        <x:v>4</x:v>
      </x:c>
      <x:c r="H1955" s="12" t="str">
        <x:v>Inventory-listed building/workspace context; current occupancy and screen access unverified</x:v>
      </x:c>
      <x:c r="I1955" s="12" t="str">
        <x:v>Mixed business audience</x:v>
      </x:c>
      <x:c r="J1955" s="12" t="str">
        <x:v>Unresolved</x:v>
      </x:c>
      <x:c r="K1955" s="2" t="str">
        <x:v>MAIN-MSRY7ANC</x:v>
      </x:c>
    </x:row>
    <x:row r="1956" ht="46" customHeight="1">
      <x:c r="A1956" s="2" t="str">
        <x:v>TEN-9B3AF305EFBE</x:v>
      </x:c>
      <x:c r="B1956" s="12" t="str">
        <x:v>Bhima Jewellers</x:v>
      </x:c>
      <x:c r="C1956" s="12" t="str">
        <x:v>CORP-0052</x:v>
      </x:c>
      <x:c r="D1956" s="12" t="str">
        <x:v>Bengaluru</x:v>
      </x:c>
      <x:c r="E1956" s="12" t="str">
        <x:v>Novel Offices - MSR Novel</x:v>
      </x:c>
      <x:c r="F1956" s="12" t="str">
        <x:v>43 inch LED TV</x:v>
      </x:c>
      <x:c r="G1956" s="20" t="n">
        <x:v>4</x:v>
      </x:c>
      <x:c r="H1956" s="12" t="str">
        <x:v>Inventory-listed building/workspace context; current occupancy and screen access unverified</x:v>
      </x:c>
      <x:c r="I1956" s="12" t="str">
        <x:v>Mixed business audience</x:v>
      </x:c>
      <x:c r="J1956" s="12" t="str">
        <x:v>Trade, consumer &amp; logistics</x:v>
      </x:c>
      <x:c r="K1956" s="2" t="str">
        <x:v>MAIN-MSRY7ANC</x:v>
      </x:c>
    </x:row>
    <x:row r="1957" ht="46" customHeight="1">
      <x:c r="A1957" s="2" t="str">
        <x:v>TEN-CBDE5EAC5F77</x:v>
      </x:c>
      <x:c r="B1957" s="12" t="str">
        <x:v>Novel Offices</x:v>
      </x:c>
      <x:c r="C1957" s="12" t="str">
        <x:v>CORP-0053</x:v>
      </x:c>
      <x:c r="D1957" s="12" t="str">
        <x:v>Bengaluru</x:v>
      </x:c>
      <x:c r="E1957" s="12" t="str">
        <x:v>Novel Offices - Queens Road</x:v>
      </x:c>
      <x:c r="F1957" s="12" t="str">
        <x:v>32 inch LED TV</x:v>
      </x:c>
      <x:c r="G1957" s="20" t="n">
        <x:v>3</x:v>
      </x:c>
      <x:c r="H1957" s="12" t="str">
        <x:v>Workspace operator inferred from explicit property name; tenant occupants unconfirmed</x:v>
      </x:c>
      <x:c r="I1957" s="12" t="str">
        <x:v>Mixed business audience</x:v>
      </x:c>
      <x:c r="J1957" s="12" t="str">
        <x:v>Workspace &amp; property operations</x:v>
      </x:c>
      <x:c r="K1957" s="2" t="str">
        <x:v>MAIN-057</x:v>
      </x:c>
    </x:row>
    <x:row r="1958" ht="46" customHeight="1">
      <x:c r="A1958" s="2" t="str">
        <x:v>TEN-CBDE5EAC5F77</x:v>
      </x:c>
      <x:c r="B1958" s="12" t="str">
        <x:v>Novel Offices</x:v>
      </x:c>
      <x:c r="C1958" s="12" t="str">
        <x:v>CORP-0054</x:v>
      </x:c>
      <x:c r="D1958" s="12" t="str">
        <x:v>Bengaluru</x:v>
      </x:c>
      <x:c r="E1958" s="12" t="str">
        <x:v>Novel Offices - WorkHub</x:v>
      </x:c>
      <x:c r="F1958" s="12" t="str">
        <x:v>43 inch LED TV</x:v>
      </x:c>
      <x:c r="G1958" s="20" t="n">
        <x:v>4</x:v>
      </x:c>
      <x:c r="H1958" s="12" t="str">
        <x:v>Workspace operator inferred from explicit property name; tenant occupants unconfirmed</x:v>
      </x:c>
      <x:c r="I1958" s="12" t="str">
        <x:v>Mixed business audience</x:v>
      </x:c>
      <x:c r="J1958" s="12" t="str">
        <x:v>Workspace &amp; property operations</x:v>
      </x:c>
      <x:c r="K1958" s="2" t="str">
        <x:v>MAIN-058</x:v>
      </x:c>
    </x:row>
    <x:row r="1959" ht="46" customHeight="1">
      <x:c r="A1959" s="2" t="str">
        <x:v>TEN-04F202FBF5EA</x:v>
      </x:c>
      <x:c r="B1959" s="12" t="str">
        <x:v>Technosoft India Pvt Ltd</x:v>
      </x:c>
      <x:c r="C1959" s="12" t="str">
        <x:v>CORP-0055</x:v>
      </x:c>
      <x:c r="D1959" s="12" t="str">
        <x:v>Bengaluru</x:v>
      </x:c>
      <x:c r="E1959" s="12" t="str">
        <x:v>Novel Tech Park</x:v>
      </x:c>
      <x:c r="F1959" s="12" t="str">
        <x:v>32 inch LED TV</x:v>
      </x:c>
      <x:c r="G1959" s="20" t="n">
        <x:v>8</x:v>
      </x:c>
      <x:c r="H1959" s="12" t="str">
        <x:v>Inventory-listed building/workspace context; current occupancy and screen access unverified</x:v>
      </x:c>
      <x:c r="I1959" s="12" t="str">
        <x:v>Small-scale prospects</x:v>
      </x:c>
      <x:c r="J1959" s="12" t="str">
        <x:v>IT &amp; digital</x:v>
      </x:c>
      <x:c r="K1959" s="2" t="str">
        <x:v>MAIN-059</x:v>
      </x:c>
    </x:row>
    <x:row r="1960" ht="46" customHeight="1">
      <x:c r="A1960" s="2" t="str">
        <x:v>TEN-142E170DC497</x:v>
      </x:c>
      <x:c r="B1960" s="12" t="str">
        <x:v>Tek Hummingbird Pvt Ltd</x:v>
      </x:c>
      <x:c r="C1960" s="12" t="str">
        <x:v>CORP-0055</x:v>
      </x:c>
      <x:c r="D1960" s="12" t="str">
        <x:v>Bengaluru</x:v>
      </x:c>
      <x:c r="E1960" s="12" t="str">
        <x:v>Novel Tech Park</x:v>
      </x:c>
      <x:c r="F1960" s="12" t="str">
        <x:v>32 inch LED TV</x:v>
      </x:c>
      <x:c r="G1960" s="20" t="n">
        <x:v>8</x:v>
      </x:c>
      <x:c r="H1960" s="12" t="str">
        <x:v>Inventory-listed building/workspace context; current occupancy and screen access unverified</x:v>
      </x:c>
      <x:c r="I1960" s="12" t="str">
        <x:v>Mixed business audience</x:v>
      </x:c>
      <x:c r="J1960" s="12" t="str">
        <x:v>Unresolved</x:v>
      </x:c>
      <x:c r="K1960" s="2" t="str">
        <x:v>MAIN-059</x:v>
      </x:c>
    </x:row>
    <x:row r="1961" ht="46" customHeight="1">
      <x:c r="A1961" s="2" t="str">
        <x:v>TEN-2A6BCCCC6FFB</x:v>
      </x:c>
      <x:c r="B1961" s="12" t="str">
        <x:v>Intelenet Global zservices Pvt Ltd</x:v>
      </x:c>
      <x:c r="C1961" s="12" t="str">
        <x:v>CORP-0055</x:v>
      </x:c>
      <x:c r="D1961" s="12" t="str">
        <x:v>Bengaluru</x:v>
      </x:c>
      <x:c r="E1961" s="12" t="str">
        <x:v>Novel Tech Park</x:v>
      </x:c>
      <x:c r="F1961" s="12" t="str">
        <x:v>32 inch LED TV</x:v>
      </x:c>
      <x:c r="G1961" s="20" t="n">
        <x:v>8</x:v>
      </x:c>
      <x:c r="H1961" s="12" t="str">
        <x:v>Inventory-listed building/workspace context; current occupancy and screen access unverified</x:v>
      </x:c>
      <x:c r="I1961" s="12" t="str">
        <x:v>Mixed business audience</x:v>
      </x:c>
      <x:c r="J1961" s="12" t="str">
        <x:v>IT &amp; digital</x:v>
      </x:c>
      <x:c r="K1961" s="2" t="str">
        <x:v>MAIN-059</x:v>
      </x:c>
    </x:row>
    <x:row r="1962" ht="46" customHeight="1">
      <x:c r="A1962" s="2" t="str">
        <x:v>TEN-65A73EFC76E1</x:v>
      </x:c>
      <x:c r="B1962" s="12" t="str">
        <x:v>Madhupushpa HR Consultancy</x:v>
      </x:c>
      <x:c r="C1962" s="12" t="str">
        <x:v>CORP-0055</x:v>
      </x:c>
      <x:c r="D1962" s="12" t="str">
        <x:v>Bengaluru</x:v>
      </x:c>
      <x:c r="E1962" s="12" t="str">
        <x:v>Novel Tech Park</x:v>
      </x:c>
      <x:c r="F1962" s="12" t="str">
        <x:v>32 inch LED TV</x:v>
      </x:c>
      <x:c r="G1962" s="20" t="n">
        <x:v>8</x:v>
      </x:c>
      <x:c r="H1962" s="12" t="str">
        <x:v>Inventory-listed building/workspace context; current occupancy and screen access unverified</x:v>
      </x:c>
      <x:c r="I1962" s="12" t="str">
        <x:v>Small-scale prospects</x:v>
      </x:c>
      <x:c r="J1962" s="12" t="str">
        <x:v>Professional services</x:v>
      </x:c>
      <x:c r="K1962" s="2" t="str">
        <x:v>MAIN-059</x:v>
      </x:c>
    </x:row>
    <x:row r="1963" ht="46" customHeight="1">
      <x:c r="A1963" s="2" t="str">
        <x:v>TEN-7390097A224B</x:v>
      </x:c>
      <x:c r="B1963" s="12" t="str">
        <x:v>Ultrafastchargers</x:v>
      </x:c>
      <x:c r="C1963" s="12" t="str">
        <x:v>CORP-0055</x:v>
      </x:c>
      <x:c r="D1963" s="12" t="str">
        <x:v>Bengaluru</x:v>
      </x:c>
      <x:c r="E1963" s="12" t="str">
        <x:v>Novel Tech Park</x:v>
      </x:c>
      <x:c r="F1963" s="12" t="str">
        <x:v>32 inch LED TV</x:v>
      </x:c>
      <x:c r="G1963" s="20" t="n">
        <x:v>8</x:v>
      </x:c>
      <x:c r="H1963" s="12" t="str">
        <x:v>Inventory-listed building/workspace context; current occupancy and screen access unverified</x:v>
      </x:c>
      <x:c r="I1963" s="12" t="str">
        <x:v>Medium-scale prospects</x:v>
      </x:c>
      <x:c r="J1963" s="12" t="str">
        <x:v>Engineering &amp; manufacturing</x:v>
      </x:c>
      <x:c r="K1963" s="2" t="str">
        <x:v>MAIN-059</x:v>
      </x:c>
    </x:row>
    <x:row r="1964" ht="46" customHeight="1">
      <x:c r="A1964" s="2" t="str">
        <x:v>TEN-7F563D349816</x:v>
      </x:c>
      <x:c r="B1964" s="12" t="str">
        <x:v>InfraStack Labs Technologies Pvt Ltd</x:v>
      </x:c>
      <x:c r="C1964" s="12" t="str">
        <x:v>CORP-0055</x:v>
      </x:c>
      <x:c r="D1964" s="12" t="str">
        <x:v>Bengaluru</x:v>
      </x:c>
      <x:c r="E1964" s="12" t="str">
        <x:v>Novel Tech Park</x:v>
      </x:c>
      <x:c r="F1964" s="12" t="str">
        <x:v>32 inch LED TV</x:v>
      </x:c>
      <x:c r="G1964" s="20" t="n">
        <x:v>8</x:v>
      </x:c>
      <x:c r="H1964" s="12" t="str">
        <x:v>Inventory-listed building/workspace context; current occupancy and screen access unverified</x:v>
      </x:c>
      <x:c r="I1964" s="12" t="str">
        <x:v>Small-scale prospects</x:v>
      </x:c>
      <x:c r="J1964" s="12" t="str">
        <x:v>IT &amp; digital</x:v>
      </x:c>
      <x:c r="K1964" s="2" t="str">
        <x:v>MAIN-059</x:v>
      </x:c>
    </x:row>
    <x:row r="1965" ht="46" customHeight="1">
      <x:c r="A1965" s="2" t="str">
        <x:v>TEN-8DA2C436460E</x:v>
      </x:c>
      <x:c r="B1965" s="12" t="str">
        <x:v>Gymoryx</x:v>
      </x:c>
      <x:c r="C1965" s="12" t="str">
        <x:v>CORP-0055</x:v>
      </x:c>
      <x:c r="D1965" s="12" t="str">
        <x:v>Bengaluru</x:v>
      </x:c>
      <x:c r="E1965" s="12" t="str">
        <x:v>Novel Tech Park</x:v>
      </x:c>
      <x:c r="F1965" s="12" t="str">
        <x:v>32 inch LED TV</x:v>
      </x:c>
      <x:c r="G1965" s="20" t="n">
        <x:v>8</x:v>
      </x:c>
      <x:c r="H1965" s="12" t="str">
        <x:v>Inventory-listed building/workspace context; current occupancy and screen access unverified</x:v>
      </x:c>
      <x:c r="I1965" s="12" t="str">
        <x:v>Small-scale prospects</x:v>
      </x:c>
      <x:c r="J1965" s="12" t="str">
        <x:v>Healthcare &amp; life sciences</x:v>
      </x:c>
      <x:c r="K1965" s="2" t="str">
        <x:v>MAIN-059</x:v>
      </x:c>
    </x:row>
    <x:row r="1966" ht="46" customHeight="1">
      <x:c r="A1966" s="2" t="str">
        <x:v>TEN-9EC6F680C0E5</x:v>
      </x:c>
      <x:c r="B1966" s="12" t="str">
        <x:v>Sathya Technosoft India Pvt Ltd</x:v>
      </x:c>
      <x:c r="C1966" s="12" t="str">
        <x:v>CORP-0055</x:v>
      </x:c>
      <x:c r="D1966" s="12" t="str">
        <x:v>Bengaluru</x:v>
      </x:c>
      <x:c r="E1966" s="12" t="str">
        <x:v>Novel Tech Park</x:v>
      </x:c>
      <x:c r="F1966" s="12" t="str">
        <x:v>32 inch LED TV</x:v>
      </x:c>
      <x:c r="G1966" s="20" t="n">
        <x:v>8</x:v>
      </x:c>
      <x:c r="H1966" s="12" t="str">
        <x:v>Inventory-listed building/workspace context; current occupancy and screen access unverified</x:v>
      </x:c>
      <x:c r="I1966" s="12" t="str">
        <x:v>Small-scale prospects</x:v>
      </x:c>
      <x:c r="J1966" s="12" t="str">
        <x:v>IT &amp; digital</x:v>
      </x:c>
      <x:c r="K1966" s="2" t="str">
        <x:v>MAIN-059</x:v>
      </x:c>
    </x:row>
    <x:row r="1967" ht="46" customHeight="1">
      <x:c r="A1967" s="2" t="str">
        <x:v>TEN-AEB35762B6A7</x:v>
      </x:c>
      <x:c r="B1967" s="12" t="str">
        <x:v>Valuesoft Info Services</x:v>
      </x:c>
      <x:c r="C1967" s="12" t="str">
        <x:v>CORP-0055</x:v>
      </x:c>
      <x:c r="D1967" s="12" t="str">
        <x:v>Bengaluru</x:v>
      </x:c>
      <x:c r="E1967" s="12" t="str">
        <x:v>Novel Tech Park</x:v>
      </x:c>
      <x:c r="F1967" s="12" t="str">
        <x:v>32 inch LED TV</x:v>
      </x:c>
      <x:c r="G1967" s="20" t="n">
        <x:v>8</x:v>
      </x:c>
      <x:c r="H1967" s="12" t="str">
        <x:v>Inventory-listed building/workspace context; current occupancy and screen access unverified</x:v>
      </x:c>
      <x:c r="I1967" s="12" t="str">
        <x:v>Mixed business audience</x:v>
      </x:c>
      <x:c r="J1967" s="12" t="str">
        <x:v>Unresolved</x:v>
      </x:c>
      <x:c r="K1967" s="2" t="str">
        <x:v>MAIN-059</x:v>
      </x:c>
    </x:row>
    <x:row r="1968" ht="46" customHeight="1">
      <x:c r="A1968" s="2" t="str">
        <x:v>TEN-B4CCCBDBA7EA</x:v>
      </x:c>
      <x:c r="B1968" s="12" t="str">
        <x:v>Synergic Software</x:v>
      </x:c>
      <x:c r="C1968" s="12" t="str">
        <x:v>CORP-0055</x:v>
      </x:c>
      <x:c r="D1968" s="12" t="str">
        <x:v>Bengaluru</x:v>
      </x:c>
      <x:c r="E1968" s="12" t="str">
        <x:v>Novel Tech Park</x:v>
      </x:c>
      <x:c r="F1968" s="12" t="str">
        <x:v>32 inch LED TV</x:v>
      </x:c>
      <x:c r="G1968" s="20" t="n">
        <x:v>8</x:v>
      </x:c>
      <x:c r="H1968" s="12" t="str">
        <x:v>Inventory-listed building/workspace context; current occupancy and screen access unverified</x:v>
      </x:c>
      <x:c r="I1968" s="12" t="str">
        <x:v>Small-scale prospects</x:v>
      </x:c>
      <x:c r="J1968" s="12" t="str">
        <x:v>IT &amp; digital</x:v>
      </x:c>
      <x:c r="K1968" s="2" t="str">
        <x:v>MAIN-059</x:v>
      </x:c>
    </x:row>
    <x:row r="1969" ht="46" customHeight="1">
      <x:c r="A1969" s="2" t="str">
        <x:v>TEN-E47B93135ACE</x:v>
      </x:c>
      <x:c r="B1969" s="12" t="str">
        <x:v>S{PS Global Apostile Services</x:v>
      </x:c>
      <x:c r="C1969" s="12" t="str">
        <x:v>CORP-0055</x:v>
      </x:c>
      <x:c r="D1969" s="12" t="str">
        <x:v>Bengaluru</x:v>
      </x:c>
      <x:c r="E1969" s="12" t="str">
        <x:v>Novel Tech Park</x:v>
      </x:c>
      <x:c r="F1969" s="12" t="str">
        <x:v>32 inch LED TV</x:v>
      </x:c>
      <x:c r="G1969" s="20" t="n">
        <x:v>8</x:v>
      </x:c>
      <x:c r="H1969" s="12" t="str">
        <x:v>Inventory-listed building/workspace context; current occupancy and screen access unverified</x:v>
      </x:c>
      <x:c r="I1969" s="12" t="str">
        <x:v>Mixed business audience</x:v>
      </x:c>
      <x:c r="J1969" s="12" t="str">
        <x:v>Unresolved</x:v>
      </x:c>
      <x:c r="K1969" s="2" t="str">
        <x:v>MAIN-059</x:v>
      </x:c>
    </x:row>
    <x:row r="1970" ht="46" customHeight="1">
      <x:c r="A1970" s="2" t="str">
        <x:v>TEN-E2460C5B469B</x:v>
      </x:c>
      <x:c r="B1970" s="12" t="str">
        <x:v>Raytex IT Services</x:v>
      </x:c>
      <x:c r="C1970" s="12" t="str">
        <x:v>CORP-0002</x:v>
      </x:c>
      <x:c r="D1970" s="12" t="str">
        <x:v>Ahmedabad</x:v>
      </x:c>
      <x:c r="E1970" s="12" t="str">
        <x:v>Awfis - RE11</x:v>
      </x:c>
      <x:c r="F1970" s="12" t="str">
        <x:v>32 inch LED TV</x:v>
      </x:c>
      <x:c r="G1970" s="20" t="n">
        <x:v>1</x:v>
      </x:c>
      <x:c r="H1970" s="12" t="str">
        <x:v>Inventory-listed building/workspace context; current occupancy and screen access unverified</x:v>
      </x:c>
      <x:c r="I1970" s="12" t="str">
        <x:v>Small-scale prospects</x:v>
      </x:c>
      <x:c r="J1970" s="12" t="str">
        <x:v>IT &amp; digital</x:v>
      </x:c>
      <x:c r="K1970" s="2" t="str">
        <x:v>MAIN-006</x:v>
      </x:c>
    </x:row>
    <x:row r="1971" ht="46" customHeight="1">
      <x:c r="A1971" s="2" t="str">
        <x:v>TEN-E730D0261178</x:v>
      </x:c>
      <x:c r="B1971" s="12" t="str">
        <x:v>Aura Toddlers</x:v>
      </x:c>
      <x:c r="C1971" s="12" t="str">
        <x:v>CORP-0002</x:v>
      </x:c>
      <x:c r="D1971" s="12" t="str">
        <x:v>Ahmedabad</x:v>
      </x:c>
      <x:c r="E1971" s="12" t="str">
        <x:v>Awfis - RE11</x:v>
      </x:c>
      <x:c r="F1971" s="12" t="str">
        <x:v>32 inch LED TV</x:v>
      </x:c>
      <x:c r="G1971" s="20" t="n">
        <x:v>1</x:v>
      </x:c>
      <x:c r="H1971" s="12" t="str">
        <x:v>Inventory-listed building/workspace context; current occupancy and screen access unverified</x:v>
      </x:c>
      <x:c r="I1971" s="12" t="str">
        <x:v>Micro-scale prospects</x:v>
      </x:c>
      <x:c r="J1971" s="12" t="str">
        <x:v>Education</x:v>
      </x:c>
      <x:c r="K1971" s="2" t="str">
        <x:v>MAIN-006</x:v>
      </x:c>
    </x:row>
    <x:row r="1972" ht="46" customHeight="1">
      <x:c r="A1972" s="2" t="str">
        <x:v>TEN-943C3EEB252D</x:v>
      </x:c>
      <x:c r="B1972" s="12" t="str">
        <x:v>walmart</x:v>
      </x:c>
      <x:c r="C1972" s="12" t="str">
        <x:v>CORP-0056</x:v>
      </x:c>
      <x:c r="D1972" s="12" t="str">
        <x:v>Bengaluru</x:v>
      </x:c>
      <x:c r="E1972" s="12" t="str">
        <x:v>Nucleus - Cessna Business Park</x:v>
      </x:c>
      <x:c r="F1972" s="12" t="str">
        <x:v>55 inch LED TV</x:v>
      </x:c>
      <x:c r="G1972" s="20" t="n">
        <x:v>6</x:v>
      </x:c>
      <x:c r="H1972" s="12" t="str">
        <x:v>Inventory-listed building/workspace context; current occupancy and screen access unverified</x:v>
      </x:c>
      <x:c r="I1972" s="12" t="str">
        <x:v>Mixed business audience</x:v>
      </x:c>
      <x:c r="J1972" s="12" t="str">
        <x:v>Trade, consumer &amp; logistics</x:v>
      </x:c>
      <x:c r="K1972" s="2" t="str">
        <x:v>MAIN-060</x:v>
      </x:c>
    </x:row>
    <x:row r="1973" ht="46" customHeight="1">
      <x:c r="A1973" s="2" t="str">
        <x:v>TEN-B91BF0E0084F</x:v>
      </x:c>
      <x:c r="B1973" s="12" t="str">
        <x:v>cargill</x:v>
      </x:c>
      <x:c r="C1973" s="12" t="str">
        <x:v>CORP-0056</x:v>
      </x:c>
      <x:c r="D1973" s="12" t="str">
        <x:v>Bengaluru</x:v>
      </x:c>
      <x:c r="E1973" s="12" t="str">
        <x:v>Nucleus - Cessna Business Park</x:v>
      </x:c>
      <x:c r="F1973" s="12" t="str">
        <x:v>55 inch LED TV</x:v>
      </x:c>
      <x:c r="G1973" s="20" t="n">
        <x:v>6</x:v>
      </x:c>
      <x:c r="H1973" s="12" t="str">
        <x:v>Inventory-listed building/workspace context; current occupancy and screen access unverified</x:v>
      </x:c>
      <x:c r="I1973" s="12" t="str">
        <x:v>Mixed business audience</x:v>
      </x:c>
      <x:c r="J1973" s="12" t="str">
        <x:v>Trade, consumer &amp; logistics</x:v>
      </x:c>
      <x:c r="K1973" s="2" t="str">
        <x:v>MAIN-060</x:v>
      </x:c>
    </x:row>
    <x:row r="1974" ht="46" customHeight="1">
      <x:c r="A1974" s="2" t="str">
        <x:v>TEN-D297BBA735FE</x:v>
      </x:c>
      <x:c r="B1974" s="12" t="str">
        <x:v>iTroni Technology</x:v>
      </x:c>
      <x:c r="C1974" s="12" t="str">
        <x:v>CORP-0056</x:v>
      </x:c>
      <x:c r="D1974" s="12" t="str">
        <x:v>Bengaluru</x:v>
      </x:c>
      <x:c r="E1974" s="12" t="str">
        <x:v>Nucleus - Cessna Business Park</x:v>
      </x:c>
      <x:c r="F1974" s="12" t="str">
        <x:v>55 inch LED TV</x:v>
      </x:c>
      <x:c r="G1974" s="20" t="n">
        <x:v>6</x:v>
      </x:c>
      <x:c r="H1974" s="12" t="str">
        <x:v>Inventory-listed building/workspace context; current occupancy and screen access unverified</x:v>
      </x:c>
      <x:c r="I1974" s="12" t="str">
        <x:v>Mixed business audience</x:v>
      </x:c>
      <x:c r="J1974" s="12" t="str">
        <x:v>Unresolved</x:v>
      </x:c>
      <x:c r="K1974" s="2" t="str">
        <x:v>MAIN-060</x:v>
      </x:c>
    </x:row>
    <x:row r="1975" ht="46" customHeight="1">
      <x:c r="A1975" s="2" t="str">
        <x:v>TEN-E73B79A0B10F</x:v>
      </x:c>
      <x:c r="B1975" s="12" t="str">
        <x:v>Cisco</x:v>
      </x:c>
      <x:c r="C1975" s="12" t="str">
        <x:v>CORP-0056</x:v>
      </x:c>
      <x:c r="D1975" s="12" t="str">
        <x:v>Bengaluru</x:v>
      </x:c>
      <x:c r="E1975" s="12" t="str">
        <x:v>Nucleus - Cessna Business Park</x:v>
      </x:c>
      <x:c r="F1975" s="12" t="str">
        <x:v>55 inch LED TV</x:v>
      </x:c>
      <x:c r="G1975" s="20" t="n">
        <x:v>6</x:v>
      </x:c>
      <x:c r="H1975" s="12" t="str">
        <x:v>Inventory-listed building/workspace context; current occupancy and screen access unverified</x:v>
      </x:c>
      <x:c r="I1975" s="12" t="str">
        <x:v>Large enterprise</x:v>
      </x:c>
      <x:c r="J1975" s="12" t="str">
        <x:v>IT &amp; digital</x:v>
      </x:c>
      <x:c r="K1975" s="2" t="str">
        <x:v>MAIN-060</x:v>
      </x:c>
    </x:row>
    <x:row r="1976" ht="46" customHeight="1">
      <x:c r="A1976" s="2" t="str">
        <x:v>TEN-F43D0727CFB6</x:v>
      </x:c>
      <x:c r="B1976" s="12" t="str">
        <x:v>HDFC Bank</x:v>
      </x:c>
      <x:c r="C1976" s="12" t="str">
        <x:v>CORP-0056</x:v>
      </x:c>
      <x:c r="D1976" s="12" t="str">
        <x:v>Bengaluru</x:v>
      </x:c>
      <x:c r="E1976" s="12" t="str">
        <x:v>Nucleus - Cessna Business Park</x:v>
      </x:c>
      <x:c r="F1976" s="12" t="str">
        <x:v>55 inch LED TV</x:v>
      </x:c>
      <x:c r="G1976" s="20" t="n">
        <x:v>6</x:v>
      </x:c>
      <x:c r="H1976" s="12" t="str">
        <x:v>Inventory-listed building/workspace context; current occupancy and screen access unverified</x:v>
      </x:c>
      <x:c r="I1976" s="12" t="str">
        <x:v>Large enterprise</x:v>
      </x:c>
      <x:c r="J1976" s="12" t="str">
        <x:v>Finance &amp; insurance</x:v>
      </x:c>
      <x:c r="K1976" s="2" t="str">
        <x:v>MAIN-060</x:v>
      </x:c>
    </x:row>
    <x:row r="1977" ht="46" customHeight="1">
      <x:c r="A1977" s="2" t="str">
        <x:v>TEN-F55A85B2F2EB</x:v>
      </x:c>
      <x:c r="B1977" s="12" t="str">
        <x:v>Capgemini</x:v>
      </x:c>
      <x:c r="C1977" s="12" t="str">
        <x:v>CORP-0056</x:v>
      </x:c>
      <x:c r="D1977" s="12" t="str">
        <x:v>Bengaluru</x:v>
      </x:c>
      <x:c r="E1977" s="12" t="str">
        <x:v>Nucleus - Cessna Business Park</x:v>
      </x:c>
      <x:c r="F1977" s="12" t="str">
        <x:v>55 inch LED TV</x:v>
      </x:c>
      <x:c r="G1977" s="20" t="n">
        <x:v>6</x:v>
      </x:c>
      <x:c r="H1977" s="12" t="str">
        <x:v>Inventory-listed building/workspace context; current occupancy and screen access unverified</x:v>
      </x:c>
      <x:c r="I1977" s="12" t="str">
        <x:v>Large enterprise</x:v>
      </x:c>
      <x:c r="J1977" s="12" t="str">
        <x:v>IT &amp; digital</x:v>
      </x:c>
      <x:c r="K1977" s="2" t="str">
        <x:v>MAIN-060</x:v>
      </x:c>
    </x:row>
    <x:row r="1978" ht="46" customHeight="1">
      <x:c r="A1978" s="2" t="str">
        <x:v>TEN-1AAF3025033C</x:v>
      </x:c>
      <x:c r="B1978" s="12" t="str">
        <x:v>Amadeus</x:v>
      </x:c>
      <x:c r="C1978" s="12" t="str">
        <x:v>CORP-0058</x:v>
      </x:c>
      <x:c r="D1978" s="12" t="str">
        <x:v>Bengaluru</x:v>
      </x:c>
      <x:c r="E1978" s="12" t="str">
        <x:v>Nucleus - Exora Business Park</x:v>
      </x:c>
      <x:c r="F1978" s="12" t="str">
        <x:v>55 inch LED TV</x:v>
      </x:c>
      <x:c r="G1978" s="20" t="n">
        <x:v>5</x:v>
      </x:c>
      <x:c r="H1978" s="12" t="str">
        <x:v>Campus/portfolio roster; individual building occupancy unverified</x:v>
      </x:c>
      <x:c r="I1978" s="12" t="str">
        <x:v>Large enterprise</x:v>
      </x:c>
      <x:c r="J1978" s="12" t="str">
        <x:v>IT &amp; digital</x:v>
      </x:c>
      <x:c r="K1978" s="2" t="str">
        <x:v>MAIN-062</x:v>
      </x:c>
    </x:row>
    <x:row r="1979" ht="46" customHeight="1">
      <x:c r="A1979" s="2" t="str">
        <x:v>TEN-28CBC5A35638</x:v>
      </x:c>
      <x:c r="B1979" s="12" t="str">
        <x:v>Juniper Networks</x:v>
      </x:c>
      <x:c r="C1979" s="12" t="str">
        <x:v>CORP-0058</x:v>
      </x:c>
      <x:c r="D1979" s="12" t="str">
        <x:v>Bengaluru</x:v>
      </x:c>
      <x:c r="E1979" s="12" t="str">
        <x:v>Nucleus - Exora Business Park</x:v>
      </x:c>
      <x:c r="F1979" s="12" t="str">
        <x:v>55 inch LED TV</x:v>
      </x:c>
      <x:c r="G1979" s="20" t="n">
        <x:v>5</x:v>
      </x:c>
      <x:c r="H1979" s="12" t="str">
        <x:v>Campus/portfolio roster; individual building occupancy unverified</x:v>
      </x:c>
      <x:c r="I1979" s="12" t="str">
        <x:v>Large enterprise</x:v>
      </x:c>
      <x:c r="J1979" s="12" t="str">
        <x:v>IT &amp; digital</x:v>
      </x:c>
      <x:c r="K1979" s="2" t="str">
        <x:v>MAIN-062</x:v>
      </x:c>
    </x:row>
    <x:row r="1980" ht="46" customHeight="1">
      <x:c r="A1980" s="2" t="str">
        <x:v>TEN-BC00765320D0</x:v>
      </x:c>
      <x:c r="B1980" s="12" t="str">
        <x:v>Guidewire Software Solutions Pvt Ltd</x:v>
      </x:c>
      <x:c r="C1980" s="12" t="str">
        <x:v>CORP-0058</x:v>
      </x:c>
      <x:c r="D1980" s="12" t="str">
        <x:v>Bengaluru</x:v>
      </x:c>
      <x:c r="E1980" s="12" t="str">
        <x:v>Nucleus - Exora Business Park</x:v>
      </x:c>
      <x:c r="F1980" s="12" t="str">
        <x:v>55 inch LED TV</x:v>
      </x:c>
      <x:c r="G1980" s="20" t="n">
        <x:v>5</x:v>
      </x:c>
      <x:c r="H1980" s="12" t="str">
        <x:v>Campus/portfolio roster; individual building occupancy unverified</x:v>
      </x:c>
      <x:c r="I1980" s="12" t="str">
        <x:v>Large enterprise</x:v>
      </x:c>
      <x:c r="J1980" s="12" t="str">
        <x:v>IT &amp; digital</x:v>
      </x:c>
      <x:c r="K1980" s="2" t="str">
        <x:v>MAIN-062</x:v>
      </x:c>
    </x:row>
    <x:row r="1981" ht="46" customHeight="1">
      <x:c r="A1981" s="2" t="str">
        <x:v>TEN-CC1BF7890031</x:v>
      </x:c>
      <x:c r="B1981" s="12" t="str">
        <x:v>Bosch Global Software Technologies</x:v>
      </x:c>
      <x:c r="C1981" s="12" t="str">
        <x:v>CORP-0058</x:v>
      </x:c>
      <x:c r="D1981" s="12" t="str">
        <x:v>Bengaluru</x:v>
      </x:c>
      <x:c r="E1981" s="12" t="str">
        <x:v>Nucleus - Exora Business Park</x:v>
      </x:c>
      <x:c r="F1981" s="12" t="str">
        <x:v>55 inch LED TV</x:v>
      </x:c>
      <x:c r="G1981" s="20" t="n">
        <x:v>5</x:v>
      </x:c>
      <x:c r="H1981" s="12" t="str">
        <x:v>Campus/portfolio roster; individual building occupancy unverified</x:v>
      </x:c>
      <x:c r="I1981" s="12" t="str">
        <x:v>Large enterprise</x:v>
      </x:c>
      <x:c r="J1981" s="12" t="str">
        <x:v>Engineering &amp; manufacturing</x:v>
      </x:c>
      <x:c r="K1981" s="2" t="str">
        <x:v>MAIN-062</x:v>
      </x:c>
    </x:row>
    <x:row r="1982" ht="46" customHeight="1">
      <x:c r="A1982" s="2" t="str">
        <x:v>TEN-DFAD7388CC62</x:v>
      </x:c>
      <x:c r="B1982" s="12" t="str">
        <x:v>Juniper India Toastmasters Club</x:v>
      </x:c>
      <x:c r="C1982" s="12" t="str">
        <x:v>CORP-0058</x:v>
      </x:c>
      <x:c r="D1982" s="12" t="str">
        <x:v>Bengaluru</x:v>
      </x:c>
      <x:c r="E1982" s="12" t="str">
        <x:v>Nucleus - Exora Business Park</x:v>
      </x:c>
      <x:c r="F1982" s="12" t="str">
        <x:v>55 inch LED TV</x:v>
      </x:c>
      <x:c r="G1982" s="20" t="n">
        <x:v>5</x:v>
      </x:c>
      <x:c r="H1982" s="12" t="str">
        <x:v>Campus/portfolio roster; individual building occupancy unverified</x:v>
      </x:c>
      <x:c r="I1982" s="12" t="str">
        <x:v>Institutional</x:v>
      </x:c>
      <x:c r="J1982" s="12" t="str">
        <x:v>Government &amp; nonprofit</x:v>
      </x:c>
      <x:c r="K1982" s="2" t="str">
        <x:v>MAIN-062</x:v>
      </x:c>
    </x:row>
    <x:row r="1983" ht="46" customHeight="1">
      <x:c r="A1983" s="2" t="str">
        <x:v>TEN-ECB57128BCE9</x:v>
      </x:c>
      <x:c r="B1983" s="12" t="str">
        <x:v>HM Prasanth Cpmapny Pvt Ltd</x:v>
      </x:c>
      <x:c r="C1983" s="12" t="str">
        <x:v>CORP-0058</x:v>
      </x:c>
      <x:c r="D1983" s="12" t="str">
        <x:v>Bengaluru</x:v>
      </x:c>
      <x:c r="E1983" s="12" t="str">
        <x:v>Nucleus - Exora Business Park</x:v>
      </x:c>
      <x:c r="F1983" s="12" t="str">
        <x:v>55 inch LED TV</x:v>
      </x:c>
      <x:c r="G1983" s="20" t="n">
        <x:v>5</x:v>
      </x:c>
      <x:c r="H1983" s="12" t="str">
        <x:v>Campus/portfolio roster; individual building occupancy unverified</x:v>
      </x:c>
      <x:c r="I1983" s="12" t="str">
        <x:v>Mixed business audience</x:v>
      </x:c>
      <x:c r="J1983" s="12" t="str">
        <x:v>Unresolved</x:v>
      </x:c>
      <x:c r="K1983" s="2" t="str">
        <x:v>MAIN-062</x:v>
      </x:c>
    </x:row>
    <x:row r="1984" ht="46" customHeight="1">
      <x:c r="A1984" s="2" t="str">
        <x:v>TEN-15DD2ABC35D5</x:v>
      </x:c>
      <x:c r="B1984" s="12" t="str">
        <x:v>ABCO</x:v>
      </x:c>
      <x:c r="C1984" s="12" t="str">
        <x:v>CORP-0059</x:v>
      </x:c>
      <x:c r="D1984" s="12" t="str">
        <x:v>Bengaluru</x:v>
      </x:c>
      <x:c r="E1984" s="12" t="str">
        <x:v>Nucleus - Prestige One Trade Tower</x:v>
      </x:c>
      <x:c r="F1984" s="12" t="str">
        <x:v>55 inch LED TV</x:v>
      </x:c>
      <x:c r="G1984" s="20" t="n">
        <x:v>2</x:v>
      </x:c>
      <x:c r="H1984" s="12" t="str">
        <x:v>Inventory-listed building/workspace context; current occupancy and screen access unverified</x:v>
      </x:c>
      <x:c r="I1984" s="12" t="str">
        <x:v>Mixed business audience</x:v>
      </x:c>
      <x:c r="J1984" s="12" t="str">
        <x:v>Unresolved</x:v>
      </x:c>
      <x:c r="K1984" s="2" t="str">
        <x:v>MAIN-063</x:v>
      </x:c>
    </x:row>
    <x:row r="1985" ht="46" customHeight="1">
      <x:c r="A1985" s="2" t="str">
        <x:v>TEN-3821E9F1FF90</x:v>
      </x:c>
      <x:c r="B1985" s="12" t="str">
        <x:v>The Executive Centre</x:v>
      </x:c>
      <x:c r="C1985" s="12" t="str">
        <x:v>CORP-0059</x:v>
      </x:c>
      <x:c r="D1985" s="12" t="str">
        <x:v>Bengaluru</x:v>
      </x:c>
      <x:c r="E1985" s="12" t="str">
        <x:v>Nucleus - Prestige One Trade Tower</x:v>
      </x:c>
      <x:c r="F1985" s="12" t="str">
        <x:v>55 inch LED TV</x:v>
      </x:c>
      <x:c r="G1985" s="20" t="n">
        <x:v>2</x:v>
      </x:c>
      <x:c r="H1985" s="12" t="str">
        <x:v>Inventory-listed building/workspace context; current occupancy and screen access unverified</x:v>
      </x:c>
      <x:c r="I1985" s="12" t="str">
        <x:v>Mixed business audience</x:v>
      </x:c>
      <x:c r="J1985" s="12" t="str">
        <x:v>Workspace &amp; property operations</x:v>
      </x:c>
      <x:c r="K1985" s="2" t="str">
        <x:v>MAIN-063</x:v>
      </x:c>
    </x:row>
    <x:row r="1986" ht="46" customHeight="1">
      <x:c r="A1986" s="2" t="str">
        <x:v>TEN-3DC171281801</x:v>
      </x:c>
      <x:c r="B1986" s="12" t="str">
        <x:v>AMD India Pvt.Ltd</x:v>
      </x:c>
      <x:c r="C1986" s="12" t="str">
        <x:v>CORP-0059</x:v>
      </x:c>
      <x:c r="D1986" s="12" t="str">
        <x:v>Bengaluru</x:v>
      </x:c>
      <x:c r="E1986" s="12" t="str">
        <x:v>Nucleus - Prestige One Trade Tower</x:v>
      </x:c>
      <x:c r="F1986" s="12" t="str">
        <x:v>55 inch LED TV</x:v>
      </x:c>
      <x:c r="G1986" s="20" t="n">
        <x:v>2</x:v>
      </x:c>
      <x:c r="H1986" s="12" t="str">
        <x:v>Inventory-listed building/workspace context; current occupancy and screen access unverified</x:v>
      </x:c>
      <x:c r="I1986" s="12" t="str">
        <x:v>Large enterprise</x:v>
      </x:c>
      <x:c r="J1986" s="12" t="str">
        <x:v>IT &amp; digital</x:v>
      </x:c>
      <x:c r="K1986" s="2" t="str">
        <x:v>MAIN-063</x:v>
      </x:c>
    </x:row>
    <x:row r="1987" ht="46" customHeight="1">
      <x:c r="A1987" s="2" t="str">
        <x:v>TEN-3E808ECE8227</x:v>
      </x:c>
      <x:c r="B1987" s="12" t="str">
        <x:v>Deloitte</x:v>
      </x:c>
      <x:c r="C1987" s="12" t="str">
        <x:v>CORP-0059</x:v>
      </x:c>
      <x:c r="D1987" s="12" t="str">
        <x:v>Bengaluru</x:v>
      </x:c>
      <x:c r="E1987" s="12" t="str">
        <x:v>Nucleus - Prestige One Trade Tower</x:v>
      </x:c>
      <x:c r="F1987" s="12" t="str">
        <x:v>55 inch LED TV</x:v>
      </x:c>
      <x:c r="G1987" s="20" t="n">
        <x:v>2</x:v>
      </x:c>
      <x:c r="H1987" s="12" t="str">
        <x:v>Inventory-listed building/workspace context; current occupancy and screen access unverified</x:v>
      </x:c>
      <x:c r="I1987" s="12" t="str">
        <x:v>Large enterprise</x:v>
      </x:c>
      <x:c r="J1987" s="12" t="str">
        <x:v>Professional services</x:v>
      </x:c>
      <x:c r="K1987" s="2" t="str">
        <x:v>MAIN-063</x:v>
      </x:c>
    </x:row>
    <x:row r="1988" ht="46" customHeight="1">
      <x:c r="A1988" s="2" t="str">
        <x:v>TEN-4F90BB2CBD83</x:v>
      </x:c>
      <x:c r="B1988" s="12" t="str">
        <x:v>Table Space</x:v>
      </x:c>
      <x:c r="C1988" s="12" t="str">
        <x:v>CORP-0059</x:v>
      </x:c>
      <x:c r="D1988" s="12" t="str">
        <x:v>Bengaluru</x:v>
      </x:c>
      <x:c r="E1988" s="12" t="str">
        <x:v>Nucleus - Prestige One Trade Tower</x:v>
      </x:c>
      <x:c r="F1988" s="12" t="str">
        <x:v>55 inch LED TV</x:v>
      </x:c>
      <x:c r="G1988" s="20" t="n">
        <x:v>2</x:v>
      </x:c>
      <x:c r="H1988" s="12" t="str">
        <x:v>Inventory-listed building/workspace context; current occupancy and screen access unverified</x:v>
      </x:c>
      <x:c r="I1988" s="12" t="str">
        <x:v>Mixed business audience</x:v>
      </x:c>
      <x:c r="J1988" s="12" t="str">
        <x:v>Workspace &amp; property operations</x:v>
      </x:c>
      <x:c r="K1988" s="2" t="str">
        <x:v>MAIN-063</x:v>
      </x:c>
    </x:row>
    <x:row r="1989" ht="46" customHeight="1">
      <x:c r="A1989" s="2" t="str">
        <x:v>TEN-528DA6917A84</x:v>
      </x:c>
      <x:c r="B1989" s="12" t="str">
        <x:v>Marquee by corporate</x:v>
      </x:c>
      <x:c r="C1989" s="12" t="str">
        <x:v>CORP-0059</x:v>
      </x:c>
      <x:c r="D1989" s="12" t="str">
        <x:v>Bengaluru</x:v>
      </x:c>
      <x:c r="E1989" s="12" t="str">
        <x:v>Nucleus - Prestige One Trade Tower</x:v>
      </x:c>
      <x:c r="F1989" s="12" t="str">
        <x:v>55 inch LED TV</x:v>
      </x:c>
      <x:c r="G1989" s="20" t="n">
        <x:v>2</x:v>
      </x:c>
      <x:c r="H1989" s="12" t="str">
        <x:v>Inventory-listed building/workspace context; current occupancy and screen access unverified</x:v>
      </x:c>
      <x:c r="I1989" s="12" t="str">
        <x:v>Mixed business audience</x:v>
      </x:c>
      <x:c r="J1989" s="12" t="str">
        <x:v>Unresolved</x:v>
      </x:c>
      <x:c r="K1989" s="2" t="str">
        <x:v>MAIN-063</x:v>
      </x:c>
    </x:row>
    <x:row r="1990" ht="46" customHeight="1">
      <x:c r="A1990" s="2" t="str">
        <x:v>TEN-5F1955B90E63</x:v>
      </x:c>
      <x:c r="B1990" s="12" t="str">
        <x:v>Misu</x:v>
      </x:c>
      <x:c r="C1990" s="12" t="str">
        <x:v>CORP-0059</x:v>
      </x:c>
      <x:c r="D1990" s="12" t="str">
        <x:v>Bengaluru</x:v>
      </x:c>
      <x:c r="E1990" s="12" t="str">
        <x:v>Nucleus - Prestige One Trade Tower</x:v>
      </x:c>
      <x:c r="F1990" s="12" t="str">
        <x:v>55 inch LED TV</x:v>
      </x:c>
      <x:c r="G1990" s="20" t="n">
        <x:v>2</x:v>
      </x:c>
      <x:c r="H1990" s="12" t="str">
        <x:v>Inventory-listed building/workspace context; current occupancy and screen access unverified</x:v>
      </x:c>
      <x:c r="I1990" s="12" t="str">
        <x:v>Small-scale prospects</x:v>
      </x:c>
      <x:c r="J1990" s="12" t="str">
        <x:v>Trade, consumer &amp; logistics</x:v>
      </x:c>
      <x:c r="K1990" s="2" t="str">
        <x:v>MAIN-063</x:v>
      </x:c>
    </x:row>
    <x:row r="1991" ht="46" customHeight="1">
      <x:c r="A1991" s="2" t="str">
        <x:v>TEN-69AFDF39DA60</x:v>
      </x:c>
      <x:c r="B1991" s="12" t="str">
        <x:v>Brik Oven</x:v>
      </x:c>
      <x:c r="C1991" s="12" t="str">
        <x:v>CORP-0059</x:v>
      </x:c>
      <x:c r="D1991" s="12" t="str">
        <x:v>Bengaluru</x:v>
      </x:c>
      <x:c r="E1991" s="12" t="str">
        <x:v>Nucleus - Prestige One Trade Tower</x:v>
      </x:c>
      <x:c r="F1991" s="12" t="str">
        <x:v>55 inch LED TV</x:v>
      </x:c>
      <x:c r="G1991" s="20" t="n">
        <x:v>2</x:v>
      </x:c>
      <x:c r="H1991" s="12" t="str">
        <x:v>Inventory-listed building/workspace context; current occupancy and screen access unverified</x:v>
      </x:c>
      <x:c r="I1991" s="12" t="str">
        <x:v>Small-scale prospects</x:v>
      </x:c>
      <x:c r="J1991" s="12" t="str">
        <x:v>Trade, consumer &amp; logistics</x:v>
      </x:c>
      <x:c r="K1991" s="2" t="str">
        <x:v>MAIN-063</x:v>
      </x:c>
    </x:row>
    <x:row r="1992" ht="46" customHeight="1">
      <x:c r="A1992" s="2" t="str">
        <x:v>TEN-6BFCEA63FC2C</x:v>
      </x:c>
      <x:c r="B1992" s="12" t="str">
        <x:v>Amazon web services India Private Limited</x:v>
      </x:c>
      <x:c r="C1992" s="12" t="str">
        <x:v>CORP-0059</x:v>
      </x:c>
      <x:c r="D1992" s="12" t="str">
        <x:v>Bengaluru</x:v>
      </x:c>
      <x:c r="E1992" s="12" t="str">
        <x:v>Nucleus - Prestige One Trade Tower</x:v>
      </x:c>
      <x:c r="F1992" s="12" t="str">
        <x:v>55 inch LED TV</x:v>
      </x:c>
      <x:c r="G1992" s="20" t="n">
        <x:v>2</x:v>
      </x:c>
      <x:c r="H1992" s="12" t="str">
        <x:v>Inventory-listed building/workspace context; current occupancy and screen access unverified</x:v>
      </x:c>
      <x:c r="I1992" s="12" t="str">
        <x:v>Large enterprise</x:v>
      </x:c>
      <x:c r="J1992" s="12" t="str">
        <x:v>IT &amp; digital</x:v>
      </x:c>
      <x:c r="K1992" s="2" t="str">
        <x:v>MAIN-063</x:v>
      </x:c>
    </x:row>
    <x:row r="1993" ht="46" customHeight="1">
      <x:c r="A1993" s="2" t="str">
        <x:v>TEN-9FFBD94DEBEC</x:v>
      </x:c>
      <x:c r="B1993" s="12" t="str">
        <x:v>Automation Anywhere</x:v>
      </x:c>
      <x:c r="C1993" s="12" t="str">
        <x:v>CORP-0059</x:v>
      </x:c>
      <x:c r="D1993" s="12" t="str">
        <x:v>Bengaluru</x:v>
      </x:c>
      <x:c r="E1993" s="12" t="str">
        <x:v>Nucleus - Prestige One Trade Tower</x:v>
      </x:c>
      <x:c r="F1993" s="12" t="str">
        <x:v>55 inch LED TV</x:v>
      </x:c>
      <x:c r="G1993" s="20" t="n">
        <x:v>2</x:v>
      </x:c>
      <x:c r="H1993" s="12" t="str">
        <x:v>Inventory-listed building/workspace context; current occupancy and screen access unverified</x:v>
      </x:c>
      <x:c r="I1993" s="12" t="str">
        <x:v>Mixed business audience</x:v>
      </x:c>
      <x:c r="J1993" s="12" t="str">
        <x:v>IT &amp; digital</x:v>
      </x:c>
      <x:c r="K1993" s="2" t="str">
        <x:v>MAIN-063</x:v>
      </x:c>
    </x:row>
    <x:row r="1994" ht="46" customHeight="1">
      <x:c r="A1994" s="2" t="str">
        <x:v>TEN-B8719DBA3547</x:v>
      </x:c>
      <x:c r="B1994" s="12" t="str">
        <x:v>Essilor India Pvt.Ltd</x:v>
      </x:c>
      <x:c r="C1994" s="12" t="str">
        <x:v>CORP-0059</x:v>
      </x:c>
      <x:c r="D1994" s="12" t="str">
        <x:v>Bengaluru</x:v>
      </x:c>
      <x:c r="E1994" s="12" t="str">
        <x:v>Nucleus - Prestige One Trade Tower</x:v>
      </x:c>
      <x:c r="F1994" s="12" t="str">
        <x:v>55 inch LED TV</x:v>
      </x:c>
      <x:c r="G1994" s="20" t="n">
        <x:v>2</x:v>
      </x:c>
      <x:c r="H1994" s="12" t="str">
        <x:v>Inventory-listed building/workspace context; current occupancy and screen access unverified</x:v>
      </x:c>
      <x:c r="I1994" s="12" t="str">
        <x:v>Mixed business audience</x:v>
      </x:c>
      <x:c r="J1994" s="12" t="str">
        <x:v>Healthcare &amp; life sciences</x:v>
      </x:c>
      <x:c r="K1994" s="2" t="str">
        <x:v>MAIN-063</x:v>
      </x:c>
    </x:row>
    <x:row r="1995" ht="46" customHeight="1">
      <x:c r="A1995" s="2" t="str">
        <x:v>TEN-2789E0ED91DF</x:v>
      </x:c>
      <x:c r="B1995" s="12" t="str">
        <x:v>Amarakosha Technologies Private Limited</x:v>
      </x:c>
      <x:c r="C1995" s="12" t="str">
        <x:v>CORP-0060</x:v>
      </x:c>
      <x:c r="D1995" s="12" t="str">
        <x:v>Bengaluru</x:v>
      </x:c>
      <x:c r="E1995" s="12" t="str">
        <x:v>Obeya - Brio</x:v>
      </x:c>
      <x:c r="F1995" s="12" t="str">
        <x:v>32 inch LED TV</x:v>
      </x:c>
      <x:c r="G1995" s="20" t="n">
        <x:v>1</x:v>
      </x:c>
      <x:c r="H1995" s="12" t="str">
        <x:v>Inventory-listed building/workspace context; current occupancy and screen access unverified</x:v>
      </x:c>
      <x:c r="I1995" s="12" t="str">
        <x:v>Mixed business audience</x:v>
      </x:c>
      <x:c r="J1995" s="12" t="str">
        <x:v>Unresolved</x:v>
      </x:c>
      <x:c r="K1995" s="2" t="str">
        <x:v>MAIN-064</x:v>
      </x:c>
    </x:row>
    <x:row r="1996" ht="46" customHeight="1">
      <x:c r="A1996" s="2" t="str">
        <x:v>TEN-768BAA309EEE</x:v>
      </x:c>
      <x:c r="B1996" s="12" t="str">
        <x:v>Pagarbook</x:v>
      </x:c>
      <x:c r="C1996" s="12" t="str">
        <x:v>CORP-0060</x:v>
      </x:c>
      <x:c r="D1996" s="12" t="str">
        <x:v>Bengaluru</x:v>
      </x:c>
      <x:c r="E1996" s="12" t="str">
        <x:v>Obeya - Brio</x:v>
      </x:c>
      <x:c r="F1996" s="12" t="str">
        <x:v>32 inch LED TV</x:v>
      </x:c>
      <x:c r="G1996" s="20" t="n">
        <x:v>1</x:v>
      </x:c>
      <x:c r="H1996" s="12" t="str">
        <x:v>Inventory-listed building/workspace context; current occupancy and screen access unverified</x:v>
      </x:c>
      <x:c r="I1996" s="12" t="str">
        <x:v>Small-scale prospects</x:v>
      </x:c>
      <x:c r="J1996" s="12" t="str">
        <x:v>IT &amp; digital</x:v>
      </x:c>
      <x:c r="K1996" s="2" t="str">
        <x:v>MAIN-064</x:v>
      </x:c>
    </x:row>
    <x:row r="1997" ht="46" customHeight="1">
      <x:c r="A1997" s="2" t="str">
        <x:v>TEN-82B0C843061B</x:v>
      </x:c>
      <x:c r="B1997" s="12" t="str">
        <x:v>ABSYZ software consulting pvt ltd</x:v>
      </x:c>
      <x:c r="C1997" s="12" t="str">
        <x:v>CORP-0061</x:v>
      </x:c>
      <x:c r="D1997" s="12" t="str">
        <x:v>Bengaluru</x:v>
      </x:c>
      <x:c r="E1997" s="12" t="str">
        <x:v>Obeya - Elan</x:v>
      </x:c>
      <x:c r="F1997" s="12" t="str">
        <x:v>32 inch LED TV</x:v>
      </x:c>
      <x:c r="G1997" s="20" t="n">
        <x:v>1</x:v>
      </x:c>
      <x:c r="H1997" s="12" t="str">
        <x:v>Inventory-listed building/workspace context; current occupancy and screen access unverified</x:v>
      </x:c>
      <x:c r="I1997" s="12" t="str">
        <x:v>Small-scale prospects</x:v>
      </x:c>
      <x:c r="J1997" s="12" t="str">
        <x:v>IT &amp; digital</x:v>
      </x:c>
      <x:c r="K1997" s="2" t="str">
        <x:v>MAIN-065</x:v>
      </x:c>
    </x:row>
    <x:row r="1998" ht="46" customHeight="1">
      <x:c r="A1998" s="2" t="str">
        <x:v>TEN-95FE0A4B6AB9</x:v>
      </x:c>
      <x:c r="B1998" s="12" t="str">
        <x:v>Leadership boulevard pvt ltd</x:v>
      </x:c>
      <x:c r="C1998" s="12" t="str">
        <x:v>CORP-0061</x:v>
      </x:c>
      <x:c r="D1998" s="12" t="str">
        <x:v>Bengaluru</x:v>
      </x:c>
      <x:c r="E1998" s="12" t="str">
        <x:v>Obeya - Elan</x:v>
      </x:c>
      <x:c r="F1998" s="12" t="str">
        <x:v>32 inch LED TV</x:v>
      </x:c>
      <x:c r="G1998" s="20" t="n">
        <x:v>1</x:v>
      </x:c>
      <x:c r="H1998" s="12" t="str">
        <x:v>Inventory-listed building/workspace context; current occupancy and screen access unverified</x:v>
      </x:c>
      <x:c r="I1998" s="12" t="str">
        <x:v>Mixed business audience</x:v>
      </x:c>
      <x:c r="J1998" s="12" t="str">
        <x:v>Education</x:v>
      </x:c>
      <x:c r="K1998" s="2" t="str">
        <x:v>MAIN-065</x:v>
      </x:c>
    </x:row>
    <x:row r="1999" ht="46" customHeight="1">
      <x:c r="A1999" s="2" t="str">
        <x:v>TEN-99215B383888</x:v>
      </x:c>
      <x:c r="B1999" s="12" t="str">
        <x:v>Paxcom india Pvt Ltd</x:v>
      </x:c>
      <x:c r="C1999" s="12" t="str">
        <x:v>CORP-0061</x:v>
      </x:c>
      <x:c r="D1999" s="12" t="str">
        <x:v>Bengaluru</x:v>
      </x:c>
      <x:c r="E1999" s="12" t="str">
        <x:v>Obeya - Elan</x:v>
      </x:c>
      <x:c r="F1999" s="12" t="str">
        <x:v>32 inch LED TV</x:v>
      </x:c>
      <x:c r="G1999" s="20" t="n">
        <x:v>1</x:v>
      </x:c>
      <x:c r="H1999" s="12" t="str">
        <x:v>Inventory-listed building/workspace context; current occupancy and screen access unverified</x:v>
      </x:c>
      <x:c r="I1999" s="12" t="str">
        <x:v>Small-scale prospects</x:v>
      </x:c>
      <x:c r="J1999" s="12" t="str">
        <x:v>IT &amp; digital</x:v>
      </x:c>
      <x:c r="K1999" s="2" t="str">
        <x:v>MAIN-065</x:v>
      </x:c>
    </x:row>
    <x:row r="2000" ht="46" customHeight="1">
      <x:c r="A2000" s="2" t="str">
        <x:v>TEN-B20DF9F5D980</x:v>
      </x:c>
      <x:c r="B2000" s="12" t="str">
        <x:v>Onsite electro services pvt ltd</x:v>
      </x:c>
      <x:c r="C2000" s="12" t="str">
        <x:v>CORP-0061</x:v>
      </x:c>
      <x:c r="D2000" s="12" t="str">
        <x:v>Bengaluru</x:v>
      </x:c>
      <x:c r="E2000" s="12" t="str">
        <x:v>Obeya - Elan</x:v>
      </x:c>
      <x:c r="F2000" s="12" t="str">
        <x:v>32 inch LED TV</x:v>
      </x:c>
      <x:c r="G2000" s="20" t="n">
        <x:v>1</x:v>
      </x:c>
      <x:c r="H2000" s="12" t="str">
        <x:v>Inventory-listed building/workspace context; current occupancy and screen access unverified</x:v>
      </x:c>
      <x:c r="I2000" s="12" t="str">
        <x:v>Medium-scale prospects</x:v>
      </x:c>
      <x:c r="J2000" s="12" t="str">
        <x:v>Engineering &amp; manufacturing</x:v>
      </x:c>
      <x:c r="K2000" s="2" t="str">
        <x:v>MAIN-065</x:v>
      </x:c>
    </x:row>
    <x:row r="2001" ht="46" customHeight="1">
      <x:c r="A2001" s="2" t="str">
        <x:v>TEN-05D0DCE8B2C4</x:v>
      </x:c>
      <x:c r="B2001" s="12" t="str">
        <x:v>Ctruh technologies pvt ltd</x:v>
      </x:c>
      <x:c r="C2001" s="12" t="str">
        <x:v>CORP-0062</x:v>
      </x:c>
      <x:c r="D2001" s="12" t="str">
        <x:v>Bengaluru</x:v>
      </x:c>
      <x:c r="E2001" s="12" t="str">
        <x:v>Obeya - Gusto</x:v>
      </x:c>
      <x:c r="F2001" s="12" t="str">
        <x:v>32 inch LED TV</x:v>
      </x:c>
      <x:c r="G2001" s="20" t="n">
        <x:v>1</x:v>
      </x:c>
      <x:c r="H2001" s="12" t="str">
        <x:v>Inventory-listed building/workspace context; current occupancy and screen access unverified</x:v>
      </x:c>
      <x:c r="I2001" s="12" t="str">
        <x:v>Mixed business audience</x:v>
      </x:c>
      <x:c r="J2001" s="12" t="str">
        <x:v>Unresolved</x:v>
      </x:c>
      <x:c r="K2001" s="2" t="str">
        <x:v>MAIN-066</x:v>
      </x:c>
    </x:row>
    <x:row r="2002" ht="46" customHeight="1">
      <x:c r="A2002" s="2" t="str">
        <x:v>TEN-1CFBC06C3B3F</x:v>
      </x:c>
      <x:c r="B2002" s="12" t="str">
        <x:v>Upflex anarock india pvt ltd</x:v>
      </x:c>
      <x:c r="C2002" s="12" t="str">
        <x:v>CORP-0062</x:v>
      </x:c>
      <x:c r="D2002" s="12" t="str">
        <x:v>Bengaluru</x:v>
      </x:c>
      <x:c r="E2002" s="12" t="str">
        <x:v>Obeya - Gusto</x:v>
      </x:c>
      <x:c r="F2002" s="12" t="str">
        <x:v>32 inch LED TV</x:v>
      </x:c>
      <x:c r="G2002" s="20" t="n">
        <x:v>1</x:v>
      </x:c>
      <x:c r="H2002" s="12" t="str">
        <x:v>Inventory-listed building/workspace context; current occupancy and screen access unverified</x:v>
      </x:c>
      <x:c r="I2002" s="12" t="str">
        <x:v>Mixed business audience</x:v>
      </x:c>
      <x:c r="J2002" s="12" t="str">
        <x:v>Trade, consumer &amp; logistics</x:v>
      </x:c>
      <x:c r="K2002" s="2" t="str">
        <x:v>MAIN-066</x:v>
      </x:c>
    </x:row>
    <x:row r="2003" ht="46" customHeight="1">
      <x:c r="A2003" s="2" t="str">
        <x:v>TEN-5741AB36EBF3</x:v>
      </x:c>
      <x:c r="B2003" s="12" t="str">
        <x:v>Arus info Pvt Ltd</x:v>
      </x:c>
      <x:c r="C2003" s="12" t="str">
        <x:v>CORP-0062</x:v>
      </x:c>
      <x:c r="D2003" s="12" t="str">
        <x:v>Bengaluru</x:v>
      </x:c>
      <x:c r="E2003" s="12" t="str">
        <x:v>Obeya - Gusto</x:v>
      </x:c>
      <x:c r="F2003" s="12" t="str">
        <x:v>32 inch LED TV</x:v>
      </x:c>
      <x:c r="G2003" s="20" t="n">
        <x:v>1</x:v>
      </x:c>
      <x:c r="H2003" s="12" t="str">
        <x:v>Inventory-listed building/workspace context; current occupancy and screen access unverified</x:v>
      </x:c>
      <x:c r="I2003" s="12" t="str">
        <x:v>Mixed business audience</x:v>
      </x:c>
      <x:c r="J2003" s="12" t="str">
        <x:v>Unresolved</x:v>
      </x:c>
      <x:c r="K2003" s="2" t="str">
        <x:v>MAIN-066</x:v>
      </x:c>
    </x:row>
    <x:row r="2004" ht="46" customHeight="1">
      <x:c r="A2004" s="2" t="str">
        <x:v>TEN-D957E432757E</x:v>
      </x:c>
      <x:c r="B2004" s="12" t="str">
        <x:v>Hiring hunt solutions pvt ltd</x:v>
      </x:c>
      <x:c r="C2004" s="12" t="str">
        <x:v>CORP-0062</x:v>
      </x:c>
      <x:c r="D2004" s="12" t="str">
        <x:v>Bengaluru</x:v>
      </x:c>
      <x:c r="E2004" s="12" t="str">
        <x:v>Obeya - Gusto</x:v>
      </x:c>
      <x:c r="F2004" s="12" t="str">
        <x:v>32 inch LED TV</x:v>
      </x:c>
      <x:c r="G2004" s="20" t="n">
        <x:v>1</x:v>
      </x:c>
      <x:c r="H2004" s="12" t="str">
        <x:v>Inventory-listed building/workspace context; current occupancy and screen access unverified</x:v>
      </x:c>
      <x:c r="I2004" s="12" t="str">
        <x:v>Small-scale prospects</x:v>
      </x:c>
      <x:c r="J2004" s="12" t="str">
        <x:v>Professional services</x:v>
      </x:c>
      <x:c r="K2004" s="2" t="str">
        <x:v>MAIN-066</x:v>
      </x:c>
    </x:row>
    <x:row r="2005" ht="46" customHeight="1">
      <x:c r="A2005" s="2" t="str">
        <x:v>TEN-52D1010C4A30</x:v>
      </x:c>
      <x:c r="B2005" s="12" t="str">
        <x:v>Performio India Private Limited</x:v>
      </x:c>
      <x:c r="C2005" s="12" t="str">
        <x:v>CORP-0063</x:v>
      </x:c>
      <x:c r="D2005" s="12" t="str">
        <x:v>Bengaluru</x:v>
      </x:c>
      <x:c r="E2005" s="12" t="str">
        <x:v>Obeya - Pulse</x:v>
      </x:c>
      <x:c r="F2005" s="12" t="str">
        <x:v>32 inch LED TV</x:v>
      </x:c>
      <x:c r="G2005" s="20" t="n">
        <x:v>2</x:v>
      </x:c>
      <x:c r="H2005" s="12" t="str">
        <x:v>Inventory-listed building/workspace context; current occupancy and screen access unverified</x:v>
      </x:c>
      <x:c r="I2005" s="12" t="str">
        <x:v>Small-scale prospects</x:v>
      </x:c>
      <x:c r="J2005" s="12" t="str">
        <x:v>IT &amp; digital</x:v>
      </x:c>
      <x:c r="K2005" s="2" t="str">
        <x:v>MAIN-067</x:v>
      </x:c>
    </x:row>
    <x:row r="2006" ht="46" customHeight="1">
      <x:c r="A2006" s="2" t="str">
        <x:v>TEN-56139C97F2DA</x:v>
      </x:c>
      <x:c r="B2006" s="12" t="str">
        <x:v>Proptiger Marketing Service Pvt. Ltd</x:v>
      </x:c>
      <x:c r="C2006" s="12" t="str">
        <x:v>CORP-0063</x:v>
      </x:c>
      <x:c r="D2006" s="12" t="str">
        <x:v>Bengaluru</x:v>
      </x:c>
      <x:c r="E2006" s="12" t="str">
        <x:v>Obeya - Pulse</x:v>
      </x:c>
      <x:c r="F2006" s="12" t="str">
        <x:v>32 inch LED TV</x:v>
      </x:c>
      <x:c r="G2006" s="20" t="n">
        <x:v>2</x:v>
      </x:c>
      <x:c r="H2006" s="12" t="str">
        <x:v>Inventory-listed building/workspace context; current occupancy and screen access unverified</x:v>
      </x:c>
      <x:c r="I2006" s="12" t="str">
        <x:v>Mixed business audience</x:v>
      </x:c>
      <x:c r="J2006" s="12" t="str">
        <x:v>Trade, consumer &amp; logistics</x:v>
      </x:c>
      <x:c r="K2006" s="2" t="str">
        <x:v>MAIN-067</x:v>
      </x:c>
    </x:row>
    <x:row r="2007" ht="46" customHeight="1">
      <x:c r="A2007" s="2" t="str">
        <x:v>TEN-7C8285B4AA0D</x:v>
      </x:c>
      <x:c r="B2007" s="12" t="str">
        <x:v>CDDEP India Private Limited</x:v>
      </x:c>
      <x:c r="C2007" s="12" t="str">
        <x:v>CORP-0063</x:v>
      </x:c>
      <x:c r="D2007" s="12" t="str">
        <x:v>Bengaluru</x:v>
      </x:c>
      <x:c r="E2007" s="12" t="str">
        <x:v>Obeya - Pulse</x:v>
      </x:c>
      <x:c r="F2007" s="12" t="str">
        <x:v>32 inch LED TV</x:v>
      </x:c>
      <x:c r="G2007" s="20" t="n">
        <x:v>2</x:v>
      </x:c>
      <x:c r="H2007" s="12" t="str">
        <x:v>Inventory-listed building/workspace context; current occupancy and screen access unverified</x:v>
      </x:c>
      <x:c r="I2007" s="12" t="str">
        <x:v>Mixed business audience</x:v>
      </x:c>
      <x:c r="J2007" s="12" t="str">
        <x:v>Unresolved</x:v>
      </x:c>
      <x:c r="K2007" s="2" t="str">
        <x:v>MAIN-067</x:v>
      </x:c>
    </x:row>
    <x:row r="2008" ht="46" customHeight="1">
      <x:c r="A2008" s="2" t="str">
        <x:v>TEN-A90DFC47A741</x:v>
      </x:c>
      <x:c r="B2008" s="12" t="str">
        <x:v>Caste Software India Private Limited</x:v>
      </x:c>
      <x:c r="C2008" s="12" t="str">
        <x:v>CORP-0063</x:v>
      </x:c>
      <x:c r="D2008" s="12" t="str">
        <x:v>Bengaluru</x:v>
      </x:c>
      <x:c r="E2008" s="12" t="str">
        <x:v>Obeya - Pulse</x:v>
      </x:c>
      <x:c r="F2008" s="12" t="str">
        <x:v>32 inch LED TV</x:v>
      </x:c>
      <x:c r="G2008" s="20" t="n">
        <x:v>2</x:v>
      </x:c>
      <x:c r="H2008" s="12" t="str">
        <x:v>Inventory-listed building/workspace context; current occupancy and screen access unverified</x:v>
      </x:c>
      <x:c r="I2008" s="12" t="str">
        <x:v>Small-scale prospects</x:v>
      </x:c>
      <x:c r="J2008" s="12" t="str">
        <x:v>IT &amp; digital</x:v>
      </x:c>
      <x:c r="K2008" s="2" t="str">
        <x:v>MAIN-067</x:v>
      </x:c>
    </x:row>
    <x:row r="2009" ht="46" customHeight="1">
      <x:c r="A2009" s="2" t="str">
        <x:v>TEN-DA77AD889F5F</x:v>
      </x:c>
      <x:c r="B2009" s="12" t="str">
        <x:v>Healthcubed India Private Limited</x:v>
      </x:c>
      <x:c r="C2009" s="12" t="str">
        <x:v>CORP-0063</x:v>
      </x:c>
      <x:c r="D2009" s="12" t="str">
        <x:v>Bengaluru</x:v>
      </x:c>
      <x:c r="E2009" s="12" t="str">
        <x:v>Obeya - Pulse</x:v>
      </x:c>
      <x:c r="F2009" s="12" t="str">
        <x:v>32 inch LED TV</x:v>
      </x:c>
      <x:c r="G2009" s="20" t="n">
        <x:v>2</x:v>
      </x:c>
      <x:c r="H2009" s="12" t="str">
        <x:v>Inventory-listed building/workspace context; current occupancy and screen access unverified</x:v>
      </x:c>
      <x:c r="I2009" s="12" t="str">
        <x:v>Small-scale prospects</x:v>
      </x:c>
      <x:c r="J2009" s="12" t="str">
        <x:v>Healthcare &amp; life sciences</x:v>
      </x:c>
      <x:c r="K2009" s="2" t="str">
        <x:v>MAIN-067</x:v>
      </x:c>
    </x:row>
    <x:row r="2010" ht="46" customHeight="1">
      <x:c r="A2010" s="2" t="str">
        <x:v>TEN-912570EAC05D</x:v>
      </x:c>
      <x:c r="B2010" s="12" t="str">
        <x:v>Gamut Analytics Private Limited</x:v>
      </x:c>
      <x:c r="C2010" s="12" t="str">
        <x:v>CORP-0064</x:v>
      </x:c>
      <x:c r="D2010" s="12" t="str">
        <x:v>Bengaluru</x:v>
      </x:c>
      <x:c r="E2010" s="12" t="str">
        <x:v>Obeya - Roses</x:v>
      </x:c>
      <x:c r="F2010" s="12" t="str">
        <x:v>32 inch LED TV</x:v>
      </x:c>
      <x:c r="G2010" s="20" t="n">
        <x:v>1</x:v>
      </x:c>
      <x:c r="H2010" s="12" t="str">
        <x:v>Inventory-listed building/workspace context; current occupancy and screen access unverified</x:v>
      </x:c>
      <x:c r="I2010" s="12" t="str">
        <x:v>Small-scale prospects</x:v>
      </x:c>
      <x:c r="J2010" s="12" t="str">
        <x:v>IT &amp; digital</x:v>
      </x:c>
      <x:c r="K2010" s="2" t="str">
        <x:v>MAIN-068</x:v>
      </x:c>
    </x:row>
    <x:row r="2011" ht="46" customHeight="1">
      <x:c r="A2011" s="2" t="str">
        <x:v>TEN-CBC12151BBB3</x:v>
      </x:c>
      <x:c r="B2011" s="12" t="str">
        <x:v>Acuvea Analytics Private Limited</x:v>
      </x:c>
      <x:c r="C2011" s="12" t="str">
        <x:v>CORP-0064</x:v>
      </x:c>
      <x:c r="D2011" s="12" t="str">
        <x:v>Bengaluru</x:v>
      </x:c>
      <x:c r="E2011" s="12" t="str">
        <x:v>Obeya - Roses</x:v>
      </x:c>
      <x:c r="F2011" s="12" t="str">
        <x:v>32 inch LED TV</x:v>
      </x:c>
      <x:c r="G2011" s="20" t="n">
        <x:v>1</x:v>
      </x:c>
      <x:c r="H2011" s="12" t="str">
        <x:v>Inventory-listed building/workspace context; current occupancy and screen access unverified</x:v>
      </x:c>
      <x:c r="I2011" s="12" t="str">
        <x:v>Small-scale prospects</x:v>
      </x:c>
      <x:c r="J2011" s="12" t="str">
        <x:v>IT &amp; digital</x:v>
      </x:c>
      <x:c r="K2011" s="2" t="str">
        <x:v>MAIN-068</x:v>
      </x:c>
    </x:row>
    <x:row r="2012" ht="46" customHeight="1">
      <x:c r="A2012" s="2" t="str">
        <x:v>TEN-5F9D50990EA1</x:v>
      </x:c>
      <x:c r="B2012" s="12" t="str">
        <x:v>Zinner</x:v>
      </x:c>
      <x:c r="C2012" s="12" t="str">
        <x:v>CORP-0065</x:v>
      </x:c>
      <x:c r="D2012" s="12" t="str">
        <x:v>Bengaluru</x:v>
      </x:c>
      <x:c r="E2012" s="12" t="str">
        <x:v>Obeya - Spurce</x:v>
      </x:c>
      <x:c r="F2012" s="12" t="str">
        <x:v>32 inch LED TV</x:v>
      </x:c>
      <x:c r="G2012" s="20" t="n">
        <x:v>2</x:v>
      </x:c>
      <x:c r="H2012" s="12" t="str">
        <x:v>Inventory-listed building/workspace context; current occupancy and screen access unverified</x:v>
      </x:c>
      <x:c r="I2012" s="12" t="str">
        <x:v>Mixed business audience</x:v>
      </x:c>
      <x:c r="J2012" s="12" t="str">
        <x:v>Unresolved</x:v>
      </x:c>
      <x:c r="K2012" s="2" t="str">
        <x:v>MAIN-069</x:v>
      </x:c>
    </x:row>
    <x:row r="2013" ht="46" customHeight="1">
      <x:c r="A2013" s="2" t="str">
        <x:v>TEN-7DF0FE268FFA</x:v>
      </x:c>
      <x:c r="B2013" s="12" t="str">
        <x:v>Symega Technology Centre</x:v>
      </x:c>
      <x:c r="C2013" s="12" t="str">
        <x:v>CORP-0065</x:v>
      </x:c>
      <x:c r="D2013" s="12" t="str">
        <x:v>Bengaluru</x:v>
      </x:c>
      <x:c r="E2013" s="12" t="str">
        <x:v>Obeya - Spurce</x:v>
      </x:c>
      <x:c r="F2013" s="12" t="str">
        <x:v>32 inch LED TV</x:v>
      </x:c>
      <x:c r="G2013" s="20" t="n">
        <x:v>2</x:v>
      </x:c>
      <x:c r="H2013" s="12" t="str">
        <x:v>Inventory-listed building/workspace context; current occupancy and screen access unverified</x:v>
      </x:c>
      <x:c r="I2013" s="12" t="str">
        <x:v>Mixed business audience</x:v>
      </x:c>
      <x:c r="J2013" s="12" t="str">
        <x:v>Unresolved</x:v>
      </x:c>
      <x:c r="K2013" s="2" t="str">
        <x:v>MAIN-069</x:v>
      </x:c>
    </x:row>
    <x:row r="2014" ht="46" customHeight="1">
      <x:c r="A2014" s="2" t="str">
        <x:v>TEN-B7562CCFBAFA</x:v>
      </x:c>
      <x:c r="B2014" s="12" t="str">
        <x:v>Infinity Research</x:v>
      </x:c>
      <x:c r="C2014" s="12" t="str">
        <x:v>CORP-0065</x:v>
      </x:c>
      <x:c r="D2014" s="12" t="str">
        <x:v>Bengaluru</x:v>
      </x:c>
      <x:c r="E2014" s="12" t="str">
        <x:v>Obeya - Spurce</x:v>
      </x:c>
      <x:c r="F2014" s="12" t="str">
        <x:v>32 inch LED TV</x:v>
      </x:c>
      <x:c r="G2014" s="20" t="n">
        <x:v>2</x:v>
      </x:c>
      <x:c r="H2014" s="12" t="str">
        <x:v>Inventory-listed building/workspace context; current occupancy and screen access unverified</x:v>
      </x:c>
      <x:c r="I2014" s="12" t="str">
        <x:v>Small-scale prospects</x:v>
      </x:c>
      <x:c r="J2014" s="12" t="str">
        <x:v>Professional services</x:v>
      </x:c>
      <x:c r="K2014" s="2" t="str">
        <x:v>MAIN-069</x:v>
      </x:c>
    </x:row>
    <x:row r="2015" ht="46" customHeight="1">
      <x:c r="A2015" s="2" t="str">
        <x:v>TEN-ED83BB1519D2</x:v>
      </x:c>
      <x:c r="B2015" s="12" t="str">
        <x:v>Wissen</x:v>
      </x:c>
      <x:c r="C2015" s="12" t="str">
        <x:v>CORP-0065</x:v>
      </x:c>
      <x:c r="D2015" s="12" t="str">
        <x:v>Bengaluru</x:v>
      </x:c>
      <x:c r="E2015" s="12" t="str">
        <x:v>Obeya - Spurce</x:v>
      </x:c>
      <x:c r="F2015" s="12" t="str">
        <x:v>32 inch LED TV</x:v>
      </x:c>
      <x:c r="G2015" s="20" t="n">
        <x:v>2</x:v>
      </x:c>
      <x:c r="H2015" s="12" t="str">
        <x:v>Inventory-listed building/workspace context; current occupancy and screen access unverified</x:v>
      </x:c>
      <x:c r="I2015" s="12" t="str">
        <x:v>Mixed business audience</x:v>
      </x:c>
      <x:c r="J2015" s="12" t="str">
        <x:v>IT &amp; digital</x:v>
      </x:c>
      <x:c r="K2015" s="2" t="str">
        <x:v>MAIN-069</x:v>
      </x:c>
    </x:row>
    <x:row r="2016" ht="46" customHeight="1">
      <x:c r="A2016" s="2" t="str">
        <x:v>TEN-3BAC052E3DDF</x:v>
      </x:c>
      <x:c r="B2016" s="12" t="str">
        <x:v>Maxim Exports</x:v>
      </x:c>
      <x:c r="C2016" s="12" t="str">
        <x:v>CORP-0003</x:v>
      </x:c>
      <x:c r="D2016" s="12" t="str">
        <x:v>Ahmedabad</x:v>
      </x:c>
      <x:c r="E2016" s="12" t="str">
        <x:v>Oyo Workspace - Mauryansh Elanza</x:v>
      </x:c>
      <x:c r="F2016" s="12" t="str">
        <x:v>32 inch LED TV</x:v>
      </x:c>
      <x:c r="G2016" s="20" t="n">
        <x:v>2</x:v>
      </x:c>
      <x:c r="H2016" s="12" t="str">
        <x:v>Company-listed building/campus context; workspace membership and screen access unverified</x:v>
      </x:c>
      <x:c r="I2016" s="12" t="str">
        <x:v>Small-scale prospects</x:v>
      </x:c>
      <x:c r="J2016" s="12" t="str">
        <x:v>Trade, consumer &amp; logistics</x:v>
      </x:c>
      <x:c r="K2016" s="2" t="str">
        <x:v>MAIN-007</x:v>
      </x:c>
    </x:row>
    <x:row r="2017" ht="46" customHeight="1">
      <x:c r="A2017" s="2" t="str">
        <x:v>TEN-ADF3ECE39127</x:v>
      </x:c>
      <x:c r="B2017" s="12" t="str">
        <x:v>Jaimin Shah &amp; Associates</x:v>
      </x:c>
      <x:c r="C2017" s="12" t="str">
        <x:v>CORP-0003</x:v>
      </x:c>
      <x:c r="D2017" s="12" t="str">
        <x:v>Ahmedabad</x:v>
      </x:c>
      <x:c r="E2017" s="12" t="str">
        <x:v>Oyo Workspace - Mauryansh Elanza</x:v>
      </x:c>
      <x:c r="F2017" s="12" t="str">
        <x:v>32 inch LED TV</x:v>
      </x:c>
      <x:c r="G2017" s="20" t="n">
        <x:v>2</x:v>
      </x:c>
      <x:c r="H2017" s="12" t="str">
        <x:v>Company-listed building/campus context; workspace membership and screen access unverified</x:v>
      </x:c>
      <x:c r="I2017" s="12" t="str">
        <x:v>Micro-scale prospects</x:v>
      </x:c>
      <x:c r="J2017" s="12" t="str">
        <x:v>Professional services</x:v>
      </x:c>
      <x:c r="K2017" s="2" t="str">
        <x:v>MAIN-007</x:v>
      </x:c>
    </x:row>
    <x:row r="2018" ht="46" customHeight="1">
      <x:c r="A2018" s="2" t="str">
        <x:v>TEN-F01481C57FC4</x:v>
      </x:c>
      <x:c r="B2018" s="12" t="str">
        <x:v>Vichar Vimarsh</x:v>
      </x:c>
      <x:c r="C2018" s="12" t="str">
        <x:v>CORP-0003</x:v>
      </x:c>
      <x:c r="D2018" s="12" t="str">
        <x:v>Ahmedabad</x:v>
      </x:c>
      <x:c r="E2018" s="12" t="str">
        <x:v>Oyo Workspace - Mauryansh Elanza</x:v>
      </x:c>
      <x:c r="F2018" s="12" t="str">
        <x:v>32 inch LED TV</x:v>
      </x:c>
      <x:c r="G2018" s="20" t="n">
        <x:v>2</x:v>
      </x:c>
      <x:c r="H2018" s="12" t="str">
        <x:v>Company-listed building/campus context; workspace membership and screen access unverified</x:v>
      </x:c>
      <x:c r="I2018" s="12" t="str">
        <x:v>Mixed business audience</x:v>
      </x:c>
      <x:c r="J2018" s="12" t="str">
        <x:v>Unresolved</x:v>
      </x:c>
      <x:c r="K2018" s="2" t="str">
        <x:v>MAIN-007</x:v>
      </x:c>
    </x:row>
    <x:row r="2019" ht="46" customHeight="1">
      <x:c r="A2019" s="2" t="str">
        <x:v>TEN-687E08E2CB17</x:v>
      </x:c>
      <x:c r="B2019" s="12" t="str">
        <x:v>Kavach Financial Services Private Limited</x:v>
      </x:c>
      <x:c r="C2019" s="12" t="str">
        <x:v>CORP-0066</x:v>
      </x:c>
      <x:c r="D2019" s="12" t="str">
        <x:v>Bengaluru</x:v>
      </x:c>
      <x:c r="E2019" s="12" t="str">
        <x:v>Obeya - Tranquil</x:v>
      </x:c>
      <x:c r="F2019" s="12" t="str">
        <x:v>32 inch LED TV</x:v>
      </x:c>
      <x:c r="G2019" s="20" t="n">
        <x:v>1</x:v>
      </x:c>
      <x:c r="H2019" s="12" t="str">
        <x:v>Inventory-listed building/workspace context; current occupancy and screen access unverified</x:v>
      </x:c>
      <x:c r="I2019" s="12" t="str">
        <x:v>Medium-scale prospects</x:v>
      </x:c>
      <x:c r="J2019" s="12" t="str">
        <x:v>Finance &amp; insurance</x:v>
      </x:c>
      <x:c r="K2019" s="2" t="str">
        <x:v>MAIN-070</x:v>
      </x:c>
    </x:row>
    <x:row r="2020" ht="46" customHeight="1">
      <x:c r="A2020" s="2" t="str">
        <x:v>TEN-A98310C4E2EE</x:v>
      </x:c>
      <x:c r="B2020" s="12" t="str">
        <x:v>Upflex- Anarock India Limited</x:v>
      </x:c>
      <x:c r="C2020" s="12" t="str">
        <x:v>CORP-0066</x:v>
      </x:c>
      <x:c r="D2020" s="12" t="str">
        <x:v>Bengaluru</x:v>
      </x:c>
      <x:c r="E2020" s="12" t="str">
        <x:v>Obeya - Tranquil</x:v>
      </x:c>
      <x:c r="F2020" s="12" t="str">
        <x:v>32 inch LED TV</x:v>
      </x:c>
      <x:c r="G2020" s="20" t="n">
        <x:v>1</x:v>
      </x:c>
      <x:c r="H2020" s="12" t="str">
        <x:v>Inventory-listed building/workspace context; current occupancy and screen access unverified</x:v>
      </x:c>
      <x:c r="I2020" s="12" t="str">
        <x:v>Mixed business audience</x:v>
      </x:c>
      <x:c r="J2020" s="12" t="str">
        <x:v>Trade, consumer &amp; logistics</x:v>
      </x:c>
      <x:c r="K2020" s="2" t="str">
        <x:v>MAIN-070</x:v>
      </x:c>
    </x:row>
    <x:row r="2021" ht="46" customHeight="1">
      <x:c r="A2021" s="2" t="str">
        <x:v>TEN-D4180954D964</x:v>
      </x:c>
      <x:c r="B2021" s="12" t="str">
        <x:v>Konde Products &amp; Services Pvt. Ltd</x:v>
      </x:c>
      <x:c r="C2021" s="12" t="str">
        <x:v>CORP-0066</x:v>
      </x:c>
      <x:c r="D2021" s="12" t="str">
        <x:v>Bengaluru</x:v>
      </x:c>
      <x:c r="E2021" s="12" t="str">
        <x:v>Obeya - Tranquil</x:v>
      </x:c>
      <x:c r="F2021" s="12" t="str">
        <x:v>32 inch LED TV</x:v>
      </x:c>
      <x:c r="G2021" s="20" t="n">
        <x:v>1</x:v>
      </x:c>
      <x:c r="H2021" s="12" t="str">
        <x:v>Inventory-listed building/workspace context; current occupancy and screen access unverified</x:v>
      </x:c>
      <x:c r="I2021" s="12" t="str">
        <x:v>Mixed business audience</x:v>
      </x:c>
      <x:c r="J2021" s="12" t="str">
        <x:v>Unresolved</x:v>
      </x:c>
      <x:c r="K2021" s="2" t="str">
        <x:v>MAIN-070</x:v>
      </x:c>
    </x:row>
    <x:row r="2022" ht="46" customHeight="1">
      <x:c r="A2022" s="2" t="str">
        <x:v>TEN-E5D9071CFFE6</x:v>
      </x:c>
      <x:c r="B2022" s="12" t="str">
        <x:v>narock Property, consultants private limited</x:v>
      </x:c>
      <x:c r="C2022" s="12" t="str">
        <x:v>CORP-0066</x:v>
      </x:c>
      <x:c r="D2022" s="12" t="str">
        <x:v>Bengaluru</x:v>
      </x:c>
      <x:c r="E2022" s="12" t="str">
        <x:v>Obeya - Tranquil</x:v>
      </x:c>
      <x:c r="F2022" s="12" t="str">
        <x:v>32 inch LED TV</x:v>
      </x:c>
      <x:c r="G2022" s="20" t="n">
        <x:v>1</x:v>
      </x:c>
      <x:c r="H2022" s="12" t="str">
        <x:v>Inventory-listed building/workspace context; current occupancy and screen access unverified</x:v>
      </x:c>
      <x:c r="I2022" s="12" t="str">
        <x:v>Mixed business audience</x:v>
      </x:c>
      <x:c r="J2022" s="12" t="str">
        <x:v>Unresolved</x:v>
      </x:c>
      <x:c r="K2022" s="2" t="str">
        <x:v>MAIN-070</x:v>
      </x:c>
    </x:row>
    <x:row r="2023" ht="46" customHeight="1">
      <x:c r="A2023" s="2" t="str">
        <x:v>TEN-F81028DE58EF</x:v>
      </x:c>
      <x:c r="B2023" s="12" t="str">
        <x:v>Anarock Group Business Services Private Limited</x:v>
      </x:c>
      <x:c r="C2023" s="12" t="str">
        <x:v>CORP-0066</x:v>
      </x:c>
      <x:c r="D2023" s="12" t="str">
        <x:v>Bengaluru</x:v>
      </x:c>
      <x:c r="E2023" s="12" t="str">
        <x:v>Obeya - Tranquil</x:v>
      </x:c>
      <x:c r="F2023" s="12" t="str">
        <x:v>32 inch LED TV</x:v>
      </x:c>
      <x:c r="G2023" s="20" t="n">
        <x:v>1</x:v>
      </x:c>
      <x:c r="H2023" s="12" t="str">
        <x:v>Inventory-listed building/workspace context; current occupancy and screen access unverified</x:v>
      </x:c>
      <x:c r="I2023" s="12" t="str">
        <x:v>Mixed business audience</x:v>
      </x:c>
      <x:c r="J2023" s="12" t="str">
        <x:v>Trade, consumer &amp; logistics</x:v>
      </x:c>
      <x:c r="K2023" s="2" t="str">
        <x:v>MAIN-070</x:v>
      </x:c>
    </x:row>
    <x:row r="2024" ht="46" customHeight="1">
      <x:c r="A2024" s="2" t="str">
        <x:v>TEN-14394EB753CA</x:v>
      </x:c>
      <x:c r="B2024" s="12" t="str">
        <x:v>Daytona System Pvt.Ltd</x:v>
      </x:c>
      <x:c r="C2024" s="12" t="str">
        <x:v>CORP-0067</x:v>
      </x:c>
      <x:c r="D2024" s="12" t="str">
        <x:v>Bengaluru</x:v>
      </x:c>
      <x:c r="E2024" s="12" t="str">
        <x:v>Obeya - Verve</x:v>
      </x:c>
      <x:c r="F2024" s="12" t="str">
        <x:v>32 inch LED TV</x:v>
      </x:c>
      <x:c r="G2024" s="20" t="n">
        <x:v>1</x:v>
      </x:c>
      <x:c r="H2024" s="12" t="str">
        <x:v>Inventory-listed building/workspace context; current occupancy and screen access unverified</x:v>
      </x:c>
      <x:c r="I2024" s="12" t="str">
        <x:v>Small-scale prospects</x:v>
      </x:c>
      <x:c r="J2024" s="12" t="str">
        <x:v>IT &amp; digital</x:v>
      </x:c>
      <x:c r="K2024" s="2" t="str">
        <x:v>MAIN-071</x:v>
      </x:c>
    </x:row>
    <x:row r="2025" ht="46" customHeight="1">
      <x:c r="A2025" s="2" t="str">
        <x:v>TEN-3F096CC5D9DD</x:v>
      </x:c>
      <x:c r="B2025" s="12" t="str">
        <x:v>Fluidi5 Technologies Pvt.Ltd</x:v>
      </x:c>
      <x:c r="C2025" s="12" t="str">
        <x:v>CORP-0067</x:v>
      </x:c>
      <x:c r="D2025" s="12" t="str">
        <x:v>Bengaluru</x:v>
      </x:c>
      <x:c r="E2025" s="12" t="str">
        <x:v>Obeya - Verve</x:v>
      </x:c>
      <x:c r="F2025" s="12" t="str">
        <x:v>32 inch LED TV</x:v>
      </x:c>
      <x:c r="G2025" s="20" t="n">
        <x:v>1</x:v>
      </x:c>
      <x:c r="H2025" s="12" t="str">
        <x:v>Inventory-listed building/workspace context; current occupancy and screen access unverified</x:v>
      </x:c>
      <x:c r="I2025" s="12" t="str">
        <x:v>Mixed business audience</x:v>
      </x:c>
      <x:c r="J2025" s="12" t="str">
        <x:v>Unresolved</x:v>
      </x:c>
      <x:c r="K2025" s="2" t="str">
        <x:v>MAIN-071</x:v>
      </x:c>
    </x:row>
    <x:row r="2026" ht="46" customHeight="1">
      <x:c r="A2026" s="2" t="str">
        <x:v>TEN-5B0F75D66A88</x:v>
      </x:c>
      <x:c r="B2026" s="12" t="str">
        <x:v>PZ Medical India Pvt Ltd</x:v>
      </x:c>
      <x:c r="C2026" s="12" t="str">
        <x:v>CORP-0067</x:v>
      </x:c>
      <x:c r="D2026" s="12" t="str">
        <x:v>Bengaluru</x:v>
      </x:c>
      <x:c r="E2026" s="12" t="str">
        <x:v>Obeya - Verve</x:v>
      </x:c>
      <x:c r="F2026" s="12" t="str">
        <x:v>32 inch LED TV</x:v>
      </x:c>
      <x:c r="G2026" s="20" t="n">
        <x:v>1</x:v>
      </x:c>
      <x:c r="H2026" s="12" t="str">
        <x:v>Inventory-listed building/workspace context; current occupancy and screen access unverified</x:v>
      </x:c>
      <x:c r="I2026" s="12" t="str">
        <x:v>Small-scale prospects</x:v>
      </x:c>
      <x:c r="J2026" s="12" t="str">
        <x:v>Healthcare &amp; life sciences</x:v>
      </x:c>
      <x:c r="K2026" s="2" t="str">
        <x:v>MAIN-071</x:v>
      </x:c>
    </x:row>
    <x:row r="2027" ht="46" customHeight="1">
      <x:c r="A2027" s="2" t="str">
        <x:v>TEN-60C01465DD42</x:v>
      </x:c>
      <x:c r="B2027" s="12" t="str">
        <x:v>I-Roomz India Private Limited</x:v>
      </x:c>
      <x:c r="C2027" s="12" t="str">
        <x:v>CORP-0067</x:v>
      </x:c>
      <x:c r="D2027" s="12" t="str">
        <x:v>Bengaluru</x:v>
      </x:c>
      <x:c r="E2027" s="12" t="str">
        <x:v>Obeya - Verve</x:v>
      </x:c>
      <x:c r="F2027" s="12" t="str">
        <x:v>32 inch LED TV</x:v>
      </x:c>
      <x:c r="G2027" s="20" t="n">
        <x:v>1</x:v>
      </x:c>
      <x:c r="H2027" s="12" t="str">
        <x:v>Inventory-listed building/workspace context; current occupancy and screen access unverified</x:v>
      </x:c>
      <x:c r="I2027" s="12" t="str">
        <x:v>Small-scale prospects</x:v>
      </x:c>
      <x:c r="J2027" s="12" t="str">
        <x:v>Trade, consumer &amp; logistics</x:v>
      </x:c>
      <x:c r="K2027" s="2" t="str">
        <x:v>MAIN-071</x:v>
      </x:c>
    </x:row>
    <x:row r="2028" ht="46" customHeight="1">
      <x:c r="A2028" s="2" t="str">
        <x:v>TEN-6B86B1AF6901</x:v>
      </x:c>
      <x:c r="B2028" s="12" t="str">
        <x:v>A2M TEchnologies</x:v>
      </x:c>
      <x:c r="C2028" s="12" t="str">
        <x:v>CORP-0067</x:v>
      </x:c>
      <x:c r="D2028" s="12" t="str">
        <x:v>Bengaluru</x:v>
      </x:c>
      <x:c r="E2028" s="12" t="str">
        <x:v>Obeya - Verve</x:v>
      </x:c>
      <x:c r="F2028" s="12" t="str">
        <x:v>32 inch LED TV</x:v>
      </x:c>
      <x:c r="G2028" s="20" t="n">
        <x:v>1</x:v>
      </x:c>
      <x:c r="H2028" s="12" t="str">
        <x:v>Inventory-listed building/workspace context; current occupancy and screen access unverified</x:v>
      </x:c>
      <x:c r="I2028" s="12" t="str">
        <x:v>Mixed business audience</x:v>
      </x:c>
      <x:c r="J2028" s="12" t="str">
        <x:v>Unresolved</x:v>
      </x:c>
      <x:c r="K2028" s="2" t="str">
        <x:v>MAIN-071</x:v>
      </x:c>
    </x:row>
    <x:row r="2029" ht="46" customHeight="1">
      <x:c r="A2029" s="2" t="str">
        <x:v>TEN-85A2BCA26E54</x:v>
      </x:c>
      <x:c r="B2029" s="12" t="str">
        <x:v>Quick Logi Technologies Idia Pvt.Ltd</x:v>
      </x:c>
      <x:c r="C2029" s="12" t="str">
        <x:v>CORP-0067</x:v>
      </x:c>
      <x:c r="D2029" s="12" t="str">
        <x:v>Bengaluru</x:v>
      </x:c>
      <x:c r="E2029" s="12" t="str">
        <x:v>Obeya - Verve</x:v>
      </x:c>
      <x:c r="F2029" s="12" t="str">
        <x:v>32 inch LED TV</x:v>
      </x:c>
      <x:c r="G2029" s="20" t="n">
        <x:v>1</x:v>
      </x:c>
      <x:c r="H2029" s="12" t="str">
        <x:v>Inventory-listed building/workspace context; current occupancy and screen access unverified</x:v>
      </x:c>
      <x:c r="I2029" s="12" t="str">
        <x:v>Mixed business audience</x:v>
      </x:c>
      <x:c r="J2029" s="12" t="str">
        <x:v>Unresolved</x:v>
      </x:c>
      <x:c r="K2029" s="2" t="str">
        <x:v>MAIN-071</x:v>
      </x:c>
    </x:row>
    <x:row r="2030" ht="46" customHeight="1">
      <x:c r="A2030" s="2" t="str">
        <x:v>TEN-E7ECD96DD676</x:v>
      </x:c>
      <x:c r="B2030" s="12" t="str">
        <x:v>Fampay Solutions Pvt.Ltd</x:v>
      </x:c>
      <x:c r="C2030" s="12" t="str">
        <x:v>CORP-0067</x:v>
      </x:c>
      <x:c r="D2030" s="12" t="str">
        <x:v>Bengaluru</x:v>
      </x:c>
      <x:c r="E2030" s="12" t="str">
        <x:v>Obeya - Verve</x:v>
      </x:c>
      <x:c r="F2030" s="12" t="str">
        <x:v>32 inch LED TV</x:v>
      </x:c>
      <x:c r="G2030" s="20" t="n">
        <x:v>1</x:v>
      </x:c>
      <x:c r="H2030" s="12" t="str">
        <x:v>Inventory-listed building/workspace context; current occupancy and screen access unverified</x:v>
      </x:c>
      <x:c r="I2030" s="12" t="str">
        <x:v>Medium-scale prospects</x:v>
      </x:c>
      <x:c r="J2030" s="12" t="str">
        <x:v>Finance &amp; insurance</x:v>
      </x:c>
      <x:c r="K2030" s="2" t="str">
        <x:v>MAIN-071</x:v>
      </x:c>
    </x:row>
    <x:row r="2031" ht="46" customHeight="1">
      <x:c r="A2031" s="2" t="str">
        <x:v>TEN-1368D08A6983</x:v>
      </x:c>
      <x:c r="B2031" s="12" t="str">
        <x:v>Guidewire Software Solutions India Pvt Ltd</x:v>
      </x:c>
      <x:c r="C2031" s="12" t="str">
        <x:v>CORP-0068</x:v>
      </x:c>
      <x:c r="D2031" s="12" t="str">
        <x:v>Bengaluru</x:v>
      </x:c>
      <x:c r="E2031" s="12" t="str">
        <x:v>Prestige Etamin (Redbrick Offices)</x:v>
      </x:c>
      <x:c r="F2031" s="12" t="str">
        <x:v>32 inch LED TV</x:v>
      </x:c>
      <x:c r="G2031" s="20" t="n">
        <x:v>1</x:v>
      </x:c>
      <x:c r="H2031" s="12" t="str">
        <x:v>Campus/portfolio roster; individual building occupancy unverified</x:v>
      </x:c>
      <x:c r="I2031" s="12" t="str">
        <x:v>Large enterprise</x:v>
      </x:c>
      <x:c r="J2031" s="12" t="str">
        <x:v>IT &amp; digital</x:v>
      </x:c>
      <x:c r="K2031" s="2" t="str">
        <x:v>MAIN-072</x:v>
      </x:c>
    </x:row>
    <x:row r="2032" ht="46" customHeight="1">
      <x:c r="A2032" s="2" t="str">
        <x:v>TEN-1AAF3025033C</x:v>
      </x:c>
      <x:c r="B2032" s="12" t="str">
        <x:v>Amadeus</x:v>
      </x:c>
      <x:c r="C2032" s="12" t="str">
        <x:v>CORP-0068</x:v>
      </x:c>
      <x:c r="D2032" s="12" t="str">
        <x:v>Bengaluru</x:v>
      </x:c>
      <x:c r="E2032" s="12" t="str">
        <x:v>Prestige Etamin (Redbrick Offices)</x:v>
      </x:c>
      <x:c r="F2032" s="12" t="str">
        <x:v>32 inch LED TV</x:v>
      </x:c>
      <x:c r="G2032" s="20" t="n">
        <x:v>1</x:v>
      </x:c>
      <x:c r="H2032" s="12" t="str">
        <x:v>Campus/portfolio roster; individual building occupancy unverified</x:v>
      </x:c>
      <x:c r="I2032" s="12" t="str">
        <x:v>Large enterprise</x:v>
      </x:c>
      <x:c r="J2032" s="12" t="str">
        <x:v>IT &amp; digital</x:v>
      </x:c>
      <x:c r="K2032" s="2" t="str">
        <x:v>MAIN-072</x:v>
      </x:c>
    </x:row>
    <x:row r="2033" ht="46" customHeight="1">
      <x:c r="A2033" s="2" t="str">
        <x:v>TEN-28CBC5A35638</x:v>
      </x:c>
      <x:c r="B2033" s="12" t="str">
        <x:v>Juniper Networks</x:v>
      </x:c>
      <x:c r="C2033" s="12" t="str">
        <x:v>CORP-0068</x:v>
      </x:c>
      <x:c r="D2033" s="12" t="str">
        <x:v>Bengaluru</x:v>
      </x:c>
      <x:c r="E2033" s="12" t="str">
        <x:v>Prestige Etamin (Redbrick Offices)</x:v>
      </x:c>
      <x:c r="F2033" s="12" t="str">
        <x:v>32 inch LED TV</x:v>
      </x:c>
      <x:c r="G2033" s="20" t="n">
        <x:v>1</x:v>
      </x:c>
      <x:c r="H2033" s="12" t="str">
        <x:v>Campus/portfolio roster; individual building occupancy unverified</x:v>
      </x:c>
      <x:c r="I2033" s="12" t="str">
        <x:v>Large enterprise</x:v>
      </x:c>
      <x:c r="J2033" s="12" t="str">
        <x:v>IT &amp; digital</x:v>
      </x:c>
      <x:c r="K2033" s="2" t="str">
        <x:v>MAIN-072</x:v>
      </x:c>
    </x:row>
    <x:row r="2034" ht="46" customHeight="1">
      <x:c r="A2034" s="2" t="str">
        <x:v>TEN-7EC7B0FA329F</x:v>
      </x:c>
      <x:c r="B2034" s="12" t="str">
        <x:v>EisnerAmper (India) Bengaluru</x:v>
      </x:c>
      <x:c r="C2034" s="12" t="str">
        <x:v>CORP-0068</x:v>
      </x:c>
      <x:c r="D2034" s="12" t="str">
        <x:v>Bengaluru</x:v>
      </x:c>
      <x:c r="E2034" s="12" t="str">
        <x:v>Prestige Etamin (Redbrick Offices)</x:v>
      </x:c>
      <x:c r="F2034" s="12" t="str">
        <x:v>32 inch LED TV</x:v>
      </x:c>
      <x:c r="G2034" s="20" t="n">
        <x:v>1</x:v>
      </x:c>
      <x:c r="H2034" s="12" t="str">
        <x:v>Campus/portfolio roster; individual building occupancy unverified</x:v>
      </x:c>
      <x:c r="I2034" s="12" t="str">
        <x:v>Mixed business audience</x:v>
      </x:c>
      <x:c r="J2034" s="12" t="str">
        <x:v>Professional services</x:v>
      </x:c>
      <x:c r="K2034" s="2" t="str">
        <x:v>MAIN-072</x:v>
      </x:c>
    </x:row>
    <x:row r="2035" ht="46" customHeight="1">
      <x:c r="A2035" s="2" t="str">
        <x:v>TEN-BC3067AC45DF</x:v>
      </x:c>
      <x:c r="B2035" s="12" t="str">
        <x:v>Schneider Electric</x:v>
      </x:c>
      <x:c r="C2035" s="12" t="str">
        <x:v>CORP-0068</x:v>
      </x:c>
      <x:c r="D2035" s="12" t="str">
        <x:v>Bengaluru</x:v>
      </x:c>
      <x:c r="E2035" s="12" t="str">
        <x:v>Prestige Etamin (Redbrick Offices)</x:v>
      </x:c>
      <x:c r="F2035" s="12" t="str">
        <x:v>32 inch LED TV</x:v>
      </x:c>
      <x:c r="G2035" s="20" t="n">
        <x:v>1</x:v>
      </x:c>
      <x:c r="H2035" s="12" t="str">
        <x:v>Campus/portfolio roster; individual building occupancy unverified</x:v>
      </x:c>
      <x:c r="I2035" s="12" t="str">
        <x:v>Large enterprise</x:v>
      </x:c>
      <x:c r="J2035" s="12" t="str">
        <x:v>Engineering &amp; manufacturing</x:v>
      </x:c>
      <x:c r="K2035" s="2" t="str">
        <x:v>MAIN-072</x:v>
      </x:c>
    </x:row>
    <x:row r="2036" ht="46" customHeight="1">
      <x:c r="A2036" s="2" t="str">
        <x:v>TEN-DFAD7388CC62</x:v>
      </x:c>
      <x:c r="B2036" s="12" t="str">
        <x:v>Juniper India Toastmasters Club</x:v>
      </x:c>
      <x:c r="C2036" s="12" t="str">
        <x:v>CORP-0068</x:v>
      </x:c>
      <x:c r="D2036" s="12" t="str">
        <x:v>Bengaluru</x:v>
      </x:c>
      <x:c r="E2036" s="12" t="str">
        <x:v>Prestige Etamin (Redbrick Offices)</x:v>
      </x:c>
      <x:c r="F2036" s="12" t="str">
        <x:v>32 inch LED TV</x:v>
      </x:c>
      <x:c r="G2036" s="20" t="n">
        <x:v>1</x:v>
      </x:c>
      <x:c r="H2036" s="12" t="str">
        <x:v>Campus/portfolio roster; individual building occupancy unverified</x:v>
      </x:c>
      <x:c r="I2036" s="12" t="str">
        <x:v>Institutional</x:v>
      </x:c>
      <x:c r="J2036" s="12" t="str">
        <x:v>Government &amp; nonprofit</x:v>
      </x:c>
      <x:c r="K2036" s="2" t="str">
        <x:v>MAIN-072</x:v>
      </x:c>
    </x:row>
    <x:row r="2037" ht="46" customHeight="1">
      <x:c r="A2037" s="2" t="str">
        <x:v>TEN-FEDED0C77570</x:v>
      </x:c>
      <x:c r="B2037" s="12" t="str">
        <x:v>Activ Doctors Clinic</x:v>
      </x:c>
      <x:c r="C2037" s="12" t="str">
        <x:v>CORP-0068</x:v>
      </x:c>
      <x:c r="D2037" s="12" t="str">
        <x:v>Bengaluru</x:v>
      </x:c>
      <x:c r="E2037" s="12" t="str">
        <x:v>Prestige Etamin (Redbrick Offices)</x:v>
      </x:c>
      <x:c r="F2037" s="12" t="str">
        <x:v>32 inch LED TV</x:v>
      </x:c>
      <x:c r="G2037" s="20" t="n">
        <x:v>1</x:v>
      </x:c>
      <x:c r="H2037" s="12" t="str">
        <x:v>Campus/portfolio roster; individual building occupancy unverified</x:v>
      </x:c>
      <x:c r="I2037" s="12" t="str">
        <x:v>Micro-scale prospects</x:v>
      </x:c>
      <x:c r="J2037" s="12" t="str">
        <x:v>Healthcare &amp; life sciences</x:v>
      </x:c>
      <x:c r="K2037" s="2" t="str">
        <x:v>MAIN-072</x:v>
      </x:c>
    </x:row>
    <x:row r="2038" ht="46" customHeight="1">
      <x:c r="A2038" s="2" t="str">
        <x:v>TEN-05C3EA2B409C</x:v>
      </x:c>
      <x:c r="B2038" s="12" t="str">
        <x:v>IndusViva HealthSciences Pvt. Ltd</x:v>
      </x:c>
      <x:c r="C2038" s="12" t="str">
        <x:v>CORP-0069</x:v>
      </x:c>
      <x:c r="D2038" s="12" t="str">
        <x:v>Bengaluru</x:v>
      </x:c>
      <x:c r="E2038" s="12" t="str">
        <x:v>Prestige Obelisk</x:v>
      </x:c>
      <x:c r="F2038" s="12" t="str">
        <x:v>55 inch LED TV</x:v>
      </x:c>
      <x:c r="G2038" s="20" t="n">
        <x:v>1</x:v>
      </x:c>
      <x:c r="H2038" s="12" t="str">
        <x:v>Same-building name inference from another supplied inventory row; exact site-ID match absent</x:v>
      </x:c>
      <x:c r="I2038" s="12" t="str">
        <x:v>Small-scale prospects</x:v>
      </x:c>
      <x:c r="J2038" s="12" t="str">
        <x:v>Healthcare &amp; life sciences</x:v>
      </x:c>
      <x:c r="K2038" s="2" t="str">
        <x:v>MAIN-073</x:v>
      </x:c>
    </x:row>
    <x:row r="2039" ht="46" customHeight="1">
      <x:c r="A2039" s="2" t="str">
        <x:v>TEN-13258F6CB706</x:v>
      </x:c>
      <x:c r="B2039" s="12" t="str">
        <x:v>Urban Vault</x:v>
      </x:c>
      <x:c r="C2039" s="12" t="str">
        <x:v>CORP-0069</x:v>
      </x:c>
      <x:c r="D2039" s="12" t="str">
        <x:v>Bengaluru</x:v>
      </x:c>
      <x:c r="E2039" s="12" t="str">
        <x:v>Prestige Obelisk</x:v>
      </x:c>
      <x:c r="F2039" s="12" t="str">
        <x:v>55 inch LED TV</x:v>
      </x:c>
      <x:c r="G2039" s="20" t="n">
        <x:v>1</x:v>
      </x:c>
      <x:c r="H2039" s="12" t="str">
        <x:v>Same-building name inference from another supplied inventory row; exact site-ID match absent</x:v>
      </x:c>
      <x:c r="I2039" s="12" t="str">
        <x:v>Mixed business audience</x:v>
      </x:c>
      <x:c r="J2039" s="12" t="str">
        <x:v>Workspace &amp; property operations</x:v>
      </x:c>
      <x:c r="K2039" s="2" t="str">
        <x:v>MAIN-073</x:v>
      </x:c>
    </x:row>
    <x:row r="2040" ht="46" customHeight="1">
      <x:c r="A2040" s="2" t="str">
        <x:v>TEN-1C593F87A18C</x:v>
      </x:c>
      <x:c r="B2040" s="12" t="str">
        <x:v>Yes Bank</x:v>
      </x:c>
      <x:c r="C2040" s="12" t="str">
        <x:v>CORP-0069</x:v>
      </x:c>
      <x:c r="D2040" s="12" t="str">
        <x:v>Bengaluru</x:v>
      </x:c>
      <x:c r="E2040" s="12" t="str">
        <x:v>Prestige Obelisk</x:v>
      </x:c>
      <x:c r="F2040" s="12" t="str">
        <x:v>55 inch LED TV</x:v>
      </x:c>
      <x:c r="G2040" s="20" t="n">
        <x:v>1</x:v>
      </x:c>
      <x:c r="H2040" s="12" t="str">
        <x:v>Same-building name inference from another supplied inventory row; exact site-ID match absent</x:v>
      </x:c>
      <x:c r="I2040" s="12" t="str">
        <x:v>Large enterprise</x:v>
      </x:c>
      <x:c r="J2040" s="12" t="str">
        <x:v>Finance &amp; insurance</x:v>
      </x:c>
      <x:c r="K2040" s="2" t="str">
        <x:v>MAIN-073</x:v>
      </x:c>
    </x:row>
    <x:row r="2041" ht="46" customHeight="1">
      <x:c r="A2041" s="2" t="str">
        <x:v>TEN-2E1A93A8B010</x:v>
      </x:c>
      <x:c r="B2041" s="12" t="str">
        <x:v>Borqs Software Solutions</x:v>
      </x:c>
      <x:c r="C2041" s="12" t="str">
        <x:v>CORP-0069</x:v>
      </x:c>
      <x:c r="D2041" s="12" t="str">
        <x:v>Bengaluru</x:v>
      </x:c>
      <x:c r="E2041" s="12" t="str">
        <x:v>Prestige Obelisk</x:v>
      </x:c>
      <x:c r="F2041" s="12" t="str">
        <x:v>55 inch LED TV</x:v>
      </x:c>
      <x:c r="G2041" s="20" t="n">
        <x:v>1</x:v>
      </x:c>
      <x:c r="H2041" s="12" t="str">
        <x:v>Same-building name inference from another supplied inventory row; exact site-ID match absent</x:v>
      </x:c>
      <x:c r="I2041" s="12" t="str">
        <x:v>Small-scale prospects</x:v>
      </x:c>
      <x:c r="J2041" s="12" t="str">
        <x:v>IT &amp; digital</x:v>
      </x:c>
      <x:c r="K2041" s="2" t="str">
        <x:v>MAIN-073</x:v>
      </x:c>
    </x:row>
    <x:row r="2042" ht="46" customHeight="1">
      <x:c r="A2042" s="2" t="str">
        <x:v>TEN-47445949BEEF</x:v>
      </x:c>
      <x:c r="B2042" s="12" t="str">
        <x:v>Yamazaki Mazak India Pvt. Ltd</x:v>
      </x:c>
      <x:c r="C2042" s="12" t="str">
        <x:v>CORP-0069</x:v>
      </x:c>
      <x:c r="D2042" s="12" t="str">
        <x:v>Bengaluru</x:v>
      </x:c>
      <x:c r="E2042" s="12" t="str">
        <x:v>Prestige Obelisk</x:v>
      </x:c>
      <x:c r="F2042" s="12" t="str">
        <x:v>55 inch LED TV</x:v>
      </x:c>
      <x:c r="G2042" s="20" t="n">
        <x:v>1</x:v>
      </x:c>
      <x:c r="H2042" s="12" t="str">
        <x:v>Same-building name inference from another supplied inventory row; exact site-ID match absent</x:v>
      </x:c>
      <x:c r="I2042" s="12" t="str">
        <x:v>Mixed business audience</x:v>
      </x:c>
      <x:c r="J2042" s="12" t="str">
        <x:v>Engineering &amp; manufacturing</x:v>
      </x:c>
      <x:c r="K2042" s="2" t="str">
        <x:v>MAIN-073</x:v>
      </x:c>
    </x:row>
    <x:row r="2043" ht="46" customHeight="1">
      <x:c r="A2043" s="2" t="str">
        <x:v>TEN-6CF5FB813A56</x:v>
      </x:c>
      <x:c r="B2043" s="12" t="str">
        <x:v>German Consulate General</x:v>
      </x:c>
      <x:c r="C2043" s="12" t="str">
        <x:v>CORP-0069</x:v>
      </x:c>
      <x:c r="D2043" s="12" t="str">
        <x:v>Bengaluru</x:v>
      </x:c>
      <x:c r="E2043" s="12" t="str">
        <x:v>Prestige Obelisk</x:v>
      </x:c>
      <x:c r="F2043" s="12" t="str">
        <x:v>55 inch LED TV</x:v>
      </x:c>
      <x:c r="G2043" s="20" t="n">
        <x:v>1</x:v>
      </x:c>
      <x:c r="H2043" s="12" t="str">
        <x:v>Same-building name inference from another supplied inventory row; exact site-ID match absent</x:v>
      </x:c>
      <x:c r="I2043" s="12" t="str">
        <x:v>Institutional</x:v>
      </x:c>
      <x:c r="J2043" s="12" t="str">
        <x:v>Government &amp; nonprofit</x:v>
      </x:c>
      <x:c r="K2043" s="2" t="str">
        <x:v>MAIN-073</x:v>
      </x:c>
    </x:row>
    <x:row r="2044" ht="46" customHeight="1">
      <x:c r="A2044" s="2" t="str">
        <x:v>TEN-7D7278F45745</x:v>
      </x:c>
      <x:c r="B2044" s="12" t="str">
        <x:v>Thermo Fisher Scientific India</x:v>
      </x:c>
      <x:c r="C2044" s="12" t="str">
        <x:v>CORP-0069</x:v>
      </x:c>
      <x:c r="D2044" s="12" t="str">
        <x:v>Bengaluru</x:v>
      </x:c>
      <x:c r="E2044" s="12" t="str">
        <x:v>Prestige Obelisk</x:v>
      </x:c>
      <x:c r="F2044" s="12" t="str">
        <x:v>55 inch LED TV</x:v>
      </x:c>
      <x:c r="G2044" s="20" t="n">
        <x:v>1</x:v>
      </x:c>
      <x:c r="H2044" s="12" t="str">
        <x:v>Same-building name inference from another supplied inventory row; exact site-ID match absent</x:v>
      </x:c>
      <x:c r="I2044" s="12" t="str">
        <x:v>Mixed business audience</x:v>
      </x:c>
      <x:c r="J2044" s="12" t="str">
        <x:v>Healthcare &amp; life sciences</x:v>
      </x:c>
      <x:c r="K2044" s="2" t="str">
        <x:v>MAIN-073</x:v>
      </x:c>
    </x:row>
    <x:row r="2045" ht="46" customHeight="1">
      <x:c r="A2045" s="2" t="str">
        <x:v>TEN-8A72227343A9</x:v>
      </x:c>
      <x:c r="B2045" s="12" t="str">
        <x:v>The Cash Pharmacy</x:v>
      </x:c>
      <x:c r="C2045" s="12" t="str">
        <x:v>CORP-0069</x:v>
      </x:c>
      <x:c r="D2045" s="12" t="str">
        <x:v>Bengaluru</x:v>
      </x:c>
      <x:c r="E2045" s="12" t="str">
        <x:v>Prestige Obelisk</x:v>
      </x:c>
      <x:c r="F2045" s="12" t="str">
        <x:v>55 inch LED TV</x:v>
      </x:c>
      <x:c r="G2045" s="20" t="n">
        <x:v>1</x:v>
      </x:c>
      <x:c r="H2045" s="12" t="str">
        <x:v>Same-building name inference from another supplied inventory row; exact site-ID match absent</x:v>
      </x:c>
      <x:c r="I2045" s="12" t="str">
        <x:v>Medium-scale prospects</x:v>
      </x:c>
      <x:c r="J2045" s="12" t="str">
        <x:v>Healthcare &amp; life sciences</x:v>
      </x:c>
      <x:c r="K2045" s="2" t="str">
        <x:v>MAIN-073</x:v>
      </x:c>
    </x:row>
    <x:row r="2046" ht="46" customHeight="1">
      <x:c r="A2046" s="2" t="str">
        <x:v>TEN-8EDB9C45B20E</x:v>
      </x:c>
      <x:c r="B2046" s="12" t="str">
        <x:v>Dr. Shetty's Aesthetic</x:v>
      </x:c>
      <x:c r="C2046" s="12" t="str">
        <x:v>CORP-0069</x:v>
      </x:c>
      <x:c r="D2046" s="12" t="str">
        <x:v>Bengaluru</x:v>
      </x:c>
      <x:c r="E2046" s="12" t="str">
        <x:v>Prestige Obelisk</x:v>
      </x:c>
      <x:c r="F2046" s="12" t="str">
        <x:v>55 inch LED TV</x:v>
      </x:c>
      <x:c r="G2046" s="20" t="n">
        <x:v>1</x:v>
      </x:c>
      <x:c r="H2046" s="12" t="str">
        <x:v>Same-building name inference from another supplied inventory row; exact site-ID match absent</x:v>
      </x:c>
      <x:c r="I2046" s="12" t="str">
        <x:v>Medium-scale prospects</x:v>
      </x:c>
      <x:c r="J2046" s="12" t="str">
        <x:v>Healthcare &amp; life sciences</x:v>
      </x:c>
      <x:c r="K2046" s="2" t="str">
        <x:v>MAIN-073</x:v>
      </x:c>
    </x:row>
    <x:row r="2047" ht="46" customHeight="1">
      <x:c r="A2047" s="2" t="str">
        <x:v>TEN-907D11AE3179</x:v>
      </x:c>
      <x:c r="B2047" s="12" t="str">
        <x:v>Coface India</x:v>
      </x:c>
      <x:c r="C2047" s="12" t="str">
        <x:v>CORP-0069</x:v>
      </x:c>
      <x:c r="D2047" s="12" t="str">
        <x:v>Bengaluru</x:v>
      </x:c>
      <x:c r="E2047" s="12" t="str">
        <x:v>Prestige Obelisk</x:v>
      </x:c>
      <x:c r="F2047" s="12" t="str">
        <x:v>55 inch LED TV</x:v>
      </x:c>
      <x:c r="G2047" s="20" t="n">
        <x:v>1</x:v>
      </x:c>
      <x:c r="H2047" s="12" t="str">
        <x:v>Same-building name inference from another supplied inventory row; exact site-ID match absent</x:v>
      </x:c>
      <x:c r="I2047" s="12" t="str">
        <x:v>Mixed business audience</x:v>
      </x:c>
      <x:c r="J2047" s="12" t="str">
        <x:v>Finance &amp; insurance</x:v>
      </x:c>
      <x:c r="K2047" s="2" t="str">
        <x:v>MAIN-073</x:v>
      </x:c>
    </x:row>
    <x:row r="2048" ht="46" customHeight="1">
      <x:c r="A2048" s="2" t="str">
        <x:v>TEN-A04E8DBF862F</x:v>
      </x:c>
      <x:c r="B2048" s="12" t="str">
        <x:v>Cigna TTK Health Insurance Company Ltd</x:v>
      </x:c>
      <x:c r="C2048" s="12" t="str">
        <x:v>CORP-0069</x:v>
      </x:c>
      <x:c r="D2048" s="12" t="str">
        <x:v>Bengaluru</x:v>
      </x:c>
      <x:c r="E2048" s="12" t="str">
        <x:v>Prestige Obelisk</x:v>
      </x:c>
      <x:c r="F2048" s="12" t="str">
        <x:v>55 inch LED TV</x:v>
      </x:c>
      <x:c r="G2048" s="20" t="n">
        <x:v>1</x:v>
      </x:c>
      <x:c r="H2048" s="12" t="str">
        <x:v>Same-building name inference from another supplied inventory row; exact site-ID match absent</x:v>
      </x:c>
      <x:c r="I2048" s="12" t="str">
        <x:v>Mixed business audience</x:v>
      </x:c>
      <x:c r="J2048" s="12" t="str">
        <x:v>Finance &amp; insurance</x:v>
      </x:c>
      <x:c r="K2048" s="2" t="str">
        <x:v>MAIN-073</x:v>
      </x:c>
    </x:row>
    <x:row r="2049" ht="46" customHeight="1">
      <x:c r="A2049" s="2" t="str">
        <x:v>TEN-A7F7AF8EB3A5</x:v>
      </x:c>
      <x:c r="B2049" s="12" t="str">
        <x:v>Flicker projects Pvt. Ltd</x:v>
      </x:c>
      <x:c r="C2049" s="12" t="str">
        <x:v>CORP-0069</x:v>
      </x:c>
      <x:c r="D2049" s="12" t="str">
        <x:v>Bengaluru</x:v>
      </x:c>
      <x:c r="E2049" s="12" t="str">
        <x:v>Prestige Obelisk</x:v>
      </x:c>
      <x:c r="F2049" s="12" t="str">
        <x:v>55 inch LED TV</x:v>
      </x:c>
      <x:c r="G2049" s="20" t="n">
        <x:v>1</x:v>
      </x:c>
      <x:c r="H2049" s="12" t="str">
        <x:v>Same-building name inference from another supplied inventory row; exact site-ID match absent</x:v>
      </x:c>
      <x:c r="I2049" s="12" t="str">
        <x:v>Mixed business audience</x:v>
      </x:c>
      <x:c r="J2049" s="12" t="str">
        <x:v>Unresolved</x:v>
      </x:c>
      <x:c r="K2049" s="2" t="str">
        <x:v>MAIN-073</x:v>
      </x:c>
    </x:row>
    <x:row r="2050" ht="46" customHeight="1">
      <x:c r="A2050" s="2" t="str">
        <x:v>TEN-AABF376657C0</x:v>
      </x:c>
      <x:c r="B2050" s="12" t="str">
        <x:v>JK Cement Ltd</x:v>
      </x:c>
      <x:c r="C2050" s="12" t="str">
        <x:v>CORP-0069</x:v>
      </x:c>
      <x:c r="D2050" s="12" t="str">
        <x:v>Bengaluru</x:v>
      </x:c>
      <x:c r="E2050" s="12" t="str">
        <x:v>Prestige Obelisk</x:v>
      </x:c>
      <x:c r="F2050" s="12" t="str">
        <x:v>55 inch LED TV</x:v>
      </x:c>
      <x:c r="G2050" s="20" t="n">
        <x:v>1</x:v>
      </x:c>
      <x:c r="H2050" s="12" t="str">
        <x:v>Same-building name inference from another supplied inventory row; exact site-ID match absent</x:v>
      </x:c>
      <x:c r="I2050" s="12" t="str">
        <x:v>Mixed business audience</x:v>
      </x:c>
      <x:c r="J2050" s="12" t="str">
        <x:v>Engineering &amp; manufacturing</x:v>
      </x:c>
      <x:c r="K2050" s="2" t="str">
        <x:v>MAIN-073</x:v>
      </x:c>
    </x:row>
    <x:row r="2051" ht="46" customHeight="1">
      <x:c r="A2051" s="2" t="str">
        <x:v>TEN-B3FD6E87E781</x:v>
      </x:c>
      <x:c r="B2051" s="12" t="str">
        <x:v>Eaton Technologies Pvt. Ltd</x:v>
      </x:c>
      <x:c r="C2051" s="12" t="str">
        <x:v>CORP-0069</x:v>
      </x:c>
      <x:c r="D2051" s="12" t="str">
        <x:v>Bengaluru</x:v>
      </x:c>
      <x:c r="E2051" s="12" t="str">
        <x:v>Prestige Obelisk</x:v>
      </x:c>
      <x:c r="F2051" s="12" t="str">
        <x:v>55 inch LED TV</x:v>
      </x:c>
      <x:c r="G2051" s="20" t="n">
        <x:v>1</x:v>
      </x:c>
      <x:c r="H2051" s="12" t="str">
        <x:v>Same-building name inference from another supplied inventory row; exact site-ID match absent</x:v>
      </x:c>
      <x:c r="I2051" s="12" t="str">
        <x:v>Mixed business audience</x:v>
      </x:c>
      <x:c r="J2051" s="12" t="str">
        <x:v>Engineering &amp; manufacturing</x:v>
      </x:c>
      <x:c r="K2051" s="2" t="str">
        <x:v>MAIN-073</x:v>
      </x:c>
    </x:row>
    <x:row r="2052" ht="46" customHeight="1">
      <x:c r="A2052" s="2" t="str">
        <x:v>TEN-D6FCC16B02C8</x:v>
      </x:c>
      <x:c r="B2052" s="12" t="str">
        <x:v>Lake Chemicals Pvt. Ltd</x:v>
      </x:c>
      <x:c r="C2052" s="12" t="str">
        <x:v>CORP-0069</x:v>
      </x:c>
      <x:c r="D2052" s="12" t="str">
        <x:v>Bengaluru</x:v>
      </x:c>
      <x:c r="E2052" s="12" t="str">
        <x:v>Prestige Obelisk</x:v>
      </x:c>
      <x:c r="F2052" s="12" t="str">
        <x:v>55 inch LED TV</x:v>
      </x:c>
      <x:c r="G2052" s="20" t="n">
        <x:v>1</x:v>
      </x:c>
      <x:c r="H2052" s="12" t="str">
        <x:v>Same-building name inference from another supplied inventory row; exact site-ID match absent</x:v>
      </x:c>
      <x:c r="I2052" s="12" t="str">
        <x:v>Medium-scale prospects</x:v>
      </x:c>
      <x:c r="J2052" s="12" t="str">
        <x:v>Engineering &amp; manufacturing</x:v>
      </x:c>
      <x:c r="K2052" s="2" t="str">
        <x:v>MAIN-073</x:v>
      </x:c>
    </x:row>
    <x:row r="2053" ht="46" customHeight="1">
      <x:c r="A2053" s="2" t="str">
        <x:v>TEN-E9968F77222F</x:v>
      </x:c>
      <x:c r="B2053" s="12" t="str">
        <x:v>JSA Advocates and Solicitors</x:v>
      </x:c>
      <x:c r="C2053" s="12" t="str">
        <x:v>CORP-0069</x:v>
      </x:c>
      <x:c r="D2053" s="12" t="str">
        <x:v>Bengaluru</x:v>
      </x:c>
      <x:c r="E2053" s="12" t="str">
        <x:v>Prestige Obelisk</x:v>
      </x:c>
      <x:c r="F2053" s="12" t="str">
        <x:v>55 inch LED TV</x:v>
      </x:c>
      <x:c r="G2053" s="20" t="n">
        <x:v>1</x:v>
      </x:c>
      <x:c r="H2053" s="12" t="str">
        <x:v>Same-building name inference from another supplied inventory row; exact site-ID match absent</x:v>
      </x:c>
      <x:c r="I2053" s="12" t="str">
        <x:v>Large enterprise</x:v>
      </x:c>
      <x:c r="J2053" s="12" t="str">
        <x:v>Professional services</x:v>
      </x:c>
      <x:c r="K2053" s="2" t="str">
        <x:v>MAIN-073</x:v>
      </x:c>
    </x:row>
    <x:row r="2054" ht="46" customHeight="1">
      <x:c r="A2054" s="2" t="str">
        <x:v>TEN-83D1C43212E5</x:v>
      </x:c>
      <x:c r="B2054" s="12" t="str">
        <x:v>GEMSWORTH INFRA LLP</x:v>
      </x:c>
      <x:c r="C2054" s="12" t="str">
        <x:v>CORP-0071</x:v>
      </x:c>
      <x:c r="D2054" s="12" t="str">
        <x:v>Bengaluru</x:v>
      </x:c>
      <x:c r="E2054" s="12" t="str">
        <x:v>Prestige Tristar (Redbrick Offices)</x:v>
      </x:c>
      <x:c r="F2054" s="12" t="str">
        <x:v>32 inch LED TV</x:v>
      </x:c>
      <x:c r="G2054" s="20" t="n">
        <x:v>3</x:v>
      </x:c>
      <x:c r="H2054" s="12" t="str">
        <x:v>Inventory-listed building/workspace context; current occupancy and screen access unverified</x:v>
      </x:c>
      <x:c r="I2054" s="12" t="str">
        <x:v>Medium-scale prospects</x:v>
      </x:c>
      <x:c r="J2054" s="12" t="str">
        <x:v>Engineering &amp; manufacturing</x:v>
      </x:c>
      <x:c r="K2054" s="2" t="str">
        <x:v>MAIN-075</x:v>
      </x:c>
    </x:row>
    <x:row r="2055" ht="46" customHeight="1">
      <x:c r="A2055" s="2" t="str">
        <x:v>TEN-F17C5FB2D022</x:v>
      </x:c>
      <x:c r="B2055" s="12" t="str">
        <x:v>Quest Offices</x:v>
      </x:c>
      <x:c r="C2055" s="12" t="str">
        <x:v>CORP-0072</x:v>
      </x:c>
      <x:c r="D2055" s="12" t="str">
        <x:v>Bengaluru</x:v>
      </x:c>
      <x:c r="E2055" s="12" t="str">
        <x:v>Quest Office</x:v>
      </x:c>
      <x:c r="F2055" s="12" t="str">
        <x:v>32 inch LED TV</x:v>
      </x:c>
      <x:c r="G2055" s="20" t="n">
        <x:v>1</x:v>
      </x:c>
      <x:c r="H2055" s="12" t="str">
        <x:v>Workspace operator inferred from explicit property name; tenant occupants unconfirmed</x:v>
      </x:c>
      <x:c r="I2055" s="12" t="str">
        <x:v>Mixed business audience</x:v>
      </x:c>
      <x:c r="J2055" s="12" t="str">
        <x:v>Workspace &amp; property operations</x:v>
      </x:c>
      <x:c r="K2055" s="2" t="str">
        <x:v>MAIN-076</x:v>
      </x:c>
    </x:row>
    <x:row r="2056" ht="46" customHeight="1">
      <x:c r="A2056" s="2" t="str">
        <x:v>TEN-28D1E16E18A8</x:v>
      </x:c>
      <x:c r="B2056" s="12" t="str">
        <x:v>Cubelogic Software India Pvt Ltd</x:v>
      </x:c>
      <x:c r="C2056" s="12" t="str">
        <x:v>CORP-0073</x:v>
      </x:c>
      <x:c r="D2056" s="12" t="str">
        <x:v>Bengaluru</x:v>
      </x:c>
      <x:c r="E2056" s="12" t="str">
        <x:v>Raheja Towers</x:v>
      </x:c>
      <x:c r="F2056" s="12" t="str">
        <x:v>32 inch LED TV</x:v>
      </x:c>
      <x:c r="G2056" s="20" t="n">
        <x:v>11</x:v>
      </x:c>
      <x:c r="H2056" s="12" t="str">
        <x:v>Inventory-listed building/workspace context; current occupancy and screen access unverified</x:v>
      </x:c>
      <x:c r="I2056" s="12" t="str">
        <x:v>Small-scale prospects</x:v>
      </x:c>
      <x:c r="J2056" s="12" t="str">
        <x:v>IT &amp; digital</x:v>
      </x:c>
      <x:c r="K2056" s="2" t="str">
        <x:v>MAIN-077</x:v>
      </x:c>
    </x:row>
    <x:row r="2057" ht="46" customHeight="1">
      <x:c r="A2057" s="2" t="str">
        <x:v>TEN-2BFB7DC3AEC8</x:v>
      </x:c>
      <x:c r="B2057" s="12" t="str">
        <x:v>Mudra Media</x:v>
      </x:c>
      <x:c r="C2057" s="12" t="str">
        <x:v>CORP-0073</x:v>
      </x:c>
      <x:c r="D2057" s="12" t="str">
        <x:v>Bengaluru</x:v>
      </x:c>
      <x:c r="E2057" s="12" t="str">
        <x:v>Raheja Towers</x:v>
      </x:c>
      <x:c r="F2057" s="12" t="str">
        <x:v>32 inch LED TV</x:v>
      </x:c>
      <x:c r="G2057" s="20" t="n">
        <x:v>11</x:v>
      </x:c>
      <x:c r="H2057" s="12" t="str">
        <x:v>Inventory-listed building/workspace context; current occupancy and screen access unverified</x:v>
      </x:c>
      <x:c r="I2057" s="12" t="str">
        <x:v>Small-scale prospects</x:v>
      </x:c>
      <x:c r="J2057" s="12" t="str">
        <x:v>Trade, consumer &amp; logistics</x:v>
      </x:c>
      <x:c r="K2057" s="2" t="str">
        <x:v>MAIN-077</x:v>
      </x:c>
    </x:row>
    <x:row r="2058" ht="46" customHeight="1">
      <x:c r="A2058" s="2" t="str">
        <x:v>TEN-64F695501113</x:v>
      </x:c>
      <x:c r="B2058" s="12" t="str">
        <x:v>Webbs Sales Service Pvt Ltd</x:v>
      </x:c>
      <x:c r="C2058" s="12" t="str">
        <x:v>CORP-0073</x:v>
      </x:c>
      <x:c r="D2058" s="12" t="str">
        <x:v>Bengaluru</x:v>
      </x:c>
      <x:c r="E2058" s="12" t="str">
        <x:v>Raheja Towers</x:v>
      </x:c>
      <x:c r="F2058" s="12" t="str">
        <x:v>32 inch LED TV</x:v>
      </x:c>
      <x:c r="G2058" s="20" t="n">
        <x:v>11</x:v>
      </x:c>
      <x:c r="H2058" s="12" t="str">
        <x:v>Inventory-listed building/workspace context; current occupancy and screen access unverified</x:v>
      </x:c>
      <x:c r="I2058" s="12" t="str">
        <x:v>Mixed business audience</x:v>
      </x:c>
      <x:c r="J2058" s="12" t="str">
        <x:v>Unresolved</x:v>
      </x:c>
      <x:c r="K2058" s="2" t="str">
        <x:v>MAIN-077</x:v>
      </x:c>
    </x:row>
    <x:row r="2059" ht="46" customHeight="1">
      <x:c r="A2059" s="2" t="str">
        <x:v>TEN-7954016EF06C</x:v>
      </x:c>
      <x:c r="B2059" s="12" t="str">
        <x:v>Data Minder Infotek Pvt Ltd</x:v>
      </x:c>
      <x:c r="C2059" s="12" t="str">
        <x:v>CORP-0073</x:v>
      </x:c>
      <x:c r="D2059" s="12" t="str">
        <x:v>Bengaluru</x:v>
      </x:c>
      <x:c r="E2059" s="12" t="str">
        <x:v>Raheja Towers</x:v>
      </x:c>
      <x:c r="F2059" s="12" t="str">
        <x:v>32 inch LED TV</x:v>
      </x:c>
      <x:c r="G2059" s="20" t="n">
        <x:v>11</x:v>
      </x:c>
      <x:c r="H2059" s="12" t="str">
        <x:v>Inventory-listed building/workspace context; current occupancy and screen access unverified</x:v>
      </x:c>
      <x:c r="I2059" s="12" t="str">
        <x:v>Small-scale prospects</x:v>
      </x:c>
      <x:c r="J2059" s="12" t="str">
        <x:v>IT &amp; digital</x:v>
      </x:c>
      <x:c r="K2059" s="2" t="str">
        <x:v>MAIN-077</x:v>
      </x:c>
    </x:row>
    <x:row r="2060" ht="46" customHeight="1">
      <x:c r="A2060" s="2" t="str">
        <x:v>TEN-8E5EF5C92C7D</x:v>
      </x:c>
      <x:c r="B2060" s="12" t="str">
        <x:v>The Math Company</x:v>
      </x:c>
      <x:c r="C2060" s="12" t="str">
        <x:v>CORP-0073</x:v>
      </x:c>
      <x:c r="D2060" s="12" t="str">
        <x:v>Bengaluru</x:v>
      </x:c>
      <x:c r="E2060" s="12" t="str">
        <x:v>Raheja Towers</x:v>
      </x:c>
      <x:c r="F2060" s="12" t="str">
        <x:v>32 inch LED TV</x:v>
      </x:c>
      <x:c r="G2060" s="20" t="n">
        <x:v>11</x:v>
      </x:c>
      <x:c r="H2060" s="12" t="str">
        <x:v>Inventory-listed building/workspace context; current occupancy and screen access unverified</x:v>
      </x:c>
      <x:c r="I2060" s="12" t="str">
        <x:v>Mixed business audience</x:v>
      </x:c>
      <x:c r="J2060" s="12" t="str">
        <x:v>IT &amp; digital</x:v>
      </x:c>
      <x:c r="K2060" s="2" t="str">
        <x:v>MAIN-077</x:v>
      </x:c>
    </x:row>
    <x:row r="2061" ht="46" customHeight="1">
      <x:c r="A2061" s="2" t="str">
        <x:v>TEN-B2C75F70B174</x:v>
      </x:c>
      <x:c r="B2061" s="12" t="str">
        <x:v>Quest Offices Pvt Ltd</x:v>
      </x:c>
      <x:c r="C2061" s="12" t="str">
        <x:v>CORP-0073</x:v>
      </x:c>
      <x:c r="D2061" s="12" t="str">
        <x:v>Bengaluru</x:v>
      </x:c>
      <x:c r="E2061" s="12" t="str">
        <x:v>Raheja Towers</x:v>
      </x:c>
      <x:c r="F2061" s="12" t="str">
        <x:v>32 inch LED TV</x:v>
      </x:c>
      <x:c r="G2061" s="20" t="n">
        <x:v>11</x:v>
      </x:c>
      <x:c r="H2061" s="12" t="str">
        <x:v>Inventory-listed building/workspace context; current occupancy and screen access unverified</x:v>
      </x:c>
      <x:c r="I2061" s="12" t="str">
        <x:v>Mixed business audience</x:v>
      </x:c>
      <x:c r="J2061" s="12" t="str">
        <x:v>Workspace &amp; property operations</x:v>
      </x:c>
      <x:c r="K2061" s="2" t="str">
        <x:v>MAIN-077</x:v>
      </x:c>
    </x:row>
    <x:row r="2062" ht="46" customHeight="1">
      <x:c r="A2062" s="2" t="str">
        <x:v>TEN-C0A774A885BE</x:v>
      </x:c>
      <x:c r="B2062" s="12" t="str">
        <x:v>National Company Law Tribunal</x:v>
      </x:c>
      <x:c r="C2062" s="12" t="str">
        <x:v>CORP-0073</x:v>
      </x:c>
      <x:c r="D2062" s="12" t="str">
        <x:v>Bengaluru</x:v>
      </x:c>
      <x:c r="E2062" s="12" t="str">
        <x:v>Raheja Towers</x:v>
      </x:c>
      <x:c r="F2062" s="12" t="str">
        <x:v>32 inch LED TV</x:v>
      </x:c>
      <x:c r="G2062" s="20" t="n">
        <x:v>11</x:v>
      </x:c>
      <x:c r="H2062" s="12" t="str">
        <x:v>Inventory-listed building/workspace context; current occupancy and screen access unverified</x:v>
      </x:c>
      <x:c r="I2062" s="12" t="str">
        <x:v>Institutional</x:v>
      </x:c>
      <x:c r="J2062" s="12" t="str">
        <x:v>Government &amp; nonprofit</x:v>
      </x:c>
      <x:c r="K2062" s="2" t="str">
        <x:v>MAIN-077</x:v>
      </x:c>
    </x:row>
    <x:row r="2063" ht="46" customHeight="1">
      <x:c r="A2063" s="2" t="str">
        <x:v>TEN-DC79DAAE1127</x:v>
      </x:c>
      <x:c r="B2063" s="12" t="str">
        <x:v>The Institution of Engineering and Technology</x:v>
      </x:c>
      <x:c r="C2063" s="12" t="str">
        <x:v>CORP-0073</x:v>
      </x:c>
      <x:c r="D2063" s="12" t="str">
        <x:v>Bengaluru</x:v>
      </x:c>
      <x:c r="E2063" s="12" t="str">
        <x:v>Raheja Towers</x:v>
      </x:c>
      <x:c r="F2063" s="12" t="str">
        <x:v>32 inch LED TV</x:v>
      </x:c>
      <x:c r="G2063" s="20" t="n">
        <x:v>11</x:v>
      </x:c>
      <x:c r="H2063" s="12" t="str">
        <x:v>Inventory-listed building/workspace context; current occupancy and screen access unverified</x:v>
      </x:c>
      <x:c r="I2063" s="12" t="str">
        <x:v>Institutional</x:v>
      </x:c>
      <x:c r="J2063" s="12" t="str">
        <x:v>Government &amp; nonprofit</x:v>
      </x:c>
      <x:c r="K2063" s="2" t="str">
        <x:v>MAIN-077</x:v>
      </x:c>
    </x:row>
    <x:row r="2064" ht="46" customHeight="1">
      <x:c r="A2064" s="2" t="str">
        <x:v>TEN-E57705276ACD</x:v>
      </x:c>
      <x:c r="B2064" s="12" t="str">
        <x:v>Vieira Brand Services</x:v>
      </x:c>
      <x:c r="C2064" s="12" t="str">
        <x:v>CORP-0073</x:v>
      </x:c>
      <x:c r="D2064" s="12" t="str">
        <x:v>Bengaluru</x:v>
      </x:c>
      <x:c r="E2064" s="12" t="str">
        <x:v>Raheja Towers</x:v>
      </x:c>
      <x:c r="F2064" s="12" t="str">
        <x:v>32 inch LED TV</x:v>
      </x:c>
      <x:c r="G2064" s="20" t="n">
        <x:v>11</x:v>
      </x:c>
      <x:c r="H2064" s="12" t="str">
        <x:v>Inventory-listed building/workspace context; current occupancy and screen access unverified</x:v>
      </x:c>
      <x:c r="I2064" s="12" t="str">
        <x:v>Small-scale prospects</x:v>
      </x:c>
      <x:c r="J2064" s="12" t="str">
        <x:v>Professional services</x:v>
      </x:c>
      <x:c r="K2064" s="2" t="str">
        <x:v>MAIN-077</x:v>
      </x:c>
    </x:row>
    <x:row r="2065" ht="46" customHeight="1">
      <x:c r="A2065" s="2" t="str">
        <x:v>TEN-9F4CA485123F</x:v>
      </x:c>
      <x:c r="B2065" s="12" t="str">
        <x:v>SolarWinds India Private Limited</x:v>
      </x:c>
      <x:c r="C2065" s="12" t="str">
        <x:v>CORP-0074</x:v>
      </x:c>
      <x:c r="D2065" s="12" t="str">
        <x:v>Bengaluru</x:v>
      </x:c>
      <x:c r="E2065" s="12" t="str">
        <x:v>Sargod Imperial Tech Park</x:v>
      </x:c>
      <x:c r="F2065" s="12" t="str">
        <x:v>43 inch LED TV</x:v>
      </x:c>
      <x:c r="G2065" s="20" t="n">
        <x:v>5</x:v>
      </x:c>
      <x:c r="H2065" s="12" t="str">
        <x:v>Inventory-listed building/workspace context; current occupancy and screen access unverified</x:v>
      </x:c>
      <x:c r="I2065" s="12" t="str">
        <x:v>Mixed business audience</x:v>
      </x:c>
      <x:c r="J2065" s="12" t="str">
        <x:v>IT &amp; digital</x:v>
      </x:c>
      <x:c r="K2065" s="2" t="str">
        <x:v>MAIN-078</x:v>
      </x:c>
    </x:row>
    <x:row r="2066" ht="46" customHeight="1">
      <x:c r="A2066" s="2" t="str">
        <x:v>TEN-B6F590BF9615</x:v>
      </x:c>
      <x:c r="B2066" s="12" t="str">
        <x:v>AnandOffice</x:v>
      </x:c>
      <x:c r="C2066" s="12" t="str">
        <x:v>CORP-0074</x:v>
      </x:c>
      <x:c r="D2066" s="12" t="str">
        <x:v>Bengaluru</x:v>
      </x:c>
      <x:c r="E2066" s="12" t="str">
        <x:v>Sargod Imperial Tech Park</x:v>
      </x:c>
      <x:c r="F2066" s="12" t="str">
        <x:v>43 inch LED TV</x:v>
      </x:c>
      <x:c r="G2066" s="20" t="n">
        <x:v>5</x:v>
      </x:c>
      <x:c r="H2066" s="12" t="str">
        <x:v>Inventory-listed building/workspace context; current occupancy and screen access unverified</x:v>
      </x:c>
      <x:c r="I2066" s="12" t="str">
        <x:v>Mixed business audience</x:v>
      </x:c>
      <x:c r="J2066" s="12" t="str">
        <x:v>Unresolved</x:v>
      </x:c>
      <x:c r="K2066" s="2" t="str">
        <x:v>MAIN-078</x:v>
      </x:c>
    </x:row>
    <x:row r="2067" ht="46" customHeight="1">
      <x:c r="A2067" s="2" t="str">
        <x:v>TEN-322746B1C9C3</x:v>
      </x:c>
      <x:c r="B2067" s="12" t="str">
        <x:v>Dwelling ventures</x:v>
      </x:c>
      <x:c r="C2067" s="12" t="str">
        <x:v>CORP-0077</x:v>
      </x:c>
      <x:c r="D2067" s="12" t="str">
        <x:v>Bengaluru</x:v>
      </x:c>
      <x:c r="E2067" s="12" t="str">
        <x:v>Sierra Cartel</x:v>
      </x:c>
      <x:c r="F2067" s="12" t="str">
        <x:v>32 inch LED TV</x:v>
      </x:c>
      <x:c r="G2067" s="20" t="n">
        <x:v>2</x:v>
      </x:c>
      <x:c r="H2067" s="12" t="str">
        <x:v>Inventory-listed building/workspace context; current occupancy and screen access unverified</x:v>
      </x:c>
      <x:c r="I2067" s="12" t="str">
        <x:v>Small-scale prospects</x:v>
      </x:c>
      <x:c r="J2067" s="12" t="str">
        <x:v>Trade, consumer &amp; logistics</x:v>
      </x:c>
      <x:c r="K2067" s="2" t="str">
        <x:v>MAIN-081</x:v>
      </x:c>
    </x:row>
    <x:row r="2068" ht="46" customHeight="1">
      <x:c r="A2068" s="2" t="str">
        <x:v>TEN-419FFC22FB32</x:v>
      </x:c>
      <x:c r="B2068" s="12" t="str">
        <x:v>Blitz Squad</x:v>
      </x:c>
      <x:c r="C2068" s="12" t="str">
        <x:v>CORP-0077</x:v>
      </x:c>
      <x:c r="D2068" s="12" t="str">
        <x:v>Bengaluru</x:v>
      </x:c>
      <x:c r="E2068" s="12" t="str">
        <x:v>Sierra Cartel</x:v>
      </x:c>
      <x:c r="F2068" s="12" t="str">
        <x:v>32 inch LED TV</x:v>
      </x:c>
      <x:c r="G2068" s="20" t="n">
        <x:v>2</x:v>
      </x:c>
      <x:c r="H2068" s="12" t="str">
        <x:v>Inventory-listed building/workspace context; current occupancy and screen access unverified</x:v>
      </x:c>
      <x:c r="I2068" s="12" t="str">
        <x:v>Mixed business audience</x:v>
      </x:c>
      <x:c r="J2068" s="12" t="str">
        <x:v>Unresolved</x:v>
      </x:c>
      <x:c r="K2068" s="2" t="str">
        <x:v>MAIN-081</x:v>
      </x:c>
    </x:row>
    <x:row r="2069" ht="46" customHeight="1">
      <x:c r="A2069" s="2" t="str">
        <x:v>TEN-4407D65F4D09</x:v>
      </x:c>
      <x:c r="B2069" s="12" t="str">
        <x:v>Clohype llp</x:v>
      </x:c>
      <x:c r="C2069" s="12" t="str">
        <x:v>CORP-0077</x:v>
      </x:c>
      <x:c r="D2069" s="12" t="str">
        <x:v>Bengaluru</x:v>
      </x:c>
      <x:c r="E2069" s="12" t="str">
        <x:v>Sierra Cartel</x:v>
      </x:c>
      <x:c r="F2069" s="12" t="str">
        <x:v>32 inch LED TV</x:v>
      </x:c>
      <x:c r="G2069" s="20" t="n">
        <x:v>2</x:v>
      </x:c>
      <x:c r="H2069" s="12" t="str">
        <x:v>Inventory-listed building/workspace context; current occupancy and screen access unverified</x:v>
      </x:c>
      <x:c r="I2069" s="12" t="str">
        <x:v>Mixed business audience</x:v>
      </x:c>
      <x:c r="J2069" s="12" t="str">
        <x:v>Unresolved</x:v>
      </x:c>
      <x:c r="K2069" s="2" t="str">
        <x:v>MAIN-081</x:v>
      </x:c>
    </x:row>
    <x:row r="2070" ht="46" customHeight="1">
      <x:c r="A2070" s="2" t="str">
        <x:v>TEN-57408D93A706</x:v>
      </x:c>
      <x:c r="B2070" s="12" t="str">
        <x:v>ICICI Bank Ltd</x:v>
      </x:c>
      <x:c r="C2070" s="12" t="str">
        <x:v>CORP-0077</x:v>
      </x:c>
      <x:c r="D2070" s="12" t="str">
        <x:v>Bengaluru</x:v>
      </x:c>
      <x:c r="E2070" s="12" t="str">
        <x:v>Sierra Cartel</x:v>
      </x:c>
      <x:c r="F2070" s="12" t="str">
        <x:v>32 inch LED TV</x:v>
      </x:c>
      <x:c r="G2070" s="20" t="n">
        <x:v>2</x:v>
      </x:c>
      <x:c r="H2070" s="12" t="str">
        <x:v>Inventory-listed building/workspace context; current occupancy and screen access unverified</x:v>
      </x:c>
      <x:c r="I2070" s="12" t="str">
        <x:v>Large enterprise</x:v>
      </x:c>
      <x:c r="J2070" s="12" t="str">
        <x:v>Finance &amp; insurance</x:v>
      </x:c>
      <x:c r="K2070" s="2" t="str">
        <x:v>MAIN-081</x:v>
      </x:c>
    </x:row>
    <x:row r="2071" ht="46" customHeight="1">
      <x:c r="A2071" s="2" t="str">
        <x:v>TEN-6613992388BF</x:v>
      </x:c>
      <x:c r="B2071" s="12" t="str">
        <x:v>Comedia technologies</x:v>
      </x:c>
      <x:c r="C2071" s="12" t="str">
        <x:v>CORP-0077</x:v>
      </x:c>
      <x:c r="D2071" s="12" t="str">
        <x:v>Bengaluru</x:v>
      </x:c>
      <x:c r="E2071" s="12" t="str">
        <x:v>Sierra Cartel</x:v>
      </x:c>
      <x:c r="F2071" s="12" t="str">
        <x:v>32 inch LED TV</x:v>
      </x:c>
      <x:c r="G2071" s="20" t="n">
        <x:v>2</x:v>
      </x:c>
      <x:c r="H2071" s="12" t="str">
        <x:v>Inventory-listed building/workspace context; current occupancy and screen access unverified</x:v>
      </x:c>
      <x:c r="I2071" s="12" t="str">
        <x:v>Mixed business audience</x:v>
      </x:c>
      <x:c r="J2071" s="12" t="str">
        <x:v>Unresolved</x:v>
      </x:c>
      <x:c r="K2071" s="2" t="str">
        <x:v>MAIN-081</x:v>
      </x:c>
    </x:row>
    <x:row r="2072" ht="46" customHeight="1">
      <x:c r="A2072" s="2" t="str">
        <x:v>TEN-6E8D723B53AA</x:v>
      </x:c>
      <x:c r="B2072" s="12" t="str">
        <x:v>Hanbaz India</x:v>
      </x:c>
      <x:c r="C2072" s="12" t="str">
        <x:v>CORP-0077</x:v>
      </x:c>
      <x:c r="D2072" s="12" t="str">
        <x:v>Bengaluru</x:v>
      </x:c>
      <x:c r="E2072" s="12" t="str">
        <x:v>Sierra Cartel</x:v>
      </x:c>
      <x:c r="F2072" s="12" t="str">
        <x:v>32 inch LED TV</x:v>
      </x:c>
      <x:c r="G2072" s="20" t="n">
        <x:v>2</x:v>
      </x:c>
      <x:c r="H2072" s="12" t="str">
        <x:v>Inventory-listed building/workspace context; current occupancy and screen access unverified</x:v>
      </x:c>
      <x:c r="I2072" s="12" t="str">
        <x:v>Mixed business audience</x:v>
      </x:c>
      <x:c r="J2072" s="12" t="str">
        <x:v>Unresolved</x:v>
      </x:c>
      <x:c r="K2072" s="2" t="str">
        <x:v>MAIN-081</x:v>
      </x:c>
    </x:row>
    <x:row r="2073" ht="46" customHeight="1">
      <x:c r="A2073" s="2" t="str">
        <x:v>TEN-8B9791537146</x:v>
      </x:c>
      <x:c r="B2073" s="12" t="str">
        <x:v>Shubhadha consultancy</x:v>
      </x:c>
      <x:c r="C2073" s="12" t="str">
        <x:v>CORP-0077</x:v>
      </x:c>
      <x:c r="D2073" s="12" t="str">
        <x:v>Bengaluru</x:v>
      </x:c>
      <x:c r="E2073" s="12" t="str">
        <x:v>Sierra Cartel</x:v>
      </x:c>
      <x:c r="F2073" s="12" t="str">
        <x:v>32 inch LED TV</x:v>
      </x:c>
      <x:c r="G2073" s="20" t="n">
        <x:v>2</x:v>
      </x:c>
      <x:c r="H2073" s="12" t="str">
        <x:v>Inventory-listed building/workspace context; current occupancy and screen access unverified</x:v>
      </x:c>
      <x:c r="I2073" s="12" t="str">
        <x:v>Small-scale prospects</x:v>
      </x:c>
      <x:c r="J2073" s="12" t="str">
        <x:v>Professional services</x:v>
      </x:c>
      <x:c r="K2073" s="2" t="str">
        <x:v>MAIN-081</x:v>
      </x:c>
    </x:row>
    <x:row r="2074" ht="46" customHeight="1">
      <x:c r="A2074" s="2" t="str">
        <x:v>TEN-9B83D7804FE5</x:v>
      </x:c>
      <x:c r="B2074" s="12" t="str">
        <x:v>Hyperplay tech pvt ld</x:v>
      </x:c>
      <x:c r="C2074" s="12" t="str">
        <x:v>CORP-0077</x:v>
      </x:c>
      <x:c r="D2074" s="12" t="str">
        <x:v>Bengaluru</x:v>
      </x:c>
      <x:c r="E2074" s="12" t="str">
        <x:v>Sierra Cartel</x:v>
      </x:c>
      <x:c r="F2074" s="12" t="str">
        <x:v>32 inch LED TV</x:v>
      </x:c>
      <x:c r="G2074" s="20" t="n">
        <x:v>2</x:v>
      </x:c>
      <x:c r="H2074" s="12" t="str">
        <x:v>Inventory-listed building/workspace context; current occupancy and screen access unverified</x:v>
      </x:c>
      <x:c r="I2074" s="12" t="str">
        <x:v>Mixed business audience</x:v>
      </x:c>
      <x:c r="J2074" s="12" t="str">
        <x:v>Unresolved</x:v>
      </x:c>
      <x:c r="K2074" s="2" t="str">
        <x:v>MAIN-081</x:v>
      </x:c>
    </x:row>
    <x:row r="2075" ht="46" customHeight="1">
      <x:c r="A2075" s="2" t="str">
        <x:v>TEN-C2A223C25123</x:v>
      </x:c>
      <x:c r="B2075" s="12" t="str">
        <x:v>Healthshiop wellness pvt ltd</x:v>
      </x:c>
      <x:c r="C2075" s="12" t="str">
        <x:v>CORP-0077</x:v>
      </x:c>
      <x:c r="D2075" s="12" t="str">
        <x:v>Bengaluru</x:v>
      </x:c>
      <x:c r="E2075" s="12" t="str">
        <x:v>Sierra Cartel</x:v>
      </x:c>
      <x:c r="F2075" s="12" t="str">
        <x:v>32 inch LED TV</x:v>
      </x:c>
      <x:c r="G2075" s="20" t="n">
        <x:v>2</x:v>
      </x:c>
      <x:c r="H2075" s="12" t="str">
        <x:v>Inventory-listed building/workspace context; current occupancy and screen access unverified</x:v>
      </x:c>
      <x:c r="I2075" s="12" t="str">
        <x:v>Small-scale prospects</x:v>
      </x:c>
      <x:c r="J2075" s="12" t="str">
        <x:v>Healthcare &amp; life sciences</x:v>
      </x:c>
      <x:c r="K2075" s="2" t="str">
        <x:v>MAIN-081</x:v>
      </x:c>
    </x:row>
    <x:row r="2076" ht="46" customHeight="1">
      <x:c r="A2076" s="2" t="str">
        <x:v>TEN-D0F5589E5FAE</x:v>
      </x:c>
      <x:c r="B2076" s="12" t="str">
        <x:v>Design Webtech</x:v>
      </x:c>
      <x:c r="C2076" s="12" t="str">
        <x:v>CORP-0077</x:v>
      </x:c>
      <x:c r="D2076" s="12" t="str">
        <x:v>Bengaluru</x:v>
      </x:c>
      <x:c r="E2076" s="12" t="str">
        <x:v>Sierra Cartel</x:v>
      </x:c>
      <x:c r="F2076" s="12" t="str">
        <x:v>32 inch LED TV</x:v>
      </x:c>
      <x:c r="G2076" s="20" t="n">
        <x:v>2</x:v>
      </x:c>
      <x:c r="H2076" s="12" t="str">
        <x:v>Inventory-listed building/workspace context; current occupancy and screen access unverified</x:v>
      </x:c>
      <x:c r="I2076" s="12" t="str">
        <x:v>Small-scale prospects</x:v>
      </x:c>
      <x:c r="J2076" s="12" t="str">
        <x:v>IT &amp; digital</x:v>
      </x:c>
      <x:c r="K2076" s="2" t="str">
        <x:v>MAIN-081</x:v>
      </x:c>
    </x:row>
    <x:row r="2077" ht="46" customHeight="1">
      <x:c r="A2077" s="2" t="str">
        <x:v>TEN-D260B37CCDE9</x:v>
      </x:c>
      <x:c r="B2077" s="12" t="str">
        <x:v>Asunto technology</x:v>
      </x:c>
      <x:c r="C2077" s="12" t="str">
        <x:v>CORP-0077</x:v>
      </x:c>
      <x:c r="D2077" s="12" t="str">
        <x:v>Bengaluru</x:v>
      </x:c>
      <x:c r="E2077" s="12" t="str">
        <x:v>Sierra Cartel</x:v>
      </x:c>
      <x:c r="F2077" s="12" t="str">
        <x:v>32 inch LED TV</x:v>
      </x:c>
      <x:c r="G2077" s="20" t="n">
        <x:v>2</x:v>
      </x:c>
      <x:c r="H2077" s="12" t="str">
        <x:v>Inventory-listed building/workspace context; current occupancy and screen access unverified</x:v>
      </x:c>
      <x:c r="I2077" s="12" t="str">
        <x:v>Mixed business audience</x:v>
      </x:c>
      <x:c r="J2077" s="12" t="str">
        <x:v>Unresolved</x:v>
      </x:c>
      <x:c r="K2077" s="2" t="str">
        <x:v>MAIN-081</x:v>
      </x:c>
    </x:row>
    <x:row r="2078" ht="46" customHeight="1">
      <x:c r="A2078" s="2" t="str">
        <x:v>TEN-DBD359CDEA8A</x:v>
      </x:c>
      <x:c r="B2078" s="12" t="str">
        <x:v>Fly Hub Travel Pvt Ltd</x:v>
      </x:c>
      <x:c r="C2078" s="12" t="str">
        <x:v>CORP-0078</x:v>
      </x:c>
      <x:c r="D2078" s="12" t="str">
        <x:v>Bengaluru</x:v>
      </x:c>
      <x:c r="E2078" s="12" t="str">
        <x:v>Sirius Building (Pod Screens)</x:v>
      </x:c>
      <x:c r="F2078" s="12" t="str">
        <x:v>43 inch LED TV</x:v>
      </x:c>
      <x:c r="G2078" s="20" t="n">
        <x:v>2</x:v>
      </x:c>
      <x:c r="H2078" s="12" t="str">
        <x:v>Campus/portfolio roster; individual building occupancy unverified</x:v>
      </x:c>
      <x:c r="I2078" s="12" t="str">
        <x:v>Small-scale prospects</x:v>
      </x:c>
      <x:c r="J2078" s="12" t="str">
        <x:v>Trade, consumer &amp; logistics</x:v>
      </x:c>
      <x:c r="K2078" s="2" t="str">
        <x:v>MAIN-082</x:v>
      </x:c>
    </x:row>
    <x:row r="2079" ht="46" customHeight="1">
      <x:c r="A2079" s="2" t="str">
        <x:v>TEN-F00072705532</x:v>
      </x:c>
      <x:c r="B2079" s="12" t="str">
        <x:v>Preetham Kn</x:v>
      </x:c>
      <x:c r="C2079" s="12" t="str">
        <x:v>CORP-0078</x:v>
      </x:c>
      <x:c r="D2079" s="12" t="str">
        <x:v>Bengaluru</x:v>
      </x:c>
      <x:c r="E2079" s="12" t="str">
        <x:v>Sirius Building (Pod Screens)</x:v>
      </x:c>
      <x:c r="F2079" s="12" t="str">
        <x:v>43 inch LED TV</x:v>
      </x:c>
      <x:c r="G2079" s="20" t="n">
        <x:v>2</x:v>
      </x:c>
      <x:c r="H2079" s="12" t="str">
        <x:v>Campus/portfolio roster; individual building occupancy unverified</x:v>
      </x:c>
      <x:c r="I2079" s="12" t="str">
        <x:v>Mixed business audience</x:v>
      </x:c>
      <x:c r="J2079" s="12" t="str">
        <x:v>Unresolved</x:v>
      </x:c>
      <x:c r="K2079" s="2" t="str">
        <x:v>MAIN-082</x:v>
      </x:c>
    </x:row>
    <x:row r="2080" ht="46" customHeight="1">
      <x:c r="A2080" s="2" t="str">
        <x:v>TEN-DBD359CDEA8A</x:v>
      </x:c>
      <x:c r="B2080" s="12" t="str">
        <x:v>Fly Hub Travel Pvt Ltd</x:v>
      </x:c>
      <x:c r="C2080" s="12" t="str">
        <x:v>CORP-0079</x:v>
      </x:c>
      <x:c r="D2080" s="12" t="str">
        <x:v>Bengaluru</x:v>
      </x:c>
      <x:c r="E2080" s="12" t="str">
        <x:v>Sirius Building Tech Park</x:v>
      </x:c>
      <x:c r="F2080" s="12" t="str">
        <x:v>32 inch LED TV</x:v>
      </x:c>
      <x:c r="G2080" s="20" t="n">
        <x:v>3</x:v>
      </x:c>
      <x:c r="H2080" s="12" t="str">
        <x:v>Campus/portfolio roster; individual building occupancy unverified</x:v>
      </x:c>
      <x:c r="I2080" s="12" t="str">
        <x:v>Small-scale prospects</x:v>
      </x:c>
      <x:c r="J2080" s="12" t="str">
        <x:v>Trade, consumer &amp; logistics</x:v>
      </x:c>
      <x:c r="K2080" s="2" t="str">
        <x:v>MAIN-083</x:v>
      </x:c>
    </x:row>
    <x:row r="2081" ht="46" customHeight="1">
      <x:c r="A2081" s="2" t="str">
        <x:v>TEN-F00072705532</x:v>
      </x:c>
      <x:c r="B2081" s="12" t="str">
        <x:v>Preetham Kn</x:v>
      </x:c>
      <x:c r="C2081" s="12" t="str">
        <x:v>CORP-0079</x:v>
      </x:c>
      <x:c r="D2081" s="12" t="str">
        <x:v>Bengaluru</x:v>
      </x:c>
      <x:c r="E2081" s="12" t="str">
        <x:v>Sirius Building Tech Park</x:v>
      </x:c>
      <x:c r="F2081" s="12" t="str">
        <x:v>32 inch LED TV</x:v>
      </x:c>
      <x:c r="G2081" s="20" t="n">
        <x:v>3</x:v>
      </x:c>
      <x:c r="H2081" s="12" t="str">
        <x:v>Campus/portfolio roster; individual building occupancy unverified</x:v>
      </x:c>
      <x:c r="I2081" s="12" t="str">
        <x:v>Mixed business audience</x:v>
      </x:c>
      <x:c r="J2081" s="12" t="str">
        <x:v>Unresolved</x:v>
      </x:c>
      <x:c r="K2081" s="2" t="str">
        <x:v>MAIN-083</x:v>
      </x:c>
    </x:row>
    <x:row r="2082" ht="46" customHeight="1">
      <x:c r="A2082" s="2" t="str">
        <x:v>TEN-956E5A41DB14</x:v>
      </x:c>
      <x:c r="B2082" s="12" t="str">
        <x:v>Persistent Systems</x:v>
      </x:c>
      <x:c r="C2082" s="12" t="str">
        <x:v>CORP-0081</x:v>
      </x:c>
      <x:c r="D2082" s="12" t="str">
        <x:v>Bengaluru</x:v>
      </x:c>
      <x:c r="E2082" s="12" t="str">
        <x:v>Smartworks The Cube</x:v>
      </x:c>
      <x:c r="F2082" s="12" t="str">
        <x:v>43 inch LED TV</x:v>
      </x:c>
      <x:c r="G2082" s="20" t="n">
        <x:v>3</x:v>
      </x:c>
      <x:c r="H2082" s="12" t="str">
        <x:v>Campus/portfolio roster; individual building occupancy unverified</x:v>
      </x:c>
      <x:c r="I2082" s="12" t="str">
        <x:v>Large enterprise</x:v>
      </x:c>
      <x:c r="J2082" s="12" t="str">
        <x:v>IT &amp; digital</x:v>
      </x:c>
      <x:c r="K2082" s="2" t="str">
        <x:v>MAIN-085</x:v>
      </x:c>
    </x:row>
    <x:row r="2083" ht="46" customHeight="1">
      <x:c r="A2083" s="2" t="str">
        <x:v>TEN-C63644CF5B4D</x:v>
      </x:c>
      <x:c r="B2083" s="12" t="str">
        <x:v>STL Digital</x:v>
      </x:c>
      <x:c r="C2083" s="12" t="str">
        <x:v>CORP-0081</x:v>
      </x:c>
      <x:c r="D2083" s="12" t="str">
        <x:v>Bengaluru</x:v>
      </x:c>
      <x:c r="E2083" s="12" t="str">
        <x:v>Smartworks The Cube</x:v>
      </x:c>
      <x:c r="F2083" s="12" t="str">
        <x:v>43 inch LED TV</x:v>
      </x:c>
      <x:c r="G2083" s="20" t="n">
        <x:v>3</x:v>
      </x:c>
      <x:c r="H2083" s="12" t="str">
        <x:v>Campus/portfolio roster; individual building occupancy unverified</x:v>
      </x:c>
      <x:c r="I2083" s="12" t="str">
        <x:v>Mixed business audience</x:v>
      </x:c>
      <x:c r="J2083" s="12" t="str">
        <x:v>IT &amp; digital</x:v>
      </x:c>
      <x:c r="K2083" s="2" t="str">
        <x:v>MAIN-085</x:v>
      </x:c>
    </x:row>
    <x:row r="2084" ht="46" customHeight="1">
      <x:c r="A2084" s="2" t="str">
        <x:v>TEN-CF8B634D45D8</x:v>
      </x:c>
      <x:c r="B2084" s="12" t="str">
        <x:v>Infobell IT Solutions Pvt Ltd</x:v>
      </x:c>
      <x:c r="C2084" s="12" t="str">
        <x:v>CORP-0081</x:v>
      </x:c>
      <x:c r="D2084" s="12" t="str">
        <x:v>Bengaluru</x:v>
      </x:c>
      <x:c r="E2084" s="12" t="str">
        <x:v>Smartworks The Cube</x:v>
      </x:c>
      <x:c r="F2084" s="12" t="str">
        <x:v>43 inch LED TV</x:v>
      </x:c>
      <x:c r="G2084" s="20" t="n">
        <x:v>3</x:v>
      </x:c>
      <x:c r="H2084" s="12" t="str">
        <x:v>Campus/portfolio roster; individual building occupancy unverified</x:v>
      </x:c>
      <x:c r="I2084" s="12" t="str">
        <x:v>Small-scale prospects</x:v>
      </x:c>
      <x:c r="J2084" s="12" t="str">
        <x:v>IT &amp; digital</x:v>
      </x:c>
      <x:c r="K2084" s="2" t="str">
        <x:v>MAIN-085</x:v>
      </x:c>
    </x:row>
    <x:row r="2085" ht="46" customHeight="1">
      <x:c r="A2085" s="2" t="str">
        <x:v>TEN-ECC7EC65401A</x:v>
      </x:c>
      <x:c r="B2085" s="12" t="str">
        <x:v>Amantya technologies</x:v>
      </x:c>
      <x:c r="C2085" s="12" t="str">
        <x:v>CORP-0081</x:v>
      </x:c>
      <x:c r="D2085" s="12" t="str">
        <x:v>Bengaluru</x:v>
      </x:c>
      <x:c r="E2085" s="12" t="str">
        <x:v>Smartworks The Cube</x:v>
      </x:c>
      <x:c r="F2085" s="12" t="str">
        <x:v>43 inch LED TV</x:v>
      </x:c>
      <x:c r="G2085" s="20" t="n">
        <x:v>3</x:v>
      </x:c>
      <x:c r="H2085" s="12" t="str">
        <x:v>Campus/portfolio roster; individual building occupancy unverified</x:v>
      </x:c>
      <x:c r="I2085" s="12" t="str">
        <x:v>Small-scale prospects</x:v>
      </x:c>
      <x:c r="J2085" s="12" t="str">
        <x:v>IT &amp; digital</x:v>
      </x:c>
      <x:c r="K2085" s="2" t="str">
        <x:v>MAIN-085</x:v>
      </x:c>
    </x:row>
    <x:row r="2086" ht="46" customHeight="1">
      <x:c r="A2086" s="2" t="str">
        <x:v>TEN-0F0CFC68477E</x:v>
      </x:c>
      <x:c r="B2086" s="12" t="str">
        <x:v>FAIRDEBT SOLUTIONS PRIVATE LIMITED</x:v>
      </x:c>
      <x:c r="C2086" s="12" t="str">
        <x:v>CORP-0082</x:v>
      </x:c>
      <x:c r="D2086" s="12" t="str">
        <x:v>Bengaluru</x:v>
      </x:c>
      <x:c r="E2086" s="12" t="str">
        <x:v>Startuphuts- Unit 1</x:v>
      </x:c>
      <x:c r="F2086" s="12" t="str">
        <x:v>32 inch LED TV</x:v>
      </x:c>
      <x:c r="G2086" s="20" t="n">
        <x:v>1</x:v>
      </x:c>
      <x:c r="H2086" s="12" t="str">
        <x:v>Inventory-listed building/workspace context; current occupancy and screen access unverified</x:v>
      </x:c>
      <x:c r="I2086" s="12" t="str">
        <x:v>Medium-scale prospects</x:v>
      </x:c>
      <x:c r="J2086" s="12" t="str">
        <x:v>Finance &amp; insurance</x:v>
      </x:c>
      <x:c r="K2086" s="2" t="str">
        <x:v>MAIN-086</x:v>
      </x:c>
    </x:row>
    <x:row r="2087" ht="46" customHeight="1">
      <x:c r="A2087" s="2" t="str">
        <x:v>TEN-0F9E04732186</x:v>
      </x:c>
      <x:c r="B2087" s="12" t="str">
        <x:v>Ackee Software Pvt Ltd</x:v>
      </x:c>
      <x:c r="C2087" s="12" t="str">
        <x:v>CORP-0082</x:v>
      </x:c>
      <x:c r="D2087" s="12" t="str">
        <x:v>Bengaluru</x:v>
      </x:c>
      <x:c r="E2087" s="12" t="str">
        <x:v>Startuphuts- Unit 1</x:v>
      </x:c>
      <x:c r="F2087" s="12" t="str">
        <x:v>32 inch LED TV</x:v>
      </x:c>
      <x:c r="G2087" s="20" t="n">
        <x:v>1</x:v>
      </x:c>
      <x:c r="H2087" s="12" t="str">
        <x:v>Inventory-listed building/workspace context; current occupancy and screen access unverified</x:v>
      </x:c>
      <x:c r="I2087" s="12" t="str">
        <x:v>Small-scale prospects</x:v>
      </x:c>
      <x:c r="J2087" s="12" t="str">
        <x:v>IT &amp; digital</x:v>
      </x:c>
      <x:c r="K2087" s="2" t="str">
        <x:v>MAIN-086</x:v>
      </x:c>
    </x:row>
    <x:row r="2088" ht="46" customHeight="1">
      <x:c r="A2088" s="2" t="str">
        <x:v>TEN-30C4D20E1CBE</x:v>
      </x:c>
      <x:c r="B2088" s="12" t="str">
        <x:v>The Vivah Services</x:v>
      </x:c>
      <x:c r="C2088" s="12" t="str">
        <x:v>CORP-0082</x:v>
      </x:c>
      <x:c r="D2088" s="12" t="str">
        <x:v>Bengaluru</x:v>
      </x:c>
      <x:c r="E2088" s="12" t="str">
        <x:v>Startuphuts- Unit 1</x:v>
      </x:c>
      <x:c r="F2088" s="12" t="str">
        <x:v>32 inch LED TV</x:v>
      </x:c>
      <x:c r="G2088" s="20" t="n">
        <x:v>1</x:v>
      </x:c>
      <x:c r="H2088" s="12" t="str">
        <x:v>Inventory-listed building/workspace context; current occupancy and screen access unverified</x:v>
      </x:c>
      <x:c r="I2088" s="12" t="str">
        <x:v>Small-scale prospects</x:v>
      </x:c>
      <x:c r="J2088" s="12" t="str">
        <x:v>Trade, consumer &amp; logistics</x:v>
      </x:c>
      <x:c r="K2088" s="2" t="str">
        <x:v>MAIN-086</x:v>
      </x:c>
    </x:row>
    <x:row r="2089" ht="46" customHeight="1">
      <x:c r="A2089" s="2" t="str">
        <x:v>TEN-9104E1CC29F2</x:v>
      </x:c>
      <x:c r="B2089" s="12" t="str">
        <x:v>AG Privilege</x:v>
      </x:c>
      <x:c r="C2089" s="12" t="str">
        <x:v>CORP-0082</x:v>
      </x:c>
      <x:c r="D2089" s="12" t="str">
        <x:v>Bengaluru</x:v>
      </x:c>
      <x:c r="E2089" s="12" t="str">
        <x:v>Startuphuts- Unit 1</x:v>
      </x:c>
      <x:c r="F2089" s="12" t="str">
        <x:v>32 inch LED TV</x:v>
      </x:c>
      <x:c r="G2089" s="20" t="n">
        <x:v>1</x:v>
      </x:c>
      <x:c r="H2089" s="12" t="str">
        <x:v>Inventory-listed building/workspace context; current occupancy and screen access unverified</x:v>
      </x:c>
      <x:c r="I2089" s="12" t="str">
        <x:v>Mixed business audience</x:v>
      </x:c>
      <x:c r="J2089" s="12" t="str">
        <x:v>Unresolved</x:v>
      </x:c>
      <x:c r="K2089" s="2" t="str">
        <x:v>MAIN-086</x:v>
      </x:c>
    </x:row>
    <x:row r="2090" ht="46" customHeight="1">
      <x:c r="A2090" s="2" t="str">
        <x:v>TEN-BF501ACCCD71</x:v>
      </x:c>
      <x:c r="B2090" s="12" t="str">
        <x:v>Tristar Infinity Services</x:v>
      </x:c>
      <x:c r="C2090" s="12" t="str">
        <x:v>CORP-0082</x:v>
      </x:c>
      <x:c r="D2090" s="12" t="str">
        <x:v>Bengaluru</x:v>
      </x:c>
      <x:c r="E2090" s="12" t="str">
        <x:v>Startuphuts- Unit 1</x:v>
      </x:c>
      <x:c r="F2090" s="12" t="str">
        <x:v>32 inch LED TV</x:v>
      </x:c>
      <x:c r="G2090" s="20" t="n">
        <x:v>1</x:v>
      </x:c>
      <x:c r="H2090" s="12" t="str">
        <x:v>Inventory-listed building/workspace context; current occupancy and screen access unverified</x:v>
      </x:c>
      <x:c r="I2090" s="12" t="str">
        <x:v>Mixed business audience</x:v>
      </x:c>
      <x:c r="J2090" s="12" t="str">
        <x:v>Unresolved</x:v>
      </x:c>
      <x:c r="K2090" s="2" t="str">
        <x:v>MAIN-086</x:v>
      </x:c>
    </x:row>
    <x:row r="2091" ht="46" customHeight="1">
      <x:c r="A2091" s="2" t="str">
        <x:v>TEN-08ED8C16AC6E</x:v>
      </x:c>
      <x:c r="B2091" s="12" t="str">
        <x:v>Eveez Office</x:v>
      </x:c>
      <x:c r="C2091" s="12" t="str">
        <x:v>CORP-0083</x:v>
      </x:c>
      <x:c r="D2091" s="12" t="str">
        <x:v>Bengaluru</x:v>
      </x:c>
      <x:c r="E2091" s="12" t="str">
        <x:v>Startuphuts- Unit 3</x:v>
      </x:c>
      <x:c r="F2091" s="12" t="str">
        <x:v>32 inch LED TV</x:v>
      </x:c>
      <x:c r="G2091" s="20" t="n">
        <x:v>1</x:v>
      </x:c>
      <x:c r="H2091" s="12" t="str">
        <x:v>Inventory-listed building/workspace context; current occupancy and screen access unverified</x:v>
      </x:c>
      <x:c r="I2091" s="12" t="str">
        <x:v>Medium-scale prospects</x:v>
      </x:c>
      <x:c r="J2091" s="12" t="str">
        <x:v>Trade, consumer &amp; logistics</x:v>
      </x:c>
      <x:c r="K2091" s="2" t="str">
        <x:v>MAIN-087</x:v>
      </x:c>
    </x:row>
    <x:row r="2092" ht="46" customHeight="1">
      <x:c r="A2092" s="2" t="str">
        <x:v>TEN-13AE387FC0B7</x:v>
      </x:c>
      <x:c r="B2092" s="12" t="str">
        <x:v>shamika heritage</x:v>
      </x:c>
      <x:c r="C2092" s="12" t="str">
        <x:v>CORP-0083</x:v>
      </x:c>
      <x:c r="D2092" s="12" t="str">
        <x:v>Bengaluru</x:v>
      </x:c>
      <x:c r="E2092" s="12" t="str">
        <x:v>Startuphuts- Unit 3</x:v>
      </x:c>
      <x:c r="F2092" s="12" t="str">
        <x:v>32 inch LED TV</x:v>
      </x:c>
      <x:c r="G2092" s="20" t="n">
        <x:v>1</x:v>
      </x:c>
      <x:c r="H2092" s="12" t="str">
        <x:v>Inventory-listed building/workspace context; current occupancy and screen access unverified</x:v>
      </x:c>
      <x:c r="I2092" s="12" t="str">
        <x:v>Mixed business audience</x:v>
      </x:c>
      <x:c r="J2092" s="12" t="str">
        <x:v>Unresolved</x:v>
      </x:c>
      <x:c r="K2092" s="2" t="str">
        <x:v>MAIN-087</x:v>
      </x:c>
    </x:row>
    <x:row r="2093" ht="46" customHeight="1">
      <x:c r="A2093" s="2" t="str">
        <x:v>TEN-F0BA5FA690D0</x:v>
      </x:c>
      <x:c r="B2093" s="12" t="str">
        <x:v>Infrabeat</x:v>
      </x:c>
      <x:c r="C2093" s="12" t="str">
        <x:v>CORP-0084</x:v>
      </x:c>
      <x:c r="D2093" s="12" t="str">
        <x:v>Bengaluru</x:v>
      </x:c>
      <x:c r="E2093" s="12" t="str">
        <x:v>Startuphuts- Unit 4</x:v>
      </x:c>
      <x:c r="F2093" s="12" t="str">
        <x:v>32 inch LED TV</x:v>
      </x:c>
      <x:c r="G2093" s="20" t="n">
        <x:v>2</x:v>
      </x:c>
      <x:c r="H2093" s="12" t="str">
        <x:v>Inventory-listed building/workspace context; current occupancy and screen access unverified</x:v>
      </x:c>
      <x:c r="I2093" s="12" t="str">
        <x:v>Small-scale prospects</x:v>
      </x:c>
      <x:c r="J2093" s="12" t="str">
        <x:v>IT &amp; digital</x:v>
      </x:c>
      <x:c r="K2093" s="2" t="str">
        <x:v>MAIN-088</x:v>
      </x:c>
    </x:row>
    <x:row r="2094" ht="46" customHeight="1">
      <x:c r="A2094" s="2" t="str">
        <x:v>TEN-F9DD0973ACFC</x:v>
      </x:c>
      <x:c r="B2094" s="12" t="str">
        <x:v>Bhanzu</x:v>
      </x:c>
      <x:c r="C2094" s="12" t="str">
        <x:v>CORP-0084</x:v>
      </x:c>
      <x:c r="D2094" s="12" t="str">
        <x:v>Bengaluru</x:v>
      </x:c>
      <x:c r="E2094" s="12" t="str">
        <x:v>Startuphuts- Unit 4</x:v>
      </x:c>
      <x:c r="F2094" s="12" t="str">
        <x:v>32 inch LED TV</x:v>
      </x:c>
      <x:c r="G2094" s="20" t="n">
        <x:v>2</x:v>
      </x:c>
      <x:c r="H2094" s="12" t="str">
        <x:v>Inventory-listed building/workspace context; current occupancy and screen access unverified</x:v>
      </x:c>
      <x:c r="I2094" s="12" t="str">
        <x:v>Mixed business audience</x:v>
      </x:c>
      <x:c r="J2094" s="12" t="str">
        <x:v>Education</x:v>
      </x:c>
      <x:c r="K2094" s="2" t="str">
        <x:v>MAIN-088</x:v>
      </x:c>
    </x:row>
    <x:row r="2095" ht="46" customHeight="1">
      <x:c r="A2095" s="2" t="str">
        <x:v>TEN-79FC67E012A7</x:v>
      </x:c>
      <x:c r="B2095" s="12" t="str">
        <x:v>Husys</x:v>
      </x:c>
      <x:c r="C2095" s="12" t="str">
        <x:v>CORP-0085</x:v>
      </x:c>
      <x:c r="D2095" s="12" t="str">
        <x:v>Bengaluru</x:v>
      </x:c>
      <x:c r="E2095" s="12" t="str">
        <x:v>Startuphuts- Unit 6</x:v>
      </x:c>
      <x:c r="F2095" s="12" t="str">
        <x:v>32 inch LED TV</x:v>
      </x:c>
      <x:c r="G2095" s="20" t="n">
        <x:v>1</x:v>
      </x:c>
      <x:c r="H2095" s="12" t="str">
        <x:v>Inventory-listed building/workspace context; current occupancy and screen access unverified</x:v>
      </x:c>
      <x:c r="I2095" s="12" t="str">
        <x:v>Small-scale prospects</x:v>
      </x:c>
      <x:c r="J2095" s="12" t="str">
        <x:v>Professional services</x:v>
      </x:c>
      <x:c r="K2095" s="2" t="str">
        <x:v>MAIN-089</x:v>
      </x:c>
    </x:row>
    <x:row r="2096" ht="46" customHeight="1">
      <x:c r="A2096" s="2" t="str">
        <x:v>TEN-7EB2F6F01F1B</x:v>
      </x:c>
      <x:c r="B2096" s="12" t="str">
        <x:v>Simplotel</x:v>
      </x:c>
      <x:c r="C2096" s="12" t="str">
        <x:v>CORP-0085</x:v>
      </x:c>
      <x:c r="D2096" s="12" t="str">
        <x:v>Bengaluru</x:v>
      </x:c>
      <x:c r="E2096" s="12" t="str">
        <x:v>Startuphuts- Unit 6</x:v>
      </x:c>
      <x:c r="F2096" s="12" t="str">
        <x:v>32 inch LED TV</x:v>
      </x:c>
      <x:c r="G2096" s="20" t="n">
        <x:v>1</x:v>
      </x:c>
      <x:c r="H2096" s="12" t="str">
        <x:v>Inventory-listed building/workspace context; current occupancy and screen access unverified</x:v>
      </x:c>
      <x:c r="I2096" s="12" t="str">
        <x:v>Small-scale prospects</x:v>
      </x:c>
      <x:c r="J2096" s="12" t="str">
        <x:v>IT &amp; digital</x:v>
      </x:c>
      <x:c r="K2096" s="2" t="str">
        <x:v>MAIN-089</x:v>
      </x:c>
    </x:row>
    <x:row r="2097" ht="46" customHeight="1">
      <x:c r="A2097" s="2" t="str">
        <x:v>TEN-8D8F469ED2EF</x:v>
      </x:c>
      <x:c r="B2097" s="12" t="str">
        <x:v>Akira</x:v>
      </x:c>
      <x:c r="C2097" s="12" t="str">
        <x:v>CORP-0085</x:v>
      </x:c>
      <x:c r="D2097" s="12" t="str">
        <x:v>Bengaluru</x:v>
      </x:c>
      <x:c r="E2097" s="12" t="str">
        <x:v>Startuphuts- Unit 6</x:v>
      </x:c>
      <x:c r="F2097" s="12" t="str">
        <x:v>32 inch LED TV</x:v>
      </x:c>
      <x:c r="G2097" s="20" t="n">
        <x:v>1</x:v>
      </x:c>
      <x:c r="H2097" s="12" t="str">
        <x:v>Inventory-listed building/workspace context; current occupancy and screen access unverified</x:v>
      </x:c>
      <x:c r="I2097" s="12" t="str">
        <x:v>Mixed business audience</x:v>
      </x:c>
      <x:c r="J2097" s="12" t="str">
        <x:v>Unresolved</x:v>
      </x:c>
      <x:c r="K2097" s="2" t="str">
        <x:v>MAIN-089</x:v>
      </x:c>
    </x:row>
    <x:row r="2098" ht="46" customHeight="1">
      <x:c r="A2098" s="2" t="str">
        <x:v>TEN-25CDB46D8D21</x:v>
      </x:c>
      <x:c r="B2098" s="12" t="str">
        <x:v>Boat</x:v>
      </x:c>
      <x:c r="C2098" s="12" t="str">
        <x:v>CORP-0005</x:v>
      </x:c>
      <x:c r="D2098" s="12" t="str">
        <x:v>Bengaluru</x:v>
      </x:c>
      <x:c r="E2098" s="12" t="str">
        <x:v>Akshay Tech Park</x:v>
      </x:c>
      <x:c r="F2098" s="12" t="str">
        <x:v>32 inch LED TV</x:v>
      </x:c>
      <x:c r="G2098" s="20" t="n">
        <x:v>8</x:v>
      </x:c>
      <x:c r="H2098" s="12" t="str">
        <x:v>Inventory-listed building/workspace context; current occupancy and screen access unverified</x:v>
      </x:c>
      <x:c r="I2098" s="12" t="str">
        <x:v>Mixed business audience</x:v>
      </x:c>
      <x:c r="J2098" s="12" t="str">
        <x:v>Trade, consumer &amp; logistics</x:v>
      </x:c>
      <x:c r="K2098" s="2" t="str">
        <x:v>MAIN-009</x:v>
      </x:c>
    </x:row>
    <x:row r="2099" ht="46" customHeight="1">
      <x:c r="A2099" s="2" t="str">
        <x:v>TEN-4D5ABFAB0D72</x:v>
      </x:c>
      <x:c r="B2099" s="12" t="str">
        <x:v>biipbyte Technologies Pvt Ltd</x:v>
      </x:c>
      <x:c r="C2099" s="12" t="str">
        <x:v>CORP-0005</x:v>
      </x:c>
      <x:c r="D2099" s="12" t="str">
        <x:v>Bengaluru</x:v>
      </x:c>
      <x:c r="E2099" s="12" t="str">
        <x:v>Akshay Tech Park</x:v>
      </x:c>
      <x:c r="F2099" s="12" t="str">
        <x:v>32 inch LED TV</x:v>
      </x:c>
      <x:c r="G2099" s="20" t="n">
        <x:v>8</x:v>
      </x:c>
      <x:c r="H2099" s="12" t="str">
        <x:v>Inventory-listed building/workspace context; current occupancy and screen access unverified</x:v>
      </x:c>
      <x:c r="I2099" s="12" t="str">
        <x:v>Mixed business audience</x:v>
      </x:c>
      <x:c r="J2099" s="12" t="str">
        <x:v>Unresolved</x:v>
      </x:c>
      <x:c r="K2099" s="2" t="str">
        <x:v>MAIN-009</x:v>
      </x:c>
    </x:row>
    <x:row r="2100" ht="46" customHeight="1">
      <x:c r="A2100" s="2" t="str">
        <x:v>TEN-53488A70F413</x:v>
      </x:c>
      <x:c r="B2100" s="12" t="str">
        <x:v>Mirafra</x:v>
      </x:c>
      <x:c r="C2100" s="12" t="str">
        <x:v>CORP-0005</x:v>
      </x:c>
      <x:c r="D2100" s="12" t="str">
        <x:v>Bengaluru</x:v>
      </x:c>
      <x:c r="E2100" s="12" t="str">
        <x:v>Akshay Tech Park</x:v>
      </x:c>
      <x:c r="F2100" s="12" t="str">
        <x:v>32 inch LED TV</x:v>
      </x:c>
      <x:c r="G2100" s="20" t="n">
        <x:v>8</x:v>
      </x:c>
      <x:c r="H2100" s="12" t="str">
        <x:v>Inventory-listed building/workspace context; current occupancy and screen access unverified</x:v>
      </x:c>
      <x:c r="I2100" s="12" t="str">
        <x:v>Mixed business audience</x:v>
      </x:c>
      <x:c r="J2100" s="12" t="str">
        <x:v>IT &amp; digital</x:v>
      </x:c>
      <x:c r="K2100" s="2" t="str">
        <x:v>MAIN-009</x:v>
      </x:c>
    </x:row>
    <x:row r="2101" ht="46" customHeight="1">
      <x:c r="A2101" s="2" t="str">
        <x:v>TEN-89B79C32DF1D</x:v>
      </x:c>
      <x:c r="B2101" s="12" t="str">
        <x:v>CMPTL</x:v>
      </x:c>
      <x:c r="C2101" s="12" t="str">
        <x:v>CORP-0005</x:v>
      </x:c>
      <x:c r="D2101" s="12" t="str">
        <x:v>Bengaluru</x:v>
      </x:c>
      <x:c r="E2101" s="12" t="str">
        <x:v>Akshay Tech Park</x:v>
      </x:c>
      <x:c r="F2101" s="12" t="str">
        <x:v>32 inch LED TV</x:v>
      </x:c>
      <x:c r="G2101" s="20" t="n">
        <x:v>8</x:v>
      </x:c>
      <x:c r="H2101" s="12" t="str">
        <x:v>Inventory-listed building/workspace context; current occupancy and screen access unverified</x:v>
      </x:c>
      <x:c r="I2101" s="12" t="str">
        <x:v>Mixed business audience</x:v>
      </x:c>
      <x:c r="J2101" s="12" t="str">
        <x:v>Unresolved</x:v>
      </x:c>
      <x:c r="K2101" s="2" t="str">
        <x:v>MAIN-009</x:v>
      </x:c>
    </x:row>
    <x:row r="2102" ht="46" customHeight="1">
      <x:c r="A2102" s="2" t="str">
        <x:v>TEN-B1431D1B5AF5</x:v>
      </x:c>
      <x:c r="B2102" s="12" t="str">
        <x:v>South India bank</x:v>
      </x:c>
      <x:c r="C2102" s="12" t="str">
        <x:v>CORP-0005</x:v>
      </x:c>
      <x:c r="D2102" s="12" t="str">
        <x:v>Bengaluru</x:v>
      </x:c>
      <x:c r="E2102" s="12" t="str">
        <x:v>Akshay Tech Park</x:v>
      </x:c>
      <x:c r="F2102" s="12" t="str">
        <x:v>32 inch LED TV</x:v>
      </x:c>
      <x:c r="G2102" s="20" t="n">
        <x:v>8</x:v>
      </x:c>
      <x:c r="H2102" s="12" t="str">
        <x:v>Inventory-listed building/workspace context; current occupancy and screen access unverified</x:v>
      </x:c>
      <x:c r="I2102" s="12" t="str">
        <x:v>Mixed business audience</x:v>
      </x:c>
      <x:c r="J2102" s="12" t="str">
        <x:v>Finance &amp; insurance</x:v>
      </x:c>
      <x:c r="K2102" s="2" t="str">
        <x:v>MAIN-009</x:v>
      </x:c>
    </x:row>
    <x:row r="2103" ht="46" customHeight="1">
      <x:c r="A2103" s="2" t="str">
        <x:v>TEN-C6E3A023B2FA</x:v>
      </x:c>
      <x:c r="B2103" s="12" t="str">
        <x:v>ImStrong</x:v>
      </x:c>
      <x:c r="C2103" s="12" t="str">
        <x:v>CORP-0005</x:v>
      </x:c>
      <x:c r="D2103" s="12" t="str">
        <x:v>Bengaluru</x:v>
      </x:c>
      <x:c r="E2103" s="12" t="str">
        <x:v>Akshay Tech Park</x:v>
      </x:c>
      <x:c r="F2103" s="12" t="str">
        <x:v>32 inch LED TV</x:v>
      </x:c>
      <x:c r="G2103" s="20" t="n">
        <x:v>8</x:v>
      </x:c>
      <x:c r="H2103" s="12" t="str">
        <x:v>Inventory-listed building/workspace context; current occupancy and screen access unverified</x:v>
      </x:c>
      <x:c r="I2103" s="12" t="str">
        <x:v>Mixed business audience</x:v>
      </x:c>
      <x:c r="J2103" s="12" t="str">
        <x:v>Unresolved</x:v>
      </x:c>
      <x:c r="K2103" s="2" t="str">
        <x:v>MAIN-009</x:v>
      </x:c>
    </x:row>
    <x:row r="2104" ht="46" customHeight="1">
      <x:c r="A2104" s="2" t="str">
        <x:v>TEN-D4A0022B593B</x:v>
      </x:c>
      <x:c r="B2104" s="12" t="str">
        <x:v>Sagacious IP Bangalore</x:v>
      </x:c>
      <x:c r="C2104" s="12" t="str">
        <x:v>CORP-0005</x:v>
      </x:c>
      <x:c r="D2104" s="12" t="str">
        <x:v>Bengaluru</x:v>
      </x:c>
      <x:c r="E2104" s="12" t="str">
        <x:v>Akshay Tech Park</x:v>
      </x:c>
      <x:c r="F2104" s="12" t="str">
        <x:v>32 inch LED TV</x:v>
      </x:c>
      <x:c r="G2104" s="20" t="n">
        <x:v>8</x:v>
      </x:c>
      <x:c r="H2104" s="12" t="str">
        <x:v>Inventory-listed building/workspace context; current occupancy and screen access unverified</x:v>
      </x:c>
      <x:c r="I2104" s="12" t="str">
        <x:v>Small-scale prospects</x:v>
      </x:c>
      <x:c r="J2104" s="12" t="str">
        <x:v>Professional services</x:v>
      </x:c>
      <x:c r="K2104" s="2" t="str">
        <x:v>MAIN-009</x:v>
      </x:c>
    </x:row>
    <x:row r="2105" ht="46" customHeight="1">
      <x:c r="A2105" s="2" t="str">
        <x:v>TEN-D77A75DAFFAB</x:v>
      </x:c>
      <x:c r="B2105" s="12" t="str">
        <x:v>goodworks</x:v>
      </x:c>
      <x:c r="C2105" s="12" t="str">
        <x:v>CORP-0005</x:v>
      </x:c>
      <x:c r="D2105" s="12" t="str">
        <x:v>Bengaluru</x:v>
      </x:c>
      <x:c r="E2105" s="12" t="str">
        <x:v>Akshay Tech Park</x:v>
      </x:c>
      <x:c r="F2105" s="12" t="str">
        <x:v>32 inch LED TV</x:v>
      </x:c>
      <x:c r="G2105" s="20" t="n">
        <x:v>8</x:v>
      </x:c>
      <x:c r="H2105" s="12" t="str">
        <x:v>Inventory-listed building/workspace context; current occupancy and screen access unverified</x:v>
      </x:c>
      <x:c r="I2105" s="12" t="str">
        <x:v>Mixed business audience</x:v>
      </x:c>
      <x:c r="J2105" s="12" t="str">
        <x:v>Workspace &amp; property operations</x:v>
      </x:c>
      <x:c r="K2105" s="2" t="str">
        <x:v>MAIN-009</x:v>
      </x:c>
    </x:row>
    <x:row r="2106" ht="46" customHeight="1">
      <x:c r="A2106" s="2" t="str">
        <x:v>TEN-ECADA1AE0F98</x:v>
      </x:c>
      <x:c r="B2106" s="12" t="str">
        <x:v>Future hook</x:v>
      </x:c>
      <x:c r="C2106" s="12" t="str">
        <x:v>CORP-0005</x:v>
      </x:c>
      <x:c r="D2106" s="12" t="str">
        <x:v>Bengaluru</x:v>
      </x:c>
      <x:c r="E2106" s="12" t="str">
        <x:v>Akshay Tech Park</x:v>
      </x:c>
      <x:c r="F2106" s="12" t="str">
        <x:v>32 inch LED TV</x:v>
      </x:c>
      <x:c r="G2106" s="20" t="n">
        <x:v>8</x:v>
      </x:c>
      <x:c r="H2106" s="12" t="str">
        <x:v>Inventory-listed building/workspace context; current occupancy and screen access unverified</x:v>
      </x:c>
      <x:c r="I2106" s="12" t="str">
        <x:v>Mixed business audience</x:v>
      </x:c>
      <x:c r="J2106" s="12" t="str">
        <x:v>Unresolved</x:v>
      </x:c>
      <x:c r="K2106" s="2" t="str">
        <x:v>MAIN-009</x:v>
      </x:c>
    </x:row>
    <x:row r="2107" ht="46" customHeight="1">
      <x:c r="A2107" s="2" t="str">
        <x:v>TEN-F920AA980FA1</x:v>
      </x:c>
      <x:c r="B2107" s="12" t="str">
        <x:v>LTECH solutions</x:v>
      </x:c>
      <x:c r="C2107" s="12" t="str">
        <x:v>CORP-0005</x:v>
      </x:c>
      <x:c r="D2107" s="12" t="str">
        <x:v>Bengaluru</x:v>
      </x:c>
      <x:c r="E2107" s="12" t="str">
        <x:v>Akshay Tech Park</x:v>
      </x:c>
      <x:c r="F2107" s="12" t="str">
        <x:v>32 inch LED TV</x:v>
      </x:c>
      <x:c r="G2107" s="20" t="n">
        <x:v>8</x:v>
      </x:c>
      <x:c r="H2107" s="12" t="str">
        <x:v>Inventory-listed building/workspace context; current occupancy and screen access unverified</x:v>
      </x:c>
      <x:c r="I2107" s="12" t="str">
        <x:v>Mixed business audience</x:v>
      </x:c>
      <x:c r="J2107" s="12" t="str">
        <x:v>Unresolved</x:v>
      </x:c>
      <x:c r="K2107" s="2" t="str">
        <x:v>MAIN-009</x:v>
      </x:c>
    </x:row>
    <x:row r="2108" ht="46" customHeight="1">
      <x:c r="A2108" s="2" t="str">
        <x:v>TEN-FB91131C276B</x:v>
      </x:c>
      <x:c r="B2108" s="12" t="str">
        <x:v>Extentia Information technology</x:v>
      </x:c>
      <x:c r="C2108" s="12" t="str">
        <x:v>CORP-0005</x:v>
      </x:c>
      <x:c r="D2108" s="12" t="str">
        <x:v>Bengaluru</x:v>
      </x:c>
      <x:c r="E2108" s="12" t="str">
        <x:v>Akshay Tech Park</x:v>
      </x:c>
      <x:c r="F2108" s="12" t="str">
        <x:v>32 inch LED TV</x:v>
      </x:c>
      <x:c r="G2108" s="20" t="n">
        <x:v>8</x:v>
      </x:c>
      <x:c r="H2108" s="12" t="str">
        <x:v>Inventory-listed building/workspace context; current occupancy and screen access unverified</x:v>
      </x:c>
      <x:c r="I2108" s="12" t="str">
        <x:v>Small-scale prospects</x:v>
      </x:c>
      <x:c r="J2108" s="12" t="str">
        <x:v>IT &amp; digital</x:v>
      </x:c>
      <x:c r="K2108" s="2" t="str">
        <x:v>MAIN-009</x:v>
      </x:c>
    </x:row>
    <x:row r="2109" ht="46" customHeight="1">
      <x:c r="A2109" s="2" t="str">
        <x:v>TEN-1152FAEF57CF</x:v>
      </x:c>
      <x:c r="B2109" s="12" t="str">
        <x:v>Yourdost</x:v>
      </x:c>
      <x:c r="C2109" s="12" t="str">
        <x:v>CORP-0086</x:v>
      </x:c>
      <x:c r="D2109" s="12" t="str">
        <x:v>Bengaluru</x:v>
      </x:c>
      <x:c r="E2109" s="12" t="str">
        <x:v>Startuphuts- Unit 7</x:v>
      </x:c>
      <x:c r="F2109" s="12" t="str">
        <x:v>32 inch LED TV</x:v>
      </x:c>
      <x:c r="G2109" s="20" t="n">
        <x:v>2</x:v>
      </x:c>
      <x:c r="H2109" s="12" t="str">
        <x:v>Inventory-listed building/workspace context; current occupancy and screen access unverified</x:v>
      </x:c>
      <x:c r="I2109" s="12" t="str">
        <x:v>Small-scale prospects</x:v>
      </x:c>
      <x:c r="J2109" s="12" t="str">
        <x:v>Healthcare &amp; life sciences</x:v>
      </x:c>
      <x:c r="K2109" s="2" t="str">
        <x:v>MAIN-090</x:v>
      </x:c>
    </x:row>
    <x:row r="2110" ht="46" customHeight="1">
      <x:c r="A2110" s="2" t="str">
        <x:v>TEN-5BC7BE6ECE7C</x:v>
      </x:c>
      <x:c r="B2110" s="12" t="str">
        <x:v>Classklap</x:v>
      </x:c>
      <x:c r="C2110" s="12" t="str">
        <x:v>CORP-0086</x:v>
      </x:c>
      <x:c r="D2110" s="12" t="str">
        <x:v>Bengaluru</x:v>
      </x:c>
      <x:c r="E2110" s="12" t="str">
        <x:v>Startuphuts- Unit 7</x:v>
      </x:c>
      <x:c r="F2110" s="12" t="str">
        <x:v>32 inch LED TV</x:v>
      </x:c>
      <x:c r="G2110" s="20" t="n">
        <x:v>2</x:v>
      </x:c>
      <x:c r="H2110" s="12" t="str">
        <x:v>Inventory-listed building/workspace context; current occupancy and screen access unverified</x:v>
      </x:c>
      <x:c r="I2110" s="12" t="str">
        <x:v>Mixed business audience</x:v>
      </x:c>
      <x:c r="J2110" s="12" t="str">
        <x:v>Education</x:v>
      </x:c>
      <x:c r="K2110" s="2" t="str">
        <x:v>MAIN-090</x:v>
      </x:c>
    </x:row>
    <x:row r="2111" ht="46" customHeight="1">
      <x:c r="A2111" s="2" t="str">
        <x:v>TEN-CBFA5A6E37BE</x:v>
      </x:c>
      <x:c r="B2111" s="12" t="str">
        <x:v>SL4Technology India Pvt.Ltd</x:v>
      </x:c>
      <x:c r="C2111" s="12" t="str">
        <x:v>CORP-0086</x:v>
      </x:c>
      <x:c r="D2111" s="12" t="str">
        <x:v>Bengaluru</x:v>
      </x:c>
      <x:c r="E2111" s="12" t="str">
        <x:v>Startuphuts- Unit 7</x:v>
      </x:c>
      <x:c r="F2111" s="12" t="str">
        <x:v>32 inch LED TV</x:v>
      </x:c>
      <x:c r="G2111" s="20" t="n">
        <x:v>2</x:v>
      </x:c>
      <x:c r="H2111" s="12" t="str">
        <x:v>Inventory-listed building/workspace context; current occupancy and screen access unverified</x:v>
      </x:c>
      <x:c r="I2111" s="12" t="str">
        <x:v>Mixed business audience</x:v>
      </x:c>
      <x:c r="J2111" s="12" t="str">
        <x:v>Unresolved</x:v>
      </x:c>
      <x:c r="K2111" s="2" t="str">
        <x:v>MAIN-090</x:v>
      </x:c>
    </x:row>
    <x:row r="2112" ht="46" customHeight="1">
      <x:c r="A2112" s="2" t="str">
        <x:v>TEN-FDEE430D40BD</x:v>
      </x:c>
      <x:c r="B2112" s="12" t="str">
        <x:v>ada</x:v>
      </x:c>
      <x:c r="C2112" s="12" t="str">
        <x:v>CORP-0086</x:v>
      </x:c>
      <x:c r="D2112" s="12" t="str">
        <x:v>Bengaluru</x:v>
      </x:c>
      <x:c r="E2112" s="12" t="str">
        <x:v>Startuphuts- Unit 7</x:v>
      </x:c>
      <x:c r="F2112" s="12" t="str">
        <x:v>32 inch LED TV</x:v>
      </x:c>
      <x:c r="G2112" s="20" t="n">
        <x:v>2</x:v>
      </x:c>
      <x:c r="H2112" s="12" t="str">
        <x:v>Inventory-listed building/workspace context; current occupancy and screen access unverified</x:v>
      </x:c>
      <x:c r="I2112" s="12" t="str">
        <x:v>Mixed business audience</x:v>
      </x:c>
      <x:c r="J2112" s="12" t="str">
        <x:v>Unresolved</x:v>
      </x:c>
      <x:c r="K2112" s="2" t="str">
        <x:v>MAIN-090</x:v>
      </x:c>
    </x:row>
    <x:row r="2113" ht="46" customHeight="1">
      <x:c r="A2113" s="2" t="str">
        <x:v>TEN-28788F1DD8EE</x:v>
      </x:c>
      <x:c r="B2113" s="12" t="str">
        <x:v>Bullsmart</x:v>
      </x:c>
      <x:c r="C2113" s="12" t="str">
        <x:v>CORP-0087</x:v>
      </x:c>
      <x:c r="D2113" s="12" t="str">
        <x:v>Bengaluru</x:v>
      </x:c>
      <x:c r="E2113" s="12" t="str">
        <x:v>Startuphuts- Unit 8</x:v>
      </x:c>
      <x:c r="F2113" s="12" t="str">
        <x:v>32 inch LED TV</x:v>
      </x:c>
      <x:c r="G2113" s="20" t="n">
        <x:v>2</x:v>
      </x:c>
      <x:c r="H2113" s="12" t="str">
        <x:v>Inventory-listed building/workspace context; current occupancy and screen access unverified</x:v>
      </x:c>
      <x:c r="I2113" s="12" t="str">
        <x:v>Medium-scale prospects</x:v>
      </x:c>
      <x:c r="J2113" s="12" t="str">
        <x:v>Finance &amp; insurance</x:v>
      </x:c>
      <x:c r="K2113" s="2" t="str">
        <x:v>MAIN-091</x:v>
      </x:c>
    </x:row>
    <x:row r="2114" ht="46" customHeight="1">
      <x:c r="A2114" s="2" t="str">
        <x:v>TEN-722C60CE3D88</x:v>
      </x:c>
      <x:c r="B2114" s="12" t="str">
        <x:v>KritiKal Solutions</x:v>
      </x:c>
      <x:c r="C2114" s="12" t="str">
        <x:v>CORP-0087</x:v>
      </x:c>
      <x:c r="D2114" s="12" t="str">
        <x:v>Bengaluru</x:v>
      </x:c>
      <x:c r="E2114" s="12" t="str">
        <x:v>Startuphuts- Unit 8</x:v>
      </x:c>
      <x:c r="F2114" s="12" t="str">
        <x:v>32 inch LED TV</x:v>
      </x:c>
      <x:c r="G2114" s="20" t="n">
        <x:v>2</x:v>
      </x:c>
      <x:c r="H2114" s="12" t="str">
        <x:v>Inventory-listed building/workspace context; current occupancy and screen access unverified</x:v>
      </x:c>
      <x:c r="I2114" s="12" t="str">
        <x:v>Medium-scale prospects</x:v>
      </x:c>
      <x:c r="J2114" s="12" t="str">
        <x:v>IT &amp; digital</x:v>
      </x:c>
      <x:c r="K2114" s="2" t="str">
        <x:v>MAIN-091</x:v>
      </x:c>
    </x:row>
    <x:row r="2115" ht="46" customHeight="1">
      <x:c r="A2115" s="2" t="str">
        <x:v>TEN-A8A4F777A65C</x:v>
      </x:c>
      <x:c r="B2115" s="12" t="str">
        <x:v>Cortiqa</x:v>
      </x:c>
      <x:c r="C2115" s="12" t="str">
        <x:v>CORP-0087</x:v>
      </x:c>
      <x:c r="D2115" s="12" t="str">
        <x:v>Bengaluru</x:v>
      </x:c>
      <x:c r="E2115" s="12" t="str">
        <x:v>Startuphuts- Unit 8</x:v>
      </x:c>
      <x:c r="F2115" s="12" t="str">
        <x:v>32 inch LED TV</x:v>
      </x:c>
      <x:c r="G2115" s="20" t="n">
        <x:v>2</x:v>
      </x:c>
      <x:c r="H2115" s="12" t="str">
        <x:v>Inventory-listed building/workspace context; current occupancy and screen access unverified</x:v>
      </x:c>
      <x:c r="I2115" s="12" t="str">
        <x:v>Small-scale prospects</x:v>
      </x:c>
      <x:c r="J2115" s="12" t="str">
        <x:v>IT &amp; digital</x:v>
      </x:c>
      <x:c r="K2115" s="2" t="str">
        <x:v>MAIN-091</x:v>
      </x:c>
    </x:row>
    <x:row r="2116" ht="46" customHeight="1">
      <x:c r="A2116" s="2" t="str">
        <x:v>TEN-1DCB318D6FA6</x:v>
      </x:c>
      <x:c r="B2116" s="12" t="str">
        <x:v>Kasmo</x:v>
      </x:c>
      <x:c r="C2116" s="12" t="str">
        <x:v>CORP-0088</x:v>
      </x:c>
      <x:c r="D2116" s="12" t="str">
        <x:v>Bengaluru</x:v>
      </x:c>
      <x:c r="E2116" s="12" t="str">
        <x:v>The Cube (Karle)It Park (Pod Screens)</x:v>
      </x:c>
      <x:c r="F2116" s="12" t="str">
        <x:v>43 inch LED TV</x:v>
      </x:c>
      <x:c r="G2116" s="20" t="n">
        <x:v>2</x:v>
      </x:c>
      <x:c r="H2116" s="12" t="str">
        <x:v>Campus/portfolio roster; individual building occupancy unverified</x:v>
      </x:c>
      <x:c r="I2116" s="12" t="str">
        <x:v>Small-scale prospects</x:v>
      </x:c>
      <x:c r="J2116" s="12" t="str">
        <x:v>IT &amp; digital</x:v>
      </x:c>
      <x:c r="K2116" s="2" t="str">
        <x:v>MAIN-092</x:v>
      </x:c>
    </x:row>
    <x:row r="2117" ht="46" customHeight="1">
      <x:c r="A2117" s="2" t="str">
        <x:v>TEN-956E5A41DB14</x:v>
      </x:c>
      <x:c r="B2117" s="12" t="str">
        <x:v>Persistent Systems</x:v>
      </x:c>
      <x:c r="C2117" s="12" t="str">
        <x:v>CORP-0088</x:v>
      </x:c>
      <x:c r="D2117" s="12" t="str">
        <x:v>Bengaluru</x:v>
      </x:c>
      <x:c r="E2117" s="12" t="str">
        <x:v>The Cube (Karle)It Park (Pod Screens)</x:v>
      </x:c>
      <x:c r="F2117" s="12" t="str">
        <x:v>43 inch LED TV</x:v>
      </x:c>
      <x:c r="G2117" s="20" t="n">
        <x:v>2</x:v>
      </x:c>
      <x:c r="H2117" s="12" t="str">
        <x:v>Campus/portfolio roster; individual building occupancy unverified</x:v>
      </x:c>
      <x:c r="I2117" s="12" t="str">
        <x:v>Large enterprise</x:v>
      </x:c>
      <x:c r="J2117" s="12" t="str">
        <x:v>IT &amp; digital</x:v>
      </x:c>
      <x:c r="K2117" s="2" t="str">
        <x:v>MAIN-092</x:v>
      </x:c>
    </x:row>
    <x:row r="2118" ht="46" customHeight="1">
      <x:c r="A2118" s="2" t="str">
        <x:v>TEN-C63644CF5B4D</x:v>
      </x:c>
      <x:c r="B2118" s="12" t="str">
        <x:v>STL Digital</x:v>
      </x:c>
      <x:c r="C2118" s="12" t="str">
        <x:v>CORP-0088</x:v>
      </x:c>
      <x:c r="D2118" s="12" t="str">
        <x:v>Bengaluru</x:v>
      </x:c>
      <x:c r="E2118" s="12" t="str">
        <x:v>The Cube (Karle)It Park (Pod Screens)</x:v>
      </x:c>
      <x:c r="F2118" s="12" t="str">
        <x:v>43 inch LED TV</x:v>
      </x:c>
      <x:c r="G2118" s="20" t="n">
        <x:v>2</x:v>
      </x:c>
      <x:c r="H2118" s="12" t="str">
        <x:v>Campus/portfolio roster; individual building occupancy unverified</x:v>
      </x:c>
      <x:c r="I2118" s="12" t="str">
        <x:v>Mixed business audience</x:v>
      </x:c>
      <x:c r="J2118" s="12" t="str">
        <x:v>IT &amp; digital</x:v>
      </x:c>
      <x:c r="K2118" s="2" t="str">
        <x:v>MAIN-092</x:v>
      </x:c>
    </x:row>
    <x:row r="2119" ht="46" customHeight="1">
      <x:c r="A2119" s="2" t="str">
        <x:v>TEN-CF8B634D45D8</x:v>
      </x:c>
      <x:c r="B2119" s="12" t="str">
        <x:v>Infobell IT Solutions Pvt Ltd</x:v>
      </x:c>
      <x:c r="C2119" s="12" t="str">
        <x:v>CORP-0088</x:v>
      </x:c>
      <x:c r="D2119" s="12" t="str">
        <x:v>Bengaluru</x:v>
      </x:c>
      <x:c r="E2119" s="12" t="str">
        <x:v>The Cube (Karle)It Park (Pod Screens)</x:v>
      </x:c>
      <x:c r="F2119" s="12" t="str">
        <x:v>43 inch LED TV</x:v>
      </x:c>
      <x:c r="G2119" s="20" t="n">
        <x:v>2</x:v>
      </x:c>
      <x:c r="H2119" s="12" t="str">
        <x:v>Campus/portfolio roster; individual building occupancy unverified</x:v>
      </x:c>
      <x:c r="I2119" s="12" t="str">
        <x:v>Small-scale prospects</x:v>
      </x:c>
      <x:c r="J2119" s="12" t="str">
        <x:v>IT &amp; digital</x:v>
      </x:c>
      <x:c r="K2119" s="2" t="str">
        <x:v>MAIN-092</x:v>
      </x:c>
    </x:row>
    <x:row r="2120" ht="46" customHeight="1">
      <x:c r="A2120" s="2" t="str">
        <x:v>TEN-ECC7EC65401A</x:v>
      </x:c>
      <x:c r="B2120" s="12" t="str">
        <x:v>Amantya technologies</x:v>
      </x:c>
      <x:c r="C2120" s="12" t="str">
        <x:v>CORP-0088</x:v>
      </x:c>
      <x:c r="D2120" s="12" t="str">
        <x:v>Bengaluru</x:v>
      </x:c>
      <x:c r="E2120" s="12" t="str">
        <x:v>The Cube (Karle)It Park (Pod Screens)</x:v>
      </x:c>
      <x:c r="F2120" s="12" t="str">
        <x:v>43 inch LED TV</x:v>
      </x:c>
      <x:c r="G2120" s="20" t="n">
        <x:v>2</x:v>
      </x:c>
      <x:c r="H2120" s="12" t="str">
        <x:v>Campus/portfolio roster; individual building occupancy unverified</x:v>
      </x:c>
      <x:c r="I2120" s="12" t="str">
        <x:v>Small-scale prospects</x:v>
      </x:c>
      <x:c r="J2120" s="12" t="str">
        <x:v>IT &amp; digital</x:v>
      </x:c>
      <x:c r="K2120" s="2" t="str">
        <x:v>MAIN-092</x:v>
      </x:c>
    </x:row>
    <x:row r="2121" ht="46" customHeight="1">
      <x:c r="A2121" s="2" t="str">
        <x:v>TEN-12AA2A79B0A6</x:v>
      </x:c>
      <x:c r="B2121" s="12" t="str">
        <x:v>Sharpsell Technology Pvt.Ltd</x:v>
      </x:c>
      <x:c r="C2121" s="12" t="str">
        <x:v>CORP-0089</x:v>
      </x:c>
      <x:c r="D2121" s="12" t="str">
        <x:v>Bengaluru</x:v>
      </x:c>
      <x:c r="E2121" s="12" t="str">
        <x:v>The Venture Studios</x:v>
      </x:c>
      <x:c r="F2121" s="12" t="str">
        <x:v>32 inch LED TV</x:v>
      </x:c>
      <x:c r="G2121" s="20" t="n">
        <x:v>1</x:v>
      </x:c>
      <x:c r="H2121" s="12" t="str">
        <x:v>Inventory-listed building/workspace context; current occupancy and screen access unverified</x:v>
      </x:c>
      <x:c r="I2121" s="12" t="str">
        <x:v>Mixed business audience</x:v>
      </x:c>
      <x:c r="J2121" s="12" t="str">
        <x:v>Unresolved</x:v>
      </x:c>
      <x:c r="K2121" s="2" t="str">
        <x:v>MAIN-093</x:v>
      </x:c>
    </x:row>
    <x:row r="2122" ht="46" customHeight="1">
      <x:c r="A2122" s="2" t="str">
        <x:v>TEN-731DBD118BBD</x:v>
      </x:c>
      <x:c r="B2122" s="12" t="str">
        <x:v>Agile Labs</x:v>
      </x:c>
      <x:c r="C2122" s="12" t="str">
        <x:v>CORP-0089</x:v>
      </x:c>
      <x:c r="D2122" s="12" t="str">
        <x:v>Bengaluru</x:v>
      </x:c>
      <x:c r="E2122" s="12" t="str">
        <x:v>The Venture Studios</x:v>
      </x:c>
      <x:c r="F2122" s="12" t="str">
        <x:v>32 inch LED TV</x:v>
      </x:c>
      <x:c r="G2122" s="20" t="n">
        <x:v>1</x:v>
      </x:c>
      <x:c r="H2122" s="12" t="str">
        <x:v>Inventory-listed building/workspace context; current occupancy and screen access unverified</x:v>
      </x:c>
      <x:c r="I2122" s="12" t="str">
        <x:v>Small-scale prospects</x:v>
      </x:c>
      <x:c r="J2122" s="12" t="str">
        <x:v>IT &amp; digital</x:v>
      </x:c>
      <x:c r="K2122" s="2" t="str">
        <x:v>MAIN-093</x:v>
      </x:c>
    </x:row>
    <x:row r="2123" ht="46" customHeight="1">
      <x:c r="A2123" s="2" t="str">
        <x:v>TEN-82C3BFFEEF29</x:v>
      </x:c>
      <x:c r="B2123" s="12" t="str">
        <x:v>Mavenoak Properties LLP</x:v>
      </x:c>
      <x:c r="C2123" s="12" t="str">
        <x:v>CORP-0089</x:v>
      </x:c>
      <x:c r="D2123" s="12" t="str">
        <x:v>Bengaluru</x:v>
      </x:c>
      <x:c r="E2123" s="12" t="str">
        <x:v>The Venture Studios</x:v>
      </x:c>
      <x:c r="F2123" s="12" t="str">
        <x:v>32 inch LED TV</x:v>
      </x:c>
      <x:c r="G2123" s="20" t="n">
        <x:v>1</x:v>
      </x:c>
      <x:c r="H2123" s="12" t="str">
        <x:v>Inventory-listed building/workspace context; current occupancy and screen access unverified</x:v>
      </x:c>
      <x:c r="I2123" s="12" t="str">
        <x:v>Small-scale prospects</x:v>
      </x:c>
      <x:c r="J2123" s="12" t="str">
        <x:v>Trade, consumer &amp; logistics</x:v>
      </x:c>
      <x:c r="K2123" s="2" t="str">
        <x:v>MAIN-093</x:v>
      </x:c>
    </x:row>
    <x:row r="2124" ht="46" customHeight="1">
      <x:c r="A2124" s="2" t="str">
        <x:v>TEN-894BD711A108</x:v>
      </x:c>
      <x:c r="B2124" s="12" t="str">
        <x:v>CompUp</x:v>
      </x:c>
      <x:c r="C2124" s="12" t="str">
        <x:v>CORP-0089</x:v>
      </x:c>
      <x:c r="D2124" s="12" t="str">
        <x:v>Bengaluru</x:v>
      </x:c>
      <x:c r="E2124" s="12" t="str">
        <x:v>The Venture Studios</x:v>
      </x:c>
      <x:c r="F2124" s="12" t="str">
        <x:v>32 inch LED TV</x:v>
      </x:c>
      <x:c r="G2124" s="20" t="n">
        <x:v>1</x:v>
      </x:c>
      <x:c r="H2124" s="12" t="str">
        <x:v>Inventory-listed building/workspace context; current occupancy and screen access unverified</x:v>
      </x:c>
      <x:c r="I2124" s="12" t="str">
        <x:v>Small-scale prospects</x:v>
      </x:c>
      <x:c r="J2124" s="12" t="str">
        <x:v>IT &amp; digital</x:v>
      </x:c>
      <x:c r="K2124" s="2" t="str">
        <x:v>MAIN-093</x:v>
      </x:c>
    </x:row>
    <x:row r="2125" ht="46" customHeight="1">
      <x:c r="A2125" s="2" t="str">
        <x:v>TEN-9CB90BDA82CB</x:v>
      </x:c>
      <x:c r="B2125" s="12" t="str">
        <x:v>Anicca Data Science Solution Pvt.Ltd</x:v>
      </x:c>
      <x:c r="C2125" s="12" t="str">
        <x:v>CORP-0089</x:v>
      </x:c>
      <x:c r="D2125" s="12" t="str">
        <x:v>Bengaluru</x:v>
      </x:c>
      <x:c r="E2125" s="12" t="str">
        <x:v>The Venture Studios</x:v>
      </x:c>
      <x:c r="F2125" s="12" t="str">
        <x:v>32 inch LED TV</x:v>
      </x:c>
      <x:c r="G2125" s="20" t="n">
        <x:v>1</x:v>
      </x:c>
      <x:c r="H2125" s="12" t="str">
        <x:v>Inventory-listed building/workspace context; current occupancy and screen access unverified</x:v>
      </x:c>
      <x:c r="I2125" s="12" t="str">
        <x:v>Small-scale prospects</x:v>
      </x:c>
      <x:c r="J2125" s="12" t="str">
        <x:v>IT &amp; digital</x:v>
      </x:c>
      <x:c r="K2125" s="2" t="str">
        <x:v>MAIN-093</x:v>
      </x:c>
    </x:row>
    <x:row r="2126" ht="46" customHeight="1">
      <x:c r="A2126" s="2" t="str">
        <x:v>TEN-C40F3464BCD7</x:v>
      </x:c>
      <x:c r="B2126" s="12" t="str">
        <x:v>ISR Designs</x:v>
      </x:c>
      <x:c r="C2126" s="12" t="str">
        <x:v>CORP-0089</x:v>
      </x:c>
      <x:c r="D2126" s="12" t="str">
        <x:v>Bengaluru</x:v>
      </x:c>
      <x:c r="E2126" s="12" t="str">
        <x:v>The Venture Studios</x:v>
      </x:c>
      <x:c r="F2126" s="12" t="str">
        <x:v>32 inch LED TV</x:v>
      </x:c>
      <x:c r="G2126" s="20" t="n">
        <x:v>1</x:v>
      </x:c>
      <x:c r="H2126" s="12" t="str">
        <x:v>Inventory-listed building/workspace context; current occupancy and screen access unverified</x:v>
      </x:c>
      <x:c r="I2126" s="12" t="str">
        <x:v>Mixed business audience</x:v>
      </x:c>
      <x:c r="J2126" s="12" t="str">
        <x:v>Unresolved</x:v>
      </x:c>
      <x:c r="K2126" s="2" t="str">
        <x:v>MAIN-093</x:v>
      </x:c>
    </x:row>
    <x:row r="2127" ht="46" customHeight="1">
      <x:c r="A2127" s="2" t="str">
        <x:v>TEN-E32A2C3696BC</x:v>
      </x:c>
      <x:c r="B2127" s="12" t="str">
        <x:v>Experience Analytics Pvt.Ltd</x:v>
      </x:c>
      <x:c r="C2127" s="12" t="str">
        <x:v>CORP-0089</x:v>
      </x:c>
      <x:c r="D2127" s="12" t="str">
        <x:v>Bengaluru</x:v>
      </x:c>
      <x:c r="E2127" s="12" t="str">
        <x:v>The Venture Studios</x:v>
      </x:c>
      <x:c r="F2127" s="12" t="str">
        <x:v>32 inch LED TV</x:v>
      </x:c>
      <x:c r="G2127" s="20" t="n">
        <x:v>1</x:v>
      </x:c>
      <x:c r="H2127" s="12" t="str">
        <x:v>Inventory-listed building/workspace context; current occupancy and screen access unverified</x:v>
      </x:c>
      <x:c r="I2127" s="12" t="str">
        <x:v>Small-scale prospects</x:v>
      </x:c>
      <x:c r="J2127" s="12" t="str">
        <x:v>IT &amp; digital</x:v>
      </x:c>
      <x:c r="K2127" s="2" t="str">
        <x:v>MAIN-093</x:v>
      </x:c>
    </x:row>
    <x:row r="2128" ht="46" customHeight="1">
      <x:c r="A2128" s="2" t="str">
        <x:v>TEN-674252DF0AE9</x:v>
      </x:c>
      <x:c r="B2128" s="12" t="str">
        <x:v>Fibbir</x:v>
      </x:c>
      <x:c r="C2128" s="12" t="str">
        <x:v>CORP-0091</x:v>
      </x:c>
      <x:c r="D2128" s="12" t="str">
        <x:v>Bengaluru</x:v>
      </x:c>
      <x:c r="E2128" s="12" t="str">
        <x:v>Urban Vault- 6/A</x:v>
      </x:c>
      <x:c r="F2128" s="12" t="str">
        <x:v>32 inch LED TV</x:v>
      </x:c>
      <x:c r="G2128" s="20" t="n">
        <x:v>2</x:v>
      </x:c>
      <x:c r="H2128" s="12" t="str">
        <x:v>Inventory-listed building/workspace context; current occupancy and screen access unverified</x:v>
      </x:c>
      <x:c r="I2128" s="12" t="str">
        <x:v>Mixed business audience</x:v>
      </x:c>
      <x:c r="J2128" s="12" t="str">
        <x:v>Unresolved</x:v>
      </x:c>
      <x:c r="K2128" s="2" t="str">
        <x:v>MAIN-095</x:v>
      </x:c>
    </x:row>
    <x:row r="2129" ht="46" customHeight="1">
      <x:c r="A2129" s="2" t="str">
        <x:v>TEN-B1AD052757E7</x:v>
      </x:c>
      <x:c r="B2129" s="12" t="str">
        <x:v>Uprised</x:v>
      </x:c>
      <x:c r="C2129" s="12" t="str">
        <x:v>CORP-0091</x:v>
      </x:c>
      <x:c r="D2129" s="12" t="str">
        <x:v>Bengaluru</x:v>
      </x:c>
      <x:c r="E2129" s="12" t="str">
        <x:v>Urban Vault- 6/A</x:v>
      </x:c>
      <x:c r="F2129" s="12" t="str">
        <x:v>32 inch LED TV</x:v>
      </x:c>
      <x:c r="G2129" s="20" t="n">
        <x:v>2</x:v>
      </x:c>
      <x:c r="H2129" s="12" t="str">
        <x:v>Inventory-listed building/workspace context; current occupancy and screen access unverified</x:v>
      </x:c>
      <x:c r="I2129" s="12" t="str">
        <x:v>Mixed business audience</x:v>
      </x:c>
      <x:c r="J2129" s="12" t="str">
        <x:v>Unresolved</x:v>
      </x:c>
      <x:c r="K2129" s="2" t="str">
        <x:v>MAIN-095</x:v>
      </x:c>
    </x:row>
    <x:row r="2130" ht="46" customHeight="1">
      <x:c r="A2130" s="2" t="str">
        <x:v>TEN-C180FD5F29F8</x:v>
      </x:c>
      <x:c r="B2130" s="12" t="str">
        <x:v>Vision Tech Private Limited</x:v>
      </x:c>
      <x:c r="C2130" s="12" t="str">
        <x:v>CORP-0091</x:v>
      </x:c>
      <x:c r="D2130" s="12" t="str">
        <x:v>Bengaluru</x:v>
      </x:c>
      <x:c r="E2130" s="12" t="str">
        <x:v>Urban Vault- 6/A</x:v>
      </x:c>
      <x:c r="F2130" s="12" t="str">
        <x:v>32 inch LED TV</x:v>
      </x:c>
      <x:c r="G2130" s="20" t="n">
        <x:v>2</x:v>
      </x:c>
      <x:c r="H2130" s="12" t="str">
        <x:v>Inventory-listed building/workspace context; current occupancy and screen access unverified</x:v>
      </x:c>
      <x:c r="I2130" s="12" t="str">
        <x:v>Mixed business audience</x:v>
      </x:c>
      <x:c r="J2130" s="12" t="str">
        <x:v>Unresolved</x:v>
      </x:c>
      <x:c r="K2130" s="2" t="str">
        <x:v>MAIN-095</x:v>
      </x:c>
    </x:row>
    <x:row r="2131" ht="46" customHeight="1">
      <x:c r="A2131" s="2" t="str">
        <x:v>TEN-07D066428D01</x:v>
      </x:c>
      <x:c r="B2131" s="12" t="str">
        <x:v>Entrepreneur First</x:v>
      </x:c>
      <x:c r="C2131" s="12" t="str">
        <x:v>CORP-0092</x:v>
      </x:c>
      <x:c r="D2131" s="12" t="str">
        <x:v>Bengaluru</x:v>
      </x:c>
      <x:c r="E2131" s="12" t="str">
        <x:v>Urban Vault- 65</x:v>
      </x:c>
      <x:c r="F2131" s="12" t="str">
        <x:v>32 inch LED TV</x:v>
      </x:c>
      <x:c r="G2131" s="20" t="n">
        <x:v>2</x:v>
      </x:c>
      <x:c r="H2131" s="12" t="str">
        <x:v>Inventory-listed building/workspace context; current occupancy and screen access unverified</x:v>
      </x:c>
      <x:c r="I2131" s="12" t="str">
        <x:v>Medium-scale prospects</x:v>
      </x:c>
      <x:c r="J2131" s="12" t="str">
        <x:v>Finance &amp; insurance</x:v>
      </x:c>
      <x:c r="K2131" s="2" t="str">
        <x:v>MAIN-096</x:v>
      </x:c>
    </x:row>
    <x:row r="2132" ht="46" customHeight="1">
      <x:c r="A2132" s="2" t="str">
        <x:v>TEN-2CBDDD182E39</x:v>
      </x:c>
      <x:c r="B2132" s="12" t="str">
        <x:v>Julia Hub</x:v>
      </x:c>
      <x:c r="C2132" s="12" t="str">
        <x:v>CORP-0092</x:v>
      </x:c>
      <x:c r="D2132" s="12" t="str">
        <x:v>Bengaluru</x:v>
      </x:c>
      <x:c r="E2132" s="12" t="str">
        <x:v>Urban Vault- 65</x:v>
      </x:c>
      <x:c r="F2132" s="12" t="str">
        <x:v>32 inch LED TV</x:v>
      </x:c>
      <x:c r="G2132" s="20" t="n">
        <x:v>2</x:v>
      </x:c>
      <x:c r="H2132" s="12" t="str">
        <x:v>Inventory-listed building/workspace context; current occupancy and screen access unverified</x:v>
      </x:c>
      <x:c r="I2132" s="12" t="str">
        <x:v>Small-scale prospects</x:v>
      </x:c>
      <x:c r="J2132" s="12" t="str">
        <x:v>IT &amp; digital</x:v>
      </x:c>
      <x:c r="K2132" s="2" t="str">
        <x:v>MAIN-096</x:v>
      </x:c>
    </x:row>
    <x:row r="2133" ht="46" customHeight="1">
      <x:c r="A2133" s="2" t="str">
        <x:v>TEN-8443D2DCCA7C</x:v>
      </x:c>
      <x:c r="B2133" s="12" t="str">
        <x:v>carestack</x:v>
      </x:c>
      <x:c r="C2133" s="12" t="str">
        <x:v>CORP-0092</x:v>
      </x:c>
      <x:c r="D2133" s="12" t="str">
        <x:v>Bengaluru</x:v>
      </x:c>
      <x:c r="E2133" s="12" t="str">
        <x:v>Urban Vault- 65</x:v>
      </x:c>
      <x:c r="F2133" s="12" t="str">
        <x:v>32 inch LED TV</x:v>
      </x:c>
      <x:c r="G2133" s="20" t="n">
        <x:v>2</x:v>
      </x:c>
      <x:c r="H2133" s="12" t="str">
        <x:v>Inventory-listed building/workspace context; current occupancy and screen access unverified</x:v>
      </x:c>
      <x:c r="I2133" s="12" t="str">
        <x:v>Small-scale prospects</x:v>
      </x:c>
      <x:c r="J2133" s="12" t="str">
        <x:v>IT &amp; digital</x:v>
      </x:c>
      <x:c r="K2133" s="2" t="str">
        <x:v>MAIN-096</x:v>
      </x:c>
    </x:row>
    <x:row r="2134" ht="46" customHeight="1">
      <x:c r="A2134" s="2" t="str">
        <x:v>TEN-B02D68728E8B</x:v>
      </x:c>
      <x:c r="B2134" s="12" t="str">
        <x:v>Hyperverge</x:v>
      </x:c>
      <x:c r="C2134" s="12" t="str">
        <x:v>CORP-0092</x:v>
      </x:c>
      <x:c r="D2134" s="12" t="str">
        <x:v>Bengaluru</x:v>
      </x:c>
      <x:c r="E2134" s="12" t="str">
        <x:v>Urban Vault- 65</x:v>
      </x:c>
      <x:c r="F2134" s="12" t="str">
        <x:v>32 inch LED TV</x:v>
      </x:c>
      <x:c r="G2134" s="20" t="n">
        <x:v>2</x:v>
      </x:c>
      <x:c r="H2134" s="12" t="str">
        <x:v>Inventory-listed building/workspace context; current occupancy and screen access unverified</x:v>
      </x:c>
      <x:c r="I2134" s="12" t="str">
        <x:v>Small-scale prospects</x:v>
      </x:c>
      <x:c r="J2134" s="12" t="str">
        <x:v>IT &amp; digital</x:v>
      </x:c>
      <x:c r="K2134" s="2" t="str">
        <x:v>MAIN-096</x:v>
      </x:c>
    </x:row>
    <x:row r="2135" ht="46" customHeight="1">
      <x:c r="A2135" s="2" t="str">
        <x:v>TEN-D0D0FF9462AA</x:v>
      </x:c>
      <x:c r="B2135" s="12" t="str">
        <x:v>prophecy</x:v>
      </x:c>
      <x:c r="C2135" s="12" t="str">
        <x:v>CORP-0092</x:v>
      </x:c>
      <x:c r="D2135" s="12" t="str">
        <x:v>Bengaluru</x:v>
      </x:c>
      <x:c r="E2135" s="12" t="str">
        <x:v>Urban Vault- 65</x:v>
      </x:c>
      <x:c r="F2135" s="12" t="str">
        <x:v>32 inch LED TV</x:v>
      </x:c>
      <x:c r="G2135" s="20" t="n">
        <x:v>2</x:v>
      </x:c>
      <x:c r="H2135" s="12" t="str">
        <x:v>Inventory-listed building/workspace context; current occupancy and screen access unverified</x:v>
      </x:c>
      <x:c r="I2135" s="12" t="str">
        <x:v>Small-scale prospects</x:v>
      </x:c>
      <x:c r="J2135" s="12" t="str">
        <x:v>IT &amp; digital</x:v>
      </x:c>
      <x:c r="K2135" s="2" t="str">
        <x:v>MAIN-096</x:v>
      </x:c>
    </x:row>
    <x:row r="2136" ht="46" customHeight="1">
      <x:c r="A2136" s="2" t="str">
        <x:v>TEN-50B0085E2E91</x:v>
      </x:c>
      <x:c r="B2136" s="12" t="str">
        <x:v>SPOTDRAFT</x:v>
      </x:c>
      <x:c r="C2136" s="12" t="str">
        <x:v>CORP-0093</x:v>
      </x:c>
      <x:c r="D2136" s="12" t="str">
        <x:v>Bengaluru</x:v>
      </x:c>
      <x:c r="E2136" s="12" t="str">
        <x:v>Urban Vault- 97</x:v>
      </x:c>
      <x:c r="F2136" s="12" t="str">
        <x:v>32 inch LED TV</x:v>
      </x:c>
      <x:c r="G2136" s="20" t="n">
        <x:v>1</x:v>
      </x:c>
      <x:c r="H2136" s="12" t="str">
        <x:v>Inventory-listed building/workspace context; current occupancy and screen access unverified</x:v>
      </x:c>
      <x:c r="I2136" s="12" t="str">
        <x:v>Small-scale prospects</x:v>
      </x:c>
      <x:c r="J2136" s="12" t="str">
        <x:v>IT &amp; digital</x:v>
      </x:c>
      <x:c r="K2136" s="2" t="str">
        <x:v>MAIN-097</x:v>
      </x:c>
    </x:row>
    <x:row r="2137" ht="46" customHeight="1">
      <x:c r="A2137" s="2" t="str">
        <x:v>TEN-EB3A79B604CA</x:v>
      </x:c>
      <x:c r="B2137" s="12" t="str">
        <x:v>DEALShare</x:v>
      </x:c>
      <x:c r="C2137" s="12" t="str">
        <x:v>CORP-0093</x:v>
      </x:c>
      <x:c r="D2137" s="12" t="str">
        <x:v>Bengaluru</x:v>
      </x:c>
      <x:c r="E2137" s="12" t="str">
        <x:v>Urban Vault- 97</x:v>
      </x:c>
      <x:c r="F2137" s="12" t="str">
        <x:v>32 inch LED TV</x:v>
      </x:c>
      <x:c r="G2137" s="20" t="n">
        <x:v>1</x:v>
      </x:c>
      <x:c r="H2137" s="12" t="str">
        <x:v>Inventory-listed building/workspace context; current occupancy and screen access unverified</x:v>
      </x:c>
      <x:c r="I2137" s="12" t="str">
        <x:v>Small-scale prospects</x:v>
      </x:c>
      <x:c r="J2137" s="12" t="str">
        <x:v>Trade, consumer &amp; logistics</x:v>
      </x:c>
      <x:c r="K2137" s="2" t="str">
        <x:v>MAIN-097</x:v>
      </x:c>
    </x:row>
    <x:row r="2138" ht="46" customHeight="1">
      <x:c r="A2138" s="2" t="str">
        <x:v>TEN-36266ED012C5</x:v>
      </x:c>
      <x:c r="B2138" s="12" t="str">
        <x:v>Triomics</x:v>
      </x:c>
      <x:c r="C2138" s="12" t="str">
        <x:v>CORP-0094</x:v>
      </x:c>
      <x:c r="D2138" s="12" t="str">
        <x:v>Bengaluru</x:v>
      </x:c>
      <x:c r="E2138" s="12" t="str">
        <x:v>Urban Vault- 145</x:v>
      </x:c>
      <x:c r="F2138" s="12" t="str">
        <x:v>32 inch LED TV</x:v>
      </x:c>
      <x:c r="G2138" s="20" t="n">
        <x:v>2</x:v>
      </x:c>
      <x:c r="H2138" s="12" t="str">
        <x:v>Inventory-listed building/workspace context; current occupancy and screen access unverified</x:v>
      </x:c>
      <x:c r="I2138" s="12" t="str">
        <x:v>Medium-scale prospects</x:v>
      </x:c>
      <x:c r="J2138" s="12" t="str">
        <x:v>Healthcare &amp; life sciences</x:v>
      </x:c>
      <x:c r="K2138" s="2" t="str">
        <x:v>MAIN-098</x:v>
      </x:c>
    </x:row>
    <x:row r="2139" ht="46" customHeight="1">
      <x:c r="A2139" s="2" t="str">
        <x:v>TEN-4372F5F2C226</x:v>
      </x:c>
      <x:c r="B2139" s="12" t="str">
        <x:v>Blissclub</x:v>
      </x:c>
      <x:c r="C2139" s="12" t="str">
        <x:v>CORP-0094</x:v>
      </x:c>
      <x:c r="D2139" s="12" t="str">
        <x:v>Bengaluru</x:v>
      </x:c>
      <x:c r="E2139" s="12" t="str">
        <x:v>Urban Vault- 145</x:v>
      </x:c>
      <x:c r="F2139" s="12" t="str">
        <x:v>32 inch LED TV</x:v>
      </x:c>
      <x:c r="G2139" s="20" t="n">
        <x:v>2</x:v>
      </x:c>
      <x:c r="H2139" s="12" t="str">
        <x:v>Inventory-listed building/workspace context; current occupancy and screen access unverified</x:v>
      </x:c>
      <x:c r="I2139" s="12" t="str">
        <x:v>Small-scale prospects</x:v>
      </x:c>
      <x:c r="J2139" s="12" t="str">
        <x:v>Trade, consumer &amp; logistics</x:v>
      </x:c>
      <x:c r="K2139" s="2" t="str">
        <x:v>MAIN-098</x:v>
      </x:c>
    </x:row>
    <x:row r="2140" ht="46" customHeight="1">
      <x:c r="A2140" s="2" t="str">
        <x:v>TEN-FC16200FF43D</x:v>
      </x:c>
      <x:c r="B2140" s="12" t="str">
        <x:v>Growthschool</x:v>
      </x:c>
      <x:c r="C2140" s="12" t="str">
        <x:v>CORP-0094</x:v>
      </x:c>
      <x:c r="D2140" s="12" t="str">
        <x:v>Bengaluru</x:v>
      </x:c>
      <x:c r="E2140" s="12" t="str">
        <x:v>Urban Vault- 145</x:v>
      </x:c>
      <x:c r="F2140" s="12" t="str">
        <x:v>32 inch LED TV</x:v>
      </x:c>
      <x:c r="G2140" s="20" t="n">
        <x:v>2</x:v>
      </x:c>
      <x:c r="H2140" s="12" t="str">
        <x:v>Inventory-listed building/workspace context; current occupancy and screen access unverified</x:v>
      </x:c>
      <x:c r="I2140" s="12" t="str">
        <x:v>Small-scale prospects</x:v>
      </x:c>
      <x:c r="J2140" s="12" t="str">
        <x:v>Education</x:v>
      </x:c>
      <x:c r="K2140" s="2" t="str">
        <x:v>MAIN-098</x:v>
      </x:c>
    </x:row>
    <x:row r="2141" ht="46" customHeight="1">
      <x:c r="A2141" s="2" t="str">
        <x:v>TEN-71D66DBB439D</x:v>
      </x:c>
      <x:c r="B2141" s="12" t="str">
        <x:v>Customer Glu</x:v>
      </x:c>
      <x:c r="C2141" s="12" t="str">
        <x:v>CORP-0095</x:v>
      </x:c>
      <x:c r="D2141" s="12" t="str">
        <x:v>Bengaluru</x:v>
      </x:c>
      <x:c r="E2141" s="12" t="str">
        <x:v>Urban Vault- 316</x:v>
      </x:c>
      <x:c r="F2141" s="12" t="str">
        <x:v>32 inch LED TV</x:v>
      </x:c>
      <x:c r="G2141" s="20" t="n">
        <x:v>2</x:v>
      </x:c>
      <x:c r="H2141" s="12" t="str">
        <x:v>Inventory-listed building/workspace context; current occupancy and screen access unverified</x:v>
      </x:c>
      <x:c r="I2141" s="12" t="str">
        <x:v>Small-scale prospects</x:v>
      </x:c>
      <x:c r="J2141" s="12" t="str">
        <x:v>IT &amp; digital</x:v>
      </x:c>
      <x:c r="K2141" s="2" t="str">
        <x:v>MAIN-099</x:v>
      </x:c>
    </x:row>
    <x:row r="2142" ht="46" customHeight="1">
      <x:c r="A2142" s="2" t="str">
        <x:v>TEN-D071DE59348F</x:v>
      </x:c>
      <x:c r="B2142" s="12" t="str">
        <x:v>Openin App and Listed</x:v>
      </x:c>
      <x:c r="C2142" s="12" t="str">
        <x:v>CORP-0095</x:v>
      </x:c>
      <x:c r="D2142" s="12" t="str">
        <x:v>Bengaluru</x:v>
      </x:c>
      <x:c r="E2142" s="12" t="str">
        <x:v>Urban Vault- 316</x:v>
      </x:c>
      <x:c r="F2142" s="12" t="str">
        <x:v>32 inch LED TV</x:v>
      </x:c>
      <x:c r="G2142" s="20" t="n">
        <x:v>2</x:v>
      </x:c>
      <x:c r="H2142" s="12" t="str">
        <x:v>Inventory-listed building/workspace context; current occupancy and screen access unverified</x:v>
      </x:c>
      <x:c r="I2142" s="12" t="str">
        <x:v>Mixed business audience</x:v>
      </x:c>
      <x:c r="J2142" s="12" t="str">
        <x:v>Unresolved</x:v>
      </x:c>
      <x:c r="K2142" s="2" t="str">
        <x:v>MAIN-099</x:v>
      </x:c>
    </x:row>
    <x:row r="2143" ht="46" customHeight="1">
      <x:c r="A2143" s="2" t="str">
        <x:v>TEN-020941631166</x:v>
      </x:c>
      <x:c r="B2143" s="12" t="str">
        <x:v>EXA-AG</x:v>
      </x:c>
      <x:c r="C2143" s="12" t="str">
        <x:v>CORP-0425</x:v>
      </x:c>
      <x:c r="D2143" s="12" t="str">
        <x:v>Bengaluru</x:v>
      </x:c>
      <x:c r="E2143" s="12" t="str">
        <x:v>International Tech Park (ITPB)</x:v>
      </x:c>
      <x:c r="F2143" s="12" t="str">
        <x:v>55 inch</x:v>
      </x:c>
      <x:c r="G2143" s="20" t="n">
        <x:v>1</x:v>
      </x:c>
      <x:c r="H2143" s="12" t="str">
        <x:v>Campus/portfolio roster; individual building occupancy unverified</x:v>
      </x:c>
      <x:c r="I2143" s="12" t="str">
        <x:v>Small-scale prospects</x:v>
      </x:c>
      <x:c r="J2143" s="12" t="str">
        <x:v>IT &amp; digital</x:v>
      </x:c>
      <x:c r="K2143" s="2" t="str">
        <x:v>PARTNER-M002</x:v>
      </x:c>
    </x:row>
    <x:row r="2144" ht="46" customHeight="1">
      <x:c r="A2144" s="2" t="str">
        <x:v>TEN-046FCB362D0A</x:v>
      </x:c>
      <x:c r="B2144" s="12" t="str">
        <x:v>judge India</x:v>
      </x:c>
      <x:c r="C2144" s="12" t="str">
        <x:v>CORP-0425</x:v>
      </x:c>
      <x:c r="D2144" s="12" t="str">
        <x:v>Bengaluru</x:v>
      </x:c>
      <x:c r="E2144" s="12" t="str">
        <x:v>International Tech Park (ITPB)</x:v>
      </x:c>
      <x:c r="F2144" s="12" t="str">
        <x:v>55 inch</x:v>
      </x:c>
      <x:c r="G2144" s="20" t="n">
        <x:v>1</x:v>
      </x:c>
      <x:c r="H2144" s="12" t="str">
        <x:v>Campus/portfolio roster; individual building occupancy unverified</x:v>
      </x:c>
      <x:c r="I2144" s="12" t="str">
        <x:v>Mixed business audience</x:v>
      </x:c>
      <x:c r="J2144" s="12" t="str">
        <x:v>Unresolved</x:v>
      </x:c>
      <x:c r="K2144" s="2" t="str">
        <x:v>PARTNER-M002</x:v>
      </x:c>
    </x:row>
    <x:row r="2145" ht="46" customHeight="1">
      <x:c r="A2145" s="2" t="str">
        <x:v>TEN-06DF4DFB01BE</x:v>
      </x:c>
      <x:c r="B2145" s="12" t="str">
        <x:v>Gyansys Infotech</x:v>
      </x:c>
      <x:c r="C2145" s="12" t="str">
        <x:v>CORP-0425</x:v>
      </x:c>
      <x:c r="D2145" s="12" t="str">
        <x:v>Bengaluru</x:v>
      </x:c>
      <x:c r="E2145" s="12" t="str">
        <x:v>International Tech Park (ITPB)</x:v>
      </x:c>
      <x:c r="F2145" s="12" t="str">
        <x:v>55 inch</x:v>
      </x:c>
      <x:c r="G2145" s="20" t="n">
        <x:v>1</x:v>
      </x:c>
      <x:c r="H2145" s="12" t="str">
        <x:v>Campus/portfolio roster; individual building occupancy unverified</x:v>
      </x:c>
      <x:c r="I2145" s="12" t="str">
        <x:v>Small-scale prospects</x:v>
      </x:c>
      <x:c r="J2145" s="12" t="str">
        <x:v>IT &amp; digital</x:v>
      </x:c>
      <x:c r="K2145" s="2" t="str">
        <x:v>PARTNER-M002</x:v>
      </x:c>
    </x:row>
    <x:row r="2146" ht="46" customHeight="1">
      <x:c r="A2146" s="2" t="str">
        <x:v>TEN-0716830D1238</x:v>
      </x:c>
      <x:c r="B2146" s="12" t="str">
        <x:v>Kaalari Capital</x:v>
      </x:c>
      <x:c r="C2146" s="12" t="str">
        <x:v>CORP-0425</x:v>
      </x:c>
      <x:c r="D2146" s="12" t="str">
        <x:v>Bengaluru</x:v>
      </x:c>
      <x:c r="E2146" s="12" t="str">
        <x:v>International Tech Park (ITPB)</x:v>
      </x:c>
      <x:c r="F2146" s="12" t="str">
        <x:v>55 inch</x:v>
      </x:c>
      <x:c r="G2146" s="20" t="n">
        <x:v>1</x:v>
      </x:c>
      <x:c r="H2146" s="12" t="str">
        <x:v>Campus/portfolio roster; individual building occupancy unverified</x:v>
      </x:c>
      <x:c r="I2146" s="12" t="str">
        <x:v>Medium-scale prospects</x:v>
      </x:c>
      <x:c r="J2146" s="12" t="str">
        <x:v>Finance &amp; insurance</x:v>
      </x:c>
      <x:c r="K2146" s="2" t="str">
        <x:v>PARTNER-M002</x:v>
      </x:c>
    </x:row>
    <x:row r="2147" ht="46" customHeight="1">
      <x:c r="A2147" s="2" t="str">
        <x:v>TEN-095DAC44FBD3</x:v>
      </x:c>
      <x:c r="B2147" s="12" t="str">
        <x:v>SOA IT</x:v>
      </x:c>
      <x:c r="C2147" s="12" t="str">
        <x:v>CORP-0425</x:v>
      </x:c>
      <x:c r="D2147" s="12" t="str">
        <x:v>Bengaluru</x:v>
      </x:c>
      <x:c r="E2147" s="12" t="str">
        <x:v>International Tech Park (ITPB)</x:v>
      </x:c>
      <x:c r="F2147" s="12" t="str">
        <x:v>55 inch</x:v>
      </x:c>
      <x:c r="G2147" s="20" t="n">
        <x:v>1</x:v>
      </x:c>
      <x:c r="H2147" s="12" t="str">
        <x:v>Campus/portfolio roster; individual building occupancy unverified</x:v>
      </x:c>
      <x:c r="I2147" s="12" t="str">
        <x:v>Small-scale prospects</x:v>
      </x:c>
      <x:c r="J2147" s="12" t="str">
        <x:v>IT &amp; digital</x:v>
      </x:c>
      <x:c r="K2147" s="2" t="str">
        <x:v>PARTNER-M002</x:v>
      </x:c>
    </x:row>
    <x:row r="2148" ht="46" customHeight="1">
      <x:c r="A2148" s="2" t="str">
        <x:v>TEN-0B9EE0B94DB9</x:v>
      </x:c>
      <x:c r="B2148" s="12" t="str">
        <x:v>Kyndryl</x:v>
      </x:c>
      <x:c r="C2148" s="12" t="str">
        <x:v>CORP-0425</x:v>
      </x:c>
      <x:c r="D2148" s="12" t="str">
        <x:v>Bengaluru</x:v>
      </x:c>
      <x:c r="E2148" s="12" t="str">
        <x:v>International Tech Park (ITPB)</x:v>
      </x:c>
      <x:c r="F2148" s="12" t="str">
        <x:v>55 inch</x:v>
      </x:c>
      <x:c r="G2148" s="20" t="n">
        <x:v>1</x:v>
      </x:c>
      <x:c r="H2148" s="12" t="str">
        <x:v>Campus/portfolio roster; individual building occupancy unverified</x:v>
      </x:c>
      <x:c r="I2148" s="12" t="str">
        <x:v>Mixed business audience</x:v>
      </x:c>
      <x:c r="J2148" s="12" t="str">
        <x:v>IT &amp; digital</x:v>
      </x:c>
      <x:c r="K2148" s="2" t="str">
        <x:v>PARTNER-M002</x:v>
      </x:c>
    </x:row>
    <x:row r="2149" ht="46" customHeight="1">
      <x:c r="A2149" s="2" t="str">
        <x:v>TEN-0BF923F90AB2</x:v>
      </x:c>
      <x:c r="B2149" s="12" t="str">
        <x:v>Reliance</x:v>
      </x:c>
      <x:c r="C2149" s="12" t="str">
        <x:v>CORP-0425</x:v>
      </x:c>
      <x:c r="D2149" s="12" t="str">
        <x:v>Bengaluru</x:v>
      </x:c>
      <x:c r="E2149" s="12" t="str">
        <x:v>International Tech Park (ITPB)</x:v>
      </x:c>
      <x:c r="F2149" s="12" t="str">
        <x:v>55 inch</x:v>
      </x:c>
      <x:c r="G2149" s="20" t="n">
        <x:v>1</x:v>
      </x:c>
      <x:c r="H2149" s="12" t="str">
        <x:v>Campus/portfolio roster; individual building occupancy unverified</x:v>
      </x:c>
      <x:c r="I2149" s="12" t="str">
        <x:v>Mixed business audience</x:v>
      </x:c>
      <x:c r="J2149" s="12" t="str">
        <x:v>Unresolved</x:v>
      </x:c>
      <x:c r="K2149" s="2" t="str">
        <x:v>PARTNER-M002</x:v>
      </x:c>
    </x:row>
    <x:row r="2150" ht="46" customHeight="1">
      <x:c r="A2150" s="2" t="str">
        <x:v>TEN-0EFAB3176540</x:v>
      </x:c>
      <x:c r="B2150" s="12" t="str">
        <x:v>Sycomp</x:v>
      </x:c>
      <x:c r="C2150" s="12" t="str">
        <x:v>CORP-0425</x:v>
      </x:c>
      <x:c r="D2150" s="12" t="str">
        <x:v>Bengaluru</x:v>
      </x:c>
      <x:c r="E2150" s="12" t="str">
        <x:v>International Tech Park (ITPB)</x:v>
      </x:c>
      <x:c r="F2150" s="12" t="str">
        <x:v>55 inch</x:v>
      </x:c>
      <x:c r="G2150" s="20" t="n">
        <x:v>1</x:v>
      </x:c>
      <x:c r="H2150" s="12" t="str">
        <x:v>Campus/portfolio roster; individual building occupancy unverified</x:v>
      </x:c>
      <x:c r="I2150" s="12" t="str">
        <x:v>Small-scale prospects</x:v>
      </x:c>
      <x:c r="J2150" s="12" t="str">
        <x:v>IT &amp; digital</x:v>
      </x:c>
      <x:c r="K2150" s="2" t="str">
        <x:v>PARTNER-M002</x:v>
      </x:c>
    </x:row>
    <x:row r="2151" ht="46" customHeight="1">
      <x:c r="A2151" s="2" t="str">
        <x:v>TEN-0F0E714E580D</x:v>
      </x:c>
      <x:c r="B2151" s="12" t="str">
        <x:v>Scientific Games</x:v>
      </x:c>
      <x:c r="C2151" s="12" t="str">
        <x:v>CORP-0425</x:v>
      </x:c>
      <x:c r="D2151" s="12" t="str">
        <x:v>Bengaluru</x:v>
      </x:c>
      <x:c r="E2151" s="12" t="str">
        <x:v>International Tech Park (ITPB)</x:v>
      </x:c>
      <x:c r="F2151" s="12" t="str">
        <x:v>55 inch</x:v>
      </x:c>
      <x:c r="G2151" s="20" t="n">
        <x:v>1</x:v>
      </x:c>
      <x:c r="H2151" s="12" t="str">
        <x:v>Campus/portfolio roster; individual building occupancy unverified</x:v>
      </x:c>
      <x:c r="I2151" s="12" t="str">
        <x:v>Mixed business audience</x:v>
      </x:c>
      <x:c r="J2151" s="12" t="str">
        <x:v>Trade, consumer &amp; logistics</x:v>
      </x:c>
      <x:c r="K2151" s="2" t="str">
        <x:v>PARTNER-M002</x:v>
      </x:c>
    </x:row>
    <x:row r="2152" ht="46" customHeight="1">
      <x:c r="A2152" s="2" t="str">
        <x:v>TEN-184C1AE98B51</x:v>
      </x:c>
      <x:c r="B2152" s="12" t="str">
        <x:v>N.F Simth</x:v>
      </x:c>
      <x:c r="C2152" s="12" t="str">
        <x:v>CORP-0425</x:v>
      </x:c>
      <x:c r="D2152" s="12" t="str">
        <x:v>Bengaluru</x:v>
      </x:c>
      <x:c r="E2152" s="12" t="str">
        <x:v>International Tech Park (ITPB)</x:v>
      </x:c>
      <x:c r="F2152" s="12" t="str">
        <x:v>55 inch</x:v>
      </x:c>
      <x:c r="G2152" s="20" t="n">
        <x:v>1</x:v>
      </x:c>
      <x:c r="H2152" s="12" t="str">
        <x:v>Campus/portfolio roster; individual building occupancy unverified</x:v>
      </x:c>
      <x:c r="I2152" s="12" t="str">
        <x:v>Mixed business audience</x:v>
      </x:c>
      <x:c r="J2152" s="12" t="str">
        <x:v>Unresolved</x:v>
      </x:c>
      <x:c r="K2152" s="2" t="str">
        <x:v>PARTNER-M002</x:v>
      </x:c>
    </x:row>
    <x:row r="2153" ht="46" customHeight="1">
      <x:c r="A2153" s="2" t="str">
        <x:v>TEN-1B4CDA7D6285</x:v>
      </x:c>
      <x:c r="B2153" s="12" t="str">
        <x:v>Jupiter Intergrated</x:v>
      </x:c>
      <x:c r="C2153" s="12" t="str">
        <x:v>CORP-0425</x:v>
      </x:c>
      <x:c r="D2153" s="12" t="str">
        <x:v>Bengaluru</x:v>
      </x:c>
      <x:c r="E2153" s="12" t="str">
        <x:v>International Tech Park (ITPB)</x:v>
      </x:c>
      <x:c r="F2153" s="12" t="str">
        <x:v>55 inch</x:v>
      </x:c>
      <x:c r="G2153" s="20" t="n">
        <x:v>1</x:v>
      </x:c>
      <x:c r="H2153" s="12" t="str">
        <x:v>Campus/portfolio roster; individual building occupancy unverified</x:v>
      </x:c>
      <x:c r="I2153" s="12" t="str">
        <x:v>Mixed business audience</x:v>
      </x:c>
      <x:c r="J2153" s="12" t="str">
        <x:v>Unresolved</x:v>
      </x:c>
      <x:c r="K2153" s="2" t="str">
        <x:v>PARTNER-M002</x:v>
      </x:c>
    </x:row>
    <x:row r="2154" ht="46" customHeight="1">
      <x:c r="A2154" s="2" t="str">
        <x:v>TEN-2026E5F6610A</x:v>
      </x:c>
      <x:c r="B2154" s="12" t="str">
        <x:v>PPalc Networks</x:v>
      </x:c>
      <x:c r="C2154" s="12" t="str">
        <x:v>CORP-0425</x:v>
      </x:c>
      <x:c r="D2154" s="12" t="str">
        <x:v>Bengaluru</x:v>
      </x:c>
      <x:c r="E2154" s="12" t="str">
        <x:v>International Tech Park (ITPB)</x:v>
      </x:c>
      <x:c r="F2154" s="12" t="str">
        <x:v>55 inch</x:v>
      </x:c>
      <x:c r="G2154" s="20" t="n">
        <x:v>1</x:v>
      </x:c>
      <x:c r="H2154" s="12" t="str">
        <x:v>Campus/portfolio roster; individual building occupancy unverified</x:v>
      </x:c>
      <x:c r="I2154" s="12" t="str">
        <x:v>Small-scale prospects</x:v>
      </x:c>
      <x:c r="J2154" s="12" t="str">
        <x:v>IT &amp; digital</x:v>
      </x:c>
      <x:c r="K2154" s="2" t="str">
        <x:v>PARTNER-M002</x:v>
      </x:c>
    </x:row>
    <x:row r="2155" ht="46" customHeight="1">
      <x:c r="A2155" s="2" t="str">
        <x:v>TEN-20DEB070372D</x:v>
      </x:c>
      <x:c r="B2155" s="12" t="str">
        <x:v>Thoucentric</x:v>
      </x:c>
      <x:c r="C2155" s="12" t="str">
        <x:v>CORP-0425</x:v>
      </x:c>
      <x:c r="D2155" s="12" t="str">
        <x:v>Bengaluru</x:v>
      </x:c>
      <x:c r="E2155" s="12" t="str">
        <x:v>International Tech Park (ITPB)</x:v>
      </x:c>
      <x:c r="F2155" s="12" t="str">
        <x:v>55 inch</x:v>
      </x:c>
      <x:c r="G2155" s="20" t="n">
        <x:v>1</x:v>
      </x:c>
      <x:c r="H2155" s="12" t="str">
        <x:v>Campus/portfolio roster; individual building occupancy unverified</x:v>
      </x:c>
      <x:c r="I2155" s="12" t="str">
        <x:v>Mixed business audience</x:v>
      </x:c>
      <x:c r="J2155" s="12" t="str">
        <x:v>IT &amp; digital</x:v>
      </x:c>
      <x:c r="K2155" s="2" t="str">
        <x:v>PARTNER-M002</x:v>
      </x:c>
    </x:row>
    <x:row r="2156" ht="46" customHeight="1">
      <x:c r="A2156" s="2" t="str">
        <x:v>TEN-21972B078EB5</x:v>
      </x:c>
      <x:c r="B2156" s="12" t="str">
        <x:v>Denso International</x:v>
      </x:c>
      <x:c r="C2156" s="12" t="str">
        <x:v>CORP-0425</x:v>
      </x:c>
      <x:c r="D2156" s="12" t="str">
        <x:v>Bengaluru</x:v>
      </x:c>
      <x:c r="E2156" s="12" t="str">
        <x:v>International Tech Park (ITPB)</x:v>
      </x:c>
      <x:c r="F2156" s="12" t="str">
        <x:v>55 inch</x:v>
      </x:c>
      <x:c r="G2156" s="20" t="n">
        <x:v>1</x:v>
      </x:c>
      <x:c r="H2156" s="12" t="str">
        <x:v>Campus/portfolio roster; individual building occupancy unverified</x:v>
      </x:c>
      <x:c r="I2156" s="12" t="str">
        <x:v>Mixed business audience</x:v>
      </x:c>
      <x:c r="J2156" s="12" t="str">
        <x:v>Engineering &amp; manufacturing</x:v>
      </x:c>
      <x:c r="K2156" s="2" t="str">
        <x:v>PARTNER-M002</x:v>
      </x:c>
    </x:row>
    <x:row r="2157" ht="46" customHeight="1">
      <x:c r="A2157" s="2" t="str">
        <x:v>TEN-22A366EB6CEC</x:v>
      </x:c>
      <x:c r="B2157" s="12" t="str">
        <x:v>Xandr India</x:v>
      </x:c>
      <x:c r="C2157" s="12" t="str">
        <x:v>CORP-0425</x:v>
      </x:c>
      <x:c r="D2157" s="12" t="str">
        <x:v>Bengaluru</x:v>
      </x:c>
      <x:c r="E2157" s="12" t="str">
        <x:v>International Tech Park (ITPB)</x:v>
      </x:c>
      <x:c r="F2157" s="12" t="str">
        <x:v>55 inch</x:v>
      </x:c>
      <x:c r="G2157" s="20" t="n">
        <x:v>1</x:v>
      </x:c>
      <x:c r="H2157" s="12" t="str">
        <x:v>Campus/portfolio roster; individual building occupancy unverified</x:v>
      </x:c>
      <x:c r="I2157" s="12" t="str">
        <x:v>Mixed business audience</x:v>
      </x:c>
      <x:c r="J2157" s="12" t="str">
        <x:v>IT &amp; digital</x:v>
      </x:c>
      <x:c r="K2157" s="2" t="str">
        <x:v>PARTNER-M002</x:v>
      </x:c>
    </x:row>
    <x:row r="2158" ht="46" customHeight="1">
      <x:c r="A2158" s="2" t="str">
        <x:v>TEN-2417E5B2BCE7</x:v>
      </x:c>
      <x:c r="B2158" s="12" t="str">
        <x:v>Galax E Solutions</x:v>
      </x:c>
      <x:c r="C2158" s="12" t="str">
        <x:v>CORP-0425</x:v>
      </x:c>
      <x:c r="D2158" s="12" t="str">
        <x:v>Bengaluru</x:v>
      </x:c>
      <x:c r="E2158" s="12" t="str">
        <x:v>International Tech Park (ITPB)</x:v>
      </x:c>
      <x:c r="F2158" s="12" t="str">
        <x:v>55 inch</x:v>
      </x:c>
      <x:c r="G2158" s="20" t="n">
        <x:v>1</x:v>
      </x:c>
      <x:c r="H2158" s="12" t="str">
        <x:v>Campus/portfolio roster; individual building occupancy unverified</x:v>
      </x:c>
      <x:c r="I2158" s="12" t="str">
        <x:v>Mixed business audience</x:v>
      </x:c>
      <x:c r="J2158" s="12" t="str">
        <x:v>IT &amp; digital</x:v>
      </x:c>
      <x:c r="K2158" s="2" t="str">
        <x:v>PARTNER-M002</x:v>
      </x:c>
    </x:row>
    <x:row r="2159" ht="46" customHeight="1">
      <x:c r="A2159" s="2" t="str">
        <x:v>TEN-2AB6D53E717A</x:v>
      </x:c>
      <x:c r="B2159" s="12" t="str">
        <x:v>Nokia</x:v>
      </x:c>
      <x:c r="C2159" s="12" t="str">
        <x:v>CORP-0425</x:v>
      </x:c>
      <x:c r="D2159" s="12" t="str">
        <x:v>Bengaluru</x:v>
      </x:c>
      <x:c r="E2159" s="12" t="str">
        <x:v>International Tech Park (ITPB)</x:v>
      </x:c>
      <x:c r="F2159" s="12" t="str">
        <x:v>55 inch</x:v>
      </x:c>
      <x:c r="G2159" s="20" t="n">
        <x:v>1</x:v>
      </x:c>
      <x:c r="H2159" s="12" t="str">
        <x:v>Campus/portfolio roster; individual building occupancy unverified</x:v>
      </x:c>
      <x:c r="I2159" s="12" t="str">
        <x:v>Large enterprise</x:v>
      </x:c>
      <x:c r="J2159" s="12" t="str">
        <x:v>IT &amp; digital</x:v>
      </x:c>
      <x:c r="K2159" s="2" t="str">
        <x:v>PARTNER-M002</x:v>
      </x:c>
    </x:row>
    <x:row r="2160" ht="46" customHeight="1">
      <x:c r="A2160" s="2" t="str">
        <x:v>TEN-2DBBBD8AD08B</x:v>
      </x:c>
      <x:c r="B2160" s="12" t="str">
        <x:v>Zenmonics Software</x:v>
      </x:c>
      <x:c r="C2160" s="12" t="str">
        <x:v>CORP-0425</x:v>
      </x:c>
      <x:c r="D2160" s="12" t="str">
        <x:v>Bengaluru</x:v>
      </x:c>
      <x:c r="E2160" s="12" t="str">
        <x:v>International Tech Park (ITPB)</x:v>
      </x:c>
      <x:c r="F2160" s="12" t="str">
        <x:v>55 inch</x:v>
      </x:c>
      <x:c r="G2160" s="20" t="n">
        <x:v>1</x:v>
      </x:c>
      <x:c r="H2160" s="12" t="str">
        <x:v>Campus/portfolio roster; individual building occupancy unverified</x:v>
      </x:c>
      <x:c r="I2160" s="12" t="str">
        <x:v>Small-scale prospects</x:v>
      </x:c>
      <x:c r="J2160" s="12" t="str">
        <x:v>IT &amp; digital</x:v>
      </x:c>
      <x:c r="K2160" s="2" t="str">
        <x:v>PARTNER-M002</x:v>
      </x:c>
    </x:row>
    <x:row r="2161" ht="46" customHeight="1">
      <x:c r="A2161" s="2" t="str">
        <x:v>TEN-2E737C2291BC</x:v>
      </x:c>
      <x:c r="B2161" s="12" t="str">
        <x:v>Nextgen</x:v>
      </x:c>
      <x:c r="C2161" s="12" t="str">
        <x:v>CORP-0425</x:v>
      </x:c>
      <x:c r="D2161" s="12" t="str">
        <x:v>Bengaluru</x:v>
      </x:c>
      <x:c r="E2161" s="12" t="str">
        <x:v>International Tech Park (ITPB)</x:v>
      </x:c>
      <x:c r="F2161" s="12" t="str">
        <x:v>55 inch</x:v>
      </x:c>
      <x:c r="G2161" s="20" t="n">
        <x:v>1</x:v>
      </x:c>
      <x:c r="H2161" s="12" t="str">
        <x:v>Campus/portfolio roster; individual building occupancy unverified</x:v>
      </x:c>
      <x:c r="I2161" s="12" t="str">
        <x:v>Mixed business audience</x:v>
      </x:c>
      <x:c r="J2161" s="12" t="str">
        <x:v>Unresolved</x:v>
      </x:c>
      <x:c r="K2161" s="2" t="str">
        <x:v>PARTNER-M002</x:v>
      </x:c>
    </x:row>
    <x:row r="2162" ht="46" customHeight="1">
      <x:c r="A2162" s="2" t="str">
        <x:v>TEN-2EDD47EC3C4F</x:v>
      </x:c>
      <x:c r="B2162" s="12" t="str">
        <x:v>Technicolor India</x:v>
      </x:c>
      <x:c r="C2162" s="12" t="str">
        <x:v>CORP-0425</x:v>
      </x:c>
      <x:c r="D2162" s="12" t="str">
        <x:v>Bengaluru</x:v>
      </x:c>
      <x:c r="E2162" s="12" t="str">
        <x:v>International Tech Park (ITPB)</x:v>
      </x:c>
      <x:c r="F2162" s="12" t="str">
        <x:v>55 inch</x:v>
      </x:c>
      <x:c r="G2162" s="20" t="n">
        <x:v>1</x:v>
      </x:c>
      <x:c r="H2162" s="12" t="str">
        <x:v>Campus/portfolio roster; individual building occupancy unverified</x:v>
      </x:c>
      <x:c r="I2162" s="12" t="str">
        <x:v>Mixed business audience</x:v>
      </x:c>
      <x:c r="J2162" s="12" t="str">
        <x:v>Trade, consumer &amp; logistics</x:v>
      </x:c>
      <x:c r="K2162" s="2" t="str">
        <x:v>PARTNER-M002</x:v>
      </x:c>
    </x:row>
    <x:row r="2163" ht="46" customHeight="1">
      <x:c r="A2163" s="2" t="str">
        <x:v>TEN-30E363D3E8C5</x:v>
      </x:c>
      <x:c r="B2163" s="12" t="str">
        <x:v>Siemens</x:v>
      </x:c>
      <x:c r="C2163" s="12" t="str">
        <x:v>CORP-0425</x:v>
      </x:c>
      <x:c r="D2163" s="12" t="str">
        <x:v>Bengaluru</x:v>
      </x:c>
      <x:c r="E2163" s="12" t="str">
        <x:v>International Tech Park (ITPB)</x:v>
      </x:c>
      <x:c r="F2163" s="12" t="str">
        <x:v>55 inch</x:v>
      </x:c>
      <x:c r="G2163" s="20" t="n">
        <x:v>1</x:v>
      </x:c>
      <x:c r="H2163" s="12" t="str">
        <x:v>Campus/portfolio roster; individual building occupancy unverified</x:v>
      </x:c>
      <x:c r="I2163" s="12" t="str">
        <x:v>Large enterprise</x:v>
      </x:c>
      <x:c r="J2163" s="12" t="str">
        <x:v>Engineering &amp; manufacturing</x:v>
      </x:c>
      <x:c r="K2163" s="2" t="str">
        <x:v>PARTNER-M002</x:v>
      </x:c>
    </x:row>
    <x:row r="2164" ht="46" customHeight="1">
      <x:c r="A2164" s="2" t="str">
        <x:v>TEN-316635638FCB</x:v>
      </x:c>
      <x:c r="B2164" s="12" t="str">
        <x:v>Sabre Travel</x:v>
      </x:c>
      <x:c r="C2164" s="12" t="str">
        <x:v>CORP-0425</x:v>
      </x:c>
      <x:c r="D2164" s="12" t="str">
        <x:v>Bengaluru</x:v>
      </x:c>
      <x:c r="E2164" s="12" t="str">
        <x:v>International Tech Park (ITPB)</x:v>
      </x:c>
      <x:c r="F2164" s="12" t="str">
        <x:v>55 inch</x:v>
      </x:c>
      <x:c r="G2164" s="20" t="n">
        <x:v>1</x:v>
      </x:c>
      <x:c r="H2164" s="12" t="str">
        <x:v>Campus/portfolio roster; individual building occupancy unverified</x:v>
      </x:c>
      <x:c r="I2164" s="12" t="str">
        <x:v>Mixed business audience</x:v>
      </x:c>
      <x:c r="J2164" s="12" t="str">
        <x:v>IT &amp; digital</x:v>
      </x:c>
      <x:c r="K2164" s="2" t="str">
        <x:v>PARTNER-M002</x:v>
      </x:c>
    </x:row>
    <x:row r="2165" ht="46" customHeight="1">
      <x:c r="A2165" s="2" t="str">
        <x:v>TEN-330E380FC660</x:v>
      </x:c>
      <x:c r="B2165" s="12" t="str">
        <x:v>The Dhanalakshmi Bank</x:v>
      </x:c>
      <x:c r="C2165" s="12" t="str">
        <x:v>CORP-0425</x:v>
      </x:c>
      <x:c r="D2165" s="12" t="str">
        <x:v>Bengaluru</x:v>
      </x:c>
      <x:c r="E2165" s="12" t="str">
        <x:v>International Tech Park (ITPB)</x:v>
      </x:c>
      <x:c r="F2165" s="12" t="str">
        <x:v>55 inch</x:v>
      </x:c>
      <x:c r="G2165" s="20" t="n">
        <x:v>1</x:v>
      </x:c>
      <x:c r="H2165" s="12" t="str">
        <x:v>Campus/portfolio roster; individual building occupancy unverified</x:v>
      </x:c>
      <x:c r="I2165" s="12" t="str">
        <x:v>Mixed business audience</x:v>
      </x:c>
      <x:c r="J2165" s="12" t="str">
        <x:v>Finance &amp; insurance</x:v>
      </x:c>
      <x:c r="K2165" s="2" t="str">
        <x:v>PARTNER-M002</x:v>
      </x:c>
    </x:row>
    <x:row r="2166" ht="46" customHeight="1">
      <x:c r="A2166" s="2" t="str">
        <x:v>TEN-3338D6A28C63</x:v>
      </x:c>
      <x:c r="B2166" s="12" t="str">
        <x:v>NTT Cloud</x:v>
      </x:c>
      <x:c r="C2166" s="12" t="str">
        <x:v>CORP-0425</x:v>
      </x:c>
      <x:c r="D2166" s="12" t="str">
        <x:v>Bengaluru</x:v>
      </x:c>
      <x:c r="E2166" s="12" t="str">
        <x:v>International Tech Park (ITPB)</x:v>
      </x:c>
      <x:c r="F2166" s="12" t="str">
        <x:v>55 inch</x:v>
      </x:c>
      <x:c r="G2166" s="20" t="n">
        <x:v>1</x:v>
      </x:c>
      <x:c r="H2166" s="12" t="str">
        <x:v>Campus/portfolio roster; individual building occupancy unverified</x:v>
      </x:c>
      <x:c r="I2166" s="12" t="str">
        <x:v>Large enterprise</x:v>
      </x:c>
      <x:c r="J2166" s="12" t="str">
        <x:v>IT &amp; digital</x:v>
      </x:c>
      <x:c r="K2166" s="2" t="str">
        <x:v>PARTNER-M002</x:v>
      </x:c>
    </x:row>
    <x:row r="2167" ht="46" customHeight="1">
      <x:c r="A2167" s="2" t="str">
        <x:v>TEN-33DF04958DCA</x:v>
      </x:c>
      <x:c r="B2167" s="12" t="str">
        <x:v>Panasoni Life</x:v>
      </x:c>
      <x:c r="C2167" s="12" t="str">
        <x:v>CORP-0425</x:v>
      </x:c>
      <x:c r="D2167" s="12" t="str">
        <x:v>Bengaluru</x:v>
      </x:c>
      <x:c r="E2167" s="12" t="str">
        <x:v>International Tech Park (ITPB)</x:v>
      </x:c>
      <x:c r="F2167" s="12" t="str">
        <x:v>55 inch</x:v>
      </x:c>
      <x:c r="G2167" s="20" t="n">
        <x:v>1</x:v>
      </x:c>
      <x:c r="H2167" s="12" t="str">
        <x:v>Campus/portfolio roster; individual building occupancy unverified</x:v>
      </x:c>
      <x:c r="I2167" s="12" t="str">
        <x:v>Mixed business audience</x:v>
      </x:c>
      <x:c r="J2167" s="12" t="str">
        <x:v>Unresolved</x:v>
      </x:c>
      <x:c r="K2167" s="2" t="str">
        <x:v>PARTNER-M002</x:v>
      </x:c>
    </x:row>
    <x:row r="2168" ht="46" customHeight="1">
      <x:c r="A2168" s="2" t="str">
        <x:v>TEN-34185282371F</x:v>
      </x:c>
      <x:c r="B2168" s="12" t="str">
        <x:v>Glenburn</x:v>
      </x:c>
      <x:c r="C2168" s="12" t="str">
        <x:v>CORP-0425</x:v>
      </x:c>
      <x:c r="D2168" s="12" t="str">
        <x:v>Bengaluru</x:v>
      </x:c>
      <x:c r="E2168" s="12" t="str">
        <x:v>International Tech Park (ITPB)</x:v>
      </x:c>
      <x:c r="F2168" s="12" t="str">
        <x:v>55 inch</x:v>
      </x:c>
      <x:c r="G2168" s="20" t="n">
        <x:v>1</x:v>
      </x:c>
      <x:c r="H2168" s="12" t="str">
        <x:v>Campus/portfolio roster; individual building occupancy unverified</x:v>
      </x:c>
      <x:c r="I2168" s="12" t="str">
        <x:v>Mixed business audience</x:v>
      </x:c>
      <x:c r="J2168" s="12" t="str">
        <x:v>Unresolved</x:v>
      </x:c>
      <x:c r="K2168" s="2" t="str">
        <x:v>PARTNER-M002</x:v>
      </x:c>
    </x:row>
    <x:row r="2169" ht="46" customHeight="1">
      <x:c r="A2169" s="2" t="str">
        <x:v>TEN-356AAB6A94F0</x:v>
      </x:c>
      <x:c r="B2169" s="12" t="str">
        <x:v>Infovision</x:v>
      </x:c>
      <x:c r="C2169" s="12" t="str">
        <x:v>CORP-0425</x:v>
      </x:c>
      <x:c r="D2169" s="12" t="str">
        <x:v>Bengaluru</x:v>
      </x:c>
      <x:c r="E2169" s="12" t="str">
        <x:v>International Tech Park (ITPB)</x:v>
      </x:c>
      <x:c r="F2169" s="12" t="str">
        <x:v>55 inch</x:v>
      </x:c>
      <x:c r="G2169" s="20" t="n">
        <x:v>1</x:v>
      </x:c>
      <x:c r="H2169" s="12" t="str">
        <x:v>Campus/portfolio roster; individual building occupancy unverified</x:v>
      </x:c>
      <x:c r="I2169" s="12" t="str">
        <x:v>Small-scale prospects</x:v>
      </x:c>
      <x:c r="J2169" s="12" t="str">
        <x:v>IT &amp; digital</x:v>
      </x:c>
      <x:c r="K2169" s="2" t="str">
        <x:v>PARTNER-M002</x:v>
      </x:c>
    </x:row>
    <x:row r="2170" ht="46" customHeight="1">
      <x:c r="A2170" s="2" t="str">
        <x:v>TEN-3669A97CEE08</x:v>
      </x:c>
      <x:c r="B2170" s="12" t="str">
        <x:v>DBA xcom labs</x:v>
      </x:c>
      <x:c r="C2170" s="12" t="str">
        <x:v>CORP-0425</x:v>
      </x:c>
      <x:c r="D2170" s="12" t="str">
        <x:v>Bengaluru</x:v>
      </x:c>
      <x:c r="E2170" s="12" t="str">
        <x:v>International Tech Park (ITPB)</x:v>
      </x:c>
      <x:c r="F2170" s="12" t="str">
        <x:v>55 inch</x:v>
      </x:c>
      <x:c r="G2170" s="20" t="n">
        <x:v>1</x:v>
      </x:c>
      <x:c r="H2170" s="12" t="str">
        <x:v>Campus/portfolio roster; individual building occupancy unverified</x:v>
      </x:c>
      <x:c r="I2170" s="12" t="str">
        <x:v>Mixed business audience</x:v>
      </x:c>
      <x:c r="J2170" s="12" t="str">
        <x:v>Unresolved</x:v>
      </x:c>
      <x:c r="K2170" s="2" t="str">
        <x:v>PARTNER-M002</x:v>
      </x:c>
    </x:row>
    <x:row r="2171" ht="46" customHeight="1">
      <x:c r="A2171" s="2" t="str">
        <x:v>TEN-3CCDB2E97517</x:v>
      </x:c>
      <x:c r="B2171" s="12" t="str">
        <x:v>Mentora</x:v>
      </x:c>
      <x:c r="C2171" s="12" t="str">
        <x:v>CORP-0425</x:v>
      </x:c>
      <x:c r="D2171" s="12" t="str">
        <x:v>Bengaluru</x:v>
      </x:c>
      <x:c r="E2171" s="12" t="str">
        <x:v>International Tech Park (ITPB)</x:v>
      </x:c>
      <x:c r="F2171" s="12" t="str">
        <x:v>55 inch</x:v>
      </x:c>
      <x:c r="G2171" s="20" t="n">
        <x:v>1</x:v>
      </x:c>
      <x:c r="H2171" s="12" t="str">
        <x:v>Campus/portfolio roster; individual building occupancy unverified</x:v>
      </x:c>
      <x:c r="I2171" s="12" t="str">
        <x:v>Mixed business audience</x:v>
      </x:c>
      <x:c r="J2171" s="12" t="str">
        <x:v>Unresolved</x:v>
      </x:c>
      <x:c r="K2171" s="2" t="str">
        <x:v>PARTNER-M002</x:v>
      </x:c>
    </x:row>
    <x:row r="2172" ht="46" customHeight="1">
      <x:c r="A2172" s="2" t="str">
        <x:v>TEN-43BD5FC2D8E2</x:v>
      </x:c>
      <x:c r="B2172" s="12" t="str">
        <x:v>RLE</x:v>
      </x:c>
      <x:c r="C2172" s="12" t="str">
        <x:v>CORP-0425</x:v>
      </x:c>
      <x:c r="D2172" s="12" t="str">
        <x:v>Bengaluru</x:v>
      </x:c>
      <x:c r="E2172" s="12" t="str">
        <x:v>International Tech Park (ITPB)</x:v>
      </x:c>
      <x:c r="F2172" s="12" t="str">
        <x:v>55 inch</x:v>
      </x:c>
      <x:c r="G2172" s="20" t="n">
        <x:v>1</x:v>
      </x:c>
      <x:c r="H2172" s="12" t="str">
        <x:v>Campus/portfolio roster; individual building occupancy unverified</x:v>
      </x:c>
      <x:c r="I2172" s="12" t="str">
        <x:v>Mixed business audience</x:v>
      </x:c>
      <x:c r="J2172" s="12" t="str">
        <x:v>Unresolved</x:v>
      </x:c>
      <x:c r="K2172" s="2" t="str">
        <x:v>PARTNER-M002</x:v>
      </x:c>
    </x:row>
    <x:row r="2173" ht="46" customHeight="1">
      <x:c r="A2173" s="2" t="str">
        <x:v>TEN-46EE12AD6E57</x:v>
      </x:c>
      <x:c r="B2173" s="12" t="str">
        <x:v>Open Bet</x:v>
      </x:c>
      <x:c r="C2173" s="12" t="str">
        <x:v>CORP-0425</x:v>
      </x:c>
      <x:c r="D2173" s="12" t="str">
        <x:v>Bengaluru</x:v>
      </x:c>
      <x:c r="E2173" s="12" t="str">
        <x:v>International Tech Park (ITPB)</x:v>
      </x:c>
      <x:c r="F2173" s="12" t="str">
        <x:v>55 inch</x:v>
      </x:c>
      <x:c r="G2173" s="20" t="n">
        <x:v>1</x:v>
      </x:c>
      <x:c r="H2173" s="12" t="str">
        <x:v>Campus/portfolio roster; individual building occupancy unverified</x:v>
      </x:c>
      <x:c r="I2173" s="12" t="str">
        <x:v>Mixed business audience</x:v>
      </x:c>
      <x:c r="J2173" s="12" t="str">
        <x:v>Trade, consumer &amp; logistics</x:v>
      </x:c>
      <x:c r="K2173" s="2" t="str">
        <x:v>PARTNER-M002</x:v>
      </x:c>
    </x:row>
    <x:row r="2174" ht="46" customHeight="1">
      <x:c r="A2174" s="2" t="str">
        <x:v>TEN-4B42B5258CA7</x:v>
      </x:c>
      <x:c r="B2174" s="12" t="str">
        <x:v>Tyfone</x:v>
      </x:c>
      <x:c r="C2174" s="12" t="str">
        <x:v>CORP-0425</x:v>
      </x:c>
      <x:c r="D2174" s="12" t="str">
        <x:v>Bengaluru</x:v>
      </x:c>
      <x:c r="E2174" s="12" t="str">
        <x:v>International Tech Park (ITPB)</x:v>
      </x:c>
      <x:c r="F2174" s="12" t="str">
        <x:v>55 inch</x:v>
      </x:c>
      <x:c r="G2174" s="20" t="n">
        <x:v>1</x:v>
      </x:c>
      <x:c r="H2174" s="12" t="str">
        <x:v>Campus/portfolio roster; individual building occupancy unverified</x:v>
      </x:c>
      <x:c r="I2174" s="12" t="str">
        <x:v>Small-scale prospects</x:v>
      </x:c>
      <x:c r="J2174" s="12" t="str">
        <x:v>IT &amp; digital</x:v>
      </x:c>
      <x:c r="K2174" s="2" t="str">
        <x:v>PARTNER-M002</x:v>
      </x:c>
    </x:row>
    <x:row r="2175" ht="46" customHeight="1">
      <x:c r="A2175" s="2" t="str">
        <x:v>TEN-50A50A4E75D3</x:v>
      </x:c>
      <x:c r="B2175" s="12" t="str">
        <x:v>Bharat Sanchar Nigam</x:v>
      </x:c>
      <x:c r="C2175" s="12" t="str">
        <x:v>CORP-0425</x:v>
      </x:c>
      <x:c r="D2175" s="12" t="str">
        <x:v>Bengaluru</x:v>
      </x:c>
      <x:c r="E2175" s="12" t="str">
        <x:v>International Tech Park (ITPB)</x:v>
      </x:c>
      <x:c r="F2175" s="12" t="str">
        <x:v>55 inch</x:v>
      </x:c>
      <x:c r="G2175" s="20" t="n">
        <x:v>1</x:v>
      </x:c>
      <x:c r="H2175" s="12" t="str">
        <x:v>Campus/portfolio roster; individual building occupancy unverified</x:v>
      </x:c>
      <x:c r="I2175" s="12" t="str">
        <x:v>Mixed business audience</x:v>
      </x:c>
      <x:c r="J2175" s="12" t="str">
        <x:v>IT &amp; digital</x:v>
      </x:c>
      <x:c r="K2175" s="2" t="str">
        <x:v>PARTNER-M002</x:v>
      </x:c>
    </x:row>
    <x:row r="2176" ht="46" customHeight="1">
      <x:c r="A2176" s="2" t="str">
        <x:v>TEN-5346DFE17486</x:v>
      </x:c>
      <x:c r="B2176" s="12" t="str">
        <x:v>Technicolor</x:v>
      </x:c>
      <x:c r="C2176" s="12" t="str">
        <x:v>CORP-0425</x:v>
      </x:c>
      <x:c r="D2176" s="12" t="str">
        <x:v>Bengaluru</x:v>
      </x:c>
      <x:c r="E2176" s="12" t="str">
        <x:v>International Tech Park (ITPB)</x:v>
      </x:c>
      <x:c r="F2176" s="12" t="str">
        <x:v>55 inch</x:v>
      </x:c>
      <x:c r="G2176" s="20" t="n">
        <x:v>1</x:v>
      </x:c>
      <x:c r="H2176" s="12" t="str">
        <x:v>Campus/portfolio roster; individual building occupancy unverified</x:v>
      </x:c>
      <x:c r="I2176" s="12" t="str">
        <x:v>Mixed business audience</x:v>
      </x:c>
      <x:c r="J2176" s="12" t="str">
        <x:v>Trade, consumer &amp; logistics</x:v>
      </x:c>
      <x:c r="K2176" s="2" t="str">
        <x:v>PARTNER-M002</x:v>
      </x:c>
    </x:row>
    <x:row r="2177" ht="46" customHeight="1">
      <x:c r="A2177" s="2" t="str">
        <x:v>TEN-598F7A741A1E</x:v>
      </x:c>
      <x:c r="B2177" s="12" t="str">
        <x:v>Aegis</x:v>
      </x:c>
      <x:c r="C2177" s="12" t="str">
        <x:v>CORP-0425</x:v>
      </x:c>
      <x:c r="D2177" s="12" t="str">
        <x:v>Bengaluru</x:v>
      </x:c>
      <x:c r="E2177" s="12" t="str">
        <x:v>International Tech Park (ITPB)</x:v>
      </x:c>
      <x:c r="F2177" s="12" t="str">
        <x:v>55 inch</x:v>
      </x:c>
      <x:c r="G2177" s="20" t="n">
        <x:v>1</x:v>
      </x:c>
      <x:c r="H2177" s="12" t="str">
        <x:v>Campus/portfolio roster; individual building occupancy unverified</x:v>
      </x:c>
      <x:c r="I2177" s="12" t="str">
        <x:v>Mixed business audience</x:v>
      </x:c>
      <x:c r="J2177" s="12" t="str">
        <x:v>IT &amp; digital</x:v>
      </x:c>
      <x:c r="K2177" s="2" t="str">
        <x:v>PARTNER-M002</x:v>
      </x:c>
    </x:row>
    <x:row r="2178" ht="46" customHeight="1">
      <x:c r="A2178" s="2" t="str">
        <x:v>TEN-59E713BB9B49</x:v>
      </x:c>
      <x:c r="B2178" s="12" t="str">
        <x:v>Revolt Intellicorp Pvt</x:v>
      </x:c>
      <x:c r="C2178" s="12" t="str">
        <x:v>CORP-0425</x:v>
      </x:c>
      <x:c r="D2178" s="12" t="str">
        <x:v>Bengaluru</x:v>
      </x:c>
      <x:c r="E2178" s="12" t="str">
        <x:v>International Tech Park (ITPB)</x:v>
      </x:c>
      <x:c r="F2178" s="12" t="str">
        <x:v>55 inch</x:v>
      </x:c>
      <x:c r="G2178" s="20" t="n">
        <x:v>1</x:v>
      </x:c>
      <x:c r="H2178" s="12" t="str">
        <x:v>Campus/portfolio roster; individual building occupancy unverified</x:v>
      </x:c>
      <x:c r="I2178" s="12" t="str">
        <x:v>Mixed business audience</x:v>
      </x:c>
      <x:c r="J2178" s="12" t="str">
        <x:v>Unresolved</x:v>
      </x:c>
      <x:c r="K2178" s="2" t="str">
        <x:v>PARTNER-M002</x:v>
      </x:c>
    </x:row>
    <x:row r="2179" ht="46" customHeight="1">
      <x:c r="A2179" s="2" t="str">
        <x:v>TEN-5B5245AFFE44</x:v>
      </x:c>
      <x:c r="B2179" s="12" t="str">
        <x:v>Tata Communications</x:v>
      </x:c>
      <x:c r="C2179" s="12" t="str">
        <x:v>CORP-0425</x:v>
      </x:c>
      <x:c r="D2179" s="12" t="str">
        <x:v>Bengaluru</x:v>
      </x:c>
      <x:c r="E2179" s="12" t="str">
        <x:v>International Tech Park (ITPB)</x:v>
      </x:c>
      <x:c r="F2179" s="12" t="str">
        <x:v>55 inch</x:v>
      </x:c>
      <x:c r="G2179" s="20" t="n">
        <x:v>1</x:v>
      </x:c>
      <x:c r="H2179" s="12" t="str">
        <x:v>Campus/portfolio roster; individual building occupancy unverified</x:v>
      </x:c>
      <x:c r="I2179" s="12" t="str">
        <x:v>Large enterprise</x:v>
      </x:c>
      <x:c r="J2179" s="12" t="str">
        <x:v>IT &amp; digital</x:v>
      </x:c>
      <x:c r="K2179" s="2" t="str">
        <x:v>PARTNER-M002</x:v>
      </x:c>
    </x:row>
    <x:row r="2180" ht="46" customHeight="1">
      <x:c r="A2180" s="2" t="str">
        <x:v>TEN-5D77DB2A2906</x:v>
      </x:c>
      <x:c r="B2180" s="12" t="str">
        <x:v>Telia</x:v>
      </x:c>
      <x:c r="C2180" s="12" t="str">
        <x:v>CORP-0425</x:v>
      </x:c>
      <x:c r="D2180" s="12" t="str">
        <x:v>Bengaluru</x:v>
      </x:c>
      <x:c r="E2180" s="12" t="str">
        <x:v>International Tech Park (ITPB)</x:v>
      </x:c>
      <x:c r="F2180" s="12" t="str">
        <x:v>55 inch</x:v>
      </x:c>
      <x:c r="G2180" s="20" t="n">
        <x:v>1</x:v>
      </x:c>
      <x:c r="H2180" s="12" t="str">
        <x:v>Campus/portfolio roster; individual building occupancy unverified</x:v>
      </x:c>
      <x:c r="I2180" s="12" t="str">
        <x:v>Mixed business audience</x:v>
      </x:c>
      <x:c r="J2180" s="12" t="str">
        <x:v>Unresolved</x:v>
      </x:c>
      <x:c r="K2180" s="2" t="str">
        <x:v>PARTNER-M002</x:v>
      </x:c>
    </x:row>
    <x:row r="2181" ht="46" customHeight="1">
      <x:c r="A2181" s="2" t="str">
        <x:v>TEN-5F435B82E7E9</x:v>
      </x:c>
      <x:c r="B2181" s="12" t="str">
        <x:v>Criterion</x:v>
      </x:c>
      <x:c r="C2181" s="12" t="str">
        <x:v>CORP-0425</x:v>
      </x:c>
      <x:c r="D2181" s="12" t="str">
        <x:v>Bengaluru</x:v>
      </x:c>
      <x:c r="E2181" s="12" t="str">
        <x:v>International Tech Park (ITPB)</x:v>
      </x:c>
      <x:c r="F2181" s="12" t="str">
        <x:v>55 inch</x:v>
      </x:c>
      <x:c r="G2181" s="20" t="n">
        <x:v>1</x:v>
      </x:c>
      <x:c r="H2181" s="12" t="str">
        <x:v>Campus/portfolio roster; individual building occupancy unverified</x:v>
      </x:c>
      <x:c r="I2181" s="12" t="str">
        <x:v>Mixed business audience</x:v>
      </x:c>
      <x:c r="J2181" s="12" t="str">
        <x:v>Unresolved</x:v>
      </x:c>
      <x:c r="K2181" s="2" t="str">
        <x:v>PARTNER-M002</x:v>
      </x:c>
    </x:row>
    <x:row r="2182" ht="46" customHeight="1">
      <x:c r="A2182" s="2" t="str">
        <x:v>TEN-5FA790F3630F</x:v>
      </x:c>
      <x:c r="B2182" s="12" t="str">
        <x:v>Tata Consultancy Services</x:v>
      </x:c>
      <x:c r="C2182" s="12" t="str">
        <x:v>CORP-0425</x:v>
      </x:c>
      <x:c r="D2182" s="12" t="str">
        <x:v>Bengaluru</x:v>
      </x:c>
      <x:c r="E2182" s="12" t="str">
        <x:v>International Tech Park (ITPB)</x:v>
      </x:c>
      <x:c r="F2182" s="12" t="str">
        <x:v>55 inch</x:v>
      </x:c>
      <x:c r="G2182" s="20" t="n">
        <x:v>1</x:v>
      </x:c>
      <x:c r="H2182" s="12" t="str">
        <x:v>Campus/portfolio roster; individual building occupancy unverified</x:v>
      </x:c>
      <x:c r="I2182" s="12" t="str">
        <x:v>Large enterprise</x:v>
      </x:c>
      <x:c r="J2182" s="12" t="str">
        <x:v>IT &amp; digital</x:v>
      </x:c>
      <x:c r="K2182" s="2" t="str">
        <x:v>PARTNER-M002</x:v>
      </x:c>
    </x:row>
    <x:row r="2183" ht="46" customHeight="1">
      <x:c r="A2183" s="2" t="str">
        <x:v>TEN-60B66A73DC22</x:v>
      </x:c>
      <x:c r="B2183" s="12" t="str">
        <x:v>Webdunia.com</x:v>
      </x:c>
      <x:c r="C2183" s="12" t="str">
        <x:v>CORP-0425</x:v>
      </x:c>
      <x:c r="D2183" s="12" t="str">
        <x:v>Bengaluru</x:v>
      </x:c>
      <x:c r="E2183" s="12" t="str">
        <x:v>International Tech Park (ITPB)</x:v>
      </x:c>
      <x:c r="F2183" s="12" t="str">
        <x:v>55 inch</x:v>
      </x:c>
      <x:c r="G2183" s="20" t="n">
        <x:v>1</x:v>
      </x:c>
      <x:c r="H2183" s="12" t="str">
        <x:v>Campus/portfolio roster; individual building occupancy unverified</x:v>
      </x:c>
      <x:c r="I2183" s="12" t="str">
        <x:v>Small-scale prospects</x:v>
      </x:c>
      <x:c r="J2183" s="12" t="str">
        <x:v>IT &amp; digital</x:v>
      </x:c>
      <x:c r="K2183" s="2" t="str">
        <x:v>PARTNER-M002</x:v>
      </x:c>
    </x:row>
    <x:row r="2184" ht="46" customHeight="1">
      <x:c r="A2184" s="2" t="str">
        <x:v>TEN-60CDE18C0230</x:v>
      </x:c>
      <x:c r="B2184" s="12" t="str">
        <x:v>Omens Animation</x:v>
      </x:c>
      <x:c r="C2184" s="12" t="str">
        <x:v>CORP-0425</x:v>
      </x:c>
      <x:c r="D2184" s="12" t="str">
        <x:v>Bengaluru</x:v>
      </x:c>
      <x:c r="E2184" s="12" t="str">
        <x:v>International Tech Park (ITPB)</x:v>
      </x:c>
      <x:c r="F2184" s="12" t="str">
        <x:v>55 inch</x:v>
      </x:c>
      <x:c r="G2184" s="20" t="n">
        <x:v>1</x:v>
      </x:c>
      <x:c r="H2184" s="12" t="str">
        <x:v>Campus/portfolio roster; individual building occupancy unverified</x:v>
      </x:c>
      <x:c r="I2184" s="12" t="str">
        <x:v>Small-scale prospects</x:v>
      </x:c>
      <x:c r="J2184" s="12" t="str">
        <x:v>Trade, consumer &amp; logistics</x:v>
      </x:c>
      <x:c r="K2184" s="2" t="str">
        <x:v>PARTNER-M002</x:v>
      </x:c>
    </x:row>
    <x:row r="2185" ht="46" customHeight="1">
      <x:c r="A2185" s="2" t="str">
        <x:v>TEN-676DC956336D</x:v>
      </x:c>
      <x:c r="B2185" s="12" t="str">
        <x:v>Rsab</x:v>
      </x:c>
      <x:c r="C2185" s="12" t="str">
        <x:v>CORP-0425</x:v>
      </x:c>
      <x:c r="D2185" s="12" t="str">
        <x:v>Bengaluru</x:v>
      </x:c>
      <x:c r="E2185" s="12" t="str">
        <x:v>International Tech Park (ITPB)</x:v>
      </x:c>
      <x:c r="F2185" s="12" t="str">
        <x:v>55 inch</x:v>
      </x:c>
      <x:c r="G2185" s="20" t="n">
        <x:v>1</x:v>
      </x:c>
      <x:c r="H2185" s="12" t="str">
        <x:v>Campus/portfolio roster; individual building occupancy unverified</x:v>
      </x:c>
      <x:c r="I2185" s="12" t="str">
        <x:v>Mixed business audience</x:v>
      </x:c>
      <x:c r="J2185" s="12" t="str">
        <x:v>Unresolved</x:v>
      </x:c>
      <x:c r="K2185" s="2" t="str">
        <x:v>PARTNER-M002</x:v>
      </x:c>
    </x:row>
    <x:row r="2186" ht="46" customHeight="1">
      <x:c r="A2186" s="2" t="str">
        <x:v>TEN-6994CDC0D34E</x:v>
      </x:c>
      <x:c r="B2186" s="12" t="str">
        <x:v>Sacha Engineering</x:v>
      </x:c>
      <x:c r="C2186" s="12" t="str">
        <x:v>CORP-0425</x:v>
      </x:c>
      <x:c r="D2186" s="12" t="str">
        <x:v>Bengaluru</x:v>
      </x:c>
      <x:c r="E2186" s="12" t="str">
        <x:v>International Tech Park (ITPB)</x:v>
      </x:c>
      <x:c r="F2186" s="12" t="str">
        <x:v>55 inch</x:v>
      </x:c>
      <x:c r="G2186" s="20" t="n">
        <x:v>1</x:v>
      </x:c>
      <x:c r="H2186" s="12" t="str">
        <x:v>Campus/portfolio roster; individual building occupancy unverified</x:v>
      </x:c>
      <x:c r="I2186" s="12" t="str">
        <x:v>Medium-scale prospects</x:v>
      </x:c>
      <x:c r="J2186" s="12" t="str">
        <x:v>Engineering &amp; manufacturing</x:v>
      </x:c>
      <x:c r="K2186" s="2" t="str">
        <x:v>PARTNER-M002</x:v>
      </x:c>
    </x:row>
    <x:row r="2187" ht="46" customHeight="1">
      <x:c r="A2187" s="2" t="str">
        <x:v>TEN-6BC09C13CCE1</x:v>
      </x:c>
      <x:c r="B2187" s="12" t="str">
        <x:v>Upilot</x:v>
      </x:c>
      <x:c r="C2187" s="12" t="str">
        <x:v>CORP-0425</x:v>
      </x:c>
      <x:c r="D2187" s="12" t="str">
        <x:v>Bengaluru</x:v>
      </x:c>
      <x:c r="E2187" s="12" t="str">
        <x:v>International Tech Park (ITPB)</x:v>
      </x:c>
      <x:c r="F2187" s="12" t="str">
        <x:v>55 inch</x:v>
      </x:c>
      <x:c r="G2187" s="20" t="n">
        <x:v>1</x:v>
      </x:c>
      <x:c r="H2187" s="12" t="str">
        <x:v>Campus/portfolio roster; individual building occupancy unverified</x:v>
      </x:c>
      <x:c r="I2187" s="12" t="str">
        <x:v>Small-scale prospects</x:v>
      </x:c>
      <x:c r="J2187" s="12" t="str">
        <x:v>IT &amp; digital</x:v>
      </x:c>
      <x:c r="K2187" s="2" t="str">
        <x:v>PARTNER-M002</x:v>
      </x:c>
    </x:row>
    <x:row r="2188" ht="46" customHeight="1">
      <x:c r="A2188" s="2" t="str">
        <x:v>TEN-6E2912BABF92</x:v>
      </x:c>
      <x:c r="B2188" s="12" t="str">
        <x:v>Plastic Omnium Auto</x:v>
      </x:c>
      <x:c r="C2188" s="12" t="str">
        <x:v>CORP-0425</x:v>
      </x:c>
      <x:c r="D2188" s="12" t="str">
        <x:v>Bengaluru</x:v>
      </x:c>
      <x:c r="E2188" s="12" t="str">
        <x:v>International Tech Park (ITPB)</x:v>
      </x:c>
      <x:c r="F2188" s="12" t="str">
        <x:v>55 inch</x:v>
      </x:c>
      <x:c r="G2188" s="20" t="n">
        <x:v>1</x:v>
      </x:c>
      <x:c r="H2188" s="12" t="str">
        <x:v>Campus/portfolio roster; individual building occupancy unverified</x:v>
      </x:c>
      <x:c r="I2188" s="12" t="str">
        <x:v>Mixed business audience</x:v>
      </x:c>
      <x:c r="J2188" s="12" t="str">
        <x:v>Engineering &amp; manufacturing</x:v>
      </x:c>
      <x:c r="K2188" s="2" t="str">
        <x:v>PARTNER-M002</x:v>
      </x:c>
    </x:row>
    <x:row r="2189" ht="46" customHeight="1">
      <x:c r="A2189" s="2" t="str">
        <x:v>TEN-6F273F8143F0</x:v>
      </x:c>
      <x:c r="B2189" s="12" t="str">
        <x:v>First Advantage</x:v>
      </x:c>
      <x:c r="C2189" s="12" t="str">
        <x:v>CORP-0425</x:v>
      </x:c>
      <x:c r="D2189" s="12" t="str">
        <x:v>Bengaluru</x:v>
      </x:c>
      <x:c r="E2189" s="12" t="str">
        <x:v>International Tech Park (ITPB)</x:v>
      </x:c>
      <x:c r="F2189" s="12" t="str">
        <x:v>55 inch</x:v>
      </x:c>
      <x:c r="G2189" s="20" t="n">
        <x:v>1</x:v>
      </x:c>
      <x:c r="H2189" s="12" t="str">
        <x:v>Campus/portfolio roster; individual building occupancy unverified</x:v>
      </x:c>
      <x:c r="I2189" s="12" t="str">
        <x:v>Mixed business audience</x:v>
      </x:c>
      <x:c r="J2189" s="12" t="str">
        <x:v>Professional services</x:v>
      </x:c>
      <x:c r="K2189" s="2" t="str">
        <x:v>PARTNER-M002</x:v>
      </x:c>
    </x:row>
    <x:row r="2190" ht="46" customHeight="1">
      <x:c r="A2190" s="2" t="str">
        <x:v>TEN-6F4C691FF4A1</x:v>
      </x:c>
      <x:c r="B2190" s="12" t="str">
        <x:v>Kennametal</x:v>
      </x:c>
      <x:c r="C2190" s="12" t="str">
        <x:v>CORP-0425</x:v>
      </x:c>
      <x:c r="D2190" s="12" t="str">
        <x:v>Bengaluru</x:v>
      </x:c>
      <x:c r="E2190" s="12" t="str">
        <x:v>International Tech Park (ITPB)</x:v>
      </x:c>
      <x:c r="F2190" s="12" t="str">
        <x:v>55 inch</x:v>
      </x:c>
      <x:c r="G2190" s="20" t="n">
        <x:v>1</x:v>
      </x:c>
      <x:c r="H2190" s="12" t="str">
        <x:v>Campus/portfolio roster; individual building occupancy unverified</x:v>
      </x:c>
      <x:c r="I2190" s="12" t="str">
        <x:v>Mixed business audience</x:v>
      </x:c>
      <x:c r="J2190" s="12" t="str">
        <x:v>Engineering &amp; manufacturing</x:v>
      </x:c>
      <x:c r="K2190" s="2" t="str">
        <x:v>PARTNER-M002</x:v>
      </x:c>
    </x:row>
    <x:row r="2191" ht="46" customHeight="1">
      <x:c r="A2191" s="2" t="str">
        <x:v>TEN-7318D4E0C064</x:v>
      </x:c>
      <x:c r="B2191" s="12" t="str">
        <x:v>Skiva</x:v>
      </x:c>
      <x:c r="C2191" s="12" t="str">
        <x:v>CORP-0425</x:v>
      </x:c>
      <x:c r="D2191" s="12" t="str">
        <x:v>Bengaluru</x:v>
      </x:c>
      <x:c r="E2191" s="12" t="str">
        <x:v>International Tech Park (ITPB)</x:v>
      </x:c>
      <x:c r="F2191" s="12" t="str">
        <x:v>55 inch</x:v>
      </x:c>
      <x:c r="G2191" s="20" t="n">
        <x:v>1</x:v>
      </x:c>
      <x:c r="H2191" s="12" t="str">
        <x:v>Campus/portfolio roster; individual building occupancy unverified</x:v>
      </x:c>
      <x:c r="I2191" s="12" t="str">
        <x:v>Mixed business audience</x:v>
      </x:c>
      <x:c r="J2191" s="12" t="str">
        <x:v>Unresolved</x:v>
      </x:c>
      <x:c r="K2191" s="2" t="str">
        <x:v>PARTNER-M002</x:v>
      </x:c>
    </x:row>
    <x:row r="2192" ht="46" customHeight="1">
      <x:c r="A2192" s="2" t="str">
        <x:v>TEN-764319AE4FB8</x:v>
      </x:c>
      <x:c r="B2192" s="12" t="str">
        <x:v>Sharp Software</x:v>
      </x:c>
      <x:c r="C2192" s="12" t="str">
        <x:v>CORP-0425</x:v>
      </x:c>
      <x:c r="D2192" s="12" t="str">
        <x:v>Bengaluru</x:v>
      </x:c>
      <x:c r="E2192" s="12" t="str">
        <x:v>International Tech Park (ITPB)</x:v>
      </x:c>
      <x:c r="F2192" s="12" t="str">
        <x:v>55 inch</x:v>
      </x:c>
      <x:c r="G2192" s="20" t="n">
        <x:v>1</x:v>
      </x:c>
      <x:c r="H2192" s="12" t="str">
        <x:v>Campus/portfolio roster; individual building occupancy unverified</x:v>
      </x:c>
      <x:c r="I2192" s="12" t="str">
        <x:v>Mixed business audience</x:v>
      </x:c>
      <x:c r="J2192" s="12" t="str">
        <x:v>IT &amp; digital</x:v>
      </x:c>
      <x:c r="K2192" s="2" t="str">
        <x:v>PARTNER-M002</x:v>
      </x:c>
    </x:row>
    <x:row r="2193" ht="46" customHeight="1">
      <x:c r="A2193" s="2" t="str">
        <x:v>TEN-7ECB3C42E303</x:v>
      </x:c>
      <x:c r="B2193" s="12" t="str">
        <x:v>Criterion Networks</x:v>
      </x:c>
      <x:c r="C2193" s="12" t="str">
        <x:v>CORP-0425</x:v>
      </x:c>
      <x:c r="D2193" s="12" t="str">
        <x:v>Bengaluru</x:v>
      </x:c>
      <x:c r="E2193" s="12" t="str">
        <x:v>International Tech Park (ITPB)</x:v>
      </x:c>
      <x:c r="F2193" s="12" t="str">
        <x:v>55 inch</x:v>
      </x:c>
      <x:c r="G2193" s="20" t="n">
        <x:v>1</x:v>
      </x:c>
      <x:c r="H2193" s="12" t="str">
        <x:v>Campus/portfolio roster; individual building occupancy unverified</x:v>
      </x:c>
      <x:c r="I2193" s="12" t="str">
        <x:v>Small-scale prospects</x:v>
      </x:c>
      <x:c r="J2193" s="12" t="str">
        <x:v>IT &amp; digital</x:v>
      </x:c>
      <x:c r="K2193" s="2" t="str">
        <x:v>PARTNER-M002</x:v>
      </x:c>
    </x:row>
    <x:row r="2194" ht="46" customHeight="1">
      <x:c r="A2194" s="2" t="str">
        <x:v>TEN-8174968E6F72</x:v>
      </x:c>
      <x:c r="B2194" s="12" t="str">
        <x:v>Achronix</x:v>
      </x:c>
      <x:c r="C2194" s="12" t="str">
        <x:v>CORP-0425</x:v>
      </x:c>
      <x:c r="D2194" s="12" t="str">
        <x:v>Bengaluru</x:v>
      </x:c>
      <x:c r="E2194" s="12" t="str">
        <x:v>International Tech Park (ITPB)</x:v>
      </x:c>
      <x:c r="F2194" s="12" t="str">
        <x:v>55 inch</x:v>
      </x:c>
      <x:c r="G2194" s="20" t="n">
        <x:v>1</x:v>
      </x:c>
      <x:c r="H2194" s="12" t="str">
        <x:v>Campus/portfolio roster; individual building occupancy unverified</x:v>
      </x:c>
      <x:c r="I2194" s="12" t="str">
        <x:v>Mixed business audience</x:v>
      </x:c>
      <x:c r="J2194" s="12" t="str">
        <x:v>Engineering &amp; manufacturing</x:v>
      </x:c>
      <x:c r="K2194" s="2" t="str">
        <x:v>PARTNER-M002</x:v>
      </x:c>
    </x:row>
    <x:row r="2195" ht="46" customHeight="1">
      <x:c r="A2195" s="2" t="str">
        <x:v>TEN-81F921B8E00A</x:v>
      </x:c>
      <x:c r="B2195" s="12" t="str">
        <x:v>Mobicip</x:v>
      </x:c>
      <x:c r="C2195" s="12" t="str">
        <x:v>CORP-0425</x:v>
      </x:c>
      <x:c r="D2195" s="12" t="str">
        <x:v>Bengaluru</x:v>
      </x:c>
      <x:c r="E2195" s="12" t="str">
        <x:v>International Tech Park (ITPB)</x:v>
      </x:c>
      <x:c r="F2195" s="12" t="str">
        <x:v>55 inch</x:v>
      </x:c>
      <x:c r="G2195" s="20" t="n">
        <x:v>1</x:v>
      </x:c>
      <x:c r="H2195" s="12" t="str">
        <x:v>Campus/portfolio roster; individual building occupancy unverified</x:v>
      </x:c>
      <x:c r="I2195" s="12" t="str">
        <x:v>Small-scale prospects</x:v>
      </x:c>
      <x:c r="J2195" s="12" t="str">
        <x:v>IT &amp; digital</x:v>
      </x:c>
      <x:c r="K2195" s="2" t="str">
        <x:v>PARTNER-M002</x:v>
      </x:c>
    </x:row>
    <x:row r="2196" ht="46" customHeight="1">
      <x:c r="A2196" s="2" t="str">
        <x:v>TEN-891353748B3A</x:v>
      </x:c>
      <x:c r="B2196" s="12" t="str">
        <x:v>Osi Energy automation</x:v>
      </x:c>
      <x:c r="C2196" s="12" t="str">
        <x:v>CORP-0425</x:v>
      </x:c>
      <x:c r="D2196" s="12" t="str">
        <x:v>Bengaluru</x:v>
      </x:c>
      <x:c r="E2196" s="12" t="str">
        <x:v>International Tech Park (ITPB)</x:v>
      </x:c>
      <x:c r="F2196" s="12" t="str">
        <x:v>55 inch</x:v>
      </x:c>
      <x:c r="G2196" s="20" t="n">
        <x:v>1</x:v>
      </x:c>
      <x:c r="H2196" s="12" t="str">
        <x:v>Campus/portfolio roster; individual building occupancy unverified</x:v>
      </x:c>
      <x:c r="I2196" s="12" t="str">
        <x:v>Medium-scale prospects</x:v>
      </x:c>
      <x:c r="J2196" s="12" t="str">
        <x:v>Engineering &amp; manufacturing</x:v>
      </x:c>
      <x:c r="K2196" s="2" t="str">
        <x:v>PARTNER-M002</x:v>
      </x:c>
    </x:row>
    <x:row r="2197" ht="46" customHeight="1">
      <x:c r="A2197" s="2" t="str">
        <x:v>TEN-8C4275F1FD40</x:v>
      </x:c>
      <x:c r="B2197" s="12" t="str">
        <x:v>Capital Land</x:v>
      </x:c>
      <x:c r="C2197" s="12" t="str">
        <x:v>CORP-0425</x:v>
      </x:c>
      <x:c r="D2197" s="12" t="str">
        <x:v>Bengaluru</x:v>
      </x:c>
      <x:c r="E2197" s="12" t="str">
        <x:v>International Tech Park (ITPB)</x:v>
      </x:c>
      <x:c r="F2197" s="12" t="str">
        <x:v>55 inch</x:v>
      </x:c>
      <x:c r="G2197" s="20" t="n">
        <x:v>1</x:v>
      </x:c>
      <x:c r="H2197" s="12" t="str">
        <x:v>Campus/portfolio roster; individual building occupancy unverified</x:v>
      </x:c>
      <x:c r="I2197" s="12" t="str">
        <x:v>Mixed business audience</x:v>
      </x:c>
      <x:c r="J2197" s="12" t="str">
        <x:v>Trade, consumer &amp; logistics</x:v>
      </x:c>
      <x:c r="K2197" s="2" t="str">
        <x:v>PARTNER-M002</x:v>
      </x:c>
    </x:row>
    <x:row r="2198" ht="46" customHeight="1">
      <x:c r="A2198" s="2" t="str">
        <x:v>TEN-8DCD18640A0A</x:v>
      </x:c>
      <x:c r="B2198" s="12" t="str">
        <x:v>Kotak</x:v>
      </x:c>
      <x:c r="C2198" s="12" t="str">
        <x:v>CORP-0425</x:v>
      </x:c>
      <x:c r="D2198" s="12" t="str">
        <x:v>Bengaluru</x:v>
      </x:c>
      <x:c r="E2198" s="12" t="str">
        <x:v>International Tech Park (ITPB)</x:v>
      </x:c>
      <x:c r="F2198" s="12" t="str">
        <x:v>55 inch</x:v>
      </x:c>
      <x:c r="G2198" s="20" t="n">
        <x:v>1</x:v>
      </x:c>
      <x:c r="H2198" s="12" t="str">
        <x:v>Campus/portfolio roster; individual building occupancy unverified</x:v>
      </x:c>
      <x:c r="I2198" s="12" t="str">
        <x:v>Large enterprise</x:v>
      </x:c>
      <x:c r="J2198" s="12" t="str">
        <x:v>Finance &amp; insurance</x:v>
      </x:c>
      <x:c r="K2198" s="2" t="str">
        <x:v>PARTNER-M002</x:v>
      </x:c>
    </x:row>
    <x:row r="2199" ht="46" customHeight="1">
      <x:c r="A2199" s="2" t="str">
        <x:v>TEN-916A98F0FA2A</x:v>
      </x:c>
      <x:c r="B2199" s="12" t="str">
        <x:v>IBM</x:v>
      </x:c>
      <x:c r="C2199" s="12" t="str">
        <x:v>CORP-0425</x:v>
      </x:c>
      <x:c r="D2199" s="12" t="str">
        <x:v>Bengaluru</x:v>
      </x:c>
      <x:c r="E2199" s="12" t="str">
        <x:v>International Tech Park (ITPB)</x:v>
      </x:c>
      <x:c r="F2199" s="12" t="str">
        <x:v>55 inch</x:v>
      </x:c>
      <x:c r="G2199" s="20" t="n">
        <x:v>1</x:v>
      </x:c>
      <x:c r="H2199" s="12" t="str">
        <x:v>Campus/portfolio roster; individual building occupancy unverified</x:v>
      </x:c>
      <x:c r="I2199" s="12" t="str">
        <x:v>Large enterprise</x:v>
      </x:c>
      <x:c r="J2199" s="12" t="str">
        <x:v>IT &amp; digital</x:v>
      </x:c>
      <x:c r="K2199" s="2" t="str">
        <x:v>PARTNER-M002</x:v>
      </x:c>
    </x:row>
    <x:row r="2200" ht="46" customHeight="1">
      <x:c r="A2200" s="2" t="str">
        <x:v>TEN-97720ABA5A0C</x:v>
      </x:c>
      <x:c r="B2200" s="12" t="str">
        <x:v>Insemi Technology</x:v>
      </x:c>
      <x:c r="C2200" s="12" t="str">
        <x:v>CORP-0425</x:v>
      </x:c>
      <x:c r="D2200" s="12" t="str">
        <x:v>Bengaluru</x:v>
      </x:c>
      <x:c r="E2200" s="12" t="str">
        <x:v>International Tech Park (ITPB)</x:v>
      </x:c>
      <x:c r="F2200" s="12" t="str">
        <x:v>55 inch</x:v>
      </x:c>
      <x:c r="G2200" s="20" t="n">
        <x:v>1</x:v>
      </x:c>
      <x:c r="H2200" s="12" t="str">
        <x:v>Campus/portfolio roster; individual building occupancy unverified</x:v>
      </x:c>
      <x:c r="I2200" s="12" t="str">
        <x:v>Mixed business audience</x:v>
      </x:c>
      <x:c r="J2200" s="12" t="str">
        <x:v>Engineering &amp; manufacturing</x:v>
      </x:c>
      <x:c r="K2200" s="2" t="str">
        <x:v>PARTNER-M002</x:v>
      </x:c>
    </x:row>
    <x:row r="2201" ht="46" customHeight="1">
      <x:c r="A2201" s="2" t="str">
        <x:v>TEN-97B053EFF73B</x:v>
      </x:c>
      <x:c r="B2201" s="12" t="str">
        <x:v>Xinthe Technologies</x:v>
      </x:c>
      <x:c r="C2201" s="12" t="str">
        <x:v>CORP-0425</x:v>
      </x:c>
      <x:c r="D2201" s="12" t="str">
        <x:v>Bengaluru</x:v>
      </x:c>
      <x:c r="E2201" s="12" t="str">
        <x:v>International Tech Park (ITPB)</x:v>
      </x:c>
      <x:c r="F2201" s="12" t="str">
        <x:v>55 inch</x:v>
      </x:c>
      <x:c r="G2201" s="20" t="n">
        <x:v>1</x:v>
      </x:c>
      <x:c r="H2201" s="12" t="str">
        <x:v>Campus/portfolio roster; individual building occupancy unverified</x:v>
      </x:c>
      <x:c r="I2201" s="12" t="str">
        <x:v>Small-scale prospects</x:v>
      </x:c>
      <x:c r="J2201" s="12" t="str">
        <x:v>IT &amp; digital</x:v>
      </x:c>
      <x:c r="K2201" s="2" t="str">
        <x:v>PARTNER-M002</x:v>
      </x:c>
    </x:row>
    <x:row r="2202" ht="46" customHeight="1">
      <x:c r="A2202" s="2" t="str">
        <x:v>TEN-99E39EB751AE</x:v>
      </x:c>
      <x:c r="B2202" s="12" t="str">
        <x:v>US Technology</x:v>
      </x:c>
      <x:c r="C2202" s="12" t="str">
        <x:v>CORP-0425</x:v>
      </x:c>
      <x:c r="D2202" s="12" t="str">
        <x:v>Bengaluru</x:v>
      </x:c>
      <x:c r="E2202" s="12" t="str">
        <x:v>International Tech Park (ITPB)</x:v>
      </x:c>
      <x:c r="F2202" s="12" t="str">
        <x:v>55 inch</x:v>
      </x:c>
      <x:c r="G2202" s="20" t="n">
        <x:v>1</x:v>
      </x:c>
      <x:c r="H2202" s="12" t="str">
        <x:v>Campus/portfolio roster; individual building occupancy unverified</x:v>
      </x:c>
      <x:c r="I2202" s="12" t="str">
        <x:v>Mixed business audience</x:v>
      </x:c>
      <x:c r="J2202" s="12" t="str">
        <x:v>IT &amp; digital</x:v>
      </x:c>
      <x:c r="K2202" s="2" t="str">
        <x:v>PARTNER-M002</x:v>
      </x:c>
    </x:row>
    <x:row r="2203" ht="46" customHeight="1">
      <x:c r="A2203" s="2" t="str">
        <x:v>TEN-A08385AC9A90</x:v>
      </x:c>
      <x:c r="B2203" s="12" t="str">
        <x:v>Ecinical</x:v>
      </x:c>
      <x:c r="C2203" s="12" t="str">
        <x:v>CORP-0425</x:v>
      </x:c>
      <x:c r="D2203" s="12" t="str">
        <x:v>Bengaluru</x:v>
      </x:c>
      <x:c r="E2203" s="12" t="str">
        <x:v>International Tech Park (ITPB)</x:v>
      </x:c>
      <x:c r="F2203" s="12" t="str">
        <x:v>55 inch</x:v>
      </x:c>
      <x:c r="G2203" s="20" t="n">
        <x:v>1</x:v>
      </x:c>
      <x:c r="H2203" s="12" t="str">
        <x:v>Campus/portfolio roster; individual building occupancy unverified</x:v>
      </x:c>
      <x:c r="I2203" s="12" t="str">
        <x:v>Mixed business audience</x:v>
      </x:c>
      <x:c r="J2203" s="12" t="str">
        <x:v>Unresolved</x:v>
      </x:c>
      <x:c r="K2203" s="2" t="str">
        <x:v>PARTNER-M002</x:v>
      </x:c>
    </x:row>
    <x:row r="2204" ht="46" customHeight="1">
      <x:c r="A2204" s="2" t="str">
        <x:v>TEN-A57526B5D973</x:v>
      </x:c>
      <x:c r="B2204" s="12" t="str">
        <x:v>General Motors</x:v>
      </x:c>
      <x:c r="C2204" s="12" t="str">
        <x:v>CORP-0425</x:v>
      </x:c>
      <x:c r="D2204" s="12" t="str">
        <x:v>Bengaluru</x:v>
      </x:c>
      <x:c r="E2204" s="12" t="str">
        <x:v>International Tech Park (ITPB)</x:v>
      </x:c>
      <x:c r="F2204" s="12" t="str">
        <x:v>55 inch</x:v>
      </x:c>
      <x:c r="G2204" s="20" t="n">
        <x:v>1</x:v>
      </x:c>
      <x:c r="H2204" s="12" t="str">
        <x:v>Campus/portfolio roster; individual building occupancy unverified</x:v>
      </x:c>
      <x:c r="I2204" s="12" t="str">
        <x:v>Mixed business audience</x:v>
      </x:c>
      <x:c r="J2204" s="12" t="str">
        <x:v>Engineering &amp; manufacturing</x:v>
      </x:c>
      <x:c r="K2204" s="2" t="str">
        <x:v>PARTNER-M002</x:v>
      </x:c>
    </x:row>
    <x:row r="2205" ht="46" customHeight="1">
      <x:c r="A2205" s="2" t="str">
        <x:v>TEN-A5F5259A3FFE</x:v>
      </x:c>
      <x:c r="B2205" s="12" t="str">
        <x:v>Xerox Technology</x:v>
      </x:c>
      <x:c r="C2205" s="12" t="str">
        <x:v>CORP-0425</x:v>
      </x:c>
      <x:c r="D2205" s="12" t="str">
        <x:v>Bengaluru</x:v>
      </x:c>
      <x:c r="E2205" s="12" t="str">
        <x:v>International Tech Park (ITPB)</x:v>
      </x:c>
      <x:c r="F2205" s="12" t="str">
        <x:v>55 inch</x:v>
      </x:c>
      <x:c r="G2205" s="20" t="n">
        <x:v>1</x:v>
      </x:c>
      <x:c r="H2205" s="12" t="str">
        <x:v>Campus/portfolio roster; individual building occupancy unverified</x:v>
      </x:c>
      <x:c r="I2205" s="12" t="str">
        <x:v>Mixed business audience</x:v>
      </x:c>
      <x:c r="J2205" s="12" t="str">
        <x:v>IT &amp; digital</x:v>
      </x:c>
      <x:c r="K2205" s="2" t="str">
        <x:v>PARTNER-M002</x:v>
      </x:c>
    </x:row>
    <x:row r="2206" ht="46" customHeight="1">
      <x:c r="A2206" s="2" t="str">
        <x:v>TEN-A7907C2DB975</x:v>
      </x:c>
      <x:c r="B2206" s="12" t="str">
        <x:v>Einfolge</x:v>
      </x:c>
      <x:c r="C2206" s="12" t="str">
        <x:v>CORP-0425</x:v>
      </x:c>
      <x:c r="D2206" s="12" t="str">
        <x:v>Bengaluru</x:v>
      </x:c>
      <x:c r="E2206" s="12" t="str">
        <x:v>International Tech Park (ITPB)</x:v>
      </x:c>
      <x:c r="F2206" s="12" t="str">
        <x:v>55 inch</x:v>
      </x:c>
      <x:c r="G2206" s="20" t="n">
        <x:v>1</x:v>
      </x:c>
      <x:c r="H2206" s="12" t="str">
        <x:v>Campus/portfolio roster; individual building occupancy unverified</x:v>
      </x:c>
      <x:c r="I2206" s="12" t="str">
        <x:v>Small-scale prospects</x:v>
      </x:c>
      <x:c r="J2206" s="12" t="str">
        <x:v>Professional services</x:v>
      </x:c>
      <x:c r="K2206" s="2" t="str">
        <x:v>PARTNER-M002</x:v>
      </x:c>
    </x:row>
    <x:row r="2207" ht="46" customHeight="1">
      <x:c r="A2207" s="2" t="str">
        <x:v>TEN-A88487AEFC99</x:v>
      </x:c>
      <x:c r="B2207" s="12" t="str">
        <x:v>Galax</x:v>
      </x:c>
      <x:c r="C2207" s="12" t="str">
        <x:v>CORP-0425</x:v>
      </x:c>
      <x:c r="D2207" s="12" t="str">
        <x:v>Bengaluru</x:v>
      </x:c>
      <x:c r="E2207" s="12" t="str">
        <x:v>International Tech Park (ITPB)</x:v>
      </x:c>
      <x:c r="F2207" s="12" t="str">
        <x:v>55 inch</x:v>
      </x:c>
      <x:c r="G2207" s="20" t="n">
        <x:v>1</x:v>
      </x:c>
      <x:c r="H2207" s="12" t="str">
        <x:v>Campus/portfolio roster; individual building occupancy unverified</x:v>
      </x:c>
      <x:c r="I2207" s="12" t="str">
        <x:v>Mixed business audience</x:v>
      </x:c>
      <x:c r="J2207" s="12" t="str">
        <x:v>Unresolved</x:v>
      </x:c>
      <x:c r="K2207" s="2" t="str">
        <x:v>PARTNER-M002</x:v>
      </x:c>
    </x:row>
    <x:row r="2208" ht="46" customHeight="1">
      <x:c r="A2208" s="2" t="str">
        <x:v>TEN-A9A1855F9C7F</x:v>
      </x:c>
      <x:c r="B2208" s="12" t="str">
        <x:v>Globant</x:v>
      </x:c>
      <x:c r="C2208" s="12" t="str">
        <x:v>CORP-0425</x:v>
      </x:c>
      <x:c r="D2208" s="12" t="str">
        <x:v>Bengaluru</x:v>
      </x:c>
      <x:c r="E2208" s="12" t="str">
        <x:v>International Tech Park (ITPB)</x:v>
      </x:c>
      <x:c r="F2208" s="12" t="str">
        <x:v>55 inch</x:v>
      </x:c>
      <x:c r="G2208" s="20" t="n">
        <x:v>1</x:v>
      </x:c>
      <x:c r="H2208" s="12" t="str">
        <x:v>Campus/portfolio roster; individual building occupancy unverified</x:v>
      </x:c>
      <x:c r="I2208" s="12" t="str">
        <x:v>Mixed business audience</x:v>
      </x:c>
      <x:c r="J2208" s="12" t="str">
        <x:v>IT &amp; digital</x:v>
      </x:c>
      <x:c r="K2208" s="2" t="str">
        <x:v>PARTNER-M002</x:v>
      </x:c>
    </x:row>
    <x:row r="2209" ht="46" customHeight="1">
      <x:c r="A2209" s="2" t="str">
        <x:v>TEN-A9B3E7D54A8C</x:v>
      </x:c>
      <x:c r="B2209" s="12" t="str">
        <x:v>First advantage Global</x:v>
      </x:c>
      <x:c r="C2209" s="12" t="str">
        <x:v>CORP-0425</x:v>
      </x:c>
      <x:c r="D2209" s="12" t="str">
        <x:v>Bengaluru</x:v>
      </x:c>
      <x:c r="E2209" s="12" t="str">
        <x:v>International Tech Park (ITPB)</x:v>
      </x:c>
      <x:c r="F2209" s="12" t="str">
        <x:v>55 inch</x:v>
      </x:c>
      <x:c r="G2209" s="20" t="n">
        <x:v>1</x:v>
      </x:c>
      <x:c r="H2209" s="12" t="str">
        <x:v>Campus/portfolio roster; individual building occupancy unverified</x:v>
      </x:c>
      <x:c r="I2209" s="12" t="str">
        <x:v>Mixed business audience</x:v>
      </x:c>
      <x:c r="J2209" s="12" t="str">
        <x:v>Professional services</x:v>
      </x:c>
      <x:c r="K2209" s="2" t="str">
        <x:v>PARTNER-M002</x:v>
      </x:c>
    </x:row>
    <x:row r="2210" ht="46" customHeight="1">
      <x:c r="A2210" s="2" t="str">
        <x:v>TEN-AFB51487B347</x:v>
      </x:c>
      <x:c r="B2210" s="12" t="str">
        <x:v>Happy Visitor Esoutions</x:v>
      </x:c>
      <x:c r="C2210" s="12" t="str">
        <x:v>CORP-0425</x:v>
      </x:c>
      <x:c r="D2210" s="12" t="str">
        <x:v>Bengaluru</x:v>
      </x:c>
      <x:c r="E2210" s="12" t="str">
        <x:v>International Tech Park (ITPB)</x:v>
      </x:c>
      <x:c r="F2210" s="12" t="str">
        <x:v>55 inch</x:v>
      </x:c>
      <x:c r="G2210" s="20" t="n">
        <x:v>1</x:v>
      </x:c>
      <x:c r="H2210" s="12" t="str">
        <x:v>Campus/portfolio roster; individual building occupancy unverified</x:v>
      </x:c>
      <x:c r="I2210" s="12" t="str">
        <x:v>Mixed business audience</x:v>
      </x:c>
      <x:c r="J2210" s="12" t="str">
        <x:v>Unresolved</x:v>
      </x:c>
      <x:c r="K2210" s="2" t="str">
        <x:v>PARTNER-M002</x:v>
      </x:c>
    </x:row>
    <x:row r="2211" ht="46" customHeight="1">
      <x:c r="A2211" s="2" t="str">
        <x:v>TEN-B1E1798527DF</x:v>
      </x:c>
      <x:c r="B2211" s="12" t="str">
        <x:v>Carnation</x:v>
      </x:c>
      <x:c r="C2211" s="12" t="str">
        <x:v>CORP-0425</x:v>
      </x:c>
      <x:c r="D2211" s="12" t="str">
        <x:v>Bengaluru</x:v>
      </x:c>
      <x:c r="E2211" s="12" t="str">
        <x:v>International Tech Park (ITPB)</x:v>
      </x:c>
      <x:c r="F2211" s="12" t="str">
        <x:v>55 inch</x:v>
      </x:c>
      <x:c r="G2211" s="20" t="n">
        <x:v>1</x:v>
      </x:c>
      <x:c r="H2211" s="12" t="str">
        <x:v>Campus/portfolio roster; individual building occupancy unverified</x:v>
      </x:c>
      <x:c r="I2211" s="12" t="str">
        <x:v>Mixed business audience</x:v>
      </x:c>
      <x:c r="J2211" s="12" t="str">
        <x:v>Unresolved</x:v>
      </x:c>
      <x:c r="K2211" s="2" t="str">
        <x:v>PARTNER-M002</x:v>
      </x:c>
    </x:row>
    <x:row r="2212" ht="46" customHeight="1">
      <x:c r="A2212" s="2" t="str">
        <x:v>TEN-B431E151D906</x:v>
      </x:c>
      <x:c r="B2212" s="12" t="str">
        <x:v>Longhorns labs</x:v>
      </x:c>
      <x:c r="C2212" s="12" t="str">
        <x:v>CORP-0425</x:v>
      </x:c>
      <x:c r="D2212" s="12" t="str">
        <x:v>Bengaluru</x:v>
      </x:c>
      <x:c r="E2212" s="12" t="str">
        <x:v>International Tech Park (ITPB)</x:v>
      </x:c>
      <x:c r="F2212" s="12" t="str">
        <x:v>55 inch</x:v>
      </x:c>
      <x:c r="G2212" s="20" t="n">
        <x:v>1</x:v>
      </x:c>
      <x:c r="H2212" s="12" t="str">
        <x:v>Campus/portfolio roster; individual building occupancy unverified</x:v>
      </x:c>
      <x:c r="I2212" s="12" t="str">
        <x:v>Mixed business audience</x:v>
      </x:c>
      <x:c r="J2212" s="12" t="str">
        <x:v>Unresolved</x:v>
      </x:c>
      <x:c r="K2212" s="2" t="str">
        <x:v>PARTNER-M002</x:v>
      </x:c>
    </x:row>
    <x:row r="2213" ht="46" customHeight="1">
      <x:c r="A2213" s="2" t="str">
        <x:v>TEN-B73878E16AE9</x:v>
      </x:c>
      <x:c r="B2213" s="12" t="str">
        <x:v>Truspeq</x:v>
      </x:c>
      <x:c r="C2213" s="12" t="str">
        <x:v>CORP-0425</x:v>
      </x:c>
      <x:c r="D2213" s="12" t="str">
        <x:v>Bengaluru</x:v>
      </x:c>
      <x:c r="E2213" s="12" t="str">
        <x:v>International Tech Park (ITPB)</x:v>
      </x:c>
      <x:c r="F2213" s="12" t="str">
        <x:v>55 inch</x:v>
      </x:c>
      <x:c r="G2213" s="20" t="n">
        <x:v>1</x:v>
      </x:c>
      <x:c r="H2213" s="12" t="str">
        <x:v>Campus/portfolio roster; individual building occupancy unverified</x:v>
      </x:c>
      <x:c r="I2213" s="12" t="str">
        <x:v>Small-scale prospects</x:v>
      </x:c>
      <x:c r="J2213" s="12" t="str">
        <x:v>IT &amp; digital</x:v>
      </x:c>
      <x:c r="K2213" s="2" t="str">
        <x:v>PARTNER-M002</x:v>
      </x:c>
    </x:row>
    <x:row r="2214" ht="46" customHeight="1">
      <x:c r="A2214" s="2" t="str">
        <x:v>TEN-B73A39ADECC4</x:v>
      </x:c>
      <x:c r="B2214" s="12" t="str">
        <x:v>ATOS IT</x:v>
      </x:c>
      <x:c r="C2214" s="12" t="str">
        <x:v>CORP-0425</x:v>
      </x:c>
      <x:c r="D2214" s="12" t="str">
        <x:v>Bengaluru</x:v>
      </x:c>
      <x:c r="E2214" s="12" t="str">
        <x:v>International Tech Park (ITPB)</x:v>
      </x:c>
      <x:c r="F2214" s="12" t="str">
        <x:v>55 inch</x:v>
      </x:c>
      <x:c r="G2214" s="20" t="n">
        <x:v>1</x:v>
      </x:c>
      <x:c r="H2214" s="12" t="str">
        <x:v>Campus/portfolio roster; individual building occupancy unverified</x:v>
      </x:c>
      <x:c r="I2214" s="12" t="str">
        <x:v>Large enterprise</x:v>
      </x:c>
      <x:c r="J2214" s="12" t="str">
        <x:v>IT &amp; digital</x:v>
      </x:c>
      <x:c r="K2214" s="2" t="str">
        <x:v>PARTNER-M002</x:v>
      </x:c>
    </x:row>
    <x:row r="2215" ht="46" customHeight="1">
      <x:c r="A2215" s="2" t="str">
        <x:v>TEN-B9223DF94855</x:v>
      </x:c>
      <x:c r="B2215" s="12" t="str">
        <x:v>ECI Telecom</x:v>
      </x:c>
      <x:c r="C2215" s="12" t="str">
        <x:v>CORP-0425</x:v>
      </x:c>
      <x:c r="D2215" s="12" t="str">
        <x:v>Bengaluru</x:v>
      </x:c>
      <x:c r="E2215" s="12" t="str">
        <x:v>International Tech Park (ITPB)</x:v>
      </x:c>
      <x:c r="F2215" s="12" t="str">
        <x:v>55 inch</x:v>
      </x:c>
      <x:c r="G2215" s="20" t="n">
        <x:v>1</x:v>
      </x:c>
      <x:c r="H2215" s="12" t="str">
        <x:v>Campus/portfolio roster; individual building occupancy unverified</x:v>
      </x:c>
      <x:c r="I2215" s="12" t="str">
        <x:v>Mixed business audience</x:v>
      </x:c>
      <x:c r="J2215" s="12" t="str">
        <x:v>IT &amp; digital</x:v>
      </x:c>
      <x:c r="K2215" s="2" t="str">
        <x:v>PARTNER-M002</x:v>
      </x:c>
    </x:row>
    <x:row r="2216" ht="46" customHeight="1">
      <x:c r="A2216" s="2" t="str">
        <x:v>TEN-BDA4D17476FE</x:v>
      </x:c>
      <x:c r="B2216" s="12" t="str">
        <x:v>Cognisure</x:v>
      </x:c>
      <x:c r="C2216" s="12" t="str">
        <x:v>CORP-0425</x:v>
      </x:c>
      <x:c r="D2216" s="12" t="str">
        <x:v>Bengaluru</x:v>
      </x:c>
      <x:c r="E2216" s="12" t="str">
        <x:v>International Tech Park (ITPB)</x:v>
      </x:c>
      <x:c r="F2216" s="12" t="str">
        <x:v>55 inch</x:v>
      </x:c>
      <x:c r="G2216" s="20" t="n">
        <x:v>1</x:v>
      </x:c>
      <x:c r="H2216" s="12" t="str">
        <x:v>Campus/portfolio roster; individual building occupancy unverified</x:v>
      </x:c>
      <x:c r="I2216" s="12" t="str">
        <x:v>Small-scale prospects</x:v>
      </x:c>
      <x:c r="J2216" s="12" t="str">
        <x:v>IT &amp; digital</x:v>
      </x:c>
      <x:c r="K2216" s="2" t="str">
        <x:v>PARTNER-M002</x:v>
      </x:c>
    </x:row>
    <x:row r="2217" ht="46" customHeight="1">
      <x:c r="A2217" s="2" t="str">
        <x:v>TEN-BE234565AEEE</x:v>
      </x:c>
      <x:c r="B2217" s="12" t="str">
        <x:v>Incred Financial</x:v>
      </x:c>
      <x:c r="C2217" s="12" t="str">
        <x:v>CORP-0425</x:v>
      </x:c>
      <x:c r="D2217" s="12" t="str">
        <x:v>Bengaluru</x:v>
      </x:c>
      <x:c r="E2217" s="12" t="str">
        <x:v>International Tech Park (ITPB)</x:v>
      </x:c>
      <x:c r="F2217" s="12" t="str">
        <x:v>55 inch</x:v>
      </x:c>
      <x:c r="G2217" s="20" t="n">
        <x:v>1</x:v>
      </x:c>
      <x:c r="H2217" s="12" t="str">
        <x:v>Campus/portfolio roster; individual building occupancy unverified</x:v>
      </x:c>
      <x:c r="I2217" s="12" t="str">
        <x:v>Mixed business audience</x:v>
      </x:c>
      <x:c r="J2217" s="12" t="str">
        <x:v>Finance &amp; insurance</x:v>
      </x:c>
      <x:c r="K2217" s="2" t="str">
        <x:v>PARTNER-M002</x:v>
      </x:c>
    </x:row>
    <x:row r="2218" ht="46" customHeight="1">
      <x:c r="A2218" s="2" t="str">
        <x:v>TEN-BFE647B51B50</x:v>
      </x:c>
      <x:c r="B2218" s="12" t="str">
        <x:v>V4U</x:v>
      </x:c>
      <x:c r="C2218" s="12" t="str">
        <x:v>CORP-0425</x:v>
      </x:c>
      <x:c r="D2218" s="12" t="str">
        <x:v>Bengaluru</x:v>
      </x:c>
      <x:c r="E2218" s="12" t="str">
        <x:v>International Tech Park (ITPB)</x:v>
      </x:c>
      <x:c r="F2218" s="12" t="str">
        <x:v>55 inch</x:v>
      </x:c>
      <x:c r="G2218" s="20" t="n">
        <x:v>1</x:v>
      </x:c>
      <x:c r="H2218" s="12" t="str">
        <x:v>Campus/portfolio roster; individual building occupancy unverified</x:v>
      </x:c>
      <x:c r="I2218" s="12" t="str">
        <x:v>Mixed business audience</x:v>
      </x:c>
      <x:c r="J2218" s="12" t="str">
        <x:v>Unresolved</x:v>
      </x:c>
      <x:c r="K2218" s="2" t="str">
        <x:v>PARTNER-M002</x:v>
      </x:c>
    </x:row>
    <x:row r="2219" ht="46" customHeight="1">
      <x:c r="A2219" s="2" t="str">
        <x:v>TEN-C27FF66117D5</x:v>
      </x:c>
      <x:c r="B2219" s="12" t="str">
        <x:v>Index Lithigraphy</x:v>
      </x:c>
      <x:c r="C2219" s="12" t="str">
        <x:v>CORP-0425</x:v>
      </x:c>
      <x:c r="D2219" s="12" t="str">
        <x:v>Bengaluru</x:v>
      </x:c>
      <x:c r="E2219" s="12" t="str">
        <x:v>International Tech Park (ITPB)</x:v>
      </x:c>
      <x:c r="F2219" s="12" t="str">
        <x:v>55 inch</x:v>
      </x:c>
      <x:c r="G2219" s="20" t="n">
        <x:v>1</x:v>
      </x:c>
      <x:c r="H2219" s="12" t="str">
        <x:v>Campus/portfolio roster; individual building occupancy unverified</x:v>
      </x:c>
      <x:c r="I2219" s="12" t="str">
        <x:v>Medium-scale prospects</x:v>
      </x:c>
      <x:c r="J2219" s="12" t="str">
        <x:v>Engineering &amp; manufacturing</x:v>
      </x:c>
      <x:c r="K2219" s="2" t="str">
        <x:v>PARTNER-M002</x:v>
      </x:c>
    </x:row>
    <x:row r="2220" ht="46" customHeight="1">
      <x:c r="A2220" s="2" t="str">
        <x:v>TEN-CC2C556FA10A</x:v>
      </x:c>
      <x:c r="B2220" s="12" t="str">
        <x:v>Kingslake</x:v>
      </x:c>
      <x:c r="C2220" s="12" t="str">
        <x:v>CORP-0425</x:v>
      </x:c>
      <x:c r="D2220" s="12" t="str">
        <x:v>Bengaluru</x:v>
      </x:c>
      <x:c r="E2220" s="12" t="str">
        <x:v>International Tech Park (ITPB)</x:v>
      </x:c>
      <x:c r="F2220" s="12" t="str">
        <x:v>55 inch</x:v>
      </x:c>
      <x:c r="G2220" s="20" t="n">
        <x:v>1</x:v>
      </x:c>
      <x:c r="H2220" s="12" t="str">
        <x:v>Campus/portfolio roster; individual building occupancy unverified</x:v>
      </x:c>
      <x:c r="I2220" s="12" t="str">
        <x:v>Mixed business audience</x:v>
      </x:c>
      <x:c r="J2220" s="12" t="str">
        <x:v>Unresolved</x:v>
      </x:c>
      <x:c r="K2220" s="2" t="str">
        <x:v>PARTNER-M002</x:v>
      </x:c>
    </x:row>
    <x:row r="2221" ht="46" customHeight="1">
      <x:c r="A2221" s="2" t="str">
        <x:v>TEN-CDDAE2627D47</x:v>
      </x:c>
      <x:c r="B2221" s="12" t="str">
        <x:v>Institute Bio informatis</x:v>
      </x:c>
      <x:c r="C2221" s="12" t="str">
        <x:v>CORP-0425</x:v>
      </x:c>
      <x:c r="D2221" s="12" t="str">
        <x:v>Bengaluru</x:v>
      </x:c>
      <x:c r="E2221" s="12" t="str">
        <x:v>International Tech Park (ITPB)</x:v>
      </x:c>
      <x:c r="F2221" s="12" t="str">
        <x:v>55 inch</x:v>
      </x:c>
      <x:c r="G2221" s="20" t="n">
        <x:v>1</x:v>
      </x:c>
      <x:c r="H2221" s="12" t="str">
        <x:v>Campus/portfolio roster; individual building occupancy unverified</x:v>
      </x:c>
      <x:c r="I2221" s="12" t="str">
        <x:v>Small-scale prospects</x:v>
      </x:c>
      <x:c r="J2221" s="12" t="str">
        <x:v>Education</x:v>
      </x:c>
      <x:c r="K2221" s="2" t="str">
        <x:v>PARTNER-M002</x:v>
      </x:c>
    </x:row>
    <x:row r="2222" ht="46" customHeight="1">
      <x:c r="A2222" s="2" t="str">
        <x:v>TEN-D04CE1F77A17</x:v>
      </x:c>
      <x:c r="B2222" s="12" t="str">
        <x:v>Fiorano</x:v>
      </x:c>
      <x:c r="C2222" s="12" t="str">
        <x:v>CORP-0425</x:v>
      </x:c>
      <x:c r="D2222" s="12" t="str">
        <x:v>Bengaluru</x:v>
      </x:c>
      <x:c r="E2222" s="12" t="str">
        <x:v>International Tech Park (ITPB)</x:v>
      </x:c>
      <x:c r="F2222" s="12" t="str">
        <x:v>55 inch</x:v>
      </x:c>
      <x:c r="G2222" s="20" t="n">
        <x:v>1</x:v>
      </x:c>
      <x:c r="H2222" s="12" t="str">
        <x:v>Campus/portfolio roster; individual building occupancy unverified</x:v>
      </x:c>
      <x:c r="I2222" s="12" t="str">
        <x:v>Small-scale prospects</x:v>
      </x:c>
      <x:c r="J2222" s="12" t="str">
        <x:v>IT &amp; digital</x:v>
      </x:c>
      <x:c r="K2222" s="2" t="str">
        <x:v>PARTNER-M002</x:v>
      </x:c>
    </x:row>
    <x:row r="2223" ht="46" customHeight="1">
      <x:c r="A2223" s="2" t="str">
        <x:v>TEN-D1C7C99C6E2E</x:v>
      </x:c>
      <x:c r="B2223" s="12" t="str">
        <x:v>Tata</x:v>
      </x:c>
      <x:c r="C2223" s="12" t="str">
        <x:v>CORP-0425</x:v>
      </x:c>
      <x:c r="D2223" s="12" t="str">
        <x:v>Bengaluru</x:v>
      </x:c>
      <x:c r="E2223" s="12" t="str">
        <x:v>International Tech Park (ITPB)</x:v>
      </x:c>
      <x:c r="F2223" s="12" t="str">
        <x:v>55 inch</x:v>
      </x:c>
      <x:c r="G2223" s="20" t="n">
        <x:v>1</x:v>
      </x:c>
      <x:c r="H2223" s="12" t="str">
        <x:v>Campus/portfolio roster; individual building occupancy unverified</x:v>
      </x:c>
      <x:c r="I2223" s="12" t="str">
        <x:v>Large enterprise</x:v>
      </x:c>
      <x:c r="J2223" s="12" t="str">
        <x:v>Unresolved</x:v>
      </x:c>
      <x:c r="K2223" s="2" t="str">
        <x:v>PARTNER-M002</x:v>
      </x:c>
    </x:row>
    <x:row r="2224" ht="46" customHeight="1">
      <x:c r="A2224" s="2" t="str">
        <x:v>TEN-D2E269F83158</x:v>
      </x:c>
      <x:c r="B2224" s="12" t="str">
        <x:v>MBB Labs</x:v>
      </x:c>
      <x:c r="C2224" s="12" t="str">
        <x:v>CORP-0425</x:v>
      </x:c>
      <x:c r="D2224" s="12" t="str">
        <x:v>Bengaluru</x:v>
      </x:c>
      <x:c r="E2224" s="12" t="str">
        <x:v>International Tech Park (ITPB)</x:v>
      </x:c>
      <x:c r="F2224" s="12" t="str">
        <x:v>55 inch</x:v>
      </x:c>
      <x:c r="G2224" s="20" t="n">
        <x:v>1</x:v>
      </x:c>
      <x:c r="H2224" s="12" t="str">
        <x:v>Campus/portfolio roster; individual building occupancy unverified</x:v>
      </x:c>
      <x:c r="I2224" s="12" t="str">
        <x:v>Mixed business audience</x:v>
      </x:c>
      <x:c r="J2224" s="12" t="str">
        <x:v>Unresolved</x:v>
      </x:c>
      <x:c r="K2224" s="2" t="str">
        <x:v>PARTNER-M002</x:v>
      </x:c>
    </x:row>
    <x:row r="2225" ht="46" customHeight="1">
      <x:c r="A2225" s="2" t="str">
        <x:v>TEN-D72EAD2E3D44</x:v>
      </x:c>
      <x:c r="B2225" s="12" t="str">
        <x:v>Tech Mahindra</x:v>
      </x:c>
      <x:c r="C2225" s="12" t="str">
        <x:v>CORP-0425</x:v>
      </x:c>
      <x:c r="D2225" s="12" t="str">
        <x:v>Bengaluru</x:v>
      </x:c>
      <x:c r="E2225" s="12" t="str">
        <x:v>International Tech Park (ITPB)</x:v>
      </x:c>
      <x:c r="F2225" s="12" t="str">
        <x:v>55 inch</x:v>
      </x:c>
      <x:c r="G2225" s="20" t="n">
        <x:v>1</x:v>
      </x:c>
      <x:c r="H2225" s="12" t="str">
        <x:v>Campus/portfolio roster; individual building occupancy unverified</x:v>
      </x:c>
      <x:c r="I2225" s="12" t="str">
        <x:v>Large enterprise</x:v>
      </x:c>
      <x:c r="J2225" s="12" t="str">
        <x:v>IT &amp; digital</x:v>
      </x:c>
      <x:c r="K2225" s="2" t="str">
        <x:v>PARTNER-M002</x:v>
      </x:c>
    </x:row>
    <x:row r="2226" ht="46" customHeight="1">
      <x:c r="A2226" s="2" t="str">
        <x:v>TEN-D817CF92B660</x:v>
      </x:c>
      <x:c r="B2226" s="12" t="str">
        <x:v>Innoactive</x:v>
      </x:c>
      <x:c r="C2226" s="12" t="str">
        <x:v>CORP-0425</x:v>
      </x:c>
      <x:c r="D2226" s="12" t="str">
        <x:v>Bengaluru</x:v>
      </x:c>
      <x:c r="E2226" s="12" t="str">
        <x:v>International Tech Park (ITPB)</x:v>
      </x:c>
      <x:c r="F2226" s="12" t="str">
        <x:v>55 inch</x:v>
      </x:c>
      <x:c r="G2226" s="20" t="n">
        <x:v>1</x:v>
      </x:c>
      <x:c r="H2226" s="12" t="str">
        <x:v>Campus/portfolio roster; individual building occupancy unverified</x:v>
      </x:c>
      <x:c r="I2226" s="12" t="str">
        <x:v>Mixed business audience</x:v>
      </x:c>
      <x:c r="J2226" s="12" t="str">
        <x:v>Unresolved</x:v>
      </x:c>
      <x:c r="K2226" s="2" t="str">
        <x:v>PARTNER-M002</x:v>
      </x:c>
    </x:row>
    <x:row r="2227" ht="46" customHeight="1">
      <x:c r="A2227" s="2" t="str">
        <x:v>TEN-D820F7EB8DD2</x:v>
      </x:c>
      <x:c r="B2227" s="12" t="str">
        <x:v>Hireright</x:v>
      </x:c>
      <x:c r="C2227" s="12" t="str">
        <x:v>CORP-0425</x:v>
      </x:c>
      <x:c r="D2227" s="12" t="str">
        <x:v>Bengaluru</x:v>
      </x:c>
      <x:c r="E2227" s="12" t="str">
        <x:v>International Tech Park (ITPB)</x:v>
      </x:c>
      <x:c r="F2227" s="12" t="str">
        <x:v>55 inch</x:v>
      </x:c>
      <x:c r="G2227" s="20" t="n">
        <x:v>1</x:v>
      </x:c>
      <x:c r="H2227" s="12" t="str">
        <x:v>Campus/portfolio roster; individual building occupancy unverified</x:v>
      </x:c>
      <x:c r="I2227" s="12" t="str">
        <x:v>Mixed business audience</x:v>
      </x:c>
      <x:c r="J2227" s="12" t="str">
        <x:v>Professional services</x:v>
      </x:c>
      <x:c r="K2227" s="2" t="str">
        <x:v>PARTNER-M002</x:v>
      </x:c>
    </x:row>
    <x:row r="2228" ht="46" customHeight="1">
      <x:c r="A2228" s="2" t="str">
        <x:v>TEN-D886B2C883A6</x:v>
      </x:c>
      <x:c r="B2228" s="12" t="str">
        <x:v>Citi Bank</x:v>
      </x:c>
      <x:c r="C2228" s="12" t="str">
        <x:v>CORP-0425</x:v>
      </x:c>
      <x:c r="D2228" s="12" t="str">
        <x:v>Bengaluru</x:v>
      </x:c>
      <x:c r="E2228" s="12" t="str">
        <x:v>International Tech Park (ITPB)</x:v>
      </x:c>
      <x:c r="F2228" s="12" t="str">
        <x:v>55 inch</x:v>
      </x:c>
      <x:c r="G2228" s="20" t="n">
        <x:v>1</x:v>
      </x:c>
      <x:c r="H2228" s="12" t="str">
        <x:v>Campus/portfolio roster; individual building occupancy unverified</x:v>
      </x:c>
      <x:c r="I2228" s="12" t="str">
        <x:v>Large enterprise</x:v>
      </x:c>
      <x:c r="J2228" s="12" t="str">
        <x:v>Finance &amp; insurance</x:v>
      </x:c>
      <x:c r="K2228" s="2" t="str">
        <x:v>PARTNER-M002</x:v>
      </x:c>
    </x:row>
    <x:row r="2229" ht="46" customHeight="1">
      <x:c r="A2229" s="2" t="str">
        <x:v>TEN-DA7A5218187E</x:v>
      </x:c>
      <x:c r="B2229" s="12" t="str">
        <x:v>Certes</x:v>
      </x:c>
      <x:c r="C2229" s="12" t="str">
        <x:v>CORP-0425</x:v>
      </x:c>
      <x:c r="D2229" s="12" t="str">
        <x:v>Bengaluru</x:v>
      </x:c>
      <x:c r="E2229" s="12" t="str">
        <x:v>International Tech Park (ITPB)</x:v>
      </x:c>
      <x:c r="F2229" s="12" t="str">
        <x:v>55 inch</x:v>
      </x:c>
      <x:c r="G2229" s="20" t="n">
        <x:v>1</x:v>
      </x:c>
      <x:c r="H2229" s="12" t="str">
        <x:v>Campus/portfolio roster; individual building occupancy unverified</x:v>
      </x:c>
      <x:c r="I2229" s="12" t="str">
        <x:v>Mixed business audience</x:v>
      </x:c>
      <x:c r="J2229" s="12" t="str">
        <x:v>Unresolved</x:v>
      </x:c>
      <x:c r="K2229" s="2" t="str">
        <x:v>PARTNER-M002</x:v>
      </x:c>
    </x:row>
    <x:row r="2230" ht="46" customHeight="1">
      <x:c r="A2230" s="2" t="str">
        <x:v>TEN-E1F279A6A033</x:v>
      </x:c>
      <x:c r="B2230" s="12" t="str">
        <x:v>Applied Materials</x:v>
      </x:c>
      <x:c r="C2230" s="12" t="str">
        <x:v>CORP-0425</x:v>
      </x:c>
      <x:c r="D2230" s="12" t="str">
        <x:v>Bengaluru</x:v>
      </x:c>
      <x:c r="E2230" s="12" t="str">
        <x:v>International Tech Park (ITPB)</x:v>
      </x:c>
      <x:c r="F2230" s="12" t="str">
        <x:v>55 inch</x:v>
      </x:c>
      <x:c r="G2230" s="20" t="n">
        <x:v>1</x:v>
      </x:c>
      <x:c r="H2230" s="12" t="str">
        <x:v>Campus/portfolio roster; individual building occupancy unverified</x:v>
      </x:c>
      <x:c r="I2230" s="12" t="str">
        <x:v>Mixed business audience</x:v>
      </x:c>
      <x:c r="J2230" s="12" t="str">
        <x:v>Engineering &amp; manufacturing</x:v>
      </x:c>
      <x:c r="K2230" s="2" t="str">
        <x:v>PARTNER-M002</x:v>
      </x:c>
    </x:row>
    <x:row r="2231" ht="46" customHeight="1">
      <x:c r="A2231" s="2" t="str">
        <x:v>TEN-EA30894BD53C</x:v>
      </x:c>
      <x:c r="B2231" s="12" t="str">
        <x:v>Alcatel-Lucent</x:v>
      </x:c>
      <x:c r="C2231" s="12" t="str">
        <x:v>CORP-0425</x:v>
      </x:c>
      <x:c r="D2231" s="12" t="str">
        <x:v>Bengaluru</x:v>
      </x:c>
      <x:c r="E2231" s="12" t="str">
        <x:v>International Tech Park (ITPB)</x:v>
      </x:c>
      <x:c r="F2231" s="12" t="str">
        <x:v>55 inch</x:v>
      </x:c>
      <x:c r="G2231" s="20" t="n">
        <x:v>1</x:v>
      </x:c>
      <x:c r="H2231" s="12" t="str">
        <x:v>Campus/portfolio roster; individual building occupancy unverified</x:v>
      </x:c>
      <x:c r="I2231" s="12" t="str">
        <x:v>Mixed business audience</x:v>
      </x:c>
      <x:c r="J2231" s="12" t="str">
        <x:v>IT &amp; digital</x:v>
      </x:c>
      <x:c r="K2231" s="2" t="str">
        <x:v>PARTNER-M002</x:v>
      </x:c>
    </x:row>
    <x:row r="2232" ht="46" customHeight="1">
      <x:c r="A2232" s="2" t="str">
        <x:v>TEN-EB2197E38208</x:v>
      </x:c>
      <x:c r="B2232" s="12" t="str">
        <x:v>Sycomp Technologies</x:v>
      </x:c>
      <x:c r="C2232" s="12" t="str">
        <x:v>CORP-0425</x:v>
      </x:c>
      <x:c r="D2232" s="12" t="str">
        <x:v>Bengaluru</x:v>
      </x:c>
      <x:c r="E2232" s="12" t="str">
        <x:v>International Tech Park (ITPB)</x:v>
      </x:c>
      <x:c r="F2232" s="12" t="str">
        <x:v>55 inch</x:v>
      </x:c>
      <x:c r="G2232" s="20" t="n">
        <x:v>1</x:v>
      </x:c>
      <x:c r="H2232" s="12" t="str">
        <x:v>Campus/portfolio roster; individual building occupancy unverified</x:v>
      </x:c>
      <x:c r="I2232" s="12" t="str">
        <x:v>Small-scale prospects</x:v>
      </x:c>
      <x:c r="J2232" s="12" t="str">
        <x:v>IT &amp; digital</x:v>
      </x:c>
      <x:c r="K2232" s="2" t="str">
        <x:v>PARTNER-M002</x:v>
      </x:c>
    </x:row>
    <x:row r="2233" ht="46" customHeight="1">
      <x:c r="A2233" s="2" t="str">
        <x:v>TEN-F4FDCAC4C72C</x:v>
      </x:c>
      <x:c r="B2233" s="12" t="str">
        <x:v>Mindsprint</x:v>
      </x:c>
      <x:c r="C2233" s="12" t="str">
        <x:v>CORP-0425</x:v>
      </x:c>
      <x:c r="D2233" s="12" t="str">
        <x:v>Bengaluru</x:v>
      </x:c>
      <x:c r="E2233" s="12" t="str">
        <x:v>International Tech Park (ITPB)</x:v>
      </x:c>
      <x:c r="F2233" s="12" t="str">
        <x:v>55 inch</x:v>
      </x:c>
      <x:c r="G2233" s="20" t="n">
        <x:v>1</x:v>
      </x:c>
      <x:c r="H2233" s="12" t="str">
        <x:v>Campus/portfolio roster; individual building occupancy unverified</x:v>
      </x:c>
      <x:c r="I2233" s="12" t="str">
        <x:v>Mixed business audience</x:v>
      </x:c>
      <x:c r="J2233" s="12" t="str">
        <x:v>IT &amp; digital</x:v>
      </x:c>
      <x:c r="K2233" s="2" t="str">
        <x:v>PARTNER-M002</x:v>
      </x:c>
    </x:row>
    <x:row r="2234" ht="46" customHeight="1">
      <x:c r="A2234" s="2" t="str">
        <x:v>TEN-2120BB66819E</x:v>
      </x:c>
      <x:c r="B2234" s="12" t="str">
        <x:v>QuadGen Engineering Services</x:v>
      </x:c>
      <x:c r="C2234" s="12" t="str">
        <x:v>CORP-0515</x:v>
      </x:c>
      <x:c r="D2234" s="12" t="str">
        <x:v>Bengaluru</x:v>
      </x:c>
      <x:c r="E2234" s="12" t="str">
        <x:v>Prestige Blue Chip </x:v>
      </x:c>
      <x:c r="F2234" s="12" t="str">
        <x:v>55 inch</x:v>
      </x:c>
      <x:c r="G2234" s="20" t="n">
        <x:v>1</x:v>
      </x:c>
      <x:c r="H2234" s="12" t="str">
        <x:v>Campus/portfolio roster; individual building occupancy unverified</x:v>
      </x:c>
      <x:c r="I2234" s="12" t="str">
        <x:v>Medium-scale prospects</x:v>
      </x:c>
      <x:c r="J2234" s="12" t="str">
        <x:v>Engineering &amp; manufacturing</x:v>
      </x:c>
      <x:c r="K2234" s="2" t="str">
        <x:v>PARTNER-M097</x:v>
      </x:c>
    </x:row>
    <x:row r="2235" ht="46" customHeight="1">
      <x:c r="A2235" s="2" t="str">
        <x:v>TEN-2B4B9D0C8F84</x:v>
      </x:c>
      <x:c r="B2235" s="12" t="str">
        <x:v>NTT DATA FA Insurance Systems</x:v>
      </x:c>
      <x:c r="C2235" s="12" t="str">
        <x:v>CORP-0515</x:v>
      </x:c>
      <x:c r="D2235" s="12" t="str">
        <x:v>Bengaluru</x:v>
      </x:c>
      <x:c r="E2235" s="12" t="str">
        <x:v>Prestige Blue Chip </x:v>
      </x:c>
      <x:c r="F2235" s="12" t="str">
        <x:v>55 inch</x:v>
      </x:c>
      <x:c r="G2235" s="20" t="n">
        <x:v>1</x:v>
      </x:c>
      <x:c r="H2235" s="12" t="str">
        <x:v>Campus/portfolio roster; individual building occupancy unverified</x:v>
      </x:c>
      <x:c r="I2235" s="12" t="str">
        <x:v>Large enterprise</x:v>
      </x:c>
      <x:c r="J2235" s="12" t="str">
        <x:v>IT &amp; digital</x:v>
      </x:c>
      <x:c r="K2235" s="2" t="str">
        <x:v>PARTNER-M097</x:v>
      </x:c>
    </x:row>
    <x:row r="2236" ht="46" customHeight="1">
      <x:c r="A2236" s="2" t="str">
        <x:v>TEN-2E92046B6F07</x:v>
      </x:c>
      <x:c r="B2236" s="12" t="str">
        <x:v>Synopsys</x:v>
      </x:c>
      <x:c r="C2236" s="12" t="str">
        <x:v>CORP-0515</x:v>
      </x:c>
      <x:c r="D2236" s="12" t="str">
        <x:v>Bengaluru</x:v>
      </x:c>
      <x:c r="E2236" s="12" t="str">
        <x:v>Prestige Blue Chip </x:v>
      </x:c>
      <x:c r="F2236" s="12" t="str">
        <x:v>55 inch</x:v>
      </x:c>
      <x:c r="G2236" s="20" t="n">
        <x:v>1</x:v>
      </x:c>
      <x:c r="H2236" s="12" t="str">
        <x:v>Campus/portfolio roster; individual building occupancy unverified</x:v>
      </x:c>
      <x:c r="I2236" s="12" t="str">
        <x:v>Mixed business audience</x:v>
      </x:c>
      <x:c r="J2236" s="12" t="str">
        <x:v>Engineering &amp; manufacturing</x:v>
      </x:c>
      <x:c r="K2236" s="2" t="str">
        <x:v>PARTNER-M097</x:v>
      </x:c>
    </x:row>
    <x:row r="2237" ht="46" customHeight="1">
      <x:c r="A2237" s="2" t="str">
        <x:v>TEN-805ACF45AED6</x:v>
      </x:c>
      <x:c r="B2237" s="12" t="str">
        <x:v>Mpowered Health Infotech</x:v>
      </x:c>
      <x:c r="C2237" s="12" t="str">
        <x:v>CORP-0515</x:v>
      </x:c>
      <x:c r="D2237" s="12" t="str">
        <x:v>Bengaluru</x:v>
      </x:c>
      <x:c r="E2237" s="12" t="str">
        <x:v>Prestige Blue Chip </x:v>
      </x:c>
      <x:c r="F2237" s="12" t="str">
        <x:v>55 inch</x:v>
      </x:c>
      <x:c r="G2237" s="20" t="n">
        <x:v>1</x:v>
      </x:c>
      <x:c r="H2237" s="12" t="str">
        <x:v>Campus/portfolio roster; individual building occupancy unverified</x:v>
      </x:c>
      <x:c r="I2237" s="12" t="str">
        <x:v>Small-scale prospects</x:v>
      </x:c>
      <x:c r="J2237" s="12" t="str">
        <x:v>IT &amp; digital</x:v>
      </x:c>
      <x:c r="K2237" s="2" t="str">
        <x:v>PARTNER-M097</x:v>
      </x:c>
    </x:row>
    <x:row r="2238" ht="46" customHeight="1">
      <x:c r="A2238" s="2" t="str">
        <x:v>TEN-B6783969BC07</x:v>
      </x:c>
      <x:c r="B2238" s="12" t="str">
        <x:v>Forcepoint</x:v>
      </x:c>
      <x:c r="C2238" s="12" t="str">
        <x:v>CORP-0515</x:v>
      </x:c>
      <x:c r="D2238" s="12" t="str">
        <x:v>Bengaluru</x:v>
      </x:c>
      <x:c r="E2238" s="12" t="str">
        <x:v>Prestige Blue Chip </x:v>
      </x:c>
      <x:c r="F2238" s="12" t="str">
        <x:v>55 inch</x:v>
      </x:c>
      <x:c r="G2238" s="20" t="n">
        <x:v>1</x:v>
      </x:c>
      <x:c r="H2238" s="12" t="str">
        <x:v>Campus/portfolio roster; individual building occupancy unverified</x:v>
      </x:c>
      <x:c r="I2238" s="12" t="str">
        <x:v>Mixed business audience</x:v>
      </x:c>
      <x:c r="J2238" s="12" t="str">
        <x:v>IT &amp; digital</x:v>
      </x:c>
      <x:c r="K2238" s="2" t="str">
        <x:v>PARTNER-M097</x:v>
      </x:c>
    </x:row>
    <x:row r="2239" ht="46" customHeight="1">
      <x:c r="A2239" s="2" t="str">
        <x:v>TEN-CC5491F71AF2</x:v>
      </x:c>
      <x:c r="B2239" s="12" t="str">
        <x:v>Marlabs Software</x:v>
      </x:c>
      <x:c r="C2239" s="12" t="str">
        <x:v>CORP-0515</x:v>
      </x:c>
      <x:c r="D2239" s="12" t="str">
        <x:v>Bengaluru</x:v>
      </x:c>
      <x:c r="E2239" s="12" t="str">
        <x:v>Prestige Blue Chip </x:v>
      </x:c>
      <x:c r="F2239" s="12" t="str">
        <x:v>55 inch</x:v>
      </x:c>
      <x:c r="G2239" s="20" t="n">
        <x:v>1</x:v>
      </x:c>
      <x:c r="H2239" s="12" t="str">
        <x:v>Campus/portfolio roster; individual building occupancy unverified</x:v>
      </x:c>
      <x:c r="I2239" s="12" t="str">
        <x:v>Mixed business audience</x:v>
      </x:c>
      <x:c r="J2239" s="12" t="str">
        <x:v>IT &amp; digital</x:v>
      </x:c>
      <x:c r="K2239" s="2" t="str">
        <x:v>PARTNER-M097</x:v>
      </x:c>
    </x:row>
    <x:row r="2240" ht="46" customHeight="1">
      <x:c r="A2240" s="2" t="str">
        <x:v>TEN-E2C9313C145A</x:v>
      </x:c>
      <x:c r="B2240" s="12" t="str">
        <x:v>Collabera Technologies</x:v>
      </x:c>
      <x:c r="C2240" s="12" t="str">
        <x:v>CORP-0515</x:v>
      </x:c>
      <x:c r="D2240" s="12" t="str">
        <x:v>Bengaluru</x:v>
      </x:c>
      <x:c r="E2240" s="12" t="str">
        <x:v>Prestige Blue Chip </x:v>
      </x:c>
      <x:c r="F2240" s="12" t="str">
        <x:v>55 inch</x:v>
      </x:c>
      <x:c r="G2240" s="20" t="n">
        <x:v>1</x:v>
      </x:c>
      <x:c r="H2240" s="12" t="str">
        <x:v>Campus/portfolio roster; individual building occupancy unverified</x:v>
      </x:c>
      <x:c r="I2240" s="12" t="str">
        <x:v>Mixed business audience</x:v>
      </x:c>
      <x:c r="J2240" s="12" t="str">
        <x:v>Professional services</x:v>
      </x:c>
      <x:c r="K2240" s="2" t="str">
        <x:v>PARTNER-M097</x:v>
      </x:c>
    </x:row>
    <x:row r="2241" ht="46" customHeight="1">
      <x:c r="A2241" s="2" t="str">
        <x:v>TEN-2120BB66819E</x:v>
      </x:c>
      <x:c r="B2241" s="12" t="str">
        <x:v>QuadGen Engineering Services</x:v>
      </x:c>
      <x:c r="C2241" s="12" t="str">
        <x:v>CORP-0516</x:v>
      </x:c>
      <x:c r="D2241" s="12" t="str">
        <x:v>Bengaluru</x:v>
      </x:c>
      <x:c r="E2241" s="12" t="str">
        <x:v>Prestige Blue Chip </x:v>
      </x:c>
      <x:c r="F2241" s="12" t="str">
        <x:v>55 inch</x:v>
      </x:c>
      <x:c r="G2241" s="20" t="n">
        <x:v>1</x:v>
      </x:c>
      <x:c r="H2241" s="12" t="str">
        <x:v>Campus/portfolio roster; individual building occupancy unverified</x:v>
      </x:c>
      <x:c r="I2241" s="12" t="str">
        <x:v>Medium-scale prospects</x:v>
      </x:c>
      <x:c r="J2241" s="12" t="str">
        <x:v>Engineering &amp; manufacturing</x:v>
      </x:c>
      <x:c r="K2241" s="2" t="str">
        <x:v>PARTNER-M097</x:v>
      </x:c>
    </x:row>
    <x:row r="2242" ht="46" customHeight="1">
      <x:c r="A2242" s="2" t="str">
        <x:v>TEN-2B4B9D0C8F84</x:v>
      </x:c>
      <x:c r="B2242" s="12" t="str">
        <x:v>NTT DATA FA Insurance Systems</x:v>
      </x:c>
      <x:c r="C2242" s="12" t="str">
        <x:v>CORP-0516</x:v>
      </x:c>
      <x:c r="D2242" s="12" t="str">
        <x:v>Bengaluru</x:v>
      </x:c>
      <x:c r="E2242" s="12" t="str">
        <x:v>Prestige Blue Chip </x:v>
      </x:c>
      <x:c r="F2242" s="12" t="str">
        <x:v>55 inch</x:v>
      </x:c>
      <x:c r="G2242" s="20" t="n">
        <x:v>1</x:v>
      </x:c>
      <x:c r="H2242" s="12" t="str">
        <x:v>Campus/portfolio roster; individual building occupancy unverified</x:v>
      </x:c>
      <x:c r="I2242" s="12" t="str">
        <x:v>Large enterprise</x:v>
      </x:c>
      <x:c r="J2242" s="12" t="str">
        <x:v>IT &amp; digital</x:v>
      </x:c>
      <x:c r="K2242" s="2" t="str">
        <x:v>PARTNER-M097</x:v>
      </x:c>
    </x:row>
    <x:row r="2243" ht="46" customHeight="1">
      <x:c r="A2243" s="2" t="str">
        <x:v>TEN-2E92046B6F07</x:v>
      </x:c>
      <x:c r="B2243" s="12" t="str">
        <x:v>Synopsys</x:v>
      </x:c>
      <x:c r="C2243" s="12" t="str">
        <x:v>CORP-0516</x:v>
      </x:c>
      <x:c r="D2243" s="12" t="str">
        <x:v>Bengaluru</x:v>
      </x:c>
      <x:c r="E2243" s="12" t="str">
        <x:v>Prestige Blue Chip </x:v>
      </x:c>
      <x:c r="F2243" s="12" t="str">
        <x:v>55 inch</x:v>
      </x:c>
      <x:c r="G2243" s="20" t="n">
        <x:v>1</x:v>
      </x:c>
      <x:c r="H2243" s="12" t="str">
        <x:v>Campus/portfolio roster; individual building occupancy unverified</x:v>
      </x:c>
      <x:c r="I2243" s="12" t="str">
        <x:v>Mixed business audience</x:v>
      </x:c>
      <x:c r="J2243" s="12" t="str">
        <x:v>Engineering &amp; manufacturing</x:v>
      </x:c>
      <x:c r="K2243" s="2" t="str">
        <x:v>PARTNER-M097</x:v>
      </x:c>
    </x:row>
    <x:row r="2244" ht="46" customHeight="1">
      <x:c r="A2244" s="2" t="str">
        <x:v>TEN-805ACF45AED6</x:v>
      </x:c>
      <x:c r="B2244" s="12" t="str">
        <x:v>Mpowered Health Infotech</x:v>
      </x:c>
      <x:c r="C2244" s="12" t="str">
        <x:v>CORP-0516</x:v>
      </x:c>
      <x:c r="D2244" s="12" t="str">
        <x:v>Bengaluru</x:v>
      </x:c>
      <x:c r="E2244" s="12" t="str">
        <x:v>Prestige Blue Chip </x:v>
      </x:c>
      <x:c r="F2244" s="12" t="str">
        <x:v>55 inch</x:v>
      </x:c>
      <x:c r="G2244" s="20" t="n">
        <x:v>1</x:v>
      </x:c>
      <x:c r="H2244" s="12" t="str">
        <x:v>Campus/portfolio roster; individual building occupancy unverified</x:v>
      </x:c>
      <x:c r="I2244" s="12" t="str">
        <x:v>Small-scale prospects</x:v>
      </x:c>
      <x:c r="J2244" s="12" t="str">
        <x:v>IT &amp; digital</x:v>
      </x:c>
      <x:c r="K2244" s="2" t="str">
        <x:v>PARTNER-M097</x:v>
      </x:c>
    </x:row>
    <x:row r="2245" ht="46" customHeight="1">
      <x:c r="A2245" s="2" t="str">
        <x:v>TEN-B6783969BC07</x:v>
      </x:c>
      <x:c r="B2245" s="12" t="str">
        <x:v>Forcepoint</x:v>
      </x:c>
      <x:c r="C2245" s="12" t="str">
        <x:v>CORP-0516</x:v>
      </x:c>
      <x:c r="D2245" s="12" t="str">
        <x:v>Bengaluru</x:v>
      </x:c>
      <x:c r="E2245" s="12" t="str">
        <x:v>Prestige Blue Chip </x:v>
      </x:c>
      <x:c r="F2245" s="12" t="str">
        <x:v>55 inch</x:v>
      </x:c>
      <x:c r="G2245" s="20" t="n">
        <x:v>1</x:v>
      </x:c>
      <x:c r="H2245" s="12" t="str">
        <x:v>Campus/portfolio roster; individual building occupancy unverified</x:v>
      </x:c>
      <x:c r="I2245" s="12" t="str">
        <x:v>Mixed business audience</x:v>
      </x:c>
      <x:c r="J2245" s="12" t="str">
        <x:v>IT &amp; digital</x:v>
      </x:c>
      <x:c r="K2245" s="2" t="str">
        <x:v>PARTNER-M097</x:v>
      </x:c>
    </x:row>
    <x:row r="2246" ht="46" customHeight="1">
      <x:c r="A2246" s="2" t="str">
        <x:v>TEN-CC5491F71AF2</x:v>
      </x:c>
      <x:c r="B2246" s="12" t="str">
        <x:v>Marlabs Software</x:v>
      </x:c>
      <x:c r="C2246" s="12" t="str">
        <x:v>CORP-0516</x:v>
      </x:c>
      <x:c r="D2246" s="12" t="str">
        <x:v>Bengaluru</x:v>
      </x:c>
      <x:c r="E2246" s="12" t="str">
        <x:v>Prestige Blue Chip </x:v>
      </x:c>
      <x:c r="F2246" s="12" t="str">
        <x:v>55 inch</x:v>
      </x:c>
      <x:c r="G2246" s="20" t="n">
        <x:v>1</x:v>
      </x:c>
      <x:c r="H2246" s="12" t="str">
        <x:v>Campus/portfolio roster; individual building occupancy unverified</x:v>
      </x:c>
      <x:c r="I2246" s="12" t="str">
        <x:v>Mixed business audience</x:v>
      </x:c>
      <x:c r="J2246" s="12" t="str">
        <x:v>IT &amp; digital</x:v>
      </x:c>
      <x:c r="K2246" s="2" t="str">
        <x:v>PARTNER-M097</x:v>
      </x:c>
    </x:row>
    <x:row r="2247" ht="46" customHeight="1">
      <x:c r="A2247" s="2" t="str">
        <x:v>TEN-E2C9313C145A</x:v>
      </x:c>
      <x:c r="B2247" s="12" t="str">
        <x:v>Collabera Technologies</x:v>
      </x:c>
      <x:c r="C2247" s="12" t="str">
        <x:v>CORP-0516</x:v>
      </x:c>
      <x:c r="D2247" s="12" t="str">
        <x:v>Bengaluru</x:v>
      </x:c>
      <x:c r="E2247" s="12" t="str">
        <x:v>Prestige Blue Chip </x:v>
      </x:c>
      <x:c r="F2247" s="12" t="str">
        <x:v>55 inch</x:v>
      </x:c>
      <x:c r="G2247" s="20" t="n">
        <x:v>1</x:v>
      </x:c>
      <x:c r="H2247" s="12" t="str">
        <x:v>Campus/portfolio roster; individual building occupancy unverified</x:v>
      </x:c>
      <x:c r="I2247" s="12" t="str">
        <x:v>Mixed business audience</x:v>
      </x:c>
      <x:c r="J2247" s="12" t="str">
        <x:v>Professional services</x:v>
      </x:c>
      <x:c r="K2247" s="2" t="str">
        <x:v>PARTNER-M097</x:v>
      </x:c>
    </x:row>
    <x:row r="2248" ht="46" customHeight="1">
      <x:c r="A2248" s="2" t="str">
        <x:v>TEN-2120BB66819E</x:v>
      </x:c>
      <x:c r="B2248" s="12" t="str">
        <x:v>QuadGen Engineering Services</x:v>
      </x:c>
      <x:c r="C2248" s="12" t="str">
        <x:v>CORP-0517</x:v>
      </x:c>
      <x:c r="D2248" s="12" t="str">
        <x:v>Bengaluru</x:v>
      </x:c>
      <x:c r="E2248" s="12" t="str">
        <x:v>Prestige Blue Chip </x:v>
      </x:c>
      <x:c r="F2248" s="12" t="str">
        <x:v>55 inch</x:v>
      </x:c>
      <x:c r="G2248" s="20" t="n">
        <x:v>1</x:v>
      </x:c>
      <x:c r="H2248" s="12" t="str">
        <x:v>Campus/portfolio roster; individual building occupancy unverified</x:v>
      </x:c>
      <x:c r="I2248" s="12" t="str">
        <x:v>Medium-scale prospects</x:v>
      </x:c>
      <x:c r="J2248" s="12" t="str">
        <x:v>Engineering &amp; manufacturing</x:v>
      </x:c>
      <x:c r="K2248" s="2" t="str">
        <x:v>PARTNER-M097</x:v>
      </x:c>
    </x:row>
    <x:row r="2249" ht="46" customHeight="1">
      <x:c r="A2249" s="2" t="str">
        <x:v>TEN-2B4B9D0C8F84</x:v>
      </x:c>
      <x:c r="B2249" s="12" t="str">
        <x:v>NTT DATA FA Insurance Systems</x:v>
      </x:c>
      <x:c r="C2249" s="12" t="str">
        <x:v>CORP-0517</x:v>
      </x:c>
      <x:c r="D2249" s="12" t="str">
        <x:v>Bengaluru</x:v>
      </x:c>
      <x:c r="E2249" s="12" t="str">
        <x:v>Prestige Blue Chip </x:v>
      </x:c>
      <x:c r="F2249" s="12" t="str">
        <x:v>55 inch</x:v>
      </x:c>
      <x:c r="G2249" s="20" t="n">
        <x:v>1</x:v>
      </x:c>
      <x:c r="H2249" s="12" t="str">
        <x:v>Campus/portfolio roster; individual building occupancy unverified</x:v>
      </x:c>
      <x:c r="I2249" s="12" t="str">
        <x:v>Large enterprise</x:v>
      </x:c>
      <x:c r="J2249" s="12" t="str">
        <x:v>IT &amp; digital</x:v>
      </x:c>
      <x:c r="K2249" s="2" t="str">
        <x:v>PARTNER-M097</x:v>
      </x:c>
    </x:row>
    <x:row r="2250" ht="46" customHeight="1">
      <x:c r="A2250" s="2" t="str">
        <x:v>TEN-2E92046B6F07</x:v>
      </x:c>
      <x:c r="B2250" s="12" t="str">
        <x:v>Synopsys</x:v>
      </x:c>
      <x:c r="C2250" s="12" t="str">
        <x:v>CORP-0517</x:v>
      </x:c>
      <x:c r="D2250" s="12" t="str">
        <x:v>Bengaluru</x:v>
      </x:c>
      <x:c r="E2250" s="12" t="str">
        <x:v>Prestige Blue Chip </x:v>
      </x:c>
      <x:c r="F2250" s="12" t="str">
        <x:v>55 inch</x:v>
      </x:c>
      <x:c r="G2250" s="20" t="n">
        <x:v>1</x:v>
      </x:c>
      <x:c r="H2250" s="12" t="str">
        <x:v>Campus/portfolio roster; individual building occupancy unverified</x:v>
      </x:c>
      <x:c r="I2250" s="12" t="str">
        <x:v>Mixed business audience</x:v>
      </x:c>
      <x:c r="J2250" s="12" t="str">
        <x:v>Engineering &amp; manufacturing</x:v>
      </x:c>
      <x:c r="K2250" s="2" t="str">
        <x:v>PARTNER-M097</x:v>
      </x:c>
    </x:row>
    <x:row r="2251" ht="46" customHeight="1">
      <x:c r="A2251" s="2" t="str">
        <x:v>TEN-805ACF45AED6</x:v>
      </x:c>
      <x:c r="B2251" s="12" t="str">
        <x:v>Mpowered Health Infotech</x:v>
      </x:c>
      <x:c r="C2251" s="12" t="str">
        <x:v>CORP-0517</x:v>
      </x:c>
      <x:c r="D2251" s="12" t="str">
        <x:v>Bengaluru</x:v>
      </x:c>
      <x:c r="E2251" s="12" t="str">
        <x:v>Prestige Blue Chip </x:v>
      </x:c>
      <x:c r="F2251" s="12" t="str">
        <x:v>55 inch</x:v>
      </x:c>
      <x:c r="G2251" s="20" t="n">
        <x:v>1</x:v>
      </x:c>
      <x:c r="H2251" s="12" t="str">
        <x:v>Campus/portfolio roster; individual building occupancy unverified</x:v>
      </x:c>
      <x:c r="I2251" s="12" t="str">
        <x:v>Small-scale prospects</x:v>
      </x:c>
      <x:c r="J2251" s="12" t="str">
        <x:v>IT &amp; digital</x:v>
      </x:c>
      <x:c r="K2251" s="2" t="str">
        <x:v>PARTNER-M097</x:v>
      </x:c>
    </x:row>
    <x:row r="2252" ht="46" customHeight="1">
      <x:c r="A2252" s="2" t="str">
        <x:v>TEN-B6783969BC07</x:v>
      </x:c>
      <x:c r="B2252" s="12" t="str">
        <x:v>Forcepoint</x:v>
      </x:c>
      <x:c r="C2252" s="12" t="str">
        <x:v>CORP-0517</x:v>
      </x:c>
      <x:c r="D2252" s="12" t="str">
        <x:v>Bengaluru</x:v>
      </x:c>
      <x:c r="E2252" s="12" t="str">
        <x:v>Prestige Blue Chip </x:v>
      </x:c>
      <x:c r="F2252" s="12" t="str">
        <x:v>55 inch</x:v>
      </x:c>
      <x:c r="G2252" s="20" t="n">
        <x:v>1</x:v>
      </x:c>
      <x:c r="H2252" s="12" t="str">
        <x:v>Campus/portfolio roster; individual building occupancy unverified</x:v>
      </x:c>
      <x:c r="I2252" s="12" t="str">
        <x:v>Mixed business audience</x:v>
      </x:c>
      <x:c r="J2252" s="12" t="str">
        <x:v>IT &amp; digital</x:v>
      </x:c>
      <x:c r="K2252" s="2" t="str">
        <x:v>PARTNER-M097</x:v>
      </x:c>
    </x:row>
    <x:row r="2253" ht="46" customHeight="1">
      <x:c r="A2253" s="2" t="str">
        <x:v>TEN-CC5491F71AF2</x:v>
      </x:c>
      <x:c r="B2253" s="12" t="str">
        <x:v>Marlabs Software</x:v>
      </x:c>
      <x:c r="C2253" s="12" t="str">
        <x:v>CORP-0517</x:v>
      </x:c>
      <x:c r="D2253" s="12" t="str">
        <x:v>Bengaluru</x:v>
      </x:c>
      <x:c r="E2253" s="12" t="str">
        <x:v>Prestige Blue Chip </x:v>
      </x:c>
      <x:c r="F2253" s="12" t="str">
        <x:v>55 inch</x:v>
      </x:c>
      <x:c r="G2253" s="20" t="n">
        <x:v>1</x:v>
      </x:c>
      <x:c r="H2253" s="12" t="str">
        <x:v>Campus/portfolio roster; individual building occupancy unverified</x:v>
      </x:c>
      <x:c r="I2253" s="12" t="str">
        <x:v>Mixed business audience</x:v>
      </x:c>
      <x:c r="J2253" s="12" t="str">
        <x:v>IT &amp; digital</x:v>
      </x:c>
      <x:c r="K2253" s="2" t="str">
        <x:v>PARTNER-M097</x:v>
      </x:c>
    </x:row>
    <x:row r="2254" ht="46" customHeight="1">
      <x:c r="A2254" s="2" t="str">
        <x:v>TEN-E2C9313C145A</x:v>
      </x:c>
      <x:c r="B2254" s="12" t="str">
        <x:v>Collabera Technologies</x:v>
      </x:c>
      <x:c r="C2254" s="12" t="str">
        <x:v>CORP-0517</x:v>
      </x:c>
      <x:c r="D2254" s="12" t="str">
        <x:v>Bengaluru</x:v>
      </x:c>
      <x:c r="E2254" s="12" t="str">
        <x:v>Prestige Blue Chip </x:v>
      </x:c>
      <x:c r="F2254" s="12" t="str">
        <x:v>55 inch</x:v>
      </x:c>
      <x:c r="G2254" s="20" t="n">
        <x:v>1</x:v>
      </x:c>
      <x:c r="H2254" s="12" t="str">
        <x:v>Campus/portfolio roster; individual building occupancy unverified</x:v>
      </x:c>
      <x:c r="I2254" s="12" t="str">
        <x:v>Mixed business audience</x:v>
      </x:c>
      <x:c r="J2254" s="12" t="str">
        <x:v>Professional services</x:v>
      </x:c>
      <x:c r="K2254" s="2" t="str">
        <x:v>PARTNER-M097</x:v>
      </x:c>
    </x:row>
    <x:row r="2255" ht="46" customHeight="1">
      <x:c r="A2255" s="2" t="str">
        <x:v>TEN-05C3EA2B409C</x:v>
      </x:c>
      <x:c r="B2255" s="12" t="str">
        <x:v>IndusViva HealthSciences Pvt. Ltd</x:v>
      </x:c>
      <x:c r="C2255" s="12" t="str">
        <x:v>CORP-0518</x:v>
      </x:c>
      <x:c r="D2255" s="12" t="str">
        <x:v>Bengaluru</x:v>
      </x:c>
      <x:c r="E2255" s="12" t="str">
        <x:v>Prestige Obelisk</x:v>
      </x:c>
      <x:c r="F2255" s="12" t="str">
        <x:v>55 inch</x:v>
      </x:c>
      <x:c r="G2255" s="20" t="n">
        <x:v>1</x:v>
      </x:c>
      <x:c r="H2255" s="12" t="str">
        <x:v>Campus/portfolio roster; individual building occupancy unverified</x:v>
      </x:c>
      <x:c r="I2255" s="12" t="str">
        <x:v>Small-scale prospects</x:v>
      </x:c>
      <x:c r="J2255" s="12" t="str">
        <x:v>Healthcare &amp; life sciences</x:v>
      </x:c>
      <x:c r="K2255" s="2" t="str">
        <x:v>PARTNER-M100</x:v>
      </x:c>
    </x:row>
    <x:row r="2256" ht="46" customHeight="1">
      <x:c r="A2256" s="2" t="str">
        <x:v>TEN-13258F6CB706</x:v>
      </x:c>
      <x:c r="B2256" s="12" t="str">
        <x:v>Urban Vault</x:v>
      </x:c>
      <x:c r="C2256" s="12" t="str">
        <x:v>CORP-0518</x:v>
      </x:c>
      <x:c r="D2256" s="12" t="str">
        <x:v>Bengaluru</x:v>
      </x:c>
      <x:c r="E2256" s="12" t="str">
        <x:v>Prestige Obelisk</x:v>
      </x:c>
      <x:c r="F2256" s="12" t="str">
        <x:v>55 inch</x:v>
      </x:c>
      <x:c r="G2256" s="20" t="n">
        <x:v>1</x:v>
      </x:c>
      <x:c r="H2256" s="12" t="str">
        <x:v>Campus/portfolio roster; individual building occupancy unverified</x:v>
      </x:c>
      <x:c r="I2256" s="12" t="str">
        <x:v>Mixed business audience</x:v>
      </x:c>
      <x:c r="J2256" s="12" t="str">
        <x:v>Workspace &amp; property operations</x:v>
      </x:c>
      <x:c r="K2256" s="2" t="str">
        <x:v>PARTNER-M100</x:v>
      </x:c>
    </x:row>
    <x:row r="2257" ht="46" customHeight="1">
      <x:c r="A2257" s="2" t="str">
        <x:v>TEN-1C593F87A18C</x:v>
      </x:c>
      <x:c r="B2257" s="12" t="str">
        <x:v>Yes Bank</x:v>
      </x:c>
      <x:c r="C2257" s="12" t="str">
        <x:v>CORP-0518</x:v>
      </x:c>
      <x:c r="D2257" s="12" t="str">
        <x:v>Bengaluru</x:v>
      </x:c>
      <x:c r="E2257" s="12" t="str">
        <x:v>Prestige Obelisk</x:v>
      </x:c>
      <x:c r="F2257" s="12" t="str">
        <x:v>55 inch</x:v>
      </x:c>
      <x:c r="G2257" s="20" t="n">
        <x:v>1</x:v>
      </x:c>
      <x:c r="H2257" s="12" t="str">
        <x:v>Campus/portfolio roster; individual building occupancy unverified</x:v>
      </x:c>
      <x:c r="I2257" s="12" t="str">
        <x:v>Large enterprise</x:v>
      </x:c>
      <x:c r="J2257" s="12" t="str">
        <x:v>Finance &amp; insurance</x:v>
      </x:c>
      <x:c r="K2257" s="2" t="str">
        <x:v>PARTNER-M100</x:v>
      </x:c>
    </x:row>
    <x:row r="2258" ht="46" customHeight="1">
      <x:c r="A2258" s="2" t="str">
        <x:v>TEN-2E1A93A8B010</x:v>
      </x:c>
      <x:c r="B2258" s="12" t="str">
        <x:v>Borqs Software Solutions</x:v>
      </x:c>
      <x:c r="C2258" s="12" t="str">
        <x:v>CORP-0518</x:v>
      </x:c>
      <x:c r="D2258" s="12" t="str">
        <x:v>Bengaluru</x:v>
      </x:c>
      <x:c r="E2258" s="12" t="str">
        <x:v>Prestige Obelisk</x:v>
      </x:c>
      <x:c r="F2258" s="12" t="str">
        <x:v>55 inch</x:v>
      </x:c>
      <x:c r="G2258" s="20" t="n">
        <x:v>1</x:v>
      </x:c>
      <x:c r="H2258" s="12" t="str">
        <x:v>Campus/portfolio roster; individual building occupancy unverified</x:v>
      </x:c>
      <x:c r="I2258" s="12" t="str">
        <x:v>Small-scale prospects</x:v>
      </x:c>
      <x:c r="J2258" s="12" t="str">
        <x:v>IT &amp; digital</x:v>
      </x:c>
      <x:c r="K2258" s="2" t="str">
        <x:v>PARTNER-M100</x:v>
      </x:c>
    </x:row>
    <x:row r="2259" ht="46" customHeight="1">
      <x:c r="A2259" s="2" t="str">
        <x:v>TEN-47445949BEEF</x:v>
      </x:c>
      <x:c r="B2259" s="12" t="str">
        <x:v>Yamazaki Mazak India Pvt. Ltd</x:v>
      </x:c>
      <x:c r="C2259" s="12" t="str">
        <x:v>CORP-0518</x:v>
      </x:c>
      <x:c r="D2259" s="12" t="str">
        <x:v>Bengaluru</x:v>
      </x:c>
      <x:c r="E2259" s="12" t="str">
        <x:v>Prestige Obelisk</x:v>
      </x:c>
      <x:c r="F2259" s="12" t="str">
        <x:v>55 inch</x:v>
      </x:c>
      <x:c r="G2259" s="20" t="n">
        <x:v>1</x:v>
      </x:c>
      <x:c r="H2259" s="12" t="str">
        <x:v>Campus/portfolio roster; individual building occupancy unverified</x:v>
      </x:c>
      <x:c r="I2259" s="12" t="str">
        <x:v>Mixed business audience</x:v>
      </x:c>
      <x:c r="J2259" s="12" t="str">
        <x:v>Engineering &amp; manufacturing</x:v>
      </x:c>
      <x:c r="K2259" s="2" t="str">
        <x:v>PARTNER-M100</x:v>
      </x:c>
    </x:row>
    <x:row r="2260" ht="46" customHeight="1">
      <x:c r="A2260" s="2" t="str">
        <x:v>TEN-6CF5FB813A56</x:v>
      </x:c>
      <x:c r="B2260" s="12" t="str">
        <x:v>German Consulate General</x:v>
      </x:c>
      <x:c r="C2260" s="12" t="str">
        <x:v>CORP-0518</x:v>
      </x:c>
      <x:c r="D2260" s="12" t="str">
        <x:v>Bengaluru</x:v>
      </x:c>
      <x:c r="E2260" s="12" t="str">
        <x:v>Prestige Obelisk</x:v>
      </x:c>
      <x:c r="F2260" s="12" t="str">
        <x:v>55 inch</x:v>
      </x:c>
      <x:c r="G2260" s="20" t="n">
        <x:v>1</x:v>
      </x:c>
      <x:c r="H2260" s="12" t="str">
        <x:v>Campus/portfolio roster; individual building occupancy unverified</x:v>
      </x:c>
      <x:c r="I2260" s="12" t="str">
        <x:v>Institutional</x:v>
      </x:c>
      <x:c r="J2260" s="12" t="str">
        <x:v>Government &amp; nonprofit</x:v>
      </x:c>
      <x:c r="K2260" s="2" t="str">
        <x:v>PARTNER-M100</x:v>
      </x:c>
    </x:row>
    <x:row r="2261" ht="46" customHeight="1">
      <x:c r="A2261" s="2" t="str">
        <x:v>TEN-7D7278F45745</x:v>
      </x:c>
      <x:c r="B2261" s="12" t="str">
        <x:v>Thermo Fisher Scientific India</x:v>
      </x:c>
      <x:c r="C2261" s="12" t="str">
        <x:v>CORP-0518</x:v>
      </x:c>
      <x:c r="D2261" s="12" t="str">
        <x:v>Bengaluru</x:v>
      </x:c>
      <x:c r="E2261" s="12" t="str">
        <x:v>Prestige Obelisk</x:v>
      </x:c>
      <x:c r="F2261" s="12" t="str">
        <x:v>55 inch</x:v>
      </x:c>
      <x:c r="G2261" s="20" t="n">
        <x:v>1</x:v>
      </x:c>
      <x:c r="H2261" s="12" t="str">
        <x:v>Campus/portfolio roster; individual building occupancy unverified</x:v>
      </x:c>
      <x:c r="I2261" s="12" t="str">
        <x:v>Mixed business audience</x:v>
      </x:c>
      <x:c r="J2261" s="12" t="str">
        <x:v>Healthcare &amp; life sciences</x:v>
      </x:c>
      <x:c r="K2261" s="2" t="str">
        <x:v>PARTNER-M100</x:v>
      </x:c>
    </x:row>
    <x:row r="2262" ht="46" customHeight="1">
      <x:c r="A2262" s="2" t="str">
        <x:v>TEN-8A72227343A9</x:v>
      </x:c>
      <x:c r="B2262" s="12" t="str">
        <x:v>The Cash Pharmacy</x:v>
      </x:c>
      <x:c r="C2262" s="12" t="str">
        <x:v>CORP-0518</x:v>
      </x:c>
      <x:c r="D2262" s="12" t="str">
        <x:v>Bengaluru</x:v>
      </x:c>
      <x:c r="E2262" s="12" t="str">
        <x:v>Prestige Obelisk</x:v>
      </x:c>
      <x:c r="F2262" s="12" t="str">
        <x:v>55 inch</x:v>
      </x:c>
      <x:c r="G2262" s="20" t="n">
        <x:v>1</x:v>
      </x:c>
      <x:c r="H2262" s="12" t="str">
        <x:v>Campus/portfolio roster; individual building occupancy unverified</x:v>
      </x:c>
      <x:c r="I2262" s="12" t="str">
        <x:v>Medium-scale prospects</x:v>
      </x:c>
      <x:c r="J2262" s="12" t="str">
        <x:v>Healthcare &amp; life sciences</x:v>
      </x:c>
      <x:c r="K2262" s="2" t="str">
        <x:v>PARTNER-M100</x:v>
      </x:c>
    </x:row>
    <x:row r="2263" ht="46" customHeight="1">
      <x:c r="A2263" s="2" t="str">
        <x:v>TEN-8EDB9C45B20E</x:v>
      </x:c>
      <x:c r="B2263" s="12" t="str">
        <x:v>Dr. Shetty's Aesthetic</x:v>
      </x:c>
      <x:c r="C2263" s="12" t="str">
        <x:v>CORP-0518</x:v>
      </x:c>
      <x:c r="D2263" s="12" t="str">
        <x:v>Bengaluru</x:v>
      </x:c>
      <x:c r="E2263" s="12" t="str">
        <x:v>Prestige Obelisk</x:v>
      </x:c>
      <x:c r="F2263" s="12" t="str">
        <x:v>55 inch</x:v>
      </x:c>
      <x:c r="G2263" s="20" t="n">
        <x:v>1</x:v>
      </x:c>
      <x:c r="H2263" s="12" t="str">
        <x:v>Campus/portfolio roster; individual building occupancy unverified</x:v>
      </x:c>
      <x:c r="I2263" s="12" t="str">
        <x:v>Medium-scale prospects</x:v>
      </x:c>
      <x:c r="J2263" s="12" t="str">
        <x:v>Healthcare &amp; life sciences</x:v>
      </x:c>
      <x:c r="K2263" s="2" t="str">
        <x:v>PARTNER-M100</x:v>
      </x:c>
    </x:row>
    <x:row r="2264" ht="46" customHeight="1">
      <x:c r="A2264" s="2" t="str">
        <x:v>TEN-907D11AE3179</x:v>
      </x:c>
      <x:c r="B2264" s="12" t="str">
        <x:v>Coface India</x:v>
      </x:c>
      <x:c r="C2264" s="12" t="str">
        <x:v>CORP-0518</x:v>
      </x:c>
      <x:c r="D2264" s="12" t="str">
        <x:v>Bengaluru</x:v>
      </x:c>
      <x:c r="E2264" s="12" t="str">
        <x:v>Prestige Obelisk</x:v>
      </x:c>
      <x:c r="F2264" s="12" t="str">
        <x:v>55 inch</x:v>
      </x:c>
      <x:c r="G2264" s="20" t="n">
        <x:v>1</x:v>
      </x:c>
      <x:c r="H2264" s="12" t="str">
        <x:v>Campus/portfolio roster; individual building occupancy unverified</x:v>
      </x:c>
      <x:c r="I2264" s="12" t="str">
        <x:v>Mixed business audience</x:v>
      </x:c>
      <x:c r="J2264" s="12" t="str">
        <x:v>Finance &amp; insurance</x:v>
      </x:c>
      <x:c r="K2264" s="2" t="str">
        <x:v>PARTNER-M100</x:v>
      </x:c>
    </x:row>
    <x:row r="2265" ht="46" customHeight="1">
      <x:c r="A2265" s="2" t="str">
        <x:v>TEN-A04E8DBF862F</x:v>
      </x:c>
      <x:c r="B2265" s="12" t="str">
        <x:v>Cigna TTK Health Insurance Company Ltd</x:v>
      </x:c>
      <x:c r="C2265" s="12" t="str">
        <x:v>CORP-0518</x:v>
      </x:c>
      <x:c r="D2265" s="12" t="str">
        <x:v>Bengaluru</x:v>
      </x:c>
      <x:c r="E2265" s="12" t="str">
        <x:v>Prestige Obelisk</x:v>
      </x:c>
      <x:c r="F2265" s="12" t="str">
        <x:v>55 inch</x:v>
      </x:c>
      <x:c r="G2265" s="20" t="n">
        <x:v>1</x:v>
      </x:c>
      <x:c r="H2265" s="12" t="str">
        <x:v>Campus/portfolio roster; individual building occupancy unverified</x:v>
      </x:c>
      <x:c r="I2265" s="12" t="str">
        <x:v>Mixed business audience</x:v>
      </x:c>
      <x:c r="J2265" s="12" t="str">
        <x:v>Finance &amp; insurance</x:v>
      </x:c>
      <x:c r="K2265" s="2" t="str">
        <x:v>PARTNER-M100</x:v>
      </x:c>
    </x:row>
    <x:row r="2266" ht="46" customHeight="1">
      <x:c r="A2266" s="2" t="str">
        <x:v>TEN-A7F7AF8EB3A5</x:v>
      </x:c>
      <x:c r="B2266" s="12" t="str">
        <x:v>Flicker projects Pvt. Ltd</x:v>
      </x:c>
      <x:c r="C2266" s="12" t="str">
        <x:v>CORP-0518</x:v>
      </x:c>
      <x:c r="D2266" s="12" t="str">
        <x:v>Bengaluru</x:v>
      </x:c>
      <x:c r="E2266" s="12" t="str">
        <x:v>Prestige Obelisk</x:v>
      </x:c>
      <x:c r="F2266" s="12" t="str">
        <x:v>55 inch</x:v>
      </x:c>
      <x:c r="G2266" s="20" t="n">
        <x:v>1</x:v>
      </x:c>
      <x:c r="H2266" s="12" t="str">
        <x:v>Campus/portfolio roster; individual building occupancy unverified</x:v>
      </x:c>
      <x:c r="I2266" s="12" t="str">
        <x:v>Mixed business audience</x:v>
      </x:c>
      <x:c r="J2266" s="12" t="str">
        <x:v>Unresolved</x:v>
      </x:c>
      <x:c r="K2266" s="2" t="str">
        <x:v>PARTNER-M100</x:v>
      </x:c>
    </x:row>
    <x:row r="2267" ht="46" customHeight="1">
      <x:c r="A2267" s="2" t="str">
        <x:v>TEN-AABF376657C0</x:v>
      </x:c>
      <x:c r="B2267" s="12" t="str">
        <x:v>JK Cement Ltd</x:v>
      </x:c>
      <x:c r="C2267" s="12" t="str">
        <x:v>CORP-0518</x:v>
      </x:c>
      <x:c r="D2267" s="12" t="str">
        <x:v>Bengaluru</x:v>
      </x:c>
      <x:c r="E2267" s="12" t="str">
        <x:v>Prestige Obelisk</x:v>
      </x:c>
      <x:c r="F2267" s="12" t="str">
        <x:v>55 inch</x:v>
      </x:c>
      <x:c r="G2267" s="20" t="n">
        <x:v>1</x:v>
      </x:c>
      <x:c r="H2267" s="12" t="str">
        <x:v>Campus/portfolio roster; individual building occupancy unverified</x:v>
      </x:c>
      <x:c r="I2267" s="12" t="str">
        <x:v>Mixed business audience</x:v>
      </x:c>
      <x:c r="J2267" s="12" t="str">
        <x:v>Engineering &amp; manufacturing</x:v>
      </x:c>
      <x:c r="K2267" s="2" t="str">
        <x:v>PARTNER-M100</x:v>
      </x:c>
    </x:row>
    <x:row r="2268" ht="46" customHeight="1">
      <x:c r="A2268" s="2" t="str">
        <x:v>TEN-B3FD6E87E781</x:v>
      </x:c>
      <x:c r="B2268" s="12" t="str">
        <x:v>Eaton Technologies Pvt. Ltd</x:v>
      </x:c>
      <x:c r="C2268" s="12" t="str">
        <x:v>CORP-0518</x:v>
      </x:c>
      <x:c r="D2268" s="12" t="str">
        <x:v>Bengaluru</x:v>
      </x:c>
      <x:c r="E2268" s="12" t="str">
        <x:v>Prestige Obelisk</x:v>
      </x:c>
      <x:c r="F2268" s="12" t="str">
        <x:v>55 inch</x:v>
      </x:c>
      <x:c r="G2268" s="20" t="n">
        <x:v>1</x:v>
      </x:c>
      <x:c r="H2268" s="12" t="str">
        <x:v>Campus/portfolio roster; individual building occupancy unverified</x:v>
      </x:c>
      <x:c r="I2268" s="12" t="str">
        <x:v>Mixed business audience</x:v>
      </x:c>
      <x:c r="J2268" s="12" t="str">
        <x:v>Engineering &amp; manufacturing</x:v>
      </x:c>
      <x:c r="K2268" s="2" t="str">
        <x:v>PARTNER-M100</x:v>
      </x:c>
    </x:row>
    <x:row r="2269" ht="46" customHeight="1">
      <x:c r="A2269" s="2" t="str">
        <x:v>TEN-D6FCC16B02C8</x:v>
      </x:c>
      <x:c r="B2269" s="12" t="str">
        <x:v>Lake Chemicals Pvt. Ltd</x:v>
      </x:c>
      <x:c r="C2269" s="12" t="str">
        <x:v>CORP-0518</x:v>
      </x:c>
      <x:c r="D2269" s="12" t="str">
        <x:v>Bengaluru</x:v>
      </x:c>
      <x:c r="E2269" s="12" t="str">
        <x:v>Prestige Obelisk</x:v>
      </x:c>
      <x:c r="F2269" s="12" t="str">
        <x:v>55 inch</x:v>
      </x:c>
      <x:c r="G2269" s="20" t="n">
        <x:v>1</x:v>
      </x:c>
      <x:c r="H2269" s="12" t="str">
        <x:v>Campus/portfolio roster; individual building occupancy unverified</x:v>
      </x:c>
      <x:c r="I2269" s="12" t="str">
        <x:v>Medium-scale prospects</x:v>
      </x:c>
      <x:c r="J2269" s="12" t="str">
        <x:v>Engineering &amp; manufacturing</x:v>
      </x:c>
      <x:c r="K2269" s="2" t="str">
        <x:v>PARTNER-M100</x:v>
      </x:c>
    </x:row>
    <x:row r="2270" ht="46" customHeight="1">
      <x:c r="A2270" s="2" t="str">
        <x:v>TEN-E9968F77222F</x:v>
      </x:c>
      <x:c r="B2270" s="12" t="str">
        <x:v>JSA Advocates and Solicitors</x:v>
      </x:c>
      <x:c r="C2270" s="12" t="str">
        <x:v>CORP-0518</x:v>
      </x:c>
      <x:c r="D2270" s="12" t="str">
        <x:v>Bengaluru</x:v>
      </x:c>
      <x:c r="E2270" s="12" t="str">
        <x:v>Prestige Obelisk</x:v>
      </x:c>
      <x:c r="F2270" s="12" t="str">
        <x:v>55 inch</x:v>
      </x:c>
      <x:c r="G2270" s="20" t="n">
        <x:v>1</x:v>
      </x:c>
      <x:c r="H2270" s="12" t="str">
        <x:v>Campus/portfolio roster; individual building occupancy unverified</x:v>
      </x:c>
      <x:c r="I2270" s="12" t="str">
        <x:v>Large enterprise</x:v>
      </x:c>
      <x:c r="J2270" s="12" t="str">
        <x:v>Professional services</x:v>
      </x:c>
      <x:c r="K2270" s="2" t="str">
        <x:v>PARTNER-M100</x:v>
      </x:c>
    </x:row>
    <x:row r="2271" ht="46" customHeight="1">
      <x:c r="A2271" s="2" t="str">
        <x:v>TEN-05C3EA2B409C</x:v>
      </x:c>
      <x:c r="B2271" s="12" t="str">
        <x:v>IndusViva HealthSciences Pvt. Ltd</x:v>
      </x:c>
      <x:c r="C2271" s="12" t="str">
        <x:v>CORP-0519</x:v>
      </x:c>
      <x:c r="D2271" s="12" t="str">
        <x:v>Bengaluru</x:v>
      </x:c>
      <x:c r="E2271" s="12" t="str">
        <x:v>Prestige Obelisk</x:v>
      </x:c>
      <x:c r="F2271" s="12" t="str">
        <x:v>55 inch</x:v>
      </x:c>
      <x:c r="G2271" s="20" t="n">
        <x:v>1</x:v>
      </x:c>
      <x:c r="H2271" s="12" t="str">
        <x:v>Campus/portfolio roster; individual building occupancy unverified</x:v>
      </x:c>
      <x:c r="I2271" s="12" t="str">
        <x:v>Small-scale prospects</x:v>
      </x:c>
      <x:c r="J2271" s="12" t="str">
        <x:v>Healthcare &amp; life sciences</x:v>
      </x:c>
      <x:c r="K2271" s="2" t="str">
        <x:v>PARTNER-M100</x:v>
      </x:c>
    </x:row>
    <x:row r="2272" ht="46" customHeight="1">
      <x:c r="A2272" s="2" t="str">
        <x:v>TEN-13258F6CB706</x:v>
      </x:c>
      <x:c r="B2272" s="12" t="str">
        <x:v>Urban Vault</x:v>
      </x:c>
      <x:c r="C2272" s="12" t="str">
        <x:v>CORP-0519</x:v>
      </x:c>
      <x:c r="D2272" s="12" t="str">
        <x:v>Bengaluru</x:v>
      </x:c>
      <x:c r="E2272" s="12" t="str">
        <x:v>Prestige Obelisk</x:v>
      </x:c>
      <x:c r="F2272" s="12" t="str">
        <x:v>55 inch</x:v>
      </x:c>
      <x:c r="G2272" s="20" t="n">
        <x:v>1</x:v>
      </x:c>
      <x:c r="H2272" s="12" t="str">
        <x:v>Campus/portfolio roster; individual building occupancy unverified</x:v>
      </x:c>
      <x:c r="I2272" s="12" t="str">
        <x:v>Mixed business audience</x:v>
      </x:c>
      <x:c r="J2272" s="12" t="str">
        <x:v>Workspace &amp; property operations</x:v>
      </x:c>
      <x:c r="K2272" s="2" t="str">
        <x:v>PARTNER-M100</x:v>
      </x:c>
    </x:row>
    <x:row r="2273" ht="46" customHeight="1">
      <x:c r="A2273" s="2" t="str">
        <x:v>TEN-1C593F87A18C</x:v>
      </x:c>
      <x:c r="B2273" s="12" t="str">
        <x:v>Yes Bank</x:v>
      </x:c>
      <x:c r="C2273" s="12" t="str">
        <x:v>CORP-0519</x:v>
      </x:c>
      <x:c r="D2273" s="12" t="str">
        <x:v>Bengaluru</x:v>
      </x:c>
      <x:c r="E2273" s="12" t="str">
        <x:v>Prestige Obelisk</x:v>
      </x:c>
      <x:c r="F2273" s="12" t="str">
        <x:v>55 inch</x:v>
      </x:c>
      <x:c r="G2273" s="20" t="n">
        <x:v>1</x:v>
      </x:c>
      <x:c r="H2273" s="12" t="str">
        <x:v>Campus/portfolio roster; individual building occupancy unverified</x:v>
      </x:c>
      <x:c r="I2273" s="12" t="str">
        <x:v>Large enterprise</x:v>
      </x:c>
      <x:c r="J2273" s="12" t="str">
        <x:v>Finance &amp; insurance</x:v>
      </x:c>
      <x:c r="K2273" s="2" t="str">
        <x:v>PARTNER-M100</x:v>
      </x:c>
    </x:row>
    <x:row r="2274" ht="46" customHeight="1">
      <x:c r="A2274" s="2" t="str">
        <x:v>TEN-2E1A93A8B010</x:v>
      </x:c>
      <x:c r="B2274" s="12" t="str">
        <x:v>Borqs Software Solutions</x:v>
      </x:c>
      <x:c r="C2274" s="12" t="str">
        <x:v>CORP-0519</x:v>
      </x:c>
      <x:c r="D2274" s="12" t="str">
        <x:v>Bengaluru</x:v>
      </x:c>
      <x:c r="E2274" s="12" t="str">
        <x:v>Prestige Obelisk</x:v>
      </x:c>
      <x:c r="F2274" s="12" t="str">
        <x:v>55 inch</x:v>
      </x:c>
      <x:c r="G2274" s="20" t="n">
        <x:v>1</x:v>
      </x:c>
      <x:c r="H2274" s="12" t="str">
        <x:v>Campus/portfolio roster; individual building occupancy unverified</x:v>
      </x:c>
      <x:c r="I2274" s="12" t="str">
        <x:v>Small-scale prospects</x:v>
      </x:c>
      <x:c r="J2274" s="12" t="str">
        <x:v>IT &amp; digital</x:v>
      </x:c>
      <x:c r="K2274" s="2" t="str">
        <x:v>PARTNER-M100</x:v>
      </x:c>
    </x:row>
    <x:row r="2275" ht="46" customHeight="1">
      <x:c r="A2275" s="2" t="str">
        <x:v>TEN-47445949BEEF</x:v>
      </x:c>
      <x:c r="B2275" s="12" t="str">
        <x:v>Yamazaki Mazak India Pvt. Ltd</x:v>
      </x:c>
      <x:c r="C2275" s="12" t="str">
        <x:v>CORP-0519</x:v>
      </x:c>
      <x:c r="D2275" s="12" t="str">
        <x:v>Bengaluru</x:v>
      </x:c>
      <x:c r="E2275" s="12" t="str">
        <x:v>Prestige Obelisk</x:v>
      </x:c>
      <x:c r="F2275" s="12" t="str">
        <x:v>55 inch</x:v>
      </x:c>
      <x:c r="G2275" s="20" t="n">
        <x:v>1</x:v>
      </x:c>
      <x:c r="H2275" s="12" t="str">
        <x:v>Campus/portfolio roster; individual building occupancy unverified</x:v>
      </x:c>
      <x:c r="I2275" s="12" t="str">
        <x:v>Mixed business audience</x:v>
      </x:c>
      <x:c r="J2275" s="12" t="str">
        <x:v>Engineering &amp; manufacturing</x:v>
      </x:c>
      <x:c r="K2275" s="2" t="str">
        <x:v>PARTNER-M100</x:v>
      </x:c>
    </x:row>
    <x:row r="2276" ht="46" customHeight="1">
      <x:c r="A2276" s="2" t="str">
        <x:v>TEN-6CF5FB813A56</x:v>
      </x:c>
      <x:c r="B2276" s="12" t="str">
        <x:v>German Consulate General</x:v>
      </x:c>
      <x:c r="C2276" s="12" t="str">
        <x:v>CORP-0519</x:v>
      </x:c>
      <x:c r="D2276" s="12" t="str">
        <x:v>Bengaluru</x:v>
      </x:c>
      <x:c r="E2276" s="12" t="str">
        <x:v>Prestige Obelisk</x:v>
      </x:c>
      <x:c r="F2276" s="12" t="str">
        <x:v>55 inch</x:v>
      </x:c>
      <x:c r="G2276" s="20" t="n">
        <x:v>1</x:v>
      </x:c>
      <x:c r="H2276" s="12" t="str">
        <x:v>Campus/portfolio roster; individual building occupancy unverified</x:v>
      </x:c>
      <x:c r="I2276" s="12" t="str">
        <x:v>Institutional</x:v>
      </x:c>
      <x:c r="J2276" s="12" t="str">
        <x:v>Government &amp; nonprofit</x:v>
      </x:c>
      <x:c r="K2276" s="2" t="str">
        <x:v>PARTNER-M100</x:v>
      </x:c>
    </x:row>
    <x:row r="2277" ht="46" customHeight="1">
      <x:c r="A2277" s="2" t="str">
        <x:v>TEN-7D7278F45745</x:v>
      </x:c>
      <x:c r="B2277" s="12" t="str">
        <x:v>Thermo Fisher Scientific India</x:v>
      </x:c>
      <x:c r="C2277" s="12" t="str">
        <x:v>CORP-0519</x:v>
      </x:c>
      <x:c r="D2277" s="12" t="str">
        <x:v>Bengaluru</x:v>
      </x:c>
      <x:c r="E2277" s="12" t="str">
        <x:v>Prestige Obelisk</x:v>
      </x:c>
      <x:c r="F2277" s="12" t="str">
        <x:v>55 inch</x:v>
      </x:c>
      <x:c r="G2277" s="20" t="n">
        <x:v>1</x:v>
      </x:c>
      <x:c r="H2277" s="12" t="str">
        <x:v>Campus/portfolio roster; individual building occupancy unverified</x:v>
      </x:c>
      <x:c r="I2277" s="12" t="str">
        <x:v>Mixed business audience</x:v>
      </x:c>
      <x:c r="J2277" s="12" t="str">
        <x:v>Healthcare &amp; life sciences</x:v>
      </x:c>
      <x:c r="K2277" s="2" t="str">
        <x:v>PARTNER-M100</x:v>
      </x:c>
    </x:row>
    <x:row r="2278" ht="46" customHeight="1">
      <x:c r="A2278" s="2" t="str">
        <x:v>TEN-8A72227343A9</x:v>
      </x:c>
      <x:c r="B2278" s="12" t="str">
        <x:v>The Cash Pharmacy</x:v>
      </x:c>
      <x:c r="C2278" s="12" t="str">
        <x:v>CORP-0519</x:v>
      </x:c>
      <x:c r="D2278" s="12" t="str">
        <x:v>Bengaluru</x:v>
      </x:c>
      <x:c r="E2278" s="12" t="str">
        <x:v>Prestige Obelisk</x:v>
      </x:c>
      <x:c r="F2278" s="12" t="str">
        <x:v>55 inch</x:v>
      </x:c>
      <x:c r="G2278" s="20" t="n">
        <x:v>1</x:v>
      </x:c>
      <x:c r="H2278" s="12" t="str">
        <x:v>Campus/portfolio roster; individual building occupancy unverified</x:v>
      </x:c>
      <x:c r="I2278" s="12" t="str">
        <x:v>Medium-scale prospects</x:v>
      </x:c>
      <x:c r="J2278" s="12" t="str">
        <x:v>Healthcare &amp; life sciences</x:v>
      </x:c>
      <x:c r="K2278" s="2" t="str">
        <x:v>PARTNER-M100</x:v>
      </x:c>
    </x:row>
    <x:row r="2279" ht="46" customHeight="1">
      <x:c r="A2279" s="2" t="str">
        <x:v>TEN-8EDB9C45B20E</x:v>
      </x:c>
      <x:c r="B2279" s="12" t="str">
        <x:v>Dr. Shetty's Aesthetic</x:v>
      </x:c>
      <x:c r="C2279" s="12" t="str">
        <x:v>CORP-0519</x:v>
      </x:c>
      <x:c r="D2279" s="12" t="str">
        <x:v>Bengaluru</x:v>
      </x:c>
      <x:c r="E2279" s="12" t="str">
        <x:v>Prestige Obelisk</x:v>
      </x:c>
      <x:c r="F2279" s="12" t="str">
        <x:v>55 inch</x:v>
      </x:c>
      <x:c r="G2279" s="20" t="n">
        <x:v>1</x:v>
      </x:c>
      <x:c r="H2279" s="12" t="str">
        <x:v>Campus/portfolio roster; individual building occupancy unverified</x:v>
      </x:c>
      <x:c r="I2279" s="12" t="str">
        <x:v>Medium-scale prospects</x:v>
      </x:c>
      <x:c r="J2279" s="12" t="str">
        <x:v>Healthcare &amp; life sciences</x:v>
      </x:c>
      <x:c r="K2279" s="2" t="str">
        <x:v>PARTNER-M100</x:v>
      </x:c>
    </x:row>
    <x:row r="2280" ht="46" customHeight="1">
      <x:c r="A2280" s="2" t="str">
        <x:v>TEN-907D11AE3179</x:v>
      </x:c>
      <x:c r="B2280" s="12" t="str">
        <x:v>Coface India</x:v>
      </x:c>
      <x:c r="C2280" s="12" t="str">
        <x:v>CORP-0519</x:v>
      </x:c>
      <x:c r="D2280" s="12" t="str">
        <x:v>Bengaluru</x:v>
      </x:c>
      <x:c r="E2280" s="12" t="str">
        <x:v>Prestige Obelisk</x:v>
      </x:c>
      <x:c r="F2280" s="12" t="str">
        <x:v>55 inch</x:v>
      </x:c>
      <x:c r="G2280" s="20" t="n">
        <x:v>1</x:v>
      </x:c>
      <x:c r="H2280" s="12" t="str">
        <x:v>Campus/portfolio roster; individual building occupancy unverified</x:v>
      </x:c>
      <x:c r="I2280" s="12" t="str">
        <x:v>Mixed business audience</x:v>
      </x:c>
      <x:c r="J2280" s="12" t="str">
        <x:v>Finance &amp; insurance</x:v>
      </x:c>
      <x:c r="K2280" s="2" t="str">
        <x:v>PARTNER-M100</x:v>
      </x:c>
    </x:row>
    <x:row r="2281" ht="46" customHeight="1">
      <x:c r="A2281" s="2" t="str">
        <x:v>TEN-A04E8DBF862F</x:v>
      </x:c>
      <x:c r="B2281" s="12" t="str">
        <x:v>Cigna TTK Health Insurance Company Ltd</x:v>
      </x:c>
      <x:c r="C2281" s="12" t="str">
        <x:v>CORP-0519</x:v>
      </x:c>
      <x:c r="D2281" s="12" t="str">
        <x:v>Bengaluru</x:v>
      </x:c>
      <x:c r="E2281" s="12" t="str">
        <x:v>Prestige Obelisk</x:v>
      </x:c>
      <x:c r="F2281" s="12" t="str">
        <x:v>55 inch</x:v>
      </x:c>
      <x:c r="G2281" s="20" t="n">
        <x:v>1</x:v>
      </x:c>
      <x:c r="H2281" s="12" t="str">
        <x:v>Campus/portfolio roster; individual building occupancy unverified</x:v>
      </x:c>
      <x:c r="I2281" s="12" t="str">
        <x:v>Mixed business audience</x:v>
      </x:c>
      <x:c r="J2281" s="12" t="str">
        <x:v>Finance &amp; insurance</x:v>
      </x:c>
      <x:c r="K2281" s="2" t="str">
        <x:v>PARTNER-M100</x:v>
      </x:c>
    </x:row>
    <x:row r="2282" ht="46" customHeight="1">
      <x:c r="A2282" s="2" t="str">
        <x:v>TEN-A7F7AF8EB3A5</x:v>
      </x:c>
      <x:c r="B2282" s="12" t="str">
        <x:v>Flicker projects Pvt. Ltd</x:v>
      </x:c>
      <x:c r="C2282" s="12" t="str">
        <x:v>CORP-0519</x:v>
      </x:c>
      <x:c r="D2282" s="12" t="str">
        <x:v>Bengaluru</x:v>
      </x:c>
      <x:c r="E2282" s="12" t="str">
        <x:v>Prestige Obelisk</x:v>
      </x:c>
      <x:c r="F2282" s="12" t="str">
        <x:v>55 inch</x:v>
      </x:c>
      <x:c r="G2282" s="20" t="n">
        <x:v>1</x:v>
      </x:c>
      <x:c r="H2282" s="12" t="str">
        <x:v>Campus/portfolio roster; individual building occupancy unverified</x:v>
      </x:c>
      <x:c r="I2282" s="12" t="str">
        <x:v>Mixed business audience</x:v>
      </x:c>
      <x:c r="J2282" s="12" t="str">
        <x:v>Unresolved</x:v>
      </x:c>
      <x:c r="K2282" s="2" t="str">
        <x:v>PARTNER-M100</x:v>
      </x:c>
    </x:row>
    <x:row r="2283" ht="46" customHeight="1">
      <x:c r="A2283" s="2" t="str">
        <x:v>TEN-AABF376657C0</x:v>
      </x:c>
      <x:c r="B2283" s="12" t="str">
        <x:v>JK Cement Ltd</x:v>
      </x:c>
      <x:c r="C2283" s="12" t="str">
        <x:v>CORP-0519</x:v>
      </x:c>
      <x:c r="D2283" s="12" t="str">
        <x:v>Bengaluru</x:v>
      </x:c>
      <x:c r="E2283" s="12" t="str">
        <x:v>Prestige Obelisk</x:v>
      </x:c>
      <x:c r="F2283" s="12" t="str">
        <x:v>55 inch</x:v>
      </x:c>
      <x:c r="G2283" s="20" t="n">
        <x:v>1</x:v>
      </x:c>
      <x:c r="H2283" s="12" t="str">
        <x:v>Campus/portfolio roster; individual building occupancy unverified</x:v>
      </x:c>
      <x:c r="I2283" s="12" t="str">
        <x:v>Mixed business audience</x:v>
      </x:c>
      <x:c r="J2283" s="12" t="str">
        <x:v>Engineering &amp; manufacturing</x:v>
      </x:c>
      <x:c r="K2283" s="2" t="str">
        <x:v>PARTNER-M100</x:v>
      </x:c>
    </x:row>
    <x:row r="2284" ht="46" customHeight="1">
      <x:c r="A2284" s="2" t="str">
        <x:v>TEN-B3FD6E87E781</x:v>
      </x:c>
      <x:c r="B2284" s="12" t="str">
        <x:v>Eaton Technologies Pvt. Ltd</x:v>
      </x:c>
      <x:c r="C2284" s="12" t="str">
        <x:v>CORP-0519</x:v>
      </x:c>
      <x:c r="D2284" s="12" t="str">
        <x:v>Bengaluru</x:v>
      </x:c>
      <x:c r="E2284" s="12" t="str">
        <x:v>Prestige Obelisk</x:v>
      </x:c>
      <x:c r="F2284" s="12" t="str">
        <x:v>55 inch</x:v>
      </x:c>
      <x:c r="G2284" s="20" t="n">
        <x:v>1</x:v>
      </x:c>
      <x:c r="H2284" s="12" t="str">
        <x:v>Campus/portfolio roster; individual building occupancy unverified</x:v>
      </x:c>
      <x:c r="I2284" s="12" t="str">
        <x:v>Mixed business audience</x:v>
      </x:c>
      <x:c r="J2284" s="12" t="str">
        <x:v>Engineering &amp; manufacturing</x:v>
      </x:c>
      <x:c r="K2284" s="2" t="str">
        <x:v>PARTNER-M100</x:v>
      </x:c>
    </x:row>
    <x:row r="2285" ht="46" customHeight="1">
      <x:c r="A2285" s="2" t="str">
        <x:v>TEN-D6FCC16B02C8</x:v>
      </x:c>
      <x:c r="B2285" s="12" t="str">
        <x:v>Lake Chemicals Pvt. Ltd</x:v>
      </x:c>
      <x:c r="C2285" s="12" t="str">
        <x:v>CORP-0519</x:v>
      </x:c>
      <x:c r="D2285" s="12" t="str">
        <x:v>Bengaluru</x:v>
      </x:c>
      <x:c r="E2285" s="12" t="str">
        <x:v>Prestige Obelisk</x:v>
      </x:c>
      <x:c r="F2285" s="12" t="str">
        <x:v>55 inch</x:v>
      </x:c>
      <x:c r="G2285" s="20" t="n">
        <x:v>1</x:v>
      </x:c>
      <x:c r="H2285" s="12" t="str">
        <x:v>Campus/portfolio roster; individual building occupancy unverified</x:v>
      </x:c>
      <x:c r="I2285" s="12" t="str">
        <x:v>Medium-scale prospects</x:v>
      </x:c>
      <x:c r="J2285" s="12" t="str">
        <x:v>Engineering &amp; manufacturing</x:v>
      </x:c>
      <x:c r="K2285" s="2" t="str">
        <x:v>PARTNER-M100</x:v>
      </x:c>
    </x:row>
    <x:row r="2286" ht="46" customHeight="1">
      <x:c r="A2286" s="2" t="str">
        <x:v>TEN-E9968F77222F</x:v>
      </x:c>
      <x:c r="B2286" s="12" t="str">
        <x:v>JSA Advocates and Solicitors</x:v>
      </x:c>
      <x:c r="C2286" s="12" t="str">
        <x:v>CORP-0519</x:v>
      </x:c>
      <x:c r="D2286" s="12" t="str">
        <x:v>Bengaluru</x:v>
      </x:c>
      <x:c r="E2286" s="12" t="str">
        <x:v>Prestige Obelisk</x:v>
      </x:c>
      <x:c r="F2286" s="12" t="str">
        <x:v>55 inch</x:v>
      </x:c>
      <x:c r="G2286" s="20" t="n">
        <x:v>1</x:v>
      </x:c>
      <x:c r="H2286" s="12" t="str">
        <x:v>Campus/portfolio roster; individual building occupancy unverified</x:v>
      </x:c>
      <x:c r="I2286" s="12" t="str">
        <x:v>Large enterprise</x:v>
      </x:c>
      <x:c r="J2286" s="12" t="str">
        <x:v>Professional services</x:v>
      </x:c>
      <x:c r="K2286" s="2" t="str">
        <x:v>PARTNER-M100</x:v>
      </x:c>
    </x:row>
    <x:row r="2287" ht="46" customHeight="1">
      <x:c r="A2287" s="2" t="str">
        <x:v>TEN-05C3EA2B409C</x:v>
      </x:c>
      <x:c r="B2287" s="12" t="str">
        <x:v>IndusViva HealthSciences Pvt. Ltd</x:v>
      </x:c>
      <x:c r="C2287" s="12" t="str">
        <x:v>CORP-0520</x:v>
      </x:c>
      <x:c r="D2287" s="12" t="str">
        <x:v>Bengaluru</x:v>
      </x:c>
      <x:c r="E2287" s="12" t="str">
        <x:v>Prestige Obelisk</x:v>
      </x:c>
      <x:c r="F2287" s="12" t="str">
        <x:v>55 inch</x:v>
      </x:c>
      <x:c r="G2287" s="20" t="n">
        <x:v>1</x:v>
      </x:c>
      <x:c r="H2287" s="12" t="str">
        <x:v>Campus/portfolio roster; individual building occupancy unverified</x:v>
      </x:c>
      <x:c r="I2287" s="12" t="str">
        <x:v>Small-scale prospects</x:v>
      </x:c>
      <x:c r="J2287" s="12" t="str">
        <x:v>Healthcare &amp; life sciences</x:v>
      </x:c>
      <x:c r="K2287" s="2" t="str">
        <x:v>PARTNER-M100</x:v>
      </x:c>
    </x:row>
    <x:row r="2288" ht="46" customHeight="1">
      <x:c r="A2288" s="2" t="str">
        <x:v>TEN-13258F6CB706</x:v>
      </x:c>
      <x:c r="B2288" s="12" t="str">
        <x:v>Urban Vault</x:v>
      </x:c>
      <x:c r="C2288" s="12" t="str">
        <x:v>CORP-0520</x:v>
      </x:c>
      <x:c r="D2288" s="12" t="str">
        <x:v>Bengaluru</x:v>
      </x:c>
      <x:c r="E2288" s="12" t="str">
        <x:v>Prestige Obelisk</x:v>
      </x:c>
      <x:c r="F2288" s="12" t="str">
        <x:v>55 inch</x:v>
      </x:c>
      <x:c r="G2288" s="20" t="n">
        <x:v>1</x:v>
      </x:c>
      <x:c r="H2288" s="12" t="str">
        <x:v>Campus/portfolio roster; individual building occupancy unverified</x:v>
      </x:c>
      <x:c r="I2288" s="12" t="str">
        <x:v>Mixed business audience</x:v>
      </x:c>
      <x:c r="J2288" s="12" t="str">
        <x:v>Workspace &amp; property operations</x:v>
      </x:c>
      <x:c r="K2288" s="2" t="str">
        <x:v>PARTNER-M100</x:v>
      </x:c>
    </x:row>
    <x:row r="2289" ht="46" customHeight="1">
      <x:c r="A2289" s="2" t="str">
        <x:v>TEN-1C593F87A18C</x:v>
      </x:c>
      <x:c r="B2289" s="12" t="str">
        <x:v>Yes Bank</x:v>
      </x:c>
      <x:c r="C2289" s="12" t="str">
        <x:v>CORP-0520</x:v>
      </x:c>
      <x:c r="D2289" s="12" t="str">
        <x:v>Bengaluru</x:v>
      </x:c>
      <x:c r="E2289" s="12" t="str">
        <x:v>Prestige Obelisk</x:v>
      </x:c>
      <x:c r="F2289" s="12" t="str">
        <x:v>55 inch</x:v>
      </x:c>
      <x:c r="G2289" s="20" t="n">
        <x:v>1</x:v>
      </x:c>
      <x:c r="H2289" s="12" t="str">
        <x:v>Campus/portfolio roster; individual building occupancy unverified</x:v>
      </x:c>
      <x:c r="I2289" s="12" t="str">
        <x:v>Large enterprise</x:v>
      </x:c>
      <x:c r="J2289" s="12" t="str">
        <x:v>Finance &amp; insurance</x:v>
      </x:c>
      <x:c r="K2289" s="2" t="str">
        <x:v>PARTNER-M100</x:v>
      </x:c>
    </x:row>
    <x:row r="2290" ht="46" customHeight="1">
      <x:c r="A2290" s="2" t="str">
        <x:v>TEN-2E1A93A8B010</x:v>
      </x:c>
      <x:c r="B2290" s="12" t="str">
        <x:v>Borqs Software Solutions</x:v>
      </x:c>
      <x:c r="C2290" s="12" t="str">
        <x:v>CORP-0520</x:v>
      </x:c>
      <x:c r="D2290" s="12" t="str">
        <x:v>Bengaluru</x:v>
      </x:c>
      <x:c r="E2290" s="12" t="str">
        <x:v>Prestige Obelisk</x:v>
      </x:c>
      <x:c r="F2290" s="12" t="str">
        <x:v>55 inch</x:v>
      </x:c>
      <x:c r="G2290" s="20" t="n">
        <x:v>1</x:v>
      </x:c>
      <x:c r="H2290" s="12" t="str">
        <x:v>Campus/portfolio roster; individual building occupancy unverified</x:v>
      </x:c>
      <x:c r="I2290" s="12" t="str">
        <x:v>Small-scale prospects</x:v>
      </x:c>
      <x:c r="J2290" s="12" t="str">
        <x:v>IT &amp; digital</x:v>
      </x:c>
      <x:c r="K2290" s="2" t="str">
        <x:v>PARTNER-M100</x:v>
      </x:c>
    </x:row>
    <x:row r="2291" ht="46" customHeight="1">
      <x:c r="A2291" s="2" t="str">
        <x:v>TEN-47445949BEEF</x:v>
      </x:c>
      <x:c r="B2291" s="12" t="str">
        <x:v>Yamazaki Mazak India Pvt. Ltd</x:v>
      </x:c>
      <x:c r="C2291" s="12" t="str">
        <x:v>CORP-0520</x:v>
      </x:c>
      <x:c r="D2291" s="12" t="str">
        <x:v>Bengaluru</x:v>
      </x:c>
      <x:c r="E2291" s="12" t="str">
        <x:v>Prestige Obelisk</x:v>
      </x:c>
      <x:c r="F2291" s="12" t="str">
        <x:v>55 inch</x:v>
      </x:c>
      <x:c r="G2291" s="20" t="n">
        <x:v>1</x:v>
      </x:c>
      <x:c r="H2291" s="12" t="str">
        <x:v>Campus/portfolio roster; individual building occupancy unverified</x:v>
      </x:c>
      <x:c r="I2291" s="12" t="str">
        <x:v>Mixed business audience</x:v>
      </x:c>
      <x:c r="J2291" s="12" t="str">
        <x:v>Engineering &amp; manufacturing</x:v>
      </x:c>
      <x:c r="K2291" s="2" t="str">
        <x:v>PARTNER-M100</x:v>
      </x:c>
    </x:row>
    <x:row r="2292" ht="46" customHeight="1">
      <x:c r="A2292" s="2" t="str">
        <x:v>TEN-6CF5FB813A56</x:v>
      </x:c>
      <x:c r="B2292" s="12" t="str">
        <x:v>German Consulate General</x:v>
      </x:c>
      <x:c r="C2292" s="12" t="str">
        <x:v>CORP-0520</x:v>
      </x:c>
      <x:c r="D2292" s="12" t="str">
        <x:v>Bengaluru</x:v>
      </x:c>
      <x:c r="E2292" s="12" t="str">
        <x:v>Prestige Obelisk</x:v>
      </x:c>
      <x:c r="F2292" s="12" t="str">
        <x:v>55 inch</x:v>
      </x:c>
      <x:c r="G2292" s="20" t="n">
        <x:v>1</x:v>
      </x:c>
      <x:c r="H2292" s="12" t="str">
        <x:v>Campus/portfolio roster; individual building occupancy unverified</x:v>
      </x:c>
      <x:c r="I2292" s="12" t="str">
        <x:v>Institutional</x:v>
      </x:c>
      <x:c r="J2292" s="12" t="str">
        <x:v>Government &amp; nonprofit</x:v>
      </x:c>
      <x:c r="K2292" s="2" t="str">
        <x:v>PARTNER-M100</x:v>
      </x:c>
    </x:row>
    <x:row r="2293" ht="46" customHeight="1">
      <x:c r="A2293" s="2" t="str">
        <x:v>TEN-7D7278F45745</x:v>
      </x:c>
      <x:c r="B2293" s="12" t="str">
        <x:v>Thermo Fisher Scientific India</x:v>
      </x:c>
      <x:c r="C2293" s="12" t="str">
        <x:v>CORP-0520</x:v>
      </x:c>
      <x:c r="D2293" s="12" t="str">
        <x:v>Bengaluru</x:v>
      </x:c>
      <x:c r="E2293" s="12" t="str">
        <x:v>Prestige Obelisk</x:v>
      </x:c>
      <x:c r="F2293" s="12" t="str">
        <x:v>55 inch</x:v>
      </x:c>
      <x:c r="G2293" s="20" t="n">
        <x:v>1</x:v>
      </x:c>
      <x:c r="H2293" s="12" t="str">
        <x:v>Campus/portfolio roster; individual building occupancy unverified</x:v>
      </x:c>
      <x:c r="I2293" s="12" t="str">
        <x:v>Mixed business audience</x:v>
      </x:c>
      <x:c r="J2293" s="12" t="str">
        <x:v>Healthcare &amp; life sciences</x:v>
      </x:c>
      <x:c r="K2293" s="2" t="str">
        <x:v>PARTNER-M100</x:v>
      </x:c>
    </x:row>
    <x:row r="2294" ht="46" customHeight="1">
      <x:c r="A2294" s="2" t="str">
        <x:v>TEN-8A72227343A9</x:v>
      </x:c>
      <x:c r="B2294" s="12" t="str">
        <x:v>The Cash Pharmacy</x:v>
      </x:c>
      <x:c r="C2294" s="12" t="str">
        <x:v>CORP-0520</x:v>
      </x:c>
      <x:c r="D2294" s="12" t="str">
        <x:v>Bengaluru</x:v>
      </x:c>
      <x:c r="E2294" s="12" t="str">
        <x:v>Prestige Obelisk</x:v>
      </x:c>
      <x:c r="F2294" s="12" t="str">
        <x:v>55 inch</x:v>
      </x:c>
      <x:c r="G2294" s="20" t="n">
        <x:v>1</x:v>
      </x:c>
      <x:c r="H2294" s="12" t="str">
        <x:v>Campus/portfolio roster; individual building occupancy unverified</x:v>
      </x:c>
      <x:c r="I2294" s="12" t="str">
        <x:v>Medium-scale prospects</x:v>
      </x:c>
      <x:c r="J2294" s="12" t="str">
        <x:v>Healthcare &amp; life sciences</x:v>
      </x:c>
      <x:c r="K2294" s="2" t="str">
        <x:v>PARTNER-M100</x:v>
      </x:c>
    </x:row>
    <x:row r="2295" ht="46" customHeight="1">
      <x:c r="A2295" s="2" t="str">
        <x:v>TEN-8EDB9C45B20E</x:v>
      </x:c>
      <x:c r="B2295" s="12" t="str">
        <x:v>Dr. Shetty's Aesthetic</x:v>
      </x:c>
      <x:c r="C2295" s="12" t="str">
        <x:v>CORP-0520</x:v>
      </x:c>
      <x:c r="D2295" s="12" t="str">
        <x:v>Bengaluru</x:v>
      </x:c>
      <x:c r="E2295" s="12" t="str">
        <x:v>Prestige Obelisk</x:v>
      </x:c>
      <x:c r="F2295" s="12" t="str">
        <x:v>55 inch</x:v>
      </x:c>
      <x:c r="G2295" s="20" t="n">
        <x:v>1</x:v>
      </x:c>
      <x:c r="H2295" s="12" t="str">
        <x:v>Campus/portfolio roster; individual building occupancy unverified</x:v>
      </x:c>
      <x:c r="I2295" s="12" t="str">
        <x:v>Medium-scale prospects</x:v>
      </x:c>
      <x:c r="J2295" s="12" t="str">
        <x:v>Healthcare &amp; life sciences</x:v>
      </x:c>
      <x:c r="K2295" s="2" t="str">
        <x:v>PARTNER-M100</x:v>
      </x:c>
    </x:row>
    <x:row r="2296" ht="46" customHeight="1">
      <x:c r="A2296" s="2" t="str">
        <x:v>TEN-907D11AE3179</x:v>
      </x:c>
      <x:c r="B2296" s="12" t="str">
        <x:v>Coface India</x:v>
      </x:c>
      <x:c r="C2296" s="12" t="str">
        <x:v>CORP-0520</x:v>
      </x:c>
      <x:c r="D2296" s="12" t="str">
        <x:v>Bengaluru</x:v>
      </x:c>
      <x:c r="E2296" s="12" t="str">
        <x:v>Prestige Obelisk</x:v>
      </x:c>
      <x:c r="F2296" s="12" t="str">
        <x:v>55 inch</x:v>
      </x:c>
      <x:c r="G2296" s="20" t="n">
        <x:v>1</x:v>
      </x:c>
      <x:c r="H2296" s="12" t="str">
        <x:v>Campus/portfolio roster; individual building occupancy unverified</x:v>
      </x:c>
      <x:c r="I2296" s="12" t="str">
        <x:v>Mixed business audience</x:v>
      </x:c>
      <x:c r="J2296" s="12" t="str">
        <x:v>Finance &amp; insurance</x:v>
      </x:c>
      <x:c r="K2296" s="2" t="str">
        <x:v>PARTNER-M100</x:v>
      </x:c>
    </x:row>
    <x:row r="2297" ht="46" customHeight="1">
      <x:c r="A2297" s="2" t="str">
        <x:v>TEN-A04E8DBF862F</x:v>
      </x:c>
      <x:c r="B2297" s="12" t="str">
        <x:v>Cigna TTK Health Insurance Company Ltd</x:v>
      </x:c>
      <x:c r="C2297" s="12" t="str">
        <x:v>CORP-0520</x:v>
      </x:c>
      <x:c r="D2297" s="12" t="str">
        <x:v>Bengaluru</x:v>
      </x:c>
      <x:c r="E2297" s="12" t="str">
        <x:v>Prestige Obelisk</x:v>
      </x:c>
      <x:c r="F2297" s="12" t="str">
        <x:v>55 inch</x:v>
      </x:c>
      <x:c r="G2297" s="20" t="n">
        <x:v>1</x:v>
      </x:c>
      <x:c r="H2297" s="12" t="str">
        <x:v>Campus/portfolio roster; individual building occupancy unverified</x:v>
      </x:c>
      <x:c r="I2297" s="12" t="str">
        <x:v>Mixed business audience</x:v>
      </x:c>
      <x:c r="J2297" s="12" t="str">
        <x:v>Finance &amp; insurance</x:v>
      </x:c>
      <x:c r="K2297" s="2" t="str">
        <x:v>PARTNER-M100</x:v>
      </x:c>
    </x:row>
    <x:row r="2298" ht="46" customHeight="1">
      <x:c r="A2298" s="2" t="str">
        <x:v>TEN-A7F7AF8EB3A5</x:v>
      </x:c>
      <x:c r="B2298" s="12" t="str">
        <x:v>Flicker projects Pvt. Ltd</x:v>
      </x:c>
      <x:c r="C2298" s="12" t="str">
        <x:v>CORP-0520</x:v>
      </x:c>
      <x:c r="D2298" s="12" t="str">
        <x:v>Bengaluru</x:v>
      </x:c>
      <x:c r="E2298" s="12" t="str">
        <x:v>Prestige Obelisk</x:v>
      </x:c>
      <x:c r="F2298" s="12" t="str">
        <x:v>55 inch</x:v>
      </x:c>
      <x:c r="G2298" s="20" t="n">
        <x:v>1</x:v>
      </x:c>
      <x:c r="H2298" s="12" t="str">
        <x:v>Campus/portfolio roster; individual building occupancy unverified</x:v>
      </x:c>
      <x:c r="I2298" s="12" t="str">
        <x:v>Mixed business audience</x:v>
      </x:c>
      <x:c r="J2298" s="12" t="str">
        <x:v>Unresolved</x:v>
      </x:c>
      <x:c r="K2298" s="2" t="str">
        <x:v>PARTNER-M100</x:v>
      </x:c>
    </x:row>
    <x:row r="2299" ht="46" customHeight="1">
      <x:c r="A2299" s="2" t="str">
        <x:v>TEN-AABF376657C0</x:v>
      </x:c>
      <x:c r="B2299" s="12" t="str">
        <x:v>JK Cement Ltd</x:v>
      </x:c>
      <x:c r="C2299" s="12" t="str">
        <x:v>CORP-0520</x:v>
      </x:c>
      <x:c r="D2299" s="12" t="str">
        <x:v>Bengaluru</x:v>
      </x:c>
      <x:c r="E2299" s="12" t="str">
        <x:v>Prestige Obelisk</x:v>
      </x:c>
      <x:c r="F2299" s="12" t="str">
        <x:v>55 inch</x:v>
      </x:c>
      <x:c r="G2299" s="20" t="n">
        <x:v>1</x:v>
      </x:c>
      <x:c r="H2299" s="12" t="str">
        <x:v>Campus/portfolio roster; individual building occupancy unverified</x:v>
      </x:c>
      <x:c r="I2299" s="12" t="str">
        <x:v>Mixed business audience</x:v>
      </x:c>
      <x:c r="J2299" s="12" t="str">
        <x:v>Engineering &amp; manufacturing</x:v>
      </x:c>
      <x:c r="K2299" s="2" t="str">
        <x:v>PARTNER-M100</x:v>
      </x:c>
    </x:row>
    <x:row r="2300" ht="46" customHeight="1">
      <x:c r="A2300" s="2" t="str">
        <x:v>TEN-B3FD6E87E781</x:v>
      </x:c>
      <x:c r="B2300" s="12" t="str">
        <x:v>Eaton Technologies Pvt. Ltd</x:v>
      </x:c>
      <x:c r="C2300" s="12" t="str">
        <x:v>CORP-0520</x:v>
      </x:c>
      <x:c r="D2300" s="12" t="str">
        <x:v>Bengaluru</x:v>
      </x:c>
      <x:c r="E2300" s="12" t="str">
        <x:v>Prestige Obelisk</x:v>
      </x:c>
      <x:c r="F2300" s="12" t="str">
        <x:v>55 inch</x:v>
      </x:c>
      <x:c r="G2300" s="20" t="n">
        <x:v>1</x:v>
      </x:c>
      <x:c r="H2300" s="12" t="str">
        <x:v>Campus/portfolio roster; individual building occupancy unverified</x:v>
      </x:c>
      <x:c r="I2300" s="12" t="str">
        <x:v>Mixed business audience</x:v>
      </x:c>
      <x:c r="J2300" s="12" t="str">
        <x:v>Engineering &amp; manufacturing</x:v>
      </x:c>
      <x:c r="K2300" s="2" t="str">
        <x:v>PARTNER-M100</x:v>
      </x:c>
    </x:row>
    <x:row r="2301" ht="46" customHeight="1">
      <x:c r="A2301" s="2" t="str">
        <x:v>TEN-D6FCC16B02C8</x:v>
      </x:c>
      <x:c r="B2301" s="12" t="str">
        <x:v>Lake Chemicals Pvt. Ltd</x:v>
      </x:c>
      <x:c r="C2301" s="12" t="str">
        <x:v>CORP-0520</x:v>
      </x:c>
      <x:c r="D2301" s="12" t="str">
        <x:v>Bengaluru</x:v>
      </x:c>
      <x:c r="E2301" s="12" t="str">
        <x:v>Prestige Obelisk</x:v>
      </x:c>
      <x:c r="F2301" s="12" t="str">
        <x:v>55 inch</x:v>
      </x:c>
      <x:c r="G2301" s="20" t="n">
        <x:v>1</x:v>
      </x:c>
      <x:c r="H2301" s="12" t="str">
        <x:v>Campus/portfolio roster; individual building occupancy unverified</x:v>
      </x:c>
      <x:c r="I2301" s="12" t="str">
        <x:v>Medium-scale prospects</x:v>
      </x:c>
      <x:c r="J2301" s="12" t="str">
        <x:v>Engineering &amp; manufacturing</x:v>
      </x:c>
      <x:c r="K2301" s="2" t="str">
        <x:v>PARTNER-M100</x:v>
      </x:c>
    </x:row>
    <x:row r="2302" ht="46" customHeight="1">
      <x:c r="A2302" s="2" t="str">
        <x:v>TEN-E9968F77222F</x:v>
      </x:c>
      <x:c r="B2302" s="12" t="str">
        <x:v>JSA Advocates and Solicitors</x:v>
      </x:c>
      <x:c r="C2302" s="12" t="str">
        <x:v>CORP-0520</x:v>
      </x:c>
      <x:c r="D2302" s="12" t="str">
        <x:v>Bengaluru</x:v>
      </x:c>
      <x:c r="E2302" s="12" t="str">
        <x:v>Prestige Obelisk</x:v>
      </x:c>
      <x:c r="F2302" s="12" t="str">
        <x:v>55 inch</x:v>
      </x:c>
      <x:c r="G2302" s="20" t="n">
        <x:v>1</x:v>
      </x:c>
      <x:c r="H2302" s="12" t="str">
        <x:v>Campus/portfolio roster; individual building occupancy unverified</x:v>
      </x:c>
      <x:c r="I2302" s="12" t="str">
        <x:v>Large enterprise</x:v>
      </x:c>
      <x:c r="J2302" s="12" t="str">
        <x:v>Professional services</x:v>
      </x:c>
      <x:c r="K2302" s="2" t="str">
        <x:v>PARTNER-M100</x:v>
      </x:c>
    </x:row>
    <x:row r="2303" ht="46" customHeight="1">
      <x:c r="A2303" s="2" t="str">
        <x:v>TEN-05C3EA2B409C</x:v>
      </x:c>
      <x:c r="B2303" s="12" t="str">
        <x:v>IndusViva HealthSciences Pvt. Ltd</x:v>
      </x:c>
      <x:c r="C2303" s="12" t="str">
        <x:v>CORP-0521</x:v>
      </x:c>
      <x:c r="D2303" s="12" t="str">
        <x:v>Bengaluru</x:v>
      </x:c>
      <x:c r="E2303" s="12" t="str">
        <x:v>Prestige Atrium</x:v>
      </x:c>
      <x:c r="F2303" s="12" t="str">
        <x:v>55 inch</x:v>
      </x:c>
      <x:c r="G2303" s="20" t="n">
        <x:v>1</x:v>
      </x:c>
      <x:c r="H2303" s="12" t="str">
        <x:v>Campus/portfolio roster; individual building occupancy unverified</x:v>
      </x:c>
      <x:c r="I2303" s="12" t="str">
        <x:v>Small-scale prospects</x:v>
      </x:c>
      <x:c r="J2303" s="12" t="str">
        <x:v>Healthcare &amp; life sciences</x:v>
      </x:c>
      <x:c r="K2303" s="2" t="str">
        <x:v>PARTNER-M100</x:v>
      </x:c>
    </x:row>
    <x:row r="2304" ht="46" customHeight="1">
      <x:c r="A2304" s="2" t="str">
        <x:v>TEN-13258F6CB706</x:v>
      </x:c>
      <x:c r="B2304" s="12" t="str">
        <x:v>Urban Vault</x:v>
      </x:c>
      <x:c r="C2304" s="12" t="str">
        <x:v>CORP-0521</x:v>
      </x:c>
      <x:c r="D2304" s="12" t="str">
        <x:v>Bengaluru</x:v>
      </x:c>
      <x:c r="E2304" s="12" t="str">
        <x:v>Prestige Atrium</x:v>
      </x:c>
      <x:c r="F2304" s="12" t="str">
        <x:v>55 inch</x:v>
      </x:c>
      <x:c r="G2304" s="20" t="n">
        <x:v>1</x:v>
      </x:c>
      <x:c r="H2304" s="12" t="str">
        <x:v>Campus/portfolio roster; individual building occupancy unverified</x:v>
      </x:c>
      <x:c r="I2304" s="12" t="str">
        <x:v>Mixed business audience</x:v>
      </x:c>
      <x:c r="J2304" s="12" t="str">
        <x:v>Workspace &amp; property operations</x:v>
      </x:c>
      <x:c r="K2304" s="2" t="str">
        <x:v>PARTNER-M100</x:v>
      </x:c>
    </x:row>
    <x:row r="2305" ht="46" customHeight="1">
      <x:c r="A2305" s="2" t="str">
        <x:v>TEN-1C593F87A18C</x:v>
      </x:c>
      <x:c r="B2305" s="12" t="str">
        <x:v>Yes Bank</x:v>
      </x:c>
      <x:c r="C2305" s="12" t="str">
        <x:v>CORP-0521</x:v>
      </x:c>
      <x:c r="D2305" s="12" t="str">
        <x:v>Bengaluru</x:v>
      </x:c>
      <x:c r="E2305" s="12" t="str">
        <x:v>Prestige Atrium</x:v>
      </x:c>
      <x:c r="F2305" s="12" t="str">
        <x:v>55 inch</x:v>
      </x:c>
      <x:c r="G2305" s="20" t="n">
        <x:v>1</x:v>
      </x:c>
      <x:c r="H2305" s="12" t="str">
        <x:v>Campus/portfolio roster; individual building occupancy unverified</x:v>
      </x:c>
      <x:c r="I2305" s="12" t="str">
        <x:v>Large enterprise</x:v>
      </x:c>
      <x:c r="J2305" s="12" t="str">
        <x:v>Finance &amp; insurance</x:v>
      </x:c>
      <x:c r="K2305" s="2" t="str">
        <x:v>PARTNER-M100</x:v>
      </x:c>
    </x:row>
    <x:row r="2306" ht="46" customHeight="1">
      <x:c r="A2306" s="2" t="str">
        <x:v>TEN-2E1A93A8B010</x:v>
      </x:c>
      <x:c r="B2306" s="12" t="str">
        <x:v>Borqs Software Solutions</x:v>
      </x:c>
      <x:c r="C2306" s="12" t="str">
        <x:v>CORP-0521</x:v>
      </x:c>
      <x:c r="D2306" s="12" t="str">
        <x:v>Bengaluru</x:v>
      </x:c>
      <x:c r="E2306" s="12" t="str">
        <x:v>Prestige Atrium</x:v>
      </x:c>
      <x:c r="F2306" s="12" t="str">
        <x:v>55 inch</x:v>
      </x:c>
      <x:c r="G2306" s="20" t="n">
        <x:v>1</x:v>
      </x:c>
      <x:c r="H2306" s="12" t="str">
        <x:v>Campus/portfolio roster; individual building occupancy unverified</x:v>
      </x:c>
      <x:c r="I2306" s="12" t="str">
        <x:v>Small-scale prospects</x:v>
      </x:c>
      <x:c r="J2306" s="12" t="str">
        <x:v>IT &amp; digital</x:v>
      </x:c>
      <x:c r="K2306" s="2" t="str">
        <x:v>PARTNER-M100</x:v>
      </x:c>
    </x:row>
    <x:row r="2307" ht="46" customHeight="1">
      <x:c r="A2307" s="2" t="str">
        <x:v>TEN-47445949BEEF</x:v>
      </x:c>
      <x:c r="B2307" s="12" t="str">
        <x:v>Yamazaki Mazak India Pvt. Ltd</x:v>
      </x:c>
      <x:c r="C2307" s="12" t="str">
        <x:v>CORP-0521</x:v>
      </x:c>
      <x:c r="D2307" s="12" t="str">
        <x:v>Bengaluru</x:v>
      </x:c>
      <x:c r="E2307" s="12" t="str">
        <x:v>Prestige Atrium</x:v>
      </x:c>
      <x:c r="F2307" s="12" t="str">
        <x:v>55 inch</x:v>
      </x:c>
      <x:c r="G2307" s="20" t="n">
        <x:v>1</x:v>
      </x:c>
      <x:c r="H2307" s="12" t="str">
        <x:v>Campus/portfolio roster; individual building occupancy unverified</x:v>
      </x:c>
      <x:c r="I2307" s="12" t="str">
        <x:v>Mixed business audience</x:v>
      </x:c>
      <x:c r="J2307" s="12" t="str">
        <x:v>Engineering &amp; manufacturing</x:v>
      </x:c>
      <x:c r="K2307" s="2" t="str">
        <x:v>PARTNER-M100</x:v>
      </x:c>
    </x:row>
    <x:row r="2308" ht="46" customHeight="1">
      <x:c r="A2308" s="2" t="str">
        <x:v>TEN-6CF5FB813A56</x:v>
      </x:c>
      <x:c r="B2308" s="12" t="str">
        <x:v>German Consulate General</x:v>
      </x:c>
      <x:c r="C2308" s="12" t="str">
        <x:v>CORP-0521</x:v>
      </x:c>
      <x:c r="D2308" s="12" t="str">
        <x:v>Bengaluru</x:v>
      </x:c>
      <x:c r="E2308" s="12" t="str">
        <x:v>Prestige Atrium</x:v>
      </x:c>
      <x:c r="F2308" s="12" t="str">
        <x:v>55 inch</x:v>
      </x:c>
      <x:c r="G2308" s="20" t="n">
        <x:v>1</x:v>
      </x:c>
      <x:c r="H2308" s="12" t="str">
        <x:v>Campus/portfolio roster; individual building occupancy unverified</x:v>
      </x:c>
      <x:c r="I2308" s="12" t="str">
        <x:v>Institutional</x:v>
      </x:c>
      <x:c r="J2308" s="12" t="str">
        <x:v>Government &amp; nonprofit</x:v>
      </x:c>
      <x:c r="K2308" s="2" t="str">
        <x:v>PARTNER-M100</x:v>
      </x:c>
    </x:row>
    <x:row r="2309" ht="46" customHeight="1">
      <x:c r="A2309" s="2" t="str">
        <x:v>TEN-7D7278F45745</x:v>
      </x:c>
      <x:c r="B2309" s="12" t="str">
        <x:v>Thermo Fisher Scientific India</x:v>
      </x:c>
      <x:c r="C2309" s="12" t="str">
        <x:v>CORP-0521</x:v>
      </x:c>
      <x:c r="D2309" s="12" t="str">
        <x:v>Bengaluru</x:v>
      </x:c>
      <x:c r="E2309" s="12" t="str">
        <x:v>Prestige Atrium</x:v>
      </x:c>
      <x:c r="F2309" s="12" t="str">
        <x:v>55 inch</x:v>
      </x:c>
      <x:c r="G2309" s="20" t="n">
        <x:v>1</x:v>
      </x:c>
      <x:c r="H2309" s="12" t="str">
        <x:v>Campus/portfolio roster; individual building occupancy unverified</x:v>
      </x:c>
      <x:c r="I2309" s="12" t="str">
        <x:v>Mixed business audience</x:v>
      </x:c>
      <x:c r="J2309" s="12" t="str">
        <x:v>Healthcare &amp; life sciences</x:v>
      </x:c>
      <x:c r="K2309" s="2" t="str">
        <x:v>PARTNER-M100</x:v>
      </x:c>
    </x:row>
    <x:row r="2310" ht="46" customHeight="1">
      <x:c r="A2310" s="2" t="str">
        <x:v>TEN-8A72227343A9</x:v>
      </x:c>
      <x:c r="B2310" s="12" t="str">
        <x:v>The Cash Pharmacy</x:v>
      </x:c>
      <x:c r="C2310" s="12" t="str">
        <x:v>CORP-0521</x:v>
      </x:c>
      <x:c r="D2310" s="12" t="str">
        <x:v>Bengaluru</x:v>
      </x:c>
      <x:c r="E2310" s="12" t="str">
        <x:v>Prestige Atrium</x:v>
      </x:c>
      <x:c r="F2310" s="12" t="str">
        <x:v>55 inch</x:v>
      </x:c>
      <x:c r="G2310" s="20" t="n">
        <x:v>1</x:v>
      </x:c>
      <x:c r="H2310" s="12" t="str">
        <x:v>Campus/portfolio roster; individual building occupancy unverified</x:v>
      </x:c>
      <x:c r="I2310" s="12" t="str">
        <x:v>Medium-scale prospects</x:v>
      </x:c>
      <x:c r="J2310" s="12" t="str">
        <x:v>Healthcare &amp; life sciences</x:v>
      </x:c>
      <x:c r="K2310" s="2" t="str">
        <x:v>PARTNER-M100</x:v>
      </x:c>
    </x:row>
    <x:row r="2311" ht="46" customHeight="1">
      <x:c r="A2311" s="2" t="str">
        <x:v>TEN-8EDB9C45B20E</x:v>
      </x:c>
      <x:c r="B2311" s="12" t="str">
        <x:v>Dr. Shetty's Aesthetic</x:v>
      </x:c>
      <x:c r="C2311" s="12" t="str">
        <x:v>CORP-0521</x:v>
      </x:c>
      <x:c r="D2311" s="12" t="str">
        <x:v>Bengaluru</x:v>
      </x:c>
      <x:c r="E2311" s="12" t="str">
        <x:v>Prestige Atrium</x:v>
      </x:c>
      <x:c r="F2311" s="12" t="str">
        <x:v>55 inch</x:v>
      </x:c>
      <x:c r="G2311" s="20" t="n">
        <x:v>1</x:v>
      </x:c>
      <x:c r="H2311" s="12" t="str">
        <x:v>Campus/portfolio roster; individual building occupancy unverified</x:v>
      </x:c>
      <x:c r="I2311" s="12" t="str">
        <x:v>Medium-scale prospects</x:v>
      </x:c>
      <x:c r="J2311" s="12" t="str">
        <x:v>Healthcare &amp; life sciences</x:v>
      </x:c>
      <x:c r="K2311" s="2" t="str">
        <x:v>PARTNER-M100</x:v>
      </x:c>
    </x:row>
    <x:row r="2312" ht="46" customHeight="1">
      <x:c r="A2312" s="2" t="str">
        <x:v>TEN-907D11AE3179</x:v>
      </x:c>
      <x:c r="B2312" s="12" t="str">
        <x:v>Coface India</x:v>
      </x:c>
      <x:c r="C2312" s="12" t="str">
        <x:v>CORP-0521</x:v>
      </x:c>
      <x:c r="D2312" s="12" t="str">
        <x:v>Bengaluru</x:v>
      </x:c>
      <x:c r="E2312" s="12" t="str">
        <x:v>Prestige Atrium</x:v>
      </x:c>
      <x:c r="F2312" s="12" t="str">
        <x:v>55 inch</x:v>
      </x:c>
      <x:c r="G2312" s="20" t="n">
        <x:v>1</x:v>
      </x:c>
      <x:c r="H2312" s="12" t="str">
        <x:v>Campus/portfolio roster; individual building occupancy unverified</x:v>
      </x:c>
      <x:c r="I2312" s="12" t="str">
        <x:v>Mixed business audience</x:v>
      </x:c>
      <x:c r="J2312" s="12" t="str">
        <x:v>Finance &amp; insurance</x:v>
      </x:c>
      <x:c r="K2312" s="2" t="str">
        <x:v>PARTNER-M100</x:v>
      </x:c>
    </x:row>
    <x:row r="2313" ht="46" customHeight="1">
      <x:c r="A2313" s="2" t="str">
        <x:v>TEN-A04E8DBF862F</x:v>
      </x:c>
      <x:c r="B2313" s="12" t="str">
        <x:v>Cigna TTK Health Insurance Company Ltd</x:v>
      </x:c>
      <x:c r="C2313" s="12" t="str">
        <x:v>CORP-0521</x:v>
      </x:c>
      <x:c r="D2313" s="12" t="str">
        <x:v>Bengaluru</x:v>
      </x:c>
      <x:c r="E2313" s="12" t="str">
        <x:v>Prestige Atrium</x:v>
      </x:c>
      <x:c r="F2313" s="12" t="str">
        <x:v>55 inch</x:v>
      </x:c>
      <x:c r="G2313" s="20" t="n">
        <x:v>1</x:v>
      </x:c>
      <x:c r="H2313" s="12" t="str">
        <x:v>Campus/portfolio roster; individual building occupancy unverified</x:v>
      </x:c>
      <x:c r="I2313" s="12" t="str">
        <x:v>Mixed business audience</x:v>
      </x:c>
      <x:c r="J2313" s="12" t="str">
        <x:v>Finance &amp; insurance</x:v>
      </x:c>
      <x:c r="K2313" s="2" t="str">
        <x:v>PARTNER-M100</x:v>
      </x:c>
    </x:row>
    <x:row r="2314" ht="46" customHeight="1">
      <x:c r="A2314" s="2" t="str">
        <x:v>TEN-A7F7AF8EB3A5</x:v>
      </x:c>
      <x:c r="B2314" s="12" t="str">
        <x:v>Flicker projects Pvt. Ltd</x:v>
      </x:c>
      <x:c r="C2314" s="12" t="str">
        <x:v>CORP-0521</x:v>
      </x:c>
      <x:c r="D2314" s="12" t="str">
        <x:v>Bengaluru</x:v>
      </x:c>
      <x:c r="E2314" s="12" t="str">
        <x:v>Prestige Atrium</x:v>
      </x:c>
      <x:c r="F2314" s="12" t="str">
        <x:v>55 inch</x:v>
      </x:c>
      <x:c r="G2314" s="20" t="n">
        <x:v>1</x:v>
      </x:c>
      <x:c r="H2314" s="12" t="str">
        <x:v>Campus/portfolio roster; individual building occupancy unverified</x:v>
      </x:c>
      <x:c r="I2314" s="12" t="str">
        <x:v>Mixed business audience</x:v>
      </x:c>
      <x:c r="J2314" s="12" t="str">
        <x:v>Unresolved</x:v>
      </x:c>
      <x:c r="K2314" s="2" t="str">
        <x:v>PARTNER-M100</x:v>
      </x:c>
    </x:row>
    <x:row r="2315" ht="46" customHeight="1">
      <x:c r="A2315" s="2" t="str">
        <x:v>TEN-AABF376657C0</x:v>
      </x:c>
      <x:c r="B2315" s="12" t="str">
        <x:v>JK Cement Ltd</x:v>
      </x:c>
      <x:c r="C2315" s="12" t="str">
        <x:v>CORP-0521</x:v>
      </x:c>
      <x:c r="D2315" s="12" t="str">
        <x:v>Bengaluru</x:v>
      </x:c>
      <x:c r="E2315" s="12" t="str">
        <x:v>Prestige Atrium</x:v>
      </x:c>
      <x:c r="F2315" s="12" t="str">
        <x:v>55 inch</x:v>
      </x:c>
      <x:c r="G2315" s="20" t="n">
        <x:v>1</x:v>
      </x:c>
      <x:c r="H2315" s="12" t="str">
        <x:v>Campus/portfolio roster; individual building occupancy unverified</x:v>
      </x:c>
      <x:c r="I2315" s="12" t="str">
        <x:v>Mixed business audience</x:v>
      </x:c>
      <x:c r="J2315" s="12" t="str">
        <x:v>Engineering &amp; manufacturing</x:v>
      </x:c>
      <x:c r="K2315" s="2" t="str">
        <x:v>PARTNER-M100</x:v>
      </x:c>
    </x:row>
    <x:row r="2316" ht="46" customHeight="1">
      <x:c r="A2316" s="2" t="str">
        <x:v>TEN-B3FD6E87E781</x:v>
      </x:c>
      <x:c r="B2316" s="12" t="str">
        <x:v>Eaton Technologies Pvt. Ltd</x:v>
      </x:c>
      <x:c r="C2316" s="12" t="str">
        <x:v>CORP-0521</x:v>
      </x:c>
      <x:c r="D2316" s="12" t="str">
        <x:v>Bengaluru</x:v>
      </x:c>
      <x:c r="E2316" s="12" t="str">
        <x:v>Prestige Atrium</x:v>
      </x:c>
      <x:c r="F2316" s="12" t="str">
        <x:v>55 inch</x:v>
      </x:c>
      <x:c r="G2316" s="20" t="n">
        <x:v>1</x:v>
      </x:c>
      <x:c r="H2316" s="12" t="str">
        <x:v>Campus/portfolio roster; individual building occupancy unverified</x:v>
      </x:c>
      <x:c r="I2316" s="12" t="str">
        <x:v>Mixed business audience</x:v>
      </x:c>
      <x:c r="J2316" s="12" t="str">
        <x:v>Engineering &amp; manufacturing</x:v>
      </x:c>
      <x:c r="K2316" s="2" t="str">
        <x:v>PARTNER-M100</x:v>
      </x:c>
    </x:row>
    <x:row r="2317" ht="46" customHeight="1">
      <x:c r="A2317" s="2" t="str">
        <x:v>TEN-D6FCC16B02C8</x:v>
      </x:c>
      <x:c r="B2317" s="12" t="str">
        <x:v>Lake Chemicals Pvt. Ltd</x:v>
      </x:c>
      <x:c r="C2317" s="12" t="str">
        <x:v>CORP-0521</x:v>
      </x:c>
      <x:c r="D2317" s="12" t="str">
        <x:v>Bengaluru</x:v>
      </x:c>
      <x:c r="E2317" s="12" t="str">
        <x:v>Prestige Atrium</x:v>
      </x:c>
      <x:c r="F2317" s="12" t="str">
        <x:v>55 inch</x:v>
      </x:c>
      <x:c r="G2317" s="20" t="n">
        <x:v>1</x:v>
      </x:c>
      <x:c r="H2317" s="12" t="str">
        <x:v>Campus/portfolio roster; individual building occupancy unverified</x:v>
      </x:c>
      <x:c r="I2317" s="12" t="str">
        <x:v>Medium-scale prospects</x:v>
      </x:c>
      <x:c r="J2317" s="12" t="str">
        <x:v>Engineering &amp; manufacturing</x:v>
      </x:c>
      <x:c r="K2317" s="2" t="str">
        <x:v>PARTNER-M100</x:v>
      </x:c>
    </x:row>
    <x:row r="2318" ht="46" customHeight="1">
      <x:c r="A2318" s="2" t="str">
        <x:v>TEN-E9968F77222F</x:v>
      </x:c>
      <x:c r="B2318" s="12" t="str">
        <x:v>JSA Advocates and Solicitors</x:v>
      </x:c>
      <x:c r="C2318" s="12" t="str">
        <x:v>CORP-0521</x:v>
      </x:c>
      <x:c r="D2318" s="12" t="str">
        <x:v>Bengaluru</x:v>
      </x:c>
      <x:c r="E2318" s="12" t="str">
        <x:v>Prestige Atrium</x:v>
      </x:c>
      <x:c r="F2318" s="12" t="str">
        <x:v>55 inch</x:v>
      </x:c>
      <x:c r="G2318" s="20" t="n">
        <x:v>1</x:v>
      </x:c>
      <x:c r="H2318" s="12" t="str">
        <x:v>Campus/portfolio roster; individual building occupancy unverified</x:v>
      </x:c>
      <x:c r="I2318" s="12" t="str">
        <x:v>Large enterprise</x:v>
      </x:c>
      <x:c r="J2318" s="12" t="str">
        <x:v>Professional services</x:v>
      </x:c>
      <x:c r="K2318" s="2" t="str">
        <x:v>PARTNER-M100</x:v>
      </x:c>
    </x:row>
    <x:row r="2319" ht="46" customHeight="1">
      <x:c r="A2319" s="2" t="str">
        <x:v>TEN-05C3EA2B409C</x:v>
      </x:c>
      <x:c r="B2319" s="12" t="str">
        <x:v>IndusViva HealthSciences Pvt. Ltd</x:v>
      </x:c>
      <x:c r="C2319" s="12" t="str">
        <x:v>CORP-0522</x:v>
      </x:c>
      <x:c r="D2319" s="12" t="str">
        <x:v>Bengaluru</x:v>
      </x:c>
      <x:c r="E2319" s="12" t="str">
        <x:v>Prestige Atrium</x:v>
      </x:c>
      <x:c r="F2319" s="12" t="str">
        <x:v>55 inch</x:v>
      </x:c>
      <x:c r="G2319" s="20" t="n">
        <x:v>1</x:v>
      </x:c>
      <x:c r="H2319" s="12" t="str">
        <x:v>Campus/portfolio roster; individual building occupancy unverified</x:v>
      </x:c>
      <x:c r="I2319" s="12" t="str">
        <x:v>Small-scale prospects</x:v>
      </x:c>
      <x:c r="J2319" s="12" t="str">
        <x:v>Healthcare &amp; life sciences</x:v>
      </x:c>
      <x:c r="K2319" s="2" t="str">
        <x:v>PARTNER-M100</x:v>
      </x:c>
    </x:row>
    <x:row r="2320" ht="46" customHeight="1">
      <x:c r="A2320" s="2" t="str">
        <x:v>TEN-13258F6CB706</x:v>
      </x:c>
      <x:c r="B2320" s="12" t="str">
        <x:v>Urban Vault</x:v>
      </x:c>
      <x:c r="C2320" s="12" t="str">
        <x:v>CORP-0522</x:v>
      </x:c>
      <x:c r="D2320" s="12" t="str">
        <x:v>Bengaluru</x:v>
      </x:c>
      <x:c r="E2320" s="12" t="str">
        <x:v>Prestige Atrium</x:v>
      </x:c>
      <x:c r="F2320" s="12" t="str">
        <x:v>55 inch</x:v>
      </x:c>
      <x:c r="G2320" s="20" t="n">
        <x:v>1</x:v>
      </x:c>
      <x:c r="H2320" s="12" t="str">
        <x:v>Campus/portfolio roster; individual building occupancy unverified</x:v>
      </x:c>
      <x:c r="I2320" s="12" t="str">
        <x:v>Mixed business audience</x:v>
      </x:c>
      <x:c r="J2320" s="12" t="str">
        <x:v>Workspace &amp; property operations</x:v>
      </x:c>
      <x:c r="K2320" s="2" t="str">
        <x:v>PARTNER-M100</x:v>
      </x:c>
    </x:row>
    <x:row r="2321" ht="46" customHeight="1">
      <x:c r="A2321" s="2" t="str">
        <x:v>TEN-1C593F87A18C</x:v>
      </x:c>
      <x:c r="B2321" s="12" t="str">
        <x:v>Yes Bank</x:v>
      </x:c>
      <x:c r="C2321" s="12" t="str">
        <x:v>CORP-0522</x:v>
      </x:c>
      <x:c r="D2321" s="12" t="str">
        <x:v>Bengaluru</x:v>
      </x:c>
      <x:c r="E2321" s="12" t="str">
        <x:v>Prestige Atrium</x:v>
      </x:c>
      <x:c r="F2321" s="12" t="str">
        <x:v>55 inch</x:v>
      </x:c>
      <x:c r="G2321" s="20" t="n">
        <x:v>1</x:v>
      </x:c>
      <x:c r="H2321" s="12" t="str">
        <x:v>Campus/portfolio roster; individual building occupancy unverified</x:v>
      </x:c>
      <x:c r="I2321" s="12" t="str">
        <x:v>Large enterprise</x:v>
      </x:c>
      <x:c r="J2321" s="12" t="str">
        <x:v>Finance &amp; insurance</x:v>
      </x:c>
      <x:c r="K2321" s="2" t="str">
        <x:v>PARTNER-M100</x:v>
      </x:c>
    </x:row>
    <x:row r="2322" ht="46" customHeight="1">
      <x:c r="A2322" s="2" t="str">
        <x:v>TEN-2E1A93A8B010</x:v>
      </x:c>
      <x:c r="B2322" s="12" t="str">
        <x:v>Borqs Software Solutions</x:v>
      </x:c>
      <x:c r="C2322" s="12" t="str">
        <x:v>CORP-0522</x:v>
      </x:c>
      <x:c r="D2322" s="12" t="str">
        <x:v>Bengaluru</x:v>
      </x:c>
      <x:c r="E2322" s="12" t="str">
        <x:v>Prestige Atrium</x:v>
      </x:c>
      <x:c r="F2322" s="12" t="str">
        <x:v>55 inch</x:v>
      </x:c>
      <x:c r="G2322" s="20" t="n">
        <x:v>1</x:v>
      </x:c>
      <x:c r="H2322" s="12" t="str">
        <x:v>Campus/portfolio roster; individual building occupancy unverified</x:v>
      </x:c>
      <x:c r="I2322" s="12" t="str">
        <x:v>Small-scale prospects</x:v>
      </x:c>
      <x:c r="J2322" s="12" t="str">
        <x:v>IT &amp; digital</x:v>
      </x:c>
      <x:c r="K2322" s="2" t="str">
        <x:v>PARTNER-M100</x:v>
      </x:c>
    </x:row>
    <x:row r="2323" ht="46" customHeight="1">
      <x:c r="A2323" s="2" t="str">
        <x:v>TEN-47445949BEEF</x:v>
      </x:c>
      <x:c r="B2323" s="12" t="str">
        <x:v>Yamazaki Mazak India Pvt. Ltd</x:v>
      </x:c>
      <x:c r="C2323" s="12" t="str">
        <x:v>CORP-0522</x:v>
      </x:c>
      <x:c r="D2323" s="12" t="str">
        <x:v>Bengaluru</x:v>
      </x:c>
      <x:c r="E2323" s="12" t="str">
        <x:v>Prestige Atrium</x:v>
      </x:c>
      <x:c r="F2323" s="12" t="str">
        <x:v>55 inch</x:v>
      </x:c>
      <x:c r="G2323" s="20" t="n">
        <x:v>1</x:v>
      </x:c>
      <x:c r="H2323" s="12" t="str">
        <x:v>Campus/portfolio roster; individual building occupancy unverified</x:v>
      </x:c>
      <x:c r="I2323" s="12" t="str">
        <x:v>Mixed business audience</x:v>
      </x:c>
      <x:c r="J2323" s="12" t="str">
        <x:v>Engineering &amp; manufacturing</x:v>
      </x:c>
      <x:c r="K2323" s="2" t="str">
        <x:v>PARTNER-M100</x:v>
      </x:c>
    </x:row>
    <x:row r="2324" ht="46" customHeight="1">
      <x:c r="A2324" s="2" t="str">
        <x:v>TEN-6CF5FB813A56</x:v>
      </x:c>
      <x:c r="B2324" s="12" t="str">
        <x:v>German Consulate General</x:v>
      </x:c>
      <x:c r="C2324" s="12" t="str">
        <x:v>CORP-0522</x:v>
      </x:c>
      <x:c r="D2324" s="12" t="str">
        <x:v>Bengaluru</x:v>
      </x:c>
      <x:c r="E2324" s="12" t="str">
        <x:v>Prestige Atrium</x:v>
      </x:c>
      <x:c r="F2324" s="12" t="str">
        <x:v>55 inch</x:v>
      </x:c>
      <x:c r="G2324" s="20" t="n">
        <x:v>1</x:v>
      </x:c>
      <x:c r="H2324" s="12" t="str">
        <x:v>Campus/portfolio roster; individual building occupancy unverified</x:v>
      </x:c>
      <x:c r="I2324" s="12" t="str">
        <x:v>Institutional</x:v>
      </x:c>
      <x:c r="J2324" s="12" t="str">
        <x:v>Government &amp; nonprofit</x:v>
      </x:c>
      <x:c r="K2324" s="2" t="str">
        <x:v>PARTNER-M100</x:v>
      </x:c>
    </x:row>
    <x:row r="2325" ht="46" customHeight="1">
      <x:c r="A2325" s="2" t="str">
        <x:v>TEN-7D7278F45745</x:v>
      </x:c>
      <x:c r="B2325" s="12" t="str">
        <x:v>Thermo Fisher Scientific India</x:v>
      </x:c>
      <x:c r="C2325" s="12" t="str">
        <x:v>CORP-0522</x:v>
      </x:c>
      <x:c r="D2325" s="12" t="str">
        <x:v>Bengaluru</x:v>
      </x:c>
      <x:c r="E2325" s="12" t="str">
        <x:v>Prestige Atrium</x:v>
      </x:c>
      <x:c r="F2325" s="12" t="str">
        <x:v>55 inch</x:v>
      </x:c>
      <x:c r="G2325" s="20" t="n">
        <x:v>1</x:v>
      </x:c>
      <x:c r="H2325" s="12" t="str">
        <x:v>Campus/portfolio roster; individual building occupancy unverified</x:v>
      </x:c>
      <x:c r="I2325" s="12" t="str">
        <x:v>Mixed business audience</x:v>
      </x:c>
      <x:c r="J2325" s="12" t="str">
        <x:v>Healthcare &amp; life sciences</x:v>
      </x:c>
      <x:c r="K2325" s="2" t="str">
        <x:v>PARTNER-M100</x:v>
      </x:c>
    </x:row>
    <x:row r="2326" ht="46" customHeight="1">
      <x:c r="A2326" s="2" t="str">
        <x:v>TEN-8A72227343A9</x:v>
      </x:c>
      <x:c r="B2326" s="12" t="str">
        <x:v>The Cash Pharmacy</x:v>
      </x:c>
      <x:c r="C2326" s="12" t="str">
        <x:v>CORP-0522</x:v>
      </x:c>
      <x:c r="D2326" s="12" t="str">
        <x:v>Bengaluru</x:v>
      </x:c>
      <x:c r="E2326" s="12" t="str">
        <x:v>Prestige Atrium</x:v>
      </x:c>
      <x:c r="F2326" s="12" t="str">
        <x:v>55 inch</x:v>
      </x:c>
      <x:c r="G2326" s="20" t="n">
        <x:v>1</x:v>
      </x:c>
      <x:c r="H2326" s="12" t="str">
        <x:v>Campus/portfolio roster; individual building occupancy unverified</x:v>
      </x:c>
      <x:c r="I2326" s="12" t="str">
        <x:v>Medium-scale prospects</x:v>
      </x:c>
      <x:c r="J2326" s="12" t="str">
        <x:v>Healthcare &amp; life sciences</x:v>
      </x:c>
      <x:c r="K2326" s="2" t="str">
        <x:v>PARTNER-M100</x:v>
      </x:c>
    </x:row>
    <x:row r="2327" ht="46" customHeight="1">
      <x:c r="A2327" s="2" t="str">
        <x:v>TEN-8EDB9C45B20E</x:v>
      </x:c>
      <x:c r="B2327" s="12" t="str">
        <x:v>Dr. Shetty's Aesthetic</x:v>
      </x:c>
      <x:c r="C2327" s="12" t="str">
        <x:v>CORP-0522</x:v>
      </x:c>
      <x:c r="D2327" s="12" t="str">
        <x:v>Bengaluru</x:v>
      </x:c>
      <x:c r="E2327" s="12" t="str">
        <x:v>Prestige Atrium</x:v>
      </x:c>
      <x:c r="F2327" s="12" t="str">
        <x:v>55 inch</x:v>
      </x:c>
      <x:c r="G2327" s="20" t="n">
        <x:v>1</x:v>
      </x:c>
      <x:c r="H2327" s="12" t="str">
        <x:v>Campus/portfolio roster; individual building occupancy unverified</x:v>
      </x:c>
      <x:c r="I2327" s="12" t="str">
        <x:v>Medium-scale prospects</x:v>
      </x:c>
      <x:c r="J2327" s="12" t="str">
        <x:v>Healthcare &amp; life sciences</x:v>
      </x:c>
      <x:c r="K2327" s="2" t="str">
        <x:v>PARTNER-M100</x:v>
      </x:c>
    </x:row>
    <x:row r="2328" ht="46" customHeight="1">
      <x:c r="A2328" s="2" t="str">
        <x:v>TEN-907D11AE3179</x:v>
      </x:c>
      <x:c r="B2328" s="12" t="str">
        <x:v>Coface India</x:v>
      </x:c>
      <x:c r="C2328" s="12" t="str">
        <x:v>CORP-0522</x:v>
      </x:c>
      <x:c r="D2328" s="12" t="str">
        <x:v>Bengaluru</x:v>
      </x:c>
      <x:c r="E2328" s="12" t="str">
        <x:v>Prestige Atrium</x:v>
      </x:c>
      <x:c r="F2328" s="12" t="str">
        <x:v>55 inch</x:v>
      </x:c>
      <x:c r="G2328" s="20" t="n">
        <x:v>1</x:v>
      </x:c>
      <x:c r="H2328" s="12" t="str">
        <x:v>Campus/portfolio roster; individual building occupancy unverified</x:v>
      </x:c>
      <x:c r="I2328" s="12" t="str">
        <x:v>Mixed business audience</x:v>
      </x:c>
      <x:c r="J2328" s="12" t="str">
        <x:v>Finance &amp; insurance</x:v>
      </x:c>
      <x:c r="K2328" s="2" t="str">
        <x:v>PARTNER-M100</x:v>
      </x:c>
    </x:row>
    <x:row r="2329" ht="46" customHeight="1">
      <x:c r="A2329" s="2" t="str">
        <x:v>TEN-A04E8DBF862F</x:v>
      </x:c>
      <x:c r="B2329" s="12" t="str">
        <x:v>Cigna TTK Health Insurance Company Ltd</x:v>
      </x:c>
      <x:c r="C2329" s="12" t="str">
        <x:v>CORP-0522</x:v>
      </x:c>
      <x:c r="D2329" s="12" t="str">
        <x:v>Bengaluru</x:v>
      </x:c>
      <x:c r="E2329" s="12" t="str">
        <x:v>Prestige Atrium</x:v>
      </x:c>
      <x:c r="F2329" s="12" t="str">
        <x:v>55 inch</x:v>
      </x:c>
      <x:c r="G2329" s="20" t="n">
        <x:v>1</x:v>
      </x:c>
      <x:c r="H2329" s="12" t="str">
        <x:v>Campus/portfolio roster; individual building occupancy unverified</x:v>
      </x:c>
      <x:c r="I2329" s="12" t="str">
        <x:v>Mixed business audience</x:v>
      </x:c>
      <x:c r="J2329" s="12" t="str">
        <x:v>Finance &amp; insurance</x:v>
      </x:c>
      <x:c r="K2329" s="2" t="str">
        <x:v>PARTNER-M100</x:v>
      </x:c>
    </x:row>
    <x:row r="2330" ht="46" customHeight="1">
      <x:c r="A2330" s="2" t="str">
        <x:v>TEN-A7F7AF8EB3A5</x:v>
      </x:c>
      <x:c r="B2330" s="12" t="str">
        <x:v>Flicker projects Pvt. Ltd</x:v>
      </x:c>
      <x:c r="C2330" s="12" t="str">
        <x:v>CORP-0522</x:v>
      </x:c>
      <x:c r="D2330" s="12" t="str">
        <x:v>Bengaluru</x:v>
      </x:c>
      <x:c r="E2330" s="12" t="str">
        <x:v>Prestige Atrium</x:v>
      </x:c>
      <x:c r="F2330" s="12" t="str">
        <x:v>55 inch</x:v>
      </x:c>
      <x:c r="G2330" s="20" t="n">
        <x:v>1</x:v>
      </x:c>
      <x:c r="H2330" s="12" t="str">
        <x:v>Campus/portfolio roster; individual building occupancy unverified</x:v>
      </x:c>
      <x:c r="I2330" s="12" t="str">
        <x:v>Mixed business audience</x:v>
      </x:c>
      <x:c r="J2330" s="12" t="str">
        <x:v>Unresolved</x:v>
      </x:c>
      <x:c r="K2330" s="2" t="str">
        <x:v>PARTNER-M100</x:v>
      </x:c>
    </x:row>
    <x:row r="2331" ht="46" customHeight="1">
      <x:c r="A2331" s="2" t="str">
        <x:v>TEN-AABF376657C0</x:v>
      </x:c>
      <x:c r="B2331" s="12" t="str">
        <x:v>JK Cement Ltd</x:v>
      </x:c>
      <x:c r="C2331" s="12" t="str">
        <x:v>CORP-0522</x:v>
      </x:c>
      <x:c r="D2331" s="12" t="str">
        <x:v>Bengaluru</x:v>
      </x:c>
      <x:c r="E2331" s="12" t="str">
        <x:v>Prestige Atrium</x:v>
      </x:c>
      <x:c r="F2331" s="12" t="str">
        <x:v>55 inch</x:v>
      </x:c>
      <x:c r="G2331" s="20" t="n">
        <x:v>1</x:v>
      </x:c>
      <x:c r="H2331" s="12" t="str">
        <x:v>Campus/portfolio roster; individual building occupancy unverified</x:v>
      </x:c>
      <x:c r="I2331" s="12" t="str">
        <x:v>Mixed business audience</x:v>
      </x:c>
      <x:c r="J2331" s="12" t="str">
        <x:v>Engineering &amp; manufacturing</x:v>
      </x:c>
      <x:c r="K2331" s="2" t="str">
        <x:v>PARTNER-M100</x:v>
      </x:c>
    </x:row>
    <x:row r="2332" ht="46" customHeight="1">
      <x:c r="A2332" s="2" t="str">
        <x:v>TEN-B3FD6E87E781</x:v>
      </x:c>
      <x:c r="B2332" s="12" t="str">
        <x:v>Eaton Technologies Pvt. Ltd</x:v>
      </x:c>
      <x:c r="C2332" s="12" t="str">
        <x:v>CORP-0522</x:v>
      </x:c>
      <x:c r="D2332" s="12" t="str">
        <x:v>Bengaluru</x:v>
      </x:c>
      <x:c r="E2332" s="12" t="str">
        <x:v>Prestige Atrium</x:v>
      </x:c>
      <x:c r="F2332" s="12" t="str">
        <x:v>55 inch</x:v>
      </x:c>
      <x:c r="G2332" s="20" t="n">
        <x:v>1</x:v>
      </x:c>
      <x:c r="H2332" s="12" t="str">
        <x:v>Campus/portfolio roster; individual building occupancy unverified</x:v>
      </x:c>
      <x:c r="I2332" s="12" t="str">
        <x:v>Mixed business audience</x:v>
      </x:c>
      <x:c r="J2332" s="12" t="str">
        <x:v>Engineering &amp; manufacturing</x:v>
      </x:c>
      <x:c r="K2332" s="2" t="str">
        <x:v>PARTNER-M100</x:v>
      </x:c>
    </x:row>
    <x:row r="2333" ht="46" customHeight="1">
      <x:c r="A2333" s="2" t="str">
        <x:v>TEN-D6FCC16B02C8</x:v>
      </x:c>
      <x:c r="B2333" s="12" t="str">
        <x:v>Lake Chemicals Pvt. Ltd</x:v>
      </x:c>
      <x:c r="C2333" s="12" t="str">
        <x:v>CORP-0522</x:v>
      </x:c>
      <x:c r="D2333" s="12" t="str">
        <x:v>Bengaluru</x:v>
      </x:c>
      <x:c r="E2333" s="12" t="str">
        <x:v>Prestige Atrium</x:v>
      </x:c>
      <x:c r="F2333" s="12" t="str">
        <x:v>55 inch</x:v>
      </x:c>
      <x:c r="G2333" s="20" t="n">
        <x:v>1</x:v>
      </x:c>
      <x:c r="H2333" s="12" t="str">
        <x:v>Campus/portfolio roster; individual building occupancy unverified</x:v>
      </x:c>
      <x:c r="I2333" s="12" t="str">
        <x:v>Medium-scale prospects</x:v>
      </x:c>
      <x:c r="J2333" s="12" t="str">
        <x:v>Engineering &amp; manufacturing</x:v>
      </x:c>
      <x:c r="K2333" s="2" t="str">
        <x:v>PARTNER-M100</x:v>
      </x:c>
    </x:row>
    <x:row r="2334" ht="46" customHeight="1">
      <x:c r="A2334" s="2" t="str">
        <x:v>TEN-E9968F77222F</x:v>
      </x:c>
      <x:c r="B2334" s="12" t="str">
        <x:v>JSA Advocates and Solicitors</x:v>
      </x:c>
      <x:c r="C2334" s="12" t="str">
        <x:v>CORP-0522</x:v>
      </x:c>
      <x:c r="D2334" s="12" t="str">
        <x:v>Bengaluru</x:v>
      </x:c>
      <x:c r="E2334" s="12" t="str">
        <x:v>Prestige Atrium</x:v>
      </x:c>
      <x:c r="F2334" s="12" t="str">
        <x:v>55 inch</x:v>
      </x:c>
      <x:c r="G2334" s="20" t="n">
        <x:v>1</x:v>
      </x:c>
      <x:c r="H2334" s="12" t="str">
        <x:v>Campus/portfolio roster; individual building occupancy unverified</x:v>
      </x:c>
      <x:c r="I2334" s="12" t="str">
        <x:v>Large enterprise</x:v>
      </x:c>
      <x:c r="J2334" s="12" t="str">
        <x:v>Professional services</x:v>
      </x:c>
      <x:c r="K2334" s="2" t="str">
        <x:v>PARTNER-M100</x:v>
      </x:c>
    </x:row>
    <x:row r="2335" ht="46" customHeight="1">
      <x:c r="A2335" s="2" t="str">
        <x:v>TEN-05C3EA2B409C</x:v>
      </x:c>
      <x:c r="B2335" s="12" t="str">
        <x:v>IndusViva HealthSciences Pvt. Ltd</x:v>
      </x:c>
      <x:c r="C2335" s="12" t="str">
        <x:v>CORP-0523</x:v>
      </x:c>
      <x:c r="D2335" s="12" t="str">
        <x:v>Bengaluru</x:v>
      </x:c>
      <x:c r="E2335" s="12" t="str">
        <x:v>Prestige Sapphire</x:v>
      </x:c>
      <x:c r="F2335" s="12" t="str">
        <x:v>55 inch</x:v>
      </x:c>
      <x:c r="G2335" s="20" t="n">
        <x:v>1</x:v>
      </x:c>
      <x:c r="H2335" s="12" t="str">
        <x:v>Campus/portfolio roster; individual building occupancy unverified</x:v>
      </x:c>
      <x:c r="I2335" s="12" t="str">
        <x:v>Small-scale prospects</x:v>
      </x:c>
      <x:c r="J2335" s="12" t="str">
        <x:v>Healthcare &amp; life sciences</x:v>
      </x:c>
      <x:c r="K2335" s="2" t="str">
        <x:v>PARTNER-M100</x:v>
      </x:c>
    </x:row>
    <x:row r="2336" ht="46" customHeight="1">
      <x:c r="A2336" s="2" t="str">
        <x:v>TEN-13258F6CB706</x:v>
      </x:c>
      <x:c r="B2336" s="12" t="str">
        <x:v>Urban Vault</x:v>
      </x:c>
      <x:c r="C2336" s="12" t="str">
        <x:v>CORP-0523</x:v>
      </x:c>
      <x:c r="D2336" s="12" t="str">
        <x:v>Bengaluru</x:v>
      </x:c>
      <x:c r="E2336" s="12" t="str">
        <x:v>Prestige Sapphire</x:v>
      </x:c>
      <x:c r="F2336" s="12" t="str">
        <x:v>55 inch</x:v>
      </x:c>
      <x:c r="G2336" s="20" t="n">
        <x:v>1</x:v>
      </x:c>
      <x:c r="H2336" s="12" t="str">
        <x:v>Campus/portfolio roster; individual building occupancy unverified</x:v>
      </x:c>
      <x:c r="I2336" s="12" t="str">
        <x:v>Mixed business audience</x:v>
      </x:c>
      <x:c r="J2336" s="12" t="str">
        <x:v>Workspace &amp; property operations</x:v>
      </x:c>
      <x:c r="K2336" s="2" t="str">
        <x:v>PARTNER-M100</x:v>
      </x:c>
    </x:row>
    <x:row r="2337" ht="46" customHeight="1">
      <x:c r="A2337" s="2" t="str">
        <x:v>TEN-1C593F87A18C</x:v>
      </x:c>
      <x:c r="B2337" s="12" t="str">
        <x:v>Yes Bank</x:v>
      </x:c>
      <x:c r="C2337" s="12" t="str">
        <x:v>CORP-0523</x:v>
      </x:c>
      <x:c r="D2337" s="12" t="str">
        <x:v>Bengaluru</x:v>
      </x:c>
      <x:c r="E2337" s="12" t="str">
        <x:v>Prestige Sapphire</x:v>
      </x:c>
      <x:c r="F2337" s="12" t="str">
        <x:v>55 inch</x:v>
      </x:c>
      <x:c r="G2337" s="20" t="n">
        <x:v>1</x:v>
      </x:c>
      <x:c r="H2337" s="12" t="str">
        <x:v>Campus/portfolio roster; individual building occupancy unverified</x:v>
      </x:c>
      <x:c r="I2337" s="12" t="str">
        <x:v>Large enterprise</x:v>
      </x:c>
      <x:c r="J2337" s="12" t="str">
        <x:v>Finance &amp; insurance</x:v>
      </x:c>
      <x:c r="K2337" s="2" t="str">
        <x:v>PARTNER-M100</x:v>
      </x:c>
    </x:row>
    <x:row r="2338" ht="46" customHeight="1">
      <x:c r="A2338" s="2" t="str">
        <x:v>TEN-2E1A93A8B010</x:v>
      </x:c>
      <x:c r="B2338" s="12" t="str">
        <x:v>Borqs Software Solutions</x:v>
      </x:c>
      <x:c r="C2338" s="12" t="str">
        <x:v>CORP-0523</x:v>
      </x:c>
      <x:c r="D2338" s="12" t="str">
        <x:v>Bengaluru</x:v>
      </x:c>
      <x:c r="E2338" s="12" t="str">
        <x:v>Prestige Sapphire</x:v>
      </x:c>
      <x:c r="F2338" s="12" t="str">
        <x:v>55 inch</x:v>
      </x:c>
      <x:c r="G2338" s="20" t="n">
        <x:v>1</x:v>
      </x:c>
      <x:c r="H2338" s="12" t="str">
        <x:v>Campus/portfolio roster; individual building occupancy unverified</x:v>
      </x:c>
      <x:c r="I2338" s="12" t="str">
        <x:v>Small-scale prospects</x:v>
      </x:c>
      <x:c r="J2338" s="12" t="str">
        <x:v>IT &amp; digital</x:v>
      </x:c>
      <x:c r="K2338" s="2" t="str">
        <x:v>PARTNER-M100</x:v>
      </x:c>
    </x:row>
    <x:row r="2339" ht="46" customHeight="1">
      <x:c r="A2339" s="2" t="str">
        <x:v>TEN-47445949BEEF</x:v>
      </x:c>
      <x:c r="B2339" s="12" t="str">
        <x:v>Yamazaki Mazak India Pvt. Ltd</x:v>
      </x:c>
      <x:c r="C2339" s="12" t="str">
        <x:v>CORP-0523</x:v>
      </x:c>
      <x:c r="D2339" s="12" t="str">
        <x:v>Bengaluru</x:v>
      </x:c>
      <x:c r="E2339" s="12" t="str">
        <x:v>Prestige Sapphire</x:v>
      </x:c>
      <x:c r="F2339" s="12" t="str">
        <x:v>55 inch</x:v>
      </x:c>
      <x:c r="G2339" s="20" t="n">
        <x:v>1</x:v>
      </x:c>
      <x:c r="H2339" s="12" t="str">
        <x:v>Campus/portfolio roster; individual building occupancy unverified</x:v>
      </x:c>
      <x:c r="I2339" s="12" t="str">
        <x:v>Mixed business audience</x:v>
      </x:c>
      <x:c r="J2339" s="12" t="str">
        <x:v>Engineering &amp; manufacturing</x:v>
      </x:c>
      <x:c r="K2339" s="2" t="str">
        <x:v>PARTNER-M100</x:v>
      </x:c>
    </x:row>
    <x:row r="2340" ht="46" customHeight="1">
      <x:c r="A2340" s="2" t="str">
        <x:v>TEN-6CF5FB813A56</x:v>
      </x:c>
      <x:c r="B2340" s="12" t="str">
        <x:v>German Consulate General</x:v>
      </x:c>
      <x:c r="C2340" s="12" t="str">
        <x:v>CORP-0523</x:v>
      </x:c>
      <x:c r="D2340" s="12" t="str">
        <x:v>Bengaluru</x:v>
      </x:c>
      <x:c r="E2340" s="12" t="str">
        <x:v>Prestige Sapphire</x:v>
      </x:c>
      <x:c r="F2340" s="12" t="str">
        <x:v>55 inch</x:v>
      </x:c>
      <x:c r="G2340" s="20" t="n">
        <x:v>1</x:v>
      </x:c>
      <x:c r="H2340" s="12" t="str">
        <x:v>Campus/portfolio roster; individual building occupancy unverified</x:v>
      </x:c>
      <x:c r="I2340" s="12" t="str">
        <x:v>Institutional</x:v>
      </x:c>
      <x:c r="J2340" s="12" t="str">
        <x:v>Government &amp; nonprofit</x:v>
      </x:c>
      <x:c r="K2340" s="2" t="str">
        <x:v>PARTNER-M100</x:v>
      </x:c>
    </x:row>
    <x:row r="2341" ht="46" customHeight="1">
      <x:c r="A2341" s="2" t="str">
        <x:v>TEN-7D7278F45745</x:v>
      </x:c>
      <x:c r="B2341" s="12" t="str">
        <x:v>Thermo Fisher Scientific India</x:v>
      </x:c>
      <x:c r="C2341" s="12" t="str">
        <x:v>CORP-0523</x:v>
      </x:c>
      <x:c r="D2341" s="12" t="str">
        <x:v>Bengaluru</x:v>
      </x:c>
      <x:c r="E2341" s="12" t="str">
        <x:v>Prestige Sapphire</x:v>
      </x:c>
      <x:c r="F2341" s="12" t="str">
        <x:v>55 inch</x:v>
      </x:c>
      <x:c r="G2341" s="20" t="n">
        <x:v>1</x:v>
      </x:c>
      <x:c r="H2341" s="12" t="str">
        <x:v>Campus/portfolio roster; individual building occupancy unverified</x:v>
      </x:c>
      <x:c r="I2341" s="12" t="str">
        <x:v>Mixed business audience</x:v>
      </x:c>
      <x:c r="J2341" s="12" t="str">
        <x:v>Healthcare &amp; life sciences</x:v>
      </x:c>
      <x:c r="K2341" s="2" t="str">
        <x:v>PARTNER-M100</x:v>
      </x:c>
    </x:row>
    <x:row r="2342" ht="46" customHeight="1">
      <x:c r="A2342" s="2" t="str">
        <x:v>TEN-8A72227343A9</x:v>
      </x:c>
      <x:c r="B2342" s="12" t="str">
        <x:v>The Cash Pharmacy</x:v>
      </x:c>
      <x:c r="C2342" s="12" t="str">
        <x:v>CORP-0523</x:v>
      </x:c>
      <x:c r="D2342" s="12" t="str">
        <x:v>Bengaluru</x:v>
      </x:c>
      <x:c r="E2342" s="12" t="str">
        <x:v>Prestige Sapphire</x:v>
      </x:c>
      <x:c r="F2342" s="12" t="str">
        <x:v>55 inch</x:v>
      </x:c>
      <x:c r="G2342" s="20" t="n">
        <x:v>1</x:v>
      </x:c>
      <x:c r="H2342" s="12" t="str">
        <x:v>Campus/portfolio roster; individual building occupancy unverified</x:v>
      </x:c>
      <x:c r="I2342" s="12" t="str">
        <x:v>Medium-scale prospects</x:v>
      </x:c>
      <x:c r="J2342" s="12" t="str">
        <x:v>Healthcare &amp; life sciences</x:v>
      </x:c>
      <x:c r="K2342" s="2" t="str">
        <x:v>PARTNER-M100</x:v>
      </x:c>
    </x:row>
    <x:row r="2343" ht="46" customHeight="1">
      <x:c r="A2343" s="2" t="str">
        <x:v>TEN-8EDB9C45B20E</x:v>
      </x:c>
      <x:c r="B2343" s="12" t="str">
        <x:v>Dr. Shetty's Aesthetic</x:v>
      </x:c>
      <x:c r="C2343" s="12" t="str">
        <x:v>CORP-0523</x:v>
      </x:c>
      <x:c r="D2343" s="12" t="str">
        <x:v>Bengaluru</x:v>
      </x:c>
      <x:c r="E2343" s="12" t="str">
        <x:v>Prestige Sapphire</x:v>
      </x:c>
      <x:c r="F2343" s="12" t="str">
        <x:v>55 inch</x:v>
      </x:c>
      <x:c r="G2343" s="20" t="n">
        <x:v>1</x:v>
      </x:c>
      <x:c r="H2343" s="12" t="str">
        <x:v>Campus/portfolio roster; individual building occupancy unverified</x:v>
      </x:c>
      <x:c r="I2343" s="12" t="str">
        <x:v>Medium-scale prospects</x:v>
      </x:c>
      <x:c r="J2343" s="12" t="str">
        <x:v>Healthcare &amp; life sciences</x:v>
      </x:c>
      <x:c r="K2343" s="2" t="str">
        <x:v>PARTNER-M100</x:v>
      </x:c>
    </x:row>
    <x:row r="2344" ht="46" customHeight="1">
      <x:c r="A2344" s="2" t="str">
        <x:v>TEN-907D11AE3179</x:v>
      </x:c>
      <x:c r="B2344" s="12" t="str">
        <x:v>Coface India</x:v>
      </x:c>
      <x:c r="C2344" s="12" t="str">
        <x:v>CORP-0523</x:v>
      </x:c>
      <x:c r="D2344" s="12" t="str">
        <x:v>Bengaluru</x:v>
      </x:c>
      <x:c r="E2344" s="12" t="str">
        <x:v>Prestige Sapphire</x:v>
      </x:c>
      <x:c r="F2344" s="12" t="str">
        <x:v>55 inch</x:v>
      </x:c>
      <x:c r="G2344" s="20" t="n">
        <x:v>1</x:v>
      </x:c>
      <x:c r="H2344" s="12" t="str">
        <x:v>Campus/portfolio roster; individual building occupancy unverified</x:v>
      </x:c>
      <x:c r="I2344" s="12" t="str">
        <x:v>Mixed business audience</x:v>
      </x:c>
      <x:c r="J2344" s="12" t="str">
        <x:v>Finance &amp; insurance</x:v>
      </x:c>
      <x:c r="K2344" s="2" t="str">
        <x:v>PARTNER-M100</x:v>
      </x:c>
    </x:row>
    <x:row r="2345" ht="46" customHeight="1">
      <x:c r="A2345" s="2" t="str">
        <x:v>TEN-A04E8DBF862F</x:v>
      </x:c>
      <x:c r="B2345" s="12" t="str">
        <x:v>Cigna TTK Health Insurance Company Ltd</x:v>
      </x:c>
      <x:c r="C2345" s="12" t="str">
        <x:v>CORP-0523</x:v>
      </x:c>
      <x:c r="D2345" s="12" t="str">
        <x:v>Bengaluru</x:v>
      </x:c>
      <x:c r="E2345" s="12" t="str">
        <x:v>Prestige Sapphire</x:v>
      </x:c>
      <x:c r="F2345" s="12" t="str">
        <x:v>55 inch</x:v>
      </x:c>
      <x:c r="G2345" s="20" t="n">
        <x:v>1</x:v>
      </x:c>
      <x:c r="H2345" s="12" t="str">
        <x:v>Campus/portfolio roster; individual building occupancy unverified</x:v>
      </x:c>
      <x:c r="I2345" s="12" t="str">
        <x:v>Mixed business audience</x:v>
      </x:c>
      <x:c r="J2345" s="12" t="str">
        <x:v>Finance &amp; insurance</x:v>
      </x:c>
      <x:c r="K2345" s="2" t="str">
        <x:v>PARTNER-M100</x:v>
      </x:c>
    </x:row>
    <x:row r="2346" ht="46" customHeight="1">
      <x:c r="A2346" s="2" t="str">
        <x:v>TEN-A7F7AF8EB3A5</x:v>
      </x:c>
      <x:c r="B2346" s="12" t="str">
        <x:v>Flicker projects Pvt. Ltd</x:v>
      </x:c>
      <x:c r="C2346" s="12" t="str">
        <x:v>CORP-0523</x:v>
      </x:c>
      <x:c r="D2346" s="12" t="str">
        <x:v>Bengaluru</x:v>
      </x:c>
      <x:c r="E2346" s="12" t="str">
        <x:v>Prestige Sapphire</x:v>
      </x:c>
      <x:c r="F2346" s="12" t="str">
        <x:v>55 inch</x:v>
      </x:c>
      <x:c r="G2346" s="20" t="n">
        <x:v>1</x:v>
      </x:c>
      <x:c r="H2346" s="12" t="str">
        <x:v>Campus/portfolio roster; individual building occupancy unverified</x:v>
      </x:c>
      <x:c r="I2346" s="12" t="str">
        <x:v>Mixed business audience</x:v>
      </x:c>
      <x:c r="J2346" s="12" t="str">
        <x:v>Unresolved</x:v>
      </x:c>
      <x:c r="K2346" s="2" t="str">
        <x:v>PARTNER-M100</x:v>
      </x:c>
    </x:row>
    <x:row r="2347" ht="46" customHeight="1">
      <x:c r="A2347" s="2" t="str">
        <x:v>TEN-AABF376657C0</x:v>
      </x:c>
      <x:c r="B2347" s="12" t="str">
        <x:v>JK Cement Ltd</x:v>
      </x:c>
      <x:c r="C2347" s="12" t="str">
        <x:v>CORP-0523</x:v>
      </x:c>
      <x:c r="D2347" s="12" t="str">
        <x:v>Bengaluru</x:v>
      </x:c>
      <x:c r="E2347" s="12" t="str">
        <x:v>Prestige Sapphire</x:v>
      </x:c>
      <x:c r="F2347" s="12" t="str">
        <x:v>55 inch</x:v>
      </x:c>
      <x:c r="G2347" s="20" t="n">
        <x:v>1</x:v>
      </x:c>
      <x:c r="H2347" s="12" t="str">
        <x:v>Campus/portfolio roster; individual building occupancy unverified</x:v>
      </x:c>
      <x:c r="I2347" s="12" t="str">
        <x:v>Mixed business audience</x:v>
      </x:c>
      <x:c r="J2347" s="12" t="str">
        <x:v>Engineering &amp; manufacturing</x:v>
      </x:c>
      <x:c r="K2347" s="2" t="str">
        <x:v>PARTNER-M100</x:v>
      </x:c>
    </x:row>
    <x:row r="2348" ht="46" customHeight="1">
      <x:c r="A2348" s="2" t="str">
        <x:v>TEN-B3FD6E87E781</x:v>
      </x:c>
      <x:c r="B2348" s="12" t="str">
        <x:v>Eaton Technologies Pvt. Ltd</x:v>
      </x:c>
      <x:c r="C2348" s="12" t="str">
        <x:v>CORP-0523</x:v>
      </x:c>
      <x:c r="D2348" s="12" t="str">
        <x:v>Bengaluru</x:v>
      </x:c>
      <x:c r="E2348" s="12" t="str">
        <x:v>Prestige Sapphire</x:v>
      </x:c>
      <x:c r="F2348" s="12" t="str">
        <x:v>55 inch</x:v>
      </x:c>
      <x:c r="G2348" s="20" t="n">
        <x:v>1</x:v>
      </x:c>
      <x:c r="H2348" s="12" t="str">
        <x:v>Campus/portfolio roster; individual building occupancy unverified</x:v>
      </x:c>
      <x:c r="I2348" s="12" t="str">
        <x:v>Mixed business audience</x:v>
      </x:c>
      <x:c r="J2348" s="12" t="str">
        <x:v>Engineering &amp; manufacturing</x:v>
      </x:c>
      <x:c r="K2348" s="2" t="str">
        <x:v>PARTNER-M100</x:v>
      </x:c>
    </x:row>
    <x:row r="2349" ht="46" customHeight="1">
      <x:c r="A2349" s="2" t="str">
        <x:v>TEN-D6FCC16B02C8</x:v>
      </x:c>
      <x:c r="B2349" s="12" t="str">
        <x:v>Lake Chemicals Pvt. Ltd</x:v>
      </x:c>
      <x:c r="C2349" s="12" t="str">
        <x:v>CORP-0523</x:v>
      </x:c>
      <x:c r="D2349" s="12" t="str">
        <x:v>Bengaluru</x:v>
      </x:c>
      <x:c r="E2349" s="12" t="str">
        <x:v>Prestige Sapphire</x:v>
      </x:c>
      <x:c r="F2349" s="12" t="str">
        <x:v>55 inch</x:v>
      </x:c>
      <x:c r="G2349" s="20" t="n">
        <x:v>1</x:v>
      </x:c>
      <x:c r="H2349" s="12" t="str">
        <x:v>Campus/portfolio roster; individual building occupancy unverified</x:v>
      </x:c>
      <x:c r="I2349" s="12" t="str">
        <x:v>Medium-scale prospects</x:v>
      </x:c>
      <x:c r="J2349" s="12" t="str">
        <x:v>Engineering &amp; manufacturing</x:v>
      </x:c>
      <x:c r="K2349" s="2" t="str">
        <x:v>PARTNER-M100</x:v>
      </x:c>
    </x:row>
    <x:row r="2350" ht="46" customHeight="1">
      <x:c r="A2350" s="2" t="str">
        <x:v>TEN-E9968F77222F</x:v>
      </x:c>
      <x:c r="B2350" s="12" t="str">
        <x:v>JSA Advocates and Solicitors</x:v>
      </x:c>
      <x:c r="C2350" s="12" t="str">
        <x:v>CORP-0523</x:v>
      </x:c>
      <x:c r="D2350" s="12" t="str">
        <x:v>Bengaluru</x:v>
      </x:c>
      <x:c r="E2350" s="12" t="str">
        <x:v>Prestige Sapphire</x:v>
      </x:c>
      <x:c r="F2350" s="12" t="str">
        <x:v>55 inch</x:v>
      </x:c>
      <x:c r="G2350" s="20" t="n">
        <x:v>1</x:v>
      </x:c>
      <x:c r="H2350" s="12" t="str">
        <x:v>Campus/portfolio roster; individual building occupancy unverified</x:v>
      </x:c>
      <x:c r="I2350" s="12" t="str">
        <x:v>Large enterprise</x:v>
      </x:c>
      <x:c r="J2350" s="12" t="str">
        <x:v>Professional services</x:v>
      </x:c>
      <x:c r="K2350" s="2" t="str">
        <x:v>PARTNER-M100</x:v>
      </x:c>
    </x:row>
    <x:row r="2351" ht="46" customHeight="1">
      <x:c r="A2351" s="2" t="str">
        <x:v>TEN-05C3EA2B409C</x:v>
      </x:c>
      <x:c r="B2351" s="12" t="str">
        <x:v>IndusViva HealthSciences Pvt. Ltd</x:v>
      </x:c>
      <x:c r="C2351" s="12" t="str">
        <x:v>CORP-0524</x:v>
      </x:c>
      <x:c r="D2351" s="12" t="str">
        <x:v>Bengaluru</x:v>
      </x:c>
      <x:c r="E2351" s="12" t="str">
        <x:v>Prestige Al Kareem</x:v>
      </x:c>
      <x:c r="F2351" s="12" t="str">
        <x:v>55 inch</x:v>
      </x:c>
      <x:c r="G2351" s="20" t="n">
        <x:v>1</x:v>
      </x:c>
      <x:c r="H2351" s="12" t="str">
        <x:v>Campus/portfolio roster; individual building occupancy unverified</x:v>
      </x:c>
      <x:c r="I2351" s="12" t="str">
        <x:v>Small-scale prospects</x:v>
      </x:c>
      <x:c r="J2351" s="12" t="str">
        <x:v>Healthcare &amp; life sciences</x:v>
      </x:c>
      <x:c r="K2351" s="2" t="str">
        <x:v>PARTNER-M100</x:v>
      </x:c>
    </x:row>
    <x:row r="2352" ht="46" customHeight="1">
      <x:c r="A2352" s="2" t="str">
        <x:v>TEN-13258F6CB706</x:v>
      </x:c>
      <x:c r="B2352" s="12" t="str">
        <x:v>Urban Vault</x:v>
      </x:c>
      <x:c r="C2352" s="12" t="str">
        <x:v>CORP-0524</x:v>
      </x:c>
      <x:c r="D2352" s="12" t="str">
        <x:v>Bengaluru</x:v>
      </x:c>
      <x:c r="E2352" s="12" t="str">
        <x:v>Prestige Al Kareem</x:v>
      </x:c>
      <x:c r="F2352" s="12" t="str">
        <x:v>55 inch</x:v>
      </x:c>
      <x:c r="G2352" s="20" t="n">
        <x:v>1</x:v>
      </x:c>
      <x:c r="H2352" s="12" t="str">
        <x:v>Campus/portfolio roster; individual building occupancy unverified</x:v>
      </x:c>
      <x:c r="I2352" s="12" t="str">
        <x:v>Mixed business audience</x:v>
      </x:c>
      <x:c r="J2352" s="12" t="str">
        <x:v>Workspace &amp; property operations</x:v>
      </x:c>
      <x:c r="K2352" s="2" t="str">
        <x:v>PARTNER-M100</x:v>
      </x:c>
    </x:row>
    <x:row r="2353" ht="46" customHeight="1">
      <x:c r="A2353" s="2" t="str">
        <x:v>TEN-1C593F87A18C</x:v>
      </x:c>
      <x:c r="B2353" s="12" t="str">
        <x:v>Yes Bank</x:v>
      </x:c>
      <x:c r="C2353" s="12" t="str">
        <x:v>CORP-0524</x:v>
      </x:c>
      <x:c r="D2353" s="12" t="str">
        <x:v>Bengaluru</x:v>
      </x:c>
      <x:c r="E2353" s="12" t="str">
        <x:v>Prestige Al Kareem</x:v>
      </x:c>
      <x:c r="F2353" s="12" t="str">
        <x:v>55 inch</x:v>
      </x:c>
      <x:c r="G2353" s="20" t="n">
        <x:v>1</x:v>
      </x:c>
      <x:c r="H2353" s="12" t="str">
        <x:v>Campus/portfolio roster; individual building occupancy unverified</x:v>
      </x:c>
      <x:c r="I2353" s="12" t="str">
        <x:v>Large enterprise</x:v>
      </x:c>
      <x:c r="J2353" s="12" t="str">
        <x:v>Finance &amp; insurance</x:v>
      </x:c>
      <x:c r="K2353" s="2" t="str">
        <x:v>PARTNER-M100</x:v>
      </x:c>
    </x:row>
    <x:row r="2354" ht="46" customHeight="1">
      <x:c r="A2354" s="2" t="str">
        <x:v>TEN-2E1A93A8B010</x:v>
      </x:c>
      <x:c r="B2354" s="12" t="str">
        <x:v>Borqs Software Solutions</x:v>
      </x:c>
      <x:c r="C2354" s="12" t="str">
        <x:v>CORP-0524</x:v>
      </x:c>
      <x:c r="D2354" s="12" t="str">
        <x:v>Bengaluru</x:v>
      </x:c>
      <x:c r="E2354" s="12" t="str">
        <x:v>Prestige Al Kareem</x:v>
      </x:c>
      <x:c r="F2354" s="12" t="str">
        <x:v>55 inch</x:v>
      </x:c>
      <x:c r="G2354" s="20" t="n">
        <x:v>1</x:v>
      </x:c>
      <x:c r="H2354" s="12" t="str">
        <x:v>Campus/portfolio roster; individual building occupancy unverified</x:v>
      </x:c>
      <x:c r="I2354" s="12" t="str">
        <x:v>Small-scale prospects</x:v>
      </x:c>
      <x:c r="J2354" s="12" t="str">
        <x:v>IT &amp; digital</x:v>
      </x:c>
      <x:c r="K2354" s="2" t="str">
        <x:v>PARTNER-M100</x:v>
      </x:c>
    </x:row>
    <x:row r="2355" ht="46" customHeight="1">
      <x:c r="A2355" s="2" t="str">
        <x:v>TEN-47445949BEEF</x:v>
      </x:c>
      <x:c r="B2355" s="12" t="str">
        <x:v>Yamazaki Mazak India Pvt. Ltd</x:v>
      </x:c>
      <x:c r="C2355" s="12" t="str">
        <x:v>CORP-0524</x:v>
      </x:c>
      <x:c r="D2355" s="12" t="str">
        <x:v>Bengaluru</x:v>
      </x:c>
      <x:c r="E2355" s="12" t="str">
        <x:v>Prestige Al Kareem</x:v>
      </x:c>
      <x:c r="F2355" s="12" t="str">
        <x:v>55 inch</x:v>
      </x:c>
      <x:c r="G2355" s="20" t="n">
        <x:v>1</x:v>
      </x:c>
      <x:c r="H2355" s="12" t="str">
        <x:v>Campus/portfolio roster; individual building occupancy unverified</x:v>
      </x:c>
      <x:c r="I2355" s="12" t="str">
        <x:v>Mixed business audience</x:v>
      </x:c>
      <x:c r="J2355" s="12" t="str">
        <x:v>Engineering &amp; manufacturing</x:v>
      </x:c>
      <x:c r="K2355" s="2" t="str">
        <x:v>PARTNER-M100</x:v>
      </x:c>
    </x:row>
    <x:row r="2356" ht="46" customHeight="1">
      <x:c r="A2356" s="2" t="str">
        <x:v>TEN-6CF5FB813A56</x:v>
      </x:c>
      <x:c r="B2356" s="12" t="str">
        <x:v>German Consulate General</x:v>
      </x:c>
      <x:c r="C2356" s="12" t="str">
        <x:v>CORP-0524</x:v>
      </x:c>
      <x:c r="D2356" s="12" t="str">
        <x:v>Bengaluru</x:v>
      </x:c>
      <x:c r="E2356" s="12" t="str">
        <x:v>Prestige Al Kareem</x:v>
      </x:c>
      <x:c r="F2356" s="12" t="str">
        <x:v>55 inch</x:v>
      </x:c>
      <x:c r="G2356" s="20" t="n">
        <x:v>1</x:v>
      </x:c>
      <x:c r="H2356" s="12" t="str">
        <x:v>Campus/portfolio roster; individual building occupancy unverified</x:v>
      </x:c>
      <x:c r="I2356" s="12" t="str">
        <x:v>Institutional</x:v>
      </x:c>
      <x:c r="J2356" s="12" t="str">
        <x:v>Government &amp; nonprofit</x:v>
      </x:c>
      <x:c r="K2356" s="2" t="str">
        <x:v>PARTNER-M100</x:v>
      </x:c>
    </x:row>
    <x:row r="2357" ht="46" customHeight="1">
      <x:c r="A2357" s="2" t="str">
        <x:v>TEN-7D7278F45745</x:v>
      </x:c>
      <x:c r="B2357" s="12" t="str">
        <x:v>Thermo Fisher Scientific India</x:v>
      </x:c>
      <x:c r="C2357" s="12" t="str">
        <x:v>CORP-0524</x:v>
      </x:c>
      <x:c r="D2357" s="12" t="str">
        <x:v>Bengaluru</x:v>
      </x:c>
      <x:c r="E2357" s="12" t="str">
        <x:v>Prestige Al Kareem</x:v>
      </x:c>
      <x:c r="F2357" s="12" t="str">
        <x:v>55 inch</x:v>
      </x:c>
      <x:c r="G2357" s="20" t="n">
        <x:v>1</x:v>
      </x:c>
      <x:c r="H2357" s="12" t="str">
        <x:v>Campus/portfolio roster; individual building occupancy unverified</x:v>
      </x:c>
      <x:c r="I2357" s="12" t="str">
        <x:v>Mixed business audience</x:v>
      </x:c>
      <x:c r="J2357" s="12" t="str">
        <x:v>Healthcare &amp; life sciences</x:v>
      </x:c>
      <x:c r="K2357" s="2" t="str">
        <x:v>PARTNER-M100</x:v>
      </x:c>
    </x:row>
    <x:row r="2358" ht="46" customHeight="1">
      <x:c r="A2358" s="2" t="str">
        <x:v>TEN-8A72227343A9</x:v>
      </x:c>
      <x:c r="B2358" s="12" t="str">
        <x:v>The Cash Pharmacy</x:v>
      </x:c>
      <x:c r="C2358" s="12" t="str">
        <x:v>CORP-0524</x:v>
      </x:c>
      <x:c r="D2358" s="12" t="str">
        <x:v>Bengaluru</x:v>
      </x:c>
      <x:c r="E2358" s="12" t="str">
        <x:v>Prestige Al Kareem</x:v>
      </x:c>
      <x:c r="F2358" s="12" t="str">
        <x:v>55 inch</x:v>
      </x:c>
      <x:c r="G2358" s="20" t="n">
        <x:v>1</x:v>
      </x:c>
      <x:c r="H2358" s="12" t="str">
        <x:v>Campus/portfolio roster; individual building occupancy unverified</x:v>
      </x:c>
      <x:c r="I2358" s="12" t="str">
        <x:v>Medium-scale prospects</x:v>
      </x:c>
      <x:c r="J2358" s="12" t="str">
        <x:v>Healthcare &amp; life sciences</x:v>
      </x:c>
      <x:c r="K2358" s="2" t="str">
        <x:v>PARTNER-M100</x:v>
      </x:c>
    </x:row>
    <x:row r="2359" ht="46" customHeight="1">
      <x:c r="A2359" s="2" t="str">
        <x:v>TEN-8EDB9C45B20E</x:v>
      </x:c>
      <x:c r="B2359" s="12" t="str">
        <x:v>Dr. Shetty's Aesthetic</x:v>
      </x:c>
      <x:c r="C2359" s="12" t="str">
        <x:v>CORP-0524</x:v>
      </x:c>
      <x:c r="D2359" s="12" t="str">
        <x:v>Bengaluru</x:v>
      </x:c>
      <x:c r="E2359" s="12" t="str">
        <x:v>Prestige Al Kareem</x:v>
      </x:c>
      <x:c r="F2359" s="12" t="str">
        <x:v>55 inch</x:v>
      </x:c>
      <x:c r="G2359" s="20" t="n">
        <x:v>1</x:v>
      </x:c>
      <x:c r="H2359" s="12" t="str">
        <x:v>Campus/portfolio roster; individual building occupancy unverified</x:v>
      </x:c>
      <x:c r="I2359" s="12" t="str">
        <x:v>Medium-scale prospects</x:v>
      </x:c>
      <x:c r="J2359" s="12" t="str">
        <x:v>Healthcare &amp; life sciences</x:v>
      </x:c>
      <x:c r="K2359" s="2" t="str">
        <x:v>PARTNER-M100</x:v>
      </x:c>
    </x:row>
    <x:row r="2360" ht="46" customHeight="1">
      <x:c r="A2360" s="2" t="str">
        <x:v>TEN-907D11AE3179</x:v>
      </x:c>
      <x:c r="B2360" s="12" t="str">
        <x:v>Coface India</x:v>
      </x:c>
      <x:c r="C2360" s="12" t="str">
        <x:v>CORP-0524</x:v>
      </x:c>
      <x:c r="D2360" s="12" t="str">
        <x:v>Bengaluru</x:v>
      </x:c>
      <x:c r="E2360" s="12" t="str">
        <x:v>Prestige Al Kareem</x:v>
      </x:c>
      <x:c r="F2360" s="12" t="str">
        <x:v>55 inch</x:v>
      </x:c>
      <x:c r="G2360" s="20" t="n">
        <x:v>1</x:v>
      </x:c>
      <x:c r="H2360" s="12" t="str">
        <x:v>Campus/portfolio roster; individual building occupancy unverified</x:v>
      </x:c>
      <x:c r="I2360" s="12" t="str">
        <x:v>Mixed business audience</x:v>
      </x:c>
      <x:c r="J2360" s="12" t="str">
        <x:v>Finance &amp; insurance</x:v>
      </x:c>
      <x:c r="K2360" s="2" t="str">
        <x:v>PARTNER-M100</x:v>
      </x:c>
    </x:row>
    <x:row r="2361" ht="46" customHeight="1">
      <x:c r="A2361" s="2" t="str">
        <x:v>TEN-A04E8DBF862F</x:v>
      </x:c>
      <x:c r="B2361" s="12" t="str">
        <x:v>Cigna TTK Health Insurance Company Ltd</x:v>
      </x:c>
      <x:c r="C2361" s="12" t="str">
        <x:v>CORP-0524</x:v>
      </x:c>
      <x:c r="D2361" s="12" t="str">
        <x:v>Bengaluru</x:v>
      </x:c>
      <x:c r="E2361" s="12" t="str">
        <x:v>Prestige Al Kareem</x:v>
      </x:c>
      <x:c r="F2361" s="12" t="str">
        <x:v>55 inch</x:v>
      </x:c>
      <x:c r="G2361" s="20" t="n">
        <x:v>1</x:v>
      </x:c>
      <x:c r="H2361" s="12" t="str">
        <x:v>Campus/portfolio roster; individual building occupancy unverified</x:v>
      </x:c>
      <x:c r="I2361" s="12" t="str">
        <x:v>Mixed business audience</x:v>
      </x:c>
      <x:c r="J2361" s="12" t="str">
        <x:v>Finance &amp; insurance</x:v>
      </x:c>
      <x:c r="K2361" s="2" t="str">
        <x:v>PARTNER-M100</x:v>
      </x:c>
    </x:row>
    <x:row r="2362" ht="46" customHeight="1">
      <x:c r="A2362" s="2" t="str">
        <x:v>TEN-A7F7AF8EB3A5</x:v>
      </x:c>
      <x:c r="B2362" s="12" t="str">
        <x:v>Flicker projects Pvt. Ltd</x:v>
      </x:c>
      <x:c r="C2362" s="12" t="str">
        <x:v>CORP-0524</x:v>
      </x:c>
      <x:c r="D2362" s="12" t="str">
        <x:v>Bengaluru</x:v>
      </x:c>
      <x:c r="E2362" s="12" t="str">
        <x:v>Prestige Al Kareem</x:v>
      </x:c>
      <x:c r="F2362" s="12" t="str">
        <x:v>55 inch</x:v>
      </x:c>
      <x:c r="G2362" s="20" t="n">
        <x:v>1</x:v>
      </x:c>
      <x:c r="H2362" s="12" t="str">
        <x:v>Campus/portfolio roster; individual building occupancy unverified</x:v>
      </x:c>
      <x:c r="I2362" s="12" t="str">
        <x:v>Mixed business audience</x:v>
      </x:c>
      <x:c r="J2362" s="12" t="str">
        <x:v>Unresolved</x:v>
      </x:c>
      <x:c r="K2362" s="2" t="str">
        <x:v>PARTNER-M100</x:v>
      </x:c>
    </x:row>
    <x:row r="2363" ht="46" customHeight="1">
      <x:c r="A2363" s="2" t="str">
        <x:v>TEN-AABF376657C0</x:v>
      </x:c>
      <x:c r="B2363" s="12" t="str">
        <x:v>JK Cement Ltd</x:v>
      </x:c>
      <x:c r="C2363" s="12" t="str">
        <x:v>CORP-0524</x:v>
      </x:c>
      <x:c r="D2363" s="12" t="str">
        <x:v>Bengaluru</x:v>
      </x:c>
      <x:c r="E2363" s="12" t="str">
        <x:v>Prestige Al Kareem</x:v>
      </x:c>
      <x:c r="F2363" s="12" t="str">
        <x:v>55 inch</x:v>
      </x:c>
      <x:c r="G2363" s="20" t="n">
        <x:v>1</x:v>
      </x:c>
      <x:c r="H2363" s="12" t="str">
        <x:v>Campus/portfolio roster; individual building occupancy unverified</x:v>
      </x:c>
      <x:c r="I2363" s="12" t="str">
        <x:v>Mixed business audience</x:v>
      </x:c>
      <x:c r="J2363" s="12" t="str">
        <x:v>Engineering &amp; manufacturing</x:v>
      </x:c>
      <x:c r="K2363" s="2" t="str">
        <x:v>PARTNER-M100</x:v>
      </x:c>
    </x:row>
    <x:row r="2364" ht="46" customHeight="1">
      <x:c r="A2364" s="2" t="str">
        <x:v>TEN-B3FD6E87E781</x:v>
      </x:c>
      <x:c r="B2364" s="12" t="str">
        <x:v>Eaton Technologies Pvt. Ltd</x:v>
      </x:c>
      <x:c r="C2364" s="12" t="str">
        <x:v>CORP-0524</x:v>
      </x:c>
      <x:c r="D2364" s="12" t="str">
        <x:v>Bengaluru</x:v>
      </x:c>
      <x:c r="E2364" s="12" t="str">
        <x:v>Prestige Al Kareem</x:v>
      </x:c>
      <x:c r="F2364" s="12" t="str">
        <x:v>55 inch</x:v>
      </x:c>
      <x:c r="G2364" s="20" t="n">
        <x:v>1</x:v>
      </x:c>
      <x:c r="H2364" s="12" t="str">
        <x:v>Campus/portfolio roster; individual building occupancy unverified</x:v>
      </x:c>
      <x:c r="I2364" s="12" t="str">
        <x:v>Mixed business audience</x:v>
      </x:c>
      <x:c r="J2364" s="12" t="str">
        <x:v>Engineering &amp; manufacturing</x:v>
      </x:c>
      <x:c r="K2364" s="2" t="str">
        <x:v>PARTNER-M100</x:v>
      </x:c>
    </x:row>
    <x:row r="2365" ht="46" customHeight="1">
      <x:c r="A2365" s="2" t="str">
        <x:v>TEN-D6FCC16B02C8</x:v>
      </x:c>
      <x:c r="B2365" s="12" t="str">
        <x:v>Lake Chemicals Pvt. Ltd</x:v>
      </x:c>
      <x:c r="C2365" s="12" t="str">
        <x:v>CORP-0524</x:v>
      </x:c>
      <x:c r="D2365" s="12" t="str">
        <x:v>Bengaluru</x:v>
      </x:c>
      <x:c r="E2365" s="12" t="str">
        <x:v>Prestige Al Kareem</x:v>
      </x:c>
      <x:c r="F2365" s="12" t="str">
        <x:v>55 inch</x:v>
      </x:c>
      <x:c r="G2365" s="20" t="n">
        <x:v>1</x:v>
      </x:c>
      <x:c r="H2365" s="12" t="str">
        <x:v>Campus/portfolio roster; individual building occupancy unverified</x:v>
      </x:c>
      <x:c r="I2365" s="12" t="str">
        <x:v>Medium-scale prospects</x:v>
      </x:c>
      <x:c r="J2365" s="12" t="str">
        <x:v>Engineering &amp; manufacturing</x:v>
      </x:c>
      <x:c r="K2365" s="2" t="str">
        <x:v>PARTNER-M100</x:v>
      </x:c>
    </x:row>
    <x:row r="2366" ht="46" customHeight="1">
      <x:c r="A2366" s="2" t="str">
        <x:v>TEN-E9968F77222F</x:v>
      </x:c>
      <x:c r="B2366" s="12" t="str">
        <x:v>JSA Advocates and Solicitors</x:v>
      </x:c>
      <x:c r="C2366" s="12" t="str">
        <x:v>CORP-0524</x:v>
      </x:c>
      <x:c r="D2366" s="12" t="str">
        <x:v>Bengaluru</x:v>
      </x:c>
      <x:c r="E2366" s="12" t="str">
        <x:v>Prestige Al Kareem</x:v>
      </x:c>
      <x:c r="F2366" s="12" t="str">
        <x:v>55 inch</x:v>
      </x:c>
      <x:c r="G2366" s="20" t="n">
        <x:v>1</x:v>
      </x:c>
      <x:c r="H2366" s="12" t="str">
        <x:v>Campus/portfolio roster; individual building occupancy unverified</x:v>
      </x:c>
      <x:c r="I2366" s="12" t="str">
        <x:v>Large enterprise</x:v>
      </x:c>
      <x:c r="J2366" s="12" t="str">
        <x:v>Professional services</x:v>
      </x:c>
      <x:c r="K2366" s="2" t="str">
        <x:v>PARTNER-M100</x:v>
      </x:c>
    </x:row>
    <x:row r="2367" ht="46" customHeight="1">
      <x:c r="A2367" s="2" t="str">
        <x:v>TEN-020941631166</x:v>
      </x:c>
      <x:c r="B2367" s="12" t="str">
        <x:v>EXA-AG</x:v>
      </x:c>
      <x:c r="C2367" s="12" t="str">
        <x:v>CORP-0426</x:v>
      </x:c>
      <x:c r="D2367" s="12" t="str">
        <x:v>Bengaluru</x:v>
      </x:c>
      <x:c r="E2367" s="12" t="str">
        <x:v>International Tech Park (ITPB)</x:v>
      </x:c>
      <x:c r="F2367" s="12" t="str">
        <x:v>55 inch</x:v>
      </x:c>
      <x:c r="G2367" s="20" t="n">
        <x:v>1</x:v>
      </x:c>
      <x:c r="H2367" s="12" t="str">
        <x:v>Campus/portfolio roster; individual building occupancy unverified</x:v>
      </x:c>
      <x:c r="I2367" s="12" t="str">
        <x:v>Small-scale prospects</x:v>
      </x:c>
      <x:c r="J2367" s="12" t="str">
        <x:v>IT &amp; digital</x:v>
      </x:c>
      <x:c r="K2367" s="2" t="str">
        <x:v>PARTNER-M002</x:v>
      </x:c>
    </x:row>
    <x:row r="2368" ht="46" customHeight="1">
      <x:c r="A2368" s="2" t="str">
        <x:v>TEN-046FCB362D0A</x:v>
      </x:c>
      <x:c r="B2368" s="12" t="str">
        <x:v>judge India</x:v>
      </x:c>
      <x:c r="C2368" s="12" t="str">
        <x:v>CORP-0426</x:v>
      </x:c>
      <x:c r="D2368" s="12" t="str">
        <x:v>Bengaluru</x:v>
      </x:c>
      <x:c r="E2368" s="12" t="str">
        <x:v>International Tech Park (ITPB)</x:v>
      </x:c>
      <x:c r="F2368" s="12" t="str">
        <x:v>55 inch</x:v>
      </x:c>
      <x:c r="G2368" s="20" t="n">
        <x:v>1</x:v>
      </x:c>
      <x:c r="H2368" s="12" t="str">
        <x:v>Campus/portfolio roster; individual building occupancy unverified</x:v>
      </x:c>
      <x:c r="I2368" s="12" t="str">
        <x:v>Mixed business audience</x:v>
      </x:c>
      <x:c r="J2368" s="12" t="str">
        <x:v>Unresolved</x:v>
      </x:c>
      <x:c r="K2368" s="2" t="str">
        <x:v>PARTNER-M002</x:v>
      </x:c>
    </x:row>
    <x:row r="2369" ht="46" customHeight="1">
      <x:c r="A2369" s="2" t="str">
        <x:v>TEN-06DF4DFB01BE</x:v>
      </x:c>
      <x:c r="B2369" s="12" t="str">
        <x:v>Gyansys Infotech</x:v>
      </x:c>
      <x:c r="C2369" s="12" t="str">
        <x:v>CORP-0426</x:v>
      </x:c>
      <x:c r="D2369" s="12" t="str">
        <x:v>Bengaluru</x:v>
      </x:c>
      <x:c r="E2369" s="12" t="str">
        <x:v>International Tech Park (ITPB)</x:v>
      </x:c>
      <x:c r="F2369" s="12" t="str">
        <x:v>55 inch</x:v>
      </x:c>
      <x:c r="G2369" s="20" t="n">
        <x:v>1</x:v>
      </x:c>
      <x:c r="H2369" s="12" t="str">
        <x:v>Campus/portfolio roster; individual building occupancy unverified</x:v>
      </x:c>
      <x:c r="I2369" s="12" t="str">
        <x:v>Small-scale prospects</x:v>
      </x:c>
      <x:c r="J2369" s="12" t="str">
        <x:v>IT &amp; digital</x:v>
      </x:c>
      <x:c r="K2369" s="2" t="str">
        <x:v>PARTNER-M002</x:v>
      </x:c>
    </x:row>
    <x:row r="2370" ht="46" customHeight="1">
      <x:c r="A2370" s="2" t="str">
        <x:v>TEN-0716830D1238</x:v>
      </x:c>
      <x:c r="B2370" s="12" t="str">
        <x:v>Kaalari Capital</x:v>
      </x:c>
      <x:c r="C2370" s="12" t="str">
        <x:v>CORP-0426</x:v>
      </x:c>
      <x:c r="D2370" s="12" t="str">
        <x:v>Bengaluru</x:v>
      </x:c>
      <x:c r="E2370" s="12" t="str">
        <x:v>International Tech Park (ITPB)</x:v>
      </x:c>
      <x:c r="F2370" s="12" t="str">
        <x:v>55 inch</x:v>
      </x:c>
      <x:c r="G2370" s="20" t="n">
        <x:v>1</x:v>
      </x:c>
      <x:c r="H2370" s="12" t="str">
        <x:v>Campus/portfolio roster; individual building occupancy unverified</x:v>
      </x:c>
      <x:c r="I2370" s="12" t="str">
        <x:v>Medium-scale prospects</x:v>
      </x:c>
      <x:c r="J2370" s="12" t="str">
        <x:v>Finance &amp; insurance</x:v>
      </x:c>
      <x:c r="K2370" s="2" t="str">
        <x:v>PARTNER-M002</x:v>
      </x:c>
    </x:row>
    <x:row r="2371" ht="46" customHeight="1">
      <x:c r="A2371" s="2" t="str">
        <x:v>TEN-095DAC44FBD3</x:v>
      </x:c>
      <x:c r="B2371" s="12" t="str">
        <x:v>SOA IT</x:v>
      </x:c>
      <x:c r="C2371" s="12" t="str">
        <x:v>CORP-0426</x:v>
      </x:c>
      <x:c r="D2371" s="12" t="str">
        <x:v>Bengaluru</x:v>
      </x:c>
      <x:c r="E2371" s="12" t="str">
        <x:v>International Tech Park (ITPB)</x:v>
      </x:c>
      <x:c r="F2371" s="12" t="str">
        <x:v>55 inch</x:v>
      </x:c>
      <x:c r="G2371" s="20" t="n">
        <x:v>1</x:v>
      </x:c>
      <x:c r="H2371" s="12" t="str">
        <x:v>Campus/portfolio roster; individual building occupancy unverified</x:v>
      </x:c>
      <x:c r="I2371" s="12" t="str">
        <x:v>Small-scale prospects</x:v>
      </x:c>
      <x:c r="J2371" s="12" t="str">
        <x:v>IT &amp; digital</x:v>
      </x:c>
      <x:c r="K2371" s="2" t="str">
        <x:v>PARTNER-M002</x:v>
      </x:c>
    </x:row>
    <x:row r="2372" ht="46" customHeight="1">
      <x:c r="A2372" s="2" t="str">
        <x:v>TEN-0B9EE0B94DB9</x:v>
      </x:c>
      <x:c r="B2372" s="12" t="str">
        <x:v>Kyndryl</x:v>
      </x:c>
      <x:c r="C2372" s="12" t="str">
        <x:v>CORP-0426</x:v>
      </x:c>
      <x:c r="D2372" s="12" t="str">
        <x:v>Bengaluru</x:v>
      </x:c>
      <x:c r="E2372" s="12" t="str">
        <x:v>International Tech Park (ITPB)</x:v>
      </x:c>
      <x:c r="F2372" s="12" t="str">
        <x:v>55 inch</x:v>
      </x:c>
      <x:c r="G2372" s="20" t="n">
        <x:v>1</x:v>
      </x:c>
      <x:c r="H2372" s="12" t="str">
        <x:v>Campus/portfolio roster; individual building occupancy unverified</x:v>
      </x:c>
      <x:c r="I2372" s="12" t="str">
        <x:v>Mixed business audience</x:v>
      </x:c>
      <x:c r="J2372" s="12" t="str">
        <x:v>IT &amp; digital</x:v>
      </x:c>
      <x:c r="K2372" s="2" t="str">
        <x:v>PARTNER-M002</x:v>
      </x:c>
    </x:row>
    <x:row r="2373" ht="46" customHeight="1">
      <x:c r="A2373" s="2" t="str">
        <x:v>TEN-0BF923F90AB2</x:v>
      </x:c>
      <x:c r="B2373" s="12" t="str">
        <x:v>Reliance</x:v>
      </x:c>
      <x:c r="C2373" s="12" t="str">
        <x:v>CORP-0426</x:v>
      </x:c>
      <x:c r="D2373" s="12" t="str">
        <x:v>Bengaluru</x:v>
      </x:c>
      <x:c r="E2373" s="12" t="str">
        <x:v>International Tech Park (ITPB)</x:v>
      </x:c>
      <x:c r="F2373" s="12" t="str">
        <x:v>55 inch</x:v>
      </x:c>
      <x:c r="G2373" s="20" t="n">
        <x:v>1</x:v>
      </x:c>
      <x:c r="H2373" s="12" t="str">
        <x:v>Campus/portfolio roster; individual building occupancy unverified</x:v>
      </x:c>
      <x:c r="I2373" s="12" t="str">
        <x:v>Mixed business audience</x:v>
      </x:c>
      <x:c r="J2373" s="12" t="str">
        <x:v>Unresolved</x:v>
      </x:c>
      <x:c r="K2373" s="2" t="str">
        <x:v>PARTNER-M002</x:v>
      </x:c>
    </x:row>
    <x:row r="2374" ht="46" customHeight="1">
      <x:c r="A2374" s="2" t="str">
        <x:v>TEN-0EFAB3176540</x:v>
      </x:c>
      <x:c r="B2374" s="12" t="str">
        <x:v>Sycomp</x:v>
      </x:c>
      <x:c r="C2374" s="12" t="str">
        <x:v>CORP-0426</x:v>
      </x:c>
      <x:c r="D2374" s="12" t="str">
        <x:v>Bengaluru</x:v>
      </x:c>
      <x:c r="E2374" s="12" t="str">
        <x:v>International Tech Park (ITPB)</x:v>
      </x:c>
      <x:c r="F2374" s="12" t="str">
        <x:v>55 inch</x:v>
      </x:c>
      <x:c r="G2374" s="20" t="n">
        <x:v>1</x:v>
      </x:c>
      <x:c r="H2374" s="12" t="str">
        <x:v>Campus/portfolio roster; individual building occupancy unverified</x:v>
      </x:c>
      <x:c r="I2374" s="12" t="str">
        <x:v>Small-scale prospects</x:v>
      </x:c>
      <x:c r="J2374" s="12" t="str">
        <x:v>IT &amp; digital</x:v>
      </x:c>
      <x:c r="K2374" s="2" t="str">
        <x:v>PARTNER-M002</x:v>
      </x:c>
    </x:row>
    <x:row r="2375" ht="46" customHeight="1">
      <x:c r="A2375" s="2" t="str">
        <x:v>TEN-0F0E714E580D</x:v>
      </x:c>
      <x:c r="B2375" s="12" t="str">
        <x:v>Scientific Games</x:v>
      </x:c>
      <x:c r="C2375" s="12" t="str">
        <x:v>CORP-0426</x:v>
      </x:c>
      <x:c r="D2375" s="12" t="str">
        <x:v>Bengaluru</x:v>
      </x:c>
      <x:c r="E2375" s="12" t="str">
        <x:v>International Tech Park (ITPB)</x:v>
      </x:c>
      <x:c r="F2375" s="12" t="str">
        <x:v>55 inch</x:v>
      </x:c>
      <x:c r="G2375" s="20" t="n">
        <x:v>1</x:v>
      </x:c>
      <x:c r="H2375" s="12" t="str">
        <x:v>Campus/portfolio roster; individual building occupancy unverified</x:v>
      </x:c>
      <x:c r="I2375" s="12" t="str">
        <x:v>Mixed business audience</x:v>
      </x:c>
      <x:c r="J2375" s="12" t="str">
        <x:v>Trade, consumer &amp; logistics</x:v>
      </x:c>
      <x:c r="K2375" s="2" t="str">
        <x:v>PARTNER-M002</x:v>
      </x:c>
    </x:row>
    <x:row r="2376" ht="46" customHeight="1">
      <x:c r="A2376" s="2" t="str">
        <x:v>TEN-184C1AE98B51</x:v>
      </x:c>
      <x:c r="B2376" s="12" t="str">
        <x:v>N.F Simth</x:v>
      </x:c>
      <x:c r="C2376" s="12" t="str">
        <x:v>CORP-0426</x:v>
      </x:c>
      <x:c r="D2376" s="12" t="str">
        <x:v>Bengaluru</x:v>
      </x:c>
      <x:c r="E2376" s="12" t="str">
        <x:v>International Tech Park (ITPB)</x:v>
      </x:c>
      <x:c r="F2376" s="12" t="str">
        <x:v>55 inch</x:v>
      </x:c>
      <x:c r="G2376" s="20" t="n">
        <x:v>1</x:v>
      </x:c>
      <x:c r="H2376" s="12" t="str">
        <x:v>Campus/portfolio roster; individual building occupancy unverified</x:v>
      </x:c>
      <x:c r="I2376" s="12" t="str">
        <x:v>Mixed business audience</x:v>
      </x:c>
      <x:c r="J2376" s="12" t="str">
        <x:v>Unresolved</x:v>
      </x:c>
      <x:c r="K2376" s="2" t="str">
        <x:v>PARTNER-M002</x:v>
      </x:c>
    </x:row>
    <x:row r="2377" ht="46" customHeight="1">
      <x:c r="A2377" s="2" t="str">
        <x:v>TEN-1B4CDA7D6285</x:v>
      </x:c>
      <x:c r="B2377" s="12" t="str">
        <x:v>Jupiter Intergrated</x:v>
      </x:c>
      <x:c r="C2377" s="12" t="str">
        <x:v>CORP-0426</x:v>
      </x:c>
      <x:c r="D2377" s="12" t="str">
        <x:v>Bengaluru</x:v>
      </x:c>
      <x:c r="E2377" s="12" t="str">
        <x:v>International Tech Park (ITPB)</x:v>
      </x:c>
      <x:c r="F2377" s="12" t="str">
        <x:v>55 inch</x:v>
      </x:c>
      <x:c r="G2377" s="20" t="n">
        <x:v>1</x:v>
      </x:c>
      <x:c r="H2377" s="12" t="str">
        <x:v>Campus/portfolio roster; individual building occupancy unverified</x:v>
      </x:c>
      <x:c r="I2377" s="12" t="str">
        <x:v>Mixed business audience</x:v>
      </x:c>
      <x:c r="J2377" s="12" t="str">
        <x:v>Unresolved</x:v>
      </x:c>
      <x:c r="K2377" s="2" t="str">
        <x:v>PARTNER-M002</x:v>
      </x:c>
    </x:row>
    <x:row r="2378" ht="46" customHeight="1">
      <x:c r="A2378" s="2" t="str">
        <x:v>TEN-2026E5F6610A</x:v>
      </x:c>
      <x:c r="B2378" s="12" t="str">
        <x:v>PPalc Networks</x:v>
      </x:c>
      <x:c r="C2378" s="12" t="str">
        <x:v>CORP-0426</x:v>
      </x:c>
      <x:c r="D2378" s="12" t="str">
        <x:v>Bengaluru</x:v>
      </x:c>
      <x:c r="E2378" s="12" t="str">
        <x:v>International Tech Park (ITPB)</x:v>
      </x:c>
      <x:c r="F2378" s="12" t="str">
        <x:v>55 inch</x:v>
      </x:c>
      <x:c r="G2378" s="20" t="n">
        <x:v>1</x:v>
      </x:c>
      <x:c r="H2378" s="12" t="str">
        <x:v>Campus/portfolio roster; individual building occupancy unverified</x:v>
      </x:c>
      <x:c r="I2378" s="12" t="str">
        <x:v>Small-scale prospects</x:v>
      </x:c>
      <x:c r="J2378" s="12" t="str">
        <x:v>IT &amp; digital</x:v>
      </x:c>
      <x:c r="K2378" s="2" t="str">
        <x:v>PARTNER-M002</x:v>
      </x:c>
    </x:row>
    <x:row r="2379" ht="46" customHeight="1">
      <x:c r="A2379" s="2" t="str">
        <x:v>TEN-20DEB070372D</x:v>
      </x:c>
      <x:c r="B2379" s="12" t="str">
        <x:v>Thoucentric</x:v>
      </x:c>
      <x:c r="C2379" s="12" t="str">
        <x:v>CORP-0426</x:v>
      </x:c>
      <x:c r="D2379" s="12" t="str">
        <x:v>Bengaluru</x:v>
      </x:c>
      <x:c r="E2379" s="12" t="str">
        <x:v>International Tech Park (ITPB)</x:v>
      </x:c>
      <x:c r="F2379" s="12" t="str">
        <x:v>55 inch</x:v>
      </x:c>
      <x:c r="G2379" s="20" t="n">
        <x:v>1</x:v>
      </x:c>
      <x:c r="H2379" s="12" t="str">
        <x:v>Campus/portfolio roster; individual building occupancy unverified</x:v>
      </x:c>
      <x:c r="I2379" s="12" t="str">
        <x:v>Mixed business audience</x:v>
      </x:c>
      <x:c r="J2379" s="12" t="str">
        <x:v>IT &amp; digital</x:v>
      </x:c>
      <x:c r="K2379" s="2" t="str">
        <x:v>PARTNER-M002</x:v>
      </x:c>
    </x:row>
    <x:row r="2380" ht="46" customHeight="1">
      <x:c r="A2380" s="2" t="str">
        <x:v>TEN-21972B078EB5</x:v>
      </x:c>
      <x:c r="B2380" s="12" t="str">
        <x:v>Denso International</x:v>
      </x:c>
      <x:c r="C2380" s="12" t="str">
        <x:v>CORP-0426</x:v>
      </x:c>
      <x:c r="D2380" s="12" t="str">
        <x:v>Bengaluru</x:v>
      </x:c>
      <x:c r="E2380" s="12" t="str">
        <x:v>International Tech Park (ITPB)</x:v>
      </x:c>
      <x:c r="F2380" s="12" t="str">
        <x:v>55 inch</x:v>
      </x:c>
      <x:c r="G2380" s="20" t="n">
        <x:v>1</x:v>
      </x:c>
      <x:c r="H2380" s="12" t="str">
        <x:v>Campus/portfolio roster; individual building occupancy unverified</x:v>
      </x:c>
      <x:c r="I2380" s="12" t="str">
        <x:v>Mixed business audience</x:v>
      </x:c>
      <x:c r="J2380" s="12" t="str">
        <x:v>Engineering &amp; manufacturing</x:v>
      </x:c>
      <x:c r="K2380" s="2" t="str">
        <x:v>PARTNER-M002</x:v>
      </x:c>
    </x:row>
    <x:row r="2381" ht="46" customHeight="1">
      <x:c r="A2381" s="2" t="str">
        <x:v>TEN-22A366EB6CEC</x:v>
      </x:c>
      <x:c r="B2381" s="12" t="str">
        <x:v>Xandr India</x:v>
      </x:c>
      <x:c r="C2381" s="12" t="str">
        <x:v>CORP-0426</x:v>
      </x:c>
      <x:c r="D2381" s="12" t="str">
        <x:v>Bengaluru</x:v>
      </x:c>
      <x:c r="E2381" s="12" t="str">
        <x:v>International Tech Park (ITPB)</x:v>
      </x:c>
      <x:c r="F2381" s="12" t="str">
        <x:v>55 inch</x:v>
      </x:c>
      <x:c r="G2381" s="20" t="n">
        <x:v>1</x:v>
      </x:c>
      <x:c r="H2381" s="12" t="str">
        <x:v>Campus/portfolio roster; individual building occupancy unverified</x:v>
      </x:c>
      <x:c r="I2381" s="12" t="str">
        <x:v>Mixed business audience</x:v>
      </x:c>
      <x:c r="J2381" s="12" t="str">
        <x:v>IT &amp; digital</x:v>
      </x:c>
      <x:c r="K2381" s="2" t="str">
        <x:v>PARTNER-M002</x:v>
      </x:c>
    </x:row>
    <x:row r="2382" ht="46" customHeight="1">
      <x:c r="A2382" s="2" t="str">
        <x:v>TEN-2417E5B2BCE7</x:v>
      </x:c>
      <x:c r="B2382" s="12" t="str">
        <x:v>Galax E Solutions</x:v>
      </x:c>
      <x:c r="C2382" s="12" t="str">
        <x:v>CORP-0426</x:v>
      </x:c>
      <x:c r="D2382" s="12" t="str">
        <x:v>Bengaluru</x:v>
      </x:c>
      <x:c r="E2382" s="12" t="str">
        <x:v>International Tech Park (ITPB)</x:v>
      </x:c>
      <x:c r="F2382" s="12" t="str">
        <x:v>55 inch</x:v>
      </x:c>
      <x:c r="G2382" s="20" t="n">
        <x:v>1</x:v>
      </x:c>
      <x:c r="H2382" s="12" t="str">
        <x:v>Campus/portfolio roster; individual building occupancy unverified</x:v>
      </x:c>
      <x:c r="I2382" s="12" t="str">
        <x:v>Mixed business audience</x:v>
      </x:c>
      <x:c r="J2382" s="12" t="str">
        <x:v>IT &amp; digital</x:v>
      </x:c>
      <x:c r="K2382" s="2" t="str">
        <x:v>PARTNER-M002</x:v>
      </x:c>
    </x:row>
    <x:row r="2383" ht="46" customHeight="1">
      <x:c r="A2383" s="2" t="str">
        <x:v>TEN-2AB6D53E717A</x:v>
      </x:c>
      <x:c r="B2383" s="12" t="str">
        <x:v>Nokia</x:v>
      </x:c>
      <x:c r="C2383" s="12" t="str">
        <x:v>CORP-0426</x:v>
      </x:c>
      <x:c r="D2383" s="12" t="str">
        <x:v>Bengaluru</x:v>
      </x:c>
      <x:c r="E2383" s="12" t="str">
        <x:v>International Tech Park (ITPB)</x:v>
      </x:c>
      <x:c r="F2383" s="12" t="str">
        <x:v>55 inch</x:v>
      </x:c>
      <x:c r="G2383" s="20" t="n">
        <x:v>1</x:v>
      </x:c>
      <x:c r="H2383" s="12" t="str">
        <x:v>Campus/portfolio roster; individual building occupancy unverified</x:v>
      </x:c>
      <x:c r="I2383" s="12" t="str">
        <x:v>Large enterprise</x:v>
      </x:c>
      <x:c r="J2383" s="12" t="str">
        <x:v>IT &amp; digital</x:v>
      </x:c>
      <x:c r="K2383" s="2" t="str">
        <x:v>PARTNER-M002</x:v>
      </x:c>
    </x:row>
    <x:row r="2384" ht="46" customHeight="1">
      <x:c r="A2384" s="2" t="str">
        <x:v>TEN-2DBBBD8AD08B</x:v>
      </x:c>
      <x:c r="B2384" s="12" t="str">
        <x:v>Zenmonics Software</x:v>
      </x:c>
      <x:c r="C2384" s="12" t="str">
        <x:v>CORP-0426</x:v>
      </x:c>
      <x:c r="D2384" s="12" t="str">
        <x:v>Bengaluru</x:v>
      </x:c>
      <x:c r="E2384" s="12" t="str">
        <x:v>International Tech Park (ITPB)</x:v>
      </x:c>
      <x:c r="F2384" s="12" t="str">
        <x:v>55 inch</x:v>
      </x:c>
      <x:c r="G2384" s="20" t="n">
        <x:v>1</x:v>
      </x:c>
      <x:c r="H2384" s="12" t="str">
        <x:v>Campus/portfolio roster; individual building occupancy unverified</x:v>
      </x:c>
      <x:c r="I2384" s="12" t="str">
        <x:v>Small-scale prospects</x:v>
      </x:c>
      <x:c r="J2384" s="12" t="str">
        <x:v>IT &amp; digital</x:v>
      </x:c>
      <x:c r="K2384" s="2" t="str">
        <x:v>PARTNER-M002</x:v>
      </x:c>
    </x:row>
    <x:row r="2385" ht="46" customHeight="1">
      <x:c r="A2385" s="2" t="str">
        <x:v>TEN-2E737C2291BC</x:v>
      </x:c>
      <x:c r="B2385" s="12" t="str">
        <x:v>Nextgen</x:v>
      </x:c>
      <x:c r="C2385" s="12" t="str">
        <x:v>CORP-0426</x:v>
      </x:c>
      <x:c r="D2385" s="12" t="str">
        <x:v>Bengaluru</x:v>
      </x:c>
      <x:c r="E2385" s="12" t="str">
        <x:v>International Tech Park (ITPB)</x:v>
      </x:c>
      <x:c r="F2385" s="12" t="str">
        <x:v>55 inch</x:v>
      </x:c>
      <x:c r="G2385" s="20" t="n">
        <x:v>1</x:v>
      </x:c>
      <x:c r="H2385" s="12" t="str">
        <x:v>Campus/portfolio roster; individual building occupancy unverified</x:v>
      </x:c>
      <x:c r="I2385" s="12" t="str">
        <x:v>Mixed business audience</x:v>
      </x:c>
      <x:c r="J2385" s="12" t="str">
        <x:v>Unresolved</x:v>
      </x:c>
      <x:c r="K2385" s="2" t="str">
        <x:v>PARTNER-M002</x:v>
      </x:c>
    </x:row>
    <x:row r="2386" ht="46" customHeight="1">
      <x:c r="A2386" s="2" t="str">
        <x:v>TEN-2EDD47EC3C4F</x:v>
      </x:c>
      <x:c r="B2386" s="12" t="str">
        <x:v>Technicolor India</x:v>
      </x:c>
      <x:c r="C2386" s="12" t="str">
        <x:v>CORP-0426</x:v>
      </x:c>
      <x:c r="D2386" s="12" t="str">
        <x:v>Bengaluru</x:v>
      </x:c>
      <x:c r="E2386" s="12" t="str">
        <x:v>International Tech Park (ITPB)</x:v>
      </x:c>
      <x:c r="F2386" s="12" t="str">
        <x:v>55 inch</x:v>
      </x:c>
      <x:c r="G2386" s="20" t="n">
        <x:v>1</x:v>
      </x:c>
      <x:c r="H2386" s="12" t="str">
        <x:v>Campus/portfolio roster; individual building occupancy unverified</x:v>
      </x:c>
      <x:c r="I2386" s="12" t="str">
        <x:v>Mixed business audience</x:v>
      </x:c>
      <x:c r="J2386" s="12" t="str">
        <x:v>Trade, consumer &amp; logistics</x:v>
      </x:c>
      <x:c r="K2386" s="2" t="str">
        <x:v>PARTNER-M002</x:v>
      </x:c>
    </x:row>
    <x:row r="2387" ht="46" customHeight="1">
      <x:c r="A2387" s="2" t="str">
        <x:v>TEN-30E363D3E8C5</x:v>
      </x:c>
      <x:c r="B2387" s="12" t="str">
        <x:v>Siemens</x:v>
      </x:c>
      <x:c r="C2387" s="12" t="str">
        <x:v>CORP-0426</x:v>
      </x:c>
      <x:c r="D2387" s="12" t="str">
        <x:v>Bengaluru</x:v>
      </x:c>
      <x:c r="E2387" s="12" t="str">
        <x:v>International Tech Park (ITPB)</x:v>
      </x:c>
      <x:c r="F2387" s="12" t="str">
        <x:v>55 inch</x:v>
      </x:c>
      <x:c r="G2387" s="20" t="n">
        <x:v>1</x:v>
      </x:c>
      <x:c r="H2387" s="12" t="str">
        <x:v>Campus/portfolio roster; individual building occupancy unverified</x:v>
      </x:c>
      <x:c r="I2387" s="12" t="str">
        <x:v>Large enterprise</x:v>
      </x:c>
      <x:c r="J2387" s="12" t="str">
        <x:v>Engineering &amp; manufacturing</x:v>
      </x:c>
      <x:c r="K2387" s="2" t="str">
        <x:v>PARTNER-M002</x:v>
      </x:c>
    </x:row>
    <x:row r="2388" ht="46" customHeight="1">
      <x:c r="A2388" s="2" t="str">
        <x:v>TEN-316635638FCB</x:v>
      </x:c>
      <x:c r="B2388" s="12" t="str">
        <x:v>Sabre Travel</x:v>
      </x:c>
      <x:c r="C2388" s="12" t="str">
        <x:v>CORP-0426</x:v>
      </x:c>
      <x:c r="D2388" s="12" t="str">
        <x:v>Bengaluru</x:v>
      </x:c>
      <x:c r="E2388" s="12" t="str">
        <x:v>International Tech Park (ITPB)</x:v>
      </x:c>
      <x:c r="F2388" s="12" t="str">
        <x:v>55 inch</x:v>
      </x:c>
      <x:c r="G2388" s="20" t="n">
        <x:v>1</x:v>
      </x:c>
      <x:c r="H2388" s="12" t="str">
        <x:v>Campus/portfolio roster; individual building occupancy unverified</x:v>
      </x:c>
      <x:c r="I2388" s="12" t="str">
        <x:v>Mixed business audience</x:v>
      </x:c>
      <x:c r="J2388" s="12" t="str">
        <x:v>IT &amp; digital</x:v>
      </x:c>
      <x:c r="K2388" s="2" t="str">
        <x:v>PARTNER-M002</x:v>
      </x:c>
    </x:row>
    <x:row r="2389" ht="46" customHeight="1">
      <x:c r="A2389" s="2" t="str">
        <x:v>TEN-330E380FC660</x:v>
      </x:c>
      <x:c r="B2389" s="12" t="str">
        <x:v>The Dhanalakshmi Bank</x:v>
      </x:c>
      <x:c r="C2389" s="12" t="str">
        <x:v>CORP-0426</x:v>
      </x:c>
      <x:c r="D2389" s="12" t="str">
        <x:v>Bengaluru</x:v>
      </x:c>
      <x:c r="E2389" s="12" t="str">
        <x:v>International Tech Park (ITPB)</x:v>
      </x:c>
      <x:c r="F2389" s="12" t="str">
        <x:v>55 inch</x:v>
      </x:c>
      <x:c r="G2389" s="20" t="n">
        <x:v>1</x:v>
      </x:c>
      <x:c r="H2389" s="12" t="str">
        <x:v>Campus/portfolio roster; individual building occupancy unverified</x:v>
      </x:c>
      <x:c r="I2389" s="12" t="str">
        <x:v>Mixed business audience</x:v>
      </x:c>
      <x:c r="J2389" s="12" t="str">
        <x:v>Finance &amp; insurance</x:v>
      </x:c>
      <x:c r="K2389" s="2" t="str">
        <x:v>PARTNER-M002</x:v>
      </x:c>
    </x:row>
    <x:row r="2390" ht="46" customHeight="1">
      <x:c r="A2390" s="2" t="str">
        <x:v>TEN-3338D6A28C63</x:v>
      </x:c>
      <x:c r="B2390" s="12" t="str">
        <x:v>NTT Cloud</x:v>
      </x:c>
      <x:c r="C2390" s="12" t="str">
        <x:v>CORP-0426</x:v>
      </x:c>
      <x:c r="D2390" s="12" t="str">
        <x:v>Bengaluru</x:v>
      </x:c>
      <x:c r="E2390" s="12" t="str">
        <x:v>International Tech Park (ITPB)</x:v>
      </x:c>
      <x:c r="F2390" s="12" t="str">
        <x:v>55 inch</x:v>
      </x:c>
      <x:c r="G2390" s="20" t="n">
        <x:v>1</x:v>
      </x:c>
      <x:c r="H2390" s="12" t="str">
        <x:v>Campus/portfolio roster; individual building occupancy unverified</x:v>
      </x:c>
      <x:c r="I2390" s="12" t="str">
        <x:v>Large enterprise</x:v>
      </x:c>
      <x:c r="J2390" s="12" t="str">
        <x:v>IT &amp; digital</x:v>
      </x:c>
      <x:c r="K2390" s="2" t="str">
        <x:v>PARTNER-M002</x:v>
      </x:c>
    </x:row>
    <x:row r="2391" ht="46" customHeight="1">
      <x:c r="A2391" s="2" t="str">
        <x:v>TEN-33DF04958DCA</x:v>
      </x:c>
      <x:c r="B2391" s="12" t="str">
        <x:v>Panasoni Life</x:v>
      </x:c>
      <x:c r="C2391" s="12" t="str">
        <x:v>CORP-0426</x:v>
      </x:c>
      <x:c r="D2391" s="12" t="str">
        <x:v>Bengaluru</x:v>
      </x:c>
      <x:c r="E2391" s="12" t="str">
        <x:v>International Tech Park (ITPB)</x:v>
      </x:c>
      <x:c r="F2391" s="12" t="str">
        <x:v>55 inch</x:v>
      </x:c>
      <x:c r="G2391" s="20" t="n">
        <x:v>1</x:v>
      </x:c>
      <x:c r="H2391" s="12" t="str">
        <x:v>Campus/portfolio roster; individual building occupancy unverified</x:v>
      </x:c>
      <x:c r="I2391" s="12" t="str">
        <x:v>Mixed business audience</x:v>
      </x:c>
      <x:c r="J2391" s="12" t="str">
        <x:v>Unresolved</x:v>
      </x:c>
      <x:c r="K2391" s="2" t="str">
        <x:v>PARTNER-M002</x:v>
      </x:c>
    </x:row>
    <x:row r="2392" ht="46" customHeight="1">
      <x:c r="A2392" s="2" t="str">
        <x:v>TEN-34185282371F</x:v>
      </x:c>
      <x:c r="B2392" s="12" t="str">
        <x:v>Glenburn</x:v>
      </x:c>
      <x:c r="C2392" s="12" t="str">
        <x:v>CORP-0426</x:v>
      </x:c>
      <x:c r="D2392" s="12" t="str">
        <x:v>Bengaluru</x:v>
      </x:c>
      <x:c r="E2392" s="12" t="str">
        <x:v>International Tech Park (ITPB)</x:v>
      </x:c>
      <x:c r="F2392" s="12" t="str">
        <x:v>55 inch</x:v>
      </x:c>
      <x:c r="G2392" s="20" t="n">
        <x:v>1</x:v>
      </x:c>
      <x:c r="H2392" s="12" t="str">
        <x:v>Campus/portfolio roster; individual building occupancy unverified</x:v>
      </x:c>
      <x:c r="I2392" s="12" t="str">
        <x:v>Mixed business audience</x:v>
      </x:c>
      <x:c r="J2392" s="12" t="str">
        <x:v>Unresolved</x:v>
      </x:c>
      <x:c r="K2392" s="2" t="str">
        <x:v>PARTNER-M002</x:v>
      </x:c>
    </x:row>
    <x:row r="2393" ht="46" customHeight="1">
      <x:c r="A2393" s="2" t="str">
        <x:v>TEN-356AAB6A94F0</x:v>
      </x:c>
      <x:c r="B2393" s="12" t="str">
        <x:v>Infovision</x:v>
      </x:c>
      <x:c r="C2393" s="12" t="str">
        <x:v>CORP-0426</x:v>
      </x:c>
      <x:c r="D2393" s="12" t="str">
        <x:v>Bengaluru</x:v>
      </x:c>
      <x:c r="E2393" s="12" t="str">
        <x:v>International Tech Park (ITPB)</x:v>
      </x:c>
      <x:c r="F2393" s="12" t="str">
        <x:v>55 inch</x:v>
      </x:c>
      <x:c r="G2393" s="20" t="n">
        <x:v>1</x:v>
      </x:c>
      <x:c r="H2393" s="12" t="str">
        <x:v>Campus/portfolio roster; individual building occupancy unverified</x:v>
      </x:c>
      <x:c r="I2393" s="12" t="str">
        <x:v>Small-scale prospects</x:v>
      </x:c>
      <x:c r="J2393" s="12" t="str">
        <x:v>IT &amp; digital</x:v>
      </x:c>
      <x:c r="K2393" s="2" t="str">
        <x:v>PARTNER-M002</x:v>
      </x:c>
    </x:row>
    <x:row r="2394" ht="46" customHeight="1">
      <x:c r="A2394" s="2" t="str">
        <x:v>TEN-3669A97CEE08</x:v>
      </x:c>
      <x:c r="B2394" s="12" t="str">
        <x:v>DBA xcom labs</x:v>
      </x:c>
      <x:c r="C2394" s="12" t="str">
        <x:v>CORP-0426</x:v>
      </x:c>
      <x:c r="D2394" s="12" t="str">
        <x:v>Bengaluru</x:v>
      </x:c>
      <x:c r="E2394" s="12" t="str">
        <x:v>International Tech Park (ITPB)</x:v>
      </x:c>
      <x:c r="F2394" s="12" t="str">
        <x:v>55 inch</x:v>
      </x:c>
      <x:c r="G2394" s="20" t="n">
        <x:v>1</x:v>
      </x:c>
      <x:c r="H2394" s="12" t="str">
        <x:v>Campus/portfolio roster; individual building occupancy unverified</x:v>
      </x:c>
      <x:c r="I2394" s="12" t="str">
        <x:v>Mixed business audience</x:v>
      </x:c>
      <x:c r="J2394" s="12" t="str">
        <x:v>Unresolved</x:v>
      </x:c>
      <x:c r="K2394" s="2" t="str">
        <x:v>PARTNER-M002</x:v>
      </x:c>
    </x:row>
    <x:row r="2395" ht="46" customHeight="1">
      <x:c r="A2395" s="2" t="str">
        <x:v>TEN-3CCDB2E97517</x:v>
      </x:c>
      <x:c r="B2395" s="12" t="str">
        <x:v>Mentora</x:v>
      </x:c>
      <x:c r="C2395" s="12" t="str">
        <x:v>CORP-0426</x:v>
      </x:c>
      <x:c r="D2395" s="12" t="str">
        <x:v>Bengaluru</x:v>
      </x:c>
      <x:c r="E2395" s="12" t="str">
        <x:v>International Tech Park (ITPB)</x:v>
      </x:c>
      <x:c r="F2395" s="12" t="str">
        <x:v>55 inch</x:v>
      </x:c>
      <x:c r="G2395" s="20" t="n">
        <x:v>1</x:v>
      </x:c>
      <x:c r="H2395" s="12" t="str">
        <x:v>Campus/portfolio roster; individual building occupancy unverified</x:v>
      </x:c>
      <x:c r="I2395" s="12" t="str">
        <x:v>Mixed business audience</x:v>
      </x:c>
      <x:c r="J2395" s="12" t="str">
        <x:v>Unresolved</x:v>
      </x:c>
      <x:c r="K2395" s="2" t="str">
        <x:v>PARTNER-M002</x:v>
      </x:c>
    </x:row>
    <x:row r="2396" ht="46" customHeight="1">
      <x:c r="A2396" s="2" t="str">
        <x:v>TEN-43BD5FC2D8E2</x:v>
      </x:c>
      <x:c r="B2396" s="12" t="str">
        <x:v>RLE</x:v>
      </x:c>
      <x:c r="C2396" s="12" t="str">
        <x:v>CORP-0426</x:v>
      </x:c>
      <x:c r="D2396" s="12" t="str">
        <x:v>Bengaluru</x:v>
      </x:c>
      <x:c r="E2396" s="12" t="str">
        <x:v>International Tech Park (ITPB)</x:v>
      </x:c>
      <x:c r="F2396" s="12" t="str">
        <x:v>55 inch</x:v>
      </x:c>
      <x:c r="G2396" s="20" t="n">
        <x:v>1</x:v>
      </x:c>
      <x:c r="H2396" s="12" t="str">
        <x:v>Campus/portfolio roster; individual building occupancy unverified</x:v>
      </x:c>
      <x:c r="I2396" s="12" t="str">
        <x:v>Mixed business audience</x:v>
      </x:c>
      <x:c r="J2396" s="12" t="str">
        <x:v>Unresolved</x:v>
      </x:c>
      <x:c r="K2396" s="2" t="str">
        <x:v>PARTNER-M002</x:v>
      </x:c>
    </x:row>
    <x:row r="2397" ht="46" customHeight="1">
      <x:c r="A2397" s="2" t="str">
        <x:v>TEN-46EE12AD6E57</x:v>
      </x:c>
      <x:c r="B2397" s="12" t="str">
        <x:v>Open Bet</x:v>
      </x:c>
      <x:c r="C2397" s="12" t="str">
        <x:v>CORP-0426</x:v>
      </x:c>
      <x:c r="D2397" s="12" t="str">
        <x:v>Bengaluru</x:v>
      </x:c>
      <x:c r="E2397" s="12" t="str">
        <x:v>International Tech Park (ITPB)</x:v>
      </x:c>
      <x:c r="F2397" s="12" t="str">
        <x:v>55 inch</x:v>
      </x:c>
      <x:c r="G2397" s="20" t="n">
        <x:v>1</x:v>
      </x:c>
      <x:c r="H2397" s="12" t="str">
        <x:v>Campus/portfolio roster; individual building occupancy unverified</x:v>
      </x:c>
      <x:c r="I2397" s="12" t="str">
        <x:v>Mixed business audience</x:v>
      </x:c>
      <x:c r="J2397" s="12" t="str">
        <x:v>Trade, consumer &amp; logistics</x:v>
      </x:c>
      <x:c r="K2397" s="2" t="str">
        <x:v>PARTNER-M002</x:v>
      </x:c>
    </x:row>
    <x:row r="2398" ht="46" customHeight="1">
      <x:c r="A2398" s="2" t="str">
        <x:v>TEN-4B42B5258CA7</x:v>
      </x:c>
      <x:c r="B2398" s="12" t="str">
        <x:v>Tyfone</x:v>
      </x:c>
      <x:c r="C2398" s="12" t="str">
        <x:v>CORP-0426</x:v>
      </x:c>
      <x:c r="D2398" s="12" t="str">
        <x:v>Bengaluru</x:v>
      </x:c>
      <x:c r="E2398" s="12" t="str">
        <x:v>International Tech Park (ITPB)</x:v>
      </x:c>
      <x:c r="F2398" s="12" t="str">
        <x:v>55 inch</x:v>
      </x:c>
      <x:c r="G2398" s="20" t="n">
        <x:v>1</x:v>
      </x:c>
      <x:c r="H2398" s="12" t="str">
        <x:v>Campus/portfolio roster; individual building occupancy unverified</x:v>
      </x:c>
      <x:c r="I2398" s="12" t="str">
        <x:v>Small-scale prospects</x:v>
      </x:c>
      <x:c r="J2398" s="12" t="str">
        <x:v>IT &amp; digital</x:v>
      </x:c>
      <x:c r="K2398" s="2" t="str">
        <x:v>PARTNER-M002</x:v>
      </x:c>
    </x:row>
    <x:row r="2399" ht="46" customHeight="1">
      <x:c r="A2399" s="2" t="str">
        <x:v>TEN-50A50A4E75D3</x:v>
      </x:c>
      <x:c r="B2399" s="12" t="str">
        <x:v>Bharat Sanchar Nigam</x:v>
      </x:c>
      <x:c r="C2399" s="12" t="str">
        <x:v>CORP-0426</x:v>
      </x:c>
      <x:c r="D2399" s="12" t="str">
        <x:v>Bengaluru</x:v>
      </x:c>
      <x:c r="E2399" s="12" t="str">
        <x:v>International Tech Park (ITPB)</x:v>
      </x:c>
      <x:c r="F2399" s="12" t="str">
        <x:v>55 inch</x:v>
      </x:c>
      <x:c r="G2399" s="20" t="n">
        <x:v>1</x:v>
      </x:c>
      <x:c r="H2399" s="12" t="str">
        <x:v>Campus/portfolio roster; individual building occupancy unverified</x:v>
      </x:c>
      <x:c r="I2399" s="12" t="str">
        <x:v>Mixed business audience</x:v>
      </x:c>
      <x:c r="J2399" s="12" t="str">
        <x:v>IT &amp; digital</x:v>
      </x:c>
      <x:c r="K2399" s="2" t="str">
        <x:v>PARTNER-M002</x:v>
      </x:c>
    </x:row>
    <x:row r="2400" ht="46" customHeight="1">
      <x:c r="A2400" s="2" t="str">
        <x:v>TEN-5346DFE17486</x:v>
      </x:c>
      <x:c r="B2400" s="12" t="str">
        <x:v>Technicolor</x:v>
      </x:c>
      <x:c r="C2400" s="12" t="str">
        <x:v>CORP-0426</x:v>
      </x:c>
      <x:c r="D2400" s="12" t="str">
        <x:v>Bengaluru</x:v>
      </x:c>
      <x:c r="E2400" s="12" t="str">
        <x:v>International Tech Park (ITPB)</x:v>
      </x:c>
      <x:c r="F2400" s="12" t="str">
        <x:v>55 inch</x:v>
      </x:c>
      <x:c r="G2400" s="20" t="n">
        <x:v>1</x:v>
      </x:c>
      <x:c r="H2400" s="12" t="str">
        <x:v>Campus/portfolio roster; individual building occupancy unverified</x:v>
      </x:c>
      <x:c r="I2400" s="12" t="str">
        <x:v>Mixed business audience</x:v>
      </x:c>
      <x:c r="J2400" s="12" t="str">
        <x:v>Trade, consumer &amp; logistics</x:v>
      </x:c>
      <x:c r="K2400" s="2" t="str">
        <x:v>PARTNER-M002</x:v>
      </x:c>
    </x:row>
    <x:row r="2401" ht="46" customHeight="1">
      <x:c r="A2401" s="2" t="str">
        <x:v>TEN-598F7A741A1E</x:v>
      </x:c>
      <x:c r="B2401" s="12" t="str">
        <x:v>Aegis</x:v>
      </x:c>
      <x:c r="C2401" s="12" t="str">
        <x:v>CORP-0426</x:v>
      </x:c>
      <x:c r="D2401" s="12" t="str">
        <x:v>Bengaluru</x:v>
      </x:c>
      <x:c r="E2401" s="12" t="str">
        <x:v>International Tech Park (ITPB)</x:v>
      </x:c>
      <x:c r="F2401" s="12" t="str">
        <x:v>55 inch</x:v>
      </x:c>
      <x:c r="G2401" s="20" t="n">
        <x:v>1</x:v>
      </x:c>
      <x:c r="H2401" s="12" t="str">
        <x:v>Campus/portfolio roster; individual building occupancy unverified</x:v>
      </x:c>
      <x:c r="I2401" s="12" t="str">
        <x:v>Mixed business audience</x:v>
      </x:c>
      <x:c r="J2401" s="12" t="str">
        <x:v>IT &amp; digital</x:v>
      </x:c>
      <x:c r="K2401" s="2" t="str">
        <x:v>PARTNER-M002</x:v>
      </x:c>
    </x:row>
    <x:row r="2402" ht="46" customHeight="1">
      <x:c r="A2402" s="2" t="str">
        <x:v>TEN-59E713BB9B49</x:v>
      </x:c>
      <x:c r="B2402" s="12" t="str">
        <x:v>Revolt Intellicorp Pvt</x:v>
      </x:c>
      <x:c r="C2402" s="12" t="str">
        <x:v>CORP-0426</x:v>
      </x:c>
      <x:c r="D2402" s="12" t="str">
        <x:v>Bengaluru</x:v>
      </x:c>
      <x:c r="E2402" s="12" t="str">
        <x:v>International Tech Park (ITPB)</x:v>
      </x:c>
      <x:c r="F2402" s="12" t="str">
        <x:v>55 inch</x:v>
      </x:c>
      <x:c r="G2402" s="20" t="n">
        <x:v>1</x:v>
      </x:c>
      <x:c r="H2402" s="12" t="str">
        <x:v>Campus/portfolio roster; individual building occupancy unverified</x:v>
      </x:c>
      <x:c r="I2402" s="12" t="str">
        <x:v>Mixed business audience</x:v>
      </x:c>
      <x:c r="J2402" s="12" t="str">
        <x:v>Unresolved</x:v>
      </x:c>
      <x:c r="K2402" s="2" t="str">
        <x:v>PARTNER-M002</x:v>
      </x:c>
    </x:row>
    <x:row r="2403" ht="46" customHeight="1">
      <x:c r="A2403" s="2" t="str">
        <x:v>TEN-5B5245AFFE44</x:v>
      </x:c>
      <x:c r="B2403" s="12" t="str">
        <x:v>Tata Communications</x:v>
      </x:c>
      <x:c r="C2403" s="12" t="str">
        <x:v>CORP-0426</x:v>
      </x:c>
      <x:c r="D2403" s="12" t="str">
        <x:v>Bengaluru</x:v>
      </x:c>
      <x:c r="E2403" s="12" t="str">
        <x:v>International Tech Park (ITPB)</x:v>
      </x:c>
      <x:c r="F2403" s="12" t="str">
        <x:v>55 inch</x:v>
      </x:c>
      <x:c r="G2403" s="20" t="n">
        <x:v>1</x:v>
      </x:c>
      <x:c r="H2403" s="12" t="str">
        <x:v>Campus/portfolio roster; individual building occupancy unverified</x:v>
      </x:c>
      <x:c r="I2403" s="12" t="str">
        <x:v>Large enterprise</x:v>
      </x:c>
      <x:c r="J2403" s="12" t="str">
        <x:v>IT &amp; digital</x:v>
      </x:c>
      <x:c r="K2403" s="2" t="str">
        <x:v>PARTNER-M002</x:v>
      </x:c>
    </x:row>
    <x:row r="2404" ht="46" customHeight="1">
      <x:c r="A2404" s="2" t="str">
        <x:v>TEN-5D77DB2A2906</x:v>
      </x:c>
      <x:c r="B2404" s="12" t="str">
        <x:v>Telia</x:v>
      </x:c>
      <x:c r="C2404" s="12" t="str">
        <x:v>CORP-0426</x:v>
      </x:c>
      <x:c r="D2404" s="12" t="str">
        <x:v>Bengaluru</x:v>
      </x:c>
      <x:c r="E2404" s="12" t="str">
        <x:v>International Tech Park (ITPB)</x:v>
      </x:c>
      <x:c r="F2404" s="12" t="str">
        <x:v>55 inch</x:v>
      </x:c>
      <x:c r="G2404" s="20" t="n">
        <x:v>1</x:v>
      </x:c>
      <x:c r="H2404" s="12" t="str">
        <x:v>Campus/portfolio roster; individual building occupancy unverified</x:v>
      </x:c>
      <x:c r="I2404" s="12" t="str">
        <x:v>Mixed business audience</x:v>
      </x:c>
      <x:c r="J2404" s="12" t="str">
        <x:v>Unresolved</x:v>
      </x:c>
      <x:c r="K2404" s="2" t="str">
        <x:v>PARTNER-M002</x:v>
      </x:c>
    </x:row>
    <x:row r="2405" ht="46" customHeight="1">
      <x:c r="A2405" s="2" t="str">
        <x:v>TEN-5F435B82E7E9</x:v>
      </x:c>
      <x:c r="B2405" s="12" t="str">
        <x:v>Criterion</x:v>
      </x:c>
      <x:c r="C2405" s="12" t="str">
        <x:v>CORP-0426</x:v>
      </x:c>
      <x:c r="D2405" s="12" t="str">
        <x:v>Bengaluru</x:v>
      </x:c>
      <x:c r="E2405" s="12" t="str">
        <x:v>International Tech Park (ITPB)</x:v>
      </x:c>
      <x:c r="F2405" s="12" t="str">
        <x:v>55 inch</x:v>
      </x:c>
      <x:c r="G2405" s="20" t="n">
        <x:v>1</x:v>
      </x:c>
      <x:c r="H2405" s="12" t="str">
        <x:v>Campus/portfolio roster; individual building occupancy unverified</x:v>
      </x:c>
      <x:c r="I2405" s="12" t="str">
        <x:v>Mixed business audience</x:v>
      </x:c>
      <x:c r="J2405" s="12" t="str">
        <x:v>Unresolved</x:v>
      </x:c>
      <x:c r="K2405" s="2" t="str">
        <x:v>PARTNER-M002</x:v>
      </x:c>
    </x:row>
    <x:row r="2406" ht="46" customHeight="1">
      <x:c r="A2406" s="2" t="str">
        <x:v>TEN-5FA790F3630F</x:v>
      </x:c>
      <x:c r="B2406" s="12" t="str">
        <x:v>Tata Consultancy Services</x:v>
      </x:c>
      <x:c r="C2406" s="12" t="str">
        <x:v>CORP-0426</x:v>
      </x:c>
      <x:c r="D2406" s="12" t="str">
        <x:v>Bengaluru</x:v>
      </x:c>
      <x:c r="E2406" s="12" t="str">
        <x:v>International Tech Park (ITPB)</x:v>
      </x:c>
      <x:c r="F2406" s="12" t="str">
        <x:v>55 inch</x:v>
      </x:c>
      <x:c r="G2406" s="20" t="n">
        <x:v>1</x:v>
      </x:c>
      <x:c r="H2406" s="12" t="str">
        <x:v>Campus/portfolio roster; individual building occupancy unverified</x:v>
      </x:c>
      <x:c r="I2406" s="12" t="str">
        <x:v>Large enterprise</x:v>
      </x:c>
      <x:c r="J2406" s="12" t="str">
        <x:v>IT &amp; digital</x:v>
      </x:c>
      <x:c r="K2406" s="2" t="str">
        <x:v>PARTNER-M002</x:v>
      </x:c>
    </x:row>
    <x:row r="2407" ht="46" customHeight="1">
      <x:c r="A2407" s="2" t="str">
        <x:v>TEN-60B66A73DC22</x:v>
      </x:c>
      <x:c r="B2407" s="12" t="str">
        <x:v>Webdunia.com</x:v>
      </x:c>
      <x:c r="C2407" s="12" t="str">
        <x:v>CORP-0426</x:v>
      </x:c>
      <x:c r="D2407" s="12" t="str">
        <x:v>Bengaluru</x:v>
      </x:c>
      <x:c r="E2407" s="12" t="str">
        <x:v>International Tech Park (ITPB)</x:v>
      </x:c>
      <x:c r="F2407" s="12" t="str">
        <x:v>55 inch</x:v>
      </x:c>
      <x:c r="G2407" s="20" t="n">
        <x:v>1</x:v>
      </x:c>
      <x:c r="H2407" s="12" t="str">
        <x:v>Campus/portfolio roster; individual building occupancy unverified</x:v>
      </x:c>
      <x:c r="I2407" s="12" t="str">
        <x:v>Small-scale prospects</x:v>
      </x:c>
      <x:c r="J2407" s="12" t="str">
        <x:v>IT &amp; digital</x:v>
      </x:c>
      <x:c r="K2407" s="2" t="str">
        <x:v>PARTNER-M002</x:v>
      </x:c>
    </x:row>
    <x:row r="2408" ht="46" customHeight="1">
      <x:c r="A2408" s="2" t="str">
        <x:v>TEN-60CDE18C0230</x:v>
      </x:c>
      <x:c r="B2408" s="12" t="str">
        <x:v>Omens Animation</x:v>
      </x:c>
      <x:c r="C2408" s="12" t="str">
        <x:v>CORP-0426</x:v>
      </x:c>
      <x:c r="D2408" s="12" t="str">
        <x:v>Bengaluru</x:v>
      </x:c>
      <x:c r="E2408" s="12" t="str">
        <x:v>International Tech Park (ITPB)</x:v>
      </x:c>
      <x:c r="F2408" s="12" t="str">
        <x:v>55 inch</x:v>
      </x:c>
      <x:c r="G2408" s="20" t="n">
        <x:v>1</x:v>
      </x:c>
      <x:c r="H2408" s="12" t="str">
        <x:v>Campus/portfolio roster; individual building occupancy unverified</x:v>
      </x:c>
      <x:c r="I2408" s="12" t="str">
        <x:v>Small-scale prospects</x:v>
      </x:c>
      <x:c r="J2408" s="12" t="str">
        <x:v>Trade, consumer &amp; logistics</x:v>
      </x:c>
      <x:c r="K2408" s="2" t="str">
        <x:v>PARTNER-M002</x:v>
      </x:c>
    </x:row>
    <x:row r="2409" ht="46" customHeight="1">
      <x:c r="A2409" s="2" t="str">
        <x:v>TEN-676DC956336D</x:v>
      </x:c>
      <x:c r="B2409" s="12" t="str">
        <x:v>Rsab</x:v>
      </x:c>
      <x:c r="C2409" s="12" t="str">
        <x:v>CORP-0426</x:v>
      </x:c>
      <x:c r="D2409" s="12" t="str">
        <x:v>Bengaluru</x:v>
      </x:c>
      <x:c r="E2409" s="12" t="str">
        <x:v>International Tech Park (ITPB)</x:v>
      </x:c>
      <x:c r="F2409" s="12" t="str">
        <x:v>55 inch</x:v>
      </x:c>
      <x:c r="G2409" s="20" t="n">
        <x:v>1</x:v>
      </x:c>
      <x:c r="H2409" s="12" t="str">
        <x:v>Campus/portfolio roster; individual building occupancy unverified</x:v>
      </x:c>
      <x:c r="I2409" s="12" t="str">
        <x:v>Mixed business audience</x:v>
      </x:c>
      <x:c r="J2409" s="12" t="str">
        <x:v>Unresolved</x:v>
      </x:c>
      <x:c r="K2409" s="2" t="str">
        <x:v>PARTNER-M002</x:v>
      </x:c>
    </x:row>
    <x:row r="2410" ht="46" customHeight="1">
      <x:c r="A2410" s="2" t="str">
        <x:v>TEN-6994CDC0D34E</x:v>
      </x:c>
      <x:c r="B2410" s="12" t="str">
        <x:v>Sacha Engineering</x:v>
      </x:c>
      <x:c r="C2410" s="12" t="str">
        <x:v>CORP-0426</x:v>
      </x:c>
      <x:c r="D2410" s="12" t="str">
        <x:v>Bengaluru</x:v>
      </x:c>
      <x:c r="E2410" s="12" t="str">
        <x:v>International Tech Park (ITPB)</x:v>
      </x:c>
      <x:c r="F2410" s="12" t="str">
        <x:v>55 inch</x:v>
      </x:c>
      <x:c r="G2410" s="20" t="n">
        <x:v>1</x:v>
      </x:c>
      <x:c r="H2410" s="12" t="str">
        <x:v>Campus/portfolio roster; individual building occupancy unverified</x:v>
      </x:c>
      <x:c r="I2410" s="12" t="str">
        <x:v>Medium-scale prospects</x:v>
      </x:c>
      <x:c r="J2410" s="12" t="str">
        <x:v>Engineering &amp; manufacturing</x:v>
      </x:c>
      <x:c r="K2410" s="2" t="str">
        <x:v>PARTNER-M002</x:v>
      </x:c>
    </x:row>
    <x:row r="2411" ht="46" customHeight="1">
      <x:c r="A2411" s="2" t="str">
        <x:v>TEN-6BC09C13CCE1</x:v>
      </x:c>
      <x:c r="B2411" s="12" t="str">
        <x:v>Upilot</x:v>
      </x:c>
      <x:c r="C2411" s="12" t="str">
        <x:v>CORP-0426</x:v>
      </x:c>
      <x:c r="D2411" s="12" t="str">
        <x:v>Bengaluru</x:v>
      </x:c>
      <x:c r="E2411" s="12" t="str">
        <x:v>International Tech Park (ITPB)</x:v>
      </x:c>
      <x:c r="F2411" s="12" t="str">
        <x:v>55 inch</x:v>
      </x:c>
      <x:c r="G2411" s="20" t="n">
        <x:v>1</x:v>
      </x:c>
      <x:c r="H2411" s="12" t="str">
        <x:v>Campus/portfolio roster; individual building occupancy unverified</x:v>
      </x:c>
      <x:c r="I2411" s="12" t="str">
        <x:v>Small-scale prospects</x:v>
      </x:c>
      <x:c r="J2411" s="12" t="str">
        <x:v>IT &amp; digital</x:v>
      </x:c>
      <x:c r="K2411" s="2" t="str">
        <x:v>PARTNER-M002</x:v>
      </x:c>
    </x:row>
    <x:row r="2412" ht="46" customHeight="1">
      <x:c r="A2412" s="2" t="str">
        <x:v>TEN-6E2912BABF92</x:v>
      </x:c>
      <x:c r="B2412" s="12" t="str">
        <x:v>Plastic Omnium Auto</x:v>
      </x:c>
      <x:c r="C2412" s="12" t="str">
        <x:v>CORP-0426</x:v>
      </x:c>
      <x:c r="D2412" s="12" t="str">
        <x:v>Bengaluru</x:v>
      </x:c>
      <x:c r="E2412" s="12" t="str">
        <x:v>International Tech Park (ITPB)</x:v>
      </x:c>
      <x:c r="F2412" s="12" t="str">
        <x:v>55 inch</x:v>
      </x:c>
      <x:c r="G2412" s="20" t="n">
        <x:v>1</x:v>
      </x:c>
      <x:c r="H2412" s="12" t="str">
        <x:v>Campus/portfolio roster; individual building occupancy unverified</x:v>
      </x:c>
      <x:c r="I2412" s="12" t="str">
        <x:v>Mixed business audience</x:v>
      </x:c>
      <x:c r="J2412" s="12" t="str">
        <x:v>Engineering &amp; manufacturing</x:v>
      </x:c>
      <x:c r="K2412" s="2" t="str">
        <x:v>PARTNER-M002</x:v>
      </x:c>
    </x:row>
    <x:row r="2413" ht="46" customHeight="1">
      <x:c r="A2413" s="2" t="str">
        <x:v>TEN-6F273F8143F0</x:v>
      </x:c>
      <x:c r="B2413" s="12" t="str">
        <x:v>First Advantage</x:v>
      </x:c>
      <x:c r="C2413" s="12" t="str">
        <x:v>CORP-0426</x:v>
      </x:c>
      <x:c r="D2413" s="12" t="str">
        <x:v>Bengaluru</x:v>
      </x:c>
      <x:c r="E2413" s="12" t="str">
        <x:v>International Tech Park (ITPB)</x:v>
      </x:c>
      <x:c r="F2413" s="12" t="str">
        <x:v>55 inch</x:v>
      </x:c>
      <x:c r="G2413" s="20" t="n">
        <x:v>1</x:v>
      </x:c>
      <x:c r="H2413" s="12" t="str">
        <x:v>Campus/portfolio roster; individual building occupancy unverified</x:v>
      </x:c>
      <x:c r="I2413" s="12" t="str">
        <x:v>Mixed business audience</x:v>
      </x:c>
      <x:c r="J2413" s="12" t="str">
        <x:v>Professional services</x:v>
      </x:c>
      <x:c r="K2413" s="2" t="str">
        <x:v>PARTNER-M002</x:v>
      </x:c>
    </x:row>
    <x:row r="2414" ht="46" customHeight="1">
      <x:c r="A2414" s="2" t="str">
        <x:v>TEN-6F4C691FF4A1</x:v>
      </x:c>
      <x:c r="B2414" s="12" t="str">
        <x:v>Kennametal</x:v>
      </x:c>
      <x:c r="C2414" s="12" t="str">
        <x:v>CORP-0426</x:v>
      </x:c>
      <x:c r="D2414" s="12" t="str">
        <x:v>Bengaluru</x:v>
      </x:c>
      <x:c r="E2414" s="12" t="str">
        <x:v>International Tech Park (ITPB)</x:v>
      </x:c>
      <x:c r="F2414" s="12" t="str">
        <x:v>55 inch</x:v>
      </x:c>
      <x:c r="G2414" s="20" t="n">
        <x:v>1</x:v>
      </x:c>
      <x:c r="H2414" s="12" t="str">
        <x:v>Campus/portfolio roster; individual building occupancy unverified</x:v>
      </x:c>
      <x:c r="I2414" s="12" t="str">
        <x:v>Mixed business audience</x:v>
      </x:c>
      <x:c r="J2414" s="12" t="str">
        <x:v>Engineering &amp; manufacturing</x:v>
      </x:c>
      <x:c r="K2414" s="2" t="str">
        <x:v>PARTNER-M002</x:v>
      </x:c>
    </x:row>
    <x:row r="2415" ht="46" customHeight="1">
      <x:c r="A2415" s="2" t="str">
        <x:v>TEN-7318D4E0C064</x:v>
      </x:c>
      <x:c r="B2415" s="12" t="str">
        <x:v>Skiva</x:v>
      </x:c>
      <x:c r="C2415" s="12" t="str">
        <x:v>CORP-0426</x:v>
      </x:c>
      <x:c r="D2415" s="12" t="str">
        <x:v>Bengaluru</x:v>
      </x:c>
      <x:c r="E2415" s="12" t="str">
        <x:v>International Tech Park (ITPB)</x:v>
      </x:c>
      <x:c r="F2415" s="12" t="str">
        <x:v>55 inch</x:v>
      </x:c>
      <x:c r="G2415" s="20" t="n">
        <x:v>1</x:v>
      </x:c>
      <x:c r="H2415" s="12" t="str">
        <x:v>Campus/portfolio roster; individual building occupancy unverified</x:v>
      </x:c>
      <x:c r="I2415" s="12" t="str">
        <x:v>Mixed business audience</x:v>
      </x:c>
      <x:c r="J2415" s="12" t="str">
        <x:v>Unresolved</x:v>
      </x:c>
      <x:c r="K2415" s="2" t="str">
        <x:v>PARTNER-M002</x:v>
      </x:c>
    </x:row>
    <x:row r="2416" ht="46" customHeight="1">
      <x:c r="A2416" s="2" t="str">
        <x:v>TEN-764319AE4FB8</x:v>
      </x:c>
      <x:c r="B2416" s="12" t="str">
        <x:v>Sharp Software</x:v>
      </x:c>
      <x:c r="C2416" s="12" t="str">
        <x:v>CORP-0426</x:v>
      </x:c>
      <x:c r="D2416" s="12" t="str">
        <x:v>Bengaluru</x:v>
      </x:c>
      <x:c r="E2416" s="12" t="str">
        <x:v>International Tech Park (ITPB)</x:v>
      </x:c>
      <x:c r="F2416" s="12" t="str">
        <x:v>55 inch</x:v>
      </x:c>
      <x:c r="G2416" s="20" t="n">
        <x:v>1</x:v>
      </x:c>
      <x:c r="H2416" s="12" t="str">
        <x:v>Campus/portfolio roster; individual building occupancy unverified</x:v>
      </x:c>
      <x:c r="I2416" s="12" t="str">
        <x:v>Mixed business audience</x:v>
      </x:c>
      <x:c r="J2416" s="12" t="str">
        <x:v>IT &amp; digital</x:v>
      </x:c>
      <x:c r="K2416" s="2" t="str">
        <x:v>PARTNER-M002</x:v>
      </x:c>
    </x:row>
    <x:row r="2417" ht="46" customHeight="1">
      <x:c r="A2417" s="2" t="str">
        <x:v>TEN-7ECB3C42E303</x:v>
      </x:c>
      <x:c r="B2417" s="12" t="str">
        <x:v>Criterion Networks</x:v>
      </x:c>
      <x:c r="C2417" s="12" t="str">
        <x:v>CORP-0426</x:v>
      </x:c>
      <x:c r="D2417" s="12" t="str">
        <x:v>Bengaluru</x:v>
      </x:c>
      <x:c r="E2417" s="12" t="str">
        <x:v>International Tech Park (ITPB)</x:v>
      </x:c>
      <x:c r="F2417" s="12" t="str">
        <x:v>55 inch</x:v>
      </x:c>
      <x:c r="G2417" s="20" t="n">
        <x:v>1</x:v>
      </x:c>
      <x:c r="H2417" s="12" t="str">
        <x:v>Campus/portfolio roster; individual building occupancy unverified</x:v>
      </x:c>
      <x:c r="I2417" s="12" t="str">
        <x:v>Small-scale prospects</x:v>
      </x:c>
      <x:c r="J2417" s="12" t="str">
        <x:v>IT &amp; digital</x:v>
      </x:c>
      <x:c r="K2417" s="2" t="str">
        <x:v>PARTNER-M002</x:v>
      </x:c>
    </x:row>
    <x:row r="2418" ht="46" customHeight="1">
      <x:c r="A2418" s="2" t="str">
        <x:v>TEN-8174968E6F72</x:v>
      </x:c>
      <x:c r="B2418" s="12" t="str">
        <x:v>Achronix</x:v>
      </x:c>
      <x:c r="C2418" s="12" t="str">
        <x:v>CORP-0426</x:v>
      </x:c>
      <x:c r="D2418" s="12" t="str">
        <x:v>Bengaluru</x:v>
      </x:c>
      <x:c r="E2418" s="12" t="str">
        <x:v>International Tech Park (ITPB)</x:v>
      </x:c>
      <x:c r="F2418" s="12" t="str">
        <x:v>55 inch</x:v>
      </x:c>
      <x:c r="G2418" s="20" t="n">
        <x:v>1</x:v>
      </x:c>
      <x:c r="H2418" s="12" t="str">
        <x:v>Campus/portfolio roster; individual building occupancy unverified</x:v>
      </x:c>
      <x:c r="I2418" s="12" t="str">
        <x:v>Mixed business audience</x:v>
      </x:c>
      <x:c r="J2418" s="12" t="str">
        <x:v>Engineering &amp; manufacturing</x:v>
      </x:c>
      <x:c r="K2418" s="2" t="str">
        <x:v>PARTNER-M002</x:v>
      </x:c>
    </x:row>
    <x:row r="2419" ht="46" customHeight="1">
      <x:c r="A2419" s="2" t="str">
        <x:v>TEN-81F921B8E00A</x:v>
      </x:c>
      <x:c r="B2419" s="12" t="str">
        <x:v>Mobicip</x:v>
      </x:c>
      <x:c r="C2419" s="12" t="str">
        <x:v>CORP-0426</x:v>
      </x:c>
      <x:c r="D2419" s="12" t="str">
        <x:v>Bengaluru</x:v>
      </x:c>
      <x:c r="E2419" s="12" t="str">
        <x:v>International Tech Park (ITPB)</x:v>
      </x:c>
      <x:c r="F2419" s="12" t="str">
        <x:v>55 inch</x:v>
      </x:c>
      <x:c r="G2419" s="20" t="n">
        <x:v>1</x:v>
      </x:c>
      <x:c r="H2419" s="12" t="str">
        <x:v>Campus/portfolio roster; individual building occupancy unverified</x:v>
      </x:c>
      <x:c r="I2419" s="12" t="str">
        <x:v>Small-scale prospects</x:v>
      </x:c>
      <x:c r="J2419" s="12" t="str">
        <x:v>IT &amp; digital</x:v>
      </x:c>
      <x:c r="K2419" s="2" t="str">
        <x:v>PARTNER-M002</x:v>
      </x:c>
    </x:row>
    <x:row r="2420" ht="46" customHeight="1">
      <x:c r="A2420" s="2" t="str">
        <x:v>TEN-891353748B3A</x:v>
      </x:c>
      <x:c r="B2420" s="12" t="str">
        <x:v>Osi Energy automation</x:v>
      </x:c>
      <x:c r="C2420" s="12" t="str">
        <x:v>CORP-0426</x:v>
      </x:c>
      <x:c r="D2420" s="12" t="str">
        <x:v>Bengaluru</x:v>
      </x:c>
      <x:c r="E2420" s="12" t="str">
        <x:v>International Tech Park (ITPB)</x:v>
      </x:c>
      <x:c r="F2420" s="12" t="str">
        <x:v>55 inch</x:v>
      </x:c>
      <x:c r="G2420" s="20" t="n">
        <x:v>1</x:v>
      </x:c>
      <x:c r="H2420" s="12" t="str">
        <x:v>Campus/portfolio roster; individual building occupancy unverified</x:v>
      </x:c>
      <x:c r="I2420" s="12" t="str">
        <x:v>Medium-scale prospects</x:v>
      </x:c>
      <x:c r="J2420" s="12" t="str">
        <x:v>Engineering &amp; manufacturing</x:v>
      </x:c>
      <x:c r="K2420" s="2" t="str">
        <x:v>PARTNER-M002</x:v>
      </x:c>
    </x:row>
    <x:row r="2421" ht="46" customHeight="1">
      <x:c r="A2421" s="2" t="str">
        <x:v>TEN-8C4275F1FD40</x:v>
      </x:c>
      <x:c r="B2421" s="12" t="str">
        <x:v>Capital Land</x:v>
      </x:c>
      <x:c r="C2421" s="12" t="str">
        <x:v>CORP-0426</x:v>
      </x:c>
      <x:c r="D2421" s="12" t="str">
        <x:v>Bengaluru</x:v>
      </x:c>
      <x:c r="E2421" s="12" t="str">
        <x:v>International Tech Park (ITPB)</x:v>
      </x:c>
      <x:c r="F2421" s="12" t="str">
        <x:v>55 inch</x:v>
      </x:c>
      <x:c r="G2421" s="20" t="n">
        <x:v>1</x:v>
      </x:c>
      <x:c r="H2421" s="12" t="str">
        <x:v>Campus/portfolio roster; individual building occupancy unverified</x:v>
      </x:c>
      <x:c r="I2421" s="12" t="str">
        <x:v>Mixed business audience</x:v>
      </x:c>
      <x:c r="J2421" s="12" t="str">
        <x:v>Trade, consumer &amp; logistics</x:v>
      </x:c>
      <x:c r="K2421" s="2" t="str">
        <x:v>PARTNER-M002</x:v>
      </x:c>
    </x:row>
    <x:row r="2422" ht="46" customHeight="1">
      <x:c r="A2422" s="2" t="str">
        <x:v>TEN-8DCD18640A0A</x:v>
      </x:c>
      <x:c r="B2422" s="12" t="str">
        <x:v>Kotak</x:v>
      </x:c>
      <x:c r="C2422" s="12" t="str">
        <x:v>CORP-0426</x:v>
      </x:c>
      <x:c r="D2422" s="12" t="str">
        <x:v>Bengaluru</x:v>
      </x:c>
      <x:c r="E2422" s="12" t="str">
        <x:v>International Tech Park (ITPB)</x:v>
      </x:c>
      <x:c r="F2422" s="12" t="str">
        <x:v>55 inch</x:v>
      </x:c>
      <x:c r="G2422" s="20" t="n">
        <x:v>1</x:v>
      </x:c>
      <x:c r="H2422" s="12" t="str">
        <x:v>Campus/portfolio roster; individual building occupancy unverified</x:v>
      </x:c>
      <x:c r="I2422" s="12" t="str">
        <x:v>Large enterprise</x:v>
      </x:c>
      <x:c r="J2422" s="12" t="str">
        <x:v>Finance &amp; insurance</x:v>
      </x:c>
      <x:c r="K2422" s="2" t="str">
        <x:v>PARTNER-M002</x:v>
      </x:c>
    </x:row>
    <x:row r="2423" ht="46" customHeight="1">
      <x:c r="A2423" s="2" t="str">
        <x:v>TEN-916A98F0FA2A</x:v>
      </x:c>
      <x:c r="B2423" s="12" t="str">
        <x:v>IBM</x:v>
      </x:c>
      <x:c r="C2423" s="12" t="str">
        <x:v>CORP-0426</x:v>
      </x:c>
      <x:c r="D2423" s="12" t="str">
        <x:v>Bengaluru</x:v>
      </x:c>
      <x:c r="E2423" s="12" t="str">
        <x:v>International Tech Park (ITPB)</x:v>
      </x:c>
      <x:c r="F2423" s="12" t="str">
        <x:v>55 inch</x:v>
      </x:c>
      <x:c r="G2423" s="20" t="n">
        <x:v>1</x:v>
      </x:c>
      <x:c r="H2423" s="12" t="str">
        <x:v>Campus/portfolio roster; individual building occupancy unverified</x:v>
      </x:c>
      <x:c r="I2423" s="12" t="str">
        <x:v>Large enterprise</x:v>
      </x:c>
      <x:c r="J2423" s="12" t="str">
        <x:v>IT &amp; digital</x:v>
      </x:c>
      <x:c r="K2423" s="2" t="str">
        <x:v>PARTNER-M002</x:v>
      </x:c>
    </x:row>
    <x:row r="2424" ht="46" customHeight="1">
      <x:c r="A2424" s="2" t="str">
        <x:v>TEN-97720ABA5A0C</x:v>
      </x:c>
      <x:c r="B2424" s="12" t="str">
        <x:v>Insemi Technology</x:v>
      </x:c>
      <x:c r="C2424" s="12" t="str">
        <x:v>CORP-0426</x:v>
      </x:c>
      <x:c r="D2424" s="12" t="str">
        <x:v>Bengaluru</x:v>
      </x:c>
      <x:c r="E2424" s="12" t="str">
        <x:v>International Tech Park (ITPB)</x:v>
      </x:c>
      <x:c r="F2424" s="12" t="str">
        <x:v>55 inch</x:v>
      </x:c>
      <x:c r="G2424" s="20" t="n">
        <x:v>1</x:v>
      </x:c>
      <x:c r="H2424" s="12" t="str">
        <x:v>Campus/portfolio roster; individual building occupancy unverified</x:v>
      </x:c>
      <x:c r="I2424" s="12" t="str">
        <x:v>Mixed business audience</x:v>
      </x:c>
      <x:c r="J2424" s="12" t="str">
        <x:v>Engineering &amp; manufacturing</x:v>
      </x:c>
      <x:c r="K2424" s="2" t="str">
        <x:v>PARTNER-M002</x:v>
      </x:c>
    </x:row>
    <x:row r="2425" ht="46" customHeight="1">
      <x:c r="A2425" s="2" t="str">
        <x:v>TEN-97B053EFF73B</x:v>
      </x:c>
      <x:c r="B2425" s="12" t="str">
        <x:v>Xinthe Technologies</x:v>
      </x:c>
      <x:c r="C2425" s="12" t="str">
        <x:v>CORP-0426</x:v>
      </x:c>
      <x:c r="D2425" s="12" t="str">
        <x:v>Bengaluru</x:v>
      </x:c>
      <x:c r="E2425" s="12" t="str">
        <x:v>International Tech Park (ITPB)</x:v>
      </x:c>
      <x:c r="F2425" s="12" t="str">
        <x:v>55 inch</x:v>
      </x:c>
      <x:c r="G2425" s="20" t="n">
        <x:v>1</x:v>
      </x:c>
      <x:c r="H2425" s="12" t="str">
        <x:v>Campus/portfolio roster; individual building occupancy unverified</x:v>
      </x:c>
      <x:c r="I2425" s="12" t="str">
        <x:v>Small-scale prospects</x:v>
      </x:c>
      <x:c r="J2425" s="12" t="str">
        <x:v>IT &amp; digital</x:v>
      </x:c>
      <x:c r="K2425" s="2" t="str">
        <x:v>PARTNER-M002</x:v>
      </x:c>
    </x:row>
    <x:row r="2426" ht="46" customHeight="1">
      <x:c r="A2426" s="2" t="str">
        <x:v>TEN-99E39EB751AE</x:v>
      </x:c>
      <x:c r="B2426" s="12" t="str">
        <x:v>US Technology</x:v>
      </x:c>
      <x:c r="C2426" s="12" t="str">
        <x:v>CORP-0426</x:v>
      </x:c>
      <x:c r="D2426" s="12" t="str">
        <x:v>Bengaluru</x:v>
      </x:c>
      <x:c r="E2426" s="12" t="str">
        <x:v>International Tech Park (ITPB)</x:v>
      </x:c>
      <x:c r="F2426" s="12" t="str">
        <x:v>55 inch</x:v>
      </x:c>
      <x:c r="G2426" s="20" t="n">
        <x:v>1</x:v>
      </x:c>
      <x:c r="H2426" s="12" t="str">
        <x:v>Campus/portfolio roster; individual building occupancy unverified</x:v>
      </x:c>
      <x:c r="I2426" s="12" t="str">
        <x:v>Mixed business audience</x:v>
      </x:c>
      <x:c r="J2426" s="12" t="str">
        <x:v>IT &amp; digital</x:v>
      </x:c>
      <x:c r="K2426" s="2" t="str">
        <x:v>PARTNER-M002</x:v>
      </x:c>
    </x:row>
    <x:row r="2427" ht="46" customHeight="1">
      <x:c r="A2427" s="2" t="str">
        <x:v>TEN-A08385AC9A90</x:v>
      </x:c>
      <x:c r="B2427" s="12" t="str">
        <x:v>Ecinical</x:v>
      </x:c>
      <x:c r="C2427" s="12" t="str">
        <x:v>CORP-0426</x:v>
      </x:c>
      <x:c r="D2427" s="12" t="str">
        <x:v>Bengaluru</x:v>
      </x:c>
      <x:c r="E2427" s="12" t="str">
        <x:v>International Tech Park (ITPB)</x:v>
      </x:c>
      <x:c r="F2427" s="12" t="str">
        <x:v>55 inch</x:v>
      </x:c>
      <x:c r="G2427" s="20" t="n">
        <x:v>1</x:v>
      </x:c>
      <x:c r="H2427" s="12" t="str">
        <x:v>Campus/portfolio roster; individual building occupancy unverified</x:v>
      </x:c>
      <x:c r="I2427" s="12" t="str">
        <x:v>Mixed business audience</x:v>
      </x:c>
      <x:c r="J2427" s="12" t="str">
        <x:v>Unresolved</x:v>
      </x:c>
      <x:c r="K2427" s="2" t="str">
        <x:v>PARTNER-M002</x:v>
      </x:c>
    </x:row>
    <x:row r="2428" ht="46" customHeight="1">
      <x:c r="A2428" s="2" t="str">
        <x:v>TEN-A57526B5D973</x:v>
      </x:c>
      <x:c r="B2428" s="12" t="str">
        <x:v>General Motors</x:v>
      </x:c>
      <x:c r="C2428" s="12" t="str">
        <x:v>CORP-0426</x:v>
      </x:c>
      <x:c r="D2428" s="12" t="str">
        <x:v>Bengaluru</x:v>
      </x:c>
      <x:c r="E2428" s="12" t="str">
        <x:v>International Tech Park (ITPB)</x:v>
      </x:c>
      <x:c r="F2428" s="12" t="str">
        <x:v>55 inch</x:v>
      </x:c>
      <x:c r="G2428" s="20" t="n">
        <x:v>1</x:v>
      </x:c>
      <x:c r="H2428" s="12" t="str">
        <x:v>Campus/portfolio roster; individual building occupancy unverified</x:v>
      </x:c>
      <x:c r="I2428" s="12" t="str">
        <x:v>Mixed business audience</x:v>
      </x:c>
      <x:c r="J2428" s="12" t="str">
        <x:v>Engineering &amp; manufacturing</x:v>
      </x:c>
      <x:c r="K2428" s="2" t="str">
        <x:v>PARTNER-M002</x:v>
      </x:c>
    </x:row>
    <x:row r="2429" ht="46" customHeight="1">
      <x:c r="A2429" s="2" t="str">
        <x:v>TEN-A5F5259A3FFE</x:v>
      </x:c>
      <x:c r="B2429" s="12" t="str">
        <x:v>Xerox Technology</x:v>
      </x:c>
      <x:c r="C2429" s="12" t="str">
        <x:v>CORP-0426</x:v>
      </x:c>
      <x:c r="D2429" s="12" t="str">
        <x:v>Bengaluru</x:v>
      </x:c>
      <x:c r="E2429" s="12" t="str">
        <x:v>International Tech Park (ITPB)</x:v>
      </x:c>
      <x:c r="F2429" s="12" t="str">
        <x:v>55 inch</x:v>
      </x:c>
      <x:c r="G2429" s="20" t="n">
        <x:v>1</x:v>
      </x:c>
      <x:c r="H2429" s="12" t="str">
        <x:v>Campus/portfolio roster; individual building occupancy unverified</x:v>
      </x:c>
      <x:c r="I2429" s="12" t="str">
        <x:v>Mixed business audience</x:v>
      </x:c>
      <x:c r="J2429" s="12" t="str">
        <x:v>IT &amp; digital</x:v>
      </x:c>
      <x:c r="K2429" s="2" t="str">
        <x:v>PARTNER-M002</x:v>
      </x:c>
    </x:row>
    <x:row r="2430" ht="46" customHeight="1">
      <x:c r="A2430" s="2" t="str">
        <x:v>TEN-A7907C2DB975</x:v>
      </x:c>
      <x:c r="B2430" s="12" t="str">
        <x:v>Einfolge</x:v>
      </x:c>
      <x:c r="C2430" s="12" t="str">
        <x:v>CORP-0426</x:v>
      </x:c>
      <x:c r="D2430" s="12" t="str">
        <x:v>Bengaluru</x:v>
      </x:c>
      <x:c r="E2430" s="12" t="str">
        <x:v>International Tech Park (ITPB)</x:v>
      </x:c>
      <x:c r="F2430" s="12" t="str">
        <x:v>55 inch</x:v>
      </x:c>
      <x:c r="G2430" s="20" t="n">
        <x:v>1</x:v>
      </x:c>
      <x:c r="H2430" s="12" t="str">
        <x:v>Campus/portfolio roster; individual building occupancy unverified</x:v>
      </x:c>
      <x:c r="I2430" s="12" t="str">
        <x:v>Small-scale prospects</x:v>
      </x:c>
      <x:c r="J2430" s="12" t="str">
        <x:v>Professional services</x:v>
      </x:c>
      <x:c r="K2430" s="2" t="str">
        <x:v>PARTNER-M002</x:v>
      </x:c>
    </x:row>
    <x:row r="2431" ht="46" customHeight="1">
      <x:c r="A2431" s="2" t="str">
        <x:v>TEN-A88487AEFC99</x:v>
      </x:c>
      <x:c r="B2431" s="12" t="str">
        <x:v>Galax</x:v>
      </x:c>
      <x:c r="C2431" s="12" t="str">
        <x:v>CORP-0426</x:v>
      </x:c>
      <x:c r="D2431" s="12" t="str">
        <x:v>Bengaluru</x:v>
      </x:c>
      <x:c r="E2431" s="12" t="str">
        <x:v>International Tech Park (ITPB)</x:v>
      </x:c>
      <x:c r="F2431" s="12" t="str">
        <x:v>55 inch</x:v>
      </x:c>
      <x:c r="G2431" s="20" t="n">
        <x:v>1</x:v>
      </x:c>
      <x:c r="H2431" s="12" t="str">
        <x:v>Campus/portfolio roster; individual building occupancy unverified</x:v>
      </x:c>
      <x:c r="I2431" s="12" t="str">
        <x:v>Mixed business audience</x:v>
      </x:c>
      <x:c r="J2431" s="12" t="str">
        <x:v>Unresolved</x:v>
      </x:c>
      <x:c r="K2431" s="2" t="str">
        <x:v>PARTNER-M002</x:v>
      </x:c>
    </x:row>
    <x:row r="2432" ht="46" customHeight="1">
      <x:c r="A2432" s="2" t="str">
        <x:v>TEN-A9A1855F9C7F</x:v>
      </x:c>
      <x:c r="B2432" s="12" t="str">
        <x:v>Globant</x:v>
      </x:c>
      <x:c r="C2432" s="12" t="str">
        <x:v>CORP-0426</x:v>
      </x:c>
      <x:c r="D2432" s="12" t="str">
        <x:v>Bengaluru</x:v>
      </x:c>
      <x:c r="E2432" s="12" t="str">
        <x:v>International Tech Park (ITPB)</x:v>
      </x:c>
      <x:c r="F2432" s="12" t="str">
        <x:v>55 inch</x:v>
      </x:c>
      <x:c r="G2432" s="20" t="n">
        <x:v>1</x:v>
      </x:c>
      <x:c r="H2432" s="12" t="str">
        <x:v>Campus/portfolio roster; individual building occupancy unverified</x:v>
      </x:c>
      <x:c r="I2432" s="12" t="str">
        <x:v>Mixed business audience</x:v>
      </x:c>
      <x:c r="J2432" s="12" t="str">
        <x:v>IT &amp; digital</x:v>
      </x:c>
      <x:c r="K2432" s="2" t="str">
        <x:v>PARTNER-M002</x:v>
      </x:c>
    </x:row>
    <x:row r="2433" ht="46" customHeight="1">
      <x:c r="A2433" s="2" t="str">
        <x:v>TEN-A9B3E7D54A8C</x:v>
      </x:c>
      <x:c r="B2433" s="12" t="str">
        <x:v>First advantage Global</x:v>
      </x:c>
      <x:c r="C2433" s="12" t="str">
        <x:v>CORP-0426</x:v>
      </x:c>
      <x:c r="D2433" s="12" t="str">
        <x:v>Bengaluru</x:v>
      </x:c>
      <x:c r="E2433" s="12" t="str">
        <x:v>International Tech Park (ITPB)</x:v>
      </x:c>
      <x:c r="F2433" s="12" t="str">
        <x:v>55 inch</x:v>
      </x:c>
      <x:c r="G2433" s="20" t="n">
        <x:v>1</x:v>
      </x:c>
      <x:c r="H2433" s="12" t="str">
        <x:v>Campus/portfolio roster; individual building occupancy unverified</x:v>
      </x:c>
      <x:c r="I2433" s="12" t="str">
        <x:v>Mixed business audience</x:v>
      </x:c>
      <x:c r="J2433" s="12" t="str">
        <x:v>Professional services</x:v>
      </x:c>
      <x:c r="K2433" s="2" t="str">
        <x:v>PARTNER-M002</x:v>
      </x:c>
    </x:row>
    <x:row r="2434" ht="46" customHeight="1">
      <x:c r="A2434" s="2" t="str">
        <x:v>TEN-AFB51487B347</x:v>
      </x:c>
      <x:c r="B2434" s="12" t="str">
        <x:v>Happy Visitor Esoutions</x:v>
      </x:c>
      <x:c r="C2434" s="12" t="str">
        <x:v>CORP-0426</x:v>
      </x:c>
      <x:c r="D2434" s="12" t="str">
        <x:v>Bengaluru</x:v>
      </x:c>
      <x:c r="E2434" s="12" t="str">
        <x:v>International Tech Park (ITPB)</x:v>
      </x:c>
      <x:c r="F2434" s="12" t="str">
        <x:v>55 inch</x:v>
      </x:c>
      <x:c r="G2434" s="20" t="n">
        <x:v>1</x:v>
      </x:c>
      <x:c r="H2434" s="12" t="str">
        <x:v>Campus/portfolio roster; individual building occupancy unverified</x:v>
      </x:c>
      <x:c r="I2434" s="12" t="str">
        <x:v>Mixed business audience</x:v>
      </x:c>
      <x:c r="J2434" s="12" t="str">
        <x:v>Unresolved</x:v>
      </x:c>
      <x:c r="K2434" s="2" t="str">
        <x:v>PARTNER-M002</x:v>
      </x:c>
    </x:row>
    <x:row r="2435" ht="46" customHeight="1">
      <x:c r="A2435" s="2" t="str">
        <x:v>TEN-B1E1798527DF</x:v>
      </x:c>
      <x:c r="B2435" s="12" t="str">
        <x:v>Carnation</x:v>
      </x:c>
      <x:c r="C2435" s="12" t="str">
        <x:v>CORP-0426</x:v>
      </x:c>
      <x:c r="D2435" s="12" t="str">
        <x:v>Bengaluru</x:v>
      </x:c>
      <x:c r="E2435" s="12" t="str">
        <x:v>International Tech Park (ITPB)</x:v>
      </x:c>
      <x:c r="F2435" s="12" t="str">
        <x:v>55 inch</x:v>
      </x:c>
      <x:c r="G2435" s="20" t="n">
        <x:v>1</x:v>
      </x:c>
      <x:c r="H2435" s="12" t="str">
        <x:v>Campus/portfolio roster; individual building occupancy unverified</x:v>
      </x:c>
      <x:c r="I2435" s="12" t="str">
        <x:v>Mixed business audience</x:v>
      </x:c>
      <x:c r="J2435" s="12" t="str">
        <x:v>Unresolved</x:v>
      </x:c>
      <x:c r="K2435" s="2" t="str">
        <x:v>PARTNER-M002</x:v>
      </x:c>
    </x:row>
    <x:row r="2436" ht="46" customHeight="1">
      <x:c r="A2436" s="2" t="str">
        <x:v>TEN-B431E151D906</x:v>
      </x:c>
      <x:c r="B2436" s="12" t="str">
        <x:v>Longhorns labs</x:v>
      </x:c>
      <x:c r="C2436" s="12" t="str">
        <x:v>CORP-0426</x:v>
      </x:c>
      <x:c r="D2436" s="12" t="str">
        <x:v>Bengaluru</x:v>
      </x:c>
      <x:c r="E2436" s="12" t="str">
        <x:v>International Tech Park (ITPB)</x:v>
      </x:c>
      <x:c r="F2436" s="12" t="str">
        <x:v>55 inch</x:v>
      </x:c>
      <x:c r="G2436" s="20" t="n">
        <x:v>1</x:v>
      </x:c>
      <x:c r="H2436" s="12" t="str">
        <x:v>Campus/portfolio roster; individual building occupancy unverified</x:v>
      </x:c>
      <x:c r="I2436" s="12" t="str">
        <x:v>Mixed business audience</x:v>
      </x:c>
      <x:c r="J2436" s="12" t="str">
        <x:v>Unresolved</x:v>
      </x:c>
      <x:c r="K2436" s="2" t="str">
        <x:v>PARTNER-M002</x:v>
      </x:c>
    </x:row>
    <x:row r="2437" ht="46" customHeight="1">
      <x:c r="A2437" s="2" t="str">
        <x:v>TEN-B73878E16AE9</x:v>
      </x:c>
      <x:c r="B2437" s="12" t="str">
        <x:v>Truspeq</x:v>
      </x:c>
      <x:c r="C2437" s="12" t="str">
        <x:v>CORP-0426</x:v>
      </x:c>
      <x:c r="D2437" s="12" t="str">
        <x:v>Bengaluru</x:v>
      </x:c>
      <x:c r="E2437" s="12" t="str">
        <x:v>International Tech Park (ITPB)</x:v>
      </x:c>
      <x:c r="F2437" s="12" t="str">
        <x:v>55 inch</x:v>
      </x:c>
      <x:c r="G2437" s="20" t="n">
        <x:v>1</x:v>
      </x:c>
      <x:c r="H2437" s="12" t="str">
        <x:v>Campus/portfolio roster; individual building occupancy unverified</x:v>
      </x:c>
      <x:c r="I2437" s="12" t="str">
        <x:v>Small-scale prospects</x:v>
      </x:c>
      <x:c r="J2437" s="12" t="str">
        <x:v>IT &amp; digital</x:v>
      </x:c>
      <x:c r="K2437" s="2" t="str">
        <x:v>PARTNER-M002</x:v>
      </x:c>
    </x:row>
    <x:row r="2438" ht="46" customHeight="1">
      <x:c r="A2438" s="2" t="str">
        <x:v>TEN-B73A39ADECC4</x:v>
      </x:c>
      <x:c r="B2438" s="12" t="str">
        <x:v>ATOS IT</x:v>
      </x:c>
      <x:c r="C2438" s="12" t="str">
        <x:v>CORP-0426</x:v>
      </x:c>
      <x:c r="D2438" s="12" t="str">
        <x:v>Bengaluru</x:v>
      </x:c>
      <x:c r="E2438" s="12" t="str">
        <x:v>International Tech Park (ITPB)</x:v>
      </x:c>
      <x:c r="F2438" s="12" t="str">
        <x:v>55 inch</x:v>
      </x:c>
      <x:c r="G2438" s="20" t="n">
        <x:v>1</x:v>
      </x:c>
      <x:c r="H2438" s="12" t="str">
        <x:v>Campus/portfolio roster; individual building occupancy unverified</x:v>
      </x:c>
      <x:c r="I2438" s="12" t="str">
        <x:v>Large enterprise</x:v>
      </x:c>
      <x:c r="J2438" s="12" t="str">
        <x:v>IT &amp; digital</x:v>
      </x:c>
      <x:c r="K2438" s="2" t="str">
        <x:v>PARTNER-M002</x:v>
      </x:c>
    </x:row>
    <x:row r="2439" ht="46" customHeight="1">
      <x:c r="A2439" s="2" t="str">
        <x:v>TEN-B9223DF94855</x:v>
      </x:c>
      <x:c r="B2439" s="12" t="str">
        <x:v>ECI Telecom</x:v>
      </x:c>
      <x:c r="C2439" s="12" t="str">
        <x:v>CORP-0426</x:v>
      </x:c>
      <x:c r="D2439" s="12" t="str">
        <x:v>Bengaluru</x:v>
      </x:c>
      <x:c r="E2439" s="12" t="str">
        <x:v>International Tech Park (ITPB)</x:v>
      </x:c>
      <x:c r="F2439" s="12" t="str">
        <x:v>55 inch</x:v>
      </x:c>
      <x:c r="G2439" s="20" t="n">
        <x:v>1</x:v>
      </x:c>
      <x:c r="H2439" s="12" t="str">
        <x:v>Campus/portfolio roster; individual building occupancy unverified</x:v>
      </x:c>
      <x:c r="I2439" s="12" t="str">
        <x:v>Mixed business audience</x:v>
      </x:c>
      <x:c r="J2439" s="12" t="str">
        <x:v>IT &amp; digital</x:v>
      </x:c>
      <x:c r="K2439" s="2" t="str">
        <x:v>PARTNER-M002</x:v>
      </x:c>
    </x:row>
    <x:row r="2440" ht="46" customHeight="1">
      <x:c r="A2440" s="2" t="str">
        <x:v>TEN-BDA4D17476FE</x:v>
      </x:c>
      <x:c r="B2440" s="12" t="str">
        <x:v>Cognisure</x:v>
      </x:c>
      <x:c r="C2440" s="12" t="str">
        <x:v>CORP-0426</x:v>
      </x:c>
      <x:c r="D2440" s="12" t="str">
        <x:v>Bengaluru</x:v>
      </x:c>
      <x:c r="E2440" s="12" t="str">
        <x:v>International Tech Park (ITPB)</x:v>
      </x:c>
      <x:c r="F2440" s="12" t="str">
        <x:v>55 inch</x:v>
      </x:c>
      <x:c r="G2440" s="20" t="n">
        <x:v>1</x:v>
      </x:c>
      <x:c r="H2440" s="12" t="str">
        <x:v>Campus/portfolio roster; individual building occupancy unverified</x:v>
      </x:c>
      <x:c r="I2440" s="12" t="str">
        <x:v>Small-scale prospects</x:v>
      </x:c>
      <x:c r="J2440" s="12" t="str">
        <x:v>IT &amp; digital</x:v>
      </x:c>
      <x:c r="K2440" s="2" t="str">
        <x:v>PARTNER-M002</x:v>
      </x:c>
    </x:row>
    <x:row r="2441" ht="46" customHeight="1">
      <x:c r="A2441" s="2" t="str">
        <x:v>TEN-BE234565AEEE</x:v>
      </x:c>
      <x:c r="B2441" s="12" t="str">
        <x:v>Incred Financial</x:v>
      </x:c>
      <x:c r="C2441" s="12" t="str">
        <x:v>CORP-0426</x:v>
      </x:c>
      <x:c r="D2441" s="12" t="str">
        <x:v>Bengaluru</x:v>
      </x:c>
      <x:c r="E2441" s="12" t="str">
        <x:v>International Tech Park (ITPB)</x:v>
      </x:c>
      <x:c r="F2441" s="12" t="str">
        <x:v>55 inch</x:v>
      </x:c>
      <x:c r="G2441" s="20" t="n">
        <x:v>1</x:v>
      </x:c>
      <x:c r="H2441" s="12" t="str">
        <x:v>Campus/portfolio roster; individual building occupancy unverified</x:v>
      </x:c>
      <x:c r="I2441" s="12" t="str">
        <x:v>Mixed business audience</x:v>
      </x:c>
      <x:c r="J2441" s="12" t="str">
        <x:v>Finance &amp; insurance</x:v>
      </x:c>
      <x:c r="K2441" s="2" t="str">
        <x:v>PARTNER-M002</x:v>
      </x:c>
    </x:row>
    <x:row r="2442" ht="46" customHeight="1">
      <x:c r="A2442" s="2" t="str">
        <x:v>TEN-BFE647B51B50</x:v>
      </x:c>
      <x:c r="B2442" s="12" t="str">
        <x:v>V4U</x:v>
      </x:c>
      <x:c r="C2442" s="12" t="str">
        <x:v>CORP-0426</x:v>
      </x:c>
      <x:c r="D2442" s="12" t="str">
        <x:v>Bengaluru</x:v>
      </x:c>
      <x:c r="E2442" s="12" t="str">
        <x:v>International Tech Park (ITPB)</x:v>
      </x:c>
      <x:c r="F2442" s="12" t="str">
        <x:v>55 inch</x:v>
      </x:c>
      <x:c r="G2442" s="20" t="n">
        <x:v>1</x:v>
      </x:c>
      <x:c r="H2442" s="12" t="str">
        <x:v>Campus/portfolio roster; individual building occupancy unverified</x:v>
      </x:c>
      <x:c r="I2442" s="12" t="str">
        <x:v>Mixed business audience</x:v>
      </x:c>
      <x:c r="J2442" s="12" t="str">
        <x:v>Unresolved</x:v>
      </x:c>
      <x:c r="K2442" s="2" t="str">
        <x:v>PARTNER-M002</x:v>
      </x:c>
    </x:row>
    <x:row r="2443" ht="46" customHeight="1">
      <x:c r="A2443" s="2" t="str">
        <x:v>TEN-C27FF66117D5</x:v>
      </x:c>
      <x:c r="B2443" s="12" t="str">
        <x:v>Index Lithigraphy</x:v>
      </x:c>
      <x:c r="C2443" s="12" t="str">
        <x:v>CORP-0426</x:v>
      </x:c>
      <x:c r="D2443" s="12" t="str">
        <x:v>Bengaluru</x:v>
      </x:c>
      <x:c r="E2443" s="12" t="str">
        <x:v>International Tech Park (ITPB)</x:v>
      </x:c>
      <x:c r="F2443" s="12" t="str">
        <x:v>55 inch</x:v>
      </x:c>
      <x:c r="G2443" s="20" t="n">
        <x:v>1</x:v>
      </x:c>
      <x:c r="H2443" s="12" t="str">
        <x:v>Campus/portfolio roster; individual building occupancy unverified</x:v>
      </x:c>
      <x:c r="I2443" s="12" t="str">
        <x:v>Medium-scale prospects</x:v>
      </x:c>
      <x:c r="J2443" s="12" t="str">
        <x:v>Engineering &amp; manufacturing</x:v>
      </x:c>
      <x:c r="K2443" s="2" t="str">
        <x:v>PARTNER-M002</x:v>
      </x:c>
    </x:row>
    <x:row r="2444" ht="46" customHeight="1">
      <x:c r="A2444" s="2" t="str">
        <x:v>TEN-CC2C556FA10A</x:v>
      </x:c>
      <x:c r="B2444" s="12" t="str">
        <x:v>Kingslake</x:v>
      </x:c>
      <x:c r="C2444" s="12" t="str">
        <x:v>CORP-0426</x:v>
      </x:c>
      <x:c r="D2444" s="12" t="str">
        <x:v>Bengaluru</x:v>
      </x:c>
      <x:c r="E2444" s="12" t="str">
        <x:v>International Tech Park (ITPB)</x:v>
      </x:c>
      <x:c r="F2444" s="12" t="str">
        <x:v>55 inch</x:v>
      </x:c>
      <x:c r="G2444" s="20" t="n">
        <x:v>1</x:v>
      </x:c>
      <x:c r="H2444" s="12" t="str">
        <x:v>Campus/portfolio roster; individual building occupancy unverified</x:v>
      </x:c>
      <x:c r="I2444" s="12" t="str">
        <x:v>Mixed business audience</x:v>
      </x:c>
      <x:c r="J2444" s="12" t="str">
        <x:v>Unresolved</x:v>
      </x:c>
      <x:c r="K2444" s="2" t="str">
        <x:v>PARTNER-M002</x:v>
      </x:c>
    </x:row>
    <x:row r="2445" ht="46" customHeight="1">
      <x:c r="A2445" s="2" t="str">
        <x:v>TEN-CDDAE2627D47</x:v>
      </x:c>
      <x:c r="B2445" s="12" t="str">
        <x:v>Institute Bio informatis</x:v>
      </x:c>
      <x:c r="C2445" s="12" t="str">
        <x:v>CORP-0426</x:v>
      </x:c>
      <x:c r="D2445" s="12" t="str">
        <x:v>Bengaluru</x:v>
      </x:c>
      <x:c r="E2445" s="12" t="str">
        <x:v>International Tech Park (ITPB)</x:v>
      </x:c>
      <x:c r="F2445" s="12" t="str">
        <x:v>55 inch</x:v>
      </x:c>
      <x:c r="G2445" s="20" t="n">
        <x:v>1</x:v>
      </x:c>
      <x:c r="H2445" s="12" t="str">
        <x:v>Campus/portfolio roster; individual building occupancy unverified</x:v>
      </x:c>
      <x:c r="I2445" s="12" t="str">
        <x:v>Small-scale prospects</x:v>
      </x:c>
      <x:c r="J2445" s="12" t="str">
        <x:v>Education</x:v>
      </x:c>
      <x:c r="K2445" s="2" t="str">
        <x:v>PARTNER-M002</x:v>
      </x:c>
    </x:row>
    <x:row r="2446" ht="46" customHeight="1">
      <x:c r="A2446" s="2" t="str">
        <x:v>TEN-D04CE1F77A17</x:v>
      </x:c>
      <x:c r="B2446" s="12" t="str">
        <x:v>Fiorano</x:v>
      </x:c>
      <x:c r="C2446" s="12" t="str">
        <x:v>CORP-0426</x:v>
      </x:c>
      <x:c r="D2446" s="12" t="str">
        <x:v>Bengaluru</x:v>
      </x:c>
      <x:c r="E2446" s="12" t="str">
        <x:v>International Tech Park (ITPB)</x:v>
      </x:c>
      <x:c r="F2446" s="12" t="str">
        <x:v>55 inch</x:v>
      </x:c>
      <x:c r="G2446" s="20" t="n">
        <x:v>1</x:v>
      </x:c>
      <x:c r="H2446" s="12" t="str">
        <x:v>Campus/portfolio roster; individual building occupancy unverified</x:v>
      </x:c>
      <x:c r="I2446" s="12" t="str">
        <x:v>Small-scale prospects</x:v>
      </x:c>
      <x:c r="J2446" s="12" t="str">
        <x:v>IT &amp; digital</x:v>
      </x:c>
      <x:c r="K2446" s="2" t="str">
        <x:v>PARTNER-M002</x:v>
      </x:c>
    </x:row>
    <x:row r="2447" ht="46" customHeight="1">
      <x:c r="A2447" s="2" t="str">
        <x:v>TEN-D1C7C99C6E2E</x:v>
      </x:c>
      <x:c r="B2447" s="12" t="str">
        <x:v>Tata</x:v>
      </x:c>
      <x:c r="C2447" s="12" t="str">
        <x:v>CORP-0426</x:v>
      </x:c>
      <x:c r="D2447" s="12" t="str">
        <x:v>Bengaluru</x:v>
      </x:c>
      <x:c r="E2447" s="12" t="str">
        <x:v>International Tech Park (ITPB)</x:v>
      </x:c>
      <x:c r="F2447" s="12" t="str">
        <x:v>55 inch</x:v>
      </x:c>
      <x:c r="G2447" s="20" t="n">
        <x:v>1</x:v>
      </x:c>
      <x:c r="H2447" s="12" t="str">
        <x:v>Campus/portfolio roster; individual building occupancy unverified</x:v>
      </x:c>
      <x:c r="I2447" s="12" t="str">
        <x:v>Large enterprise</x:v>
      </x:c>
      <x:c r="J2447" s="12" t="str">
        <x:v>Unresolved</x:v>
      </x:c>
      <x:c r="K2447" s="2" t="str">
        <x:v>PARTNER-M002</x:v>
      </x:c>
    </x:row>
    <x:row r="2448" ht="46" customHeight="1">
      <x:c r="A2448" s="2" t="str">
        <x:v>TEN-D2E269F83158</x:v>
      </x:c>
      <x:c r="B2448" s="12" t="str">
        <x:v>MBB Labs</x:v>
      </x:c>
      <x:c r="C2448" s="12" t="str">
        <x:v>CORP-0426</x:v>
      </x:c>
      <x:c r="D2448" s="12" t="str">
        <x:v>Bengaluru</x:v>
      </x:c>
      <x:c r="E2448" s="12" t="str">
        <x:v>International Tech Park (ITPB)</x:v>
      </x:c>
      <x:c r="F2448" s="12" t="str">
        <x:v>55 inch</x:v>
      </x:c>
      <x:c r="G2448" s="20" t="n">
        <x:v>1</x:v>
      </x:c>
      <x:c r="H2448" s="12" t="str">
        <x:v>Campus/portfolio roster; individual building occupancy unverified</x:v>
      </x:c>
      <x:c r="I2448" s="12" t="str">
        <x:v>Mixed business audience</x:v>
      </x:c>
      <x:c r="J2448" s="12" t="str">
        <x:v>Unresolved</x:v>
      </x:c>
      <x:c r="K2448" s="2" t="str">
        <x:v>PARTNER-M002</x:v>
      </x:c>
    </x:row>
    <x:row r="2449" ht="46" customHeight="1">
      <x:c r="A2449" s="2" t="str">
        <x:v>TEN-D72EAD2E3D44</x:v>
      </x:c>
      <x:c r="B2449" s="12" t="str">
        <x:v>Tech Mahindra</x:v>
      </x:c>
      <x:c r="C2449" s="12" t="str">
        <x:v>CORP-0426</x:v>
      </x:c>
      <x:c r="D2449" s="12" t="str">
        <x:v>Bengaluru</x:v>
      </x:c>
      <x:c r="E2449" s="12" t="str">
        <x:v>International Tech Park (ITPB)</x:v>
      </x:c>
      <x:c r="F2449" s="12" t="str">
        <x:v>55 inch</x:v>
      </x:c>
      <x:c r="G2449" s="20" t="n">
        <x:v>1</x:v>
      </x:c>
      <x:c r="H2449" s="12" t="str">
        <x:v>Campus/portfolio roster; individual building occupancy unverified</x:v>
      </x:c>
      <x:c r="I2449" s="12" t="str">
        <x:v>Large enterprise</x:v>
      </x:c>
      <x:c r="J2449" s="12" t="str">
        <x:v>IT &amp; digital</x:v>
      </x:c>
      <x:c r="K2449" s="2" t="str">
        <x:v>PARTNER-M002</x:v>
      </x:c>
    </x:row>
    <x:row r="2450" ht="46" customHeight="1">
      <x:c r="A2450" s="2" t="str">
        <x:v>TEN-D817CF92B660</x:v>
      </x:c>
      <x:c r="B2450" s="12" t="str">
        <x:v>Innoactive</x:v>
      </x:c>
      <x:c r="C2450" s="12" t="str">
        <x:v>CORP-0426</x:v>
      </x:c>
      <x:c r="D2450" s="12" t="str">
        <x:v>Bengaluru</x:v>
      </x:c>
      <x:c r="E2450" s="12" t="str">
        <x:v>International Tech Park (ITPB)</x:v>
      </x:c>
      <x:c r="F2450" s="12" t="str">
        <x:v>55 inch</x:v>
      </x:c>
      <x:c r="G2450" s="20" t="n">
        <x:v>1</x:v>
      </x:c>
      <x:c r="H2450" s="12" t="str">
        <x:v>Campus/portfolio roster; individual building occupancy unverified</x:v>
      </x:c>
      <x:c r="I2450" s="12" t="str">
        <x:v>Mixed business audience</x:v>
      </x:c>
      <x:c r="J2450" s="12" t="str">
        <x:v>Unresolved</x:v>
      </x:c>
      <x:c r="K2450" s="2" t="str">
        <x:v>PARTNER-M002</x:v>
      </x:c>
    </x:row>
    <x:row r="2451" ht="46" customHeight="1">
      <x:c r="A2451" s="2" t="str">
        <x:v>TEN-D820F7EB8DD2</x:v>
      </x:c>
      <x:c r="B2451" s="12" t="str">
        <x:v>Hireright</x:v>
      </x:c>
      <x:c r="C2451" s="12" t="str">
        <x:v>CORP-0426</x:v>
      </x:c>
      <x:c r="D2451" s="12" t="str">
        <x:v>Bengaluru</x:v>
      </x:c>
      <x:c r="E2451" s="12" t="str">
        <x:v>International Tech Park (ITPB)</x:v>
      </x:c>
      <x:c r="F2451" s="12" t="str">
        <x:v>55 inch</x:v>
      </x:c>
      <x:c r="G2451" s="20" t="n">
        <x:v>1</x:v>
      </x:c>
      <x:c r="H2451" s="12" t="str">
        <x:v>Campus/portfolio roster; individual building occupancy unverified</x:v>
      </x:c>
      <x:c r="I2451" s="12" t="str">
        <x:v>Mixed business audience</x:v>
      </x:c>
      <x:c r="J2451" s="12" t="str">
        <x:v>Professional services</x:v>
      </x:c>
      <x:c r="K2451" s="2" t="str">
        <x:v>PARTNER-M002</x:v>
      </x:c>
    </x:row>
    <x:row r="2452" ht="46" customHeight="1">
      <x:c r="A2452" s="2" t="str">
        <x:v>TEN-D886B2C883A6</x:v>
      </x:c>
      <x:c r="B2452" s="12" t="str">
        <x:v>Citi Bank</x:v>
      </x:c>
      <x:c r="C2452" s="12" t="str">
        <x:v>CORP-0426</x:v>
      </x:c>
      <x:c r="D2452" s="12" t="str">
        <x:v>Bengaluru</x:v>
      </x:c>
      <x:c r="E2452" s="12" t="str">
        <x:v>International Tech Park (ITPB)</x:v>
      </x:c>
      <x:c r="F2452" s="12" t="str">
        <x:v>55 inch</x:v>
      </x:c>
      <x:c r="G2452" s="20" t="n">
        <x:v>1</x:v>
      </x:c>
      <x:c r="H2452" s="12" t="str">
        <x:v>Campus/portfolio roster; individual building occupancy unverified</x:v>
      </x:c>
      <x:c r="I2452" s="12" t="str">
        <x:v>Large enterprise</x:v>
      </x:c>
      <x:c r="J2452" s="12" t="str">
        <x:v>Finance &amp; insurance</x:v>
      </x:c>
      <x:c r="K2452" s="2" t="str">
        <x:v>PARTNER-M002</x:v>
      </x:c>
    </x:row>
    <x:row r="2453" ht="46" customHeight="1">
      <x:c r="A2453" s="2" t="str">
        <x:v>TEN-DA7A5218187E</x:v>
      </x:c>
      <x:c r="B2453" s="12" t="str">
        <x:v>Certes</x:v>
      </x:c>
      <x:c r="C2453" s="12" t="str">
        <x:v>CORP-0426</x:v>
      </x:c>
      <x:c r="D2453" s="12" t="str">
        <x:v>Bengaluru</x:v>
      </x:c>
      <x:c r="E2453" s="12" t="str">
        <x:v>International Tech Park (ITPB)</x:v>
      </x:c>
      <x:c r="F2453" s="12" t="str">
        <x:v>55 inch</x:v>
      </x:c>
      <x:c r="G2453" s="20" t="n">
        <x:v>1</x:v>
      </x:c>
      <x:c r="H2453" s="12" t="str">
        <x:v>Campus/portfolio roster; individual building occupancy unverified</x:v>
      </x:c>
      <x:c r="I2453" s="12" t="str">
        <x:v>Mixed business audience</x:v>
      </x:c>
      <x:c r="J2453" s="12" t="str">
        <x:v>Unresolved</x:v>
      </x:c>
      <x:c r="K2453" s="2" t="str">
        <x:v>PARTNER-M002</x:v>
      </x:c>
    </x:row>
    <x:row r="2454" ht="46" customHeight="1">
      <x:c r="A2454" s="2" t="str">
        <x:v>TEN-E1F279A6A033</x:v>
      </x:c>
      <x:c r="B2454" s="12" t="str">
        <x:v>Applied Materials</x:v>
      </x:c>
      <x:c r="C2454" s="12" t="str">
        <x:v>CORP-0426</x:v>
      </x:c>
      <x:c r="D2454" s="12" t="str">
        <x:v>Bengaluru</x:v>
      </x:c>
      <x:c r="E2454" s="12" t="str">
        <x:v>International Tech Park (ITPB)</x:v>
      </x:c>
      <x:c r="F2454" s="12" t="str">
        <x:v>55 inch</x:v>
      </x:c>
      <x:c r="G2454" s="20" t="n">
        <x:v>1</x:v>
      </x:c>
      <x:c r="H2454" s="12" t="str">
        <x:v>Campus/portfolio roster; individual building occupancy unverified</x:v>
      </x:c>
      <x:c r="I2454" s="12" t="str">
        <x:v>Mixed business audience</x:v>
      </x:c>
      <x:c r="J2454" s="12" t="str">
        <x:v>Engineering &amp; manufacturing</x:v>
      </x:c>
      <x:c r="K2454" s="2" t="str">
        <x:v>PARTNER-M002</x:v>
      </x:c>
    </x:row>
    <x:row r="2455" ht="46" customHeight="1">
      <x:c r="A2455" s="2" t="str">
        <x:v>TEN-EA30894BD53C</x:v>
      </x:c>
      <x:c r="B2455" s="12" t="str">
        <x:v>Alcatel-Lucent</x:v>
      </x:c>
      <x:c r="C2455" s="12" t="str">
        <x:v>CORP-0426</x:v>
      </x:c>
      <x:c r="D2455" s="12" t="str">
        <x:v>Bengaluru</x:v>
      </x:c>
      <x:c r="E2455" s="12" t="str">
        <x:v>International Tech Park (ITPB)</x:v>
      </x:c>
      <x:c r="F2455" s="12" t="str">
        <x:v>55 inch</x:v>
      </x:c>
      <x:c r="G2455" s="20" t="n">
        <x:v>1</x:v>
      </x:c>
      <x:c r="H2455" s="12" t="str">
        <x:v>Campus/portfolio roster; individual building occupancy unverified</x:v>
      </x:c>
      <x:c r="I2455" s="12" t="str">
        <x:v>Mixed business audience</x:v>
      </x:c>
      <x:c r="J2455" s="12" t="str">
        <x:v>IT &amp; digital</x:v>
      </x:c>
      <x:c r="K2455" s="2" t="str">
        <x:v>PARTNER-M002</x:v>
      </x:c>
    </x:row>
    <x:row r="2456" ht="46" customHeight="1">
      <x:c r="A2456" s="2" t="str">
        <x:v>TEN-EB2197E38208</x:v>
      </x:c>
      <x:c r="B2456" s="12" t="str">
        <x:v>Sycomp Technologies</x:v>
      </x:c>
      <x:c r="C2456" s="12" t="str">
        <x:v>CORP-0426</x:v>
      </x:c>
      <x:c r="D2456" s="12" t="str">
        <x:v>Bengaluru</x:v>
      </x:c>
      <x:c r="E2456" s="12" t="str">
        <x:v>International Tech Park (ITPB)</x:v>
      </x:c>
      <x:c r="F2456" s="12" t="str">
        <x:v>55 inch</x:v>
      </x:c>
      <x:c r="G2456" s="20" t="n">
        <x:v>1</x:v>
      </x:c>
      <x:c r="H2456" s="12" t="str">
        <x:v>Campus/portfolio roster; individual building occupancy unverified</x:v>
      </x:c>
      <x:c r="I2456" s="12" t="str">
        <x:v>Small-scale prospects</x:v>
      </x:c>
      <x:c r="J2456" s="12" t="str">
        <x:v>IT &amp; digital</x:v>
      </x:c>
      <x:c r="K2456" s="2" t="str">
        <x:v>PARTNER-M002</x:v>
      </x:c>
    </x:row>
    <x:row r="2457" ht="46" customHeight="1">
      <x:c r="A2457" s="2" t="str">
        <x:v>TEN-F4FDCAC4C72C</x:v>
      </x:c>
      <x:c r="B2457" s="12" t="str">
        <x:v>Mindsprint</x:v>
      </x:c>
      <x:c r="C2457" s="12" t="str">
        <x:v>CORP-0426</x:v>
      </x:c>
      <x:c r="D2457" s="12" t="str">
        <x:v>Bengaluru</x:v>
      </x:c>
      <x:c r="E2457" s="12" t="str">
        <x:v>International Tech Park (ITPB)</x:v>
      </x:c>
      <x:c r="F2457" s="12" t="str">
        <x:v>55 inch</x:v>
      </x:c>
      <x:c r="G2457" s="20" t="n">
        <x:v>1</x:v>
      </x:c>
      <x:c r="H2457" s="12" t="str">
        <x:v>Campus/portfolio roster; individual building occupancy unverified</x:v>
      </x:c>
      <x:c r="I2457" s="12" t="str">
        <x:v>Mixed business audience</x:v>
      </x:c>
      <x:c r="J2457" s="12" t="str">
        <x:v>IT &amp; digital</x:v>
      </x:c>
      <x:c r="K2457" s="2" t="str">
        <x:v>PARTNER-M002</x:v>
      </x:c>
    </x:row>
    <x:row r="2458" ht="46" customHeight="1">
      <x:c r="A2458" s="2" t="str">
        <x:v>TEN-05C3EA2B409C</x:v>
      </x:c>
      <x:c r="B2458" s="12" t="str">
        <x:v>IndusViva HealthSciences Pvt. Ltd</x:v>
      </x:c>
      <x:c r="C2458" s="12" t="str">
        <x:v>CORP-0525</x:v>
      </x:c>
      <x:c r="D2458" s="12" t="str">
        <x:v>Bengaluru</x:v>
      </x:c>
      <x:c r="E2458" s="12" t="str">
        <x:v>Prestige Delta</x:v>
      </x:c>
      <x:c r="F2458" s="12" t="str">
        <x:v>55 inch</x:v>
      </x:c>
      <x:c r="G2458" s="20" t="n">
        <x:v>1</x:v>
      </x:c>
      <x:c r="H2458" s="12" t="str">
        <x:v>Campus/portfolio roster; individual building occupancy unverified</x:v>
      </x:c>
      <x:c r="I2458" s="12" t="str">
        <x:v>Small-scale prospects</x:v>
      </x:c>
      <x:c r="J2458" s="12" t="str">
        <x:v>Healthcare &amp; life sciences</x:v>
      </x:c>
      <x:c r="K2458" s="2" t="str">
        <x:v>PARTNER-M100</x:v>
      </x:c>
    </x:row>
    <x:row r="2459" ht="46" customHeight="1">
      <x:c r="A2459" s="2" t="str">
        <x:v>TEN-13258F6CB706</x:v>
      </x:c>
      <x:c r="B2459" s="12" t="str">
        <x:v>Urban Vault</x:v>
      </x:c>
      <x:c r="C2459" s="12" t="str">
        <x:v>CORP-0525</x:v>
      </x:c>
      <x:c r="D2459" s="12" t="str">
        <x:v>Bengaluru</x:v>
      </x:c>
      <x:c r="E2459" s="12" t="str">
        <x:v>Prestige Delta</x:v>
      </x:c>
      <x:c r="F2459" s="12" t="str">
        <x:v>55 inch</x:v>
      </x:c>
      <x:c r="G2459" s="20" t="n">
        <x:v>1</x:v>
      </x:c>
      <x:c r="H2459" s="12" t="str">
        <x:v>Campus/portfolio roster; individual building occupancy unverified</x:v>
      </x:c>
      <x:c r="I2459" s="12" t="str">
        <x:v>Mixed business audience</x:v>
      </x:c>
      <x:c r="J2459" s="12" t="str">
        <x:v>Workspace &amp; property operations</x:v>
      </x:c>
      <x:c r="K2459" s="2" t="str">
        <x:v>PARTNER-M100</x:v>
      </x:c>
    </x:row>
    <x:row r="2460" ht="46" customHeight="1">
      <x:c r="A2460" s="2" t="str">
        <x:v>TEN-1C593F87A18C</x:v>
      </x:c>
      <x:c r="B2460" s="12" t="str">
        <x:v>Yes Bank</x:v>
      </x:c>
      <x:c r="C2460" s="12" t="str">
        <x:v>CORP-0525</x:v>
      </x:c>
      <x:c r="D2460" s="12" t="str">
        <x:v>Bengaluru</x:v>
      </x:c>
      <x:c r="E2460" s="12" t="str">
        <x:v>Prestige Delta</x:v>
      </x:c>
      <x:c r="F2460" s="12" t="str">
        <x:v>55 inch</x:v>
      </x:c>
      <x:c r="G2460" s="20" t="n">
        <x:v>1</x:v>
      </x:c>
      <x:c r="H2460" s="12" t="str">
        <x:v>Campus/portfolio roster; individual building occupancy unverified</x:v>
      </x:c>
      <x:c r="I2460" s="12" t="str">
        <x:v>Large enterprise</x:v>
      </x:c>
      <x:c r="J2460" s="12" t="str">
        <x:v>Finance &amp; insurance</x:v>
      </x:c>
      <x:c r="K2460" s="2" t="str">
        <x:v>PARTNER-M100</x:v>
      </x:c>
    </x:row>
    <x:row r="2461" ht="46" customHeight="1">
      <x:c r="A2461" s="2" t="str">
        <x:v>TEN-2E1A93A8B010</x:v>
      </x:c>
      <x:c r="B2461" s="12" t="str">
        <x:v>Borqs Software Solutions</x:v>
      </x:c>
      <x:c r="C2461" s="12" t="str">
        <x:v>CORP-0525</x:v>
      </x:c>
      <x:c r="D2461" s="12" t="str">
        <x:v>Bengaluru</x:v>
      </x:c>
      <x:c r="E2461" s="12" t="str">
        <x:v>Prestige Delta</x:v>
      </x:c>
      <x:c r="F2461" s="12" t="str">
        <x:v>55 inch</x:v>
      </x:c>
      <x:c r="G2461" s="20" t="n">
        <x:v>1</x:v>
      </x:c>
      <x:c r="H2461" s="12" t="str">
        <x:v>Campus/portfolio roster; individual building occupancy unverified</x:v>
      </x:c>
      <x:c r="I2461" s="12" t="str">
        <x:v>Small-scale prospects</x:v>
      </x:c>
      <x:c r="J2461" s="12" t="str">
        <x:v>IT &amp; digital</x:v>
      </x:c>
      <x:c r="K2461" s="2" t="str">
        <x:v>PARTNER-M100</x:v>
      </x:c>
    </x:row>
    <x:row r="2462" ht="46" customHeight="1">
      <x:c r="A2462" s="2" t="str">
        <x:v>TEN-47445949BEEF</x:v>
      </x:c>
      <x:c r="B2462" s="12" t="str">
        <x:v>Yamazaki Mazak India Pvt. Ltd</x:v>
      </x:c>
      <x:c r="C2462" s="12" t="str">
        <x:v>CORP-0525</x:v>
      </x:c>
      <x:c r="D2462" s="12" t="str">
        <x:v>Bengaluru</x:v>
      </x:c>
      <x:c r="E2462" s="12" t="str">
        <x:v>Prestige Delta</x:v>
      </x:c>
      <x:c r="F2462" s="12" t="str">
        <x:v>55 inch</x:v>
      </x:c>
      <x:c r="G2462" s="20" t="n">
        <x:v>1</x:v>
      </x:c>
      <x:c r="H2462" s="12" t="str">
        <x:v>Campus/portfolio roster; individual building occupancy unverified</x:v>
      </x:c>
      <x:c r="I2462" s="12" t="str">
        <x:v>Mixed business audience</x:v>
      </x:c>
      <x:c r="J2462" s="12" t="str">
        <x:v>Engineering &amp; manufacturing</x:v>
      </x:c>
      <x:c r="K2462" s="2" t="str">
        <x:v>PARTNER-M100</x:v>
      </x:c>
    </x:row>
    <x:row r="2463" ht="46" customHeight="1">
      <x:c r="A2463" s="2" t="str">
        <x:v>TEN-6CF5FB813A56</x:v>
      </x:c>
      <x:c r="B2463" s="12" t="str">
        <x:v>German Consulate General</x:v>
      </x:c>
      <x:c r="C2463" s="12" t="str">
        <x:v>CORP-0525</x:v>
      </x:c>
      <x:c r="D2463" s="12" t="str">
        <x:v>Bengaluru</x:v>
      </x:c>
      <x:c r="E2463" s="12" t="str">
        <x:v>Prestige Delta</x:v>
      </x:c>
      <x:c r="F2463" s="12" t="str">
        <x:v>55 inch</x:v>
      </x:c>
      <x:c r="G2463" s="20" t="n">
        <x:v>1</x:v>
      </x:c>
      <x:c r="H2463" s="12" t="str">
        <x:v>Campus/portfolio roster; individual building occupancy unverified</x:v>
      </x:c>
      <x:c r="I2463" s="12" t="str">
        <x:v>Institutional</x:v>
      </x:c>
      <x:c r="J2463" s="12" t="str">
        <x:v>Government &amp; nonprofit</x:v>
      </x:c>
      <x:c r="K2463" s="2" t="str">
        <x:v>PARTNER-M100</x:v>
      </x:c>
    </x:row>
    <x:row r="2464" ht="46" customHeight="1">
      <x:c r="A2464" s="2" t="str">
        <x:v>TEN-7D7278F45745</x:v>
      </x:c>
      <x:c r="B2464" s="12" t="str">
        <x:v>Thermo Fisher Scientific India</x:v>
      </x:c>
      <x:c r="C2464" s="12" t="str">
        <x:v>CORP-0525</x:v>
      </x:c>
      <x:c r="D2464" s="12" t="str">
        <x:v>Bengaluru</x:v>
      </x:c>
      <x:c r="E2464" s="12" t="str">
        <x:v>Prestige Delta</x:v>
      </x:c>
      <x:c r="F2464" s="12" t="str">
        <x:v>55 inch</x:v>
      </x:c>
      <x:c r="G2464" s="20" t="n">
        <x:v>1</x:v>
      </x:c>
      <x:c r="H2464" s="12" t="str">
        <x:v>Campus/portfolio roster; individual building occupancy unverified</x:v>
      </x:c>
      <x:c r="I2464" s="12" t="str">
        <x:v>Mixed business audience</x:v>
      </x:c>
      <x:c r="J2464" s="12" t="str">
        <x:v>Healthcare &amp; life sciences</x:v>
      </x:c>
      <x:c r="K2464" s="2" t="str">
        <x:v>PARTNER-M100</x:v>
      </x:c>
    </x:row>
    <x:row r="2465" ht="46" customHeight="1">
      <x:c r="A2465" s="2" t="str">
        <x:v>TEN-8A72227343A9</x:v>
      </x:c>
      <x:c r="B2465" s="12" t="str">
        <x:v>The Cash Pharmacy</x:v>
      </x:c>
      <x:c r="C2465" s="12" t="str">
        <x:v>CORP-0525</x:v>
      </x:c>
      <x:c r="D2465" s="12" t="str">
        <x:v>Bengaluru</x:v>
      </x:c>
      <x:c r="E2465" s="12" t="str">
        <x:v>Prestige Delta</x:v>
      </x:c>
      <x:c r="F2465" s="12" t="str">
        <x:v>55 inch</x:v>
      </x:c>
      <x:c r="G2465" s="20" t="n">
        <x:v>1</x:v>
      </x:c>
      <x:c r="H2465" s="12" t="str">
        <x:v>Campus/portfolio roster; individual building occupancy unverified</x:v>
      </x:c>
      <x:c r="I2465" s="12" t="str">
        <x:v>Medium-scale prospects</x:v>
      </x:c>
      <x:c r="J2465" s="12" t="str">
        <x:v>Healthcare &amp; life sciences</x:v>
      </x:c>
      <x:c r="K2465" s="2" t="str">
        <x:v>PARTNER-M100</x:v>
      </x:c>
    </x:row>
    <x:row r="2466" ht="46" customHeight="1">
      <x:c r="A2466" s="2" t="str">
        <x:v>TEN-8EDB9C45B20E</x:v>
      </x:c>
      <x:c r="B2466" s="12" t="str">
        <x:v>Dr. Shetty's Aesthetic</x:v>
      </x:c>
      <x:c r="C2466" s="12" t="str">
        <x:v>CORP-0525</x:v>
      </x:c>
      <x:c r="D2466" s="12" t="str">
        <x:v>Bengaluru</x:v>
      </x:c>
      <x:c r="E2466" s="12" t="str">
        <x:v>Prestige Delta</x:v>
      </x:c>
      <x:c r="F2466" s="12" t="str">
        <x:v>55 inch</x:v>
      </x:c>
      <x:c r="G2466" s="20" t="n">
        <x:v>1</x:v>
      </x:c>
      <x:c r="H2466" s="12" t="str">
        <x:v>Campus/portfolio roster; individual building occupancy unverified</x:v>
      </x:c>
      <x:c r="I2466" s="12" t="str">
        <x:v>Medium-scale prospects</x:v>
      </x:c>
      <x:c r="J2466" s="12" t="str">
        <x:v>Healthcare &amp; life sciences</x:v>
      </x:c>
      <x:c r="K2466" s="2" t="str">
        <x:v>PARTNER-M100</x:v>
      </x:c>
    </x:row>
    <x:row r="2467" ht="46" customHeight="1">
      <x:c r="A2467" s="2" t="str">
        <x:v>TEN-907D11AE3179</x:v>
      </x:c>
      <x:c r="B2467" s="12" t="str">
        <x:v>Coface India</x:v>
      </x:c>
      <x:c r="C2467" s="12" t="str">
        <x:v>CORP-0525</x:v>
      </x:c>
      <x:c r="D2467" s="12" t="str">
        <x:v>Bengaluru</x:v>
      </x:c>
      <x:c r="E2467" s="12" t="str">
        <x:v>Prestige Delta</x:v>
      </x:c>
      <x:c r="F2467" s="12" t="str">
        <x:v>55 inch</x:v>
      </x:c>
      <x:c r="G2467" s="20" t="n">
        <x:v>1</x:v>
      </x:c>
      <x:c r="H2467" s="12" t="str">
        <x:v>Campus/portfolio roster; individual building occupancy unverified</x:v>
      </x:c>
      <x:c r="I2467" s="12" t="str">
        <x:v>Mixed business audience</x:v>
      </x:c>
      <x:c r="J2467" s="12" t="str">
        <x:v>Finance &amp; insurance</x:v>
      </x:c>
      <x:c r="K2467" s="2" t="str">
        <x:v>PARTNER-M100</x:v>
      </x:c>
    </x:row>
    <x:row r="2468" ht="46" customHeight="1">
      <x:c r="A2468" s="2" t="str">
        <x:v>TEN-A04E8DBF862F</x:v>
      </x:c>
      <x:c r="B2468" s="12" t="str">
        <x:v>Cigna TTK Health Insurance Company Ltd</x:v>
      </x:c>
      <x:c r="C2468" s="12" t="str">
        <x:v>CORP-0525</x:v>
      </x:c>
      <x:c r="D2468" s="12" t="str">
        <x:v>Bengaluru</x:v>
      </x:c>
      <x:c r="E2468" s="12" t="str">
        <x:v>Prestige Delta</x:v>
      </x:c>
      <x:c r="F2468" s="12" t="str">
        <x:v>55 inch</x:v>
      </x:c>
      <x:c r="G2468" s="20" t="n">
        <x:v>1</x:v>
      </x:c>
      <x:c r="H2468" s="12" t="str">
        <x:v>Campus/portfolio roster; individual building occupancy unverified</x:v>
      </x:c>
      <x:c r="I2468" s="12" t="str">
        <x:v>Mixed business audience</x:v>
      </x:c>
      <x:c r="J2468" s="12" t="str">
        <x:v>Finance &amp; insurance</x:v>
      </x:c>
      <x:c r="K2468" s="2" t="str">
        <x:v>PARTNER-M100</x:v>
      </x:c>
    </x:row>
    <x:row r="2469" ht="46" customHeight="1">
      <x:c r="A2469" s="2" t="str">
        <x:v>TEN-A7F7AF8EB3A5</x:v>
      </x:c>
      <x:c r="B2469" s="12" t="str">
        <x:v>Flicker projects Pvt. Ltd</x:v>
      </x:c>
      <x:c r="C2469" s="12" t="str">
        <x:v>CORP-0525</x:v>
      </x:c>
      <x:c r="D2469" s="12" t="str">
        <x:v>Bengaluru</x:v>
      </x:c>
      <x:c r="E2469" s="12" t="str">
        <x:v>Prestige Delta</x:v>
      </x:c>
      <x:c r="F2469" s="12" t="str">
        <x:v>55 inch</x:v>
      </x:c>
      <x:c r="G2469" s="20" t="n">
        <x:v>1</x:v>
      </x:c>
      <x:c r="H2469" s="12" t="str">
        <x:v>Campus/portfolio roster; individual building occupancy unverified</x:v>
      </x:c>
      <x:c r="I2469" s="12" t="str">
        <x:v>Mixed business audience</x:v>
      </x:c>
      <x:c r="J2469" s="12" t="str">
        <x:v>Unresolved</x:v>
      </x:c>
      <x:c r="K2469" s="2" t="str">
        <x:v>PARTNER-M100</x:v>
      </x:c>
    </x:row>
    <x:row r="2470" ht="46" customHeight="1">
      <x:c r="A2470" s="2" t="str">
        <x:v>TEN-AABF376657C0</x:v>
      </x:c>
      <x:c r="B2470" s="12" t="str">
        <x:v>JK Cement Ltd</x:v>
      </x:c>
      <x:c r="C2470" s="12" t="str">
        <x:v>CORP-0525</x:v>
      </x:c>
      <x:c r="D2470" s="12" t="str">
        <x:v>Bengaluru</x:v>
      </x:c>
      <x:c r="E2470" s="12" t="str">
        <x:v>Prestige Delta</x:v>
      </x:c>
      <x:c r="F2470" s="12" t="str">
        <x:v>55 inch</x:v>
      </x:c>
      <x:c r="G2470" s="20" t="n">
        <x:v>1</x:v>
      </x:c>
      <x:c r="H2470" s="12" t="str">
        <x:v>Campus/portfolio roster; individual building occupancy unverified</x:v>
      </x:c>
      <x:c r="I2470" s="12" t="str">
        <x:v>Mixed business audience</x:v>
      </x:c>
      <x:c r="J2470" s="12" t="str">
        <x:v>Engineering &amp; manufacturing</x:v>
      </x:c>
      <x:c r="K2470" s="2" t="str">
        <x:v>PARTNER-M100</x:v>
      </x:c>
    </x:row>
    <x:row r="2471" ht="46" customHeight="1">
      <x:c r="A2471" s="2" t="str">
        <x:v>TEN-B3FD6E87E781</x:v>
      </x:c>
      <x:c r="B2471" s="12" t="str">
        <x:v>Eaton Technologies Pvt. Ltd</x:v>
      </x:c>
      <x:c r="C2471" s="12" t="str">
        <x:v>CORP-0525</x:v>
      </x:c>
      <x:c r="D2471" s="12" t="str">
        <x:v>Bengaluru</x:v>
      </x:c>
      <x:c r="E2471" s="12" t="str">
        <x:v>Prestige Delta</x:v>
      </x:c>
      <x:c r="F2471" s="12" t="str">
        <x:v>55 inch</x:v>
      </x:c>
      <x:c r="G2471" s="20" t="n">
        <x:v>1</x:v>
      </x:c>
      <x:c r="H2471" s="12" t="str">
        <x:v>Campus/portfolio roster; individual building occupancy unverified</x:v>
      </x:c>
      <x:c r="I2471" s="12" t="str">
        <x:v>Mixed business audience</x:v>
      </x:c>
      <x:c r="J2471" s="12" t="str">
        <x:v>Engineering &amp; manufacturing</x:v>
      </x:c>
      <x:c r="K2471" s="2" t="str">
        <x:v>PARTNER-M100</x:v>
      </x:c>
    </x:row>
    <x:row r="2472" ht="46" customHeight="1">
      <x:c r="A2472" s="2" t="str">
        <x:v>TEN-D6FCC16B02C8</x:v>
      </x:c>
      <x:c r="B2472" s="12" t="str">
        <x:v>Lake Chemicals Pvt. Ltd</x:v>
      </x:c>
      <x:c r="C2472" s="12" t="str">
        <x:v>CORP-0525</x:v>
      </x:c>
      <x:c r="D2472" s="12" t="str">
        <x:v>Bengaluru</x:v>
      </x:c>
      <x:c r="E2472" s="12" t="str">
        <x:v>Prestige Delta</x:v>
      </x:c>
      <x:c r="F2472" s="12" t="str">
        <x:v>55 inch</x:v>
      </x:c>
      <x:c r="G2472" s="20" t="n">
        <x:v>1</x:v>
      </x:c>
      <x:c r="H2472" s="12" t="str">
        <x:v>Campus/portfolio roster; individual building occupancy unverified</x:v>
      </x:c>
      <x:c r="I2472" s="12" t="str">
        <x:v>Medium-scale prospects</x:v>
      </x:c>
      <x:c r="J2472" s="12" t="str">
        <x:v>Engineering &amp; manufacturing</x:v>
      </x:c>
      <x:c r="K2472" s="2" t="str">
        <x:v>PARTNER-M100</x:v>
      </x:c>
    </x:row>
    <x:row r="2473" ht="46" customHeight="1">
      <x:c r="A2473" s="2" t="str">
        <x:v>TEN-E9968F77222F</x:v>
      </x:c>
      <x:c r="B2473" s="12" t="str">
        <x:v>JSA Advocates and Solicitors</x:v>
      </x:c>
      <x:c r="C2473" s="12" t="str">
        <x:v>CORP-0525</x:v>
      </x:c>
      <x:c r="D2473" s="12" t="str">
        <x:v>Bengaluru</x:v>
      </x:c>
      <x:c r="E2473" s="12" t="str">
        <x:v>Prestige Delta</x:v>
      </x:c>
      <x:c r="F2473" s="12" t="str">
        <x:v>55 inch</x:v>
      </x:c>
      <x:c r="G2473" s="20" t="n">
        <x:v>1</x:v>
      </x:c>
      <x:c r="H2473" s="12" t="str">
        <x:v>Campus/portfolio roster; individual building occupancy unverified</x:v>
      </x:c>
      <x:c r="I2473" s="12" t="str">
        <x:v>Large enterprise</x:v>
      </x:c>
      <x:c r="J2473" s="12" t="str">
        <x:v>Professional services</x:v>
      </x:c>
      <x:c r="K2473" s="2" t="str">
        <x:v>PARTNER-M100</x:v>
      </x:c>
    </x:row>
    <x:row r="2474" ht="46" customHeight="1">
      <x:c r="A2474" s="2" t="str">
        <x:v>TEN-05A498EFD197</x:v>
      </x:c>
      <x:c r="B2474" s="12" t="str">
        <x:v>Kronos</x:v>
      </x:c>
      <x:c r="C2474" s="12" t="str">
        <x:v>CORP-0526</x:v>
      </x:c>
      <x:c r="D2474" s="12" t="str">
        <x:v>Bengaluru</x:v>
      </x:c>
      <x:c r="E2474" s="12" t="str">
        <x:v>Bagmane Tech Park</x:v>
      </x:c>
      <x:c r="F2474" s="12" t="str">
        <x:v>55 inch</x:v>
      </x:c>
      <x:c r="G2474" s="20" t="n">
        <x:v>1</x:v>
      </x:c>
      <x:c r="H2474" s="12" t="str">
        <x:v>Campus/portfolio roster; individual building occupancy unverified</x:v>
      </x:c>
      <x:c r="I2474" s="12" t="str">
        <x:v>Mixed business audience</x:v>
      </x:c>
      <x:c r="J2474" s="12" t="str">
        <x:v>IT &amp; digital</x:v>
      </x:c>
      <x:c r="K2474" s="2" t="str">
        <x:v>PARTNER-M108</x:v>
      </x:c>
    </x:row>
    <x:row r="2475" ht="46" customHeight="1">
      <x:c r="A2475" s="2" t="str">
        <x:v>TEN-0B570123A8C3</x:v>
      </x:c>
      <x:c r="B2475" s="12" t="str">
        <x:v>Commvault</x:v>
      </x:c>
      <x:c r="C2475" s="12" t="str">
        <x:v>CORP-0526</x:v>
      </x:c>
      <x:c r="D2475" s="12" t="str">
        <x:v>Bengaluru</x:v>
      </x:c>
      <x:c r="E2475" s="12" t="str">
        <x:v>Bagmane Tech Park</x:v>
      </x:c>
      <x:c r="F2475" s="12" t="str">
        <x:v>55 inch</x:v>
      </x:c>
      <x:c r="G2475" s="20" t="n">
        <x:v>1</x:v>
      </x:c>
      <x:c r="H2475" s="12" t="str">
        <x:v>Campus/portfolio roster; individual building occupancy unverified</x:v>
      </x:c>
      <x:c r="I2475" s="12" t="str">
        <x:v>Large enterprise</x:v>
      </x:c>
      <x:c r="J2475" s="12" t="str">
        <x:v>IT &amp; digital</x:v>
      </x:c>
      <x:c r="K2475" s="2" t="str">
        <x:v>PARTNER-M108</x:v>
      </x:c>
    </x:row>
    <x:row r="2476" ht="46" customHeight="1">
      <x:c r="A2476" s="2" t="str">
        <x:v>TEN-0C44BE9F7948</x:v>
      </x:c>
      <x:c r="B2476" s="12" t="str">
        <x:v>Motorola</x:v>
      </x:c>
      <x:c r="C2476" s="12" t="str">
        <x:v>CORP-0526</x:v>
      </x:c>
      <x:c r="D2476" s="12" t="str">
        <x:v>Bengaluru</x:v>
      </x:c>
      <x:c r="E2476" s="12" t="str">
        <x:v>Bagmane Tech Park</x:v>
      </x:c>
      <x:c r="F2476" s="12" t="str">
        <x:v>55 inch</x:v>
      </x:c>
      <x:c r="G2476" s="20" t="n">
        <x:v>1</x:v>
      </x:c>
      <x:c r="H2476" s="12" t="str">
        <x:v>Campus/portfolio roster; individual building occupancy unverified</x:v>
      </x:c>
      <x:c r="I2476" s="12" t="str">
        <x:v>Large enterprise</x:v>
      </x:c>
      <x:c r="J2476" s="12" t="str">
        <x:v>Engineering &amp; manufacturing</x:v>
      </x:c>
      <x:c r="K2476" s="2" t="str">
        <x:v>PARTNER-M108</x:v>
      </x:c>
    </x:row>
    <x:row r="2477" ht="46" customHeight="1">
      <x:c r="A2477" s="2" t="str">
        <x:v>TEN-16F45B99ABFD</x:v>
      </x:c>
      <x:c r="B2477" s="12" t="str">
        <x:v>Boeing</x:v>
      </x:c>
      <x:c r="C2477" s="12" t="str">
        <x:v>CORP-0526</x:v>
      </x:c>
      <x:c r="D2477" s="12" t="str">
        <x:v>Bengaluru</x:v>
      </x:c>
      <x:c r="E2477" s="12" t="str">
        <x:v>Bagmane Tech Park</x:v>
      </x:c>
      <x:c r="F2477" s="12" t="str">
        <x:v>55 inch</x:v>
      </x:c>
      <x:c r="G2477" s="20" t="n">
        <x:v>1</x:v>
      </x:c>
      <x:c r="H2477" s="12" t="str">
        <x:v>Campus/portfolio roster; individual building occupancy unverified</x:v>
      </x:c>
      <x:c r="I2477" s="12" t="str">
        <x:v>Large enterprise</x:v>
      </x:c>
      <x:c r="J2477" s="12" t="str">
        <x:v>Engineering &amp; manufacturing</x:v>
      </x:c>
      <x:c r="K2477" s="2" t="str">
        <x:v>PARTNER-M108</x:v>
      </x:c>
    </x:row>
    <x:row r="2478" ht="46" customHeight="1">
      <x:c r="A2478" s="2" t="str">
        <x:v>TEN-17840323EA59</x:v>
      </x:c>
      <x:c r="B2478" s="12" t="str">
        <x:v>Juniper</x:v>
      </x:c>
      <x:c r="C2478" s="12" t="str">
        <x:v>CORP-0526</x:v>
      </x:c>
      <x:c r="D2478" s="12" t="str">
        <x:v>Bengaluru</x:v>
      </x:c>
      <x:c r="E2478" s="12" t="str">
        <x:v>Bagmane Tech Park</x:v>
      </x:c>
      <x:c r="F2478" s="12" t="str">
        <x:v>55 inch</x:v>
      </x:c>
      <x:c r="G2478" s="20" t="n">
        <x:v>1</x:v>
      </x:c>
      <x:c r="H2478" s="12" t="str">
        <x:v>Campus/portfolio roster; individual building occupancy unverified</x:v>
      </x:c>
      <x:c r="I2478" s="12" t="str">
        <x:v>Mixed business audience</x:v>
      </x:c>
      <x:c r="J2478" s="12" t="str">
        <x:v>IT &amp; digital</x:v>
      </x:c>
      <x:c r="K2478" s="2" t="str">
        <x:v>PARTNER-M108</x:v>
      </x:c>
    </x:row>
    <x:row r="2479" ht="46" customHeight="1">
      <x:c r="A2479" s="2" t="str">
        <x:v>TEN-19A1211FA855</x:v>
      </x:c>
      <x:c r="B2479" s="12" t="str">
        <x:v>Altiostar</x:v>
      </x:c>
      <x:c r="C2479" s="12" t="str">
        <x:v>CORP-0526</x:v>
      </x:c>
      <x:c r="D2479" s="12" t="str">
        <x:v>Bengaluru</x:v>
      </x:c>
      <x:c r="E2479" s="12" t="str">
        <x:v>Bagmane Tech Park</x:v>
      </x:c>
      <x:c r="F2479" s="12" t="str">
        <x:v>55 inch</x:v>
      </x:c>
      <x:c r="G2479" s="20" t="n">
        <x:v>1</x:v>
      </x:c>
      <x:c r="H2479" s="12" t="str">
        <x:v>Campus/portfolio roster; individual building occupancy unverified</x:v>
      </x:c>
      <x:c r="I2479" s="12" t="str">
        <x:v>Mixed business audience</x:v>
      </x:c>
      <x:c r="J2479" s="12" t="str">
        <x:v>IT &amp; digital</x:v>
      </x:c>
      <x:c r="K2479" s="2" t="str">
        <x:v>PARTNER-M108</x:v>
      </x:c>
    </x:row>
    <x:row r="2480" ht="46" customHeight="1">
      <x:c r="A2480" s="2" t="str">
        <x:v>TEN-1B24400C96AA</x:v>
      </x:c>
      <x:c r="B2480" s="12" t="str">
        <x:v>Sima.ai</x:v>
      </x:c>
      <x:c r="C2480" s="12" t="str">
        <x:v>CORP-0526</x:v>
      </x:c>
      <x:c r="D2480" s="12" t="str">
        <x:v>Bengaluru</x:v>
      </x:c>
      <x:c r="E2480" s="12" t="str">
        <x:v>Bagmane Tech Park</x:v>
      </x:c>
      <x:c r="F2480" s="12" t="str">
        <x:v>55 inch</x:v>
      </x:c>
      <x:c r="G2480" s="20" t="n">
        <x:v>1</x:v>
      </x:c>
      <x:c r="H2480" s="12" t="str">
        <x:v>Campus/portfolio roster; individual building occupancy unverified</x:v>
      </x:c>
      <x:c r="I2480" s="12" t="str">
        <x:v>Small-scale prospects</x:v>
      </x:c>
      <x:c r="J2480" s="12" t="str">
        <x:v>IT &amp; digital</x:v>
      </x:c>
      <x:c r="K2480" s="2" t="str">
        <x:v>PARTNER-M108</x:v>
      </x:c>
    </x:row>
    <x:row r="2481" ht="46" customHeight="1">
      <x:c r="A2481" s="2" t="str">
        <x:v>TEN-2A09783B1C47</x:v>
      </x:c>
      <x:c r="B2481" s="12" t="str">
        <x:v>Cardinal</x:v>
      </x:c>
      <x:c r="C2481" s="12" t="str">
        <x:v>CORP-0526</x:v>
      </x:c>
      <x:c r="D2481" s="12" t="str">
        <x:v>Bengaluru</x:v>
      </x:c>
      <x:c r="E2481" s="12" t="str">
        <x:v>Bagmane Tech Park</x:v>
      </x:c>
      <x:c r="F2481" s="12" t="str">
        <x:v>55 inch</x:v>
      </x:c>
      <x:c r="G2481" s="20" t="n">
        <x:v>1</x:v>
      </x:c>
      <x:c r="H2481" s="12" t="str">
        <x:v>Campus/portfolio roster; individual building occupancy unverified</x:v>
      </x:c>
      <x:c r="I2481" s="12" t="str">
        <x:v>Mixed business audience</x:v>
      </x:c>
      <x:c r="J2481" s="12" t="str">
        <x:v>Unresolved</x:v>
      </x:c>
      <x:c r="K2481" s="2" t="str">
        <x:v>PARTNER-M108</x:v>
      </x:c>
    </x:row>
    <x:row r="2482" ht="46" customHeight="1">
      <x:c r="A2482" s="2" t="str">
        <x:v>TEN-31FF403A64D8</x:v>
      </x:c>
      <x:c r="B2482" s="12" t="str">
        <x:v>Informatica</x:v>
      </x:c>
      <x:c r="C2482" s="12" t="str">
        <x:v>CORP-0526</x:v>
      </x:c>
      <x:c r="D2482" s="12" t="str">
        <x:v>Bengaluru</x:v>
      </x:c>
      <x:c r="E2482" s="12" t="str">
        <x:v>Bagmane Tech Park</x:v>
      </x:c>
      <x:c r="F2482" s="12" t="str">
        <x:v>55 inch</x:v>
      </x:c>
      <x:c r="G2482" s="20" t="n">
        <x:v>1</x:v>
      </x:c>
      <x:c r="H2482" s="12" t="str">
        <x:v>Campus/portfolio roster; individual building occupancy unverified</x:v>
      </x:c>
      <x:c r="I2482" s="12" t="str">
        <x:v>Large enterprise</x:v>
      </x:c>
      <x:c r="J2482" s="12" t="str">
        <x:v>IT &amp; digital</x:v>
      </x:c>
      <x:c r="K2482" s="2" t="str">
        <x:v>PARTNER-M108</x:v>
      </x:c>
    </x:row>
    <x:row r="2483" ht="46" customHeight="1">
      <x:c r="A2483" s="2" t="str">
        <x:v>TEN-36E26473A4E8</x:v>
      </x:c>
      <x:c r="B2483" s="12" t="str">
        <x:v>Alstom</x:v>
      </x:c>
      <x:c r="C2483" s="12" t="str">
        <x:v>CORP-0526</x:v>
      </x:c>
      <x:c r="D2483" s="12" t="str">
        <x:v>Bengaluru</x:v>
      </x:c>
      <x:c r="E2483" s="12" t="str">
        <x:v>Bagmane Tech Park</x:v>
      </x:c>
      <x:c r="F2483" s="12" t="str">
        <x:v>55 inch</x:v>
      </x:c>
      <x:c r="G2483" s="20" t="n">
        <x:v>1</x:v>
      </x:c>
      <x:c r="H2483" s="12" t="str">
        <x:v>Campus/portfolio roster; individual building occupancy unverified</x:v>
      </x:c>
      <x:c r="I2483" s="12" t="str">
        <x:v>Large enterprise</x:v>
      </x:c>
      <x:c r="J2483" s="12" t="str">
        <x:v>Engineering &amp; manufacturing</x:v>
      </x:c>
      <x:c r="K2483" s="2" t="str">
        <x:v>PARTNER-M108</x:v>
      </x:c>
    </x:row>
    <x:row r="2484" ht="46" customHeight="1">
      <x:c r="A2484" s="2" t="str">
        <x:v>TEN-4957DCDAEE1C</x:v>
      </x:c>
      <x:c r="B2484" s="12" t="str">
        <x:v>Walker Chandok</x:v>
      </x:c>
      <x:c r="C2484" s="12" t="str">
        <x:v>CORP-0526</x:v>
      </x:c>
      <x:c r="D2484" s="12" t="str">
        <x:v>Bengaluru</x:v>
      </x:c>
      <x:c r="E2484" s="12" t="str">
        <x:v>Bagmane Tech Park</x:v>
      </x:c>
      <x:c r="F2484" s="12" t="str">
        <x:v>55 inch</x:v>
      </x:c>
      <x:c r="G2484" s="20" t="n">
        <x:v>1</x:v>
      </x:c>
      <x:c r="H2484" s="12" t="str">
        <x:v>Campus/portfolio roster; individual building occupancy unverified</x:v>
      </x:c>
      <x:c r="I2484" s="12" t="str">
        <x:v>Mixed business audience</x:v>
      </x:c>
      <x:c r="J2484" s="12" t="str">
        <x:v>Professional services</x:v>
      </x:c>
      <x:c r="K2484" s="2" t="str">
        <x:v>PARTNER-M108</x:v>
      </x:c>
    </x:row>
    <x:row r="2485" ht="46" customHeight="1">
      <x:c r="A2485" s="2" t="str">
        <x:v>TEN-4BCFB67D5370</x:v>
      </x:c>
      <x:c r="B2485" s="12" t="str">
        <x:v>Dover</x:v>
      </x:c>
      <x:c r="C2485" s="12" t="str">
        <x:v>CORP-0526</x:v>
      </x:c>
      <x:c r="D2485" s="12" t="str">
        <x:v>Bengaluru</x:v>
      </x:c>
      <x:c r="E2485" s="12" t="str">
        <x:v>Bagmane Tech Park</x:v>
      </x:c>
      <x:c r="F2485" s="12" t="str">
        <x:v>55 inch</x:v>
      </x:c>
      <x:c r="G2485" s="20" t="n">
        <x:v>1</x:v>
      </x:c>
      <x:c r="H2485" s="12" t="str">
        <x:v>Campus/portfolio roster; individual building occupancy unverified</x:v>
      </x:c>
      <x:c r="I2485" s="12" t="str">
        <x:v>Mixed business audience</x:v>
      </x:c>
      <x:c r="J2485" s="12" t="str">
        <x:v>Engineering &amp; manufacturing</x:v>
      </x:c>
      <x:c r="K2485" s="2" t="str">
        <x:v>PARTNER-M108</x:v>
      </x:c>
    </x:row>
    <x:row r="2486" ht="46" customHeight="1">
      <x:c r="A2486" s="2" t="str">
        <x:v>TEN-51BE3E92D716</x:v>
      </x:c>
      <x:c r="B2486" s="12" t="str">
        <x:v>Microfocus</x:v>
      </x:c>
      <x:c r="C2486" s="12" t="str">
        <x:v>CORP-0526</x:v>
      </x:c>
      <x:c r="D2486" s="12" t="str">
        <x:v>Bengaluru</x:v>
      </x:c>
      <x:c r="E2486" s="12" t="str">
        <x:v>Bagmane Tech Park</x:v>
      </x:c>
      <x:c r="F2486" s="12" t="str">
        <x:v>55 inch</x:v>
      </x:c>
      <x:c r="G2486" s="20" t="n">
        <x:v>1</x:v>
      </x:c>
      <x:c r="H2486" s="12" t="str">
        <x:v>Campus/portfolio roster; individual building occupancy unverified</x:v>
      </x:c>
      <x:c r="I2486" s="12" t="str">
        <x:v>Mixed business audience</x:v>
      </x:c>
      <x:c r="J2486" s="12" t="str">
        <x:v>IT &amp; digital</x:v>
      </x:c>
      <x:c r="K2486" s="2" t="str">
        <x:v>PARTNER-M108</x:v>
      </x:c>
    </x:row>
    <x:row r="2487" ht="46" customHeight="1">
      <x:c r="A2487" s="2" t="str">
        <x:v>TEN-55F83AF98CA9</x:v>
      </x:c>
      <x:c r="B2487" s="12" t="str">
        <x:v>cypress</x:v>
      </x:c>
      <x:c r="C2487" s="12" t="str">
        <x:v>CORP-0526</x:v>
      </x:c>
      <x:c r="D2487" s="12" t="str">
        <x:v>Bengaluru</x:v>
      </x:c>
      <x:c r="E2487" s="12" t="str">
        <x:v>Bagmane Tech Park</x:v>
      </x:c>
      <x:c r="F2487" s="12" t="str">
        <x:v>55 inch</x:v>
      </x:c>
      <x:c r="G2487" s="20" t="n">
        <x:v>1</x:v>
      </x:c>
      <x:c r="H2487" s="12" t="str">
        <x:v>Campus/portfolio roster; individual building occupancy unverified</x:v>
      </x:c>
      <x:c r="I2487" s="12" t="str">
        <x:v>Mixed business audience</x:v>
      </x:c>
      <x:c r="J2487" s="12" t="str">
        <x:v>Engineering &amp; manufacturing</x:v>
      </x:c>
      <x:c r="K2487" s="2" t="str">
        <x:v>PARTNER-M108</x:v>
      </x:c>
    </x:row>
    <x:row r="2488" ht="46" customHeight="1">
      <x:c r="A2488" s="2" t="str">
        <x:v>TEN-5DD95C98AFF2</x:v>
      </x:c>
      <x:c r="B2488" s="12" t="str">
        <x:v>Nike</x:v>
      </x:c>
      <x:c r="C2488" s="12" t="str">
        <x:v>CORP-0526</x:v>
      </x:c>
      <x:c r="D2488" s="12" t="str">
        <x:v>Bengaluru</x:v>
      </x:c>
      <x:c r="E2488" s="12" t="str">
        <x:v>Bagmane Tech Park</x:v>
      </x:c>
      <x:c r="F2488" s="12" t="str">
        <x:v>55 inch</x:v>
      </x:c>
      <x:c r="G2488" s="20" t="n">
        <x:v>1</x:v>
      </x:c>
      <x:c r="H2488" s="12" t="str">
        <x:v>Campus/portfolio roster; individual building occupancy unverified</x:v>
      </x:c>
      <x:c r="I2488" s="12" t="str">
        <x:v>Mixed business audience</x:v>
      </x:c>
      <x:c r="J2488" s="12" t="str">
        <x:v>Trade, consumer &amp; logistics</x:v>
      </x:c>
      <x:c r="K2488" s="2" t="str">
        <x:v>PARTNER-M108</x:v>
      </x:c>
    </x:row>
    <x:row r="2489" ht="46" customHeight="1">
      <x:c r="A2489" s="2" t="str">
        <x:v>TEN-60A539DE7BB0</x:v>
      </x:c>
      <x:c r="B2489" s="12" t="str">
        <x:v>Ivanti</x:v>
      </x:c>
      <x:c r="C2489" s="12" t="str">
        <x:v>CORP-0526</x:v>
      </x:c>
      <x:c r="D2489" s="12" t="str">
        <x:v>Bengaluru</x:v>
      </x:c>
      <x:c r="E2489" s="12" t="str">
        <x:v>Bagmane Tech Park</x:v>
      </x:c>
      <x:c r="F2489" s="12" t="str">
        <x:v>55 inch</x:v>
      </x:c>
      <x:c r="G2489" s="20" t="n">
        <x:v>1</x:v>
      </x:c>
      <x:c r="H2489" s="12" t="str">
        <x:v>Campus/portfolio roster; individual building occupancy unverified</x:v>
      </x:c>
      <x:c r="I2489" s="12" t="str">
        <x:v>Large enterprise</x:v>
      </x:c>
      <x:c r="J2489" s="12" t="str">
        <x:v>IT &amp; digital</x:v>
      </x:c>
      <x:c r="K2489" s="2" t="str">
        <x:v>PARTNER-M108</x:v>
      </x:c>
    </x:row>
    <x:row r="2490" ht="46" customHeight="1">
      <x:c r="A2490" s="2" t="str">
        <x:v>TEN-7AD6D135A07F</x:v>
      </x:c>
      <x:c r="B2490" s="12" t="str">
        <x:v>Texas Instrument</x:v>
      </x:c>
      <x:c r="C2490" s="12" t="str">
        <x:v>CORP-0526</x:v>
      </x:c>
      <x:c r="D2490" s="12" t="str">
        <x:v>Bengaluru</x:v>
      </x:c>
      <x:c r="E2490" s="12" t="str">
        <x:v>Bagmane Tech Park</x:v>
      </x:c>
      <x:c r="F2490" s="12" t="str">
        <x:v>55 inch</x:v>
      </x:c>
      <x:c r="G2490" s="20" t="n">
        <x:v>1</x:v>
      </x:c>
      <x:c r="H2490" s="12" t="str">
        <x:v>Campus/portfolio roster; individual building occupancy unverified</x:v>
      </x:c>
      <x:c r="I2490" s="12" t="str">
        <x:v>Mixed business audience</x:v>
      </x:c>
      <x:c r="J2490" s="12" t="str">
        <x:v>Engineering &amp; manufacturing</x:v>
      </x:c>
      <x:c r="K2490" s="2" t="str">
        <x:v>PARTNER-M108</x:v>
      </x:c>
    </x:row>
    <x:row r="2491" ht="46" customHeight="1">
      <x:c r="A2491" s="2" t="str">
        <x:v>TEN-7F1B55B86059</x:v>
      </x:c>
      <x:c r="B2491" s="12" t="str">
        <x:v>LAM</x:v>
      </x:c>
      <x:c r="C2491" s="12" t="str">
        <x:v>CORP-0526</x:v>
      </x:c>
      <x:c r="D2491" s="12" t="str">
        <x:v>Bengaluru</x:v>
      </x:c>
      <x:c r="E2491" s="12" t="str">
        <x:v>Bagmane Tech Park</x:v>
      </x:c>
      <x:c r="F2491" s="12" t="str">
        <x:v>55 inch</x:v>
      </x:c>
      <x:c r="G2491" s="20" t="n">
        <x:v>1</x:v>
      </x:c>
      <x:c r="H2491" s="12" t="str">
        <x:v>Campus/portfolio roster; individual building occupancy unverified</x:v>
      </x:c>
      <x:c r="I2491" s="12" t="str">
        <x:v>Mixed business audience</x:v>
      </x:c>
      <x:c r="J2491" s="12" t="str">
        <x:v>Engineering &amp; manufacturing</x:v>
      </x:c>
      <x:c r="K2491" s="2" t="str">
        <x:v>PARTNER-M108</x:v>
      </x:c>
    </x:row>
    <x:row r="2492" ht="46" customHeight="1">
      <x:c r="A2492" s="2" t="str">
        <x:v>TEN-8D1AE0ED034C</x:v>
      </x:c>
      <x:c r="B2492" s="12" t="str">
        <x:v>UKG</x:v>
      </x:c>
      <x:c r="C2492" s="12" t="str">
        <x:v>CORP-0526</x:v>
      </x:c>
      <x:c r="D2492" s="12" t="str">
        <x:v>Bengaluru</x:v>
      </x:c>
      <x:c r="E2492" s="12" t="str">
        <x:v>Bagmane Tech Park</x:v>
      </x:c>
      <x:c r="F2492" s="12" t="str">
        <x:v>55 inch</x:v>
      </x:c>
      <x:c r="G2492" s="20" t="n">
        <x:v>1</x:v>
      </x:c>
      <x:c r="H2492" s="12" t="str">
        <x:v>Campus/portfolio roster; individual building occupancy unverified</x:v>
      </x:c>
      <x:c r="I2492" s="12" t="str">
        <x:v>Mixed business audience</x:v>
      </x:c>
      <x:c r="J2492" s="12" t="str">
        <x:v>IT &amp; digital</x:v>
      </x:c>
      <x:c r="K2492" s="2" t="str">
        <x:v>PARTNER-M108</x:v>
      </x:c>
    </x:row>
    <x:row r="2493" ht="46" customHeight="1">
      <x:c r="A2493" s="2" t="str">
        <x:v>TEN-9387E476D00B</x:v>
      </x:c>
      <x:c r="B2493" s="12" t="str">
        <x:v>SAP concur</x:v>
      </x:c>
      <x:c r="C2493" s="12" t="str">
        <x:v>CORP-0526</x:v>
      </x:c>
      <x:c r="D2493" s="12" t="str">
        <x:v>Bengaluru</x:v>
      </x:c>
      <x:c r="E2493" s="12" t="str">
        <x:v>Bagmane Tech Park</x:v>
      </x:c>
      <x:c r="F2493" s="12" t="str">
        <x:v>55 inch</x:v>
      </x:c>
      <x:c r="G2493" s="20" t="n">
        <x:v>1</x:v>
      </x:c>
      <x:c r="H2493" s="12" t="str">
        <x:v>Campus/portfolio roster; individual building occupancy unverified</x:v>
      </x:c>
      <x:c r="I2493" s="12" t="str">
        <x:v>Large enterprise</x:v>
      </x:c>
      <x:c r="J2493" s="12" t="str">
        <x:v>IT &amp; digital</x:v>
      </x:c>
      <x:c r="K2493" s="2" t="str">
        <x:v>PARTNER-M108</x:v>
      </x:c>
    </x:row>
    <x:row r="2494" ht="46" customHeight="1">
      <x:c r="A2494" s="2" t="str">
        <x:v>TEN-98E929C33151</x:v>
      </x:c>
      <x:c r="B2494" s="12" t="str">
        <x:v>Renesas</x:v>
      </x:c>
      <x:c r="C2494" s="12" t="str">
        <x:v>CORP-0526</x:v>
      </x:c>
      <x:c r="D2494" s="12" t="str">
        <x:v>Bengaluru</x:v>
      </x:c>
      <x:c r="E2494" s="12" t="str">
        <x:v>Bagmane Tech Park</x:v>
      </x:c>
      <x:c r="F2494" s="12" t="str">
        <x:v>55 inch</x:v>
      </x:c>
      <x:c r="G2494" s="20" t="n">
        <x:v>1</x:v>
      </x:c>
      <x:c r="H2494" s="12" t="str">
        <x:v>Campus/portfolio roster; individual building occupancy unverified</x:v>
      </x:c>
      <x:c r="I2494" s="12" t="str">
        <x:v>Mixed business audience</x:v>
      </x:c>
      <x:c r="J2494" s="12" t="str">
        <x:v>Engineering &amp; manufacturing</x:v>
      </x:c>
      <x:c r="K2494" s="2" t="str">
        <x:v>PARTNER-M108</x:v>
      </x:c>
    </x:row>
    <x:row r="2495" ht="46" customHeight="1">
      <x:c r="A2495" s="2" t="str">
        <x:v>TEN-A973ADF51E6A</x:v>
      </x:c>
      <x:c r="B2495" s="12" t="str">
        <x:v>Talisma</x:v>
      </x:c>
      <x:c r="C2495" s="12" t="str">
        <x:v>CORP-0526</x:v>
      </x:c>
      <x:c r="D2495" s="12" t="str">
        <x:v>Bengaluru</x:v>
      </x:c>
      <x:c r="E2495" s="12" t="str">
        <x:v>Bagmane Tech Park</x:v>
      </x:c>
      <x:c r="F2495" s="12" t="str">
        <x:v>55 inch</x:v>
      </x:c>
      <x:c r="G2495" s="20" t="n">
        <x:v>1</x:v>
      </x:c>
      <x:c r="H2495" s="12" t="str">
        <x:v>Campus/portfolio roster; individual building occupancy unverified</x:v>
      </x:c>
      <x:c r="I2495" s="12" t="str">
        <x:v>Mixed business audience</x:v>
      </x:c>
      <x:c r="J2495" s="12" t="str">
        <x:v>IT &amp; digital</x:v>
      </x:c>
      <x:c r="K2495" s="2" t="str">
        <x:v>PARTNER-M108</x:v>
      </x:c>
    </x:row>
    <x:row r="2496" ht="46" customHeight="1">
      <x:c r="A2496" s="2" t="str">
        <x:v>TEN-AEF34FE789D8</x:v>
      </x:c>
      <x:c r="B2496" s="12" t="str">
        <x:v>Pal Alto</x:v>
      </x:c>
      <x:c r="C2496" s="12" t="str">
        <x:v>CORP-0526</x:v>
      </x:c>
      <x:c r="D2496" s="12" t="str">
        <x:v>Bengaluru</x:v>
      </x:c>
      <x:c r="E2496" s="12" t="str">
        <x:v>Bagmane Tech Park</x:v>
      </x:c>
      <x:c r="F2496" s="12" t="str">
        <x:v>55 inch</x:v>
      </x:c>
      <x:c r="G2496" s="20" t="n">
        <x:v>1</x:v>
      </x:c>
      <x:c r="H2496" s="12" t="str">
        <x:v>Campus/portfolio roster; individual building occupancy unverified</x:v>
      </x:c>
      <x:c r="I2496" s="12" t="str">
        <x:v>Mixed business audience</x:v>
      </x:c>
      <x:c r="J2496" s="12" t="str">
        <x:v>Unresolved</x:v>
      </x:c>
      <x:c r="K2496" s="2" t="str">
        <x:v>PARTNER-M108</x:v>
      </x:c>
    </x:row>
    <x:row r="2497" ht="46" customHeight="1">
      <x:c r="A2497" s="2" t="str">
        <x:v>TEN-B1331F460EB4</x:v>
      </x:c>
      <x:c r="B2497" s="12" t="str">
        <x:v>CEM</x:v>
      </x:c>
      <x:c r="C2497" s="12" t="str">
        <x:v>CORP-0526</x:v>
      </x:c>
      <x:c r="D2497" s="12" t="str">
        <x:v>Bengaluru</x:v>
      </x:c>
      <x:c r="E2497" s="12" t="str">
        <x:v>Bagmane Tech Park</x:v>
      </x:c>
      <x:c r="F2497" s="12" t="str">
        <x:v>55 inch</x:v>
      </x:c>
      <x:c r="G2497" s="20" t="n">
        <x:v>1</x:v>
      </x:c>
      <x:c r="H2497" s="12" t="str">
        <x:v>Campus/portfolio roster; individual building occupancy unverified</x:v>
      </x:c>
      <x:c r="I2497" s="12" t="str">
        <x:v>Mixed business audience</x:v>
      </x:c>
      <x:c r="J2497" s="12" t="str">
        <x:v>Unresolved</x:v>
      </x:c>
      <x:c r="K2497" s="2" t="str">
        <x:v>PARTNER-M108</x:v>
      </x:c>
    </x:row>
    <x:row r="2498" ht="46" customHeight="1">
      <x:c r="A2498" s="2" t="str">
        <x:v>TEN-BCCAE4CE7BE6</x:v>
      </x:c>
      <x:c r="B2498" s="12" t="str">
        <x:v>Volvo</x:v>
      </x:c>
      <x:c r="C2498" s="12" t="str">
        <x:v>CORP-0526</x:v>
      </x:c>
      <x:c r="D2498" s="12" t="str">
        <x:v>Bengaluru</x:v>
      </x:c>
      <x:c r="E2498" s="12" t="str">
        <x:v>Bagmane Tech Park</x:v>
      </x:c>
      <x:c r="F2498" s="12" t="str">
        <x:v>55 inch</x:v>
      </x:c>
      <x:c r="G2498" s="20" t="n">
        <x:v>1</x:v>
      </x:c>
      <x:c r="H2498" s="12" t="str">
        <x:v>Campus/portfolio roster; individual building occupancy unverified</x:v>
      </x:c>
      <x:c r="I2498" s="12" t="str">
        <x:v>Mixed business audience</x:v>
      </x:c>
      <x:c r="J2498" s="12" t="str">
        <x:v>Engineering &amp; manufacturing</x:v>
      </x:c>
      <x:c r="K2498" s="2" t="str">
        <x:v>PARTNER-M108</x:v>
      </x:c>
    </x:row>
    <x:row r="2499" ht="46" customHeight="1">
      <x:c r="A2499" s="2" t="str">
        <x:v>TEN-C2ECB55DC1D4</x:v>
      </x:c>
      <x:c r="B2499" s="12" t="str">
        <x:v>ROHM</x:v>
      </x:c>
      <x:c r="C2499" s="12" t="str">
        <x:v>CORP-0526</x:v>
      </x:c>
      <x:c r="D2499" s="12" t="str">
        <x:v>Bengaluru</x:v>
      </x:c>
      <x:c r="E2499" s="12" t="str">
        <x:v>Bagmane Tech Park</x:v>
      </x:c>
      <x:c r="F2499" s="12" t="str">
        <x:v>55 inch</x:v>
      </x:c>
      <x:c r="G2499" s="20" t="n">
        <x:v>1</x:v>
      </x:c>
      <x:c r="H2499" s="12" t="str">
        <x:v>Campus/portfolio roster; individual building occupancy unverified</x:v>
      </x:c>
      <x:c r="I2499" s="12" t="str">
        <x:v>Mixed business audience</x:v>
      </x:c>
      <x:c r="J2499" s="12" t="str">
        <x:v>Engineering &amp; manufacturing</x:v>
      </x:c>
      <x:c r="K2499" s="2" t="str">
        <x:v>PARTNER-M108</x:v>
      </x:c>
    </x:row>
    <x:row r="2500" ht="46" customHeight="1">
      <x:c r="A2500" s="2" t="str">
        <x:v>TEN-C63AC00C4D11</x:v>
      </x:c>
      <x:c r="B2500" s="12" t="str">
        <x:v>Mphasis</x:v>
      </x:c>
      <x:c r="C2500" s="12" t="str">
        <x:v>CORP-0526</x:v>
      </x:c>
      <x:c r="D2500" s="12" t="str">
        <x:v>Bengaluru</x:v>
      </x:c>
      <x:c r="E2500" s="12" t="str">
        <x:v>Bagmane Tech Park</x:v>
      </x:c>
      <x:c r="F2500" s="12" t="str">
        <x:v>55 inch</x:v>
      </x:c>
      <x:c r="G2500" s="20" t="n">
        <x:v>1</x:v>
      </x:c>
      <x:c r="H2500" s="12" t="str">
        <x:v>Campus/portfolio roster; individual building occupancy unverified</x:v>
      </x:c>
      <x:c r="I2500" s="12" t="str">
        <x:v>Large enterprise</x:v>
      </x:c>
      <x:c r="J2500" s="12" t="str">
        <x:v>IT &amp; digital</x:v>
      </x:c>
      <x:c r="K2500" s="2" t="str">
        <x:v>PARTNER-M108</x:v>
      </x:c>
    </x:row>
    <x:row r="2501" ht="46" customHeight="1">
      <x:c r="A2501" s="2" t="str">
        <x:v>TEN-C97CE19B9C35</x:v>
      </x:c>
      <x:c r="B2501" s="12" t="str">
        <x:v>PricewaterhouseCoopers</x:v>
      </x:c>
      <x:c r="C2501" s="12" t="str">
        <x:v>CORP-0526</x:v>
      </x:c>
      <x:c r="D2501" s="12" t="str">
        <x:v>Bengaluru</x:v>
      </x:c>
      <x:c r="E2501" s="12" t="str">
        <x:v>Bagmane Tech Park</x:v>
      </x:c>
      <x:c r="F2501" s="12" t="str">
        <x:v>55 inch</x:v>
      </x:c>
      <x:c r="G2501" s="20" t="n">
        <x:v>1</x:v>
      </x:c>
      <x:c r="H2501" s="12" t="str">
        <x:v>Campus/portfolio roster; individual building occupancy unverified</x:v>
      </x:c>
      <x:c r="I2501" s="12" t="str">
        <x:v>Large enterprise</x:v>
      </x:c>
      <x:c r="J2501" s="12" t="str">
        <x:v>Professional services</x:v>
      </x:c>
      <x:c r="K2501" s="2" t="str">
        <x:v>PARTNER-M108</x:v>
      </x:c>
    </x:row>
    <x:row r="2502" ht="46" customHeight="1">
      <x:c r="A2502" s="2" t="str">
        <x:v>TEN-D0E2ECE166BD</x:v>
      </x:c>
      <x:c r="B2502" s="12" t="str">
        <x:v>Dell</x:v>
      </x:c>
      <x:c r="C2502" s="12" t="str">
        <x:v>CORP-0526</x:v>
      </x:c>
      <x:c r="D2502" s="12" t="str">
        <x:v>Bengaluru</x:v>
      </x:c>
      <x:c r="E2502" s="12" t="str">
        <x:v>Bagmane Tech Park</x:v>
      </x:c>
      <x:c r="F2502" s="12" t="str">
        <x:v>55 inch</x:v>
      </x:c>
      <x:c r="G2502" s="20" t="n">
        <x:v>1</x:v>
      </x:c>
      <x:c r="H2502" s="12" t="str">
        <x:v>Campus/portfolio roster; individual building occupancy unverified</x:v>
      </x:c>
      <x:c r="I2502" s="12" t="str">
        <x:v>Large enterprise</x:v>
      </x:c>
      <x:c r="J2502" s="12" t="str">
        <x:v>Engineering &amp; manufacturing</x:v>
      </x:c>
      <x:c r="K2502" s="2" t="str">
        <x:v>PARTNER-M108</x:v>
      </x:c>
    </x:row>
    <x:row r="2503" ht="46" customHeight="1">
      <x:c r="A2503" s="2" t="str">
        <x:v>TEN-E305C1EB5FCE</x:v>
      </x:c>
      <x:c r="B2503" s="12" t="str">
        <x:v>ALUK</x:v>
      </x:c>
      <x:c r="C2503" s="12" t="str">
        <x:v>CORP-0526</x:v>
      </x:c>
      <x:c r="D2503" s="12" t="str">
        <x:v>Bengaluru</x:v>
      </x:c>
      <x:c r="E2503" s="12" t="str">
        <x:v>Bagmane Tech Park</x:v>
      </x:c>
      <x:c r="F2503" s="12" t="str">
        <x:v>55 inch</x:v>
      </x:c>
      <x:c r="G2503" s="20" t="n">
        <x:v>1</x:v>
      </x:c>
      <x:c r="H2503" s="12" t="str">
        <x:v>Campus/portfolio roster; individual building occupancy unverified</x:v>
      </x:c>
      <x:c r="I2503" s="12" t="str">
        <x:v>Medium-scale prospects</x:v>
      </x:c>
      <x:c r="J2503" s="12" t="str">
        <x:v>Engineering &amp; manufacturing</x:v>
      </x:c>
      <x:c r="K2503" s="2" t="str">
        <x:v>PARTNER-M108</x:v>
      </x:c>
    </x:row>
    <x:row r="2504" ht="46" customHeight="1">
      <x:c r="A2504" s="2" t="str">
        <x:v>TEN-E5E23A26CD36</x:v>
      </x:c>
      <x:c r="B2504" s="12" t="str">
        <x:v>Grant Thornton</x:v>
      </x:c>
      <x:c r="C2504" s="12" t="str">
        <x:v>CORP-0526</x:v>
      </x:c>
      <x:c r="D2504" s="12" t="str">
        <x:v>Bengaluru</x:v>
      </x:c>
      <x:c r="E2504" s="12" t="str">
        <x:v>Bagmane Tech Park</x:v>
      </x:c>
      <x:c r="F2504" s="12" t="str">
        <x:v>55 inch</x:v>
      </x:c>
      <x:c r="G2504" s="20" t="n">
        <x:v>1</x:v>
      </x:c>
      <x:c r="H2504" s="12" t="str">
        <x:v>Campus/portfolio roster; individual building occupancy unverified</x:v>
      </x:c>
      <x:c r="I2504" s="12" t="str">
        <x:v>Large enterprise</x:v>
      </x:c>
      <x:c r="J2504" s="12" t="str">
        <x:v>Professional services</x:v>
      </x:c>
      <x:c r="K2504" s="2" t="str">
        <x:v>PARTNER-M108</x:v>
      </x:c>
    </x:row>
    <x:row r="2505" ht="46" customHeight="1">
      <x:c r="A2505" s="2" t="str">
        <x:v>TEN-E73B79A0B10F</x:v>
      </x:c>
      <x:c r="B2505" s="12" t="str">
        <x:v>Cisco</x:v>
      </x:c>
      <x:c r="C2505" s="12" t="str">
        <x:v>CORP-0526</x:v>
      </x:c>
      <x:c r="D2505" s="12" t="str">
        <x:v>Bengaluru</x:v>
      </x:c>
      <x:c r="E2505" s="12" t="str">
        <x:v>Bagmane Tech Park</x:v>
      </x:c>
      <x:c r="F2505" s="12" t="str">
        <x:v>55 inch</x:v>
      </x:c>
      <x:c r="G2505" s="20" t="n">
        <x:v>1</x:v>
      </x:c>
      <x:c r="H2505" s="12" t="str">
        <x:v>Campus/portfolio roster; individual building occupancy unverified</x:v>
      </x:c>
      <x:c r="I2505" s="12" t="str">
        <x:v>Large enterprise</x:v>
      </x:c>
      <x:c r="J2505" s="12" t="str">
        <x:v>IT &amp; digital</x:v>
      </x:c>
      <x:c r="K2505" s="2" t="str">
        <x:v>PARTNER-M108</x:v>
      </x:c>
    </x:row>
    <x:row r="2506" ht="46" customHeight="1">
      <x:c r="A2506" s="2" t="str">
        <x:v>TEN-F49D19F21FE1</x:v>
      </x:c>
      <x:c r="B2506" s="12" t="str">
        <x:v>L3 Communication</x:v>
      </x:c>
      <x:c r="C2506" s="12" t="str">
        <x:v>CORP-0526</x:v>
      </x:c>
      <x:c r="D2506" s="12" t="str">
        <x:v>Bengaluru</x:v>
      </x:c>
      <x:c r="E2506" s="12" t="str">
        <x:v>Bagmane Tech Park</x:v>
      </x:c>
      <x:c r="F2506" s="12" t="str">
        <x:v>55 inch</x:v>
      </x:c>
      <x:c r="G2506" s="20" t="n">
        <x:v>1</x:v>
      </x:c>
      <x:c r="H2506" s="12" t="str">
        <x:v>Campus/portfolio roster; individual building occupancy unverified</x:v>
      </x:c>
      <x:c r="I2506" s="12" t="str">
        <x:v>Mixed business audience</x:v>
      </x:c>
      <x:c r="J2506" s="12" t="str">
        <x:v>IT &amp; digital</x:v>
      </x:c>
      <x:c r="K2506" s="2" t="str">
        <x:v>PARTNER-M108</x:v>
      </x:c>
    </x:row>
    <x:row r="2507" ht="46" customHeight="1">
      <x:c r="A2507" s="2" t="str">
        <x:v>TEN-FEED58DAA315</x:v>
      </x:c>
      <x:c r="B2507" s="12" t="str">
        <x:v>Infineon</x:v>
      </x:c>
      <x:c r="C2507" s="12" t="str">
        <x:v>CORP-0526</x:v>
      </x:c>
      <x:c r="D2507" s="12" t="str">
        <x:v>Bengaluru</x:v>
      </x:c>
      <x:c r="E2507" s="12" t="str">
        <x:v>Bagmane Tech Park</x:v>
      </x:c>
      <x:c r="F2507" s="12" t="str">
        <x:v>55 inch</x:v>
      </x:c>
      <x:c r="G2507" s="20" t="n">
        <x:v>1</x:v>
      </x:c>
      <x:c r="H2507" s="12" t="str">
        <x:v>Campus/portfolio roster; individual building occupancy unverified</x:v>
      </x:c>
      <x:c r="I2507" s="12" t="str">
        <x:v>Large enterprise</x:v>
      </x:c>
      <x:c r="J2507" s="12" t="str">
        <x:v>Engineering &amp; manufacturing</x:v>
      </x:c>
      <x:c r="K2507" s="2" t="str">
        <x:v>PARTNER-M108</x:v>
      </x:c>
    </x:row>
    <x:row r="2508" ht="46" customHeight="1">
      <x:c r="A2508" s="2" t="str">
        <x:v>TEN-05A498EFD197</x:v>
      </x:c>
      <x:c r="B2508" s="12" t="str">
        <x:v>Kronos</x:v>
      </x:c>
      <x:c r="C2508" s="12" t="str">
        <x:v>CORP-0527</x:v>
      </x:c>
      <x:c r="D2508" s="12" t="str">
        <x:v>Bengaluru</x:v>
      </x:c>
      <x:c r="E2508" s="12" t="str">
        <x:v>Bagmane Tech Park</x:v>
      </x:c>
      <x:c r="F2508" s="12" t="str">
        <x:v>55 inch</x:v>
      </x:c>
      <x:c r="G2508" s="20" t="n">
        <x:v>1</x:v>
      </x:c>
      <x:c r="H2508" s="12" t="str">
        <x:v>Campus/portfolio roster; individual building occupancy unverified</x:v>
      </x:c>
      <x:c r="I2508" s="12" t="str">
        <x:v>Mixed business audience</x:v>
      </x:c>
      <x:c r="J2508" s="12" t="str">
        <x:v>IT &amp; digital</x:v>
      </x:c>
      <x:c r="K2508" s="2" t="str">
        <x:v>PARTNER-M108</x:v>
      </x:c>
    </x:row>
    <x:row r="2509" ht="46" customHeight="1">
      <x:c r="A2509" s="2" t="str">
        <x:v>TEN-0B570123A8C3</x:v>
      </x:c>
      <x:c r="B2509" s="12" t="str">
        <x:v>Commvault</x:v>
      </x:c>
      <x:c r="C2509" s="12" t="str">
        <x:v>CORP-0527</x:v>
      </x:c>
      <x:c r="D2509" s="12" t="str">
        <x:v>Bengaluru</x:v>
      </x:c>
      <x:c r="E2509" s="12" t="str">
        <x:v>Bagmane Tech Park</x:v>
      </x:c>
      <x:c r="F2509" s="12" t="str">
        <x:v>55 inch</x:v>
      </x:c>
      <x:c r="G2509" s="20" t="n">
        <x:v>1</x:v>
      </x:c>
      <x:c r="H2509" s="12" t="str">
        <x:v>Campus/portfolio roster; individual building occupancy unverified</x:v>
      </x:c>
      <x:c r="I2509" s="12" t="str">
        <x:v>Large enterprise</x:v>
      </x:c>
      <x:c r="J2509" s="12" t="str">
        <x:v>IT &amp; digital</x:v>
      </x:c>
      <x:c r="K2509" s="2" t="str">
        <x:v>PARTNER-M108</x:v>
      </x:c>
    </x:row>
    <x:row r="2510" ht="46" customHeight="1">
      <x:c r="A2510" s="2" t="str">
        <x:v>TEN-0C44BE9F7948</x:v>
      </x:c>
      <x:c r="B2510" s="12" t="str">
        <x:v>Motorola</x:v>
      </x:c>
      <x:c r="C2510" s="12" t="str">
        <x:v>CORP-0527</x:v>
      </x:c>
      <x:c r="D2510" s="12" t="str">
        <x:v>Bengaluru</x:v>
      </x:c>
      <x:c r="E2510" s="12" t="str">
        <x:v>Bagmane Tech Park</x:v>
      </x:c>
      <x:c r="F2510" s="12" t="str">
        <x:v>55 inch</x:v>
      </x:c>
      <x:c r="G2510" s="20" t="n">
        <x:v>1</x:v>
      </x:c>
      <x:c r="H2510" s="12" t="str">
        <x:v>Campus/portfolio roster; individual building occupancy unverified</x:v>
      </x:c>
      <x:c r="I2510" s="12" t="str">
        <x:v>Large enterprise</x:v>
      </x:c>
      <x:c r="J2510" s="12" t="str">
        <x:v>Engineering &amp; manufacturing</x:v>
      </x:c>
      <x:c r="K2510" s="2" t="str">
        <x:v>PARTNER-M108</x:v>
      </x:c>
    </x:row>
    <x:row r="2511" ht="46" customHeight="1">
      <x:c r="A2511" s="2" t="str">
        <x:v>TEN-16F45B99ABFD</x:v>
      </x:c>
      <x:c r="B2511" s="12" t="str">
        <x:v>Boeing</x:v>
      </x:c>
      <x:c r="C2511" s="12" t="str">
        <x:v>CORP-0527</x:v>
      </x:c>
      <x:c r="D2511" s="12" t="str">
        <x:v>Bengaluru</x:v>
      </x:c>
      <x:c r="E2511" s="12" t="str">
        <x:v>Bagmane Tech Park</x:v>
      </x:c>
      <x:c r="F2511" s="12" t="str">
        <x:v>55 inch</x:v>
      </x:c>
      <x:c r="G2511" s="20" t="n">
        <x:v>1</x:v>
      </x:c>
      <x:c r="H2511" s="12" t="str">
        <x:v>Campus/portfolio roster; individual building occupancy unverified</x:v>
      </x:c>
      <x:c r="I2511" s="12" t="str">
        <x:v>Large enterprise</x:v>
      </x:c>
      <x:c r="J2511" s="12" t="str">
        <x:v>Engineering &amp; manufacturing</x:v>
      </x:c>
      <x:c r="K2511" s="2" t="str">
        <x:v>PARTNER-M108</x:v>
      </x:c>
    </x:row>
    <x:row r="2512" ht="46" customHeight="1">
      <x:c r="A2512" s="2" t="str">
        <x:v>TEN-17840323EA59</x:v>
      </x:c>
      <x:c r="B2512" s="12" t="str">
        <x:v>Juniper</x:v>
      </x:c>
      <x:c r="C2512" s="12" t="str">
        <x:v>CORP-0527</x:v>
      </x:c>
      <x:c r="D2512" s="12" t="str">
        <x:v>Bengaluru</x:v>
      </x:c>
      <x:c r="E2512" s="12" t="str">
        <x:v>Bagmane Tech Park</x:v>
      </x:c>
      <x:c r="F2512" s="12" t="str">
        <x:v>55 inch</x:v>
      </x:c>
      <x:c r="G2512" s="20" t="n">
        <x:v>1</x:v>
      </x:c>
      <x:c r="H2512" s="12" t="str">
        <x:v>Campus/portfolio roster; individual building occupancy unverified</x:v>
      </x:c>
      <x:c r="I2512" s="12" t="str">
        <x:v>Mixed business audience</x:v>
      </x:c>
      <x:c r="J2512" s="12" t="str">
        <x:v>IT &amp; digital</x:v>
      </x:c>
      <x:c r="K2512" s="2" t="str">
        <x:v>PARTNER-M108</x:v>
      </x:c>
    </x:row>
    <x:row r="2513" ht="46" customHeight="1">
      <x:c r="A2513" s="2" t="str">
        <x:v>TEN-19A1211FA855</x:v>
      </x:c>
      <x:c r="B2513" s="12" t="str">
        <x:v>Altiostar</x:v>
      </x:c>
      <x:c r="C2513" s="12" t="str">
        <x:v>CORP-0527</x:v>
      </x:c>
      <x:c r="D2513" s="12" t="str">
        <x:v>Bengaluru</x:v>
      </x:c>
      <x:c r="E2513" s="12" t="str">
        <x:v>Bagmane Tech Park</x:v>
      </x:c>
      <x:c r="F2513" s="12" t="str">
        <x:v>55 inch</x:v>
      </x:c>
      <x:c r="G2513" s="20" t="n">
        <x:v>1</x:v>
      </x:c>
      <x:c r="H2513" s="12" t="str">
        <x:v>Campus/portfolio roster; individual building occupancy unverified</x:v>
      </x:c>
      <x:c r="I2513" s="12" t="str">
        <x:v>Mixed business audience</x:v>
      </x:c>
      <x:c r="J2513" s="12" t="str">
        <x:v>IT &amp; digital</x:v>
      </x:c>
      <x:c r="K2513" s="2" t="str">
        <x:v>PARTNER-M108</x:v>
      </x:c>
    </x:row>
    <x:row r="2514" ht="46" customHeight="1">
      <x:c r="A2514" s="2" t="str">
        <x:v>TEN-1B24400C96AA</x:v>
      </x:c>
      <x:c r="B2514" s="12" t="str">
        <x:v>Sima.ai</x:v>
      </x:c>
      <x:c r="C2514" s="12" t="str">
        <x:v>CORP-0527</x:v>
      </x:c>
      <x:c r="D2514" s="12" t="str">
        <x:v>Bengaluru</x:v>
      </x:c>
      <x:c r="E2514" s="12" t="str">
        <x:v>Bagmane Tech Park</x:v>
      </x:c>
      <x:c r="F2514" s="12" t="str">
        <x:v>55 inch</x:v>
      </x:c>
      <x:c r="G2514" s="20" t="n">
        <x:v>1</x:v>
      </x:c>
      <x:c r="H2514" s="12" t="str">
        <x:v>Campus/portfolio roster; individual building occupancy unverified</x:v>
      </x:c>
      <x:c r="I2514" s="12" t="str">
        <x:v>Small-scale prospects</x:v>
      </x:c>
      <x:c r="J2514" s="12" t="str">
        <x:v>IT &amp; digital</x:v>
      </x:c>
      <x:c r="K2514" s="2" t="str">
        <x:v>PARTNER-M108</x:v>
      </x:c>
    </x:row>
    <x:row r="2515" ht="46" customHeight="1">
      <x:c r="A2515" s="2" t="str">
        <x:v>TEN-2A09783B1C47</x:v>
      </x:c>
      <x:c r="B2515" s="12" t="str">
        <x:v>Cardinal</x:v>
      </x:c>
      <x:c r="C2515" s="12" t="str">
        <x:v>CORP-0527</x:v>
      </x:c>
      <x:c r="D2515" s="12" t="str">
        <x:v>Bengaluru</x:v>
      </x:c>
      <x:c r="E2515" s="12" t="str">
        <x:v>Bagmane Tech Park</x:v>
      </x:c>
      <x:c r="F2515" s="12" t="str">
        <x:v>55 inch</x:v>
      </x:c>
      <x:c r="G2515" s="20" t="n">
        <x:v>1</x:v>
      </x:c>
      <x:c r="H2515" s="12" t="str">
        <x:v>Campus/portfolio roster; individual building occupancy unverified</x:v>
      </x:c>
      <x:c r="I2515" s="12" t="str">
        <x:v>Mixed business audience</x:v>
      </x:c>
      <x:c r="J2515" s="12" t="str">
        <x:v>Unresolved</x:v>
      </x:c>
      <x:c r="K2515" s="2" t="str">
        <x:v>PARTNER-M108</x:v>
      </x:c>
    </x:row>
    <x:row r="2516" ht="46" customHeight="1">
      <x:c r="A2516" s="2" t="str">
        <x:v>TEN-31FF403A64D8</x:v>
      </x:c>
      <x:c r="B2516" s="12" t="str">
        <x:v>Informatica</x:v>
      </x:c>
      <x:c r="C2516" s="12" t="str">
        <x:v>CORP-0527</x:v>
      </x:c>
      <x:c r="D2516" s="12" t="str">
        <x:v>Bengaluru</x:v>
      </x:c>
      <x:c r="E2516" s="12" t="str">
        <x:v>Bagmane Tech Park</x:v>
      </x:c>
      <x:c r="F2516" s="12" t="str">
        <x:v>55 inch</x:v>
      </x:c>
      <x:c r="G2516" s="20" t="n">
        <x:v>1</x:v>
      </x:c>
      <x:c r="H2516" s="12" t="str">
        <x:v>Campus/portfolio roster; individual building occupancy unverified</x:v>
      </x:c>
      <x:c r="I2516" s="12" t="str">
        <x:v>Large enterprise</x:v>
      </x:c>
      <x:c r="J2516" s="12" t="str">
        <x:v>IT &amp; digital</x:v>
      </x:c>
      <x:c r="K2516" s="2" t="str">
        <x:v>PARTNER-M108</x:v>
      </x:c>
    </x:row>
    <x:row r="2517" ht="46" customHeight="1">
      <x:c r="A2517" s="2" t="str">
        <x:v>TEN-36E26473A4E8</x:v>
      </x:c>
      <x:c r="B2517" s="12" t="str">
        <x:v>Alstom</x:v>
      </x:c>
      <x:c r="C2517" s="12" t="str">
        <x:v>CORP-0527</x:v>
      </x:c>
      <x:c r="D2517" s="12" t="str">
        <x:v>Bengaluru</x:v>
      </x:c>
      <x:c r="E2517" s="12" t="str">
        <x:v>Bagmane Tech Park</x:v>
      </x:c>
      <x:c r="F2517" s="12" t="str">
        <x:v>55 inch</x:v>
      </x:c>
      <x:c r="G2517" s="20" t="n">
        <x:v>1</x:v>
      </x:c>
      <x:c r="H2517" s="12" t="str">
        <x:v>Campus/portfolio roster; individual building occupancy unverified</x:v>
      </x:c>
      <x:c r="I2517" s="12" t="str">
        <x:v>Large enterprise</x:v>
      </x:c>
      <x:c r="J2517" s="12" t="str">
        <x:v>Engineering &amp; manufacturing</x:v>
      </x:c>
      <x:c r="K2517" s="2" t="str">
        <x:v>PARTNER-M108</x:v>
      </x:c>
    </x:row>
    <x:row r="2518" ht="46" customHeight="1">
      <x:c r="A2518" s="2" t="str">
        <x:v>TEN-4957DCDAEE1C</x:v>
      </x:c>
      <x:c r="B2518" s="12" t="str">
        <x:v>Walker Chandok</x:v>
      </x:c>
      <x:c r="C2518" s="12" t="str">
        <x:v>CORP-0527</x:v>
      </x:c>
      <x:c r="D2518" s="12" t="str">
        <x:v>Bengaluru</x:v>
      </x:c>
      <x:c r="E2518" s="12" t="str">
        <x:v>Bagmane Tech Park</x:v>
      </x:c>
      <x:c r="F2518" s="12" t="str">
        <x:v>55 inch</x:v>
      </x:c>
      <x:c r="G2518" s="20" t="n">
        <x:v>1</x:v>
      </x:c>
      <x:c r="H2518" s="12" t="str">
        <x:v>Campus/portfolio roster; individual building occupancy unverified</x:v>
      </x:c>
      <x:c r="I2518" s="12" t="str">
        <x:v>Mixed business audience</x:v>
      </x:c>
      <x:c r="J2518" s="12" t="str">
        <x:v>Professional services</x:v>
      </x:c>
      <x:c r="K2518" s="2" t="str">
        <x:v>PARTNER-M108</x:v>
      </x:c>
    </x:row>
    <x:row r="2519" ht="46" customHeight="1">
      <x:c r="A2519" s="2" t="str">
        <x:v>TEN-4BCFB67D5370</x:v>
      </x:c>
      <x:c r="B2519" s="12" t="str">
        <x:v>Dover</x:v>
      </x:c>
      <x:c r="C2519" s="12" t="str">
        <x:v>CORP-0527</x:v>
      </x:c>
      <x:c r="D2519" s="12" t="str">
        <x:v>Bengaluru</x:v>
      </x:c>
      <x:c r="E2519" s="12" t="str">
        <x:v>Bagmane Tech Park</x:v>
      </x:c>
      <x:c r="F2519" s="12" t="str">
        <x:v>55 inch</x:v>
      </x:c>
      <x:c r="G2519" s="20" t="n">
        <x:v>1</x:v>
      </x:c>
      <x:c r="H2519" s="12" t="str">
        <x:v>Campus/portfolio roster; individual building occupancy unverified</x:v>
      </x:c>
      <x:c r="I2519" s="12" t="str">
        <x:v>Mixed business audience</x:v>
      </x:c>
      <x:c r="J2519" s="12" t="str">
        <x:v>Engineering &amp; manufacturing</x:v>
      </x:c>
      <x:c r="K2519" s="2" t="str">
        <x:v>PARTNER-M108</x:v>
      </x:c>
    </x:row>
    <x:row r="2520" ht="46" customHeight="1">
      <x:c r="A2520" s="2" t="str">
        <x:v>TEN-51BE3E92D716</x:v>
      </x:c>
      <x:c r="B2520" s="12" t="str">
        <x:v>Microfocus</x:v>
      </x:c>
      <x:c r="C2520" s="12" t="str">
        <x:v>CORP-0527</x:v>
      </x:c>
      <x:c r="D2520" s="12" t="str">
        <x:v>Bengaluru</x:v>
      </x:c>
      <x:c r="E2520" s="12" t="str">
        <x:v>Bagmane Tech Park</x:v>
      </x:c>
      <x:c r="F2520" s="12" t="str">
        <x:v>55 inch</x:v>
      </x:c>
      <x:c r="G2520" s="20" t="n">
        <x:v>1</x:v>
      </x:c>
      <x:c r="H2520" s="12" t="str">
        <x:v>Campus/portfolio roster; individual building occupancy unverified</x:v>
      </x:c>
      <x:c r="I2520" s="12" t="str">
        <x:v>Mixed business audience</x:v>
      </x:c>
      <x:c r="J2520" s="12" t="str">
        <x:v>IT &amp; digital</x:v>
      </x:c>
      <x:c r="K2520" s="2" t="str">
        <x:v>PARTNER-M108</x:v>
      </x:c>
    </x:row>
    <x:row r="2521" ht="46" customHeight="1">
      <x:c r="A2521" s="2" t="str">
        <x:v>TEN-55F83AF98CA9</x:v>
      </x:c>
      <x:c r="B2521" s="12" t="str">
        <x:v>cypress</x:v>
      </x:c>
      <x:c r="C2521" s="12" t="str">
        <x:v>CORP-0527</x:v>
      </x:c>
      <x:c r="D2521" s="12" t="str">
        <x:v>Bengaluru</x:v>
      </x:c>
      <x:c r="E2521" s="12" t="str">
        <x:v>Bagmane Tech Park</x:v>
      </x:c>
      <x:c r="F2521" s="12" t="str">
        <x:v>55 inch</x:v>
      </x:c>
      <x:c r="G2521" s="20" t="n">
        <x:v>1</x:v>
      </x:c>
      <x:c r="H2521" s="12" t="str">
        <x:v>Campus/portfolio roster; individual building occupancy unverified</x:v>
      </x:c>
      <x:c r="I2521" s="12" t="str">
        <x:v>Mixed business audience</x:v>
      </x:c>
      <x:c r="J2521" s="12" t="str">
        <x:v>Engineering &amp; manufacturing</x:v>
      </x:c>
      <x:c r="K2521" s="2" t="str">
        <x:v>PARTNER-M108</x:v>
      </x:c>
    </x:row>
    <x:row r="2522" ht="46" customHeight="1">
      <x:c r="A2522" s="2" t="str">
        <x:v>TEN-5DD95C98AFF2</x:v>
      </x:c>
      <x:c r="B2522" s="12" t="str">
        <x:v>Nike</x:v>
      </x:c>
      <x:c r="C2522" s="12" t="str">
        <x:v>CORP-0527</x:v>
      </x:c>
      <x:c r="D2522" s="12" t="str">
        <x:v>Bengaluru</x:v>
      </x:c>
      <x:c r="E2522" s="12" t="str">
        <x:v>Bagmane Tech Park</x:v>
      </x:c>
      <x:c r="F2522" s="12" t="str">
        <x:v>55 inch</x:v>
      </x:c>
      <x:c r="G2522" s="20" t="n">
        <x:v>1</x:v>
      </x:c>
      <x:c r="H2522" s="12" t="str">
        <x:v>Campus/portfolio roster; individual building occupancy unverified</x:v>
      </x:c>
      <x:c r="I2522" s="12" t="str">
        <x:v>Mixed business audience</x:v>
      </x:c>
      <x:c r="J2522" s="12" t="str">
        <x:v>Trade, consumer &amp; logistics</x:v>
      </x:c>
      <x:c r="K2522" s="2" t="str">
        <x:v>PARTNER-M108</x:v>
      </x:c>
    </x:row>
    <x:row r="2523" ht="46" customHeight="1">
      <x:c r="A2523" s="2" t="str">
        <x:v>TEN-60A539DE7BB0</x:v>
      </x:c>
      <x:c r="B2523" s="12" t="str">
        <x:v>Ivanti</x:v>
      </x:c>
      <x:c r="C2523" s="12" t="str">
        <x:v>CORP-0527</x:v>
      </x:c>
      <x:c r="D2523" s="12" t="str">
        <x:v>Bengaluru</x:v>
      </x:c>
      <x:c r="E2523" s="12" t="str">
        <x:v>Bagmane Tech Park</x:v>
      </x:c>
      <x:c r="F2523" s="12" t="str">
        <x:v>55 inch</x:v>
      </x:c>
      <x:c r="G2523" s="20" t="n">
        <x:v>1</x:v>
      </x:c>
      <x:c r="H2523" s="12" t="str">
        <x:v>Campus/portfolio roster; individual building occupancy unverified</x:v>
      </x:c>
      <x:c r="I2523" s="12" t="str">
        <x:v>Large enterprise</x:v>
      </x:c>
      <x:c r="J2523" s="12" t="str">
        <x:v>IT &amp; digital</x:v>
      </x:c>
      <x:c r="K2523" s="2" t="str">
        <x:v>PARTNER-M108</x:v>
      </x:c>
    </x:row>
    <x:row r="2524" ht="46" customHeight="1">
      <x:c r="A2524" s="2" t="str">
        <x:v>TEN-7AD6D135A07F</x:v>
      </x:c>
      <x:c r="B2524" s="12" t="str">
        <x:v>Texas Instrument</x:v>
      </x:c>
      <x:c r="C2524" s="12" t="str">
        <x:v>CORP-0527</x:v>
      </x:c>
      <x:c r="D2524" s="12" t="str">
        <x:v>Bengaluru</x:v>
      </x:c>
      <x:c r="E2524" s="12" t="str">
        <x:v>Bagmane Tech Park</x:v>
      </x:c>
      <x:c r="F2524" s="12" t="str">
        <x:v>55 inch</x:v>
      </x:c>
      <x:c r="G2524" s="20" t="n">
        <x:v>1</x:v>
      </x:c>
      <x:c r="H2524" s="12" t="str">
        <x:v>Campus/portfolio roster; individual building occupancy unverified</x:v>
      </x:c>
      <x:c r="I2524" s="12" t="str">
        <x:v>Mixed business audience</x:v>
      </x:c>
      <x:c r="J2524" s="12" t="str">
        <x:v>Engineering &amp; manufacturing</x:v>
      </x:c>
      <x:c r="K2524" s="2" t="str">
        <x:v>PARTNER-M108</x:v>
      </x:c>
    </x:row>
    <x:row r="2525" ht="46" customHeight="1">
      <x:c r="A2525" s="2" t="str">
        <x:v>TEN-7F1B55B86059</x:v>
      </x:c>
      <x:c r="B2525" s="12" t="str">
        <x:v>LAM</x:v>
      </x:c>
      <x:c r="C2525" s="12" t="str">
        <x:v>CORP-0527</x:v>
      </x:c>
      <x:c r="D2525" s="12" t="str">
        <x:v>Bengaluru</x:v>
      </x:c>
      <x:c r="E2525" s="12" t="str">
        <x:v>Bagmane Tech Park</x:v>
      </x:c>
      <x:c r="F2525" s="12" t="str">
        <x:v>55 inch</x:v>
      </x:c>
      <x:c r="G2525" s="20" t="n">
        <x:v>1</x:v>
      </x:c>
      <x:c r="H2525" s="12" t="str">
        <x:v>Campus/portfolio roster; individual building occupancy unverified</x:v>
      </x:c>
      <x:c r="I2525" s="12" t="str">
        <x:v>Mixed business audience</x:v>
      </x:c>
      <x:c r="J2525" s="12" t="str">
        <x:v>Engineering &amp; manufacturing</x:v>
      </x:c>
      <x:c r="K2525" s="2" t="str">
        <x:v>PARTNER-M108</x:v>
      </x:c>
    </x:row>
    <x:row r="2526" ht="46" customHeight="1">
      <x:c r="A2526" s="2" t="str">
        <x:v>TEN-8D1AE0ED034C</x:v>
      </x:c>
      <x:c r="B2526" s="12" t="str">
        <x:v>UKG</x:v>
      </x:c>
      <x:c r="C2526" s="12" t="str">
        <x:v>CORP-0527</x:v>
      </x:c>
      <x:c r="D2526" s="12" t="str">
        <x:v>Bengaluru</x:v>
      </x:c>
      <x:c r="E2526" s="12" t="str">
        <x:v>Bagmane Tech Park</x:v>
      </x:c>
      <x:c r="F2526" s="12" t="str">
        <x:v>55 inch</x:v>
      </x:c>
      <x:c r="G2526" s="20" t="n">
        <x:v>1</x:v>
      </x:c>
      <x:c r="H2526" s="12" t="str">
        <x:v>Campus/portfolio roster; individual building occupancy unverified</x:v>
      </x:c>
      <x:c r="I2526" s="12" t="str">
        <x:v>Mixed business audience</x:v>
      </x:c>
      <x:c r="J2526" s="12" t="str">
        <x:v>IT &amp; digital</x:v>
      </x:c>
      <x:c r="K2526" s="2" t="str">
        <x:v>PARTNER-M108</x:v>
      </x:c>
    </x:row>
    <x:row r="2527" ht="46" customHeight="1">
      <x:c r="A2527" s="2" t="str">
        <x:v>TEN-9387E476D00B</x:v>
      </x:c>
      <x:c r="B2527" s="12" t="str">
        <x:v>SAP concur</x:v>
      </x:c>
      <x:c r="C2527" s="12" t="str">
        <x:v>CORP-0527</x:v>
      </x:c>
      <x:c r="D2527" s="12" t="str">
        <x:v>Bengaluru</x:v>
      </x:c>
      <x:c r="E2527" s="12" t="str">
        <x:v>Bagmane Tech Park</x:v>
      </x:c>
      <x:c r="F2527" s="12" t="str">
        <x:v>55 inch</x:v>
      </x:c>
      <x:c r="G2527" s="20" t="n">
        <x:v>1</x:v>
      </x:c>
      <x:c r="H2527" s="12" t="str">
        <x:v>Campus/portfolio roster; individual building occupancy unverified</x:v>
      </x:c>
      <x:c r="I2527" s="12" t="str">
        <x:v>Large enterprise</x:v>
      </x:c>
      <x:c r="J2527" s="12" t="str">
        <x:v>IT &amp; digital</x:v>
      </x:c>
      <x:c r="K2527" s="2" t="str">
        <x:v>PARTNER-M108</x:v>
      </x:c>
    </x:row>
    <x:row r="2528" ht="46" customHeight="1">
      <x:c r="A2528" s="2" t="str">
        <x:v>TEN-98E929C33151</x:v>
      </x:c>
      <x:c r="B2528" s="12" t="str">
        <x:v>Renesas</x:v>
      </x:c>
      <x:c r="C2528" s="12" t="str">
        <x:v>CORP-0527</x:v>
      </x:c>
      <x:c r="D2528" s="12" t="str">
        <x:v>Bengaluru</x:v>
      </x:c>
      <x:c r="E2528" s="12" t="str">
        <x:v>Bagmane Tech Park</x:v>
      </x:c>
      <x:c r="F2528" s="12" t="str">
        <x:v>55 inch</x:v>
      </x:c>
      <x:c r="G2528" s="20" t="n">
        <x:v>1</x:v>
      </x:c>
      <x:c r="H2528" s="12" t="str">
        <x:v>Campus/portfolio roster; individual building occupancy unverified</x:v>
      </x:c>
      <x:c r="I2528" s="12" t="str">
        <x:v>Mixed business audience</x:v>
      </x:c>
      <x:c r="J2528" s="12" t="str">
        <x:v>Engineering &amp; manufacturing</x:v>
      </x:c>
      <x:c r="K2528" s="2" t="str">
        <x:v>PARTNER-M108</x:v>
      </x:c>
    </x:row>
    <x:row r="2529" ht="46" customHeight="1">
      <x:c r="A2529" s="2" t="str">
        <x:v>TEN-A973ADF51E6A</x:v>
      </x:c>
      <x:c r="B2529" s="12" t="str">
        <x:v>Talisma</x:v>
      </x:c>
      <x:c r="C2529" s="12" t="str">
        <x:v>CORP-0527</x:v>
      </x:c>
      <x:c r="D2529" s="12" t="str">
        <x:v>Bengaluru</x:v>
      </x:c>
      <x:c r="E2529" s="12" t="str">
        <x:v>Bagmane Tech Park</x:v>
      </x:c>
      <x:c r="F2529" s="12" t="str">
        <x:v>55 inch</x:v>
      </x:c>
      <x:c r="G2529" s="20" t="n">
        <x:v>1</x:v>
      </x:c>
      <x:c r="H2529" s="12" t="str">
        <x:v>Campus/portfolio roster; individual building occupancy unverified</x:v>
      </x:c>
      <x:c r="I2529" s="12" t="str">
        <x:v>Mixed business audience</x:v>
      </x:c>
      <x:c r="J2529" s="12" t="str">
        <x:v>IT &amp; digital</x:v>
      </x:c>
      <x:c r="K2529" s="2" t="str">
        <x:v>PARTNER-M108</x:v>
      </x:c>
    </x:row>
    <x:row r="2530" ht="46" customHeight="1">
      <x:c r="A2530" s="2" t="str">
        <x:v>TEN-AEF34FE789D8</x:v>
      </x:c>
      <x:c r="B2530" s="12" t="str">
        <x:v>Pal Alto</x:v>
      </x:c>
      <x:c r="C2530" s="12" t="str">
        <x:v>CORP-0527</x:v>
      </x:c>
      <x:c r="D2530" s="12" t="str">
        <x:v>Bengaluru</x:v>
      </x:c>
      <x:c r="E2530" s="12" t="str">
        <x:v>Bagmane Tech Park</x:v>
      </x:c>
      <x:c r="F2530" s="12" t="str">
        <x:v>55 inch</x:v>
      </x:c>
      <x:c r="G2530" s="20" t="n">
        <x:v>1</x:v>
      </x:c>
      <x:c r="H2530" s="12" t="str">
        <x:v>Campus/portfolio roster; individual building occupancy unverified</x:v>
      </x:c>
      <x:c r="I2530" s="12" t="str">
        <x:v>Mixed business audience</x:v>
      </x:c>
      <x:c r="J2530" s="12" t="str">
        <x:v>Unresolved</x:v>
      </x:c>
      <x:c r="K2530" s="2" t="str">
        <x:v>PARTNER-M108</x:v>
      </x:c>
    </x:row>
    <x:row r="2531" ht="46" customHeight="1">
      <x:c r="A2531" s="2" t="str">
        <x:v>TEN-B1331F460EB4</x:v>
      </x:c>
      <x:c r="B2531" s="12" t="str">
        <x:v>CEM</x:v>
      </x:c>
      <x:c r="C2531" s="12" t="str">
        <x:v>CORP-0527</x:v>
      </x:c>
      <x:c r="D2531" s="12" t="str">
        <x:v>Bengaluru</x:v>
      </x:c>
      <x:c r="E2531" s="12" t="str">
        <x:v>Bagmane Tech Park</x:v>
      </x:c>
      <x:c r="F2531" s="12" t="str">
        <x:v>55 inch</x:v>
      </x:c>
      <x:c r="G2531" s="20" t="n">
        <x:v>1</x:v>
      </x:c>
      <x:c r="H2531" s="12" t="str">
        <x:v>Campus/portfolio roster; individual building occupancy unverified</x:v>
      </x:c>
      <x:c r="I2531" s="12" t="str">
        <x:v>Mixed business audience</x:v>
      </x:c>
      <x:c r="J2531" s="12" t="str">
        <x:v>Unresolved</x:v>
      </x:c>
      <x:c r="K2531" s="2" t="str">
        <x:v>PARTNER-M108</x:v>
      </x:c>
    </x:row>
    <x:row r="2532" ht="46" customHeight="1">
      <x:c r="A2532" s="2" t="str">
        <x:v>TEN-BCCAE4CE7BE6</x:v>
      </x:c>
      <x:c r="B2532" s="12" t="str">
        <x:v>Volvo</x:v>
      </x:c>
      <x:c r="C2532" s="12" t="str">
        <x:v>CORP-0527</x:v>
      </x:c>
      <x:c r="D2532" s="12" t="str">
        <x:v>Bengaluru</x:v>
      </x:c>
      <x:c r="E2532" s="12" t="str">
        <x:v>Bagmane Tech Park</x:v>
      </x:c>
      <x:c r="F2532" s="12" t="str">
        <x:v>55 inch</x:v>
      </x:c>
      <x:c r="G2532" s="20" t="n">
        <x:v>1</x:v>
      </x:c>
      <x:c r="H2532" s="12" t="str">
        <x:v>Campus/portfolio roster; individual building occupancy unverified</x:v>
      </x:c>
      <x:c r="I2532" s="12" t="str">
        <x:v>Mixed business audience</x:v>
      </x:c>
      <x:c r="J2532" s="12" t="str">
        <x:v>Engineering &amp; manufacturing</x:v>
      </x:c>
      <x:c r="K2532" s="2" t="str">
        <x:v>PARTNER-M108</x:v>
      </x:c>
    </x:row>
    <x:row r="2533" ht="46" customHeight="1">
      <x:c r="A2533" s="2" t="str">
        <x:v>TEN-C2ECB55DC1D4</x:v>
      </x:c>
      <x:c r="B2533" s="12" t="str">
        <x:v>ROHM</x:v>
      </x:c>
      <x:c r="C2533" s="12" t="str">
        <x:v>CORP-0527</x:v>
      </x:c>
      <x:c r="D2533" s="12" t="str">
        <x:v>Bengaluru</x:v>
      </x:c>
      <x:c r="E2533" s="12" t="str">
        <x:v>Bagmane Tech Park</x:v>
      </x:c>
      <x:c r="F2533" s="12" t="str">
        <x:v>55 inch</x:v>
      </x:c>
      <x:c r="G2533" s="20" t="n">
        <x:v>1</x:v>
      </x:c>
      <x:c r="H2533" s="12" t="str">
        <x:v>Campus/portfolio roster; individual building occupancy unverified</x:v>
      </x:c>
      <x:c r="I2533" s="12" t="str">
        <x:v>Mixed business audience</x:v>
      </x:c>
      <x:c r="J2533" s="12" t="str">
        <x:v>Engineering &amp; manufacturing</x:v>
      </x:c>
      <x:c r="K2533" s="2" t="str">
        <x:v>PARTNER-M108</x:v>
      </x:c>
    </x:row>
    <x:row r="2534" ht="46" customHeight="1">
      <x:c r="A2534" s="2" t="str">
        <x:v>TEN-C63AC00C4D11</x:v>
      </x:c>
      <x:c r="B2534" s="12" t="str">
        <x:v>Mphasis</x:v>
      </x:c>
      <x:c r="C2534" s="12" t="str">
        <x:v>CORP-0527</x:v>
      </x:c>
      <x:c r="D2534" s="12" t="str">
        <x:v>Bengaluru</x:v>
      </x:c>
      <x:c r="E2534" s="12" t="str">
        <x:v>Bagmane Tech Park</x:v>
      </x:c>
      <x:c r="F2534" s="12" t="str">
        <x:v>55 inch</x:v>
      </x:c>
      <x:c r="G2534" s="20" t="n">
        <x:v>1</x:v>
      </x:c>
      <x:c r="H2534" s="12" t="str">
        <x:v>Campus/portfolio roster; individual building occupancy unverified</x:v>
      </x:c>
      <x:c r="I2534" s="12" t="str">
        <x:v>Large enterprise</x:v>
      </x:c>
      <x:c r="J2534" s="12" t="str">
        <x:v>IT &amp; digital</x:v>
      </x:c>
      <x:c r="K2534" s="2" t="str">
        <x:v>PARTNER-M108</x:v>
      </x:c>
    </x:row>
    <x:row r="2535" ht="46" customHeight="1">
      <x:c r="A2535" s="2" t="str">
        <x:v>TEN-C97CE19B9C35</x:v>
      </x:c>
      <x:c r="B2535" s="12" t="str">
        <x:v>PricewaterhouseCoopers</x:v>
      </x:c>
      <x:c r="C2535" s="12" t="str">
        <x:v>CORP-0527</x:v>
      </x:c>
      <x:c r="D2535" s="12" t="str">
        <x:v>Bengaluru</x:v>
      </x:c>
      <x:c r="E2535" s="12" t="str">
        <x:v>Bagmane Tech Park</x:v>
      </x:c>
      <x:c r="F2535" s="12" t="str">
        <x:v>55 inch</x:v>
      </x:c>
      <x:c r="G2535" s="20" t="n">
        <x:v>1</x:v>
      </x:c>
      <x:c r="H2535" s="12" t="str">
        <x:v>Campus/portfolio roster; individual building occupancy unverified</x:v>
      </x:c>
      <x:c r="I2535" s="12" t="str">
        <x:v>Large enterprise</x:v>
      </x:c>
      <x:c r="J2535" s="12" t="str">
        <x:v>Professional services</x:v>
      </x:c>
      <x:c r="K2535" s="2" t="str">
        <x:v>PARTNER-M108</x:v>
      </x:c>
    </x:row>
    <x:row r="2536" ht="46" customHeight="1">
      <x:c r="A2536" s="2" t="str">
        <x:v>TEN-D0E2ECE166BD</x:v>
      </x:c>
      <x:c r="B2536" s="12" t="str">
        <x:v>Dell</x:v>
      </x:c>
      <x:c r="C2536" s="12" t="str">
        <x:v>CORP-0527</x:v>
      </x:c>
      <x:c r="D2536" s="12" t="str">
        <x:v>Bengaluru</x:v>
      </x:c>
      <x:c r="E2536" s="12" t="str">
        <x:v>Bagmane Tech Park</x:v>
      </x:c>
      <x:c r="F2536" s="12" t="str">
        <x:v>55 inch</x:v>
      </x:c>
      <x:c r="G2536" s="20" t="n">
        <x:v>1</x:v>
      </x:c>
      <x:c r="H2536" s="12" t="str">
        <x:v>Campus/portfolio roster; individual building occupancy unverified</x:v>
      </x:c>
      <x:c r="I2536" s="12" t="str">
        <x:v>Large enterprise</x:v>
      </x:c>
      <x:c r="J2536" s="12" t="str">
        <x:v>Engineering &amp; manufacturing</x:v>
      </x:c>
      <x:c r="K2536" s="2" t="str">
        <x:v>PARTNER-M108</x:v>
      </x:c>
    </x:row>
    <x:row r="2537" ht="46" customHeight="1">
      <x:c r="A2537" s="2" t="str">
        <x:v>TEN-E305C1EB5FCE</x:v>
      </x:c>
      <x:c r="B2537" s="12" t="str">
        <x:v>ALUK</x:v>
      </x:c>
      <x:c r="C2537" s="12" t="str">
        <x:v>CORP-0527</x:v>
      </x:c>
      <x:c r="D2537" s="12" t="str">
        <x:v>Bengaluru</x:v>
      </x:c>
      <x:c r="E2537" s="12" t="str">
        <x:v>Bagmane Tech Park</x:v>
      </x:c>
      <x:c r="F2537" s="12" t="str">
        <x:v>55 inch</x:v>
      </x:c>
      <x:c r="G2537" s="20" t="n">
        <x:v>1</x:v>
      </x:c>
      <x:c r="H2537" s="12" t="str">
        <x:v>Campus/portfolio roster; individual building occupancy unverified</x:v>
      </x:c>
      <x:c r="I2537" s="12" t="str">
        <x:v>Medium-scale prospects</x:v>
      </x:c>
      <x:c r="J2537" s="12" t="str">
        <x:v>Engineering &amp; manufacturing</x:v>
      </x:c>
      <x:c r="K2537" s="2" t="str">
        <x:v>PARTNER-M108</x:v>
      </x:c>
    </x:row>
    <x:row r="2538" ht="46" customHeight="1">
      <x:c r="A2538" s="2" t="str">
        <x:v>TEN-E5E23A26CD36</x:v>
      </x:c>
      <x:c r="B2538" s="12" t="str">
        <x:v>Grant Thornton</x:v>
      </x:c>
      <x:c r="C2538" s="12" t="str">
        <x:v>CORP-0527</x:v>
      </x:c>
      <x:c r="D2538" s="12" t="str">
        <x:v>Bengaluru</x:v>
      </x:c>
      <x:c r="E2538" s="12" t="str">
        <x:v>Bagmane Tech Park</x:v>
      </x:c>
      <x:c r="F2538" s="12" t="str">
        <x:v>55 inch</x:v>
      </x:c>
      <x:c r="G2538" s="20" t="n">
        <x:v>1</x:v>
      </x:c>
      <x:c r="H2538" s="12" t="str">
        <x:v>Campus/portfolio roster; individual building occupancy unverified</x:v>
      </x:c>
      <x:c r="I2538" s="12" t="str">
        <x:v>Large enterprise</x:v>
      </x:c>
      <x:c r="J2538" s="12" t="str">
        <x:v>Professional services</x:v>
      </x:c>
      <x:c r="K2538" s="2" t="str">
        <x:v>PARTNER-M108</x:v>
      </x:c>
    </x:row>
    <x:row r="2539" ht="46" customHeight="1">
      <x:c r="A2539" s="2" t="str">
        <x:v>TEN-E73B79A0B10F</x:v>
      </x:c>
      <x:c r="B2539" s="12" t="str">
        <x:v>Cisco</x:v>
      </x:c>
      <x:c r="C2539" s="12" t="str">
        <x:v>CORP-0527</x:v>
      </x:c>
      <x:c r="D2539" s="12" t="str">
        <x:v>Bengaluru</x:v>
      </x:c>
      <x:c r="E2539" s="12" t="str">
        <x:v>Bagmane Tech Park</x:v>
      </x:c>
      <x:c r="F2539" s="12" t="str">
        <x:v>55 inch</x:v>
      </x:c>
      <x:c r="G2539" s="20" t="n">
        <x:v>1</x:v>
      </x:c>
      <x:c r="H2539" s="12" t="str">
        <x:v>Campus/portfolio roster; individual building occupancy unverified</x:v>
      </x:c>
      <x:c r="I2539" s="12" t="str">
        <x:v>Large enterprise</x:v>
      </x:c>
      <x:c r="J2539" s="12" t="str">
        <x:v>IT &amp; digital</x:v>
      </x:c>
      <x:c r="K2539" s="2" t="str">
        <x:v>PARTNER-M108</x:v>
      </x:c>
    </x:row>
    <x:row r="2540" ht="46" customHeight="1">
      <x:c r="A2540" s="2" t="str">
        <x:v>TEN-F49D19F21FE1</x:v>
      </x:c>
      <x:c r="B2540" s="12" t="str">
        <x:v>L3 Communication</x:v>
      </x:c>
      <x:c r="C2540" s="12" t="str">
        <x:v>CORP-0527</x:v>
      </x:c>
      <x:c r="D2540" s="12" t="str">
        <x:v>Bengaluru</x:v>
      </x:c>
      <x:c r="E2540" s="12" t="str">
        <x:v>Bagmane Tech Park</x:v>
      </x:c>
      <x:c r="F2540" s="12" t="str">
        <x:v>55 inch</x:v>
      </x:c>
      <x:c r="G2540" s="20" t="n">
        <x:v>1</x:v>
      </x:c>
      <x:c r="H2540" s="12" t="str">
        <x:v>Campus/portfolio roster; individual building occupancy unverified</x:v>
      </x:c>
      <x:c r="I2540" s="12" t="str">
        <x:v>Mixed business audience</x:v>
      </x:c>
      <x:c r="J2540" s="12" t="str">
        <x:v>IT &amp; digital</x:v>
      </x:c>
      <x:c r="K2540" s="2" t="str">
        <x:v>PARTNER-M108</x:v>
      </x:c>
    </x:row>
    <x:row r="2541" ht="46" customHeight="1">
      <x:c r="A2541" s="2" t="str">
        <x:v>TEN-FEED58DAA315</x:v>
      </x:c>
      <x:c r="B2541" s="12" t="str">
        <x:v>Infineon</x:v>
      </x:c>
      <x:c r="C2541" s="12" t="str">
        <x:v>CORP-0527</x:v>
      </x:c>
      <x:c r="D2541" s="12" t="str">
        <x:v>Bengaluru</x:v>
      </x:c>
      <x:c r="E2541" s="12" t="str">
        <x:v>Bagmane Tech Park</x:v>
      </x:c>
      <x:c r="F2541" s="12" t="str">
        <x:v>55 inch</x:v>
      </x:c>
      <x:c r="G2541" s="20" t="n">
        <x:v>1</x:v>
      </x:c>
      <x:c r="H2541" s="12" t="str">
        <x:v>Campus/portfolio roster; individual building occupancy unverified</x:v>
      </x:c>
      <x:c r="I2541" s="12" t="str">
        <x:v>Large enterprise</x:v>
      </x:c>
      <x:c r="J2541" s="12" t="str">
        <x:v>Engineering &amp; manufacturing</x:v>
      </x:c>
      <x:c r="K2541" s="2" t="str">
        <x:v>PARTNER-M108</x:v>
      </x:c>
    </x:row>
    <x:row r="2542" ht="46" customHeight="1">
      <x:c r="A2542" s="2" t="str">
        <x:v>TEN-05A498EFD197</x:v>
      </x:c>
      <x:c r="B2542" s="12" t="str">
        <x:v>Kronos</x:v>
      </x:c>
      <x:c r="C2542" s="12" t="str">
        <x:v>CORP-0528</x:v>
      </x:c>
      <x:c r="D2542" s="12" t="str">
        <x:v>Bengaluru</x:v>
      </x:c>
      <x:c r="E2542" s="12" t="str">
        <x:v>Bagmane Tech Park</x:v>
      </x:c>
      <x:c r="F2542" s="12" t="str">
        <x:v>55 inch</x:v>
      </x:c>
      <x:c r="G2542" s="20" t="n">
        <x:v>1</x:v>
      </x:c>
      <x:c r="H2542" s="12" t="str">
        <x:v>Campus/portfolio roster; individual building occupancy unverified</x:v>
      </x:c>
      <x:c r="I2542" s="12" t="str">
        <x:v>Mixed business audience</x:v>
      </x:c>
      <x:c r="J2542" s="12" t="str">
        <x:v>IT &amp; digital</x:v>
      </x:c>
      <x:c r="K2542" s="2" t="str">
        <x:v>PARTNER-M108</x:v>
      </x:c>
    </x:row>
    <x:row r="2543" ht="46" customHeight="1">
      <x:c r="A2543" s="2" t="str">
        <x:v>TEN-0B570123A8C3</x:v>
      </x:c>
      <x:c r="B2543" s="12" t="str">
        <x:v>Commvault</x:v>
      </x:c>
      <x:c r="C2543" s="12" t="str">
        <x:v>CORP-0528</x:v>
      </x:c>
      <x:c r="D2543" s="12" t="str">
        <x:v>Bengaluru</x:v>
      </x:c>
      <x:c r="E2543" s="12" t="str">
        <x:v>Bagmane Tech Park</x:v>
      </x:c>
      <x:c r="F2543" s="12" t="str">
        <x:v>55 inch</x:v>
      </x:c>
      <x:c r="G2543" s="20" t="n">
        <x:v>1</x:v>
      </x:c>
      <x:c r="H2543" s="12" t="str">
        <x:v>Campus/portfolio roster; individual building occupancy unverified</x:v>
      </x:c>
      <x:c r="I2543" s="12" t="str">
        <x:v>Large enterprise</x:v>
      </x:c>
      <x:c r="J2543" s="12" t="str">
        <x:v>IT &amp; digital</x:v>
      </x:c>
      <x:c r="K2543" s="2" t="str">
        <x:v>PARTNER-M108</x:v>
      </x:c>
    </x:row>
    <x:row r="2544" ht="46" customHeight="1">
      <x:c r="A2544" s="2" t="str">
        <x:v>TEN-0C44BE9F7948</x:v>
      </x:c>
      <x:c r="B2544" s="12" t="str">
        <x:v>Motorola</x:v>
      </x:c>
      <x:c r="C2544" s="12" t="str">
        <x:v>CORP-0528</x:v>
      </x:c>
      <x:c r="D2544" s="12" t="str">
        <x:v>Bengaluru</x:v>
      </x:c>
      <x:c r="E2544" s="12" t="str">
        <x:v>Bagmane Tech Park</x:v>
      </x:c>
      <x:c r="F2544" s="12" t="str">
        <x:v>55 inch</x:v>
      </x:c>
      <x:c r="G2544" s="20" t="n">
        <x:v>1</x:v>
      </x:c>
      <x:c r="H2544" s="12" t="str">
        <x:v>Campus/portfolio roster; individual building occupancy unverified</x:v>
      </x:c>
      <x:c r="I2544" s="12" t="str">
        <x:v>Large enterprise</x:v>
      </x:c>
      <x:c r="J2544" s="12" t="str">
        <x:v>Engineering &amp; manufacturing</x:v>
      </x:c>
      <x:c r="K2544" s="2" t="str">
        <x:v>PARTNER-M108</x:v>
      </x:c>
    </x:row>
    <x:row r="2545" ht="46" customHeight="1">
      <x:c r="A2545" s="2" t="str">
        <x:v>TEN-16F45B99ABFD</x:v>
      </x:c>
      <x:c r="B2545" s="12" t="str">
        <x:v>Boeing</x:v>
      </x:c>
      <x:c r="C2545" s="12" t="str">
        <x:v>CORP-0528</x:v>
      </x:c>
      <x:c r="D2545" s="12" t="str">
        <x:v>Bengaluru</x:v>
      </x:c>
      <x:c r="E2545" s="12" t="str">
        <x:v>Bagmane Tech Park</x:v>
      </x:c>
      <x:c r="F2545" s="12" t="str">
        <x:v>55 inch</x:v>
      </x:c>
      <x:c r="G2545" s="20" t="n">
        <x:v>1</x:v>
      </x:c>
      <x:c r="H2545" s="12" t="str">
        <x:v>Campus/portfolio roster; individual building occupancy unverified</x:v>
      </x:c>
      <x:c r="I2545" s="12" t="str">
        <x:v>Large enterprise</x:v>
      </x:c>
      <x:c r="J2545" s="12" t="str">
        <x:v>Engineering &amp; manufacturing</x:v>
      </x:c>
      <x:c r="K2545" s="2" t="str">
        <x:v>PARTNER-M108</x:v>
      </x:c>
    </x:row>
    <x:row r="2546" ht="46" customHeight="1">
      <x:c r="A2546" s="2" t="str">
        <x:v>TEN-17840323EA59</x:v>
      </x:c>
      <x:c r="B2546" s="12" t="str">
        <x:v>Juniper</x:v>
      </x:c>
      <x:c r="C2546" s="12" t="str">
        <x:v>CORP-0528</x:v>
      </x:c>
      <x:c r="D2546" s="12" t="str">
        <x:v>Bengaluru</x:v>
      </x:c>
      <x:c r="E2546" s="12" t="str">
        <x:v>Bagmane Tech Park</x:v>
      </x:c>
      <x:c r="F2546" s="12" t="str">
        <x:v>55 inch</x:v>
      </x:c>
      <x:c r="G2546" s="20" t="n">
        <x:v>1</x:v>
      </x:c>
      <x:c r="H2546" s="12" t="str">
        <x:v>Campus/portfolio roster; individual building occupancy unverified</x:v>
      </x:c>
      <x:c r="I2546" s="12" t="str">
        <x:v>Mixed business audience</x:v>
      </x:c>
      <x:c r="J2546" s="12" t="str">
        <x:v>IT &amp; digital</x:v>
      </x:c>
      <x:c r="K2546" s="2" t="str">
        <x:v>PARTNER-M108</x:v>
      </x:c>
    </x:row>
    <x:row r="2547" ht="46" customHeight="1">
      <x:c r="A2547" s="2" t="str">
        <x:v>TEN-19A1211FA855</x:v>
      </x:c>
      <x:c r="B2547" s="12" t="str">
        <x:v>Altiostar</x:v>
      </x:c>
      <x:c r="C2547" s="12" t="str">
        <x:v>CORP-0528</x:v>
      </x:c>
      <x:c r="D2547" s="12" t="str">
        <x:v>Bengaluru</x:v>
      </x:c>
      <x:c r="E2547" s="12" t="str">
        <x:v>Bagmane Tech Park</x:v>
      </x:c>
      <x:c r="F2547" s="12" t="str">
        <x:v>55 inch</x:v>
      </x:c>
      <x:c r="G2547" s="20" t="n">
        <x:v>1</x:v>
      </x:c>
      <x:c r="H2547" s="12" t="str">
        <x:v>Campus/portfolio roster; individual building occupancy unverified</x:v>
      </x:c>
      <x:c r="I2547" s="12" t="str">
        <x:v>Mixed business audience</x:v>
      </x:c>
      <x:c r="J2547" s="12" t="str">
        <x:v>IT &amp; digital</x:v>
      </x:c>
      <x:c r="K2547" s="2" t="str">
        <x:v>PARTNER-M108</x:v>
      </x:c>
    </x:row>
    <x:row r="2548" ht="46" customHeight="1">
      <x:c r="A2548" s="2" t="str">
        <x:v>TEN-1B24400C96AA</x:v>
      </x:c>
      <x:c r="B2548" s="12" t="str">
        <x:v>Sima.ai</x:v>
      </x:c>
      <x:c r="C2548" s="12" t="str">
        <x:v>CORP-0528</x:v>
      </x:c>
      <x:c r="D2548" s="12" t="str">
        <x:v>Bengaluru</x:v>
      </x:c>
      <x:c r="E2548" s="12" t="str">
        <x:v>Bagmane Tech Park</x:v>
      </x:c>
      <x:c r="F2548" s="12" t="str">
        <x:v>55 inch</x:v>
      </x:c>
      <x:c r="G2548" s="20" t="n">
        <x:v>1</x:v>
      </x:c>
      <x:c r="H2548" s="12" t="str">
        <x:v>Campus/portfolio roster; individual building occupancy unverified</x:v>
      </x:c>
      <x:c r="I2548" s="12" t="str">
        <x:v>Small-scale prospects</x:v>
      </x:c>
      <x:c r="J2548" s="12" t="str">
        <x:v>IT &amp; digital</x:v>
      </x:c>
      <x:c r="K2548" s="2" t="str">
        <x:v>PARTNER-M108</x:v>
      </x:c>
    </x:row>
    <x:row r="2549" ht="46" customHeight="1">
      <x:c r="A2549" s="2" t="str">
        <x:v>TEN-2A09783B1C47</x:v>
      </x:c>
      <x:c r="B2549" s="12" t="str">
        <x:v>Cardinal</x:v>
      </x:c>
      <x:c r="C2549" s="12" t="str">
        <x:v>CORP-0528</x:v>
      </x:c>
      <x:c r="D2549" s="12" t="str">
        <x:v>Bengaluru</x:v>
      </x:c>
      <x:c r="E2549" s="12" t="str">
        <x:v>Bagmane Tech Park</x:v>
      </x:c>
      <x:c r="F2549" s="12" t="str">
        <x:v>55 inch</x:v>
      </x:c>
      <x:c r="G2549" s="20" t="n">
        <x:v>1</x:v>
      </x:c>
      <x:c r="H2549" s="12" t="str">
        <x:v>Campus/portfolio roster; individual building occupancy unverified</x:v>
      </x:c>
      <x:c r="I2549" s="12" t="str">
        <x:v>Mixed business audience</x:v>
      </x:c>
      <x:c r="J2549" s="12" t="str">
        <x:v>Unresolved</x:v>
      </x:c>
      <x:c r="K2549" s="2" t="str">
        <x:v>PARTNER-M108</x:v>
      </x:c>
    </x:row>
    <x:row r="2550" ht="46" customHeight="1">
      <x:c r="A2550" s="2" t="str">
        <x:v>TEN-31FF403A64D8</x:v>
      </x:c>
      <x:c r="B2550" s="12" t="str">
        <x:v>Informatica</x:v>
      </x:c>
      <x:c r="C2550" s="12" t="str">
        <x:v>CORP-0528</x:v>
      </x:c>
      <x:c r="D2550" s="12" t="str">
        <x:v>Bengaluru</x:v>
      </x:c>
      <x:c r="E2550" s="12" t="str">
        <x:v>Bagmane Tech Park</x:v>
      </x:c>
      <x:c r="F2550" s="12" t="str">
        <x:v>55 inch</x:v>
      </x:c>
      <x:c r="G2550" s="20" t="n">
        <x:v>1</x:v>
      </x:c>
      <x:c r="H2550" s="12" t="str">
        <x:v>Campus/portfolio roster; individual building occupancy unverified</x:v>
      </x:c>
      <x:c r="I2550" s="12" t="str">
        <x:v>Large enterprise</x:v>
      </x:c>
      <x:c r="J2550" s="12" t="str">
        <x:v>IT &amp; digital</x:v>
      </x:c>
      <x:c r="K2550" s="2" t="str">
        <x:v>PARTNER-M108</x:v>
      </x:c>
    </x:row>
    <x:row r="2551" ht="46" customHeight="1">
      <x:c r="A2551" s="2" t="str">
        <x:v>TEN-36E26473A4E8</x:v>
      </x:c>
      <x:c r="B2551" s="12" t="str">
        <x:v>Alstom</x:v>
      </x:c>
      <x:c r="C2551" s="12" t="str">
        <x:v>CORP-0528</x:v>
      </x:c>
      <x:c r="D2551" s="12" t="str">
        <x:v>Bengaluru</x:v>
      </x:c>
      <x:c r="E2551" s="12" t="str">
        <x:v>Bagmane Tech Park</x:v>
      </x:c>
      <x:c r="F2551" s="12" t="str">
        <x:v>55 inch</x:v>
      </x:c>
      <x:c r="G2551" s="20" t="n">
        <x:v>1</x:v>
      </x:c>
      <x:c r="H2551" s="12" t="str">
        <x:v>Campus/portfolio roster; individual building occupancy unverified</x:v>
      </x:c>
      <x:c r="I2551" s="12" t="str">
        <x:v>Large enterprise</x:v>
      </x:c>
      <x:c r="J2551" s="12" t="str">
        <x:v>Engineering &amp; manufacturing</x:v>
      </x:c>
      <x:c r="K2551" s="2" t="str">
        <x:v>PARTNER-M108</x:v>
      </x:c>
    </x:row>
    <x:row r="2552" ht="46" customHeight="1">
      <x:c r="A2552" s="2" t="str">
        <x:v>TEN-4957DCDAEE1C</x:v>
      </x:c>
      <x:c r="B2552" s="12" t="str">
        <x:v>Walker Chandok</x:v>
      </x:c>
      <x:c r="C2552" s="12" t="str">
        <x:v>CORP-0528</x:v>
      </x:c>
      <x:c r="D2552" s="12" t="str">
        <x:v>Bengaluru</x:v>
      </x:c>
      <x:c r="E2552" s="12" t="str">
        <x:v>Bagmane Tech Park</x:v>
      </x:c>
      <x:c r="F2552" s="12" t="str">
        <x:v>55 inch</x:v>
      </x:c>
      <x:c r="G2552" s="20" t="n">
        <x:v>1</x:v>
      </x:c>
      <x:c r="H2552" s="12" t="str">
        <x:v>Campus/portfolio roster; individual building occupancy unverified</x:v>
      </x:c>
      <x:c r="I2552" s="12" t="str">
        <x:v>Mixed business audience</x:v>
      </x:c>
      <x:c r="J2552" s="12" t="str">
        <x:v>Professional services</x:v>
      </x:c>
      <x:c r="K2552" s="2" t="str">
        <x:v>PARTNER-M108</x:v>
      </x:c>
    </x:row>
    <x:row r="2553" ht="46" customHeight="1">
      <x:c r="A2553" s="2" t="str">
        <x:v>TEN-4BCFB67D5370</x:v>
      </x:c>
      <x:c r="B2553" s="12" t="str">
        <x:v>Dover</x:v>
      </x:c>
      <x:c r="C2553" s="12" t="str">
        <x:v>CORP-0528</x:v>
      </x:c>
      <x:c r="D2553" s="12" t="str">
        <x:v>Bengaluru</x:v>
      </x:c>
      <x:c r="E2553" s="12" t="str">
        <x:v>Bagmane Tech Park</x:v>
      </x:c>
      <x:c r="F2553" s="12" t="str">
        <x:v>55 inch</x:v>
      </x:c>
      <x:c r="G2553" s="20" t="n">
        <x:v>1</x:v>
      </x:c>
      <x:c r="H2553" s="12" t="str">
        <x:v>Campus/portfolio roster; individual building occupancy unverified</x:v>
      </x:c>
      <x:c r="I2553" s="12" t="str">
        <x:v>Mixed business audience</x:v>
      </x:c>
      <x:c r="J2553" s="12" t="str">
        <x:v>Engineering &amp; manufacturing</x:v>
      </x:c>
      <x:c r="K2553" s="2" t="str">
        <x:v>PARTNER-M108</x:v>
      </x:c>
    </x:row>
    <x:row r="2554" ht="46" customHeight="1">
      <x:c r="A2554" s="2" t="str">
        <x:v>TEN-51BE3E92D716</x:v>
      </x:c>
      <x:c r="B2554" s="12" t="str">
        <x:v>Microfocus</x:v>
      </x:c>
      <x:c r="C2554" s="12" t="str">
        <x:v>CORP-0528</x:v>
      </x:c>
      <x:c r="D2554" s="12" t="str">
        <x:v>Bengaluru</x:v>
      </x:c>
      <x:c r="E2554" s="12" t="str">
        <x:v>Bagmane Tech Park</x:v>
      </x:c>
      <x:c r="F2554" s="12" t="str">
        <x:v>55 inch</x:v>
      </x:c>
      <x:c r="G2554" s="20" t="n">
        <x:v>1</x:v>
      </x:c>
      <x:c r="H2554" s="12" t="str">
        <x:v>Campus/portfolio roster; individual building occupancy unverified</x:v>
      </x:c>
      <x:c r="I2554" s="12" t="str">
        <x:v>Mixed business audience</x:v>
      </x:c>
      <x:c r="J2554" s="12" t="str">
        <x:v>IT &amp; digital</x:v>
      </x:c>
      <x:c r="K2554" s="2" t="str">
        <x:v>PARTNER-M108</x:v>
      </x:c>
    </x:row>
    <x:row r="2555" ht="46" customHeight="1">
      <x:c r="A2555" s="2" t="str">
        <x:v>TEN-55F83AF98CA9</x:v>
      </x:c>
      <x:c r="B2555" s="12" t="str">
        <x:v>cypress</x:v>
      </x:c>
      <x:c r="C2555" s="12" t="str">
        <x:v>CORP-0528</x:v>
      </x:c>
      <x:c r="D2555" s="12" t="str">
        <x:v>Bengaluru</x:v>
      </x:c>
      <x:c r="E2555" s="12" t="str">
        <x:v>Bagmane Tech Park</x:v>
      </x:c>
      <x:c r="F2555" s="12" t="str">
        <x:v>55 inch</x:v>
      </x:c>
      <x:c r="G2555" s="20" t="n">
        <x:v>1</x:v>
      </x:c>
      <x:c r="H2555" s="12" t="str">
        <x:v>Campus/portfolio roster; individual building occupancy unverified</x:v>
      </x:c>
      <x:c r="I2555" s="12" t="str">
        <x:v>Mixed business audience</x:v>
      </x:c>
      <x:c r="J2555" s="12" t="str">
        <x:v>Engineering &amp; manufacturing</x:v>
      </x:c>
      <x:c r="K2555" s="2" t="str">
        <x:v>PARTNER-M108</x:v>
      </x:c>
    </x:row>
    <x:row r="2556" ht="46" customHeight="1">
      <x:c r="A2556" s="2" t="str">
        <x:v>TEN-5DD95C98AFF2</x:v>
      </x:c>
      <x:c r="B2556" s="12" t="str">
        <x:v>Nike</x:v>
      </x:c>
      <x:c r="C2556" s="12" t="str">
        <x:v>CORP-0528</x:v>
      </x:c>
      <x:c r="D2556" s="12" t="str">
        <x:v>Bengaluru</x:v>
      </x:c>
      <x:c r="E2556" s="12" t="str">
        <x:v>Bagmane Tech Park</x:v>
      </x:c>
      <x:c r="F2556" s="12" t="str">
        <x:v>55 inch</x:v>
      </x:c>
      <x:c r="G2556" s="20" t="n">
        <x:v>1</x:v>
      </x:c>
      <x:c r="H2556" s="12" t="str">
        <x:v>Campus/portfolio roster; individual building occupancy unverified</x:v>
      </x:c>
      <x:c r="I2556" s="12" t="str">
        <x:v>Mixed business audience</x:v>
      </x:c>
      <x:c r="J2556" s="12" t="str">
        <x:v>Trade, consumer &amp; logistics</x:v>
      </x:c>
      <x:c r="K2556" s="2" t="str">
        <x:v>PARTNER-M108</x:v>
      </x:c>
    </x:row>
    <x:row r="2557" ht="46" customHeight="1">
      <x:c r="A2557" s="2" t="str">
        <x:v>TEN-60A539DE7BB0</x:v>
      </x:c>
      <x:c r="B2557" s="12" t="str">
        <x:v>Ivanti</x:v>
      </x:c>
      <x:c r="C2557" s="12" t="str">
        <x:v>CORP-0528</x:v>
      </x:c>
      <x:c r="D2557" s="12" t="str">
        <x:v>Bengaluru</x:v>
      </x:c>
      <x:c r="E2557" s="12" t="str">
        <x:v>Bagmane Tech Park</x:v>
      </x:c>
      <x:c r="F2557" s="12" t="str">
        <x:v>55 inch</x:v>
      </x:c>
      <x:c r="G2557" s="20" t="n">
        <x:v>1</x:v>
      </x:c>
      <x:c r="H2557" s="12" t="str">
        <x:v>Campus/portfolio roster; individual building occupancy unverified</x:v>
      </x:c>
      <x:c r="I2557" s="12" t="str">
        <x:v>Large enterprise</x:v>
      </x:c>
      <x:c r="J2557" s="12" t="str">
        <x:v>IT &amp; digital</x:v>
      </x:c>
      <x:c r="K2557" s="2" t="str">
        <x:v>PARTNER-M108</x:v>
      </x:c>
    </x:row>
    <x:row r="2558" ht="46" customHeight="1">
      <x:c r="A2558" s="2" t="str">
        <x:v>TEN-7AD6D135A07F</x:v>
      </x:c>
      <x:c r="B2558" s="12" t="str">
        <x:v>Texas Instrument</x:v>
      </x:c>
      <x:c r="C2558" s="12" t="str">
        <x:v>CORP-0528</x:v>
      </x:c>
      <x:c r="D2558" s="12" t="str">
        <x:v>Bengaluru</x:v>
      </x:c>
      <x:c r="E2558" s="12" t="str">
        <x:v>Bagmane Tech Park</x:v>
      </x:c>
      <x:c r="F2558" s="12" t="str">
        <x:v>55 inch</x:v>
      </x:c>
      <x:c r="G2558" s="20" t="n">
        <x:v>1</x:v>
      </x:c>
      <x:c r="H2558" s="12" t="str">
        <x:v>Campus/portfolio roster; individual building occupancy unverified</x:v>
      </x:c>
      <x:c r="I2558" s="12" t="str">
        <x:v>Mixed business audience</x:v>
      </x:c>
      <x:c r="J2558" s="12" t="str">
        <x:v>Engineering &amp; manufacturing</x:v>
      </x:c>
      <x:c r="K2558" s="2" t="str">
        <x:v>PARTNER-M108</x:v>
      </x:c>
    </x:row>
    <x:row r="2559" ht="46" customHeight="1">
      <x:c r="A2559" s="2" t="str">
        <x:v>TEN-7F1B55B86059</x:v>
      </x:c>
      <x:c r="B2559" s="12" t="str">
        <x:v>LAM</x:v>
      </x:c>
      <x:c r="C2559" s="12" t="str">
        <x:v>CORP-0528</x:v>
      </x:c>
      <x:c r="D2559" s="12" t="str">
        <x:v>Bengaluru</x:v>
      </x:c>
      <x:c r="E2559" s="12" t="str">
        <x:v>Bagmane Tech Park</x:v>
      </x:c>
      <x:c r="F2559" s="12" t="str">
        <x:v>55 inch</x:v>
      </x:c>
      <x:c r="G2559" s="20" t="n">
        <x:v>1</x:v>
      </x:c>
      <x:c r="H2559" s="12" t="str">
        <x:v>Campus/portfolio roster; individual building occupancy unverified</x:v>
      </x:c>
      <x:c r="I2559" s="12" t="str">
        <x:v>Mixed business audience</x:v>
      </x:c>
      <x:c r="J2559" s="12" t="str">
        <x:v>Engineering &amp; manufacturing</x:v>
      </x:c>
      <x:c r="K2559" s="2" t="str">
        <x:v>PARTNER-M108</x:v>
      </x:c>
    </x:row>
    <x:row r="2560" ht="46" customHeight="1">
      <x:c r="A2560" s="2" t="str">
        <x:v>TEN-8D1AE0ED034C</x:v>
      </x:c>
      <x:c r="B2560" s="12" t="str">
        <x:v>UKG</x:v>
      </x:c>
      <x:c r="C2560" s="12" t="str">
        <x:v>CORP-0528</x:v>
      </x:c>
      <x:c r="D2560" s="12" t="str">
        <x:v>Bengaluru</x:v>
      </x:c>
      <x:c r="E2560" s="12" t="str">
        <x:v>Bagmane Tech Park</x:v>
      </x:c>
      <x:c r="F2560" s="12" t="str">
        <x:v>55 inch</x:v>
      </x:c>
      <x:c r="G2560" s="20" t="n">
        <x:v>1</x:v>
      </x:c>
      <x:c r="H2560" s="12" t="str">
        <x:v>Campus/portfolio roster; individual building occupancy unverified</x:v>
      </x:c>
      <x:c r="I2560" s="12" t="str">
        <x:v>Mixed business audience</x:v>
      </x:c>
      <x:c r="J2560" s="12" t="str">
        <x:v>IT &amp; digital</x:v>
      </x:c>
      <x:c r="K2560" s="2" t="str">
        <x:v>PARTNER-M108</x:v>
      </x:c>
    </x:row>
    <x:row r="2561" ht="46" customHeight="1">
      <x:c r="A2561" s="2" t="str">
        <x:v>TEN-9387E476D00B</x:v>
      </x:c>
      <x:c r="B2561" s="12" t="str">
        <x:v>SAP concur</x:v>
      </x:c>
      <x:c r="C2561" s="12" t="str">
        <x:v>CORP-0528</x:v>
      </x:c>
      <x:c r="D2561" s="12" t="str">
        <x:v>Bengaluru</x:v>
      </x:c>
      <x:c r="E2561" s="12" t="str">
        <x:v>Bagmane Tech Park</x:v>
      </x:c>
      <x:c r="F2561" s="12" t="str">
        <x:v>55 inch</x:v>
      </x:c>
      <x:c r="G2561" s="20" t="n">
        <x:v>1</x:v>
      </x:c>
      <x:c r="H2561" s="12" t="str">
        <x:v>Campus/portfolio roster; individual building occupancy unverified</x:v>
      </x:c>
      <x:c r="I2561" s="12" t="str">
        <x:v>Large enterprise</x:v>
      </x:c>
      <x:c r="J2561" s="12" t="str">
        <x:v>IT &amp; digital</x:v>
      </x:c>
      <x:c r="K2561" s="2" t="str">
        <x:v>PARTNER-M108</x:v>
      </x:c>
    </x:row>
    <x:row r="2562" ht="46" customHeight="1">
      <x:c r="A2562" s="2" t="str">
        <x:v>TEN-98E929C33151</x:v>
      </x:c>
      <x:c r="B2562" s="12" t="str">
        <x:v>Renesas</x:v>
      </x:c>
      <x:c r="C2562" s="12" t="str">
        <x:v>CORP-0528</x:v>
      </x:c>
      <x:c r="D2562" s="12" t="str">
        <x:v>Bengaluru</x:v>
      </x:c>
      <x:c r="E2562" s="12" t="str">
        <x:v>Bagmane Tech Park</x:v>
      </x:c>
      <x:c r="F2562" s="12" t="str">
        <x:v>55 inch</x:v>
      </x:c>
      <x:c r="G2562" s="20" t="n">
        <x:v>1</x:v>
      </x:c>
      <x:c r="H2562" s="12" t="str">
        <x:v>Campus/portfolio roster; individual building occupancy unverified</x:v>
      </x:c>
      <x:c r="I2562" s="12" t="str">
        <x:v>Mixed business audience</x:v>
      </x:c>
      <x:c r="J2562" s="12" t="str">
        <x:v>Engineering &amp; manufacturing</x:v>
      </x:c>
      <x:c r="K2562" s="2" t="str">
        <x:v>PARTNER-M108</x:v>
      </x:c>
    </x:row>
    <x:row r="2563" ht="46" customHeight="1">
      <x:c r="A2563" s="2" t="str">
        <x:v>TEN-A973ADF51E6A</x:v>
      </x:c>
      <x:c r="B2563" s="12" t="str">
        <x:v>Talisma</x:v>
      </x:c>
      <x:c r="C2563" s="12" t="str">
        <x:v>CORP-0528</x:v>
      </x:c>
      <x:c r="D2563" s="12" t="str">
        <x:v>Bengaluru</x:v>
      </x:c>
      <x:c r="E2563" s="12" t="str">
        <x:v>Bagmane Tech Park</x:v>
      </x:c>
      <x:c r="F2563" s="12" t="str">
        <x:v>55 inch</x:v>
      </x:c>
      <x:c r="G2563" s="20" t="n">
        <x:v>1</x:v>
      </x:c>
      <x:c r="H2563" s="12" t="str">
        <x:v>Campus/portfolio roster; individual building occupancy unverified</x:v>
      </x:c>
      <x:c r="I2563" s="12" t="str">
        <x:v>Mixed business audience</x:v>
      </x:c>
      <x:c r="J2563" s="12" t="str">
        <x:v>IT &amp; digital</x:v>
      </x:c>
      <x:c r="K2563" s="2" t="str">
        <x:v>PARTNER-M108</x:v>
      </x:c>
    </x:row>
    <x:row r="2564" ht="46" customHeight="1">
      <x:c r="A2564" s="2" t="str">
        <x:v>TEN-AEF34FE789D8</x:v>
      </x:c>
      <x:c r="B2564" s="12" t="str">
        <x:v>Pal Alto</x:v>
      </x:c>
      <x:c r="C2564" s="12" t="str">
        <x:v>CORP-0528</x:v>
      </x:c>
      <x:c r="D2564" s="12" t="str">
        <x:v>Bengaluru</x:v>
      </x:c>
      <x:c r="E2564" s="12" t="str">
        <x:v>Bagmane Tech Park</x:v>
      </x:c>
      <x:c r="F2564" s="12" t="str">
        <x:v>55 inch</x:v>
      </x:c>
      <x:c r="G2564" s="20" t="n">
        <x:v>1</x:v>
      </x:c>
      <x:c r="H2564" s="12" t="str">
        <x:v>Campus/portfolio roster; individual building occupancy unverified</x:v>
      </x:c>
      <x:c r="I2564" s="12" t="str">
        <x:v>Mixed business audience</x:v>
      </x:c>
      <x:c r="J2564" s="12" t="str">
        <x:v>Unresolved</x:v>
      </x:c>
      <x:c r="K2564" s="2" t="str">
        <x:v>PARTNER-M108</x:v>
      </x:c>
    </x:row>
    <x:row r="2565" ht="46" customHeight="1">
      <x:c r="A2565" s="2" t="str">
        <x:v>TEN-B1331F460EB4</x:v>
      </x:c>
      <x:c r="B2565" s="12" t="str">
        <x:v>CEM</x:v>
      </x:c>
      <x:c r="C2565" s="12" t="str">
        <x:v>CORP-0528</x:v>
      </x:c>
      <x:c r="D2565" s="12" t="str">
        <x:v>Bengaluru</x:v>
      </x:c>
      <x:c r="E2565" s="12" t="str">
        <x:v>Bagmane Tech Park</x:v>
      </x:c>
      <x:c r="F2565" s="12" t="str">
        <x:v>55 inch</x:v>
      </x:c>
      <x:c r="G2565" s="20" t="n">
        <x:v>1</x:v>
      </x:c>
      <x:c r="H2565" s="12" t="str">
        <x:v>Campus/portfolio roster; individual building occupancy unverified</x:v>
      </x:c>
      <x:c r="I2565" s="12" t="str">
        <x:v>Mixed business audience</x:v>
      </x:c>
      <x:c r="J2565" s="12" t="str">
        <x:v>Unresolved</x:v>
      </x:c>
      <x:c r="K2565" s="2" t="str">
        <x:v>PARTNER-M108</x:v>
      </x:c>
    </x:row>
    <x:row r="2566" ht="46" customHeight="1">
      <x:c r="A2566" s="2" t="str">
        <x:v>TEN-BCCAE4CE7BE6</x:v>
      </x:c>
      <x:c r="B2566" s="12" t="str">
        <x:v>Volvo</x:v>
      </x:c>
      <x:c r="C2566" s="12" t="str">
        <x:v>CORP-0528</x:v>
      </x:c>
      <x:c r="D2566" s="12" t="str">
        <x:v>Bengaluru</x:v>
      </x:c>
      <x:c r="E2566" s="12" t="str">
        <x:v>Bagmane Tech Park</x:v>
      </x:c>
      <x:c r="F2566" s="12" t="str">
        <x:v>55 inch</x:v>
      </x:c>
      <x:c r="G2566" s="20" t="n">
        <x:v>1</x:v>
      </x:c>
      <x:c r="H2566" s="12" t="str">
        <x:v>Campus/portfolio roster; individual building occupancy unverified</x:v>
      </x:c>
      <x:c r="I2566" s="12" t="str">
        <x:v>Mixed business audience</x:v>
      </x:c>
      <x:c r="J2566" s="12" t="str">
        <x:v>Engineering &amp; manufacturing</x:v>
      </x:c>
      <x:c r="K2566" s="2" t="str">
        <x:v>PARTNER-M108</x:v>
      </x:c>
    </x:row>
    <x:row r="2567" ht="46" customHeight="1">
      <x:c r="A2567" s="2" t="str">
        <x:v>TEN-C2ECB55DC1D4</x:v>
      </x:c>
      <x:c r="B2567" s="12" t="str">
        <x:v>ROHM</x:v>
      </x:c>
      <x:c r="C2567" s="12" t="str">
        <x:v>CORP-0528</x:v>
      </x:c>
      <x:c r="D2567" s="12" t="str">
        <x:v>Bengaluru</x:v>
      </x:c>
      <x:c r="E2567" s="12" t="str">
        <x:v>Bagmane Tech Park</x:v>
      </x:c>
      <x:c r="F2567" s="12" t="str">
        <x:v>55 inch</x:v>
      </x:c>
      <x:c r="G2567" s="20" t="n">
        <x:v>1</x:v>
      </x:c>
      <x:c r="H2567" s="12" t="str">
        <x:v>Campus/portfolio roster; individual building occupancy unverified</x:v>
      </x:c>
      <x:c r="I2567" s="12" t="str">
        <x:v>Mixed business audience</x:v>
      </x:c>
      <x:c r="J2567" s="12" t="str">
        <x:v>Engineering &amp; manufacturing</x:v>
      </x:c>
      <x:c r="K2567" s="2" t="str">
        <x:v>PARTNER-M108</x:v>
      </x:c>
    </x:row>
    <x:row r="2568" ht="46" customHeight="1">
      <x:c r="A2568" s="2" t="str">
        <x:v>TEN-C63AC00C4D11</x:v>
      </x:c>
      <x:c r="B2568" s="12" t="str">
        <x:v>Mphasis</x:v>
      </x:c>
      <x:c r="C2568" s="12" t="str">
        <x:v>CORP-0528</x:v>
      </x:c>
      <x:c r="D2568" s="12" t="str">
        <x:v>Bengaluru</x:v>
      </x:c>
      <x:c r="E2568" s="12" t="str">
        <x:v>Bagmane Tech Park</x:v>
      </x:c>
      <x:c r="F2568" s="12" t="str">
        <x:v>55 inch</x:v>
      </x:c>
      <x:c r="G2568" s="20" t="n">
        <x:v>1</x:v>
      </x:c>
      <x:c r="H2568" s="12" t="str">
        <x:v>Campus/portfolio roster; individual building occupancy unverified</x:v>
      </x:c>
      <x:c r="I2568" s="12" t="str">
        <x:v>Large enterprise</x:v>
      </x:c>
      <x:c r="J2568" s="12" t="str">
        <x:v>IT &amp; digital</x:v>
      </x:c>
      <x:c r="K2568" s="2" t="str">
        <x:v>PARTNER-M108</x:v>
      </x:c>
    </x:row>
    <x:row r="2569" ht="46" customHeight="1">
      <x:c r="A2569" s="2" t="str">
        <x:v>TEN-C97CE19B9C35</x:v>
      </x:c>
      <x:c r="B2569" s="12" t="str">
        <x:v>PricewaterhouseCoopers</x:v>
      </x:c>
      <x:c r="C2569" s="12" t="str">
        <x:v>CORP-0528</x:v>
      </x:c>
      <x:c r="D2569" s="12" t="str">
        <x:v>Bengaluru</x:v>
      </x:c>
      <x:c r="E2569" s="12" t="str">
        <x:v>Bagmane Tech Park</x:v>
      </x:c>
      <x:c r="F2569" s="12" t="str">
        <x:v>55 inch</x:v>
      </x:c>
      <x:c r="G2569" s="20" t="n">
        <x:v>1</x:v>
      </x:c>
      <x:c r="H2569" s="12" t="str">
        <x:v>Campus/portfolio roster; individual building occupancy unverified</x:v>
      </x:c>
      <x:c r="I2569" s="12" t="str">
        <x:v>Large enterprise</x:v>
      </x:c>
      <x:c r="J2569" s="12" t="str">
        <x:v>Professional services</x:v>
      </x:c>
      <x:c r="K2569" s="2" t="str">
        <x:v>PARTNER-M108</x:v>
      </x:c>
    </x:row>
    <x:row r="2570" ht="46" customHeight="1">
      <x:c r="A2570" s="2" t="str">
        <x:v>TEN-D0E2ECE166BD</x:v>
      </x:c>
      <x:c r="B2570" s="12" t="str">
        <x:v>Dell</x:v>
      </x:c>
      <x:c r="C2570" s="12" t="str">
        <x:v>CORP-0528</x:v>
      </x:c>
      <x:c r="D2570" s="12" t="str">
        <x:v>Bengaluru</x:v>
      </x:c>
      <x:c r="E2570" s="12" t="str">
        <x:v>Bagmane Tech Park</x:v>
      </x:c>
      <x:c r="F2570" s="12" t="str">
        <x:v>55 inch</x:v>
      </x:c>
      <x:c r="G2570" s="20" t="n">
        <x:v>1</x:v>
      </x:c>
      <x:c r="H2570" s="12" t="str">
        <x:v>Campus/portfolio roster; individual building occupancy unverified</x:v>
      </x:c>
      <x:c r="I2570" s="12" t="str">
        <x:v>Large enterprise</x:v>
      </x:c>
      <x:c r="J2570" s="12" t="str">
        <x:v>Engineering &amp; manufacturing</x:v>
      </x:c>
      <x:c r="K2570" s="2" t="str">
        <x:v>PARTNER-M108</x:v>
      </x:c>
    </x:row>
    <x:row r="2571" ht="46" customHeight="1">
      <x:c r="A2571" s="2" t="str">
        <x:v>TEN-E305C1EB5FCE</x:v>
      </x:c>
      <x:c r="B2571" s="12" t="str">
        <x:v>ALUK</x:v>
      </x:c>
      <x:c r="C2571" s="12" t="str">
        <x:v>CORP-0528</x:v>
      </x:c>
      <x:c r="D2571" s="12" t="str">
        <x:v>Bengaluru</x:v>
      </x:c>
      <x:c r="E2571" s="12" t="str">
        <x:v>Bagmane Tech Park</x:v>
      </x:c>
      <x:c r="F2571" s="12" t="str">
        <x:v>55 inch</x:v>
      </x:c>
      <x:c r="G2571" s="20" t="n">
        <x:v>1</x:v>
      </x:c>
      <x:c r="H2571" s="12" t="str">
        <x:v>Campus/portfolio roster; individual building occupancy unverified</x:v>
      </x:c>
      <x:c r="I2571" s="12" t="str">
        <x:v>Medium-scale prospects</x:v>
      </x:c>
      <x:c r="J2571" s="12" t="str">
        <x:v>Engineering &amp; manufacturing</x:v>
      </x:c>
      <x:c r="K2571" s="2" t="str">
        <x:v>PARTNER-M108</x:v>
      </x:c>
    </x:row>
    <x:row r="2572" ht="46" customHeight="1">
      <x:c r="A2572" s="2" t="str">
        <x:v>TEN-E5E23A26CD36</x:v>
      </x:c>
      <x:c r="B2572" s="12" t="str">
        <x:v>Grant Thornton</x:v>
      </x:c>
      <x:c r="C2572" s="12" t="str">
        <x:v>CORP-0528</x:v>
      </x:c>
      <x:c r="D2572" s="12" t="str">
        <x:v>Bengaluru</x:v>
      </x:c>
      <x:c r="E2572" s="12" t="str">
        <x:v>Bagmane Tech Park</x:v>
      </x:c>
      <x:c r="F2572" s="12" t="str">
        <x:v>55 inch</x:v>
      </x:c>
      <x:c r="G2572" s="20" t="n">
        <x:v>1</x:v>
      </x:c>
      <x:c r="H2572" s="12" t="str">
        <x:v>Campus/portfolio roster; individual building occupancy unverified</x:v>
      </x:c>
      <x:c r="I2572" s="12" t="str">
        <x:v>Large enterprise</x:v>
      </x:c>
      <x:c r="J2572" s="12" t="str">
        <x:v>Professional services</x:v>
      </x:c>
      <x:c r="K2572" s="2" t="str">
        <x:v>PARTNER-M108</x:v>
      </x:c>
    </x:row>
    <x:row r="2573" ht="46" customHeight="1">
      <x:c r="A2573" s="2" t="str">
        <x:v>TEN-E73B79A0B10F</x:v>
      </x:c>
      <x:c r="B2573" s="12" t="str">
        <x:v>Cisco</x:v>
      </x:c>
      <x:c r="C2573" s="12" t="str">
        <x:v>CORP-0528</x:v>
      </x:c>
      <x:c r="D2573" s="12" t="str">
        <x:v>Bengaluru</x:v>
      </x:c>
      <x:c r="E2573" s="12" t="str">
        <x:v>Bagmane Tech Park</x:v>
      </x:c>
      <x:c r="F2573" s="12" t="str">
        <x:v>55 inch</x:v>
      </x:c>
      <x:c r="G2573" s="20" t="n">
        <x:v>1</x:v>
      </x:c>
      <x:c r="H2573" s="12" t="str">
        <x:v>Campus/portfolio roster; individual building occupancy unverified</x:v>
      </x:c>
      <x:c r="I2573" s="12" t="str">
        <x:v>Large enterprise</x:v>
      </x:c>
      <x:c r="J2573" s="12" t="str">
        <x:v>IT &amp; digital</x:v>
      </x:c>
      <x:c r="K2573" s="2" t="str">
        <x:v>PARTNER-M108</x:v>
      </x:c>
    </x:row>
    <x:row r="2574" ht="46" customHeight="1">
      <x:c r="A2574" s="2" t="str">
        <x:v>TEN-F49D19F21FE1</x:v>
      </x:c>
      <x:c r="B2574" s="12" t="str">
        <x:v>L3 Communication</x:v>
      </x:c>
      <x:c r="C2574" s="12" t="str">
        <x:v>CORP-0528</x:v>
      </x:c>
      <x:c r="D2574" s="12" t="str">
        <x:v>Bengaluru</x:v>
      </x:c>
      <x:c r="E2574" s="12" t="str">
        <x:v>Bagmane Tech Park</x:v>
      </x:c>
      <x:c r="F2574" s="12" t="str">
        <x:v>55 inch</x:v>
      </x:c>
      <x:c r="G2574" s="20" t="n">
        <x:v>1</x:v>
      </x:c>
      <x:c r="H2574" s="12" t="str">
        <x:v>Campus/portfolio roster; individual building occupancy unverified</x:v>
      </x:c>
      <x:c r="I2574" s="12" t="str">
        <x:v>Mixed business audience</x:v>
      </x:c>
      <x:c r="J2574" s="12" t="str">
        <x:v>IT &amp; digital</x:v>
      </x:c>
      <x:c r="K2574" s="2" t="str">
        <x:v>PARTNER-M108</x:v>
      </x:c>
    </x:row>
    <x:row r="2575" ht="46" customHeight="1">
      <x:c r="A2575" s="2" t="str">
        <x:v>TEN-FEED58DAA315</x:v>
      </x:c>
      <x:c r="B2575" s="12" t="str">
        <x:v>Infineon</x:v>
      </x:c>
      <x:c r="C2575" s="12" t="str">
        <x:v>CORP-0528</x:v>
      </x:c>
      <x:c r="D2575" s="12" t="str">
        <x:v>Bengaluru</x:v>
      </x:c>
      <x:c r="E2575" s="12" t="str">
        <x:v>Bagmane Tech Park</x:v>
      </x:c>
      <x:c r="F2575" s="12" t="str">
        <x:v>55 inch</x:v>
      </x:c>
      <x:c r="G2575" s="20" t="n">
        <x:v>1</x:v>
      </x:c>
      <x:c r="H2575" s="12" t="str">
        <x:v>Campus/portfolio roster; individual building occupancy unverified</x:v>
      </x:c>
      <x:c r="I2575" s="12" t="str">
        <x:v>Large enterprise</x:v>
      </x:c>
      <x:c r="J2575" s="12" t="str">
        <x:v>Engineering &amp; manufacturing</x:v>
      </x:c>
      <x:c r="K2575" s="2" t="str">
        <x:v>PARTNER-M108</x:v>
      </x:c>
    </x:row>
    <x:row r="2576" ht="46" customHeight="1">
      <x:c r="A2576" s="2" t="str">
        <x:v>TEN-05A498EFD197</x:v>
      </x:c>
      <x:c r="B2576" s="12" t="str">
        <x:v>Kronos</x:v>
      </x:c>
      <x:c r="C2576" s="12" t="str">
        <x:v>CORP-0529</x:v>
      </x:c>
      <x:c r="D2576" s="12" t="str">
        <x:v>Bengaluru</x:v>
      </x:c>
      <x:c r="E2576" s="12" t="str">
        <x:v>Bagmane Tech Park</x:v>
      </x:c>
      <x:c r="F2576" s="12" t="str">
        <x:v>55 inch</x:v>
      </x:c>
      <x:c r="G2576" s="20" t="n">
        <x:v>1</x:v>
      </x:c>
      <x:c r="H2576" s="12" t="str">
        <x:v>Campus/portfolio roster; individual building occupancy unverified</x:v>
      </x:c>
      <x:c r="I2576" s="12" t="str">
        <x:v>Mixed business audience</x:v>
      </x:c>
      <x:c r="J2576" s="12" t="str">
        <x:v>IT &amp; digital</x:v>
      </x:c>
      <x:c r="K2576" s="2" t="str">
        <x:v>PARTNER-M108</x:v>
      </x:c>
    </x:row>
    <x:row r="2577" ht="46" customHeight="1">
      <x:c r="A2577" s="2" t="str">
        <x:v>TEN-0B570123A8C3</x:v>
      </x:c>
      <x:c r="B2577" s="12" t="str">
        <x:v>Commvault</x:v>
      </x:c>
      <x:c r="C2577" s="12" t="str">
        <x:v>CORP-0529</x:v>
      </x:c>
      <x:c r="D2577" s="12" t="str">
        <x:v>Bengaluru</x:v>
      </x:c>
      <x:c r="E2577" s="12" t="str">
        <x:v>Bagmane Tech Park</x:v>
      </x:c>
      <x:c r="F2577" s="12" t="str">
        <x:v>55 inch</x:v>
      </x:c>
      <x:c r="G2577" s="20" t="n">
        <x:v>1</x:v>
      </x:c>
      <x:c r="H2577" s="12" t="str">
        <x:v>Campus/portfolio roster; individual building occupancy unverified</x:v>
      </x:c>
      <x:c r="I2577" s="12" t="str">
        <x:v>Large enterprise</x:v>
      </x:c>
      <x:c r="J2577" s="12" t="str">
        <x:v>IT &amp; digital</x:v>
      </x:c>
      <x:c r="K2577" s="2" t="str">
        <x:v>PARTNER-M108</x:v>
      </x:c>
    </x:row>
    <x:row r="2578" ht="46" customHeight="1">
      <x:c r="A2578" s="2" t="str">
        <x:v>TEN-0C44BE9F7948</x:v>
      </x:c>
      <x:c r="B2578" s="12" t="str">
        <x:v>Motorola</x:v>
      </x:c>
      <x:c r="C2578" s="12" t="str">
        <x:v>CORP-0529</x:v>
      </x:c>
      <x:c r="D2578" s="12" t="str">
        <x:v>Bengaluru</x:v>
      </x:c>
      <x:c r="E2578" s="12" t="str">
        <x:v>Bagmane Tech Park</x:v>
      </x:c>
      <x:c r="F2578" s="12" t="str">
        <x:v>55 inch</x:v>
      </x:c>
      <x:c r="G2578" s="20" t="n">
        <x:v>1</x:v>
      </x:c>
      <x:c r="H2578" s="12" t="str">
        <x:v>Campus/portfolio roster; individual building occupancy unverified</x:v>
      </x:c>
      <x:c r="I2578" s="12" t="str">
        <x:v>Large enterprise</x:v>
      </x:c>
      <x:c r="J2578" s="12" t="str">
        <x:v>Engineering &amp; manufacturing</x:v>
      </x:c>
      <x:c r="K2578" s="2" t="str">
        <x:v>PARTNER-M108</x:v>
      </x:c>
    </x:row>
    <x:row r="2579" ht="46" customHeight="1">
      <x:c r="A2579" s="2" t="str">
        <x:v>TEN-16F45B99ABFD</x:v>
      </x:c>
      <x:c r="B2579" s="12" t="str">
        <x:v>Boeing</x:v>
      </x:c>
      <x:c r="C2579" s="12" t="str">
        <x:v>CORP-0529</x:v>
      </x:c>
      <x:c r="D2579" s="12" t="str">
        <x:v>Bengaluru</x:v>
      </x:c>
      <x:c r="E2579" s="12" t="str">
        <x:v>Bagmane Tech Park</x:v>
      </x:c>
      <x:c r="F2579" s="12" t="str">
        <x:v>55 inch</x:v>
      </x:c>
      <x:c r="G2579" s="20" t="n">
        <x:v>1</x:v>
      </x:c>
      <x:c r="H2579" s="12" t="str">
        <x:v>Campus/portfolio roster; individual building occupancy unverified</x:v>
      </x:c>
      <x:c r="I2579" s="12" t="str">
        <x:v>Large enterprise</x:v>
      </x:c>
      <x:c r="J2579" s="12" t="str">
        <x:v>Engineering &amp; manufacturing</x:v>
      </x:c>
      <x:c r="K2579" s="2" t="str">
        <x:v>PARTNER-M108</x:v>
      </x:c>
    </x:row>
    <x:row r="2580" ht="46" customHeight="1">
      <x:c r="A2580" s="2" t="str">
        <x:v>TEN-17840323EA59</x:v>
      </x:c>
      <x:c r="B2580" s="12" t="str">
        <x:v>Juniper</x:v>
      </x:c>
      <x:c r="C2580" s="12" t="str">
        <x:v>CORP-0529</x:v>
      </x:c>
      <x:c r="D2580" s="12" t="str">
        <x:v>Bengaluru</x:v>
      </x:c>
      <x:c r="E2580" s="12" t="str">
        <x:v>Bagmane Tech Park</x:v>
      </x:c>
      <x:c r="F2580" s="12" t="str">
        <x:v>55 inch</x:v>
      </x:c>
      <x:c r="G2580" s="20" t="n">
        <x:v>1</x:v>
      </x:c>
      <x:c r="H2580" s="12" t="str">
        <x:v>Campus/portfolio roster; individual building occupancy unverified</x:v>
      </x:c>
      <x:c r="I2580" s="12" t="str">
        <x:v>Mixed business audience</x:v>
      </x:c>
      <x:c r="J2580" s="12" t="str">
        <x:v>IT &amp; digital</x:v>
      </x:c>
      <x:c r="K2580" s="2" t="str">
        <x:v>PARTNER-M108</x:v>
      </x:c>
    </x:row>
    <x:row r="2581" ht="46" customHeight="1">
      <x:c r="A2581" s="2" t="str">
        <x:v>TEN-19A1211FA855</x:v>
      </x:c>
      <x:c r="B2581" s="12" t="str">
        <x:v>Altiostar</x:v>
      </x:c>
      <x:c r="C2581" s="12" t="str">
        <x:v>CORP-0529</x:v>
      </x:c>
      <x:c r="D2581" s="12" t="str">
        <x:v>Bengaluru</x:v>
      </x:c>
      <x:c r="E2581" s="12" t="str">
        <x:v>Bagmane Tech Park</x:v>
      </x:c>
      <x:c r="F2581" s="12" t="str">
        <x:v>55 inch</x:v>
      </x:c>
      <x:c r="G2581" s="20" t="n">
        <x:v>1</x:v>
      </x:c>
      <x:c r="H2581" s="12" t="str">
        <x:v>Campus/portfolio roster; individual building occupancy unverified</x:v>
      </x:c>
      <x:c r="I2581" s="12" t="str">
        <x:v>Mixed business audience</x:v>
      </x:c>
      <x:c r="J2581" s="12" t="str">
        <x:v>IT &amp; digital</x:v>
      </x:c>
      <x:c r="K2581" s="2" t="str">
        <x:v>PARTNER-M108</x:v>
      </x:c>
    </x:row>
    <x:row r="2582" ht="46" customHeight="1">
      <x:c r="A2582" s="2" t="str">
        <x:v>TEN-1B24400C96AA</x:v>
      </x:c>
      <x:c r="B2582" s="12" t="str">
        <x:v>Sima.ai</x:v>
      </x:c>
      <x:c r="C2582" s="12" t="str">
        <x:v>CORP-0529</x:v>
      </x:c>
      <x:c r="D2582" s="12" t="str">
        <x:v>Bengaluru</x:v>
      </x:c>
      <x:c r="E2582" s="12" t="str">
        <x:v>Bagmane Tech Park</x:v>
      </x:c>
      <x:c r="F2582" s="12" t="str">
        <x:v>55 inch</x:v>
      </x:c>
      <x:c r="G2582" s="20" t="n">
        <x:v>1</x:v>
      </x:c>
      <x:c r="H2582" s="12" t="str">
        <x:v>Campus/portfolio roster; individual building occupancy unverified</x:v>
      </x:c>
      <x:c r="I2582" s="12" t="str">
        <x:v>Small-scale prospects</x:v>
      </x:c>
      <x:c r="J2582" s="12" t="str">
        <x:v>IT &amp; digital</x:v>
      </x:c>
      <x:c r="K2582" s="2" t="str">
        <x:v>PARTNER-M108</x:v>
      </x:c>
    </x:row>
    <x:row r="2583" ht="46" customHeight="1">
      <x:c r="A2583" s="2" t="str">
        <x:v>TEN-2A09783B1C47</x:v>
      </x:c>
      <x:c r="B2583" s="12" t="str">
        <x:v>Cardinal</x:v>
      </x:c>
      <x:c r="C2583" s="12" t="str">
        <x:v>CORP-0529</x:v>
      </x:c>
      <x:c r="D2583" s="12" t="str">
        <x:v>Bengaluru</x:v>
      </x:c>
      <x:c r="E2583" s="12" t="str">
        <x:v>Bagmane Tech Park</x:v>
      </x:c>
      <x:c r="F2583" s="12" t="str">
        <x:v>55 inch</x:v>
      </x:c>
      <x:c r="G2583" s="20" t="n">
        <x:v>1</x:v>
      </x:c>
      <x:c r="H2583" s="12" t="str">
        <x:v>Campus/portfolio roster; individual building occupancy unverified</x:v>
      </x:c>
      <x:c r="I2583" s="12" t="str">
        <x:v>Mixed business audience</x:v>
      </x:c>
      <x:c r="J2583" s="12" t="str">
        <x:v>Unresolved</x:v>
      </x:c>
      <x:c r="K2583" s="2" t="str">
        <x:v>PARTNER-M108</x:v>
      </x:c>
    </x:row>
    <x:row r="2584" ht="46" customHeight="1">
      <x:c r="A2584" s="2" t="str">
        <x:v>TEN-31FF403A64D8</x:v>
      </x:c>
      <x:c r="B2584" s="12" t="str">
        <x:v>Informatica</x:v>
      </x:c>
      <x:c r="C2584" s="12" t="str">
        <x:v>CORP-0529</x:v>
      </x:c>
      <x:c r="D2584" s="12" t="str">
        <x:v>Bengaluru</x:v>
      </x:c>
      <x:c r="E2584" s="12" t="str">
        <x:v>Bagmane Tech Park</x:v>
      </x:c>
      <x:c r="F2584" s="12" t="str">
        <x:v>55 inch</x:v>
      </x:c>
      <x:c r="G2584" s="20" t="n">
        <x:v>1</x:v>
      </x:c>
      <x:c r="H2584" s="12" t="str">
        <x:v>Campus/portfolio roster; individual building occupancy unverified</x:v>
      </x:c>
      <x:c r="I2584" s="12" t="str">
        <x:v>Large enterprise</x:v>
      </x:c>
      <x:c r="J2584" s="12" t="str">
        <x:v>IT &amp; digital</x:v>
      </x:c>
      <x:c r="K2584" s="2" t="str">
        <x:v>PARTNER-M108</x:v>
      </x:c>
    </x:row>
    <x:row r="2585" ht="46" customHeight="1">
      <x:c r="A2585" s="2" t="str">
        <x:v>TEN-36E26473A4E8</x:v>
      </x:c>
      <x:c r="B2585" s="12" t="str">
        <x:v>Alstom</x:v>
      </x:c>
      <x:c r="C2585" s="12" t="str">
        <x:v>CORP-0529</x:v>
      </x:c>
      <x:c r="D2585" s="12" t="str">
        <x:v>Bengaluru</x:v>
      </x:c>
      <x:c r="E2585" s="12" t="str">
        <x:v>Bagmane Tech Park</x:v>
      </x:c>
      <x:c r="F2585" s="12" t="str">
        <x:v>55 inch</x:v>
      </x:c>
      <x:c r="G2585" s="20" t="n">
        <x:v>1</x:v>
      </x:c>
      <x:c r="H2585" s="12" t="str">
        <x:v>Campus/portfolio roster; individual building occupancy unverified</x:v>
      </x:c>
      <x:c r="I2585" s="12" t="str">
        <x:v>Large enterprise</x:v>
      </x:c>
      <x:c r="J2585" s="12" t="str">
        <x:v>Engineering &amp; manufacturing</x:v>
      </x:c>
      <x:c r="K2585" s="2" t="str">
        <x:v>PARTNER-M108</x:v>
      </x:c>
    </x:row>
    <x:row r="2586" ht="46" customHeight="1">
      <x:c r="A2586" s="2" t="str">
        <x:v>TEN-4957DCDAEE1C</x:v>
      </x:c>
      <x:c r="B2586" s="12" t="str">
        <x:v>Walker Chandok</x:v>
      </x:c>
      <x:c r="C2586" s="12" t="str">
        <x:v>CORP-0529</x:v>
      </x:c>
      <x:c r="D2586" s="12" t="str">
        <x:v>Bengaluru</x:v>
      </x:c>
      <x:c r="E2586" s="12" t="str">
        <x:v>Bagmane Tech Park</x:v>
      </x:c>
      <x:c r="F2586" s="12" t="str">
        <x:v>55 inch</x:v>
      </x:c>
      <x:c r="G2586" s="20" t="n">
        <x:v>1</x:v>
      </x:c>
      <x:c r="H2586" s="12" t="str">
        <x:v>Campus/portfolio roster; individual building occupancy unverified</x:v>
      </x:c>
      <x:c r="I2586" s="12" t="str">
        <x:v>Mixed business audience</x:v>
      </x:c>
      <x:c r="J2586" s="12" t="str">
        <x:v>Professional services</x:v>
      </x:c>
      <x:c r="K2586" s="2" t="str">
        <x:v>PARTNER-M108</x:v>
      </x:c>
    </x:row>
    <x:row r="2587" ht="46" customHeight="1">
      <x:c r="A2587" s="2" t="str">
        <x:v>TEN-4BCFB67D5370</x:v>
      </x:c>
      <x:c r="B2587" s="12" t="str">
        <x:v>Dover</x:v>
      </x:c>
      <x:c r="C2587" s="12" t="str">
        <x:v>CORP-0529</x:v>
      </x:c>
      <x:c r="D2587" s="12" t="str">
        <x:v>Bengaluru</x:v>
      </x:c>
      <x:c r="E2587" s="12" t="str">
        <x:v>Bagmane Tech Park</x:v>
      </x:c>
      <x:c r="F2587" s="12" t="str">
        <x:v>55 inch</x:v>
      </x:c>
      <x:c r="G2587" s="20" t="n">
        <x:v>1</x:v>
      </x:c>
      <x:c r="H2587" s="12" t="str">
        <x:v>Campus/portfolio roster; individual building occupancy unverified</x:v>
      </x:c>
      <x:c r="I2587" s="12" t="str">
        <x:v>Mixed business audience</x:v>
      </x:c>
      <x:c r="J2587" s="12" t="str">
        <x:v>Engineering &amp; manufacturing</x:v>
      </x:c>
      <x:c r="K2587" s="2" t="str">
        <x:v>PARTNER-M108</x:v>
      </x:c>
    </x:row>
    <x:row r="2588" ht="46" customHeight="1">
      <x:c r="A2588" s="2" t="str">
        <x:v>TEN-51BE3E92D716</x:v>
      </x:c>
      <x:c r="B2588" s="12" t="str">
        <x:v>Microfocus</x:v>
      </x:c>
      <x:c r="C2588" s="12" t="str">
        <x:v>CORP-0529</x:v>
      </x:c>
      <x:c r="D2588" s="12" t="str">
        <x:v>Bengaluru</x:v>
      </x:c>
      <x:c r="E2588" s="12" t="str">
        <x:v>Bagmane Tech Park</x:v>
      </x:c>
      <x:c r="F2588" s="12" t="str">
        <x:v>55 inch</x:v>
      </x:c>
      <x:c r="G2588" s="20" t="n">
        <x:v>1</x:v>
      </x:c>
      <x:c r="H2588" s="12" t="str">
        <x:v>Campus/portfolio roster; individual building occupancy unverified</x:v>
      </x:c>
      <x:c r="I2588" s="12" t="str">
        <x:v>Mixed business audience</x:v>
      </x:c>
      <x:c r="J2588" s="12" t="str">
        <x:v>IT &amp; digital</x:v>
      </x:c>
      <x:c r="K2588" s="2" t="str">
        <x:v>PARTNER-M108</x:v>
      </x:c>
    </x:row>
    <x:row r="2589" ht="46" customHeight="1">
      <x:c r="A2589" s="2" t="str">
        <x:v>TEN-55F83AF98CA9</x:v>
      </x:c>
      <x:c r="B2589" s="12" t="str">
        <x:v>cypress</x:v>
      </x:c>
      <x:c r="C2589" s="12" t="str">
        <x:v>CORP-0529</x:v>
      </x:c>
      <x:c r="D2589" s="12" t="str">
        <x:v>Bengaluru</x:v>
      </x:c>
      <x:c r="E2589" s="12" t="str">
        <x:v>Bagmane Tech Park</x:v>
      </x:c>
      <x:c r="F2589" s="12" t="str">
        <x:v>55 inch</x:v>
      </x:c>
      <x:c r="G2589" s="20" t="n">
        <x:v>1</x:v>
      </x:c>
      <x:c r="H2589" s="12" t="str">
        <x:v>Campus/portfolio roster; individual building occupancy unverified</x:v>
      </x:c>
      <x:c r="I2589" s="12" t="str">
        <x:v>Mixed business audience</x:v>
      </x:c>
      <x:c r="J2589" s="12" t="str">
        <x:v>Engineering &amp; manufacturing</x:v>
      </x:c>
      <x:c r="K2589" s="2" t="str">
        <x:v>PARTNER-M108</x:v>
      </x:c>
    </x:row>
    <x:row r="2590" ht="46" customHeight="1">
      <x:c r="A2590" s="2" t="str">
        <x:v>TEN-5DD95C98AFF2</x:v>
      </x:c>
      <x:c r="B2590" s="12" t="str">
        <x:v>Nike</x:v>
      </x:c>
      <x:c r="C2590" s="12" t="str">
        <x:v>CORP-0529</x:v>
      </x:c>
      <x:c r="D2590" s="12" t="str">
        <x:v>Bengaluru</x:v>
      </x:c>
      <x:c r="E2590" s="12" t="str">
        <x:v>Bagmane Tech Park</x:v>
      </x:c>
      <x:c r="F2590" s="12" t="str">
        <x:v>55 inch</x:v>
      </x:c>
      <x:c r="G2590" s="20" t="n">
        <x:v>1</x:v>
      </x:c>
      <x:c r="H2590" s="12" t="str">
        <x:v>Campus/portfolio roster; individual building occupancy unverified</x:v>
      </x:c>
      <x:c r="I2590" s="12" t="str">
        <x:v>Mixed business audience</x:v>
      </x:c>
      <x:c r="J2590" s="12" t="str">
        <x:v>Trade, consumer &amp; logistics</x:v>
      </x:c>
      <x:c r="K2590" s="2" t="str">
        <x:v>PARTNER-M108</x:v>
      </x:c>
    </x:row>
    <x:row r="2591" ht="46" customHeight="1">
      <x:c r="A2591" s="2" t="str">
        <x:v>TEN-60A539DE7BB0</x:v>
      </x:c>
      <x:c r="B2591" s="12" t="str">
        <x:v>Ivanti</x:v>
      </x:c>
      <x:c r="C2591" s="12" t="str">
        <x:v>CORP-0529</x:v>
      </x:c>
      <x:c r="D2591" s="12" t="str">
        <x:v>Bengaluru</x:v>
      </x:c>
      <x:c r="E2591" s="12" t="str">
        <x:v>Bagmane Tech Park</x:v>
      </x:c>
      <x:c r="F2591" s="12" t="str">
        <x:v>55 inch</x:v>
      </x:c>
      <x:c r="G2591" s="20" t="n">
        <x:v>1</x:v>
      </x:c>
      <x:c r="H2591" s="12" t="str">
        <x:v>Campus/portfolio roster; individual building occupancy unverified</x:v>
      </x:c>
      <x:c r="I2591" s="12" t="str">
        <x:v>Large enterprise</x:v>
      </x:c>
      <x:c r="J2591" s="12" t="str">
        <x:v>IT &amp; digital</x:v>
      </x:c>
      <x:c r="K2591" s="2" t="str">
        <x:v>PARTNER-M108</x:v>
      </x:c>
    </x:row>
    <x:row r="2592" ht="46" customHeight="1">
      <x:c r="A2592" s="2" t="str">
        <x:v>TEN-7AD6D135A07F</x:v>
      </x:c>
      <x:c r="B2592" s="12" t="str">
        <x:v>Texas Instrument</x:v>
      </x:c>
      <x:c r="C2592" s="12" t="str">
        <x:v>CORP-0529</x:v>
      </x:c>
      <x:c r="D2592" s="12" t="str">
        <x:v>Bengaluru</x:v>
      </x:c>
      <x:c r="E2592" s="12" t="str">
        <x:v>Bagmane Tech Park</x:v>
      </x:c>
      <x:c r="F2592" s="12" t="str">
        <x:v>55 inch</x:v>
      </x:c>
      <x:c r="G2592" s="20" t="n">
        <x:v>1</x:v>
      </x:c>
      <x:c r="H2592" s="12" t="str">
        <x:v>Campus/portfolio roster; individual building occupancy unverified</x:v>
      </x:c>
      <x:c r="I2592" s="12" t="str">
        <x:v>Mixed business audience</x:v>
      </x:c>
      <x:c r="J2592" s="12" t="str">
        <x:v>Engineering &amp; manufacturing</x:v>
      </x:c>
      <x:c r="K2592" s="2" t="str">
        <x:v>PARTNER-M108</x:v>
      </x:c>
    </x:row>
    <x:row r="2593" ht="46" customHeight="1">
      <x:c r="A2593" s="2" t="str">
        <x:v>TEN-7F1B55B86059</x:v>
      </x:c>
      <x:c r="B2593" s="12" t="str">
        <x:v>LAM</x:v>
      </x:c>
      <x:c r="C2593" s="12" t="str">
        <x:v>CORP-0529</x:v>
      </x:c>
      <x:c r="D2593" s="12" t="str">
        <x:v>Bengaluru</x:v>
      </x:c>
      <x:c r="E2593" s="12" t="str">
        <x:v>Bagmane Tech Park</x:v>
      </x:c>
      <x:c r="F2593" s="12" t="str">
        <x:v>55 inch</x:v>
      </x:c>
      <x:c r="G2593" s="20" t="n">
        <x:v>1</x:v>
      </x:c>
      <x:c r="H2593" s="12" t="str">
        <x:v>Campus/portfolio roster; individual building occupancy unverified</x:v>
      </x:c>
      <x:c r="I2593" s="12" t="str">
        <x:v>Mixed business audience</x:v>
      </x:c>
      <x:c r="J2593" s="12" t="str">
        <x:v>Engineering &amp; manufacturing</x:v>
      </x:c>
      <x:c r="K2593" s="2" t="str">
        <x:v>PARTNER-M108</x:v>
      </x:c>
    </x:row>
    <x:row r="2594" ht="46" customHeight="1">
      <x:c r="A2594" s="2" t="str">
        <x:v>TEN-8D1AE0ED034C</x:v>
      </x:c>
      <x:c r="B2594" s="12" t="str">
        <x:v>UKG</x:v>
      </x:c>
      <x:c r="C2594" s="12" t="str">
        <x:v>CORP-0529</x:v>
      </x:c>
      <x:c r="D2594" s="12" t="str">
        <x:v>Bengaluru</x:v>
      </x:c>
      <x:c r="E2594" s="12" t="str">
        <x:v>Bagmane Tech Park</x:v>
      </x:c>
      <x:c r="F2594" s="12" t="str">
        <x:v>55 inch</x:v>
      </x:c>
      <x:c r="G2594" s="20" t="n">
        <x:v>1</x:v>
      </x:c>
      <x:c r="H2594" s="12" t="str">
        <x:v>Campus/portfolio roster; individual building occupancy unverified</x:v>
      </x:c>
      <x:c r="I2594" s="12" t="str">
        <x:v>Mixed business audience</x:v>
      </x:c>
      <x:c r="J2594" s="12" t="str">
        <x:v>IT &amp; digital</x:v>
      </x:c>
      <x:c r="K2594" s="2" t="str">
        <x:v>PARTNER-M108</x:v>
      </x:c>
    </x:row>
    <x:row r="2595" ht="46" customHeight="1">
      <x:c r="A2595" s="2" t="str">
        <x:v>TEN-9387E476D00B</x:v>
      </x:c>
      <x:c r="B2595" s="12" t="str">
        <x:v>SAP concur</x:v>
      </x:c>
      <x:c r="C2595" s="12" t="str">
        <x:v>CORP-0529</x:v>
      </x:c>
      <x:c r="D2595" s="12" t="str">
        <x:v>Bengaluru</x:v>
      </x:c>
      <x:c r="E2595" s="12" t="str">
        <x:v>Bagmane Tech Park</x:v>
      </x:c>
      <x:c r="F2595" s="12" t="str">
        <x:v>55 inch</x:v>
      </x:c>
      <x:c r="G2595" s="20" t="n">
        <x:v>1</x:v>
      </x:c>
      <x:c r="H2595" s="12" t="str">
        <x:v>Campus/portfolio roster; individual building occupancy unverified</x:v>
      </x:c>
      <x:c r="I2595" s="12" t="str">
        <x:v>Large enterprise</x:v>
      </x:c>
      <x:c r="J2595" s="12" t="str">
        <x:v>IT &amp; digital</x:v>
      </x:c>
      <x:c r="K2595" s="2" t="str">
        <x:v>PARTNER-M108</x:v>
      </x:c>
    </x:row>
    <x:row r="2596" ht="46" customHeight="1">
      <x:c r="A2596" s="2" t="str">
        <x:v>TEN-98E929C33151</x:v>
      </x:c>
      <x:c r="B2596" s="12" t="str">
        <x:v>Renesas</x:v>
      </x:c>
      <x:c r="C2596" s="12" t="str">
        <x:v>CORP-0529</x:v>
      </x:c>
      <x:c r="D2596" s="12" t="str">
        <x:v>Bengaluru</x:v>
      </x:c>
      <x:c r="E2596" s="12" t="str">
        <x:v>Bagmane Tech Park</x:v>
      </x:c>
      <x:c r="F2596" s="12" t="str">
        <x:v>55 inch</x:v>
      </x:c>
      <x:c r="G2596" s="20" t="n">
        <x:v>1</x:v>
      </x:c>
      <x:c r="H2596" s="12" t="str">
        <x:v>Campus/portfolio roster; individual building occupancy unverified</x:v>
      </x:c>
      <x:c r="I2596" s="12" t="str">
        <x:v>Mixed business audience</x:v>
      </x:c>
      <x:c r="J2596" s="12" t="str">
        <x:v>Engineering &amp; manufacturing</x:v>
      </x:c>
      <x:c r="K2596" s="2" t="str">
        <x:v>PARTNER-M108</x:v>
      </x:c>
    </x:row>
    <x:row r="2597" ht="46" customHeight="1">
      <x:c r="A2597" s="2" t="str">
        <x:v>TEN-A973ADF51E6A</x:v>
      </x:c>
      <x:c r="B2597" s="12" t="str">
        <x:v>Talisma</x:v>
      </x:c>
      <x:c r="C2597" s="12" t="str">
        <x:v>CORP-0529</x:v>
      </x:c>
      <x:c r="D2597" s="12" t="str">
        <x:v>Bengaluru</x:v>
      </x:c>
      <x:c r="E2597" s="12" t="str">
        <x:v>Bagmane Tech Park</x:v>
      </x:c>
      <x:c r="F2597" s="12" t="str">
        <x:v>55 inch</x:v>
      </x:c>
      <x:c r="G2597" s="20" t="n">
        <x:v>1</x:v>
      </x:c>
      <x:c r="H2597" s="12" t="str">
        <x:v>Campus/portfolio roster; individual building occupancy unverified</x:v>
      </x:c>
      <x:c r="I2597" s="12" t="str">
        <x:v>Mixed business audience</x:v>
      </x:c>
      <x:c r="J2597" s="12" t="str">
        <x:v>IT &amp; digital</x:v>
      </x:c>
      <x:c r="K2597" s="2" t="str">
        <x:v>PARTNER-M108</x:v>
      </x:c>
    </x:row>
    <x:row r="2598" ht="46" customHeight="1">
      <x:c r="A2598" s="2" t="str">
        <x:v>TEN-AEF34FE789D8</x:v>
      </x:c>
      <x:c r="B2598" s="12" t="str">
        <x:v>Pal Alto</x:v>
      </x:c>
      <x:c r="C2598" s="12" t="str">
        <x:v>CORP-0529</x:v>
      </x:c>
      <x:c r="D2598" s="12" t="str">
        <x:v>Bengaluru</x:v>
      </x:c>
      <x:c r="E2598" s="12" t="str">
        <x:v>Bagmane Tech Park</x:v>
      </x:c>
      <x:c r="F2598" s="12" t="str">
        <x:v>55 inch</x:v>
      </x:c>
      <x:c r="G2598" s="20" t="n">
        <x:v>1</x:v>
      </x:c>
      <x:c r="H2598" s="12" t="str">
        <x:v>Campus/portfolio roster; individual building occupancy unverified</x:v>
      </x:c>
      <x:c r="I2598" s="12" t="str">
        <x:v>Mixed business audience</x:v>
      </x:c>
      <x:c r="J2598" s="12" t="str">
        <x:v>Unresolved</x:v>
      </x:c>
      <x:c r="K2598" s="2" t="str">
        <x:v>PARTNER-M108</x:v>
      </x:c>
    </x:row>
    <x:row r="2599" ht="46" customHeight="1">
      <x:c r="A2599" s="2" t="str">
        <x:v>TEN-B1331F460EB4</x:v>
      </x:c>
      <x:c r="B2599" s="12" t="str">
        <x:v>CEM</x:v>
      </x:c>
      <x:c r="C2599" s="12" t="str">
        <x:v>CORP-0529</x:v>
      </x:c>
      <x:c r="D2599" s="12" t="str">
        <x:v>Bengaluru</x:v>
      </x:c>
      <x:c r="E2599" s="12" t="str">
        <x:v>Bagmane Tech Park</x:v>
      </x:c>
      <x:c r="F2599" s="12" t="str">
        <x:v>55 inch</x:v>
      </x:c>
      <x:c r="G2599" s="20" t="n">
        <x:v>1</x:v>
      </x:c>
      <x:c r="H2599" s="12" t="str">
        <x:v>Campus/portfolio roster; individual building occupancy unverified</x:v>
      </x:c>
      <x:c r="I2599" s="12" t="str">
        <x:v>Mixed business audience</x:v>
      </x:c>
      <x:c r="J2599" s="12" t="str">
        <x:v>Unresolved</x:v>
      </x:c>
      <x:c r="K2599" s="2" t="str">
        <x:v>PARTNER-M108</x:v>
      </x:c>
    </x:row>
    <x:row r="2600" ht="46" customHeight="1">
      <x:c r="A2600" s="2" t="str">
        <x:v>TEN-BCCAE4CE7BE6</x:v>
      </x:c>
      <x:c r="B2600" s="12" t="str">
        <x:v>Volvo</x:v>
      </x:c>
      <x:c r="C2600" s="12" t="str">
        <x:v>CORP-0529</x:v>
      </x:c>
      <x:c r="D2600" s="12" t="str">
        <x:v>Bengaluru</x:v>
      </x:c>
      <x:c r="E2600" s="12" t="str">
        <x:v>Bagmane Tech Park</x:v>
      </x:c>
      <x:c r="F2600" s="12" t="str">
        <x:v>55 inch</x:v>
      </x:c>
      <x:c r="G2600" s="20" t="n">
        <x:v>1</x:v>
      </x:c>
      <x:c r="H2600" s="12" t="str">
        <x:v>Campus/portfolio roster; individual building occupancy unverified</x:v>
      </x:c>
      <x:c r="I2600" s="12" t="str">
        <x:v>Mixed business audience</x:v>
      </x:c>
      <x:c r="J2600" s="12" t="str">
        <x:v>Engineering &amp; manufacturing</x:v>
      </x:c>
      <x:c r="K2600" s="2" t="str">
        <x:v>PARTNER-M108</x:v>
      </x:c>
    </x:row>
    <x:row r="2601" ht="46" customHeight="1">
      <x:c r="A2601" s="2" t="str">
        <x:v>TEN-C2ECB55DC1D4</x:v>
      </x:c>
      <x:c r="B2601" s="12" t="str">
        <x:v>ROHM</x:v>
      </x:c>
      <x:c r="C2601" s="12" t="str">
        <x:v>CORP-0529</x:v>
      </x:c>
      <x:c r="D2601" s="12" t="str">
        <x:v>Bengaluru</x:v>
      </x:c>
      <x:c r="E2601" s="12" t="str">
        <x:v>Bagmane Tech Park</x:v>
      </x:c>
      <x:c r="F2601" s="12" t="str">
        <x:v>55 inch</x:v>
      </x:c>
      <x:c r="G2601" s="20" t="n">
        <x:v>1</x:v>
      </x:c>
      <x:c r="H2601" s="12" t="str">
        <x:v>Campus/portfolio roster; individual building occupancy unverified</x:v>
      </x:c>
      <x:c r="I2601" s="12" t="str">
        <x:v>Mixed business audience</x:v>
      </x:c>
      <x:c r="J2601" s="12" t="str">
        <x:v>Engineering &amp; manufacturing</x:v>
      </x:c>
      <x:c r="K2601" s="2" t="str">
        <x:v>PARTNER-M108</x:v>
      </x:c>
    </x:row>
    <x:row r="2602" ht="46" customHeight="1">
      <x:c r="A2602" s="2" t="str">
        <x:v>TEN-C63AC00C4D11</x:v>
      </x:c>
      <x:c r="B2602" s="12" t="str">
        <x:v>Mphasis</x:v>
      </x:c>
      <x:c r="C2602" s="12" t="str">
        <x:v>CORP-0529</x:v>
      </x:c>
      <x:c r="D2602" s="12" t="str">
        <x:v>Bengaluru</x:v>
      </x:c>
      <x:c r="E2602" s="12" t="str">
        <x:v>Bagmane Tech Park</x:v>
      </x:c>
      <x:c r="F2602" s="12" t="str">
        <x:v>55 inch</x:v>
      </x:c>
      <x:c r="G2602" s="20" t="n">
        <x:v>1</x:v>
      </x:c>
      <x:c r="H2602" s="12" t="str">
        <x:v>Campus/portfolio roster; individual building occupancy unverified</x:v>
      </x:c>
      <x:c r="I2602" s="12" t="str">
        <x:v>Large enterprise</x:v>
      </x:c>
      <x:c r="J2602" s="12" t="str">
        <x:v>IT &amp; digital</x:v>
      </x:c>
      <x:c r="K2602" s="2" t="str">
        <x:v>PARTNER-M108</x:v>
      </x:c>
    </x:row>
    <x:row r="2603" ht="46" customHeight="1">
      <x:c r="A2603" s="2" t="str">
        <x:v>TEN-C97CE19B9C35</x:v>
      </x:c>
      <x:c r="B2603" s="12" t="str">
        <x:v>PricewaterhouseCoopers</x:v>
      </x:c>
      <x:c r="C2603" s="12" t="str">
        <x:v>CORP-0529</x:v>
      </x:c>
      <x:c r="D2603" s="12" t="str">
        <x:v>Bengaluru</x:v>
      </x:c>
      <x:c r="E2603" s="12" t="str">
        <x:v>Bagmane Tech Park</x:v>
      </x:c>
      <x:c r="F2603" s="12" t="str">
        <x:v>55 inch</x:v>
      </x:c>
      <x:c r="G2603" s="20" t="n">
        <x:v>1</x:v>
      </x:c>
      <x:c r="H2603" s="12" t="str">
        <x:v>Campus/portfolio roster; individual building occupancy unverified</x:v>
      </x:c>
      <x:c r="I2603" s="12" t="str">
        <x:v>Large enterprise</x:v>
      </x:c>
      <x:c r="J2603" s="12" t="str">
        <x:v>Professional services</x:v>
      </x:c>
      <x:c r="K2603" s="2" t="str">
        <x:v>PARTNER-M108</x:v>
      </x:c>
    </x:row>
    <x:row r="2604" ht="46" customHeight="1">
      <x:c r="A2604" s="2" t="str">
        <x:v>TEN-D0E2ECE166BD</x:v>
      </x:c>
      <x:c r="B2604" s="12" t="str">
        <x:v>Dell</x:v>
      </x:c>
      <x:c r="C2604" s="12" t="str">
        <x:v>CORP-0529</x:v>
      </x:c>
      <x:c r="D2604" s="12" t="str">
        <x:v>Bengaluru</x:v>
      </x:c>
      <x:c r="E2604" s="12" t="str">
        <x:v>Bagmane Tech Park</x:v>
      </x:c>
      <x:c r="F2604" s="12" t="str">
        <x:v>55 inch</x:v>
      </x:c>
      <x:c r="G2604" s="20" t="n">
        <x:v>1</x:v>
      </x:c>
      <x:c r="H2604" s="12" t="str">
        <x:v>Campus/portfolio roster; individual building occupancy unverified</x:v>
      </x:c>
      <x:c r="I2604" s="12" t="str">
        <x:v>Large enterprise</x:v>
      </x:c>
      <x:c r="J2604" s="12" t="str">
        <x:v>Engineering &amp; manufacturing</x:v>
      </x:c>
      <x:c r="K2604" s="2" t="str">
        <x:v>PARTNER-M108</x:v>
      </x:c>
    </x:row>
    <x:row r="2605" ht="46" customHeight="1">
      <x:c r="A2605" s="2" t="str">
        <x:v>TEN-E305C1EB5FCE</x:v>
      </x:c>
      <x:c r="B2605" s="12" t="str">
        <x:v>ALUK</x:v>
      </x:c>
      <x:c r="C2605" s="12" t="str">
        <x:v>CORP-0529</x:v>
      </x:c>
      <x:c r="D2605" s="12" t="str">
        <x:v>Bengaluru</x:v>
      </x:c>
      <x:c r="E2605" s="12" t="str">
        <x:v>Bagmane Tech Park</x:v>
      </x:c>
      <x:c r="F2605" s="12" t="str">
        <x:v>55 inch</x:v>
      </x:c>
      <x:c r="G2605" s="20" t="n">
        <x:v>1</x:v>
      </x:c>
      <x:c r="H2605" s="12" t="str">
        <x:v>Campus/portfolio roster; individual building occupancy unverified</x:v>
      </x:c>
      <x:c r="I2605" s="12" t="str">
        <x:v>Medium-scale prospects</x:v>
      </x:c>
      <x:c r="J2605" s="12" t="str">
        <x:v>Engineering &amp; manufacturing</x:v>
      </x:c>
      <x:c r="K2605" s="2" t="str">
        <x:v>PARTNER-M108</x:v>
      </x:c>
    </x:row>
    <x:row r="2606" ht="46" customHeight="1">
      <x:c r="A2606" s="2" t="str">
        <x:v>TEN-E5E23A26CD36</x:v>
      </x:c>
      <x:c r="B2606" s="12" t="str">
        <x:v>Grant Thornton</x:v>
      </x:c>
      <x:c r="C2606" s="12" t="str">
        <x:v>CORP-0529</x:v>
      </x:c>
      <x:c r="D2606" s="12" t="str">
        <x:v>Bengaluru</x:v>
      </x:c>
      <x:c r="E2606" s="12" t="str">
        <x:v>Bagmane Tech Park</x:v>
      </x:c>
      <x:c r="F2606" s="12" t="str">
        <x:v>55 inch</x:v>
      </x:c>
      <x:c r="G2606" s="20" t="n">
        <x:v>1</x:v>
      </x:c>
      <x:c r="H2606" s="12" t="str">
        <x:v>Campus/portfolio roster; individual building occupancy unverified</x:v>
      </x:c>
      <x:c r="I2606" s="12" t="str">
        <x:v>Large enterprise</x:v>
      </x:c>
      <x:c r="J2606" s="12" t="str">
        <x:v>Professional services</x:v>
      </x:c>
      <x:c r="K2606" s="2" t="str">
        <x:v>PARTNER-M108</x:v>
      </x:c>
    </x:row>
    <x:row r="2607" ht="46" customHeight="1">
      <x:c r="A2607" s="2" t="str">
        <x:v>TEN-E73B79A0B10F</x:v>
      </x:c>
      <x:c r="B2607" s="12" t="str">
        <x:v>Cisco</x:v>
      </x:c>
      <x:c r="C2607" s="12" t="str">
        <x:v>CORP-0529</x:v>
      </x:c>
      <x:c r="D2607" s="12" t="str">
        <x:v>Bengaluru</x:v>
      </x:c>
      <x:c r="E2607" s="12" t="str">
        <x:v>Bagmane Tech Park</x:v>
      </x:c>
      <x:c r="F2607" s="12" t="str">
        <x:v>55 inch</x:v>
      </x:c>
      <x:c r="G2607" s="20" t="n">
        <x:v>1</x:v>
      </x:c>
      <x:c r="H2607" s="12" t="str">
        <x:v>Campus/portfolio roster; individual building occupancy unverified</x:v>
      </x:c>
      <x:c r="I2607" s="12" t="str">
        <x:v>Large enterprise</x:v>
      </x:c>
      <x:c r="J2607" s="12" t="str">
        <x:v>IT &amp; digital</x:v>
      </x:c>
      <x:c r="K2607" s="2" t="str">
        <x:v>PARTNER-M108</x:v>
      </x:c>
    </x:row>
    <x:row r="2608" ht="46" customHeight="1">
      <x:c r="A2608" s="2" t="str">
        <x:v>TEN-F49D19F21FE1</x:v>
      </x:c>
      <x:c r="B2608" s="12" t="str">
        <x:v>L3 Communication</x:v>
      </x:c>
      <x:c r="C2608" s="12" t="str">
        <x:v>CORP-0529</x:v>
      </x:c>
      <x:c r="D2608" s="12" t="str">
        <x:v>Bengaluru</x:v>
      </x:c>
      <x:c r="E2608" s="12" t="str">
        <x:v>Bagmane Tech Park</x:v>
      </x:c>
      <x:c r="F2608" s="12" t="str">
        <x:v>55 inch</x:v>
      </x:c>
      <x:c r="G2608" s="20" t="n">
        <x:v>1</x:v>
      </x:c>
      <x:c r="H2608" s="12" t="str">
        <x:v>Campus/portfolio roster; individual building occupancy unverified</x:v>
      </x:c>
      <x:c r="I2608" s="12" t="str">
        <x:v>Mixed business audience</x:v>
      </x:c>
      <x:c r="J2608" s="12" t="str">
        <x:v>IT &amp; digital</x:v>
      </x:c>
      <x:c r="K2608" s="2" t="str">
        <x:v>PARTNER-M108</x:v>
      </x:c>
    </x:row>
    <x:row r="2609" ht="46" customHeight="1">
      <x:c r="A2609" s="2" t="str">
        <x:v>TEN-FEED58DAA315</x:v>
      </x:c>
      <x:c r="B2609" s="12" t="str">
        <x:v>Infineon</x:v>
      </x:c>
      <x:c r="C2609" s="12" t="str">
        <x:v>CORP-0529</x:v>
      </x:c>
      <x:c r="D2609" s="12" t="str">
        <x:v>Bengaluru</x:v>
      </x:c>
      <x:c r="E2609" s="12" t="str">
        <x:v>Bagmane Tech Park</x:v>
      </x:c>
      <x:c r="F2609" s="12" t="str">
        <x:v>55 inch</x:v>
      </x:c>
      <x:c r="G2609" s="20" t="n">
        <x:v>1</x:v>
      </x:c>
      <x:c r="H2609" s="12" t="str">
        <x:v>Campus/portfolio roster; individual building occupancy unverified</x:v>
      </x:c>
      <x:c r="I2609" s="12" t="str">
        <x:v>Large enterprise</x:v>
      </x:c>
      <x:c r="J2609" s="12" t="str">
        <x:v>Engineering &amp; manufacturing</x:v>
      </x:c>
      <x:c r="K2609" s="2" t="str">
        <x:v>PARTNER-M108</x:v>
      </x:c>
    </x:row>
    <x:row r="2610" ht="46" customHeight="1">
      <x:c r="A2610" s="2" t="str">
        <x:v>TEN-05A498EFD197</x:v>
      </x:c>
      <x:c r="B2610" s="12" t="str">
        <x:v>Kronos</x:v>
      </x:c>
      <x:c r="C2610" s="12" t="str">
        <x:v>CORP-0530</x:v>
      </x:c>
      <x:c r="D2610" s="12" t="str">
        <x:v>Bengaluru</x:v>
      </x:c>
      <x:c r="E2610" s="12" t="str">
        <x:v>Bagmane Tech Park</x:v>
      </x:c>
      <x:c r="F2610" s="12" t="str">
        <x:v>55 inch</x:v>
      </x:c>
      <x:c r="G2610" s="20" t="n">
        <x:v>1</x:v>
      </x:c>
      <x:c r="H2610" s="12" t="str">
        <x:v>Campus/portfolio roster; individual building occupancy unverified</x:v>
      </x:c>
      <x:c r="I2610" s="12" t="str">
        <x:v>Mixed business audience</x:v>
      </x:c>
      <x:c r="J2610" s="12" t="str">
        <x:v>IT &amp; digital</x:v>
      </x:c>
      <x:c r="K2610" s="2" t="str">
        <x:v>PARTNER-M108</x:v>
      </x:c>
    </x:row>
    <x:row r="2611" ht="46" customHeight="1">
      <x:c r="A2611" s="2" t="str">
        <x:v>TEN-0B570123A8C3</x:v>
      </x:c>
      <x:c r="B2611" s="12" t="str">
        <x:v>Commvault</x:v>
      </x:c>
      <x:c r="C2611" s="12" t="str">
        <x:v>CORP-0530</x:v>
      </x:c>
      <x:c r="D2611" s="12" t="str">
        <x:v>Bengaluru</x:v>
      </x:c>
      <x:c r="E2611" s="12" t="str">
        <x:v>Bagmane Tech Park</x:v>
      </x:c>
      <x:c r="F2611" s="12" t="str">
        <x:v>55 inch</x:v>
      </x:c>
      <x:c r="G2611" s="20" t="n">
        <x:v>1</x:v>
      </x:c>
      <x:c r="H2611" s="12" t="str">
        <x:v>Campus/portfolio roster; individual building occupancy unverified</x:v>
      </x:c>
      <x:c r="I2611" s="12" t="str">
        <x:v>Large enterprise</x:v>
      </x:c>
      <x:c r="J2611" s="12" t="str">
        <x:v>IT &amp; digital</x:v>
      </x:c>
      <x:c r="K2611" s="2" t="str">
        <x:v>PARTNER-M108</x:v>
      </x:c>
    </x:row>
    <x:row r="2612" ht="46" customHeight="1">
      <x:c r="A2612" s="2" t="str">
        <x:v>TEN-0C44BE9F7948</x:v>
      </x:c>
      <x:c r="B2612" s="12" t="str">
        <x:v>Motorola</x:v>
      </x:c>
      <x:c r="C2612" s="12" t="str">
        <x:v>CORP-0530</x:v>
      </x:c>
      <x:c r="D2612" s="12" t="str">
        <x:v>Bengaluru</x:v>
      </x:c>
      <x:c r="E2612" s="12" t="str">
        <x:v>Bagmane Tech Park</x:v>
      </x:c>
      <x:c r="F2612" s="12" t="str">
        <x:v>55 inch</x:v>
      </x:c>
      <x:c r="G2612" s="20" t="n">
        <x:v>1</x:v>
      </x:c>
      <x:c r="H2612" s="12" t="str">
        <x:v>Campus/portfolio roster; individual building occupancy unverified</x:v>
      </x:c>
      <x:c r="I2612" s="12" t="str">
        <x:v>Large enterprise</x:v>
      </x:c>
      <x:c r="J2612" s="12" t="str">
        <x:v>Engineering &amp; manufacturing</x:v>
      </x:c>
      <x:c r="K2612" s="2" t="str">
        <x:v>PARTNER-M108</x:v>
      </x:c>
    </x:row>
    <x:row r="2613" ht="46" customHeight="1">
      <x:c r="A2613" s="2" t="str">
        <x:v>TEN-16F45B99ABFD</x:v>
      </x:c>
      <x:c r="B2613" s="12" t="str">
        <x:v>Boeing</x:v>
      </x:c>
      <x:c r="C2613" s="12" t="str">
        <x:v>CORP-0530</x:v>
      </x:c>
      <x:c r="D2613" s="12" t="str">
        <x:v>Bengaluru</x:v>
      </x:c>
      <x:c r="E2613" s="12" t="str">
        <x:v>Bagmane Tech Park</x:v>
      </x:c>
      <x:c r="F2613" s="12" t="str">
        <x:v>55 inch</x:v>
      </x:c>
      <x:c r="G2613" s="20" t="n">
        <x:v>1</x:v>
      </x:c>
      <x:c r="H2613" s="12" t="str">
        <x:v>Campus/portfolio roster; individual building occupancy unverified</x:v>
      </x:c>
      <x:c r="I2613" s="12" t="str">
        <x:v>Large enterprise</x:v>
      </x:c>
      <x:c r="J2613" s="12" t="str">
        <x:v>Engineering &amp; manufacturing</x:v>
      </x:c>
      <x:c r="K2613" s="2" t="str">
        <x:v>PARTNER-M108</x:v>
      </x:c>
    </x:row>
    <x:row r="2614" ht="46" customHeight="1">
      <x:c r="A2614" s="2" t="str">
        <x:v>TEN-17840323EA59</x:v>
      </x:c>
      <x:c r="B2614" s="12" t="str">
        <x:v>Juniper</x:v>
      </x:c>
      <x:c r="C2614" s="12" t="str">
        <x:v>CORP-0530</x:v>
      </x:c>
      <x:c r="D2614" s="12" t="str">
        <x:v>Bengaluru</x:v>
      </x:c>
      <x:c r="E2614" s="12" t="str">
        <x:v>Bagmane Tech Park</x:v>
      </x:c>
      <x:c r="F2614" s="12" t="str">
        <x:v>55 inch</x:v>
      </x:c>
      <x:c r="G2614" s="20" t="n">
        <x:v>1</x:v>
      </x:c>
      <x:c r="H2614" s="12" t="str">
        <x:v>Campus/portfolio roster; individual building occupancy unverified</x:v>
      </x:c>
      <x:c r="I2614" s="12" t="str">
        <x:v>Mixed business audience</x:v>
      </x:c>
      <x:c r="J2614" s="12" t="str">
        <x:v>IT &amp; digital</x:v>
      </x:c>
      <x:c r="K2614" s="2" t="str">
        <x:v>PARTNER-M108</x:v>
      </x:c>
    </x:row>
    <x:row r="2615" ht="46" customHeight="1">
      <x:c r="A2615" s="2" t="str">
        <x:v>TEN-19A1211FA855</x:v>
      </x:c>
      <x:c r="B2615" s="12" t="str">
        <x:v>Altiostar</x:v>
      </x:c>
      <x:c r="C2615" s="12" t="str">
        <x:v>CORP-0530</x:v>
      </x:c>
      <x:c r="D2615" s="12" t="str">
        <x:v>Bengaluru</x:v>
      </x:c>
      <x:c r="E2615" s="12" t="str">
        <x:v>Bagmane Tech Park</x:v>
      </x:c>
      <x:c r="F2615" s="12" t="str">
        <x:v>55 inch</x:v>
      </x:c>
      <x:c r="G2615" s="20" t="n">
        <x:v>1</x:v>
      </x:c>
      <x:c r="H2615" s="12" t="str">
        <x:v>Campus/portfolio roster; individual building occupancy unverified</x:v>
      </x:c>
      <x:c r="I2615" s="12" t="str">
        <x:v>Mixed business audience</x:v>
      </x:c>
      <x:c r="J2615" s="12" t="str">
        <x:v>IT &amp; digital</x:v>
      </x:c>
      <x:c r="K2615" s="2" t="str">
        <x:v>PARTNER-M108</x:v>
      </x:c>
    </x:row>
    <x:row r="2616" ht="46" customHeight="1">
      <x:c r="A2616" s="2" t="str">
        <x:v>TEN-1B24400C96AA</x:v>
      </x:c>
      <x:c r="B2616" s="12" t="str">
        <x:v>Sima.ai</x:v>
      </x:c>
      <x:c r="C2616" s="12" t="str">
        <x:v>CORP-0530</x:v>
      </x:c>
      <x:c r="D2616" s="12" t="str">
        <x:v>Bengaluru</x:v>
      </x:c>
      <x:c r="E2616" s="12" t="str">
        <x:v>Bagmane Tech Park</x:v>
      </x:c>
      <x:c r="F2616" s="12" t="str">
        <x:v>55 inch</x:v>
      </x:c>
      <x:c r="G2616" s="20" t="n">
        <x:v>1</x:v>
      </x:c>
      <x:c r="H2616" s="12" t="str">
        <x:v>Campus/portfolio roster; individual building occupancy unverified</x:v>
      </x:c>
      <x:c r="I2616" s="12" t="str">
        <x:v>Small-scale prospects</x:v>
      </x:c>
      <x:c r="J2616" s="12" t="str">
        <x:v>IT &amp; digital</x:v>
      </x:c>
      <x:c r="K2616" s="2" t="str">
        <x:v>PARTNER-M108</x:v>
      </x:c>
    </x:row>
    <x:row r="2617" ht="46" customHeight="1">
      <x:c r="A2617" s="2" t="str">
        <x:v>TEN-2A09783B1C47</x:v>
      </x:c>
      <x:c r="B2617" s="12" t="str">
        <x:v>Cardinal</x:v>
      </x:c>
      <x:c r="C2617" s="12" t="str">
        <x:v>CORP-0530</x:v>
      </x:c>
      <x:c r="D2617" s="12" t="str">
        <x:v>Bengaluru</x:v>
      </x:c>
      <x:c r="E2617" s="12" t="str">
        <x:v>Bagmane Tech Park</x:v>
      </x:c>
      <x:c r="F2617" s="12" t="str">
        <x:v>55 inch</x:v>
      </x:c>
      <x:c r="G2617" s="20" t="n">
        <x:v>1</x:v>
      </x:c>
      <x:c r="H2617" s="12" t="str">
        <x:v>Campus/portfolio roster; individual building occupancy unverified</x:v>
      </x:c>
      <x:c r="I2617" s="12" t="str">
        <x:v>Mixed business audience</x:v>
      </x:c>
      <x:c r="J2617" s="12" t="str">
        <x:v>Unresolved</x:v>
      </x:c>
      <x:c r="K2617" s="2" t="str">
        <x:v>PARTNER-M108</x:v>
      </x:c>
    </x:row>
    <x:row r="2618" ht="46" customHeight="1">
      <x:c r="A2618" s="2" t="str">
        <x:v>TEN-31FF403A64D8</x:v>
      </x:c>
      <x:c r="B2618" s="12" t="str">
        <x:v>Informatica</x:v>
      </x:c>
      <x:c r="C2618" s="12" t="str">
        <x:v>CORP-0530</x:v>
      </x:c>
      <x:c r="D2618" s="12" t="str">
        <x:v>Bengaluru</x:v>
      </x:c>
      <x:c r="E2618" s="12" t="str">
        <x:v>Bagmane Tech Park</x:v>
      </x:c>
      <x:c r="F2618" s="12" t="str">
        <x:v>55 inch</x:v>
      </x:c>
      <x:c r="G2618" s="20" t="n">
        <x:v>1</x:v>
      </x:c>
      <x:c r="H2618" s="12" t="str">
        <x:v>Campus/portfolio roster; individual building occupancy unverified</x:v>
      </x:c>
      <x:c r="I2618" s="12" t="str">
        <x:v>Large enterprise</x:v>
      </x:c>
      <x:c r="J2618" s="12" t="str">
        <x:v>IT &amp; digital</x:v>
      </x:c>
      <x:c r="K2618" s="2" t="str">
        <x:v>PARTNER-M108</x:v>
      </x:c>
    </x:row>
    <x:row r="2619" ht="46" customHeight="1">
      <x:c r="A2619" s="2" t="str">
        <x:v>TEN-36E26473A4E8</x:v>
      </x:c>
      <x:c r="B2619" s="12" t="str">
        <x:v>Alstom</x:v>
      </x:c>
      <x:c r="C2619" s="12" t="str">
        <x:v>CORP-0530</x:v>
      </x:c>
      <x:c r="D2619" s="12" t="str">
        <x:v>Bengaluru</x:v>
      </x:c>
      <x:c r="E2619" s="12" t="str">
        <x:v>Bagmane Tech Park</x:v>
      </x:c>
      <x:c r="F2619" s="12" t="str">
        <x:v>55 inch</x:v>
      </x:c>
      <x:c r="G2619" s="20" t="n">
        <x:v>1</x:v>
      </x:c>
      <x:c r="H2619" s="12" t="str">
        <x:v>Campus/portfolio roster; individual building occupancy unverified</x:v>
      </x:c>
      <x:c r="I2619" s="12" t="str">
        <x:v>Large enterprise</x:v>
      </x:c>
      <x:c r="J2619" s="12" t="str">
        <x:v>Engineering &amp; manufacturing</x:v>
      </x:c>
      <x:c r="K2619" s="2" t="str">
        <x:v>PARTNER-M108</x:v>
      </x:c>
    </x:row>
    <x:row r="2620" ht="46" customHeight="1">
      <x:c r="A2620" s="2" t="str">
        <x:v>TEN-4957DCDAEE1C</x:v>
      </x:c>
      <x:c r="B2620" s="12" t="str">
        <x:v>Walker Chandok</x:v>
      </x:c>
      <x:c r="C2620" s="12" t="str">
        <x:v>CORP-0530</x:v>
      </x:c>
      <x:c r="D2620" s="12" t="str">
        <x:v>Bengaluru</x:v>
      </x:c>
      <x:c r="E2620" s="12" t="str">
        <x:v>Bagmane Tech Park</x:v>
      </x:c>
      <x:c r="F2620" s="12" t="str">
        <x:v>55 inch</x:v>
      </x:c>
      <x:c r="G2620" s="20" t="n">
        <x:v>1</x:v>
      </x:c>
      <x:c r="H2620" s="12" t="str">
        <x:v>Campus/portfolio roster; individual building occupancy unverified</x:v>
      </x:c>
      <x:c r="I2620" s="12" t="str">
        <x:v>Mixed business audience</x:v>
      </x:c>
      <x:c r="J2620" s="12" t="str">
        <x:v>Professional services</x:v>
      </x:c>
      <x:c r="K2620" s="2" t="str">
        <x:v>PARTNER-M108</x:v>
      </x:c>
    </x:row>
    <x:row r="2621" ht="46" customHeight="1">
      <x:c r="A2621" s="2" t="str">
        <x:v>TEN-4BCFB67D5370</x:v>
      </x:c>
      <x:c r="B2621" s="12" t="str">
        <x:v>Dover</x:v>
      </x:c>
      <x:c r="C2621" s="12" t="str">
        <x:v>CORP-0530</x:v>
      </x:c>
      <x:c r="D2621" s="12" t="str">
        <x:v>Bengaluru</x:v>
      </x:c>
      <x:c r="E2621" s="12" t="str">
        <x:v>Bagmane Tech Park</x:v>
      </x:c>
      <x:c r="F2621" s="12" t="str">
        <x:v>55 inch</x:v>
      </x:c>
      <x:c r="G2621" s="20" t="n">
        <x:v>1</x:v>
      </x:c>
      <x:c r="H2621" s="12" t="str">
        <x:v>Campus/portfolio roster; individual building occupancy unverified</x:v>
      </x:c>
      <x:c r="I2621" s="12" t="str">
        <x:v>Mixed business audience</x:v>
      </x:c>
      <x:c r="J2621" s="12" t="str">
        <x:v>Engineering &amp; manufacturing</x:v>
      </x:c>
      <x:c r="K2621" s="2" t="str">
        <x:v>PARTNER-M108</x:v>
      </x:c>
    </x:row>
    <x:row r="2622" ht="46" customHeight="1">
      <x:c r="A2622" s="2" t="str">
        <x:v>TEN-51BE3E92D716</x:v>
      </x:c>
      <x:c r="B2622" s="12" t="str">
        <x:v>Microfocus</x:v>
      </x:c>
      <x:c r="C2622" s="12" t="str">
        <x:v>CORP-0530</x:v>
      </x:c>
      <x:c r="D2622" s="12" t="str">
        <x:v>Bengaluru</x:v>
      </x:c>
      <x:c r="E2622" s="12" t="str">
        <x:v>Bagmane Tech Park</x:v>
      </x:c>
      <x:c r="F2622" s="12" t="str">
        <x:v>55 inch</x:v>
      </x:c>
      <x:c r="G2622" s="20" t="n">
        <x:v>1</x:v>
      </x:c>
      <x:c r="H2622" s="12" t="str">
        <x:v>Campus/portfolio roster; individual building occupancy unverified</x:v>
      </x:c>
      <x:c r="I2622" s="12" t="str">
        <x:v>Mixed business audience</x:v>
      </x:c>
      <x:c r="J2622" s="12" t="str">
        <x:v>IT &amp; digital</x:v>
      </x:c>
      <x:c r="K2622" s="2" t="str">
        <x:v>PARTNER-M108</x:v>
      </x:c>
    </x:row>
    <x:row r="2623" ht="46" customHeight="1">
      <x:c r="A2623" s="2" t="str">
        <x:v>TEN-55F83AF98CA9</x:v>
      </x:c>
      <x:c r="B2623" s="12" t="str">
        <x:v>cypress</x:v>
      </x:c>
      <x:c r="C2623" s="12" t="str">
        <x:v>CORP-0530</x:v>
      </x:c>
      <x:c r="D2623" s="12" t="str">
        <x:v>Bengaluru</x:v>
      </x:c>
      <x:c r="E2623" s="12" t="str">
        <x:v>Bagmane Tech Park</x:v>
      </x:c>
      <x:c r="F2623" s="12" t="str">
        <x:v>55 inch</x:v>
      </x:c>
      <x:c r="G2623" s="20" t="n">
        <x:v>1</x:v>
      </x:c>
      <x:c r="H2623" s="12" t="str">
        <x:v>Campus/portfolio roster; individual building occupancy unverified</x:v>
      </x:c>
      <x:c r="I2623" s="12" t="str">
        <x:v>Mixed business audience</x:v>
      </x:c>
      <x:c r="J2623" s="12" t="str">
        <x:v>Engineering &amp; manufacturing</x:v>
      </x:c>
      <x:c r="K2623" s="2" t="str">
        <x:v>PARTNER-M108</x:v>
      </x:c>
    </x:row>
    <x:row r="2624" ht="46" customHeight="1">
      <x:c r="A2624" s="2" t="str">
        <x:v>TEN-5DD95C98AFF2</x:v>
      </x:c>
      <x:c r="B2624" s="12" t="str">
        <x:v>Nike</x:v>
      </x:c>
      <x:c r="C2624" s="12" t="str">
        <x:v>CORP-0530</x:v>
      </x:c>
      <x:c r="D2624" s="12" t="str">
        <x:v>Bengaluru</x:v>
      </x:c>
      <x:c r="E2624" s="12" t="str">
        <x:v>Bagmane Tech Park</x:v>
      </x:c>
      <x:c r="F2624" s="12" t="str">
        <x:v>55 inch</x:v>
      </x:c>
      <x:c r="G2624" s="20" t="n">
        <x:v>1</x:v>
      </x:c>
      <x:c r="H2624" s="12" t="str">
        <x:v>Campus/portfolio roster; individual building occupancy unverified</x:v>
      </x:c>
      <x:c r="I2624" s="12" t="str">
        <x:v>Mixed business audience</x:v>
      </x:c>
      <x:c r="J2624" s="12" t="str">
        <x:v>Trade, consumer &amp; logistics</x:v>
      </x:c>
      <x:c r="K2624" s="2" t="str">
        <x:v>PARTNER-M108</x:v>
      </x:c>
    </x:row>
    <x:row r="2625" ht="46" customHeight="1">
      <x:c r="A2625" s="2" t="str">
        <x:v>TEN-60A539DE7BB0</x:v>
      </x:c>
      <x:c r="B2625" s="12" t="str">
        <x:v>Ivanti</x:v>
      </x:c>
      <x:c r="C2625" s="12" t="str">
        <x:v>CORP-0530</x:v>
      </x:c>
      <x:c r="D2625" s="12" t="str">
        <x:v>Bengaluru</x:v>
      </x:c>
      <x:c r="E2625" s="12" t="str">
        <x:v>Bagmane Tech Park</x:v>
      </x:c>
      <x:c r="F2625" s="12" t="str">
        <x:v>55 inch</x:v>
      </x:c>
      <x:c r="G2625" s="20" t="n">
        <x:v>1</x:v>
      </x:c>
      <x:c r="H2625" s="12" t="str">
        <x:v>Campus/portfolio roster; individual building occupancy unverified</x:v>
      </x:c>
      <x:c r="I2625" s="12" t="str">
        <x:v>Large enterprise</x:v>
      </x:c>
      <x:c r="J2625" s="12" t="str">
        <x:v>IT &amp; digital</x:v>
      </x:c>
      <x:c r="K2625" s="2" t="str">
        <x:v>PARTNER-M108</x:v>
      </x:c>
    </x:row>
    <x:row r="2626" ht="46" customHeight="1">
      <x:c r="A2626" s="2" t="str">
        <x:v>TEN-7AD6D135A07F</x:v>
      </x:c>
      <x:c r="B2626" s="12" t="str">
        <x:v>Texas Instrument</x:v>
      </x:c>
      <x:c r="C2626" s="12" t="str">
        <x:v>CORP-0530</x:v>
      </x:c>
      <x:c r="D2626" s="12" t="str">
        <x:v>Bengaluru</x:v>
      </x:c>
      <x:c r="E2626" s="12" t="str">
        <x:v>Bagmane Tech Park</x:v>
      </x:c>
      <x:c r="F2626" s="12" t="str">
        <x:v>55 inch</x:v>
      </x:c>
      <x:c r="G2626" s="20" t="n">
        <x:v>1</x:v>
      </x:c>
      <x:c r="H2626" s="12" t="str">
        <x:v>Campus/portfolio roster; individual building occupancy unverified</x:v>
      </x:c>
      <x:c r="I2626" s="12" t="str">
        <x:v>Mixed business audience</x:v>
      </x:c>
      <x:c r="J2626" s="12" t="str">
        <x:v>Engineering &amp; manufacturing</x:v>
      </x:c>
      <x:c r="K2626" s="2" t="str">
        <x:v>PARTNER-M108</x:v>
      </x:c>
    </x:row>
    <x:row r="2627" ht="46" customHeight="1">
      <x:c r="A2627" s="2" t="str">
        <x:v>TEN-7F1B55B86059</x:v>
      </x:c>
      <x:c r="B2627" s="12" t="str">
        <x:v>LAM</x:v>
      </x:c>
      <x:c r="C2627" s="12" t="str">
        <x:v>CORP-0530</x:v>
      </x:c>
      <x:c r="D2627" s="12" t="str">
        <x:v>Bengaluru</x:v>
      </x:c>
      <x:c r="E2627" s="12" t="str">
        <x:v>Bagmane Tech Park</x:v>
      </x:c>
      <x:c r="F2627" s="12" t="str">
        <x:v>55 inch</x:v>
      </x:c>
      <x:c r="G2627" s="20" t="n">
        <x:v>1</x:v>
      </x:c>
      <x:c r="H2627" s="12" t="str">
        <x:v>Campus/portfolio roster; individual building occupancy unverified</x:v>
      </x:c>
      <x:c r="I2627" s="12" t="str">
        <x:v>Mixed business audience</x:v>
      </x:c>
      <x:c r="J2627" s="12" t="str">
        <x:v>Engineering &amp; manufacturing</x:v>
      </x:c>
      <x:c r="K2627" s="2" t="str">
        <x:v>PARTNER-M108</x:v>
      </x:c>
    </x:row>
    <x:row r="2628" ht="46" customHeight="1">
      <x:c r="A2628" s="2" t="str">
        <x:v>TEN-8D1AE0ED034C</x:v>
      </x:c>
      <x:c r="B2628" s="12" t="str">
        <x:v>UKG</x:v>
      </x:c>
      <x:c r="C2628" s="12" t="str">
        <x:v>CORP-0530</x:v>
      </x:c>
      <x:c r="D2628" s="12" t="str">
        <x:v>Bengaluru</x:v>
      </x:c>
      <x:c r="E2628" s="12" t="str">
        <x:v>Bagmane Tech Park</x:v>
      </x:c>
      <x:c r="F2628" s="12" t="str">
        <x:v>55 inch</x:v>
      </x:c>
      <x:c r="G2628" s="20" t="n">
        <x:v>1</x:v>
      </x:c>
      <x:c r="H2628" s="12" t="str">
        <x:v>Campus/portfolio roster; individual building occupancy unverified</x:v>
      </x:c>
      <x:c r="I2628" s="12" t="str">
        <x:v>Mixed business audience</x:v>
      </x:c>
      <x:c r="J2628" s="12" t="str">
        <x:v>IT &amp; digital</x:v>
      </x:c>
      <x:c r="K2628" s="2" t="str">
        <x:v>PARTNER-M108</x:v>
      </x:c>
    </x:row>
    <x:row r="2629" ht="46" customHeight="1">
      <x:c r="A2629" s="2" t="str">
        <x:v>TEN-9387E476D00B</x:v>
      </x:c>
      <x:c r="B2629" s="12" t="str">
        <x:v>SAP concur</x:v>
      </x:c>
      <x:c r="C2629" s="12" t="str">
        <x:v>CORP-0530</x:v>
      </x:c>
      <x:c r="D2629" s="12" t="str">
        <x:v>Bengaluru</x:v>
      </x:c>
      <x:c r="E2629" s="12" t="str">
        <x:v>Bagmane Tech Park</x:v>
      </x:c>
      <x:c r="F2629" s="12" t="str">
        <x:v>55 inch</x:v>
      </x:c>
      <x:c r="G2629" s="20" t="n">
        <x:v>1</x:v>
      </x:c>
      <x:c r="H2629" s="12" t="str">
        <x:v>Campus/portfolio roster; individual building occupancy unverified</x:v>
      </x:c>
      <x:c r="I2629" s="12" t="str">
        <x:v>Large enterprise</x:v>
      </x:c>
      <x:c r="J2629" s="12" t="str">
        <x:v>IT &amp; digital</x:v>
      </x:c>
      <x:c r="K2629" s="2" t="str">
        <x:v>PARTNER-M108</x:v>
      </x:c>
    </x:row>
    <x:row r="2630" ht="46" customHeight="1">
      <x:c r="A2630" s="2" t="str">
        <x:v>TEN-98E929C33151</x:v>
      </x:c>
      <x:c r="B2630" s="12" t="str">
        <x:v>Renesas</x:v>
      </x:c>
      <x:c r="C2630" s="12" t="str">
        <x:v>CORP-0530</x:v>
      </x:c>
      <x:c r="D2630" s="12" t="str">
        <x:v>Bengaluru</x:v>
      </x:c>
      <x:c r="E2630" s="12" t="str">
        <x:v>Bagmane Tech Park</x:v>
      </x:c>
      <x:c r="F2630" s="12" t="str">
        <x:v>55 inch</x:v>
      </x:c>
      <x:c r="G2630" s="20" t="n">
        <x:v>1</x:v>
      </x:c>
      <x:c r="H2630" s="12" t="str">
        <x:v>Campus/portfolio roster; individual building occupancy unverified</x:v>
      </x:c>
      <x:c r="I2630" s="12" t="str">
        <x:v>Mixed business audience</x:v>
      </x:c>
      <x:c r="J2630" s="12" t="str">
        <x:v>Engineering &amp; manufacturing</x:v>
      </x:c>
      <x:c r="K2630" s="2" t="str">
        <x:v>PARTNER-M108</x:v>
      </x:c>
    </x:row>
    <x:row r="2631" ht="46" customHeight="1">
      <x:c r="A2631" s="2" t="str">
        <x:v>TEN-A973ADF51E6A</x:v>
      </x:c>
      <x:c r="B2631" s="12" t="str">
        <x:v>Talisma</x:v>
      </x:c>
      <x:c r="C2631" s="12" t="str">
        <x:v>CORP-0530</x:v>
      </x:c>
      <x:c r="D2631" s="12" t="str">
        <x:v>Bengaluru</x:v>
      </x:c>
      <x:c r="E2631" s="12" t="str">
        <x:v>Bagmane Tech Park</x:v>
      </x:c>
      <x:c r="F2631" s="12" t="str">
        <x:v>55 inch</x:v>
      </x:c>
      <x:c r="G2631" s="20" t="n">
        <x:v>1</x:v>
      </x:c>
      <x:c r="H2631" s="12" t="str">
        <x:v>Campus/portfolio roster; individual building occupancy unverified</x:v>
      </x:c>
      <x:c r="I2631" s="12" t="str">
        <x:v>Mixed business audience</x:v>
      </x:c>
      <x:c r="J2631" s="12" t="str">
        <x:v>IT &amp; digital</x:v>
      </x:c>
      <x:c r="K2631" s="2" t="str">
        <x:v>PARTNER-M108</x:v>
      </x:c>
    </x:row>
    <x:row r="2632" ht="46" customHeight="1">
      <x:c r="A2632" s="2" t="str">
        <x:v>TEN-AEF34FE789D8</x:v>
      </x:c>
      <x:c r="B2632" s="12" t="str">
        <x:v>Pal Alto</x:v>
      </x:c>
      <x:c r="C2632" s="12" t="str">
        <x:v>CORP-0530</x:v>
      </x:c>
      <x:c r="D2632" s="12" t="str">
        <x:v>Bengaluru</x:v>
      </x:c>
      <x:c r="E2632" s="12" t="str">
        <x:v>Bagmane Tech Park</x:v>
      </x:c>
      <x:c r="F2632" s="12" t="str">
        <x:v>55 inch</x:v>
      </x:c>
      <x:c r="G2632" s="20" t="n">
        <x:v>1</x:v>
      </x:c>
      <x:c r="H2632" s="12" t="str">
        <x:v>Campus/portfolio roster; individual building occupancy unverified</x:v>
      </x:c>
      <x:c r="I2632" s="12" t="str">
        <x:v>Mixed business audience</x:v>
      </x:c>
      <x:c r="J2632" s="12" t="str">
        <x:v>Unresolved</x:v>
      </x:c>
      <x:c r="K2632" s="2" t="str">
        <x:v>PARTNER-M108</x:v>
      </x:c>
    </x:row>
    <x:row r="2633" ht="46" customHeight="1">
      <x:c r="A2633" s="2" t="str">
        <x:v>TEN-B1331F460EB4</x:v>
      </x:c>
      <x:c r="B2633" s="12" t="str">
        <x:v>CEM</x:v>
      </x:c>
      <x:c r="C2633" s="12" t="str">
        <x:v>CORP-0530</x:v>
      </x:c>
      <x:c r="D2633" s="12" t="str">
        <x:v>Bengaluru</x:v>
      </x:c>
      <x:c r="E2633" s="12" t="str">
        <x:v>Bagmane Tech Park</x:v>
      </x:c>
      <x:c r="F2633" s="12" t="str">
        <x:v>55 inch</x:v>
      </x:c>
      <x:c r="G2633" s="20" t="n">
        <x:v>1</x:v>
      </x:c>
      <x:c r="H2633" s="12" t="str">
        <x:v>Campus/portfolio roster; individual building occupancy unverified</x:v>
      </x:c>
      <x:c r="I2633" s="12" t="str">
        <x:v>Mixed business audience</x:v>
      </x:c>
      <x:c r="J2633" s="12" t="str">
        <x:v>Unresolved</x:v>
      </x:c>
      <x:c r="K2633" s="2" t="str">
        <x:v>PARTNER-M108</x:v>
      </x:c>
    </x:row>
    <x:row r="2634" ht="46" customHeight="1">
      <x:c r="A2634" s="2" t="str">
        <x:v>TEN-BCCAE4CE7BE6</x:v>
      </x:c>
      <x:c r="B2634" s="12" t="str">
        <x:v>Volvo</x:v>
      </x:c>
      <x:c r="C2634" s="12" t="str">
        <x:v>CORP-0530</x:v>
      </x:c>
      <x:c r="D2634" s="12" t="str">
        <x:v>Bengaluru</x:v>
      </x:c>
      <x:c r="E2634" s="12" t="str">
        <x:v>Bagmane Tech Park</x:v>
      </x:c>
      <x:c r="F2634" s="12" t="str">
        <x:v>55 inch</x:v>
      </x:c>
      <x:c r="G2634" s="20" t="n">
        <x:v>1</x:v>
      </x:c>
      <x:c r="H2634" s="12" t="str">
        <x:v>Campus/portfolio roster; individual building occupancy unverified</x:v>
      </x:c>
      <x:c r="I2634" s="12" t="str">
        <x:v>Mixed business audience</x:v>
      </x:c>
      <x:c r="J2634" s="12" t="str">
        <x:v>Engineering &amp; manufacturing</x:v>
      </x:c>
      <x:c r="K2634" s="2" t="str">
        <x:v>PARTNER-M108</x:v>
      </x:c>
    </x:row>
    <x:row r="2635" ht="46" customHeight="1">
      <x:c r="A2635" s="2" t="str">
        <x:v>TEN-C2ECB55DC1D4</x:v>
      </x:c>
      <x:c r="B2635" s="12" t="str">
        <x:v>ROHM</x:v>
      </x:c>
      <x:c r="C2635" s="12" t="str">
        <x:v>CORP-0530</x:v>
      </x:c>
      <x:c r="D2635" s="12" t="str">
        <x:v>Bengaluru</x:v>
      </x:c>
      <x:c r="E2635" s="12" t="str">
        <x:v>Bagmane Tech Park</x:v>
      </x:c>
      <x:c r="F2635" s="12" t="str">
        <x:v>55 inch</x:v>
      </x:c>
      <x:c r="G2635" s="20" t="n">
        <x:v>1</x:v>
      </x:c>
      <x:c r="H2635" s="12" t="str">
        <x:v>Campus/portfolio roster; individual building occupancy unverified</x:v>
      </x:c>
      <x:c r="I2635" s="12" t="str">
        <x:v>Mixed business audience</x:v>
      </x:c>
      <x:c r="J2635" s="12" t="str">
        <x:v>Engineering &amp; manufacturing</x:v>
      </x:c>
      <x:c r="K2635" s="2" t="str">
        <x:v>PARTNER-M108</x:v>
      </x:c>
    </x:row>
    <x:row r="2636" ht="46" customHeight="1">
      <x:c r="A2636" s="2" t="str">
        <x:v>TEN-C63AC00C4D11</x:v>
      </x:c>
      <x:c r="B2636" s="12" t="str">
        <x:v>Mphasis</x:v>
      </x:c>
      <x:c r="C2636" s="12" t="str">
        <x:v>CORP-0530</x:v>
      </x:c>
      <x:c r="D2636" s="12" t="str">
        <x:v>Bengaluru</x:v>
      </x:c>
      <x:c r="E2636" s="12" t="str">
        <x:v>Bagmane Tech Park</x:v>
      </x:c>
      <x:c r="F2636" s="12" t="str">
        <x:v>55 inch</x:v>
      </x:c>
      <x:c r="G2636" s="20" t="n">
        <x:v>1</x:v>
      </x:c>
      <x:c r="H2636" s="12" t="str">
        <x:v>Campus/portfolio roster; individual building occupancy unverified</x:v>
      </x:c>
      <x:c r="I2636" s="12" t="str">
        <x:v>Large enterprise</x:v>
      </x:c>
      <x:c r="J2636" s="12" t="str">
        <x:v>IT &amp; digital</x:v>
      </x:c>
      <x:c r="K2636" s="2" t="str">
        <x:v>PARTNER-M108</x:v>
      </x:c>
    </x:row>
    <x:row r="2637" ht="46" customHeight="1">
      <x:c r="A2637" s="2" t="str">
        <x:v>TEN-C97CE19B9C35</x:v>
      </x:c>
      <x:c r="B2637" s="12" t="str">
        <x:v>PricewaterhouseCoopers</x:v>
      </x:c>
      <x:c r="C2637" s="12" t="str">
        <x:v>CORP-0530</x:v>
      </x:c>
      <x:c r="D2637" s="12" t="str">
        <x:v>Bengaluru</x:v>
      </x:c>
      <x:c r="E2637" s="12" t="str">
        <x:v>Bagmane Tech Park</x:v>
      </x:c>
      <x:c r="F2637" s="12" t="str">
        <x:v>55 inch</x:v>
      </x:c>
      <x:c r="G2637" s="20" t="n">
        <x:v>1</x:v>
      </x:c>
      <x:c r="H2637" s="12" t="str">
        <x:v>Campus/portfolio roster; individual building occupancy unverified</x:v>
      </x:c>
      <x:c r="I2637" s="12" t="str">
        <x:v>Large enterprise</x:v>
      </x:c>
      <x:c r="J2637" s="12" t="str">
        <x:v>Professional services</x:v>
      </x:c>
      <x:c r="K2637" s="2" t="str">
        <x:v>PARTNER-M108</x:v>
      </x:c>
    </x:row>
    <x:row r="2638" ht="46" customHeight="1">
      <x:c r="A2638" s="2" t="str">
        <x:v>TEN-D0E2ECE166BD</x:v>
      </x:c>
      <x:c r="B2638" s="12" t="str">
        <x:v>Dell</x:v>
      </x:c>
      <x:c r="C2638" s="12" t="str">
        <x:v>CORP-0530</x:v>
      </x:c>
      <x:c r="D2638" s="12" t="str">
        <x:v>Bengaluru</x:v>
      </x:c>
      <x:c r="E2638" s="12" t="str">
        <x:v>Bagmane Tech Park</x:v>
      </x:c>
      <x:c r="F2638" s="12" t="str">
        <x:v>55 inch</x:v>
      </x:c>
      <x:c r="G2638" s="20" t="n">
        <x:v>1</x:v>
      </x:c>
      <x:c r="H2638" s="12" t="str">
        <x:v>Campus/portfolio roster; individual building occupancy unverified</x:v>
      </x:c>
      <x:c r="I2638" s="12" t="str">
        <x:v>Large enterprise</x:v>
      </x:c>
      <x:c r="J2638" s="12" t="str">
        <x:v>Engineering &amp; manufacturing</x:v>
      </x:c>
      <x:c r="K2638" s="2" t="str">
        <x:v>PARTNER-M108</x:v>
      </x:c>
    </x:row>
    <x:row r="2639" ht="46" customHeight="1">
      <x:c r="A2639" s="2" t="str">
        <x:v>TEN-E305C1EB5FCE</x:v>
      </x:c>
      <x:c r="B2639" s="12" t="str">
        <x:v>ALUK</x:v>
      </x:c>
      <x:c r="C2639" s="12" t="str">
        <x:v>CORP-0530</x:v>
      </x:c>
      <x:c r="D2639" s="12" t="str">
        <x:v>Bengaluru</x:v>
      </x:c>
      <x:c r="E2639" s="12" t="str">
        <x:v>Bagmane Tech Park</x:v>
      </x:c>
      <x:c r="F2639" s="12" t="str">
        <x:v>55 inch</x:v>
      </x:c>
      <x:c r="G2639" s="20" t="n">
        <x:v>1</x:v>
      </x:c>
      <x:c r="H2639" s="12" t="str">
        <x:v>Campus/portfolio roster; individual building occupancy unverified</x:v>
      </x:c>
      <x:c r="I2639" s="12" t="str">
        <x:v>Medium-scale prospects</x:v>
      </x:c>
      <x:c r="J2639" s="12" t="str">
        <x:v>Engineering &amp; manufacturing</x:v>
      </x:c>
      <x:c r="K2639" s="2" t="str">
        <x:v>PARTNER-M108</x:v>
      </x:c>
    </x:row>
    <x:row r="2640" ht="46" customHeight="1">
      <x:c r="A2640" s="2" t="str">
        <x:v>TEN-E5E23A26CD36</x:v>
      </x:c>
      <x:c r="B2640" s="12" t="str">
        <x:v>Grant Thornton</x:v>
      </x:c>
      <x:c r="C2640" s="12" t="str">
        <x:v>CORP-0530</x:v>
      </x:c>
      <x:c r="D2640" s="12" t="str">
        <x:v>Bengaluru</x:v>
      </x:c>
      <x:c r="E2640" s="12" t="str">
        <x:v>Bagmane Tech Park</x:v>
      </x:c>
      <x:c r="F2640" s="12" t="str">
        <x:v>55 inch</x:v>
      </x:c>
      <x:c r="G2640" s="20" t="n">
        <x:v>1</x:v>
      </x:c>
      <x:c r="H2640" s="12" t="str">
        <x:v>Campus/portfolio roster; individual building occupancy unverified</x:v>
      </x:c>
      <x:c r="I2640" s="12" t="str">
        <x:v>Large enterprise</x:v>
      </x:c>
      <x:c r="J2640" s="12" t="str">
        <x:v>Professional services</x:v>
      </x:c>
      <x:c r="K2640" s="2" t="str">
        <x:v>PARTNER-M108</x:v>
      </x:c>
    </x:row>
    <x:row r="2641" ht="46" customHeight="1">
      <x:c r="A2641" s="2" t="str">
        <x:v>TEN-E73B79A0B10F</x:v>
      </x:c>
      <x:c r="B2641" s="12" t="str">
        <x:v>Cisco</x:v>
      </x:c>
      <x:c r="C2641" s="12" t="str">
        <x:v>CORP-0530</x:v>
      </x:c>
      <x:c r="D2641" s="12" t="str">
        <x:v>Bengaluru</x:v>
      </x:c>
      <x:c r="E2641" s="12" t="str">
        <x:v>Bagmane Tech Park</x:v>
      </x:c>
      <x:c r="F2641" s="12" t="str">
        <x:v>55 inch</x:v>
      </x:c>
      <x:c r="G2641" s="20" t="n">
        <x:v>1</x:v>
      </x:c>
      <x:c r="H2641" s="12" t="str">
        <x:v>Campus/portfolio roster; individual building occupancy unverified</x:v>
      </x:c>
      <x:c r="I2641" s="12" t="str">
        <x:v>Large enterprise</x:v>
      </x:c>
      <x:c r="J2641" s="12" t="str">
        <x:v>IT &amp; digital</x:v>
      </x:c>
      <x:c r="K2641" s="2" t="str">
        <x:v>PARTNER-M108</x:v>
      </x:c>
    </x:row>
    <x:row r="2642" ht="46" customHeight="1">
      <x:c r="A2642" s="2" t="str">
        <x:v>TEN-F49D19F21FE1</x:v>
      </x:c>
      <x:c r="B2642" s="12" t="str">
        <x:v>L3 Communication</x:v>
      </x:c>
      <x:c r="C2642" s="12" t="str">
        <x:v>CORP-0530</x:v>
      </x:c>
      <x:c r="D2642" s="12" t="str">
        <x:v>Bengaluru</x:v>
      </x:c>
      <x:c r="E2642" s="12" t="str">
        <x:v>Bagmane Tech Park</x:v>
      </x:c>
      <x:c r="F2642" s="12" t="str">
        <x:v>55 inch</x:v>
      </x:c>
      <x:c r="G2642" s="20" t="n">
        <x:v>1</x:v>
      </x:c>
      <x:c r="H2642" s="12" t="str">
        <x:v>Campus/portfolio roster; individual building occupancy unverified</x:v>
      </x:c>
      <x:c r="I2642" s="12" t="str">
        <x:v>Mixed business audience</x:v>
      </x:c>
      <x:c r="J2642" s="12" t="str">
        <x:v>IT &amp; digital</x:v>
      </x:c>
      <x:c r="K2642" s="2" t="str">
        <x:v>PARTNER-M108</x:v>
      </x:c>
    </x:row>
    <x:row r="2643" ht="46" customHeight="1">
      <x:c r="A2643" s="2" t="str">
        <x:v>TEN-FEED58DAA315</x:v>
      </x:c>
      <x:c r="B2643" s="12" t="str">
        <x:v>Infineon</x:v>
      </x:c>
      <x:c r="C2643" s="12" t="str">
        <x:v>CORP-0530</x:v>
      </x:c>
      <x:c r="D2643" s="12" t="str">
        <x:v>Bengaluru</x:v>
      </x:c>
      <x:c r="E2643" s="12" t="str">
        <x:v>Bagmane Tech Park</x:v>
      </x:c>
      <x:c r="F2643" s="12" t="str">
        <x:v>55 inch</x:v>
      </x:c>
      <x:c r="G2643" s="20" t="n">
        <x:v>1</x:v>
      </x:c>
      <x:c r="H2643" s="12" t="str">
        <x:v>Campus/portfolio roster; individual building occupancy unverified</x:v>
      </x:c>
      <x:c r="I2643" s="12" t="str">
        <x:v>Large enterprise</x:v>
      </x:c>
      <x:c r="J2643" s="12" t="str">
        <x:v>Engineering &amp; manufacturing</x:v>
      </x:c>
      <x:c r="K2643" s="2" t="str">
        <x:v>PARTNER-M108</x:v>
      </x:c>
    </x:row>
    <x:row r="2644" ht="46" customHeight="1">
      <x:c r="A2644" s="2" t="str">
        <x:v>TEN-05A498EFD197</x:v>
      </x:c>
      <x:c r="B2644" s="12" t="str">
        <x:v>Kronos</x:v>
      </x:c>
      <x:c r="C2644" s="12" t="str">
        <x:v>CORP-0531</x:v>
      </x:c>
      <x:c r="D2644" s="12" t="str">
        <x:v>Bengaluru</x:v>
      </x:c>
      <x:c r="E2644" s="12" t="str">
        <x:v>Bagmane Tech Park</x:v>
      </x:c>
      <x:c r="F2644" s="12" t="str">
        <x:v>55 inch</x:v>
      </x:c>
      <x:c r="G2644" s="20" t="n">
        <x:v>1</x:v>
      </x:c>
      <x:c r="H2644" s="12" t="str">
        <x:v>Campus/portfolio roster; individual building occupancy unverified</x:v>
      </x:c>
      <x:c r="I2644" s="12" t="str">
        <x:v>Mixed business audience</x:v>
      </x:c>
      <x:c r="J2644" s="12" t="str">
        <x:v>IT &amp; digital</x:v>
      </x:c>
      <x:c r="K2644" s="2" t="str">
        <x:v>PARTNER-M108</x:v>
      </x:c>
    </x:row>
    <x:row r="2645" ht="46" customHeight="1">
      <x:c r="A2645" s="2" t="str">
        <x:v>TEN-0B570123A8C3</x:v>
      </x:c>
      <x:c r="B2645" s="12" t="str">
        <x:v>Commvault</x:v>
      </x:c>
      <x:c r="C2645" s="12" t="str">
        <x:v>CORP-0531</x:v>
      </x:c>
      <x:c r="D2645" s="12" t="str">
        <x:v>Bengaluru</x:v>
      </x:c>
      <x:c r="E2645" s="12" t="str">
        <x:v>Bagmane Tech Park</x:v>
      </x:c>
      <x:c r="F2645" s="12" t="str">
        <x:v>55 inch</x:v>
      </x:c>
      <x:c r="G2645" s="20" t="n">
        <x:v>1</x:v>
      </x:c>
      <x:c r="H2645" s="12" t="str">
        <x:v>Campus/portfolio roster; individual building occupancy unverified</x:v>
      </x:c>
      <x:c r="I2645" s="12" t="str">
        <x:v>Large enterprise</x:v>
      </x:c>
      <x:c r="J2645" s="12" t="str">
        <x:v>IT &amp; digital</x:v>
      </x:c>
      <x:c r="K2645" s="2" t="str">
        <x:v>PARTNER-M108</x:v>
      </x:c>
    </x:row>
    <x:row r="2646" ht="46" customHeight="1">
      <x:c r="A2646" s="2" t="str">
        <x:v>TEN-0C44BE9F7948</x:v>
      </x:c>
      <x:c r="B2646" s="12" t="str">
        <x:v>Motorola</x:v>
      </x:c>
      <x:c r="C2646" s="12" t="str">
        <x:v>CORP-0531</x:v>
      </x:c>
      <x:c r="D2646" s="12" t="str">
        <x:v>Bengaluru</x:v>
      </x:c>
      <x:c r="E2646" s="12" t="str">
        <x:v>Bagmane Tech Park</x:v>
      </x:c>
      <x:c r="F2646" s="12" t="str">
        <x:v>55 inch</x:v>
      </x:c>
      <x:c r="G2646" s="20" t="n">
        <x:v>1</x:v>
      </x:c>
      <x:c r="H2646" s="12" t="str">
        <x:v>Campus/portfolio roster; individual building occupancy unverified</x:v>
      </x:c>
      <x:c r="I2646" s="12" t="str">
        <x:v>Large enterprise</x:v>
      </x:c>
      <x:c r="J2646" s="12" t="str">
        <x:v>Engineering &amp; manufacturing</x:v>
      </x:c>
      <x:c r="K2646" s="2" t="str">
        <x:v>PARTNER-M108</x:v>
      </x:c>
    </x:row>
    <x:row r="2647" ht="46" customHeight="1">
      <x:c r="A2647" s="2" t="str">
        <x:v>TEN-16F45B99ABFD</x:v>
      </x:c>
      <x:c r="B2647" s="12" t="str">
        <x:v>Boeing</x:v>
      </x:c>
      <x:c r="C2647" s="12" t="str">
        <x:v>CORP-0531</x:v>
      </x:c>
      <x:c r="D2647" s="12" t="str">
        <x:v>Bengaluru</x:v>
      </x:c>
      <x:c r="E2647" s="12" t="str">
        <x:v>Bagmane Tech Park</x:v>
      </x:c>
      <x:c r="F2647" s="12" t="str">
        <x:v>55 inch</x:v>
      </x:c>
      <x:c r="G2647" s="20" t="n">
        <x:v>1</x:v>
      </x:c>
      <x:c r="H2647" s="12" t="str">
        <x:v>Campus/portfolio roster; individual building occupancy unverified</x:v>
      </x:c>
      <x:c r="I2647" s="12" t="str">
        <x:v>Large enterprise</x:v>
      </x:c>
      <x:c r="J2647" s="12" t="str">
        <x:v>Engineering &amp; manufacturing</x:v>
      </x:c>
      <x:c r="K2647" s="2" t="str">
        <x:v>PARTNER-M108</x:v>
      </x:c>
    </x:row>
    <x:row r="2648" ht="46" customHeight="1">
      <x:c r="A2648" s="2" t="str">
        <x:v>TEN-17840323EA59</x:v>
      </x:c>
      <x:c r="B2648" s="12" t="str">
        <x:v>Juniper</x:v>
      </x:c>
      <x:c r="C2648" s="12" t="str">
        <x:v>CORP-0531</x:v>
      </x:c>
      <x:c r="D2648" s="12" t="str">
        <x:v>Bengaluru</x:v>
      </x:c>
      <x:c r="E2648" s="12" t="str">
        <x:v>Bagmane Tech Park</x:v>
      </x:c>
      <x:c r="F2648" s="12" t="str">
        <x:v>55 inch</x:v>
      </x:c>
      <x:c r="G2648" s="20" t="n">
        <x:v>1</x:v>
      </x:c>
      <x:c r="H2648" s="12" t="str">
        <x:v>Campus/portfolio roster; individual building occupancy unverified</x:v>
      </x:c>
      <x:c r="I2648" s="12" t="str">
        <x:v>Mixed business audience</x:v>
      </x:c>
      <x:c r="J2648" s="12" t="str">
        <x:v>IT &amp; digital</x:v>
      </x:c>
      <x:c r="K2648" s="2" t="str">
        <x:v>PARTNER-M108</x:v>
      </x:c>
    </x:row>
    <x:row r="2649" ht="46" customHeight="1">
      <x:c r="A2649" s="2" t="str">
        <x:v>TEN-19A1211FA855</x:v>
      </x:c>
      <x:c r="B2649" s="12" t="str">
        <x:v>Altiostar</x:v>
      </x:c>
      <x:c r="C2649" s="12" t="str">
        <x:v>CORP-0531</x:v>
      </x:c>
      <x:c r="D2649" s="12" t="str">
        <x:v>Bengaluru</x:v>
      </x:c>
      <x:c r="E2649" s="12" t="str">
        <x:v>Bagmane Tech Park</x:v>
      </x:c>
      <x:c r="F2649" s="12" t="str">
        <x:v>55 inch</x:v>
      </x:c>
      <x:c r="G2649" s="20" t="n">
        <x:v>1</x:v>
      </x:c>
      <x:c r="H2649" s="12" t="str">
        <x:v>Campus/portfolio roster; individual building occupancy unverified</x:v>
      </x:c>
      <x:c r="I2649" s="12" t="str">
        <x:v>Mixed business audience</x:v>
      </x:c>
      <x:c r="J2649" s="12" t="str">
        <x:v>IT &amp; digital</x:v>
      </x:c>
      <x:c r="K2649" s="2" t="str">
        <x:v>PARTNER-M108</x:v>
      </x:c>
    </x:row>
    <x:row r="2650" ht="46" customHeight="1">
      <x:c r="A2650" s="2" t="str">
        <x:v>TEN-1B24400C96AA</x:v>
      </x:c>
      <x:c r="B2650" s="12" t="str">
        <x:v>Sima.ai</x:v>
      </x:c>
      <x:c r="C2650" s="12" t="str">
        <x:v>CORP-0531</x:v>
      </x:c>
      <x:c r="D2650" s="12" t="str">
        <x:v>Bengaluru</x:v>
      </x:c>
      <x:c r="E2650" s="12" t="str">
        <x:v>Bagmane Tech Park</x:v>
      </x:c>
      <x:c r="F2650" s="12" t="str">
        <x:v>55 inch</x:v>
      </x:c>
      <x:c r="G2650" s="20" t="n">
        <x:v>1</x:v>
      </x:c>
      <x:c r="H2650" s="12" t="str">
        <x:v>Campus/portfolio roster; individual building occupancy unverified</x:v>
      </x:c>
      <x:c r="I2650" s="12" t="str">
        <x:v>Small-scale prospects</x:v>
      </x:c>
      <x:c r="J2650" s="12" t="str">
        <x:v>IT &amp; digital</x:v>
      </x:c>
      <x:c r="K2650" s="2" t="str">
        <x:v>PARTNER-M108</x:v>
      </x:c>
    </x:row>
    <x:row r="2651" ht="46" customHeight="1">
      <x:c r="A2651" s="2" t="str">
        <x:v>TEN-2A09783B1C47</x:v>
      </x:c>
      <x:c r="B2651" s="12" t="str">
        <x:v>Cardinal</x:v>
      </x:c>
      <x:c r="C2651" s="12" t="str">
        <x:v>CORP-0531</x:v>
      </x:c>
      <x:c r="D2651" s="12" t="str">
        <x:v>Bengaluru</x:v>
      </x:c>
      <x:c r="E2651" s="12" t="str">
        <x:v>Bagmane Tech Park</x:v>
      </x:c>
      <x:c r="F2651" s="12" t="str">
        <x:v>55 inch</x:v>
      </x:c>
      <x:c r="G2651" s="20" t="n">
        <x:v>1</x:v>
      </x:c>
      <x:c r="H2651" s="12" t="str">
        <x:v>Campus/portfolio roster; individual building occupancy unverified</x:v>
      </x:c>
      <x:c r="I2651" s="12" t="str">
        <x:v>Mixed business audience</x:v>
      </x:c>
      <x:c r="J2651" s="12" t="str">
        <x:v>Unresolved</x:v>
      </x:c>
      <x:c r="K2651" s="2" t="str">
        <x:v>PARTNER-M108</x:v>
      </x:c>
    </x:row>
    <x:row r="2652" ht="46" customHeight="1">
      <x:c r="A2652" s="2" t="str">
        <x:v>TEN-31FF403A64D8</x:v>
      </x:c>
      <x:c r="B2652" s="12" t="str">
        <x:v>Informatica</x:v>
      </x:c>
      <x:c r="C2652" s="12" t="str">
        <x:v>CORP-0531</x:v>
      </x:c>
      <x:c r="D2652" s="12" t="str">
        <x:v>Bengaluru</x:v>
      </x:c>
      <x:c r="E2652" s="12" t="str">
        <x:v>Bagmane Tech Park</x:v>
      </x:c>
      <x:c r="F2652" s="12" t="str">
        <x:v>55 inch</x:v>
      </x:c>
      <x:c r="G2652" s="20" t="n">
        <x:v>1</x:v>
      </x:c>
      <x:c r="H2652" s="12" t="str">
        <x:v>Campus/portfolio roster; individual building occupancy unverified</x:v>
      </x:c>
      <x:c r="I2652" s="12" t="str">
        <x:v>Large enterprise</x:v>
      </x:c>
      <x:c r="J2652" s="12" t="str">
        <x:v>IT &amp; digital</x:v>
      </x:c>
      <x:c r="K2652" s="2" t="str">
        <x:v>PARTNER-M108</x:v>
      </x:c>
    </x:row>
    <x:row r="2653" ht="46" customHeight="1">
      <x:c r="A2653" s="2" t="str">
        <x:v>TEN-36E26473A4E8</x:v>
      </x:c>
      <x:c r="B2653" s="12" t="str">
        <x:v>Alstom</x:v>
      </x:c>
      <x:c r="C2653" s="12" t="str">
        <x:v>CORP-0531</x:v>
      </x:c>
      <x:c r="D2653" s="12" t="str">
        <x:v>Bengaluru</x:v>
      </x:c>
      <x:c r="E2653" s="12" t="str">
        <x:v>Bagmane Tech Park</x:v>
      </x:c>
      <x:c r="F2653" s="12" t="str">
        <x:v>55 inch</x:v>
      </x:c>
      <x:c r="G2653" s="20" t="n">
        <x:v>1</x:v>
      </x:c>
      <x:c r="H2653" s="12" t="str">
        <x:v>Campus/portfolio roster; individual building occupancy unverified</x:v>
      </x:c>
      <x:c r="I2653" s="12" t="str">
        <x:v>Large enterprise</x:v>
      </x:c>
      <x:c r="J2653" s="12" t="str">
        <x:v>Engineering &amp; manufacturing</x:v>
      </x:c>
      <x:c r="K2653" s="2" t="str">
        <x:v>PARTNER-M108</x:v>
      </x:c>
    </x:row>
    <x:row r="2654" ht="46" customHeight="1">
      <x:c r="A2654" s="2" t="str">
        <x:v>TEN-4957DCDAEE1C</x:v>
      </x:c>
      <x:c r="B2654" s="12" t="str">
        <x:v>Walker Chandok</x:v>
      </x:c>
      <x:c r="C2654" s="12" t="str">
        <x:v>CORP-0531</x:v>
      </x:c>
      <x:c r="D2654" s="12" t="str">
        <x:v>Bengaluru</x:v>
      </x:c>
      <x:c r="E2654" s="12" t="str">
        <x:v>Bagmane Tech Park</x:v>
      </x:c>
      <x:c r="F2654" s="12" t="str">
        <x:v>55 inch</x:v>
      </x:c>
      <x:c r="G2654" s="20" t="n">
        <x:v>1</x:v>
      </x:c>
      <x:c r="H2654" s="12" t="str">
        <x:v>Campus/portfolio roster; individual building occupancy unverified</x:v>
      </x:c>
      <x:c r="I2654" s="12" t="str">
        <x:v>Mixed business audience</x:v>
      </x:c>
      <x:c r="J2654" s="12" t="str">
        <x:v>Professional services</x:v>
      </x:c>
      <x:c r="K2654" s="2" t="str">
        <x:v>PARTNER-M108</x:v>
      </x:c>
    </x:row>
    <x:row r="2655" ht="46" customHeight="1">
      <x:c r="A2655" s="2" t="str">
        <x:v>TEN-4BCFB67D5370</x:v>
      </x:c>
      <x:c r="B2655" s="12" t="str">
        <x:v>Dover</x:v>
      </x:c>
      <x:c r="C2655" s="12" t="str">
        <x:v>CORP-0531</x:v>
      </x:c>
      <x:c r="D2655" s="12" t="str">
        <x:v>Bengaluru</x:v>
      </x:c>
      <x:c r="E2655" s="12" t="str">
        <x:v>Bagmane Tech Park</x:v>
      </x:c>
      <x:c r="F2655" s="12" t="str">
        <x:v>55 inch</x:v>
      </x:c>
      <x:c r="G2655" s="20" t="n">
        <x:v>1</x:v>
      </x:c>
      <x:c r="H2655" s="12" t="str">
        <x:v>Campus/portfolio roster; individual building occupancy unverified</x:v>
      </x:c>
      <x:c r="I2655" s="12" t="str">
        <x:v>Mixed business audience</x:v>
      </x:c>
      <x:c r="J2655" s="12" t="str">
        <x:v>Engineering &amp; manufacturing</x:v>
      </x:c>
      <x:c r="K2655" s="2" t="str">
        <x:v>PARTNER-M108</x:v>
      </x:c>
    </x:row>
    <x:row r="2656" ht="46" customHeight="1">
      <x:c r="A2656" s="2" t="str">
        <x:v>TEN-51BE3E92D716</x:v>
      </x:c>
      <x:c r="B2656" s="12" t="str">
        <x:v>Microfocus</x:v>
      </x:c>
      <x:c r="C2656" s="12" t="str">
        <x:v>CORP-0531</x:v>
      </x:c>
      <x:c r="D2656" s="12" t="str">
        <x:v>Bengaluru</x:v>
      </x:c>
      <x:c r="E2656" s="12" t="str">
        <x:v>Bagmane Tech Park</x:v>
      </x:c>
      <x:c r="F2656" s="12" t="str">
        <x:v>55 inch</x:v>
      </x:c>
      <x:c r="G2656" s="20" t="n">
        <x:v>1</x:v>
      </x:c>
      <x:c r="H2656" s="12" t="str">
        <x:v>Campus/portfolio roster; individual building occupancy unverified</x:v>
      </x:c>
      <x:c r="I2656" s="12" t="str">
        <x:v>Mixed business audience</x:v>
      </x:c>
      <x:c r="J2656" s="12" t="str">
        <x:v>IT &amp; digital</x:v>
      </x:c>
      <x:c r="K2656" s="2" t="str">
        <x:v>PARTNER-M108</x:v>
      </x:c>
    </x:row>
    <x:row r="2657" ht="46" customHeight="1">
      <x:c r="A2657" s="2" t="str">
        <x:v>TEN-55F83AF98CA9</x:v>
      </x:c>
      <x:c r="B2657" s="12" t="str">
        <x:v>cypress</x:v>
      </x:c>
      <x:c r="C2657" s="12" t="str">
        <x:v>CORP-0531</x:v>
      </x:c>
      <x:c r="D2657" s="12" t="str">
        <x:v>Bengaluru</x:v>
      </x:c>
      <x:c r="E2657" s="12" t="str">
        <x:v>Bagmane Tech Park</x:v>
      </x:c>
      <x:c r="F2657" s="12" t="str">
        <x:v>55 inch</x:v>
      </x:c>
      <x:c r="G2657" s="20" t="n">
        <x:v>1</x:v>
      </x:c>
      <x:c r="H2657" s="12" t="str">
        <x:v>Campus/portfolio roster; individual building occupancy unverified</x:v>
      </x:c>
      <x:c r="I2657" s="12" t="str">
        <x:v>Mixed business audience</x:v>
      </x:c>
      <x:c r="J2657" s="12" t="str">
        <x:v>Engineering &amp; manufacturing</x:v>
      </x:c>
      <x:c r="K2657" s="2" t="str">
        <x:v>PARTNER-M108</x:v>
      </x:c>
    </x:row>
    <x:row r="2658" ht="46" customHeight="1">
      <x:c r="A2658" s="2" t="str">
        <x:v>TEN-5DD95C98AFF2</x:v>
      </x:c>
      <x:c r="B2658" s="12" t="str">
        <x:v>Nike</x:v>
      </x:c>
      <x:c r="C2658" s="12" t="str">
        <x:v>CORP-0531</x:v>
      </x:c>
      <x:c r="D2658" s="12" t="str">
        <x:v>Bengaluru</x:v>
      </x:c>
      <x:c r="E2658" s="12" t="str">
        <x:v>Bagmane Tech Park</x:v>
      </x:c>
      <x:c r="F2658" s="12" t="str">
        <x:v>55 inch</x:v>
      </x:c>
      <x:c r="G2658" s="20" t="n">
        <x:v>1</x:v>
      </x:c>
      <x:c r="H2658" s="12" t="str">
        <x:v>Campus/portfolio roster; individual building occupancy unverified</x:v>
      </x:c>
      <x:c r="I2658" s="12" t="str">
        <x:v>Mixed business audience</x:v>
      </x:c>
      <x:c r="J2658" s="12" t="str">
        <x:v>Trade, consumer &amp; logistics</x:v>
      </x:c>
      <x:c r="K2658" s="2" t="str">
        <x:v>PARTNER-M108</x:v>
      </x:c>
    </x:row>
    <x:row r="2659" ht="46" customHeight="1">
      <x:c r="A2659" s="2" t="str">
        <x:v>TEN-60A539DE7BB0</x:v>
      </x:c>
      <x:c r="B2659" s="12" t="str">
        <x:v>Ivanti</x:v>
      </x:c>
      <x:c r="C2659" s="12" t="str">
        <x:v>CORP-0531</x:v>
      </x:c>
      <x:c r="D2659" s="12" t="str">
        <x:v>Bengaluru</x:v>
      </x:c>
      <x:c r="E2659" s="12" t="str">
        <x:v>Bagmane Tech Park</x:v>
      </x:c>
      <x:c r="F2659" s="12" t="str">
        <x:v>55 inch</x:v>
      </x:c>
      <x:c r="G2659" s="20" t="n">
        <x:v>1</x:v>
      </x:c>
      <x:c r="H2659" s="12" t="str">
        <x:v>Campus/portfolio roster; individual building occupancy unverified</x:v>
      </x:c>
      <x:c r="I2659" s="12" t="str">
        <x:v>Large enterprise</x:v>
      </x:c>
      <x:c r="J2659" s="12" t="str">
        <x:v>IT &amp; digital</x:v>
      </x:c>
      <x:c r="K2659" s="2" t="str">
        <x:v>PARTNER-M108</x:v>
      </x:c>
    </x:row>
    <x:row r="2660" ht="46" customHeight="1">
      <x:c r="A2660" s="2" t="str">
        <x:v>TEN-7AD6D135A07F</x:v>
      </x:c>
      <x:c r="B2660" s="12" t="str">
        <x:v>Texas Instrument</x:v>
      </x:c>
      <x:c r="C2660" s="12" t="str">
        <x:v>CORP-0531</x:v>
      </x:c>
      <x:c r="D2660" s="12" t="str">
        <x:v>Bengaluru</x:v>
      </x:c>
      <x:c r="E2660" s="12" t="str">
        <x:v>Bagmane Tech Park</x:v>
      </x:c>
      <x:c r="F2660" s="12" t="str">
        <x:v>55 inch</x:v>
      </x:c>
      <x:c r="G2660" s="20" t="n">
        <x:v>1</x:v>
      </x:c>
      <x:c r="H2660" s="12" t="str">
        <x:v>Campus/portfolio roster; individual building occupancy unverified</x:v>
      </x:c>
      <x:c r="I2660" s="12" t="str">
        <x:v>Mixed business audience</x:v>
      </x:c>
      <x:c r="J2660" s="12" t="str">
        <x:v>Engineering &amp; manufacturing</x:v>
      </x:c>
      <x:c r="K2660" s="2" t="str">
        <x:v>PARTNER-M108</x:v>
      </x:c>
    </x:row>
    <x:row r="2661" ht="46" customHeight="1">
      <x:c r="A2661" s="2" t="str">
        <x:v>TEN-7F1B55B86059</x:v>
      </x:c>
      <x:c r="B2661" s="12" t="str">
        <x:v>LAM</x:v>
      </x:c>
      <x:c r="C2661" s="12" t="str">
        <x:v>CORP-0531</x:v>
      </x:c>
      <x:c r="D2661" s="12" t="str">
        <x:v>Bengaluru</x:v>
      </x:c>
      <x:c r="E2661" s="12" t="str">
        <x:v>Bagmane Tech Park</x:v>
      </x:c>
      <x:c r="F2661" s="12" t="str">
        <x:v>55 inch</x:v>
      </x:c>
      <x:c r="G2661" s="20" t="n">
        <x:v>1</x:v>
      </x:c>
      <x:c r="H2661" s="12" t="str">
        <x:v>Campus/portfolio roster; individual building occupancy unverified</x:v>
      </x:c>
      <x:c r="I2661" s="12" t="str">
        <x:v>Mixed business audience</x:v>
      </x:c>
      <x:c r="J2661" s="12" t="str">
        <x:v>Engineering &amp; manufacturing</x:v>
      </x:c>
      <x:c r="K2661" s="2" t="str">
        <x:v>PARTNER-M108</x:v>
      </x:c>
    </x:row>
    <x:row r="2662" ht="46" customHeight="1">
      <x:c r="A2662" s="2" t="str">
        <x:v>TEN-8D1AE0ED034C</x:v>
      </x:c>
      <x:c r="B2662" s="12" t="str">
        <x:v>UKG</x:v>
      </x:c>
      <x:c r="C2662" s="12" t="str">
        <x:v>CORP-0531</x:v>
      </x:c>
      <x:c r="D2662" s="12" t="str">
        <x:v>Bengaluru</x:v>
      </x:c>
      <x:c r="E2662" s="12" t="str">
        <x:v>Bagmane Tech Park</x:v>
      </x:c>
      <x:c r="F2662" s="12" t="str">
        <x:v>55 inch</x:v>
      </x:c>
      <x:c r="G2662" s="20" t="n">
        <x:v>1</x:v>
      </x:c>
      <x:c r="H2662" s="12" t="str">
        <x:v>Campus/portfolio roster; individual building occupancy unverified</x:v>
      </x:c>
      <x:c r="I2662" s="12" t="str">
        <x:v>Mixed business audience</x:v>
      </x:c>
      <x:c r="J2662" s="12" t="str">
        <x:v>IT &amp; digital</x:v>
      </x:c>
      <x:c r="K2662" s="2" t="str">
        <x:v>PARTNER-M108</x:v>
      </x:c>
    </x:row>
    <x:row r="2663" ht="46" customHeight="1">
      <x:c r="A2663" s="2" t="str">
        <x:v>TEN-9387E476D00B</x:v>
      </x:c>
      <x:c r="B2663" s="12" t="str">
        <x:v>SAP concur</x:v>
      </x:c>
      <x:c r="C2663" s="12" t="str">
        <x:v>CORP-0531</x:v>
      </x:c>
      <x:c r="D2663" s="12" t="str">
        <x:v>Bengaluru</x:v>
      </x:c>
      <x:c r="E2663" s="12" t="str">
        <x:v>Bagmane Tech Park</x:v>
      </x:c>
      <x:c r="F2663" s="12" t="str">
        <x:v>55 inch</x:v>
      </x:c>
      <x:c r="G2663" s="20" t="n">
        <x:v>1</x:v>
      </x:c>
      <x:c r="H2663" s="12" t="str">
        <x:v>Campus/portfolio roster; individual building occupancy unverified</x:v>
      </x:c>
      <x:c r="I2663" s="12" t="str">
        <x:v>Large enterprise</x:v>
      </x:c>
      <x:c r="J2663" s="12" t="str">
        <x:v>IT &amp; digital</x:v>
      </x:c>
      <x:c r="K2663" s="2" t="str">
        <x:v>PARTNER-M108</x:v>
      </x:c>
    </x:row>
    <x:row r="2664" ht="46" customHeight="1">
      <x:c r="A2664" s="2" t="str">
        <x:v>TEN-98E929C33151</x:v>
      </x:c>
      <x:c r="B2664" s="12" t="str">
        <x:v>Renesas</x:v>
      </x:c>
      <x:c r="C2664" s="12" t="str">
        <x:v>CORP-0531</x:v>
      </x:c>
      <x:c r="D2664" s="12" t="str">
        <x:v>Bengaluru</x:v>
      </x:c>
      <x:c r="E2664" s="12" t="str">
        <x:v>Bagmane Tech Park</x:v>
      </x:c>
      <x:c r="F2664" s="12" t="str">
        <x:v>55 inch</x:v>
      </x:c>
      <x:c r="G2664" s="20" t="n">
        <x:v>1</x:v>
      </x:c>
      <x:c r="H2664" s="12" t="str">
        <x:v>Campus/portfolio roster; individual building occupancy unverified</x:v>
      </x:c>
      <x:c r="I2664" s="12" t="str">
        <x:v>Mixed business audience</x:v>
      </x:c>
      <x:c r="J2664" s="12" t="str">
        <x:v>Engineering &amp; manufacturing</x:v>
      </x:c>
      <x:c r="K2664" s="2" t="str">
        <x:v>PARTNER-M108</x:v>
      </x:c>
    </x:row>
    <x:row r="2665" ht="46" customHeight="1">
      <x:c r="A2665" s="2" t="str">
        <x:v>TEN-A973ADF51E6A</x:v>
      </x:c>
      <x:c r="B2665" s="12" t="str">
        <x:v>Talisma</x:v>
      </x:c>
      <x:c r="C2665" s="12" t="str">
        <x:v>CORP-0531</x:v>
      </x:c>
      <x:c r="D2665" s="12" t="str">
        <x:v>Bengaluru</x:v>
      </x:c>
      <x:c r="E2665" s="12" t="str">
        <x:v>Bagmane Tech Park</x:v>
      </x:c>
      <x:c r="F2665" s="12" t="str">
        <x:v>55 inch</x:v>
      </x:c>
      <x:c r="G2665" s="20" t="n">
        <x:v>1</x:v>
      </x:c>
      <x:c r="H2665" s="12" t="str">
        <x:v>Campus/portfolio roster; individual building occupancy unverified</x:v>
      </x:c>
      <x:c r="I2665" s="12" t="str">
        <x:v>Mixed business audience</x:v>
      </x:c>
      <x:c r="J2665" s="12" t="str">
        <x:v>IT &amp; digital</x:v>
      </x:c>
      <x:c r="K2665" s="2" t="str">
        <x:v>PARTNER-M108</x:v>
      </x:c>
    </x:row>
    <x:row r="2666" ht="46" customHeight="1">
      <x:c r="A2666" s="2" t="str">
        <x:v>TEN-AEF34FE789D8</x:v>
      </x:c>
      <x:c r="B2666" s="12" t="str">
        <x:v>Pal Alto</x:v>
      </x:c>
      <x:c r="C2666" s="12" t="str">
        <x:v>CORP-0531</x:v>
      </x:c>
      <x:c r="D2666" s="12" t="str">
        <x:v>Bengaluru</x:v>
      </x:c>
      <x:c r="E2666" s="12" t="str">
        <x:v>Bagmane Tech Park</x:v>
      </x:c>
      <x:c r="F2666" s="12" t="str">
        <x:v>55 inch</x:v>
      </x:c>
      <x:c r="G2666" s="20" t="n">
        <x:v>1</x:v>
      </x:c>
      <x:c r="H2666" s="12" t="str">
        <x:v>Campus/portfolio roster; individual building occupancy unverified</x:v>
      </x:c>
      <x:c r="I2666" s="12" t="str">
        <x:v>Mixed business audience</x:v>
      </x:c>
      <x:c r="J2666" s="12" t="str">
        <x:v>Unresolved</x:v>
      </x:c>
      <x:c r="K2666" s="2" t="str">
        <x:v>PARTNER-M108</x:v>
      </x:c>
    </x:row>
    <x:row r="2667" ht="46" customHeight="1">
      <x:c r="A2667" s="2" t="str">
        <x:v>TEN-B1331F460EB4</x:v>
      </x:c>
      <x:c r="B2667" s="12" t="str">
        <x:v>CEM</x:v>
      </x:c>
      <x:c r="C2667" s="12" t="str">
        <x:v>CORP-0531</x:v>
      </x:c>
      <x:c r="D2667" s="12" t="str">
        <x:v>Bengaluru</x:v>
      </x:c>
      <x:c r="E2667" s="12" t="str">
        <x:v>Bagmane Tech Park</x:v>
      </x:c>
      <x:c r="F2667" s="12" t="str">
        <x:v>55 inch</x:v>
      </x:c>
      <x:c r="G2667" s="20" t="n">
        <x:v>1</x:v>
      </x:c>
      <x:c r="H2667" s="12" t="str">
        <x:v>Campus/portfolio roster; individual building occupancy unverified</x:v>
      </x:c>
      <x:c r="I2667" s="12" t="str">
        <x:v>Mixed business audience</x:v>
      </x:c>
      <x:c r="J2667" s="12" t="str">
        <x:v>Unresolved</x:v>
      </x:c>
      <x:c r="K2667" s="2" t="str">
        <x:v>PARTNER-M108</x:v>
      </x:c>
    </x:row>
    <x:row r="2668" ht="46" customHeight="1">
      <x:c r="A2668" s="2" t="str">
        <x:v>TEN-BCCAE4CE7BE6</x:v>
      </x:c>
      <x:c r="B2668" s="12" t="str">
        <x:v>Volvo</x:v>
      </x:c>
      <x:c r="C2668" s="12" t="str">
        <x:v>CORP-0531</x:v>
      </x:c>
      <x:c r="D2668" s="12" t="str">
        <x:v>Bengaluru</x:v>
      </x:c>
      <x:c r="E2668" s="12" t="str">
        <x:v>Bagmane Tech Park</x:v>
      </x:c>
      <x:c r="F2668" s="12" t="str">
        <x:v>55 inch</x:v>
      </x:c>
      <x:c r="G2668" s="20" t="n">
        <x:v>1</x:v>
      </x:c>
      <x:c r="H2668" s="12" t="str">
        <x:v>Campus/portfolio roster; individual building occupancy unverified</x:v>
      </x:c>
      <x:c r="I2668" s="12" t="str">
        <x:v>Mixed business audience</x:v>
      </x:c>
      <x:c r="J2668" s="12" t="str">
        <x:v>Engineering &amp; manufacturing</x:v>
      </x:c>
      <x:c r="K2668" s="2" t="str">
        <x:v>PARTNER-M108</x:v>
      </x:c>
    </x:row>
    <x:row r="2669" ht="46" customHeight="1">
      <x:c r="A2669" s="2" t="str">
        <x:v>TEN-C2ECB55DC1D4</x:v>
      </x:c>
      <x:c r="B2669" s="12" t="str">
        <x:v>ROHM</x:v>
      </x:c>
      <x:c r="C2669" s="12" t="str">
        <x:v>CORP-0531</x:v>
      </x:c>
      <x:c r="D2669" s="12" t="str">
        <x:v>Bengaluru</x:v>
      </x:c>
      <x:c r="E2669" s="12" t="str">
        <x:v>Bagmane Tech Park</x:v>
      </x:c>
      <x:c r="F2669" s="12" t="str">
        <x:v>55 inch</x:v>
      </x:c>
      <x:c r="G2669" s="20" t="n">
        <x:v>1</x:v>
      </x:c>
      <x:c r="H2669" s="12" t="str">
        <x:v>Campus/portfolio roster; individual building occupancy unverified</x:v>
      </x:c>
      <x:c r="I2669" s="12" t="str">
        <x:v>Mixed business audience</x:v>
      </x:c>
      <x:c r="J2669" s="12" t="str">
        <x:v>Engineering &amp; manufacturing</x:v>
      </x:c>
      <x:c r="K2669" s="2" t="str">
        <x:v>PARTNER-M108</x:v>
      </x:c>
    </x:row>
    <x:row r="2670" ht="46" customHeight="1">
      <x:c r="A2670" s="2" t="str">
        <x:v>TEN-C63AC00C4D11</x:v>
      </x:c>
      <x:c r="B2670" s="12" t="str">
        <x:v>Mphasis</x:v>
      </x:c>
      <x:c r="C2670" s="12" t="str">
        <x:v>CORP-0531</x:v>
      </x:c>
      <x:c r="D2670" s="12" t="str">
        <x:v>Bengaluru</x:v>
      </x:c>
      <x:c r="E2670" s="12" t="str">
        <x:v>Bagmane Tech Park</x:v>
      </x:c>
      <x:c r="F2670" s="12" t="str">
        <x:v>55 inch</x:v>
      </x:c>
      <x:c r="G2670" s="20" t="n">
        <x:v>1</x:v>
      </x:c>
      <x:c r="H2670" s="12" t="str">
        <x:v>Campus/portfolio roster; individual building occupancy unverified</x:v>
      </x:c>
      <x:c r="I2670" s="12" t="str">
        <x:v>Large enterprise</x:v>
      </x:c>
      <x:c r="J2670" s="12" t="str">
        <x:v>IT &amp; digital</x:v>
      </x:c>
      <x:c r="K2670" s="2" t="str">
        <x:v>PARTNER-M108</x:v>
      </x:c>
    </x:row>
    <x:row r="2671" ht="46" customHeight="1">
      <x:c r="A2671" s="2" t="str">
        <x:v>TEN-C97CE19B9C35</x:v>
      </x:c>
      <x:c r="B2671" s="12" t="str">
        <x:v>PricewaterhouseCoopers</x:v>
      </x:c>
      <x:c r="C2671" s="12" t="str">
        <x:v>CORP-0531</x:v>
      </x:c>
      <x:c r="D2671" s="12" t="str">
        <x:v>Bengaluru</x:v>
      </x:c>
      <x:c r="E2671" s="12" t="str">
        <x:v>Bagmane Tech Park</x:v>
      </x:c>
      <x:c r="F2671" s="12" t="str">
        <x:v>55 inch</x:v>
      </x:c>
      <x:c r="G2671" s="20" t="n">
        <x:v>1</x:v>
      </x:c>
      <x:c r="H2671" s="12" t="str">
        <x:v>Campus/portfolio roster; individual building occupancy unverified</x:v>
      </x:c>
      <x:c r="I2671" s="12" t="str">
        <x:v>Large enterprise</x:v>
      </x:c>
      <x:c r="J2671" s="12" t="str">
        <x:v>Professional services</x:v>
      </x:c>
      <x:c r="K2671" s="2" t="str">
        <x:v>PARTNER-M108</x:v>
      </x:c>
    </x:row>
    <x:row r="2672" ht="46" customHeight="1">
      <x:c r="A2672" s="2" t="str">
        <x:v>TEN-D0E2ECE166BD</x:v>
      </x:c>
      <x:c r="B2672" s="12" t="str">
        <x:v>Dell</x:v>
      </x:c>
      <x:c r="C2672" s="12" t="str">
        <x:v>CORP-0531</x:v>
      </x:c>
      <x:c r="D2672" s="12" t="str">
        <x:v>Bengaluru</x:v>
      </x:c>
      <x:c r="E2672" s="12" t="str">
        <x:v>Bagmane Tech Park</x:v>
      </x:c>
      <x:c r="F2672" s="12" t="str">
        <x:v>55 inch</x:v>
      </x:c>
      <x:c r="G2672" s="20" t="n">
        <x:v>1</x:v>
      </x:c>
      <x:c r="H2672" s="12" t="str">
        <x:v>Campus/portfolio roster; individual building occupancy unverified</x:v>
      </x:c>
      <x:c r="I2672" s="12" t="str">
        <x:v>Large enterprise</x:v>
      </x:c>
      <x:c r="J2672" s="12" t="str">
        <x:v>Engineering &amp; manufacturing</x:v>
      </x:c>
      <x:c r="K2672" s="2" t="str">
        <x:v>PARTNER-M108</x:v>
      </x:c>
    </x:row>
    <x:row r="2673" ht="46" customHeight="1">
      <x:c r="A2673" s="2" t="str">
        <x:v>TEN-E305C1EB5FCE</x:v>
      </x:c>
      <x:c r="B2673" s="12" t="str">
        <x:v>ALUK</x:v>
      </x:c>
      <x:c r="C2673" s="12" t="str">
        <x:v>CORP-0531</x:v>
      </x:c>
      <x:c r="D2673" s="12" t="str">
        <x:v>Bengaluru</x:v>
      </x:c>
      <x:c r="E2673" s="12" t="str">
        <x:v>Bagmane Tech Park</x:v>
      </x:c>
      <x:c r="F2673" s="12" t="str">
        <x:v>55 inch</x:v>
      </x:c>
      <x:c r="G2673" s="20" t="n">
        <x:v>1</x:v>
      </x:c>
      <x:c r="H2673" s="12" t="str">
        <x:v>Campus/portfolio roster; individual building occupancy unverified</x:v>
      </x:c>
      <x:c r="I2673" s="12" t="str">
        <x:v>Medium-scale prospects</x:v>
      </x:c>
      <x:c r="J2673" s="12" t="str">
        <x:v>Engineering &amp; manufacturing</x:v>
      </x:c>
      <x:c r="K2673" s="2" t="str">
        <x:v>PARTNER-M108</x:v>
      </x:c>
    </x:row>
    <x:row r="2674" ht="46" customHeight="1">
      <x:c r="A2674" s="2" t="str">
        <x:v>TEN-E5E23A26CD36</x:v>
      </x:c>
      <x:c r="B2674" s="12" t="str">
        <x:v>Grant Thornton</x:v>
      </x:c>
      <x:c r="C2674" s="12" t="str">
        <x:v>CORP-0531</x:v>
      </x:c>
      <x:c r="D2674" s="12" t="str">
        <x:v>Bengaluru</x:v>
      </x:c>
      <x:c r="E2674" s="12" t="str">
        <x:v>Bagmane Tech Park</x:v>
      </x:c>
      <x:c r="F2674" s="12" t="str">
        <x:v>55 inch</x:v>
      </x:c>
      <x:c r="G2674" s="20" t="n">
        <x:v>1</x:v>
      </x:c>
      <x:c r="H2674" s="12" t="str">
        <x:v>Campus/portfolio roster; individual building occupancy unverified</x:v>
      </x:c>
      <x:c r="I2674" s="12" t="str">
        <x:v>Large enterprise</x:v>
      </x:c>
      <x:c r="J2674" s="12" t="str">
        <x:v>Professional services</x:v>
      </x:c>
      <x:c r="K2674" s="2" t="str">
        <x:v>PARTNER-M108</x:v>
      </x:c>
    </x:row>
    <x:row r="2675" ht="46" customHeight="1">
      <x:c r="A2675" s="2" t="str">
        <x:v>TEN-E73B79A0B10F</x:v>
      </x:c>
      <x:c r="B2675" s="12" t="str">
        <x:v>Cisco</x:v>
      </x:c>
      <x:c r="C2675" s="12" t="str">
        <x:v>CORP-0531</x:v>
      </x:c>
      <x:c r="D2675" s="12" t="str">
        <x:v>Bengaluru</x:v>
      </x:c>
      <x:c r="E2675" s="12" t="str">
        <x:v>Bagmane Tech Park</x:v>
      </x:c>
      <x:c r="F2675" s="12" t="str">
        <x:v>55 inch</x:v>
      </x:c>
      <x:c r="G2675" s="20" t="n">
        <x:v>1</x:v>
      </x:c>
      <x:c r="H2675" s="12" t="str">
        <x:v>Campus/portfolio roster; individual building occupancy unverified</x:v>
      </x:c>
      <x:c r="I2675" s="12" t="str">
        <x:v>Large enterprise</x:v>
      </x:c>
      <x:c r="J2675" s="12" t="str">
        <x:v>IT &amp; digital</x:v>
      </x:c>
      <x:c r="K2675" s="2" t="str">
        <x:v>PARTNER-M108</x:v>
      </x:c>
    </x:row>
    <x:row r="2676" ht="46" customHeight="1">
      <x:c r="A2676" s="2" t="str">
        <x:v>TEN-F49D19F21FE1</x:v>
      </x:c>
      <x:c r="B2676" s="12" t="str">
        <x:v>L3 Communication</x:v>
      </x:c>
      <x:c r="C2676" s="12" t="str">
        <x:v>CORP-0531</x:v>
      </x:c>
      <x:c r="D2676" s="12" t="str">
        <x:v>Bengaluru</x:v>
      </x:c>
      <x:c r="E2676" s="12" t="str">
        <x:v>Bagmane Tech Park</x:v>
      </x:c>
      <x:c r="F2676" s="12" t="str">
        <x:v>55 inch</x:v>
      </x:c>
      <x:c r="G2676" s="20" t="n">
        <x:v>1</x:v>
      </x:c>
      <x:c r="H2676" s="12" t="str">
        <x:v>Campus/portfolio roster; individual building occupancy unverified</x:v>
      </x:c>
      <x:c r="I2676" s="12" t="str">
        <x:v>Mixed business audience</x:v>
      </x:c>
      <x:c r="J2676" s="12" t="str">
        <x:v>IT &amp; digital</x:v>
      </x:c>
      <x:c r="K2676" s="2" t="str">
        <x:v>PARTNER-M108</x:v>
      </x:c>
    </x:row>
    <x:row r="2677" ht="46" customHeight="1">
      <x:c r="A2677" s="2" t="str">
        <x:v>TEN-FEED58DAA315</x:v>
      </x:c>
      <x:c r="B2677" s="12" t="str">
        <x:v>Infineon</x:v>
      </x:c>
      <x:c r="C2677" s="12" t="str">
        <x:v>CORP-0531</x:v>
      </x:c>
      <x:c r="D2677" s="12" t="str">
        <x:v>Bengaluru</x:v>
      </x:c>
      <x:c r="E2677" s="12" t="str">
        <x:v>Bagmane Tech Park</x:v>
      </x:c>
      <x:c r="F2677" s="12" t="str">
        <x:v>55 inch</x:v>
      </x:c>
      <x:c r="G2677" s="20" t="n">
        <x:v>1</x:v>
      </x:c>
      <x:c r="H2677" s="12" t="str">
        <x:v>Campus/portfolio roster; individual building occupancy unverified</x:v>
      </x:c>
      <x:c r="I2677" s="12" t="str">
        <x:v>Large enterprise</x:v>
      </x:c>
      <x:c r="J2677" s="12" t="str">
        <x:v>Engineering &amp; manufacturing</x:v>
      </x:c>
      <x:c r="K2677" s="2" t="str">
        <x:v>PARTNER-M108</x:v>
      </x:c>
    </x:row>
    <x:row r="2678" ht="46" customHeight="1">
      <x:c r="A2678" s="2" t="str">
        <x:v>TEN-05A498EFD197</x:v>
      </x:c>
      <x:c r="B2678" s="12" t="str">
        <x:v>Kronos</x:v>
      </x:c>
      <x:c r="C2678" s="12" t="str">
        <x:v>CORP-0532</x:v>
      </x:c>
      <x:c r="D2678" s="12" t="str">
        <x:v>Bengaluru</x:v>
      </x:c>
      <x:c r="E2678" s="12" t="str">
        <x:v>Bagmane Tech Park</x:v>
      </x:c>
      <x:c r="F2678" s="12" t="str">
        <x:v>55 inch</x:v>
      </x:c>
      <x:c r="G2678" s="20" t="n">
        <x:v>1</x:v>
      </x:c>
      <x:c r="H2678" s="12" t="str">
        <x:v>Campus/portfolio roster; individual building occupancy unverified</x:v>
      </x:c>
      <x:c r="I2678" s="12" t="str">
        <x:v>Mixed business audience</x:v>
      </x:c>
      <x:c r="J2678" s="12" t="str">
        <x:v>IT &amp; digital</x:v>
      </x:c>
      <x:c r="K2678" s="2" t="str">
        <x:v>PARTNER-M108</x:v>
      </x:c>
    </x:row>
    <x:row r="2679" ht="46" customHeight="1">
      <x:c r="A2679" s="2" t="str">
        <x:v>TEN-0B570123A8C3</x:v>
      </x:c>
      <x:c r="B2679" s="12" t="str">
        <x:v>Commvault</x:v>
      </x:c>
      <x:c r="C2679" s="12" t="str">
        <x:v>CORP-0532</x:v>
      </x:c>
      <x:c r="D2679" s="12" t="str">
        <x:v>Bengaluru</x:v>
      </x:c>
      <x:c r="E2679" s="12" t="str">
        <x:v>Bagmane Tech Park</x:v>
      </x:c>
      <x:c r="F2679" s="12" t="str">
        <x:v>55 inch</x:v>
      </x:c>
      <x:c r="G2679" s="20" t="n">
        <x:v>1</x:v>
      </x:c>
      <x:c r="H2679" s="12" t="str">
        <x:v>Campus/portfolio roster; individual building occupancy unverified</x:v>
      </x:c>
      <x:c r="I2679" s="12" t="str">
        <x:v>Large enterprise</x:v>
      </x:c>
      <x:c r="J2679" s="12" t="str">
        <x:v>IT &amp; digital</x:v>
      </x:c>
      <x:c r="K2679" s="2" t="str">
        <x:v>PARTNER-M108</x:v>
      </x:c>
    </x:row>
    <x:row r="2680" ht="46" customHeight="1">
      <x:c r="A2680" s="2" t="str">
        <x:v>TEN-0C44BE9F7948</x:v>
      </x:c>
      <x:c r="B2680" s="12" t="str">
        <x:v>Motorola</x:v>
      </x:c>
      <x:c r="C2680" s="12" t="str">
        <x:v>CORP-0532</x:v>
      </x:c>
      <x:c r="D2680" s="12" t="str">
        <x:v>Bengaluru</x:v>
      </x:c>
      <x:c r="E2680" s="12" t="str">
        <x:v>Bagmane Tech Park</x:v>
      </x:c>
      <x:c r="F2680" s="12" t="str">
        <x:v>55 inch</x:v>
      </x:c>
      <x:c r="G2680" s="20" t="n">
        <x:v>1</x:v>
      </x:c>
      <x:c r="H2680" s="12" t="str">
        <x:v>Campus/portfolio roster; individual building occupancy unverified</x:v>
      </x:c>
      <x:c r="I2680" s="12" t="str">
        <x:v>Large enterprise</x:v>
      </x:c>
      <x:c r="J2680" s="12" t="str">
        <x:v>Engineering &amp; manufacturing</x:v>
      </x:c>
      <x:c r="K2680" s="2" t="str">
        <x:v>PARTNER-M108</x:v>
      </x:c>
    </x:row>
    <x:row r="2681" ht="46" customHeight="1">
      <x:c r="A2681" s="2" t="str">
        <x:v>TEN-16F45B99ABFD</x:v>
      </x:c>
      <x:c r="B2681" s="12" t="str">
        <x:v>Boeing</x:v>
      </x:c>
      <x:c r="C2681" s="12" t="str">
        <x:v>CORP-0532</x:v>
      </x:c>
      <x:c r="D2681" s="12" t="str">
        <x:v>Bengaluru</x:v>
      </x:c>
      <x:c r="E2681" s="12" t="str">
        <x:v>Bagmane Tech Park</x:v>
      </x:c>
      <x:c r="F2681" s="12" t="str">
        <x:v>55 inch</x:v>
      </x:c>
      <x:c r="G2681" s="20" t="n">
        <x:v>1</x:v>
      </x:c>
      <x:c r="H2681" s="12" t="str">
        <x:v>Campus/portfolio roster; individual building occupancy unverified</x:v>
      </x:c>
      <x:c r="I2681" s="12" t="str">
        <x:v>Large enterprise</x:v>
      </x:c>
      <x:c r="J2681" s="12" t="str">
        <x:v>Engineering &amp; manufacturing</x:v>
      </x:c>
      <x:c r="K2681" s="2" t="str">
        <x:v>PARTNER-M108</x:v>
      </x:c>
    </x:row>
    <x:row r="2682" ht="46" customHeight="1">
      <x:c r="A2682" s="2" t="str">
        <x:v>TEN-17840323EA59</x:v>
      </x:c>
      <x:c r="B2682" s="12" t="str">
        <x:v>Juniper</x:v>
      </x:c>
      <x:c r="C2682" s="12" t="str">
        <x:v>CORP-0532</x:v>
      </x:c>
      <x:c r="D2682" s="12" t="str">
        <x:v>Bengaluru</x:v>
      </x:c>
      <x:c r="E2682" s="12" t="str">
        <x:v>Bagmane Tech Park</x:v>
      </x:c>
      <x:c r="F2682" s="12" t="str">
        <x:v>55 inch</x:v>
      </x:c>
      <x:c r="G2682" s="20" t="n">
        <x:v>1</x:v>
      </x:c>
      <x:c r="H2682" s="12" t="str">
        <x:v>Campus/portfolio roster; individual building occupancy unverified</x:v>
      </x:c>
      <x:c r="I2682" s="12" t="str">
        <x:v>Mixed business audience</x:v>
      </x:c>
      <x:c r="J2682" s="12" t="str">
        <x:v>IT &amp; digital</x:v>
      </x:c>
      <x:c r="K2682" s="2" t="str">
        <x:v>PARTNER-M108</x:v>
      </x:c>
    </x:row>
    <x:row r="2683" ht="46" customHeight="1">
      <x:c r="A2683" s="2" t="str">
        <x:v>TEN-19A1211FA855</x:v>
      </x:c>
      <x:c r="B2683" s="12" t="str">
        <x:v>Altiostar</x:v>
      </x:c>
      <x:c r="C2683" s="12" t="str">
        <x:v>CORP-0532</x:v>
      </x:c>
      <x:c r="D2683" s="12" t="str">
        <x:v>Bengaluru</x:v>
      </x:c>
      <x:c r="E2683" s="12" t="str">
        <x:v>Bagmane Tech Park</x:v>
      </x:c>
      <x:c r="F2683" s="12" t="str">
        <x:v>55 inch</x:v>
      </x:c>
      <x:c r="G2683" s="20" t="n">
        <x:v>1</x:v>
      </x:c>
      <x:c r="H2683" s="12" t="str">
        <x:v>Campus/portfolio roster; individual building occupancy unverified</x:v>
      </x:c>
      <x:c r="I2683" s="12" t="str">
        <x:v>Mixed business audience</x:v>
      </x:c>
      <x:c r="J2683" s="12" t="str">
        <x:v>IT &amp; digital</x:v>
      </x:c>
      <x:c r="K2683" s="2" t="str">
        <x:v>PARTNER-M108</x:v>
      </x:c>
    </x:row>
    <x:row r="2684" ht="46" customHeight="1">
      <x:c r="A2684" s="2" t="str">
        <x:v>TEN-1B24400C96AA</x:v>
      </x:c>
      <x:c r="B2684" s="12" t="str">
        <x:v>Sima.ai</x:v>
      </x:c>
      <x:c r="C2684" s="12" t="str">
        <x:v>CORP-0532</x:v>
      </x:c>
      <x:c r="D2684" s="12" t="str">
        <x:v>Bengaluru</x:v>
      </x:c>
      <x:c r="E2684" s="12" t="str">
        <x:v>Bagmane Tech Park</x:v>
      </x:c>
      <x:c r="F2684" s="12" t="str">
        <x:v>55 inch</x:v>
      </x:c>
      <x:c r="G2684" s="20" t="n">
        <x:v>1</x:v>
      </x:c>
      <x:c r="H2684" s="12" t="str">
        <x:v>Campus/portfolio roster; individual building occupancy unverified</x:v>
      </x:c>
      <x:c r="I2684" s="12" t="str">
        <x:v>Small-scale prospects</x:v>
      </x:c>
      <x:c r="J2684" s="12" t="str">
        <x:v>IT &amp; digital</x:v>
      </x:c>
      <x:c r="K2684" s="2" t="str">
        <x:v>PARTNER-M108</x:v>
      </x:c>
    </x:row>
    <x:row r="2685" ht="46" customHeight="1">
      <x:c r="A2685" s="2" t="str">
        <x:v>TEN-2A09783B1C47</x:v>
      </x:c>
      <x:c r="B2685" s="12" t="str">
        <x:v>Cardinal</x:v>
      </x:c>
      <x:c r="C2685" s="12" t="str">
        <x:v>CORP-0532</x:v>
      </x:c>
      <x:c r="D2685" s="12" t="str">
        <x:v>Bengaluru</x:v>
      </x:c>
      <x:c r="E2685" s="12" t="str">
        <x:v>Bagmane Tech Park</x:v>
      </x:c>
      <x:c r="F2685" s="12" t="str">
        <x:v>55 inch</x:v>
      </x:c>
      <x:c r="G2685" s="20" t="n">
        <x:v>1</x:v>
      </x:c>
      <x:c r="H2685" s="12" t="str">
        <x:v>Campus/portfolio roster; individual building occupancy unverified</x:v>
      </x:c>
      <x:c r="I2685" s="12" t="str">
        <x:v>Mixed business audience</x:v>
      </x:c>
      <x:c r="J2685" s="12" t="str">
        <x:v>Unresolved</x:v>
      </x:c>
      <x:c r="K2685" s="2" t="str">
        <x:v>PARTNER-M108</x:v>
      </x:c>
    </x:row>
    <x:row r="2686" ht="46" customHeight="1">
      <x:c r="A2686" s="2" t="str">
        <x:v>TEN-31FF403A64D8</x:v>
      </x:c>
      <x:c r="B2686" s="12" t="str">
        <x:v>Informatica</x:v>
      </x:c>
      <x:c r="C2686" s="12" t="str">
        <x:v>CORP-0532</x:v>
      </x:c>
      <x:c r="D2686" s="12" t="str">
        <x:v>Bengaluru</x:v>
      </x:c>
      <x:c r="E2686" s="12" t="str">
        <x:v>Bagmane Tech Park</x:v>
      </x:c>
      <x:c r="F2686" s="12" t="str">
        <x:v>55 inch</x:v>
      </x:c>
      <x:c r="G2686" s="20" t="n">
        <x:v>1</x:v>
      </x:c>
      <x:c r="H2686" s="12" t="str">
        <x:v>Campus/portfolio roster; individual building occupancy unverified</x:v>
      </x:c>
      <x:c r="I2686" s="12" t="str">
        <x:v>Large enterprise</x:v>
      </x:c>
      <x:c r="J2686" s="12" t="str">
        <x:v>IT &amp; digital</x:v>
      </x:c>
      <x:c r="K2686" s="2" t="str">
        <x:v>PARTNER-M108</x:v>
      </x:c>
    </x:row>
    <x:row r="2687" ht="46" customHeight="1">
      <x:c r="A2687" s="2" t="str">
        <x:v>TEN-36E26473A4E8</x:v>
      </x:c>
      <x:c r="B2687" s="12" t="str">
        <x:v>Alstom</x:v>
      </x:c>
      <x:c r="C2687" s="12" t="str">
        <x:v>CORP-0532</x:v>
      </x:c>
      <x:c r="D2687" s="12" t="str">
        <x:v>Bengaluru</x:v>
      </x:c>
      <x:c r="E2687" s="12" t="str">
        <x:v>Bagmane Tech Park</x:v>
      </x:c>
      <x:c r="F2687" s="12" t="str">
        <x:v>55 inch</x:v>
      </x:c>
      <x:c r="G2687" s="20" t="n">
        <x:v>1</x:v>
      </x:c>
      <x:c r="H2687" s="12" t="str">
        <x:v>Campus/portfolio roster; individual building occupancy unverified</x:v>
      </x:c>
      <x:c r="I2687" s="12" t="str">
        <x:v>Large enterprise</x:v>
      </x:c>
      <x:c r="J2687" s="12" t="str">
        <x:v>Engineering &amp; manufacturing</x:v>
      </x:c>
      <x:c r="K2687" s="2" t="str">
        <x:v>PARTNER-M108</x:v>
      </x:c>
    </x:row>
    <x:row r="2688" ht="46" customHeight="1">
      <x:c r="A2688" s="2" t="str">
        <x:v>TEN-4957DCDAEE1C</x:v>
      </x:c>
      <x:c r="B2688" s="12" t="str">
        <x:v>Walker Chandok</x:v>
      </x:c>
      <x:c r="C2688" s="12" t="str">
        <x:v>CORP-0532</x:v>
      </x:c>
      <x:c r="D2688" s="12" t="str">
        <x:v>Bengaluru</x:v>
      </x:c>
      <x:c r="E2688" s="12" t="str">
        <x:v>Bagmane Tech Park</x:v>
      </x:c>
      <x:c r="F2688" s="12" t="str">
        <x:v>55 inch</x:v>
      </x:c>
      <x:c r="G2688" s="20" t="n">
        <x:v>1</x:v>
      </x:c>
      <x:c r="H2688" s="12" t="str">
        <x:v>Campus/portfolio roster; individual building occupancy unverified</x:v>
      </x:c>
      <x:c r="I2688" s="12" t="str">
        <x:v>Mixed business audience</x:v>
      </x:c>
      <x:c r="J2688" s="12" t="str">
        <x:v>Professional services</x:v>
      </x:c>
      <x:c r="K2688" s="2" t="str">
        <x:v>PARTNER-M108</x:v>
      </x:c>
    </x:row>
    <x:row r="2689" ht="46" customHeight="1">
      <x:c r="A2689" s="2" t="str">
        <x:v>TEN-4BCFB67D5370</x:v>
      </x:c>
      <x:c r="B2689" s="12" t="str">
        <x:v>Dover</x:v>
      </x:c>
      <x:c r="C2689" s="12" t="str">
        <x:v>CORP-0532</x:v>
      </x:c>
      <x:c r="D2689" s="12" t="str">
        <x:v>Bengaluru</x:v>
      </x:c>
      <x:c r="E2689" s="12" t="str">
        <x:v>Bagmane Tech Park</x:v>
      </x:c>
      <x:c r="F2689" s="12" t="str">
        <x:v>55 inch</x:v>
      </x:c>
      <x:c r="G2689" s="20" t="n">
        <x:v>1</x:v>
      </x:c>
      <x:c r="H2689" s="12" t="str">
        <x:v>Campus/portfolio roster; individual building occupancy unverified</x:v>
      </x:c>
      <x:c r="I2689" s="12" t="str">
        <x:v>Mixed business audience</x:v>
      </x:c>
      <x:c r="J2689" s="12" t="str">
        <x:v>Engineering &amp; manufacturing</x:v>
      </x:c>
      <x:c r="K2689" s="2" t="str">
        <x:v>PARTNER-M108</x:v>
      </x:c>
    </x:row>
    <x:row r="2690" ht="46" customHeight="1">
      <x:c r="A2690" s="2" t="str">
        <x:v>TEN-51BE3E92D716</x:v>
      </x:c>
      <x:c r="B2690" s="12" t="str">
        <x:v>Microfocus</x:v>
      </x:c>
      <x:c r="C2690" s="12" t="str">
        <x:v>CORP-0532</x:v>
      </x:c>
      <x:c r="D2690" s="12" t="str">
        <x:v>Bengaluru</x:v>
      </x:c>
      <x:c r="E2690" s="12" t="str">
        <x:v>Bagmane Tech Park</x:v>
      </x:c>
      <x:c r="F2690" s="12" t="str">
        <x:v>55 inch</x:v>
      </x:c>
      <x:c r="G2690" s="20" t="n">
        <x:v>1</x:v>
      </x:c>
      <x:c r="H2690" s="12" t="str">
        <x:v>Campus/portfolio roster; individual building occupancy unverified</x:v>
      </x:c>
      <x:c r="I2690" s="12" t="str">
        <x:v>Mixed business audience</x:v>
      </x:c>
      <x:c r="J2690" s="12" t="str">
        <x:v>IT &amp; digital</x:v>
      </x:c>
      <x:c r="K2690" s="2" t="str">
        <x:v>PARTNER-M108</x:v>
      </x:c>
    </x:row>
    <x:row r="2691" ht="46" customHeight="1">
      <x:c r="A2691" s="2" t="str">
        <x:v>TEN-55F83AF98CA9</x:v>
      </x:c>
      <x:c r="B2691" s="12" t="str">
        <x:v>cypress</x:v>
      </x:c>
      <x:c r="C2691" s="12" t="str">
        <x:v>CORP-0532</x:v>
      </x:c>
      <x:c r="D2691" s="12" t="str">
        <x:v>Bengaluru</x:v>
      </x:c>
      <x:c r="E2691" s="12" t="str">
        <x:v>Bagmane Tech Park</x:v>
      </x:c>
      <x:c r="F2691" s="12" t="str">
        <x:v>55 inch</x:v>
      </x:c>
      <x:c r="G2691" s="20" t="n">
        <x:v>1</x:v>
      </x:c>
      <x:c r="H2691" s="12" t="str">
        <x:v>Campus/portfolio roster; individual building occupancy unverified</x:v>
      </x:c>
      <x:c r="I2691" s="12" t="str">
        <x:v>Mixed business audience</x:v>
      </x:c>
      <x:c r="J2691" s="12" t="str">
        <x:v>Engineering &amp; manufacturing</x:v>
      </x:c>
      <x:c r="K2691" s="2" t="str">
        <x:v>PARTNER-M108</x:v>
      </x:c>
    </x:row>
    <x:row r="2692" ht="46" customHeight="1">
      <x:c r="A2692" s="2" t="str">
        <x:v>TEN-5DD95C98AFF2</x:v>
      </x:c>
      <x:c r="B2692" s="12" t="str">
        <x:v>Nike</x:v>
      </x:c>
      <x:c r="C2692" s="12" t="str">
        <x:v>CORP-0532</x:v>
      </x:c>
      <x:c r="D2692" s="12" t="str">
        <x:v>Bengaluru</x:v>
      </x:c>
      <x:c r="E2692" s="12" t="str">
        <x:v>Bagmane Tech Park</x:v>
      </x:c>
      <x:c r="F2692" s="12" t="str">
        <x:v>55 inch</x:v>
      </x:c>
      <x:c r="G2692" s="20" t="n">
        <x:v>1</x:v>
      </x:c>
      <x:c r="H2692" s="12" t="str">
        <x:v>Campus/portfolio roster; individual building occupancy unverified</x:v>
      </x:c>
      <x:c r="I2692" s="12" t="str">
        <x:v>Mixed business audience</x:v>
      </x:c>
      <x:c r="J2692" s="12" t="str">
        <x:v>Trade, consumer &amp; logistics</x:v>
      </x:c>
      <x:c r="K2692" s="2" t="str">
        <x:v>PARTNER-M108</x:v>
      </x:c>
    </x:row>
    <x:row r="2693" ht="46" customHeight="1">
      <x:c r="A2693" s="2" t="str">
        <x:v>TEN-60A539DE7BB0</x:v>
      </x:c>
      <x:c r="B2693" s="12" t="str">
        <x:v>Ivanti</x:v>
      </x:c>
      <x:c r="C2693" s="12" t="str">
        <x:v>CORP-0532</x:v>
      </x:c>
      <x:c r="D2693" s="12" t="str">
        <x:v>Bengaluru</x:v>
      </x:c>
      <x:c r="E2693" s="12" t="str">
        <x:v>Bagmane Tech Park</x:v>
      </x:c>
      <x:c r="F2693" s="12" t="str">
        <x:v>55 inch</x:v>
      </x:c>
      <x:c r="G2693" s="20" t="n">
        <x:v>1</x:v>
      </x:c>
      <x:c r="H2693" s="12" t="str">
        <x:v>Campus/portfolio roster; individual building occupancy unverified</x:v>
      </x:c>
      <x:c r="I2693" s="12" t="str">
        <x:v>Large enterprise</x:v>
      </x:c>
      <x:c r="J2693" s="12" t="str">
        <x:v>IT &amp; digital</x:v>
      </x:c>
      <x:c r="K2693" s="2" t="str">
        <x:v>PARTNER-M108</x:v>
      </x:c>
    </x:row>
    <x:row r="2694" ht="46" customHeight="1">
      <x:c r="A2694" s="2" t="str">
        <x:v>TEN-7AD6D135A07F</x:v>
      </x:c>
      <x:c r="B2694" s="12" t="str">
        <x:v>Texas Instrument</x:v>
      </x:c>
      <x:c r="C2694" s="12" t="str">
        <x:v>CORP-0532</x:v>
      </x:c>
      <x:c r="D2694" s="12" t="str">
        <x:v>Bengaluru</x:v>
      </x:c>
      <x:c r="E2694" s="12" t="str">
        <x:v>Bagmane Tech Park</x:v>
      </x:c>
      <x:c r="F2694" s="12" t="str">
        <x:v>55 inch</x:v>
      </x:c>
      <x:c r="G2694" s="20" t="n">
        <x:v>1</x:v>
      </x:c>
      <x:c r="H2694" s="12" t="str">
        <x:v>Campus/portfolio roster; individual building occupancy unverified</x:v>
      </x:c>
      <x:c r="I2694" s="12" t="str">
        <x:v>Mixed business audience</x:v>
      </x:c>
      <x:c r="J2694" s="12" t="str">
        <x:v>Engineering &amp; manufacturing</x:v>
      </x:c>
      <x:c r="K2694" s="2" t="str">
        <x:v>PARTNER-M108</x:v>
      </x:c>
    </x:row>
    <x:row r="2695" ht="46" customHeight="1">
      <x:c r="A2695" s="2" t="str">
        <x:v>TEN-7F1B55B86059</x:v>
      </x:c>
      <x:c r="B2695" s="12" t="str">
        <x:v>LAM</x:v>
      </x:c>
      <x:c r="C2695" s="12" t="str">
        <x:v>CORP-0532</x:v>
      </x:c>
      <x:c r="D2695" s="12" t="str">
        <x:v>Bengaluru</x:v>
      </x:c>
      <x:c r="E2695" s="12" t="str">
        <x:v>Bagmane Tech Park</x:v>
      </x:c>
      <x:c r="F2695" s="12" t="str">
        <x:v>55 inch</x:v>
      </x:c>
      <x:c r="G2695" s="20" t="n">
        <x:v>1</x:v>
      </x:c>
      <x:c r="H2695" s="12" t="str">
        <x:v>Campus/portfolio roster; individual building occupancy unverified</x:v>
      </x:c>
      <x:c r="I2695" s="12" t="str">
        <x:v>Mixed business audience</x:v>
      </x:c>
      <x:c r="J2695" s="12" t="str">
        <x:v>Engineering &amp; manufacturing</x:v>
      </x:c>
      <x:c r="K2695" s="2" t="str">
        <x:v>PARTNER-M108</x:v>
      </x:c>
    </x:row>
    <x:row r="2696" ht="46" customHeight="1">
      <x:c r="A2696" s="2" t="str">
        <x:v>TEN-8D1AE0ED034C</x:v>
      </x:c>
      <x:c r="B2696" s="12" t="str">
        <x:v>UKG</x:v>
      </x:c>
      <x:c r="C2696" s="12" t="str">
        <x:v>CORP-0532</x:v>
      </x:c>
      <x:c r="D2696" s="12" t="str">
        <x:v>Bengaluru</x:v>
      </x:c>
      <x:c r="E2696" s="12" t="str">
        <x:v>Bagmane Tech Park</x:v>
      </x:c>
      <x:c r="F2696" s="12" t="str">
        <x:v>55 inch</x:v>
      </x:c>
      <x:c r="G2696" s="20" t="n">
        <x:v>1</x:v>
      </x:c>
      <x:c r="H2696" s="12" t="str">
        <x:v>Campus/portfolio roster; individual building occupancy unverified</x:v>
      </x:c>
      <x:c r="I2696" s="12" t="str">
        <x:v>Mixed business audience</x:v>
      </x:c>
      <x:c r="J2696" s="12" t="str">
        <x:v>IT &amp; digital</x:v>
      </x:c>
      <x:c r="K2696" s="2" t="str">
        <x:v>PARTNER-M108</x:v>
      </x:c>
    </x:row>
    <x:row r="2697" ht="46" customHeight="1">
      <x:c r="A2697" s="2" t="str">
        <x:v>TEN-9387E476D00B</x:v>
      </x:c>
      <x:c r="B2697" s="12" t="str">
        <x:v>SAP concur</x:v>
      </x:c>
      <x:c r="C2697" s="12" t="str">
        <x:v>CORP-0532</x:v>
      </x:c>
      <x:c r="D2697" s="12" t="str">
        <x:v>Bengaluru</x:v>
      </x:c>
      <x:c r="E2697" s="12" t="str">
        <x:v>Bagmane Tech Park</x:v>
      </x:c>
      <x:c r="F2697" s="12" t="str">
        <x:v>55 inch</x:v>
      </x:c>
      <x:c r="G2697" s="20" t="n">
        <x:v>1</x:v>
      </x:c>
      <x:c r="H2697" s="12" t="str">
        <x:v>Campus/portfolio roster; individual building occupancy unverified</x:v>
      </x:c>
      <x:c r="I2697" s="12" t="str">
        <x:v>Large enterprise</x:v>
      </x:c>
      <x:c r="J2697" s="12" t="str">
        <x:v>IT &amp; digital</x:v>
      </x:c>
      <x:c r="K2697" s="2" t="str">
        <x:v>PARTNER-M108</x:v>
      </x:c>
    </x:row>
    <x:row r="2698" ht="46" customHeight="1">
      <x:c r="A2698" s="2" t="str">
        <x:v>TEN-98E929C33151</x:v>
      </x:c>
      <x:c r="B2698" s="12" t="str">
        <x:v>Renesas</x:v>
      </x:c>
      <x:c r="C2698" s="12" t="str">
        <x:v>CORP-0532</x:v>
      </x:c>
      <x:c r="D2698" s="12" t="str">
        <x:v>Bengaluru</x:v>
      </x:c>
      <x:c r="E2698" s="12" t="str">
        <x:v>Bagmane Tech Park</x:v>
      </x:c>
      <x:c r="F2698" s="12" t="str">
        <x:v>55 inch</x:v>
      </x:c>
      <x:c r="G2698" s="20" t="n">
        <x:v>1</x:v>
      </x:c>
      <x:c r="H2698" s="12" t="str">
        <x:v>Campus/portfolio roster; individual building occupancy unverified</x:v>
      </x:c>
      <x:c r="I2698" s="12" t="str">
        <x:v>Mixed business audience</x:v>
      </x:c>
      <x:c r="J2698" s="12" t="str">
        <x:v>Engineering &amp; manufacturing</x:v>
      </x:c>
      <x:c r="K2698" s="2" t="str">
        <x:v>PARTNER-M108</x:v>
      </x:c>
    </x:row>
    <x:row r="2699" ht="46" customHeight="1">
      <x:c r="A2699" s="2" t="str">
        <x:v>TEN-A973ADF51E6A</x:v>
      </x:c>
      <x:c r="B2699" s="12" t="str">
        <x:v>Talisma</x:v>
      </x:c>
      <x:c r="C2699" s="12" t="str">
        <x:v>CORP-0532</x:v>
      </x:c>
      <x:c r="D2699" s="12" t="str">
        <x:v>Bengaluru</x:v>
      </x:c>
      <x:c r="E2699" s="12" t="str">
        <x:v>Bagmane Tech Park</x:v>
      </x:c>
      <x:c r="F2699" s="12" t="str">
        <x:v>55 inch</x:v>
      </x:c>
      <x:c r="G2699" s="20" t="n">
        <x:v>1</x:v>
      </x:c>
      <x:c r="H2699" s="12" t="str">
        <x:v>Campus/portfolio roster; individual building occupancy unverified</x:v>
      </x:c>
      <x:c r="I2699" s="12" t="str">
        <x:v>Mixed business audience</x:v>
      </x:c>
      <x:c r="J2699" s="12" t="str">
        <x:v>IT &amp; digital</x:v>
      </x:c>
      <x:c r="K2699" s="2" t="str">
        <x:v>PARTNER-M108</x:v>
      </x:c>
    </x:row>
    <x:row r="2700" ht="46" customHeight="1">
      <x:c r="A2700" s="2" t="str">
        <x:v>TEN-AEF34FE789D8</x:v>
      </x:c>
      <x:c r="B2700" s="12" t="str">
        <x:v>Pal Alto</x:v>
      </x:c>
      <x:c r="C2700" s="12" t="str">
        <x:v>CORP-0532</x:v>
      </x:c>
      <x:c r="D2700" s="12" t="str">
        <x:v>Bengaluru</x:v>
      </x:c>
      <x:c r="E2700" s="12" t="str">
        <x:v>Bagmane Tech Park</x:v>
      </x:c>
      <x:c r="F2700" s="12" t="str">
        <x:v>55 inch</x:v>
      </x:c>
      <x:c r="G2700" s="20" t="n">
        <x:v>1</x:v>
      </x:c>
      <x:c r="H2700" s="12" t="str">
        <x:v>Campus/portfolio roster; individual building occupancy unverified</x:v>
      </x:c>
      <x:c r="I2700" s="12" t="str">
        <x:v>Mixed business audience</x:v>
      </x:c>
      <x:c r="J2700" s="12" t="str">
        <x:v>Unresolved</x:v>
      </x:c>
      <x:c r="K2700" s="2" t="str">
        <x:v>PARTNER-M108</x:v>
      </x:c>
    </x:row>
    <x:row r="2701" ht="46" customHeight="1">
      <x:c r="A2701" s="2" t="str">
        <x:v>TEN-B1331F460EB4</x:v>
      </x:c>
      <x:c r="B2701" s="12" t="str">
        <x:v>CEM</x:v>
      </x:c>
      <x:c r="C2701" s="12" t="str">
        <x:v>CORP-0532</x:v>
      </x:c>
      <x:c r="D2701" s="12" t="str">
        <x:v>Bengaluru</x:v>
      </x:c>
      <x:c r="E2701" s="12" t="str">
        <x:v>Bagmane Tech Park</x:v>
      </x:c>
      <x:c r="F2701" s="12" t="str">
        <x:v>55 inch</x:v>
      </x:c>
      <x:c r="G2701" s="20" t="n">
        <x:v>1</x:v>
      </x:c>
      <x:c r="H2701" s="12" t="str">
        <x:v>Campus/portfolio roster; individual building occupancy unverified</x:v>
      </x:c>
      <x:c r="I2701" s="12" t="str">
        <x:v>Mixed business audience</x:v>
      </x:c>
      <x:c r="J2701" s="12" t="str">
        <x:v>Unresolved</x:v>
      </x:c>
      <x:c r="K2701" s="2" t="str">
        <x:v>PARTNER-M108</x:v>
      </x:c>
    </x:row>
    <x:row r="2702" ht="46" customHeight="1">
      <x:c r="A2702" s="2" t="str">
        <x:v>TEN-BCCAE4CE7BE6</x:v>
      </x:c>
      <x:c r="B2702" s="12" t="str">
        <x:v>Volvo</x:v>
      </x:c>
      <x:c r="C2702" s="12" t="str">
        <x:v>CORP-0532</x:v>
      </x:c>
      <x:c r="D2702" s="12" t="str">
        <x:v>Bengaluru</x:v>
      </x:c>
      <x:c r="E2702" s="12" t="str">
        <x:v>Bagmane Tech Park</x:v>
      </x:c>
      <x:c r="F2702" s="12" t="str">
        <x:v>55 inch</x:v>
      </x:c>
      <x:c r="G2702" s="20" t="n">
        <x:v>1</x:v>
      </x:c>
      <x:c r="H2702" s="12" t="str">
        <x:v>Campus/portfolio roster; individual building occupancy unverified</x:v>
      </x:c>
      <x:c r="I2702" s="12" t="str">
        <x:v>Mixed business audience</x:v>
      </x:c>
      <x:c r="J2702" s="12" t="str">
        <x:v>Engineering &amp; manufacturing</x:v>
      </x:c>
      <x:c r="K2702" s="2" t="str">
        <x:v>PARTNER-M108</x:v>
      </x:c>
    </x:row>
    <x:row r="2703" ht="46" customHeight="1">
      <x:c r="A2703" s="2" t="str">
        <x:v>TEN-C2ECB55DC1D4</x:v>
      </x:c>
      <x:c r="B2703" s="12" t="str">
        <x:v>ROHM</x:v>
      </x:c>
      <x:c r="C2703" s="12" t="str">
        <x:v>CORP-0532</x:v>
      </x:c>
      <x:c r="D2703" s="12" t="str">
        <x:v>Bengaluru</x:v>
      </x:c>
      <x:c r="E2703" s="12" t="str">
        <x:v>Bagmane Tech Park</x:v>
      </x:c>
      <x:c r="F2703" s="12" t="str">
        <x:v>55 inch</x:v>
      </x:c>
      <x:c r="G2703" s="20" t="n">
        <x:v>1</x:v>
      </x:c>
      <x:c r="H2703" s="12" t="str">
        <x:v>Campus/portfolio roster; individual building occupancy unverified</x:v>
      </x:c>
      <x:c r="I2703" s="12" t="str">
        <x:v>Mixed business audience</x:v>
      </x:c>
      <x:c r="J2703" s="12" t="str">
        <x:v>Engineering &amp; manufacturing</x:v>
      </x:c>
      <x:c r="K2703" s="2" t="str">
        <x:v>PARTNER-M108</x:v>
      </x:c>
    </x:row>
    <x:row r="2704" ht="46" customHeight="1">
      <x:c r="A2704" s="2" t="str">
        <x:v>TEN-C63AC00C4D11</x:v>
      </x:c>
      <x:c r="B2704" s="12" t="str">
        <x:v>Mphasis</x:v>
      </x:c>
      <x:c r="C2704" s="12" t="str">
        <x:v>CORP-0532</x:v>
      </x:c>
      <x:c r="D2704" s="12" t="str">
        <x:v>Bengaluru</x:v>
      </x:c>
      <x:c r="E2704" s="12" t="str">
        <x:v>Bagmane Tech Park</x:v>
      </x:c>
      <x:c r="F2704" s="12" t="str">
        <x:v>55 inch</x:v>
      </x:c>
      <x:c r="G2704" s="20" t="n">
        <x:v>1</x:v>
      </x:c>
      <x:c r="H2704" s="12" t="str">
        <x:v>Campus/portfolio roster; individual building occupancy unverified</x:v>
      </x:c>
      <x:c r="I2704" s="12" t="str">
        <x:v>Large enterprise</x:v>
      </x:c>
      <x:c r="J2704" s="12" t="str">
        <x:v>IT &amp; digital</x:v>
      </x:c>
      <x:c r="K2704" s="2" t="str">
        <x:v>PARTNER-M108</x:v>
      </x:c>
    </x:row>
    <x:row r="2705" ht="46" customHeight="1">
      <x:c r="A2705" s="2" t="str">
        <x:v>TEN-C97CE19B9C35</x:v>
      </x:c>
      <x:c r="B2705" s="12" t="str">
        <x:v>PricewaterhouseCoopers</x:v>
      </x:c>
      <x:c r="C2705" s="12" t="str">
        <x:v>CORP-0532</x:v>
      </x:c>
      <x:c r="D2705" s="12" t="str">
        <x:v>Bengaluru</x:v>
      </x:c>
      <x:c r="E2705" s="12" t="str">
        <x:v>Bagmane Tech Park</x:v>
      </x:c>
      <x:c r="F2705" s="12" t="str">
        <x:v>55 inch</x:v>
      </x:c>
      <x:c r="G2705" s="20" t="n">
        <x:v>1</x:v>
      </x:c>
      <x:c r="H2705" s="12" t="str">
        <x:v>Campus/portfolio roster; individual building occupancy unverified</x:v>
      </x:c>
      <x:c r="I2705" s="12" t="str">
        <x:v>Large enterprise</x:v>
      </x:c>
      <x:c r="J2705" s="12" t="str">
        <x:v>Professional services</x:v>
      </x:c>
      <x:c r="K2705" s="2" t="str">
        <x:v>PARTNER-M108</x:v>
      </x:c>
    </x:row>
    <x:row r="2706" ht="46" customHeight="1">
      <x:c r="A2706" s="2" t="str">
        <x:v>TEN-D0E2ECE166BD</x:v>
      </x:c>
      <x:c r="B2706" s="12" t="str">
        <x:v>Dell</x:v>
      </x:c>
      <x:c r="C2706" s="12" t="str">
        <x:v>CORP-0532</x:v>
      </x:c>
      <x:c r="D2706" s="12" t="str">
        <x:v>Bengaluru</x:v>
      </x:c>
      <x:c r="E2706" s="12" t="str">
        <x:v>Bagmane Tech Park</x:v>
      </x:c>
      <x:c r="F2706" s="12" t="str">
        <x:v>55 inch</x:v>
      </x:c>
      <x:c r="G2706" s="20" t="n">
        <x:v>1</x:v>
      </x:c>
      <x:c r="H2706" s="12" t="str">
        <x:v>Campus/portfolio roster; individual building occupancy unverified</x:v>
      </x:c>
      <x:c r="I2706" s="12" t="str">
        <x:v>Large enterprise</x:v>
      </x:c>
      <x:c r="J2706" s="12" t="str">
        <x:v>Engineering &amp; manufacturing</x:v>
      </x:c>
      <x:c r="K2706" s="2" t="str">
        <x:v>PARTNER-M108</x:v>
      </x:c>
    </x:row>
    <x:row r="2707" ht="46" customHeight="1">
      <x:c r="A2707" s="2" t="str">
        <x:v>TEN-E305C1EB5FCE</x:v>
      </x:c>
      <x:c r="B2707" s="12" t="str">
        <x:v>ALUK</x:v>
      </x:c>
      <x:c r="C2707" s="12" t="str">
        <x:v>CORP-0532</x:v>
      </x:c>
      <x:c r="D2707" s="12" t="str">
        <x:v>Bengaluru</x:v>
      </x:c>
      <x:c r="E2707" s="12" t="str">
        <x:v>Bagmane Tech Park</x:v>
      </x:c>
      <x:c r="F2707" s="12" t="str">
        <x:v>55 inch</x:v>
      </x:c>
      <x:c r="G2707" s="20" t="n">
        <x:v>1</x:v>
      </x:c>
      <x:c r="H2707" s="12" t="str">
        <x:v>Campus/portfolio roster; individual building occupancy unverified</x:v>
      </x:c>
      <x:c r="I2707" s="12" t="str">
        <x:v>Medium-scale prospects</x:v>
      </x:c>
      <x:c r="J2707" s="12" t="str">
        <x:v>Engineering &amp; manufacturing</x:v>
      </x:c>
      <x:c r="K2707" s="2" t="str">
        <x:v>PARTNER-M108</x:v>
      </x:c>
    </x:row>
    <x:row r="2708" ht="46" customHeight="1">
      <x:c r="A2708" s="2" t="str">
        <x:v>TEN-E5E23A26CD36</x:v>
      </x:c>
      <x:c r="B2708" s="12" t="str">
        <x:v>Grant Thornton</x:v>
      </x:c>
      <x:c r="C2708" s="12" t="str">
        <x:v>CORP-0532</x:v>
      </x:c>
      <x:c r="D2708" s="12" t="str">
        <x:v>Bengaluru</x:v>
      </x:c>
      <x:c r="E2708" s="12" t="str">
        <x:v>Bagmane Tech Park</x:v>
      </x:c>
      <x:c r="F2708" s="12" t="str">
        <x:v>55 inch</x:v>
      </x:c>
      <x:c r="G2708" s="20" t="n">
        <x:v>1</x:v>
      </x:c>
      <x:c r="H2708" s="12" t="str">
        <x:v>Campus/portfolio roster; individual building occupancy unverified</x:v>
      </x:c>
      <x:c r="I2708" s="12" t="str">
        <x:v>Large enterprise</x:v>
      </x:c>
      <x:c r="J2708" s="12" t="str">
        <x:v>Professional services</x:v>
      </x:c>
      <x:c r="K2708" s="2" t="str">
        <x:v>PARTNER-M108</x:v>
      </x:c>
    </x:row>
    <x:row r="2709" ht="46" customHeight="1">
      <x:c r="A2709" s="2" t="str">
        <x:v>TEN-E73B79A0B10F</x:v>
      </x:c>
      <x:c r="B2709" s="12" t="str">
        <x:v>Cisco</x:v>
      </x:c>
      <x:c r="C2709" s="12" t="str">
        <x:v>CORP-0532</x:v>
      </x:c>
      <x:c r="D2709" s="12" t="str">
        <x:v>Bengaluru</x:v>
      </x:c>
      <x:c r="E2709" s="12" t="str">
        <x:v>Bagmane Tech Park</x:v>
      </x:c>
      <x:c r="F2709" s="12" t="str">
        <x:v>55 inch</x:v>
      </x:c>
      <x:c r="G2709" s="20" t="n">
        <x:v>1</x:v>
      </x:c>
      <x:c r="H2709" s="12" t="str">
        <x:v>Campus/portfolio roster; individual building occupancy unverified</x:v>
      </x:c>
      <x:c r="I2709" s="12" t="str">
        <x:v>Large enterprise</x:v>
      </x:c>
      <x:c r="J2709" s="12" t="str">
        <x:v>IT &amp; digital</x:v>
      </x:c>
      <x:c r="K2709" s="2" t="str">
        <x:v>PARTNER-M108</x:v>
      </x:c>
    </x:row>
    <x:row r="2710" ht="46" customHeight="1">
      <x:c r="A2710" s="2" t="str">
        <x:v>TEN-F49D19F21FE1</x:v>
      </x:c>
      <x:c r="B2710" s="12" t="str">
        <x:v>L3 Communication</x:v>
      </x:c>
      <x:c r="C2710" s="12" t="str">
        <x:v>CORP-0532</x:v>
      </x:c>
      <x:c r="D2710" s="12" t="str">
        <x:v>Bengaluru</x:v>
      </x:c>
      <x:c r="E2710" s="12" t="str">
        <x:v>Bagmane Tech Park</x:v>
      </x:c>
      <x:c r="F2710" s="12" t="str">
        <x:v>55 inch</x:v>
      </x:c>
      <x:c r="G2710" s="20" t="n">
        <x:v>1</x:v>
      </x:c>
      <x:c r="H2710" s="12" t="str">
        <x:v>Campus/portfolio roster; individual building occupancy unverified</x:v>
      </x:c>
      <x:c r="I2710" s="12" t="str">
        <x:v>Mixed business audience</x:v>
      </x:c>
      <x:c r="J2710" s="12" t="str">
        <x:v>IT &amp; digital</x:v>
      </x:c>
      <x:c r="K2710" s="2" t="str">
        <x:v>PARTNER-M108</x:v>
      </x:c>
    </x:row>
    <x:row r="2711" ht="46" customHeight="1">
      <x:c r="A2711" s="2" t="str">
        <x:v>TEN-FEED58DAA315</x:v>
      </x:c>
      <x:c r="B2711" s="12" t="str">
        <x:v>Infineon</x:v>
      </x:c>
      <x:c r="C2711" s="12" t="str">
        <x:v>CORP-0532</x:v>
      </x:c>
      <x:c r="D2711" s="12" t="str">
        <x:v>Bengaluru</x:v>
      </x:c>
      <x:c r="E2711" s="12" t="str">
        <x:v>Bagmane Tech Park</x:v>
      </x:c>
      <x:c r="F2711" s="12" t="str">
        <x:v>55 inch</x:v>
      </x:c>
      <x:c r="G2711" s="20" t="n">
        <x:v>1</x:v>
      </x:c>
      <x:c r="H2711" s="12" t="str">
        <x:v>Campus/portfolio roster; individual building occupancy unverified</x:v>
      </x:c>
      <x:c r="I2711" s="12" t="str">
        <x:v>Large enterprise</x:v>
      </x:c>
      <x:c r="J2711" s="12" t="str">
        <x:v>Engineering &amp; manufacturing</x:v>
      </x:c>
      <x:c r="K2711" s="2" t="str">
        <x:v>PARTNER-M108</x:v>
      </x:c>
    </x:row>
    <x:row r="2712" ht="46" customHeight="1">
      <x:c r="A2712" s="2" t="str">
        <x:v>TEN-05A498EFD197</x:v>
      </x:c>
      <x:c r="B2712" s="12" t="str">
        <x:v>Kronos</x:v>
      </x:c>
      <x:c r="C2712" s="12" t="str">
        <x:v>CORP-0533</x:v>
      </x:c>
      <x:c r="D2712" s="12" t="str">
        <x:v>Bengaluru</x:v>
      </x:c>
      <x:c r="E2712" s="12" t="str">
        <x:v>Bagmane Tech Park</x:v>
      </x:c>
      <x:c r="F2712" s="12" t="str">
        <x:v>55 inch</x:v>
      </x:c>
      <x:c r="G2712" s="20" t="n">
        <x:v>1</x:v>
      </x:c>
      <x:c r="H2712" s="12" t="str">
        <x:v>Campus/portfolio roster; individual building occupancy unverified</x:v>
      </x:c>
      <x:c r="I2712" s="12" t="str">
        <x:v>Mixed business audience</x:v>
      </x:c>
      <x:c r="J2712" s="12" t="str">
        <x:v>IT &amp; digital</x:v>
      </x:c>
      <x:c r="K2712" s="2" t="str">
        <x:v>PARTNER-M108</x:v>
      </x:c>
    </x:row>
    <x:row r="2713" ht="46" customHeight="1">
      <x:c r="A2713" s="2" t="str">
        <x:v>TEN-0B570123A8C3</x:v>
      </x:c>
      <x:c r="B2713" s="12" t="str">
        <x:v>Commvault</x:v>
      </x:c>
      <x:c r="C2713" s="12" t="str">
        <x:v>CORP-0533</x:v>
      </x:c>
      <x:c r="D2713" s="12" t="str">
        <x:v>Bengaluru</x:v>
      </x:c>
      <x:c r="E2713" s="12" t="str">
        <x:v>Bagmane Tech Park</x:v>
      </x:c>
      <x:c r="F2713" s="12" t="str">
        <x:v>55 inch</x:v>
      </x:c>
      <x:c r="G2713" s="20" t="n">
        <x:v>1</x:v>
      </x:c>
      <x:c r="H2713" s="12" t="str">
        <x:v>Campus/portfolio roster; individual building occupancy unverified</x:v>
      </x:c>
      <x:c r="I2713" s="12" t="str">
        <x:v>Large enterprise</x:v>
      </x:c>
      <x:c r="J2713" s="12" t="str">
        <x:v>IT &amp; digital</x:v>
      </x:c>
      <x:c r="K2713" s="2" t="str">
        <x:v>PARTNER-M108</x:v>
      </x:c>
    </x:row>
    <x:row r="2714" ht="46" customHeight="1">
      <x:c r="A2714" s="2" t="str">
        <x:v>TEN-0C44BE9F7948</x:v>
      </x:c>
      <x:c r="B2714" s="12" t="str">
        <x:v>Motorola</x:v>
      </x:c>
      <x:c r="C2714" s="12" t="str">
        <x:v>CORP-0533</x:v>
      </x:c>
      <x:c r="D2714" s="12" t="str">
        <x:v>Bengaluru</x:v>
      </x:c>
      <x:c r="E2714" s="12" t="str">
        <x:v>Bagmane Tech Park</x:v>
      </x:c>
      <x:c r="F2714" s="12" t="str">
        <x:v>55 inch</x:v>
      </x:c>
      <x:c r="G2714" s="20" t="n">
        <x:v>1</x:v>
      </x:c>
      <x:c r="H2714" s="12" t="str">
        <x:v>Campus/portfolio roster; individual building occupancy unverified</x:v>
      </x:c>
      <x:c r="I2714" s="12" t="str">
        <x:v>Large enterprise</x:v>
      </x:c>
      <x:c r="J2714" s="12" t="str">
        <x:v>Engineering &amp; manufacturing</x:v>
      </x:c>
      <x:c r="K2714" s="2" t="str">
        <x:v>PARTNER-M108</x:v>
      </x:c>
    </x:row>
    <x:row r="2715" ht="46" customHeight="1">
      <x:c r="A2715" s="2" t="str">
        <x:v>TEN-16F45B99ABFD</x:v>
      </x:c>
      <x:c r="B2715" s="12" t="str">
        <x:v>Boeing</x:v>
      </x:c>
      <x:c r="C2715" s="12" t="str">
        <x:v>CORP-0533</x:v>
      </x:c>
      <x:c r="D2715" s="12" t="str">
        <x:v>Bengaluru</x:v>
      </x:c>
      <x:c r="E2715" s="12" t="str">
        <x:v>Bagmane Tech Park</x:v>
      </x:c>
      <x:c r="F2715" s="12" t="str">
        <x:v>55 inch</x:v>
      </x:c>
      <x:c r="G2715" s="20" t="n">
        <x:v>1</x:v>
      </x:c>
      <x:c r="H2715" s="12" t="str">
        <x:v>Campus/portfolio roster; individual building occupancy unverified</x:v>
      </x:c>
      <x:c r="I2715" s="12" t="str">
        <x:v>Large enterprise</x:v>
      </x:c>
      <x:c r="J2715" s="12" t="str">
        <x:v>Engineering &amp; manufacturing</x:v>
      </x:c>
      <x:c r="K2715" s="2" t="str">
        <x:v>PARTNER-M108</x:v>
      </x:c>
    </x:row>
    <x:row r="2716" ht="46" customHeight="1">
      <x:c r="A2716" s="2" t="str">
        <x:v>TEN-17840323EA59</x:v>
      </x:c>
      <x:c r="B2716" s="12" t="str">
        <x:v>Juniper</x:v>
      </x:c>
      <x:c r="C2716" s="12" t="str">
        <x:v>CORP-0533</x:v>
      </x:c>
      <x:c r="D2716" s="12" t="str">
        <x:v>Bengaluru</x:v>
      </x:c>
      <x:c r="E2716" s="12" t="str">
        <x:v>Bagmane Tech Park</x:v>
      </x:c>
      <x:c r="F2716" s="12" t="str">
        <x:v>55 inch</x:v>
      </x:c>
      <x:c r="G2716" s="20" t="n">
        <x:v>1</x:v>
      </x:c>
      <x:c r="H2716" s="12" t="str">
        <x:v>Campus/portfolio roster; individual building occupancy unverified</x:v>
      </x:c>
      <x:c r="I2716" s="12" t="str">
        <x:v>Mixed business audience</x:v>
      </x:c>
      <x:c r="J2716" s="12" t="str">
        <x:v>IT &amp; digital</x:v>
      </x:c>
      <x:c r="K2716" s="2" t="str">
        <x:v>PARTNER-M108</x:v>
      </x:c>
    </x:row>
    <x:row r="2717" ht="46" customHeight="1">
      <x:c r="A2717" s="2" t="str">
        <x:v>TEN-19A1211FA855</x:v>
      </x:c>
      <x:c r="B2717" s="12" t="str">
        <x:v>Altiostar</x:v>
      </x:c>
      <x:c r="C2717" s="12" t="str">
        <x:v>CORP-0533</x:v>
      </x:c>
      <x:c r="D2717" s="12" t="str">
        <x:v>Bengaluru</x:v>
      </x:c>
      <x:c r="E2717" s="12" t="str">
        <x:v>Bagmane Tech Park</x:v>
      </x:c>
      <x:c r="F2717" s="12" t="str">
        <x:v>55 inch</x:v>
      </x:c>
      <x:c r="G2717" s="20" t="n">
        <x:v>1</x:v>
      </x:c>
      <x:c r="H2717" s="12" t="str">
        <x:v>Campus/portfolio roster; individual building occupancy unverified</x:v>
      </x:c>
      <x:c r="I2717" s="12" t="str">
        <x:v>Mixed business audience</x:v>
      </x:c>
      <x:c r="J2717" s="12" t="str">
        <x:v>IT &amp; digital</x:v>
      </x:c>
      <x:c r="K2717" s="2" t="str">
        <x:v>PARTNER-M108</x:v>
      </x:c>
    </x:row>
    <x:row r="2718" ht="46" customHeight="1">
      <x:c r="A2718" s="2" t="str">
        <x:v>TEN-1B24400C96AA</x:v>
      </x:c>
      <x:c r="B2718" s="12" t="str">
        <x:v>Sima.ai</x:v>
      </x:c>
      <x:c r="C2718" s="12" t="str">
        <x:v>CORP-0533</x:v>
      </x:c>
      <x:c r="D2718" s="12" t="str">
        <x:v>Bengaluru</x:v>
      </x:c>
      <x:c r="E2718" s="12" t="str">
        <x:v>Bagmane Tech Park</x:v>
      </x:c>
      <x:c r="F2718" s="12" t="str">
        <x:v>55 inch</x:v>
      </x:c>
      <x:c r="G2718" s="20" t="n">
        <x:v>1</x:v>
      </x:c>
      <x:c r="H2718" s="12" t="str">
        <x:v>Campus/portfolio roster; individual building occupancy unverified</x:v>
      </x:c>
      <x:c r="I2718" s="12" t="str">
        <x:v>Small-scale prospects</x:v>
      </x:c>
      <x:c r="J2718" s="12" t="str">
        <x:v>IT &amp; digital</x:v>
      </x:c>
      <x:c r="K2718" s="2" t="str">
        <x:v>PARTNER-M108</x:v>
      </x:c>
    </x:row>
    <x:row r="2719" ht="46" customHeight="1">
      <x:c r="A2719" s="2" t="str">
        <x:v>TEN-2A09783B1C47</x:v>
      </x:c>
      <x:c r="B2719" s="12" t="str">
        <x:v>Cardinal</x:v>
      </x:c>
      <x:c r="C2719" s="12" t="str">
        <x:v>CORP-0533</x:v>
      </x:c>
      <x:c r="D2719" s="12" t="str">
        <x:v>Bengaluru</x:v>
      </x:c>
      <x:c r="E2719" s="12" t="str">
        <x:v>Bagmane Tech Park</x:v>
      </x:c>
      <x:c r="F2719" s="12" t="str">
        <x:v>55 inch</x:v>
      </x:c>
      <x:c r="G2719" s="20" t="n">
        <x:v>1</x:v>
      </x:c>
      <x:c r="H2719" s="12" t="str">
        <x:v>Campus/portfolio roster; individual building occupancy unverified</x:v>
      </x:c>
      <x:c r="I2719" s="12" t="str">
        <x:v>Mixed business audience</x:v>
      </x:c>
      <x:c r="J2719" s="12" t="str">
        <x:v>Unresolved</x:v>
      </x:c>
      <x:c r="K2719" s="2" t="str">
        <x:v>PARTNER-M108</x:v>
      </x:c>
    </x:row>
    <x:row r="2720" ht="46" customHeight="1">
      <x:c r="A2720" s="2" t="str">
        <x:v>TEN-31FF403A64D8</x:v>
      </x:c>
      <x:c r="B2720" s="12" t="str">
        <x:v>Informatica</x:v>
      </x:c>
      <x:c r="C2720" s="12" t="str">
        <x:v>CORP-0533</x:v>
      </x:c>
      <x:c r="D2720" s="12" t="str">
        <x:v>Bengaluru</x:v>
      </x:c>
      <x:c r="E2720" s="12" t="str">
        <x:v>Bagmane Tech Park</x:v>
      </x:c>
      <x:c r="F2720" s="12" t="str">
        <x:v>55 inch</x:v>
      </x:c>
      <x:c r="G2720" s="20" t="n">
        <x:v>1</x:v>
      </x:c>
      <x:c r="H2720" s="12" t="str">
        <x:v>Campus/portfolio roster; individual building occupancy unverified</x:v>
      </x:c>
      <x:c r="I2720" s="12" t="str">
        <x:v>Large enterprise</x:v>
      </x:c>
      <x:c r="J2720" s="12" t="str">
        <x:v>IT &amp; digital</x:v>
      </x:c>
      <x:c r="K2720" s="2" t="str">
        <x:v>PARTNER-M108</x:v>
      </x:c>
    </x:row>
    <x:row r="2721" ht="46" customHeight="1">
      <x:c r="A2721" s="2" t="str">
        <x:v>TEN-36E26473A4E8</x:v>
      </x:c>
      <x:c r="B2721" s="12" t="str">
        <x:v>Alstom</x:v>
      </x:c>
      <x:c r="C2721" s="12" t="str">
        <x:v>CORP-0533</x:v>
      </x:c>
      <x:c r="D2721" s="12" t="str">
        <x:v>Bengaluru</x:v>
      </x:c>
      <x:c r="E2721" s="12" t="str">
        <x:v>Bagmane Tech Park</x:v>
      </x:c>
      <x:c r="F2721" s="12" t="str">
        <x:v>55 inch</x:v>
      </x:c>
      <x:c r="G2721" s="20" t="n">
        <x:v>1</x:v>
      </x:c>
      <x:c r="H2721" s="12" t="str">
        <x:v>Campus/portfolio roster; individual building occupancy unverified</x:v>
      </x:c>
      <x:c r="I2721" s="12" t="str">
        <x:v>Large enterprise</x:v>
      </x:c>
      <x:c r="J2721" s="12" t="str">
        <x:v>Engineering &amp; manufacturing</x:v>
      </x:c>
      <x:c r="K2721" s="2" t="str">
        <x:v>PARTNER-M108</x:v>
      </x:c>
    </x:row>
    <x:row r="2722" ht="46" customHeight="1">
      <x:c r="A2722" s="2" t="str">
        <x:v>TEN-4957DCDAEE1C</x:v>
      </x:c>
      <x:c r="B2722" s="12" t="str">
        <x:v>Walker Chandok</x:v>
      </x:c>
      <x:c r="C2722" s="12" t="str">
        <x:v>CORP-0533</x:v>
      </x:c>
      <x:c r="D2722" s="12" t="str">
        <x:v>Bengaluru</x:v>
      </x:c>
      <x:c r="E2722" s="12" t="str">
        <x:v>Bagmane Tech Park</x:v>
      </x:c>
      <x:c r="F2722" s="12" t="str">
        <x:v>55 inch</x:v>
      </x:c>
      <x:c r="G2722" s="20" t="n">
        <x:v>1</x:v>
      </x:c>
      <x:c r="H2722" s="12" t="str">
        <x:v>Campus/portfolio roster; individual building occupancy unverified</x:v>
      </x:c>
      <x:c r="I2722" s="12" t="str">
        <x:v>Mixed business audience</x:v>
      </x:c>
      <x:c r="J2722" s="12" t="str">
        <x:v>Professional services</x:v>
      </x:c>
      <x:c r="K2722" s="2" t="str">
        <x:v>PARTNER-M108</x:v>
      </x:c>
    </x:row>
    <x:row r="2723" ht="46" customHeight="1">
      <x:c r="A2723" s="2" t="str">
        <x:v>TEN-4BCFB67D5370</x:v>
      </x:c>
      <x:c r="B2723" s="12" t="str">
        <x:v>Dover</x:v>
      </x:c>
      <x:c r="C2723" s="12" t="str">
        <x:v>CORP-0533</x:v>
      </x:c>
      <x:c r="D2723" s="12" t="str">
        <x:v>Bengaluru</x:v>
      </x:c>
      <x:c r="E2723" s="12" t="str">
        <x:v>Bagmane Tech Park</x:v>
      </x:c>
      <x:c r="F2723" s="12" t="str">
        <x:v>55 inch</x:v>
      </x:c>
      <x:c r="G2723" s="20" t="n">
        <x:v>1</x:v>
      </x:c>
      <x:c r="H2723" s="12" t="str">
        <x:v>Campus/portfolio roster; individual building occupancy unverified</x:v>
      </x:c>
      <x:c r="I2723" s="12" t="str">
        <x:v>Mixed business audience</x:v>
      </x:c>
      <x:c r="J2723" s="12" t="str">
        <x:v>Engineering &amp; manufacturing</x:v>
      </x:c>
      <x:c r="K2723" s="2" t="str">
        <x:v>PARTNER-M108</x:v>
      </x:c>
    </x:row>
    <x:row r="2724" ht="46" customHeight="1">
      <x:c r="A2724" s="2" t="str">
        <x:v>TEN-51BE3E92D716</x:v>
      </x:c>
      <x:c r="B2724" s="12" t="str">
        <x:v>Microfocus</x:v>
      </x:c>
      <x:c r="C2724" s="12" t="str">
        <x:v>CORP-0533</x:v>
      </x:c>
      <x:c r="D2724" s="12" t="str">
        <x:v>Bengaluru</x:v>
      </x:c>
      <x:c r="E2724" s="12" t="str">
        <x:v>Bagmane Tech Park</x:v>
      </x:c>
      <x:c r="F2724" s="12" t="str">
        <x:v>55 inch</x:v>
      </x:c>
      <x:c r="G2724" s="20" t="n">
        <x:v>1</x:v>
      </x:c>
      <x:c r="H2724" s="12" t="str">
        <x:v>Campus/portfolio roster; individual building occupancy unverified</x:v>
      </x:c>
      <x:c r="I2724" s="12" t="str">
        <x:v>Mixed business audience</x:v>
      </x:c>
      <x:c r="J2724" s="12" t="str">
        <x:v>IT &amp; digital</x:v>
      </x:c>
      <x:c r="K2724" s="2" t="str">
        <x:v>PARTNER-M108</x:v>
      </x:c>
    </x:row>
    <x:row r="2725" ht="46" customHeight="1">
      <x:c r="A2725" s="2" t="str">
        <x:v>TEN-55F83AF98CA9</x:v>
      </x:c>
      <x:c r="B2725" s="12" t="str">
        <x:v>cypress</x:v>
      </x:c>
      <x:c r="C2725" s="12" t="str">
        <x:v>CORP-0533</x:v>
      </x:c>
      <x:c r="D2725" s="12" t="str">
        <x:v>Bengaluru</x:v>
      </x:c>
      <x:c r="E2725" s="12" t="str">
        <x:v>Bagmane Tech Park</x:v>
      </x:c>
      <x:c r="F2725" s="12" t="str">
        <x:v>55 inch</x:v>
      </x:c>
      <x:c r="G2725" s="20" t="n">
        <x:v>1</x:v>
      </x:c>
      <x:c r="H2725" s="12" t="str">
        <x:v>Campus/portfolio roster; individual building occupancy unverified</x:v>
      </x:c>
      <x:c r="I2725" s="12" t="str">
        <x:v>Mixed business audience</x:v>
      </x:c>
      <x:c r="J2725" s="12" t="str">
        <x:v>Engineering &amp; manufacturing</x:v>
      </x:c>
      <x:c r="K2725" s="2" t="str">
        <x:v>PARTNER-M108</x:v>
      </x:c>
    </x:row>
    <x:row r="2726" ht="46" customHeight="1">
      <x:c r="A2726" s="2" t="str">
        <x:v>TEN-5DD95C98AFF2</x:v>
      </x:c>
      <x:c r="B2726" s="12" t="str">
        <x:v>Nike</x:v>
      </x:c>
      <x:c r="C2726" s="12" t="str">
        <x:v>CORP-0533</x:v>
      </x:c>
      <x:c r="D2726" s="12" t="str">
        <x:v>Bengaluru</x:v>
      </x:c>
      <x:c r="E2726" s="12" t="str">
        <x:v>Bagmane Tech Park</x:v>
      </x:c>
      <x:c r="F2726" s="12" t="str">
        <x:v>55 inch</x:v>
      </x:c>
      <x:c r="G2726" s="20" t="n">
        <x:v>1</x:v>
      </x:c>
      <x:c r="H2726" s="12" t="str">
        <x:v>Campus/portfolio roster; individual building occupancy unverified</x:v>
      </x:c>
      <x:c r="I2726" s="12" t="str">
        <x:v>Mixed business audience</x:v>
      </x:c>
      <x:c r="J2726" s="12" t="str">
        <x:v>Trade, consumer &amp; logistics</x:v>
      </x:c>
      <x:c r="K2726" s="2" t="str">
        <x:v>PARTNER-M108</x:v>
      </x:c>
    </x:row>
    <x:row r="2727" ht="46" customHeight="1">
      <x:c r="A2727" s="2" t="str">
        <x:v>TEN-60A539DE7BB0</x:v>
      </x:c>
      <x:c r="B2727" s="12" t="str">
        <x:v>Ivanti</x:v>
      </x:c>
      <x:c r="C2727" s="12" t="str">
        <x:v>CORP-0533</x:v>
      </x:c>
      <x:c r="D2727" s="12" t="str">
        <x:v>Bengaluru</x:v>
      </x:c>
      <x:c r="E2727" s="12" t="str">
        <x:v>Bagmane Tech Park</x:v>
      </x:c>
      <x:c r="F2727" s="12" t="str">
        <x:v>55 inch</x:v>
      </x:c>
      <x:c r="G2727" s="20" t="n">
        <x:v>1</x:v>
      </x:c>
      <x:c r="H2727" s="12" t="str">
        <x:v>Campus/portfolio roster; individual building occupancy unverified</x:v>
      </x:c>
      <x:c r="I2727" s="12" t="str">
        <x:v>Large enterprise</x:v>
      </x:c>
      <x:c r="J2727" s="12" t="str">
        <x:v>IT &amp; digital</x:v>
      </x:c>
      <x:c r="K2727" s="2" t="str">
        <x:v>PARTNER-M108</x:v>
      </x:c>
    </x:row>
    <x:row r="2728" ht="46" customHeight="1">
      <x:c r="A2728" s="2" t="str">
        <x:v>TEN-7AD6D135A07F</x:v>
      </x:c>
      <x:c r="B2728" s="12" t="str">
        <x:v>Texas Instrument</x:v>
      </x:c>
      <x:c r="C2728" s="12" t="str">
        <x:v>CORP-0533</x:v>
      </x:c>
      <x:c r="D2728" s="12" t="str">
        <x:v>Bengaluru</x:v>
      </x:c>
      <x:c r="E2728" s="12" t="str">
        <x:v>Bagmane Tech Park</x:v>
      </x:c>
      <x:c r="F2728" s="12" t="str">
        <x:v>55 inch</x:v>
      </x:c>
      <x:c r="G2728" s="20" t="n">
        <x:v>1</x:v>
      </x:c>
      <x:c r="H2728" s="12" t="str">
        <x:v>Campus/portfolio roster; individual building occupancy unverified</x:v>
      </x:c>
      <x:c r="I2728" s="12" t="str">
        <x:v>Mixed business audience</x:v>
      </x:c>
      <x:c r="J2728" s="12" t="str">
        <x:v>Engineering &amp; manufacturing</x:v>
      </x:c>
      <x:c r="K2728" s="2" t="str">
        <x:v>PARTNER-M108</x:v>
      </x:c>
    </x:row>
    <x:row r="2729" ht="46" customHeight="1">
      <x:c r="A2729" s="2" t="str">
        <x:v>TEN-7F1B55B86059</x:v>
      </x:c>
      <x:c r="B2729" s="12" t="str">
        <x:v>LAM</x:v>
      </x:c>
      <x:c r="C2729" s="12" t="str">
        <x:v>CORP-0533</x:v>
      </x:c>
      <x:c r="D2729" s="12" t="str">
        <x:v>Bengaluru</x:v>
      </x:c>
      <x:c r="E2729" s="12" t="str">
        <x:v>Bagmane Tech Park</x:v>
      </x:c>
      <x:c r="F2729" s="12" t="str">
        <x:v>55 inch</x:v>
      </x:c>
      <x:c r="G2729" s="20" t="n">
        <x:v>1</x:v>
      </x:c>
      <x:c r="H2729" s="12" t="str">
        <x:v>Campus/portfolio roster; individual building occupancy unverified</x:v>
      </x:c>
      <x:c r="I2729" s="12" t="str">
        <x:v>Mixed business audience</x:v>
      </x:c>
      <x:c r="J2729" s="12" t="str">
        <x:v>Engineering &amp; manufacturing</x:v>
      </x:c>
      <x:c r="K2729" s="2" t="str">
        <x:v>PARTNER-M108</x:v>
      </x:c>
    </x:row>
    <x:row r="2730" ht="46" customHeight="1">
      <x:c r="A2730" s="2" t="str">
        <x:v>TEN-8D1AE0ED034C</x:v>
      </x:c>
      <x:c r="B2730" s="12" t="str">
        <x:v>UKG</x:v>
      </x:c>
      <x:c r="C2730" s="12" t="str">
        <x:v>CORP-0533</x:v>
      </x:c>
      <x:c r="D2730" s="12" t="str">
        <x:v>Bengaluru</x:v>
      </x:c>
      <x:c r="E2730" s="12" t="str">
        <x:v>Bagmane Tech Park</x:v>
      </x:c>
      <x:c r="F2730" s="12" t="str">
        <x:v>55 inch</x:v>
      </x:c>
      <x:c r="G2730" s="20" t="n">
        <x:v>1</x:v>
      </x:c>
      <x:c r="H2730" s="12" t="str">
        <x:v>Campus/portfolio roster; individual building occupancy unverified</x:v>
      </x:c>
      <x:c r="I2730" s="12" t="str">
        <x:v>Mixed business audience</x:v>
      </x:c>
      <x:c r="J2730" s="12" t="str">
        <x:v>IT &amp; digital</x:v>
      </x:c>
      <x:c r="K2730" s="2" t="str">
        <x:v>PARTNER-M108</x:v>
      </x:c>
    </x:row>
    <x:row r="2731" ht="46" customHeight="1">
      <x:c r="A2731" s="2" t="str">
        <x:v>TEN-9387E476D00B</x:v>
      </x:c>
      <x:c r="B2731" s="12" t="str">
        <x:v>SAP concur</x:v>
      </x:c>
      <x:c r="C2731" s="12" t="str">
        <x:v>CORP-0533</x:v>
      </x:c>
      <x:c r="D2731" s="12" t="str">
        <x:v>Bengaluru</x:v>
      </x:c>
      <x:c r="E2731" s="12" t="str">
        <x:v>Bagmane Tech Park</x:v>
      </x:c>
      <x:c r="F2731" s="12" t="str">
        <x:v>55 inch</x:v>
      </x:c>
      <x:c r="G2731" s="20" t="n">
        <x:v>1</x:v>
      </x:c>
      <x:c r="H2731" s="12" t="str">
        <x:v>Campus/portfolio roster; individual building occupancy unverified</x:v>
      </x:c>
      <x:c r="I2731" s="12" t="str">
        <x:v>Large enterprise</x:v>
      </x:c>
      <x:c r="J2731" s="12" t="str">
        <x:v>IT &amp; digital</x:v>
      </x:c>
      <x:c r="K2731" s="2" t="str">
        <x:v>PARTNER-M108</x:v>
      </x:c>
    </x:row>
    <x:row r="2732" ht="46" customHeight="1">
      <x:c r="A2732" s="2" t="str">
        <x:v>TEN-98E929C33151</x:v>
      </x:c>
      <x:c r="B2732" s="12" t="str">
        <x:v>Renesas</x:v>
      </x:c>
      <x:c r="C2732" s="12" t="str">
        <x:v>CORP-0533</x:v>
      </x:c>
      <x:c r="D2732" s="12" t="str">
        <x:v>Bengaluru</x:v>
      </x:c>
      <x:c r="E2732" s="12" t="str">
        <x:v>Bagmane Tech Park</x:v>
      </x:c>
      <x:c r="F2732" s="12" t="str">
        <x:v>55 inch</x:v>
      </x:c>
      <x:c r="G2732" s="20" t="n">
        <x:v>1</x:v>
      </x:c>
      <x:c r="H2732" s="12" t="str">
        <x:v>Campus/portfolio roster; individual building occupancy unverified</x:v>
      </x:c>
      <x:c r="I2732" s="12" t="str">
        <x:v>Mixed business audience</x:v>
      </x:c>
      <x:c r="J2732" s="12" t="str">
        <x:v>Engineering &amp; manufacturing</x:v>
      </x:c>
      <x:c r="K2732" s="2" t="str">
        <x:v>PARTNER-M108</x:v>
      </x:c>
    </x:row>
    <x:row r="2733" ht="46" customHeight="1">
      <x:c r="A2733" s="2" t="str">
        <x:v>TEN-A973ADF51E6A</x:v>
      </x:c>
      <x:c r="B2733" s="12" t="str">
        <x:v>Talisma</x:v>
      </x:c>
      <x:c r="C2733" s="12" t="str">
        <x:v>CORP-0533</x:v>
      </x:c>
      <x:c r="D2733" s="12" t="str">
        <x:v>Bengaluru</x:v>
      </x:c>
      <x:c r="E2733" s="12" t="str">
        <x:v>Bagmane Tech Park</x:v>
      </x:c>
      <x:c r="F2733" s="12" t="str">
        <x:v>55 inch</x:v>
      </x:c>
      <x:c r="G2733" s="20" t="n">
        <x:v>1</x:v>
      </x:c>
      <x:c r="H2733" s="12" t="str">
        <x:v>Campus/portfolio roster; individual building occupancy unverified</x:v>
      </x:c>
      <x:c r="I2733" s="12" t="str">
        <x:v>Mixed business audience</x:v>
      </x:c>
      <x:c r="J2733" s="12" t="str">
        <x:v>IT &amp; digital</x:v>
      </x:c>
      <x:c r="K2733" s="2" t="str">
        <x:v>PARTNER-M108</x:v>
      </x:c>
    </x:row>
    <x:row r="2734" ht="46" customHeight="1">
      <x:c r="A2734" s="2" t="str">
        <x:v>TEN-AEF34FE789D8</x:v>
      </x:c>
      <x:c r="B2734" s="12" t="str">
        <x:v>Pal Alto</x:v>
      </x:c>
      <x:c r="C2734" s="12" t="str">
        <x:v>CORP-0533</x:v>
      </x:c>
      <x:c r="D2734" s="12" t="str">
        <x:v>Bengaluru</x:v>
      </x:c>
      <x:c r="E2734" s="12" t="str">
        <x:v>Bagmane Tech Park</x:v>
      </x:c>
      <x:c r="F2734" s="12" t="str">
        <x:v>55 inch</x:v>
      </x:c>
      <x:c r="G2734" s="20" t="n">
        <x:v>1</x:v>
      </x:c>
      <x:c r="H2734" s="12" t="str">
        <x:v>Campus/portfolio roster; individual building occupancy unverified</x:v>
      </x:c>
      <x:c r="I2734" s="12" t="str">
        <x:v>Mixed business audience</x:v>
      </x:c>
      <x:c r="J2734" s="12" t="str">
        <x:v>Unresolved</x:v>
      </x:c>
      <x:c r="K2734" s="2" t="str">
        <x:v>PARTNER-M108</x:v>
      </x:c>
    </x:row>
    <x:row r="2735" ht="46" customHeight="1">
      <x:c r="A2735" s="2" t="str">
        <x:v>TEN-B1331F460EB4</x:v>
      </x:c>
      <x:c r="B2735" s="12" t="str">
        <x:v>CEM</x:v>
      </x:c>
      <x:c r="C2735" s="12" t="str">
        <x:v>CORP-0533</x:v>
      </x:c>
      <x:c r="D2735" s="12" t="str">
        <x:v>Bengaluru</x:v>
      </x:c>
      <x:c r="E2735" s="12" t="str">
        <x:v>Bagmane Tech Park</x:v>
      </x:c>
      <x:c r="F2735" s="12" t="str">
        <x:v>55 inch</x:v>
      </x:c>
      <x:c r="G2735" s="20" t="n">
        <x:v>1</x:v>
      </x:c>
      <x:c r="H2735" s="12" t="str">
        <x:v>Campus/portfolio roster; individual building occupancy unverified</x:v>
      </x:c>
      <x:c r="I2735" s="12" t="str">
        <x:v>Mixed business audience</x:v>
      </x:c>
      <x:c r="J2735" s="12" t="str">
        <x:v>Unresolved</x:v>
      </x:c>
      <x:c r="K2735" s="2" t="str">
        <x:v>PARTNER-M108</x:v>
      </x:c>
    </x:row>
    <x:row r="2736" ht="46" customHeight="1">
      <x:c r="A2736" s="2" t="str">
        <x:v>TEN-BCCAE4CE7BE6</x:v>
      </x:c>
      <x:c r="B2736" s="12" t="str">
        <x:v>Volvo</x:v>
      </x:c>
      <x:c r="C2736" s="12" t="str">
        <x:v>CORP-0533</x:v>
      </x:c>
      <x:c r="D2736" s="12" t="str">
        <x:v>Bengaluru</x:v>
      </x:c>
      <x:c r="E2736" s="12" t="str">
        <x:v>Bagmane Tech Park</x:v>
      </x:c>
      <x:c r="F2736" s="12" t="str">
        <x:v>55 inch</x:v>
      </x:c>
      <x:c r="G2736" s="20" t="n">
        <x:v>1</x:v>
      </x:c>
      <x:c r="H2736" s="12" t="str">
        <x:v>Campus/portfolio roster; individual building occupancy unverified</x:v>
      </x:c>
      <x:c r="I2736" s="12" t="str">
        <x:v>Mixed business audience</x:v>
      </x:c>
      <x:c r="J2736" s="12" t="str">
        <x:v>Engineering &amp; manufacturing</x:v>
      </x:c>
      <x:c r="K2736" s="2" t="str">
        <x:v>PARTNER-M108</x:v>
      </x:c>
    </x:row>
    <x:row r="2737" ht="46" customHeight="1">
      <x:c r="A2737" s="2" t="str">
        <x:v>TEN-C2ECB55DC1D4</x:v>
      </x:c>
      <x:c r="B2737" s="12" t="str">
        <x:v>ROHM</x:v>
      </x:c>
      <x:c r="C2737" s="12" t="str">
        <x:v>CORP-0533</x:v>
      </x:c>
      <x:c r="D2737" s="12" t="str">
        <x:v>Bengaluru</x:v>
      </x:c>
      <x:c r="E2737" s="12" t="str">
        <x:v>Bagmane Tech Park</x:v>
      </x:c>
      <x:c r="F2737" s="12" t="str">
        <x:v>55 inch</x:v>
      </x:c>
      <x:c r="G2737" s="20" t="n">
        <x:v>1</x:v>
      </x:c>
      <x:c r="H2737" s="12" t="str">
        <x:v>Campus/portfolio roster; individual building occupancy unverified</x:v>
      </x:c>
      <x:c r="I2737" s="12" t="str">
        <x:v>Mixed business audience</x:v>
      </x:c>
      <x:c r="J2737" s="12" t="str">
        <x:v>Engineering &amp; manufacturing</x:v>
      </x:c>
      <x:c r="K2737" s="2" t="str">
        <x:v>PARTNER-M108</x:v>
      </x:c>
    </x:row>
    <x:row r="2738" ht="46" customHeight="1">
      <x:c r="A2738" s="2" t="str">
        <x:v>TEN-C63AC00C4D11</x:v>
      </x:c>
      <x:c r="B2738" s="12" t="str">
        <x:v>Mphasis</x:v>
      </x:c>
      <x:c r="C2738" s="12" t="str">
        <x:v>CORP-0533</x:v>
      </x:c>
      <x:c r="D2738" s="12" t="str">
        <x:v>Bengaluru</x:v>
      </x:c>
      <x:c r="E2738" s="12" t="str">
        <x:v>Bagmane Tech Park</x:v>
      </x:c>
      <x:c r="F2738" s="12" t="str">
        <x:v>55 inch</x:v>
      </x:c>
      <x:c r="G2738" s="20" t="n">
        <x:v>1</x:v>
      </x:c>
      <x:c r="H2738" s="12" t="str">
        <x:v>Campus/portfolio roster; individual building occupancy unverified</x:v>
      </x:c>
      <x:c r="I2738" s="12" t="str">
        <x:v>Large enterprise</x:v>
      </x:c>
      <x:c r="J2738" s="12" t="str">
        <x:v>IT &amp; digital</x:v>
      </x:c>
      <x:c r="K2738" s="2" t="str">
        <x:v>PARTNER-M108</x:v>
      </x:c>
    </x:row>
    <x:row r="2739" ht="46" customHeight="1">
      <x:c r="A2739" s="2" t="str">
        <x:v>TEN-C97CE19B9C35</x:v>
      </x:c>
      <x:c r="B2739" s="12" t="str">
        <x:v>PricewaterhouseCoopers</x:v>
      </x:c>
      <x:c r="C2739" s="12" t="str">
        <x:v>CORP-0533</x:v>
      </x:c>
      <x:c r="D2739" s="12" t="str">
        <x:v>Bengaluru</x:v>
      </x:c>
      <x:c r="E2739" s="12" t="str">
        <x:v>Bagmane Tech Park</x:v>
      </x:c>
      <x:c r="F2739" s="12" t="str">
        <x:v>55 inch</x:v>
      </x:c>
      <x:c r="G2739" s="20" t="n">
        <x:v>1</x:v>
      </x:c>
      <x:c r="H2739" s="12" t="str">
        <x:v>Campus/portfolio roster; individual building occupancy unverified</x:v>
      </x:c>
      <x:c r="I2739" s="12" t="str">
        <x:v>Large enterprise</x:v>
      </x:c>
      <x:c r="J2739" s="12" t="str">
        <x:v>Professional services</x:v>
      </x:c>
      <x:c r="K2739" s="2" t="str">
        <x:v>PARTNER-M108</x:v>
      </x:c>
    </x:row>
    <x:row r="2740" ht="46" customHeight="1">
      <x:c r="A2740" s="2" t="str">
        <x:v>TEN-D0E2ECE166BD</x:v>
      </x:c>
      <x:c r="B2740" s="12" t="str">
        <x:v>Dell</x:v>
      </x:c>
      <x:c r="C2740" s="12" t="str">
        <x:v>CORP-0533</x:v>
      </x:c>
      <x:c r="D2740" s="12" t="str">
        <x:v>Bengaluru</x:v>
      </x:c>
      <x:c r="E2740" s="12" t="str">
        <x:v>Bagmane Tech Park</x:v>
      </x:c>
      <x:c r="F2740" s="12" t="str">
        <x:v>55 inch</x:v>
      </x:c>
      <x:c r="G2740" s="20" t="n">
        <x:v>1</x:v>
      </x:c>
      <x:c r="H2740" s="12" t="str">
        <x:v>Campus/portfolio roster; individual building occupancy unverified</x:v>
      </x:c>
      <x:c r="I2740" s="12" t="str">
        <x:v>Large enterprise</x:v>
      </x:c>
      <x:c r="J2740" s="12" t="str">
        <x:v>Engineering &amp; manufacturing</x:v>
      </x:c>
      <x:c r="K2740" s="2" t="str">
        <x:v>PARTNER-M108</x:v>
      </x:c>
    </x:row>
    <x:row r="2741" ht="46" customHeight="1">
      <x:c r="A2741" s="2" t="str">
        <x:v>TEN-E305C1EB5FCE</x:v>
      </x:c>
      <x:c r="B2741" s="12" t="str">
        <x:v>ALUK</x:v>
      </x:c>
      <x:c r="C2741" s="12" t="str">
        <x:v>CORP-0533</x:v>
      </x:c>
      <x:c r="D2741" s="12" t="str">
        <x:v>Bengaluru</x:v>
      </x:c>
      <x:c r="E2741" s="12" t="str">
        <x:v>Bagmane Tech Park</x:v>
      </x:c>
      <x:c r="F2741" s="12" t="str">
        <x:v>55 inch</x:v>
      </x:c>
      <x:c r="G2741" s="20" t="n">
        <x:v>1</x:v>
      </x:c>
      <x:c r="H2741" s="12" t="str">
        <x:v>Campus/portfolio roster; individual building occupancy unverified</x:v>
      </x:c>
      <x:c r="I2741" s="12" t="str">
        <x:v>Medium-scale prospects</x:v>
      </x:c>
      <x:c r="J2741" s="12" t="str">
        <x:v>Engineering &amp; manufacturing</x:v>
      </x:c>
      <x:c r="K2741" s="2" t="str">
        <x:v>PARTNER-M108</x:v>
      </x:c>
    </x:row>
    <x:row r="2742" ht="46" customHeight="1">
      <x:c r="A2742" s="2" t="str">
        <x:v>TEN-E5E23A26CD36</x:v>
      </x:c>
      <x:c r="B2742" s="12" t="str">
        <x:v>Grant Thornton</x:v>
      </x:c>
      <x:c r="C2742" s="12" t="str">
        <x:v>CORP-0533</x:v>
      </x:c>
      <x:c r="D2742" s="12" t="str">
        <x:v>Bengaluru</x:v>
      </x:c>
      <x:c r="E2742" s="12" t="str">
        <x:v>Bagmane Tech Park</x:v>
      </x:c>
      <x:c r="F2742" s="12" t="str">
        <x:v>55 inch</x:v>
      </x:c>
      <x:c r="G2742" s="20" t="n">
        <x:v>1</x:v>
      </x:c>
      <x:c r="H2742" s="12" t="str">
        <x:v>Campus/portfolio roster; individual building occupancy unverified</x:v>
      </x:c>
      <x:c r="I2742" s="12" t="str">
        <x:v>Large enterprise</x:v>
      </x:c>
      <x:c r="J2742" s="12" t="str">
        <x:v>Professional services</x:v>
      </x:c>
      <x:c r="K2742" s="2" t="str">
        <x:v>PARTNER-M108</x:v>
      </x:c>
    </x:row>
    <x:row r="2743" ht="46" customHeight="1">
      <x:c r="A2743" s="2" t="str">
        <x:v>TEN-E73B79A0B10F</x:v>
      </x:c>
      <x:c r="B2743" s="12" t="str">
        <x:v>Cisco</x:v>
      </x:c>
      <x:c r="C2743" s="12" t="str">
        <x:v>CORP-0533</x:v>
      </x:c>
      <x:c r="D2743" s="12" t="str">
        <x:v>Bengaluru</x:v>
      </x:c>
      <x:c r="E2743" s="12" t="str">
        <x:v>Bagmane Tech Park</x:v>
      </x:c>
      <x:c r="F2743" s="12" t="str">
        <x:v>55 inch</x:v>
      </x:c>
      <x:c r="G2743" s="20" t="n">
        <x:v>1</x:v>
      </x:c>
      <x:c r="H2743" s="12" t="str">
        <x:v>Campus/portfolio roster; individual building occupancy unverified</x:v>
      </x:c>
      <x:c r="I2743" s="12" t="str">
        <x:v>Large enterprise</x:v>
      </x:c>
      <x:c r="J2743" s="12" t="str">
        <x:v>IT &amp; digital</x:v>
      </x:c>
      <x:c r="K2743" s="2" t="str">
        <x:v>PARTNER-M108</x:v>
      </x:c>
    </x:row>
    <x:row r="2744" ht="46" customHeight="1">
      <x:c r="A2744" s="2" t="str">
        <x:v>TEN-F49D19F21FE1</x:v>
      </x:c>
      <x:c r="B2744" s="12" t="str">
        <x:v>L3 Communication</x:v>
      </x:c>
      <x:c r="C2744" s="12" t="str">
        <x:v>CORP-0533</x:v>
      </x:c>
      <x:c r="D2744" s="12" t="str">
        <x:v>Bengaluru</x:v>
      </x:c>
      <x:c r="E2744" s="12" t="str">
        <x:v>Bagmane Tech Park</x:v>
      </x:c>
      <x:c r="F2744" s="12" t="str">
        <x:v>55 inch</x:v>
      </x:c>
      <x:c r="G2744" s="20" t="n">
        <x:v>1</x:v>
      </x:c>
      <x:c r="H2744" s="12" t="str">
        <x:v>Campus/portfolio roster; individual building occupancy unverified</x:v>
      </x:c>
      <x:c r="I2744" s="12" t="str">
        <x:v>Mixed business audience</x:v>
      </x:c>
      <x:c r="J2744" s="12" t="str">
        <x:v>IT &amp; digital</x:v>
      </x:c>
      <x:c r="K2744" s="2" t="str">
        <x:v>PARTNER-M108</x:v>
      </x:c>
    </x:row>
    <x:row r="2745" ht="46" customHeight="1">
      <x:c r="A2745" s="2" t="str">
        <x:v>TEN-FEED58DAA315</x:v>
      </x:c>
      <x:c r="B2745" s="12" t="str">
        <x:v>Infineon</x:v>
      </x:c>
      <x:c r="C2745" s="12" t="str">
        <x:v>CORP-0533</x:v>
      </x:c>
      <x:c r="D2745" s="12" t="str">
        <x:v>Bengaluru</x:v>
      </x:c>
      <x:c r="E2745" s="12" t="str">
        <x:v>Bagmane Tech Park</x:v>
      </x:c>
      <x:c r="F2745" s="12" t="str">
        <x:v>55 inch</x:v>
      </x:c>
      <x:c r="G2745" s="20" t="n">
        <x:v>1</x:v>
      </x:c>
      <x:c r="H2745" s="12" t="str">
        <x:v>Campus/portfolio roster; individual building occupancy unverified</x:v>
      </x:c>
      <x:c r="I2745" s="12" t="str">
        <x:v>Large enterprise</x:v>
      </x:c>
      <x:c r="J2745" s="12" t="str">
        <x:v>Engineering &amp; manufacturing</x:v>
      </x:c>
      <x:c r="K2745" s="2" t="str">
        <x:v>PARTNER-M108</x:v>
      </x:c>
    </x:row>
    <x:row r="2746" ht="46" customHeight="1">
      <x:c r="A2746" s="2" t="str">
        <x:v>TEN-05A498EFD197</x:v>
      </x:c>
      <x:c r="B2746" s="12" t="str">
        <x:v>Kronos</x:v>
      </x:c>
      <x:c r="C2746" s="12" t="str">
        <x:v>CORP-0534</x:v>
      </x:c>
      <x:c r="D2746" s="12" t="str">
        <x:v>Bengaluru</x:v>
      </x:c>
      <x:c r="E2746" s="12" t="str">
        <x:v>Bagmane Tech Park</x:v>
      </x:c>
      <x:c r="F2746" s="12" t="str">
        <x:v>55 inch</x:v>
      </x:c>
      <x:c r="G2746" s="20" t="n">
        <x:v>1</x:v>
      </x:c>
      <x:c r="H2746" s="12" t="str">
        <x:v>Campus/portfolio roster; individual building occupancy unverified</x:v>
      </x:c>
      <x:c r="I2746" s="12" t="str">
        <x:v>Mixed business audience</x:v>
      </x:c>
      <x:c r="J2746" s="12" t="str">
        <x:v>IT &amp; digital</x:v>
      </x:c>
      <x:c r="K2746" s="2" t="str">
        <x:v>PARTNER-M108</x:v>
      </x:c>
    </x:row>
    <x:row r="2747" ht="46" customHeight="1">
      <x:c r="A2747" s="2" t="str">
        <x:v>TEN-0B570123A8C3</x:v>
      </x:c>
      <x:c r="B2747" s="12" t="str">
        <x:v>Commvault</x:v>
      </x:c>
      <x:c r="C2747" s="12" t="str">
        <x:v>CORP-0534</x:v>
      </x:c>
      <x:c r="D2747" s="12" t="str">
        <x:v>Bengaluru</x:v>
      </x:c>
      <x:c r="E2747" s="12" t="str">
        <x:v>Bagmane Tech Park</x:v>
      </x:c>
      <x:c r="F2747" s="12" t="str">
        <x:v>55 inch</x:v>
      </x:c>
      <x:c r="G2747" s="20" t="n">
        <x:v>1</x:v>
      </x:c>
      <x:c r="H2747" s="12" t="str">
        <x:v>Campus/portfolio roster; individual building occupancy unverified</x:v>
      </x:c>
      <x:c r="I2747" s="12" t="str">
        <x:v>Large enterprise</x:v>
      </x:c>
      <x:c r="J2747" s="12" t="str">
        <x:v>IT &amp; digital</x:v>
      </x:c>
      <x:c r="K2747" s="2" t="str">
        <x:v>PARTNER-M108</x:v>
      </x:c>
    </x:row>
    <x:row r="2748" ht="46" customHeight="1">
      <x:c r="A2748" s="2" t="str">
        <x:v>TEN-0C44BE9F7948</x:v>
      </x:c>
      <x:c r="B2748" s="12" t="str">
        <x:v>Motorola</x:v>
      </x:c>
      <x:c r="C2748" s="12" t="str">
        <x:v>CORP-0534</x:v>
      </x:c>
      <x:c r="D2748" s="12" t="str">
        <x:v>Bengaluru</x:v>
      </x:c>
      <x:c r="E2748" s="12" t="str">
        <x:v>Bagmane Tech Park</x:v>
      </x:c>
      <x:c r="F2748" s="12" t="str">
        <x:v>55 inch</x:v>
      </x:c>
      <x:c r="G2748" s="20" t="n">
        <x:v>1</x:v>
      </x:c>
      <x:c r="H2748" s="12" t="str">
        <x:v>Campus/portfolio roster; individual building occupancy unverified</x:v>
      </x:c>
      <x:c r="I2748" s="12" t="str">
        <x:v>Large enterprise</x:v>
      </x:c>
      <x:c r="J2748" s="12" t="str">
        <x:v>Engineering &amp; manufacturing</x:v>
      </x:c>
      <x:c r="K2748" s="2" t="str">
        <x:v>PARTNER-M108</x:v>
      </x:c>
    </x:row>
    <x:row r="2749" ht="46" customHeight="1">
      <x:c r="A2749" s="2" t="str">
        <x:v>TEN-16F45B99ABFD</x:v>
      </x:c>
      <x:c r="B2749" s="12" t="str">
        <x:v>Boeing</x:v>
      </x:c>
      <x:c r="C2749" s="12" t="str">
        <x:v>CORP-0534</x:v>
      </x:c>
      <x:c r="D2749" s="12" t="str">
        <x:v>Bengaluru</x:v>
      </x:c>
      <x:c r="E2749" s="12" t="str">
        <x:v>Bagmane Tech Park</x:v>
      </x:c>
      <x:c r="F2749" s="12" t="str">
        <x:v>55 inch</x:v>
      </x:c>
      <x:c r="G2749" s="20" t="n">
        <x:v>1</x:v>
      </x:c>
      <x:c r="H2749" s="12" t="str">
        <x:v>Campus/portfolio roster; individual building occupancy unverified</x:v>
      </x:c>
      <x:c r="I2749" s="12" t="str">
        <x:v>Large enterprise</x:v>
      </x:c>
      <x:c r="J2749" s="12" t="str">
        <x:v>Engineering &amp; manufacturing</x:v>
      </x:c>
      <x:c r="K2749" s="2" t="str">
        <x:v>PARTNER-M108</x:v>
      </x:c>
    </x:row>
    <x:row r="2750" ht="46" customHeight="1">
      <x:c r="A2750" s="2" t="str">
        <x:v>TEN-17840323EA59</x:v>
      </x:c>
      <x:c r="B2750" s="12" t="str">
        <x:v>Juniper</x:v>
      </x:c>
      <x:c r="C2750" s="12" t="str">
        <x:v>CORP-0534</x:v>
      </x:c>
      <x:c r="D2750" s="12" t="str">
        <x:v>Bengaluru</x:v>
      </x:c>
      <x:c r="E2750" s="12" t="str">
        <x:v>Bagmane Tech Park</x:v>
      </x:c>
      <x:c r="F2750" s="12" t="str">
        <x:v>55 inch</x:v>
      </x:c>
      <x:c r="G2750" s="20" t="n">
        <x:v>1</x:v>
      </x:c>
      <x:c r="H2750" s="12" t="str">
        <x:v>Campus/portfolio roster; individual building occupancy unverified</x:v>
      </x:c>
      <x:c r="I2750" s="12" t="str">
        <x:v>Mixed business audience</x:v>
      </x:c>
      <x:c r="J2750" s="12" t="str">
        <x:v>IT &amp; digital</x:v>
      </x:c>
      <x:c r="K2750" s="2" t="str">
        <x:v>PARTNER-M108</x:v>
      </x:c>
    </x:row>
    <x:row r="2751" ht="46" customHeight="1">
      <x:c r="A2751" s="2" t="str">
        <x:v>TEN-19A1211FA855</x:v>
      </x:c>
      <x:c r="B2751" s="12" t="str">
        <x:v>Altiostar</x:v>
      </x:c>
      <x:c r="C2751" s="12" t="str">
        <x:v>CORP-0534</x:v>
      </x:c>
      <x:c r="D2751" s="12" t="str">
        <x:v>Bengaluru</x:v>
      </x:c>
      <x:c r="E2751" s="12" t="str">
        <x:v>Bagmane Tech Park</x:v>
      </x:c>
      <x:c r="F2751" s="12" t="str">
        <x:v>55 inch</x:v>
      </x:c>
      <x:c r="G2751" s="20" t="n">
        <x:v>1</x:v>
      </x:c>
      <x:c r="H2751" s="12" t="str">
        <x:v>Campus/portfolio roster; individual building occupancy unverified</x:v>
      </x:c>
      <x:c r="I2751" s="12" t="str">
        <x:v>Mixed business audience</x:v>
      </x:c>
      <x:c r="J2751" s="12" t="str">
        <x:v>IT &amp; digital</x:v>
      </x:c>
      <x:c r="K2751" s="2" t="str">
        <x:v>PARTNER-M108</x:v>
      </x:c>
    </x:row>
    <x:row r="2752" ht="46" customHeight="1">
      <x:c r="A2752" s="2" t="str">
        <x:v>TEN-1B24400C96AA</x:v>
      </x:c>
      <x:c r="B2752" s="12" t="str">
        <x:v>Sima.ai</x:v>
      </x:c>
      <x:c r="C2752" s="12" t="str">
        <x:v>CORP-0534</x:v>
      </x:c>
      <x:c r="D2752" s="12" t="str">
        <x:v>Bengaluru</x:v>
      </x:c>
      <x:c r="E2752" s="12" t="str">
        <x:v>Bagmane Tech Park</x:v>
      </x:c>
      <x:c r="F2752" s="12" t="str">
        <x:v>55 inch</x:v>
      </x:c>
      <x:c r="G2752" s="20" t="n">
        <x:v>1</x:v>
      </x:c>
      <x:c r="H2752" s="12" t="str">
        <x:v>Campus/portfolio roster; individual building occupancy unverified</x:v>
      </x:c>
      <x:c r="I2752" s="12" t="str">
        <x:v>Small-scale prospects</x:v>
      </x:c>
      <x:c r="J2752" s="12" t="str">
        <x:v>IT &amp; digital</x:v>
      </x:c>
      <x:c r="K2752" s="2" t="str">
        <x:v>PARTNER-M108</x:v>
      </x:c>
    </x:row>
    <x:row r="2753" ht="46" customHeight="1">
      <x:c r="A2753" s="2" t="str">
        <x:v>TEN-2A09783B1C47</x:v>
      </x:c>
      <x:c r="B2753" s="12" t="str">
        <x:v>Cardinal</x:v>
      </x:c>
      <x:c r="C2753" s="12" t="str">
        <x:v>CORP-0534</x:v>
      </x:c>
      <x:c r="D2753" s="12" t="str">
        <x:v>Bengaluru</x:v>
      </x:c>
      <x:c r="E2753" s="12" t="str">
        <x:v>Bagmane Tech Park</x:v>
      </x:c>
      <x:c r="F2753" s="12" t="str">
        <x:v>55 inch</x:v>
      </x:c>
      <x:c r="G2753" s="20" t="n">
        <x:v>1</x:v>
      </x:c>
      <x:c r="H2753" s="12" t="str">
        <x:v>Campus/portfolio roster; individual building occupancy unverified</x:v>
      </x:c>
      <x:c r="I2753" s="12" t="str">
        <x:v>Mixed business audience</x:v>
      </x:c>
      <x:c r="J2753" s="12" t="str">
        <x:v>Unresolved</x:v>
      </x:c>
      <x:c r="K2753" s="2" t="str">
        <x:v>PARTNER-M108</x:v>
      </x:c>
    </x:row>
    <x:row r="2754" ht="46" customHeight="1">
      <x:c r="A2754" s="2" t="str">
        <x:v>TEN-31FF403A64D8</x:v>
      </x:c>
      <x:c r="B2754" s="12" t="str">
        <x:v>Informatica</x:v>
      </x:c>
      <x:c r="C2754" s="12" t="str">
        <x:v>CORP-0534</x:v>
      </x:c>
      <x:c r="D2754" s="12" t="str">
        <x:v>Bengaluru</x:v>
      </x:c>
      <x:c r="E2754" s="12" t="str">
        <x:v>Bagmane Tech Park</x:v>
      </x:c>
      <x:c r="F2754" s="12" t="str">
        <x:v>55 inch</x:v>
      </x:c>
      <x:c r="G2754" s="20" t="n">
        <x:v>1</x:v>
      </x:c>
      <x:c r="H2754" s="12" t="str">
        <x:v>Campus/portfolio roster; individual building occupancy unverified</x:v>
      </x:c>
      <x:c r="I2754" s="12" t="str">
        <x:v>Large enterprise</x:v>
      </x:c>
      <x:c r="J2754" s="12" t="str">
        <x:v>IT &amp; digital</x:v>
      </x:c>
      <x:c r="K2754" s="2" t="str">
        <x:v>PARTNER-M108</x:v>
      </x:c>
    </x:row>
    <x:row r="2755" ht="46" customHeight="1">
      <x:c r="A2755" s="2" t="str">
        <x:v>TEN-36E26473A4E8</x:v>
      </x:c>
      <x:c r="B2755" s="12" t="str">
        <x:v>Alstom</x:v>
      </x:c>
      <x:c r="C2755" s="12" t="str">
        <x:v>CORP-0534</x:v>
      </x:c>
      <x:c r="D2755" s="12" t="str">
        <x:v>Bengaluru</x:v>
      </x:c>
      <x:c r="E2755" s="12" t="str">
        <x:v>Bagmane Tech Park</x:v>
      </x:c>
      <x:c r="F2755" s="12" t="str">
        <x:v>55 inch</x:v>
      </x:c>
      <x:c r="G2755" s="20" t="n">
        <x:v>1</x:v>
      </x:c>
      <x:c r="H2755" s="12" t="str">
        <x:v>Campus/portfolio roster; individual building occupancy unverified</x:v>
      </x:c>
      <x:c r="I2755" s="12" t="str">
        <x:v>Large enterprise</x:v>
      </x:c>
      <x:c r="J2755" s="12" t="str">
        <x:v>Engineering &amp; manufacturing</x:v>
      </x:c>
      <x:c r="K2755" s="2" t="str">
        <x:v>PARTNER-M108</x:v>
      </x:c>
    </x:row>
    <x:row r="2756" ht="46" customHeight="1">
      <x:c r="A2756" s="2" t="str">
        <x:v>TEN-4957DCDAEE1C</x:v>
      </x:c>
      <x:c r="B2756" s="12" t="str">
        <x:v>Walker Chandok</x:v>
      </x:c>
      <x:c r="C2756" s="12" t="str">
        <x:v>CORP-0534</x:v>
      </x:c>
      <x:c r="D2756" s="12" t="str">
        <x:v>Bengaluru</x:v>
      </x:c>
      <x:c r="E2756" s="12" t="str">
        <x:v>Bagmane Tech Park</x:v>
      </x:c>
      <x:c r="F2756" s="12" t="str">
        <x:v>55 inch</x:v>
      </x:c>
      <x:c r="G2756" s="20" t="n">
        <x:v>1</x:v>
      </x:c>
      <x:c r="H2756" s="12" t="str">
        <x:v>Campus/portfolio roster; individual building occupancy unverified</x:v>
      </x:c>
      <x:c r="I2756" s="12" t="str">
        <x:v>Mixed business audience</x:v>
      </x:c>
      <x:c r="J2756" s="12" t="str">
        <x:v>Professional services</x:v>
      </x:c>
      <x:c r="K2756" s="2" t="str">
        <x:v>PARTNER-M108</x:v>
      </x:c>
    </x:row>
    <x:row r="2757" ht="46" customHeight="1">
      <x:c r="A2757" s="2" t="str">
        <x:v>TEN-4BCFB67D5370</x:v>
      </x:c>
      <x:c r="B2757" s="12" t="str">
        <x:v>Dover</x:v>
      </x:c>
      <x:c r="C2757" s="12" t="str">
        <x:v>CORP-0534</x:v>
      </x:c>
      <x:c r="D2757" s="12" t="str">
        <x:v>Bengaluru</x:v>
      </x:c>
      <x:c r="E2757" s="12" t="str">
        <x:v>Bagmane Tech Park</x:v>
      </x:c>
      <x:c r="F2757" s="12" t="str">
        <x:v>55 inch</x:v>
      </x:c>
      <x:c r="G2757" s="20" t="n">
        <x:v>1</x:v>
      </x:c>
      <x:c r="H2757" s="12" t="str">
        <x:v>Campus/portfolio roster; individual building occupancy unverified</x:v>
      </x:c>
      <x:c r="I2757" s="12" t="str">
        <x:v>Mixed business audience</x:v>
      </x:c>
      <x:c r="J2757" s="12" t="str">
        <x:v>Engineering &amp; manufacturing</x:v>
      </x:c>
      <x:c r="K2757" s="2" t="str">
        <x:v>PARTNER-M108</x:v>
      </x:c>
    </x:row>
    <x:row r="2758" ht="46" customHeight="1">
      <x:c r="A2758" s="2" t="str">
        <x:v>TEN-51BE3E92D716</x:v>
      </x:c>
      <x:c r="B2758" s="12" t="str">
        <x:v>Microfocus</x:v>
      </x:c>
      <x:c r="C2758" s="12" t="str">
        <x:v>CORP-0534</x:v>
      </x:c>
      <x:c r="D2758" s="12" t="str">
        <x:v>Bengaluru</x:v>
      </x:c>
      <x:c r="E2758" s="12" t="str">
        <x:v>Bagmane Tech Park</x:v>
      </x:c>
      <x:c r="F2758" s="12" t="str">
        <x:v>55 inch</x:v>
      </x:c>
      <x:c r="G2758" s="20" t="n">
        <x:v>1</x:v>
      </x:c>
      <x:c r="H2758" s="12" t="str">
        <x:v>Campus/portfolio roster; individual building occupancy unverified</x:v>
      </x:c>
      <x:c r="I2758" s="12" t="str">
        <x:v>Mixed business audience</x:v>
      </x:c>
      <x:c r="J2758" s="12" t="str">
        <x:v>IT &amp; digital</x:v>
      </x:c>
      <x:c r="K2758" s="2" t="str">
        <x:v>PARTNER-M108</x:v>
      </x:c>
    </x:row>
    <x:row r="2759" ht="46" customHeight="1">
      <x:c r="A2759" s="2" t="str">
        <x:v>TEN-55F83AF98CA9</x:v>
      </x:c>
      <x:c r="B2759" s="12" t="str">
        <x:v>cypress</x:v>
      </x:c>
      <x:c r="C2759" s="12" t="str">
        <x:v>CORP-0534</x:v>
      </x:c>
      <x:c r="D2759" s="12" t="str">
        <x:v>Bengaluru</x:v>
      </x:c>
      <x:c r="E2759" s="12" t="str">
        <x:v>Bagmane Tech Park</x:v>
      </x:c>
      <x:c r="F2759" s="12" t="str">
        <x:v>55 inch</x:v>
      </x:c>
      <x:c r="G2759" s="20" t="n">
        <x:v>1</x:v>
      </x:c>
      <x:c r="H2759" s="12" t="str">
        <x:v>Campus/portfolio roster; individual building occupancy unverified</x:v>
      </x:c>
      <x:c r="I2759" s="12" t="str">
        <x:v>Mixed business audience</x:v>
      </x:c>
      <x:c r="J2759" s="12" t="str">
        <x:v>Engineering &amp; manufacturing</x:v>
      </x:c>
      <x:c r="K2759" s="2" t="str">
        <x:v>PARTNER-M108</x:v>
      </x:c>
    </x:row>
    <x:row r="2760" ht="46" customHeight="1">
      <x:c r="A2760" s="2" t="str">
        <x:v>TEN-5DD95C98AFF2</x:v>
      </x:c>
      <x:c r="B2760" s="12" t="str">
        <x:v>Nike</x:v>
      </x:c>
      <x:c r="C2760" s="12" t="str">
        <x:v>CORP-0534</x:v>
      </x:c>
      <x:c r="D2760" s="12" t="str">
        <x:v>Bengaluru</x:v>
      </x:c>
      <x:c r="E2760" s="12" t="str">
        <x:v>Bagmane Tech Park</x:v>
      </x:c>
      <x:c r="F2760" s="12" t="str">
        <x:v>55 inch</x:v>
      </x:c>
      <x:c r="G2760" s="20" t="n">
        <x:v>1</x:v>
      </x:c>
      <x:c r="H2760" s="12" t="str">
        <x:v>Campus/portfolio roster; individual building occupancy unverified</x:v>
      </x:c>
      <x:c r="I2760" s="12" t="str">
        <x:v>Mixed business audience</x:v>
      </x:c>
      <x:c r="J2760" s="12" t="str">
        <x:v>Trade, consumer &amp; logistics</x:v>
      </x:c>
      <x:c r="K2760" s="2" t="str">
        <x:v>PARTNER-M108</x:v>
      </x:c>
    </x:row>
    <x:row r="2761" ht="46" customHeight="1">
      <x:c r="A2761" s="2" t="str">
        <x:v>TEN-60A539DE7BB0</x:v>
      </x:c>
      <x:c r="B2761" s="12" t="str">
        <x:v>Ivanti</x:v>
      </x:c>
      <x:c r="C2761" s="12" t="str">
        <x:v>CORP-0534</x:v>
      </x:c>
      <x:c r="D2761" s="12" t="str">
        <x:v>Bengaluru</x:v>
      </x:c>
      <x:c r="E2761" s="12" t="str">
        <x:v>Bagmane Tech Park</x:v>
      </x:c>
      <x:c r="F2761" s="12" t="str">
        <x:v>55 inch</x:v>
      </x:c>
      <x:c r="G2761" s="20" t="n">
        <x:v>1</x:v>
      </x:c>
      <x:c r="H2761" s="12" t="str">
        <x:v>Campus/portfolio roster; individual building occupancy unverified</x:v>
      </x:c>
      <x:c r="I2761" s="12" t="str">
        <x:v>Large enterprise</x:v>
      </x:c>
      <x:c r="J2761" s="12" t="str">
        <x:v>IT &amp; digital</x:v>
      </x:c>
      <x:c r="K2761" s="2" t="str">
        <x:v>PARTNER-M108</x:v>
      </x:c>
    </x:row>
    <x:row r="2762" ht="46" customHeight="1">
      <x:c r="A2762" s="2" t="str">
        <x:v>TEN-7AD6D135A07F</x:v>
      </x:c>
      <x:c r="B2762" s="12" t="str">
        <x:v>Texas Instrument</x:v>
      </x:c>
      <x:c r="C2762" s="12" t="str">
        <x:v>CORP-0534</x:v>
      </x:c>
      <x:c r="D2762" s="12" t="str">
        <x:v>Bengaluru</x:v>
      </x:c>
      <x:c r="E2762" s="12" t="str">
        <x:v>Bagmane Tech Park</x:v>
      </x:c>
      <x:c r="F2762" s="12" t="str">
        <x:v>55 inch</x:v>
      </x:c>
      <x:c r="G2762" s="20" t="n">
        <x:v>1</x:v>
      </x:c>
      <x:c r="H2762" s="12" t="str">
        <x:v>Campus/portfolio roster; individual building occupancy unverified</x:v>
      </x:c>
      <x:c r="I2762" s="12" t="str">
        <x:v>Mixed business audience</x:v>
      </x:c>
      <x:c r="J2762" s="12" t="str">
        <x:v>Engineering &amp; manufacturing</x:v>
      </x:c>
      <x:c r="K2762" s="2" t="str">
        <x:v>PARTNER-M108</x:v>
      </x:c>
    </x:row>
    <x:row r="2763" ht="46" customHeight="1">
      <x:c r="A2763" s="2" t="str">
        <x:v>TEN-7F1B55B86059</x:v>
      </x:c>
      <x:c r="B2763" s="12" t="str">
        <x:v>LAM</x:v>
      </x:c>
      <x:c r="C2763" s="12" t="str">
        <x:v>CORP-0534</x:v>
      </x:c>
      <x:c r="D2763" s="12" t="str">
        <x:v>Bengaluru</x:v>
      </x:c>
      <x:c r="E2763" s="12" t="str">
        <x:v>Bagmane Tech Park</x:v>
      </x:c>
      <x:c r="F2763" s="12" t="str">
        <x:v>55 inch</x:v>
      </x:c>
      <x:c r="G2763" s="20" t="n">
        <x:v>1</x:v>
      </x:c>
      <x:c r="H2763" s="12" t="str">
        <x:v>Campus/portfolio roster; individual building occupancy unverified</x:v>
      </x:c>
      <x:c r="I2763" s="12" t="str">
        <x:v>Mixed business audience</x:v>
      </x:c>
      <x:c r="J2763" s="12" t="str">
        <x:v>Engineering &amp; manufacturing</x:v>
      </x:c>
      <x:c r="K2763" s="2" t="str">
        <x:v>PARTNER-M108</x:v>
      </x:c>
    </x:row>
    <x:row r="2764" ht="46" customHeight="1">
      <x:c r="A2764" s="2" t="str">
        <x:v>TEN-8D1AE0ED034C</x:v>
      </x:c>
      <x:c r="B2764" s="12" t="str">
        <x:v>UKG</x:v>
      </x:c>
      <x:c r="C2764" s="12" t="str">
        <x:v>CORP-0534</x:v>
      </x:c>
      <x:c r="D2764" s="12" t="str">
        <x:v>Bengaluru</x:v>
      </x:c>
      <x:c r="E2764" s="12" t="str">
        <x:v>Bagmane Tech Park</x:v>
      </x:c>
      <x:c r="F2764" s="12" t="str">
        <x:v>55 inch</x:v>
      </x:c>
      <x:c r="G2764" s="20" t="n">
        <x:v>1</x:v>
      </x:c>
      <x:c r="H2764" s="12" t="str">
        <x:v>Campus/portfolio roster; individual building occupancy unverified</x:v>
      </x:c>
      <x:c r="I2764" s="12" t="str">
        <x:v>Mixed business audience</x:v>
      </x:c>
      <x:c r="J2764" s="12" t="str">
        <x:v>IT &amp; digital</x:v>
      </x:c>
      <x:c r="K2764" s="2" t="str">
        <x:v>PARTNER-M108</x:v>
      </x:c>
    </x:row>
    <x:row r="2765" ht="46" customHeight="1">
      <x:c r="A2765" s="2" t="str">
        <x:v>TEN-9387E476D00B</x:v>
      </x:c>
      <x:c r="B2765" s="12" t="str">
        <x:v>SAP concur</x:v>
      </x:c>
      <x:c r="C2765" s="12" t="str">
        <x:v>CORP-0534</x:v>
      </x:c>
      <x:c r="D2765" s="12" t="str">
        <x:v>Bengaluru</x:v>
      </x:c>
      <x:c r="E2765" s="12" t="str">
        <x:v>Bagmane Tech Park</x:v>
      </x:c>
      <x:c r="F2765" s="12" t="str">
        <x:v>55 inch</x:v>
      </x:c>
      <x:c r="G2765" s="20" t="n">
        <x:v>1</x:v>
      </x:c>
      <x:c r="H2765" s="12" t="str">
        <x:v>Campus/portfolio roster; individual building occupancy unverified</x:v>
      </x:c>
      <x:c r="I2765" s="12" t="str">
        <x:v>Large enterprise</x:v>
      </x:c>
      <x:c r="J2765" s="12" t="str">
        <x:v>IT &amp; digital</x:v>
      </x:c>
      <x:c r="K2765" s="2" t="str">
        <x:v>PARTNER-M108</x:v>
      </x:c>
    </x:row>
    <x:row r="2766" ht="46" customHeight="1">
      <x:c r="A2766" s="2" t="str">
        <x:v>TEN-98E929C33151</x:v>
      </x:c>
      <x:c r="B2766" s="12" t="str">
        <x:v>Renesas</x:v>
      </x:c>
      <x:c r="C2766" s="12" t="str">
        <x:v>CORP-0534</x:v>
      </x:c>
      <x:c r="D2766" s="12" t="str">
        <x:v>Bengaluru</x:v>
      </x:c>
      <x:c r="E2766" s="12" t="str">
        <x:v>Bagmane Tech Park</x:v>
      </x:c>
      <x:c r="F2766" s="12" t="str">
        <x:v>55 inch</x:v>
      </x:c>
      <x:c r="G2766" s="20" t="n">
        <x:v>1</x:v>
      </x:c>
      <x:c r="H2766" s="12" t="str">
        <x:v>Campus/portfolio roster; individual building occupancy unverified</x:v>
      </x:c>
      <x:c r="I2766" s="12" t="str">
        <x:v>Mixed business audience</x:v>
      </x:c>
      <x:c r="J2766" s="12" t="str">
        <x:v>Engineering &amp; manufacturing</x:v>
      </x:c>
      <x:c r="K2766" s="2" t="str">
        <x:v>PARTNER-M108</x:v>
      </x:c>
    </x:row>
    <x:row r="2767" ht="46" customHeight="1">
      <x:c r="A2767" s="2" t="str">
        <x:v>TEN-A973ADF51E6A</x:v>
      </x:c>
      <x:c r="B2767" s="12" t="str">
        <x:v>Talisma</x:v>
      </x:c>
      <x:c r="C2767" s="12" t="str">
        <x:v>CORP-0534</x:v>
      </x:c>
      <x:c r="D2767" s="12" t="str">
        <x:v>Bengaluru</x:v>
      </x:c>
      <x:c r="E2767" s="12" t="str">
        <x:v>Bagmane Tech Park</x:v>
      </x:c>
      <x:c r="F2767" s="12" t="str">
        <x:v>55 inch</x:v>
      </x:c>
      <x:c r="G2767" s="20" t="n">
        <x:v>1</x:v>
      </x:c>
      <x:c r="H2767" s="12" t="str">
        <x:v>Campus/portfolio roster; individual building occupancy unverified</x:v>
      </x:c>
      <x:c r="I2767" s="12" t="str">
        <x:v>Mixed business audience</x:v>
      </x:c>
      <x:c r="J2767" s="12" t="str">
        <x:v>IT &amp; digital</x:v>
      </x:c>
      <x:c r="K2767" s="2" t="str">
        <x:v>PARTNER-M108</x:v>
      </x:c>
    </x:row>
    <x:row r="2768" ht="46" customHeight="1">
      <x:c r="A2768" s="2" t="str">
        <x:v>TEN-AEF34FE789D8</x:v>
      </x:c>
      <x:c r="B2768" s="12" t="str">
        <x:v>Pal Alto</x:v>
      </x:c>
      <x:c r="C2768" s="12" t="str">
        <x:v>CORP-0534</x:v>
      </x:c>
      <x:c r="D2768" s="12" t="str">
        <x:v>Bengaluru</x:v>
      </x:c>
      <x:c r="E2768" s="12" t="str">
        <x:v>Bagmane Tech Park</x:v>
      </x:c>
      <x:c r="F2768" s="12" t="str">
        <x:v>55 inch</x:v>
      </x:c>
      <x:c r="G2768" s="20" t="n">
        <x:v>1</x:v>
      </x:c>
      <x:c r="H2768" s="12" t="str">
        <x:v>Campus/portfolio roster; individual building occupancy unverified</x:v>
      </x:c>
      <x:c r="I2768" s="12" t="str">
        <x:v>Mixed business audience</x:v>
      </x:c>
      <x:c r="J2768" s="12" t="str">
        <x:v>Unresolved</x:v>
      </x:c>
      <x:c r="K2768" s="2" t="str">
        <x:v>PARTNER-M108</x:v>
      </x:c>
    </x:row>
    <x:row r="2769" ht="46" customHeight="1">
      <x:c r="A2769" s="2" t="str">
        <x:v>TEN-B1331F460EB4</x:v>
      </x:c>
      <x:c r="B2769" s="12" t="str">
        <x:v>CEM</x:v>
      </x:c>
      <x:c r="C2769" s="12" t="str">
        <x:v>CORP-0534</x:v>
      </x:c>
      <x:c r="D2769" s="12" t="str">
        <x:v>Bengaluru</x:v>
      </x:c>
      <x:c r="E2769" s="12" t="str">
        <x:v>Bagmane Tech Park</x:v>
      </x:c>
      <x:c r="F2769" s="12" t="str">
        <x:v>55 inch</x:v>
      </x:c>
      <x:c r="G2769" s="20" t="n">
        <x:v>1</x:v>
      </x:c>
      <x:c r="H2769" s="12" t="str">
        <x:v>Campus/portfolio roster; individual building occupancy unverified</x:v>
      </x:c>
      <x:c r="I2769" s="12" t="str">
        <x:v>Mixed business audience</x:v>
      </x:c>
      <x:c r="J2769" s="12" t="str">
        <x:v>Unresolved</x:v>
      </x:c>
      <x:c r="K2769" s="2" t="str">
        <x:v>PARTNER-M108</x:v>
      </x:c>
    </x:row>
    <x:row r="2770" ht="46" customHeight="1">
      <x:c r="A2770" s="2" t="str">
        <x:v>TEN-BCCAE4CE7BE6</x:v>
      </x:c>
      <x:c r="B2770" s="12" t="str">
        <x:v>Volvo</x:v>
      </x:c>
      <x:c r="C2770" s="12" t="str">
        <x:v>CORP-0534</x:v>
      </x:c>
      <x:c r="D2770" s="12" t="str">
        <x:v>Bengaluru</x:v>
      </x:c>
      <x:c r="E2770" s="12" t="str">
        <x:v>Bagmane Tech Park</x:v>
      </x:c>
      <x:c r="F2770" s="12" t="str">
        <x:v>55 inch</x:v>
      </x:c>
      <x:c r="G2770" s="20" t="n">
        <x:v>1</x:v>
      </x:c>
      <x:c r="H2770" s="12" t="str">
        <x:v>Campus/portfolio roster; individual building occupancy unverified</x:v>
      </x:c>
      <x:c r="I2770" s="12" t="str">
        <x:v>Mixed business audience</x:v>
      </x:c>
      <x:c r="J2770" s="12" t="str">
        <x:v>Engineering &amp; manufacturing</x:v>
      </x:c>
      <x:c r="K2770" s="2" t="str">
        <x:v>PARTNER-M108</x:v>
      </x:c>
    </x:row>
    <x:row r="2771" ht="46" customHeight="1">
      <x:c r="A2771" s="2" t="str">
        <x:v>TEN-C2ECB55DC1D4</x:v>
      </x:c>
      <x:c r="B2771" s="12" t="str">
        <x:v>ROHM</x:v>
      </x:c>
      <x:c r="C2771" s="12" t="str">
        <x:v>CORP-0534</x:v>
      </x:c>
      <x:c r="D2771" s="12" t="str">
        <x:v>Bengaluru</x:v>
      </x:c>
      <x:c r="E2771" s="12" t="str">
        <x:v>Bagmane Tech Park</x:v>
      </x:c>
      <x:c r="F2771" s="12" t="str">
        <x:v>55 inch</x:v>
      </x:c>
      <x:c r="G2771" s="20" t="n">
        <x:v>1</x:v>
      </x:c>
      <x:c r="H2771" s="12" t="str">
        <x:v>Campus/portfolio roster; individual building occupancy unverified</x:v>
      </x:c>
      <x:c r="I2771" s="12" t="str">
        <x:v>Mixed business audience</x:v>
      </x:c>
      <x:c r="J2771" s="12" t="str">
        <x:v>Engineering &amp; manufacturing</x:v>
      </x:c>
      <x:c r="K2771" s="2" t="str">
        <x:v>PARTNER-M108</x:v>
      </x:c>
    </x:row>
    <x:row r="2772" ht="46" customHeight="1">
      <x:c r="A2772" s="2" t="str">
        <x:v>TEN-C63AC00C4D11</x:v>
      </x:c>
      <x:c r="B2772" s="12" t="str">
        <x:v>Mphasis</x:v>
      </x:c>
      <x:c r="C2772" s="12" t="str">
        <x:v>CORP-0534</x:v>
      </x:c>
      <x:c r="D2772" s="12" t="str">
        <x:v>Bengaluru</x:v>
      </x:c>
      <x:c r="E2772" s="12" t="str">
        <x:v>Bagmane Tech Park</x:v>
      </x:c>
      <x:c r="F2772" s="12" t="str">
        <x:v>55 inch</x:v>
      </x:c>
      <x:c r="G2772" s="20" t="n">
        <x:v>1</x:v>
      </x:c>
      <x:c r="H2772" s="12" t="str">
        <x:v>Campus/portfolio roster; individual building occupancy unverified</x:v>
      </x:c>
      <x:c r="I2772" s="12" t="str">
        <x:v>Large enterprise</x:v>
      </x:c>
      <x:c r="J2772" s="12" t="str">
        <x:v>IT &amp; digital</x:v>
      </x:c>
      <x:c r="K2772" s="2" t="str">
        <x:v>PARTNER-M108</x:v>
      </x:c>
    </x:row>
    <x:row r="2773" ht="46" customHeight="1">
      <x:c r="A2773" s="2" t="str">
        <x:v>TEN-C97CE19B9C35</x:v>
      </x:c>
      <x:c r="B2773" s="12" t="str">
        <x:v>PricewaterhouseCoopers</x:v>
      </x:c>
      <x:c r="C2773" s="12" t="str">
        <x:v>CORP-0534</x:v>
      </x:c>
      <x:c r="D2773" s="12" t="str">
        <x:v>Bengaluru</x:v>
      </x:c>
      <x:c r="E2773" s="12" t="str">
        <x:v>Bagmane Tech Park</x:v>
      </x:c>
      <x:c r="F2773" s="12" t="str">
        <x:v>55 inch</x:v>
      </x:c>
      <x:c r="G2773" s="20" t="n">
        <x:v>1</x:v>
      </x:c>
      <x:c r="H2773" s="12" t="str">
        <x:v>Campus/portfolio roster; individual building occupancy unverified</x:v>
      </x:c>
      <x:c r="I2773" s="12" t="str">
        <x:v>Large enterprise</x:v>
      </x:c>
      <x:c r="J2773" s="12" t="str">
        <x:v>Professional services</x:v>
      </x:c>
      <x:c r="K2773" s="2" t="str">
        <x:v>PARTNER-M108</x:v>
      </x:c>
    </x:row>
    <x:row r="2774" ht="46" customHeight="1">
      <x:c r="A2774" s="2" t="str">
        <x:v>TEN-D0E2ECE166BD</x:v>
      </x:c>
      <x:c r="B2774" s="12" t="str">
        <x:v>Dell</x:v>
      </x:c>
      <x:c r="C2774" s="12" t="str">
        <x:v>CORP-0534</x:v>
      </x:c>
      <x:c r="D2774" s="12" t="str">
        <x:v>Bengaluru</x:v>
      </x:c>
      <x:c r="E2774" s="12" t="str">
        <x:v>Bagmane Tech Park</x:v>
      </x:c>
      <x:c r="F2774" s="12" t="str">
        <x:v>55 inch</x:v>
      </x:c>
      <x:c r="G2774" s="20" t="n">
        <x:v>1</x:v>
      </x:c>
      <x:c r="H2774" s="12" t="str">
        <x:v>Campus/portfolio roster; individual building occupancy unverified</x:v>
      </x:c>
      <x:c r="I2774" s="12" t="str">
        <x:v>Large enterprise</x:v>
      </x:c>
      <x:c r="J2774" s="12" t="str">
        <x:v>Engineering &amp; manufacturing</x:v>
      </x:c>
      <x:c r="K2774" s="2" t="str">
        <x:v>PARTNER-M108</x:v>
      </x:c>
    </x:row>
    <x:row r="2775" ht="46" customHeight="1">
      <x:c r="A2775" s="2" t="str">
        <x:v>TEN-E305C1EB5FCE</x:v>
      </x:c>
      <x:c r="B2775" s="12" t="str">
        <x:v>ALUK</x:v>
      </x:c>
      <x:c r="C2775" s="12" t="str">
        <x:v>CORP-0534</x:v>
      </x:c>
      <x:c r="D2775" s="12" t="str">
        <x:v>Bengaluru</x:v>
      </x:c>
      <x:c r="E2775" s="12" t="str">
        <x:v>Bagmane Tech Park</x:v>
      </x:c>
      <x:c r="F2775" s="12" t="str">
        <x:v>55 inch</x:v>
      </x:c>
      <x:c r="G2775" s="20" t="n">
        <x:v>1</x:v>
      </x:c>
      <x:c r="H2775" s="12" t="str">
        <x:v>Campus/portfolio roster; individual building occupancy unverified</x:v>
      </x:c>
      <x:c r="I2775" s="12" t="str">
        <x:v>Medium-scale prospects</x:v>
      </x:c>
      <x:c r="J2775" s="12" t="str">
        <x:v>Engineering &amp; manufacturing</x:v>
      </x:c>
      <x:c r="K2775" s="2" t="str">
        <x:v>PARTNER-M108</x:v>
      </x:c>
    </x:row>
    <x:row r="2776" ht="46" customHeight="1">
      <x:c r="A2776" s="2" t="str">
        <x:v>TEN-E5E23A26CD36</x:v>
      </x:c>
      <x:c r="B2776" s="12" t="str">
        <x:v>Grant Thornton</x:v>
      </x:c>
      <x:c r="C2776" s="12" t="str">
        <x:v>CORP-0534</x:v>
      </x:c>
      <x:c r="D2776" s="12" t="str">
        <x:v>Bengaluru</x:v>
      </x:c>
      <x:c r="E2776" s="12" t="str">
        <x:v>Bagmane Tech Park</x:v>
      </x:c>
      <x:c r="F2776" s="12" t="str">
        <x:v>55 inch</x:v>
      </x:c>
      <x:c r="G2776" s="20" t="n">
        <x:v>1</x:v>
      </x:c>
      <x:c r="H2776" s="12" t="str">
        <x:v>Campus/portfolio roster; individual building occupancy unverified</x:v>
      </x:c>
      <x:c r="I2776" s="12" t="str">
        <x:v>Large enterprise</x:v>
      </x:c>
      <x:c r="J2776" s="12" t="str">
        <x:v>Professional services</x:v>
      </x:c>
      <x:c r="K2776" s="2" t="str">
        <x:v>PARTNER-M108</x:v>
      </x:c>
    </x:row>
    <x:row r="2777" ht="46" customHeight="1">
      <x:c r="A2777" s="2" t="str">
        <x:v>TEN-E73B79A0B10F</x:v>
      </x:c>
      <x:c r="B2777" s="12" t="str">
        <x:v>Cisco</x:v>
      </x:c>
      <x:c r="C2777" s="12" t="str">
        <x:v>CORP-0534</x:v>
      </x:c>
      <x:c r="D2777" s="12" t="str">
        <x:v>Bengaluru</x:v>
      </x:c>
      <x:c r="E2777" s="12" t="str">
        <x:v>Bagmane Tech Park</x:v>
      </x:c>
      <x:c r="F2777" s="12" t="str">
        <x:v>55 inch</x:v>
      </x:c>
      <x:c r="G2777" s="20" t="n">
        <x:v>1</x:v>
      </x:c>
      <x:c r="H2777" s="12" t="str">
        <x:v>Campus/portfolio roster; individual building occupancy unverified</x:v>
      </x:c>
      <x:c r="I2777" s="12" t="str">
        <x:v>Large enterprise</x:v>
      </x:c>
      <x:c r="J2777" s="12" t="str">
        <x:v>IT &amp; digital</x:v>
      </x:c>
      <x:c r="K2777" s="2" t="str">
        <x:v>PARTNER-M108</x:v>
      </x:c>
    </x:row>
    <x:row r="2778" ht="46" customHeight="1">
      <x:c r="A2778" s="2" t="str">
        <x:v>TEN-F49D19F21FE1</x:v>
      </x:c>
      <x:c r="B2778" s="12" t="str">
        <x:v>L3 Communication</x:v>
      </x:c>
      <x:c r="C2778" s="12" t="str">
        <x:v>CORP-0534</x:v>
      </x:c>
      <x:c r="D2778" s="12" t="str">
        <x:v>Bengaluru</x:v>
      </x:c>
      <x:c r="E2778" s="12" t="str">
        <x:v>Bagmane Tech Park</x:v>
      </x:c>
      <x:c r="F2778" s="12" t="str">
        <x:v>55 inch</x:v>
      </x:c>
      <x:c r="G2778" s="20" t="n">
        <x:v>1</x:v>
      </x:c>
      <x:c r="H2778" s="12" t="str">
        <x:v>Campus/portfolio roster; individual building occupancy unverified</x:v>
      </x:c>
      <x:c r="I2778" s="12" t="str">
        <x:v>Mixed business audience</x:v>
      </x:c>
      <x:c r="J2778" s="12" t="str">
        <x:v>IT &amp; digital</x:v>
      </x:c>
      <x:c r="K2778" s="2" t="str">
        <x:v>PARTNER-M108</x:v>
      </x:c>
    </x:row>
    <x:row r="2779" ht="46" customHeight="1">
      <x:c r="A2779" s="2" t="str">
        <x:v>TEN-FEED58DAA315</x:v>
      </x:c>
      <x:c r="B2779" s="12" t="str">
        <x:v>Infineon</x:v>
      </x:c>
      <x:c r="C2779" s="12" t="str">
        <x:v>CORP-0534</x:v>
      </x:c>
      <x:c r="D2779" s="12" t="str">
        <x:v>Bengaluru</x:v>
      </x:c>
      <x:c r="E2779" s="12" t="str">
        <x:v>Bagmane Tech Park</x:v>
      </x:c>
      <x:c r="F2779" s="12" t="str">
        <x:v>55 inch</x:v>
      </x:c>
      <x:c r="G2779" s="20" t="n">
        <x:v>1</x:v>
      </x:c>
      <x:c r="H2779" s="12" t="str">
        <x:v>Campus/portfolio roster; individual building occupancy unverified</x:v>
      </x:c>
      <x:c r="I2779" s="12" t="str">
        <x:v>Large enterprise</x:v>
      </x:c>
      <x:c r="J2779" s="12" t="str">
        <x:v>Engineering &amp; manufacturing</x:v>
      </x:c>
      <x:c r="K2779" s="2" t="str">
        <x:v>PARTNER-M108</x:v>
      </x:c>
    </x:row>
    <x:row r="2780" ht="46" customHeight="1">
      <x:c r="A2780" s="2" t="str">
        <x:v>TEN-020941631166</x:v>
      </x:c>
      <x:c r="B2780" s="12" t="str">
        <x:v>EXA-AG</x:v>
      </x:c>
      <x:c r="C2780" s="12" t="str">
        <x:v>CORP-0427</x:v>
      </x:c>
      <x:c r="D2780" s="12" t="str">
        <x:v>Bengaluru</x:v>
      </x:c>
      <x:c r="E2780" s="12" t="str">
        <x:v>International Tech Park (ITPB)</x:v>
      </x:c>
      <x:c r="F2780" s="12" t="str">
        <x:v>55 inch</x:v>
      </x:c>
      <x:c r="G2780" s="20" t="n">
        <x:v>1</x:v>
      </x:c>
      <x:c r="H2780" s="12" t="str">
        <x:v>Campus/portfolio roster; individual building occupancy unverified</x:v>
      </x:c>
      <x:c r="I2780" s="12" t="str">
        <x:v>Small-scale prospects</x:v>
      </x:c>
      <x:c r="J2780" s="12" t="str">
        <x:v>IT &amp; digital</x:v>
      </x:c>
      <x:c r="K2780" s="2" t="str">
        <x:v>PARTNER-M002</x:v>
      </x:c>
    </x:row>
    <x:row r="2781" ht="46" customHeight="1">
      <x:c r="A2781" s="2" t="str">
        <x:v>TEN-046FCB362D0A</x:v>
      </x:c>
      <x:c r="B2781" s="12" t="str">
        <x:v>judge India</x:v>
      </x:c>
      <x:c r="C2781" s="12" t="str">
        <x:v>CORP-0427</x:v>
      </x:c>
      <x:c r="D2781" s="12" t="str">
        <x:v>Bengaluru</x:v>
      </x:c>
      <x:c r="E2781" s="12" t="str">
        <x:v>International Tech Park (ITPB)</x:v>
      </x:c>
      <x:c r="F2781" s="12" t="str">
        <x:v>55 inch</x:v>
      </x:c>
      <x:c r="G2781" s="20" t="n">
        <x:v>1</x:v>
      </x:c>
      <x:c r="H2781" s="12" t="str">
        <x:v>Campus/portfolio roster; individual building occupancy unverified</x:v>
      </x:c>
      <x:c r="I2781" s="12" t="str">
        <x:v>Mixed business audience</x:v>
      </x:c>
      <x:c r="J2781" s="12" t="str">
        <x:v>Unresolved</x:v>
      </x:c>
      <x:c r="K2781" s="2" t="str">
        <x:v>PARTNER-M002</x:v>
      </x:c>
    </x:row>
    <x:row r="2782" ht="46" customHeight="1">
      <x:c r="A2782" s="2" t="str">
        <x:v>TEN-06DF4DFB01BE</x:v>
      </x:c>
      <x:c r="B2782" s="12" t="str">
        <x:v>Gyansys Infotech</x:v>
      </x:c>
      <x:c r="C2782" s="12" t="str">
        <x:v>CORP-0427</x:v>
      </x:c>
      <x:c r="D2782" s="12" t="str">
        <x:v>Bengaluru</x:v>
      </x:c>
      <x:c r="E2782" s="12" t="str">
        <x:v>International Tech Park (ITPB)</x:v>
      </x:c>
      <x:c r="F2782" s="12" t="str">
        <x:v>55 inch</x:v>
      </x:c>
      <x:c r="G2782" s="20" t="n">
        <x:v>1</x:v>
      </x:c>
      <x:c r="H2782" s="12" t="str">
        <x:v>Campus/portfolio roster; individual building occupancy unverified</x:v>
      </x:c>
      <x:c r="I2782" s="12" t="str">
        <x:v>Small-scale prospects</x:v>
      </x:c>
      <x:c r="J2782" s="12" t="str">
        <x:v>IT &amp; digital</x:v>
      </x:c>
      <x:c r="K2782" s="2" t="str">
        <x:v>PARTNER-M002</x:v>
      </x:c>
    </x:row>
    <x:row r="2783" ht="46" customHeight="1">
      <x:c r="A2783" s="2" t="str">
        <x:v>TEN-0716830D1238</x:v>
      </x:c>
      <x:c r="B2783" s="12" t="str">
        <x:v>Kaalari Capital</x:v>
      </x:c>
      <x:c r="C2783" s="12" t="str">
        <x:v>CORP-0427</x:v>
      </x:c>
      <x:c r="D2783" s="12" t="str">
        <x:v>Bengaluru</x:v>
      </x:c>
      <x:c r="E2783" s="12" t="str">
        <x:v>International Tech Park (ITPB)</x:v>
      </x:c>
      <x:c r="F2783" s="12" t="str">
        <x:v>55 inch</x:v>
      </x:c>
      <x:c r="G2783" s="20" t="n">
        <x:v>1</x:v>
      </x:c>
      <x:c r="H2783" s="12" t="str">
        <x:v>Campus/portfolio roster; individual building occupancy unverified</x:v>
      </x:c>
      <x:c r="I2783" s="12" t="str">
        <x:v>Medium-scale prospects</x:v>
      </x:c>
      <x:c r="J2783" s="12" t="str">
        <x:v>Finance &amp; insurance</x:v>
      </x:c>
      <x:c r="K2783" s="2" t="str">
        <x:v>PARTNER-M002</x:v>
      </x:c>
    </x:row>
    <x:row r="2784" ht="46" customHeight="1">
      <x:c r="A2784" s="2" t="str">
        <x:v>TEN-095DAC44FBD3</x:v>
      </x:c>
      <x:c r="B2784" s="12" t="str">
        <x:v>SOA IT</x:v>
      </x:c>
      <x:c r="C2784" s="12" t="str">
        <x:v>CORP-0427</x:v>
      </x:c>
      <x:c r="D2784" s="12" t="str">
        <x:v>Bengaluru</x:v>
      </x:c>
      <x:c r="E2784" s="12" t="str">
        <x:v>International Tech Park (ITPB)</x:v>
      </x:c>
      <x:c r="F2784" s="12" t="str">
        <x:v>55 inch</x:v>
      </x:c>
      <x:c r="G2784" s="20" t="n">
        <x:v>1</x:v>
      </x:c>
      <x:c r="H2784" s="12" t="str">
        <x:v>Campus/portfolio roster; individual building occupancy unverified</x:v>
      </x:c>
      <x:c r="I2784" s="12" t="str">
        <x:v>Small-scale prospects</x:v>
      </x:c>
      <x:c r="J2784" s="12" t="str">
        <x:v>IT &amp; digital</x:v>
      </x:c>
      <x:c r="K2784" s="2" t="str">
        <x:v>PARTNER-M002</x:v>
      </x:c>
    </x:row>
    <x:row r="2785" ht="46" customHeight="1">
      <x:c r="A2785" s="2" t="str">
        <x:v>TEN-0B9EE0B94DB9</x:v>
      </x:c>
      <x:c r="B2785" s="12" t="str">
        <x:v>Kyndryl</x:v>
      </x:c>
      <x:c r="C2785" s="12" t="str">
        <x:v>CORP-0427</x:v>
      </x:c>
      <x:c r="D2785" s="12" t="str">
        <x:v>Bengaluru</x:v>
      </x:c>
      <x:c r="E2785" s="12" t="str">
        <x:v>International Tech Park (ITPB)</x:v>
      </x:c>
      <x:c r="F2785" s="12" t="str">
        <x:v>55 inch</x:v>
      </x:c>
      <x:c r="G2785" s="20" t="n">
        <x:v>1</x:v>
      </x:c>
      <x:c r="H2785" s="12" t="str">
        <x:v>Campus/portfolio roster; individual building occupancy unverified</x:v>
      </x:c>
      <x:c r="I2785" s="12" t="str">
        <x:v>Mixed business audience</x:v>
      </x:c>
      <x:c r="J2785" s="12" t="str">
        <x:v>IT &amp; digital</x:v>
      </x:c>
      <x:c r="K2785" s="2" t="str">
        <x:v>PARTNER-M002</x:v>
      </x:c>
    </x:row>
    <x:row r="2786" ht="46" customHeight="1">
      <x:c r="A2786" s="2" t="str">
        <x:v>TEN-0BF923F90AB2</x:v>
      </x:c>
      <x:c r="B2786" s="12" t="str">
        <x:v>Reliance</x:v>
      </x:c>
      <x:c r="C2786" s="12" t="str">
        <x:v>CORP-0427</x:v>
      </x:c>
      <x:c r="D2786" s="12" t="str">
        <x:v>Bengaluru</x:v>
      </x:c>
      <x:c r="E2786" s="12" t="str">
        <x:v>International Tech Park (ITPB)</x:v>
      </x:c>
      <x:c r="F2786" s="12" t="str">
        <x:v>55 inch</x:v>
      </x:c>
      <x:c r="G2786" s="20" t="n">
        <x:v>1</x:v>
      </x:c>
      <x:c r="H2786" s="12" t="str">
        <x:v>Campus/portfolio roster; individual building occupancy unverified</x:v>
      </x:c>
      <x:c r="I2786" s="12" t="str">
        <x:v>Mixed business audience</x:v>
      </x:c>
      <x:c r="J2786" s="12" t="str">
        <x:v>Unresolved</x:v>
      </x:c>
      <x:c r="K2786" s="2" t="str">
        <x:v>PARTNER-M002</x:v>
      </x:c>
    </x:row>
    <x:row r="2787" ht="46" customHeight="1">
      <x:c r="A2787" s="2" t="str">
        <x:v>TEN-0EFAB3176540</x:v>
      </x:c>
      <x:c r="B2787" s="12" t="str">
        <x:v>Sycomp</x:v>
      </x:c>
      <x:c r="C2787" s="12" t="str">
        <x:v>CORP-0427</x:v>
      </x:c>
      <x:c r="D2787" s="12" t="str">
        <x:v>Bengaluru</x:v>
      </x:c>
      <x:c r="E2787" s="12" t="str">
        <x:v>International Tech Park (ITPB)</x:v>
      </x:c>
      <x:c r="F2787" s="12" t="str">
        <x:v>55 inch</x:v>
      </x:c>
      <x:c r="G2787" s="20" t="n">
        <x:v>1</x:v>
      </x:c>
      <x:c r="H2787" s="12" t="str">
        <x:v>Campus/portfolio roster; individual building occupancy unverified</x:v>
      </x:c>
      <x:c r="I2787" s="12" t="str">
        <x:v>Small-scale prospects</x:v>
      </x:c>
      <x:c r="J2787" s="12" t="str">
        <x:v>IT &amp; digital</x:v>
      </x:c>
      <x:c r="K2787" s="2" t="str">
        <x:v>PARTNER-M002</x:v>
      </x:c>
    </x:row>
    <x:row r="2788" ht="46" customHeight="1">
      <x:c r="A2788" s="2" t="str">
        <x:v>TEN-0F0E714E580D</x:v>
      </x:c>
      <x:c r="B2788" s="12" t="str">
        <x:v>Scientific Games</x:v>
      </x:c>
      <x:c r="C2788" s="12" t="str">
        <x:v>CORP-0427</x:v>
      </x:c>
      <x:c r="D2788" s="12" t="str">
        <x:v>Bengaluru</x:v>
      </x:c>
      <x:c r="E2788" s="12" t="str">
        <x:v>International Tech Park (ITPB)</x:v>
      </x:c>
      <x:c r="F2788" s="12" t="str">
        <x:v>55 inch</x:v>
      </x:c>
      <x:c r="G2788" s="20" t="n">
        <x:v>1</x:v>
      </x:c>
      <x:c r="H2788" s="12" t="str">
        <x:v>Campus/portfolio roster; individual building occupancy unverified</x:v>
      </x:c>
      <x:c r="I2788" s="12" t="str">
        <x:v>Mixed business audience</x:v>
      </x:c>
      <x:c r="J2788" s="12" t="str">
        <x:v>Trade, consumer &amp; logistics</x:v>
      </x:c>
      <x:c r="K2788" s="2" t="str">
        <x:v>PARTNER-M002</x:v>
      </x:c>
    </x:row>
    <x:row r="2789" ht="46" customHeight="1">
      <x:c r="A2789" s="2" t="str">
        <x:v>TEN-184C1AE98B51</x:v>
      </x:c>
      <x:c r="B2789" s="12" t="str">
        <x:v>N.F Simth</x:v>
      </x:c>
      <x:c r="C2789" s="12" t="str">
        <x:v>CORP-0427</x:v>
      </x:c>
      <x:c r="D2789" s="12" t="str">
        <x:v>Bengaluru</x:v>
      </x:c>
      <x:c r="E2789" s="12" t="str">
        <x:v>International Tech Park (ITPB)</x:v>
      </x:c>
      <x:c r="F2789" s="12" t="str">
        <x:v>55 inch</x:v>
      </x:c>
      <x:c r="G2789" s="20" t="n">
        <x:v>1</x:v>
      </x:c>
      <x:c r="H2789" s="12" t="str">
        <x:v>Campus/portfolio roster; individual building occupancy unverified</x:v>
      </x:c>
      <x:c r="I2789" s="12" t="str">
        <x:v>Mixed business audience</x:v>
      </x:c>
      <x:c r="J2789" s="12" t="str">
        <x:v>Unresolved</x:v>
      </x:c>
      <x:c r="K2789" s="2" t="str">
        <x:v>PARTNER-M002</x:v>
      </x:c>
    </x:row>
    <x:row r="2790" ht="46" customHeight="1">
      <x:c r="A2790" s="2" t="str">
        <x:v>TEN-1B4CDA7D6285</x:v>
      </x:c>
      <x:c r="B2790" s="12" t="str">
        <x:v>Jupiter Intergrated</x:v>
      </x:c>
      <x:c r="C2790" s="12" t="str">
        <x:v>CORP-0427</x:v>
      </x:c>
      <x:c r="D2790" s="12" t="str">
        <x:v>Bengaluru</x:v>
      </x:c>
      <x:c r="E2790" s="12" t="str">
        <x:v>International Tech Park (ITPB)</x:v>
      </x:c>
      <x:c r="F2790" s="12" t="str">
        <x:v>55 inch</x:v>
      </x:c>
      <x:c r="G2790" s="20" t="n">
        <x:v>1</x:v>
      </x:c>
      <x:c r="H2790" s="12" t="str">
        <x:v>Campus/portfolio roster; individual building occupancy unverified</x:v>
      </x:c>
      <x:c r="I2790" s="12" t="str">
        <x:v>Mixed business audience</x:v>
      </x:c>
      <x:c r="J2790" s="12" t="str">
        <x:v>Unresolved</x:v>
      </x:c>
      <x:c r="K2790" s="2" t="str">
        <x:v>PARTNER-M002</x:v>
      </x:c>
    </x:row>
    <x:row r="2791" ht="46" customHeight="1">
      <x:c r="A2791" s="2" t="str">
        <x:v>TEN-2026E5F6610A</x:v>
      </x:c>
      <x:c r="B2791" s="12" t="str">
        <x:v>PPalc Networks</x:v>
      </x:c>
      <x:c r="C2791" s="12" t="str">
        <x:v>CORP-0427</x:v>
      </x:c>
      <x:c r="D2791" s="12" t="str">
        <x:v>Bengaluru</x:v>
      </x:c>
      <x:c r="E2791" s="12" t="str">
        <x:v>International Tech Park (ITPB)</x:v>
      </x:c>
      <x:c r="F2791" s="12" t="str">
        <x:v>55 inch</x:v>
      </x:c>
      <x:c r="G2791" s="20" t="n">
        <x:v>1</x:v>
      </x:c>
      <x:c r="H2791" s="12" t="str">
        <x:v>Campus/portfolio roster; individual building occupancy unverified</x:v>
      </x:c>
      <x:c r="I2791" s="12" t="str">
        <x:v>Small-scale prospects</x:v>
      </x:c>
      <x:c r="J2791" s="12" t="str">
        <x:v>IT &amp; digital</x:v>
      </x:c>
      <x:c r="K2791" s="2" t="str">
        <x:v>PARTNER-M002</x:v>
      </x:c>
    </x:row>
    <x:row r="2792" ht="46" customHeight="1">
      <x:c r="A2792" s="2" t="str">
        <x:v>TEN-20DEB070372D</x:v>
      </x:c>
      <x:c r="B2792" s="12" t="str">
        <x:v>Thoucentric</x:v>
      </x:c>
      <x:c r="C2792" s="12" t="str">
        <x:v>CORP-0427</x:v>
      </x:c>
      <x:c r="D2792" s="12" t="str">
        <x:v>Bengaluru</x:v>
      </x:c>
      <x:c r="E2792" s="12" t="str">
        <x:v>International Tech Park (ITPB)</x:v>
      </x:c>
      <x:c r="F2792" s="12" t="str">
        <x:v>55 inch</x:v>
      </x:c>
      <x:c r="G2792" s="20" t="n">
        <x:v>1</x:v>
      </x:c>
      <x:c r="H2792" s="12" t="str">
        <x:v>Campus/portfolio roster; individual building occupancy unverified</x:v>
      </x:c>
      <x:c r="I2792" s="12" t="str">
        <x:v>Mixed business audience</x:v>
      </x:c>
      <x:c r="J2792" s="12" t="str">
        <x:v>IT &amp; digital</x:v>
      </x:c>
      <x:c r="K2792" s="2" t="str">
        <x:v>PARTNER-M002</x:v>
      </x:c>
    </x:row>
    <x:row r="2793" ht="46" customHeight="1">
      <x:c r="A2793" s="2" t="str">
        <x:v>TEN-21972B078EB5</x:v>
      </x:c>
      <x:c r="B2793" s="12" t="str">
        <x:v>Denso International</x:v>
      </x:c>
      <x:c r="C2793" s="12" t="str">
        <x:v>CORP-0427</x:v>
      </x:c>
      <x:c r="D2793" s="12" t="str">
        <x:v>Bengaluru</x:v>
      </x:c>
      <x:c r="E2793" s="12" t="str">
        <x:v>International Tech Park (ITPB)</x:v>
      </x:c>
      <x:c r="F2793" s="12" t="str">
        <x:v>55 inch</x:v>
      </x:c>
      <x:c r="G2793" s="20" t="n">
        <x:v>1</x:v>
      </x:c>
      <x:c r="H2793" s="12" t="str">
        <x:v>Campus/portfolio roster; individual building occupancy unverified</x:v>
      </x:c>
      <x:c r="I2793" s="12" t="str">
        <x:v>Mixed business audience</x:v>
      </x:c>
      <x:c r="J2793" s="12" t="str">
        <x:v>Engineering &amp; manufacturing</x:v>
      </x:c>
      <x:c r="K2793" s="2" t="str">
        <x:v>PARTNER-M002</x:v>
      </x:c>
    </x:row>
    <x:row r="2794" ht="46" customHeight="1">
      <x:c r="A2794" s="2" t="str">
        <x:v>TEN-22A366EB6CEC</x:v>
      </x:c>
      <x:c r="B2794" s="12" t="str">
        <x:v>Xandr India</x:v>
      </x:c>
      <x:c r="C2794" s="12" t="str">
        <x:v>CORP-0427</x:v>
      </x:c>
      <x:c r="D2794" s="12" t="str">
        <x:v>Bengaluru</x:v>
      </x:c>
      <x:c r="E2794" s="12" t="str">
        <x:v>International Tech Park (ITPB)</x:v>
      </x:c>
      <x:c r="F2794" s="12" t="str">
        <x:v>55 inch</x:v>
      </x:c>
      <x:c r="G2794" s="20" t="n">
        <x:v>1</x:v>
      </x:c>
      <x:c r="H2794" s="12" t="str">
        <x:v>Campus/portfolio roster; individual building occupancy unverified</x:v>
      </x:c>
      <x:c r="I2794" s="12" t="str">
        <x:v>Mixed business audience</x:v>
      </x:c>
      <x:c r="J2794" s="12" t="str">
        <x:v>IT &amp; digital</x:v>
      </x:c>
      <x:c r="K2794" s="2" t="str">
        <x:v>PARTNER-M002</x:v>
      </x:c>
    </x:row>
    <x:row r="2795" ht="46" customHeight="1">
      <x:c r="A2795" s="2" t="str">
        <x:v>TEN-2417E5B2BCE7</x:v>
      </x:c>
      <x:c r="B2795" s="12" t="str">
        <x:v>Galax E Solutions</x:v>
      </x:c>
      <x:c r="C2795" s="12" t="str">
        <x:v>CORP-0427</x:v>
      </x:c>
      <x:c r="D2795" s="12" t="str">
        <x:v>Bengaluru</x:v>
      </x:c>
      <x:c r="E2795" s="12" t="str">
        <x:v>International Tech Park (ITPB)</x:v>
      </x:c>
      <x:c r="F2795" s="12" t="str">
        <x:v>55 inch</x:v>
      </x:c>
      <x:c r="G2795" s="20" t="n">
        <x:v>1</x:v>
      </x:c>
      <x:c r="H2795" s="12" t="str">
        <x:v>Campus/portfolio roster; individual building occupancy unverified</x:v>
      </x:c>
      <x:c r="I2795" s="12" t="str">
        <x:v>Mixed business audience</x:v>
      </x:c>
      <x:c r="J2795" s="12" t="str">
        <x:v>IT &amp; digital</x:v>
      </x:c>
      <x:c r="K2795" s="2" t="str">
        <x:v>PARTNER-M002</x:v>
      </x:c>
    </x:row>
    <x:row r="2796" ht="46" customHeight="1">
      <x:c r="A2796" s="2" t="str">
        <x:v>TEN-2AB6D53E717A</x:v>
      </x:c>
      <x:c r="B2796" s="12" t="str">
        <x:v>Nokia</x:v>
      </x:c>
      <x:c r="C2796" s="12" t="str">
        <x:v>CORP-0427</x:v>
      </x:c>
      <x:c r="D2796" s="12" t="str">
        <x:v>Bengaluru</x:v>
      </x:c>
      <x:c r="E2796" s="12" t="str">
        <x:v>International Tech Park (ITPB)</x:v>
      </x:c>
      <x:c r="F2796" s="12" t="str">
        <x:v>55 inch</x:v>
      </x:c>
      <x:c r="G2796" s="20" t="n">
        <x:v>1</x:v>
      </x:c>
      <x:c r="H2796" s="12" t="str">
        <x:v>Campus/portfolio roster; individual building occupancy unverified</x:v>
      </x:c>
      <x:c r="I2796" s="12" t="str">
        <x:v>Large enterprise</x:v>
      </x:c>
      <x:c r="J2796" s="12" t="str">
        <x:v>IT &amp; digital</x:v>
      </x:c>
      <x:c r="K2796" s="2" t="str">
        <x:v>PARTNER-M002</x:v>
      </x:c>
    </x:row>
    <x:row r="2797" ht="46" customHeight="1">
      <x:c r="A2797" s="2" t="str">
        <x:v>TEN-2DBBBD8AD08B</x:v>
      </x:c>
      <x:c r="B2797" s="12" t="str">
        <x:v>Zenmonics Software</x:v>
      </x:c>
      <x:c r="C2797" s="12" t="str">
        <x:v>CORP-0427</x:v>
      </x:c>
      <x:c r="D2797" s="12" t="str">
        <x:v>Bengaluru</x:v>
      </x:c>
      <x:c r="E2797" s="12" t="str">
        <x:v>International Tech Park (ITPB)</x:v>
      </x:c>
      <x:c r="F2797" s="12" t="str">
        <x:v>55 inch</x:v>
      </x:c>
      <x:c r="G2797" s="20" t="n">
        <x:v>1</x:v>
      </x:c>
      <x:c r="H2797" s="12" t="str">
        <x:v>Campus/portfolio roster; individual building occupancy unverified</x:v>
      </x:c>
      <x:c r="I2797" s="12" t="str">
        <x:v>Small-scale prospects</x:v>
      </x:c>
      <x:c r="J2797" s="12" t="str">
        <x:v>IT &amp; digital</x:v>
      </x:c>
      <x:c r="K2797" s="2" t="str">
        <x:v>PARTNER-M002</x:v>
      </x:c>
    </x:row>
    <x:row r="2798" ht="46" customHeight="1">
      <x:c r="A2798" s="2" t="str">
        <x:v>TEN-2E737C2291BC</x:v>
      </x:c>
      <x:c r="B2798" s="12" t="str">
        <x:v>Nextgen</x:v>
      </x:c>
      <x:c r="C2798" s="12" t="str">
        <x:v>CORP-0427</x:v>
      </x:c>
      <x:c r="D2798" s="12" t="str">
        <x:v>Bengaluru</x:v>
      </x:c>
      <x:c r="E2798" s="12" t="str">
        <x:v>International Tech Park (ITPB)</x:v>
      </x:c>
      <x:c r="F2798" s="12" t="str">
        <x:v>55 inch</x:v>
      </x:c>
      <x:c r="G2798" s="20" t="n">
        <x:v>1</x:v>
      </x:c>
      <x:c r="H2798" s="12" t="str">
        <x:v>Campus/portfolio roster; individual building occupancy unverified</x:v>
      </x:c>
      <x:c r="I2798" s="12" t="str">
        <x:v>Mixed business audience</x:v>
      </x:c>
      <x:c r="J2798" s="12" t="str">
        <x:v>Unresolved</x:v>
      </x:c>
      <x:c r="K2798" s="2" t="str">
        <x:v>PARTNER-M002</x:v>
      </x:c>
    </x:row>
    <x:row r="2799" ht="46" customHeight="1">
      <x:c r="A2799" s="2" t="str">
        <x:v>TEN-2EDD47EC3C4F</x:v>
      </x:c>
      <x:c r="B2799" s="12" t="str">
        <x:v>Technicolor India</x:v>
      </x:c>
      <x:c r="C2799" s="12" t="str">
        <x:v>CORP-0427</x:v>
      </x:c>
      <x:c r="D2799" s="12" t="str">
        <x:v>Bengaluru</x:v>
      </x:c>
      <x:c r="E2799" s="12" t="str">
        <x:v>International Tech Park (ITPB)</x:v>
      </x:c>
      <x:c r="F2799" s="12" t="str">
        <x:v>55 inch</x:v>
      </x:c>
      <x:c r="G2799" s="20" t="n">
        <x:v>1</x:v>
      </x:c>
      <x:c r="H2799" s="12" t="str">
        <x:v>Campus/portfolio roster; individual building occupancy unverified</x:v>
      </x:c>
      <x:c r="I2799" s="12" t="str">
        <x:v>Mixed business audience</x:v>
      </x:c>
      <x:c r="J2799" s="12" t="str">
        <x:v>Trade, consumer &amp; logistics</x:v>
      </x:c>
      <x:c r="K2799" s="2" t="str">
        <x:v>PARTNER-M002</x:v>
      </x:c>
    </x:row>
    <x:row r="2800" ht="46" customHeight="1">
      <x:c r="A2800" s="2" t="str">
        <x:v>TEN-30E363D3E8C5</x:v>
      </x:c>
      <x:c r="B2800" s="12" t="str">
        <x:v>Siemens</x:v>
      </x:c>
      <x:c r="C2800" s="12" t="str">
        <x:v>CORP-0427</x:v>
      </x:c>
      <x:c r="D2800" s="12" t="str">
        <x:v>Bengaluru</x:v>
      </x:c>
      <x:c r="E2800" s="12" t="str">
        <x:v>International Tech Park (ITPB)</x:v>
      </x:c>
      <x:c r="F2800" s="12" t="str">
        <x:v>55 inch</x:v>
      </x:c>
      <x:c r="G2800" s="20" t="n">
        <x:v>1</x:v>
      </x:c>
      <x:c r="H2800" s="12" t="str">
        <x:v>Campus/portfolio roster; individual building occupancy unverified</x:v>
      </x:c>
      <x:c r="I2800" s="12" t="str">
        <x:v>Large enterprise</x:v>
      </x:c>
      <x:c r="J2800" s="12" t="str">
        <x:v>Engineering &amp; manufacturing</x:v>
      </x:c>
      <x:c r="K2800" s="2" t="str">
        <x:v>PARTNER-M002</x:v>
      </x:c>
    </x:row>
    <x:row r="2801" ht="46" customHeight="1">
      <x:c r="A2801" s="2" t="str">
        <x:v>TEN-316635638FCB</x:v>
      </x:c>
      <x:c r="B2801" s="12" t="str">
        <x:v>Sabre Travel</x:v>
      </x:c>
      <x:c r="C2801" s="12" t="str">
        <x:v>CORP-0427</x:v>
      </x:c>
      <x:c r="D2801" s="12" t="str">
        <x:v>Bengaluru</x:v>
      </x:c>
      <x:c r="E2801" s="12" t="str">
        <x:v>International Tech Park (ITPB)</x:v>
      </x:c>
      <x:c r="F2801" s="12" t="str">
        <x:v>55 inch</x:v>
      </x:c>
      <x:c r="G2801" s="20" t="n">
        <x:v>1</x:v>
      </x:c>
      <x:c r="H2801" s="12" t="str">
        <x:v>Campus/portfolio roster; individual building occupancy unverified</x:v>
      </x:c>
      <x:c r="I2801" s="12" t="str">
        <x:v>Mixed business audience</x:v>
      </x:c>
      <x:c r="J2801" s="12" t="str">
        <x:v>IT &amp; digital</x:v>
      </x:c>
      <x:c r="K2801" s="2" t="str">
        <x:v>PARTNER-M002</x:v>
      </x:c>
    </x:row>
    <x:row r="2802" ht="46" customHeight="1">
      <x:c r="A2802" s="2" t="str">
        <x:v>TEN-330E380FC660</x:v>
      </x:c>
      <x:c r="B2802" s="12" t="str">
        <x:v>The Dhanalakshmi Bank</x:v>
      </x:c>
      <x:c r="C2802" s="12" t="str">
        <x:v>CORP-0427</x:v>
      </x:c>
      <x:c r="D2802" s="12" t="str">
        <x:v>Bengaluru</x:v>
      </x:c>
      <x:c r="E2802" s="12" t="str">
        <x:v>International Tech Park (ITPB)</x:v>
      </x:c>
      <x:c r="F2802" s="12" t="str">
        <x:v>55 inch</x:v>
      </x:c>
      <x:c r="G2802" s="20" t="n">
        <x:v>1</x:v>
      </x:c>
      <x:c r="H2802" s="12" t="str">
        <x:v>Campus/portfolio roster; individual building occupancy unverified</x:v>
      </x:c>
      <x:c r="I2802" s="12" t="str">
        <x:v>Mixed business audience</x:v>
      </x:c>
      <x:c r="J2802" s="12" t="str">
        <x:v>Finance &amp; insurance</x:v>
      </x:c>
      <x:c r="K2802" s="2" t="str">
        <x:v>PARTNER-M002</x:v>
      </x:c>
    </x:row>
    <x:row r="2803" ht="46" customHeight="1">
      <x:c r="A2803" s="2" t="str">
        <x:v>TEN-3338D6A28C63</x:v>
      </x:c>
      <x:c r="B2803" s="12" t="str">
        <x:v>NTT Cloud</x:v>
      </x:c>
      <x:c r="C2803" s="12" t="str">
        <x:v>CORP-0427</x:v>
      </x:c>
      <x:c r="D2803" s="12" t="str">
        <x:v>Bengaluru</x:v>
      </x:c>
      <x:c r="E2803" s="12" t="str">
        <x:v>International Tech Park (ITPB)</x:v>
      </x:c>
      <x:c r="F2803" s="12" t="str">
        <x:v>55 inch</x:v>
      </x:c>
      <x:c r="G2803" s="20" t="n">
        <x:v>1</x:v>
      </x:c>
      <x:c r="H2803" s="12" t="str">
        <x:v>Campus/portfolio roster; individual building occupancy unverified</x:v>
      </x:c>
      <x:c r="I2803" s="12" t="str">
        <x:v>Large enterprise</x:v>
      </x:c>
      <x:c r="J2803" s="12" t="str">
        <x:v>IT &amp; digital</x:v>
      </x:c>
      <x:c r="K2803" s="2" t="str">
        <x:v>PARTNER-M002</x:v>
      </x:c>
    </x:row>
    <x:row r="2804" ht="46" customHeight="1">
      <x:c r="A2804" s="2" t="str">
        <x:v>TEN-33DF04958DCA</x:v>
      </x:c>
      <x:c r="B2804" s="12" t="str">
        <x:v>Panasoni Life</x:v>
      </x:c>
      <x:c r="C2804" s="12" t="str">
        <x:v>CORP-0427</x:v>
      </x:c>
      <x:c r="D2804" s="12" t="str">
        <x:v>Bengaluru</x:v>
      </x:c>
      <x:c r="E2804" s="12" t="str">
        <x:v>International Tech Park (ITPB)</x:v>
      </x:c>
      <x:c r="F2804" s="12" t="str">
        <x:v>55 inch</x:v>
      </x:c>
      <x:c r="G2804" s="20" t="n">
        <x:v>1</x:v>
      </x:c>
      <x:c r="H2804" s="12" t="str">
        <x:v>Campus/portfolio roster; individual building occupancy unverified</x:v>
      </x:c>
      <x:c r="I2804" s="12" t="str">
        <x:v>Mixed business audience</x:v>
      </x:c>
      <x:c r="J2804" s="12" t="str">
        <x:v>Unresolved</x:v>
      </x:c>
      <x:c r="K2804" s="2" t="str">
        <x:v>PARTNER-M002</x:v>
      </x:c>
    </x:row>
    <x:row r="2805" ht="46" customHeight="1">
      <x:c r="A2805" s="2" t="str">
        <x:v>TEN-34185282371F</x:v>
      </x:c>
      <x:c r="B2805" s="12" t="str">
        <x:v>Glenburn</x:v>
      </x:c>
      <x:c r="C2805" s="12" t="str">
        <x:v>CORP-0427</x:v>
      </x:c>
      <x:c r="D2805" s="12" t="str">
        <x:v>Bengaluru</x:v>
      </x:c>
      <x:c r="E2805" s="12" t="str">
        <x:v>International Tech Park (ITPB)</x:v>
      </x:c>
      <x:c r="F2805" s="12" t="str">
        <x:v>55 inch</x:v>
      </x:c>
      <x:c r="G2805" s="20" t="n">
        <x:v>1</x:v>
      </x:c>
      <x:c r="H2805" s="12" t="str">
        <x:v>Campus/portfolio roster; individual building occupancy unverified</x:v>
      </x:c>
      <x:c r="I2805" s="12" t="str">
        <x:v>Mixed business audience</x:v>
      </x:c>
      <x:c r="J2805" s="12" t="str">
        <x:v>Unresolved</x:v>
      </x:c>
      <x:c r="K2805" s="2" t="str">
        <x:v>PARTNER-M002</x:v>
      </x:c>
    </x:row>
    <x:row r="2806" ht="46" customHeight="1">
      <x:c r="A2806" s="2" t="str">
        <x:v>TEN-356AAB6A94F0</x:v>
      </x:c>
      <x:c r="B2806" s="12" t="str">
        <x:v>Infovision</x:v>
      </x:c>
      <x:c r="C2806" s="12" t="str">
        <x:v>CORP-0427</x:v>
      </x:c>
      <x:c r="D2806" s="12" t="str">
        <x:v>Bengaluru</x:v>
      </x:c>
      <x:c r="E2806" s="12" t="str">
        <x:v>International Tech Park (ITPB)</x:v>
      </x:c>
      <x:c r="F2806" s="12" t="str">
        <x:v>55 inch</x:v>
      </x:c>
      <x:c r="G2806" s="20" t="n">
        <x:v>1</x:v>
      </x:c>
      <x:c r="H2806" s="12" t="str">
        <x:v>Campus/portfolio roster; individual building occupancy unverified</x:v>
      </x:c>
      <x:c r="I2806" s="12" t="str">
        <x:v>Small-scale prospects</x:v>
      </x:c>
      <x:c r="J2806" s="12" t="str">
        <x:v>IT &amp; digital</x:v>
      </x:c>
      <x:c r="K2806" s="2" t="str">
        <x:v>PARTNER-M002</x:v>
      </x:c>
    </x:row>
    <x:row r="2807" ht="46" customHeight="1">
      <x:c r="A2807" s="2" t="str">
        <x:v>TEN-3669A97CEE08</x:v>
      </x:c>
      <x:c r="B2807" s="12" t="str">
        <x:v>DBA xcom labs</x:v>
      </x:c>
      <x:c r="C2807" s="12" t="str">
        <x:v>CORP-0427</x:v>
      </x:c>
      <x:c r="D2807" s="12" t="str">
        <x:v>Bengaluru</x:v>
      </x:c>
      <x:c r="E2807" s="12" t="str">
        <x:v>International Tech Park (ITPB)</x:v>
      </x:c>
      <x:c r="F2807" s="12" t="str">
        <x:v>55 inch</x:v>
      </x:c>
      <x:c r="G2807" s="20" t="n">
        <x:v>1</x:v>
      </x:c>
      <x:c r="H2807" s="12" t="str">
        <x:v>Campus/portfolio roster; individual building occupancy unverified</x:v>
      </x:c>
      <x:c r="I2807" s="12" t="str">
        <x:v>Mixed business audience</x:v>
      </x:c>
      <x:c r="J2807" s="12" t="str">
        <x:v>Unresolved</x:v>
      </x:c>
      <x:c r="K2807" s="2" t="str">
        <x:v>PARTNER-M002</x:v>
      </x:c>
    </x:row>
    <x:row r="2808" ht="46" customHeight="1">
      <x:c r="A2808" s="2" t="str">
        <x:v>TEN-3CCDB2E97517</x:v>
      </x:c>
      <x:c r="B2808" s="12" t="str">
        <x:v>Mentora</x:v>
      </x:c>
      <x:c r="C2808" s="12" t="str">
        <x:v>CORP-0427</x:v>
      </x:c>
      <x:c r="D2808" s="12" t="str">
        <x:v>Bengaluru</x:v>
      </x:c>
      <x:c r="E2808" s="12" t="str">
        <x:v>International Tech Park (ITPB)</x:v>
      </x:c>
      <x:c r="F2808" s="12" t="str">
        <x:v>55 inch</x:v>
      </x:c>
      <x:c r="G2808" s="20" t="n">
        <x:v>1</x:v>
      </x:c>
      <x:c r="H2808" s="12" t="str">
        <x:v>Campus/portfolio roster; individual building occupancy unverified</x:v>
      </x:c>
      <x:c r="I2808" s="12" t="str">
        <x:v>Mixed business audience</x:v>
      </x:c>
      <x:c r="J2808" s="12" t="str">
        <x:v>Unresolved</x:v>
      </x:c>
      <x:c r="K2808" s="2" t="str">
        <x:v>PARTNER-M002</x:v>
      </x:c>
    </x:row>
    <x:row r="2809" ht="46" customHeight="1">
      <x:c r="A2809" s="2" t="str">
        <x:v>TEN-43BD5FC2D8E2</x:v>
      </x:c>
      <x:c r="B2809" s="12" t="str">
        <x:v>RLE</x:v>
      </x:c>
      <x:c r="C2809" s="12" t="str">
        <x:v>CORP-0427</x:v>
      </x:c>
      <x:c r="D2809" s="12" t="str">
        <x:v>Bengaluru</x:v>
      </x:c>
      <x:c r="E2809" s="12" t="str">
        <x:v>International Tech Park (ITPB)</x:v>
      </x:c>
      <x:c r="F2809" s="12" t="str">
        <x:v>55 inch</x:v>
      </x:c>
      <x:c r="G2809" s="20" t="n">
        <x:v>1</x:v>
      </x:c>
      <x:c r="H2809" s="12" t="str">
        <x:v>Campus/portfolio roster; individual building occupancy unverified</x:v>
      </x:c>
      <x:c r="I2809" s="12" t="str">
        <x:v>Mixed business audience</x:v>
      </x:c>
      <x:c r="J2809" s="12" t="str">
        <x:v>Unresolved</x:v>
      </x:c>
      <x:c r="K2809" s="2" t="str">
        <x:v>PARTNER-M002</x:v>
      </x:c>
    </x:row>
    <x:row r="2810" ht="46" customHeight="1">
      <x:c r="A2810" s="2" t="str">
        <x:v>TEN-46EE12AD6E57</x:v>
      </x:c>
      <x:c r="B2810" s="12" t="str">
        <x:v>Open Bet</x:v>
      </x:c>
      <x:c r="C2810" s="12" t="str">
        <x:v>CORP-0427</x:v>
      </x:c>
      <x:c r="D2810" s="12" t="str">
        <x:v>Bengaluru</x:v>
      </x:c>
      <x:c r="E2810" s="12" t="str">
        <x:v>International Tech Park (ITPB)</x:v>
      </x:c>
      <x:c r="F2810" s="12" t="str">
        <x:v>55 inch</x:v>
      </x:c>
      <x:c r="G2810" s="20" t="n">
        <x:v>1</x:v>
      </x:c>
      <x:c r="H2810" s="12" t="str">
        <x:v>Campus/portfolio roster; individual building occupancy unverified</x:v>
      </x:c>
      <x:c r="I2810" s="12" t="str">
        <x:v>Mixed business audience</x:v>
      </x:c>
      <x:c r="J2810" s="12" t="str">
        <x:v>Trade, consumer &amp; logistics</x:v>
      </x:c>
      <x:c r="K2810" s="2" t="str">
        <x:v>PARTNER-M002</x:v>
      </x:c>
    </x:row>
    <x:row r="2811" ht="46" customHeight="1">
      <x:c r="A2811" s="2" t="str">
        <x:v>TEN-4B42B5258CA7</x:v>
      </x:c>
      <x:c r="B2811" s="12" t="str">
        <x:v>Tyfone</x:v>
      </x:c>
      <x:c r="C2811" s="12" t="str">
        <x:v>CORP-0427</x:v>
      </x:c>
      <x:c r="D2811" s="12" t="str">
        <x:v>Bengaluru</x:v>
      </x:c>
      <x:c r="E2811" s="12" t="str">
        <x:v>International Tech Park (ITPB)</x:v>
      </x:c>
      <x:c r="F2811" s="12" t="str">
        <x:v>55 inch</x:v>
      </x:c>
      <x:c r="G2811" s="20" t="n">
        <x:v>1</x:v>
      </x:c>
      <x:c r="H2811" s="12" t="str">
        <x:v>Campus/portfolio roster; individual building occupancy unverified</x:v>
      </x:c>
      <x:c r="I2811" s="12" t="str">
        <x:v>Small-scale prospects</x:v>
      </x:c>
      <x:c r="J2811" s="12" t="str">
        <x:v>IT &amp; digital</x:v>
      </x:c>
      <x:c r="K2811" s="2" t="str">
        <x:v>PARTNER-M002</x:v>
      </x:c>
    </x:row>
    <x:row r="2812" ht="46" customHeight="1">
      <x:c r="A2812" s="2" t="str">
        <x:v>TEN-50A50A4E75D3</x:v>
      </x:c>
      <x:c r="B2812" s="12" t="str">
        <x:v>Bharat Sanchar Nigam</x:v>
      </x:c>
      <x:c r="C2812" s="12" t="str">
        <x:v>CORP-0427</x:v>
      </x:c>
      <x:c r="D2812" s="12" t="str">
        <x:v>Bengaluru</x:v>
      </x:c>
      <x:c r="E2812" s="12" t="str">
        <x:v>International Tech Park (ITPB)</x:v>
      </x:c>
      <x:c r="F2812" s="12" t="str">
        <x:v>55 inch</x:v>
      </x:c>
      <x:c r="G2812" s="20" t="n">
        <x:v>1</x:v>
      </x:c>
      <x:c r="H2812" s="12" t="str">
        <x:v>Campus/portfolio roster; individual building occupancy unverified</x:v>
      </x:c>
      <x:c r="I2812" s="12" t="str">
        <x:v>Mixed business audience</x:v>
      </x:c>
      <x:c r="J2812" s="12" t="str">
        <x:v>IT &amp; digital</x:v>
      </x:c>
      <x:c r="K2812" s="2" t="str">
        <x:v>PARTNER-M002</x:v>
      </x:c>
    </x:row>
    <x:row r="2813" ht="46" customHeight="1">
      <x:c r="A2813" s="2" t="str">
        <x:v>TEN-5346DFE17486</x:v>
      </x:c>
      <x:c r="B2813" s="12" t="str">
        <x:v>Technicolor</x:v>
      </x:c>
      <x:c r="C2813" s="12" t="str">
        <x:v>CORP-0427</x:v>
      </x:c>
      <x:c r="D2813" s="12" t="str">
        <x:v>Bengaluru</x:v>
      </x:c>
      <x:c r="E2813" s="12" t="str">
        <x:v>International Tech Park (ITPB)</x:v>
      </x:c>
      <x:c r="F2813" s="12" t="str">
        <x:v>55 inch</x:v>
      </x:c>
      <x:c r="G2813" s="20" t="n">
        <x:v>1</x:v>
      </x:c>
      <x:c r="H2813" s="12" t="str">
        <x:v>Campus/portfolio roster; individual building occupancy unverified</x:v>
      </x:c>
      <x:c r="I2813" s="12" t="str">
        <x:v>Mixed business audience</x:v>
      </x:c>
      <x:c r="J2813" s="12" t="str">
        <x:v>Trade, consumer &amp; logistics</x:v>
      </x:c>
      <x:c r="K2813" s="2" t="str">
        <x:v>PARTNER-M002</x:v>
      </x:c>
    </x:row>
    <x:row r="2814" ht="46" customHeight="1">
      <x:c r="A2814" s="2" t="str">
        <x:v>TEN-598F7A741A1E</x:v>
      </x:c>
      <x:c r="B2814" s="12" t="str">
        <x:v>Aegis</x:v>
      </x:c>
      <x:c r="C2814" s="12" t="str">
        <x:v>CORP-0427</x:v>
      </x:c>
      <x:c r="D2814" s="12" t="str">
        <x:v>Bengaluru</x:v>
      </x:c>
      <x:c r="E2814" s="12" t="str">
        <x:v>International Tech Park (ITPB)</x:v>
      </x:c>
      <x:c r="F2814" s="12" t="str">
        <x:v>55 inch</x:v>
      </x:c>
      <x:c r="G2814" s="20" t="n">
        <x:v>1</x:v>
      </x:c>
      <x:c r="H2814" s="12" t="str">
        <x:v>Campus/portfolio roster; individual building occupancy unverified</x:v>
      </x:c>
      <x:c r="I2814" s="12" t="str">
        <x:v>Mixed business audience</x:v>
      </x:c>
      <x:c r="J2814" s="12" t="str">
        <x:v>IT &amp; digital</x:v>
      </x:c>
      <x:c r="K2814" s="2" t="str">
        <x:v>PARTNER-M002</x:v>
      </x:c>
    </x:row>
    <x:row r="2815" ht="46" customHeight="1">
      <x:c r="A2815" s="2" t="str">
        <x:v>TEN-59E713BB9B49</x:v>
      </x:c>
      <x:c r="B2815" s="12" t="str">
        <x:v>Revolt Intellicorp Pvt</x:v>
      </x:c>
      <x:c r="C2815" s="12" t="str">
        <x:v>CORP-0427</x:v>
      </x:c>
      <x:c r="D2815" s="12" t="str">
        <x:v>Bengaluru</x:v>
      </x:c>
      <x:c r="E2815" s="12" t="str">
        <x:v>International Tech Park (ITPB)</x:v>
      </x:c>
      <x:c r="F2815" s="12" t="str">
        <x:v>55 inch</x:v>
      </x:c>
      <x:c r="G2815" s="20" t="n">
        <x:v>1</x:v>
      </x:c>
      <x:c r="H2815" s="12" t="str">
        <x:v>Campus/portfolio roster; individual building occupancy unverified</x:v>
      </x:c>
      <x:c r="I2815" s="12" t="str">
        <x:v>Mixed business audience</x:v>
      </x:c>
      <x:c r="J2815" s="12" t="str">
        <x:v>Unresolved</x:v>
      </x:c>
      <x:c r="K2815" s="2" t="str">
        <x:v>PARTNER-M002</x:v>
      </x:c>
    </x:row>
    <x:row r="2816" ht="46" customHeight="1">
      <x:c r="A2816" s="2" t="str">
        <x:v>TEN-5B5245AFFE44</x:v>
      </x:c>
      <x:c r="B2816" s="12" t="str">
        <x:v>Tata Communications</x:v>
      </x:c>
      <x:c r="C2816" s="12" t="str">
        <x:v>CORP-0427</x:v>
      </x:c>
      <x:c r="D2816" s="12" t="str">
        <x:v>Bengaluru</x:v>
      </x:c>
      <x:c r="E2816" s="12" t="str">
        <x:v>International Tech Park (ITPB)</x:v>
      </x:c>
      <x:c r="F2816" s="12" t="str">
        <x:v>55 inch</x:v>
      </x:c>
      <x:c r="G2816" s="20" t="n">
        <x:v>1</x:v>
      </x:c>
      <x:c r="H2816" s="12" t="str">
        <x:v>Campus/portfolio roster; individual building occupancy unverified</x:v>
      </x:c>
      <x:c r="I2816" s="12" t="str">
        <x:v>Large enterprise</x:v>
      </x:c>
      <x:c r="J2816" s="12" t="str">
        <x:v>IT &amp; digital</x:v>
      </x:c>
      <x:c r="K2816" s="2" t="str">
        <x:v>PARTNER-M002</x:v>
      </x:c>
    </x:row>
    <x:row r="2817" ht="46" customHeight="1">
      <x:c r="A2817" s="2" t="str">
        <x:v>TEN-5D77DB2A2906</x:v>
      </x:c>
      <x:c r="B2817" s="12" t="str">
        <x:v>Telia</x:v>
      </x:c>
      <x:c r="C2817" s="12" t="str">
        <x:v>CORP-0427</x:v>
      </x:c>
      <x:c r="D2817" s="12" t="str">
        <x:v>Bengaluru</x:v>
      </x:c>
      <x:c r="E2817" s="12" t="str">
        <x:v>International Tech Park (ITPB)</x:v>
      </x:c>
      <x:c r="F2817" s="12" t="str">
        <x:v>55 inch</x:v>
      </x:c>
      <x:c r="G2817" s="20" t="n">
        <x:v>1</x:v>
      </x:c>
      <x:c r="H2817" s="12" t="str">
        <x:v>Campus/portfolio roster; individual building occupancy unverified</x:v>
      </x:c>
      <x:c r="I2817" s="12" t="str">
        <x:v>Mixed business audience</x:v>
      </x:c>
      <x:c r="J2817" s="12" t="str">
        <x:v>Unresolved</x:v>
      </x:c>
      <x:c r="K2817" s="2" t="str">
        <x:v>PARTNER-M002</x:v>
      </x:c>
    </x:row>
    <x:row r="2818" ht="46" customHeight="1">
      <x:c r="A2818" s="2" t="str">
        <x:v>TEN-5F435B82E7E9</x:v>
      </x:c>
      <x:c r="B2818" s="12" t="str">
        <x:v>Criterion</x:v>
      </x:c>
      <x:c r="C2818" s="12" t="str">
        <x:v>CORP-0427</x:v>
      </x:c>
      <x:c r="D2818" s="12" t="str">
        <x:v>Bengaluru</x:v>
      </x:c>
      <x:c r="E2818" s="12" t="str">
        <x:v>International Tech Park (ITPB)</x:v>
      </x:c>
      <x:c r="F2818" s="12" t="str">
        <x:v>55 inch</x:v>
      </x:c>
      <x:c r="G2818" s="20" t="n">
        <x:v>1</x:v>
      </x:c>
      <x:c r="H2818" s="12" t="str">
        <x:v>Campus/portfolio roster; individual building occupancy unverified</x:v>
      </x:c>
      <x:c r="I2818" s="12" t="str">
        <x:v>Mixed business audience</x:v>
      </x:c>
      <x:c r="J2818" s="12" t="str">
        <x:v>Unresolved</x:v>
      </x:c>
      <x:c r="K2818" s="2" t="str">
        <x:v>PARTNER-M002</x:v>
      </x:c>
    </x:row>
    <x:row r="2819" ht="46" customHeight="1">
      <x:c r="A2819" s="2" t="str">
        <x:v>TEN-5FA790F3630F</x:v>
      </x:c>
      <x:c r="B2819" s="12" t="str">
        <x:v>Tata Consultancy Services</x:v>
      </x:c>
      <x:c r="C2819" s="12" t="str">
        <x:v>CORP-0427</x:v>
      </x:c>
      <x:c r="D2819" s="12" t="str">
        <x:v>Bengaluru</x:v>
      </x:c>
      <x:c r="E2819" s="12" t="str">
        <x:v>International Tech Park (ITPB)</x:v>
      </x:c>
      <x:c r="F2819" s="12" t="str">
        <x:v>55 inch</x:v>
      </x:c>
      <x:c r="G2819" s="20" t="n">
        <x:v>1</x:v>
      </x:c>
      <x:c r="H2819" s="12" t="str">
        <x:v>Campus/portfolio roster; individual building occupancy unverified</x:v>
      </x:c>
      <x:c r="I2819" s="12" t="str">
        <x:v>Large enterprise</x:v>
      </x:c>
      <x:c r="J2819" s="12" t="str">
        <x:v>IT &amp; digital</x:v>
      </x:c>
      <x:c r="K2819" s="2" t="str">
        <x:v>PARTNER-M002</x:v>
      </x:c>
    </x:row>
    <x:row r="2820" ht="46" customHeight="1">
      <x:c r="A2820" s="2" t="str">
        <x:v>TEN-60B66A73DC22</x:v>
      </x:c>
      <x:c r="B2820" s="12" t="str">
        <x:v>Webdunia.com</x:v>
      </x:c>
      <x:c r="C2820" s="12" t="str">
        <x:v>CORP-0427</x:v>
      </x:c>
      <x:c r="D2820" s="12" t="str">
        <x:v>Bengaluru</x:v>
      </x:c>
      <x:c r="E2820" s="12" t="str">
        <x:v>International Tech Park (ITPB)</x:v>
      </x:c>
      <x:c r="F2820" s="12" t="str">
        <x:v>55 inch</x:v>
      </x:c>
      <x:c r="G2820" s="20" t="n">
        <x:v>1</x:v>
      </x:c>
      <x:c r="H2820" s="12" t="str">
        <x:v>Campus/portfolio roster; individual building occupancy unverified</x:v>
      </x:c>
      <x:c r="I2820" s="12" t="str">
        <x:v>Small-scale prospects</x:v>
      </x:c>
      <x:c r="J2820" s="12" t="str">
        <x:v>IT &amp; digital</x:v>
      </x:c>
      <x:c r="K2820" s="2" t="str">
        <x:v>PARTNER-M002</x:v>
      </x:c>
    </x:row>
    <x:row r="2821" ht="46" customHeight="1">
      <x:c r="A2821" s="2" t="str">
        <x:v>TEN-60CDE18C0230</x:v>
      </x:c>
      <x:c r="B2821" s="12" t="str">
        <x:v>Omens Animation</x:v>
      </x:c>
      <x:c r="C2821" s="12" t="str">
        <x:v>CORP-0427</x:v>
      </x:c>
      <x:c r="D2821" s="12" t="str">
        <x:v>Bengaluru</x:v>
      </x:c>
      <x:c r="E2821" s="12" t="str">
        <x:v>International Tech Park (ITPB)</x:v>
      </x:c>
      <x:c r="F2821" s="12" t="str">
        <x:v>55 inch</x:v>
      </x:c>
      <x:c r="G2821" s="20" t="n">
        <x:v>1</x:v>
      </x:c>
      <x:c r="H2821" s="12" t="str">
        <x:v>Campus/portfolio roster; individual building occupancy unverified</x:v>
      </x:c>
      <x:c r="I2821" s="12" t="str">
        <x:v>Small-scale prospects</x:v>
      </x:c>
      <x:c r="J2821" s="12" t="str">
        <x:v>Trade, consumer &amp; logistics</x:v>
      </x:c>
      <x:c r="K2821" s="2" t="str">
        <x:v>PARTNER-M002</x:v>
      </x:c>
    </x:row>
    <x:row r="2822" ht="46" customHeight="1">
      <x:c r="A2822" s="2" t="str">
        <x:v>TEN-676DC956336D</x:v>
      </x:c>
      <x:c r="B2822" s="12" t="str">
        <x:v>Rsab</x:v>
      </x:c>
      <x:c r="C2822" s="12" t="str">
        <x:v>CORP-0427</x:v>
      </x:c>
      <x:c r="D2822" s="12" t="str">
        <x:v>Bengaluru</x:v>
      </x:c>
      <x:c r="E2822" s="12" t="str">
        <x:v>International Tech Park (ITPB)</x:v>
      </x:c>
      <x:c r="F2822" s="12" t="str">
        <x:v>55 inch</x:v>
      </x:c>
      <x:c r="G2822" s="20" t="n">
        <x:v>1</x:v>
      </x:c>
      <x:c r="H2822" s="12" t="str">
        <x:v>Campus/portfolio roster; individual building occupancy unverified</x:v>
      </x:c>
      <x:c r="I2822" s="12" t="str">
        <x:v>Mixed business audience</x:v>
      </x:c>
      <x:c r="J2822" s="12" t="str">
        <x:v>Unresolved</x:v>
      </x:c>
      <x:c r="K2822" s="2" t="str">
        <x:v>PARTNER-M002</x:v>
      </x:c>
    </x:row>
    <x:row r="2823" ht="46" customHeight="1">
      <x:c r="A2823" s="2" t="str">
        <x:v>TEN-6994CDC0D34E</x:v>
      </x:c>
      <x:c r="B2823" s="12" t="str">
        <x:v>Sacha Engineering</x:v>
      </x:c>
      <x:c r="C2823" s="12" t="str">
        <x:v>CORP-0427</x:v>
      </x:c>
      <x:c r="D2823" s="12" t="str">
        <x:v>Bengaluru</x:v>
      </x:c>
      <x:c r="E2823" s="12" t="str">
        <x:v>International Tech Park (ITPB)</x:v>
      </x:c>
      <x:c r="F2823" s="12" t="str">
        <x:v>55 inch</x:v>
      </x:c>
      <x:c r="G2823" s="20" t="n">
        <x:v>1</x:v>
      </x:c>
      <x:c r="H2823" s="12" t="str">
        <x:v>Campus/portfolio roster; individual building occupancy unverified</x:v>
      </x:c>
      <x:c r="I2823" s="12" t="str">
        <x:v>Medium-scale prospects</x:v>
      </x:c>
      <x:c r="J2823" s="12" t="str">
        <x:v>Engineering &amp; manufacturing</x:v>
      </x:c>
      <x:c r="K2823" s="2" t="str">
        <x:v>PARTNER-M002</x:v>
      </x:c>
    </x:row>
    <x:row r="2824" ht="46" customHeight="1">
      <x:c r="A2824" s="2" t="str">
        <x:v>TEN-6BC09C13CCE1</x:v>
      </x:c>
      <x:c r="B2824" s="12" t="str">
        <x:v>Upilot</x:v>
      </x:c>
      <x:c r="C2824" s="12" t="str">
        <x:v>CORP-0427</x:v>
      </x:c>
      <x:c r="D2824" s="12" t="str">
        <x:v>Bengaluru</x:v>
      </x:c>
      <x:c r="E2824" s="12" t="str">
        <x:v>International Tech Park (ITPB)</x:v>
      </x:c>
      <x:c r="F2824" s="12" t="str">
        <x:v>55 inch</x:v>
      </x:c>
      <x:c r="G2824" s="20" t="n">
        <x:v>1</x:v>
      </x:c>
      <x:c r="H2824" s="12" t="str">
        <x:v>Campus/portfolio roster; individual building occupancy unverified</x:v>
      </x:c>
      <x:c r="I2824" s="12" t="str">
        <x:v>Small-scale prospects</x:v>
      </x:c>
      <x:c r="J2824" s="12" t="str">
        <x:v>IT &amp; digital</x:v>
      </x:c>
      <x:c r="K2824" s="2" t="str">
        <x:v>PARTNER-M002</x:v>
      </x:c>
    </x:row>
    <x:row r="2825" ht="46" customHeight="1">
      <x:c r="A2825" s="2" t="str">
        <x:v>TEN-6E2912BABF92</x:v>
      </x:c>
      <x:c r="B2825" s="12" t="str">
        <x:v>Plastic Omnium Auto</x:v>
      </x:c>
      <x:c r="C2825" s="12" t="str">
        <x:v>CORP-0427</x:v>
      </x:c>
      <x:c r="D2825" s="12" t="str">
        <x:v>Bengaluru</x:v>
      </x:c>
      <x:c r="E2825" s="12" t="str">
        <x:v>International Tech Park (ITPB)</x:v>
      </x:c>
      <x:c r="F2825" s="12" t="str">
        <x:v>55 inch</x:v>
      </x:c>
      <x:c r="G2825" s="20" t="n">
        <x:v>1</x:v>
      </x:c>
      <x:c r="H2825" s="12" t="str">
        <x:v>Campus/portfolio roster; individual building occupancy unverified</x:v>
      </x:c>
      <x:c r="I2825" s="12" t="str">
        <x:v>Mixed business audience</x:v>
      </x:c>
      <x:c r="J2825" s="12" t="str">
        <x:v>Engineering &amp; manufacturing</x:v>
      </x:c>
      <x:c r="K2825" s="2" t="str">
        <x:v>PARTNER-M002</x:v>
      </x:c>
    </x:row>
    <x:row r="2826" ht="46" customHeight="1">
      <x:c r="A2826" s="2" t="str">
        <x:v>TEN-6F273F8143F0</x:v>
      </x:c>
      <x:c r="B2826" s="12" t="str">
        <x:v>First Advantage</x:v>
      </x:c>
      <x:c r="C2826" s="12" t="str">
        <x:v>CORP-0427</x:v>
      </x:c>
      <x:c r="D2826" s="12" t="str">
        <x:v>Bengaluru</x:v>
      </x:c>
      <x:c r="E2826" s="12" t="str">
        <x:v>International Tech Park (ITPB)</x:v>
      </x:c>
      <x:c r="F2826" s="12" t="str">
        <x:v>55 inch</x:v>
      </x:c>
      <x:c r="G2826" s="20" t="n">
        <x:v>1</x:v>
      </x:c>
      <x:c r="H2826" s="12" t="str">
        <x:v>Campus/portfolio roster; individual building occupancy unverified</x:v>
      </x:c>
      <x:c r="I2826" s="12" t="str">
        <x:v>Mixed business audience</x:v>
      </x:c>
      <x:c r="J2826" s="12" t="str">
        <x:v>Professional services</x:v>
      </x:c>
      <x:c r="K2826" s="2" t="str">
        <x:v>PARTNER-M002</x:v>
      </x:c>
    </x:row>
    <x:row r="2827" ht="46" customHeight="1">
      <x:c r="A2827" s="2" t="str">
        <x:v>TEN-6F4C691FF4A1</x:v>
      </x:c>
      <x:c r="B2827" s="12" t="str">
        <x:v>Kennametal</x:v>
      </x:c>
      <x:c r="C2827" s="12" t="str">
        <x:v>CORP-0427</x:v>
      </x:c>
      <x:c r="D2827" s="12" t="str">
        <x:v>Bengaluru</x:v>
      </x:c>
      <x:c r="E2827" s="12" t="str">
        <x:v>International Tech Park (ITPB)</x:v>
      </x:c>
      <x:c r="F2827" s="12" t="str">
        <x:v>55 inch</x:v>
      </x:c>
      <x:c r="G2827" s="20" t="n">
        <x:v>1</x:v>
      </x:c>
      <x:c r="H2827" s="12" t="str">
        <x:v>Campus/portfolio roster; individual building occupancy unverified</x:v>
      </x:c>
      <x:c r="I2827" s="12" t="str">
        <x:v>Mixed business audience</x:v>
      </x:c>
      <x:c r="J2827" s="12" t="str">
        <x:v>Engineering &amp; manufacturing</x:v>
      </x:c>
      <x:c r="K2827" s="2" t="str">
        <x:v>PARTNER-M002</x:v>
      </x:c>
    </x:row>
    <x:row r="2828" ht="46" customHeight="1">
      <x:c r="A2828" s="2" t="str">
        <x:v>TEN-7318D4E0C064</x:v>
      </x:c>
      <x:c r="B2828" s="12" t="str">
        <x:v>Skiva</x:v>
      </x:c>
      <x:c r="C2828" s="12" t="str">
        <x:v>CORP-0427</x:v>
      </x:c>
      <x:c r="D2828" s="12" t="str">
        <x:v>Bengaluru</x:v>
      </x:c>
      <x:c r="E2828" s="12" t="str">
        <x:v>International Tech Park (ITPB)</x:v>
      </x:c>
      <x:c r="F2828" s="12" t="str">
        <x:v>55 inch</x:v>
      </x:c>
      <x:c r="G2828" s="20" t="n">
        <x:v>1</x:v>
      </x:c>
      <x:c r="H2828" s="12" t="str">
        <x:v>Campus/portfolio roster; individual building occupancy unverified</x:v>
      </x:c>
      <x:c r="I2828" s="12" t="str">
        <x:v>Mixed business audience</x:v>
      </x:c>
      <x:c r="J2828" s="12" t="str">
        <x:v>Unresolved</x:v>
      </x:c>
      <x:c r="K2828" s="2" t="str">
        <x:v>PARTNER-M002</x:v>
      </x:c>
    </x:row>
    <x:row r="2829" ht="46" customHeight="1">
      <x:c r="A2829" s="2" t="str">
        <x:v>TEN-764319AE4FB8</x:v>
      </x:c>
      <x:c r="B2829" s="12" t="str">
        <x:v>Sharp Software</x:v>
      </x:c>
      <x:c r="C2829" s="12" t="str">
        <x:v>CORP-0427</x:v>
      </x:c>
      <x:c r="D2829" s="12" t="str">
        <x:v>Bengaluru</x:v>
      </x:c>
      <x:c r="E2829" s="12" t="str">
        <x:v>International Tech Park (ITPB)</x:v>
      </x:c>
      <x:c r="F2829" s="12" t="str">
        <x:v>55 inch</x:v>
      </x:c>
      <x:c r="G2829" s="20" t="n">
        <x:v>1</x:v>
      </x:c>
      <x:c r="H2829" s="12" t="str">
        <x:v>Campus/portfolio roster; individual building occupancy unverified</x:v>
      </x:c>
      <x:c r="I2829" s="12" t="str">
        <x:v>Mixed business audience</x:v>
      </x:c>
      <x:c r="J2829" s="12" t="str">
        <x:v>IT &amp; digital</x:v>
      </x:c>
      <x:c r="K2829" s="2" t="str">
        <x:v>PARTNER-M002</x:v>
      </x:c>
    </x:row>
    <x:row r="2830" ht="46" customHeight="1">
      <x:c r="A2830" s="2" t="str">
        <x:v>TEN-7ECB3C42E303</x:v>
      </x:c>
      <x:c r="B2830" s="12" t="str">
        <x:v>Criterion Networks</x:v>
      </x:c>
      <x:c r="C2830" s="12" t="str">
        <x:v>CORP-0427</x:v>
      </x:c>
      <x:c r="D2830" s="12" t="str">
        <x:v>Bengaluru</x:v>
      </x:c>
      <x:c r="E2830" s="12" t="str">
        <x:v>International Tech Park (ITPB)</x:v>
      </x:c>
      <x:c r="F2830" s="12" t="str">
        <x:v>55 inch</x:v>
      </x:c>
      <x:c r="G2830" s="20" t="n">
        <x:v>1</x:v>
      </x:c>
      <x:c r="H2830" s="12" t="str">
        <x:v>Campus/portfolio roster; individual building occupancy unverified</x:v>
      </x:c>
      <x:c r="I2830" s="12" t="str">
        <x:v>Small-scale prospects</x:v>
      </x:c>
      <x:c r="J2830" s="12" t="str">
        <x:v>IT &amp; digital</x:v>
      </x:c>
      <x:c r="K2830" s="2" t="str">
        <x:v>PARTNER-M002</x:v>
      </x:c>
    </x:row>
    <x:row r="2831" ht="46" customHeight="1">
      <x:c r="A2831" s="2" t="str">
        <x:v>TEN-8174968E6F72</x:v>
      </x:c>
      <x:c r="B2831" s="12" t="str">
        <x:v>Achronix</x:v>
      </x:c>
      <x:c r="C2831" s="12" t="str">
        <x:v>CORP-0427</x:v>
      </x:c>
      <x:c r="D2831" s="12" t="str">
        <x:v>Bengaluru</x:v>
      </x:c>
      <x:c r="E2831" s="12" t="str">
        <x:v>International Tech Park (ITPB)</x:v>
      </x:c>
      <x:c r="F2831" s="12" t="str">
        <x:v>55 inch</x:v>
      </x:c>
      <x:c r="G2831" s="20" t="n">
        <x:v>1</x:v>
      </x:c>
      <x:c r="H2831" s="12" t="str">
        <x:v>Campus/portfolio roster; individual building occupancy unverified</x:v>
      </x:c>
      <x:c r="I2831" s="12" t="str">
        <x:v>Mixed business audience</x:v>
      </x:c>
      <x:c r="J2831" s="12" t="str">
        <x:v>Engineering &amp; manufacturing</x:v>
      </x:c>
      <x:c r="K2831" s="2" t="str">
        <x:v>PARTNER-M002</x:v>
      </x:c>
    </x:row>
    <x:row r="2832" ht="46" customHeight="1">
      <x:c r="A2832" s="2" t="str">
        <x:v>TEN-81F921B8E00A</x:v>
      </x:c>
      <x:c r="B2832" s="12" t="str">
        <x:v>Mobicip</x:v>
      </x:c>
      <x:c r="C2832" s="12" t="str">
        <x:v>CORP-0427</x:v>
      </x:c>
      <x:c r="D2832" s="12" t="str">
        <x:v>Bengaluru</x:v>
      </x:c>
      <x:c r="E2832" s="12" t="str">
        <x:v>International Tech Park (ITPB)</x:v>
      </x:c>
      <x:c r="F2832" s="12" t="str">
        <x:v>55 inch</x:v>
      </x:c>
      <x:c r="G2832" s="20" t="n">
        <x:v>1</x:v>
      </x:c>
      <x:c r="H2832" s="12" t="str">
        <x:v>Campus/portfolio roster; individual building occupancy unverified</x:v>
      </x:c>
      <x:c r="I2832" s="12" t="str">
        <x:v>Small-scale prospects</x:v>
      </x:c>
      <x:c r="J2832" s="12" t="str">
        <x:v>IT &amp; digital</x:v>
      </x:c>
      <x:c r="K2832" s="2" t="str">
        <x:v>PARTNER-M002</x:v>
      </x:c>
    </x:row>
    <x:row r="2833" ht="46" customHeight="1">
      <x:c r="A2833" s="2" t="str">
        <x:v>TEN-891353748B3A</x:v>
      </x:c>
      <x:c r="B2833" s="12" t="str">
        <x:v>Osi Energy automation</x:v>
      </x:c>
      <x:c r="C2833" s="12" t="str">
        <x:v>CORP-0427</x:v>
      </x:c>
      <x:c r="D2833" s="12" t="str">
        <x:v>Bengaluru</x:v>
      </x:c>
      <x:c r="E2833" s="12" t="str">
        <x:v>International Tech Park (ITPB)</x:v>
      </x:c>
      <x:c r="F2833" s="12" t="str">
        <x:v>55 inch</x:v>
      </x:c>
      <x:c r="G2833" s="20" t="n">
        <x:v>1</x:v>
      </x:c>
      <x:c r="H2833" s="12" t="str">
        <x:v>Campus/portfolio roster; individual building occupancy unverified</x:v>
      </x:c>
      <x:c r="I2833" s="12" t="str">
        <x:v>Medium-scale prospects</x:v>
      </x:c>
      <x:c r="J2833" s="12" t="str">
        <x:v>Engineering &amp; manufacturing</x:v>
      </x:c>
      <x:c r="K2833" s="2" t="str">
        <x:v>PARTNER-M002</x:v>
      </x:c>
    </x:row>
    <x:row r="2834" ht="46" customHeight="1">
      <x:c r="A2834" s="2" t="str">
        <x:v>TEN-8C4275F1FD40</x:v>
      </x:c>
      <x:c r="B2834" s="12" t="str">
        <x:v>Capital Land</x:v>
      </x:c>
      <x:c r="C2834" s="12" t="str">
        <x:v>CORP-0427</x:v>
      </x:c>
      <x:c r="D2834" s="12" t="str">
        <x:v>Bengaluru</x:v>
      </x:c>
      <x:c r="E2834" s="12" t="str">
        <x:v>International Tech Park (ITPB)</x:v>
      </x:c>
      <x:c r="F2834" s="12" t="str">
        <x:v>55 inch</x:v>
      </x:c>
      <x:c r="G2834" s="20" t="n">
        <x:v>1</x:v>
      </x:c>
      <x:c r="H2834" s="12" t="str">
        <x:v>Campus/portfolio roster; individual building occupancy unverified</x:v>
      </x:c>
      <x:c r="I2834" s="12" t="str">
        <x:v>Mixed business audience</x:v>
      </x:c>
      <x:c r="J2834" s="12" t="str">
        <x:v>Trade, consumer &amp; logistics</x:v>
      </x:c>
      <x:c r="K2834" s="2" t="str">
        <x:v>PARTNER-M002</x:v>
      </x:c>
    </x:row>
    <x:row r="2835" ht="46" customHeight="1">
      <x:c r="A2835" s="2" t="str">
        <x:v>TEN-8DCD18640A0A</x:v>
      </x:c>
      <x:c r="B2835" s="12" t="str">
        <x:v>Kotak</x:v>
      </x:c>
      <x:c r="C2835" s="12" t="str">
        <x:v>CORP-0427</x:v>
      </x:c>
      <x:c r="D2835" s="12" t="str">
        <x:v>Bengaluru</x:v>
      </x:c>
      <x:c r="E2835" s="12" t="str">
        <x:v>International Tech Park (ITPB)</x:v>
      </x:c>
      <x:c r="F2835" s="12" t="str">
        <x:v>55 inch</x:v>
      </x:c>
      <x:c r="G2835" s="20" t="n">
        <x:v>1</x:v>
      </x:c>
      <x:c r="H2835" s="12" t="str">
        <x:v>Campus/portfolio roster; individual building occupancy unverified</x:v>
      </x:c>
      <x:c r="I2835" s="12" t="str">
        <x:v>Large enterprise</x:v>
      </x:c>
      <x:c r="J2835" s="12" t="str">
        <x:v>Finance &amp; insurance</x:v>
      </x:c>
      <x:c r="K2835" s="2" t="str">
        <x:v>PARTNER-M002</x:v>
      </x:c>
    </x:row>
    <x:row r="2836" ht="46" customHeight="1">
      <x:c r="A2836" s="2" t="str">
        <x:v>TEN-916A98F0FA2A</x:v>
      </x:c>
      <x:c r="B2836" s="12" t="str">
        <x:v>IBM</x:v>
      </x:c>
      <x:c r="C2836" s="12" t="str">
        <x:v>CORP-0427</x:v>
      </x:c>
      <x:c r="D2836" s="12" t="str">
        <x:v>Bengaluru</x:v>
      </x:c>
      <x:c r="E2836" s="12" t="str">
        <x:v>International Tech Park (ITPB)</x:v>
      </x:c>
      <x:c r="F2836" s="12" t="str">
        <x:v>55 inch</x:v>
      </x:c>
      <x:c r="G2836" s="20" t="n">
        <x:v>1</x:v>
      </x:c>
      <x:c r="H2836" s="12" t="str">
        <x:v>Campus/portfolio roster; individual building occupancy unverified</x:v>
      </x:c>
      <x:c r="I2836" s="12" t="str">
        <x:v>Large enterprise</x:v>
      </x:c>
      <x:c r="J2836" s="12" t="str">
        <x:v>IT &amp; digital</x:v>
      </x:c>
      <x:c r="K2836" s="2" t="str">
        <x:v>PARTNER-M002</x:v>
      </x:c>
    </x:row>
    <x:row r="2837" ht="46" customHeight="1">
      <x:c r="A2837" s="2" t="str">
        <x:v>TEN-97720ABA5A0C</x:v>
      </x:c>
      <x:c r="B2837" s="12" t="str">
        <x:v>Insemi Technology</x:v>
      </x:c>
      <x:c r="C2837" s="12" t="str">
        <x:v>CORP-0427</x:v>
      </x:c>
      <x:c r="D2837" s="12" t="str">
        <x:v>Bengaluru</x:v>
      </x:c>
      <x:c r="E2837" s="12" t="str">
        <x:v>International Tech Park (ITPB)</x:v>
      </x:c>
      <x:c r="F2837" s="12" t="str">
        <x:v>55 inch</x:v>
      </x:c>
      <x:c r="G2837" s="20" t="n">
        <x:v>1</x:v>
      </x:c>
      <x:c r="H2837" s="12" t="str">
        <x:v>Campus/portfolio roster; individual building occupancy unverified</x:v>
      </x:c>
      <x:c r="I2837" s="12" t="str">
        <x:v>Mixed business audience</x:v>
      </x:c>
      <x:c r="J2837" s="12" t="str">
        <x:v>Engineering &amp; manufacturing</x:v>
      </x:c>
      <x:c r="K2837" s="2" t="str">
        <x:v>PARTNER-M002</x:v>
      </x:c>
    </x:row>
    <x:row r="2838" ht="46" customHeight="1">
      <x:c r="A2838" s="2" t="str">
        <x:v>TEN-97B053EFF73B</x:v>
      </x:c>
      <x:c r="B2838" s="12" t="str">
        <x:v>Xinthe Technologies</x:v>
      </x:c>
      <x:c r="C2838" s="12" t="str">
        <x:v>CORP-0427</x:v>
      </x:c>
      <x:c r="D2838" s="12" t="str">
        <x:v>Bengaluru</x:v>
      </x:c>
      <x:c r="E2838" s="12" t="str">
        <x:v>International Tech Park (ITPB)</x:v>
      </x:c>
      <x:c r="F2838" s="12" t="str">
        <x:v>55 inch</x:v>
      </x:c>
      <x:c r="G2838" s="20" t="n">
        <x:v>1</x:v>
      </x:c>
      <x:c r="H2838" s="12" t="str">
        <x:v>Campus/portfolio roster; individual building occupancy unverified</x:v>
      </x:c>
      <x:c r="I2838" s="12" t="str">
        <x:v>Small-scale prospects</x:v>
      </x:c>
      <x:c r="J2838" s="12" t="str">
        <x:v>IT &amp; digital</x:v>
      </x:c>
      <x:c r="K2838" s="2" t="str">
        <x:v>PARTNER-M002</x:v>
      </x:c>
    </x:row>
    <x:row r="2839" ht="46" customHeight="1">
      <x:c r="A2839" s="2" t="str">
        <x:v>TEN-99E39EB751AE</x:v>
      </x:c>
      <x:c r="B2839" s="12" t="str">
        <x:v>US Technology</x:v>
      </x:c>
      <x:c r="C2839" s="12" t="str">
        <x:v>CORP-0427</x:v>
      </x:c>
      <x:c r="D2839" s="12" t="str">
        <x:v>Bengaluru</x:v>
      </x:c>
      <x:c r="E2839" s="12" t="str">
        <x:v>International Tech Park (ITPB)</x:v>
      </x:c>
      <x:c r="F2839" s="12" t="str">
        <x:v>55 inch</x:v>
      </x:c>
      <x:c r="G2839" s="20" t="n">
        <x:v>1</x:v>
      </x:c>
      <x:c r="H2839" s="12" t="str">
        <x:v>Campus/portfolio roster; individual building occupancy unverified</x:v>
      </x:c>
      <x:c r="I2839" s="12" t="str">
        <x:v>Mixed business audience</x:v>
      </x:c>
      <x:c r="J2839" s="12" t="str">
        <x:v>IT &amp; digital</x:v>
      </x:c>
      <x:c r="K2839" s="2" t="str">
        <x:v>PARTNER-M002</x:v>
      </x:c>
    </x:row>
    <x:row r="2840" ht="46" customHeight="1">
      <x:c r="A2840" s="2" t="str">
        <x:v>TEN-A08385AC9A90</x:v>
      </x:c>
      <x:c r="B2840" s="12" t="str">
        <x:v>Ecinical</x:v>
      </x:c>
      <x:c r="C2840" s="12" t="str">
        <x:v>CORP-0427</x:v>
      </x:c>
      <x:c r="D2840" s="12" t="str">
        <x:v>Bengaluru</x:v>
      </x:c>
      <x:c r="E2840" s="12" t="str">
        <x:v>International Tech Park (ITPB)</x:v>
      </x:c>
      <x:c r="F2840" s="12" t="str">
        <x:v>55 inch</x:v>
      </x:c>
      <x:c r="G2840" s="20" t="n">
        <x:v>1</x:v>
      </x:c>
      <x:c r="H2840" s="12" t="str">
        <x:v>Campus/portfolio roster; individual building occupancy unverified</x:v>
      </x:c>
      <x:c r="I2840" s="12" t="str">
        <x:v>Mixed business audience</x:v>
      </x:c>
      <x:c r="J2840" s="12" t="str">
        <x:v>Unresolved</x:v>
      </x:c>
      <x:c r="K2840" s="2" t="str">
        <x:v>PARTNER-M002</x:v>
      </x:c>
    </x:row>
    <x:row r="2841" ht="46" customHeight="1">
      <x:c r="A2841" s="2" t="str">
        <x:v>TEN-A57526B5D973</x:v>
      </x:c>
      <x:c r="B2841" s="12" t="str">
        <x:v>General Motors</x:v>
      </x:c>
      <x:c r="C2841" s="12" t="str">
        <x:v>CORP-0427</x:v>
      </x:c>
      <x:c r="D2841" s="12" t="str">
        <x:v>Bengaluru</x:v>
      </x:c>
      <x:c r="E2841" s="12" t="str">
        <x:v>International Tech Park (ITPB)</x:v>
      </x:c>
      <x:c r="F2841" s="12" t="str">
        <x:v>55 inch</x:v>
      </x:c>
      <x:c r="G2841" s="20" t="n">
        <x:v>1</x:v>
      </x:c>
      <x:c r="H2841" s="12" t="str">
        <x:v>Campus/portfolio roster; individual building occupancy unverified</x:v>
      </x:c>
      <x:c r="I2841" s="12" t="str">
        <x:v>Mixed business audience</x:v>
      </x:c>
      <x:c r="J2841" s="12" t="str">
        <x:v>Engineering &amp; manufacturing</x:v>
      </x:c>
      <x:c r="K2841" s="2" t="str">
        <x:v>PARTNER-M002</x:v>
      </x:c>
    </x:row>
    <x:row r="2842" ht="46" customHeight="1">
      <x:c r="A2842" s="2" t="str">
        <x:v>TEN-A5F5259A3FFE</x:v>
      </x:c>
      <x:c r="B2842" s="12" t="str">
        <x:v>Xerox Technology</x:v>
      </x:c>
      <x:c r="C2842" s="12" t="str">
        <x:v>CORP-0427</x:v>
      </x:c>
      <x:c r="D2842" s="12" t="str">
        <x:v>Bengaluru</x:v>
      </x:c>
      <x:c r="E2842" s="12" t="str">
        <x:v>International Tech Park (ITPB)</x:v>
      </x:c>
      <x:c r="F2842" s="12" t="str">
        <x:v>55 inch</x:v>
      </x:c>
      <x:c r="G2842" s="20" t="n">
        <x:v>1</x:v>
      </x:c>
      <x:c r="H2842" s="12" t="str">
        <x:v>Campus/portfolio roster; individual building occupancy unverified</x:v>
      </x:c>
      <x:c r="I2842" s="12" t="str">
        <x:v>Mixed business audience</x:v>
      </x:c>
      <x:c r="J2842" s="12" t="str">
        <x:v>IT &amp; digital</x:v>
      </x:c>
      <x:c r="K2842" s="2" t="str">
        <x:v>PARTNER-M002</x:v>
      </x:c>
    </x:row>
    <x:row r="2843" ht="46" customHeight="1">
      <x:c r="A2843" s="2" t="str">
        <x:v>TEN-A7907C2DB975</x:v>
      </x:c>
      <x:c r="B2843" s="12" t="str">
        <x:v>Einfolge</x:v>
      </x:c>
      <x:c r="C2843" s="12" t="str">
        <x:v>CORP-0427</x:v>
      </x:c>
      <x:c r="D2843" s="12" t="str">
        <x:v>Bengaluru</x:v>
      </x:c>
      <x:c r="E2843" s="12" t="str">
        <x:v>International Tech Park (ITPB)</x:v>
      </x:c>
      <x:c r="F2843" s="12" t="str">
        <x:v>55 inch</x:v>
      </x:c>
      <x:c r="G2843" s="20" t="n">
        <x:v>1</x:v>
      </x:c>
      <x:c r="H2843" s="12" t="str">
        <x:v>Campus/portfolio roster; individual building occupancy unverified</x:v>
      </x:c>
      <x:c r="I2843" s="12" t="str">
        <x:v>Small-scale prospects</x:v>
      </x:c>
      <x:c r="J2843" s="12" t="str">
        <x:v>Professional services</x:v>
      </x:c>
      <x:c r="K2843" s="2" t="str">
        <x:v>PARTNER-M002</x:v>
      </x:c>
    </x:row>
    <x:row r="2844" ht="46" customHeight="1">
      <x:c r="A2844" s="2" t="str">
        <x:v>TEN-A88487AEFC99</x:v>
      </x:c>
      <x:c r="B2844" s="12" t="str">
        <x:v>Galax</x:v>
      </x:c>
      <x:c r="C2844" s="12" t="str">
        <x:v>CORP-0427</x:v>
      </x:c>
      <x:c r="D2844" s="12" t="str">
        <x:v>Bengaluru</x:v>
      </x:c>
      <x:c r="E2844" s="12" t="str">
        <x:v>International Tech Park (ITPB)</x:v>
      </x:c>
      <x:c r="F2844" s="12" t="str">
        <x:v>55 inch</x:v>
      </x:c>
      <x:c r="G2844" s="20" t="n">
        <x:v>1</x:v>
      </x:c>
      <x:c r="H2844" s="12" t="str">
        <x:v>Campus/portfolio roster; individual building occupancy unverified</x:v>
      </x:c>
      <x:c r="I2844" s="12" t="str">
        <x:v>Mixed business audience</x:v>
      </x:c>
      <x:c r="J2844" s="12" t="str">
        <x:v>Unresolved</x:v>
      </x:c>
      <x:c r="K2844" s="2" t="str">
        <x:v>PARTNER-M002</x:v>
      </x:c>
    </x:row>
    <x:row r="2845" ht="46" customHeight="1">
      <x:c r="A2845" s="2" t="str">
        <x:v>TEN-A9A1855F9C7F</x:v>
      </x:c>
      <x:c r="B2845" s="12" t="str">
        <x:v>Globant</x:v>
      </x:c>
      <x:c r="C2845" s="12" t="str">
        <x:v>CORP-0427</x:v>
      </x:c>
      <x:c r="D2845" s="12" t="str">
        <x:v>Bengaluru</x:v>
      </x:c>
      <x:c r="E2845" s="12" t="str">
        <x:v>International Tech Park (ITPB)</x:v>
      </x:c>
      <x:c r="F2845" s="12" t="str">
        <x:v>55 inch</x:v>
      </x:c>
      <x:c r="G2845" s="20" t="n">
        <x:v>1</x:v>
      </x:c>
      <x:c r="H2845" s="12" t="str">
        <x:v>Campus/portfolio roster; individual building occupancy unverified</x:v>
      </x:c>
      <x:c r="I2845" s="12" t="str">
        <x:v>Mixed business audience</x:v>
      </x:c>
      <x:c r="J2845" s="12" t="str">
        <x:v>IT &amp; digital</x:v>
      </x:c>
      <x:c r="K2845" s="2" t="str">
        <x:v>PARTNER-M002</x:v>
      </x:c>
    </x:row>
    <x:row r="2846" ht="46" customHeight="1">
      <x:c r="A2846" s="2" t="str">
        <x:v>TEN-A9B3E7D54A8C</x:v>
      </x:c>
      <x:c r="B2846" s="12" t="str">
        <x:v>First advantage Global</x:v>
      </x:c>
      <x:c r="C2846" s="12" t="str">
        <x:v>CORP-0427</x:v>
      </x:c>
      <x:c r="D2846" s="12" t="str">
        <x:v>Bengaluru</x:v>
      </x:c>
      <x:c r="E2846" s="12" t="str">
        <x:v>International Tech Park (ITPB)</x:v>
      </x:c>
      <x:c r="F2846" s="12" t="str">
        <x:v>55 inch</x:v>
      </x:c>
      <x:c r="G2846" s="20" t="n">
        <x:v>1</x:v>
      </x:c>
      <x:c r="H2846" s="12" t="str">
        <x:v>Campus/portfolio roster; individual building occupancy unverified</x:v>
      </x:c>
      <x:c r="I2846" s="12" t="str">
        <x:v>Mixed business audience</x:v>
      </x:c>
      <x:c r="J2846" s="12" t="str">
        <x:v>Professional services</x:v>
      </x:c>
      <x:c r="K2846" s="2" t="str">
        <x:v>PARTNER-M002</x:v>
      </x:c>
    </x:row>
    <x:row r="2847" ht="46" customHeight="1">
      <x:c r="A2847" s="2" t="str">
        <x:v>TEN-AFB51487B347</x:v>
      </x:c>
      <x:c r="B2847" s="12" t="str">
        <x:v>Happy Visitor Esoutions</x:v>
      </x:c>
      <x:c r="C2847" s="12" t="str">
        <x:v>CORP-0427</x:v>
      </x:c>
      <x:c r="D2847" s="12" t="str">
        <x:v>Bengaluru</x:v>
      </x:c>
      <x:c r="E2847" s="12" t="str">
        <x:v>International Tech Park (ITPB)</x:v>
      </x:c>
      <x:c r="F2847" s="12" t="str">
        <x:v>55 inch</x:v>
      </x:c>
      <x:c r="G2847" s="20" t="n">
        <x:v>1</x:v>
      </x:c>
      <x:c r="H2847" s="12" t="str">
        <x:v>Campus/portfolio roster; individual building occupancy unverified</x:v>
      </x:c>
      <x:c r="I2847" s="12" t="str">
        <x:v>Mixed business audience</x:v>
      </x:c>
      <x:c r="J2847" s="12" t="str">
        <x:v>Unresolved</x:v>
      </x:c>
      <x:c r="K2847" s="2" t="str">
        <x:v>PARTNER-M002</x:v>
      </x:c>
    </x:row>
    <x:row r="2848" ht="46" customHeight="1">
      <x:c r="A2848" s="2" t="str">
        <x:v>TEN-B1E1798527DF</x:v>
      </x:c>
      <x:c r="B2848" s="12" t="str">
        <x:v>Carnation</x:v>
      </x:c>
      <x:c r="C2848" s="12" t="str">
        <x:v>CORP-0427</x:v>
      </x:c>
      <x:c r="D2848" s="12" t="str">
        <x:v>Bengaluru</x:v>
      </x:c>
      <x:c r="E2848" s="12" t="str">
        <x:v>International Tech Park (ITPB)</x:v>
      </x:c>
      <x:c r="F2848" s="12" t="str">
        <x:v>55 inch</x:v>
      </x:c>
      <x:c r="G2848" s="20" t="n">
        <x:v>1</x:v>
      </x:c>
      <x:c r="H2848" s="12" t="str">
        <x:v>Campus/portfolio roster; individual building occupancy unverified</x:v>
      </x:c>
      <x:c r="I2848" s="12" t="str">
        <x:v>Mixed business audience</x:v>
      </x:c>
      <x:c r="J2848" s="12" t="str">
        <x:v>Unresolved</x:v>
      </x:c>
      <x:c r="K2848" s="2" t="str">
        <x:v>PARTNER-M002</x:v>
      </x:c>
    </x:row>
    <x:row r="2849" ht="46" customHeight="1">
      <x:c r="A2849" s="2" t="str">
        <x:v>TEN-B431E151D906</x:v>
      </x:c>
      <x:c r="B2849" s="12" t="str">
        <x:v>Longhorns labs</x:v>
      </x:c>
      <x:c r="C2849" s="12" t="str">
        <x:v>CORP-0427</x:v>
      </x:c>
      <x:c r="D2849" s="12" t="str">
        <x:v>Bengaluru</x:v>
      </x:c>
      <x:c r="E2849" s="12" t="str">
        <x:v>International Tech Park (ITPB)</x:v>
      </x:c>
      <x:c r="F2849" s="12" t="str">
        <x:v>55 inch</x:v>
      </x:c>
      <x:c r="G2849" s="20" t="n">
        <x:v>1</x:v>
      </x:c>
      <x:c r="H2849" s="12" t="str">
        <x:v>Campus/portfolio roster; individual building occupancy unverified</x:v>
      </x:c>
      <x:c r="I2849" s="12" t="str">
        <x:v>Mixed business audience</x:v>
      </x:c>
      <x:c r="J2849" s="12" t="str">
        <x:v>Unresolved</x:v>
      </x:c>
      <x:c r="K2849" s="2" t="str">
        <x:v>PARTNER-M002</x:v>
      </x:c>
    </x:row>
    <x:row r="2850" ht="46" customHeight="1">
      <x:c r="A2850" s="2" t="str">
        <x:v>TEN-B73878E16AE9</x:v>
      </x:c>
      <x:c r="B2850" s="12" t="str">
        <x:v>Truspeq</x:v>
      </x:c>
      <x:c r="C2850" s="12" t="str">
        <x:v>CORP-0427</x:v>
      </x:c>
      <x:c r="D2850" s="12" t="str">
        <x:v>Bengaluru</x:v>
      </x:c>
      <x:c r="E2850" s="12" t="str">
        <x:v>International Tech Park (ITPB)</x:v>
      </x:c>
      <x:c r="F2850" s="12" t="str">
        <x:v>55 inch</x:v>
      </x:c>
      <x:c r="G2850" s="20" t="n">
        <x:v>1</x:v>
      </x:c>
      <x:c r="H2850" s="12" t="str">
        <x:v>Campus/portfolio roster; individual building occupancy unverified</x:v>
      </x:c>
      <x:c r="I2850" s="12" t="str">
        <x:v>Small-scale prospects</x:v>
      </x:c>
      <x:c r="J2850" s="12" t="str">
        <x:v>IT &amp; digital</x:v>
      </x:c>
      <x:c r="K2850" s="2" t="str">
        <x:v>PARTNER-M002</x:v>
      </x:c>
    </x:row>
    <x:row r="2851" ht="46" customHeight="1">
      <x:c r="A2851" s="2" t="str">
        <x:v>TEN-B73A39ADECC4</x:v>
      </x:c>
      <x:c r="B2851" s="12" t="str">
        <x:v>ATOS IT</x:v>
      </x:c>
      <x:c r="C2851" s="12" t="str">
        <x:v>CORP-0427</x:v>
      </x:c>
      <x:c r="D2851" s="12" t="str">
        <x:v>Bengaluru</x:v>
      </x:c>
      <x:c r="E2851" s="12" t="str">
        <x:v>International Tech Park (ITPB)</x:v>
      </x:c>
      <x:c r="F2851" s="12" t="str">
        <x:v>55 inch</x:v>
      </x:c>
      <x:c r="G2851" s="20" t="n">
        <x:v>1</x:v>
      </x:c>
      <x:c r="H2851" s="12" t="str">
        <x:v>Campus/portfolio roster; individual building occupancy unverified</x:v>
      </x:c>
      <x:c r="I2851" s="12" t="str">
        <x:v>Large enterprise</x:v>
      </x:c>
      <x:c r="J2851" s="12" t="str">
        <x:v>IT &amp; digital</x:v>
      </x:c>
      <x:c r="K2851" s="2" t="str">
        <x:v>PARTNER-M002</x:v>
      </x:c>
    </x:row>
    <x:row r="2852" ht="46" customHeight="1">
      <x:c r="A2852" s="2" t="str">
        <x:v>TEN-B9223DF94855</x:v>
      </x:c>
      <x:c r="B2852" s="12" t="str">
        <x:v>ECI Telecom</x:v>
      </x:c>
      <x:c r="C2852" s="12" t="str">
        <x:v>CORP-0427</x:v>
      </x:c>
      <x:c r="D2852" s="12" t="str">
        <x:v>Bengaluru</x:v>
      </x:c>
      <x:c r="E2852" s="12" t="str">
        <x:v>International Tech Park (ITPB)</x:v>
      </x:c>
      <x:c r="F2852" s="12" t="str">
        <x:v>55 inch</x:v>
      </x:c>
      <x:c r="G2852" s="20" t="n">
        <x:v>1</x:v>
      </x:c>
      <x:c r="H2852" s="12" t="str">
        <x:v>Campus/portfolio roster; individual building occupancy unverified</x:v>
      </x:c>
      <x:c r="I2852" s="12" t="str">
        <x:v>Mixed business audience</x:v>
      </x:c>
      <x:c r="J2852" s="12" t="str">
        <x:v>IT &amp; digital</x:v>
      </x:c>
      <x:c r="K2852" s="2" t="str">
        <x:v>PARTNER-M002</x:v>
      </x:c>
    </x:row>
    <x:row r="2853" ht="46" customHeight="1">
      <x:c r="A2853" s="2" t="str">
        <x:v>TEN-BDA4D17476FE</x:v>
      </x:c>
      <x:c r="B2853" s="12" t="str">
        <x:v>Cognisure</x:v>
      </x:c>
      <x:c r="C2853" s="12" t="str">
        <x:v>CORP-0427</x:v>
      </x:c>
      <x:c r="D2853" s="12" t="str">
        <x:v>Bengaluru</x:v>
      </x:c>
      <x:c r="E2853" s="12" t="str">
        <x:v>International Tech Park (ITPB)</x:v>
      </x:c>
      <x:c r="F2853" s="12" t="str">
        <x:v>55 inch</x:v>
      </x:c>
      <x:c r="G2853" s="20" t="n">
        <x:v>1</x:v>
      </x:c>
      <x:c r="H2853" s="12" t="str">
        <x:v>Campus/portfolio roster; individual building occupancy unverified</x:v>
      </x:c>
      <x:c r="I2853" s="12" t="str">
        <x:v>Small-scale prospects</x:v>
      </x:c>
      <x:c r="J2853" s="12" t="str">
        <x:v>IT &amp; digital</x:v>
      </x:c>
      <x:c r="K2853" s="2" t="str">
        <x:v>PARTNER-M002</x:v>
      </x:c>
    </x:row>
    <x:row r="2854" ht="46" customHeight="1">
      <x:c r="A2854" s="2" t="str">
        <x:v>TEN-BE234565AEEE</x:v>
      </x:c>
      <x:c r="B2854" s="12" t="str">
        <x:v>Incred Financial</x:v>
      </x:c>
      <x:c r="C2854" s="12" t="str">
        <x:v>CORP-0427</x:v>
      </x:c>
      <x:c r="D2854" s="12" t="str">
        <x:v>Bengaluru</x:v>
      </x:c>
      <x:c r="E2854" s="12" t="str">
        <x:v>International Tech Park (ITPB)</x:v>
      </x:c>
      <x:c r="F2854" s="12" t="str">
        <x:v>55 inch</x:v>
      </x:c>
      <x:c r="G2854" s="20" t="n">
        <x:v>1</x:v>
      </x:c>
      <x:c r="H2854" s="12" t="str">
        <x:v>Campus/portfolio roster; individual building occupancy unverified</x:v>
      </x:c>
      <x:c r="I2854" s="12" t="str">
        <x:v>Mixed business audience</x:v>
      </x:c>
      <x:c r="J2854" s="12" t="str">
        <x:v>Finance &amp; insurance</x:v>
      </x:c>
      <x:c r="K2854" s="2" t="str">
        <x:v>PARTNER-M002</x:v>
      </x:c>
    </x:row>
    <x:row r="2855" ht="46" customHeight="1">
      <x:c r="A2855" s="2" t="str">
        <x:v>TEN-BFE647B51B50</x:v>
      </x:c>
      <x:c r="B2855" s="12" t="str">
        <x:v>V4U</x:v>
      </x:c>
      <x:c r="C2855" s="12" t="str">
        <x:v>CORP-0427</x:v>
      </x:c>
      <x:c r="D2855" s="12" t="str">
        <x:v>Bengaluru</x:v>
      </x:c>
      <x:c r="E2855" s="12" t="str">
        <x:v>International Tech Park (ITPB)</x:v>
      </x:c>
      <x:c r="F2855" s="12" t="str">
        <x:v>55 inch</x:v>
      </x:c>
      <x:c r="G2855" s="20" t="n">
        <x:v>1</x:v>
      </x:c>
      <x:c r="H2855" s="12" t="str">
        <x:v>Campus/portfolio roster; individual building occupancy unverified</x:v>
      </x:c>
      <x:c r="I2855" s="12" t="str">
        <x:v>Mixed business audience</x:v>
      </x:c>
      <x:c r="J2855" s="12" t="str">
        <x:v>Unresolved</x:v>
      </x:c>
      <x:c r="K2855" s="2" t="str">
        <x:v>PARTNER-M002</x:v>
      </x:c>
    </x:row>
    <x:row r="2856" ht="46" customHeight="1">
      <x:c r="A2856" s="2" t="str">
        <x:v>TEN-C27FF66117D5</x:v>
      </x:c>
      <x:c r="B2856" s="12" t="str">
        <x:v>Index Lithigraphy</x:v>
      </x:c>
      <x:c r="C2856" s="12" t="str">
        <x:v>CORP-0427</x:v>
      </x:c>
      <x:c r="D2856" s="12" t="str">
        <x:v>Bengaluru</x:v>
      </x:c>
      <x:c r="E2856" s="12" t="str">
        <x:v>International Tech Park (ITPB)</x:v>
      </x:c>
      <x:c r="F2856" s="12" t="str">
        <x:v>55 inch</x:v>
      </x:c>
      <x:c r="G2856" s="20" t="n">
        <x:v>1</x:v>
      </x:c>
      <x:c r="H2856" s="12" t="str">
        <x:v>Campus/portfolio roster; individual building occupancy unverified</x:v>
      </x:c>
      <x:c r="I2856" s="12" t="str">
        <x:v>Medium-scale prospects</x:v>
      </x:c>
      <x:c r="J2856" s="12" t="str">
        <x:v>Engineering &amp; manufacturing</x:v>
      </x:c>
      <x:c r="K2856" s="2" t="str">
        <x:v>PARTNER-M002</x:v>
      </x:c>
    </x:row>
    <x:row r="2857" ht="46" customHeight="1">
      <x:c r="A2857" s="2" t="str">
        <x:v>TEN-CC2C556FA10A</x:v>
      </x:c>
      <x:c r="B2857" s="12" t="str">
        <x:v>Kingslake</x:v>
      </x:c>
      <x:c r="C2857" s="12" t="str">
        <x:v>CORP-0427</x:v>
      </x:c>
      <x:c r="D2857" s="12" t="str">
        <x:v>Bengaluru</x:v>
      </x:c>
      <x:c r="E2857" s="12" t="str">
        <x:v>International Tech Park (ITPB)</x:v>
      </x:c>
      <x:c r="F2857" s="12" t="str">
        <x:v>55 inch</x:v>
      </x:c>
      <x:c r="G2857" s="20" t="n">
        <x:v>1</x:v>
      </x:c>
      <x:c r="H2857" s="12" t="str">
        <x:v>Campus/portfolio roster; individual building occupancy unverified</x:v>
      </x:c>
      <x:c r="I2857" s="12" t="str">
        <x:v>Mixed business audience</x:v>
      </x:c>
      <x:c r="J2857" s="12" t="str">
        <x:v>Unresolved</x:v>
      </x:c>
      <x:c r="K2857" s="2" t="str">
        <x:v>PARTNER-M002</x:v>
      </x:c>
    </x:row>
    <x:row r="2858" ht="46" customHeight="1">
      <x:c r="A2858" s="2" t="str">
        <x:v>TEN-CDDAE2627D47</x:v>
      </x:c>
      <x:c r="B2858" s="12" t="str">
        <x:v>Institute Bio informatis</x:v>
      </x:c>
      <x:c r="C2858" s="12" t="str">
        <x:v>CORP-0427</x:v>
      </x:c>
      <x:c r="D2858" s="12" t="str">
        <x:v>Bengaluru</x:v>
      </x:c>
      <x:c r="E2858" s="12" t="str">
        <x:v>International Tech Park (ITPB)</x:v>
      </x:c>
      <x:c r="F2858" s="12" t="str">
        <x:v>55 inch</x:v>
      </x:c>
      <x:c r="G2858" s="20" t="n">
        <x:v>1</x:v>
      </x:c>
      <x:c r="H2858" s="12" t="str">
        <x:v>Campus/portfolio roster; individual building occupancy unverified</x:v>
      </x:c>
      <x:c r="I2858" s="12" t="str">
        <x:v>Small-scale prospects</x:v>
      </x:c>
      <x:c r="J2858" s="12" t="str">
        <x:v>Education</x:v>
      </x:c>
      <x:c r="K2858" s="2" t="str">
        <x:v>PARTNER-M002</x:v>
      </x:c>
    </x:row>
    <x:row r="2859" ht="46" customHeight="1">
      <x:c r="A2859" s="2" t="str">
        <x:v>TEN-D04CE1F77A17</x:v>
      </x:c>
      <x:c r="B2859" s="12" t="str">
        <x:v>Fiorano</x:v>
      </x:c>
      <x:c r="C2859" s="12" t="str">
        <x:v>CORP-0427</x:v>
      </x:c>
      <x:c r="D2859" s="12" t="str">
        <x:v>Bengaluru</x:v>
      </x:c>
      <x:c r="E2859" s="12" t="str">
        <x:v>International Tech Park (ITPB)</x:v>
      </x:c>
      <x:c r="F2859" s="12" t="str">
        <x:v>55 inch</x:v>
      </x:c>
      <x:c r="G2859" s="20" t="n">
        <x:v>1</x:v>
      </x:c>
      <x:c r="H2859" s="12" t="str">
        <x:v>Campus/portfolio roster; individual building occupancy unverified</x:v>
      </x:c>
      <x:c r="I2859" s="12" t="str">
        <x:v>Small-scale prospects</x:v>
      </x:c>
      <x:c r="J2859" s="12" t="str">
        <x:v>IT &amp; digital</x:v>
      </x:c>
      <x:c r="K2859" s="2" t="str">
        <x:v>PARTNER-M002</x:v>
      </x:c>
    </x:row>
    <x:row r="2860" ht="46" customHeight="1">
      <x:c r="A2860" s="2" t="str">
        <x:v>TEN-D1C7C99C6E2E</x:v>
      </x:c>
      <x:c r="B2860" s="12" t="str">
        <x:v>Tata</x:v>
      </x:c>
      <x:c r="C2860" s="12" t="str">
        <x:v>CORP-0427</x:v>
      </x:c>
      <x:c r="D2860" s="12" t="str">
        <x:v>Bengaluru</x:v>
      </x:c>
      <x:c r="E2860" s="12" t="str">
        <x:v>International Tech Park (ITPB)</x:v>
      </x:c>
      <x:c r="F2860" s="12" t="str">
        <x:v>55 inch</x:v>
      </x:c>
      <x:c r="G2860" s="20" t="n">
        <x:v>1</x:v>
      </x:c>
      <x:c r="H2860" s="12" t="str">
        <x:v>Campus/portfolio roster; individual building occupancy unverified</x:v>
      </x:c>
      <x:c r="I2860" s="12" t="str">
        <x:v>Large enterprise</x:v>
      </x:c>
      <x:c r="J2860" s="12" t="str">
        <x:v>Unresolved</x:v>
      </x:c>
      <x:c r="K2860" s="2" t="str">
        <x:v>PARTNER-M002</x:v>
      </x:c>
    </x:row>
    <x:row r="2861" ht="46" customHeight="1">
      <x:c r="A2861" s="2" t="str">
        <x:v>TEN-D2E269F83158</x:v>
      </x:c>
      <x:c r="B2861" s="12" t="str">
        <x:v>MBB Labs</x:v>
      </x:c>
      <x:c r="C2861" s="12" t="str">
        <x:v>CORP-0427</x:v>
      </x:c>
      <x:c r="D2861" s="12" t="str">
        <x:v>Bengaluru</x:v>
      </x:c>
      <x:c r="E2861" s="12" t="str">
        <x:v>International Tech Park (ITPB)</x:v>
      </x:c>
      <x:c r="F2861" s="12" t="str">
        <x:v>55 inch</x:v>
      </x:c>
      <x:c r="G2861" s="20" t="n">
        <x:v>1</x:v>
      </x:c>
      <x:c r="H2861" s="12" t="str">
        <x:v>Campus/portfolio roster; individual building occupancy unverified</x:v>
      </x:c>
      <x:c r="I2861" s="12" t="str">
        <x:v>Mixed business audience</x:v>
      </x:c>
      <x:c r="J2861" s="12" t="str">
        <x:v>Unresolved</x:v>
      </x:c>
      <x:c r="K2861" s="2" t="str">
        <x:v>PARTNER-M002</x:v>
      </x:c>
    </x:row>
    <x:row r="2862" ht="46" customHeight="1">
      <x:c r="A2862" s="2" t="str">
        <x:v>TEN-D72EAD2E3D44</x:v>
      </x:c>
      <x:c r="B2862" s="12" t="str">
        <x:v>Tech Mahindra</x:v>
      </x:c>
      <x:c r="C2862" s="12" t="str">
        <x:v>CORP-0427</x:v>
      </x:c>
      <x:c r="D2862" s="12" t="str">
        <x:v>Bengaluru</x:v>
      </x:c>
      <x:c r="E2862" s="12" t="str">
        <x:v>International Tech Park (ITPB)</x:v>
      </x:c>
      <x:c r="F2862" s="12" t="str">
        <x:v>55 inch</x:v>
      </x:c>
      <x:c r="G2862" s="20" t="n">
        <x:v>1</x:v>
      </x:c>
      <x:c r="H2862" s="12" t="str">
        <x:v>Campus/portfolio roster; individual building occupancy unverified</x:v>
      </x:c>
      <x:c r="I2862" s="12" t="str">
        <x:v>Large enterprise</x:v>
      </x:c>
      <x:c r="J2862" s="12" t="str">
        <x:v>IT &amp; digital</x:v>
      </x:c>
      <x:c r="K2862" s="2" t="str">
        <x:v>PARTNER-M002</x:v>
      </x:c>
    </x:row>
    <x:row r="2863" ht="46" customHeight="1">
      <x:c r="A2863" s="2" t="str">
        <x:v>TEN-D817CF92B660</x:v>
      </x:c>
      <x:c r="B2863" s="12" t="str">
        <x:v>Innoactive</x:v>
      </x:c>
      <x:c r="C2863" s="12" t="str">
        <x:v>CORP-0427</x:v>
      </x:c>
      <x:c r="D2863" s="12" t="str">
        <x:v>Bengaluru</x:v>
      </x:c>
      <x:c r="E2863" s="12" t="str">
        <x:v>International Tech Park (ITPB)</x:v>
      </x:c>
      <x:c r="F2863" s="12" t="str">
        <x:v>55 inch</x:v>
      </x:c>
      <x:c r="G2863" s="20" t="n">
        <x:v>1</x:v>
      </x:c>
      <x:c r="H2863" s="12" t="str">
        <x:v>Campus/portfolio roster; individual building occupancy unverified</x:v>
      </x:c>
      <x:c r="I2863" s="12" t="str">
        <x:v>Mixed business audience</x:v>
      </x:c>
      <x:c r="J2863" s="12" t="str">
        <x:v>Unresolved</x:v>
      </x:c>
      <x:c r="K2863" s="2" t="str">
        <x:v>PARTNER-M002</x:v>
      </x:c>
    </x:row>
    <x:row r="2864" ht="46" customHeight="1">
      <x:c r="A2864" s="2" t="str">
        <x:v>TEN-D820F7EB8DD2</x:v>
      </x:c>
      <x:c r="B2864" s="12" t="str">
        <x:v>Hireright</x:v>
      </x:c>
      <x:c r="C2864" s="12" t="str">
        <x:v>CORP-0427</x:v>
      </x:c>
      <x:c r="D2864" s="12" t="str">
        <x:v>Bengaluru</x:v>
      </x:c>
      <x:c r="E2864" s="12" t="str">
        <x:v>International Tech Park (ITPB)</x:v>
      </x:c>
      <x:c r="F2864" s="12" t="str">
        <x:v>55 inch</x:v>
      </x:c>
      <x:c r="G2864" s="20" t="n">
        <x:v>1</x:v>
      </x:c>
      <x:c r="H2864" s="12" t="str">
        <x:v>Campus/portfolio roster; individual building occupancy unverified</x:v>
      </x:c>
      <x:c r="I2864" s="12" t="str">
        <x:v>Mixed business audience</x:v>
      </x:c>
      <x:c r="J2864" s="12" t="str">
        <x:v>Professional services</x:v>
      </x:c>
      <x:c r="K2864" s="2" t="str">
        <x:v>PARTNER-M002</x:v>
      </x:c>
    </x:row>
    <x:row r="2865" ht="46" customHeight="1">
      <x:c r="A2865" s="2" t="str">
        <x:v>TEN-D886B2C883A6</x:v>
      </x:c>
      <x:c r="B2865" s="12" t="str">
        <x:v>Citi Bank</x:v>
      </x:c>
      <x:c r="C2865" s="12" t="str">
        <x:v>CORP-0427</x:v>
      </x:c>
      <x:c r="D2865" s="12" t="str">
        <x:v>Bengaluru</x:v>
      </x:c>
      <x:c r="E2865" s="12" t="str">
        <x:v>International Tech Park (ITPB)</x:v>
      </x:c>
      <x:c r="F2865" s="12" t="str">
        <x:v>55 inch</x:v>
      </x:c>
      <x:c r="G2865" s="20" t="n">
        <x:v>1</x:v>
      </x:c>
      <x:c r="H2865" s="12" t="str">
        <x:v>Campus/portfolio roster; individual building occupancy unverified</x:v>
      </x:c>
      <x:c r="I2865" s="12" t="str">
        <x:v>Large enterprise</x:v>
      </x:c>
      <x:c r="J2865" s="12" t="str">
        <x:v>Finance &amp; insurance</x:v>
      </x:c>
      <x:c r="K2865" s="2" t="str">
        <x:v>PARTNER-M002</x:v>
      </x:c>
    </x:row>
    <x:row r="2866" ht="46" customHeight="1">
      <x:c r="A2866" s="2" t="str">
        <x:v>TEN-DA7A5218187E</x:v>
      </x:c>
      <x:c r="B2866" s="12" t="str">
        <x:v>Certes</x:v>
      </x:c>
      <x:c r="C2866" s="12" t="str">
        <x:v>CORP-0427</x:v>
      </x:c>
      <x:c r="D2866" s="12" t="str">
        <x:v>Bengaluru</x:v>
      </x:c>
      <x:c r="E2866" s="12" t="str">
        <x:v>International Tech Park (ITPB)</x:v>
      </x:c>
      <x:c r="F2866" s="12" t="str">
        <x:v>55 inch</x:v>
      </x:c>
      <x:c r="G2866" s="20" t="n">
        <x:v>1</x:v>
      </x:c>
      <x:c r="H2866" s="12" t="str">
        <x:v>Campus/portfolio roster; individual building occupancy unverified</x:v>
      </x:c>
      <x:c r="I2866" s="12" t="str">
        <x:v>Mixed business audience</x:v>
      </x:c>
      <x:c r="J2866" s="12" t="str">
        <x:v>Unresolved</x:v>
      </x:c>
      <x:c r="K2866" s="2" t="str">
        <x:v>PARTNER-M002</x:v>
      </x:c>
    </x:row>
    <x:row r="2867" ht="46" customHeight="1">
      <x:c r="A2867" s="2" t="str">
        <x:v>TEN-E1F279A6A033</x:v>
      </x:c>
      <x:c r="B2867" s="12" t="str">
        <x:v>Applied Materials</x:v>
      </x:c>
      <x:c r="C2867" s="12" t="str">
        <x:v>CORP-0427</x:v>
      </x:c>
      <x:c r="D2867" s="12" t="str">
        <x:v>Bengaluru</x:v>
      </x:c>
      <x:c r="E2867" s="12" t="str">
        <x:v>International Tech Park (ITPB)</x:v>
      </x:c>
      <x:c r="F2867" s="12" t="str">
        <x:v>55 inch</x:v>
      </x:c>
      <x:c r="G2867" s="20" t="n">
        <x:v>1</x:v>
      </x:c>
      <x:c r="H2867" s="12" t="str">
        <x:v>Campus/portfolio roster; individual building occupancy unverified</x:v>
      </x:c>
      <x:c r="I2867" s="12" t="str">
        <x:v>Mixed business audience</x:v>
      </x:c>
      <x:c r="J2867" s="12" t="str">
        <x:v>Engineering &amp; manufacturing</x:v>
      </x:c>
      <x:c r="K2867" s="2" t="str">
        <x:v>PARTNER-M002</x:v>
      </x:c>
    </x:row>
    <x:row r="2868" ht="46" customHeight="1">
      <x:c r="A2868" s="2" t="str">
        <x:v>TEN-EA30894BD53C</x:v>
      </x:c>
      <x:c r="B2868" s="12" t="str">
        <x:v>Alcatel-Lucent</x:v>
      </x:c>
      <x:c r="C2868" s="12" t="str">
        <x:v>CORP-0427</x:v>
      </x:c>
      <x:c r="D2868" s="12" t="str">
        <x:v>Bengaluru</x:v>
      </x:c>
      <x:c r="E2868" s="12" t="str">
        <x:v>International Tech Park (ITPB)</x:v>
      </x:c>
      <x:c r="F2868" s="12" t="str">
        <x:v>55 inch</x:v>
      </x:c>
      <x:c r="G2868" s="20" t="n">
        <x:v>1</x:v>
      </x:c>
      <x:c r="H2868" s="12" t="str">
        <x:v>Campus/portfolio roster; individual building occupancy unverified</x:v>
      </x:c>
      <x:c r="I2868" s="12" t="str">
        <x:v>Mixed business audience</x:v>
      </x:c>
      <x:c r="J2868" s="12" t="str">
        <x:v>IT &amp; digital</x:v>
      </x:c>
      <x:c r="K2868" s="2" t="str">
        <x:v>PARTNER-M002</x:v>
      </x:c>
    </x:row>
    <x:row r="2869" ht="46" customHeight="1">
      <x:c r="A2869" s="2" t="str">
        <x:v>TEN-EB2197E38208</x:v>
      </x:c>
      <x:c r="B2869" s="12" t="str">
        <x:v>Sycomp Technologies</x:v>
      </x:c>
      <x:c r="C2869" s="12" t="str">
        <x:v>CORP-0427</x:v>
      </x:c>
      <x:c r="D2869" s="12" t="str">
        <x:v>Bengaluru</x:v>
      </x:c>
      <x:c r="E2869" s="12" t="str">
        <x:v>International Tech Park (ITPB)</x:v>
      </x:c>
      <x:c r="F2869" s="12" t="str">
        <x:v>55 inch</x:v>
      </x:c>
      <x:c r="G2869" s="20" t="n">
        <x:v>1</x:v>
      </x:c>
      <x:c r="H2869" s="12" t="str">
        <x:v>Campus/portfolio roster; individual building occupancy unverified</x:v>
      </x:c>
      <x:c r="I2869" s="12" t="str">
        <x:v>Small-scale prospects</x:v>
      </x:c>
      <x:c r="J2869" s="12" t="str">
        <x:v>IT &amp; digital</x:v>
      </x:c>
      <x:c r="K2869" s="2" t="str">
        <x:v>PARTNER-M002</x:v>
      </x:c>
    </x:row>
    <x:row r="2870" ht="46" customHeight="1">
      <x:c r="A2870" s="2" t="str">
        <x:v>TEN-F4FDCAC4C72C</x:v>
      </x:c>
      <x:c r="B2870" s="12" t="str">
        <x:v>Mindsprint</x:v>
      </x:c>
      <x:c r="C2870" s="12" t="str">
        <x:v>CORP-0427</x:v>
      </x:c>
      <x:c r="D2870" s="12" t="str">
        <x:v>Bengaluru</x:v>
      </x:c>
      <x:c r="E2870" s="12" t="str">
        <x:v>International Tech Park (ITPB)</x:v>
      </x:c>
      <x:c r="F2870" s="12" t="str">
        <x:v>55 inch</x:v>
      </x:c>
      <x:c r="G2870" s="20" t="n">
        <x:v>1</x:v>
      </x:c>
      <x:c r="H2870" s="12" t="str">
        <x:v>Campus/portfolio roster; individual building occupancy unverified</x:v>
      </x:c>
      <x:c r="I2870" s="12" t="str">
        <x:v>Mixed business audience</x:v>
      </x:c>
      <x:c r="J2870" s="12" t="str">
        <x:v>IT &amp; digital</x:v>
      </x:c>
      <x:c r="K2870" s="2" t="str">
        <x:v>PARTNER-M002</x:v>
      </x:c>
    </x:row>
    <x:row r="2871" ht="46" customHeight="1">
      <x:c r="A2871" s="2" t="str">
        <x:v>TEN-05A498EFD197</x:v>
      </x:c>
      <x:c r="B2871" s="12" t="str">
        <x:v>Kronos</x:v>
      </x:c>
      <x:c r="C2871" s="12" t="str">
        <x:v>CORP-0535</x:v>
      </x:c>
      <x:c r="D2871" s="12" t="str">
        <x:v>Bengaluru</x:v>
      </x:c>
      <x:c r="E2871" s="12" t="str">
        <x:v>Bagmane Tech Park</x:v>
      </x:c>
      <x:c r="F2871" s="12" t="str">
        <x:v>55 inch</x:v>
      </x:c>
      <x:c r="G2871" s="20" t="n">
        <x:v>1</x:v>
      </x:c>
      <x:c r="H2871" s="12" t="str">
        <x:v>Campus/portfolio roster; individual building occupancy unverified</x:v>
      </x:c>
      <x:c r="I2871" s="12" t="str">
        <x:v>Mixed business audience</x:v>
      </x:c>
      <x:c r="J2871" s="12" t="str">
        <x:v>IT &amp; digital</x:v>
      </x:c>
      <x:c r="K2871" s="2" t="str">
        <x:v>PARTNER-M108</x:v>
      </x:c>
    </x:row>
    <x:row r="2872" ht="46" customHeight="1">
      <x:c r="A2872" s="2" t="str">
        <x:v>TEN-0B570123A8C3</x:v>
      </x:c>
      <x:c r="B2872" s="12" t="str">
        <x:v>Commvault</x:v>
      </x:c>
      <x:c r="C2872" s="12" t="str">
        <x:v>CORP-0535</x:v>
      </x:c>
      <x:c r="D2872" s="12" t="str">
        <x:v>Bengaluru</x:v>
      </x:c>
      <x:c r="E2872" s="12" t="str">
        <x:v>Bagmane Tech Park</x:v>
      </x:c>
      <x:c r="F2872" s="12" t="str">
        <x:v>55 inch</x:v>
      </x:c>
      <x:c r="G2872" s="20" t="n">
        <x:v>1</x:v>
      </x:c>
      <x:c r="H2872" s="12" t="str">
        <x:v>Campus/portfolio roster; individual building occupancy unverified</x:v>
      </x:c>
      <x:c r="I2872" s="12" t="str">
        <x:v>Large enterprise</x:v>
      </x:c>
      <x:c r="J2872" s="12" t="str">
        <x:v>IT &amp; digital</x:v>
      </x:c>
      <x:c r="K2872" s="2" t="str">
        <x:v>PARTNER-M108</x:v>
      </x:c>
    </x:row>
    <x:row r="2873" ht="46" customHeight="1">
      <x:c r="A2873" s="2" t="str">
        <x:v>TEN-0C44BE9F7948</x:v>
      </x:c>
      <x:c r="B2873" s="12" t="str">
        <x:v>Motorola</x:v>
      </x:c>
      <x:c r="C2873" s="12" t="str">
        <x:v>CORP-0535</x:v>
      </x:c>
      <x:c r="D2873" s="12" t="str">
        <x:v>Bengaluru</x:v>
      </x:c>
      <x:c r="E2873" s="12" t="str">
        <x:v>Bagmane Tech Park</x:v>
      </x:c>
      <x:c r="F2873" s="12" t="str">
        <x:v>55 inch</x:v>
      </x:c>
      <x:c r="G2873" s="20" t="n">
        <x:v>1</x:v>
      </x:c>
      <x:c r="H2873" s="12" t="str">
        <x:v>Campus/portfolio roster; individual building occupancy unverified</x:v>
      </x:c>
      <x:c r="I2873" s="12" t="str">
        <x:v>Large enterprise</x:v>
      </x:c>
      <x:c r="J2873" s="12" t="str">
        <x:v>Engineering &amp; manufacturing</x:v>
      </x:c>
      <x:c r="K2873" s="2" t="str">
        <x:v>PARTNER-M108</x:v>
      </x:c>
    </x:row>
    <x:row r="2874" ht="46" customHeight="1">
      <x:c r="A2874" s="2" t="str">
        <x:v>TEN-16F45B99ABFD</x:v>
      </x:c>
      <x:c r="B2874" s="12" t="str">
        <x:v>Boeing</x:v>
      </x:c>
      <x:c r="C2874" s="12" t="str">
        <x:v>CORP-0535</x:v>
      </x:c>
      <x:c r="D2874" s="12" t="str">
        <x:v>Bengaluru</x:v>
      </x:c>
      <x:c r="E2874" s="12" t="str">
        <x:v>Bagmane Tech Park</x:v>
      </x:c>
      <x:c r="F2874" s="12" t="str">
        <x:v>55 inch</x:v>
      </x:c>
      <x:c r="G2874" s="20" t="n">
        <x:v>1</x:v>
      </x:c>
      <x:c r="H2874" s="12" t="str">
        <x:v>Campus/portfolio roster; individual building occupancy unverified</x:v>
      </x:c>
      <x:c r="I2874" s="12" t="str">
        <x:v>Large enterprise</x:v>
      </x:c>
      <x:c r="J2874" s="12" t="str">
        <x:v>Engineering &amp; manufacturing</x:v>
      </x:c>
      <x:c r="K2874" s="2" t="str">
        <x:v>PARTNER-M108</x:v>
      </x:c>
    </x:row>
    <x:row r="2875" ht="46" customHeight="1">
      <x:c r="A2875" s="2" t="str">
        <x:v>TEN-17840323EA59</x:v>
      </x:c>
      <x:c r="B2875" s="12" t="str">
        <x:v>Juniper</x:v>
      </x:c>
      <x:c r="C2875" s="12" t="str">
        <x:v>CORP-0535</x:v>
      </x:c>
      <x:c r="D2875" s="12" t="str">
        <x:v>Bengaluru</x:v>
      </x:c>
      <x:c r="E2875" s="12" t="str">
        <x:v>Bagmane Tech Park</x:v>
      </x:c>
      <x:c r="F2875" s="12" t="str">
        <x:v>55 inch</x:v>
      </x:c>
      <x:c r="G2875" s="20" t="n">
        <x:v>1</x:v>
      </x:c>
      <x:c r="H2875" s="12" t="str">
        <x:v>Campus/portfolio roster; individual building occupancy unverified</x:v>
      </x:c>
      <x:c r="I2875" s="12" t="str">
        <x:v>Mixed business audience</x:v>
      </x:c>
      <x:c r="J2875" s="12" t="str">
        <x:v>IT &amp; digital</x:v>
      </x:c>
      <x:c r="K2875" s="2" t="str">
        <x:v>PARTNER-M108</x:v>
      </x:c>
    </x:row>
    <x:row r="2876" ht="46" customHeight="1">
      <x:c r="A2876" s="2" t="str">
        <x:v>TEN-19A1211FA855</x:v>
      </x:c>
      <x:c r="B2876" s="12" t="str">
        <x:v>Altiostar</x:v>
      </x:c>
      <x:c r="C2876" s="12" t="str">
        <x:v>CORP-0535</x:v>
      </x:c>
      <x:c r="D2876" s="12" t="str">
        <x:v>Bengaluru</x:v>
      </x:c>
      <x:c r="E2876" s="12" t="str">
        <x:v>Bagmane Tech Park</x:v>
      </x:c>
      <x:c r="F2876" s="12" t="str">
        <x:v>55 inch</x:v>
      </x:c>
      <x:c r="G2876" s="20" t="n">
        <x:v>1</x:v>
      </x:c>
      <x:c r="H2876" s="12" t="str">
        <x:v>Campus/portfolio roster; individual building occupancy unverified</x:v>
      </x:c>
      <x:c r="I2876" s="12" t="str">
        <x:v>Mixed business audience</x:v>
      </x:c>
      <x:c r="J2876" s="12" t="str">
        <x:v>IT &amp; digital</x:v>
      </x:c>
      <x:c r="K2876" s="2" t="str">
        <x:v>PARTNER-M108</x:v>
      </x:c>
    </x:row>
    <x:row r="2877" ht="46" customHeight="1">
      <x:c r="A2877" s="2" t="str">
        <x:v>TEN-1B24400C96AA</x:v>
      </x:c>
      <x:c r="B2877" s="12" t="str">
        <x:v>Sima.ai</x:v>
      </x:c>
      <x:c r="C2877" s="12" t="str">
        <x:v>CORP-0535</x:v>
      </x:c>
      <x:c r="D2877" s="12" t="str">
        <x:v>Bengaluru</x:v>
      </x:c>
      <x:c r="E2877" s="12" t="str">
        <x:v>Bagmane Tech Park</x:v>
      </x:c>
      <x:c r="F2877" s="12" t="str">
        <x:v>55 inch</x:v>
      </x:c>
      <x:c r="G2877" s="20" t="n">
        <x:v>1</x:v>
      </x:c>
      <x:c r="H2877" s="12" t="str">
        <x:v>Campus/portfolio roster; individual building occupancy unverified</x:v>
      </x:c>
      <x:c r="I2877" s="12" t="str">
        <x:v>Small-scale prospects</x:v>
      </x:c>
      <x:c r="J2877" s="12" t="str">
        <x:v>IT &amp; digital</x:v>
      </x:c>
      <x:c r="K2877" s="2" t="str">
        <x:v>PARTNER-M108</x:v>
      </x:c>
    </x:row>
    <x:row r="2878" ht="46" customHeight="1">
      <x:c r="A2878" s="2" t="str">
        <x:v>TEN-2A09783B1C47</x:v>
      </x:c>
      <x:c r="B2878" s="12" t="str">
        <x:v>Cardinal</x:v>
      </x:c>
      <x:c r="C2878" s="12" t="str">
        <x:v>CORP-0535</x:v>
      </x:c>
      <x:c r="D2878" s="12" t="str">
        <x:v>Bengaluru</x:v>
      </x:c>
      <x:c r="E2878" s="12" t="str">
        <x:v>Bagmane Tech Park</x:v>
      </x:c>
      <x:c r="F2878" s="12" t="str">
        <x:v>55 inch</x:v>
      </x:c>
      <x:c r="G2878" s="20" t="n">
        <x:v>1</x:v>
      </x:c>
      <x:c r="H2878" s="12" t="str">
        <x:v>Campus/portfolio roster; individual building occupancy unverified</x:v>
      </x:c>
      <x:c r="I2878" s="12" t="str">
        <x:v>Mixed business audience</x:v>
      </x:c>
      <x:c r="J2878" s="12" t="str">
        <x:v>Unresolved</x:v>
      </x:c>
      <x:c r="K2878" s="2" t="str">
        <x:v>PARTNER-M108</x:v>
      </x:c>
    </x:row>
    <x:row r="2879" ht="46" customHeight="1">
      <x:c r="A2879" s="2" t="str">
        <x:v>TEN-31FF403A64D8</x:v>
      </x:c>
      <x:c r="B2879" s="12" t="str">
        <x:v>Informatica</x:v>
      </x:c>
      <x:c r="C2879" s="12" t="str">
        <x:v>CORP-0535</x:v>
      </x:c>
      <x:c r="D2879" s="12" t="str">
        <x:v>Bengaluru</x:v>
      </x:c>
      <x:c r="E2879" s="12" t="str">
        <x:v>Bagmane Tech Park</x:v>
      </x:c>
      <x:c r="F2879" s="12" t="str">
        <x:v>55 inch</x:v>
      </x:c>
      <x:c r="G2879" s="20" t="n">
        <x:v>1</x:v>
      </x:c>
      <x:c r="H2879" s="12" t="str">
        <x:v>Campus/portfolio roster; individual building occupancy unverified</x:v>
      </x:c>
      <x:c r="I2879" s="12" t="str">
        <x:v>Large enterprise</x:v>
      </x:c>
      <x:c r="J2879" s="12" t="str">
        <x:v>IT &amp; digital</x:v>
      </x:c>
      <x:c r="K2879" s="2" t="str">
        <x:v>PARTNER-M108</x:v>
      </x:c>
    </x:row>
    <x:row r="2880" ht="46" customHeight="1">
      <x:c r="A2880" s="2" t="str">
        <x:v>TEN-36E26473A4E8</x:v>
      </x:c>
      <x:c r="B2880" s="12" t="str">
        <x:v>Alstom</x:v>
      </x:c>
      <x:c r="C2880" s="12" t="str">
        <x:v>CORP-0535</x:v>
      </x:c>
      <x:c r="D2880" s="12" t="str">
        <x:v>Bengaluru</x:v>
      </x:c>
      <x:c r="E2880" s="12" t="str">
        <x:v>Bagmane Tech Park</x:v>
      </x:c>
      <x:c r="F2880" s="12" t="str">
        <x:v>55 inch</x:v>
      </x:c>
      <x:c r="G2880" s="20" t="n">
        <x:v>1</x:v>
      </x:c>
      <x:c r="H2880" s="12" t="str">
        <x:v>Campus/portfolio roster; individual building occupancy unverified</x:v>
      </x:c>
      <x:c r="I2880" s="12" t="str">
        <x:v>Large enterprise</x:v>
      </x:c>
      <x:c r="J2880" s="12" t="str">
        <x:v>Engineering &amp; manufacturing</x:v>
      </x:c>
      <x:c r="K2880" s="2" t="str">
        <x:v>PARTNER-M108</x:v>
      </x:c>
    </x:row>
    <x:row r="2881" ht="46" customHeight="1">
      <x:c r="A2881" s="2" t="str">
        <x:v>TEN-4957DCDAEE1C</x:v>
      </x:c>
      <x:c r="B2881" s="12" t="str">
        <x:v>Walker Chandok</x:v>
      </x:c>
      <x:c r="C2881" s="12" t="str">
        <x:v>CORP-0535</x:v>
      </x:c>
      <x:c r="D2881" s="12" t="str">
        <x:v>Bengaluru</x:v>
      </x:c>
      <x:c r="E2881" s="12" t="str">
        <x:v>Bagmane Tech Park</x:v>
      </x:c>
      <x:c r="F2881" s="12" t="str">
        <x:v>55 inch</x:v>
      </x:c>
      <x:c r="G2881" s="20" t="n">
        <x:v>1</x:v>
      </x:c>
      <x:c r="H2881" s="12" t="str">
        <x:v>Campus/portfolio roster; individual building occupancy unverified</x:v>
      </x:c>
      <x:c r="I2881" s="12" t="str">
        <x:v>Mixed business audience</x:v>
      </x:c>
      <x:c r="J2881" s="12" t="str">
        <x:v>Professional services</x:v>
      </x:c>
      <x:c r="K2881" s="2" t="str">
        <x:v>PARTNER-M108</x:v>
      </x:c>
    </x:row>
    <x:row r="2882" ht="46" customHeight="1">
      <x:c r="A2882" s="2" t="str">
        <x:v>TEN-4BCFB67D5370</x:v>
      </x:c>
      <x:c r="B2882" s="12" t="str">
        <x:v>Dover</x:v>
      </x:c>
      <x:c r="C2882" s="12" t="str">
        <x:v>CORP-0535</x:v>
      </x:c>
      <x:c r="D2882" s="12" t="str">
        <x:v>Bengaluru</x:v>
      </x:c>
      <x:c r="E2882" s="12" t="str">
        <x:v>Bagmane Tech Park</x:v>
      </x:c>
      <x:c r="F2882" s="12" t="str">
        <x:v>55 inch</x:v>
      </x:c>
      <x:c r="G2882" s="20" t="n">
        <x:v>1</x:v>
      </x:c>
      <x:c r="H2882" s="12" t="str">
        <x:v>Campus/portfolio roster; individual building occupancy unverified</x:v>
      </x:c>
      <x:c r="I2882" s="12" t="str">
        <x:v>Mixed business audience</x:v>
      </x:c>
      <x:c r="J2882" s="12" t="str">
        <x:v>Engineering &amp; manufacturing</x:v>
      </x:c>
      <x:c r="K2882" s="2" t="str">
        <x:v>PARTNER-M108</x:v>
      </x:c>
    </x:row>
    <x:row r="2883" ht="46" customHeight="1">
      <x:c r="A2883" s="2" t="str">
        <x:v>TEN-51BE3E92D716</x:v>
      </x:c>
      <x:c r="B2883" s="12" t="str">
        <x:v>Microfocus</x:v>
      </x:c>
      <x:c r="C2883" s="12" t="str">
        <x:v>CORP-0535</x:v>
      </x:c>
      <x:c r="D2883" s="12" t="str">
        <x:v>Bengaluru</x:v>
      </x:c>
      <x:c r="E2883" s="12" t="str">
        <x:v>Bagmane Tech Park</x:v>
      </x:c>
      <x:c r="F2883" s="12" t="str">
        <x:v>55 inch</x:v>
      </x:c>
      <x:c r="G2883" s="20" t="n">
        <x:v>1</x:v>
      </x:c>
      <x:c r="H2883" s="12" t="str">
        <x:v>Campus/portfolio roster; individual building occupancy unverified</x:v>
      </x:c>
      <x:c r="I2883" s="12" t="str">
        <x:v>Mixed business audience</x:v>
      </x:c>
      <x:c r="J2883" s="12" t="str">
        <x:v>IT &amp; digital</x:v>
      </x:c>
      <x:c r="K2883" s="2" t="str">
        <x:v>PARTNER-M108</x:v>
      </x:c>
    </x:row>
    <x:row r="2884" ht="46" customHeight="1">
      <x:c r="A2884" s="2" t="str">
        <x:v>TEN-55F83AF98CA9</x:v>
      </x:c>
      <x:c r="B2884" s="12" t="str">
        <x:v>cypress</x:v>
      </x:c>
      <x:c r="C2884" s="12" t="str">
        <x:v>CORP-0535</x:v>
      </x:c>
      <x:c r="D2884" s="12" t="str">
        <x:v>Bengaluru</x:v>
      </x:c>
      <x:c r="E2884" s="12" t="str">
        <x:v>Bagmane Tech Park</x:v>
      </x:c>
      <x:c r="F2884" s="12" t="str">
        <x:v>55 inch</x:v>
      </x:c>
      <x:c r="G2884" s="20" t="n">
        <x:v>1</x:v>
      </x:c>
      <x:c r="H2884" s="12" t="str">
        <x:v>Campus/portfolio roster; individual building occupancy unverified</x:v>
      </x:c>
      <x:c r="I2884" s="12" t="str">
        <x:v>Mixed business audience</x:v>
      </x:c>
      <x:c r="J2884" s="12" t="str">
        <x:v>Engineering &amp; manufacturing</x:v>
      </x:c>
      <x:c r="K2884" s="2" t="str">
        <x:v>PARTNER-M108</x:v>
      </x:c>
    </x:row>
    <x:row r="2885" ht="46" customHeight="1">
      <x:c r="A2885" s="2" t="str">
        <x:v>TEN-5DD95C98AFF2</x:v>
      </x:c>
      <x:c r="B2885" s="12" t="str">
        <x:v>Nike</x:v>
      </x:c>
      <x:c r="C2885" s="12" t="str">
        <x:v>CORP-0535</x:v>
      </x:c>
      <x:c r="D2885" s="12" t="str">
        <x:v>Bengaluru</x:v>
      </x:c>
      <x:c r="E2885" s="12" t="str">
        <x:v>Bagmane Tech Park</x:v>
      </x:c>
      <x:c r="F2885" s="12" t="str">
        <x:v>55 inch</x:v>
      </x:c>
      <x:c r="G2885" s="20" t="n">
        <x:v>1</x:v>
      </x:c>
      <x:c r="H2885" s="12" t="str">
        <x:v>Campus/portfolio roster; individual building occupancy unverified</x:v>
      </x:c>
      <x:c r="I2885" s="12" t="str">
        <x:v>Mixed business audience</x:v>
      </x:c>
      <x:c r="J2885" s="12" t="str">
        <x:v>Trade, consumer &amp; logistics</x:v>
      </x:c>
      <x:c r="K2885" s="2" t="str">
        <x:v>PARTNER-M108</x:v>
      </x:c>
    </x:row>
    <x:row r="2886" ht="46" customHeight="1">
      <x:c r="A2886" s="2" t="str">
        <x:v>TEN-60A539DE7BB0</x:v>
      </x:c>
      <x:c r="B2886" s="12" t="str">
        <x:v>Ivanti</x:v>
      </x:c>
      <x:c r="C2886" s="12" t="str">
        <x:v>CORP-0535</x:v>
      </x:c>
      <x:c r="D2886" s="12" t="str">
        <x:v>Bengaluru</x:v>
      </x:c>
      <x:c r="E2886" s="12" t="str">
        <x:v>Bagmane Tech Park</x:v>
      </x:c>
      <x:c r="F2886" s="12" t="str">
        <x:v>55 inch</x:v>
      </x:c>
      <x:c r="G2886" s="20" t="n">
        <x:v>1</x:v>
      </x:c>
      <x:c r="H2886" s="12" t="str">
        <x:v>Campus/portfolio roster; individual building occupancy unverified</x:v>
      </x:c>
      <x:c r="I2886" s="12" t="str">
        <x:v>Large enterprise</x:v>
      </x:c>
      <x:c r="J2886" s="12" t="str">
        <x:v>IT &amp; digital</x:v>
      </x:c>
      <x:c r="K2886" s="2" t="str">
        <x:v>PARTNER-M108</x:v>
      </x:c>
    </x:row>
    <x:row r="2887" ht="46" customHeight="1">
      <x:c r="A2887" s="2" t="str">
        <x:v>TEN-7AD6D135A07F</x:v>
      </x:c>
      <x:c r="B2887" s="12" t="str">
        <x:v>Texas Instrument</x:v>
      </x:c>
      <x:c r="C2887" s="12" t="str">
        <x:v>CORP-0535</x:v>
      </x:c>
      <x:c r="D2887" s="12" t="str">
        <x:v>Bengaluru</x:v>
      </x:c>
      <x:c r="E2887" s="12" t="str">
        <x:v>Bagmane Tech Park</x:v>
      </x:c>
      <x:c r="F2887" s="12" t="str">
        <x:v>55 inch</x:v>
      </x:c>
      <x:c r="G2887" s="20" t="n">
        <x:v>1</x:v>
      </x:c>
      <x:c r="H2887" s="12" t="str">
        <x:v>Campus/portfolio roster; individual building occupancy unverified</x:v>
      </x:c>
      <x:c r="I2887" s="12" t="str">
        <x:v>Mixed business audience</x:v>
      </x:c>
      <x:c r="J2887" s="12" t="str">
        <x:v>Engineering &amp; manufacturing</x:v>
      </x:c>
      <x:c r="K2887" s="2" t="str">
        <x:v>PARTNER-M108</x:v>
      </x:c>
    </x:row>
    <x:row r="2888" ht="46" customHeight="1">
      <x:c r="A2888" s="2" t="str">
        <x:v>TEN-7F1B55B86059</x:v>
      </x:c>
      <x:c r="B2888" s="12" t="str">
        <x:v>LAM</x:v>
      </x:c>
      <x:c r="C2888" s="12" t="str">
        <x:v>CORP-0535</x:v>
      </x:c>
      <x:c r="D2888" s="12" t="str">
        <x:v>Bengaluru</x:v>
      </x:c>
      <x:c r="E2888" s="12" t="str">
        <x:v>Bagmane Tech Park</x:v>
      </x:c>
      <x:c r="F2888" s="12" t="str">
        <x:v>55 inch</x:v>
      </x:c>
      <x:c r="G2888" s="20" t="n">
        <x:v>1</x:v>
      </x:c>
      <x:c r="H2888" s="12" t="str">
        <x:v>Campus/portfolio roster; individual building occupancy unverified</x:v>
      </x:c>
      <x:c r="I2888" s="12" t="str">
        <x:v>Mixed business audience</x:v>
      </x:c>
      <x:c r="J2888" s="12" t="str">
        <x:v>Engineering &amp; manufacturing</x:v>
      </x:c>
      <x:c r="K2888" s="2" t="str">
        <x:v>PARTNER-M108</x:v>
      </x:c>
    </x:row>
    <x:row r="2889" ht="46" customHeight="1">
      <x:c r="A2889" s="2" t="str">
        <x:v>TEN-8D1AE0ED034C</x:v>
      </x:c>
      <x:c r="B2889" s="12" t="str">
        <x:v>UKG</x:v>
      </x:c>
      <x:c r="C2889" s="12" t="str">
        <x:v>CORP-0535</x:v>
      </x:c>
      <x:c r="D2889" s="12" t="str">
        <x:v>Bengaluru</x:v>
      </x:c>
      <x:c r="E2889" s="12" t="str">
        <x:v>Bagmane Tech Park</x:v>
      </x:c>
      <x:c r="F2889" s="12" t="str">
        <x:v>55 inch</x:v>
      </x:c>
      <x:c r="G2889" s="20" t="n">
        <x:v>1</x:v>
      </x:c>
      <x:c r="H2889" s="12" t="str">
        <x:v>Campus/portfolio roster; individual building occupancy unverified</x:v>
      </x:c>
      <x:c r="I2889" s="12" t="str">
        <x:v>Mixed business audience</x:v>
      </x:c>
      <x:c r="J2889" s="12" t="str">
        <x:v>IT &amp; digital</x:v>
      </x:c>
      <x:c r="K2889" s="2" t="str">
        <x:v>PARTNER-M108</x:v>
      </x:c>
    </x:row>
    <x:row r="2890" ht="46" customHeight="1">
      <x:c r="A2890" s="2" t="str">
        <x:v>TEN-9387E476D00B</x:v>
      </x:c>
      <x:c r="B2890" s="12" t="str">
        <x:v>SAP concur</x:v>
      </x:c>
      <x:c r="C2890" s="12" t="str">
        <x:v>CORP-0535</x:v>
      </x:c>
      <x:c r="D2890" s="12" t="str">
        <x:v>Bengaluru</x:v>
      </x:c>
      <x:c r="E2890" s="12" t="str">
        <x:v>Bagmane Tech Park</x:v>
      </x:c>
      <x:c r="F2890" s="12" t="str">
        <x:v>55 inch</x:v>
      </x:c>
      <x:c r="G2890" s="20" t="n">
        <x:v>1</x:v>
      </x:c>
      <x:c r="H2890" s="12" t="str">
        <x:v>Campus/portfolio roster; individual building occupancy unverified</x:v>
      </x:c>
      <x:c r="I2890" s="12" t="str">
        <x:v>Large enterprise</x:v>
      </x:c>
      <x:c r="J2890" s="12" t="str">
        <x:v>IT &amp; digital</x:v>
      </x:c>
      <x:c r="K2890" s="2" t="str">
        <x:v>PARTNER-M108</x:v>
      </x:c>
    </x:row>
    <x:row r="2891" ht="46" customHeight="1">
      <x:c r="A2891" s="2" t="str">
        <x:v>TEN-98E929C33151</x:v>
      </x:c>
      <x:c r="B2891" s="12" t="str">
        <x:v>Renesas</x:v>
      </x:c>
      <x:c r="C2891" s="12" t="str">
        <x:v>CORP-0535</x:v>
      </x:c>
      <x:c r="D2891" s="12" t="str">
        <x:v>Bengaluru</x:v>
      </x:c>
      <x:c r="E2891" s="12" t="str">
        <x:v>Bagmane Tech Park</x:v>
      </x:c>
      <x:c r="F2891" s="12" t="str">
        <x:v>55 inch</x:v>
      </x:c>
      <x:c r="G2891" s="20" t="n">
        <x:v>1</x:v>
      </x:c>
      <x:c r="H2891" s="12" t="str">
        <x:v>Campus/portfolio roster; individual building occupancy unverified</x:v>
      </x:c>
      <x:c r="I2891" s="12" t="str">
        <x:v>Mixed business audience</x:v>
      </x:c>
      <x:c r="J2891" s="12" t="str">
        <x:v>Engineering &amp; manufacturing</x:v>
      </x:c>
      <x:c r="K2891" s="2" t="str">
        <x:v>PARTNER-M108</x:v>
      </x:c>
    </x:row>
    <x:row r="2892" ht="46" customHeight="1">
      <x:c r="A2892" s="2" t="str">
        <x:v>TEN-A973ADF51E6A</x:v>
      </x:c>
      <x:c r="B2892" s="12" t="str">
        <x:v>Talisma</x:v>
      </x:c>
      <x:c r="C2892" s="12" t="str">
        <x:v>CORP-0535</x:v>
      </x:c>
      <x:c r="D2892" s="12" t="str">
        <x:v>Bengaluru</x:v>
      </x:c>
      <x:c r="E2892" s="12" t="str">
        <x:v>Bagmane Tech Park</x:v>
      </x:c>
      <x:c r="F2892" s="12" t="str">
        <x:v>55 inch</x:v>
      </x:c>
      <x:c r="G2892" s="20" t="n">
        <x:v>1</x:v>
      </x:c>
      <x:c r="H2892" s="12" t="str">
        <x:v>Campus/portfolio roster; individual building occupancy unverified</x:v>
      </x:c>
      <x:c r="I2892" s="12" t="str">
        <x:v>Mixed business audience</x:v>
      </x:c>
      <x:c r="J2892" s="12" t="str">
        <x:v>IT &amp; digital</x:v>
      </x:c>
      <x:c r="K2892" s="2" t="str">
        <x:v>PARTNER-M108</x:v>
      </x:c>
    </x:row>
    <x:row r="2893" ht="46" customHeight="1">
      <x:c r="A2893" s="2" t="str">
        <x:v>TEN-AEF34FE789D8</x:v>
      </x:c>
      <x:c r="B2893" s="12" t="str">
        <x:v>Pal Alto</x:v>
      </x:c>
      <x:c r="C2893" s="12" t="str">
        <x:v>CORP-0535</x:v>
      </x:c>
      <x:c r="D2893" s="12" t="str">
        <x:v>Bengaluru</x:v>
      </x:c>
      <x:c r="E2893" s="12" t="str">
        <x:v>Bagmane Tech Park</x:v>
      </x:c>
      <x:c r="F2893" s="12" t="str">
        <x:v>55 inch</x:v>
      </x:c>
      <x:c r="G2893" s="20" t="n">
        <x:v>1</x:v>
      </x:c>
      <x:c r="H2893" s="12" t="str">
        <x:v>Campus/portfolio roster; individual building occupancy unverified</x:v>
      </x:c>
      <x:c r="I2893" s="12" t="str">
        <x:v>Mixed business audience</x:v>
      </x:c>
      <x:c r="J2893" s="12" t="str">
        <x:v>Unresolved</x:v>
      </x:c>
      <x:c r="K2893" s="2" t="str">
        <x:v>PARTNER-M108</x:v>
      </x:c>
    </x:row>
    <x:row r="2894" ht="46" customHeight="1">
      <x:c r="A2894" s="2" t="str">
        <x:v>TEN-B1331F460EB4</x:v>
      </x:c>
      <x:c r="B2894" s="12" t="str">
        <x:v>CEM</x:v>
      </x:c>
      <x:c r="C2894" s="12" t="str">
        <x:v>CORP-0535</x:v>
      </x:c>
      <x:c r="D2894" s="12" t="str">
        <x:v>Bengaluru</x:v>
      </x:c>
      <x:c r="E2894" s="12" t="str">
        <x:v>Bagmane Tech Park</x:v>
      </x:c>
      <x:c r="F2894" s="12" t="str">
        <x:v>55 inch</x:v>
      </x:c>
      <x:c r="G2894" s="20" t="n">
        <x:v>1</x:v>
      </x:c>
      <x:c r="H2894" s="12" t="str">
        <x:v>Campus/portfolio roster; individual building occupancy unverified</x:v>
      </x:c>
      <x:c r="I2894" s="12" t="str">
        <x:v>Mixed business audience</x:v>
      </x:c>
      <x:c r="J2894" s="12" t="str">
        <x:v>Unresolved</x:v>
      </x:c>
      <x:c r="K2894" s="2" t="str">
        <x:v>PARTNER-M108</x:v>
      </x:c>
    </x:row>
    <x:row r="2895" ht="46" customHeight="1">
      <x:c r="A2895" s="2" t="str">
        <x:v>TEN-BCCAE4CE7BE6</x:v>
      </x:c>
      <x:c r="B2895" s="12" t="str">
        <x:v>Volvo</x:v>
      </x:c>
      <x:c r="C2895" s="12" t="str">
        <x:v>CORP-0535</x:v>
      </x:c>
      <x:c r="D2895" s="12" t="str">
        <x:v>Bengaluru</x:v>
      </x:c>
      <x:c r="E2895" s="12" t="str">
        <x:v>Bagmane Tech Park</x:v>
      </x:c>
      <x:c r="F2895" s="12" t="str">
        <x:v>55 inch</x:v>
      </x:c>
      <x:c r="G2895" s="20" t="n">
        <x:v>1</x:v>
      </x:c>
      <x:c r="H2895" s="12" t="str">
        <x:v>Campus/portfolio roster; individual building occupancy unverified</x:v>
      </x:c>
      <x:c r="I2895" s="12" t="str">
        <x:v>Mixed business audience</x:v>
      </x:c>
      <x:c r="J2895" s="12" t="str">
        <x:v>Engineering &amp; manufacturing</x:v>
      </x:c>
      <x:c r="K2895" s="2" t="str">
        <x:v>PARTNER-M108</x:v>
      </x:c>
    </x:row>
    <x:row r="2896" ht="46" customHeight="1">
      <x:c r="A2896" s="2" t="str">
        <x:v>TEN-C2ECB55DC1D4</x:v>
      </x:c>
      <x:c r="B2896" s="12" t="str">
        <x:v>ROHM</x:v>
      </x:c>
      <x:c r="C2896" s="12" t="str">
        <x:v>CORP-0535</x:v>
      </x:c>
      <x:c r="D2896" s="12" t="str">
        <x:v>Bengaluru</x:v>
      </x:c>
      <x:c r="E2896" s="12" t="str">
        <x:v>Bagmane Tech Park</x:v>
      </x:c>
      <x:c r="F2896" s="12" t="str">
        <x:v>55 inch</x:v>
      </x:c>
      <x:c r="G2896" s="20" t="n">
        <x:v>1</x:v>
      </x:c>
      <x:c r="H2896" s="12" t="str">
        <x:v>Campus/portfolio roster; individual building occupancy unverified</x:v>
      </x:c>
      <x:c r="I2896" s="12" t="str">
        <x:v>Mixed business audience</x:v>
      </x:c>
      <x:c r="J2896" s="12" t="str">
        <x:v>Engineering &amp; manufacturing</x:v>
      </x:c>
      <x:c r="K2896" s="2" t="str">
        <x:v>PARTNER-M108</x:v>
      </x:c>
    </x:row>
    <x:row r="2897" ht="46" customHeight="1">
      <x:c r="A2897" s="2" t="str">
        <x:v>TEN-C63AC00C4D11</x:v>
      </x:c>
      <x:c r="B2897" s="12" t="str">
        <x:v>Mphasis</x:v>
      </x:c>
      <x:c r="C2897" s="12" t="str">
        <x:v>CORP-0535</x:v>
      </x:c>
      <x:c r="D2897" s="12" t="str">
        <x:v>Bengaluru</x:v>
      </x:c>
      <x:c r="E2897" s="12" t="str">
        <x:v>Bagmane Tech Park</x:v>
      </x:c>
      <x:c r="F2897" s="12" t="str">
        <x:v>55 inch</x:v>
      </x:c>
      <x:c r="G2897" s="20" t="n">
        <x:v>1</x:v>
      </x:c>
      <x:c r="H2897" s="12" t="str">
        <x:v>Campus/portfolio roster; individual building occupancy unverified</x:v>
      </x:c>
      <x:c r="I2897" s="12" t="str">
        <x:v>Large enterprise</x:v>
      </x:c>
      <x:c r="J2897" s="12" t="str">
        <x:v>IT &amp; digital</x:v>
      </x:c>
      <x:c r="K2897" s="2" t="str">
        <x:v>PARTNER-M108</x:v>
      </x:c>
    </x:row>
    <x:row r="2898" ht="46" customHeight="1">
      <x:c r="A2898" s="2" t="str">
        <x:v>TEN-C97CE19B9C35</x:v>
      </x:c>
      <x:c r="B2898" s="12" t="str">
        <x:v>PricewaterhouseCoopers</x:v>
      </x:c>
      <x:c r="C2898" s="12" t="str">
        <x:v>CORP-0535</x:v>
      </x:c>
      <x:c r="D2898" s="12" t="str">
        <x:v>Bengaluru</x:v>
      </x:c>
      <x:c r="E2898" s="12" t="str">
        <x:v>Bagmane Tech Park</x:v>
      </x:c>
      <x:c r="F2898" s="12" t="str">
        <x:v>55 inch</x:v>
      </x:c>
      <x:c r="G2898" s="20" t="n">
        <x:v>1</x:v>
      </x:c>
      <x:c r="H2898" s="12" t="str">
        <x:v>Campus/portfolio roster; individual building occupancy unverified</x:v>
      </x:c>
      <x:c r="I2898" s="12" t="str">
        <x:v>Large enterprise</x:v>
      </x:c>
      <x:c r="J2898" s="12" t="str">
        <x:v>Professional services</x:v>
      </x:c>
      <x:c r="K2898" s="2" t="str">
        <x:v>PARTNER-M108</x:v>
      </x:c>
    </x:row>
    <x:row r="2899" ht="46" customHeight="1">
      <x:c r="A2899" s="2" t="str">
        <x:v>TEN-D0E2ECE166BD</x:v>
      </x:c>
      <x:c r="B2899" s="12" t="str">
        <x:v>Dell</x:v>
      </x:c>
      <x:c r="C2899" s="12" t="str">
        <x:v>CORP-0535</x:v>
      </x:c>
      <x:c r="D2899" s="12" t="str">
        <x:v>Bengaluru</x:v>
      </x:c>
      <x:c r="E2899" s="12" t="str">
        <x:v>Bagmane Tech Park</x:v>
      </x:c>
      <x:c r="F2899" s="12" t="str">
        <x:v>55 inch</x:v>
      </x:c>
      <x:c r="G2899" s="20" t="n">
        <x:v>1</x:v>
      </x:c>
      <x:c r="H2899" s="12" t="str">
        <x:v>Campus/portfolio roster; individual building occupancy unverified</x:v>
      </x:c>
      <x:c r="I2899" s="12" t="str">
        <x:v>Large enterprise</x:v>
      </x:c>
      <x:c r="J2899" s="12" t="str">
        <x:v>Engineering &amp; manufacturing</x:v>
      </x:c>
      <x:c r="K2899" s="2" t="str">
        <x:v>PARTNER-M108</x:v>
      </x:c>
    </x:row>
    <x:row r="2900" ht="46" customHeight="1">
      <x:c r="A2900" s="2" t="str">
        <x:v>TEN-E305C1EB5FCE</x:v>
      </x:c>
      <x:c r="B2900" s="12" t="str">
        <x:v>ALUK</x:v>
      </x:c>
      <x:c r="C2900" s="12" t="str">
        <x:v>CORP-0535</x:v>
      </x:c>
      <x:c r="D2900" s="12" t="str">
        <x:v>Bengaluru</x:v>
      </x:c>
      <x:c r="E2900" s="12" t="str">
        <x:v>Bagmane Tech Park</x:v>
      </x:c>
      <x:c r="F2900" s="12" t="str">
        <x:v>55 inch</x:v>
      </x:c>
      <x:c r="G2900" s="20" t="n">
        <x:v>1</x:v>
      </x:c>
      <x:c r="H2900" s="12" t="str">
        <x:v>Campus/portfolio roster; individual building occupancy unverified</x:v>
      </x:c>
      <x:c r="I2900" s="12" t="str">
        <x:v>Medium-scale prospects</x:v>
      </x:c>
      <x:c r="J2900" s="12" t="str">
        <x:v>Engineering &amp; manufacturing</x:v>
      </x:c>
      <x:c r="K2900" s="2" t="str">
        <x:v>PARTNER-M108</x:v>
      </x:c>
    </x:row>
    <x:row r="2901" ht="46" customHeight="1">
      <x:c r="A2901" s="2" t="str">
        <x:v>TEN-E5E23A26CD36</x:v>
      </x:c>
      <x:c r="B2901" s="12" t="str">
        <x:v>Grant Thornton</x:v>
      </x:c>
      <x:c r="C2901" s="12" t="str">
        <x:v>CORP-0535</x:v>
      </x:c>
      <x:c r="D2901" s="12" t="str">
        <x:v>Bengaluru</x:v>
      </x:c>
      <x:c r="E2901" s="12" t="str">
        <x:v>Bagmane Tech Park</x:v>
      </x:c>
      <x:c r="F2901" s="12" t="str">
        <x:v>55 inch</x:v>
      </x:c>
      <x:c r="G2901" s="20" t="n">
        <x:v>1</x:v>
      </x:c>
      <x:c r="H2901" s="12" t="str">
        <x:v>Campus/portfolio roster; individual building occupancy unverified</x:v>
      </x:c>
      <x:c r="I2901" s="12" t="str">
        <x:v>Large enterprise</x:v>
      </x:c>
      <x:c r="J2901" s="12" t="str">
        <x:v>Professional services</x:v>
      </x:c>
      <x:c r="K2901" s="2" t="str">
        <x:v>PARTNER-M108</x:v>
      </x:c>
    </x:row>
    <x:row r="2902" ht="46" customHeight="1">
      <x:c r="A2902" s="2" t="str">
        <x:v>TEN-E73B79A0B10F</x:v>
      </x:c>
      <x:c r="B2902" s="12" t="str">
        <x:v>Cisco</x:v>
      </x:c>
      <x:c r="C2902" s="12" t="str">
        <x:v>CORP-0535</x:v>
      </x:c>
      <x:c r="D2902" s="12" t="str">
        <x:v>Bengaluru</x:v>
      </x:c>
      <x:c r="E2902" s="12" t="str">
        <x:v>Bagmane Tech Park</x:v>
      </x:c>
      <x:c r="F2902" s="12" t="str">
        <x:v>55 inch</x:v>
      </x:c>
      <x:c r="G2902" s="20" t="n">
        <x:v>1</x:v>
      </x:c>
      <x:c r="H2902" s="12" t="str">
        <x:v>Campus/portfolio roster; individual building occupancy unverified</x:v>
      </x:c>
      <x:c r="I2902" s="12" t="str">
        <x:v>Large enterprise</x:v>
      </x:c>
      <x:c r="J2902" s="12" t="str">
        <x:v>IT &amp; digital</x:v>
      </x:c>
      <x:c r="K2902" s="2" t="str">
        <x:v>PARTNER-M108</x:v>
      </x:c>
    </x:row>
    <x:row r="2903" ht="46" customHeight="1">
      <x:c r="A2903" s="2" t="str">
        <x:v>TEN-F49D19F21FE1</x:v>
      </x:c>
      <x:c r="B2903" s="12" t="str">
        <x:v>L3 Communication</x:v>
      </x:c>
      <x:c r="C2903" s="12" t="str">
        <x:v>CORP-0535</x:v>
      </x:c>
      <x:c r="D2903" s="12" t="str">
        <x:v>Bengaluru</x:v>
      </x:c>
      <x:c r="E2903" s="12" t="str">
        <x:v>Bagmane Tech Park</x:v>
      </x:c>
      <x:c r="F2903" s="12" t="str">
        <x:v>55 inch</x:v>
      </x:c>
      <x:c r="G2903" s="20" t="n">
        <x:v>1</x:v>
      </x:c>
      <x:c r="H2903" s="12" t="str">
        <x:v>Campus/portfolio roster; individual building occupancy unverified</x:v>
      </x:c>
      <x:c r="I2903" s="12" t="str">
        <x:v>Mixed business audience</x:v>
      </x:c>
      <x:c r="J2903" s="12" t="str">
        <x:v>IT &amp; digital</x:v>
      </x:c>
      <x:c r="K2903" s="2" t="str">
        <x:v>PARTNER-M108</x:v>
      </x:c>
    </x:row>
    <x:row r="2904" ht="46" customHeight="1">
      <x:c r="A2904" s="2" t="str">
        <x:v>TEN-FEED58DAA315</x:v>
      </x:c>
      <x:c r="B2904" s="12" t="str">
        <x:v>Infineon</x:v>
      </x:c>
      <x:c r="C2904" s="12" t="str">
        <x:v>CORP-0535</x:v>
      </x:c>
      <x:c r="D2904" s="12" t="str">
        <x:v>Bengaluru</x:v>
      </x:c>
      <x:c r="E2904" s="12" t="str">
        <x:v>Bagmane Tech Park</x:v>
      </x:c>
      <x:c r="F2904" s="12" t="str">
        <x:v>55 inch</x:v>
      </x:c>
      <x:c r="G2904" s="20" t="n">
        <x:v>1</x:v>
      </x:c>
      <x:c r="H2904" s="12" t="str">
        <x:v>Campus/portfolio roster; individual building occupancy unverified</x:v>
      </x:c>
      <x:c r="I2904" s="12" t="str">
        <x:v>Large enterprise</x:v>
      </x:c>
      <x:c r="J2904" s="12" t="str">
        <x:v>Engineering &amp; manufacturing</x:v>
      </x:c>
      <x:c r="K2904" s="2" t="str">
        <x:v>PARTNER-M108</x:v>
      </x:c>
    </x:row>
    <x:row r="2905" ht="46" customHeight="1">
      <x:c r="A2905" s="2" t="str">
        <x:v>TEN-05A498EFD197</x:v>
      </x:c>
      <x:c r="B2905" s="12" t="str">
        <x:v>Kronos</x:v>
      </x:c>
      <x:c r="C2905" s="12" t="str">
        <x:v>CORP-0536</x:v>
      </x:c>
      <x:c r="D2905" s="12" t="str">
        <x:v>Bengaluru</x:v>
      </x:c>
      <x:c r="E2905" s="12" t="str">
        <x:v>Bagmane Tech Park</x:v>
      </x:c>
      <x:c r="F2905" s="12" t="str">
        <x:v>55 inch</x:v>
      </x:c>
      <x:c r="G2905" s="20" t="n">
        <x:v>1</x:v>
      </x:c>
      <x:c r="H2905" s="12" t="str">
        <x:v>Campus/portfolio roster; individual building occupancy unverified</x:v>
      </x:c>
      <x:c r="I2905" s="12" t="str">
        <x:v>Mixed business audience</x:v>
      </x:c>
      <x:c r="J2905" s="12" t="str">
        <x:v>IT &amp; digital</x:v>
      </x:c>
      <x:c r="K2905" s="2" t="str">
        <x:v>PARTNER-M108</x:v>
      </x:c>
    </x:row>
    <x:row r="2906" ht="46" customHeight="1">
      <x:c r="A2906" s="2" t="str">
        <x:v>TEN-0B570123A8C3</x:v>
      </x:c>
      <x:c r="B2906" s="12" t="str">
        <x:v>Commvault</x:v>
      </x:c>
      <x:c r="C2906" s="12" t="str">
        <x:v>CORP-0536</x:v>
      </x:c>
      <x:c r="D2906" s="12" t="str">
        <x:v>Bengaluru</x:v>
      </x:c>
      <x:c r="E2906" s="12" t="str">
        <x:v>Bagmane Tech Park</x:v>
      </x:c>
      <x:c r="F2906" s="12" t="str">
        <x:v>55 inch</x:v>
      </x:c>
      <x:c r="G2906" s="20" t="n">
        <x:v>1</x:v>
      </x:c>
      <x:c r="H2906" s="12" t="str">
        <x:v>Campus/portfolio roster; individual building occupancy unverified</x:v>
      </x:c>
      <x:c r="I2906" s="12" t="str">
        <x:v>Large enterprise</x:v>
      </x:c>
      <x:c r="J2906" s="12" t="str">
        <x:v>IT &amp; digital</x:v>
      </x:c>
      <x:c r="K2906" s="2" t="str">
        <x:v>PARTNER-M108</x:v>
      </x:c>
    </x:row>
    <x:row r="2907" ht="46" customHeight="1">
      <x:c r="A2907" s="2" t="str">
        <x:v>TEN-0C44BE9F7948</x:v>
      </x:c>
      <x:c r="B2907" s="12" t="str">
        <x:v>Motorola</x:v>
      </x:c>
      <x:c r="C2907" s="12" t="str">
        <x:v>CORP-0536</x:v>
      </x:c>
      <x:c r="D2907" s="12" t="str">
        <x:v>Bengaluru</x:v>
      </x:c>
      <x:c r="E2907" s="12" t="str">
        <x:v>Bagmane Tech Park</x:v>
      </x:c>
      <x:c r="F2907" s="12" t="str">
        <x:v>55 inch</x:v>
      </x:c>
      <x:c r="G2907" s="20" t="n">
        <x:v>1</x:v>
      </x:c>
      <x:c r="H2907" s="12" t="str">
        <x:v>Campus/portfolio roster; individual building occupancy unverified</x:v>
      </x:c>
      <x:c r="I2907" s="12" t="str">
        <x:v>Large enterprise</x:v>
      </x:c>
      <x:c r="J2907" s="12" t="str">
        <x:v>Engineering &amp; manufacturing</x:v>
      </x:c>
      <x:c r="K2907" s="2" t="str">
        <x:v>PARTNER-M108</x:v>
      </x:c>
    </x:row>
    <x:row r="2908" ht="46" customHeight="1">
      <x:c r="A2908" s="2" t="str">
        <x:v>TEN-16F45B99ABFD</x:v>
      </x:c>
      <x:c r="B2908" s="12" t="str">
        <x:v>Boeing</x:v>
      </x:c>
      <x:c r="C2908" s="12" t="str">
        <x:v>CORP-0536</x:v>
      </x:c>
      <x:c r="D2908" s="12" t="str">
        <x:v>Bengaluru</x:v>
      </x:c>
      <x:c r="E2908" s="12" t="str">
        <x:v>Bagmane Tech Park</x:v>
      </x:c>
      <x:c r="F2908" s="12" t="str">
        <x:v>55 inch</x:v>
      </x:c>
      <x:c r="G2908" s="20" t="n">
        <x:v>1</x:v>
      </x:c>
      <x:c r="H2908" s="12" t="str">
        <x:v>Campus/portfolio roster; individual building occupancy unverified</x:v>
      </x:c>
      <x:c r="I2908" s="12" t="str">
        <x:v>Large enterprise</x:v>
      </x:c>
      <x:c r="J2908" s="12" t="str">
        <x:v>Engineering &amp; manufacturing</x:v>
      </x:c>
      <x:c r="K2908" s="2" t="str">
        <x:v>PARTNER-M108</x:v>
      </x:c>
    </x:row>
    <x:row r="2909" ht="46" customHeight="1">
      <x:c r="A2909" s="2" t="str">
        <x:v>TEN-17840323EA59</x:v>
      </x:c>
      <x:c r="B2909" s="12" t="str">
        <x:v>Juniper</x:v>
      </x:c>
      <x:c r="C2909" s="12" t="str">
        <x:v>CORP-0536</x:v>
      </x:c>
      <x:c r="D2909" s="12" t="str">
        <x:v>Bengaluru</x:v>
      </x:c>
      <x:c r="E2909" s="12" t="str">
        <x:v>Bagmane Tech Park</x:v>
      </x:c>
      <x:c r="F2909" s="12" t="str">
        <x:v>55 inch</x:v>
      </x:c>
      <x:c r="G2909" s="20" t="n">
        <x:v>1</x:v>
      </x:c>
      <x:c r="H2909" s="12" t="str">
        <x:v>Campus/portfolio roster; individual building occupancy unverified</x:v>
      </x:c>
      <x:c r="I2909" s="12" t="str">
        <x:v>Mixed business audience</x:v>
      </x:c>
      <x:c r="J2909" s="12" t="str">
        <x:v>IT &amp; digital</x:v>
      </x:c>
      <x:c r="K2909" s="2" t="str">
        <x:v>PARTNER-M108</x:v>
      </x:c>
    </x:row>
    <x:row r="2910" ht="46" customHeight="1">
      <x:c r="A2910" s="2" t="str">
        <x:v>TEN-19A1211FA855</x:v>
      </x:c>
      <x:c r="B2910" s="12" t="str">
        <x:v>Altiostar</x:v>
      </x:c>
      <x:c r="C2910" s="12" t="str">
        <x:v>CORP-0536</x:v>
      </x:c>
      <x:c r="D2910" s="12" t="str">
        <x:v>Bengaluru</x:v>
      </x:c>
      <x:c r="E2910" s="12" t="str">
        <x:v>Bagmane Tech Park</x:v>
      </x:c>
      <x:c r="F2910" s="12" t="str">
        <x:v>55 inch</x:v>
      </x:c>
      <x:c r="G2910" s="20" t="n">
        <x:v>1</x:v>
      </x:c>
      <x:c r="H2910" s="12" t="str">
        <x:v>Campus/portfolio roster; individual building occupancy unverified</x:v>
      </x:c>
      <x:c r="I2910" s="12" t="str">
        <x:v>Mixed business audience</x:v>
      </x:c>
      <x:c r="J2910" s="12" t="str">
        <x:v>IT &amp; digital</x:v>
      </x:c>
      <x:c r="K2910" s="2" t="str">
        <x:v>PARTNER-M108</x:v>
      </x:c>
    </x:row>
    <x:row r="2911" ht="46" customHeight="1">
      <x:c r="A2911" s="2" t="str">
        <x:v>TEN-1B24400C96AA</x:v>
      </x:c>
      <x:c r="B2911" s="12" t="str">
        <x:v>Sima.ai</x:v>
      </x:c>
      <x:c r="C2911" s="12" t="str">
        <x:v>CORP-0536</x:v>
      </x:c>
      <x:c r="D2911" s="12" t="str">
        <x:v>Bengaluru</x:v>
      </x:c>
      <x:c r="E2911" s="12" t="str">
        <x:v>Bagmane Tech Park</x:v>
      </x:c>
      <x:c r="F2911" s="12" t="str">
        <x:v>55 inch</x:v>
      </x:c>
      <x:c r="G2911" s="20" t="n">
        <x:v>1</x:v>
      </x:c>
      <x:c r="H2911" s="12" t="str">
        <x:v>Campus/portfolio roster; individual building occupancy unverified</x:v>
      </x:c>
      <x:c r="I2911" s="12" t="str">
        <x:v>Small-scale prospects</x:v>
      </x:c>
      <x:c r="J2911" s="12" t="str">
        <x:v>IT &amp; digital</x:v>
      </x:c>
      <x:c r="K2911" s="2" t="str">
        <x:v>PARTNER-M108</x:v>
      </x:c>
    </x:row>
    <x:row r="2912" ht="46" customHeight="1">
      <x:c r="A2912" s="2" t="str">
        <x:v>TEN-2A09783B1C47</x:v>
      </x:c>
      <x:c r="B2912" s="12" t="str">
        <x:v>Cardinal</x:v>
      </x:c>
      <x:c r="C2912" s="12" t="str">
        <x:v>CORP-0536</x:v>
      </x:c>
      <x:c r="D2912" s="12" t="str">
        <x:v>Bengaluru</x:v>
      </x:c>
      <x:c r="E2912" s="12" t="str">
        <x:v>Bagmane Tech Park</x:v>
      </x:c>
      <x:c r="F2912" s="12" t="str">
        <x:v>55 inch</x:v>
      </x:c>
      <x:c r="G2912" s="20" t="n">
        <x:v>1</x:v>
      </x:c>
      <x:c r="H2912" s="12" t="str">
        <x:v>Campus/portfolio roster; individual building occupancy unverified</x:v>
      </x:c>
      <x:c r="I2912" s="12" t="str">
        <x:v>Mixed business audience</x:v>
      </x:c>
      <x:c r="J2912" s="12" t="str">
        <x:v>Unresolved</x:v>
      </x:c>
      <x:c r="K2912" s="2" t="str">
        <x:v>PARTNER-M108</x:v>
      </x:c>
    </x:row>
    <x:row r="2913" ht="46" customHeight="1">
      <x:c r="A2913" s="2" t="str">
        <x:v>TEN-31FF403A64D8</x:v>
      </x:c>
      <x:c r="B2913" s="12" t="str">
        <x:v>Informatica</x:v>
      </x:c>
      <x:c r="C2913" s="12" t="str">
        <x:v>CORP-0536</x:v>
      </x:c>
      <x:c r="D2913" s="12" t="str">
        <x:v>Bengaluru</x:v>
      </x:c>
      <x:c r="E2913" s="12" t="str">
        <x:v>Bagmane Tech Park</x:v>
      </x:c>
      <x:c r="F2913" s="12" t="str">
        <x:v>55 inch</x:v>
      </x:c>
      <x:c r="G2913" s="20" t="n">
        <x:v>1</x:v>
      </x:c>
      <x:c r="H2913" s="12" t="str">
        <x:v>Campus/portfolio roster; individual building occupancy unverified</x:v>
      </x:c>
      <x:c r="I2913" s="12" t="str">
        <x:v>Large enterprise</x:v>
      </x:c>
      <x:c r="J2913" s="12" t="str">
        <x:v>IT &amp; digital</x:v>
      </x:c>
      <x:c r="K2913" s="2" t="str">
        <x:v>PARTNER-M108</x:v>
      </x:c>
    </x:row>
    <x:row r="2914" ht="46" customHeight="1">
      <x:c r="A2914" s="2" t="str">
        <x:v>TEN-36E26473A4E8</x:v>
      </x:c>
      <x:c r="B2914" s="12" t="str">
        <x:v>Alstom</x:v>
      </x:c>
      <x:c r="C2914" s="12" t="str">
        <x:v>CORP-0536</x:v>
      </x:c>
      <x:c r="D2914" s="12" t="str">
        <x:v>Bengaluru</x:v>
      </x:c>
      <x:c r="E2914" s="12" t="str">
        <x:v>Bagmane Tech Park</x:v>
      </x:c>
      <x:c r="F2914" s="12" t="str">
        <x:v>55 inch</x:v>
      </x:c>
      <x:c r="G2914" s="20" t="n">
        <x:v>1</x:v>
      </x:c>
      <x:c r="H2914" s="12" t="str">
        <x:v>Campus/portfolio roster; individual building occupancy unverified</x:v>
      </x:c>
      <x:c r="I2914" s="12" t="str">
        <x:v>Large enterprise</x:v>
      </x:c>
      <x:c r="J2914" s="12" t="str">
        <x:v>Engineering &amp; manufacturing</x:v>
      </x:c>
      <x:c r="K2914" s="2" t="str">
        <x:v>PARTNER-M108</x:v>
      </x:c>
    </x:row>
    <x:row r="2915" ht="46" customHeight="1">
      <x:c r="A2915" s="2" t="str">
        <x:v>TEN-4957DCDAEE1C</x:v>
      </x:c>
      <x:c r="B2915" s="12" t="str">
        <x:v>Walker Chandok</x:v>
      </x:c>
      <x:c r="C2915" s="12" t="str">
        <x:v>CORP-0536</x:v>
      </x:c>
      <x:c r="D2915" s="12" t="str">
        <x:v>Bengaluru</x:v>
      </x:c>
      <x:c r="E2915" s="12" t="str">
        <x:v>Bagmane Tech Park</x:v>
      </x:c>
      <x:c r="F2915" s="12" t="str">
        <x:v>55 inch</x:v>
      </x:c>
      <x:c r="G2915" s="20" t="n">
        <x:v>1</x:v>
      </x:c>
      <x:c r="H2915" s="12" t="str">
        <x:v>Campus/portfolio roster; individual building occupancy unverified</x:v>
      </x:c>
      <x:c r="I2915" s="12" t="str">
        <x:v>Mixed business audience</x:v>
      </x:c>
      <x:c r="J2915" s="12" t="str">
        <x:v>Professional services</x:v>
      </x:c>
      <x:c r="K2915" s="2" t="str">
        <x:v>PARTNER-M108</x:v>
      </x:c>
    </x:row>
    <x:row r="2916" ht="46" customHeight="1">
      <x:c r="A2916" s="2" t="str">
        <x:v>TEN-4BCFB67D5370</x:v>
      </x:c>
      <x:c r="B2916" s="12" t="str">
        <x:v>Dover</x:v>
      </x:c>
      <x:c r="C2916" s="12" t="str">
        <x:v>CORP-0536</x:v>
      </x:c>
      <x:c r="D2916" s="12" t="str">
        <x:v>Bengaluru</x:v>
      </x:c>
      <x:c r="E2916" s="12" t="str">
        <x:v>Bagmane Tech Park</x:v>
      </x:c>
      <x:c r="F2916" s="12" t="str">
        <x:v>55 inch</x:v>
      </x:c>
      <x:c r="G2916" s="20" t="n">
        <x:v>1</x:v>
      </x:c>
      <x:c r="H2916" s="12" t="str">
        <x:v>Campus/portfolio roster; individual building occupancy unverified</x:v>
      </x:c>
      <x:c r="I2916" s="12" t="str">
        <x:v>Mixed business audience</x:v>
      </x:c>
      <x:c r="J2916" s="12" t="str">
        <x:v>Engineering &amp; manufacturing</x:v>
      </x:c>
      <x:c r="K2916" s="2" t="str">
        <x:v>PARTNER-M108</x:v>
      </x:c>
    </x:row>
    <x:row r="2917" ht="46" customHeight="1">
      <x:c r="A2917" s="2" t="str">
        <x:v>TEN-51BE3E92D716</x:v>
      </x:c>
      <x:c r="B2917" s="12" t="str">
        <x:v>Microfocus</x:v>
      </x:c>
      <x:c r="C2917" s="12" t="str">
        <x:v>CORP-0536</x:v>
      </x:c>
      <x:c r="D2917" s="12" t="str">
        <x:v>Bengaluru</x:v>
      </x:c>
      <x:c r="E2917" s="12" t="str">
        <x:v>Bagmane Tech Park</x:v>
      </x:c>
      <x:c r="F2917" s="12" t="str">
        <x:v>55 inch</x:v>
      </x:c>
      <x:c r="G2917" s="20" t="n">
        <x:v>1</x:v>
      </x:c>
      <x:c r="H2917" s="12" t="str">
        <x:v>Campus/portfolio roster; individual building occupancy unverified</x:v>
      </x:c>
      <x:c r="I2917" s="12" t="str">
        <x:v>Mixed business audience</x:v>
      </x:c>
      <x:c r="J2917" s="12" t="str">
        <x:v>IT &amp; digital</x:v>
      </x:c>
      <x:c r="K2917" s="2" t="str">
        <x:v>PARTNER-M108</x:v>
      </x:c>
    </x:row>
    <x:row r="2918" ht="46" customHeight="1">
      <x:c r="A2918" s="2" t="str">
        <x:v>TEN-55F83AF98CA9</x:v>
      </x:c>
      <x:c r="B2918" s="12" t="str">
        <x:v>cypress</x:v>
      </x:c>
      <x:c r="C2918" s="12" t="str">
        <x:v>CORP-0536</x:v>
      </x:c>
      <x:c r="D2918" s="12" t="str">
        <x:v>Bengaluru</x:v>
      </x:c>
      <x:c r="E2918" s="12" t="str">
        <x:v>Bagmane Tech Park</x:v>
      </x:c>
      <x:c r="F2918" s="12" t="str">
        <x:v>55 inch</x:v>
      </x:c>
      <x:c r="G2918" s="20" t="n">
        <x:v>1</x:v>
      </x:c>
      <x:c r="H2918" s="12" t="str">
        <x:v>Campus/portfolio roster; individual building occupancy unverified</x:v>
      </x:c>
      <x:c r="I2918" s="12" t="str">
        <x:v>Mixed business audience</x:v>
      </x:c>
      <x:c r="J2918" s="12" t="str">
        <x:v>Engineering &amp; manufacturing</x:v>
      </x:c>
      <x:c r="K2918" s="2" t="str">
        <x:v>PARTNER-M108</x:v>
      </x:c>
    </x:row>
    <x:row r="2919" ht="46" customHeight="1">
      <x:c r="A2919" s="2" t="str">
        <x:v>TEN-5DD95C98AFF2</x:v>
      </x:c>
      <x:c r="B2919" s="12" t="str">
        <x:v>Nike</x:v>
      </x:c>
      <x:c r="C2919" s="12" t="str">
        <x:v>CORP-0536</x:v>
      </x:c>
      <x:c r="D2919" s="12" t="str">
        <x:v>Bengaluru</x:v>
      </x:c>
      <x:c r="E2919" s="12" t="str">
        <x:v>Bagmane Tech Park</x:v>
      </x:c>
      <x:c r="F2919" s="12" t="str">
        <x:v>55 inch</x:v>
      </x:c>
      <x:c r="G2919" s="20" t="n">
        <x:v>1</x:v>
      </x:c>
      <x:c r="H2919" s="12" t="str">
        <x:v>Campus/portfolio roster; individual building occupancy unverified</x:v>
      </x:c>
      <x:c r="I2919" s="12" t="str">
        <x:v>Mixed business audience</x:v>
      </x:c>
      <x:c r="J2919" s="12" t="str">
        <x:v>Trade, consumer &amp; logistics</x:v>
      </x:c>
      <x:c r="K2919" s="2" t="str">
        <x:v>PARTNER-M108</x:v>
      </x:c>
    </x:row>
    <x:row r="2920" ht="46" customHeight="1">
      <x:c r="A2920" s="2" t="str">
        <x:v>TEN-60A539DE7BB0</x:v>
      </x:c>
      <x:c r="B2920" s="12" t="str">
        <x:v>Ivanti</x:v>
      </x:c>
      <x:c r="C2920" s="12" t="str">
        <x:v>CORP-0536</x:v>
      </x:c>
      <x:c r="D2920" s="12" t="str">
        <x:v>Bengaluru</x:v>
      </x:c>
      <x:c r="E2920" s="12" t="str">
        <x:v>Bagmane Tech Park</x:v>
      </x:c>
      <x:c r="F2920" s="12" t="str">
        <x:v>55 inch</x:v>
      </x:c>
      <x:c r="G2920" s="20" t="n">
        <x:v>1</x:v>
      </x:c>
      <x:c r="H2920" s="12" t="str">
        <x:v>Campus/portfolio roster; individual building occupancy unverified</x:v>
      </x:c>
      <x:c r="I2920" s="12" t="str">
        <x:v>Large enterprise</x:v>
      </x:c>
      <x:c r="J2920" s="12" t="str">
        <x:v>IT &amp; digital</x:v>
      </x:c>
      <x:c r="K2920" s="2" t="str">
        <x:v>PARTNER-M108</x:v>
      </x:c>
    </x:row>
    <x:row r="2921" ht="46" customHeight="1">
      <x:c r="A2921" s="2" t="str">
        <x:v>TEN-7AD6D135A07F</x:v>
      </x:c>
      <x:c r="B2921" s="12" t="str">
        <x:v>Texas Instrument</x:v>
      </x:c>
      <x:c r="C2921" s="12" t="str">
        <x:v>CORP-0536</x:v>
      </x:c>
      <x:c r="D2921" s="12" t="str">
        <x:v>Bengaluru</x:v>
      </x:c>
      <x:c r="E2921" s="12" t="str">
        <x:v>Bagmane Tech Park</x:v>
      </x:c>
      <x:c r="F2921" s="12" t="str">
        <x:v>55 inch</x:v>
      </x:c>
      <x:c r="G2921" s="20" t="n">
        <x:v>1</x:v>
      </x:c>
      <x:c r="H2921" s="12" t="str">
        <x:v>Campus/portfolio roster; individual building occupancy unverified</x:v>
      </x:c>
      <x:c r="I2921" s="12" t="str">
        <x:v>Mixed business audience</x:v>
      </x:c>
      <x:c r="J2921" s="12" t="str">
        <x:v>Engineering &amp; manufacturing</x:v>
      </x:c>
      <x:c r="K2921" s="2" t="str">
        <x:v>PARTNER-M108</x:v>
      </x:c>
    </x:row>
    <x:row r="2922" ht="46" customHeight="1">
      <x:c r="A2922" s="2" t="str">
        <x:v>TEN-7F1B55B86059</x:v>
      </x:c>
      <x:c r="B2922" s="12" t="str">
        <x:v>LAM</x:v>
      </x:c>
      <x:c r="C2922" s="12" t="str">
        <x:v>CORP-0536</x:v>
      </x:c>
      <x:c r="D2922" s="12" t="str">
        <x:v>Bengaluru</x:v>
      </x:c>
      <x:c r="E2922" s="12" t="str">
        <x:v>Bagmane Tech Park</x:v>
      </x:c>
      <x:c r="F2922" s="12" t="str">
        <x:v>55 inch</x:v>
      </x:c>
      <x:c r="G2922" s="20" t="n">
        <x:v>1</x:v>
      </x:c>
      <x:c r="H2922" s="12" t="str">
        <x:v>Campus/portfolio roster; individual building occupancy unverified</x:v>
      </x:c>
      <x:c r="I2922" s="12" t="str">
        <x:v>Mixed business audience</x:v>
      </x:c>
      <x:c r="J2922" s="12" t="str">
        <x:v>Engineering &amp; manufacturing</x:v>
      </x:c>
      <x:c r="K2922" s="2" t="str">
        <x:v>PARTNER-M108</x:v>
      </x:c>
    </x:row>
    <x:row r="2923" ht="46" customHeight="1">
      <x:c r="A2923" s="2" t="str">
        <x:v>TEN-8D1AE0ED034C</x:v>
      </x:c>
      <x:c r="B2923" s="12" t="str">
        <x:v>UKG</x:v>
      </x:c>
      <x:c r="C2923" s="12" t="str">
        <x:v>CORP-0536</x:v>
      </x:c>
      <x:c r="D2923" s="12" t="str">
        <x:v>Bengaluru</x:v>
      </x:c>
      <x:c r="E2923" s="12" t="str">
        <x:v>Bagmane Tech Park</x:v>
      </x:c>
      <x:c r="F2923" s="12" t="str">
        <x:v>55 inch</x:v>
      </x:c>
      <x:c r="G2923" s="20" t="n">
        <x:v>1</x:v>
      </x:c>
      <x:c r="H2923" s="12" t="str">
        <x:v>Campus/portfolio roster; individual building occupancy unverified</x:v>
      </x:c>
      <x:c r="I2923" s="12" t="str">
        <x:v>Mixed business audience</x:v>
      </x:c>
      <x:c r="J2923" s="12" t="str">
        <x:v>IT &amp; digital</x:v>
      </x:c>
      <x:c r="K2923" s="2" t="str">
        <x:v>PARTNER-M108</x:v>
      </x:c>
    </x:row>
    <x:row r="2924" ht="46" customHeight="1">
      <x:c r="A2924" s="2" t="str">
        <x:v>TEN-9387E476D00B</x:v>
      </x:c>
      <x:c r="B2924" s="12" t="str">
        <x:v>SAP concur</x:v>
      </x:c>
      <x:c r="C2924" s="12" t="str">
        <x:v>CORP-0536</x:v>
      </x:c>
      <x:c r="D2924" s="12" t="str">
        <x:v>Bengaluru</x:v>
      </x:c>
      <x:c r="E2924" s="12" t="str">
        <x:v>Bagmane Tech Park</x:v>
      </x:c>
      <x:c r="F2924" s="12" t="str">
        <x:v>55 inch</x:v>
      </x:c>
      <x:c r="G2924" s="20" t="n">
        <x:v>1</x:v>
      </x:c>
      <x:c r="H2924" s="12" t="str">
        <x:v>Campus/portfolio roster; individual building occupancy unverified</x:v>
      </x:c>
      <x:c r="I2924" s="12" t="str">
        <x:v>Large enterprise</x:v>
      </x:c>
      <x:c r="J2924" s="12" t="str">
        <x:v>IT &amp; digital</x:v>
      </x:c>
      <x:c r="K2924" s="2" t="str">
        <x:v>PARTNER-M108</x:v>
      </x:c>
    </x:row>
    <x:row r="2925" ht="46" customHeight="1">
      <x:c r="A2925" s="2" t="str">
        <x:v>TEN-98E929C33151</x:v>
      </x:c>
      <x:c r="B2925" s="12" t="str">
        <x:v>Renesas</x:v>
      </x:c>
      <x:c r="C2925" s="12" t="str">
        <x:v>CORP-0536</x:v>
      </x:c>
      <x:c r="D2925" s="12" t="str">
        <x:v>Bengaluru</x:v>
      </x:c>
      <x:c r="E2925" s="12" t="str">
        <x:v>Bagmane Tech Park</x:v>
      </x:c>
      <x:c r="F2925" s="12" t="str">
        <x:v>55 inch</x:v>
      </x:c>
      <x:c r="G2925" s="20" t="n">
        <x:v>1</x:v>
      </x:c>
      <x:c r="H2925" s="12" t="str">
        <x:v>Campus/portfolio roster; individual building occupancy unverified</x:v>
      </x:c>
      <x:c r="I2925" s="12" t="str">
        <x:v>Mixed business audience</x:v>
      </x:c>
      <x:c r="J2925" s="12" t="str">
        <x:v>Engineering &amp; manufacturing</x:v>
      </x:c>
      <x:c r="K2925" s="2" t="str">
        <x:v>PARTNER-M108</x:v>
      </x:c>
    </x:row>
    <x:row r="2926" ht="46" customHeight="1">
      <x:c r="A2926" s="2" t="str">
        <x:v>TEN-A973ADF51E6A</x:v>
      </x:c>
      <x:c r="B2926" s="12" t="str">
        <x:v>Talisma</x:v>
      </x:c>
      <x:c r="C2926" s="12" t="str">
        <x:v>CORP-0536</x:v>
      </x:c>
      <x:c r="D2926" s="12" t="str">
        <x:v>Bengaluru</x:v>
      </x:c>
      <x:c r="E2926" s="12" t="str">
        <x:v>Bagmane Tech Park</x:v>
      </x:c>
      <x:c r="F2926" s="12" t="str">
        <x:v>55 inch</x:v>
      </x:c>
      <x:c r="G2926" s="20" t="n">
        <x:v>1</x:v>
      </x:c>
      <x:c r="H2926" s="12" t="str">
        <x:v>Campus/portfolio roster; individual building occupancy unverified</x:v>
      </x:c>
      <x:c r="I2926" s="12" t="str">
        <x:v>Mixed business audience</x:v>
      </x:c>
      <x:c r="J2926" s="12" t="str">
        <x:v>IT &amp; digital</x:v>
      </x:c>
      <x:c r="K2926" s="2" t="str">
        <x:v>PARTNER-M108</x:v>
      </x:c>
    </x:row>
    <x:row r="2927" ht="46" customHeight="1">
      <x:c r="A2927" s="2" t="str">
        <x:v>TEN-AEF34FE789D8</x:v>
      </x:c>
      <x:c r="B2927" s="12" t="str">
        <x:v>Pal Alto</x:v>
      </x:c>
      <x:c r="C2927" s="12" t="str">
        <x:v>CORP-0536</x:v>
      </x:c>
      <x:c r="D2927" s="12" t="str">
        <x:v>Bengaluru</x:v>
      </x:c>
      <x:c r="E2927" s="12" t="str">
        <x:v>Bagmane Tech Park</x:v>
      </x:c>
      <x:c r="F2927" s="12" t="str">
        <x:v>55 inch</x:v>
      </x:c>
      <x:c r="G2927" s="20" t="n">
        <x:v>1</x:v>
      </x:c>
      <x:c r="H2927" s="12" t="str">
        <x:v>Campus/portfolio roster; individual building occupancy unverified</x:v>
      </x:c>
      <x:c r="I2927" s="12" t="str">
        <x:v>Mixed business audience</x:v>
      </x:c>
      <x:c r="J2927" s="12" t="str">
        <x:v>Unresolved</x:v>
      </x:c>
      <x:c r="K2927" s="2" t="str">
        <x:v>PARTNER-M108</x:v>
      </x:c>
    </x:row>
    <x:row r="2928" ht="46" customHeight="1">
      <x:c r="A2928" s="2" t="str">
        <x:v>TEN-B1331F460EB4</x:v>
      </x:c>
      <x:c r="B2928" s="12" t="str">
        <x:v>CEM</x:v>
      </x:c>
      <x:c r="C2928" s="12" t="str">
        <x:v>CORP-0536</x:v>
      </x:c>
      <x:c r="D2928" s="12" t="str">
        <x:v>Bengaluru</x:v>
      </x:c>
      <x:c r="E2928" s="12" t="str">
        <x:v>Bagmane Tech Park</x:v>
      </x:c>
      <x:c r="F2928" s="12" t="str">
        <x:v>55 inch</x:v>
      </x:c>
      <x:c r="G2928" s="20" t="n">
        <x:v>1</x:v>
      </x:c>
      <x:c r="H2928" s="12" t="str">
        <x:v>Campus/portfolio roster; individual building occupancy unverified</x:v>
      </x:c>
      <x:c r="I2928" s="12" t="str">
        <x:v>Mixed business audience</x:v>
      </x:c>
      <x:c r="J2928" s="12" t="str">
        <x:v>Unresolved</x:v>
      </x:c>
      <x:c r="K2928" s="2" t="str">
        <x:v>PARTNER-M108</x:v>
      </x:c>
    </x:row>
    <x:row r="2929" ht="46" customHeight="1">
      <x:c r="A2929" s="2" t="str">
        <x:v>TEN-BCCAE4CE7BE6</x:v>
      </x:c>
      <x:c r="B2929" s="12" t="str">
        <x:v>Volvo</x:v>
      </x:c>
      <x:c r="C2929" s="12" t="str">
        <x:v>CORP-0536</x:v>
      </x:c>
      <x:c r="D2929" s="12" t="str">
        <x:v>Bengaluru</x:v>
      </x:c>
      <x:c r="E2929" s="12" t="str">
        <x:v>Bagmane Tech Park</x:v>
      </x:c>
      <x:c r="F2929" s="12" t="str">
        <x:v>55 inch</x:v>
      </x:c>
      <x:c r="G2929" s="20" t="n">
        <x:v>1</x:v>
      </x:c>
      <x:c r="H2929" s="12" t="str">
        <x:v>Campus/portfolio roster; individual building occupancy unverified</x:v>
      </x:c>
      <x:c r="I2929" s="12" t="str">
        <x:v>Mixed business audience</x:v>
      </x:c>
      <x:c r="J2929" s="12" t="str">
        <x:v>Engineering &amp; manufacturing</x:v>
      </x:c>
      <x:c r="K2929" s="2" t="str">
        <x:v>PARTNER-M108</x:v>
      </x:c>
    </x:row>
    <x:row r="2930" ht="46" customHeight="1">
      <x:c r="A2930" s="2" t="str">
        <x:v>TEN-C2ECB55DC1D4</x:v>
      </x:c>
      <x:c r="B2930" s="12" t="str">
        <x:v>ROHM</x:v>
      </x:c>
      <x:c r="C2930" s="12" t="str">
        <x:v>CORP-0536</x:v>
      </x:c>
      <x:c r="D2930" s="12" t="str">
        <x:v>Bengaluru</x:v>
      </x:c>
      <x:c r="E2930" s="12" t="str">
        <x:v>Bagmane Tech Park</x:v>
      </x:c>
      <x:c r="F2930" s="12" t="str">
        <x:v>55 inch</x:v>
      </x:c>
      <x:c r="G2930" s="20" t="n">
        <x:v>1</x:v>
      </x:c>
      <x:c r="H2930" s="12" t="str">
        <x:v>Campus/portfolio roster; individual building occupancy unverified</x:v>
      </x:c>
      <x:c r="I2930" s="12" t="str">
        <x:v>Mixed business audience</x:v>
      </x:c>
      <x:c r="J2930" s="12" t="str">
        <x:v>Engineering &amp; manufacturing</x:v>
      </x:c>
      <x:c r="K2930" s="2" t="str">
        <x:v>PARTNER-M108</x:v>
      </x:c>
    </x:row>
    <x:row r="2931" ht="46" customHeight="1">
      <x:c r="A2931" s="2" t="str">
        <x:v>TEN-C63AC00C4D11</x:v>
      </x:c>
      <x:c r="B2931" s="12" t="str">
        <x:v>Mphasis</x:v>
      </x:c>
      <x:c r="C2931" s="12" t="str">
        <x:v>CORP-0536</x:v>
      </x:c>
      <x:c r="D2931" s="12" t="str">
        <x:v>Bengaluru</x:v>
      </x:c>
      <x:c r="E2931" s="12" t="str">
        <x:v>Bagmane Tech Park</x:v>
      </x:c>
      <x:c r="F2931" s="12" t="str">
        <x:v>55 inch</x:v>
      </x:c>
      <x:c r="G2931" s="20" t="n">
        <x:v>1</x:v>
      </x:c>
      <x:c r="H2931" s="12" t="str">
        <x:v>Campus/portfolio roster; individual building occupancy unverified</x:v>
      </x:c>
      <x:c r="I2931" s="12" t="str">
        <x:v>Large enterprise</x:v>
      </x:c>
      <x:c r="J2931" s="12" t="str">
        <x:v>IT &amp; digital</x:v>
      </x:c>
      <x:c r="K2931" s="2" t="str">
        <x:v>PARTNER-M108</x:v>
      </x:c>
    </x:row>
    <x:row r="2932" ht="46" customHeight="1">
      <x:c r="A2932" s="2" t="str">
        <x:v>TEN-C97CE19B9C35</x:v>
      </x:c>
      <x:c r="B2932" s="12" t="str">
        <x:v>PricewaterhouseCoopers</x:v>
      </x:c>
      <x:c r="C2932" s="12" t="str">
        <x:v>CORP-0536</x:v>
      </x:c>
      <x:c r="D2932" s="12" t="str">
        <x:v>Bengaluru</x:v>
      </x:c>
      <x:c r="E2932" s="12" t="str">
        <x:v>Bagmane Tech Park</x:v>
      </x:c>
      <x:c r="F2932" s="12" t="str">
        <x:v>55 inch</x:v>
      </x:c>
      <x:c r="G2932" s="20" t="n">
        <x:v>1</x:v>
      </x:c>
      <x:c r="H2932" s="12" t="str">
        <x:v>Campus/portfolio roster; individual building occupancy unverified</x:v>
      </x:c>
      <x:c r="I2932" s="12" t="str">
        <x:v>Large enterprise</x:v>
      </x:c>
      <x:c r="J2932" s="12" t="str">
        <x:v>Professional services</x:v>
      </x:c>
      <x:c r="K2932" s="2" t="str">
        <x:v>PARTNER-M108</x:v>
      </x:c>
    </x:row>
    <x:row r="2933" ht="46" customHeight="1">
      <x:c r="A2933" s="2" t="str">
        <x:v>TEN-D0E2ECE166BD</x:v>
      </x:c>
      <x:c r="B2933" s="12" t="str">
        <x:v>Dell</x:v>
      </x:c>
      <x:c r="C2933" s="12" t="str">
        <x:v>CORP-0536</x:v>
      </x:c>
      <x:c r="D2933" s="12" t="str">
        <x:v>Bengaluru</x:v>
      </x:c>
      <x:c r="E2933" s="12" t="str">
        <x:v>Bagmane Tech Park</x:v>
      </x:c>
      <x:c r="F2933" s="12" t="str">
        <x:v>55 inch</x:v>
      </x:c>
      <x:c r="G2933" s="20" t="n">
        <x:v>1</x:v>
      </x:c>
      <x:c r="H2933" s="12" t="str">
        <x:v>Campus/portfolio roster; individual building occupancy unverified</x:v>
      </x:c>
      <x:c r="I2933" s="12" t="str">
        <x:v>Large enterprise</x:v>
      </x:c>
      <x:c r="J2933" s="12" t="str">
        <x:v>Engineering &amp; manufacturing</x:v>
      </x:c>
      <x:c r="K2933" s="2" t="str">
        <x:v>PARTNER-M108</x:v>
      </x:c>
    </x:row>
    <x:row r="2934" ht="46" customHeight="1">
      <x:c r="A2934" s="2" t="str">
        <x:v>TEN-E305C1EB5FCE</x:v>
      </x:c>
      <x:c r="B2934" s="12" t="str">
        <x:v>ALUK</x:v>
      </x:c>
      <x:c r="C2934" s="12" t="str">
        <x:v>CORP-0536</x:v>
      </x:c>
      <x:c r="D2934" s="12" t="str">
        <x:v>Bengaluru</x:v>
      </x:c>
      <x:c r="E2934" s="12" t="str">
        <x:v>Bagmane Tech Park</x:v>
      </x:c>
      <x:c r="F2934" s="12" t="str">
        <x:v>55 inch</x:v>
      </x:c>
      <x:c r="G2934" s="20" t="n">
        <x:v>1</x:v>
      </x:c>
      <x:c r="H2934" s="12" t="str">
        <x:v>Campus/portfolio roster; individual building occupancy unverified</x:v>
      </x:c>
      <x:c r="I2934" s="12" t="str">
        <x:v>Medium-scale prospects</x:v>
      </x:c>
      <x:c r="J2934" s="12" t="str">
        <x:v>Engineering &amp; manufacturing</x:v>
      </x:c>
      <x:c r="K2934" s="2" t="str">
        <x:v>PARTNER-M108</x:v>
      </x:c>
    </x:row>
    <x:row r="2935" ht="46" customHeight="1">
      <x:c r="A2935" s="2" t="str">
        <x:v>TEN-E5E23A26CD36</x:v>
      </x:c>
      <x:c r="B2935" s="12" t="str">
        <x:v>Grant Thornton</x:v>
      </x:c>
      <x:c r="C2935" s="12" t="str">
        <x:v>CORP-0536</x:v>
      </x:c>
      <x:c r="D2935" s="12" t="str">
        <x:v>Bengaluru</x:v>
      </x:c>
      <x:c r="E2935" s="12" t="str">
        <x:v>Bagmane Tech Park</x:v>
      </x:c>
      <x:c r="F2935" s="12" t="str">
        <x:v>55 inch</x:v>
      </x:c>
      <x:c r="G2935" s="20" t="n">
        <x:v>1</x:v>
      </x:c>
      <x:c r="H2935" s="12" t="str">
        <x:v>Campus/portfolio roster; individual building occupancy unverified</x:v>
      </x:c>
      <x:c r="I2935" s="12" t="str">
        <x:v>Large enterprise</x:v>
      </x:c>
      <x:c r="J2935" s="12" t="str">
        <x:v>Professional services</x:v>
      </x:c>
      <x:c r="K2935" s="2" t="str">
        <x:v>PARTNER-M108</x:v>
      </x:c>
    </x:row>
    <x:row r="2936" ht="46" customHeight="1">
      <x:c r="A2936" s="2" t="str">
        <x:v>TEN-E73B79A0B10F</x:v>
      </x:c>
      <x:c r="B2936" s="12" t="str">
        <x:v>Cisco</x:v>
      </x:c>
      <x:c r="C2936" s="12" t="str">
        <x:v>CORP-0536</x:v>
      </x:c>
      <x:c r="D2936" s="12" t="str">
        <x:v>Bengaluru</x:v>
      </x:c>
      <x:c r="E2936" s="12" t="str">
        <x:v>Bagmane Tech Park</x:v>
      </x:c>
      <x:c r="F2936" s="12" t="str">
        <x:v>55 inch</x:v>
      </x:c>
      <x:c r="G2936" s="20" t="n">
        <x:v>1</x:v>
      </x:c>
      <x:c r="H2936" s="12" t="str">
        <x:v>Campus/portfolio roster; individual building occupancy unverified</x:v>
      </x:c>
      <x:c r="I2936" s="12" t="str">
        <x:v>Large enterprise</x:v>
      </x:c>
      <x:c r="J2936" s="12" t="str">
        <x:v>IT &amp; digital</x:v>
      </x:c>
      <x:c r="K2936" s="2" t="str">
        <x:v>PARTNER-M108</x:v>
      </x:c>
    </x:row>
    <x:row r="2937" ht="46" customHeight="1">
      <x:c r="A2937" s="2" t="str">
        <x:v>TEN-F49D19F21FE1</x:v>
      </x:c>
      <x:c r="B2937" s="12" t="str">
        <x:v>L3 Communication</x:v>
      </x:c>
      <x:c r="C2937" s="12" t="str">
        <x:v>CORP-0536</x:v>
      </x:c>
      <x:c r="D2937" s="12" t="str">
        <x:v>Bengaluru</x:v>
      </x:c>
      <x:c r="E2937" s="12" t="str">
        <x:v>Bagmane Tech Park</x:v>
      </x:c>
      <x:c r="F2937" s="12" t="str">
        <x:v>55 inch</x:v>
      </x:c>
      <x:c r="G2937" s="20" t="n">
        <x:v>1</x:v>
      </x:c>
      <x:c r="H2937" s="12" t="str">
        <x:v>Campus/portfolio roster; individual building occupancy unverified</x:v>
      </x:c>
      <x:c r="I2937" s="12" t="str">
        <x:v>Mixed business audience</x:v>
      </x:c>
      <x:c r="J2937" s="12" t="str">
        <x:v>IT &amp; digital</x:v>
      </x:c>
      <x:c r="K2937" s="2" t="str">
        <x:v>PARTNER-M108</x:v>
      </x:c>
    </x:row>
    <x:row r="2938" ht="46" customHeight="1">
      <x:c r="A2938" s="2" t="str">
        <x:v>TEN-FEED58DAA315</x:v>
      </x:c>
      <x:c r="B2938" s="12" t="str">
        <x:v>Infineon</x:v>
      </x:c>
      <x:c r="C2938" s="12" t="str">
        <x:v>CORP-0536</x:v>
      </x:c>
      <x:c r="D2938" s="12" t="str">
        <x:v>Bengaluru</x:v>
      </x:c>
      <x:c r="E2938" s="12" t="str">
        <x:v>Bagmane Tech Park</x:v>
      </x:c>
      <x:c r="F2938" s="12" t="str">
        <x:v>55 inch</x:v>
      </x:c>
      <x:c r="G2938" s="20" t="n">
        <x:v>1</x:v>
      </x:c>
      <x:c r="H2938" s="12" t="str">
        <x:v>Campus/portfolio roster; individual building occupancy unverified</x:v>
      </x:c>
      <x:c r="I2938" s="12" t="str">
        <x:v>Large enterprise</x:v>
      </x:c>
      <x:c r="J2938" s="12" t="str">
        <x:v>Engineering &amp; manufacturing</x:v>
      </x:c>
      <x:c r="K2938" s="2" t="str">
        <x:v>PARTNER-M108</x:v>
      </x:c>
    </x:row>
    <x:row r="2939" ht="46" customHeight="1">
      <x:c r="A2939" s="2" t="str">
        <x:v>TEN-05A498EFD197</x:v>
      </x:c>
      <x:c r="B2939" s="12" t="str">
        <x:v>Kronos</x:v>
      </x:c>
      <x:c r="C2939" s="12" t="str">
        <x:v>CORP-0537</x:v>
      </x:c>
      <x:c r="D2939" s="12" t="str">
        <x:v>Bengaluru</x:v>
      </x:c>
      <x:c r="E2939" s="12" t="str">
        <x:v>Bagmane Tech Park</x:v>
      </x:c>
      <x:c r="F2939" s="12" t="str">
        <x:v>55 inch</x:v>
      </x:c>
      <x:c r="G2939" s="20" t="n">
        <x:v>1</x:v>
      </x:c>
      <x:c r="H2939" s="12" t="str">
        <x:v>Campus/portfolio roster; individual building occupancy unverified</x:v>
      </x:c>
      <x:c r="I2939" s="12" t="str">
        <x:v>Mixed business audience</x:v>
      </x:c>
      <x:c r="J2939" s="12" t="str">
        <x:v>IT &amp; digital</x:v>
      </x:c>
      <x:c r="K2939" s="2" t="str">
        <x:v>PARTNER-M108</x:v>
      </x:c>
    </x:row>
    <x:row r="2940" ht="46" customHeight="1">
      <x:c r="A2940" s="2" t="str">
        <x:v>TEN-0B570123A8C3</x:v>
      </x:c>
      <x:c r="B2940" s="12" t="str">
        <x:v>Commvault</x:v>
      </x:c>
      <x:c r="C2940" s="12" t="str">
        <x:v>CORP-0537</x:v>
      </x:c>
      <x:c r="D2940" s="12" t="str">
        <x:v>Bengaluru</x:v>
      </x:c>
      <x:c r="E2940" s="12" t="str">
        <x:v>Bagmane Tech Park</x:v>
      </x:c>
      <x:c r="F2940" s="12" t="str">
        <x:v>55 inch</x:v>
      </x:c>
      <x:c r="G2940" s="20" t="n">
        <x:v>1</x:v>
      </x:c>
      <x:c r="H2940" s="12" t="str">
        <x:v>Campus/portfolio roster; individual building occupancy unverified</x:v>
      </x:c>
      <x:c r="I2940" s="12" t="str">
        <x:v>Large enterprise</x:v>
      </x:c>
      <x:c r="J2940" s="12" t="str">
        <x:v>IT &amp; digital</x:v>
      </x:c>
      <x:c r="K2940" s="2" t="str">
        <x:v>PARTNER-M108</x:v>
      </x:c>
    </x:row>
    <x:row r="2941" ht="46" customHeight="1">
      <x:c r="A2941" s="2" t="str">
        <x:v>TEN-0C44BE9F7948</x:v>
      </x:c>
      <x:c r="B2941" s="12" t="str">
        <x:v>Motorola</x:v>
      </x:c>
      <x:c r="C2941" s="12" t="str">
        <x:v>CORP-0537</x:v>
      </x:c>
      <x:c r="D2941" s="12" t="str">
        <x:v>Bengaluru</x:v>
      </x:c>
      <x:c r="E2941" s="12" t="str">
        <x:v>Bagmane Tech Park</x:v>
      </x:c>
      <x:c r="F2941" s="12" t="str">
        <x:v>55 inch</x:v>
      </x:c>
      <x:c r="G2941" s="20" t="n">
        <x:v>1</x:v>
      </x:c>
      <x:c r="H2941" s="12" t="str">
        <x:v>Campus/portfolio roster; individual building occupancy unverified</x:v>
      </x:c>
      <x:c r="I2941" s="12" t="str">
        <x:v>Large enterprise</x:v>
      </x:c>
      <x:c r="J2941" s="12" t="str">
        <x:v>Engineering &amp; manufacturing</x:v>
      </x:c>
      <x:c r="K2941" s="2" t="str">
        <x:v>PARTNER-M108</x:v>
      </x:c>
    </x:row>
    <x:row r="2942" ht="46" customHeight="1">
      <x:c r="A2942" s="2" t="str">
        <x:v>TEN-16F45B99ABFD</x:v>
      </x:c>
      <x:c r="B2942" s="12" t="str">
        <x:v>Boeing</x:v>
      </x:c>
      <x:c r="C2942" s="12" t="str">
        <x:v>CORP-0537</x:v>
      </x:c>
      <x:c r="D2942" s="12" t="str">
        <x:v>Bengaluru</x:v>
      </x:c>
      <x:c r="E2942" s="12" t="str">
        <x:v>Bagmane Tech Park</x:v>
      </x:c>
      <x:c r="F2942" s="12" t="str">
        <x:v>55 inch</x:v>
      </x:c>
      <x:c r="G2942" s="20" t="n">
        <x:v>1</x:v>
      </x:c>
      <x:c r="H2942" s="12" t="str">
        <x:v>Campus/portfolio roster; individual building occupancy unverified</x:v>
      </x:c>
      <x:c r="I2942" s="12" t="str">
        <x:v>Large enterprise</x:v>
      </x:c>
      <x:c r="J2942" s="12" t="str">
        <x:v>Engineering &amp; manufacturing</x:v>
      </x:c>
      <x:c r="K2942" s="2" t="str">
        <x:v>PARTNER-M108</x:v>
      </x:c>
    </x:row>
    <x:row r="2943" ht="46" customHeight="1">
      <x:c r="A2943" s="2" t="str">
        <x:v>TEN-17840323EA59</x:v>
      </x:c>
      <x:c r="B2943" s="12" t="str">
        <x:v>Juniper</x:v>
      </x:c>
      <x:c r="C2943" s="12" t="str">
        <x:v>CORP-0537</x:v>
      </x:c>
      <x:c r="D2943" s="12" t="str">
        <x:v>Bengaluru</x:v>
      </x:c>
      <x:c r="E2943" s="12" t="str">
        <x:v>Bagmane Tech Park</x:v>
      </x:c>
      <x:c r="F2943" s="12" t="str">
        <x:v>55 inch</x:v>
      </x:c>
      <x:c r="G2943" s="20" t="n">
        <x:v>1</x:v>
      </x:c>
      <x:c r="H2943" s="12" t="str">
        <x:v>Campus/portfolio roster; individual building occupancy unverified</x:v>
      </x:c>
      <x:c r="I2943" s="12" t="str">
        <x:v>Mixed business audience</x:v>
      </x:c>
      <x:c r="J2943" s="12" t="str">
        <x:v>IT &amp; digital</x:v>
      </x:c>
      <x:c r="K2943" s="2" t="str">
        <x:v>PARTNER-M108</x:v>
      </x:c>
    </x:row>
    <x:row r="2944" ht="46" customHeight="1">
      <x:c r="A2944" s="2" t="str">
        <x:v>TEN-19A1211FA855</x:v>
      </x:c>
      <x:c r="B2944" s="12" t="str">
        <x:v>Altiostar</x:v>
      </x:c>
      <x:c r="C2944" s="12" t="str">
        <x:v>CORP-0537</x:v>
      </x:c>
      <x:c r="D2944" s="12" t="str">
        <x:v>Bengaluru</x:v>
      </x:c>
      <x:c r="E2944" s="12" t="str">
        <x:v>Bagmane Tech Park</x:v>
      </x:c>
      <x:c r="F2944" s="12" t="str">
        <x:v>55 inch</x:v>
      </x:c>
      <x:c r="G2944" s="20" t="n">
        <x:v>1</x:v>
      </x:c>
      <x:c r="H2944" s="12" t="str">
        <x:v>Campus/portfolio roster; individual building occupancy unverified</x:v>
      </x:c>
      <x:c r="I2944" s="12" t="str">
        <x:v>Mixed business audience</x:v>
      </x:c>
      <x:c r="J2944" s="12" t="str">
        <x:v>IT &amp; digital</x:v>
      </x:c>
      <x:c r="K2944" s="2" t="str">
        <x:v>PARTNER-M108</x:v>
      </x:c>
    </x:row>
    <x:row r="2945" ht="46" customHeight="1">
      <x:c r="A2945" s="2" t="str">
        <x:v>TEN-1B24400C96AA</x:v>
      </x:c>
      <x:c r="B2945" s="12" t="str">
        <x:v>Sima.ai</x:v>
      </x:c>
      <x:c r="C2945" s="12" t="str">
        <x:v>CORP-0537</x:v>
      </x:c>
      <x:c r="D2945" s="12" t="str">
        <x:v>Bengaluru</x:v>
      </x:c>
      <x:c r="E2945" s="12" t="str">
        <x:v>Bagmane Tech Park</x:v>
      </x:c>
      <x:c r="F2945" s="12" t="str">
        <x:v>55 inch</x:v>
      </x:c>
      <x:c r="G2945" s="20" t="n">
        <x:v>1</x:v>
      </x:c>
      <x:c r="H2945" s="12" t="str">
        <x:v>Campus/portfolio roster; individual building occupancy unverified</x:v>
      </x:c>
      <x:c r="I2945" s="12" t="str">
        <x:v>Small-scale prospects</x:v>
      </x:c>
      <x:c r="J2945" s="12" t="str">
        <x:v>IT &amp; digital</x:v>
      </x:c>
      <x:c r="K2945" s="2" t="str">
        <x:v>PARTNER-M108</x:v>
      </x:c>
    </x:row>
    <x:row r="2946" ht="46" customHeight="1">
      <x:c r="A2946" s="2" t="str">
        <x:v>TEN-2A09783B1C47</x:v>
      </x:c>
      <x:c r="B2946" s="12" t="str">
        <x:v>Cardinal</x:v>
      </x:c>
      <x:c r="C2946" s="12" t="str">
        <x:v>CORP-0537</x:v>
      </x:c>
      <x:c r="D2946" s="12" t="str">
        <x:v>Bengaluru</x:v>
      </x:c>
      <x:c r="E2946" s="12" t="str">
        <x:v>Bagmane Tech Park</x:v>
      </x:c>
      <x:c r="F2946" s="12" t="str">
        <x:v>55 inch</x:v>
      </x:c>
      <x:c r="G2946" s="20" t="n">
        <x:v>1</x:v>
      </x:c>
      <x:c r="H2946" s="12" t="str">
        <x:v>Campus/portfolio roster; individual building occupancy unverified</x:v>
      </x:c>
      <x:c r="I2946" s="12" t="str">
        <x:v>Mixed business audience</x:v>
      </x:c>
      <x:c r="J2946" s="12" t="str">
        <x:v>Unresolved</x:v>
      </x:c>
      <x:c r="K2946" s="2" t="str">
        <x:v>PARTNER-M108</x:v>
      </x:c>
    </x:row>
    <x:row r="2947" ht="46" customHeight="1">
      <x:c r="A2947" s="2" t="str">
        <x:v>TEN-31FF403A64D8</x:v>
      </x:c>
      <x:c r="B2947" s="12" t="str">
        <x:v>Informatica</x:v>
      </x:c>
      <x:c r="C2947" s="12" t="str">
        <x:v>CORP-0537</x:v>
      </x:c>
      <x:c r="D2947" s="12" t="str">
        <x:v>Bengaluru</x:v>
      </x:c>
      <x:c r="E2947" s="12" t="str">
        <x:v>Bagmane Tech Park</x:v>
      </x:c>
      <x:c r="F2947" s="12" t="str">
        <x:v>55 inch</x:v>
      </x:c>
      <x:c r="G2947" s="20" t="n">
        <x:v>1</x:v>
      </x:c>
      <x:c r="H2947" s="12" t="str">
        <x:v>Campus/portfolio roster; individual building occupancy unverified</x:v>
      </x:c>
      <x:c r="I2947" s="12" t="str">
        <x:v>Large enterprise</x:v>
      </x:c>
      <x:c r="J2947" s="12" t="str">
        <x:v>IT &amp; digital</x:v>
      </x:c>
      <x:c r="K2947" s="2" t="str">
        <x:v>PARTNER-M108</x:v>
      </x:c>
    </x:row>
    <x:row r="2948" ht="46" customHeight="1">
      <x:c r="A2948" s="2" t="str">
        <x:v>TEN-36E26473A4E8</x:v>
      </x:c>
      <x:c r="B2948" s="12" t="str">
        <x:v>Alstom</x:v>
      </x:c>
      <x:c r="C2948" s="12" t="str">
        <x:v>CORP-0537</x:v>
      </x:c>
      <x:c r="D2948" s="12" t="str">
        <x:v>Bengaluru</x:v>
      </x:c>
      <x:c r="E2948" s="12" t="str">
        <x:v>Bagmane Tech Park</x:v>
      </x:c>
      <x:c r="F2948" s="12" t="str">
        <x:v>55 inch</x:v>
      </x:c>
      <x:c r="G2948" s="20" t="n">
        <x:v>1</x:v>
      </x:c>
      <x:c r="H2948" s="12" t="str">
        <x:v>Campus/portfolio roster; individual building occupancy unverified</x:v>
      </x:c>
      <x:c r="I2948" s="12" t="str">
        <x:v>Large enterprise</x:v>
      </x:c>
      <x:c r="J2948" s="12" t="str">
        <x:v>Engineering &amp; manufacturing</x:v>
      </x:c>
      <x:c r="K2948" s="2" t="str">
        <x:v>PARTNER-M108</x:v>
      </x:c>
    </x:row>
    <x:row r="2949" ht="46" customHeight="1">
      <x:c r="A2949" s="2" t="str">
        <x:v>TEN-4957DCDAEE1C</x:v>
      </x:c>
      <x:c r="B2949" s="12" t="str">
        <x:v>Walker Chandok</x:v>
      </x:c>
      <x:c r="C2949" s="12" t="str">
        <x:v>CORP-0537</x:v>
      </x:c>
      <x:c r="D2949" s="12" t="str">
        <x:v>Bengaluru</x:v>
      </x:c>
      <x:c r="E2949" s="12" t="str">
        <x:v>Bagmane Tech Park</x:v>
      </x:c>
      <x:c r="F2949" s="12" t="str">
        <x:v>55 inch</x:v>
      </x:c>
      <x:c r="G2949" s="20" t="n">
        <x:v>1</x:v>
      </x:c>
      <x:c r="H2949" s="12" t="str">
        <x:v>Campus/portfolio roster; individual building occupancy unverified</x:v>
      </x:c>
      <x:c r="I2949" s="12" t="str">
        <x:v>Mixed business audience</x:v>
      </x:c>
      <x:c r="J2949" s="12" t="str">
        <x:v>Professional services</x:v>
      </x:c>
      <x:c r="K2949" s="2" t="str">
        <x:v>PARTNER-M108</x:v>
      </x:c>
    </x:row>
    <x:row r="2950" ht="46" customHeight="1">
      <x:c r="A2950" s="2" t="str">
        <x:v>TEN-4BCFB67D5370</x:v>
      </x:c>
      <x:c r="B2950" s="12" t="str">
        <x:v>Dover</x:v>
      </x:c>
      <x:c r="C2950" s="12" t="str">
        <x:v>CORP-0537</x:v>
      </x:c>
      <x:c r="D2950" s="12" t="str">
        <x:v>Bengaluru</x:v>
      </x:c>
      <x:c r="E2950" s="12" t="str">
        <x:v>Bagmane Tech Park</x:v>
      </x:c>
      <x:c r="F2950" s="12" t="str">
        <x:v>55 inch</x:v>
      </x:c>
      <x:c r="G2950" s="20" t="n">
        <x:v>1</x:v>
      </x:c>
      <x:c r="H2950" s="12" t="str">
        <x:v>Campus/portfolio roster; individual building occupancy unverified</x:v>
      </x:c>
      <x:c r="I2950" s="12" t="str">
        <x:v>Mixed business audience</x:v>
      </x:c>
      <x:c r="J2950" s="12" t="str">
        <x:v>Engineering &amp; manufacturing</x:v>
      </x:c>
      <x:c r="K2950" s="2" t="str">
        <x:v>PARTNER-M108</x:v>
      </x:c>
    </x:row>
    <x:row r="2951" ht="46" customHeight="1">
      <x:c r="A2951" s="2" t="str">
        <x:v>TEN-51BE3E92D716</x:v>
      </x:c>
      <x:c r="B2951" s="12" t="str">
        <x:v>Microfocus</x:v>
      </x:c>
      <x:c r="C2951" s="12" t="str">
        <x:v>CORP-0537</x:v>
      </x:c>
      <x:c r="D2951" s="12" t="str">
        <x:v>Bengaluru</x:v>
      </x:c>
      <x:c r="E2951" s="12" t="str">
        <x:v>Bagmane Tech Park</x:v>
      </x:c>
      <x:c r="F2951" s="12" t="str">
        <x:v>55 inch</x:v>
      </x:c>
      <x:c r="G2951" s="20" t="n">
        <x:v>1</x:v>
      </x:c>
      <x:c r="H2951" s="12" t="str">
        <x:v>Campus/portfolio roster; individual building occupancy unverified</x:v>
      </x:c>
      <x:c r="I2951" s="12" t="str">
        <x:v>Mixed business audience</x:v>
      </x:c>
      <x:c r="J2951" s="12" t="str">
        <x:v>IT &amp; digital</x:v>
      </x:c>
      <x:c r="K2951" s="2" t="str">
        <x:v>PARTNER-M108</x:v>
      </x:c>
    </x:row>
    <x:row r="2952" ht="46" customHeight="1">
      <x:c r="A2952" s="2" t="str">
        <x:v>TEN-55F83AF98CA9</x:v>
      </x:c>
      <x:c r="B2952" s="12" t="str">
        <x:v>cypress</x:v>
      </x:c>
      <x:c r="C2952" s="12" t="str">
        <x:v>CORP-0537</x:v>
      </x:c>
      <x:c r="D2952" s="12" t="str">
        <x:v>Bengaluru</x:v>
      </x:c>
      <x:c r="E2952" s="12" t="str">
        <x:v>Bagmane Tech Park</x:v>
      </x:c>
      <x:c r="F2952" s="12" t="str">
        <x:v>55 inch</x:v>
      </x:c>
      <x:c r="G2952" s="20" t="n">
        <x:v>1</x:v>
      </x:c>
      <x:c r="H2952" s="12" t="str">
        <x:v>Campus/portfolio roster; individual building occupancy unverified</x:v>
      </x:c>
      <x:c r="I2952" s="12" t="str">
        <x:v>Mixed business audience</x:v>
      </x:c>
      <x:c r="J2952" s="12" t="str">
        <x:v>Engineering &amp; manufacturing</x:v>
      </x:c>
      <x:c r="K2952" s="2" t="str">
        <x:v>PARTNER-M108</x:v>
      </x:c>
    </x:row>
    <x:row r="2953" ht="46" customHeight="1">
      <x:c r="A2953" s="2" t="str">
        <x:v>TEN-5DD95C98AFF2</x:v>
      </x:c>
      <x:c r="B2953" s="12" t="str">
        <x:v>Nike</x:v>
      </x:c>
      <x:c r="C2953" s="12" t="str">
        <x:v>CORP-0537</x:v>
      </x:c>
      <x:c r="D2953" s="12" t="str">
        <x:v>Bengaluru</x:v>
      </x:c>
      <x:c r="E2953" s="12" t="str">
        <x:v>Bagmane Tech Park</x:v>
      </x:c>
      <x:c r="F2953" s="12" t="str">
        <x:v>55 inch</x:v>
      </x:c>
      <x:c r="G2953" s="20" t="n">
        <x:v>1</x:v>
      </x:c>
      <x:c r="H2953" s="12" t="str">
        <x:v>Campus/portfolio roster; individual building occupancy unverified</x:v>
      </x:c>
      <x:c r="I2953" s="12" t="str">
        <x:v>Mixed business audience</x:v>
      </x:c>
      <x:c r="J2953" s="12" t="str">
        <x:v>Trade, consumer &amp; logistics</x:v>
      </x:c>
      <x:c r="K2953" s="2" t="str">
        <x:v>PARTNER-M108</x:v>
      </x:c>
    </x:row>
    <x:row r="2954" ht="46" customHeight="1">
      <x:c r="A2954" s="2" t="str">
        <x:v>TEN-60A539DE7BB0</x:v>
      </x:c>
      <x:c r="B2954" s="12" t="str">
        <x:v>Ivanti</x:v>
      </x:c>
      <x:c r="C2954" s="12" t="str">
        <x:v>CORP-0537</x:v>
      </x:c>
      <x:c r="D2954" s="12" t="str">
        <x:v>Bengaluru</x:v>
      </x:c>
      <x:c r="E2954" s="12" t="str">
        <x:v>Bagmane Tech Park</x:v>
      </x:c>
      <x:c r="F2954" s="12" t="str">
        <x:v>55 inch</x:v>
      </x:c>
      <x:c r="G2954" s="20" t="n">
        <x:v>1</x:v>
      </x:c>
      <x:c r="H2954" s="12" t="str">
        <x:v>Campus/portfolio roster; individual building occupancy unverified</x:v>
      </x:c>
      <x:c r="I2954" s="12" t="str">
        <x:v>Large enterprise</x:v>
      </x:c>
      <x:c r="J2954" s="12" t="str">
        <x:v>IT &amp; digital</x:v>
      </x:c>
      <x:c r="K2954" s="2" t="str">
        <x:v>PARTNER-M108</x:v>
      </x:c>
    </x:row>
    <x:row r="2955" ht="46" customHeight="1">
      <x:c r="A2955" s="2" t="str">
        <x:v>TEN-7AD6D135A07F</x:v>
      </x:c>
      <x:c r="B2955" s="12" t="str">
        <x:v>Texas Instrument</x:v>
      </x:c>
      <x:c r="C2955" s="12" t="str">
        <x:v>CORP-0537</x:v>
      </x:c>
      <x:c r="D2955" s="12" t="str">
        <x:v>Bengaluru</x:v>
      </x:c>
      <x:c r="E2955" s="12" t="str">
        <x:v>Bagmane Tech Park</x:v>
      </x:c>
      <x:c r="F2955" s="12" t="str">
        <x:v>55 inch</x:v>
      </x:c>
      <x:c r="G2955" s="20" t="n">
        <x:v>1</x:v>
      </x:c>
      <x:c r="H2955" s="12" t="str">
        <x:v>Campus/portfolio roster; individual building occupancy unverified</x:v>
      </x:c>
      <x:c r="I2955" s="12" t="str">
        <x:v>Mixed business audience</x:v>
      </x:c>
      <x:c r="J2955" s="12" t="str">
        <x:v>Engineering &amp; manufacturing</x:v>
      </x:c>
      <x:c r="K2955" s="2" t="str">
        <x:v>PARTNER-M108</x:v>
      </x:c>
    </x:row>
    <x:row r="2956" ht="46" customHeight="1">
      <x:c r="A2956" s="2" t="str">
        <x:v>TEN-7F1B55B86059</x:v>
      </x:c>
      <x:c r="B2956" s="12" t="str">
        <x:v>LAM</x:v>
      </x:c>
      <x:c r="C2956" s="12" t="str">
        <x:v>CORP-0537</x:v>
      </x:c>
      <x:c r="D2956" s="12" t="str">
        <x:v>Bengaluru</x:v>
      </x:c>
      <x:c r="E2956" s="12" t="str">
        <x:v>Bagmane Tech Park</x:v>
      </x:c>
      <x:c r="F2956" s="12" t="str">
        <x:v>55 inch</x:v>
      </x:c>
      <x:c r="G2956" s="20" t="n">
        <x:v>1</x:v>
      </x:c>
      <x:c r="H2956" s="12" t="str">
        <x:v>Campus/portfolio roster; individual building occupancy unverified</x:v>
      </x:c>
      <x:c r="I2956" s="12" t="str">
        <x:v>Mixed business audience</x:v>
      </x:c>
      <x:c r="J2956" s="12" t="str">
        <x:v>Engineering &amp; manufacturing</x:v>
      </x:c>
      <x:c r="K2956" s="2" t="str">
        <x:v>PARTNER-M108</x:v>
      </x:c>
    </x:row>
    <x:row r="2957" ht="46" customHeight="1">
      <x:c r="A2957" s="2" t="str">
        <x:v>TEN-8D1AE0ED034C</x:v>
      </x:c>
      <x:c r="B2957" s="12" t="str">
        <x:v>UKG</x:v>
      </x:c>
      <x:c r="C2957" s="12" t="str">
        <x:v>CORP-0537</x:v>
      </x:c>
      <x:c r="D2957" s="12" t="str">
        <x:v>Bengaluru</x:v>
      </x:c>
      <x:c r="E2957" s="12" t="str">
        <x:v>Bagmane Tech Park</x:v>
      </x:c>
      <x:c r="F2957" s="12" t="str">
        <x:v>55 inch</x:v>
      </x:c>
      <x:c r="G2957" s="20" t="n">
        <x:v>1</x:v>
      </x:c>
      <x:c r="H2957" s="12" t="str">
        <x:v>Campus/portfolio roster; individual building occupancy unverified</x:v>
      </x:c>
      <x:c r="I2957" s="12" t="str">
        <x:v>Mixed business audience</x:v>
      </x:c>
      <x:c r="J2957" s="12" t="str">
        <x:v>IT &amp; digital</x:v>
      </x:c>
      <x:c r="K2957" s="2" t="str">
        <x:v>PARTNER-M108</x:v>
      </x:c>
    </x:row>
    <x:row r="2958" ht="46" customHeight="1">
      <x:c r="A2958" s="2" t="str">
        <x:v>TEN-9387E476D00B</x:v>
      </x:c>
      <x:c r="B2958" s="12" t="str">
        <x:v>SAP concur</x:v>
      </x:c>
      <x:c r="C2958" s="12" t="str">
        <x:v>CORP-0537</x:v>
      </x:c>
      <x:c r="D2958" s="12" t="str">
        <x:v>Bengaluru</x:v>
      </x:c>
      <x:c r="E2958" s="12" t="str">
        <x:v>Bagmane Tech Park</x:v>
      </x:c>
      <x:c r="F2958" s="12" t="str">
        <x:v>55 inch</x:v>
      </x:c>
      <x:c r="G2958" s="20" t="n">
        <x:v>1</x:v>
      </x:c>
      <x:c r="H2958" s="12" t="str">
        <x:v>Campus/portfolio roster; individual building occupancy unverified</x:v>
      </x:c>
      <x:c r="I2958" s="12" t="str">
        <x:v>Large enterprise</x:v>
      </x:c>
      <x:c r="J2958" s="12" t="str">
        <x:v>IT &amp; digital</x:v>
      </x:c>
      <x:c r="K2958" s="2" t="str">
        <x:v>PARTNER-M108</x:v>
      </x:c>
    </x:row>
    <x:row r="2959" ht="46" customHeight="1">
      <x:c r="A2959" s="2" t="str">
        <x:v>TEN-98E929C33151</x:v>
      </x:c>
      <x:c r="B2959" s="12" t="str">
        <x:v>Renesas</x:v>
      </x:c>
      <x:c r="C2959" s="12" t="str">
        <x:v>CORP-0537</x:v>
      </x:c>
      <x:c r="D2959" s="12" t="str">
        <x:v>Bengaluru</x:v>
      </x:c>
      <x:c r="E2959" s="12" t="str">
        <x:v>Bagmane Tech Park</x:v>
      </x:c>
      <x:c r="F2959" s="12" t="str">
        <x:v>55 inch</x:v>
      </x:c>
      <x:c r="G2959" s="20" t="n">
        <x:v>1</x:v>
      </x:c>
      <x:c r="H2959" s="12" t="str">
        <x:v>Campus/portfolio roster; individual building occupancy unverified</x:v>
      </x:c>
      <x:c r="I2959" s="12" t="str">
        <x:v>Mixed business audience</x:v>
      </x:c>
      <x:c r="J2959" s="12" t="str">
        <x:v>Engineering &amp; manufacturing</x:v>
      </x:c>
      <x:c r="K2959" s="2" t="str">
        <x:v>PARTNER-M108</x:v>
      </x:c>
    </x:row>
    <x:row r="2960" ht="46" customHeight="1">
      <x:c r="A2960" s="2" t="str">
        <x:v>TEN-A973ADF51E6A</x:v>
      </x:c>
      <x:c r="B2960" s="12" t="str">
        <x:v>Talisma</x:v>
      </x:c>
      <x:c r="C2960" s="12" t="str">
        <x:v>CORP-0537</x:v>
      </x:c>
      <x:c r="D2960" s="12" t="str">
        <x:v>Bengaluru</x:v>
      </x:c>
      <x:c r="E2960" s="12" t="str">
        <x:v>Bagmane Tech Park</x:v>
      </x:c>
      <x:c r="F2960" s="12" t="str">
        <x:v>55 inch</x:v>
      </x:c>
      <x:c r="G2960" s="20" t="n">
        <x:v>1</x:v>
      </x:c>
      <x:c r="H2960" s="12" t="str">
        <x:v>Campus/portfolio roster; individual building occupancy unverified</x:v>
      </x:c>
      <x:c r="I2960" s="12" t="str">
        <x:v>Mixed business audience</x:v>
      </x:c>
      <x:c r="J2960" s="12" t="str">
        <x:v>IT &amp; digital</x:v>
      </x:c>
      <x:c r="K2960" s="2" t="str">
        <x:v>PARTNER-M108</x:v>
      </x:c>
    </x:row>
    <x:row r="2961" ht="46" customHeight="1">
      <x:c r="A2961" s="2" t="str">
        <x:v>TEN-AEF34FE789D8</x:v>
      </x:c>
      <x:c r="B2961" s="12" t="str">
        <x:v>Pal Alto</x:v>
      </x:c>
      <x:c r="C2961" s="12" t="str">
        <x:v>CORP-0537</x:v>
      </x:c>
      <x:c r="D2961" s="12" t="str">
        <x:v>Bengaluru</x:v>
      </x:c>
      <x:c r="E2961" s="12" t="str">
        <x:v>Bagmane Tech Park</x:v>
      </x:c>
      <x:c r="F2961" s="12" t="str">
        <x:v>55 inch</x:v>
      </x:c>
      <x:c r="G2961" s="20" t="n">
        <x:v>1</x:v>
      </x:c>
      <x:c r="H2961" s="12" t="str">
        <x:v>Campus/portfolio roster; individual building occupancy unverified</x:v>
      </x:c>
      <x:c r="I2961" s="12" t="str">
        <x:v>Mixed business audience</x:v>
      </x:c>
      <x:c r="J2961" s="12" t="str">
        <x:v>Unresolved</x:v>
      </x:c>
      <x:c r="K2961" s="2" t="str">
        <x:v>PARTNER-M108</x:v>
      </x:c>
    </x:row>
    <x:row r="2962" ht="46" customHeight="1">
      <x:c r="A2962" s="2" t="str">
        <x:v>TEN-B1331F460EB4</x:v>
      </x:c>
      <x:c r="B2962" s="12" t="str">
        <x:v>CEM</x:v>
      </x:c>
      <x:c r="C2962" s="12" t="str">
        <x:v>CORP-0537</x:v>
      </x:c>
      <x:c r="D2962" s="12" t="str">
        <x:v>Bengaluru</x:v>
      </x:c>
      <x:c r="E2962" s="12" t="str">
        <x:v>Bagmane Tech Park</x:v>
      </x:c>
      <x:c r="F2962" s="12" t="str">
        <x:v>55 inch</x:v>
      </x:c>
      <x:c r="G2962" s="20" t="n">
        <x:v>1</x:v>
      </x:c>
      <x:c r="H2962" s="12" t="str">
        <x:v>Campus/portfolio roster; individual building occupancy unverified</x:v>
      </x:c>
      <x:c r="I2962" s="12" t="str">
        <x:v>Mixed business audience</x:v>
      </x:c>
      <x:c r="J2962" s="12" t="str">
        <x:v>Unresolved</x:v>
      </x:c>
      <x:c r="K2962" s="2" t="str">
        <x:v>PARTNER-M108</x:v>
      </x:c>
    </x:row>
    <x:row r="2963" ht="46" customHeight="1">
      <x:c r="A2963" s="2" t="str">
        <x:v>TEN-BCCAE4CE7BE6</x:v>
      </x:c>
      <x:c r="B2963" s="12" t="str">
        <x:v>Volvo</x:v>
      </x:c>
      <x:c r="C2963" s="12" t="str">
        <x:v>CORP-0537</x:v>
      </x:c>
      <x:c r="D2963" s="12" t="str">
        <x:v>Bengaluru</x:v>
      </x:c>
      <x:c r="E2963" s="12" t="str">
        <x:v>Bagmane Tech Park</x:v>
      </x:c>
      <x:c r="F2963" s="12" t="str">
        <x:v>55 inch</x:v>
      </x:c>
      <x:c r="G2963" s="20" t="n">
        <x:v>1</x:v>
      </x:c>
      <x:c r="H2963" s="12" t="str">
        <x:v>Campus/portfolio roster; individual building occupancy unverified</x:v>
      </x:c>
      <x:c r="I2963" s="12" t="str">
        <x:v>Mixed business audience</x:v>
      </x:c>
      <x:c r="J2963" s="12" t="str">
        <x:v>Engineering &amp; manufacturing</x:v>
      </x:c>
      <x:c r="K2963" s="2" t="str">
        <x:v>PARTNER-M108</x:v>
      </x:c>
    </x:row>
    <x:row r="2964" ht="46" customHeight="1">
      <x:c r="A2964" s="2" t="str">
        <x:v>TEN-C2ECB55DC1D4</x:v>
      </x:c>
      <x:c r="B2964" s="12" t="str">
        <x:v>ROHM</x:v>
      </x:c>
      <x:c r="C2964" s="12" t="str">
        <x:v>CORP-0537</x:v>
      </x:c>
      <x:c r="D2964" s="12" t="str">
        <x:v>Bengaluru</x:v>
      </x:c>
      <x:c r="E2964" s="12" t="str">
        <x:v>Bagmane Tech Park</x:v>
      </x:c>
      <x:c r="F2964" s="12" t="str">
        <x:v>55 inch</x:v>
      </x:c>
      <x:c r="G2964" s="20" t="n">
        <x:v>1</x:v>
      </x:c>
      <x:c r="H2964" s="12" t="str">
        <x:v>Campus/portfolio roster; individual building occupancy unverified</x:v>
      </x:c>
      <x:c r="I2964" s="12" t="str">
        <x:v>Mixed business audience</x:v>
      </x:c>
      <x:c r="J2964" s="12" t="str">
        <x:v>Engineering &amp; manufacturing</x:v>
      </x:c>
      <x:c r="K2964" s="2" t="str">
        <x:v>PARTNER-M108</x:v>
      </x:c>
    </x:row>
    <x:row r="2965" ht="46" customHeight="1">
      <x:c r="A2965" s="2" t="str">
        <x:v>TEN-C63AC00C4D11</x:v>
      </x:c>
      <x:c r="B2965" s="12" t="str">
        <x:v>Mphasis</x:v>
      </x:c>
      <x:c r="C2965" s="12" t="str">
        <x:v>CORP-0537</x:v>
      </x:c>
      <x:c r="D2965" s="12" t="str">
        <x:v>Bengaluru</x:v>
      </x:c>
      <x:c r="E2965" s="12" t="str">
        <x:v>Bagmane Tech Park</x:v>
      </x:c>
      <x:c r="F2965" s="12" t="str">
        <x:v>55 inch</x:v>
      </x:c>
      <x:c r="G2965" s="20" t="n">
        <x:v>1</x:v>
      </x:c>
      <x:c r="H2965" s="12" t="str">
        <x:v>Campus/portfolio roster; individual building occupancy unverified</x:v>
      </x:c>
      <x:c r="I2965" s="12" t="str">
        <x:v>Large enterprise</x:v>
      </x:c>
      <x:c r="J2965" s="12" t="str">
        <x:v>IT &amp; digital</x:v>
      </x:c>
      <x:c r="K2965" s="2" t="str">
        <x:v>PARTNER-M108</x:v>
      </x:c>
    </x:row>
    <x:row r="2966" ht="46" customHeight="1">
      <x:c r="A2966" s="2" t="str">
        <x:v>TEN-C97CE19B9C35</x:v>
      </x:c>
      <x:c r="B2966" s="12" t="str">
        <x:v>PricewaterhouseCoopers</x:v>
      </x:c>
      <x:c r="C2966" s="12" t="str">
        <x:v>CORP-0537</x:v>
      </x:c>
      <x:c r="D2966" s="12" t="str">
        <x:v>Bengaluru</x:v>
      </x:c>
      <x:c r="E2966" s="12" t="str">
        <x:v>Bagmane Tech Park</x:v>
      </x:c>
      <x:c r="F2966" s="12" t="str">
        <x:v>55 inch</x:v>
      </x:c>
      <x:c r="G2966" s="20" t="n">
        <x:v>1</x:v>
      </x:c>
      <x:c r="H2966" s="12" t="str">
        <x:v>Campus/portfolio roster; individual building occupancy unverified</x:v>
      </x:c>
      <x:c r="I2966" s="12" t="str">
        <x:v>Large enterprise</x:v>
      </x:c>
      <x:c r="J2966" s="12" t="str">
        <x:v>Professional services</x:v>
      </x:c>
      <x:c r="K2966" s="2" t="str">
        <x:v>PARTNER-M108</x:v>
      </x:c>
    </x:row>
    <x:row r="2967" ht="46" customHeight="1">
      <x:c r="A2967" s="2" t="str">
        <x:v>TEN-D0E2ECE166BD</x:v>
      </x:c>
      <x:c r="B2967" s="12" t="str">
        <x:v>Dell</x:v>
      </x:c>
      <x:c r="C2967" s="12" t="str">
        <x:v>CORP-0537</x:v>
      </x:c>
      <x:c r="D2967" s="12" t="str">
        <x:v>Bengaluru</x:v>
      </x:c>
      <x:c r="E2967" s="12" t="str">
        <x:v>Bagmane Tech Park</x:v>
      </x:c>
      <x:c r="F2967" s="12" t="str">
        <x:v>55 inch</x:v>
      </x:c>
      <x:c r="G2967" s="20" t="n">
        <x:v>1</x:v>
      </x:c>
      <x:c r="H2967" s="12" t="str">
        <x:v>Campus/portfolio roster; individual building occupancy unverified</x:v>
      </x:c>
      <x:c r="I2967" s="12" t="str">
        <x:v>Large enterprise</x:v>
      </x:c>
      <x:c r="J2967" s="12" t="str">
        <x:v>Engineering &amp; manufacturing</x:v>
      </x:c>
      <x:c r="K2967" s="2" t="str">
        <x:v>PARTNER-M108</x:v>
      </x:c>
    </x:row>
    <x:row r="2968" ht="46" customHeight="1">
      <x:c r="A2968" s="2" t="str">
        <x:v>TEN-E305C1EB5FCE</x:v>
      </x:c>
      <x:c r="B2968" s="12" t="str">
        <x:v>ALUK</x:v>
      </x:c>
      <x:c r="C2968" s="12" t="str">
        <x:v>CORP-0537</x:v>
      </x:c>
      <x:c r="D2968" s="12" t="str">
        <x:v>Bengaluru</x:v>
      </x:c>
      <x:c r="E2968" s="12" t="str">
        <x:v>Bagmane Tech Park</x:v>
      </x:c>
      <x:c r="F2968" s="12" t="str">
        <x:v>55 inch</x:v>
      </x:c>
      <x:c r="G2968" s="20" t="n">
        <x:v>1</x:v>
      </x:c>
      <x:c r="H2968" s="12" t="str">
        <x:v>Campus/portfolio roster; individual building occupancy unverified</x:v>
      </x:c>
      <x:c r="I2968" s="12" t="str">
        <x:v>Medium-scale prospects</x:v>
      </x:c>
      <x:c r="J2968" s="12" t="str">
        <x:v>Engineering &amp; manufacturing</x:v>
      </x:c>
      <x:c r="K2968" s="2" t="str">
        <x:v>PARTNER-M108</x:v>
      </x:c>
    </x:row>
    <x:row r="2969" ht="46" customHeight="1">
      <x:c r="A2969" s="2" t="str">
        <x:v>TEN-E5E23A26CD36</x:v>
      </x:c>
      <x:c r="B2969" s="12" t="str">
        <x:v>Grant Thornton</x:v>
      </x:c>
      <x:c r="C2969" s="12" t="str">
        <x:v>CORP-0537</x:v>
      </x:c>
      <x:c r="D2969" s="12" t="str">
        <x:v>Bengaluru</x:v>
      </x:c>
      <x:c r="E2969" s="12" t="str">
        <x:v>Bagmane Tech Park</x:v>
      </x:c>
      <x:c r="F2969" s="12" t="str">
        <x:v>55 inch</x:v>
      </x:c>
      <x:c r="G2969" s="20" t="n">
        <x:v>1</x:v>
      </x:c>
      <x:c r="H2969" s="12" t="str">
        <x:v>Campus/portfolio roster; individual building occupancy unverified</x:v>
      </x:c>
      <x:c r="I2969" s="12" t="str">
        <x:v>Large enterprise</x:v>
      </x:c>
      <x:c r="J2969" s="12" t="str">
        <x:v>Professional services</x:v>
      </x:c>
      <x:c r="K2969" s="2" t="str">
        <x:v>PARTNER-M108</x:v>
      </x:c>
    </x:row>
    <x:row r="2970" ht="46" customHeight="1">
      <x:c r="A2970" s="2" t="str">
        <x:v>TEN-E73B79A0B10F</x:v>
      </x:c>
      <x:c r="B2970" s="12" t="str">
        <x:v>Cisco</x:v>
      </x:c>
      <x:c r="C2970" s="12" t="str">
        <x:v>CORP-0537</x:v>
      </x:c>
      <x:c r="D2970" s="12" t="str">
        <x:v>Bengaluru</x:v>
      </x:c>
      <x:c r="E2970" s="12" t="str">
        <x:v>Bagmane Tech Park</x:v>
      </x:c>
      <x:c r="F2970" s="12" t="str">
        <x:v>55 inch</x:v>
      </x:c>
      <x:c r="G2970" s="20" t="n">
        <x:v>1</x:v>
      </x:c>
      <x:c r="H2970" s="12" t="str">
        <x:v>Campus/portfolio roster; individual building occupancy unverified</x:v>
      </x:c>
      <x:c r="I2970" s="12" t="str">
        <x:v>Large enterprise</x:v>
      </x:c>
      <x:c r="J2970" s="12" t="str">
        <x:v>IT &amp; digital</x:v>
      </x:c>
      <x:c r="K2970" s="2" t="str">
        <x:v>PARTNER-M108</x:v>
      </x:c>
    </x:row>
    <x:row r="2971" ht="46" customHeight="1">
      <x:c r="A2971" s="2" t="str">
        <x:v>TEN-F49D19F21FE1</x:v>
      </x:c>
      <x:c r="B2971" s="12" t="str">
        <x:v>L3 Communication</x:v>
      </x:c>
      <x:c r="C2971" s="12" t="str">
        <x:v>CORP-0537</x:v>
      </x:c>
      <x:c r="D2971" s="12" t="str">
        <x:v>Bengaluru</x:v>
      </x:c>
      <x:c r="E2971" s="12" t="str">
        <x:v>Bagmane Tech Park</x:v>
      </x:c>
      <x:c r="F2971" s="12" t="str">
        <x:v>55 inch</x:v>
      </x:c>
      <x:c r="G2971" s="20" t="n">
        <x:v>1</x:v>
      </x:c>
      <x:c r="H2971" s="12" t="str">
        <x:v>Campus/portfolio roster; individual building occupancy unverified</x:v>
      </x:c>
      <x:c r="I2971" s="12" t="str">
        <x:v>Mixed business audience</x:v>
      </x:c>
      <x:c r="J2971" s="12" t="str">
        <x:v>IT &amp; digital</x:v>
      </x:c>
      <x:c r="K2971" s="2" t="str">
        <x:v>PARTNER-M108</x:v>
      </x:c>
    </x:row>
    <x:row r="2972" ht="46" customHeight="1">
      <x:c r="A2972" s="2" t="str">
        <x:v>TEN-FEED58DAA315</x:v>
      </x:c>
      <x:c r="B2972" s="12" t="str">
        <x:v>Infineon</x:v>
      </x:c>
      <x:c r="C2972" s="12" t="str">
        <x:v>CORP-0537</x:v>
      </x:c>
      <x:c r="D2972" s="12" t="str">
        <x:v>Bengaluru</x:v>
      </x:c>
      <x:c r="E2972" s="12" t="str">
        <x:v>Bagmane Tech Park</x:v>
      </x:c>
      <x:c r="F2972" s="12" t="str">
        <x:v>55 inch</x:v>
      </x:c>
      <x:c r="G2972" s="20" t="n">
        <x:v>1</x:v>
      </x:c>
      <x:c r="H2972" s="12" t="str">
        <x:v>Campus/portfolio roster; individual building occupancy unverified</x:v>
      </x:c>
      <x:c r="I2972" s="12" t="str">
        <x:v>Large enterprise</x:v>
      </x:c>
      <x:c r="J2972" s="12" t="str">
        <x:v>Engineering &amp; manufacturing</x:v>
      </x:c>
      <x:c r="K2972" s="2" t="str">
        <x:v>PARTNER-M108</x:v>
      </x:c>
    </x:row>
    <x:row r="2973" ht="46" customHeight="1">
      <x:c r="A2973" s="2" t="str">
        <x:v>TEN-16F45B99ABFD</x:v>
      </x:c>
      <x:c r="B2973" s="12" t="str">
        <x:v>Boeing</x:v>
      </x:c>
      <x:c r="C2973" s="12" t="str">
        <x:v>CORP-0538</x:v>
      </x:c>
      <x:c r="D2973" s="12" t="str">
        <x:v>Bengaluru</x:v>
      </x:c>
      <x:c r="E2973" s="12" t="str">
        <x:v>Bagmane World Technology Centre</x:v>
      </x:c>
      <x:c r="F2973" s="12" t="str">
        <x:v>55 inch</x:v>
      </x:c>
      <x:c r="G2973" s="20" t="n">
        <x:v>1</x:v>
      </x:c>
      <x:c r="H2973" s="12" t="str">
        <x:v>Campus/portfolio roster; individual building occupancy unverified</x:v>
      </x:c>
      <x:c r="I2973" s="12" t="str">
        <x:v>Large enterprise</x:v>
      </x:c>
      <x:c r="J2973" s="12" t="str">
        <x:v>Engineering &amp; manufacturing</x:v>
      </x:c>
      <x:c r="K2973" s="2" t="str">
        <x:v>PARTNER-M120</x:v>
      </x:c>
    </x:row>
    <x:row r="2974" ht="46" customHeight="1">
      <x:c r="A2974" s="2" t="str">
        <x:v>TEN-20E8BE98ADE9</x:v>
      </x:c>
      <x:c r="B2974" s="12" t="str">
        <x:v>Abinbev</x:v>
      </x:c>
      <x:c r="C2974" s="12" t="str">
        <x:v>CORP-0538</x:v>
      </x:c>
      <x:c r="D2974" s="12" t="str">
        <x:v>Bengaluru</x:v>
      </x:c>
      <x:c r="E2974" s="12" t="str">
        <x:v>Bagmane World Technology Centre</x:v>
      </x:c>
      <x:c r="F2974" s="12" t="str">
        <x:v>55 inch</x:v>
      </x:c>
      <x:c r="G2974" s="20" t="n">
        <x:v>1</x:v>
      </x:c>
      <x:c r="H2974" s="12" t="str">
        <x:v>Campus/portfolio roster; individual building occupancy unverified</x:v>
      </x:c>
      <x:c r="I2974" s="12" t="str">
        <x:v>Mixed business audience</x:v>
      </x:c>
      <x:c r="J2974" s="12" t="str">
        <x:v>Trade, consumer &amp; logistics</x:v>
      </x:c>
      <x:c r="K2974" s="2" t="str">
        <x:v>PARTNER-M120</x:v>
      </x:c>
    </x:row>
    <x:row r="2975" ht="46" customHeight="1">
      <x:c r="A2975" s="2" t="str">
        <x:v>TEN-2D844470A22E</x:v>
      </x:c>
      <x:c r="B2975" s="12" t="str">
        <x:v>Qsc</x:v>
      </x:c>
      <x:c r="C2975" s="12" t="str">
        <x:v>CORP-0538</x:v>
      </x:c>
      <x:c r="D2975" s="12" t="str">
        <x:v>Bengaluru</x:v>
      </x:c>
      <x:c r="E2975" s="12" t="str">
        <x:v>Bagmane World Technology Centre</x:v>
      </x:c>
      <x:c r="F2975" s="12" t="str">
        <x:v>55 inch</x:v>
      </x:c>
      <x:c r="G2975" s="20" t="n">
        <x:v>1</x:v>
      </x:c>
      <x:c r="H2975" s="12" t="str">
        <x:v>Campus/portfolio roster; individual building occupancy unverified</x:v>
      </x:c>
      <x:c r="I2975" s="12" t="str">
        <x:v>Mixed business audience</x:v>
      </x:c>
      <x:c r="J2975" s="12" t="str">
        <x:v>Unresolved</x:v>
      </x:c>
      <x:c r="K2975" s="2" t="str">
        <x:v>PARTNER-M120</x:v>
      </x:c>
    </x:row>
    <x:row r="2976" ht="46" customHeight="1">
      <x:c r="A2976" s="2" t="str">
        <x:v>TEN-35E87826D332</x:v>
      </x:c>
      <x:c r="B2976" s="12" t="str">
        <x:v>sifive</x:v>
      </x:c>
      <x:c r="C2976" s="12" t="str">
        <x:v>CORP-0538</x:v>
      </x:c>
      <x:c r="D2976" s="12" t="str">
        <x:v>Bengaluru</x:v>
      </x:c>
      <x:c r="E2976" s="12" t="str">
        <x:v>Bagmane World Technology Centre</x:v>
      </x:c>
      <x:c r="F2976" s="12" t="str">
        <x:v>55 inch</x:v>
      </x:c>
      <x:c r="G2976" s="20" t="n">
        <x:v>1</x:v>
      </x:c>
      <x:c r="H2976" s="12" t="str">
        <x:v>Campus/portfolio roster; individual building occupancy unverified</x:v>
      </x:c>
      <x:c r="I2976" s="12" t="str">
        <x:v>Mixed business audience</x:v>
      </x:c>
      <x:c r="J2976" s="12" t="str">
        <x:v>Engineering &amp; manufacturing</x:v>
      </x:c>
      <x:c r="K2976" s="2" t="str">
        <x:v>PARTNER-M120</x:v>
      </x:c>
    </x:row>
    <x:row r="2977" ht="46" customHeight="1">
      <x:c r="A2977" s="2" t="str">
        <x:v>TEN-4C5029DA39B5</x:v>
      </x:c>
      <x:c r="B2977" s="12" t="str">
        <x:v>Mediakind</x:v>
      </x:c>
      <x:c r="C2977" s="12" t="str">
        <x:v>CORP-0538</x:v>
      </x:c>
      <x:c r="D2977" s="12" t="str">
        <x:v>Bengaluru</x:v>
      </x:c>
      <x:c r="E2977" s="12" t="str">
        <x:v>Bagmane World Technology Centre</x:v>
      </x:c>
      <x:c r="F2977" s="12" t="str">
        <x:v>55 inch</x:v>
      </x:c>
      <x:c r="G2977" s="20" t="n">
        <x:v>1</x:v>
      </x:c>
      <x:c r="H2977" s="12" t="str">
        <x:v>Campus/portfolio roster; individual building occupancy unverified</x:v>
      </x:c>
      <x:c r="I2977" s="12" t="str">
        <x:v>Mixed business audience</x:v>
      </x:c>
      <x:c r="J2977" s="12" t="str">
        <x:v>Trade, consumer &amp; logistics</x:v>
      </x:c>
      <x:c r="K2977" s="2" t="str">
        <x:v>PARTNER-M120</x:v>
      </x:c>
    </x:row>
    <x:row r="2978" ht="46" customHeight="1">
      <x:c r="A2978" s="2" t="str">
        <x:v>TEN-4D748EBD71AF</x:v>
      </x:c>
      <x:c r="B2978" s="12" t="str">
        <x:v>Accenture</x:v>
      </x:c>
      <x:c r="C2978" s="12" t="str">
        <x:v>CORP-0538</x:v>
      </x:c>
      <x:c r="D2978" s="12" t="str">
        <x:v>Bengaluru</x:v>
      </x:c>
      <x:c r="E2978" s="12" t="str">
        <x:v>Bagmane World Technology Centre</x:v>
      </x:c>
      <x:c r="F2978" s="12" t="str">
        <x:v>55 inch</x:v>
      </x:c>
      <x:c r="G2978" s="20" t="n">
        <x:v>1</x:v>
      </x:c>
      <x:c r="H2978" s="12" t="str">
        <x:v>Campus/portfolio roster; individual building occupancy unverified</x:v>
      </x:c>
      <x:c r="I2978" s="12" t="str">
        <x:v>Large enterprise</x:v>
      </x:c>
      <x:c r="J2978" s="12" t="str">
        <x:v>IT &amp; digital</x:v>
      </x:c>
      <x:c r="K2978" s="2" t="str">
        <x:v>PARTNER-M120</x:v>
      </x:c>
    </x:row>
    <x:row r="2979" ht="46" customHeight="1">
      <x:c r="A2979" s="2" t="str">
        <x:v>TEN-65F96528B346</x:v>
      </x:c>
      <x:c r="B2979" s="12" t="str">
        <x:v>Iron Mountain</x:v>
      </x:c>
      <x:c r="C2979" s="12" t="str">
        <x:v>CORP-0538</x:v>
      </x:c>
      <x:c r="D2979" s="12" t="str">
        <x:v>Bengaluru</x:v>
      </x:c>
      <x:c r="E2979" s="12" t="str">
        <x:v>Bagmane World Technology Centre</x:v>
      </x:c>
      <x:c r="F2979" s="12" t="str">
        <x:v>55 inch</x:v>
      </x:c>
      <x:c r="G2979" s="20" t="n">
        <x:v>1</x:v>
      </x:c>
      <x:c r="H2979" s="12" t="str">
        <x:v>Campus/portfolio roster; individual building occupancy unverified</x:v>
      </x:c>
      <x:c r="I2979" s="12" t="str">
        <x:v>Large enterprise</x:v>
      </x:c>
      <x:c r="J2979" s="12" t="str">
        <x:v>Trade, consumer &amp; logistics</x:v>
      </x:c>
      <x:c r="K2979" s="2" t="str">
        <x:v>PARTNER-M120</x:v>
      </x:c>
    </x:row>
    <x:row r="2980" ht="46" customHeight="1">
      <x:c r="A2980" s="2" t="str">
        <x:v>TEN-69A068939DEA</x:v>
      </x:c>
      <x:c r="B2980" s="12" t="str">
        <x:v>Ernst and Young</x:v>
      </x:c>
      <x:c r="C2980" s="12" t="str">
        <x:v>CORP-0538</x:v>
      </x:c>
      <x:c r="D2980" s="12" t="str">
        <x:v>Bengaluru</x:v>
      </x:c>
      <x:c r="E2980" s="12" t="str">
        <x:v>Bagmane World Technology Centre</x:v>
      </x:c>
      <x:c r="F2980" s="12" t="str">
        <x:v>55 inch</x:v>
      </x:c>
      <x:c r="G2980" s="20" t="n">
        <x:v>1</x:v>
      </x:c>
      <x:c r="H2980" s="12" t="str">
        <x:v>Campus/portfolio roster; individual building occupancy unverified</x:v>
      </x:c>
      <x:c r="I2980" s="12" t="str">
        <x:v>Large enterprise</x:v>
      </x:c>
      <x:c r="J2980" s="12" t="str">
        <x:v>Professional services</x:v>
      </x:c>
      <x:c r="K2980" s="2" t="str">
        <x:v>PARTNER-M120</x:v>
      </x:c>
    </x:row>
    <x:row r="2981" ht="46" customHeight="1">
      <x:c r="A2981" s="2" t="str">
        <x:v>TEN-719F53D2AD92</x:v>
      </x:c>
      <x:c r="B2981" s="12" t="str">
        <x:v>EMC- Dell</x:v>
      </x:c>
      <x:c r="C2981" s="12" t="str">
        <x:v>CORP-0538</x:v>
      </x:c>
      <x:c r="D2981" s="12" t="str">
        <x:v>Bengaluru</x:v>
      </x:c>
      <x:c r="E2981" s="12" t="str">
        <x:v>Bagmane World Technology Centre</x:v>
      </x:c>
      <x:c r="F2981" s="12" t="str">
        <x:v>55 inch</x:v>
      </x:c>
      <x:c r="G2981" s="20" t="n">
        <x:v>1</x:v>
      </x:c>
      <x:c r="H2981" s="12" t="str">
        <x:v>Campus/portfolio roster; individual building occupancy unverified</x:v>
      </x:c>
      <x:c r="I2981" s="12" t="str">
        <x:v>Mixed business audience</x:v>
      </x:c>
      <x:c r="J2981" s="12" t="str">
        <x:v>IT &amp; digital</x:v>
      </x:c>
      <x:c r="K2981" s="2" t="str">
        <x:v>PARTNER-M120</x:v>
      </x:c>
    </x:row>
    <x:row r="2982" ht="46" customHeight="1">
      <x:c r="A2982" s="2" t="str">
        <x:v>TEN-7CA58AD857DB</x:v>
      </x:c>
      <x:c r="B2982" s="12" t="str">
        <x:v>Zyeus</x:v>
      </x:c>
      <x:c r="C2982" s="12" t="str">
        <x:v>CORP-0538</x:v>
      </x:c>
      <x:c r="D2982" s="12" t="str">
        <x:v>Bengaluru</x:v>
      </x:c>
      <x:c r="E2982" s="12" t="str">
        <x:v>Bagmane World Technology Centre</x:v>
      </x:c>
      <x:c r="F2982" s="12" t="str">
        <x:v>55 inch</x:v>
      </x:c>
      <x:c r="G2982" s="20" t="n">
        <x:v>1</x:v>
      </x:c>
      <x:c r="H2982" s="12" t="str">
        <x:v>Campus/portfolio roster; individual building occupancy unverified</x:v>
      </x:c>
      <x:c r="I2982" s="12" t="str">
        <x:v>Mixed business audience</x:v>
      </x:c>
      <x:c r="J2982" s="12" t="str">
        <x:v>Unresolved</x:v>
      </x:c>
      <x:c r="K2982" s="2" t="str">
        <x:v>PARTNER-M120</x:v>
      </x:c>
    </x:row>
    <x:row r="2983" ht="46" customHeight="1">
      <x:c r="A2983" s="2" t="str">
        <x:v>TEN-8D4321D93632</x:v>
      </x:c>
      <x:c r="B2983" s="12" t="str">
        <x:v>Nvidia</x:v>
      </x:c>
      <x:c r="C2983" s="12" t="str">
        <x:v>CORP-0538</x:v>
      </x:c>
      <x:c r="D2983" s="12" t="str">
        <x:v>Bengaluru</x:v>
      </x:c>
      <x:c r="E2983" s="12" t="str">
        <x:v>Bagmane World Technology Centre</x:v>
      </x:c>
      <x:c r="F2983" s="12" t="str">
        <x:v>55 inch</x:v>
      </x:c>
      <x:c r="G2983" s="20" t="n">
        <x:v>1</x:v>
      </x:c>
      <x:c r="H2983" s="12" t="str">
        <x:v>Campus/portfolio roster; individual building occupancy unverified</x:v>
      </x:c>
      <x:c r="I2983" s="12" t="str">
        <x:v>Large enterprise</x:v>
      </x:c>
      <x:c r="J2983" s="12" t="str">
        <x:v>Engineering &amp; manufacturing</x:v>
      </x:c>
      <x:c r="K2983" s="2" t="str">
        <x:v>PARTNER-M120</x:v>
      </x:c>
    </x:row>
    <x:row r="2984" ht="46" customHeight="1">
      <x:c r="A2984" s="2" t="str">
        <x:v>TEN-968E2D5B0868</x:v>
      </x:c>
      <x:c r="B2984" s="12" t="str">
        <x:v>Samsung</x:v>
      </x:c>
      <x:c r="C2984" s="12" t="str">
        <x:v>CORP-0538</x:v>
      </x:c>
      <x:c r="D2984" s="12" t="str">
        <x:v>Bengaluru</x:v>
      </x:c>
      <x:c r="E2984" s="12" t="str">
        <x:v>Bagmane World Technology Centre</x:v>
      </x:c>
      <x:c r="F2984" s="12" t="str">
        <x:v>55 inch</x:v>
      </x:c>
      <x:c r="G2984" s="20" t="n">
        <x:v>1</x:v>
      </x:c>
      <x:c r="H2984" s="12" t="str">
        <x:v>Campus/portfolio roster; individual building occupancy unverified</x:v>
      </x:c>
      <x:c r="I2984" s="12" t="str">
        <x:v>Large enterprise</x:v>
      </x:c>
      <x:c r="J2984" s="12" t="str">
        <x:v>Engineering &amp; manufacturing</x:v>
      </x:c>
      <x:c r="K2984" s="2" t="str">
        <x:v>PARTNER-M120</x:v>
      </x:c>
    </x:row>
    <x:row r="2985" ht="46" customHeight="1">
      <x:c r="A2985" s="2" t="str">
        <x:v>TEN-A88C31E9B91F</x:v>
      </x:c>
      <x:c r="B2985" s="12" t="str">
        <x:v>Microland</x:v>
      </x:c>
      <x:c r="C2985" s="12" t="str">
        <x:v>CORP-0538</x:v>
      </x:c>
      <x:c r="D2985" s="12" t="str">
        <x:v>Bengaluru</x:v>
      </x:c>
      <x:c r="E2985" s="12" t="str">
        <x:v>Bagmane World Technology Centre</x:v>
      </x:c>
      <x:c r="F2985" s="12" t="str">
        <x:v>55 inch</x:v>
      </x:c>
      <x:c r="G2985" s="20" t="n">
        <x:v>1</x:v>
      </x:c>
      <x:c r="H2985" s="12" t="str">
        <x:v>Campus/portfolio roster; individual building occupancy unverified</x:v>
      </x:c>
      <x:c r="I2985" s="12" t="str">
        <x:v>Mixed business audience</x:v>
      </x:c>
      <x:c r="J2985" s="12" t="str">
        <x:v>IT &amp; digital</x:v>
      </x:c>
      <x:c r="K2985" s="2" t="str">
        <x:v>PARTNER-M120</x:v>
      </x:c>
    </x:row>
    <x:row r="2986" ht="46" customHeight="1">
      <x:c r="A2986" s="2" t="str">
        <x:v>TEN-BBDEFA2950F4</x:v>
      </x:c>
      <x:c r="B2986" s="12" t="str">
        <x:v>Google</x:v>
      </x:c>
      <x:c r="C2986" s="12" t="str">
        <x:v>CORP-0538</x:v>
      </x:c>
      <x:c r="D2986" s="12" t="str">
        <x:v>Bengaluru</x:v>
      </x:c>
      <x:c r="E2986" s="12" t="str">
        <x:v>Bagmane World Technology Centre</x:v>
      </x:c>
      <x:c r="F2986" s="12" t="str">
        <x:v>55 inch</x:v>
      </x:c>
      <x:c r="G2986" s="20" t="n">
        <x:v>1</x:v>
      </x:c>
      <x:c r="H2986" s="12" t="str">
        <x:v>Campus/portfolio roster; individual building occupancy unverified</x:v>
      </x:c>
      <x:c r="I2986" s="12" t="str">
        <x:v>Large enterprise</x:v>
      </x:c>
      <x:c r="J2986" s="12" t="str">
        <x:v>IT &amp; digital</x:v>
      </x:c>
      <x:c r="K2986" s="2" t="str">
        <x:v>PARTNER-M120</x:v>
      </x:c>
    </x:row>
    <x:row r="2987" ht="46" customHeight="1">
      <x:c r="A2987" s="2" t="str">
        <x:v>TEN-C63AC00C4D11</x:v>
      </x:c>
      <x:c r="B2987" s="12" t="str">
        <x:v>Mphasis</x:v>
      </x:c>
      <x:c r="C2987" s="12" t="str">
        <x:v>CORP-0538</x:v>
      </x:c>
      <x:c r="D2987" s="12" t="str">
        <x:v>Bengaluru</x:v>
      </x:c>
      <x:c r="E2987" s="12" t="str">
        <x:v>Bagmane World Technology Centre</x:v>
      </x:c>
      <x:c r="F2987" s="12" t="str">
        <x:v>55 inch</x:v>
      </x:c>
      <x:c r="G2987" s="20" t="n">
        <x:v>1</x:v>
      </x:c>
      <x:c r="H2987" s="12" t="str">
        <x:v>Campus/portfolio roster; individual building occupancy unverified</x:v>
      </x:c>
      <x:c r="I2987" s="12" t="str">
        <x:v>Large enterprise</x:v>
      </x:c>
      <x:c r="J2987" s="12" t="str">
        <x:v>IT &amp; digital</x:v>
      </x:c>
      <x:c r="K2987" s="2" t="str">
        <x:v>PARTNER-M120</x:v>
      </x:c>
    </x:row>
    <x:row r="2988" ht="46" customHeight="1">
      <x:c r="A2988" s="2" t="str">
        <x:v>TEN-CBC62794911F</x:v>
      </x:c>
      <x:c r="B2988" s="12" t="str">
        <x:v>Amazon</x:v>
      </x:c>
      <x:c r="C2988" s="12" t="str">
        <x:v>CORP-0538</x:v>
      </x:c>
      <x:c r="D2988" s="12" t="str">
        <x:v>Bengaluru</x:v>
      </x:c>
      <x:c r="E2988" s="12" t="str">
        <x:v>Bagmane World Technology Centre</x:v>
      </x:c>
      <x:c r="F2988" s="12" t="str">
        <x:v>55 inch</x:v>
      </x:c>
      <x:c r="G2988" s="20" t="n">
        <x:v>1</x:v>
      </x:c>
      <x:c r="H2988" s="12" t="str">
        <x:v>Campus/portfolio roster; individual building occupancy unverified</x:v>
      </x:c>
      <x:c r="I2988" s="12" t="str">
        <x:v>Large enterprise</x:v>
      </x:c>
      <x:c r="J2988" s="12" t="str">
        <x:v>IT &amp; digital</x:v>
      </x:c>
      <x:c r="K2988" s="2" t="str">
        <x:v>PARTNER-M120</x:v>
      </x:c>
    </x:row>
    <x:row r="2989" ht="46" customHeight="1">
      <x:c r="A2989" s="2" t="str">
        <x:v>TEN-D861EE362E38</x:v>
      </x:c>
      <x:c r="B2989" s="12" t="str">
        <x:v>Quotient</x:v>
      </x:c>
      <x:c r="C2989" s="12" t="str">
        <x:v>CORP-0538</x:v>
      </x:c>
      <x:c r="D2989" s="12" t="str">
        <x:v>Bengaluru</x:v>
      </x:c>
      <x:c r="E2989" s="12" t="str">
        <x:v>Bagmane World Technology Centre</x:v>
      </x:c>
      <x:c r="F2989" s="12" t="str">
        <x:v>55 inch</x:v>
      </x:c>
      <x:c r="G2989" s="20" t="n">
        <x:v>1</x:v>
      </x:c>
      <x:c r="H2989" s="12" t="str">
        <x:v>Campus/portfolio roster; individual building occupancy unverified</x:v>
      </x:c>
      <x:c r="I2989" s="12" t="str">
        <x:v>Mixed business audience</x:v>
      </x:c>
      <x:c r="J2989" s="12" t="str">
        <x:v>Unresolved</x:v>
      </x:c>
      <x:c r="K2989" s="2" t="str">
        <x:v>PARTNER-M120</x:v>
      </x:c>
    </x:row>
    <x:row r="2990" ht="46" customHeight="1">
      <x:c r="A2990" s="2" t="str">
        <x:v>TEN-DDF7FF5EBD9D</x:v>
      </x:c>
      <x:c r="B2990" s="12" t="str">
        <x:v>ARM</x:v>
      </x:c>
      <x:c r="C2990" s="12" t="str">
        <x:v>CORP-0538</x:v>
      </x:c>
      <x:c r="D2990" s="12" t="str">
        <x:v>Bengaluru</x:v>
      </x:c>
      <x:c r="E2990" s="12" t="str">
        <x:v>Bagmane World Technology Centre</x:v>
      </x:c>
      <x:c r="F2990" s="12" t="str">
        <x:v>55 inch</x:v>
      </x:c>
      <x:c r="G2990" s="20" t="n">
        <x:v>1</x:v>
      </x:c>
      <x:c r="H2990" s="12" t="str">
        <x:v>Campus/portfolio roster; individual building occupancy unverified</x:v>
      </x:c>
      <x:c r="I2990" s="12" t="str">
        <x:v>Mixed business audience</x:v>
      </x:c>
      <x:c r="J2990" s="12" t="str">
        <x:v>Engineering &amp; manufacturing</x:v>
      </x:c>
      <x:c r="K2990" s="2" t="str">
        <x:v>PARTNER-M120</x:v>
      </x:c>
    </x:row>
    <x:row r="2991" ht="46" customHeight="1">
      <x:c r="A2991" s="2" t="str">
        <x:v>TEN-DFAE2CFCA884</x:v>
      </x:c>
      <x:c r="B2991" s="12" t="str">
        <x:v>Xentrix</x:v>
      </x:c>
      <x:c r="C2991" s="12" t="str">
        <x:v>CORP-0538</x:v>
      </x:c>
      <x:c r="D2991" s="12" t="str">
        <x:v>Bengaluru</x:v>
      </x:c>
      <x:c r="E2991" s="12" t="str">
        <x:v>Bagmane World Technology Centre</x:v>
      </x:c>
      <x:c r="F2991" s="12" t="str">
        <x:v>55 inch</x:v>
      </x:c>
      <x:c r="G2991" s="20" t="n">
        <x:v>1</x:v>
      </x:c>
      <x:c r="H2991" s="12" t="str">
        <x:v>Campus/portfolio roster; individual building occupancy unverified</x:v>
      </x:c>
      <x:c r="I2991" s="12" t="str">
        <x:v>Small-scale prospects</x:v>
      </x:c>
      <x:c r="J2991" s="12" t="str">
        <x:v>Trade, consumer &amp; logistics</x:v>
      </x:c>
      <x:c r="K2991" s="2" t="str">
        <x:v>PARTNER-M120</x:v>
      </x:c>
    </x:row>
    <x:row r="2992" ht="46" customHeight="1">
      <x:c r="A2992" s="2" t="str">
        <x:v>TEN-E759968CA927</x:v>
      </x:c>
      <x:c r="B2992" s="12" t="str">
        <x:v>visa</x:v>
      </x:c>
      <x:c r="C2992" s="12" t="str">
        <x:v>CORP-0538</x:v>
      </x:c>
      <x:c r="D2992" s="12" t="str">
        <x:v>Bengaluru</x:v>
      </x:c>
      <x:c r="E2992" s="12" t="str">
        <x:v>Bagmane World Technology Centre</x:v>
      </x:c>
      <x:c r="F2992" s="12" t="str">
        <x:v>55 inch</x:v>
      </x:c>
      <x:c r="G2992" s="20" t="n">
        <x:v>1</x:v>
      </x:c>
      <x:c r="H2992" s="12" t="str">
        <x:v>Campus/portfolio roster; individual building occupancy unverified</x:v>
      </x:c>
      <x:c r="I2992" s="12" t="str">
        <x:v>Large enterprise</x:v>
      </x:c>
      <x:c r="J2992" s="12" t="str">
        <x:v>Finance &amp; insurance</x:v>
      </x:c>
      <x:c r="K2992" s="2" t="str">
        <x:v>PARTNER-M120</x:v>
      </x:c>
    </x:row>
    <x:row r="2993" ht="46" customHeight="1">
      <x:c r="A2993" s="2" t="str">
        <x:v>TEN-F2ED4886E20F</x:v>
      </x:c>
      <x:c r="B2993" s="12" t="str">
        <x:v>Ericsson</x:v>
      </x:c>
      <x:c r="C2993" s="12" t="str">
        <x:v>CORP-0538</x:v>
      </x:c>
      <x:c r="D2993" s="12" t="str">
        <x:v>Bengaluru</x:v>
      </x:c>
      <x:c r="E2993" s="12" t="str">
        <x:v>Bagmane World Technology Centre</x:v>
      </x:c>
      <x:c r="F2993" s="12" t="str">
        <x:v>55 inch</x:v>
      </x:c>
      <x:c r="G2993" s="20" t="n">
        <x:v>1</x:v>
      </x:c>
      <x:c r="H2993" s="12" t="str">
        <x:v>Campus/portfolio roster; individual building occupancy unverified</x:v>
      </x:c>
      <x:c r="I2993" s="12" t="str">
        <x:v>Large enterprise</x:v>
      </x:c>
      <x:c r="J2993" s="12" t="str">
        <x:v>IT &amp; digital</x:v>
      </x:c>
      <x:c r="K2993" s="2" t="str">
        <x:v>PARTNER-M120</x:v>
      </x:c>
    </x:row>
    <x:row r="2994" ht="46" customHeight="1">
      <x:c r="A2994" s="2" t="str">
        <x:v>TEN-16F45B99ABFD</x:v>
      </x:c>
      <x:c r="B2994" s="12" t="str">
        <x:v>Boeing</x:v>
      </x:c>
      <x:c r="C2994" s="12" t="str">
        <x:v>CORP-0539</x:v>
      </x:c>
      <x:c r="D2994" s="12" t="str">
        <x:v>Bengaluru</x:v>
      </x:c>
      <x:c r="E2994" s="12" t="str">
        <x:v>Bagmane World Technology Centre</x:v>
      </x:c>
      <x:c r="F2994" s="12" t="str">
        <x:v>55 inch</x:v>
      </x:c>
      <x:c r="G2994" s="20" t="n">
        <x:v>1</x:v>
      </x:c>
      <x:c r="H2994" s="12" t="str">
        <x:v>Campus/portfolio roster; individual building occupancy unverified</x:v>
      </x:c>
      <x:c r="I2994" s="12" t="str">
        <x:v>Large enterprise</x:v>
      </x:c>
      <x:c r="J2994" s="12" t="str">
        <x:v>Engineering &amp; manufacturing</x:v>
      </x:c>
      <x:c r="K2994" s="2" t="str">
        <x:v>PARTNER-M120</x:v>
      </x:c>
    </x:row>
    <x:row r="2995" ht="46" customHeight="1">
      <x:c r="A2995" s="2" t="str">
        <x:v>TEN-20E8BE98ADE9</x:v>
      </x:c>
      <x:c r="B2995" s="12" t="str">
        <x:v>Abinbev</x:v>
      </x:c>
      <x:c r="C2995" s="12" t="str">
        <x:v>CORP-0539</x:v>
      </x:c>
      <x:c r="D2995" s="12" t="str">
        <x:v>Bengaluru</x:v>
      </x:c>
      <x:c r="E2995" s="12" t="str">
        <x:v>Bagmane World Technology Centre</x:v>
      </x:c>
      <x:c r="F2995" s="12" t="str">
        <x:v>55 inch</x:v>
      </x:c>
      <x:c r="G2995" s="20" t="n">
        <x:v>1</x:v>
      </x:c>
      <x:c r="H2995" s="12" t="str">
        <x:v>Campus/portfolio roster; individual building occupancy unverified</x:v>
      </x:c>
      <x:c r="I2995" s="12" t="str">
        <x:v>Mixed business audience</x:v>
      </x:c>
      <x:c r="J2995" s="12" t="str">
        <x:v>Trade, consumer &amp; logistics</x:v>
      </x:c>
      <x:c r="K2995" s="2" t="str">
        <x:v>PARTNER-M120</x:v>
      </x:c>
    </x:row>
    <x:row r="2996" ht="46" customHeight="1">
      <x:c r="A2996" s="2" t="str">
        <x:v>TEN-2D844470A22E</x:v>
      </x:c>
      <x:c r="B2996" s="12" t="str">
        <x:v>Qsc</x:v>
      </x:c>
      <x:c r="C2996" s="12" t="str">
        <x:v>CORP-0539</x:v>
      </x:c>
      <x:c r="D2996" s="12" t="str">
        <x:v>Bengaluru</x:v>
      </x:c>
      <x:c r="E2996" s="12" t="str">
        <x:v>Bagmane World Technology Centre</x:v>
      </x:c>
      <x:c r="F2996" s="12" t="str">
        <x:v>55 inch</x:v>
      </x:c>
      <x:c r="G2996" s="20" t="n">
        <x:v>1</x:v>
      </x:c>
      <x:c r="H2996" s="12" t="str">
        <x:v>Campus/portfolio roster; individual building occupancy unverified</x:v>
      </x:c>
      <x:c r="I2996" s="12" t="str">
        <x:v>Mixed business audience</x:v>
      </x:c>
      <x:c r="J2996" s="12" t="str">
        <x:v>Unresolved</x:v>
      </x:c>
      <x:c r="K2996" s="2" t="str">
        <x:v>PARTNER-M120</x:v>
      </x:c>
    </x:row>
    <x:row r="2997" ht="46" customHeight="1">
      <x:c r="A2997" s="2" t="str">
        <x:v>TEN-35E87826D332</x:v>
      </x:c>
      <x:c r="B2997" s="12" t="str">
        <x:v>sifive</x:v>
      </x:c>
      <x:c r="C2997" s="12" t="str">
        <x:v>CORP-0539</x:v>
      </x:c>
      <x:c r="D2997" s="12" t="str">
        <x:v>Bengaluru</x:v>
      </x:c>
      <x:c r="E2997" s="12" t="str">
        <x:v>Bagmane World Technology Centre</x:v>
      </x:c>
      <x:c r="F2997" s="12" t="str">
        <x:v>55 inch</x:v>
      </x:c>
      <x:c r="G2997" s="20" t="n">
        <x:v>1</x:v>
      </x:c>
      <x:c r="H2997" s="12" t="str">
        <x:v>Campus/portfolio roster; individual building occupancy unverified</x:v>
      </x:c>
      <x:c r="I2997" s="12" t="str">
        <x:v>Mixed business audience</x:v>
      </x:c>
      <x:c r="J2997" s="12" t="str">
        <x:v>Engineering &amp; manufacturing</x:v>
      </x:c>
      <x:c r="K2997" s="2" t="str">
        <x:v>PARTNER-M120</x:v>
      </x:c>
    </x:row>
    <x:row r="2998" ht="46" customHeight="1">
      <x:c r="A2998" s="2" t="str">
        <x:v>TEN-4C5029DA39B5</x:v>
      </x:c>
      <x:c r="B2998" s="12" t="str">
        <x:v>Mediakind</x:v>
      </x:c>
      <x:c r="C2998" s="12" t="str">
        <x:v>CORP-0539</x:v>
      </x:c>
      <x:c r="D2998" s="12" t="str">
        <x:v>Bengaluru</x:v>
      </x:c>
      <x:c r="E2998" s="12" t="str">
        <x:v>Bagmane World Technology Centre</x:v>
      </x:c>
      <x:c r="F2998" s="12" t="str">
        <x:v>55 inch</x:v>
      </x:c>
      <x:c r="G2998" s="20" t="n">
        <x:v>1</x:v>
      </x:c>
      <x:c r="H2998" s="12" t="str">
        <x:v>Campus/portfolio roster; individual building occupancy unverified</x:v>
      </x:c>
      <x:c r="I2998" s="12" t="str">
        <x:v>Mixed business audience</x:v>
      </x:c>
      <x:c r="J2998" s="12" t="str">
        <x:v>Trade, consumer &amp; logistics</x:v>
      </x:c>
      <x:c r="K2998" s="2" t="str">
        <x:v>PARTNER-M120</x:v>
      </x:c>
    </x:row>
    <x:row r="2999" ht="46" customHeight="1">
      <x:c r="A2999" s="2" t="str">
        <x:v>TEN-4D748EBD71AF</x:v>
      </x:c>
      <x:c r="B2999" s="12" t="str">
        <x:v>Accenture</x:v>
      </x:c>
      <x:c r="C2999" s="12" t="str">
        <x:v>CORP-0539</x:v>
      </x:c>
      <x:c r="D2999" s="12" t="str">
        <x:v>Bengaluru</x:v>
      </x:c>
      <x:c r="E2999" s="12" t="str">
        <x:v>Bagmane World Technology Centre</x:v>
      </x:c>
      <x:c r="F2999" s="12" t="str">
        <x:v>55 inch</x:v>
      </x:c>
      <x:c r="G2999" s="20" t="n">
        <x:v>1</x:v>
      </x:c>
      <x:c r="H2999" s="12" t="str">
        <x:v>Campus/portfolio roster; individual building occupancy unverified</x:v>
      </x:c>
      <x:c r="I2999" s="12" t="str">
        <x:v>Large enterprise</x:v>
      </x:c>
      <x:c r="J2999" s="12" t="str">
        <x:v>IT &amp; digital</x:v>
      </x:c>
      <x:c r="K2999" s="2" t="str">
        <x:v>PARTNER-M120</x:v>
      </x:c>
    </x:row>
    <x:row r="3000" ht="46" customHeight="1">
      <x:c r="A3000" s="2" t="str">
        <x:v>TEN-65F96528B346</x:v>
      </x:c>
      <x:c r="B3000" s="12" t="str">
        <x:v>Iron Mountain</x:v>
      </x:c>
      <x:c r="C3000" s="12" t="str">
        <x:v>CORP-0539</x:v>
      </x:c>
      <x:c r="D3000" s="12" t="str">
        <x:v>Bengaluru</x:v>
      </x:c>
      <x:c r="E3000" s="12" t="str">
        <x:v>Bagmane World Technology Centre</x:v>
      </x:c>
      <x:c r="F3000" s="12" t="str">
        <x:v>55 inch</x:v>
      </x:c>
      <x:c r="G3000" s="20" t="n">
        <x:v>1</x:v>
      </x:c>
      <x:c r="H3000" s="12" t="str">
        <x:v>Campus/portfolio roster; individual building occupancy unverified</x:v>
      </x:c>
      <x:c r="I3000" s="12" t="str">
        <x:v>Large enterprise</x:v>
      </x:c>
      <x:c r="J3000" s="12" t="str">
        <x:v>Trade, consumer &amp; logistics</x:v>
      </x:c>
      <x:c r="K3000" s="2" t="str">
        <x:v>PARTNER-M120</x:v>
      </x:c>
    </x:row>
    <x:row r="3001" ht="46" customHeight="1">
      <x:c r="A3001" s="2" t="str">
        <x:v>TEN-69A068939DEA</x:v>
      </x:c>
      <x:c r="B3001" s="12" t="str">
        <x:v>Ernst and Young</x:v>
      </x:c>
      <x:c r="C3001" s="12" t="str">
        <x:v>CORP-0539</x:v>
      </x:c>
      <x:c r="D3001" s="12" t="str">
        <x:v>Bengaluru</x:v>
      </x:c>
      <x:c r="E3001" s="12" t="str">
        <x:v>Bagmane World Technology Centre</x:v>
      </x:c>
      <x:c r="F3001" s="12" t="str">
        <x:v>55 inch</x:v>
      </x:c>
      <x:c r="G3001" s="20" t="n">
        <x:v>1</x:v>
      </x:c>
      <x:c r="H3001" s="12" t="str">
        <x:v>Campus/portfolio roster; individual building occupancy unverified</x:v>
      </x:c>
      <x:c r="I3001" s="12" t="str">
        <x:v>Large enterprise</x:v>
      </x:c>
      <x:c r="J3001" s="12" t="str">
        <x:v>Professional services</x:v>
      </x:c>
      <x:c r="K3001" s="2" t="str">
        <x:v>PARTNER-M120</x:v>
      </x:c>
    </x:row>
    <x:row r="3002" ht="46" customHeight="1">
      <x:c r="A3002" s="2" t="str">
        <x:v>TEN-719F53D2AD92</x:v>
      </x:c>
      <x:c r="B3002" s="12" t="str">
        <x:v>EMC- Dell</x:v>
      </x:c>
      <x:c r="C3002" s="12" t="str">
        <x:v>CORP-0539</x:v>
      </x:c>
      <x:c r="D3002" s="12" t="str">
        <x:v>Bengaluru</x:v>
      </x:c>
      <x:c r="E3002" s="12" t="str">
        <x:v>Bagmane World Technology Centre</x:v>
      </x:c>
      <x:c r="F3002" s="12" t="str">
        <x:v>55 inch</x:v>
      </x:c>
      <x:c r="G3002" s="20" t="n">
        <x:v>1</x:v>
      </x:c>
      <x:c r="H3002" s="12" t="str">
        <x:v>Campus/portfolio roster; individual building occupancy unverified</x:v>
      </x:c>
      <x:c r="I3002" s="12" t="str">
        <x:v>Mixed business audience</x:v>
      </x:c>
      <x:c r="J3002" s="12" t="str">
        <x:v>IT &amp; digital</x:v>
      </x:c>
      <x:c r="K3002" s="2" t="str">
        <x:v>PARTNER-M120</x:v>
      </x:c>
    </x:row>
    <x:row r="3003" ht="46" customHeight="1">
      <x:c r="A3003" s="2" t="str">
        <x:v>TEN-7CA58AD857DB</x:v>
      </x:c>
      <x:c r="B3003" s="12" t="str">
        <x:v>Zyeus</x:v>
      </x:c>
      <x:c r="C3003" s="12" t="str">
        <x:v>CORP-0539</x:v>
      </x:c>
      <x:c r="D3003" s="12" t="str">
        <x:v>Bengaluru</x:v>
      </x:c>
      <x:c r="E3003" s="12" t="str">
        <x:v>Bagmane World Technology Centre</x:v>
      </x:c>
      <x:c r="F3003" s="12" t="str">
        <x:v>55 inch</x:v>
      </x:c>
      <x:c r="G3003" s="20" t="n">
        <x:v>1</x:v>
      </x:c>
      <x:c r="H3003" s="12" t="str">
        <x:v>Campus/portfolio roster; individual building occupancy unverified</x:v>
      </x:c>
      <x:c r="I3003" s="12" t="str">
        <x:v>Mixed business audience</x:v>
      </x:c>
      <x:c r="J3003" s="12" t="str">
        <x:v>Unresolved</x:v>
      </x:c>
      <x:c r="K3003" s="2" t="str">
        <x:v>PARTNER-M120</x:v>
      </x:c>
    </x:row>
    <x:row r="3004" ht="46" customHeight="1">
      <x:c r="A3004" s="2" t="str">
        <x:v>TEN-8D4321D93632</x:v>
      </x:c>
      <x:c r="B3004" s="12" t="str">
        <x:v>Nvidia</x:v>
      </x:c>
      <x:c r="C3004" s="12" t="str">
        <x:v>CORP-0539</x:v>
      </x:c>
      <x:c r="D3004" s="12" t="str">
        <x:v>Bengaluru</x:v>
      </x:c>
      <x:c r="E3004" s="12" t="str">
        <x:v>Bagmane World Technology Centre</x:v>
      </x:c>
      <x:c r="F3004" s="12" t="str">
        <x:v>55 inch</x:v>
      </x:c>
      <x:c r="G3004" s="20" t="n">
        <x:v>1</x:v>
      </x:c>
      <x:c r="H3004" s="12" t="str">
        <x:v>Campus/portfolio roster; individual building occupancy unverified</x:v>
      </x:c>
      <x:c r="I3004" s="12" t="str">
        <x:v>Large enterprise</x:v>
      </x:c>
      <x:c r="J3004" s="12" t="str">
        <x:v>Engineering &amp; manufacturing</x:v>
      </x:c>
      <x:c r="K3004" s="2" t="str">
        <x:v>PARTNER-M120</x:v>
      </x:c>
    </x:row>
    <x:row r="3005" ht="46" customHeight="1">
      <x:c r="A3005" s="2" t="str">
        <x:v>TEN-968E2D5B0868</x:v>
      </x:c>
      <x:c r="B3005" s="12" t="str">
        <x:v>Samsung</x:v>
      </x:c>
      <x:c r="C3005" s="12" t="str">
        <x:v>CORP-0539</x:v>
      </x:c>
      <x:c r="D3005" s="12" t="str">
        <x:v>Bengaluru</x:v>
      </x:c>
      <x:c r="E3005" s="12" t="str">
        <x:v>Bagmane World Technology Centre</x:v>
      </x:c>
      <x:c r="F3005" s="12" t="str">
        <x:v>55 inch</x:v>
      </x:c>
      <x:c r="G3005" s="20" t="n">
        <x:v>1</x:v>
      </x:c>
      <x:c r="H3005" s="12" t="str">
        <x:v>Campus/portfolio roster; individual building occupancy unverified</x:v>
      </x:c>
      <x:c r="I3005" s="12" t="str">
        <x:v>Large enterprise</x:v>
      </x:c>
      <x:c r="J3005" s="12" t="str">
        <x:v>Engineering &amp; manufacturing</x:v>
      </x:c>
      <x:c r="K3005" s="2" t="str">
        <x:v>PARTNER-M120</x:v>
      </x:c>
    </x:row>
    <x:row r="3006" ht="46" customHeight="1">
      <x:c r="A3006" s="2" t="str">
        <x:v>TEN-A88C31E9B91F</x:v>
      </x:c>
      <x:c r="B3006" s="12" t="str">
        <x:v>Microland</x:v>
      </x:c>
      <x:c r="C3006" s="12" t="str">
        <x:v>CORP-0539</x:v>
      </x:c>
      <x:c r="D3006" s="12" t="str">
        <x:v>Bengaluru</x:v>
      </x:c>
      <x:c r="E3006" s="12" t="str">
        <x:v>Bagmane World Technology Centre</x:v>
      </x:c>
      <x:c r="F3006" s="12" t="str">
        <x:v>55 inch</x:v>
      </x:c>
      <x:c r="G3006" s="20" t="n">
        <x:v>1</x:v>
      </x:c>
      <x:c r="H3006" s="12" t="str">
        <x:v>Campus/portfolio roster; individual building occupancy unverified</x:v>
      </x:c>
      <x:c r="I3006" s="12" t="str">
        <x:v>Mixed business audience</x:v>
      </x:c>
      <x:c r="J3006" s="12" t="str">
        <x:v>IT &amp; digital</x:v>
      </x:c>
      <x:c r="K3006" s="2" t="str">
        <x:v>PARTNER-M120</x:v>
      </x:c>
    </x:row>
    <x:row r="3007" ht="46" customHeight="1">
      <x:c r="A3007" s="2" t="str">
        <x:v>TEN-BBDEFA2950F4</x:v>
      </x:c>
      <x:c r="B3007" s="12" t="str">
        <x:v>Google</x:v>
      </x:c>
      <x:c r="C3007" s="12" t="str">
        <x:v>CORP-0539</x:v>
      </x:c>
      <x:c r="D3007" s="12" t="str">
        <x:v>Bengaluru</x:v>
      </x:c>
      <x:c r="E3007" s="12" t="str">
        <x:v>Bagmane World Technology Centre</x:v>
      </x:c>
      <x:c r="F3007" s="12" t="str">
        <x:v>55 inch</x:v>
      </x:c>
      <x:c r="G3007" s="20" t="n">
        <x:v>1</x:v>
      </x:c>
      <x:c r="H3007" s="12" t="str">
        <x:v>Campus/portfolio roster; individual building occupancy unverified</x:v>
      </x:c>
      <x:c r="I3007" s="12" t="str">
        <x:v>Large enterprise</x:v>
      </x:c>
      <x:c r="J3007" s="12" t="str">
        <x:v>IT &amp; digital</x:v>
      </x:c>
      <x:c r="K3007" s="2" t="str">
        <x:v>PARTNER-M120</x:v>
      </x:c>
    </x:row>
    <x:row r="3008" ht="46" customHeight="1">
      <x:c r="A3008" s="2" t="str">
        <x:v>TEN-C63AC00C4D11</x:v>
      </x:c>
      <x:c r="B3008" s="12" t="str">
        <x:v>Mphasis</x:v>
      </x:c>
      <x:c r="C3008" s="12" t="str">
        <x:v>CORP-0539</x:v>
      </x:c>
      <x:c r="D3008" s="12" t="str">
        <x:v>Bengaluru</x:v>
      </x:c>
      <x:c r="E3008" s="12" t="str">
        <x:v>Bagmane World Technology Centre</x:v>
      </x:c>
      <x:c r="F3008" s="12" t="str">
        <x:v>55 inch</x:v>
      </x:c>
      <x:c r="G3008" s="20" t="n">
        <x:v>1</x:v>
      </x:c>
      <x:c r="H3008" s="12" t="str">
        <x:v>Campus/portfolio roster; individual building occupancy unverified</x:v>
      </x:c>
      <x:c r="I3008" s="12" t="str">
        <x:v>Large enterprise</x:v>
      </x:c>
      <x:c r="J3008" s="12" t="str">
        <x:v>IT &amp; digital</x:v>
      </x:c>
      <x:c r="K3008" s="2" t="str">
        <x:v>PARTNER-M120</x:v>
      </x:c>
    </x:row>
    <x:row r="3009" ht="46" customHeight="1">
      <x:c r="A3009" s="2" t="str">
        <x:v>TEN-CBC62794911F</x:v>
      </x:c>
      <x:c r="B3009" s="12" t="str">
        <x:v>Amazon</x:v>
      </x:c>
      <x:c r="C3009" s="12" t="str">
        <x:v>CORP-0539</x:v>
      </x:c>
      <x:c r="D3009" s="12" t="str">
        <x:v>Bengaluru</x:v>
      </x:c>
      <x:c r="E3009" s="12" t="str">
        <x:v>Bagmane World Technology Centre</x:v>
      </x:c>
      <x:c r="F3009" s="12" t="str">
        <x:v>55 inch</x:v>
      </x:c>
      <x:c r="G3009" s="20" t="n">
        <x:v>1</x:v>
      </x:c>
      <x:c r="H3009" s="12" t="str">
        <x:v>Campus/portfolio roster; individual building occupancy unverified</x:v>
      </x:c>
      <x:c r="I3009" s="12" t="str">
        <x:v>Large enterprise</x:v>
      </x:c>
      <x:c r="J3009" s="12" t="str">
        <x:v>IT &amp; digital</x:v>
      </x:c>
      <x:c r="K3009" s="2" t="str">
        <x:v>PARTNER-M120</x:v>
      </x:c>
    </x:row>
    <x:row r="3010" ht="46" customHeight="1">
      <x:c r="A3010" s="2" t="str">
        <x:v>TEN-D861EE362E38</x:v>
      </x:c>
      <x:c r="B3010" s="12" t="str">
        <x:v>Quotient</x:v>
      </x:c>
      <x:c r="C3010" s="12" t="str">
        <x:v>CORP-0539</x:v>
      </x:c>
      <x:c r="D3010" s="12" t="str">
        <x:v>Bengaluru</x:v>
      </x:c>
      <x:c r="E3010" s="12" t="str">
        <x:v>Bagmane World Technology Centre</x:v>
      </x:c>
      <x:c r="F3010" s="12" t="str">
        <x:v>55 inch</x:v>
      </x:c>
      <x:c r="G3010" s="20" t="n">
        <x:v>1</x:v>
      </x:c>
      <x:c r="H3010" s="12" t="str">
        <x:v>Campus/portfolio roster; individual building occupancy unverified</x:v>
      </x:c>
      <x:c r="I3010" s="12" t="str">
        <x:v>Mixed business audience</x:v>
      </x:c>
      <x:c r="J3010" s="12" t="str">
        <x:v>Unresolved</x:v>
      </x:c>
      <x:c r="K3010" s="2" t="str">
        <x:v>PARTNER-M120</x:v>
      </x:c>
    </x:row>
    <x:row r="3011" ht="46" customHeight="1">
      <x:c r="A3011" s="2" t="str">
        <x:v>TEN-DDF7FF5EBD9D</x:v>
      </x:c>
      <x:c r="B3011" s="12" t="str">
        <x:v>ARM</x:v>
      </x:c>
      <x:c r="C3011" s="12" t="str">
        <x:v>CORP-0539</x:v>
      </x:c>
      <x:c r="D3011" s="12" t="str">
        <x:v>Bengaluru</x:v>
      </x:c>
      <x:c r="E3011" s="12" t="str">
        <x:v>Bagmane World Technology Centre</x:v>
      </x:c>
      <x:c r="F3011" s="12" t="str">
        <x:v>55 inch</x:v>
      </x:c>
      <x:c r="G3011" s="20" t="n">
        <x:v>1</x:v>
      </x:c>
      <x:c r="H3011" s="12" t="str">
        <x:v>Campus/portfolio roster; individual building occupancy unverified</x:v>
      </x:c>
      <x:c r="I3011" s="12" t="str">
        <x:v>Mixed business audience</x:v>
      </x:c>
      <x:c r="J3011" s="12" t="str">
        <x:v>Engineering &amp; manufacturing</x:v>
      </x:c>
      <x:c r="K3011" s="2" t="str">
        <x:v>PARTNER-M120</x:v>
      </x:c>
    </x:row>
    <x:row r="3012" ht="46" customHeight="1">
      <x:c r="A3012" s="2" t="str">
        <x:v>TEN-DFAE2CFCA884</x:v>
      </x:c>
      <x:c r="B3012" s="12" t="str">
        <x:v>Xentrix</x:v>
      </x:c>
      <x:c r="C3012" s="12" t="str">
        <x:v>CORP-0539</x:v>
      </x:c>
      <x:c r="D3012" s="12" t="str">
        <x:v>Bengaluru</x:v>
      </x:c>
      <x:c r="E3012" s="12" t="str">
        <x:v>Bagmane World Technology Centre</x:v>
      </x:c>
      <x:c r="F3012" s="12" t="str">
        <x:v>55 inch</x:v>
      </x:c>
      <x:c r="G3012" s="20" t="n">
        <x:v>1</x:v>
      </x:c>
      <x:c r="H3012" s="12" t="str">
        <x:v>Campus/portfolio roster; individual building occupancy unverified</x:v>
      </x:c>
      <x:c r="I3012" s="12" t="str">
        <x:v>Small-scale prospects</x:v>
      </x:c>
      <x:c r="J3012" s="12" t="str">
        <x:v>Trade, consumer &amp; logistics</x:v>
      </x:c>
      <x:c r="K3012" s="2" t="str">
        <x:v>PARTNER-M120</x:v>
      </x:c>
    </x:row>
    <x:row r="3013" ht="46" customHeight="1">
      <x:c r="A3013" s="2" t="str">
        <x:v>TEN-E759968CA927</x:v>
      </x:c>
      <x:c r="B3013" s="12" t="str">
        <x:v>visa</x:v>
      </x:c>
      <x:c r="C3013" s="12" t="str">
        <x:v>CORP-0539</x:v>
      </x:c>
      <x:c r="D3013" s="12" t="str">
        <x:v>Bengaluru</x:v>
      </x:c>
      <x:c r="E3013" s="12" t="str">
        <x:v>Bagmane World Technology Centre</x:v>
      </x:c>
      <x:c r="F3013" s="12" t="str">
        <x:v>55 inch</x:v>
      </x:c>
      <x:c r="G3013" s="20" t="n">
        <x:v>1</x:v>
      </x:c>
      <x:c r="H3013" s="12" t="str">
        <x:v>Campus/portfolio roster; individual building occupancy unverified</x:v>
      </x:c>
      <x:c r="I3013" s="12" t="str">
        <x:v>Large enterprise</x:v>
      </x:c>
      <x:c r="J3013" s="12" t="str">
        <x:v>Finance &amp; insurance</x:v>
      </x:c>
      <x:c r="K3013" s="2" t="str">
        <x:v>PARTNER-M120</x:v>
      </x:c>
    </x:row>
    <x:row r="3014" ht="46" customHeight="1">
      <x:c r="A3014" s="2" t="str">
        <x:v>TEN-F2ED4886E20F</x:v>
      </x:c>
      <x:c r="B3014" s="12" t="str">
        <x:v>Ericsson</x:v>
      </x:c>
      <x:c r="C3014" s="12" t="str">
        <x:v>CORP-0539</x:v>
      </x:c>
      <x:c r="D3014" s="12" t="str">
        <x:v>Bengaluru</x:v>
      </x:c>
      <x:c r="E3014" s="12" t="str">
        <x:v>Bagmane World Technology Centre</x:v>
      </x:c>
      <x:c r="F3014" s="12" t="str">
        <x:v>55 inch</x:v>
      </x:c>
      <x:c r="G3014" s="20" t="n">
        <x:v>1</x:v>
      </x:c>
      <x:c r="H3014" s="12" t="str">
        <x:v>Campus/portfolio roster; individual building occupancy unverified</x:v>
      </x:c>
      <x:c r="I3014" s="12" t="str">
        <x:v>Large enterprise</x:v>
      </x:c>
      <x:c r="J3014" s="12" t="str">
        <x:v>IT &amp; digital</x:v>
      </x:c>
      <x:c r="K3014" s="2" t="str">
        <x:v>PARTNER-M120</x:v>
      </x:c>
    </x:row>
    <x:row r="3015" ht="46" customHeight="1">
      <x:c r="A3015" s="2" t="str">
        <x:v>TEN-16F45B99ABFD</x:v>
      </x:c>
      <x:c r="B3015" s="12" t="str">
        <x:v>Boeing</x:v>
      </x:c>
      <x:c r="C3015" s="12" t="str">
        <x:v>CORP-0540</x:v>
      </x:c>
      <x:c r="D3015" s="12" t="str">
        <x:v>Bengaluru</x:v>
      </x:c>
      <x:c r="E3015" s="12" t="str">
        <x:v>Bagmane World Technology Centre</x:v>
      </x:c>
      <x:c r="F3015" s="12" t="str">
        <x:v>55 inch</x:v>
      </x:c>
      <x:c r="G3015" s="20" t="n">
        <x:v>1</x:v>
      </x:c>
      <x:c r="H3015" s="12" t="str">
        <x:v>Campus/portfolio roster; individual building occupancy unverified</x:v>
      </x:c>
      <x:c r="I3015" s="12" t="str">
        <x:v>Large enterprise</x:v>
      </x:c>
      <x:c r="J3015" s="12" t="str">
        <x:v>Engineering &amp; manufacturing</x:v>
      </x:c>
      <x:c r="K3015" s="2" t="str">
        <x:v>PARTNER-M120</x:v>
      </x:c>
    </x:row>
    <x:row r="3016" ht="46" customHeight="1">
      <x:c r="A3016" s="2" t="str">
        <x:v>TEN-20E8BE98ADE9</x:v>
      </x:c>
      <x:c r="B3016" s="12" t="str">
        <x:v>Abinbev</x:v>
      </x:c>
      <x:c r="C3016" s="12" t="str">
        <x:v>CORP-0540</x:v>
      </x:c>
      <x:c r="D3016" s="12" t="str">
        <x:v>Bengaluru</x:v>
      </x:c>
      <x:c r="E3016" s="12" t="str">
        <x:v>Bagmane World Technology Centre</x:v>
      </x:c>
      <x:c r="F3016" s="12" t="str">
        <x:v>55 inch</x:v>
      </x:c>
      <x:c r="G3016" s="20" t="n">
        <x:v>1</x:v>
      </x:c>
      <x:c r="H3016" s="12" t="str">
        <x:v>Campus/portfolio roster; individual building occupancy unverified</x:v>
      </x:c>
      <x:c r="I3016" s="12" t="str">
        <x:v>Mixed business audience</x:v>
      </x:c>
      <x:c r="J3016" s="12" t="str">
        <x:v>Trade, consumer &amp; logistics</x:v>
      </x:c>
      <x:c r="K3016" s="2" t="str">
        <x:v>PARTNER-M120</x:v>
      </x:c>
    </x:row>
    <x:row r="3017" ht="46" customHeight="1">
      <x:c r="A3017" s="2" t="str">
        <x:v>TEN-2D844470A22E</x:v>
      </x:c>
      <x:c r="B3017" s="12" t="str">
        <x:v>Qsc</x:v>
      </x:c>
      <x:c r="C3017" s="12" t="str">
        <x:v>CORP-0540</x:v>
      </x:c>
      <x:c r="D3017" s="12" t="str">
        <x:v>Bengaluru</x:v>
      </x:c>
      <x:c r="E3017" s="12" t="str">
        <x:v>Bagmane World Technology Centre</x:v>
      </x:c>
      <x:c r="F3017" s="12" t="str">
        <x:v>55 inch</x:v>
      </x:c>
      <x:c r="G3017" s="20" t="n">
        <x:v>1</x:v>
      </x:c>
      <x:c r="H3017" s="12" t="str">
        <x:v>Campus/portfolio roster; individual building occupancy unverified</x:v>
      </x:c>
      <x:c r="I3017" s="12" t="str">
        <x:v>Mixed business audience</x:v>
      </x:c>
      <x:c r="J3017" s="12" t="str">
        <x:v>Unresolved</x:v>
      </x:c>
      <x:c r="K3017" s="2" t="str">
        <x:v>PARTNER-M120</x:v>
      </x:c>
    </x:row>
    <x:row r="3018" ht="46" customHeight="1">
      <x:c r="A3018" s="2" t="str">
        <x:v>TEN-35E87826D332</x:v>
      </x:c>
      <x:c r="B3018" s="12" t="str">
        <x:v>sifive</x:v>
      </x:c>
      <x:c r="C3018" s="12" t="str">
        <x:v>CORP-0540</x:v>
      </x:c>
      <x:c r="D3018" s="12" t="str">
        <x:v>Bengaluru</x:v>
      </x:c>
      <x:c r="E3018" s="12" t="str">
        <x:v>Bagmane World Technology Centre</x:v>
      </x:c>
      <x:c r="F3018" s="12" t="str">
        <x:v>55 inch</x:v>
      </x:c>
      <x:c r="G3018" s="20" t="n">
        <x:v>1</x:v>
      </x:c>
      <x:c r="H3018" s="12" t="str">
        <x:v>Campus/portfolio roster; individual building occupancy unverified</x:v>
      </x:c>
      <x:c r="I3018" s="12" t="str">
        <x:v>Mixed business audience</x:v>
      </x:c>
      <x:c r="J3018" s="12" t="str">
        <x:v>Engineering &amp; manufacturing</x:v>
      </x:c>
      <x:c r="K3018" s="2" t="str">
        <x:v>PARTNER-M120</x:v>
      </x:c>
    </x:row>
    <x:row r="3019" ht="46" customHeight="1">
      <x:c r="A3019" s="2" t="str">
        <x:v>TEN-4C5029DA39B5</x:v>
      </x:c>
      <x:c r="B3019" s="12" t="str">
        <x:v>Mediakind</x:v>
      </x:c>
      <x:c r="C3019" s="12" t="str">
        <x:v>CORP-0540</x:v>
      </x:c>
      <x:c r="D3019" s="12" t="str">
        <x:v>Bengaluru</x:v>
      </x:c>
      <x:c r="E3019" s="12" t="str">
        <x:v>Bagmane World Technology Centre</x:v>
      </x:c>
      <x:c r="F3019" s="12" t="str">
        <x:v>55 inch</x:v>
      </x:c>
      <x:c r="G3019" s="20" t="n">
        <x:v>1</x:v>
      </x:c>
      <x:c r="H3019" s="12" t="str">
        <x:v>Campus/portfolio roster; individual building occupancy unverified</x:v>
      </x:c>
      <x:c r="I3019" s="12" t="str">
        <x:v>Mixed business audience</x:v>
      </x:c>
      <x:c r="J3019" s="12" t="str">
        <x:v>Trade, consumer &amp; logistics</x:v>
      </x:c>
      <x:c r="K3019" s="2" t="str">
        <x:v>PARTNER-M120</x:v>
      </x:c>
    </x:row>
    <x:row r="3020" ht="46" customHeight="1">
      <x:c r="A3020" s="2" t="str">
        <x:v>TEN-4D748EBD71AF</x:v>
      </x:c>
      <x:c r="B3020" s="12" t="str">
        <x:v>Accenture</x:v>
      </x:c>
      <x:c r="C3020" s="12" t="str">
        <x:v>CORP-0540</x:v>
      </x:c>
      <x:c r="D3020" s="12" t="str">
        <x:v>Bengaluru</x:v>
      </x:c>
      <x:c r="E3020" s="12" t="str">
        <x:v>Bagmane World Technology Centre</x:v>
      </x:c>
      <x:c r="F3020" s="12" t="str">
        <x:v>55 inch</x:v>
      </x:c>
      <x:c r="G3020" s="20" t="n">
        <x:v>1</x:v>
      </x:c>
      <x:c r="H3020" s="12" t="str">
        <x:v>Campus/portfolio roster; individual building occupancy unverified</x:v>
      </x:c>
      <x:c r="I3020" s="12" t="str">
        <x:v>Large enterprise</x:v>
      </x:c>
      <x:c r="J3020" s="12" t="str">
        <x:v>IT &amp; digital</x:v>
      </x:c>
      <x:c r="K3020" s="2" t="str">
        <x:v>PARTNER-M120</x:v>
      </x:c>
    </x:row>
    <x:row r="3021" ht="46" customHeight="1">
      <x:c r="A3021" s="2" t="str">
        <x:v>TEN-65F96528B346</x:v>
      </x:c>
      <x:c r="B3021" s="12" t="str">
        <x:v>Iron Mountain</x:v>
      </x:c>
      <x:c r="C3021" s="12" t="str">
        <x:v>CORP-0540</x:v>
      </x:c>
      <x:c r="D3021" s="12" t="str">
        <x:v>Bengaluru</x:v>
      </x:c>
      <x:c r="E3021" s="12" t="str">
        <x:v>Bagmane World Technology Centre</x:v>
      </x:c>
      <x:c r="F3021" s="12" t="str">
        <x:v>55 inch</x:v>
      </x:c>
      <x:c r="G3021" s="20" t="n">
        <x:v>1</x:v>
      </x:c>
      <x:c r="H3021" s="12" t="str">
        <x:v>Campus/portfolio roster; individual building occupancy unverified</x:v>
      </x:c>
      <x:c r="I3021" s="12" t="str">
        <x:v>Large enterprise</x:v>
      </x:c>
      <x:c r="J3021" s="12" t="str">
        <x:v>Trade, consumer &amp; logistics</x:v>
      </x:c>
      <x:c r="K3021" s="2" t="str">
        <x:v>PARTNER-M120</x:v>
      </x:c>
    </x:row>
    <x:row r="3022" ht="46" customHeight="1">
      <x:c r="A3022" s="2" t="str">
        <x:v>TEN-69A068939DEA</x:v>
      </x:c>
      <x:c r="B3022" s="12" t="str">
        <x:v>Ernst and Young</x:v>
      </x:c>
      <x:c r="C3022" s="12" t="str">
        <x:v>CORP-0540</x:v>
      </x:c>
      <x:c r="D3022" s="12" t="str">
        <x:v>Bengaluru</x:v>
      </x:c>
      <x:c r="E3022" s="12" t="str">
        <x:v>Bagmane World Technology Centre</x:v>
      </x:c>
      <x:c r="F3022" s="12" t="str">
        <x:v>55 inch</x:v>
      </x:c>
      <x:c r="G3022" s="20" t="n">
        <x:v>1</x:v>
      </x:c>
      <x:c r="H3022" s="12" t="str">
        <x:v>Campus/portfolio roster; individual building occupancy unverified</x:v>
      </x:c>
      <x:c r="I3022" s="12" t="str">
        <x:v>Large enterprise</x:v>
      </x:c>
      <x:c r="J3022" s="12" t="str">
        <x:v>Professional services</x:v>
      </x:c>
      <x:c r="K3022" s="2" t="str">
        <x:v>PARTNER-M120</x:v>
      </x:c>
    </x:row>
    <x:row r="3023" ht="46" customHeight="1">
      <x:c r="A3023" s="2" t="str">
        <x:v>TEN-719F53D2AD92</x:v>
      </x:c>
      <x:c r="B3023" s="12" t="str">
        <x:v>EMC- Dell</x:v>
      </x:c>
      <x:c r="C3023" s="12" t="str">
        <x:v>CORP-0540</x:v>
      </x:c>
      <x:c r="D3023" s="12" t="str">
        <x:v>Bengaluru</x:v>
      </x:c>
      <x:c r="E3023" s="12" t="str">
        <x:v>Bagmane World Technology Centre</x:v>
      </x:c>
      <x:c r="F3023" s="12" t="str">
        <x:v>55 inch</x:v>
      </x:c>
      <x:c r="G3023" s="20" t="n">
        <x:v>1</x:v>
      </x:c>
      <x:c r="H3023" s="12" t="str">
        <x:v>Campus/portfolio roster; individual building occupancy unverified</x:v>
      </x:c>
      <x:c r="I3023" s="12" t="str">
        <x:v>Mixed business audience</x:v>
      </x:c>
      <x:c r="J3023" s="12" t="str">
        <x:v>IT &amp; digital</x:v>
      </x:c>
      <x:c r="K3023" s="2" t="str">
        <x:v>PARTNER-M120</x:v>
      </x:c>
    </x:row>
    <x:row r="3024" ht="46" customHeight="1">
      <x:c r="A3024" s="2" t="str">
        <x:v>TEN-7CA58AD857DB</x:v>
      </x:c>
      <x:c r="B3024" s="12" t="str">
        <x:v>Zyeus</x:v>
      </x:c>
      <x:c r="C3024" s="12" t="str">
        <x:v>CORP-0540</x:v>
      </x:c>
      <x:c r="D3024" s="12" t="str">
        <x:v>Bengaluru</x:v>
      </x:c>
      <x:c r="E3024" s="12" t="str">
        <x:v>Bagmane World Technology Centre</x:v>
      </x:c>
      <x:c r="F3024" s="12" t="str">
        <x:v>55 inch</x:v>
      </x:c>
      <x:c r="G3024" s="20" t="n">
        <x:v>1</x:v>
      </x:c>
      <x:c r="H3024" s="12" t="str">
        <x:v>Campus/portfolio roster; individual building occupancy unverified</x:v>
      </x:c>
      <x:c r="I3024" s="12" t="str">
        <x:v>Mixed business audience</x:v>
      </x:c>
      <x:c r="J3024" s="12" t="str">
        <x:v>Unresolved</x:v>
      </x:c>
      <x:c r="K3024" s="2" t="str">
        <x:v>PARTNER-M120</x:v>
      </x:c>
    </x:row>
    <x:row r="3025" ht="46" customHeight="1">
      <x:c r="A3025" s="2" t="str">
        <x:v>TEN-8D4321D93632</x:v>
      </x:c>
      <x:c r="B3025" s="12" t="str">
        <x:v>Nvidia</x:v>
      </x:c>
      <x:c r="C3025" s="12" t="str">
        <x:v>CORP-0540</x:v>
      </x:c>
      <x:c r="D3025" s="12" t="str">
        <x:v>Bengaluru</x:v>
      </x:c>
      <x:c r="E3025" s="12" t="str">
        <x:v>Bagmane World Technology Centre</x:v>
      </x:c>
      <x:c r="F3025" s="12" t="str">
        <x:v>55 inch</x:v>
      </x:c>
      <x:c r="G3025" s="20" t="n">
        <x:v>1</x:v>
      </x:c>
      <x:c r="H3025" s="12" t="str">
        <x:v>Campus/portfolio roster; individual building occupancy unverified</x:v>
      </x:c>
      <x:c r="I3025" s="12" t="str">
        <x:v>Large enterprise</x:v>
      </x:c>
      <x:c r="J3025" s="12" t="str">
        <x:v>Engineering &amp; manufacturing</x:v>
      </x:c>
      <x:c r="K3025" s="2" t="str">
        <x:v>PARTNER-M120</x:v>
      </x:c>
    </x:row>
    <x:row r="3026" ht="46" customHeight="1">
      <x:c r="A3026" s="2" t="str">
        <x:v>TEN-968E2D5B0868</x:v>
      </x:c>
      <x:c r="B3026" s="12" t="str">
        <x:v>Samsung</x:v>
      </x:c>
      <x:c r="C3026" s="12" t="str">
        <x:v>CORP-0540</x:v>
      </x:c>
      <x:c r="D3026" s="12" t="str">
        <x:v>Bengaluru</x:v>
      </x:c>
      <x:c r="E3026" s="12" t="str">
        <x:v>Bagmane World Technology Centre</x:v>
      </x:c>
      <x:c r="F3026" s="12" t="str">
        <x:v>55 inch</x:v>
      </x:c>
      <x:c r="G3026" s="20" t="n">
        <x:v>1</x:v>
      </x:c>
      <x:c r="H3026" s="12" t="str">
        <x:v>Campus/portfolio roster; individual building occupancy unverified</x:v>
      </x:c>
      <x:c r="I3026" s="12" t="str">
        <x:v>Large enterprise</x:v>
      </x:c>
      <x:c r="J3026" s="12" t="str">
        <x:v>Engineering &amp; manufacturing</x:v>
      </x:c>
      <x:c r="K3026" s="2" t="str">
        <x:v>PARTNER-M120</x:v>
      </x:c>
    </x:row>
    <x:row r="3027" ht="46" customHeight="1">
      <x:c r="A3027" s="2" t="str">
        <x:v>TEN-A88C31E9B91F</x:v>
      </x:c>
      <x:c r="B3027" s="12" t="str">
        <x:v>Microland</x:v>
      </x:c>
      <x:c r="C3027" s="12" t="str">
        <x:v>CORP-0540</x:v>
      </x:c>
      <x:c r="D3027" s="12" t="str">
        <x:v>Bengaluru</x:v>
      </x:c>
      <x:c r="E3027" s="12" t="str">
        <x:v>Bagmane World Technology Centre</x:v>
      </x:c>
      <x:c r="F3027" s="12" t="str">
        <x:v>55 inch</x:v>
      </x:c>
      <x:c r="G3027" s="20" t="n">
        <x:v>1</x:v>
      </x:c>
      <x:c r="H3027" s="12" t="str">
        <x:v>Campus/portfolio roster; individual building occupancy unverified</x:v>
      </x:c>
      <x:c r="I3027" s="12" t="str">
        <x:v>Mixed business audience</x:v>
      </x:c>
      <x:c r="J3027" s="12" t="str">
        <x:v>IT &amp; digital</x:v>
      </x:c>
      <x:c r="K3027" s="2" t="str">
        <x:v>PARTNER-M120</x:v>
      </x:c>
    </x:row>
    <x:row r="3028" ht="46" customHeight="1">
      <x:c r="A3028" s="2" t="str">
        <x:v>TEN-BBDEFA2950F4</x:v>
      </x:c>
      <x:c r="B3028" s="12" t="str">
        <x:v>Google</x:v>
      </x:c>
      <x:c r="C3028" s="12" t="str">
        <x:v>CORP-0540</x:v>
      </x:c>
      <x:c r="D3028" s="12" t="str">
        <x:v>Bengaluru</x:v>
      </x:c>
      <x:c r="E3028" s="12" t="str">
        <x:v>Bagmane World Technology Centre</x:v>
      </x:c>
      <x:c r="F3028" s="12" t="str">
        <x:v>55 inch</x:v>
      </x:c>
      <x:c r="G3028" s="20" t="n">
        <x:v>1</x:v>
      </x:c>
      <x:c r="H3028" s="12" t="str">
        <x:v>Campus/portfolio roster; individual building occupancy unverified</x:v>
      </x:c>
      <x:c r="I3028" s="12" t="str">
        <x:v>Large enterprise</x:v>
      </x:c>
      <x:c r="J3028" s="12" t="str">
        <x:v>IT &amp; digital</x:v>
      </x:c>
      <x:c r="K3028" s="2" t="str">
        <x:v>PARTNER-M120</x:v>
      </x:c>
    </x:row>
    <x:row r="3029" ht="46" customHeight="1">
      <x:c r="A3029" s="2" t="str">
        <x:v>TEN-C63AC00C4D11</x:v>
      </x:c>
      <x:c r="B3029" s="12" t="str">
        <x:v>Mphasis</x:v>
      </x:c>
      <x:c r="C3029" s="12" t="str">
        <x:v>CORP-0540</x:v>
      </x:c>
      <x:c r="D3029" s="12" t="str">
        <x:v>Bengaluru</x:v>
      </x:c>
      <x:c r="E3029" s="12" t="str">
        <x:v>Bagmane World Technology Centre</x:v>
      </x:c>
      <x:c r="F3029" s="12" t="str">
        <x:v>55 inch</x:v>
      </x:c>
      <x:c r="G3029" s="20" t="n">
        <x:v>1</x:v>
      </x:c>
      <x:c r="H3029" s="12" t="str">
        <x:v>Campus/portfolio roster; individual building occupancy unverified</x:v>
      </x:c>
      <x:c r="I3029" s="12" t="str">
        <x:v>Large enterprise</x:v>
      </x:c>
      <x:c r="J3029" s="12" t="str">
        <x:v>IT &amp; digital</x:v>
      </x:c>
      <x:c r="K3029" s="2" t="str">
        <x:v>PARTNER-M120</x:v>
      </x:c>
    </x:row>
    <x:row r="3030" ht="46" customHeight="1">
      <x:c r="A3030" s="2" t="str">
        <x:v>TEN-CBC62794911F</x:v>
      </x:c>
      <x:c r="B3030" s="12" t="str">
        <x:v>Amazon</x:v>
      </x:c>
      <x:c r="C3030" s="12" t="str">
        <x:v>CORP-0540</x:v>
      </x:c>
      <x:c r="D3030" s="12" t="str">
        <x:v>Bengaluru</x:v>
      </x:c>
      <x:c r="E3030" s="12" t="str">
        <x:v>Bagmane World Technology Centre</x:v>
      </x:c>
      <x:c r="F3030" s="12" t="str">
        <x:v>55 inch</x:v>
      </x:c>
      <x:c r="G3030" s="20" t="n">
        <x:v>1</x:v>
      </x:c>
      <x:c r="H3030" s="12" t="str">
        <x:v>Campus/portfolio roster; individual building occupancy unverified</x:v>
      </x:c>
      <x:c r="I3030" s="12" t="str">
        <x:v>Large enterprise</x:v>
      </x:c>
      <x:c r="J3030" s="12" t="str">
        <x:v>IT &amp; digital</x:v>
      </x:c>
      <x:c r="K3030" s="2" t="str">
        <x:v>PARTNER-M120</x:v>
      </x:c>
    </x:row>
    <x:row r="3031" ht="46" customHeight="1">
      <x:c r="A3031" s="2" t="str">
        <x:v>TEN-D861EE362E38</x:v>
      </x:c>
      <x:c r="B3031" s="12" t="str">
        <x:v>Quotient</x:v>
      </x:c>
      <x:c r="C3031" s="12" t="str">
        <x:v>CORP-0540</x:v>
      </x:c>
      <x:c r="D3031" s="12" t="str">
        <x:v>Bengaluru</x:v>
      </x:c>
      <x:c r="E3031" s="12" t="str">
        <x:v>Bagmane World Technology Centre</x:v>
      </x:c>
      <x:c r="F3031" s="12" t="str">
        <x:v>55 inch</x:v>
      </x:c>
      <x:c r="G3031" s="20" t="n">
        <x:v>1</x:v>
      </x:c>
      <x:c r="H3031" s="12" t="str">
        <x:v>Campus/portfolio roster; individual building occupancy unverified</x:v>
      </x:c>
      <x:c r="I3031" s="12" t="str">
        <x:v>Mixed business audience</x:v>
      </x:c>
      <x:c r="J3031" s="12" t="str">
        <x:v>Unresolved</x:v>
      </x:c>
      <x:c r="K3031" s="2" t="str">
        <x:v>PARTNER-M120</x:v>
      </x:c>
    </x:row>
    <x:row r="3032" ht="46" customHeight="1">
      <x:c r="A3032" s="2" t="str">
        <x:v>TEN-DDF7FF5EBD9D</x:v>
      </x:c>
      <x:c r="B3032" s="12" t="str">
        <x:v>ARM</x:v>
      </x:c>
      <x:c r="C3032" s="12" t="str">
        <x:v>CORP-0540</x:v>
      </x:c>
      <x:c r="D3032" s="12" t="str">
        <x:v>Bengaluru</x:v>
      </x:c>
      <x:c r="E3032" s="12" t="str">
        <x:v>Bagmane World Technology Centre</x:v>
      </x:c>
      <x:c r="F3032" s="12" t="str">
        <x:v>55 inch</x:v>
      </x:c>
      <x:c r="G3032" s="20" t="n">
        <x:v>1</x:v>
      </x:c>
      <x:c r="H3032" s="12" t="str">
        <x:v>Campus/portfolio roster; individual building occupancy unverified</x:v>
      </x:c>
      <x:c r="I3032" s="12" t="str">
        <x:v>Mixed business audience</x:v>
      </x:c>
      <x:c r="J3032" s="12" t="str">
        <x:v>Engineering &amp; manufacturing</x:v>
      </x:c>
      <x:c r="K3032" s="2" t="str">
        <x:v>PARTNER-M120</x:v>
      </x:c>
    </x:row>
    <x:row r="3033" ht="46" customHeight="1">
      <x:c r="A3033" s="2" t="str">
        <x:v>TEN-DFAE2CFCA884</x:v>
      </x:c>
      <x:c r="B3033" s="12" t="str">
        <x:v>Xentrix</x:v>
      </x:c>
      <x:c r="C3033" s="12" t="str">
        <x:v>CORP-0540</x:v>
      </x:c>
      <x:c r="D3033" s="12" t="str">
        <x:v>Bengaluru</x:v>
      </x:c>
      <x:c r="E3033" s="12" t="str">
        <x:v>Bagmane World Technology Centre</x:v>
      </x:c>
      <x:c r="F3033" s="12" t="str">
        <x:v>55 inch</x:v>
      </x:c>
      <x:c r="G3033" s="20" t="n">
        <x:v>1</x:v>
      </x:c>
      <x:c r="H3033" s="12" t="str">
        <x:v>Campus/portfolio roster; individual building occupancy unverified</x:v>
      </x:c>
      <x:c r="I3033" s="12" t="str">
        <x:v>Small-scale prospects</x:v>
      </x:c>
      <x:c r="J3033" s="12" t="str">
        <x:v>Trade, consumer &amp; logistics</x:v>
      </x:c>
      <x:c r="K3033" s="2" t="str">
        <x:v>PARTNER-M120</x:v>
      </x:c>
    </x:row>
    <x:row r="3034" ht="46" customHeight="1">
      <x:c r="A3034" s="2" t="str">
        <x:v>TEN-E759968CA927</x:v>
      </x:c>
      <x:c r="B3034" s="12" t="str">
        <x:v>visa</x:v>
      </x:c>
      <x:c r="C3034" s="12" t="str">
        <x:v>CORP-0540</x:v>
      </x:c>
      <x:c r="D3034" s="12" t="str">
        <x:v>Bengaluru</x:v>
      </x:c>
      <x:c r="E3034" s="12" t="str">
        <x:v>Bagmane World Technology Centre</x:v>
      </x:c>
      <x:c r="F3034" s="12" t="str">
        <x:v>55 inch</x:v>
      </x:c>
      <x:c r="G3034" s="20" t="n">
        <x:v>1</x:v>
      </x:c>
      <x:c r="H3034" s="12" t="str">
        <x:v>Campus/portfolio roster; individual building occupancy unverified</x:v>
      </x:c>
      <x:c r="I3034" s="12" t="str">
        <x:v>Large enterprise</x:v>
      </x:c>
      <x:c r="J3034" s="12" t="str">
        <x:v>Finance &amp; insurance</x:v>
      </x:c>
      <x:c r="K3034" s="2" t="str">
        <x:v>PARTNER-M120</x:v>
      </x:c>
    </x:row>
    <x:row r="3035" ht="46" customHeight="1">
      <x:c r="A3035" s="2" t="str">
        <x:v>TEN-F2ED4886E20F</x:v>
      </x:c>
      <x:c r="B3035" s="12" t="str">
        <x:v>Ericsson</x:v>
      </x:c>
      <x:c r="C3035" s="12" t="str">
        <x:v>CORP-0540</x:v>
      </x:c>
      <x:c r="D3035" s="12" t="str">
        <x:v>Bengaluru</x:v>
      </x:c>
      <x:c r="E3035" s="12" t="str">
        <x:v>Bagmane World Technology Centre</x:v>
      </x:c>
      <x:c r="F3035" s="12" t="str">
        <x:v>55 inch</x:v>
      </x:c>
      <x:c r="G3035" s="20" t="n">
        <x:v>1</x:v>
      </x:c>
      <x:c r="H3035" s="12" t="str">
        <x:v>Campus/portfolio roster; individual building occupancy unverified</x:v>
      </x:c>
      <x:c r="I3035" s="12" t="str">
        <x:v>Large enterprise</x:v>
      </x:c>
      <x:c r="J3035" s="12" t="str">
        <x:v>IT &amp; digital</x:v>
      </x:c>
      <x:c r="K3035" s="2" t="str">
        <x:v>PARTNER-M120</x:v>
      </x:c>
    </x:row>
    <x:row r="3036" ht="46" customHeight="1">
      <x:c r="A3036" s="2" t="str">
        <x:v>TEN-16F45B99ABFD</x:v>
      </x:c>
      <x:c r="B3036" s="12" t="str">
        <x:v>Boeing</x:v>
      </x:c>
      <x:c r="C3036" s="12" t="str">
        <x:v>CORP-0541</x:v>
      </x:c>
      <x:c r="D3036" s="12" t="str">
        <x:v>Bengaluru</x:v>
      </x:c>
      <x:c r="E3036" s="12" t="str">
        <x:v>Bagmane World Technology Centre</x:v>
      </x:c>
      <x:c r="F3036" s="12" t="str">
        <x:v>55 inch</x:v>
      </x:c>
      <x:c r="G3036" s="20" t="n">
        <x:v>1</x:v>
      </x:c>
      <x:c r="H3036" s="12" t="str">
        <x:v>Campus/portfolio roster; individual building occupancy unverified</x:v>
      </x:c>
      <x:c r="I3036" s="12" t="str">
        <x:v>Large enterprise</x:v>
      </x:c>
      <x:c r="J3036" s="12" t="str">
        <x:v>Engineering &amp; manufacturing</x:v>
      </x:c>
      <x:c r="K3036" s="2" t="str">
        <x:v>PARTNER-M120</x:v>
      </x:c>
    </x:row>
    <x:row r="3037" ht="46" customHeight="1">
      <x:c r="A3037" s="2" t="str">
        <x:v>TEN-20E8BE98ADE9</x:v>
      </x:c>
      <x:c r="B3037" s="12" t="str">
        <x:v>Abinbev</x:v>
      </x:c>
      <x:c r="C3037" s="12" t="str">
        <x:v>CORP-0541</x:v>
      </x:c>
      <x:c r="D3037" s="12" t="str">
        <x:v>Bengaluru</x:v>
      </x:c>
      <x:c r="E3037" s="12" t="str">
        <x:v>Bagmane World Technology Centre</x:v>
      </x:c>
      <x:c r="F3037" s="12" t="str">
        <x:v>55 inch</x:v>
      </x:c>
      <x:c r="G3037" s="20" t="n">
        <x:v>1</x:v>
      </x:c>
      <x:c r="H3037" s="12" t="str">
        <x:v>Campus/portfolio roster; individual building occupancy unverified</x:v>
      </x:c>
      <x:c r="I3037" s="12" t="str">
        <x:v>Mixed business audience</x:v>
      </x:c>
      <x:c r="J3037" s="12" t="str">
        <x:v>Trade, consumer &amp; logistics</x:v>
      </x:c>
      <x:c r="K3037" s="2" t="str">
        <x:v>PARTNER-M120</x:v>
      </x:c>
    </x:row>
    <x:row r="3038" ht="46" customHeight="1">
      <x:c r="A3038" s="2" t="str">
        <x:v>TEN-2D844470A22E</x:v>
      </x:c>
      <x:c r="B3038" s="12" t="str">
        <x:v>Qsc</x:v>
      </x:c>
      <x:c r="C3038" s="12" t="str">
        <x:v>CORP-0541</x:v>
      </x:c>
      <x:c r="D3038" s="12" t="str">
        <x:v>Bengaluru</x:v>
      </x:c>
      <x:c r="E3038" s="12" t="str">
        <x:v>Bagmane World Technology Centre</x:v>
      </x:c>
      <x:c r="F3038" s="12" t="str">
        <x:v>55 inch</x:v>
      </x:c>
      <x:c r="G3038" s="20" t="n">
        <x:v>1</x:v>
      </x:c>
      <x:c r="H3038" s="12" t="str">
        <x:v>Campus/portfolio roster; individual building occupancy unverified</x:v>
      </x:c>
      <x:c r="I3038" s="12" t="str">
        <x:v>Mixed business audience</x:v>
      </x:c>
      <x:c r="J3038" s="12" t="str">
        <x:v>Unresolved</x:v>
      </x:c>
      <x:c r="K3038" s="2" t="str">
        <x:v>PARTNER-M120</x:v>
      </x:c>
    </x:row>
    <x:row r="3039" ht="46" customHeight="1">
      <x:c r="A3039" s="2" t="str">
        <x:v>TEN-35E87826D332</x:v>
      </x:c>
      <x:c r="B3039" s="12" t="str">
        <x:v>sifive</x:v>
      </x:c>
      <x:c r="C3039" s="12" t="str">
        <x:v>CORP-0541</x:v>
      </x:c>
      <x:c r="D3039" s="12" t="str">
        <x:v>Bengaluru</x:v>
      </x:c>
      <x:c r="E3039" s="12" t="str">
        <x:v>Bagmane World Technology Centre</x:v>
      </x:c>
      <x:c r="F3039" s="12" t="str">
        <x:v>55 inch</x:v>
      </x:c>
      <x:c r="G3039" s="20" t="n">
        <x:v>1</x:v>
      </x:c>
      <x:c r="H3039" s="12" t="str">
        <x:v>Campus/portfolio roster; individual building occupancy unverified</x:v>
      </x:c>
      <x:c r="I3039" s="12" t="str">
        <x:v>Mixed business audience</x:v>
      </x:c>
      <x:c r="J3039" s="12" t="str">
        <x:v>Engineering &amp; manufacturing</x:v>
      </x:c>
      <x:c r="K3039" s="2" t="str">
        <x:v>PARTNER-M120</x:v>
      </x:c>
    </x:row>
    <x:row r="3040" ht="46" customHeight="1">
      <x:c r="A3040" s="2" t="str">
        <x:v>TEN-4C5029DA39B5</x:v>
      </x:c>
      <x:c r="B3040" s="12" t="str">
        <x:v>Mediakind</x:v>
      </x:c>
      <x:c r="C3040" s="12" t="str">
        <x:v>CORP-0541</x:v>
      </x:c>
      <x:c r="D3040" s="12" t="str">
        <x:v>Bengaluru</x:v>
      </x:c>
      <x:c r="E3040" s="12" t="str">
        <x:v>Bagmane World Technology Centre</x:v>
      </x:c>
      <x:c r="F3040" s="12" t="str">
        <x:v>55 inch</x:v>
      </x:c>
      <x:c r="G3040" s="20" t="n">
        <x:v>1</x:v>
      </x:c>
      <x:c r="H3040" s="12" t="str">
        <x:v>Campus/portfolio roster; individual building occupancy unverified</x:v>
      </x:c>
      <x:c r="I3040" s="12" t="str">
        <x:v>Mixed business audience</x:v>
      </x:c>
      <x:c r="J3040" s="12" t="str">
        <x:v>Trade, consumer &amp; logistics</x:v>
      </x:c>
      <x:c r="K3040" s="2" t="str">
        <x:v>PARTNER-M120</x:v>
      </x:c>
    </x:row>
    <x:row r="3041" ht="46" customHeight="1">
      <x:c r="A3041" s="2" t="str">
        <x:v>TEN-4D748EBD71AF</x:v>
      </x:c>
      <x:c r="B3041" s="12" t="str">
        <x:v>Accenture</x:v>
      </x:c>
      <x:c r="C3041" s="12" t="str">
        <x:v>CORP-0541</x:v>
      </x:c>
      <x:c r="D3041" s="12" t="str">
        <x:v>Bengaluru</x:v>
      </x:c>
      <x:c r="E3041" s="12" t="str">
        <x:v>Bagmane World Technology Centre</x:v>
      </x:c>
      <x:c r="F3041" s="12" t="str">
        <x:v>55 inch</x:v>
      </x:c>
      <x:c r="G3041" s="20" t="n">
        <x:v>1</x:v>
      </x:c>
      <x:c r="H3041" s="12" t="str">
        <x:v>Campus/portfolio roster; individual building occupancy unverified</x:v>
      </x:c>
      <x:c r="I3041" s="12" t="str">
        <x:v>Large enterprise</x:v>
      </x:c>
      <x:c r="J3041" s="12" t="str">
        <x:v>IT &amp; digital</x:v>
      </x:c>
      <x:c r="K3041" s="2" t="str">
        <x:v>PARTNER-M120</x:v>
      </x:c>
    </x:row>
    <x:row r="3042" ht="46" customHeight="1">
      <x:c r="A3042" s="2" t="str">
        <x:v>TEN-65F96528B346</x:v>
      </x:c>
      <x:c r="B3042" s="12" t="str">
        <x:v>Iron Mountain</x:v>
      </x:c>
      <x:c r="C3042" s="12" t="str">
        <x:v>CORP-0541</x:v>
      </x:c>
      <x:c r="D3042" s="12" t="str">
        <x:v>Bengaluru</x:v>
      </x:c>
      <x:c r="E3042" s="12" t="str">
        <x:v>Bagmane World Technology Centre</x:v>
      </x:c>
      <x:c r="F3042" s="12" t="str">
        <x:v>55 inch</x:v>
      </x:c>
      <x:c r="G3042" s="20" t="n">
        <x:v>1</x:v>
      </x:c>
      <x:c r="H3042" s="12" t="str">
        <x:v>Campus/portfolio roster; individual building occupancy unverified</x:v>
      </x:c>
      <x:c r="I3042" s="12" t="str">
        <x:v>Large enterprise</x:v>
      </x:c>
      <x:c r="J3042" s="12" t="str">
        <x:v>Trade, consumer &amp; logistics</x:v>
      </x:c>
      <x:c r="K3042" s="2" t="str">
        <x:v>PARTNER-M120</x:v>
      </x:c>
    </x:row>
    <x:row r="3043" ht="46" customHeight="1">
      <x:c r="A3043" s="2" t="str">
        <x:v>TEN-69A068939DEA</x:v>
      </x:c>
      <x:c r="B3043" s="12" t="str">
        <x:v>Ernst and Young</x:v>
      </x:c>
      <x:c r="C3043" s="12" t="str">
        <x:v>CORP-0541</x:v>
      </x:c>
      <x:c r="D3043" s="12" t="str">
        <x:v>Bengaluru</x:v>
      </x:c>
      <x:c r="E3043" s="12" t="str">
        <x:v>Bagmane World Technology Centre</x:v>
      </x:c>
      <x:c r="F3043" s="12" t="str">
        <x:v>55 inch</x:v>
      </x:c>
      <x:c r="G3043" s="20" t="n">
        <x:v>1</x:v>
      </x:c>
      <x:c r="H3043" s="12" t="str">
        <x:v>Campus/portfolio roster; individual building occupancy unverified</x:v>
      </x:c>
      <x:c r="I3043" s="12" t="str">
        <x:v>Large enterprise</x:v>
      </x:c>
      <x:c r="J3043" s="12" t="str">
        <x:v>Professional services</x:v>
      </x:c>
      <x:c r="K3043" s="2" t="str">
        <x:v>PARTNER-M120</x:v>
      </x:c>
    </x:row>
    <x:row r="3044" ht="46" customHeight="1">
      <x:c r="A3044" s="2" t="str">
        <x:v>TEN-719F53D2AD92</x:v>
      </x:c>
      <x:c r="B3044" s="12" t="str">
        <x:v>EMC- Dell</x:v>
      </x:c>
      <x:c r="C3044" s="12" t="str">
        <x:v>CORP-0541</x:v>
      </x:c>
      <x:c r="D3044" s="12" t="str">
        <x:v>Bengaluru</x:v>
      </x:c>
      <x:c r="E3044" s="12" t="str">
        <x:v>Bagmane World Technology Centre</x:v>
      </x:c>
      <x:c r="F3044" s="12" t="str">
        <x:v>55 inch</x:v>
      </x:c>
      <x:c r="G3044" s="20" t="n">
        <x:v>1</x:v>
      </x:c>
      <x:c r="H3044" s="12" t="str">
        <x:v>Campus/portfolio roster; individual building occupancy unverified</x:v>
      </x:c>
      <x:c r="I3044" s="12" t="str">
        <x:v>Mixed business audience</x:v>
      </x:c>
      <x:c r="J3044" s="12" t="str">
        <x:v>IT &amp; digital</x:v>
      </x:c>
      <x:c r="K3044" s="2" t="str">
        <x:v>PARTNER-M120</x:v>
      </x:c>
    </x:row>
    <x:row r="3045" ht="46" customHeight="1">
      <x:c r="A3045" s="2" t="str">
        <x:v>TEN-7CA58AD857DB</x:v>
      </x:c>
      <x:c r="B3045" s="12" t="str">
        <x:v>Zyeus</x:v>
      </x:c>
      <x:c r="C3045" s="12" t="str">
        <x:v>CORP-0541</x:v>
      </x:c>
      <x:c r="D3045" s="12" t="str">
        <x:v>Bengaluru</x:v>
      </x:c>
      <x:c r="E3045" s="12" t="str">
        <x:v>Bagmane World Technology Centre</x:v>
      </x:c>
      <x:c r="F3045" s="12" t="str">
        <x:v>55 inch</x:v>
      </x:c>
      <x:c r="G3045" s="20" t="n">
        <x:v>1</x:v>
      </x:c>
      <x:c r="H3045" s="12" t="str">
        <x:v>Campus/portfolio roster; individual building occupancy unverified</x:v>
      </x:c>
      <x:c r="I3045" s="12" t="str">
        <x:v>Mixed business audience</x:v>
      </x:c>
      <x:c r="J3045" s="12" t="str">
        <x:v>Unresolved</x:v>
      </x:c>
      <x:c r="K3045" s="2" t="str">
        <x:v>PARTNER-M120</x:v>
      </x:c>
    </x:row>
    <x:row r="3046" ht="46" customHeight="1">
      <x:c r="A3046" s="2" t="str">
        <x:v>TEN-8D4321D93632</x:v>
      </x:c>
      <x:c r="B3046" s="12" t="str">
        <x:v>Nvidia</x:v>
      </x:c>
      <x:c r="C3046" s="12" t="str">
        <x:v>CORP-0541</x:v>
      </x:c>
      <x:c r="D3046" s="12" t="str">
        <x:v>Bengaluru</x:v>
      </x:c>
      <x:c r="E3046" s="12" t="str">
        <x:v>Bagmane World Technology Centre</x:v>
      </x:c>
      <x:c r="F3046" s="12" t="str">
        <x:v>55 inch</x:v>
      </x:c>
      <x:c r="G3046" s="20" t="n">
        <x:v>1</x:v>
      </x:c>
      <x:c r="H3046" s="12" t="str">
        <x:v>Campus/portfolio roster; individual building occupancy unverified</x:v>
      </x:c>
      <x:c r="I3046" s="12" t="str">
        <x:v>Large enterprise</x:v>
      </x:c>
      <x:c r="J3046" s="12" t="str">
        <x:v>Engineering &amp; manufacturing</x:v>
      </x:c>
      <x:c r="K3046" s="2" t="str">
        <x:v>PARTNER-M120</x:v>
      </x:c>
    </x:row>
    <x:row r="3047" ht="46" customHeight="1">
      <x:c r="A3047" s="2" t="str">
        <x:v>TEN-968E2D5B0868</x:v>
      </x:c>
      <x:c r="B3047" s="12" t="str">
        <x:v>Samsung</x:v>
      </x:c>
      <x:c r="C3047" s="12" t="str">
        <x:v>CORP-0541</x:v>
      </x:c>
      <x:c r="D3047" s="12" t="str">
        <x:v>Bengaluru</x:v>
      </x:c>
      <x:c r="E3047" s="12" t="str">
        <x:v>Bagmane World Technology Centre</x:v>
      </x:c>
      <x:c r="F3047" s="12" t="str">
        <x:v>55 inch</x:v>
      </x:c>
      <x:c r="G3047" s="20" t="n">
        <x:v>1</x:v>
      </x:c>
      <x:c r="H3047" s="12" t="str">
        <x:v>Campus/portfolio roster; individual building occupancy unverified</x:v>
      </x:c>
      <x:c r="I3047" s="12" t="str">
        <x:v>Large enterprise</x:v>
      </x:c>
      <x:c r="J3047" s="12" t="str">
        <x:v>Engineering &amp; manufacturing</x:v>
      </x:c>
      <x:c r="K3047" s="2" t="str">
        <x:v>PARTNER-M120</x:v>
      </x:c>
    </x:row>
    <x:row r="3048" ht="46" customHeight="1">
      <x:c r="A3048" s="2" t="str">
        <x:v>TEN-A88C31E9B91F</x:v>
      </x:c>
      <x:c r="B3048" s="12" t="str">
        <x:v>Microland</x:v>
      </x:c>
      <x:c r="C3048" s="12" t="str">
        <x:v>CORP-0541</x:v>
      </x:c>
      <x:c r="D3048" s="12" t="str">
        <x:v>Bengaluru</x:v>
      </x:c>
      <x:c r="E3048" s="12" t="str">
        <x:v>Bagmane World Technology Centre</x:v>
      </x:c>
      <x:c r="F3048" s="12" t="str">
        <x:v>55 inch</x:v>
      </x:c>
      <x:c r="G3048" s="20" t="n">
        <x:v>1</x:v>
      </x:c>
      <x:c r="H3048" s="12" t="str">
        <x:v>Campus/portfolio roster; individual building occupancy unverified</x:v>
      </x:c>
      <x:c r="I3048" s="12" t="str">
        <x:v>Mixed business audience</x:v>
      </x:c>
      <x:c r="J3048" s="12" t="str">
        <x:v>IT &amp; digital</x:v>
      </x:c>
      <x:c r="K3048" s="2" t="str">
        <x:v>PARTNER-M120</x:v>
      </x:c>
    </x:row>
    <x:row r="3049" ht="46" customHeight="1">
      <x:c r="A3049" s="2" t="str">
        <x:v>TEN-BBDEFA2950F4</x:v>
      </x:c>
      <x:c r="B3049" s="12" t="str">
        <x:v>Google</x:v>
      </x:c>
      <x:c r="C3049" s="12" t="str">
        <x:v>CORP-0541</x:v>
      </x:c>
      <x:c r="D3049" s="12" t="str">
        <x:v>Bengaluru</x:v>
      </x:c>
      <x:c r="E3049" s="12" t="str">
        <x:v>Bagmane World Technology Centre</x:v>
      </x:c>
      <x:c r="F3049" s="12" t="str">
        <x:v>55 inch</x:v>
      </x:c>
      <x:c r="G3049" s="20" t="n">
        <x:v>1</x:v>
      </x:c>
      <x:c r="H3049" s="12" t="str">
        <x:v>Campus/portfolio roster; individual building occupancy unverified</x:v>
      </x:c>
      <x:c r="I3049" s="12" t="str">
        <x:v>Large enterprise</x:v>
      </x:c>
      <x:c r="J3049" s="12" t="str">
        <x:v>IT &amp; digital</x:v>
      </x:c>
      <x:c r="K3049" s="2" t="str">
        <x:v>PARTNER-M120</x:v>
      </x:c>
    </x:row>
    <x:row r="3050" ht="46" customHeight="1">
      <x:c r="A3050" s="2" t="str">
        <x:v>TEN-C63AC00C4D11</x:v>
      </x:c>
      <x:c r="B3050" s="12" t="str">
        <x:v>Mphasis</x:v>
      </x:c>
      <x:c r="C3050" s="12" t="str">
        <x:v>CORP-0541</x:v>
      </x:c>
      <x:c r="D3050" s="12" t="str">
        <x:v>Bengaluru</x:v>
      </x:c>
      <x:c r="E3050" s="12" t="str">
        <x:v>Bagmane World Technology Centre</x:v>
      </x:c>
      <x:c r="F3050" s="12" t="str">
        <x:v>55 inch</x:v>
      </x:c>
      <x:c r="G3050" s="20" t="n">
        <x:v>1</x:v>
      </x:c>
      <x:c r="H3050" s="12" t="str">
        <x:v>Campus/portfolio roster; individual building occupancy unverified</x:v>
      </x:c>
      <x:c r="I3050" s="12" t="str">
        <x:v>Large enterprise</x:v>
      </x:c>
      <x:c r="J3050" s="12" t="str">
        <x:v>IT &amp; digital</x:v>
      </x:c>
      <x:c r="K3050" s="2" t="str">
        <x:v>PARTNER-M120</x:v>
      </x:c>
    </x:row>
    <x:row r="3051" ht="46" customHeight="1">
      <x:c r="A3051" s="2" t="str">
        <x:v>TEN-CBC62794911F</x:v>
      </x:c>
      <x:c r="B3051" s="12" t="str">
        <x:v>Amazon</x:v>
      </x:c>
      <x:c r="C3051" s="12" t="str">
        <x:v>CORP-0541</x:v>
      </x:c>
      <x:c r="D3051" s="12" t="str">
        <x:v>Bengaluru</x:v>
      </x:c>
      <x:c r="E3051" s="12" t="str">
        <x:v>Bagmane World Technology Centre</x:v>
      </x:c>
      <x:c r="F3051" s="12" t="str">
        <x:v>55 inch</x:v>
      </x:c>
      <x:c r="G3051" s="20" t="n">
        <x:v>1</x:v>
      </x:c>
      <x:c r="H3051" s="12" t="str">
        <x:v>Campus/portfolio roster; individual building occupancy unverified</x:v>
      </x:c>
      <x:c r="I3051" s="12" t="str">
        <x:v>Large enterprise</x:v>
      </x:c>
      <x:c r="J3051" s="12" t="str">
        <x:v>IT &amp; digital</x:v>
      </x:c>
      <x:c r="K3051" s="2" t="str">
        <x:v>PARTNER-M120</x:v>
      </x:c>
    </x:row>
    <x:row r="3052" ht="46" customHeight="1">
      <x:c r="A3052" s="2" t="str">
        <x:v>TEN-D861EE362E38</x:v>
      </x:c>
      <x:c r="B3052" s="12" t="str">
        <x:v>Quotient</x:v>
      </x:c>
      <x:c r="C3052" s="12" t="str">
        <x:v>CORP-0541</x:v>
      </x:c>
      <x:c r="D3052" s="12" t="str">
        <x:v>Bengaluru</x:v>
      </x:c>
      <x:c r="E3052" s="12" t="str">
        <x:v>Bagmane World Technology Centre</x:v>
      </x:c>
      <x:c r="F3052" s="12" t="str">
        <x:v>55 inch</x:v>
      </x:c>
      <x:c r="G3052" s="20" t="n">
        <x:v>1</x:v>
      </x:c>
      <x:c r="H3052" s="12" t="str">
        <x:v>Campus/portfolio roster; individual building occupancy unverified</x:v>
      </x:c>
      <x:c r="I3052" s="12" t="str">
        <x:v>Mixed business audience</x:v>
      </x:c>
      <x:c r="J3052" s="12" t="str">
        <x:v>Unresolved</x:v>
      </x:c>
      <x:c r="K3052" s="2" t="str">
        <x:v>PARTNER-M120</x:v>
      </x:c>
    </x:row>
    <x:row r="3053" ht="46" customHeight="1">
      <x:c r="A3053" s="2" t="str">
        <x:v>TEN-DDF7FF5EBD9D</x:v>
      </x:c>
      <x:c r="B3053" s="12" t="str">
        <x:v>ARM</x:v>
      </x:c>
      <x:c r="C3053" s="12" t="str">
        <x:v>CORP-0541</x:v>
      </x:c>
      <x:c r="D3053" s="12" t="str">
        <x:v>Bengaluru</x:v>
      </x:c>
      <x:c r="E3053" s="12" t="str">
        <x:v>Bagmane World Technology Centre</x:v>
      </x:c>
      <x:c r="F3053" s="12" t="str">
        <x:v>55 inch</x:v>
      </x:c>
      <x:c r="G3053" s="20" t="n">
        <x:v>1</x:v>
      </x:c>
      <x:c r="H3053" s="12" t="str">
        <x:v>Campus/portfolio roster; individual building occupancy unverified</x:v>
      </x:c>
      <x:c r="I3053" s="12" t="str">
        <x:v>Mixed business audience</x:v>
      </x:c>
      <x:c r="J3053" s="12" t="str">
        <x:v>Engineering &amp; manufacturing</x:v>
      </x:c>
      <x:c r="K3053" s="2" t="str">
        <x:v>PARTNER-M120</x:v>
      </x:c>
    </x:row>
    <x:row r="3054" ht="46" customHeight="1">
      <x:c r="A3054" s="2" t="str">
        <x:v>TEN-DFAE2CFCA884</x:v>
      </x:c>
      <x:c r="B3054" s="12" t="str">
        <x:v>Xentrix</x:v>
      </x:c>
      <x:c r="C3054" s="12" t="str">
        <x:v>CORP-0541</x:v>
      </x:c>
      <x:c r="D3054" s="12" t="str">
        <x:v>Bengaluru</x:v>
      </x:c>
      <x:c r="E3054" s="12" t="str">
        <x:v>Bagmane World Technology Centre</x:v>
      </x:c>
      <x:c r="F3054" s="12" t="str">
        <x:v>55 inch</x:v>
      </x:c>
      <x:c r="G3054" s="20" t="n">
        <x:v>1</x:v>
      </x:c>
      <x:c r="H3054" s="12" t="str">
        <x:v>Campus/portfolio roster; individual building occupancy unverified</x:v>
      </x:c>
      <x:c r="I3054" s="12" t="str">
        <x:v>Small-scale prospects</x:v>
      </x:c>
      <x:c r="J3054" s="12" t="str">
        <x:v>Trade, consumer &amp; logistics</x:v>
      </x:c>
      <x:c r="K3054" s="2" t="str">
        <x:v>PARTNER-M120</x:v>
      </x:c>
    </x:row>
    <x:row r="3055" ht="46" customHeight="1">
      <x:c r="A3055" s="2" t="str">
        <x:v>TEN-E759968CA927</x:v>
      </x:c>
      <x:c r="B3055" s="12" t="str">
        <x:v>visa</x:v>
      </x:c>
      <x:c r="C3055" s="12" t="str">
        <x:v>CORP-0541</x:v>
      </x:c>
      <x:c r="D3055" s="12" t="str">
        <x:v>Bengaluru</x:v>
      </x:c>
      <x:c r="E3055" s="12" t="str">
        <x:v>Bagmane World Technology Centre</x:v>
      </x:c>
      <x:c r="F3055" s="12" t="str">
        <x:v>55 inch</x:v>
      </x:c>
      <x:c r="G3055" s="20" t="n">
        <x:v>1</x:v>
      </x:c>
      <x:c r="H3055" s="12" t="str">
        <x:v>Campus/portfolio roster; individual building occupancy unverified</x:v>
      </x:c>
      <x:c r="I3055" s="12" t="str">
        <x:v>Large enterprise</x:v>
      </x:c>
      <x:c r="J3055" s="12" t="str">
        <x:v>Finance &amp; insurance</x:v>
      </x:c>
      <x:c r="K3055" s="2" t="str">
        <x:v>PARTNER-M120</x:v>
      </x:c>
    </x:row>
    <x:row r="3056" ht="46" customHeight="1">
      <x:c r="A3056" s="2" t="str">
        <x:v>TEN-F2ED4886E20F</x:v>
      </x:c>
      <x:c r="B3056" s="12" t="str">
        <x:v>Ericsson</x:v>
      </x:c>
      <x:c r="C3056" s="12" t="str">
        <x:v>CORP-0541</x:v>
      </x:c>
      <x:c r="D3056" s="12" t="str">
        <x:v>Bengaluru</x:v>
      </x:c>
      <x:c r="E3056" s="12" t="str">
        <x:v>Bagmane World Technology Centre</x:v>
      </x:c>
      <x:c r="F3056" s="12" t="str">
        <x:v>55 inch</x:v>
      </x:c>
      <x:c r="G3056" s="20" t="n">
        <x:v>1</x:v>
      </x:c>
      <x:c r="H3056" s="12" t="str">
        <x:v>Campus/portfolio roster; individual building occupancy unverified</x:v>
      </x:c>
      <x:c r="I3056" s="12" t="str">
        <x:v>Large enterprise</x:v>
      </x:c>
      <x:c r="J3056" s="12" t="str">
        <x:v>IT &amp; digital</x:v>
      </x:c>
      <x:c r="K3056" s="2" t="str">
        <x:v>PARTNER-M120</x:v>
      </x:c>
    </x:row>
    <x:row r="3057" ht="46" customHeight="1">
      <x:c r="A3057" s="2" t="str">
        <x:v>TEN-16F45B99ABFD</x:v>
      </x:c>
      <x:c r="B3057" s="12" t="str">
        <x:v>Boeing</x:v>
      </x:c>
      <x:c r="C3057" s="12" t="str">
        <x:v>CORP-0542</x:v>
      </x:c>
      <x:c r="D3057" s="12" t="str">
        <x:v>Bengaluru</x:v>
      </x:c>
      <x:c r="E3057" s="12" t="str">
        <x:v>Bagmane World Technology Centre</x:v>
      </x:c>
      <x:c r="F3057" s="12" t="str">
        <x:v>55 inch</x:v>
      </x:c>
      <x:c r="G3057" s="20" t="n">
        <x:v>1</x:v>
      </x:c>
      <x:c r="H3057" s="12" t="str">
        <x:v>Campus/portfolio roster; individual building occupancy unverified</x:v>
      </x:c>
      <x:c r="I3057" s="12" t="str">
        <x:v>Large enterprise</x:v>
      </x:c>
      <x:c r="J3057" s="12" t="str">
        <x:v>Engineering &amp; manufacturing</x:v>
      </x:c>
      <x:c r="K3057" s="2" t="str">
        <x:v>PARTNER-M120</x:v>
      </x:c>
    </x:row>
    <x:row r="3058" ht="46" customHeight="1">
      <x:c r="A3058" s="2" t="str">
        <x:v>TEN-20E8BE98ADE9</x:v>
      </x:c>
      <x:c r="B3058" s="12" t="str">
        <x:v>Abinbev</x:v>
      </x:c>
      <x:c r="C3058" s="12" t="str">
        <x:v>CORP-0542</x:v>
      </x:c>
      <x:c r="D3058" s="12" t="str">
        <x:v>Bengaluru</x:v>
      </x:c>
      <x:c r="E3058" s="12" t="str">
        <x:v>Bagmane World Technology Centre</x:v>
      </x:c>
      <x:c r="F3058" s="12" t="str">
        <x:v>55 inch</x:v>
      </x:c>
      <x:c r="G3058" s="20" t="n">
        <x:v>1</x:v>
      </x:c>
      <x:c r="H3058" s="12" t="str">
        <x:v>Campus/portfolio roster; individual building occupancy unverified</x:v>
      </x:c>
      <x:c r="I3058" s="12" t="str">
        <x:v>Mixed business audience</x:v>
      </x:c>
      <x:c r="J3058" s="12" t="str">
        <x:v>Trade, consumer &amp; logistics</x:v>
      </x:c>
      <x:c r="K3058" s="2" t="str">
        <x:v>PARTNER-M120</x:v>
      </x:c>
    </x:row>
    <x:row r="3059" ht="46" customHeight="1">
      <x:c r="A3059" s="2" t="str">
        <x:v>TEN-2D844470A22E</x:v>
      </x:c>
      <x:c r="B3059" s="12" t="str">
        <x:v>Qsc</x:v>
      </x:c>
      <x:c r="C3059" s="12" t="str">
        <x:v>CORP-0542</x:v>
      </x:c>
      <x:c r="D3059" s="12" t="str">
        <x:v>Bengaluru</x:v>
      </x:c>
      <x:c r="E3059" s="12" t="str">
        <x:v>Bagmane World Technology Centre</x:v>
      </x:c>
      <x:c r="F3059" s="12" t="str">
        <x:v>55 inch</x:v>
      </x:c>
      <x:c r="G3059" s="20" t="n">
        <x:v>1</x:v>
      </x:c>
      <x:c r="H3059" s="12" t="str">
        <x:v>Campus/portfolio roster; individual building occupancy unverified</x:v>
      </x:c>
      <x:c r="I3059" s="12" t="str">
        <x:v>Mixed business audience</x:v>
      </x:c>
      <x:c r="J3059" s="12" t="str">
        <x:v>Unresolved</x:v>
      </x:c>
      <x:c r="K3059" s="2" t="str">
        <x:v>PARTNER-M120</x:v>
      </x:c>
    </x:row>
    <x:row r="3060" ht="46" customHeight="1">
      <x:c r="A3060" s="2" t="str">
        <x:v>TEN-35E87826D332</x:v>
      </x:c>
      <x:c r="B3060" s="12" t="str">
        <x:v>sifive</x:v>
      </x:c>
      <x:c r="C3060" s="12" t="str">
        <x:v>CORP-0542</x:v>
      </x:c>
      <x:c r="D3060" s="12" t="str">
        <x:v>Bengaluru</x:v>
      </x:c>
      <x:c r="E3060" s="12" t="str">
        <x:v>Bagmane World Technology Centre</x:v>
      </x:c>
      <x:c r="F3060" s="12" t="str">
        <x:v>55 inch</x:v>
      </x:c>
      <x:c r="G3060" s="20" t="n">
        <x:v>1</x:v>
      </x:c>
      <x:c r="H3060" s="12" t="str">
        <x:v>Campus/portfolio roster; individual building occupancy unverified</x:v>
      </x:c>
      <x:c r="I3060" s="12" t="str">
        <x:v>Mixed business audience</x:v>
      </x:c>
      <x:c r="J3060" s="12" t="str">
        <x:v>Engineering &amp; manufacturing</x:v>
      </x:c>
      <x:c r="K3060" s="2" t="str">
        <x:v>PARTNER-M120</x:v>
      </x:c>
    </x:row>
    <x:row r="3061" ht="46" customHeight="1">
      <x:c r="A3061" s="2" t="str">
        <x:v>TEN-4C5029DA39B5</x:v>
      </x:c>
      <x:c r="B3061" s="12" t="str">
        <x:v>Mediakind</x:v>
      </x:c>
      <x:c r="C3061" s="12" t="str">
        <x:v>CORP-0542</x:v>
      </x:c>
      <x:c r="D3061" s="12" t="str">
        <x:v>Bengaluru</x:v>
      </x:c>
      <x:c r="E3061" s="12" t="str">
        <x:v>Bagmane World Technology Centre</x:v>
      </x:c>
      <x:c r="F3061" s="12" t="str">
        <x:v>55 inch</x:v>
      </x:c>
      <x:c r="G3061" s="20" t="n">
        <x:v>1</x:v>
      </x:c>
      <x:c r="H3061" s="12" t="str">
        <x:v>Campus/portfolio roster; individual building occupancy unverified</x:v>
      </x:c>
      <x:c r="I3061" s="12" t="str">
        <x:v>Mixed business audience</x:v>
      </x:c>
      <x:c r="J3061" s="12" t="str">
        <x:v>Trade, consumer &amp; logistics</x:v>
      </x:c>
      <x:c r="K3061" s="2" t="str">
        <x:v>PARTNER-M120</x:v>
      </x:c>
    </x:row>
    <x:row r="3062" ht="46" customHeight="1">
      <x:c r="A3062" s="2" t="str">
        <x:v>TEN-4D748EBD71AF</x:v>
      </x:c>
      <x:c r="B3062" s="12" t="str">
        <x:v>Accenture</x:v>
      </x:c>
      <x:c r="C3062" s="12" t="str">
        <x:v>CORP-0542</x:v>
      </x:c>
      <x:c r="D3062" s="12" t="str">
        <x:v>Bengaluru</x:v>
      </x:c>
      <x:c r="E3062" s="12" t="str">
        <x:v>Bagmane World Technology Centre</x:v>
      </x:c>
      <x:c r="F3062" s="12" t="str">
        <x:v>55 inch</x:v>
      </x:c>
      <x:c r="G3062" s="20" t="n">
        <x:v>1</x:v>
      </x:c>
      <x:c r="H3062" s="12" t="str">
        <x:v>Campus/portfolio roster; individual building occupancy unverified</x:v>
      </x:c>
      <x:c r="I3062" s="12" t="str">
        <x:v>Large enterprise</x:v>
      </x:c>
      <x:c r="J3062" s="12" t="str">
        <x:v>IT &amp; digital</x:v>
      </x:c>
      <x:c r="K3062" s="2" t="str">
        <x:v>PARTNER-M120</x:v>
      </x:c>
    </x:row>
    <x:row r="3063" ht="46" customHeight="1">
      <x:c r="A3063" s="2" t="str">
        <x:v>TEN-65F96528B346</x:v>
      </x:c>
      <x:c r="B3063" s="12" t="str">
        <x:v>Iron Mountain</x:v>
      </x:c>
      <x:c r="C3063" s="12" t="str">
        <x:v>CORP-0542</x:v>
      </x:c>
      <x:c r="D3063" s="12" t="str">
        <x:v>Bengaluru</x:v>
      </x:c>
      <x:c r="E3063" s="12" t="str">
        <x:v>Bagmane World Technology Centre</x:v>
      </x:c>
      <x:c r="F3063" s="12" t="str">
        <x:v>55 inch</x:v>
      </x:c>
      <x:c r="G3063" s="20" t="n">
        <x:v>1</x:v>
      </x:c>
      <x:c r="H3063" s="12" t="str">
        <x:v>Campus/portfolio roster; individual building occupancy unverified</x:v>
      </x:c>
      <x:c r="I3063" s="12" t="str">
        <x:v>Large enterprise</x:v>
      </x:c>
      <x:c r="J3063" s="12" t="str">
        <x:v>Trade, consumer &amp; logistics</x:v>
      </x:c>
      <x:c r="K3063" s="2" t="str">
        <x:v>PARTNER-M120</x:v>
      </x:c>
    </x:row>
    <x:row r="3064" ht="46" customHeight="1">
      <x:c r="A3064" s="2" t="str">
        <x:v>TEN-69A068939DEA</x:v>
      </x:c>
      <x:c r="B3064" s="12" t="str">
        <x:v>Ernst and Young</x:v>
      </x:c>
      <x:c r="C3064" s="12" t="str">
        <x:v>CORP-0542</x:v>
      </x:c>
      <x:c r="D3064" s="12" t="str">
        <x:v>Bengaluru</x:v>
      </x:c>
      <x:c r="E3064" s="12" t="str">
        <x:v>Bagmane World Technology Centre</x:v>
      </x:c>
      <x:c r="F3064" s="12" t="str">
        <x:v>55 inch</x:v>
      </x:c>
      <x:c r="G3064" s="20" t="n">
        <x:v>1</x:v>
      </x:c>
      <x:c r="H3064" s="12" t="str">
        <x:v>Campus/portfolio roster; individual building occupancy unverified</x:v>
      </x:c>
      <x:c r="I3064" s="12" t="str">
        <x:v>Large enterprise</x:v>
      </x:c>
      <x:c r="J3064" s="12" t="str">
        <x:v>Professional services</x:v>
      </x:c>
      <x:c r="K3064" s="2" t="str">
        <x:v>PARTNER-M120</x:v>
      </x:c>
    </x:row>
    <x:row r="3065" ht="46" customHeight="1">
      <x:c r="A3065" s="2" t="str">
        <x:v>TEN-719F53D2AD92</x:v>
      </x:c>
      <x:c r="B3065" s="12" t="str">
        <x:v>EMC- Dell</x:v>
      </x:c>
      <x:c r="C3065" s="12" t="str">
        <x:v>CORP-0542</x:v>
      </x:c>
      <x:c r="D3065" s="12" t="str">
        <x:v>Bengaluru</x:v>
      </x:c>
      <x:c r="E3065" s="12" t="str">
        <x:v>Bagmane World Technology Centre</x:v>
      </x:c>
      <x:c r="F3065" s="12" t="str">
        <x:v>55 inch</x:v>
      </x:c>
      <x:c r="G3065" s="20" t="n">
        <x:v>1</x:v>
      </x:c>
      <x:c r="H3065" s="12" t="str">
        <x:v>Campus/portfolio roster; individual building occupancy unverified</x:v>
      </x:c>
      <x:c r="I3065" s="12" t="str">
        <x:v>Mixed business audience</x:v>
      </x:c>
      <x:c r="J3065" s="12" t="str">
        <x:v>IT &amp; digital</x:v>
      </x:c>
      <x:c r="K3065" s="2" t="str">
        <x:v>PARTNER-M120</x:v>
      </x:c>
    </x:row>
    <x:row r="3066" ht="46" customHeight="1">
      <x:c r="A3066" s="2" t="str">
        <x:v>TEN-7CA58AD857DB</x:v>
      </x:c>
      <x:c r="B3066" s="12" t="str">
        <x:v>Zyeus</x:v>
      </x:c>
      <x:c r="C3066" s="12" t="str">
        <x:v>CORP-0542</x:v>
      </x:c>
      <x:c r="D3066" s="12" t="str">
        <x:v>Bengaluru</x:v>
      </x:c>
      <x:c r="E3066" s="12" t="str">
        <x:v>Bagmane World Technology Centre</x:v>
      </x:c>
      <x:c r="F3066" s="12" t="str">
        <x:v>55 inch</x:v>
      </x:c>
      <x:c r="G3066" s="20" t="n">
        <x:v>1</x:v>
      </x:c>
      <x:c r="H3066" s="12" t="str">
        <x:v>Campus/portfolio roster; individual building occupancy unverified</x:v>
      </x:c>
      <x:c r="I3066" s="12" t="str">
        <x:v>Mixed business audience</x:v>
      </x:c>
      <x:c r="J3066" s="12" t="str">
        <x:v>Unresolved</x:v>
      </x:c>
      <x:c r="K3066" s="2" t="str">
        <x:v>PARTNER-M120</x:v>
      </x:c>
    </x:row>
    <x:row r="3067" ht="46" customHeight="1">
      <x:c r="A3067" s="2" t="str">
        <x:v>TEN-8D4321D93632</x:v>
      </x:c>
      <x:c r="B3067" s="12" t="str">
        <x:v>Nvidia</x:v>
      </x:c>
      <x:c r="C3067" s="12" t="str">
        <x:v>CORP-0542</x:v>
      </x:c>
      <x:c r="D3067" s="12" t="str">
        <x:v>Bengaluru</x:v>
      </x:c>
      <x:c r="E3067" s="12" t="str">
        <x:v>Bagmane World Technology Centre</x:v>
      </x:c>
      <x:c r="F3067" s="12" t="str">
        <x:v>55 inch</x:v>
      </x:c>
      <x:c r="G3067" s="20" t="n">
        <x:v>1</x:v>
      </x:c>
      <x:c r="H3067" s="12" t="str">
        <x:v>Campus/portfolio roster; individual building occupancy unverified</x:v>
      </x:c>
      <x:c r="I3067" s="12" t="str">
        <x:v>Large enterprise</x:v>
      </x:c>
      <x:c r="J3067" s="12" t="str">
        <x:v>Engineering &amp; manufacturing</x:v>
      </x:c>
      <x:c r="K3067" s="2" t="str">
        <x:v>PARTNER-M120</x:v>
      </x:c>
    </x:row>
    <x:row r="3068" ht="46" customHeight="1">
      <x:c r="A3068" s="2" t="str">
        <x:v>TEN-968E2D5B0868</x:v>
      </x:c>
      <x:c r="B3068" s="12" t="str">
        <x:v>Samsung</x:v>
      </x:c>
      <x:c r="C3068" s="12" t="str">
        <x:v>CORP-0542</x:v>
      </x:c>
      <x:c r="D3068" s="12" t="str">
        <x:v>Bengaluru</x:v>
      </x:c>
      <x:c r="E3068" s="12" t="str">
        <x:v>Bagmane World Technology Centre</x:v>
      </x:c>
      <x:c r="F3068" s="12" t="str">
        <x:v>55 inch</x:v>
      </x:c>
      <x:c r="G3068" s="20" t="n">
        <x:v>1</x:v>
      </x:c>
      <x:c r="H3068" s="12" t="str">
        <x:v>Campus/portfolio roster; individual building occupancy unverified</x:v>
      </x:c>
      <x:c r="I3068" s="12" t="str">
        <x:v>Large enterprise</x:v>
      </x:c>
      <x:c r="J3068" s="12" t="str">
        <x:v>Engineering &amp; manufacturing</x:v>
      </x:c>
      <x:c r="K3068" s="2" t="str">
        <x:v>PARTNER-M120</x:v>
      </x:c>
    </x:row>
    <x:row r="3069" ht="46" customHeight="1">
      <x:c r="A3069" s="2" t="str">
        <x:v>TEN-A88C31E9B91F</x:v>
      </x:c>
      <x:c r="B3069" s="12" t="str">
        <x:v>Microland</x:v>
      </x:c>
      <x:c r="C3069" s="12" t="str">
        <x:v>CORP-0542</x:v>
      </x:c>
      <x:c r="D3069" s="12" t="str">
        <x:v>Bengaluru</x:v>
      </x:c>
      <x:c r="E3069" s="12" t="str">
        <x:v>Bagmane World Technology Centre</x:v>
      </x:c>
      <x:c r="F3069" s="12" t="str">
        <x:v>55 inch</x:v>
      </x:c>
      <x:c r="G3069" s="20" t="n">
        <x:v>1</x:v>
      </x:c>
      <x:c r="H3069" s="12" t="str">
        <x:v>Campus/portfolio roster; individual building occupancy unverified</x:v>
      </x:c>
      <x:c r="I3069" s="12" t="str">
        <x:v>Mixed business audience</x:v>
      </x:c>
      <x:c r="J3069" s="12" t="str">
        <x:v>IT &amp; digital</x:v>
      </x:c>
      <x:c r="K3069" s="2" t="str">
        <x:v>PARTNER-M120</x:v>
      </x:c>
    </x:row>
    <x:row r="3070" ht="46" customHeight="1">
      <x:c r="A3070" s="2" t="str">
        <x:v>TEN-BBDEFA2950F4</x:v>
      </x:c>
      <x:c r="B3070" s="12" t="str">
        <x:v>Google</x:v>
      </x:c>
      <x:c r="C3070" s="12" t="str">
        <x:v>CORP-0542</x:v>
      </x:c>
      <x:c r="D3070" s="12" t="str">
        <x:v>Bengaluru</x:v>
      </x:c>
      <x:c r="E3070" s="12" t="str">
        <x:v>Bagmane World Technology Centre</x:v>
      </x:c>
      <x:c r="F3070" s="12" t="str">
        <x:v>55 inch</x:v>
      </x:c>
      <x:c r="G3070" s="20" t="n">
        <x:v>1</x:v>
      </x:c>
      <x:c r="H3070" s="12" t="str">
        <x:v>Campus/portfolio roster; individual building occupancy unverified</x:v>
      </x:c>
      <x:c r="I3070" s="12" t="str">
        <x:v>Large enterprise</x:v>
      </x:c>
      <x:c r="J3070" s="12" t="str">
        <x:v>IT &amp; digital</x:v>
      </x:c>
      <x:c r="K3070" s="2" t="str">
        <x:v>PARTNER-M120</x:v>
      </x:c>
    </x:row>
    <x:row r="3071" ht="46" customHeight="1">
      <x:c r="A3071" s="2" t="str">
        <x:v>TEN-C63AC00C4D11</x:v>
      </x:c>
      <x:c r="B3071" s="12" t="str">
        <x:v>Mphasis</x:v>
      </x:c>
      <x:c r="C3071" s="12" t="str">
        <x:v>CORP-0542</x:v>
      </x:c>
      <x:c r="D3071" s="12" t="str">
        <x:v>Bengaluru</x:v>
      </x:c>
      <x:c r="E3071" s="12" t="str">
        <x:v>Bagmane World Technology Centre</x:v>
      </x:c>
      <x:c r="F3071" s="12" t="str">
        <x:v>55 inch</x:v>
      </x:c>
      <x:c r="G3071" s="20" t="n">
        <x:v>1</x:v>
      </x:c>
      <x:c r="H3071" s="12" t="str">
        <x:v>Campus/portfolio roster; individual building occupancy unverified</x:v>
      </x:c>
      <x:c r="I3071" s="12" t="str">
        <x:v>Large enterprise</x:v>
      </x:c>
      <x:c r="J3071" s="12" t="str">
        <x:v>IT &amp; digital</x:v>
      </x:c>
      <x:c r="K3071" s="2" t="str">
        <x:v>PARTNER-M120</x:v>
      </x:c>
    </x:row>
    <x:row r="3072" ht="46" customHeight="1">
      <x:c r="A3072" s="2" t="str">
        <x:v>TEN-CBC62794911F</x:v>
      </x:c>
      <x:c r="B3072" s="12" t="str">
        <x:v>Amazon</x:v>
      </x:c>
      <x:c r="C3072" s="12" t="str">
        <x:v>CORP-0542</x:v>
      </x:c>
      <x:c r="D3072" s="12" t="str">
        <x:v>Bengaluru</x:v>
      </x:c>
      <x:c r="E3072" s="12" t="str">
        <x:v>Bagmane World Technology Centre</x:v>
      </x:c>
      <x:c r="F3072" s="12" t="str">
        <x:v>55 inch</x:v>
      </x:c>
      <x:c r="G3072" s="20" t="n">
        <x:v>1</x:v>
      </x:c>
      <x:c r="H3072" s="12" t="str">
        <x:v>Campus/portfolio roster; individual building occupancy unverified</x:v>
      </x:c>
      <x:c r="I3072" s="12" t="str">
        <x:v>Large enterprise</x:v>
      </x:c>
      <x:c r="J3072" s="12" t="str">
        <x:v>IT &amp; digital</x:v>
      </x:c>
      <x:c r="K3072" s="2" t="str">
        <x:v>PARTNER-M120</x:v>
      </x:c>
    </x:row>
    <x:row r="3073" ht="46" customHeight="1">
      <x:c r="A3073" s="2" t="str">
        <x:v>TEN-D861EE362E38</x:v>
      </x:c>
      <x:c r="B3073" s="12" t="str">
        <x:v>Quotient</x:v>
      </x:c>
      <x:c r="C3073" s="12" t="str">
        <x:v>CORP-0542</x:v>
      </x:c>
      <x:c r="D3073" s="12" t="str">
        <x:v>Bengaluru</x:v>
      </x:c>
      <x:c r="E3073" s="12" t="str">
        <x:v>Bagmane World Technology Centre</x:v>
      </x:c>
      <x:c r="F3073" s="12" t="str">
        <x:v>55 inch</x:v>
      </x:c>
      <x:c r="G3073" s="20" t="n">
        <x:v>1</x:v>
      </x:c>
      <x:c r="H3073" s="12" t="str">
        <x:v>Campus/portfolio roster; individual building occupancy unverified</x:v>
      </x:c>
      <x:c r="I3073" s="12" t="str">
        <x:v>Mixed business audience</x:v>
      </x:c>
      <x:c r="J3073" s="12" t="str">
        <x:v>Unresolved</x:v>
      </x:c>
      <x:c r="K3073" s="2" t="str">
        <x:v>PARTNER-M120</x:v>
      </x:c>
    </x:row>
    <x:row r="3074" ht="46" customHeight="1">
      <x:c r="A3074" s="2" t="str">
        <x:v>TEN-DDF7FF5EBD9D</x:v>
      </x:c>
      <x:c r="B3074" s="12" t="str">
        <x:v>ARM</x:v>
      </x:c>
      <x:c r="C3074" s="12" t="str">
        <x:v>CORP-0542</x:v>
      </x:c>
      <x:c r="D3074" s="12" t="str">
        <x:v>Bengaluru</x:v>
      </x:c>
      <x:c r="E3074" s="12" t="str">
        <x:v>Bagmane World Technology Centre</x:v>
      </x:c>
      <x:c r="F3074" s="12" t="str">
        <x:v>55 inch</x:v>
      </x:c>
      <x:c r="G3074" s="20" t="n">
        <x:v>1</x:v>
      </x:c>
      <x:c r="H3074" s="12" t="str">
        <x:v>Campus/portfolio roster; individual building occupancy unverified</x:v>
      </x:c>
      <x:c r="I3074" s="12" t="str">
        <x:v>Mixed business audience</x:v>
      </x:c>
      <x:c r="J3074" s="12" t="str">
        <x:v>Engineering &amp; manufacturing</x:v>
      </x:c>
      <x:c r="K3074" s="2" t="str">
        <x:v>PARTNER-M120</x:v>
      </x:c>
    </x:row>
    <x:row r="3075" ht="46" customHeight="1">
      <x:c r="A3075" s="2" t="str">
        <x:v>TEN-DFAE2CFCA884</x:v>
      </x:c>
      <x:c r="B3075" s="12" t="str">
        <x:v>Xentrix</x:v>
      </x:c>
      <x:c r="C3075" s="12" t="str">
        <x:v>CORP-0542</x:v>
      </x:c>
      <x:c r="D3075" s="12" t="str">
        <x:v>Bengaluru</x:v>
      </x:c>
      <x:c r="E3075" s="12" t="str">
        <x:v>Bagmane World Technology Centre</x:v>
      </x:c>
      <x:c r="F3075" s="12" t="str">
        <x:v>55 inch</x:v>
      </x:c>
      <x:c r="G3075" s="20" t="n">
        <x:v>1</x:v>
      </x:c>
      <x:c r="H3075" s="12" t="str">
        <x:v>Campus/portfolio roster; individual building occupancy unverified</x:v>
      </x:c>
      <x:c r="I3075" s="12" t="str">
        <x:v>Small-scale prospects</x:v>
      </x:c>
      <x:c r="J3075" s="12" t="str">
        <x:v>Trade, consumer &amp; logistics</x:v>
      </x:c>
      <x:c r="K3075" s="2" t="str">
        <x:v>PARTNER-M120</x:v>
      </x:c>
    </x:row>
    <x:row r="3076" ht="46" customHeight="1">
      <x:c r="A3076" s="2" t="str">
        <x:v>TEN-E759968CA927</x:v>
      </x:c>
      <x:c r="B3076" s="12" t="str">
        <x:v>visa</x:v>
      </x:c>
      <x:c r="C3076" s="12" t="str">
        <x:v>CORP-0542</x:v>
      </x:c>
      <x:c r="D3076" s="12" t="str">
        <x:v>Bengaluru</x:v>
      </x:c>
      <x:c r="E3076" s="12" t="str">
        <x:v>Bagmane World Technology Centre</x:v>
      </x:c>
      <x:c r="F3076" s="12" t="str">
        <x:v>55 inch</x:v>
      </x:c>
      <x:c r="G3076" s="20" t="n">
        <x:v>1</x:v>
      </x:c>
      <x:c r="H3076" s="12" t="str">
        <x:v>Campus/portfolio roster; individual building occupancy unverified</x:v>
      </x:c>
      <x:c r="I3076" s="12" t="str">
        <x:v>Large enterprise</x:v>
      </x:c>
      <x:c r="J3076" s="12" t="str">
        <x:v>Finance &amp; insurance</x:v>
      </x:c>
      <x:c r="K3076" s="2" t="str">
        <x:v>PARTNER-M120</x:v>
      </x:c>
    </x:row>
    <x:row r="3077" ht="46" customHeight="1">
      <x:c r="A3077" s="2" t="str">
        <x:v>TEN-F2ED4886E20F</x:v>
      </x:c>
      <x:c r="B3077" s="12" t="str">
        <x:v>Ericsson</x:v>
      </x:c>
      <x:c r="C3077" s="12" t="str">
        <x:v>CORP-0542</x:v>
      </x:c>
      <x:c r="D3077" s="12" t="str">
        <x:v>Bengaluru</x:v>
      </x:c>
      <x:c r="E3077" s="12" t="str">
        <x:v>Bagmane World Technology Centre</x:v>
      </x:c>
      <x:c r="F3077" s="12" t="str">
        <x:v>55 inch</x:v>
      </x:c>
      <x:c r="G3077" s="20" t="n">
        <x:v>1</x:v>
      </x:c>
      <x:c r="H3077" s="12" t="str">
        <x:v>Campus/portfolio roster; individual building occupancy unverified</x:v>
      </x:c>
      <x:c r="I3077" s="12" t="str">
        <x:v>Large enterprise</x:v>
      </x:c>
      <x:c r="J3077" s="12" t="str">
        <x:v>IT &amp; digital</x:v>
      </x:c>
      <x:c r="K3077" s="2" t="str">
        <x:v>PARTNER-M120</x:v>
      </x:c>
    </x:row>
    <x:row r="3078" ht="46" customHeight="1">
      <x:c r="A3078" s="2" t="str">
        <x:v>TEN-16F45B99ABFD</x:v>
      </x:c>
      <x:c r="B3078" s="12" t="str">
        <x:v>Boeing</x:v>
      </x:c>
      <x:c r="C3078" s="12" t="str">
        <x:v>CORP-0543</x:v>
      </x:c>
      <x:c r="D3078" s="12" t="str">
        <x:v>Bengaluru</x:v>
      </x:c>
      <x:c r="E3078" s="12" t="str">
        <x:v>Bagmane World Technology Centre</x:v>
      </x:c>
      <x:c r="F3078" s="12" t="str">
        <x:v>55 inch</x:v>
      </x:c>
      <x:c r="G3078" s="20" t="n">
        <x:v>1</x:v>
      </x:c>
      <x:c r="H3078" s="12" t="str">
        <x:v>Campus/portfolio roster; individual building occupancy unverified</x:v>
      </x:c>
      <x:c r="I3078" s="12" t="str">
        <x:v>Large enterprise</x:v>
      </x:c>
      <x:c r="J3078" s="12" t="str">
        <x:v>Engineering &amp; manufacturing</x:v>
      </x:c>
      <x:c r="K3078" s="2" t="str">
        <x:v>PARTNER-M120</x:v>
      </x:c>
    </x:row>
    <x:row r="3079" ht="46" customHeight="1">
      <x:c r="A3079" s="2" t="str">
        <x:v>TEN-20E8BE98ADE9</x:v>
      </x:c>
      <x:c r="B3079" s="12" t="str">
        <x:v>Abinbev</x:v>
      </x:c>
      <x:c r="C3079" s="12" t="str">
        <x:v>CORP-0543</x:v>
      </x:c>
      <x:c r="D3079" s="12" t="str">
        <x:v>Bengaluru</x:v>
      </x:c>
      <x:c r="E3079" s="12" t="str">
        <x:v>Bagmane World Technology Centre</x:v>
      </x:c>
      <x:c r="F3079" s="12" t="str">
        <x:v>55 inch</x:v>
      </x:c>
      <x:c r="G3079" s="20" t="n">
        <x:v>1</x:v>
      </x:c>
      <x:c r="H3079" s="12" t="str">
        <x:v>Campus/portfolio roster; individual building occupancy unverified</x:v>
      </x:c>
      <x:c r="I3079" s="12" t="str">
        <x:v>Mixed business audience</x:v>
      </x:c>
      <x:c r="J3079" s="12" t="str">
        <x:v>Trade, consumer &amp; logistics</x:v>
      </x:c>
      <x:c r="K3079" s="2" t="str">
        <x:v>PARTNER-M120</x:v>
      </x:c>
    </x:row>
    <x:row r="3080" ht="46" customHeight="1">
      <x:c r="A3080" s="2" t="str">
        <x:v>TEN-2D844470A22E</x:v>
      </x:c>
      <x:c r="B3080" s="12" t="str">
        <x:v>Qsc</x:v>
      </x:c>
      <x:c r="C3080" s="12" t="str">
        <x:v>CORP-0543</x:v>
      </x:c>
      <x:c r="D3080" s="12" t="str">
        <x:v>Bengaluru</x:v>
      </x:c>
      <x:c r="E3080" s="12" t="str">
        <x:v>Bagmane World Technology Centre</x:v>
      </x:c>
      <x:c r="F3080" s="12" t="str">
        <x:v>55 inch</x:v>
      </x:c>
      <x:c r="G3080" s="20" t="n">
        <x:v>1</x:v>
      </x:c>
      <x:c r="H3080" s="12" t="str">
        <x:v>Campus/portfolio roster; individual building occupancy unverified</x:v>
      </x:c>
      <x:c r="I3080" s="12" t="str">
        <x:v>Mixed business audience</x:v>
      </x:c>
      <x:c r="J3080" s="12" t="str">
        <x:v>Unresolved</x:v>
      </x:c>
      <x:c r="K3080" s="2" t="str">
        <x:v>PARTNER-M120</x:v>
      </x:c>
    </x:row>
    <x:row r="3081" ht="46" customHeight="1">
      <x:c r="A3081" s="2" t="str">
        <x:v>TEN-35E87826D332</x:v>
      </x:c>
      <x:c r="B3081" s="12" t="str">
        <x:v>sifive</x:v>
      </x:c>
      <x:c r="C3081" s="12" t="str">
        <x:v>CORP-0543</x:v>
      </x:c>
      <x:c r="D3081" s="12" t="str">
        <x:v>Bengaluru</x:v>
      </x:c>
      <x:c r="E3081" s="12" t="str">
        <x:v>Bagmane World Technology Centre</x:v>
      </x:c>
      <x:c r="F3081" s="12" t="str">
        <x:v>55 inch</x:v>
      </x:c>
      <x:c r="G3081" s="20" t="n">
        <x:v>1</x:v>
      </x:c>
      <x:c r="H3081" s="12" t="str">
        <x:v>Campus/portfolio roster; individual building occupancy unverified</x:v>
      </x:c>
      <x:c r="I3081" s="12" t="str">
        <x:v>Mixed business audience</x:v>
      </x:c>
      <x:c r="J3081" s="12" t="str">
        <x:v>Engineering &amp; manufacturing</x:v>
      </x:c>
      <x:c r="K3081" s="2" t="str">
        <x:v>PARTNER-M120</x:v>
      </x:c>
    </x:row>
    <x:row r="3082" ht="46" customHeight="1">
      <x:c r="A3082" s="2" t="str">
        <x:v>TEN-4C5029DA39B5</x:v>
      </x:c>
      <x:c r="B3082" s="12" t="str">
        <x:v>Mediakind</x:v>
      </x:c>
      <x:c r="C3082" s="12" t="str">
        <x:v>CORP-0543</x:v>
      </x:c>
      <x:c r="D3082" s="12" t="str">
        <x:v>Bengaluru</x:v>
      </x:c>
      <x:c r="E3082" s="12" t="str">
        <x:v>Bagmane World Technology Centre</x:v>
      </x:c>
      <x:c r="F3082" s="12" t="str">
        <x:v>55 inch</x:v>
      </x:c>
      <x:c r="G3082" s="20" t="n">
        <x:v>1</x:v>
      </x:c>
      <x:c r="H3082" s="12" t="str">
        <x:v>Campus/portfolio roster; individual building occupancy unverified</x:v>
      </x:c>
      <x:c r="I3082" s="12" t="str">
        <x:v>Mixed business audience</x:v>
      </x:c>
      <x:c r="J3082" s="12" t="str">
        <x:v>Trade, consumer &amp; logistics</x:v>
      </x:c>
      <x:c r="K3082" s="2" t="str">
        <x:v>PARTNER-M120</x:v>
      </x:c>
    </x:row>
    <x:row r="3083" ht="46" customHeight="1">
      <x:c r="A3083" s="2" t="str">
        <x:v>TEN-4D748EBD71AF</x:v>
      </x:c>
      <x:c r="B3083" s="12" t="str">
        <x:v>Accenture</x:v>
      </x:c>
      <x:c r="C3083" s="12" t="str">
        <x:v>CORP-0543</x:v>
      </x:c>
      <x:c r="D3083" s="12" t="str">
        <x:v>Bengaluru</x:v>
      </x:c>
      <x:c r="E3083" s="12" t="str">
        <x:v>Bagmane World Technology Centre</x:v>
      </x:c>
      <x:c r="F3083" s="12" t="str">
        <x:v>55 inch</x:v>
      </x:c>
      <x:c r="G3083" s="20" t="n">
        <x:v>1</x:v>
      </x:c>
      <x:c r="H3083" s="12" t="str">
        <x:v>Campus/portfolio roster; individual building occupancy unverified</x:v>
      </x:c>
      <x:c r="I3083" s="12" t="str">
        <x:v>Large enterprise</x:v>
      </x:c>
      <x:c r="J3083" s="12" t="str">
        <x:v>IT &amp; digital</x:v>
      </x:c>
      <x:c r="K3083" s="2" t="str">
        <x:v>PARTNER-M120</x:v>
      </x:c>
    </x:row>
    <x:row r="3084" ht="46" customHeight="1">
      <x:c r="A3084" s="2" t="str">
        <x:v>TEN-65F96528B346</x:v>
      </x:c>
      <x:c r="B3084" s="12" t="str">
        <x:v>Iron Mountain</x:v>
      </x:c>
      <x:c r="C3084" s="12" t="str">
        <x:v>CORP-0543</x:v>
      </x:c>
      <x:c r="D3084" s="12" t="str">
        <x:v>Bengaluru</x:v>
      </x:c>
      <x:c r="E3084" s="12" t="str">
        <x:v>Bagmane World Technology Centre</x:v>
      </x:c>
      <x:c r="F3084" s="12" t="str">
        <x:v>55 inch</x:v>
      </x:c>
      <x:c r="G3084" s="20" t="n">
        <x:v>1</x:v>
      </x:c>
      <x:c r="H3084" s="12" t="str">
        <x:v>Campus/portfolio roster; individual building occupancy unverified</x:v>
      </x:c>
      <x:c r="I3084" s="12" t="str">
        <x:v>Large enterprise</x:v>
      </x:c>
      <x:c r="J3084" s="12" t="str">
        <x:v>Trade, consumer &amp; logistics</x:v>
      </x:c>
      <x:c r="K3084" s="2" t="str">
        <x:v>PARTNER-M120</x:v>
      </x:c>
    </x:row>
    <x:row r="3085" ht="46" customHeight="1">
      <x:c r="A3085" s="2" t="str">
        <x:v>TEN-69A068939DEA</x:v>
      </x:c>
      <x:c r="B3085" s="12" t="str">
        <x:v>Ernst and Young</x:v>
      </x:c>
      <x:c r="C3085" s="12" t="str">
        <x:v>CORP-0543</x:v>
      </x:c>
      <x:c r="D3085" s="12" t="str">
        <x:v>Bengaluru</x:v>
      </x:c>
      <x:c r="E3085" s="12" t="str">
        <x:v>Bagmane World Technology Centre</x:v>
      </x:c>
      <x:c r="F3085" s="12" t="str">
        <x:v>55 inch</x:v>
      </x:c>
      <x:c r="G3085" s="20" t="n">
        <x:v>1</x:v>
      </x:c>
      <x:c r="H3085" s="12" t="str">
        <x:v>Campus/portfolio roster; individual building occupancy unverified</x:v>
      </x:c>
      <x:c r="I3085" s="12" t="str">
        <x:v>Large enterprise</x:v>
      </x:c>
      <x:c r="J3085" s="12" t="str">
        <x:v>Professional services</x:v>
      </x:c>
      <x:c r="K3085" s="2" t="str">
        <x:v>PARTNER-M120</x:v>
      </x:c>
    </x:row>
    <x:row r="3086" ht="46" customHeight="1">
      <x:c r="A3086" s="2" t="str">
        <x:v>TEN-719F53D2AD92</x:v>
      </x:c>
      <x:c r="B3086" s="12" t="str">
        <x:v>EMC- Dell</x:v>
      </x:c>
      <x:c r="C3086" s="12" t="str">
        <x:v>CORP-0543</x:v>
      </x:c>
      <x:c r="D3086" s="12" t="str">
        <x:v>Bengaluru</x:v>
      </x:c>
      <x:c r="E3086" s="12" t="str">
        <x:v>Bagmane World Technology Centre</x:v>
      </x:c>
      <x:c r="F3086" s="12" t="str">
        <x:v>55 inch</x:v>
      </x:c>
      <x:c r="G3086" s="20" t="n">
        <x:v>1</x:v>
      </x:c>
      <x:c r="H3086" s="12" t="str">
        <x:v>Campus/portfolio roster; individual building occupancy unverified</x:v>
      </x:c>
      <x:c r="I3086" s="12" t="str">
        <x:v>Mixed business audience</x:v>
      </x:c>
      <x:c r="J3086" s="12" t="str">
        <x:v>IT &amp; digital</x:v>
      </x:c>
      <x:c r="K3086" s="2" t="str">
        <x:v>PARTNER-M120</x:v>
      </x:c>
    </x:row>
    <x:row r="3087" ht="46" customHeight="1">
      <x:c r="A3087" s="2" t="str">
        <x:v>TEN-7CA58AD857DB</x:v>
      </x:c>
      <x:c r="B3087" s="12" t="str">
        <x:v>Zyeus</x:v>
      </x:c>
      <x:c r="C3087" s="12" t="str">
        <x:v>CORP-0543</x:v>
      </x:c>
      <x:c r="D3087" s="12" t="str">
        <x:v>Bengaluru</x:v>
      </x:c>
      <x:c r="E3087" s="12" t="str">
        <x:v>Bagmane World Technology Centre</x:v>
      </x:c>
      <x:c r="F3087" s="12" t="str">
        <x:v>55 inch</x:v>
      </x:c>
      <x:c r="G3087" s="20" t="n">
        <x:v>1</x:v>
      </x:c>
      <x:c r="H3087" s="12" t="str">
        <x:v>Campus/portfolio roster; individual building occupancy unverified</x:v>
      </x:c>
      <x:c r="I3087" s="12" t="str">
        <x:v>Mixed business audience</x:v>
      </x:c>
      <x:c r="J3087" s="12" t="str">
        <x:v>Unresolved</x:v>
      </x:c>
      <x:c r="K3087" s="2" t="str">
        <x:v>PARTNER-M120</x:v>
      </x:c>
    </x:row>
    <x:row r="3088" ht="46" customHeight="1">
      <x:c r="A3088" s="2" t="str">
        <x:v>TEN-8D4321D93632</x:v>
      </x:c>
      <x:c r="B3088" s="12" t="str">
        <x:v>Nvidia</x:v>
      </x:c>
      <x:c r="C3088" s="12" t="str">
        <x:v>CORP-0543</x:v>
      </x:c>
      <x:c r="D3088" s="12" t="str">
        <x:v>Bengaluru</x:v>
      </x:c>
      <x:c r="E3088" s="12" t="str">
        <x:v>Bagmane World Technology Centre</x:v>
      </x:c>
      <x:c r="F3088" s="12" t="str">
        <x:v>55 inch</x:v>
      </x:c>
      <x:c r="G3088" s="20" t="n">
        <x:v>1</x:v>
      </x:c>
      <x:c r="H3088" s="12" t="str">
        <x:v>Campus/portfolio roster; individual building occupancy unverified</x:v>
      </x:c>
      <x:c r="I3088" s="12" t="str">
        <x:v>Large enterprise</x:v>
      </x:c>
      <x:c r="J3088" s="12" t="str">
        <x:v>Engineering &amp; manufacturing</x:v>
      </x:c>
      <x:c r="K3088" s="2" t="str">
        <x:v>PARTNER-M120</x:v>
      </x:c>
    </x:row>
    <x:row r="3089" ht="46" customHeight="1">
      <x:c r="A3089" s="2" t="str">
        <x:v>TEN-968E2D5B0868</x:v>
      </x:c>
      <x:c r="B3089" s="12" t="str">
        <x:v>Samsung</x:v>
      </x:c>
      <x:c r="C3089" s="12" t="str">
        <x:v>CORP-0543</x:v>
      </x:c>
      <x:c r="D3089" s="12" t="str">
        <x:v>Bengaluru</x:v>
      </x:c>
      <x:c r="E3089" s="12" t="str">
        <x:v>Bagmane World Technology Centre</x:v>
      </x:c>
      <x:c r="F3089" s="12" t="str">
        <x:v>55 inch</x:v>
      </x:c>
      <x:c r="G3089" s="20" t="n">
        <x:v>1</x:v>
      </x:c>
      <x:c r="H3089" s="12" t="str">
        <x:v>Campus/portfolio roster; individual building occupancy unverified</x:v>
      </x:c>
      <x:c r="I3089" s="12" t="str">
        <x:v>Large enterprise</x:v>
      </x:c>
      <x:c r="J3089" s="12" t="str">
        <x:v>Engineering &amp; manufacturing</x:v>
      </x:c>
      <x:c r="K3089" s="2" t="str">
        <x:v>PARTNER-M120</x:v>
      </x:c>
    </x:row>
    <x:row r="3090" ht="46" customHeight="1">
      <x:c r="A3090" s="2" t="str">
        <x:v>TEN-A88C31E9B91F</x:v>
      </x:c>
      <x:c r="B3090" s="12" t="str">
        <x:v>Microland</x:v>
      </x:c>
      <x:c r="C3090" s="12" t="str">
        <x:v>CORP-0543</x:v>
      </x:c>
      <x:c r="D3090" s="12" t="str">
        <x:v>Bengaluru</x:v>
      </x:c>
      <x:c r="E3090" s="12" t="str">
        <x:v>Bagmane World Technology Centre</x:v>
      </x:c>
      <x:c r="F3090" s="12" t="str">
        <x:v>55 inch</x:v>
      </x:c>
      <x:c r="G3090" s="20" t="n">
        <x:v>1</x:v>
      </x:c>
      <x:c r="H3090" s="12" t="str">
        <x:v>Campus/portfolio roster; individual building occupancy unverified</x:v>
      </x:c>
      <x:c r="I3090" s="12" t="str">
        <x:v>Mixed business audience</x:v>
      </x:c>
      <x:c r="J3090" s="12" t="str">
        <x:v>IT &amp; digital</x:v>
      </x:c>
      <x:c r="K3090" s="2" t="str">
        <x:v>PARTNER-M120</x:v>
      </x:c>
    </x:row>
    <x:row r="3091" ht="46" customHeight="1">
      <x:c r="A3091" s="2" t="str">
        <x:v>TEN-BBDEFA2950F4</x:v>
      </x:c>
      <x:c r="B3091" s="12" t="str">
        <x:v>Google</x:v>
      </x:c>
      <x:c r="C3091" s="12" t="str">
        <x:v>CORP-0543</x:v>
      </x:c>
      <x:c r="D3091" s="12" t="str">
        <x:v>Bengaluru</x:v>
      </x:c>
      <x:c r="E3091" s="12" t="str">
        <x:v>Bagmane World Technology Centre</x:v>
      </x:c>
      <x:c r="F3091" s="12" t="str">
        <x:v>55 inch</x:v>
      </x:c>
      <x:c r="G3091" s="20" t="n">
        <x:v>1</x:v>
      </x:c>
      <x:c r="H3091" s="12" t="str">
        <x:v>Campus/portfolio roster; individual building occupancy unverified</x:v>
      </x:c>
      <x:c r="I3091" s="12" t="str">
        <x:v>Large enterprise</x:v>
      </x:c>
      <x:c r="J3091" s="12" t="str">
        <x:v>IT &amp; digital</x:v>
      </x:c>
      <x:c r="K3091" s="2" t="str">
        <x:v>PARTNER-M120</x:v>
      </x:c>
    </x:row>
    <x:row r="3092" ht="46" customHeight="1">
      <x:c r="A3092" s="2" t="str">
        <x:v>TEN-C63AC00C4D11</x:v>
      </x:c>
      <x:c r="B3092" s="12" t="str">
        <x:v>Mphasis</x:v>
      </x:c>
      <x:c r="C3092" s="12" t="str">
        <x:v>CORP-0543</x:v>
      </x:c>
      <x:c r="D3092" s="12" t="str">
        <x:v>Bengaluru</x:v>
      </x:c>
      <x:c r="E3092" s="12" t="str">
        <x:v>Bagmane World Technology Centre</x:v>
      </x:c>
      <x:c r="F3092" s="12" t="str">
        <x:v>55 inch</x:v>
      </x:c>
      <x:c r="G3092" s="20" t="n">
        <x:v>1</x:v>
      </x:c>
      <x:c r="H3092" s="12" t="str">
        <x:v>Campus/portfolio roster; individual building occupancy unverified</x:v>
      </x:c>
      <x:c r="I3092" s="12" t="str">
        <x:v>Large enterprise</x:v>
      </x:c>
      <x:c r="J3092" s="12" t="str">
        <x:v>IT &amp; digital</x:v>
      </x:c>
      <x:c r="K3092" s="2" t="str">
        <x:v>PARTNER-M120</x:v>
      </x:c>
    </x:row>
    <x:row r="3093" ht="46" customHeight="1">
      <x:c r="A3093" s="2" t="str">
        <x:v>TEN-CBC62794911F</x:v>
      </x:c>
      <x:c r="B3093" s="12" t="str">
        <x:v>Amazon</x:v>
      </x:c>
      <x:c r="C3093" s="12" t="str">
        <x:v>CORP-0543</x:v>
      </x:c>
      <x:c r="D3093" s="12" t="str">
        <x:v>Bengaluru</x:v>
      </x:c>
      <x:c r="E3093" s="12" t="str">
        <x:v>Bagmane World Technology Centre</x:v>
      </x:c>
      <x:c r="F3093" s="12" t="str">
        <x:v>55 inch</x:v>
      </x:c>
      <x:c r="G3093" s="20" t="n">
        <x:v>1</x:v>
      </x:c>
      <x:c r="H3093" s="12" t="str">
        <x:v>Campus/portfolio roster; individual building occupancy unverified</x:v>
      </x:c>
      <x:c r="I3093" s="12" t="str">
        <x:v>Large enterprise</x:v>
      </x:c>
      <x:c r="J3093" s="12" t="str">
        <x:v>IT &amp; digital</x:v>
      </x:c>
      <x:c r="K3093" s="2" t="str">
        <x:v>PARTNER-M120</x:v>
      </x:c>
    </x:row>
    <x:row r="3094" ht="46" customHeight="1">
      <x:c r="A3094" s="2" t="str">
        <x:v>TEN-D861EE362E38</x:v>
      </x:c>
      <x:c r="B3094" s="12" t="str">
        <x:v>Quotient</x:v>
      </x:c>
      <x:c r="C3094" s="12" t="str">
        <x:v>CORP-0543</x:v>
      </x:c>
      <x:c r="D3094" s="12" t="str">
        <x:v>Bengaluru</x:v>
      </x:c>
      <x:c r="E3094" s="12" t="str">
        <x:v>Bagmane World Technology Centre</x:v>
      </x:c>
      <x:c r="F3094" s="12" t="str">
        <x:v>55 inch</x:v>
      </x:c>
      <x:c r="G3094" s="20" t="n">
        <x:v>1</x:v>
      </x:c>
      <x:c r="H3094" s="12" t="str">
        <x:v>Campus/portfolio roster; individual building occupancy unverified</x:v>
      </x:c>
      <x:c r="I3094" s="12" t="str">
        <x:v>Mixed business audience</x:v>
      </x:c>
      <x:c r="J3094" s="12" t="str">
        <x:v>Unresolved</x:v>
      </x:c>
      <x:c r="K3094" s="2" t="str">
        <x:v>PARTNER-M120</x:v>
      </x:c>
    </x:row>
    <x:row r="3095" ht="46" customHeight="1">
      <x:c r="A3095" s="2" t="str">
        <x:v>TEN-DDF7FF5EBD9D</x:v>
      </x:c>
      <x:c r="B3095" s="12" t="str">
        <x:v>ARM</x:v>
      </x:c>
      <x:c r="C3095" s="12" t="str">
        <x:v>CORP-0543</x:v>
      </x:c>
      <x:c r="D3095" s="12" t="str">
        <x:v>Bengaluru</x:v>
      </x:c>
      <x:c r="E3095" s="12" t="str">
        <x:v>Bagmane World Technology Centre</x:v>
      </x:c>
      <x:c r="F3095" s="12" t="str">
        <x:v>55 inch</x:v>
      </x:c>
      <x:c r="G3095" s="20" t="n">
        <x:v>1</x:v>
      </x:c>
      <x:c r="H3095" s="12" t="str">
        <x:v>Campus/portfolio roster; individual building occupancy unverified</x:v>
      </x:c>
      <x:c r="I3095" s="12" t="str">
        <x:v>Mixed business audience</x:v>
      </x:c>
      <x:c r="J3095" s="12" t="str">
        <x:v>Engineering &amp; manufacturing</x:v>
      </x:c>
      <x:c r="K3095" s="2" t="str">
        <x:v>PARTNER-M120</x:v>
      </x:c>
    </x:row>
    <x:row r="3096" ht="46" customHeight="1">
      <x:c r="A3096" s="2" t="str">
        <x:v>TEN-DFAE2CFCA884</x:v>
      </x:c>
      <x:c r="B3096" s="12" t="str">
        <x:v>Xentrix</x:v>
      </x:c>
      <x:c r="C3096" s="12" t="str">
        <x:v>CORP-0543</x:v>
      </x:c>
      <x:c r="D3096" s="12" t="str">
        <x:v>Bengaluru</x:v>
      </x:c>
      <x:c r="E3096" s="12" t="str">
        <x:v>Bagmane World Technology Centre</x:v>
      </x:c>
      <x:c r="F3096" s="12" t="str">
        <x:v>55 inch</x:v>
      </x:c>
      <x:c r="G3096" s="20" t="n">
        <x:v>1</x:v>
      </x:c>
      <x:c r="H3096" s="12" t="str">
        <x:v>Campus/portfolio roster; individual building occupancy unverified</x:v>
      </x:c>
      <x:c r="I3096" s="12" t="str">
        <x:v>Small-scale prospects</x:v>
      </x:c>
      <x:c r="J3096" s="12" t="str">
        <x:v>Trade, consumer &amp; logistics</x:v>
      </x:c>
      <x:c r="K3096" s="2" t="str">
        <x:v>PARTNER-M120</x:v>
      </x:c>
    </x:row>
    <x:row r="3097" ht="46" customHeight="1">
      <x:c r="A3097" s="2" t="str">
        <x:v>TEN-E759968CA927</x:v>
      </x:c>
      <x:c r="B3097" s="12" t="str">
        <x:v>visa</x:v>
      </x:c>
      <x:c r="C3097" s="12" t="str">
        <x:v>CORP-0543</x:v>
      </x:c>
      <x:c r="D3097" s="12" t="str">
        <x:v>Bengaluru</x:v>
      </x:c>
      <x:c r="E3097" s="12" t="str">
        <x:v>Bagmane World Technology Centre</x:v>
      </x:c>
      <x:c r="F3097" s="12" t="str">
        <x:v>55 inch</x:v>
      </x:c>
      <x:c r="G3097" s="20" t="n">
        <x:v>1</x:v>
      </x:c>
      <x:c r="H3097" s="12" t="str">
        <x:v>Campus/portfolio roster; individual building occupancy unverified</x:v>
      </x:c>
      <x:c r="I3097" s="12" t="str">
        <x:v>Large enterprise</x:v>
      </x:c>
      <x:c r="J3097" s="12" t="str">
        <x:v>Finance &amp; insurance</x:v>
      </x:c>
      <x:c r="K3097" s="2" t="str">
        <x:v>PARTNER-M120</x:v>
      </x:c>
    </x:row>
    <x:row r="3098" ht="46" customHeight="1">
      <x:c r="A3098" s="2" t="str">
        <x:v>TEN-F2ED4886E20F</x:v>
      </x:c>
      <x:c r="B3098" s="12" t="str">
        <x:v>Ericsson</x:v>
      </x:c>
      <x:c r="C3098" s="12" t="str">
        <x:v>CORP-0543</x:v>
      </x:c>
      <x:c r="D3098" s="12" t="str">
        <x:v>Bengaluru</x:v>
      </x:c>
      <x:c r="E3098" s="12" t="str">
        <x:v>Bagmane World Technology Centre</x:v>
      </x:c>
      <x:c r="F3098" s="12" t="str">
        <x:v>55 inch</x:v>
      </x:c>
      <x:c r="G3098" s="20" t="n">
        <x:v>1</x:v>
      </x:c>
      <x:c r="H3098" s="12" t="str">
        <x:v>Campus/portfolio roster; individual building occupancy unverified</x:v>
      </x:c>
      <x:c r="I3098" s="12" t="str">
        <x:v>Large enterprise</x:v>
      </x:c>
      <x:c r="J3098" s="12" t="str">
        <x:v>IT &amp; digital</x:v>
      </x:c>
      <x:c r="K3098" s="2" t="str">
        <x:v>PARTNER-M120</x:v>
      </x:c>
    </x:row>
    <x:row r="3099" ht="46" customHeight="1">
      <x:c r="A3099" s="2" t="str">
        <x:v>TEN-16F45B99ABFD</x:v>
      </x:c>
      <x:c r="B3099" s="12" t="str">
        <x:v>Boeing</x:v>
      </x:c>
      <x:c r="C3099" s="12" t="str">
        <x:v>CORP-0544</x:v>
      </x:c>
      <x:c r="D3099" s="12" t="str">
        <x:v>Bengaluru</x:v>
      </x:c>
      <x:c r="E3099" s="12" t="str">
        <x:v>Bagmane World Technology Centre</x:v>
      </x:c>
      <x:c r="F3099" s="12" t="str">
        <x:v>55 inch</x:v>
      </x:c>
      <x:c r="G3099" s="20" t="n">
        <x:v>1</x:v>
      </x:c>
      <x:c r="H3099" s="12" t="str">
        <x:v>Campus/portfolio roster; individual building occupancy unverified</x:v>
      </x:c>
      <x:c r="I3099" s="12" t="str">
        <x:v>Large enterprise</x:v>
      </x:c>
      <x:c r="J3099" s="12" t="str">
        <x:v>Engineering &amp; manufacturing</x:v>
      </x:c>
      <x:c r="K3099" s="2" t="str">
        <x:v>PARTNER-M120</x:v>
      </x:c>
    </x:row>
    <x:row r="3100" ht="46" customHeight="1">
      <x:c r="A3100" s="2" t="str">
        <x:v>TEN-20E8BE98ADE9</x:v>
      </x:c>
      <x:c r="B3100" s="12" t="str">
        <x:v>Abinbev</x:v>
      </x:c>
      <x:c r="C3100" s="12" t="str">
        <x:v>CORP-0544</x:v>
      </x:c>
      <x:c r="D3100" s="12" t="str">
        <x:v>Bengaluru</x:v>
      </x:c>
      <x:c r="E3100" s="12" t="str">
        <x:v>Bagmane World Technology Centre</x:v>
      </x:c>
      <x:c r="F3100" s="12" t="str">
        <x:v>55 inch</x:v>
      </x:c>
      <x:c r="G3100" s="20" t="n">
        <x:v>1</x:v>
      </x:c>
      <x:c r="H3100" s="12" t="str">
        <x:v>Campus/portfolio roster; individual building occupancy unverified</x:v>
      </x:c>
      <x:c r="I3100" s="12" t="str">
        <x:v>Mixed business audience</x:v>
      </x:c>
      <x:c r="J3100" s="12" t="str">
        <x:v>Trade, consumer &amp; logistics</x:v>
      </x:c>
      <x:c r="K3100" s="2" t="str">
        <x:v>PARTNER-M120</x:v>
      </x:c>
    </x:row>
    <x:row r="3101" ht="46" customHeight="1">
      <x:c r="A3101" s="2" t="str">
        <x:v>TEN-2D844470A22E</x:v>
      </x:c>
      <x:c r="B3101" s="12" t="str">
        <x:v>Qsc</x:v>
      </x:c>
      <x:c r="C3101" s="12" t="str">
        <x:v>CORP-0544</x:v>
      </x:c>
      <x:c r="D3101" s="12" t="str">
        <x:v>Bengaluru</x:v>
      </x:c>
      <x:c r="E3101" s="12" t="str">
        <x:v>Bagmane World Technology Centre</x:v>
      </x:c>
      <x:c r="F3101" s="12" t="str">
        <x:v>55 inch</x:v>
      </x:c>
      <x:c r="G3101" s="20" t="n">
        <x:v>1</x:v>
      </x:c>
      <x:c r="H3101" s="12" t="str">
        <x:v>Campus/portfolio roster; individual building occupancy unverified</x:v>
      </x:c>
      <x:c r="I3101" s="12" t="str">
        <x:v>Mixed business audience</x:v>
      </x:c>
      <x:c r="J3101" s="12" t="str">
        <x:v>Unresolved</x:v>
      </x:c>
      <x:c r="K3101" s="2" t="str">
        <x:v>PARTNER-M120</x:v>
      </x:c>
    </x:row>
    <x:row r="3102" ht="46" customHeight="1">
      <x:c r="A3102" s="2" t="str">
        <x:v>TEN-35E87826D332</x:v>
      </x:c>
      <x:c r="B3102" s="12" t="str">
        <x:v>sifive</x:v>
      </x:c>
      <x:c r="C3102" s="12" t="str">
        <x:v>CORP-0544</x:v>
      </x:c>
      <x:c r="D3102" s="12" t="str">
        <x:v>Bengaluru</x:v>
      </x:c>
      <x:c r="E3102" s="12" t="str">
        <x:v>Bagmane World Technology Centre</x:v>
      </x:c>
      <x:c r="F3102" s="12" t="str">
        <x:v>55 inch</x:v>
      </x:c>
      <x:c r="G3102" s="20" t="n">
        <x:v>1</x:v>
      </x:c>
      <x:c r="H3102" s="12" t="str">
        <x:v>Campus/portfolio roster; individual building occupancy unverified</x:v>
      </x:c>
      <x:c r="I3102" s="12" t="str">
        <x:v>Mixed business audience</x:v>
      </x:c>
      <x:c r="J3102" s="12" t="str">
        <x:v>Engineering &amp; manufacturing</x:v>
      </x:c>
      <x:c r="K3102" s="2" t="str">
        <x:v>PARTNER-M120</x:v>
      </x:c>
    </x:row>
    <x:row r="3103" ht="46" customHeight="1">
      <x:c r="A3103" s="2" t="str">
        <x:v>TEN-4C5029DA39B5</x:v>
      </x:c>
      <x:c r="B3103" s="12" t="str">
        <x:v>Mediakind</x:v>
      </x:c>
      <x:c r="C3103" s="12" t="str">
        <x:v>CORP-0544</x:v>
      </x:c>
      <x:c r="D3103" s="12" t="str">
        <x:v>Bengaluru</x:v>
      </x:c>
      <x:c r="E3103" s="12" t="str">
        <x:v>Bagmane World Technology Centre</x:v>
      </x:c>
      <x:c r="F3103" s="12" t="str">
        <x:v>55 inch</x:v>
      </x:c>
      <x:c r="G3103" s="20" t="n">
        <x:v>1</x:v>
      </x:c>
      <x:c r="H3103" s="12" t="str">
        <x:v>Campus/portfolio roster; individual building occupancy unverified</x:v>
      </x:c>
      <x:c r="I3103" s="12" t="str">
        <x:v>Mixed business audience</x:v>
      </x:c>
      <x:c r="J3103" s="12" t="str">
        <x:v>Trade, consumer &amp; logistics</x:v>
      </x:c>
      <x:c r="K3103" s="2" t="str">
        <x:v>PARTNER-M120</x:v>
      </x:c>
    </x:row>
    <x:row r="3104" ht="46" customHeight="1">
      <x:c r="A3104" s="2" t="str">
        <x:v>TEN-4D748EBD71AF</x:v>
      </x:c>
      <x:c r="B3104" s="12" t="str">
        <x:v>Accenture</x:v>
      </x:c>
      <x:c r="C3104" s="12" t="str">
        <x:v>CORP-0544</x:v>
      </x:c>
      <x:c r="D3104" s="12" t="str">
        <x:v>Bengaluru</x:v>
      </x:c>
      <x:c r="E3104" s="12" t="str">
        <x:v>Bagmane World Technology Centre</x:v>
      </x:c>
      <x:c r="F3104" s="12" t="str">
        <x:v>55 inch</x:v>
      </x:c>
      <x:c r="G3104" s="20" t="n">
        <x:v>1</x:v>
      </x:c>
      <x:c r="H3104" s="12" t="str">
        <x:v>Campus/portfolio roster; individual building occupancy unverified</x:v>
      </x:c>
      <x:c r="I3104" s="12" t="str">
        <x:v>Large enterprise</x:v>
      </x:c>
      <x:c r="J3104" s="12" t="str">
        <x:v>IT &amp; digital</x:v>
      </x:c>
      <x:c r="K3104" s="2" t="str">
        <x:v>PARTNER-M120</x:v>
      </x:c>
    </x:row>
    <x:row r="3105" ht="46" customHeight="1">
      <x:c r="A3105" s="2" t="str">
        <x:v>TEN-65F96528B346</x:v>
      </x:c>
      <x:c r="B3105" s="12" t="str">
        <x:v>Iron Mountain</x:v>
      </x:c>
      <x:c r="C3105" s="12" t="str">
        <x:v>CORP-0544</x:v>
      </x:c>
      <x:c r="D3105" s="12" t="str">
        <x:v>Bengaluru</x:v>
      </x:c>
      <x:c r="E3105" s="12" t="str">
        <x:v>Bagmane World Technology Centre</x:v>
      </x:c>
      <x:c r="F3105" s="12" t="str">
        <x:v>55 inch</x:v>
      </x:c>
      <x:c r="G3105" s="20" t="n">
        <x:v>1</x:v>
      </x:c>
      <x:c r="H3105" s="12" t="str">
        <x:v>Campus/portfolio roster; individual building occupancy unverified</x:v>
      </x:c>
      <x:c r="I3105" s="12" t="str">
        <x:v>Large enterprise</x:v>
      </x:c>
      <x:c r="J3105" s="12" t="str">
        <x:v>Trade, consumer &amp; logistics</x:v>
      </x:c>
      <x:c r="K3105" s="2" t="str">
        <x:v>PARTNER-M120</x:v>
      </x:c>
    </x:row>
    <x:row r="3106" ht="46" customHeight="1">
      <x:c r="A3106" s="2" t="str">
        <x:v>TEN-69A068939DEA</x:v>
      </x:c>
      <x:c r="B3106" s="12" t="str">
        <x:v>Ernst and Young</x:v>
      </x:c>
      <x:c r="C3106" s="12" t="str">
        <x:v>CORP-0544</x:v>
      </x:c>
      <x:c r="D3106" s="12" t="str">
        <x:v>Bengaluru</x:v>
      </x:c>
      <x:c r="E3106" s="12" t="str">
        <x:v>Bagmane World Technology Centre</x:v>
      </x:c>
      <x:c r="F3106" s="12" t="str">
        <x:v>55 inch</x:v>
      </x:c>
      <x:c r="G3106" s="20" t="n">
        <x:v>1</x:v>
      </x:c>
      <x:c r="H3106" s="12" t="str">
        <x:v>Campus/portfolio roster; individual building occupancy unverified</x:v>
      </x:c>
      <x:c r="I3106" s="12" t="str">
        <x:v>Large enterprise</x:v>
      </x:c>
      <x:c r="J3106" s="12" t="str">
        <x:v>Professional services</x:v>
      </x:c>
      <x:c r="K3106" s="2" t="str">
        <x:v>PARTNER-M120</x:v>
      </x:c>
    </x:row>
    <x:row r="3107" ht="46" customHeight="1">
      <x:c r="A3107" s="2" t="str">
        <x:v>TEN-719F53D2AD92</x:v>
      </x:c>
      <x:c r="B3107" s="12" t="str">
        <x:v>EMC- Dell</x:v>
      </x:c>
      <x:c r="C3107" s="12" t="str">
        <x:v>CORP-0544</x:v>
      </x:c>
      <x:c r="D3107" s="12" t="str">
        <x:v>Bengaluru</x:v>
      </x:c>
      <x:c r="E3107" s="12" t="str">
        <x:v>Bagmane World Technology Centre</x:v>
      </x:c>
      <x:c r="F3107" s="12" t="str">
        <x:v>55 inch</x:v>
      </x:c>
      <x:c r="G3107" s="20" t="n">
        <x:v>1</x:v>
      </x:c>
      <x:c r="H3107" s="12" t="str">
        <x:v>Campus/portfolio roster; individual building occupancy unverified</x:v>
      </x:c>
      <x:c r="I3107" s="12" t="str">
        <x:v>Mixed business audience</x:v>
      </x:c>
      <x:c r="J3107" s="12" t="str">
        <x:v>IT &amp; digital</x:v>
      </x:c>
      <x:c r="K3107" s="2" t="str">
        <x:v>PARTNER-M120</x:v>
      </x:c>
    </x:row>
    <x:row r="3108" ht="46" customHeight="1">
      <x:c r="A3108" s="2" t="str">
        <x:v>TEN-7CA58AD857DB</x:v>
      </x:c>
      <x:c r="B3108" s="12" t="str">
        <x:v>Zyeus</x:v>
      </x:c>
      <x:c r="C3108" s="12" t="str">
        <x:v>CORP-0544</x:v>
      </x:c>
      <x:c r="D3108" s="12" t="str">
        <x:v>Bengaluru</x:v>
      </x:c>
      <x:c r="E3108" s="12" t="str">
        <x:v>Bagmane World Technology Centre</x:v>
      </x:c>
      <x:c r="F3108" s="12" t="str">
        <x:v>55 inch</x:v>
      </x:c>
      <x:c r="G3108" s="20" t="n">
        <x:v>1</x:v>
      </x:c>
      <x:c r="H3108" s="12" t="str">
        <x:v>Campus/portfolio roster; individual building occupancy unverified</x:v>
      </x:c>
      <x:c r="I3108" s="12" t="str">
        <x:v>Mixed business audience</x:v>
      </x:c>
      <x:c r="J3108" s="12" t="str">
        <x:v>Unresolved</x:v>
      </x:c>
      <x:c r="K3108" s="2" t="str">
        <x:v>PARTNER-M120</x:v>
      </x:c>
    </x:row>
    <x:row r="3109" ht="46" customHeight="1">
      <x:c r="A3109" s="2" t="str">
        <x:v>TEN-8D4321D93632</x:v>
      </x:c>
      <x:c r="B3109" s="12" t="str">
        <x:v>Nvidia</x:v>
      </x:c>
      <x:c r="C3109" s="12" t="str">
        <x:v>CORP-0544</x:v>
      </x:c>
      <x:c r="D3109" s="12" t="str">
        <x:v>Bengaluru</x:v>
      </x:c>
      <x:c r="E3109" s="12" t="str">
        <x:v>Bagmane World Technology Centre</x:v>
      </x:c>
      <x:c r="F3109" s="12" t="str">
        <x:v>55 inch</x:v>
      </x:c>
      <x:c r="G3109" s="20" t="n">
        <x:v>1</x:v>
      </x:c>
      <x:c r="H3109" s="12" t="str">
        <x:v>Campus/portfolio roster; individual building occupancy unverified</x:v>
      </x:c>
      <x:c r="I3109" s="12" t="str">
        <x:v>Large enterprise</x:v>
      </x:c>
      <x:c r="J3109" s="12" t="str">
        <x:v>Engineering &amp; manufacturing</x:v>
      </x:c>
      <x:c r="K3109" s="2" t="str">
        <x:v>PARTNER-M120</x:v>
      </x:c>
    </x:row>
    <x:row r="3110" ht="46" customHeight="1">
      <x:c r="A3110" s="2" t="str">
        <x:v>TEN-968E2D5B0868</x:v>
      </x:c>
      <x:c r="B3110" s="12" t="str">
        <x:v>Samsung</x:v>
      </x:c>
      <x:c r="C3110" s="12" t="str">
        <x:v>CORP-0544</x:v>
      </x:c>
      <x:c r="D3110" s="12" t="str">
        <x:v>Bengaluru</x:v>
      </x:c>
      <x:c r="E3110" s="12" t="str">
        <x:v>Bagmane World Technology Centre</x:v>
      </x:c>
      <x:c r="F3110" s="12" t="str">
        <x:v>55 inch</x:v>
      </x:c>
      <x:c r="G3110" s="20" t="n">
        <x:v>1</x:v>
      </x:c>
      <x:c r="H3110" s="12" t="str">
        <x:v>Campus/portfolio roster; individual building occupancy unverified</x:v>
      </x:c>
      <x:c r="I3110" s="12" t="str">
        <x:v>Large enterprise</x:v>
      </x:c>
      <x:c r="J3110" s="12" t="str">
        <x:v>Engineering &amp; manufacturing</x:v>
      </x:c>
      <x:c r="K3110" s="2" t="str">
        <x:v>PARTNER-M120</x:v>
      </x:c>
    </x:row>
    <x:row r="3111" ht="46" customHeight="1">
      <x:c r="A3111" s="2" t="str">
        <x:v>TEN-A88C31E9B91F</x:v>
      </x:c>
      <x:c r="B3111" s="12" t="str">
        <x:v>Microland</x:v>
      </x:c>
      <x:c r="C3111" s="12" t="str">
        <x:v>CORP-0544</x:v>
      </x:c>
      <x:c r="D3111" s="12" t="str">
        <x:v>Bengaluru</x:v>
      </x:c>
      <x:c r="E3111" s="12" t="str">
        <x:v>Bagmane World Technology Centre</x:v>
      </x:c>
      <x:c r="F3111" s="12" t="str">
        <x:v>55 inch</x:v>
      </x:c>
      <x:c r="G3111" s="20" t="n">
        <x:v>1</x:v>
      </x:c>
      <x:c r="H3111" s="12" t="str">
        <x:v>Campus/portfolio roster; individual building occupancy unverified</x:v>
      </x:c>
      <x:c r="I3111" s="12" t="str">
        <x:v>Mixed business audience</x:v>
      </x:c>
      <x:c r="J3111" s="12" t="str">
        <x:v>IT &amp; digital</x:v>
      </x:c>
      <x:c r="K3111" s="2" t="str">
        <x:v>PARTNER-M120</x:v>
      </x:c>
    </x:row>
    <x:row r="3112" ht="46" customHeight="1">
      <x:c r="A3112" s="2" t="str">
        <x:v>TEN-BBDEFA2950F4</x:v>
      </x:c>
      <x:c r="B3112" s="12" t="str">
        <x:v>Google</x:v>
      </x:c>
      <x:c r="C3112" s="12" t="str">
        <x:v>CORP-0544</x:v>
      </x:c>
      <x:c r="D3112" s="12" t="str">
        <x:v>Bengaluru</x:v>
      </x:c>
      <x:c r="E3112" s="12" t="str">
        <x:v>Bagmane World Technology Centre</x:v>
      </x:c>
      <x:c r="F3112" s="12" t="str">
        <x:v>55 inch</x:v>
      </x:c>
      <x:c r="G3112" s="20" t="n">
        <x:v>1</x:v>
      </x:c>
      <x:c r="H3112" s="12" t="str">
        <x:v>Campus/portfolio roster; individual building occupancy unverified</x:v>
      </x:c>
      <x:c r="I3112" s="12" t="str">
        <x:v>Large enterprise</x:v>
      </x:c>
      <x:c r="J3112" s="12" t="str">
        <x:v>IT &amp; digital</x:v>
      </x:c>
      <x:c r="K3112" s="2" t="str">
        <x:v>PARTNER-M120</x:v>
      </x:c>
    </x:row>
    <x:row r="3113" ht="46" customHeight="1">
      <x:c r="A3113" s="2" t="str">
        <x:v>TEN-C63AC00C4D11</x:v>
      </x:c>
      <x:c r="B3113" s="12" t="str">
        <x:v>Mphasis</x:v>
      </x:c>
      <x:c r="C3113" s="12" t="str">
        <x:v>CORP-0544</x:v>
      </x:c>
      <x:c r="D3113" s="12" t="str">
        <x:v>Bengaluru</x:v>
      </x:c>
      <x:c r="E3113" s="12" t="str">
        <x:v>Bagmane World Technology Centre</x:v>
      </x:c>
      <x:c r="F3113" s="12" t="str">
        <x:v>55 inch</x:v>
      </x:c>
      <x:c r="G3113" s="20" t="n">
        <x:v>1</x:v>
      </x:c>
      <x:c r="H3113" s="12" t="str">
        <x:v>Campus/portfolio roster; individual building occupancy unverified</x:v>
      </x:c>
      <x:c r="I3113" s="12" t="str">
        <x:v>Large enterprise</x:v>
      </x:c>
      <x:c r="J3113" s="12" t="str">
        <x:v>IT &amp; digital</x:v>
      </x:c>
      <x:c r="K3113" s="2" t="str">
        <x:v>PARTNER-M120</x:v>
      </x:c>
    </x:row>
    <x:row r="3114" ht="46" customHeight="1">
      <x:c r="A3114" s="2" t="str">
        <x:v>TEN-CBC62794911F</x:v>
      </x:c>
      <x:c r="B3114" s="12" t="str">
        <x:v>Amazon</x:v>
      </x:c>
      <x:c r="C3114" s="12" t="str">
        <x:v>CORP-0544</x:v>
      </x:c>
      <x:c r="D3114" s="12" t="str">
        <x:v>Bengaluru</x:v>
      </x:c>
      <x:c r="E3114" s="12" t="str">
        <x:v>Bagmane World Technology Centre</x:v>
      </x:c>
      <x:c r="F3114" s="12" t="str">
        <x:v>55 inch</x:v>
      </x:c>
      <x:c r="G3114" s="20" t="n">
        <x:v>1</x:v>
      </x:c>
      <x:c r="H3114" s="12" t="str">
        <x:v>Campus/portfolio roster; individual building occupancy unverified</x:v>
      </x:c>
      <x:c r="I3114" s="12" t="str">
        <x:v>Large enterprise</x:v>
      </x:c>
      <x:c r="J3114" s="12" t="str">
        <x:v>IT &amp; digital</x:v>
      </x:c>
      <x:c r="K3114" s="2" t="str">
        <x:v>PARTNER-M120</x:v>
      </x:c>
    </x:row>
    <x:row r="3115" ht="46" customHeight="1">
      <x:c r="A3115" s="2" t="str">
        <x:v>TEN-D861EE362E38</x:v>
      </x:c>
      <x:c r="B3115" s="12" t="str">
        <x:v>Quotient</x:v>
      </x:c>
      <x:c r="C3115" s="12" t="str">
        <x:v>CORP-0544</x:v>
      </x:c>
      <x:c r="D3115" s="12" t="str">
        <x:v>Bengaluru</x:v>
      </x:c>
      <x:c r="E3115" s="12" t="str">
        <x:v>Bagmane World Technology Centre</x:v>
      </x:c>
      <x:c r="F3115" s="12" t="str">
        <x:v>55 inch</x:v>
      </x:c>
      <x:c r="G3115" s="20" t="n">
        <x:v>1</x:v>
      </x:c>
      <x:c r="H3115" s="12" t="str">
        <x:v>Campus/portfolio roster; individual building occupancy unverified</x:v>
      </x:c>
      <x:c r="I3115" s="12" t="str">
        <x:v>Mixed business audience</x:v>
      </x:c>
      <x:c r="J3115" s="12" t="str">
        <x:v>Unresolved</x:v>
      </x:c>
      <x:c r="K3115" s="2" t="str">
        <x:v>PARTNER-M120</x:v>
      </x:c>
    </x:row>
    <x:row r="3116" ht="46" customHeight="1">
      <x:c r="A3116" s="2" t="str">
        <x:v>TEN-DDF7FF5EBD9D</x:v>
      </x:c>
      <x:c r="B3116" s="12" t="str">
        <x:v>ARM</x:v>
      </x:c>
      <x:c r="C3116" s="12" t="str">
        <x:v>CORP-0544</x:v>
      </x:c>
      <x:c r="D3116" s="12" t="str">
        <x:v>Bengaluru</x:v>
      </x:c>
      <x:c r="E3116" s="12" t="str">
        <x:v>Bagmane World Technology Centre</x:v>
      </x:c>
      <x:c r="F3116" s="12" t="str">
        <x:v>55 inch</x:v>
      </x:c>
      <x:c r="G3116" s="20" t="n">
        <x:v>1</x:v>
      </x:c>
      <x:c r="H3116" s="12" t="str">
        <x:v>Campus/portfolio roster; individual building occupancy unverified</x:v>
      </x:c>
      <x:c r="I3116" s="12" t="str">
        <x:v>Mixed business audience</x:v>
      </x:c>
      <x:c r="J3116" s="12" t="str">
        <x:v>Engineering &amp; manufacturing</x:v>
      </x:c>
      <x:c r="K3116" s="2" t="str">
        <x:v>PARTNER-M120</x:v>
      </x:c>
    </x:row>
    <x:row r="3117" ht="46" customHeight="1">
      <x:c r="A3117" s="2" t="str">
        <x:v>TEN-DFAE2CFCA884</x:v>
      </x:c>
      <x:c r="B3117" s="12" t="str">
        <x:v>Xentrix</x:v>
      </x:c>
      <x:c r="C3117" s="12" t="str">
        <x:v>CORP-0544</x:v>
      </x:c>
      <x:c r="D3117" s="12" t="str">
        <x:v>Bengaluru</x:v>
      </x:c>
      <x:c r="E3117" s="12" t="str">
        <x:v>Bagmane World Technology Centre</x:v>
      </x:c>
      <x:c r="F3117" s="12" t="str">
        <x:v>55 inch</x:v>
      </x:c>
      <x:c r="G3117" s="20" t="n">
        <x:v>1</x:v>
      </x:c>
      <x:c r="H3117" s="12" t="str">
        <x:v>Campus/portfolio roster; individual building occupancy unverified</x:v>
      </x:c>
      <x:c r="I3117" s="12" t="str">
        <x:v>Small-scale prospects</x:v>
      </x:c>
      <x:c r="J3117" s="12" t="str">
        <x:v>Trade, consumer &amp; logistics</x:v>
      </x:c>
      <x:c r="K3117" s="2" t="str">
        <x:v>PARTNER-M120</x:v>
      </x:c>
    </x:row>
    <x:row r="3118" ht="46" customHeight="1">
      <x:c r="A3118" s="2" t="str">
        <x:v>TEN-E759968CA927</x:v>
      </x:c>
      <x:c r="B3118" s="12" t="str">
        <x:v>visa</x:v>
      </x:c>
      <x:c r="C3118" s="12" t="str">
        <x:v>CORP-0544</x:v>
      </x:c>
      <x:c r="D3118" s="12" t="str">
        <x:v>Bengaluru</x:v>
      </x:c>
      <x:c r="E3118" s="12" t="str">
        <x:v>Bagmane World Technology Centre</x:v>
      </x:c>
      <x:c r="F3118" s="12" t="str">
        <x:v>55 inch</x:v>
      </x:c>
      <x:c r="G3118" s="20" t="n">
        <x:v>1</x:v>
      </x:c>
      <x:c r="H3118" s="12" t="str">
        <x:v>Campus/portfolio roster; individual building occupancy unverified</x:v>
      </x:c>
      <x:c r="I3118" s="12" t="str">
        <x:v>Large enterprise</x:v>
      </x:c>
      <x:c r="J3118" s="12" t="str">
        <x:v>Finance &amp; insurance</x:v>
      </x:c>
      <x:c r="K3118" s="2" t="str">
        <x:v>PARTNER-M120</x:v>
      </x:c>
    </x:row>
    <x:row r="3119" ht="46" customHeight="1">
      <x:c r="A3119" s="2" t="str">
        <x:v>TEN-F2ED4886E20F</x:v>
      </x:c>
      <x:c r="B3119" s="12" t="str">
        <x:v>Ericsson</x:v>
      </x:c>
      <x:c r="C3119" s="12" t="str">
        <x:v>CORP-0544</x:v>
      </x:c>
      <x:c r="D3119" s="12" t="str">
        <x:v>Bengaluru</x:v>
      </x:c>
      <x:c r="E3119" s="12" t="str">
        <x:v>Bagmane World Technology Centre</x:v>
      </x:c>
      <x:c r="F3119" s="12" t="str">
        <x:v>55 inch</x:v>
      </x:c>
      <x:c r="G3119" s="20" t="n">
        <x:v>1</x:v>
      </x:c>
      <x:c r="H3119" s="12" t="str">
        <x:v>Campus/portfolio roster; individual building occupancy unverified</x:v>
      </x:c>
      <x:c r="I3119" s="12" t="str">
        <x:v>Large enterprise</x:v>
      </x:c>
      <x:c r="J3119" s="12" t="str">
        <x:v>IT &amp; digital</x:v>
      </x:c>
      <x:c r="K3119" s="2" t="str">
        <x:v>PARTNER-M120</x:v>
      </x:c>
    </x:row>
    <x:row r="3120" ht="46" customHeight="1">
      <x:c r="A3120" s="2" t="str">
        <x:v>TEN-020941631166</x:v>
      </x:c>
      <x:c r="B3120" s="12" t="str">
        <x:v>EXA-AG</x:v>
      </x:c>
      <x:c r="C3120" s="12" t="str">
        <x:v>CORP-0428</x:v>
      </x:c>
      <x:c r="D3120" s="12" t="str">
        <x:v>Bengaluru</x:v>
      </x:c>
      <x:c r="E3120" s="12" t="str">
        <x:v>International Tech Park (ITPB)</x:v>
      </x:c>
      <x:c r="F3120" s="12" t="str">
        <x:v>55 inch</x:v>
      </x:c>
      <x:c r="G3120" s="20" t="n">
        <x:v>1</x:v>
      </x:c>
      <x:c r="H3120" s="12" t="str">
        <x:v>Campus/portfolio roster; individual building occupancy unverified</x:v>
      </x:c>
      <x:c r="I3120" s="12" t="str">
        <x:v>Small-scale prospects</x:v>
      </x:c>
      <x:c r="J3120" s="12" t="str">
        <x:v>IT &amp; digital</x:v>
      </x:c>
      <x:c r="K3120" s="2" t="str">
        <x:v>PARTNER-M002</x:v>
      </x:c>
    </x:row>
    <x:row r="3121" ht="46" customHeight="1">
      <x:c r="A3121" s="2" t="str">
        <x:v>TEN-046FCB362D0A</x:v>
      </x:c>
      <x:c r="B3121" s="12" t="str">
        <x:v>judge India</x:v>
      </x:c>
      <x:c r="C3121" s="12" t="str">
        <x:v>CORP-0428</x:v>
      </x:c>
      <x:c r="D3121" s="12" t="str">
        <x:v>Bengaluru</x:v>
      </x:c>
      <x:c r="E3121" s="12" t="str">
        <x:v>International Tech Park (ITPB)</x:v>
      </x:c>
      <x:c r="F3121" s="12" t="str">
        <x:v>55 inch</x:v>
      </x:c>
      <x:c r="G3121" s="20" t="n">
        <x:v>1</x:v>
      </x:c>
      <x:c r="H3121" s="12" t="str">
        <x:v>Campus/portfolio roster; individual building occupancy unverified</x:v>
      </x:c>
      <x:c r="I3121" s="12" t="str">
        <x:v>Mixed business audience</x:v>
      </x:c>
      <x:c r="J3121" s="12" t="str">
        <x:v>Unresolved</x:v>
      </x:c>
      <x:c r="K3121" s="2" t="str">
        <x:v>PARTNER-M002</x:v>
      </x:c>
    </x:row>
    <x:row r="3122" ht="46" customHeight="1">
      <x:c r="A3122" s="2" t="str">
        <x:v>TEN-06DF4DFB01BE</x:v>
      </x:c>
      <x:c r="B3122" s="12" t="str">
        <x:v>Gyansys Infotech</x:v>
      </x:c>
      <x:c r="C3122" s="12" t="str">
        <x:v>CORP-0428</x:v>
      </x:c>
      <x:c r="D3122" s="12" t="str">
        <x:v>Bengaluru</x:v>
      </x:c>
      <x:c r="E3122" s="12" t="str">
        <x:v>International Tech Park (ITPB)</x:v>
      </x:c>
      <x:c r="F3122" s="12" t="str">
        <x:v>55 inch</x:v>
      </x:c>
      <x:c r="G3122" s="20" t="n">
        <x:v>1</x:v>
      </x:c>
      <x:c r="H3122" s="12" t="str">
        <x:v>Campus/portfolio roster; individual building occupancy unverified</x:v>
      </x:c>
      <x:c r="I3122" s="12" t="str">
        <x:v>Small-scale prospects</x:v>
      </x:c>
      <x:c r="J3122" s="12" t="str">
        <x:v>IT &amp; digital</x:v>
      </x:c>
      <x:c r="K3122" s="2" t="str">
        <x:v>PARTNER-M002</x:v>
      </x:c>
    </x:row>
    <x:row r="3123" ht="46" customHeight="1">
      <x:c r="A3123" s="2" t="str">
        <x:v>TEN-0716830D1238</x:v>
      </x:c>
      <x:c r="B3123" s="12" t="str">
        <x:v>Kaalari Capital</x:v>
      </x:c>
      <x:c r="C3123" s="12" t="str">
        <x:v>CORP-0428</x:v>
      </x:c>
      <x:c r="D3123" s="12" t="str">
        <x:v>Bengaluru</x:v>
      </x:c>
      <x:c r="E3123" s="12" t="str">
        <x:v>International Tech Park (ITPB)</x:v>
      </x:c>
      <x:c r="F3123" s="12" t="str">
        <x:v>55 inch</x:v>
      </x:c>
      <x:c r="G3123" s="20" t="n">
        <x:v>1</x:v>
      </x:c>
      <x:c r="H3123" s="12" t="str">
        <x:v>Campus/portfolio roster; individual building occupancy unverified</x:v>
      </x:c>
      <x:c r="I3123" s="12" t="str">
        <x:v>Medium-scale prospects</x:v>
      </x:c>
      <x:c r="J3123" s="12" t="str">
        <x:v>Finance &amp; insurance</x:v>
      </x:c>
      <x:c r="K3123" s="2" t="str">
        <x:v>PARTNER-M002</x:v>
      </x:c>
    </x:row>
    <x:row r="3124" ht="46" customHeight="1">
      <x:c r="A3124" s="2" t="str">
        <x:v>TEN-095DAC44FBD3</x:v>
      </x:c>
      <x:c r="B3124" s="12" t="str">
        <x:v>SOA IT</x:v>
      </x:c>
      <x:c r="C3124" s="12" t="str">
        <x:v>CORP-0428</x:v>
      </x:c>
      <x:c r="D3124" s="12" t="str">
        <x:v>Bengaluru</x:v>
      </x:c>
      <x:c r="E3124" s="12" t="str">
        <x:v>International Tech Park (ITPB)</x:v>
      </x:c>
      <x:c r="F3124" s="12" t="str">
        <x:v>55 inch</x:v>
      </x:c>
      <x:c r="G3124" s="20" t="n">
        <x:v>1</x:v>
      </x:c>
      <x:c r="H3124" s="12" t="str">
        <x:v>Campus/portfolio roster; individual building occupancy unverified</x:v>
      </x:c>
      <x:c r="I3124" s="12" t="str">
        <x:v>Small-scale prospects</x:v>
      </x:c>
      <x:c r="J3124" s="12" t="str">
        <x:v>IT &amp; digital</x:v>
      </x:c>
      <x:c r="K3124" s="2" t="str">
        <x:v>PARTNER-M002</x:v>
      </x:c>
    </x:row>
    <x:row r="3125" ht="46" customHeight="1">
      <x:c r="A3125" s="2" t="str">
        <x:v>TEN-0B9EE0B94DB9</x:v>
      </x:c>
      <x:c r="B3125" s="12" t="str">
        <x:v>Kyndryl</x:v>
      </x:c>
      <x:c r="C3125" s="12" t="str">
        <x:v>CORP-0428</x:v>
      </x:c>
      <x:c r="D3125" s="12" t="str">
        <x:v>Bengaluru</x:v>
      </x:c>
      <x:c r="E3125" s="12" t="str">
        <x:v>International Tech Park (ITPB)</x:v>
      </x:c>
      <x:c r="F3125" s="12" t="str">
        <x:v>55 inch</x:v>
      </x:c>
      <x:c r="G3125" s="20" t="n">
        <x:v>1</x:v>
      </x:c>
      <x:c r="H3125" s="12" t="str">
        <x:v>Campus/portfolio roster; individual building occupancy unverified</x:v>
      </x:c>
      <x:c r="I3125" s="12" t="str">
        <x:v>Mixed business audience</x:v>
      </x:c>
      <x:c r="J3125" s="12" t="str">
        <x:v>IT &amp; digital</x:v>
      </x:c>
      <x:c r="K3125" s="2" t="str">
        <x:v>PARTNER-M002</x:v>
      </x:c>
    </x:row>
    <x:row r="3126" ht="46" customHeight="1">
      <x:c r="A3126" s="2" t="str">
        <x:v>TEN-0BF923F90AB2</x:v>
      </x:c>
      <x:c r="B3126" s="12" t="str">
        <x:v>Reliance</x:v>
      </x:c>
      <x:c r="C3126" s="12" t="str">
        <x:v>CORP-0428</x:v>
      </x:c>
      <x:c r="D3126" s="12" t="str">
        <x:v>Bengaluru</x:v>
      </x:c>
      <x:c r="E3126" s="12" t="str">
        <x:v>International Tech Park (ITPB)</x:v>
      </x:c>
      <x:c r="F3126" s="12" t="str">
        <x:v>55 inch</x:v>
      </x:c>
      <x:c r="G3126" s="20" t="n">
        <x:v>1</x:v>
      </x:c>
      <x:c r="H3126" s="12" t="str">
        <x:v>Campus/portfolio roster; individual building occupancy unverified</x:v>
      </x:c>
      <x:c r="I3126" s="12" t="str">
        <x:v>Mixed business audience</x:v>
      </x:c>
      <x:c r="J3126" s="12" t="str">
        <x:v>Unresolved</x:v>
      </x:c>
      <x:c r="K3126" s="2" t="str">
        <x:v>PARTNER-M002</x:v>
      </x:c>
    </x:row>
    <x:row r="3127" ht="46" customHeight="1">
      <x:c r="A3127" s="2" t="str">
        <x:v>TEN-0EFAB3176540</x:v>
      </x:c>
      <x:c r="B3127" s="12" t="str">
        <x:v>Sycomp</x:v>
      </x:c>
      <x:c r="C3127" s="12" t="str">
        <x:v>CORP-0428</x:v>
      </x:c>
      <x:c r="D3127" s="12" t="str">
        <x:v>Bengaluru</x:v>
      </x:c>
      <x:c r="E3127" s="12" t="str">
        <x:v>International Tech Park (ITPB)</x:v>
      </x:c>
      <x:c r="F3127" s="12" t="str">
        <x:v>55 inch</x:v>
      </x:c>
      <x:c r="G3127" s="20" t="n">
        <x:v>1</x:v>
      </x:c>
      <x:c r="H3127" s="12" t="str">
        <x:v>Campus/portfolio roster; individual building occupancy unverified</x:v>
      </x:c>
      <x:c r="I3127" s="12" t="str">
        <x:v>Small-scale prospects</x:v>
      </x:c>
      <x:c r="J3127" s="12" t="str">
        <x:v>IT &amp; digital</x:v>
      </x:c>
      <x:c r="K3127" s="2" t="str">
        <x:v>PARTNER-M002</x:v>
      </x:c>
    </x:row>
    <x:row r="3128" ht="46" customHeight="1">
      <x:c r="A3128" s="2" t="str">
        <x:v>TEN-0F0E714E580D</x:v>
      </x:c>
      <x:c r="B3128" s="12" t="str">
        <x:v>Scientific Games</x:v>
      </x:c>
      <x:c r="C3128" s="12" t="str">
        <x:v>CORP-0428</x:v>
      </x:c>
      <x:c r="D3128" s="12" t="str">
        <x:v>Bengaluru</x:v>
      </x:c>
      <x:c r="E3128" s="12" t="str">
        <x:v>International Tech Park (ITPB)</x:v>
      </x:c>
      <x:c r="F3128" s="12" t="str">
        <x:v>55 inch</x:v>
      </x:c>
      <x:c r="G3128" s="20" t="n">
        <x:v>1</x:v>
      </x:c>
      <x:c r="H3128" s="12" t="str">
        <x:v>Campus/portfolio roster; individual building occupancy unverified</x:v>
      </x:c>
      <x:c r="I3128" s="12" t="str">
        <x:v>Mixed business audience</x:v>
      </x:c>
      <x:c r="J3128" s="12" t="str">
        <x:v>Trade, consumer &amp; logistics</x:v>
      </x:c>
      <x:c r="K3128" s="2" t="str">
        <x:v>PARTNER-M002</x:v>
      </x:c>
    </x:row>
    <x:row r="3129" ht="46" customHeight="1">
      <x:c r="A3129" s="2" t="str">
        <x:v>TEN-184C1AE98B51</x:v>
      </x:c>
      <x:c r="B3129" s="12" t="str">
        <x:v>N.F Simth</x:v>
      </x:c>
      <x:c r="C3129" s="12" t="str">
        <x:v>CORP-0428</x:v>
      </x:c>
      <x:c r="D3129" s="12" t="str">
        <x:v>Bengaluru</x:v>
      </x:c>
      <x:c r="E3129" s="12" t="str">
        <x:v>International Tech Park (ITPB)</x:v>
      </x:c>
      <x:c r="F3129" s="12" t="str">
        <x:v>55 inch</x:v>
      </x:c>
      <x:c r="G3129" s="20" t="n">
        <x:v>1</x:v>
      </x:c>
      <x:c r="H3129" s="12" t="str">
        <x:v>Campus/portfolio roster; individual building occupancy unverified</x:v>
      </x:c>
      <x:c r="I3129" s="12" t="str">
        <x:v>Mixed business audience</x:v>
      </x:c>
      <x:c r="J3129" s="12" t="str">
        <x:v>Unresolved</x:v>
      </x:c>
      <x:c r="K3129" s="2" t="str">
        <x:v>PARTNER-M002</x:v>
      </x:c>
    </x:row>
    <x:row r="3130" ht="46" customHeight="1">
      <x:c r="A3130" s="2" t="str">
        <x:v>TEN-1B4CDA7D6285</x:v>
      </x:c>
      <x:c r="B3130" s="12" t="str">
        <x:v>Jupiter Intergrated</x:v>
      </x:c>
      <x:c r="C3130" s="12" t="str">
        <x:v>CORP-0428</x:v>
      </x:c>
      <x:c r="D3130" s="12" t="str">
        <x:v>Bengaluru</x:v>
      </x:c>
      <x:c r="E3130" s="12" t="str">
        <x:v>International Tech Park (ITPB)</x:v>
      </x:c>
      <x:c r="F3130" s="12" t="str">
        <x:v>55 inch</x:v>
      </x:c>
      <x:c r="G3130" s="20" t="n">
        <x:v>1</x:v>
      </x:c>
      <x:c r="H3130" s="12" t="str">
        <x:v>Campus/portfolio roster; individual building occupancy unverified</x:v>
      </x:c>
      <x:c r="I3130" s="12" t="str">
        <x:v>Mixed business audience</x:v>
      </x:c>
      <x:c r="J3130" s="12" t="str">
        <x:v>Unresolved</x:v>
      </x:c>
      <x:c r="K3130" s="2" t="str">
        <x:v>PARTNER-M002</x:v>
      </x:c>
    </x:row>
    <x:row r="3131" ht="46" customHeight="1">
      <x:c r="A3131" s="2" t="str">
        <x:v>TEN-2026E5F6610A</x:v>
      </x:c>
      <x:c r="B3131" s="12" t="str">
        <x:v>PPalc Networks</x:v>
      </x:c>
      <x:c r="C3131" s="12" t="str">
        <x:v>CORP-0428</x:v>
      </x:c>
      <x:c r="D3131" s="12" t="str">
        <x:v>Bengaluru</x:v>
      </x:c>
      <x:c r="E3131" s="12" t="str">
        <x:v>International Tech Park (ITPB)</x:v>
      </x:c>
      <x:c r="F3131" s="12" t="str">
        <x:v>55 inch</x:v>
      </x:c>
      <x:c r="G3131" s="20" t="n">
        <x:v>1</x:v>
      </x:c>
      <x:c r="H3131" s="12" t="str">
        <x:v>Campus/portfolio roster; individual building occupancy unverified</x:v>
      </x:c>
      <x:c r="I3131" s="12" t="str">
        <x:v>Small-scale prospects</x:v>
      </x:c>
      <x:c r="J3131" s="12" t="str">
        <x:v>IT &amp; digital</x:v>
      </x:c>
      <x:c r="K3131" s="2" t="str">
        <x:v>PARTNER-M002</x:v>
      </x:c>
    </x:row>
    <x:row r="3132" ht="46" customHeight="1">
      <x:c r="A3132" s="2" t="str">
        <x:v>TEN-20DEB070372D</x:v>
      </x:c>
      <x:c r="B3132" s="12" t="str">
        <x:v>Thoucentric</x:v>
      </x:c>
      <x:c r="C3132" s="12" t="str">
        <x:v>CORP-0428</x:v>
      </x:c>
      <x:c r="D3132" s="12" t="str">
        <x:v>Bengaluru</x:v>
      </x:c>
      <x:c r="E3132" s="12" t="str">
        <x:v>International Tech Park (ITPB)</x:v>
      </x:c>
      <x:c r="F3132" s="12" t="str">
        <x:v>55 inch</x:v>
      </x:c>
      <x:c r="G3132" s="20" t="n">
        <x:v>1</x:v>
      </x:c>
      <x:c r="H3132" s="12" t="str">
        <x:v>Campus/portfolio roster; individual building occupancy unverified</x:v>
      </x:c>
      <x:c r="I3132" s="12" t="str">
        <x:v>Mixed business audience</x:v>
      </x:c>
      <x:c r="J3132" s="12" t="str">
        <x:v>IT &amp; digital</x:v>
      </x:c>
      <x:c r="K3132" s="2" t="str">
        <x:v>PARTNER-M002</x:v>
      </x:c>
    </x:row>
    <x:row r="3133" ht="46" customHeight="1">
      <x:c r="A3133" s="2" t="str">
        <x:v>TEN-21972B078EB5</x:v>
      </x:c>
      <x:c r="B3133" s="12" t="str">
        <x:v>Denso International</x:v>
      </x:c>
      <x:c r="C3133" s="12" t="str">
        <x:v>CORP-0428</x:v>
      </x:c>
      <x:c r="D3133" s="12" t="str">
        <x:v>Bengaluru</x:v>
      </x:c>
      <x:c r="E3133" s="12" t="str">
        <x:v>International Tech Park (ITPB)</x:v>
      </x:c>
      <x:c r="F3133" s="12" t="str">
        <x:v>55 inch</x:v>
      </x:c>
      <x:c r="G3133" s="20" t="n">
        <x:v>1</x:v>
      </x:c>
      <x:c r="H3133" s="12" t="str">
        <x:v>Campus/portfolio roster; individual building occupancy unverified</x:v>
      </x:c>
      <x:c r="I3133" s="12" t="str">
        <x:v>Mixed business audience</x:v>
      </x:c>
      <x:c r="J3133" s="12" t="str">
        <x:v>Engineering &amp; manufacturing</x:v>
      </x:c>
      <x:c r="K3133" s="2" t="str">
        <x:v>PARTNER-M002</x:v>
      </x:c>
    </x:row>
    <x:row r="3134" ht="46" customHeight="1">
      <x:c r="A3134" s="2" t="str">
        <x:v>TEN-22A366EB6CEC</x:v>
      </x:c>
      <x:c r="B3134" s="12" t="str">
        <x:v>Xandr India</x:v>
      </x:c>
      <x:c r="C3134" s="12" t="str">
        <x:v>CORP-0428</x:v>
      </x:c>
      <x:c r="D3134" s="12" t="str">
        <x:v>Bengaluru</x:v>
      </x:c>
      <x:c r="E3134" s="12" t="str">
        <x:v>International Tech Park (ITPB)</x:v>
      </x:c>
      <x:c r="F3134" s="12" t="str">
        <x:v>55 inch</x:v>
      </x:c>
      <x:c r="G3134" s="20" t="n">
        <x:v>1</x:v>
      </x:c>
      <x:c r="H3134" s="12" t="str">
        <x:v>Campus/portfolio roster; individual building occupancy unverified</x:v>
      </x:c>
      <x:c r="I3134" s="12" t="str">
        <x:v>Mixed business audience</x:v>
      </x:c>
      <x:c r="J3134" s="12" t="str">
        <x:v>IT &amp; digital</x:v>
      </x:c>
      <x:c r="K3134" s="2" t="str">
        <x:v>PARTNER-M002</x:v>
      </x:c>
    </x:row>
    <x:row r="3135" ht="46" customHeight="1">
      <x:c r="A3135" s="2" t="str">
        <x:v>TEN-2417E5B2BCE7</x:v>
      </x:c>
      <x:c r="B3135" s="12" t="str">
        <x:v>Galax E Solutions</x:v>
      </x:c>
      <x:c r="C3135" s="12" t="str">
        <x:v>CORP-0428</x:v>
      </x:c>
      <x:c r="D3135" s="12" t="str">
        <x:v>Bengaluru</x:v>
      </x:c>
      <x:c r="E3135" s="12" t="str">
        <x:v>International Tech Park (ITPB)</x:v>
      </x:c>
      <x:c r="F3135" s="12" t="str">
        <x:v>55 inch</x:v>
      </x:c>
      <x:c r="G3135" s="20" t="n">
        <x:v>1</x:v>
      </x:c>
      <x:c r="H3135" s="12" t="str">
        <x:v>Campus/portfolio roster; individual building occupancy unverified</x:v>
      </x:c>
      <x:c r="I3135" s="12" t="str">
        <x:v>Mixed business audience</x:v>
      </x:c>
      <x:c r="J3135" s="12" t="str">
        <x:v>IT &amp; digital</x:v>
      </x:c>
      <x:c r="K3135" s="2" t="str">
        <x:v>PARTNER-M002</x:v>
      </x:c>
    </x:row>
    <x:row r="3136" ht="46" customHeight="1">
      <x:c r="A3136" s="2" t="str">
        <x:v>TEN-2AB6D53E717A</x:v>
      </x:c>
      <x:c r="B3136" s="12" t="str">
        <x:v>Nokia</x:v>
      </x:c>
      <x:c r="C3136" s="12" t="str">
        <x:v>CORP-0428</x:v>
      </x:c>
      <x:c r="D3136" s="12" t="str">
        <x:v>Bengaluru</x:v>
      </x:c>
      <x:c r="E3136" s="12" t="str">
        <x:v>International Tech Park (ITPB)</x:v>
      </x:c>
      <x:c r="F3136" s="12" t="str">
        <x:v>55 inch</x:v>
      </x:c>
      <x:c r="G3136" s="20" t="n">
        <x:v>1</x:v>
      </x:c>
      <x:c r="H3136" s="12" t="str">
        <x:v>Campus/portfolio roster; individual building occupancy unverified</x:v>
      </x:c>
      <x:c r="I3136" s="12" t="str">
        <x:v>Large enterprise</x:v>
      </x:c>
      <x:c r="J3136" s="12" t="str">
        <x:v>IT &amp; digital</x:v>
      </x:c>
      <x:c r="K3136" s="2" t="str">
        <x:v>PARTNER-M002</x:v>
      </x:c>
    </x:row>
    <x:row r="3137" ht="46" customHeight="1">
      <x:c r="A3137" s="2" t="str">
        <x:v>TEN-2DBBBD8AD08B</x:v>
      </x:c>
      <x:c r="B3137" s="12" t="str">
        <x:v>Zenmonics Software</x:v>
      </x:c>
      <x:c r="C3137" s="12" t="str">
        <x:v>CORP-0428</x:v>
      </x:c>
      <x:c r="D3137" s="12" t="str">
        <x:v>Bengaluru</x:v>
      </x:c>
      <x:c r="E3137" s="12" t="str">
        <x:v>International Tech Park (ITPB)</x:v>
      </x:c>
      <x:c r="F3137" s="12" t="str">
        <x:v>55 inch</x:v>
      </x:c>
      <x:c r="G3137" s="20" t="n">
        <x:v>1</x:v>
      </x:c>
      <x:c r="H3137" s="12" t="str">
        <x:v>Campus/portfolio roster; individual building occupancy unverified</x:v>
      </x:c>
      <x:c r="I3137" s="12" t="str">
        <x:v>Small-scale prospects</x:v>
      </x:c>
      <x:c r="J3137" s="12" t="str">
        <x:v>IT &amp; digital</x:v>
      </x:c>
      <x:c r="K3137" s="2" t="str">
        <x:v>PARTNER-M002</x:v>
      </x:c>
    </x:row>
    <x:row r="3138" ht="46" customHeight="1">
      <x:c r="A3138" s="2" t="str">
        <x:v>TEN-2E737C2291BC</x:v>
      </x:c>
      <x:c r="B3138" s="12" t="str">
        <x:v>Nextgen</x:v>
      </x:c>
      <x:c r="C3138" s="12" t="str">
        <x:v>CORP-0428</x:v>
      </x:c>
      <x:c r="D3138" s="12" t="str">
        <x:v>Bengaluru</x:v>
      </x:c>
      <x:c r="E3138" s="12" t="str">
        <x:v>International Tech Park (ITPB)</x:v>
      </x:c>
      <x:c r="F3138" s="12" t="str">
        <x:v>55 inch</x:v>
      </x:c>
      <x:c r="G3138" s="20" t="n">
        <x:v>1</x:v>
      </x:c>
      <x:c r="H3138" s="12" t="str">
        <x:v>Campus/portfolio roster; individual building occupancy unverified</x:v>
      </x:c>
      <x:c r="I3138" s="12" t="str">
        <x:v>Mixed business audience</x:v>
      </x:c>
      <x:c r="J3138" s="12" t="str">
        <x:v>Unresolved</x:v>
      </x:c>
      <x:c r="K3138" s="2" t="str">
        <x:v>PARTNER-M002</x:v>
      </x:c>
    </x:row>
    <x:row r="3139" ht="46" customHeight="1">
      <x:c r="A3139" s="2" t="str">
        <x:v>TEN-2EDD47EC3C4F</x:v>
      </x:c>
      <x:c r="B3139" s="12" t="str">
        <x:v>Technicolor India</x:v>
      </x:c>
      <x:c r="C3139" s="12" t="str">
        <x:v>CORP-0428</x:v>
      </x:c>
      <x:c r="D3139" s="12" t="str">
        <x:v>Bengaluru</x:v>
      </x:c>
      <x:c r="E3139" s="12" t="str">
        <x:v>International Tech Park (ITPB)</x:v>
      </x:c>
      <x:c r="F3139" s="12" t="str">
        <x:v>55 inch</x:v>
      </x:c>
      <x:c r="G3139" s="20" t="n">
        <x:v>1</x:v>
      </x:c>
      <x:c r="H3139" s="12" t="str">
        <x:v>Campus/portfolio roster; individual building occupancy unverified</x:v>
      </x:c>
      <x:c r="I3139" s="12" t="str">
        <x:v>Mixed business audience</x:v>
      </x:c>
      <x:c r="J3139" s="12" t="str">
        <x:v>Trade, consumer &amp; logistics</x:v>
      </x:c>
      <x:c r="K3139" s="2" t="str">
        <x:v>PARTNER-M002</x:v>
      </x:c>
    </x:row>
    <x:row r="3140" ht="46" customHeight="1">
      <x:c r="A3140" s="2" t="str">
        <x:v>TEN-30E363D3E8C5</x:v>
      </x:c>
      <x:c r="B3140" s="12" t="str">
        <x:v>Siemens</x:v>
      </x:c>
      <x:c r="C3140" s="12" t="str">
        <x:v>CORP-0428</x:v>
      </x:c>
      <x:c r="D3140" s="12" t="str">
        <x:v>Bengaluru</x:v>
      </x:c>
      <x:c r="E3140" s="12" t="str">
        <x:v>International Tech Park (ITPB)</x:v>
      </x:c>
      <x:c r="F3140" s="12" t="str">
        <x:v>55 inch</x:v>
      </x:c>
      <x:c r="G3140" s="20" t="n">
        <x:v>1</x:v>
      </x:c>
      <x:c r="H3140" s="12" t="str">
        <x:v>Campus/portfolio roster; individual building occupancy unverified</x:v>
      </x:c>
      <x:c r="I3140" s="12" t="str">
        <x:v>Large enterprise</x:v>
      </x:c>
      <x:c r="J3140" s="12" t="str">
        <x:v>Engineering &amp; manufacturing</x:v>
      </x:c>
      <x:c r="K3140" s="2" t="str">
        <x:v>PARTNER-M002</x:v>
      </x:c>
    </x:row>
    <x:row r="3141" ht="46" customHeight="1">
      <x:c r="A3141" s="2" t="str">
        <x:v>TEN-316635638FCB</x:v>
      </x:c>
      <x:c r="B3141" s="12" t="str">
        <x:v>Sabre Travel</x:v>
      </x:c>
      <x:c r="C3141" s="12" t="str">
        <x:v>CORP-0428</x:v>
      </x:c>
      <x:c r="D3141" s="12" t="str">
        <x:v>Bengaluru</x:v>
      </x:c>
      <x:c r="E3141" s="12" t="str">
        <x:v>International Tech Park (ITPB)</x:v>
      </x:c>
      <x:c r="F3141" s="12" t="str">
        <x:v>55 inch</x:v>
      </x:c>
      <x:c r="G3141" s="20" t="n">
        <x:v>1</x:v>
      </x:c>
      <x:c r="H3141" s="12" t="str">
        <x:v>Campus/portfolio roster; individual building occupancy unverified</x:v>
      </x:c>
      <x:c r="I3141" s="12" t="str">
        <x:v>Mixed business audience</x:v>
      </x:c>
      <x:c r="J3141" s="12" t="str">
        <x:v>IT &amp; digital</x:v>
      </x:c>
      <x:c r="K3141" s="2" t="str">
        <x:v>PARTNER-M002</x:v>
      </x:c>
    </x:row>
    <x:row r="3142" ht="46" customHeight="1">
      <x:c r="A3142" s="2" t="str">
        <x:v>TEN-330E380FC660</x:v>
      </x:c>
      <x:c r="B3142" s="12" t="str">
        <x:v>The Dhanalakshmi Bank</x:v>
      </x:c>
      <x:c r="C3142" s="12" t="str">
        <x:v>CORP-0428</x:v>
      </x:c>
      <x:c r="D3142" s="12" t="str">
        <x:v>Bengaluru</x:v>
      </x:c>
      <x:c r="E3142" s="12" t="str">
        <x:v>International Tech Park (ITPB)</x:v>
      </x:c>
      <x:c r="F3142" s="12" t="str">
        <x:v>55 inch</x:v>
      </x:c>
      <x:c r="G3142" s="20" t="n">
        <x:v>1</x:v>
      </x:c>
      <x:c r="H3142" s="12" t="str">
        <x:v>Campus/portfolio roster; individual building occupancy unverified</x:v>
      </x:c>
      <x:c r="I3142" s="12" t="str">
        <x:v>Mixed business audience</x:v>
      </x:c>
      <x:c r="J3142" s="12" t="str">
        <x:v>Finance &amp; insurance</x:v>
      </x:c>
      <x:c r="K3142" s="2" t="str">
        <x:v>PARTNER-M002</x:v>
      </x:c>
    </x:row>
    <x:row r="3143" ht="46" customHeight="1">
      <x:c r="A3143" s="2" t="str">
        <x:v>TEN-3338D6A28C63</x:v>
      </x:c>
      <x:c r="B3143" s="12" t="str">
        <x:v>NTT Cloud</x:v>
      </x:c>
      <x:c r="C3143" s="12" t="str">
        <x:v>CORP-0428</x:v>
      </x:c>
      <x:c r="D3143" s="12" t="str">
        <x:v>Bengaluru</x:v>
      </x:c>
      <x:c r="E3143" s="12" t="str">
        <x:v>International Tech Park (ITPB)</x:v>
      </x:c>
      <x:c r="F3143" s="12" t="str">
        <x:v>55 inch</x:v>
      </x:c>
      <x:c r="G3143" s="20" t="n">
        <x:v>1</x:v>
      </x:c>
      <x:c r="H3143" s="12" t="str">
        <x:v>Campus/portfolio roster; individual building occupancy unverified</x:v>
      </x:c>
      <x:c r="I3143" s="12" t="str">
        <x:v>Large enterprise</x:v>
      </x:c>
      <x:c r="J3143" s="12" t="str">
        <x:v>IT &amp; digital</x:v>
      </x:c>
      <x:c r="K3143" s="2" t="str">
        <x:v>PARTNER-M002</x:v>
      </x:c>
    </x:row>
    <x:row r="3144" ht="46" customHeight="1">
      <x:c r="A3144" s="2" t="str">
        <x:v>TEN-33DF04958DCA</x:v>
      </x:c>
      <x:c r="B3144" s="12" t="str">
        <x:v>Panasoni Life</x:v>
      </x:c>
      <x:c r="C3144" s="12" t="str">
        <x:v>CORP-0428</x:v>
      </x:c>
      <x:c r="D3144" s="12" t="str">
        <x:v>Bengaluru</x:v>
      </x:c>
      <x:c r="E3144" s="12" t="str">
        <x:v>International Tech Park (ITPB)</x:v>
      </x:c>
      <x:c r="F3144" s="12" t="str">
        <x:v>55 inch</x:v>
      </x:c>
      <x:c r="G3144" s="20" t="n">
        <x:v>1</x:v>
      </x:c>
      <x:c r="H3144" s="12" t="str">
        <x:v>Campus/portfolio roster; individual building occupancy unverified</x:v>
      </x:c>
      <x:c r="I3144" s="12" t="str">
        <x:v>Mixed business audience</x:v>
      </x:c>
      <x:c r="J3144" s="12" t="str">
        <x:v>Unresolved</x:v>
      </x:c>
      <x:c r="K3144" s="2" t="str">
        <x:v>PARTNER-M002</x:v>
      </x:c>
    </x:row>
    <x:row r="3145" ht="46" customHeight="1">
      <x:c r="A3145" s="2" t="str">
        <x:v>TEN-34185282371F</x:v>
      </x:c>
      <x:c r="B3145" s="12" t="str">
        <x:v>Glenburn</x:v>
      </x:c>
      <x:c r="C3145" s="12" t="str">
        <x:v>CORP-0428</x:v>
      </x:c>
      <x:c r="D3145" s="12" t="str">
        <x:v>Bengaluru</x:v>
      </x:c>
      <x:c r="E3145" s="12" t="str">
        <x:v>International Tech Park (ITPB)</x:v>
      </x:c>
      <x:c r="F3145" s="12" t="str">
        <x:v>55 inch</x:v>
      </x:c>
      <x:c r="G3145" s="20" t="n">
        <x:v>1</x:v>
      </x:c>
      <x:c r="H3145" s="12" t="str">
        <x:v>Campus/portfolio roster; individual building occupancy unverified</x:v>
      </x:c>
      <x:c r="I3145" s="12" t="str">
        <x:v>Mixed business audience</x:v>
      </x:c>
      <x:c r="J3145" s="12" t="str">
        <x:v>Unresolved</x:v>
      </x:c>
      <x:c r="K3145" s="2" t="str">
        <x:v>PARTNER-M002</x:v>
      </x:c>
    </x:row>
    <x:row r="3146" ht="46" customHeight="1">
      <x:c r="A3146" s="2" t="str">
        <x:v>TEN-356AAB6A94F0</x:v>
      </x:c>
      <x:c r="B3146" s="12" t="str">
        <x:v>Infovision</x:v>
      </x:c>
      <x:c r="C3146" s="12" t="str">
        <x:v>CORP-0428</x:v>
      </x:c>
      <x:c r="D3146" s="12" t="str">
        <x:v>Bengaluru</x:v>
      </x:c>
      <x:c r="E3146" s="12" t="str">
        <x:v>International Tech Park (ITPB)</x:v>
      </x:c>
      <x:c r="F3146" s="12" t="str">
        <x:v>55 inch</x:v>
      </x:c>
      <x:c r="G3146" s="20" t="n">
        <x:v>1</x:v>
      </x:c>
      <x:c r="H3146" s="12" t="str">
        <x:v>Campus/portfolio roster; individual building occupancy unverified</x:v>
      </x:c>
      <x:c r="I3146" s="12" t="str">
        <x:v>Small-scale prospects</x:v>
      </x:c>
      <x:c r="J3146" s="12" t="str">
        <x:v>IT &amp; digital</x:v>
      </x:c>
      <x:c r="K3146" s="2" t="str">
        <x:v>PARTNER-M002</x:v>
      </x:c>
    </x:row>
    <x:row r="3147" ht="46" customHeight="1">
      <x:c r="A3147" s="2" t="str">
        <x:v>TEN-3669A97CEE08</x:v>
      </x:c>
      <x:c r="B3147" s="12" t="str">
        <x:v>DBA xcom labs</x:v>
      </x:c>
      <x:c r="C3147" s="12" t="str">
        <x:v>CORP-0428</x:v>
      </x:c>
      <x:c r="D3147" s="12" t="str">
        <x:v>Bengaluru</x:v>
      </x:c>
      <x:c r="E3147" s="12" t="str">
        <x:v>International Tech Park (ITPB)</x:v>
      </x:c>
      <x:c r="F3147" s="12" t="str">
        <x:v>55 inch</x:v>
      </x:c>
      <x:c r="G3147" s="20" t="n">
        <x:v>1</x:v>
      </x:c>
      <x:c r="H3147" s="12" t="str">
        <x:v>Campus/portfolio roster; individual building occupancy unverified</x:v>
      </x:c>
      <x:c r="I3147" s="12" t="str">
        <x:v>Mixed business audience</x:v>
      </x:c>
      <x:c r="J3147" s="12" t="str">
        <x:v>Unresolved</x:v>
      </x:c>
      <x:c r="K3147" s="2" t="str">
        <x:v>PARTNER-M002</x:v>
      </x:c>
    </x:row>
    <x:row r="3148" ht="46" customHeight="1">
      <x:c r="A3148" s="2" t="str">
        <x:v>TEN-3CCDB2E97517</x:v>
      </x:c>
      <x:c r="B3148" s="12" t="str">
        <x:v>Mentora</x:v>
      </x:c>
      <x:c r="C3148" s="12" t="str">
        <x:v>CORP-0428</x:v>
      </x:c>
      <x:c r="D3148" s="12" t="str">
        <x:v>Bengaluru</x:v>
      </x:c>
      <x:c r="E3148" s="12" t="str">
        <x:v>International Tech Park (ITPB)</x:v>
      </x:c>
      <x:c r="F3148" s="12" t="str">
        <x:v>55 inch</x:v>
      </x:c>
      <x:c r="G3148" s="20" t="n">
        <x:v>1</x:v>
      </x:c>
      <x:c r="H3148" s="12" t="str">
        <x:v>Campus/portfolio roster; individual building occupancy unverified</x:v>
      </x:c>
      <x:c r="I3148" s="12" t="str">
        <x:v>Mixed business audience</x:v>
      </x:c>
      <x:c r="J3148" s="12" t="str">
        <x:v>Unresolved</x:v>
      </x:c>
      <x:c r="K3148" s="2" t="str">
        <x:v>PARTNER-M002</x:v>
      </x:c>
    </x:row>
    <x:row r="3149" ht="46" customHeight="1">
      <x:c r="A3149" s="2" t="str">
        <x:v>TEN-43BD5FC2D8E2</x:v>
      </x:c>
      <x:c r="B3149" s="12" t="str">
        <x:v>RLE</x:v>
      </x:c>
      <x:c r="C3149" s="12" t="str">
        <x:v>CORP-0428</x:v>
      </x:c>
      <x:c r="D3149" s="12" t="str">
        <x:v>Bengaluru</x:v>
      </x:c>
      <x:c r="E3149" s="12" t="str">
        <x:v>International Tech Park (ITPB)</x:v>
      </x:c>
      <x:c r="F3149" s="12" t="str">
        <x:v>55 inch</x:v>
      </x:c>
      <x:c r="G3149" s="20" t="n">
        <x:v>1</x:v>
      </x:c>
      <x:c r="H3149" s="12" t="str">
        <x:v>Campus/portfolio roster; individual building occupancy unverified</x:v>
      </x:c>
      <x:c r="I3149" s="12" t="str">
        <x:v>Mixed business audience</x:v>
      </x:c>
      <x:c r="J3149" s="12" t="str">
        <x:v>Unresolved</x:v>
      </x:c>
      <x:c r="K3149" s="2" t="str">
        <x:v>PARTNER-M002</x:v>
      </x:c>
    </x:row>
    <x:row r="3150" ht="46" customHeight="1">
      <x:c r="A3150" s="2" t="str">
        <x:v>TEN-46EE12AD6E57</x:v>
      </x:c>
      <x:c r="B3150" s="12" t="str">
        <x:v>Open Bet</x:v>
      </x:c>
      <x:c r="C3150" s="12" t="str">
        <x:v>CORP-0428</x:v>
      </x:c>
      <x:c r="D3150" s="12" t="str">
        <x:v>Bengaluru</x:v>
      </x:c>
      <x:c r="E3150" s="12" t="str">
        <x:v>International Tech Park (ITPB)</x:v>
      </x:c>
      <x:c r="F3150" s="12" t="str">
        <x:v>55 inch</x:v>
      </x:c>
      <x:c r="G3150" s="20" t="n">
        <x:v>1</x:v>
      </x:c>
      <x:c r="H3150" s="12" t="str">
        <x:v>Campus/portfolio roster; individual building occupancy unverified</x:v>
      </x:c>
      <x:c r="I3150" s="12" t="str">
        <x:v>Mixed business audience</x:v>
      </x:c>
      <x:c r="J3150" s="12" t="str">
        <x:v>Trade, consumer &amp; logistics</x:v>
      </x:c>
      <x:c r="K3150" s="2" t="str">
        <x:v>PARTNER-M002</x:v>
      </x:c>
    </x:row>
    <x:row r="3151" ht="46" customHeight="1">
      <x:c r="A3151" s="2" t="str">
        <x:v>TEN-4B42B5258CA7</x:v>
      </x:c>
      <x:c r="B3151" s="12" t="str">
        <x:v>Tyfone</x:v>
      </x:c>
      <x:c r="C3151" s="12" t="str">
        <x:v>CORP-0428</x:v>
      </x:c>
      <x:c r="D3151" s="12" t="str">
        <x:v>Bengaluru</x:v>
      </x:c>
      <x:c r="E3151" s="12" t="str">
        <x:v>International Tech Park (ITPB)</x:v>
      </x:c>
      <x:c r="F3151" s="12" t="str">
        <x:v>55 inch</x:v>
      </x:c>
      <x:c r="G3151" s="20" t="n">
        <x:v>1</x:v>
      </x:c>
      <x:c r="H3151" s="12" t="str">
        <x:v>Campus/portfolio roster; individual building occupancy unverified</x:v>
      </x:c>
      <x:c r="I3151" s="12" t="str">
        <x:v>Small-scale prospects</x:v>
      </x:c>
      <x:c r="J3151" s="12" t="str">
        <x:v>IT &amp; digital</x:v>
      </x:c>
      <x:c r="K3151" s="2" t="str">
        <x:v>PARTNER-M002</x:v>
      </x:c>
    </x:row>
    <x:row r="3152" ht="46" customHeight="1">
      <x:c r="A3152" s="2" t="str">
        <x:v>TEN-50A50A4E75D3</x:v>
      </x:c>
      <x:c r="B3152" s="12" t="str">
        <x:v>Bharat Sanchar Nigam</x:v>
      </x:c>
      <x:c r="C3152" s="12" t="str">
        <x:v>CORP-0428</x:v>
      </x:c>
      <x:c r="D3152" s="12" t="str">
        <x:v>Bengaluru</x:v>
      </x:c>
      <x:c r="E3152" s="12" t="str">
        <x:v>International Tech Park (ITPB)</x:v>
      </x:c>
      <x:c r="F3152" s="12" t="str">
        <x:v>55 inch</x:v>
      </x:c>
      <x:c r="G3152" s="20" t="n">
        <x:v>1</x:v>
      </x:c>
      <x:c r="H3152" s="12" t="str">
        <x:v>Campus/portfolio roster; individual building occupancy unverified</x:v>
      </x:c>
      <x:c r="I3152" s="12" t="str">
        <x:v>Mixed business audience</x:v>
      </x:c>
      <x:c r="J3152" s="12" t="str">
        <x:v>IT &amp; digital</x:v>
      </x:c>
      <x:c r="K3152" s="2" t="str">
        <x:v>PARTNER-M002</x:v>
      </x:c>
    </x:row>
    <x:row r="3153" ht="46" customHeight="1">
      <x:c r="A3153" s="2" t="str">
        <x:v>TEN-5346DFE17486</x:v>
      </x:c>
      <x:c r="B3153" s="12" t="str">
        <x:v>Technicolor</x:v>
      </x:c>
      <x:c r="C3153" s="12" t="str">
        <x:v>CORP-0428</x:v>
      </x:c>
      <x:c r="D3153" s="12" t="str">
        <x:v>Bengaluru</x:v>
      </x:c>
      <x:c r="E3153" s="12" t="str">
        <x:v>International Tech Park (ITPB)</x:v>
      </x:c>
      <x:c r="F3153" s="12" t="str">
        <x:v>55 inch</x:v>
      </x:c>
      <x:c r="G3153" s="20" t="n">
        <x:v>1</x:v>
      </x:c>
      <x:c r="H3153" s="12" t="str">
        <x:v>Campus/portfolio roster; individual building occupancy unverified</x:v>
      </x:c>
      <x:c r="I3153" s="12" t="str">
        <x:v>Mixed business audience</x:v>
      </x:c>
      <x:c r="J3153" s="12" t="str">
        <x:v>Trade, consumer &amp; logistics</x:v>
      </x:c>
      <x:c r="K3153" s="2" t="str">
        <x:v>PARTNER-M002</x:v>
      </x:c>
    </x:row>
    <x:row r="3154" ht="46" customHeight="1">
      <x:c r="A3154" s="2" t="str">
        <x:v>TEN-598F7A741A1E</x:v>
      </x:c>
      <x:c r="B3154" s="12" t="str">
        <x:v>Aegis</x:v>
      </x:c>
      <x:c r="C3154" s="12" t="str">
        <x:v>CORP-0428</x:v>
      </x:c>
      <x:c r="D3154" s="12" t="str">
        <x:v>Bengaluru</x:v>
      </x:c>
      <x:c r="E3154" s="12" t="str">
        <x:v>International Tech Park (ITPB)</x:v>
      </x:c>
      <x:c r="F3154" s="12" t="str">
        <x:v>55 inch</x:v>
      </x:c>
      <x:c r="G3154" s="20" t="n">
        <x:v>1</x:v>
      </x:c>
      <x:c r="H3154" s="12" t="str">
        <x:v>Campus/portfolio roster; individual building occupancy unverified</x:v>
      </x:c>
      <x:c r="I3154" s="12" t="str">
        <x:v>Mixed business audience</x:v>
      </x:c>
      <x:c r="J3154" s="12" t="str">
        <x:v>IT &amp; digital</x:v>
      </x:c>
      <x:c r="K3154" s="2" t="str">
        <x:v>PARTNER-M002</x:v>
      </x:c>
    </x:row>
    <x:row r="3155" ht="46" customHeight="1">
      <x:c r="A3155" s="2" t="str">
        <x:v>TEN-59E713BB9B49</x:v>
      </x:c>
      <x:c r="B3155" s="12" t="str">
        <x:v>Revolt Intellicorp Pvt</x:v>
      </x:c>
      <x:c r="C3155" s="12" t="str">
        <x:v>CORP-0428</x:v>
      </x:c>
      <x:c r="D3155" s="12" t="str">
        <x:v>Bengaluru</x:v>
      </x:c>
      <x:c r="E3155" s="12" t="str">
        <x:v>International Tech Park (ITPB)</x:v>
      </x:c>
      <x:c r="F3155" s="12" t="str">
        <x:v>55 inch</x:v>
      </x:c>
      <x:c r="G3155" s="20" t="n">
        <x:v>1</x:v>
      </x:c>
      <x:c r="H3155" s="12" t="str">
        <x:v>Campus/portfolio roster; individual building occupancy unverified</x:v>
      </x:c>
      <x:c r="I3155" s="12" t="str">
        <x:v>Mixed business audience</x:v>
      </x:c>
      <x:c r="J3155" s="12" t="str">
        <x:v>Unresolved</x:v>
      </x:c>
      <x:c r="K3155" s="2" t="str">
        <x:v>PARTNER-M002</x:v>
      </x:c>
    </x:row>
    <x:row r="3156" ht="46" customHeight="1">
      <x:c r="A3156" s="2" t="str">
        <x:v>TEN-5B5245AFFE44</x:v>
      </x:c>
      <x:c r="B3156" s="12" t="str">
        <x:v>Tata Communications</x:v>
      </x:c>
      <x:c r="C3156" s="12" t="str">
        <x:v>CORP-0428</x:v>
      </x:c>
      <x:c r="D3156" s="12" t="str">
        <x:v>Bengaluru</x:v>
      </x:c>
      <x:c r="E3156" s="12" t="str">
        <x:v>International Tech Park (ITPB)</x:v>
      </x:c>
      <x:c r="F3156" s="12" t="str">
        <x:v>55 inch</x:v>
      </x:c>
      <x:c r="G3156" s="20" t="n">
        <x:v>1</x:v>
      </x:c>
      <x:c r="H3156" s="12" t="str">
        <x:v>Campus/portfolio roster; individual building occupancy unverified</x:v>
      </x:c>
      <x:c r="I3156" s="12" t="str">
        <x:v>Large enterprise</x:v>
      </x:c>
      <x:c r="J3156" s="12" t="str">
        <x:v>IT &amp; digital</x:v>
      </x:c>
      <x:c r="K3156" s="2" t="str">
        <x:v>PARTNER-M002</x:v>
      </x:c>
    </x:row>
    <x:row r="3157" ht="46" customHeight="1">
      <x:c r="A3157" s="2" t="str">
        <x:v>TEN-5D77DB2A2906</x:v>
      </x:c>
      <x:c r="B3157" s="12" t="str">
        <x:v>Telia</x:v>
      </x:c>
      <x:c r="C3157" s="12" t="str">
        <x:v>CORP-0428</x:v>
      </x:c>
      <x:c r="D3157" s="12" t="str">
        <x:v>Bengaluru</x:v>
      </x:c>
      <x:c r="E3157" s="12" t="str">
        <x:v>International Tech Park (ITPB)</x:v>
      </x:c>
      <x:c r="F3157" s="12" t="str">
        <x:v>55 inch</x:v>
      </x:c>
      <x:c r="G3157" s="20" t="n">
        <x:v>1</x:v>
      </x:c>
      <x:c r="H3157" s="12" t="str">
        <x:v>Campus/portfolio roster; individual building occupancy unverified</x:v>
      </x:c>
      <x:c r="I3157" s="12" t="str">
        <x:v>Mixed business audience</x:v>
      </x:c>
      <x:c r="J3157" s="12" t="str">
        <x:v>Unresolved</x:v>
      </x:c>
      <x:c r="K3157" s="2" t="str">
        <x:v>PARTNER-M002</x:v>
      </x:c>
    </x:row>
    <x:row r="3158" ht="46" customHeight="1">
      <x:c r="A3158" s="2" t="str">
        <x:v>TEN-5F435B82E7E9</x:v>
      </x:c>
      <x:c r="B3158" s="12" t="str">
        <x:v>Criterion</x:v>
      </x:c>
      <x:c r="C3158" s="12" t="str">
        <x:v>CORP-0428</x:v>
      </x:c>
      <x:c r="D3158" s="12" t="str">
        <x:v>Bengaluru</x:v>
      </x:c>
      <x:c r="E3158" s="12" t="str">
        <x:v>International Tech Park (ITPB)</x:v>
      </x:c>
      <x:c r="F3158" s="12" t="str">
        <x:v>55 inch</x:v>
      </x:c>
      <x:c r="G3158" s="20" t="n">
        <x:v>1</x:v>
      </x:c>
      <x:c r="H3158" s="12" t="str">
        <x:v>Campus/portfolio roster; individual building occupancy unverified</x:v>
      </x:c>
      <x:c r="I3158" s="12" t="str">
        <x:v>Mixed business audience</x:v>
      </x:c>
      <x:c r="J3158" s="12" t="str">
        <x:v>Unresolved</x:v>
      </x:c>
      <x:c r="K3158" s="2" t="str">
        <x:v>PARTNER-M002</x:v>
      </x:c>
    </x:row>
    <x:row r="3159" ht="46" customHeight="1">
      <x:c r="A3159" s="2" t="str">
        <x:v>TEN-5FA790F3630F</x:v>
      </x:c>
      <x:c r="B3159" s="12" t="str">
        <x:v>Tata Consultancy Services</x:v>
      </x:c>
      <x:c r="C3159" s="12" t="str">
        <x:v>CORP-0428</x:v>
      </x:c>
      <x:c r="D3159" s="12" t="str">
        <x:v>Bengaluru</x:v>
      </x:c>
      <x:c r="E3159" s="12" t="str">
        <x:v>International Tech Park (ITPB)</x:v>
      </x:c>
      <x:c r="F3159" s="12" t="str">
        <x:v>55 inch</x:v>
      </x:c>
      <x:c r="G3159" s="20" t="n">
        <x:v>1</x:v>
      </x:c>
      <x:c r="H3159" s="12" t="str">
        <x:v>Campus/portfolio roster; individual building occupancy unverified</x:v>
      </x:c>
      <x:c r="I3159" s="12" t="str">
        <x:v>Large enterprise</x:v>
      </x:c>
      <x:c r="J3159" s="12" t="str">
        <x:v>IT &amp; digital</x:v>
      </x:c>
      <x:c r="K3159" s="2" t="str">
        <x:v>PARTNER-M002</x:v>
      </x:c>
    </x:row>
    <x:row r="3160" ht="46" customHeight="1">
      <x:c r="A3160" s="2" t="str">
        <x:v>TEN-60B66A73DC22</x:v>
      </x:c>
      <x:c r="B3160" s="12" t="str">
        <x:v>Webdunia.com</x:v>
      </x:c>
      <x:c r="C3160" s="12" t="str">
        <x:v>CORP-0428</x:v>
      </x:c>
      <x:c r="D3160" s="12" t="str">
        <x:v>Bengaluru</x:v>
      </x:c>
      <x:c r="E3160" s="12" t="str">
        <x:v>International Tech Park (ITPB)</x:v>
      </x:c>
      <x:c r="F3160" s="12" t="str">
        <x:v>55 inch</x:v>
      </x:c>
      <x:c r="G3160" s="20" t="n">
        <x:v>1</x:v>
      </x:c>
      <x:c r="H3160" s="12" t="str">
        <x:v>Campus/portfolio roster; individual building occupancy unverified</x:v>
      </x:c>
      <x:c r="I3160" s="12" t="str">
        <x:v>Small-scale prospects</x:v>
      </x:c>
      <x:c r="J3160" s="12" t="str">
        <x:v>IT &amp; digital</x:v>
      </x:c>
      <x:c r="K3160" s="2" t="str">
        <x:v>PARTNER-M002</x:v>
      </x:c>
    </x:row>
    <x:row r="3161" ht="46" customHeight="1">
      <x:c r="A3161" s="2" t="str">
        <x:v>TEN-60CDE18C0230</x:v>
      </x:c>
      <x:c r="B3161" s="12" t="str">
        <x:v>Omens Animation</x:v>
      </x:c>
      <x:c r="C3161" s="12" t="str">
        <x:v>CORP-0428</x:v>
      </x:c>
      <x:c r="D3161" s="12" t="str">
        <x:v>Bengaluru</x:v>
      </x:c>
      <x:c r="E3161" s="12" t="str">
        <x:v>International Tech Park (ITPB)</x:v>
      </x:c>
      <x:c r="F3161" s="12" t="str">
        <x:v>55 inch</x:v>
      </x:c>
      <x:c r="G3161" s="20" t="n">
        <x:v>1</x:v>
      </x:c>
      <x:c r="H3161" s="12" t="str">
        <x:v>Campus/portfolio roster; individual building occupancy unverified</x:v>
      </x:c>
      <x:c r="I3161" s="12" t="str">
        <x:v>Small-scale prospects</x:v>
      </x:c>
      <x:c r="J3161" s="12" t="str">
        <x:v>Trade, consumer &amp; logistics</x:v>
      </x:c>
      <x:c r="K3161" s="2" t="str">
        <x:v>PARTNER-M002</x:v>
      </x:c>
    </x:row>
    <x:row r="3162" ht="46" customHeight="1">
      <x:c r="A3162" s="2" t="str">
        <x:v>TEN-676DC956336D</x:v>
      </x:c>
      <x:c r="B3162" s="12" t="str">
        <x:v>Rsab</x:v>
      </x:c>
      <x:c r="C3162" s="12" t="str">
        <x:v>CORP-0428</x:v>
      </x:c>
      <x:c r="D3162" s="12" t="str">
        <x:v>Bengaluru</x:v>
      </x:c>
      <x:c r="E3162" s="12" t="str">
        <x:v>International Tech Park (ITPB)</x:v>
      </x:c>
      <x:c r="F3162" s="12" t="str">
        <x:v>55 inch</x:v>
      </x:c>
      <x:c r="G3162" s="20" t="n">
        <x:v>1</x:v>
      </x:c>
      <x:c r="H3162" s="12" t="str">
        <x:v>Campus/portfolio roster; individual building occupancy unverified</x:v>
      </x:c>
      <x:c r="I3162" s="12" t="str">
        <x:v>Mixed business audience</x:v>
      </x:c>
      <x:c r="J3162" s="12" t="str">
        <x:v>Unresolved</x:v>
      </x:c>
      <x:c r="K3162" s="2" t="str">
        <x:v>PARTNER-M002</x:v>
      </x:c>
    </x:row>
    <x:row r="3163" ht="46" customHeight="1">
      <x:c r="A3163" s="2" t="str">
        <x:v>TEN-6994CDC0D34E</x:v>
      </x:c>
      <x:c r="B3163" s="12" t="str">
        <x:v>Sacha Engineering</x:v>
      </x:c>
      <x:c r="C3163" s="12" t="str">
        <x:v>CORP-0428</x:v>
      </x:c>
      <x:c r="D3163" s="12" t="str">
        <x:v>Bengaluru</x:v>
      </x:c>
      <x:c r="E3163" s="12" t="str">
        <x:v>International Tech Park (ITPB)</x:v>
      </x:c>
      <x:c r="F3163" s="12" t="str">
        <x:v>55 inch</x:v>
      </x:c>
      <x:c r="G3163" s="20" t="n">
        <x:v>1</x:v>
      </x:c>
      <x:c r="H3163" s="12" t="str">
        <x:v>Campus/portfolio roster; individual building occupancy unverified</x:v>
      </x:c>
      <x:c r="I3163" s="12" t="str">
        <x:v>Medium-scale prospects</x:v>
      </x:c>
      <x:c r="J3163" s="12" t="str">
        <x:v>Engineering &amp; manufacturing</x:v>
      </x:c>
      <x:c r="K3163" s="2" t="str">
        <x:v>PARTNER-M002</x:v>
      </x:c>
    </x:row>
    <x:row r="3164" ht="46" customHeight="1">
      <x:c r="A3164" s="2" t="str">
        <x:v>TEN-6BC09C13CCE1</x:v>
      </x:c>
      <x:c r="B3164" s="12" t="str">
        <x:v>Upilot</x:v>
      </x:c>
      <x:c r="C3164" s="12" t="str">
        <x:v>CORP-0428</x:v>
      </x:c>
      <x:c r="D3164" s="12" t="str">
        <x:v>Bengaluru</x:v>
      </x:c>
      <x:c r="E3164" s="12" t="str">
        <x:v>International Tech Park (ITPB)</x:v>
      </x:c>
      <x:c r="F3164" s="12" t="str">
        <x:v>55 inch</x:v>
      </x:c>
      <x:c r="G3164" s="20" t="n">
        <x:v>1</x:v>
      </x:c>
      <x:c r="H3164" s="12" t="str">
        <x:v>Campus/portfolio roster; individual building occupancy unverified</x:v>
      </x:c>
      <x:c r="I3164" s="12" t="str">
        <x:v>Small-scale prospects</x:v>
      </x:c>
      <x:c r="J3164" s="12" t="str">
        <x:v>IT &amp; digital</x:v>
      </x:c>
      <x:c r="K3164" s="2" t="str">
        <x:v>PARTNER-M002</x:v>
      </x:c>
    </x:row>
    <x:row r="3165" ht="46" customHeight="1">
      <x:c r="A3165" s="2" t="str">
        <x:v>TEN-6E2912BABF92</x:v>
      </x:c>
      <x:c r="B3165" s="12" t="str">
        <x:v>Plastic Omnium Auto</x:v>
      </x:c>
      <x:c r="C3165" s="12" t="str">
        <x:v>CORP-0428</x:v>
      </x:c>
      <x:c r="D3165" s="12" t="str">
        <x:v>Bengaluru</x:v>
      </x:c>
      <x:c r="E3165" s="12" t="str">
        <x:v>International Tech Park (ITPB)</x:v>
      </x:c>
      <x:c r="F3165" s="12" t="str">
        <x:v>55 inch</x:v>
      </x:c>
      <x:c r="G3165" s="20" t="n">
        <x:v>1</x:v>
      </x:c>
      <x:c r="H3165" s="12" t="str">
        <x:v>Campus/portfolio roster; individual building occupancy unverified</x:v>
      </x:c>
      <x:c r="I3165" s="12" t="str">
        <x:v>Mixed business audience</x:v>
      </x:c>
      <x:c r="J3165" s="12" t="str">
        <x:v>Engineering &amp; manufacturing</x:v>
      </x:c>
      <x:c r="K3165" s="2" t="str">
        <x:v>PARTNER-M002</x:v>
      </x:c>
    </x:row>
    <x:row r="3166" ht="46" customHeight="1">
      <x:c r="A3166" s="2" t="str">
        <x:v>TEN-6F273F8143F0</x:v>
      </x:c>
      <x:c r="B3166" s="12" t="str">
        <x:v>First Advantage</x:v>
      </x:c>
      <x:c r="C3166" s="12" t="str">
        <x:v>CORP-0428</x:v>
      </x:c>
      <x:c r="D3166" s="12" t="str">
        <x:v>Bengaluru</x:v>
      </x:c>
      <x:c r="E3166" s="12" t="str">
        <x:v>International Tech Park (ITPB)</x:v>
      </x:c>
      <x:c r="F3166" s="12" t="str">
        <x:v>55 inch</x:v>
      </x:c>
      <x:c r="G3166" s="20" t="n">
        <x:v>1</x:v>
      </x:c>
      <x:c r="H3166" s="12" t="str">
        <x:v>Campus/portfolio roster; individual building occupancy unverified</x:v>
      </x:c>
      <x:c r="I3166" s="12" t="str">
        <x:v>Mixed business audience</x:v>
      </x:c>
      <x:c r="J3166" s="12" t="str">
        <x:v>Professional services</x:v>
      </x:c>
      <x:c r="K3166" s="2" t="str">
        <x:v>PARTNER-M002</x:v>
      </x:c>
    </x:row>
    <x:row r="3167" ht="46" customHeight="1">
      <x:c r="A3167" s="2" t="str">
        <x:v>TEN-6F4C691FF4A1</x:v>
      </x:c>
      <x:c r="B3167" s="12" t="str">
        <x:v>Kennametal</x:v>
      </x:c>
      <x:c r="C3167" s="12" t="str">
        <x:v>CORP-0428</x:v>
      </x:c>
      <x:c r="D3167" s="12" t="str">
        <x:v>Bengaluru</x:v>
      </x:c>
      <x:c r="E3167" s="12" t="str">
        <x:v>International Tech Park (ITPB)</x:v>
      </x:c>
      <x:c r="F3167" s="12" t="str">
        <x:v>55 inch</x:v>
      </x:c>
      <x:c r="G3167" s="20" t="n">
        <x:v>1</x:v>
      </x:c>
      <x:c r="H3167" s="12" t="str">
        <x:v>Campus/portfolio roster; individual building occupancy unverified</x:v>
      </x:c>
      <x:c r="I3167" s="12" t="str">
        <x:v>Mixed business audience</x:v>
      </x:c>
      <x:c r="J3167" s="12" t="str">
        <x:v>Engineering &amp; manufacturing</x:v>
      </x:c>
      <x:c r="K3167" s="2" t="str">
        <x:v>PARTNER-M002</x:v>
      </x:c>
    </x:row>
    <x:row r="3168" ht="46" customHeight="1">
      <x:c r="A3168" s="2" t="str">
        <x:v>TEN-7318D4E0C064</x:v>
      </x:c>
      <x:c r="B3168" s="12" t="str">
        <x:v>Skiva</x:v>
      </x:c>
      <x:c r="C3168" s="12" t="str">
        <x:v>CORP-0428</x:v>
      </x:c>
      <x:c r="D3168" s="12" t="str">
        <x:v>Bengaluru</x:v>
      </x:c>
      <x:c r="E3168" s="12" t="str">
        <x:v>International Tech Park (ITPB)</x:v>
      </x:c>
      <x:c r="F3168" s="12" t="str">
        <x:v>55 inch</x:v>
      </x:c>
      <x:c r="G3168" s="20" t="n">
        <x:v>1</x:v>
      </x:c>
      <x:c r="H3168" s="12" t="str">
        <x:v>Campus/portfolio roster; individual building occupancy unverified</x:v>
      </x:c>
      <x:c r="I3168" s="12" t="str">
        <x:v>Mixed business audience</x:v>
      </x:c>
      <x:c r="J3168" s="12" t="str">
        <x:v>Unresolved</x:v>
      </x:c>
      <x:c r="K3168" s="2" t="str">
        <x:v>PARTNER-M002</x:v>
      </x:c>
    </x:row>
    <x:row r="3169" ht="46" customHeight="1">
      <x:c r="A3169" s="2" t="str">
        <x:v>TEN-764319AE4FB8</x:v>
      </x:c>
      <x:c r="B3169" s="12" t="str">
        <x:v>Sharp Software</x:v>
      </x:c>
      <x:c r="C3169" s="12" t="str">
        <x:v>CORP-0428</x:v>
      </x:c>
      <x:c r="D3169" s="12" t="str">
        <x:v>Bengaluru</x:v>
      </x:c>
      <x:c r="E3169" s="12" t="str">
        <x:v>International Tech Park (ITPB)</x:v>
      </x:c>
      <x:c r="F3169" s="12" t="str">
        <x:v>55 inch</x:v>
      </x:c>
      <x:c r="G3169" s="20" t="n">
        <x:v>1</x:v>
      </x:c>
      <x:c r="H3169" s="12" t="str">
        <x:v>Campus/portfolio roster; individual building occupancy unverified</x:v>
      </x:c>
      <x:c r="I3169" s="12" t="str">
        <x:v>Mixed business audience</x:v>
      </x:c>
      <x:c r="J3169" s="12" t="str">
        <x:v>IT &amp; digital</x:v>
      </x:c>
      <x:c r="K3169" s="2" t="str">
        <x:v>PARTNER-M002</x:v>
      </x:c>
    </x:row>
    <x:row r="3170" ht="46" customHeight="1">
      <x:c r="A3170" s="2" t="str">
        <x:v>TEN-7ECB3C42E303</x:v>
      </x:c>
      <x:c r="B3170" s="12" t="str">
        <x:v>Criterion Networks</x:v>
      </x:c>
      <x:c r="C3170" s="12" t="str">
        <x:v>CORP-0428</x:v>
      </x:c>
      <x:c r="D3170" s="12" t="str">
        <x:v>Bengaluru</x:v>
      </x:c>
      <x:c r="E3170" s="12" t="str">
        <x:v>International Tech Park (ITPB)</x:v>
      </x:c>
      <x:c r="F3170" s="12" t="str">
        <x:v>55 inch</x:v>
      </x:c>
      <x:c r="G3170" s="20" t="n">
        <x:v>1</x:v>
      </x:c>
      <x:c r="H3170" s="12" t="str">
        <x:v>Campus/portfolio roster; individual building occupancy unverified</x:v>
      </x:c>
      <x:c r="I3170" s="12" t="str">
        <x:v>Small-scale prospects</x:v>
      </x:c>
      <x:c r="J3170" s="12" t="str">
        <x:v>IT &amp; digital</x:v>
      </x:c>
      <x:c r="K3170" s="2" t="str">
        <x:v>PARTNER-M002</x:v>
      </x:c>
    </x:row>
    <x:row r="3171" ht="46" customHeight="1">
      <x:c r="A3171" s="2" t="str">
        <x:v>TEN-8174968E6F72</x:v>
      </x:c>
      <x:c r="B3171" s="12" t="str">
        <x:v>Achronix</x:v>
      </x:c>
      <x:c r="C3171" s="12" t="str">
        <x:v>CORP-0428</x:v>
      </x:c>
      <x:c r="D3171" s="12" t="str">
        <x:v>Bengaluru</x:v>
      </x:c>
      <x:c r="E3171" s="12" t="str">
        <x:v>International Tech Park (ITPB)</x:v>
      </x:c>
      <x:c r="F3171" s="12" t="str">
        <x:v>55 inch</x:v>
      </x:c>
      <x:c r="G3171" s="20" t="n">
        <x:v>1</x:v>
      </x:c>
      <x:c r="H3171" s="12" t="str">
        <x:v>Campus/portfolio roster; individual building occupancy unverified</x:v>
      </x:c>
      <x:c r="I3171" s="12" t="str">
        <x:v>Mixed business audience</x:v>
      </x:c>
      <x:c r="J3171" s="12" t="str">
        <x:v>Engineering &amp; manufacturing</x:v>
      </x:c>
      <x:c r="K3171" s="2" t="str">
        <x:v>PARTNER-M002</x:v>
      </x:c>
    </x:row>
    <x:row r="3172" ht="46" customHeight="1">
      <x:c r="A3172" s="2" t="str">
        <x:v>TEN-81F921B8E00A</x:v>
      </x:c>
      <x:c r="B3172" s="12" t="str">
        <x:v>Mobicip</x:v>
      </x:c>
      <x:c r="C3172" s="12" t="str">
        <x:v>CORP-0428</x:v>
      </x:c>
      <x:c r="D3172" s="12" t="str">
        <x:v>Bengaluru</x:v>
      </x:c>
      <x:c r="E3172" s="12" t="str">
        <x:v>International Tech Park (ITPB)</x:v>
      </x:c>
      <x:c r="F3172" s="12" t="str">
        <x:v>55 inch</x:v>
      </x:c>
      <x:c r="G3172" s="20" t="n">
        <x:v>1</x:v>
      </x:c>
      <x:c r="H3172" s="12" t="str">
        <x:v>Campus/portfolio roster; individual building occupancy unverified</x:v>
      </x:c>
      <x:c r="I3172" s="12" t="str">
        <x:v>Small-scale prospects</x:v>
      </x:c>
      <x:c r="J3172" s="12" t="str">
        <x:v>IT &amp; digital</x:v>
      </x:c>
      <x:c r="K3172" s="2" t="str">
        <x:v>PARTNER-M002</x:v>
      </x:c>
    </x:row>
    <x:row r="3173" ht="46" customHeight="1">
      <x:c r="A3173" s="2" t="str">
        <x:v>TEN-891353748B3A</x:v>
      </x:c>
      <x:c r="B3173" s="12" t="str">
        <x:v>Osi Energy automation</x:v>
      </x:c>
      <x:c r="C3173" s="12" t="str">
        <x:v>CORP-0428</x:v>
      </x:c>
      <x:c r="D3173" s="12" t="str">
        <x:v>Bengaluru</x:v>
      </x:c>
      <x:c r="E3173" s="12" t="str">
        <x:v>International Tech Park (ITPB)</x:v>
      </x:c>
      <x:c r="F3173" s="12" t="str">
        <x:v>55 inch</x:v>
      </x:c>
      <x:c r="G3173" s="20" t="n">
        <x:v>1</x:v>
      </x:c>
      <x:c r="H3173" s="12" t="str">
        <x:v>Campus/portfolio roster; individual building occupancy unverified</x:v>
      </x:c>
      <x:c r="I3173" s="12" t="str">
        <x:v>Medium-scale prospects</x:v>
      </x:c>
      <x:c r="J3173" s="12" t="str">
        <x:v>Engineering &amp; manufacturing</x:v>
      </x:c>
      <x:c r="K3173" s="2" t="str">
        <x:v>PARTNER-M002</x:v>
      </x:c>
    </x:row>
    <x:row r="3174" ht="46" customHeight="1">
      <x:c r="A3174" s="2" t="str">
        <x:v>TEN-8C4275F1FD40</x:v>
      </x:c>
      <x:c r="B3174" s="12" t="str">
        <x:v>Capital Land</x:v>
      </x:c>
      <x:c r="C3174" s="12" t="str">
        <x:v>CORP-0428</x:v>
      </x:c>
      <x:c r="D3174" s="12" t="str">
        <x:v>Bengaluru</x:v>
      </x:c>
      <x:c r="E3174" s="12" t="str">
        <x:v>International Tech Park (ITPB)</x:v>
      </x:c>
      <x:c r="F3174" s="12" t="str">
        <x:v>55 inch</x:v>
      </x:c>
      <x:c r="G3174" s="20" t="n">
        <x:v>1</x:v>
      </x:c>
      <x:c r="H3174" s="12" t="str">
        <x:v>Campus/portfolio roster; individual building occupancy unverified</x:v>
      </x:c>
      <x:c r="I3174" s="12" t="str">
        <x:v>Mixed business audience</x:v>
      </x:c>
      <x:c r="J3174" s="12" t="str">
        <x:v>Trade, consumer &amp; logistics</x:v>
      </x:c>
      <x:c r="K3174" s="2" t="str">
        <x:v>PARTNER-M002</x:v>
      </x:c>
    </x:row>
    <x:row r="3175" ht="46" customHeight="1">
      <x:c r="A3175" s="2" t="str">
        <x:v>TEN-8DCD18640A0A</x:v>
      </x:c>
      <x:c r="B3175" s="12" t="str">
        <x:v>Kotak</x:v>
      </x:c>
      <x:c r="C3175" s="12" t="str">
        <x:v>CORP-0428</x:v>
      </x:c>
      <x:c r="D3175" s="12" t="str">
        <x:v>Bengaluru</x:v>
      </x:c>
      <x:c r="E3175" s="12" t="str">
        <x:v>International Tech Park (ITPB)</x:v>
      </x:c>
      <x:c r="F3175" s="12" t="str">
        <x:v>55 inch</x:v>
      </x:c>
      <x:c r="G3175" s="20" t="n">
        <x:v>1</x:v>
      </x:c>
      <x:c r="H3175" s="12" t="str">
        <x:v>Campus/portfolio roster; individual building occupancy unverified</x:v>
      </x:c>
      <x:c r="I3175" s="12" t="str">
        <x:v>Large enterprise</x:v>
      </x:c>
      <x:c r="J3175" s="12" t="str">
        <x:v>Finance &amp; insurance</x:v>
      </x:c>
      <x:c r="K3175" s="2" t="str">
        <x:v>PARTNER-M002</x:v>
      </x:c>
    </x:row>
    <x:row r="3176" ht="46" customHeight="1">
      <x:c r="A3176" s="2" t="str">
        <x:v>TEN-916A98F0FA2A</x:v>
      </x:c>
      <x:c r="B3176" s="12" t="str">
        <x:v>IBM</x:v>
      </x:c>
      <x:c r="C3176" s="12" t="str">
        <x:v>CORP-0428</x:v>
      </x:c>
      <x:c r="D3176" s="12" t="str">
        <x:v>Bengaluru</x:v>
      </x:c>
      <x:c r="E3176" s="12" t="str">
        <x:v>International Tech Park (ITPB)</x:v>
      </x:c>
      <x:c r="F3176" s="12" t="str">
        <x:v>55 inch</x:v>
      </x:c>
      <x:c r="G3176" s="20" t="n">
        <x:v>1</x:v>
      </x:c>
      <x:c r="H3176" s="12" t="str">
        <x:v>Campus/portfolio roster; individual building occupancy unverified</x:v>
      </x:c>
      <x:c r="I3176" s="12" t="str">
        <x:v>Large enterprise</x:v>
      </x:c>
      <x:c r="J3176" s="12" t="str">
        <x:v>IT &amp; digital</x:v>
      </x:c>
      <x:c r="K3176" s="2" t="str">
        <x:v>PARTNER-M002</x:v>
      </x:c>
    </x:row>
    <x:row r="3177" ht="46" customHeight="1">
      <x:c r="A3177" s="2" t="str">
        <x:v>TEN-97720ABA5A0C</x:v>
      </x:c>
      <x:c r="B3177" s="12" t="str">
        <x:v>Insemi Technology</x:v>
      </x:c>
      <x:c r="C3177" s="12" t="str">
        <x:v>CORP-0428</x:v>
      </x:c>
      <x:c r="D3177" s="12" t="str">
        <x:v>Bengaluru</x:v>
      </x:c>
      <x:c r="E3177" s="12" t="str">
        <x:v>International Tech Park (ITPB)</x:v>
      </x:c>
      <x:c r="F3177" s="12" t="str">
        <x:v>55 inch</x:v>
      </x:c>
      <x:c r="G3177" s="20" t="n">
        <x:v>1</x:v>
      </x:c>
      <x:c r="H3177" s="12" t="str">
        <x:v>Campus/portfolio roster; individual building occupancy unverified</x:v>
      </x:c>
      <x:c r="I3177" s="12" t="str">
        <x:v>Mixed business audience</x:v>
      </x:c>
      <x:c r="J3177" s="12" t="str">
        <x:v>Engineering &amp; manufacturing</x:v>
      </x:c>
      <x:c r="K3177" s="2" t="str">
        <x:v>PARTNER-M002</x:v>
      </x:c>
    </x:row>
    <x:row r="3178" ht="46" customHeight="1">
      <x:c r="A3178" s="2" t="str">
        <x:v>TEN-97B053EFF73B</x:v>
      </x:c>
      <x:c r="B3178" s="12" t="str">
        <x:v>Xinthe Technologies</x:v>
      </x:c>
      <x:c r="C3178" s="12" t="str">
        <x:v>CORP-0428</x:v>
      </x:c>
      <x:c r="D3178" s="12" t="str">
        <x:v>Bengaluru</x:v>
      </x:c>
      <x:c r="E3178" s="12" t="str">
        <x:v>International Tech Park (ITPB)</x:v>
      </x:c>
      <x:c r="F3178" s="12" t="str">
        <x:v>55 inch</x:v>
      </x:c>
      <x:c r="G3178" s="20" t="n">
        <x:v>1</x:v>
      </x:c>
      <x:c r="H3178" s="12" t="str">
        <x:v>Campus/portfolio roster; individual building occupancy unverified</x:v>
      </x:c>
      <x:c r="I3178" s="12" t="str">
        <x:v>Small-scale prospects</x:v>
      </x:c>
      <x:c r="J3178" s="12" t="str">
        <x:v>IT &amp; digital</x:v>
      </x:c>
      <x:c r="K3178" s="2" t="str">
        <x:v>PARTNER-M002</x:v>
      </x:c>
    </x:row>
    <x:row r="3179" ht="46" customHeight="1">
      <x:c r="A3179" s="2" t="str">
        <x:v>TEN-99E39EB751AE</x:v>
      </x:c>
      <x:c r="B3179" s="12" t="str">
        <x:v>US Technology</x:v>
      </x:c>
      <x:c r="C3179" s="12" t="str">
        <x:v>CORP-0428</x:v>
      </x:c>
      <x:c r="D3179" s="12" t="str">
        <x:v>Bengaluru</x:v>
      </x:c>
      <x:c r="E3179" s="12" t="str">
        <x:v>International Tech Park (ITPB)</x:v>
      </x:c>
      <x:c r="F3179" s="12" t="str">
        <x:v>55 inch</x:v>
      </x:c>
      <x:c r="G3179" s="20" t="n">
        <x:v>1</x:v>
      </x:c>
      <x:c r="H3179" s="12" t="str">
        <x:v>Campus/portfolio roster; individual building occupancy unverified</x:v>
      </x:c>
      <x:c r="I3179" s="12" t="str">
        <x:v>Mixed business audience</x:v>
      </x:c>
      <x:c r="J3179" s="12" t="str">
        <x:v>IT &amp; digital</x:v>
      </x:c>
      <x:c r="K3179" s="2" t="str">
        <x:v>PARTNER-M002</x:v>
      </x:c>
    </x:row>
    <x:row r="3180" ht="46" customHeight="1">
      <x:c r="A3180" s="2" t="str">
        <x:v>TEN-A08385AC9A90</x:v>
      </x:c>
      <x:c r="B3180" s="12" t="str">
        <x:v>Ecinical</x:v>
      </x:c>
      <x:c r="C3180" s="12" t="str">
        <x:v>CORP-0428</x:v>
      </x:c>
      <x:c r="D3180" s="12" t="str">
        <x:v>Bengaluru</x:v>
      </x:c>
      <x:c r="E3180" s="12" t="str">
        <x:v>International Tech Park (ITPB)</x:v>
      </x:c>
      <x:c r="F3180" s="12" t="str">
        <x:v>55 inch</x:v>
      </x:c>
      <x:c r="G3180" s="20" t="n">
        <x:v>1</x:v>
      </x:c>
      <x:c r="H3180" s="12" t="str">
        <x:v>Campus/portfolio roster; individual building occupancy unverified</x:v>
      </x:c>
      <x:c r="I3180" s="12" t="str">
        <x:v>Mixed business audience</x:v>
      </x:c>
      <x:c r="J3180" s="12" t="str">
        <x:v>Unresolved</x:v>
      </x:c>
      <x:c r="K3180" s="2" t="str">
        <x:v>PARTNER-M002</x:v>
      </x:c>
    </x:row>
    <x:row r="3181" ht="46" customHeight="1">
      <x:c r="A3181" s="2" t="str">
        <x:v>TEN-A57526B5D973</x:v>
      </x:c>
      <x:c r="B3181" s="12" t="str">
        <x:v>General Motors</x:v>
      </x:c>
      <x:c r="C3181" s="12" t="str">
        <x:v>CORP-0428</x:v>
      </x:c>
      <x:c r="D3181" s="12" t="str">
        <x:v>Bengaluru</x:v>
      </x:c>
      <x:c r="E3181" s="12" t="str">
        <x:v>International Tech Park (ITPB)</x:v>
      </x:c>
      <x:c r="F3181" s="12" t="str">
        <x:v>55 inch</x:v>
      </x:c>
      <x:c r="G3181" s="20" t="n">
        <x:v>1</x:v>
      </x:c>
      <x:c r="H3181" s="12" t="str">
        <x:v>Campus/portfolio roster; individual building occupancy unverified</x:v>
      </x:c>
      <x:c r="I3181" s="12" t="str">
        <x:v>Mixed business audience</x:v>
      </x:c>
      <x:c r="J3181" s="12" t="str">
        <x:v>Engineering &amp; manufacturing</x:v>
      </x:c>
      <x:c r="K3181" s="2" t="str">
        <x:v>PARTNER-M002</x:v>
      </x:c>
    </x:row>
    <x:row r="3182" ht="46" customHeight="1">
      <x:c r="A3182" s="2" t="str">
        <x:v>TEN-A5F5259A3FFE</x:v>
      </x:c>
      <x:c r="B3182" s="12" t="str">
        <x:v>Xerox Technology</x:v>
      </x:c>
      <x:c r="C3182" s="12" t="str">
        <x:v>CORP-0428</x:v>
      </x:c>
      <x:c r="D3182" s="12" t="str">
        <x:v>Bengaluru</x:v>
      </x:c>
      <x:c r="E3182" s="12" t="str">
        <x:v>International Tech Park (ITPB)</x:v>
      </x:c>
      <x:c r="F3182" s="12" t="str">
        <x:v>55 inch</x:v>
      </x:c>
      <x:c r="G3182" s="20" t="n">
        <x:v>1</x:v>
      </x:c>
      <x:c r="H3182" s="12" t="str">
        <x:v>Campus/portfolio roster; individual building occupancy unverified</x:v>
      </x:c>
      <x:c r="I3182" s="12" t="str">
        <x:v>Mixed business audience</x:v>
      </x:c>
      <x:c r="J3182" s="12" t="str">
        <x:v>IT &amp; digital</x:v>
      </x:c>
      <x:c r="K3182" s="2" t="str">
        <x:v>PARTNER-M002</x:v>
      </x:c>
    </x:row>
    <x:row r="3183" ht="46" customHeight="1">
      <x:c r="A3183" s="2" t="str">
        <x:v>TEN-A7907C2DB975</x:v>
      </x:c>
      <x:c r="B3183" s="12" t="str">
        <x:v>Einfolge</x:v>
      </x:c>
      <x:c r="C3183" s="12" t="str">
        <x:v>CORP-0428</x:v>
      </x:c>
      <x:c r="D3183" s="12" t="str">
        <x:v>Bengaluru</x:v>
      </x:c>
      <x:c r="E3183" s="12" t="str">
        <x:v>International Tech Park (ITPB)</x:v>
      </x:c>
      <x:c r="F3183" s="12" t="str">
        <x:v>55 inch</x:v>
      </x:c>
      <x:c r="G3183" s="20" t="n">
        <x:v>1</x:v>
      </x:c>
      <x:c r="H3183" s="12" t="str">
        <x:v>Campus/portfolio roster; individual building occupancy unverified</x:v>
      </x:c>
      <x:c r="I3183" s="12" t="str">
        <x:v>Small-scale prospects</x:v>
      </x:c>
      <x:c r="J3183" s="12" t="str">
        <x:v>Professional services</x:v>
      </x:c>
      <x:c r="K3183" s="2" t="str">
        <x:v>PARTNER-M002</x:v>
      </x:c>
    </x:row>
    <x:row r="3184" ht="46" customHeight="1">
      <x:c r="A3184" s="2" t="str">
        <x:v>TEN-A88487AEFC99</x:v>
      </x:c>
      <x:c r="B3184" s="12" t="str">
        <x:v>Galax</x:v>
      </x:c>
      <x:c r="C3184" s="12" t="str">
        <x:v>CORP-0428</x:v>
      </x:c>
      <x:c r="D3184" s="12" t="str">
        <x:v>Bengaluru</x:v>
      </x:c>
      <x:c r="E3184" s="12" t="str">
        <x:v>International Tech Park (ITPB)</x:v>
      </x:c>
      <x:c r="F3184" s="12" t="str">
        <x:v>55 inch</x:v>
      </x:c>
      <x:c r="G3184" s="20" t="n">
        <x:v>1</x:v>
      </x:c>
      <x:c r="H3184" s="12" t="str">
        <x:v>Campus/portfolio roster; individual building occupancy unverified</x:v>
      </x:c>
      <x:c r="I3184" s="12" t="str">
        <x:v>Mixed business audience</x:v>
      </x:c>
      <x:c r="J3184" s="12" t="str">
        <x:v>Unresolved</x:v>
      </x:c>
      <x:c r="K3184" s="2" t="str">
        <x:v>PARTNER-M002</x:v>
      </x:c>
    </x:row>
    <x:row r="3185" ht="46" customHeight="1">
      <x:c r="A3185" s="2" t="str">
        <x:v>TEN-A9A1855F9C7F</x:v>
      </x:c>
      <x:c r="B3185" s="12" t="str">
        <x:v>Globant</x:v>
      </x:c>
      <x:c r="C3185" s="12" t="str">
        <x:v>CORP-0428</x:v>
      </x:c>
      <x:c r="D3185" s="12" t="str">
        <x:v>Bengaluru</x:v>
      </x:c>
      <x:c r="E3185" s="12" t="str">
        <x:v>International Tech Park (ITPB)</x:v>
      </x:c>
      <x:c r="F3185" s="12" t="str">
        <x:v>55 inch</x:v>
      </x:c>
      <x:c r="G3185" s="20" t="n">
        <x:v>1</x:v>
      </x:c>
      <x:c r="H3185" s="12" t="str">
        <x:v>Campus/portfolio roster; individual building occupancy unverified</x:v>
      </x:c>
      <x:c r="I3185" s="12" t="str">
        <x:v>Mixed business audience</x:v>
      </x:c>
      <x:c r="J3185" s="12" t="str">
        <x:v>IT &amp; digital</x:v>
      </x:c>
      <x:c r="K3185" s="2" t="str">
        <x:v>PARTNER-M002</x:v>
      </x:c>
    </x:row>
    <x:row r="3186" ht="46" customHeight="1">
      <x:c r="A3186" s="2" t="str">
        <x:v>TEN-A9B3E7D54A8C</x:v>
      </x:c>
      <x:c r="B3186" s="12" t="str">
        <x:v>First advantage Global</x:v>
      </x:c>
      <x:c r="C3186" s="12" t="str">
        <x:v>CORP-0428</x:v>
      </x:c>
      <x:c r="D3186" s="12" t="str">
        <x:v>Bengaluru</x:v>
      </x:c>
      <x:c r="E3186" s="12" t="str">
        <x:v>International Tech Park (ITPB)</x:v>
      </x:c>
      <x:c r="F3186" s="12" t="str">
        <x:v>55 inch</x:v>
      </x:c>
      <x:c r="G3186" s="20" t="n">
        <x:v>1</x:v>
      </x:c>
      <x:c r="H3186" s="12" t="str">
        <x:v>Campus/portfolio roster; individual building occupancy unverified</x:v>
      </x:c>
      <x:c r="I3186" s="12" t="str">
        <x:v>Mixed business audience</x:v>
      </x:c>
      <x:c r="J3186" s="12" t="str">
        <x:v>Professional services</x:v>
      </x:c>
      <x:c r="K3186" s="2" t="str">
        <x:v>PARTNER-M002</x:v>
      </x:c>
    </x:row>
    <x:row r="3187" ht="46" customHeight="1">
      <x:c r="A3187" s="2" t="str">
        <x:v>TEN-AFB51487B347</x:v>
      </x:c>
      <x:c r="B3187" s="12" t="str">
        <x:v>Happy Visitor Esoutions</x:v>
      </x:c>
      <x:c r="C3187" s="12" t="str">
        <x:v>CORP-0428</x:v>
      </x:c>
      <x:c r="D3187" s="12" t="str">
        <x:v>Bengaluru</x:v>
      </x:c>
      <x:c r="E3187" s="12" t="str">
        <x:v>International Tech Park (ITPB)</x:v>
      </x:c>
      <x:c r="F3187" s="12" t="str">
        <x:v>55 inch</x:v>
      </x:c>
      <x:c r="G3187" s="20" t="n">
        <x:v>1</x:v>
      </x:c>
      <x:c r="H3187" s="12" t="str">
        <x:v>Campus/portfolio roster; individual building occupancy unverified</x:v>
      </x:c>
      <x:c r="I3187" s="12" t="str">
        <x:v>Mixed business audience</x:v>
      </x:c>
      <x:c r="J3187" s="12" t="str">
        <x:v>Unresolved</x:v>
      </x:c>
      <x:c r="K3187" s="2" t="str">
        <x:v>PARTNER-M002</x:v>
      </x:c>
    </x:row>
    <x:row r="3188" ht="46" customHeight="1">
      <x:c r="A3188" s="2" t="str">
        <x:v>TEN-B1E1798527DF</x:v>
      </x:c>
      <x:c r="B3188" s="12" t="str">
        <x:v>Carnation</x:v>
      </x:c>
      <x:c r="C3188" s="12" t="str">
        <x:v>CORP-0428</x:v>
      </x:c>
      <x:c r="D3188" s="12" t="str">
        <x:v>Bengaluru</x:v>
      </x:c>
      <x:c r="E3188" s="12" t="str">
        <x:v>International Tech Park (ITPB)</x:v>
      </x:c>
      <x:c r="F3188" s="12" t="str">
        <x:v>55 inch</x:v>
      </x:c>
      <x:c r="G3188" s="20" t="n">
        <x:v>1</x:v>
      </x:c>
      <x:c r="H3188" s="12" t="str">
        <x:v>Campus/portfolio roster; individual building occupancy unverified</x:v>
      </x:c>
      <x:c r="I3188" s="12" t="str">
        <x:v>Mixed business audience</x:v>
      </x:c>
      <x:c r="J3188" s="12" t="str">
        <x:v>Unresolved</x:v>
      </x:c>
      <x:c r="K3188" s="2" t="str">
        <x:v>PARTNER-M002</x:v>
      </x:c>
    </x:row>
    <x:row r="3189" ht="46" customHeight="1">
      <x:c r="A3189" s="2" t="str">
        <x:v>TEN-B431E151D906</x:v>
      </x:c>
      <x:c r="B3189" s="12" t="str">
        <x:v>Longhorns labs</x:v>
      </x:c>
      <x:c r="C3189" s="12" t="str">
        <x:v>CORP-0428</x:v>
      </x:c>
      <x:c r="D3189" s="12" t="str">
        <x:v>Bengaluru</x:v>
      </x:c>
      <x:c r="E3189" s="12" t="str">
        <x:v>International Tech Park (ITPB)</x:v>
      </x:c>
      <x:c r="F3189" s="12" t="str">
        <x:v>55 inch</x:v>
      </x:c>
      <x:c r="G3189" s="20" t="n">
        <x:v>1</x:v>
      </x:c>
      <x:c r="H3189" s="12" t="str">
        <x:v>Campus/portfolio roster; individual building occupancy unverified</x:v>
      </x:c>
      <x:c r="I3189" s="12" t="str">
        <x:v>Mixed business audience</x:v>
      </x:c>
      <x:c r="J3189" s="12" t="str">
        <x:v>Unresolved</x:v>
      </x:c>
      <x:c r="K3189" s="2" t="str">
        <x:v>PARTNER-M002</x:v>
      </x:c>
    </x:row>
    <x:row r="3190" ht="46" customHeight="1">
      <x:c r="A3190" s="2" t="str">
        <x:v>TEN-B73878E16AE9</x:v>
      </x:c>
      <x:c r="B3190" s="12" t="str">
        <x:v>Truspeq</x:v>
      </x:c>
      <x:c r="C3190" s="12" t="str">
        <x:v>CORP-0428</x:v>
      </x:c>
      <x:c r="D3190" s="12" t="str">
        <x:v>Bengaluru</x:v>
      </x:c>
      <x:c r="E3190" s="12" t="str">
        <x:v>International Tech Park (ITPB)</x:v>
      </x:c>
      <x:c r="F3190" s="12" t="str">
        <x:v>55 inch</x:v>
      </x:c>
      <x:c r="G3190" s="20" t="n">
        <x:v>1</x:v>
      </x:c>
      <x:c r="H3190" s="12" t="str">
        <x:v>Campus/portfolio roster; individual building occupancy unverified</x:v>
      </x:c>
      <x:c r="I3190" s="12" t="str">
        <x:v>Small-scale prospects</x:v>
      </x:c>
      <x:c r="J3190" s="12" t="str">
        <x:v>IT &amp; digital</x:v>
      </x:c>
      <x:c r="K3190" s="2" t="str">
        <x:v>PARTNER-M002</x:v>
      </x:c>
    </x:row>
    <x:row r="3191" ht="46" customHeight="1">
      <x:c r="A3191" s="2" t="str">
        <x:v>TEN-B73A39ADECC4</x:v>
      </x:c>
      <x:c r="B3191" s="12" t="str">
        <x:v>ATOS IT</x:v>
      </x:c>
      <x:c r="C3191" s="12" t="str">
        <x:v>CORP-0428</x:v>
      </x:c>
      <x:c r="D3191" s="12" t="str">
        <x:v>Bengaluru</x:v>
      </x:c>
      <x:c r="E3191" s="12" t="str">
        <x:v>International Tech Park (ITPB)</x:v>
      </x:c>
      <x:c r="F3191" s="12" t="str">
        <x:v>55 inch</x:v>
      </x:c>
      <x:c r="G3191" s="20" t="n">
        <x:v>1</x:v>
      </x:c>
      <x:c r="H3191" s="12" t="str">
        <x:v>Campus/portfolio roster; individual building occupancy unverified</x:v>
      </x:c>
      <x:c r="I3191" s="12" t="str">
        <x:v>Large enterprise</x:v>
      </x:c>
      <x:c r="J3191" s="12" t="str">
        <x:v>IT &amp; digital</x:v>
      </x:c>
      <x:c r="K3191" s="2" t="str">
        <x:v>PARTNER-M002</x:v>
      </x:c>
    </x:row>
    <x:row r="3192" ht="46" customHeight="1">
      <x:c r="A3192" s="2" t="str">
        <x:v>TEN-B9223DF94855</x:v>
      </x:c>
      <x:c r="B3192" s="12" t="str">
        <x:v>ECI Telecom</x:v>
      </x:c>
      <x:c r="C3192" s="12" t="str">
        <x:v>CORP-0428</x:v>
      </x:c>
      <x:c r="D3192" s="12" t="str">
        <x:v>Bengaluru</x:v>
      </x:c>
      <x:c r="E3192" s="12" t="str">
        <x:v>International Tech Park (ITPB)</x:v>
      </x:c>
      <x:c r="F3192" s="12" t="str">
        <x:v>55 inch</x:v>
      </x:c>
      <x:c r="G3192" s="20" t="n">
        <x:v>1</x:v>
      </x:c>
      <x:c r="H3192" s="12" t="str">
        <x:v>Campus/portfolio roster; individual building occupancy unverified</x:v>
      </x:c>
      <x:c r="I3192" s="12" t="str">
        <x:v>Mixed business audience</x:v>
      </x:c>
      <x:c r="J3192" s="12" t="str">
        <x:v>IT &amp; digital</x:v>
      </x:c>
      <x:c r="K3192" s="2" t="str">
        <x:v>PARTNER-M002</x:v>
      </x:c>
    </x:row>
    <x:row r="3193" ht="46" customHeight="1">
      <x:c r="A3193" s="2" t="str">
        <x:v>TEN-BDA4D17476FE</x:v>
      </x:c>
      <x:c r="B3193" s="12" t="str">
        <x:v>Cognisure</x:v>
      </x:c>
      <x:c r="C3193" s="12" t="str">
        <x:v>CORP-0428</x:v>
      </x:c>
      <x:c r="D3193" s="12" t="str">
        <x:v>Bengaluru</x:v>
      </x:c>
      <x:c r="E3193" s="12" t="str">
        <x:v>International Tech Park (ITPB)</x:v>
      </x:c>
      <x:c r="F3193" s="12" t="str">
        <x:v>55 inch</x:v>
      </x:c>
      <x:c r="G3193" s="20" t="n">
        <x:v>1</x:v>
      </x:c>
      <x:c r="H3193" s="12" t="str">
        <x:v>Campus/portfolio roster; individual building occupancy unverified</x:v>
      </x:c>
      <x:c r="I3193" s="12" t="str">
        <x:v>Small-scale prospects</x:v>
      </x:c>
      <x:c r="J3193" s="12" t="str">
        <x:v>IT &amp; digital</x:v>
      </x:c>
      <x:c r="K3193" s="2" t="str">
        <x:v>PARTNER-M002</x:v>
      </x:c>
    </x:row>
    <x:row r="3194" ht="46" customHeight="1">
      <x:c r="A3194" s="2" t="str">
        <x:v>TEN-BE234565AEEE</x:v>
      </x:c>
      <x:c r="B3194" s="12" t="str">
        <x:v>Incred Financial</x:v>
      </x:c>
      <x:c r="C3194" s="12" t="str">
        <x:v>CORP-0428</x:v>
      </x:c>
      <x:c r="D3194" s="12" t="str">
        <x:v>Bengaluru</x:v>
      </x:c>
      <x:c r="E3194" s="12" t="str">
        <x:v>International Tech Park (ITPB)</x:v>
      </x:c>
      <x:c r="F3194" s="12" t="str">
        <x:v>55 inch</x:v>
      </x:c>
      <x:c r="G3194" s="20" t="n">
        <x:v>1</x:v>
      </x:c>
      <x:c r="H3194" s="12" t="str">
        <x:v>Campus/portfolio roster; individual building occupancy unverified</x:v>
      </x:c>
      <x:c r="I3194" s="12" t="str">
        <x:v>Mixed business audience</x:v>
      </x:c>
      <x:c r="J3194" s="12" t="str">
        <x:v>Finance &amp; insurance</x:v>
      </x:c>
      <x:c r="K3194" s="2" t="str">
        <x:v>PARTNER-M002</x:v>
      </x:c>
    </x:row>
    <x:row r="3195" ht="46" customHeight="1">
      <x:c r="A3195" s="2" t="str">
        <x:v>TEN-BFE647B51B50</x:v>
      </x:c>
      <x:c r="B3195" s="12" t="str">
        <x:v>V4U</x:v>
      </x:c>
      <x:c r="C3195" s="12" t="str">
        <x:v>CORP-0428</x:v>
      </x:c>
      <x:c r="D3195" s="12" t="str">
        <x:v>Bengaluru</x:v>
      </x:c>
      <x:c r="E3195" s="12" t="str">
        <x:v>International Tech Park (ITPB)</x:v>
      </x:c>
      <x:c r="F3195" s="12" t="str">
        <x:v>55 inch</x:v>
      </x:c>
      <x:c r="G3195" s="20" t="n">
        <x:v>1</x:v>
      </x:c>
      <x:c r="H3195" s="12" t="str">
        <x:v>Campus/portfolio roster; individual building occupancy unverified</x:v>
      </x:c>
      <x:c r="I3195" s="12" t="str">
        <x:v>Mixed business audience</x:v>
      </x:c>
      <x:c r="J3195" s="12" t="str">
        <x:v>Unresolved</x:v>
      </x:c>
      <x:c r="K3195" s="2" t="str">
        <x:v>PARTNER-M002</x:v>
      </x:c>
    </x:row>
    <x:row r="3196" ht="46" customHeight="1">
      <x:c r="A3196" s="2" t="str">
        <x:v>TEN-C27FF66117D5</x:v>
      </x:c>
      <x:c r="B3196" s="12" t="str">
        <x:v>Index Lithigraphy</x:v>
      </x:c>
      <x:c r="C3196" s="12" t="str">
        <x:v>CORP-0428</x:v>
      </x:c>
      <x:c r="D3196" s="12" t="str">
        <x:v>Bengaluru</x:v>
      </x:c>
      <x:c r="E3196" s="12" t="str">
        <x:v>International Tech Park (ITPB)</x:v>
      </x:c>
      <x:c r="F3196" s="12" t="str">
        <x:v>55 inch</x:v>
      </x:c>
      <x:c r="G3196" s="20" t="n">
        <x:v>1</x:v>
      </x:c>
      <x:c r="H3196" s="12" t="str">
        <x:v>Campus/portfolio roster; individual building occupancy unverified</x:v>
      </x:c>
      <x:c r="I3196" s="12" t="str">
        <x:v>Medium-scale prospects</x:v>
      </x:c>
      <x:c r="J3196" s="12" t="str">
        <x:v>Engineering &amp; manufacturing</x:v>
      </x:c>
      <x:c r="K3196" s="2" t="str">
        <x:v>PARTNER-M002</x:v>
      </x:c>
    </x:row>
    <x:row r="3197" ht="46" customHeight="1">
      <x:c r="A3197" s="2" t="str">
        <x:v>TEN-CC2C556FA10A</x:v>
      </x:c>
      <x:c r="B3197" s="12" t="str">
        <x:v>Kingslake</x:v>
      </x:c>
      <x:c r="C3197" s="12" t="str">
        <x:v>CORP-0428</x:v>
      </x:c>
      <x:c r="D3197" s="12" t="str">
        <x:v>Bengaluru</x:v>
      </x:c>
      <x:c r="E3197" s="12" t="str">
        <x:v>International Tech Park (ITPB)</x:v>
      </x:c>
      <x:c r="F3197" s="12" t="str">
        <x:v>55 inch</x:v>
      </x:c>
      <x:c r="G3197" s="20" t="n">
        <x:v>1</x:v>
      </x:c>
      <x:c r="H3197" s="12" t="str">
        <x:v>Campus/portfolio roster; individual building occupancy unverified</x:v>
      </x:c>
      <x:c r="I3197" s="12" t="str">
        <x:v>Mixed business audience</x:v>
      </x:c>
      <x:c r="J3197" s="12" t="str">
        <x:v>Unresolved</x:v>
      </x:c>
      <x:c r="K3197" s="2" t="str">
        <x:v>PARTNER-M002</x:v>
      </x:c>
    </x:row>
    <x:row r="3198" ht="46" customHeight="1">
      <x:c r="A3198" s="2" t="str">
        <x:v>TEN-CDDAE2627D47</x:v>
      </x:c>
      <x:c r="B3198" s="12" t="str">
        <x:v>Institute Bio informatis</x:v>
      </x:c>
      <x:c r="C3198" s="12" t="str">
        <x:v>CORP-0428</x:v>
      </x:c>
      <x:c r="D3198" s="12" t="str">
        <x:v>Bengaluru</x:v>
      </x:c>
      <x:c r="E3198" s="12" t="str">
        <x:v>International Tech Park (ITPB)</x:v>
      </x:c>
      <x:c r="F3198" s="12" t="str">
        <x:v>55 inch</x:v>
      </x:c>
      <x:c r="G3198" s="20" t="n">
        <x:v>1</x:v>
      </x:c>
      <x:c r="H3198" s="12" t="str">
        <x:v>Campus/portfolio roster; individual building occupancy unverified</x:v>
      </x:c>
      <x:c r="I3198" s="12" t="str">
        <x:v>Small-scale prospects</x:v>
      </x:c>
      <x:c r="J3198" s="12" t="str">
        <x:v>Education</x:v>
      </x:c>
      <x:c r="K3198" s="2" t="str">
        <x:v>PARTNER-M002</x:v>
      </x:c>
    </x:row>
    <x:row r="3199" ht="46" customHeight="1">
      <x:c r="A3199" s="2" t="str">
        <x:v>TEN-D04CE1F77A17</x:v>
      </x:c>
      <x:c r="B3199" s="12" t="str">
        <x:v>Fiorano</x:v>
      </x:c>
      <x:c r="C3199" s="12" t="str">
        <x:v>CORP-0428</x:v>
      </x:c>
      <x:c r="D3199" s="12" t="str">
        <x:v>Bengaluru</x:v>
      </x:c>
      <x:c r="E3199" s="12" t="str">
        <x:v>International Tech Park (ITPB)</x:v>
      </x:c>
      <x:c r="F3199" s="12" t="str">
        <x:v>55 inch</x:v>
      </x:c>
      <x:c r="G3199" s="20" t="n">
        <x:v>1</x:v>
      </x:c>
      <x:c r="H3199" s="12" t="str">
        <x:v>Campus/portfolio roster; individual building occupancy unverified</x:v>
      </x:c>
      <x:c r="I3199" s="12" t="str">
        <x:v>Small-scale prospects</x:v>
      </x:c>
      <x:c r="J3199" s="12" t="str">
        <x:v>IT &amp; digital</x:v>
      </x:c>
      <x:c r="K3199" s="2" t="str">
        <x:v>PARTNER-M002</x:v>
      </x:c>
    </x:row>
    <x:row r="3200" ht="46" customHeight="1">
      <x:c r="A3200" s="2" t="str">
        <x:v>TEN-D1C7C99C6E2E</x:v>
      </x:c>
      <x:c r="B3200" s="12" t="str">
        <x:v>Tata</x:v>
      </x:c>
      <x:c r="C3200" s="12" t="str">
        <x:v>CORP-0428</x:v>
      </x:c>
      <x:c r="D3200" s="12" t="str">
        <x:v>Bengaluru</x:v>
      </x:c>
      <x:c r="E3200" s="12" t="str">
        <x:v>International Tech Park (ITPB)</x:v>
      </x:c>
      <x:c r="F3200" s="12" t="str">
        <x:v>55 inch</x:v>
      </x:c>
      <x:c r="G3200" s="20" t="n">
        <x:v>1</x:v>
      </x:c>
      <x:c r="H3200" s="12" t="str">
        <x:v>Campus/portfolio roster; individual building occupancy unverified</x:v>
      </x:c>
      <x:c r="I3200" s="12" t="str">
        <x:v>Large enterprise</x:v>
      </x:c>
      <x:c r="J3200" s="12" t="str">
        <x:v>Unresolved</x:v>
      </x:c>
      <x:c r="K3200" s="2" t="str">
        <x:v>PARTNER-M002</x:v>
      </x:c>
    </x:row>
    <x:row r="3201" ht="46" customHeight="1">
      <x:c r="A3201" s="2" t="str">
        <x:v>TEN-D2E269F83158</x:v>
      </x:c>
      <x:c r="B3201" s="12" t="str">
        <x:v>MBB Labs</x:v>
      </x:c>
      <x:c r="C3201" s="12" t="str">
        <x:v>CORP-0428</x:v>
      </x:c>
      <x:c r="D3201" s="12" t="str">
        <x:v>Bengaluru</x:v>
      </x:c>
      <x:c r="E3201" s="12" t="str">
        <x:v>International Tech Park (ITPB)</x:v>
      </x:c>
      <x:c r="F3201" s="12" t="str">
        <x:v>55 inch</x:v>
      </x:c>
      <x:c r="G3201" s="20" t="n">
        <x:v>1</x:v>
      </x:c>
      <x:c r="H3201" s="12" t="str">
        <x:v>Campus/portfolio roster; individual building occupancy unverified</x:v>
      </x:c>
      <x:c r="I3201" s="12" t="str">
        <x:v>Mixed business audience</x:v>
      </x:c>
      <x:c r="J3201" s="12" t="str">
        <x:v>Unresolved</x:v>
      </x:c>
      <x:c r="K3201" s="2" t="str">
        <x:v>PARTNER-M002</x:v>
      </x:c>
    </x:row>
    <x:row r="3202" ht="46" customHeight="1">
      <x:c r="A3202" s="2" t="str">
        <x:v>TEN-D72EAD2E3D44</x:v>
      </x:c>
      <x:c r="B3202" s="12" t="str">
        <x:v>Tech Mahindra</x:v>
      </x:c>
      <x:c r="C3202" s="12" t="str">
        <x:v>CORP-0428</x:v>
      </x:c>
      <x:c r="D3202" s="12" t="str">
        <x:v>Bengaluru</x:v>
      </x:c>
      <x:c r="E3202" s="12" t="str">
        <x:v>International Tech Park (ITPB)</x:v>
      </x:c>
      <x:c r="F3202" s="12" t="str">
        <x:v>55 inch</x:v>
      </x:c>
      <x:c r="G3202" s="20" t="n">
        <x:v>1</x:v>
      </x:c>
      <x:c r="H3202" s="12" t="str">
        <x:v>Campus/portfolio roster; individual building occupancy unverified</x:v>
      </x:c>
      <x:c r="I3202" s="12" t="str">
        <x:v>Large enterprise</x:v>
      </x:c>
      <x:c r="J3202" s="12" t="str">
        <x:v>IT &amp; digital</x:v>
      </x:c>
      <x:c r="K3202" s="2" t="str">
        <x:v>PARTNER-M002</x:v>
      </x:c>
    </x:row>
    <x:row r="3203" ht="46" customHeight="1">
      <x:c r="A3203" s="2" t="str">
        <x:v>TEN-D817CF92B660</x:v>
      </x:c>
      <x:c r="B3203" s="12" t="str">
        <x:v>Innoactive</x:v>
      </x:c>
      <x:c r="C3203" s="12" t="str">
        <x:v>CORP-0428</x:v>
      </x:c>
      <x:c r="D3203" s="12" t="str">
        <x:v>Bengaluru</x:v>
      </x:c>
      <x:c r="E3203" s="12" t="str">
        <x:v>International Tech Park (ITPB)</x:v>
      </x:c>
      <x:c r="F3203" s="12" t="str">
        <x:v>55 inch</x:v>
      </x:c>
      <x:c r="G3203" s="20" t="n">
        <x:v>1</x:v>
      </x:c>
      <x:c r="H3203" s="12" t="str">
        <x:v>Campus/portfolio roster; individual building occupancy unverified</x:v>
      </x:c>
      <x:c r="I3203" s="12" t="str">
        <x:v>Mixed business audience</x:v>
      </x:c>
      <x:c r="J3203" s="12" t="str">
        <x:v>Unresolved</x:v>
      </x:c>
      <x:c r="K3203" s="2" t="str">
        <x:v>PARTNER-M002</x:v>
      </x:c>
    </x:row>
    <x:row r="3204" ht="46" customHeight="1">
      <x:c r="A3204" s="2" t="str">
        <x:v>TEN-D820F7EB8DD2</x:v>
      </x:c>
      <x:c r="B3204" s="12" t="str">
        <x:v>Hireright</x:v>
      </x:c>
      <x:c r="C3204" s="12" t="str">
        <x:v>CORP-0428</x:v>
      </x:c>
      <x:c r="D3204" s="12" t="str">
        <x:v>Bengaluru</x:v>
      </x:c>
      <x:c r="E3204" s="12" t="str">
        <x:v>International Tech Park (ITPB)</x:v>
      </x:c>
      <x:c r="F3204" s="12" t="str">
        <x:v>55 inch</x:v>
      </x:c>
      <x:c r="G3204" s="20" t="n">
        <x:v>1</x:v>
      </x:c>
      <x:c r="H3204" s="12" t="str">
        <x:v>Campus/portfolio roster; individual building occupancy unverified</x:v>
      </x:c>
      <x:c r="I3204" s="12" t="str">
        <x:v>Mixed business audience</x:v>
      </x:c>
      <x:c r="J3204" s="12" t="str">
        <x:v>Professional services</x:v>
      </x:c>
      <x:c r="K3204" s="2" t="str">
        <x:v>PARTNER-M002</x:v>
      </x:c>
    </x:row>
    <x:row r="3205" ht="46" customHeight="1">
      <x:c r="A3205" s="2" t="str">
        <x:v>TEN-D886B2C883A6</x:v>
      </x:c>
      <x:c r="B3205" s="12" t="str">
        <x:v>Citi Bank</x:v>
      </x:c>
      <x:c r="C3205" s="12" t="str">
        <x:v>CORP-0428</x:v>
      </x:c>
      <x:c r="D3205" s="12" t="str">
        <x:v>Bengaluru</x:v>
      </x:c>
      <x:c r="E3205" s="12" t="str">
        <x:v>International Tech Park (ITPB)</x:v>
      </x:c>
      <x:c r="F3205" s="12" t="str">
        <x:v>55 inch</x:v>
      </x:c>
      <x:c r="G3205" s="20" t="n">
        <x:v>1</x:v>
      </x:c>
      <x:c r="H3205" s="12" t="str">
        <x:v>Campus/portfolio roster; individual building occupancy unverified</x:v>
      </x:c>
      <x:c r="I3205" s="12" t="str">
        <x:v>Large enterprise</x:v>
      </x:c>
      <x:c r="J3205" s="12" t="str">
        <x:v>Finance &amp; insurance</x:v>
      </x:c>
      <x:c r="K3205" s="2" t="str">
        <x:v>PARTNER-M002</x:v>
      </x:c>
    </x:row>
    <x:row r="3206" ht="46" customHeight="1">
      <x:c r="A3206" s="2" t="str">
        <x:v>TEN-DA7A5218187E</x:v>
      </x:c>
      <x:c r="B3206" s="12" t="str">
        <x:v>Certes</x:v>
      </x:c>
      <x:c r="C3206" s="12" t="str">
        <x:v>CORP-0428</x:v>
      </x:c>
      <x:c r="D3206" s="12" t="str">
        <x:v>Bengaluru</x:v>
      </x:c>
      <x:c r="E3206" s="12" t="str">
        <x:v>International Tech Park (ITPB)</x:v>
      </x:c>
      <x:c r="F3206" s="12" t="str">
        <x:v>55 inch</x:v>
      </x:c>
      <x:c r="G3206" s="20" t="n">
        <x:v>1</x:v>
      </x:c>
      <x:c r="H3206" s="12" t="str">
        <x:v>Campus/portfolio roster; individual building occupancy unverified</x:v>
      </x:c>
      <x:c r="I3206" s="12" t="str">
        <x:v>Mixed business audience</x:v>
      </x:c>
      <x:c r="J3206" s="12" t="str">
        <x:v>Unresolved</x:v>
      </x:c>
      <x:c r="K3206" s="2" t="str">
        <x:v>PARTNER-M002</x:v>
      </x:c>
    </x:row>
    <x:row r="3207" ht="46" customHeight="1">
      <x:c r="A3207" s="2" t="str">
        <x:v>TEN-E1F279A6A033</x:v>
      </x:c>
      <x:c r="B3207" s="12" t="str">
        <x:v>Applied Materials</x:v>
      </x:c>
      <x:c r="C3207" s="12" t="str">
        <x:v>CORP-0428</x:v>
      </x:c>
      <x:c r="D3207" s="12" t="str">
        <x:v>Bengaluru</x:v>
      </x:c>
      <x:c r="E3207" s="12" t="str">
        <x:v>International Tech Park (ITPB)</x:v>
      </x:c>
      <x:c r="F3207" s="12" t="str">
        <x:v>55 inch</x:v>
      </x:c>
      <x:c r="G3207" s="20" t="n">
        <x:v>1</x:v>
      </x:c>
      <x:c r="H3207" s="12" t="str">
        <x:v>Campus/portfolio roster; individual building occupancy unverified</x:v>
      </x:c>
      <x:c r="I3207" s="12" t="str">
        <x:v>Mixed business audience</x:v>
      </x:c>
      <x:c r="J3207" s="12" t="str">
        <x:v>Engineering &amp; manufacturing</x:v>
      </x:c>
      <x:c r="K3207" s="2" t="str">
        <x:v>PARTNER-M002</x:v>
      </x:c>
    </x:row>
    <x:row r="3208" ht="46" customHeight="1">
      <x:c r="A3208" s="2" t="str">
        <x:v>TEN-EA30894BD53C</x:v>
      </x:c>
      <x:c r="B3208" s="12" t="str">
        <x:v>Alcatel-Lucent</x:v>
      </x:c>
      <x:c r="C3208" s="12" t="str">
        <x:v>CORP-0428</x:v>
      </x:c>
      <x:c r="D3208" s="12" t="str">
        <x:v>Bengaluru</x:v>
      </x:c>
      <x:c r="E3208" s="12" t="str">
        <x:v>International Tech Park (ITPB)</x:v>
      </x:c>
      <x:c r="F3208" s="12" t="str">
        <x:v>55 inch</x:v>
      </x:c>
      <x:c r="G3208" s="20" t="n">
        <x:v>1</x:v>
      </x:c>
      <x:c r="H3208" s="12" t="str">
        <x:v>Campus/portfolio roster; individual building occupancy unverified</x:v>
      </x:c>
      <x:c r="I3208" s="12" t="str">
        <x:v>Mixed business audience</x:v>
      </x:c>
      <x:c r="J3208" s="12" t="str">
        <x:v>IT &amp; digital</x:v>
      </x:c>
      <x:c r="K3208" s="2" t="str">
        <x:v>PARTNER-M002</x:v>
      </x:c>
    </x:row>
    <x:row r="3209" ht="46" customHeight="1">
      <x:c r="A3209" s="2" t="str">
        <x:v>TEN-EB2197E38208</x:v>
      </x:c>
      <x:c r="B3209" s="12" t="str">
        <x:v>Sycomp Technologies</x:v>
      </x:c>
      <x:c r="C3209" s="12" t="str">
        <x:v>CORP-0428</x:v>
      </x:c>
      <x:c r="D3209" s="12" t="str">
        <x:v>Bengaluru</x:v>
      </x:c>
      <x:c r="E3209" s="12" t="str">
        <x:v>International Tech Park (ITPB)</x:v>
      </x:c>
      <x:c r="F3209" s="12" t="str">
        <x:v>55 inch</x:v>
      </x:c>
      <x:c r="G3209" s="20" t="n">
        <x:v>1</x:v>
      </x:c>
      <x:c r="H3209" s="12" t="str">
        <x:v>Campus/portfolio roster; individual building occupancy unverified</x:v>
      </x:c>
      <x:c r="I3209" s="12" t="str">
        <x:v>Small-scale prospects</x:v>
      </x:c>
      <x:c r="J3209" s="12" t="str">
        <x:v>IT &amp; digital</x:v>
      </x:c>
      <x:c r="K3209" s="2" t="str">
        <x:v>PARTNER-M002</x:v>
      </x:c>
    </x:row>
    <x:row r="3210" ht="46" customHeight="1">
      <x:c r="A3210" s="2" t="str">
        <x:v>TEN-F4FDCAC4C72C</x:v>
      </x:c>
      <x:c r="B3210" s="12" t="str">
        <x:v>Mindsprint</x:v>
      </x:c>
      <x:c r="C3210" s="12" t="str">
        <x:v>CORP-0428</x:v>
      </x:c>
      <x:c r="D3210" s="12" t="str">
        <x:v>Bengaluru</x:v>
      </x:c>
      <x:c r="E3210" s="12" t="str">
        <x:v>International Tech Park (ITPB)</x:v>
      </x:c>
      <x:c r="F3210" s="12" t="str">
        <x:v>55 inch</x:v>
      </x:c>
      <x:c r="G3210" s="20" t="n">
        <x:v>1</x:v>
      </x:c>
      <x:c r="H3210" s="12" t="str">
        <x:v>Campus/portfolio roster; individual building occupancy unverified</x:v>
      </x:c>
      <x:c r="I3210" s="12" t="str">
        <x:v>Mixed business audience</x:v>
      </x:c>
      <x:c r="J3210" s="12" t="str">
        <x:v>IT &amp; digital</x:v>
      </x:c>
      <x:c r="K3210" s="2" t="str">
        <x:v>PARTNER-M002</x:v>
      </x:c>
    </x:row>
    <x:row r="3211" ht="46" customHeight="1">
      <x:c r="A3211" s="2" t="str">
        <x:v>TEN-16F45B99ABFD</x:v>
      </x:c>
      <x:c r="B3211" s="12" t="str">
        <x:v>Boeing</x:v>
      </x:c>
      <x:c r="C3211" s="12" t="str">
        <x:v>CORP-0545</x:v>
      </x:c>
      <x:c r="D3211" s="12" t="str">
        <x:v>Bengaluru</x:v>
      </x:c>
      <x:c r="E3211" s="12" t="str">
        <x:v>Bagmane World Technology Centre</x:v>
      </x:c>
      <x:c r="F3211" s="12" t="str">
        <x:v>55 inch</x:v>
      </x:c>
      <x:c r="G3211" s="20" t="n">
        <x:v>1</x:v>
      </x:c>
      <x:c r="H3211" s="12" t="str">
        <x:v>Campus/portfolio roster; individual building occupancy unverified</x:v>
      </x:c>
      <x:c r="I3211" s="12" t="str">
        <x:v>Large enterprise</x:v>
      </x:c>
      <x:c r="J3211" s="12" t="str">
        <x:v>Engineering &amp; manufacturing</x:v>
      </x:c>
      <x:c r="K3211" s="2" t="str">
        <x:v>PARTNER-M120</x:v>
      </x:c>
    </x:row>
    <x:row r="3212" ht="46" customHeight="1">
      <x:c r="A3212" s="2" t="str">
        <x:v>TEN-20E8BE98ADE9</x:v>
      </x:c>
      <x:c r="B3212" s="12" t="str">
        <x:v>Abinbev</x:v>
      </x:c>
      <x:c r="C3212" s="12" t="str">
        <x:v>CORP-0545</x:v>
      </x:c>
      <x:c r="D3212" s="12" t="str">
        <x:v>Bengaluru</x:v>
      </x:c>
      <x:c r="E3212" s="12" t="str">
        <x:v>Bagmane World Technology Centre</x:v>
      </x:c>
      <x:c r="F3212" s="12" t="str">
        <x:v>55 inch</x:v>
      </x:c>
      <x:c r="G3212" s="20" t="n">
        <x:v>1</x:v>
      </x:c>
      <x:c r="H3212" s="12" t="str">
        <x:v>Campus/portfolio roster; individual building occupancy unverified</x:v>
      </x:c>
      <x:c r="I3212" s="12" t="str">
        <x:v>Mixed business audience</x:v>
      </x:c>
      <x:c r="J3212" s="12" t="str">
        <x:v>Trade, consumer &amp; logistics</x:v>
      </x:c>
      <x:c r="K3212" s="2" t="str">
        <x:v>PARTNER-M120</x:v>
      </x:c>
    </x:row>
    <x:row r="3213" ht="46" customHeight="1">
      <x:c r="A3213" s="2" t="str">
        <x:v>TEN-2D844470A22E</x:v>
      </x:c>
      <x:c r="B3213" s="12" t="str">
        <x:v>Qsc</x:v>
      </x:c>
      <x:c r="C3213" s="12" t="str">
        <x:v>CORP-0545</x:v>
      </x:c>
      <x:c r="D3213" s="12" t="str">
        <x:v>Bengaluru</x:v>
      </x:c>
      <x:c r="E3213" s="12" t="str">
        <x:v>Bagmane World Technology Centre</x:v>
      </x:c>
      <x:c r="F3213" s="12" t="str">
        <x:v>55 inch</x:v>
      </x:c>
      <x:c r="G3213" s="20" t="n">
        <x:v>1</x:v>
      </x:c>
      <x:c r="H3213" s="12" t="str">
        <x:v>Campus/portfolio roster; individual building occupancy unverified</x:v>
      </x:c>
      <x:c r="I3213" s="12" t="str">
        <x:v>Mixed business audience</x:v>
      </x:c>
      <x:c r="J3213" s="12" t="str">
        <x:v>Unresolved</x:v>
      </x:c>
      <x:c r="K3213" s="2" t="str">
        <x:v>PARTNER-M120</x:v>
      </x:c>
    </x:row>
    <x:row r="3214" ht="46" customHeight="1">
      <x:c r="A3214" s="2" t="str">
        <x:v>TEN-35E87826D332</x:v>
      </x:c>
      <x:c r="B3214" s="12" t="str">
        <x:v>sifive</x:v>
      </x:c>
      <x:c r="C3214" s="12" t="str">
        <x:v>CORP-0545</x:v>
      </x:c>
      <x:c r="D3214" s="12" t="str">
        <x:v>Bengaluru</x:v>
      </x:c>
      <x:c r="E3214" s="12" t="str">
        <x:v>Bagmane World Technology Centre</x:v>
      </x:c>
      <x:c r="F3214" s="12" t="str">
        <x:v>55 inch</x:v>
      </x:c>
      <x:c r="G3214" s="20" t="n">
        <x:v>1</x:v>
      </x:c>
      <x:c r="H3214" s="12" t="str">
        <x:v>Campus/portfolio roster; individual building occupancy unverified</x:v>
      </x:c>
      <x:c r="I3214" s="12" t="str">
        <x:v>Mixed business audience</x:v>
      </x:c>
      <x:c r="J3214" s="12" t="str">
        <x:v>Engineering &amp; manufacturing</x:v>
      </x:c>
      <x:c r="K3214" s="2" t="str">
        <x:v>PARTNER-M120</x:v>
      </x:c>
    </x:row>
    <x:row r="3215" ht="46" customHeight="1">
      <x:c r="A3215" s="2" t="str">
        <x:v>TEN-4C5029DA39B5</x:v>
      </x:c>
      <x:c r="B3215" s="12" t="str">
        <x:v>Mediakind</x:v>
      </x:c>
      <x:c r="C3215" s="12" t="str">
        <x:v>CORP-0545</x:v>
      </x:c>
      <x:c r="D3215" s="12" t="str">
        <x:v>Bengaluru</x:v>
      </x:c>
      <x:c r="E3215" s="12" t="str">
        <x:v>Bagmane World Technology Centre</x:v>
      </x:c>
      <x:c r="F3215" s="12" t="str">
        <x:v>55 inch</x:v>
      </x:c>
      <x:c r="G3215" s="20" t="n">
        <x:v>1</x:v>
      </x:c>
      <x:c r="H3215" s="12" t="str">
        <x:v>Campus/portfolio roster; individual building occupancy unverified</x:v>
      </x:c>
      <x:c r="I3215" s="12" t="str">
        <x:v>Mixed business audience</x:v>
      </x:c>
      <x:c r="J3215" s="12" t="str">
        <x:v>Trade, consumer &amp; logistics</x:v>
      </x:c>
      <x:c r="K3215" s="2" t="str">
        <x:v>PARTNER-M120</x:v>
      </x:c>
    </x:row>
    <x:row r="3216" ht="46" customHeight="1">
      <x:c r="A3216" s="2" t="str">
        <x:v>TEN-4D748EBD71AF</x:v>
      </x:c>
      <x:c r="B3216" s="12" t="str">
        <x:v>Accenture</x:v>
      </x:c>
      <x:c r="C3216" s="12" t="str">
        <x:v>CORP-0545</x:v>
      </x:c>
      <x:c r="D3216" s="12" t="str">
        <x:v>Bengaluru</x:v>
      </x:c>
      <x:c r="E3216" s="12" t="str">
        <x:v>Bagmane World Technology Centre</x:v>
      </x:c>
      <x:c r="F3216" s="12" t="str">
        <x:v>55 inch</x:v>
      </x:c>
      <x:c r="G3216" s="20" t="n">
        <x:v>1</x:v>
      </x:c>
      <x:c r="H3216" s="12" t="str">
        <x:v>Campus/portfolio roster; individual building occupancy unverified</x:v>
      </x:c>
      <x:c r="I3216" s="12" t="str">
        <x:v>Large enterprise</x:v>
      </x:c>
      <x:c r="J3216" s="12" t="str">
        <x:v>IT &amp; digital</x:v>
      </x:c>
      <x:c r="K3216" s="2" t="str">
        <x:v>PARTNER-M120</x:v>
      </x:c>
    </x:row>
    <x:row r="3217" ht="46" customHeight="1">
      <x:c r="A3217" s="2" t="str">
        <x:v>TEN-65F96528B346</x:v>
      </x:c>
      <x:c r="B3217" s="12" t="str">
        <x:v>Iron Mountain</x:v>
      </x:c>
      <x:c r="C3217" s="12" t="str">
        <x:v>CORP-0545</x:v>
      </x:c>
      <x:c r="D3217" s="12" t="str">
        <x:v>Bengaluru</x:v>
      </x:c>
      <x:c r="E3217" s="12" t="str">
        <x:v>Bagmane World Technology Centre</x:v>
      </x:c>
      <x:c r="F3217" s="12" t="str">
        <x:v>55 inch</x:v>
      </x:c>
      <x:c r="G3217" s="20" t="n">
        <x:v>1</x:v>
      </x:c>
      <x:c r="H3217" s="12" t="str">
        <x:v>Campus/portfolio roster; individual building occupancy unverified</x:v>
      </x:c>
      <x:c r="I3217" s="12" t="str">
        <x:v>Large enterprise</x:v>
      </x:c>
      <x:c r="J3217" s="12" t="str">
        <x:v>Trade, consumer &amp; logistics</x:v>
      </x:c>
      <x:c r="K3217" s="2" t="str">
        <x:v>PARTNER-M120</x:v>
      </x:c>
    </x:row>
    <x:row r="3218" ht="46" customHeight="1">
      <x:c r="A3218" s="2" t="str">
        <x:v>TEN-69A068939DEA</x:v>
      </x:c>
      <x:c r="B3218" s="12" t="str">
        <x:v>Ernst and Young</x:v>
      </x:c>
      <x:c r="C3218" s="12" t="str">
        <x:v>CORP-0545</x:v>
      </x:c>
      <x:c r="D3218" s="12" t="str">
        <x:v>Bengaluru</x:v>
      </x:c>
      <x:c r="E3218" s="12" t="str">
        <x:v>Bagmane World Technology Centre</x:v>
      </x:c>
      <x:c r="F3218" s="12" t="str">
        <x:v>55 inch</x:v>
      </x:c>
      <x:c r="G3218" s="20" t="n">
        <x:v>1</x:v>
      </x:c>
      <x:c r="H3218" s="12" t="str">
        <x:v>Campus/portfolio roster; individual building occupancy unverified</x:v>
      </x:c>
      <x:c r="I3218" s="12" t="str">
        <x:v>Large enterprise</x:v>
      </x:c>
      <x:c r="J3218" s="12" t="str">
        <x:v>Professional services</x:v>
      </x:c>
      <x:c r="K3218" s="2" t="str">
        <x:v>PARTNER-M120</x:v>
      </x:c>
    </x:row>
    <x:row r="3219" ht="46" customHeight="1">
      <x:c r="A3219" s="2" t="str">
        <x:v>TEN-719F53D2AD92</x:v>
      </x:c>
      <x:c r="B3219" s="12" t="str">
        <x:v>EMC- Dell</x:v>
      </x:c>
      <x:c r="C3219" s="12" t="str">
        <x:v>CORP-0545</x:v>
      </x:c>
      <x:c r="D3219" s="12" t="str">
        <x:v>Bengaluru</x:v>
      </x:c>
      <x:c r="E3219" s="12" t="str">
        <x:v>Bagmane World Technology Centre</x:v>
      </x:c>
      <x:c r="F3219" s="12" t="str">
        <x:v>55 inch</x:v>
      </x:c>
      <x:c r="G3219" s="20" t="n">
        <x:v>1</x:v>
      </x:c>
      <x:c r="H3219" s="12" t="str">
        <x:v>Campus/portfolio roster; individual building occupancy unverified</x:v>
      </x:c>
      <x:c r="I3219" s="12" t="str">
        <x:v>Mixed business audience</x:v>
      </x:c>
      <x:c r="J3219" s="12" t="str">
        <x:v>IT &amp; digital</x:v>
      </x:c>
      <x:c r="K3219" s="2" t="str">
        <x:v>PARTNER-M120</x:v>
      </x:c>
    </x:row>
    <x:row r="3220" ht="46" customHeight="1">
      <x:c r="A3220" s="2" t="str">
        <x:v>TEN-7CA58AD857DB</x:v>
      </x:c>
      <x:c r="B3220" s="12" t="str">
        <x:v>Zyeus</x:v>
      </x:c>
      <x:c r="C3220" s="12" t="str">
        <x:v>CORP-0545</x:v>
      </x:c>
      <x:c r="D3220" s="12" t="str">
        <x:v>Bengaluru</x:v>
      </x:c>
      <x:c r="E3220" s="12" t="str">
        <x:v>Bagmane World Technology Centre</x:v>
      </x:c>
      <x:c r="F3220" s="12" t="str">
        <x:v>55 inch</x:v>
      </x:c>
      <x:c r="G3220" s="20" t="n">
        <x:v>1</x:v>
      </x:c>
      <x:c r="H3220" s="12" t="str">
        <x:v>Campus/portfolio roster; individual building occupancy unverified</x:v>
      </x:c>
      <x:c r="I3220" s="12" t="str">
        <x:v>Mixed business audience</x:v>
      </x:c>
      <x:c r="J3220" s="12" t="str">
        <x:v>Unresolved</x:v>
      </x:c>
      <x:c r="K3220" s="2" t="str">
        <x:v>PARTNER-M120</x:v>
      </x:c>
    </x:row>
    <x:row r="3221" ht="46" customHeight="1">
      <x:c r="A3221" s="2" t="str">
        <x:v>TEN-8D4321D93632</x:v>
      </x:c>
      <x:c r="B3221" s="12" t="str">
        <x:v>Nvidia</x:v>
      </x:c>
      <x:c r="C3221" s="12" t="str">
        <x:v>CORP-0545</x:v>
      </x:c>
      <x:c r="D3221" s="12" t="str">
        <x:v>Bengaluru</x:v>
      </x:c>
      <x:c r="E3221" s="12" t="str">
        <x:v>Bagmane World Technology Centre</x:v>
      </x:c>
      <x:c r="F3221" s="12" t="str">
        <x:v>55 inch</x:v>
      </x:c>
      <x:c r="G3221" s="20" t="n">
        <x:v>1</x:v>
      </x:c>
      <x:c r="H3221" s="12" t="str">
        <x:v>Campus/portfolio roster; individual building occupancy unverified</x:v>
      </x:c>
      <x:c r="I3221" s="12" t="str">
        <x:v>Large enterprise</x:v>
      </x:c>
      <x:c r="J3221" s="12" t="str">
        <x:v>Engineering &amp; manufacturing</x:v>
      </x:c>
      <x:c r="K3221" s="2" t="str">
        <x:v>PARTNER-M120</x:v>
      </x:c>
    </x:row>
    <x:row r="3222" ht="46" customHeight="1">
      <x:c r="A3222" s="2" t="str">
        <x:v>TEN-968E2D5B0868</x:v>
      </x:c>
      <x:c r="B3222" s="12" t="str">
        <x:v>Samsung</x:v>
      </x:c>
      <x:c r="C3222" s="12" t="str">
        <x:v>CORP-0545</x:v>
      </x:c>
      <x:c r="D3222" s="12" t="str">
        <x:v>Bengaluru</x:v>
      </x:c>
      <x:c r="E3222" s="12" t="str">
        <x:v>Bagmane World Technology Centre</x:v>
      </x:c>
      <x:c r="F3222" s="12" t="str">
        <x:v>55 inch</x:v>
      </x:c>
      <x:c r="G3222" s="20" t="n">
        <x:v>1</x:v>
      </x:c>
      <x:c r="H3222" s="12" t="str">
        <x:v>Campus/portfolio roster; individual building occupancy unverified</x:v>
      </x:c>
      <x:c r="I3222" s="12" t="str">
        <x:v>Large enterprise</x:v>
      </x:c>
      <x:c r="J3222" s="12" t="str">
        <x:v>Engineering &amp; manufacturing</x:v>
      </x:c>
      <x:c r="K3222" s="2" t="str">
        <x:v>PARTNER-M120</x:v>
      </x:c>
    </x:row>
    <x:row r="3223" ht="46" customHeight="1">
      <x:c r="A3223" s="2" t="str">
        <x:v>TEN-A88C31E9B91F</x:v>
      </x:c>
      <x:c r="B3223" s="12" t="str">
        <x:v>Microland</x:v>
      </x:c>
      <x:c r="C3223" s="12" t="str">
        <x:v>CORP-0545</x:v>
      </x:c>
      <x:c r="D3223" s="12" t="str">
        <x:v>Bengaluru</x:v>
      </x:c>
      <x:c r="E3223" s="12" t="str">
        <x:v>Bagmane World Technology Centre</x:v>
      </x:c>
      <x:c r="F3223" s="12" t="str">
        <x:v>55 inch</x:v>
      </x:c>
      <x:c r="G3223" s="20" t="n">
        <x:v>1</x:v>
      </x:c>
      <x:c r="H3223" s="12" t="str">
        <x:v>Campus/portfolio roster; individual building occupancy unverified</x:v>
      </x:c>
      <x:c r="I3223" s="12" t="str">
        <x:v>Mixed business audience</x:v>
      </x:c>
      <x:c r="J3223" s="12" t="str">
        <x:v>IT &amp; digital</x:v>
      </x:c>
      <x:c r="K3223" s="2" t="str">
        <x:v>PARTNER-M120</x:v>
      </x:c>
    </x:row>
    <x:row r="3224" ht="46" customHeight="1">
      <x:c r="A3224" s="2" t="str">
        <x:v>TEN-BBDEFA2950F4</x:v>
      </x:c>
      <x:c r="B3224" s="12" t="str">
        <x:v>Google</x:v>
      </x:c>
      <x:c r="C3224" s="12" t="str">
        <x:v>CORP-0545</x:v>
      </x:c>
      <x:c r="D3224" s="12" t="str">
        <x:v>Bengaluru</x:v>
      </x:c>
      <x:c r="E3224" s="12" t="str">
        <x:v>Bagmane World Technology Centre</x:v>
      </x:c>
      <x:c r="F3224" s="12" t="str">
        <x:v>55 inch</x:v>
      </x:c>
      <x:c r="G3224" s="20" t="n">
        <x:v>1</x:v>
      </x:c>
      <x:c r="H3224" s="12" t="str">
        <x:v>Campus/portfolio roster; individual building occupancy unverified</x:v>
      </x:c>
      <x:c r="I3224" s="12" t="str">
        <x:v>Large enterprise</x:v>
      </x:c>
      <x:c r="J3224" s="12" t="str">
        <x:v>IT &amp; digital</x:v>
      </x:c>
      <x:c r="K3224" s="2" t="str">
        <x:v>PARTNER-M120</x:v>
      </x:c>
    </x:row>
    <x:row r="3225" ht="46" customHeight="1">
      <x:c r="A3225" s="2" t="str">
        <x:v>TEN-C63AC00C4D11</x:v>
      </x:c>
      <x:c r="B3225" s="12" t="str">
        <x:v>Mphasis</x:v>
      </x:c>
      <x:c r="C3225" s="12" t="str">
        <x:v>CORP-0545</x:v>
      </x:c>
      <x:c r="D3225" s="12" t="str">
        <x:v>Bengaluru</x:v>
      </x:c>
      <x:c r="E3225" s="12" t="str">
        <x:v>Bagmane World Technology Centre</x:v>
      </x:c>
      <x:c r="F3225" s="12" t="str">
        <x:v>55 inch</x:v>
      </x:c>
      <x:c r="G3225" s="20" t="n">
        <x:v>1</x:v>
      </x:c>
      <x:c r="H3225" s="12" t="str">
        <x:v>Campus/portfolio roster; individual building occupancy unverified</x:v>
      </x:c>
      <x:c r="I3225" s="12" t="str">
        <x:v>Large enterprise</x:v>
      </x:c>
      <x:c r="J3225" s="12" t="str">
        <x:v>IT &amp; digital</x:v>
      </x:c>
      <x:c r="K3225" s="2" t="str">
        <x:v>PARTNER-M120</x:v>
      </x:c>
    </x:row>
    <x:row r="3226" ht="46" customHeight="1">
      <x:c r="A3226" s="2" t="str">
        <x:v>TEN-CBC62794911F</x:v>
      </x:c>
      <x:c r="B3226" s="12" t="str">
        <x:v>Amazon</x:v>
      </x:c>
      <x:c r="C3226" s="12" t="str">
        <x:v>CORP-0545</x:v>
      </x:c>
      <x:c r="D3226" s="12" t="str">
        <x:v>Bengaluru</x:v>
      </x:c>
      <x:c r="E3226" s="12" t="str">
        <x:v>Bagmane World Technology Centre</x:v>
      </x:c>
      <x:c r="F3226" s="12" t="str">
        <x:v>55 inch</x:v>
      </x:c>
      <x:c r="G3226" s="20" t="n">
        <x:v>1</x:v>
      </x:c>
      <x:c r="H3226" s="12" t="str">
        <x:v>Campus/portfolio roster; individual building occupancy unverified</x:v>
      </x:c>
      <x:c r="I3226" s="12" t="str">
        <x:v>Large enterprise</x:v>
      </x:c>
      <x:c r="J3226" s="12" t="str">
        <x:v>IT &amp; digital</x:v>
      </x:c>
      <x:c r="K3226" s="2" t="str">
        <x:v>PARTNER-M120</x:v>
      </x:c>
    </x:row>
    <x:row r="3227" ht="46" customHeight="1">
      <x:c r="A3227" s="2" t="str">
        <x:v>TEN-D861EE362E38</x:v>
      </x:c>
      <x:c r="B3227" s="12" t="str">
        <x:v>Quotient</x:v>
      </x:c>
      <x:c r="C3227" s="12" t="str">
        <x:v>CORP-0545</x:v>
      </x:c>
      <x:c r="D3227" s="12" t="str">
        <x:v>Bengaluru</x:v>
      </x:c>
      <x:c r="E3227" s="12" t="str">
        <x:v>Bagmane World Technology Centre</x:v>
      </x:c>
      <x:c r="F3227" s="12" t="str">
        <x:v>55 inch</x:v>
      </x:c>
      <x:c r="G3227" s="20" t="n">
        <x:v>1</x:v>
      </x:c>
      <x:c r="H3227" s="12" t="str">
        <x:v>Campus/portfolio roster; individual building occupancy unverified</x:v>
      </x:c>
      <x:c r="I3227" s="12" t="str">
        <x:v>Mixed business audience</x:v>
      </x:c>
      <x:c r="J3227" s="12" t="str">
        <x:v>Unresolved</x:v>
      </x:c>
      <x:c r="K3227" s="2" t="str">
        <x:v>PARTNER-M120</x:v>
      </x:c>
    </x:row>
    <x:row r="3228" ht="46" customHeight="1">
      <x:c r="A3228" s="2" t="str">
        <x:v>TEN-DDF7FF5EBD9D</x:v>
      </x:c>
      <x:c r="B3228" s="12" t="str">
        <x:v>ARM</x:v>
      </x:c>
      <x:c r="C3228" s="12" t="str">
        <x:v>CORP-0545</x:v>
      </x:c>
      <x:c r="D3228" s="12" t="str">
        <x:v>Bengaluru</x:v>
      </x:c>
      <x:c r="E3228" s="12" t="str">
        <x:v>Bagmane World Technology Centre</x:v>
      </x:c>
      <x:c r="F3228" s="12" t="str">
        <x:v>55 inch</x:v>
      </x:c>
      <x:c r="G3228" s="20" t="n">
        <x:v>1</x:v>
      </x:c>
      <x:c r="H3228" s="12" t="str">
        <x:v>Campus/portfolio roster; individual building occupancy unverified</x:v>
      </x:c>
      <x:c r="I3228" s="12" t="str">
        <x:v>Mixed business audience</x:v>
      </x:c>
      <x:c r="J3228" s="12" t="str">
        <x:v>Engineering &amp; manufacturing</x:v>
      </x:c>
      <x:c r="K3228" s="2" t="str">
        <x:v>PARTNER-M120</x:v>
      </x:c>
    </x:row>
    <x:row r="3229" ht="46" customHeight="1">
      <x:c r="A3229" s="2" t="str">
        <x:v>TEN-DFAE2CFCA884</x:v>
      </x:c>
      <x:c r="B3229" s="12" t="str">
        <x:v>Xentrix</x:v>
      </x:c>
      <x:c r="C3229" s="12" t="str">
        <x:v>CORP-0545</x:v>
      </x:c>
      <x:c r="D3229" s="12" t="str">
        <x:v>Bengaluru</x:v>
      </x:c>
      <x:c r="E3229" s="12" t="str">
        <x:v>Bagmane World Technology Centre</x:v>
      </x:c>
      <x:c r="F3229" s="12" t="str">
        <x:v>55 inch</x:v>
      </x:c>
      <x:c r="G3229" s="20" t="n">
        <x:v>1</x:v>
      </x:c>
      <x:c r="H3229" s="12" t="str">
        <x:v>Campus/portfolio roster; individual building occupancy unverified</x:v>
      </x:c>
      <x:c r="I3229" s="12" t="str">
        <x:v>Small-scale prospects</x:v>
      </x:c>
      <x:c r="J3229" s="12" t="str">
        <x:v>Trade, consumer &amp; logistics</x:v>
      </x:c>
      <x:c r="K3229" s="2" t="str">
        <x:v>PARTNER-M120</x:v>
      </x:c>
    </x:row>
    <x:row r="3230" ht="46" customHeight="1">
      <x:c r="A3230" s="2" t="str">
        <x:v>TEN-E759968CA927</x:v>
      </x:c>
      <x:c r="B3230" s="12" t="str">
        <x:v>visa</x:v>
      </x:c>
      <x:c r="C3230" s="12" t="str">
        <x:v>CORP-0545</x:v>
      </x:c>
      <x:c r="D3230" s="12" t="str">
        <x:v>Bengaluru</x:v>
      </x:c>
      <x:c r="E3230" s="12" t="str">
        <x:v>Bagmane World Technology Centre</x:v>
      </x:c>
      <x:c r="F3230" s="12" t="str">
        <x:v>55 inch</x:v>
      </x:c>
      <x:c r="G3230" s="20" t="n">
        <x:v>1</x:v>
      </x:c>
      <x:c r="H3230" s="12" t="str">
        <x:v>Campus/portfolio roster; individual building occupancy unverified</x:v>
      </x:c>
      <x:c r="I3230" s="12" t="str">
        <x:v>Large enterprise</x:v>
      </x:c>
      <x:c r="J3230" s="12" t="str">
        <x:v>Finance &amp; insurance</x:v>
      </x:c>
      <x:c r="K3230" s="2" t="str">
        <x:v>PARTNER-M120</x:v>
      </x:c>
    </x:row>
    <x:row r="3231" ht="46" customHeight="1">
      <x:c r="A3231" s="2" t="str">
        <x:v>TEN-F2ED4886E20F</x:v>
      </x:c>
      <x:c r="B3231" s="12" t="str">
        <x:v>Ericsson</x:v>
      </x:c>
      <x:c r="C3231" s="12" t="str">
        <x:v>CORP-0545</x:v>
      </x:c>
      <x:c r="D3231" s="12" t="str">
        <x:v>Bengaluru</x:v>
      </x:c>
      <x:c r="E3231" s="12" t="str">
        <x:v>Bagmane World Technology Centre</x:v>
      </x:c>
      <x:c r="F3231" s="12" t="str">
        <x:v>55 inch</x:v>
      </x:c>
      <x:c r="G3231" s="20" t="n">
        <x:v>1</x:v>
      </x:c>
      <x:c r="H3231" s="12" t="str">
        <x:v>Campus/portfolio roster; individual building occupancy unverified</x:v>
      </x:c>
      <x:c r="I3231" s="12" t="str">
        <x:v>Large enterprise</x:v>
      </x:c>
      <x:c r="J3231" s="12" t="str">
        <x:v>IT &amp; digital</x:v>
      </x:c>
      <x:c r="K3231" s="2" t="str">
        <x:v>PARTNER-M120</x:v>
      </x:c>
    </x:row>
    <x:row r="3232" ht="46" customHeight="1">
      <x:c r="A3232" s="2" t="str">
        <x:v>TEN-16F45B99ABFD</x:v>
      </x:c>
      <x:c r="B3232" s="12" t="str">
        <x:v>Boeing</x:v>
      </x:c>
      <x:c r="C3232" s="12" t="str">
        <x:v>CORP-0546</x:v>
      </x:c>
      <x:c r="D3232" s="12" t="str">
        <x:v>Bengaluru</x:v>
      </x:c>
      <x:c r="E3232" s="12" t="str">
        <x:v>Bagmane World Technology Centre</x:v>
      </x:c>
      <x:c r="F3232" s="12" t="str">
        <x:v>55 inch</x:v>
      </x:c>
      <x:c r="G3232" s="20" t="n">
        <x:v>1</x:v>
      </x:c>
      <x:c r="H3232" s="12" t="str">
        <x:v>Campus/portfolio roster; individual building occupancy unverified</x:v>
      </x:c>
      <x:c r="I3232" s="12" t="str">
        <x:v>Large enterprise</x:v>
      </x:c>
      <x:c r="J3232" s="12" t="str">
        <x:v>Engineering &amp; manufacturing</x:v>
      </x:c>
      <x:c r="K3232" s="2" t="str">
        <x:v>PARTNER-M120</x:v>
      </x:c>
    </x:row>
    <x:row r="3233" ht="46" customHeight="1">
      <x:c r="A3233" s="2" t="str">
        <x:v>TEN-20E8BE98ADE9</x:v>
      </x:c>
      <x:c r="B3233" s="12" t="str">
        <x:v>Abinbev</x:v>
      </x:c>
      <x:c r="C3233" s="12" t="str">
        <x:v>CORP-0546</x:v>
      </x:c>
      <x:c r="D3233" s="12" t="str">
        <x:v>Bengaluru</x:v>
      </x:c>
      <x:c r="E3233" s="12" t="str">
        <x:v>Bagmane World Technology Centre</x:v>
      </x:c>
      <x:c r="F3233" s="12" t="str">
        <x:v>55 inch</x:v>
      </x:c>
      <x:c r="G3233" s="20" t="n">
        <x:v>1</x:v>
      </x:c>
      <x:c r="H3233" s="12" t="str">
        <x:v>Campus/portfolio roster; individual building occupancy unverified</x:v>
      </x:c>
      <x:c r="I3233" s="12" t="str">
        <x:v>Mixed business audience</x:v>
      </x:c>
      <x:c r="J3233" s="12" t="str">
        <x:v>Trade, consumer &amp; logistics</x:v>
      </x:c>
      <x:c r="K3233" s="2" t="str">
        <x:v>PARTNER-M120</x:v>
      </x:c>
    </x:row>
    <x:row r="3234" ht="46" customHeight="1">
      <x:c r="A3234" s="2" t="str">
        <x:v>TEN-2D844470A22E</x:v>
      </x:c>
      <x:c r="B3234" s="12" t="str">
        <x:v>Qsc</x:v>
      </x:c>
      <x:c r="C3234" s="12" t="str">
        <x:v>CORP-0546</x:v>
      </x:c>
      <x:c r="D3234" s="12" t="str">
        <x:v>Bengaluru</x:v>
      </x:c>
      <x:c r="E3234" s="12" t="str">
        <x:v>Bagmane World Technology Centre</x:v>
      </x:c>
      <x:c r="F3234" s="12" t="str">
        <x:v>55 inch</x:v>
      </x:c>
      <x:c r="G3234" s="20" t="n">
        <x:v>1</x:v>
      </x:c>
      <x:c r="H3234" s="12" t="str">
        <x:v>Campus/portfolio roster; individual building occupancy unverified</x:v>
      </x:c>
      <x:c r="I3234" s="12" t="str">
        <x:v>Mixed business audience</x:v>
      </x:c>
      <x:c r="J3234" s="12" t="str">
        <x:v>Unresolved</x:v>
      </x:c>
      <x:c r="K3234" s="2" t="str">
        <x:v>PARTNER-M120</x:v>
      </x:c>
    </x:row>
    <x:row r="3235" ht="46" customHeight="1">
      <x:c r="A3235" s="2" t="str">
        <x:v>TEN-35E87826D332</x:v>
      </x:c>
      <x:c r="B3235" s="12" t="str">
        <x:v>sifive</x:v>
      </x:c>
      <x:c r="C3235" s="12" t="str">
        <x:v>CORP-0546</x:v>
      </x:c>
      <x:c r="D3235" s="12" t="str">
        <x:v>Bengaluru</x:v>
      </x:c>
      <x:c r="E3235" s="12" t="str">
        <x:v>Bagmane World Technology Centre</x:v>
      </x:c>
      <x:c r="F3235" s="12" t="str">
        <x:v>55 inch</x:v>
      </x:c>
      <x:c r="G3235" s="20" t="n">
        <x:v>1</x:v>
      </x:c>
      <x:c r="H3235" s="12" t="str">
        <x:v>Campus/portfolio roster; individual building occupancy unverified</x:v>
      </x:c>
      <x:c r="I3235" s="12" t="str">
        <x:v>Mixed business audience</x:v>
      </x:c>
      <x:c r="J3235" s="12" t="str">
        <x:v>Engineering &amp; manufacturing</x:v>
      </x:c>
      <x:c r="K3235" s="2" t="str">
        <x:v>PARTNER-M120</x:v>
      </x:c>
    </x:row>
    <x:row r="3236" ht="46" customHeight="1">
      <x:c r="A3236" s="2" t="str">
        <x:v>TEN-4C5029DA39B5</x:v>
      </x:c>
      <x:c r="B3236" s="12" t="str">
        <x:v>Mediakind</x:v>
      </x:c>
      <x:c r="C3236" s="12" t="str">
        <x:v>CORP-0546</x:v>
      </x:c>
      <x:c r="D3236" s="12" t="str">
        <x:v>Bengaluru</x:v>
      </x:c>
      <x:c r="E3236" s="12" t="str">
        <x:v>Bagmane World Technology Centre</x:v>
      </x:c>
      <x:c r="F3236" s="12" t="str">
        <x:v>55 inch</x:v>
      </x:c>
      <x:c r="G3236" s="20" t="n">
        <x:v>1</x:v>
      </x:c>
      <x:c r="H3236" s="12" t="str">
        <x:v>Campus/portfolio roster; individual building occupancy unverified</x:v>
      </x:c>
      <x:c r="I3236" s="12" t="str">
        <x:v>Mixed business audience</x:v>
      </x:c>
      <x:c r="J3236" s="12" t="str">
        <x:v>Trade, consumer &amp; logistics</x:v>
      </x:c>
      <x:c r="K3236" s="2" t="str">
        <x:v>PARTNER-M120</x:v>
      </x:c>
    </x:row>
    <x:row r="3237" ht="46" customHeight="1">
      <x:c r="A3237" s="2" t="str">
        <x:v>TEN-4D748EBD71AF</x:v>
      </x:c>
      <x:c r="B3237" s="12" t="str">
        <x:v>Accenture</x:v>
      </x:c>
      <x:c r="C3237" s="12" t="str">
        <x:v>CORP-0546</x:v>
      </x:c>
      <x:c r="D3237" s="12" t="str">
        <x:v>Bengaluru</x:v>
      </x:c>
      <x:c r="E3237" s="12" t="str">
        <x:v>Bagmane World Technology Centre</x:v>
      </x:c>
      <x:c r="F3237" s="12" t="str">
        <x:v>55 inch</x:v>
      </x:c>
      <x:c r="G3237" s="20" t="n">
        <x:v>1</x:v>
      </x:c>
      <x:c r="H3237" s="12" t="str">
        <x:v>Campus/portfolio roster; individual building occupancy unverified</x:v>
      </x:c>
      <x:c r="I3237" s="12" t="str">
        <x:v>Large enterprise</x:v>
      </x:c>
      <x:c r="J3237" s="12" t="str">
        <x:v>IT &amp; digital</x:v>
      </x:c>
      <x:c r="K3237" s="2" t="str">
        <x:v>PARTNER-M120</x:v>
      </x:c>
    </x:row>
    <x:row r="3238" ht="46" customHeight="1">
      <x:c r="A3238" s="2" t="str">
        <x:v>TEN-65F96528B346</x:v>
      </x:c>
      <x:c r="B3238" s="12" t="str">
        <x:v>Iron Mountain</x:v>
      </x:c>
      <x:c r="C3238" s="12" t="str">
        <x:v>CORP-0546</x:v>
      </x:c>
      <x:c r="D3238" s="12" t="str">
        <x:v>Bengaluru</x:v>
      </x:c>
      <x:c r="E3238" s="12" t="str">
        <x:v>Bagmane World Technology Centre</x:v>
      </x:c>
      <x:c r="F3238" s="12" t="str">
        <x:v>55 inch</x:v>
      </x:c>
      <x:c r="G3238" s="20" t="n">
        <x:v>1</x:v>
      </x:c>
      <x:c r="H3238" s="12" t="str">
        <x:v>Campus/portfolio roster; individual building occupancy unverified</x:v>
      </x:c>
      <x:c r="I3238" s="12" t="str">
        <x:v>Large enterprise</x:v>
      </x:c>
      <x:c r="J3238" s="12" t="str">
        <x:v>Trade, consumer &amp; logistics</x:v>
      </x:c>
      <x:c r="K3238" s="2" t="str">
        <x:v>PARTNER-M120</x:v>
      </x:c>
    </x:row>
    <x:row r="3239" ht="46" customHeight="1">
      <x:c r="A3239" s="2" t="str">
        <x:v>TEN-69A068939DEA</x:v>
      </x:c>
      <x:c r="B3239" s="12" t="str">
        <x:v>Ernst and Young</x:v>
      </x:c>
      <x:c r="C3239" s="12" t="str">
        <x:v>CORP-0546</x:v>
      </x:c>
      <x:c r="D3239" s="12" t="str">
        <x:v>Bengaluru</x:v>
      </x:c>
      <x:c r="E3239" s="12" t="str">
        <x:v>Bagmane World Technology Centre</x:v>
      </x:c>
      <x:c r="F3239" s="12" t="str">
        <x:v>55 inch</x:v>
      </x:c>
      <x:c r="G3239" s="20" t="n">
        <x:v>1</x:v>
      </x:c>
      <x:c r="H3239" s="12" t="str">
        <x:v>Campus/portfolio roster; individual building occupancy unverified</x:v>
      </x:c>
      <x:c r="I3239" s="12" t="str">
        <x:v>Large enterprise</x:v>
      </x:c>
      <x:c r="J3239" s="12" t="str">
        <x:v>Professional services</x:v>
      </x:c>
      <x:c r="K3239" s="2" t="str">
        <x:v>PARTNER-M120</x:v>
      </x:c>
    </x:row>
    <x:row r="3240" ht="46" customHeight="1">
      <x:c r="A3240" s="2" t="str">
        <x:v>TEN-719F53D2AD92</x:v>
      </x:c>
      <x:c r="B3240" s="12" t="str">
        <x:v>EMC- Dell</x:v>
      </x:c>
      <x:c r="C3240" s="12" t="str">
        <x:v>CORP-0546</x:v>
      </x:c>
      <x:c r="D3240" s="12" t="str">
        <x:v>Bengaluru</x:v>
      </x:c>
      <x:c r="E3240" s="12" t="str">
        <x:v>Bagmane World Technology Centre</x:v>
      </x:c>
      <x:c r="F3240" s="12" t="str">
        <x:v>55 inch</x:v>
      </x:c>
      <x:c r="G3240" s="20" t="n">
        <x:v>1</x:v>
      </x:c>
      <x:c r="H3240" s="12" t="str">
        <x:v>Campus/portfolio roster; individual building occupancy unverified</x:v>
      </x:c>
      <x:c r="I3240" s="12" t="str">
        <x:v>Mixed business audience</x:v>
      </x:c>
      <x:c r="J3240" s="12" t="str">
        <x:v>IT &amp; digital</x:v>
      </x:c>
      <x:c r="K3240" s="2" t="str">
        <x:v>PARTNER-M120</x:v>
      </x:c>
    </x:row>
    <x:row r="3241" ht="46" customHeight="1">
      <x:c r="A3241" s="2" t="str">
        <x:v>TEN-7CA58AD857DB</x:v>
      </x:c>
      <x:c r="B3241" s="12" t="str">
        <x:v>Zyeus</x:v>
      </x:c>
      <x:c r="C3241" s="12" t="str">
        <x:v>CORP-0546</x:v>
      </x:c>
      <x:c r="D3241" s="12" t="str">
        <x:v>Bengaluru</x:v>
      </x:c>
      <x:c r="E3241" s="12" t="str">
        <x:v>Bagmane World Technology Centre</x:v>
      </x:c>
      <x:c r="F3241" s="12" t="str">
        <x:v>55 inch</x:v>
      </x:c>
      <x:c r="G3241" s="20" t="n">
        <x:v>1</x:v>
      </x:c>
      <x:c r="H3241" s="12" t="str">
        <x:v>Campus/portfolio roster; individual building occupancy unverified</x:v>
      </x:c>
      <x:c r="I3241" s="12" t="str">
        <x:v>Mixed business audience</x:v>
      </x:c>
      <x:c r="J3241" s="12" t="str">
        <x:v>Unresolved</x:v>
      </x:c>
      <x:c r="K3241" s="2" t="str">
        <x:v>PARTNER-M120</x:v>
      </x:c>
    </x:row>
    <x:row r="3242" ht="46" customHeight="1">
      <x:c r="A3242" s="2" t="str">
        <x:v>TEN-8D4321D93632</x:v>
      </x:c>
      <x:c r="B3242" s="12" t="str">
        <x:v>Nvidia</x:v>
      </x:c>
      <x:c r="C3242" s="12" t="str">
        <x:v>CORP-0546</x:v>
      </x:c>
      <x:c r="D3242" s="12" t="str">
        <x:v>Bengaluru</x:v>
      </x:c>
      <x:c r="E3242" s="12" t="str">
        <x:v>Bagmane World Technology Centre</x:v>
      </x:c>
      <x:c r="F3242" s="12" t="str">
        <x:v>55 inch</x:v>
      </x:c>
      <x:c r="G3242" s="20" t="n">
        <x:v>1</x:v>
      </x:c>
      <x:c r="H3242" s="12" t="str">
        <x:v>Campus/portfolio roster; individual building occupancy unverified</x:v>
      </x:c>
      <x:c r="I3242" s="12" t="str">
        <x:v>Large enterprise</x:v>
      </x:c>
      <x:c r="J3242" s="12" t="str">
        <x:v>Engineering &amp; manufacturing</x:v>
      </x:c>
      <x:c r="K3242" s="2" t="str">
        <x:v>PARTNER-M120</x:v>
      </x:c>
    </x:row>
    <x:row r="3243" ht="46" customHeight="1">
      <x:c r="A3243" s="2" t="str">
        <x:v>TEN-968E2D5B0868</x:v>
      </x:c>
      <x:c r="B3243" s="12" t="str">
        <x:v>Samsung</x:v>
      </x:c>
      <x:c r="C3243" s="12" t="str">
        <x:v>CORP-0546</x:v>
      </x:c>
      <x:c r="D3243" s="12" t="str">
        <x:v>Bengaluru</x:v>
      </x:c>
      <x:c r="E3243" s="12" t="str">
        <x:v>Bagmane World Technology Centre</x:v>
      </x:c>
      <x:c r="F3243" s="12" t="str">
        <x:v>55 inch</x:v>
      </x:c>
      <x:c r="G3243" s="20" t="n">
        <x:v>1</x:v>
      </x:c>
      <x:c r="H3243" s="12" t="str">
        <x:v>Campus/portfolio roster; individual building occupancy unverified</x:v>
      </x:c>
      <x:c r="I3243" s="12" t="str">
        <x:v>Large enterprise</x:v>
      </x:c>
      <x:c r="J3243" s="12" t="str">
        <x:v>Engineering &amp; manufacturing</x:v>
      </x:c>
      <x:c r="K3243" s="2" t="str">
        <x:v>PARTNER-M120</x:v>
      </x:c>
    </x:row>
    <x:row r="3244" ht="46" customHeight="1">
      <x:c r="A3244" s="2" t="str">
        <x:v>TEN-A88C31E9B91F</x:v>
      </x:c>
      <x:c r="B3244" s="12" t="str">
        <x:v>Microland</x:v>
      </x:c>
      <x:c r="C3244" s="12" t="str">
        <x:v>CORP-0546</x:v>
      </x:c>
      <x:c r="D3244" s="12" t="str">
        <x:v>Bengaluru</x:v>
      </x:c>
      <x:c r="E3244" s="12" t="str">
        <x:v>Bagmane World Technology Centre</x:v>
      </x:c>
      <x:c r="F3244" s="12" t="str">
        <x:v>55 inch</x:v>
      </x:c>
      <x:c r="G3244" s="20" t="n">
        <x:v>1</x:v>
      </x:c>
      <x:c r="H3244" s="12" t="str">
        <x:v>Campus/portfolio roster; individual building occupancy unverified</x:v>
      </x:c>
      <x:c r="I3244" s="12" t="str">
        <x:v>Mixed business audience</x:v>
      </x:c>
      <x:c r="J3244" s="12" t="str">
        <x:v>IT &amp; digital</x:v>
      </x:c>
      <x:c r="K3244" s="2" t="str">
        <x:v>PARTNER-M120</x:v>
      </x:c>
    </x:row>
    <x:row r="3245" ht="46" customHeight="1">
      <x:c r="A3245" s="2" t="str">
        <x:v>TEN-BBDEFA2950F4</x:v>
      </x:c>
      <x:c r="B3245" s="12" t="str">
        <x:v>Google</x:v>
      </x:c>
      <x:c r="C3245" s="12" t="str">
        <x:v>CORP-0546</x:v>
      </x:c>
      <x:c r="D3245" s="12" t="str">
        <x:v>Bengaluru</x:v>
      </x:c>
      <x:c r="E3245" s="12" t="str">
        <x:v>Bagmane World Technology Centre</x:v>
      </x:c>
      <x:c r="F3245" s="12" t="str">
        <x:v>55 inch</x:v>
      </x:c>
      <x:c r="G3245" s="20" t="n">
        <x:v>1</x:v>
      </x:c>
      <x:c r="H3245" s="12" t="str">
        <x:v>Campus/portfolio roster; individual building occupancy unverified</x:v>
      </x:c>
      <x:c r="I3245" s="12" t="str">
        <x:v>Large enterprise</x:v>
      </x:c>
      <x:c r="J3245" s="12" t="str">
        <x:v>IT &amp; digital</x:v>
      </x:c>
      <x:c r="K3245" s="2" t="str">
        <x:v>PARTNER-M120</x:v>
      </x:c>
    </x:row>
    <x:row r="3246" ht="46" customHeight="1">
      <x:c r="A3246" s="2" t="str">
        <x:v>TEN-C63AC00C4D11</x:v>
      </x:c>
      <x:c r="B3246" s="12" t="str">
        <x:v>Mphasis</x:v>
      </x:c>
      <x:c r="C3246" s="12" t="str">
        <x:v>CORP-0546</x:v>
      </x:c>
      <x:c r="D3246" s="12" t="str">
        <x:v>Bengaluru</x:v>
      </x:c>
      <x:c r="E3246" s="12" t="str">
        <x:v>Bagmane World Technology Centre</x:v>
      </x:c>
      <x:c r="F3246" s="12" t="str">
        <x:v>55 inch</x:v>
      </x:c>
      <x:c r="G3246" s="20" t="n">
        <x:v>1</x:v>
      </x:c>
      <x:c r="H3246" s="12" t="str">
        <x:v>Campus/portfolio roster; individual building occupancy unverified</x:v>
      </x:c>
      <x:c r="I3246" s="12" t="str">
        <x:v>Large enterprise</x:v>
      </x:c>
      <x:c r="J3246" s="12" t="str">
        <x:v>IT &amp; digital</x:v>
      </x:c>
      <x:c r="K3246" s="2" t="str">
        <x:v>PARTNER-M120</x:v>
      </x:c>
    </x:row>
    <x:row r="3247" ht="46" customHeight="1">
      <x:c r="A3247" s="2" t="str">
        <x:v>TEN-CBC62794911F</x:v>
      </x:c>
      <x:c r="B3247" s="12" t="str">
        <x:v>Amazon</x:v>
      </x:c>
      <x:c r="C3247" s="12" t="str">
        <x:v>CORP-0546</x:v>
      </x:c>
      <x:c r="D3247" s="12" t="str">
        <x:v>Bengaluru</x:v>
      </x:c>
      <x:c r="E3247" s="12" t="str">
        <x:v>Bagmane World Technology Centre</x:v>
      </x:c>
      <x:c r="F3247" s="12" t="str">
        <x:v>55 inch</x:v>
      </x:c>
      <x:c r="G3247" s="20" t="n">
        <x:v>1</x:v>
      </x:c>
      <x:c r="H3247" s="12" t="str">
        <x:v>Campus/portfolio roster; individual building occupancy unverified</x:v>
      </x:c>
      <x:c r="I3247" s="12" t="str">
        <x:v>Large enterprise</x:v>
      </x:c>
      <x:c r="J3247" s="12" t="str">
        <x:v>IT &amp; digital</x:v>
      </x:c>
      <x:c r="K3247" s="2" t="str">
        <x:v>PARTNER-M120</x:v>
      </x:c>
    </x:row>
    <x:row r="3248" ht="46" customHeight="1">
      <x:c r="A3248" s="2" t="str">
        <x:v>TEN-D861EE362E38</x:v>
      </x:c>
      <x:c r="B3248" s="12" t="str">
        <x:v>Quotient</x:v>
      </x:c>
      <x:c r="C3248" s="12" t="str">
        <x:v>CORP-0546</x:v>
      </x:c>
      <x:c r="D3248" s="12" t="str">
        <x:v>Bengaluru</x:v>
      </x:c>
      <x:c r="E3248" s="12" t="str">
        <x:v>Bagmane World Technology Centre</x:v>
      </x:c>
      <x:c r="F3248" s="12" t="str">
        <x:v>55 inch</x:v>
      </x:c>
      <x:c r="G3248" s="20" t="n">
        <x:v>1</x:v>
      </x:c>
      <x:c r="H3248" s="12" t="str">
        <x:v>Campus/portfolio roster; individual building occupancy unverified</x:v>
      </x:c>
      <x:c r="I3248" s="12" t="str">
        <x:v>Mixed business audience</x:v>
      </x:c>
      <x:c r="J3248" s="12" t="str">
        <x:v>Unresolved</x:v>
      </x:c>
      <x:c r="K3248" s="2" t="str">
        <x:v>PARTNER-M120</x:v>
      </x:c>
    </x:row>
    <x:row r="3249" ht="46" customHeight="1">
      <x:c r="A3249" s="2" t="str">
        <x:v>TEN-DDF7FF5EBD9D</x:v>
      </x:c>
      <x:c r="B3249" s="12" t="str">
        <x:v>ARM</x:v>
      </x:c>
      <x:c r="C3249" s="12" t="str">
        <x:v>CORP-0546</x:v>
      </x:c>
      <x:c r="D3249" s="12" t="str">
        <x:v>Bengaluru</x:v>
      </x:c>
      <x:c r="E3249" s="12" t="str">
        <x:v>Bagmane World Technology Centre</x:v>
      </x:c>
      <x:c r="F3249" s="12" t="str">
        <x:v>55 inch</x:v>
      </x:c>
      <x:c r="G3249" s="20" t="n">
        <x:v>1</x:v>
      </x:c>
      <x:c r="H3249" s="12" t="str">
        <x:v>Campus/portfolio roster; individual building occupancy unverified</x:v>
      </x:c>
      <x:c r="I3249" s="12" t="str">
        <x:v>Mixed business audience</x:v>
      </x:c>
      <x:c r="J3249" s="12" t="str">
        <x:v>Engineering &amp; manufacturing</x:v>
      </x:c>
      <x:c r="K3249" s="2" t="str">
        <x:v>PARTNER-M120</x:v>
      </x:c>
    </x:row>
    <x:row r="3250" ht="46" customHeight="1">
      <x:c r="A3250" s="2" t="str">
        <x:v>TEN-DFAE2CFCA884</x:v>
      </x:c>
      <x:c r="B3250" s="12" t="str">
        <x:v>Xentrix</x:v>
      </x:c>
      <x:c r="C3250" s="12" t="str">
        <x:v>CORP-0546</x:v>
      </x:c>
      <x:c r="D3250" s="12" t="str">
        <x:v>Bengaluru</x:v>
      </x:c>
      <x:c r="E3250" s="12" t="str">
        <x:v>Bagmane World Technology Centre</x:v>
      </x:c>
      <x:c r="F3250" s="12" t="str">
        <x:v>55 inch</x:v>
      </x:c>
      <x:c r="G3250" s="20" t="n">
        <x:v>1</x:v>
      </x:c>
      <x:c r="H3250" s="12" t="str">
        <x:v>Campus/portfolio roster; individual building occupancy unverified</x:v>
      </x:c>
      <x:c r="I3250" s="12" t="str">
        <x:v>Small-scale prospects</x:v>
      </x:c>
      <x:c r="J3250" s="12" t="str">
        <x:v>Trade, consumer &amp; logistics</x:v>
      </x:c>
      <x:c r="K3250" s="2" t="str">
        <x:v>PARTNER-M120</x:v>
      </x:c>
    </x:row>
    <x:row r="3251" ht="46" customHeight="1">
      <x:c r="A3251" s="2" t="str">
        <x:v>TEN-E759968CA927</x:v>
      </x:c>
      <x:c r="B3251" s="12" t="str">
        <x:v>visa</x:v>
      </x:c>
      <x:c r="C3251" s="12" t="str">
        <x:v>CORP-0546</x:v>
      </x:c>
      <x:c r="D3251" s="12" t="str">
        <x:v>Bengaluru</x:v>
      </x:c>
      <x:c r="E3251" s="12" t="str">
        <x:v>Bagmane World Technology Centre</x:v>
      </x:c>
      <x:c r="F3251" s="12" t="str">
        <x:v>55 inch</x:v>
      </x:c>
      <x:c r="G3251" s="20" t="n">
        <x:v>1</x:v>
      </x:c>
      <x:c r="H3251" s="12" t="str">
        <x:v>Campus/portfolio roster; individual building occupancy unverified</x:v>
      </x:c>
      <x:c r="I3251" s="12" t="str">
        <x:v>Large enterprise</x:v>
      </x:c>
      <x:c r="J3251" s="12" t="str">
        <x:v>Finance &amp; insurance</x:v>
      </x:c>
      <x:c r="K3251" s="2" t="str">
        <x:v>PARTNER-M120</x:v>
      </x:c>
    </x:row>
    <x:row r="3252" ht="46" customHeight="1">
      <x:c r="A3252" s="2" t="str">
        <x:v>TEN-F2ED4886E20F</x:v>
      </x:c>
      <x:c r="B3252" s="12" t="str">
        <x:v>Ericsson</x:v>
      </x:c>
      <x:c r="C3252" s="12" t="str">
        <x:v>CORP-0546</x:v>
      </x:c>
      <x:c r="D3252" s="12" t="str">
        <x:v>Bengaluru</x:v>
      </x:c>
      <x:c r="E3252" s="12" t="str">
        <x:v>Bagmane World Technology Centre</x:v>
      </x:c>
      <x:c r="F3252" s="12" t="str">
        <x:v>55 inch</x:v>
      </x:c>
      <x:c r="G3252" s="20" t="n">
        <x:v>1</x:v>
      </x:c>
      <x:c r="H3252" s="12" t="str">
        <x:v>Campus/portfolio roster; individual building occupancy unverified</x:v>
      </x:c>
      <x:c r="I3252" s="12" t="str">
        <x:v>Large enterprise</x:v>
      </x:c>
      <x:c r="J3252" s="12" t="str">
        <x:v>IT &amp; digital</x:v>
      </x:c>
      <x:c r="K3252" s="2" t="str">
        <x:v>PARTNER-M120</x:v>
      </x:c>
    </x:row>
    <x:row r="3253" ht="46" customHeight="1">
      <x:c r="A3253" s="2" t="str">
        <x:v>TEN-16F45B99ABFD</x:v>
      </x:c>
      <x:c r="B3253" s="12" t="str">
        <x:v>Boeing</x:v>
      </x:c>
      <x:c r="C3253" s="12" t="str">
        <x:v>CORP-0547</x:v>
      </x:c>
      <x:c r="D3253" s="12" t="str">
        <x:v>Bengaluru</x:v>
      </x:c>
      <x:c r="E3253" s="12" t="str">
        <x:v>Bagmane World Technology Centre</x:v>
      </x:c>
      <x:c r="F3253" s="12" t="str">
        <x:v>55 inch</x:v>
      </x:c>
      <x:c r="G3253" s="20" t="n">
        <x:v>1</x:v>
      </x:c>
      <x:c r="H3253" s="12" t="str">
        <x:v>Campus/portfolio roster; individual building occupancy unverified</x:v>
      </x:c>
      <x:c r="I3253" s="12" t="str">
        <x:v>Large enterprise</x:v>
      </x:c>
      <x:c r="J3253" s="12" t="str">
        <x:v>Engineering &amp; manufacturing</x:v>
      </x:c>
      <x:c r="K3253" s="2" t="str">
        <x:v>PARTNER-M120</x:v>
      </x:c>
    </x:row>
    <x:row r="3254" ht="46" customHeight="1">
      <x:c r="A3254" s="2" t="str">
        <x:v>TEN-20E8BE98ADE9</x:v>
      </x:c>
      <x:c r="B3254" s="12" t="str">
        <x:v>Abinbev</x:v>
      </x:c>
      <x:c r="C3254" s="12" t="str">
        <x:v>CORP-0547</x:v>
      </x:c>
      <x:c r="D3254" s="12" t="str">
        <x:v>Bengaluru</x:v>
      </x:c>
      <x:c r="E3254" s="12" t="str">
        <x:v>Bagmane World Technology Centre</x:v>
      </x:c>
      <x:c r="F3254" s="12" t="str">
        <x:v>55 inch</x:v>
      </x:c>
      <x:c r="G3254" s="20" t="n">
        <x:v>1</x:v>
      </x:c>
      <x:c r="H3254" s="12" t="str">
        <x:v>Campus/portfolio roster; individual building occupancy unverified</x:v>
      </x:c>
      <x:c r="I3254" s="12" t="str">
        <x:v>Mixed business audience</x:v>
      </x:c>
      <x:c r="J3254" s="12" t="str">
        <x:v>Trade, consumer &amp; logistics</x:v>
      </x:c>
      <x:c r="K3254" s="2" t="str">
        <x:v>PARTNER-M120</x:v>
      </x:c>
    </x:row>
    <x:row r="3255" ht="46" customHeight="1">
      <x:c r="A3255" s="2" t="str">
        <x:v>TEN-2D844470A22E</x:v>
      </x:c>
      <x:c r="B3255" s="12" t="str">
        <x:v>Qsc</x:v>
      </x:c>
      <x:c r="C3255" s="12" t="str">
        <x:v>CORP-0547</x:v>
      </x:c>
      <x:c r="D3255" s="12" t="str">
        <x:v>Bengaluru</x:v>
      </x:c>
      <x:c r="E3255" s="12" t="str">
        <x:v>Bagmane World Technology Centre</x:v>
      </x:c>
      <x:c r="F3255" s="12" t="str">
        <x:v>55 inch</x:v>
      </x:c>
      <x:c r="G3255" s="20" t="n">
        <x:v>1</x:v>
      </x:c>
      <x:c r="H3255" s="12" t="str">
        <x:v>Campus/portfolio roster; individual building occupancy unverified</x:v>
      </x:c>
      <x:c r="I3255" s="12" t="str">
        <x:v>Mixed business audience</x:v>
      </x:c>
      <x:c r="J3255" s="12" t="str">
        <x:v>Unresolved</x:v>
      </x:c>
      <x:c r="K3255" s="2" t="str">
        <x:v>PARTNER-M120</x:v>
      </x:c>
    </x:row>
    <x:row r="3256" ht="46" customHeight="1">
      <x:c r="A3256" s="2" t="str">
        <x:v>TEN-35E87826D332</x:v>
      </x:c>
      <x:c r="B3256" s="12" t="str">
        <x:v>sifive</x:v>
      </x:c>
      <x:c r="C3256" s="12" t="str">
        <x:v>CORP-0547</x:v>
      </x:c>
      <x:c r="D3256" s="12" t="str">
        <x:v>Bengaluru</x:v>
      </x:c>
      <x:c r="E3256" s="12" t="str">
        <x:v>Bagmane World Technology Centre</x:v>
      </x:c>
      <x:c r="F3256" s="12" t="str">
        <x:v>55 inch</x:v>
      </x:c>
      <x:c r="G3256" s="20" t="n">
        <x:v>1</x:v>
      </x:c>
      <x:c r="H3256" s="12" t="str">
        <x:v>Campus/portfolio roster; individual building occupancy unverified</x:v>
      </x:c>
      <x:c r="I3256" s="12" t="str">
        <x:v>Mixed business audience</x:v>
      </x:c>
      <x:c r="J3256" s="12" t="str">
        <x:v>Engineering &amp; manufacturing</x:v>
      </x:c>
      <x:c r="K3256" s="2" t="str">
        <x:v>PARTNER-M120</x:v>
      </x:c>
    </x:row>
    <x:row r="3257" ht="46" customHeight="1">
      <x:c r="A3257" s="2" t="str">
        <x:v>TEN-4C5029DA39B5</x:v>
      </x:c>
      <x:c r="B3257" s="12" t="str">
        <x:v>Mediakind</x:v>
      </x:c>
      <x:c r="C3257" s="12" t="str">
        <x:v>CORP-0547</x:v>
      </x:c>
      <x:c r="D3257" s="12" t="str">
        <x:v>Bengaluru</x:v>
      </x:c>
      <x:c r="E3257" s="12" t="str">
        <x:v>Bagmane World Technology Centre</x:v>
      </x:c>
      <x:c r="F3257" s="12" t="str">
        <x:v>55 inch</x:v>
      </x:c>
      <x:c r="G3257" s="20" t="n">
        <x:v>1</x:v>
      </x:c>
      <x:c r="H3257" s="12" t="str">
        <x:v>Campus/portfolio roster; individual building occupancy unverified</x:v>
      </x:c>
      <x:c r="I3257" s="12" t="str">
        <x:v>Mixed business audience</x:v>
      </x:c>
      <x:c r="J3257" s="12" t="str">
        <x:v>Trade, consumer &amp; logistics</x:v>
      </x:c>
      <x:c r="K3257" s="2" t="str">
        <x:v>PARTNER-M120</x:v>
      </x:c>
    </x:row>
    <x:row r="3258" ht="46" customHeight="1">
      <x:c r="A3258" s="2" t="str">
        <x:v>TEN-4D748EBD71AF</x:v>
      </x:c>
      <x:c r="B3258" s="12" t="str">
        <x:v>Accenture</x:v>
      </x:c>
      <x:c r="C3258" s="12" t="str">
        <x:v>CORP-0547</x:v>
      </x:c>
      <x:c r="D3258" s="12" t="str">
        <x:v>Bengaluru</x:v>
      </x:c>
      <x:c r="E3258" s="12" t="str">
        <x:v>Bagmane World Technology Centre</x:v>
      </x:c>
      <x:c r="F3258" s="12" t="str">
        <x:v>55 inch</x:v>
      </x:c>
      <x:c r="G3258" s="20" t="n">
        <x:v>1</x:v>
      </x:c>
      <x:c r="H3258" s="12" t="str">
        <x:v>Campus/portfolio roster; individual building occupancy unverified</x:v>
      </x:c>
      <x:c r="I3258" s="12" t="str">
        <x:v>Large enterprise</x:v>
      </x:c>
      <x:c r="J3258" s="12" t="str">
        <x:v>IT &amp; digital</x:v>
      </x:c>
      <x:c r="K3258" s="2" t="str">
        <x:v>PARTNER-M120</x:v>
      </x:c>
    </x:row>
    <x:row r="3259" ht="46" customHeight="1">
      <x:c r="A3259" s="2" t="str">
        <x:v>TEN-65F96528B346</x:v>
      </x:c>
      <x:c r="B3259" s="12" t="str">
        <x:v>Iron Mountain</x:v>
      </x:c>
      <x:c r="C3259" s="12" t="str">
        <x:v>CORP-0547</x:v>
      </x:c>
      <x:c r="D3259" s="12" t="str">
        <x:v>Bengaluru</x:v>
      </x:c>
      <x:c r="E3259" s="12" t="str">
        <x:v>Bagmane World Technology Centre</x:v>
      </x:c>
      <x:c r="F3259" s="12" t="str">
        <x:v>55 inch</x:v>
      </x:c>
      <x:c r="G3259" s="20" t="n">
        <x:v>1</x:v>
      </x:c>
      <x:c r="H3259" s="12" t="str">
        <x:v>Campus/portfolio roster; individual building occupancy unverified</x:v>
      </x:c>
      <x:c r="I3259" s="12" t="str">
        <x:v>Large enterprise</x:v>
      </x:c>
      <x:c r="J3259" s="12" t="str">
        <x:v>Trade, consumer &amp; logistics</x:v>
      </x:c>
      <x:c r="K3259" s="2" t="str">
        <x:v>PARTNER-M120</x:v>
      </x:c>
    </x:row>
    <x:row r="3260" ht="46" customHeight="1">
      <x:c r="A3260" s="2" t="str">
        <x:v>TEN-69A068939DEA</x:v>
      </x:c>
      <x:c r="B3260" s="12" t="str">
        <x:v>Ernst and Young</x:v>
      </x:c>
      <x:c r="C3260" s="12" t="str">
        <x:v>CORP-0547</x:v>
      </x:c>
      <x:c r="D3260" s="12" t="str">
        <x:v>Bengaluru</x:v>
      </x:c>
      <x:c r="E3260" s="12" t="str">
        <x:v>Bagmane World Technology Centre</x:v>
      </x:c>
      <x:c r="F3260" s="12" t="str">
        <x:v>55 inch</x:v>
      </x:c>
      <x:c r="G3260" s="20" t="n">
        <x:v>1</x:v>
      </x:c>
      <x:c r="H3260" s="12" t="str">
        <x:v>Campus/portfolio roster; individual building occupancy unverified</x:v>
      </x:c>
      <x:c r="I3260" s="12" t="str">
        <x:v>Large enterprise</x:v>
      </x:c>
      <x:c r="J3260" s="12" t="str">
        <x:v>Professional services</x:v>
      </x:c>
      <x:c r="K3260" s="2" t="str">
        <x:v>PARTNER-M120</x:v>
      </x:c>
    </x:row>
    <x:row r="3261" ht="46" customHeight="1">
      <x:c r="A3261" s="2" t="str">
        <x:v>TEN-719F53D2AD92</x:v>
      </x:c>
      <x:c r="B3261" s="12" t="str">
        <x:v>EMC- Dell</x:v>
      </x:c>
      <x:c r="C3261" s="12" t="str">
        <x:v>CORP-0547</x:v>
      </x:c>
      <x:c r="D3261" s="12" t="str">
        <x:v>Bengaluru</x:v>
      </x:c>
      <x:c r="E3261" s="12" t="str">
        <x:v>Bagmane World Technology Centre</x:v>
      </x:c>
      <x:c r="F3261" s="12" t="str">
        <x:v>55 inch</x:v>
      </x:c>
      <x:c r="G3261" s="20" t="n">
        <x:v>1</x:v>
      </x:c>
      <x:c r="H3261" s="12" t="str">
        <x:v>Campus/portfolio roster; individual building occupancy unverified</x:v>
      </x:c>
      <x:c r="I3261" s="12" t="str">
        <x:v>Mixed business audience</x:v>
      </x:c>
      <x:c r="J3261" s="12" t="str">
        <x:v>IT &amp; digital</x:v>
      </x:c>
      <x:c r="K3261" s="2" t="str">
        <x:v>PARTNER-M120</x:v>
      </x:c>
    </x:row>
    <x:row r="3262" ht="46" customHeight="1">
      <x:c r="A3262" s="2" t="str">
        <x:v>TEN-7CA58AD857DB</x:v>
      </x:c>
      <x:c r="B3262" s="12" t="str">
        <x:v>Zyeus</x:v>
      </x:c>
      <x:c r="C3262" s="12" t="str">
        <x:v>CORP-0547</x:v>
      </x:c>
      <x:c r="D3262" s="12" t="str">
        <x:v>Bengaluru</x:v>
      </x:c>
      <x:c r="E3262" s="12" t="str">
        <x:v>Bagmane World Technology Centre</x:v>
      </x:c>
      <x:c r="F3262" s="12" t="str">
        <x:v>55 inch</x:v>
      </x:c>
      <x:c r="G3262" s="20" t="n">
        <x:v>1</x:v>
      </x:c>
      <x:c r="H3262" s="12" t="str">
        <x:v>Campus/portfolio roster; individual building occupancy unverified</x:v>
      </x:c>
      <x:c r="I3262" s="12" t="str">
        <x:v>Mixed business audience</x:v>
      </x:c>
      <x:c r="J3262" s="12" t="str">
        <x:v>Unresolved</x:v>
      </x:c>
      <x:c r="K3262" s="2" t="str">
        <x:v>PARTNER-M120</x:v>
      </x:c>
    </x:row>
    <x:row r="3263" ht="46" customHeight="1">
      <x:c r="A3263" s="2" t="str">
        <x:v>TEN-8D4321D93632</x:v>
      </x:c>
      <x:c r="B3263" s="12" t="str">
        <x:v>Nvidia</x:v>
      </x:c>
      <x:c r="C3263" s="12" t="str">
        <x:v>CORP-0547</x:v>
      </x:c>
      <x:c r="D3263" s="12" t="str">
        <x:v>Bengaluru</x:v>
      </x:c>
      <x:c r="E3263" s="12" t="str">
        <x:v>Bagmane World Technology Centre</x:v>
      </x:c>
      <x:c r="F3263" s="12" t="str">
        <x:v>55 inch</x:v>
      </x:c>
      <x:c r="G3263" s="20" t="n">
        <x:v>1</x:v>
      </x:c>
      <x:c r="H3263" s="12" t="str">
        <x:v>Campus/portfolio roster; individual building occupancy unverified</x:v>
      </x:c>
      <x:c r="I3263" s="12" t="str">
        <x:v>Large enterprise</x:v>
      </x:c>
      <x:c r="J3263" s="12" t="str">
        <x:v>Engineering &amp; manufacturing</x:v>
      </x:c>
      <x:c r="K3263" s="2" t="str">
        <x:v>PARTNER-M120</x:v>
      </x:c>
    </x:row>
    <x:row r="3264" ht="46" customHeight="1">
      <x:c r="A3264" s="2" t="str">
        <x:v>TEN-968E2D5B0868</x:v>
      </x:c>
      <x:c r="B3264" s="12" t="str">
        <x:v>Samsung</x:v>
      </x:c>
      <x:c r="C3264" s="12" t="str">
        <x:v>CORP-0547</x:v>
      </x:c>
      <x:c r="D3264" s="12" t="str">
        <x:v>Bengaluru</x:v>
      </x:c>
      <x:c r="E3264" s="12" t="str">
        <x:v>Bagmane World Technology Centre</x:v>
      </x:c>
      <x:c r="F3264" s="12" t="str">
        <x:v>55 inch</x:v>
      </x:c>
      <x:c r="G3264" s="20" t="n">
        <x:v>1</x:v>
      </x:c>
      <x:c r="H3264" s="12" t="str">
        <x:v>Campus/portfolio roster; individual building occupancy unverified</x:v>
      </x:c>
      <x:c r="I3264" s="12" t="str">
        <x:v>Large enterprise</x:v>
      </x:c>
      <x:c r="J3264" s="12" t="str">
        <x:v>Engineering &amp; manufacturing</x:v>
      </x:c>
      <x:c r="K3264" s="2" t="str">
        <x:v>PARTNER-M120</x:v>
      </x:c>
    </x:row>
    <x:row r="3265" ht="46" customHeight="1">
      <x:c r="A3265" s="2" t="str">
        <x:v>TEN-A88C31E9B91F</x:v>
      </x:c>
      <x:c r="B3265" s="12" t="str">
        <x:v>Microland</x:v>
      </x:c>
      <x:c r="C3265" s="12" t="str">
        <x:v>CORP-0547</x:v>
      </x:c>
      <x:c r="D3265" s="12" t="str">
        <x:v>Bengaluru</x:v>
      </x:c>
      <x:c r="E3265" s="12" t="str">
        <x:v>Bagmane World Technology Centre</x:v>
      </x:c>
      <x:c r="F3265" s="12" t="str">
        <x:v>55 inch</x:v>
      </x:c>
      <x:c r="G3265" s="20" t="n">
        <x:v>1</x:v>
      </x:c>
      <x:c r="H3265" s="12" t="str">
        <x:v>Campus/portfolio roster; individual building occupancy unverified</x:v>
      </x:c>
      <x:c r="I3265" s="12" t="str">
        <x:v>Mixed business audience</x:v>
      </x:c>
      <x:c r="J3265" s="12" t="str">
        <x:v>IT &amp; digital</x:v>
      </x:c>
      <x:c r="K3265" s="2" t="str">
        <x:v>PARTNER-M120</x:v>
      </x:c>
    </x:row>
    <x:row r="3266" ht="46" customHeight="1">
      <x:c r="A3266" s="2" t="str">
        <x:v>TEN-BBDEFA2950F4</x:v>
      </x:c>
      <x:c r="B3266" s="12" t="str">
        <x:v>Google</x:v>
      </x:c>
      <x:c r="C3266" s="12" t="str">
        <x:v>CORP-0547</x:v>
      </x:c>
      <x:c r="D3266" s="12" t="str">
        <x:v>Bengaluru</x:v>
      </x:c>
      <x:c r="E3266" s="12" t="str">
        <x:v>Bagmane World Technology Centre</x:v>
      </x:c>
      <x:c r="F3266" s="12" t="str">
        <x:v>55 inch</x:v>
      </x:c>
      <x:c r="G3266" s="20" t="n">
        <x:v>1</x:v>
      </x:c>
      <x:c r="H3266" s="12" t="str">
        <x:v>Campus/portfolio roster; individual building occupancy unverified</x:v>
      </x:c>
      <x:c r="I3266" s="12" t="str">
        <x:v>Large enterprise</x:v>
      </x:c>
      <x:c r="J3266" s="12" t="str">
        <x:v>IT &amp; digital</x:v>
      </x:c>
      <x:c r="K3266" s="2" t="str">
        <x:v>PARTNER-M120</x:v>
      </x:c>
    </x:row>
    <x:row r="3267" ht="46" customHeight="1">
      <x:c r="A3267" s="2" t="str">
        <x:v>TEN-C63AC00C4D11</x:v>
      </x:c>
      <x:c r="B3267" s="12" t="str">
        <x:v>Mphasis</x:v>
      </x:c>
      <x:c r="C3267" s="12" t="str">
        <x:v>CORP-0547</x:v>
      </x:c>
      <x:c r="D3267" s="12" t="str">
        <x:v>Bengaluru</x:v>
      </x:c>
      <x:c r="E3267" s="12" t="str">
        <x:v>Bagmane World Technology Centre</x:v>
      </x:c>
      <x:c r="F3267" s="12" t="str">
        <x:v>55 inch</x:v>
      </x:c>
      <x:c r="G3267" s="20" t="n">
        <x:v>1</x:v>
      </x:c>
      <x:c r="H3267" s="12" t="str">
        <x:v>Campus/portfolio roster; individual building occupancy unverified</x:v>
      </x:c>
      <x:c r="I3267" s="12" t="str">
        <x:v>Large enterprise</x:v>
      </x:c>
      <x:c r="J3267" s="12" t="str">
        <x:v>IT &amp; digital</x:v>
      </x:c>
      <x:c r="K3267" s="2" t="str">
        <x:v>PARTNER-M120</x:v>
      </x:c>
    </x:row>
    <x:row r="3268" ht="46" customHeight="1">
      <x:c r="A3268" s="2" t="str">
        <x:v>TEN-CBC62794911F</x:v>
      </x:c>
      <x:c r="B3268" s="12" t="str">
        <x:v>Amazon</x:v>
      </x:c>
      <x:c r="C3268" s="12" t="str">
        <x:v>CORP-0547</x:v>
      </x:c>
      <x:c r="D3268" s="12" t="str">
        <x:v>Bengaluru</x:v>
      </x:c>
      <x:c r="E3268" s="12" t="str">
        <x:v>Bagmane World Technology Centre</x:v>
      </x:c>
      <x:c r="F3268" s="12" t="str">
        <x:v>55 inch</x:v>
      </x:c>
      <x:c r="G3268" s="20" t="n">
        <x:v>1</x:v>
      </x:c>
      <x:c r="H3268" s="12" t="str">
        <x:v>Campus/portfolio roster; individual building occupancy unverified</x:v>
      </x:c>
      <x:c r="I3268" s="12" t="str">
        <x:v>Large enterprise</x:v>
      </x:c>
      <x:c r="J3268" s="12" t="str">
        <x:v>IT &amp; digital</x:v>
      </x:c>
      <x:c r="K3268" s="2" t="str">
        <x:v>PARTNER-M120</x:v>
      </x:c>
    </x:row>
    <x:row r="3269" ht="46" customHeight="1">
      <x:c r="A3269" s="2" t="str">
        <x:v>TEN-D861EE362E38</x:v>
      </x:c>
      <x:c r="B3269" s="12" t="str">
        <x:v>Quotient</x:v>
      </x:c>
      <x:c r="C3269" s="12" t="str">
        <x:v>CORP-0547</x:v>
      </x:c>
      <x:c r="D3269" s="12" t="str">
        <x:v>Bengaluru</x:v>
      </x:c>
      <x:c r="E3269" s="12" t="str">
        <x:v>Bagmane World Technology Centre</x:v>
      </x:c>
      <x:c r="F3269" s="12" t="str">
        <x:v>55 inch</x:v>
      </x:c>
      <x:c r="G3269" s="20" t="n">
        <x:v>1</x:v>
      </x:c>
      <x:c r="H3269" s="12" t="str">
        <x:v>Campus/portfolio roster; individual building occupancy unverified</x:v>
      </x:c>
      <x:c r="I3269" s="12" t="str">
        <x:v>Mixed business audience</x:v>
      </x:c>
      <x:c r="J3269" s="12" t="str">
        <x:v>Unresolved</x:v>
      </x:c>
      <x:c r="K3269" s="2" t="str">
        <x:v>PARTNER-M120</x:v>
      </x:c>
    </x:row>
    <x:row r="3270" ht="46" customHeight="1">
      <x:c r="A3270" s="2" t="str">
        <x:v>TEN-DDF7FF5EBD9D</x:v>
      </x:c>
      <x:c r="B3270" s="12" t="str">
        <x:v>ARM</x:v>
      </x:c>
      <x:c r="C3270" s="12" t="str">
        <x:v>CORP-0547</x:v>
      </x:c>
      <x:c r="D3270" s="12" t="str">
        <x:v>Bengaluru</x:v>
      </x:c>
      <x:c r="E3270" s="12" t="str">
        <x:v>Bagmane World Technology Centre</x:v>
      </x:c>
      <x:c r="F3270" s="12" t="str">
        <x:v>55 inch</x:v>
      </x:c>
      <x:c r="G3270" s="20" t="n">
        <x:v>1</x:v>
      </x:c>
      <x:c r="H3270" s="12" t="str">
        <x:v>Campus/portfolio roster; individual building occupancy unverified</x:v>
      </x:c>
      <x:c r="I3270" s="12" t="str">
        <x:v>Mixed business audience</x:v>
      </x:c>
      <x:c r="J3270" s="12" t="str">
        <x:v>Engineering &amp; manufacturing</x:v>
      </x:c>
      <x:c r="K3270" s="2" t="str">
        <x:v>PARTNER-M120</x:v>
      </x:c>
    </x:row>
    <x:row r="3271" ht="46" customHeight="1">
      <x:c r="A3271" s="2" t="str">
        <x:v>TEN-DFAE2CFCA884</x:v>
      </x:c>
      <x:c r="B3271" s="12" t="str">
        <x:v>Xentrix</x:v>
      </x:c>
      <x:c r="C3271" s="12" t="str">
        <x:v>CORP-0547</x:v>
      </x:c>
      <x:c r="D3271" s="12" t="str">
        <x:v>Bengaluru</x:v>
      </x:c>
      <x:c r="E3271" s="12" t="str">
        <x:v>Bagmane World Technology Centre</x:v>
      </x:c>
      <x:c r="F3271" s="12" t="str">
        <x:v>55 inch</x:v>
      </x:c>
      <x:c r="G3271" s="20" t="n">
        <x:v>1</x:v>
      </x:c>
      <x:c r="H3271" s="12" t="str">
        <x:v>Campus/portfolio roster; individual building occupancy unverified</x:v>
      </x:c>
      <x:c r="I3271" s="12" t="str">
        <x:v>Small-scale prospects</x:v>
      </x:c>
      <x:c r="J3271" s="12" t="str">
        <x:v>Trade, consumer &amp; logistics</x:v>
      </x:c>
      <x:c r="K3271" s="2" t="str">
        <x:v>PARTNER-M120</x:v>
      </x:c>
    </x:row>
    <x:row r="3272" ht="46" customHeight="1">
      <x:c r="A3272" s="2" t="str">
        <x:v>TEN-E759968CA927</x:v>
      </x:c>
      <x:c r="B3272" s="12" t="str">
        <x:v>visa</x:v>
      </x:c>
      <x:c r="C3272" s="12" t="str">
        <x:v>CORP-0547</x:v>
      </x:c>
      <x:c r="D3272" s="12" t="str">
        <x:v>Bengaluru</x:v>
      </x:c>
      <x:c r="E3272" s="12" t="str">
        <x:v>Bagmane World Technology Centre</x:v>
      </x:c>
      <x:c r="F3272" s="12" t="str">
        <x:v>55 inch</x:v>
      </x:c>
      <x:c r="G3272" s="20" t="n">
        <x:v>1</x:v>
      </x:c>
      <x:c r="H3272" s="12" t="str">
        <x:v>Campus/portfolio roster; individual building occupancy unverified</x:v>
      </x:c>
      <x:c r="I3272" s="12" t="str">
        <x:v>Large enterprise</x:v>
      </x:c>
      <x:c r="J3272" s="12" t="str">
        <x:v>Finance &amp; insurance</x:v>
      </x:c>
      <x:c r="K3272" s="2" t="str">
        <x:v>PARTNER-M120</x:v>
      </x:c>
    </x:row>
    <x:row r="3273" ht="46" customHeight="1">
      <x:c r="A3273" s="2" t="str">
        <x:v>TEN-F2ED4886E20F</x:v>
      </x:c>
      <x:c r="B3273" s="12" t="str">
        <x:v>Ericsson</x:v>
      </x:c>
      <x:c r="C3273" s="12" t="str">
        <x:v>CORP-0547</x:v>
      </x:c>
      <x:c r="D3273" s="12" t="str">
        <x:v>Bengaluru</x:v>
      </x:c>
      <x:c r="E3273" s="12" t="str">
        <x:v>Bagmane World Technology Centre</x:v>
      </x:c>
      <x:c r="F3273" s="12" t="str">
        <x:v>55 inch</x:v>
      </x:c>
      <x:c r="G3273" s="20" t="n">
        <x:v>1</x:v>
      </x:c>
      <x:c r="H3273" s="12" t="str">
        <x:v>Campus/portfolio roster; individual building occupancy unverified</x:v>
      </x:c>
      <x:c r="I3273" s="12" t="str">
        <x:v>Large enterprise</x:v>
      </x:c>
      <x:c r="J3273" s="12" t="str">
        <x:v>IT &amp; digital</x:v>
      </x:c>
      <x:c r="K3273" s="2" t="str">
        <x:v>PARTNER-M120</x:v>
      </x:c>
    </x:row>
    <x:row r="3274" ht="46" customHeight="1">
      <x:c r="A3274" s="2" t="str">
        <x:v>TEN-090321827705</x:v>
      </x:c>
      <x:c r="B3274" s="12" t="str">
        <x:v>Mysis</x:v>
      </x:c>
      <x:c r="C3274" s="12" t="str">
        <x:v>CORP-0548</x:v>
      </x:c>
      <x:c r="D3274" s="12" t="str">
        <x:v>Bengaluru</x:v>
      </x:c>
      <x:c r="E3274" s="12" t="str">
        <x:v>Bagmane Constellation </x:v>
      </x:c>
      <x:c r="F3274" s="12" t="str">
        <x:v>55 inch</x:v>
      </x:c>
      <x:c r="G3274" s="20" t="n">
        <x:v>1</x:v>
      </x:c>
      <x:c r="H3274" s="12" t="str">
        <x:v>Campus/portfolio roster; individual building occupancy unverified</x:v>
      </x:c>
      <x:c r="I3274" s="12" t="str">
        <x:v>Mixed business audience</x:v>
      </x:c>
      <x:c r="J3274" s="12" t="str">
        <x:v>IT &amp; digital</x:v>
      </x:c>
      <x:c r="K3274" s="2" t="str">
        <x:v>PARTNER-M130</x:v>
      </x:c>
    </x:row>
    <x:row r="3275" ht="46" customHeight="1">
      <x:c r="A3275" s="2" t="str">
        <x:v>TEN-16F45B99ABFD</x:v>
      </x:c>
      <x:c r="B3275" s="12" t="str">
        <x:v>Boeing</x:v>
      </x:c>
      <x:c r="C3275" s="12" t="str">
        <x:v>CORP-0548</x:v>
      </x:c>
      <x:c r="D3275" s="12" t="str">
        <x:v>Bengaluru</x:v>
      </x:c>
      <x:c r="E3275" s="12" t="str">
        <x:v>Bagmane Constellation </x:v>
      </x:c>
      <x:c r="F3275" s="12" t="str">
        <x:v>55 inch</x:v>
      </x:c>
      <x:c r="G3275" s="20" t="n">
        <x:v>1</x:v>
      </x:c>
      <x:c r="H3275" s="12" t="str">
        <x:v>Campus/portfolio roster; individual building occupancy unverified</x:v>
      </x:c>
      <x:c r="I3275" s="12" t="str">
        <x:v>Large enterprise</x:v>
      </x:c>
      <x:c r="J3275" s="12" t="str">
        <x:v>Engineering &amp; manufacturing</x:v>
      </x:c>
      <x:c r="K3275" s="2" t="str">
        <x:v>PARTNER-M130</x:v>
      </x:c>
    </x:row>
    <x:row r="3276" ht="46" customHeight="1">
      <x:c r="A3276" s="2" t="str">
        <x:v>TEN-36E26473A4E8</x:v>
      </x:c>
      <x:c r="B3276" s="12" t="str">
        <x:v>Alstom</x:v>
      </x:c>
      <x:c r="C3276" s="12" t="str">
        <x:v>CORP-0548</x:v>
      </x:c>
      <x:c r="D3276" s="12" t="str">
        <x:v>Bengaluru</x:v>
      </x:c>
      <x:c r="E3276" s="12" t="str">
        <x:v>Bagmane Constellation </x:v>
      </x:c>
      <x:c r="F3276" s="12" t="str">
        <x:v>55 inch</x:v>
      </x:c>
      <x:c r="G3276" s="20" t="n">
        <x:v>1</x:v>
      </x:c>
      <x:c r="H3276" s="12" t="str">
        <x:v>Campus/portfolio roster; individual building occupancy unverified</x:v>
      </x:c>
      <x:c r="I3276" s="12" t="str">
        <x:v>Large enterprise</x:v>
      </x:c>
      <x:c r="J3276" s="12" t="str">
        <x:v>Engineering &amp; manufacturing</x:v>
      </x:c>
      <x:c r="K3276" s="2" t="str">
        <x:v>PARTNER-M130</x:v>
      </x:c>
    </x:row>
    <x:row r="3277" ht="46" customHeight="1">
      <x:c r="A3277" s="2" t="str">
        <x:v>TEN-3E451D4C362B</x:v>
      </x:c>
      <x:c r="B3277" s="12" t="str">
        <x:v>Sapient</x:v>
      </x:c>
      <x:c r="C3277" s="12" t="str">
        <x:v>CORP-0548</x:v>
      </x:c>
      <x:c r="D3277" s="12" t="str">
        <x:v>Bengaluru</x:v>
      </x:c>
      <x:c r="E3277" s="12" t="str">
        <x:v>Bagmane Constellation </x:v>
      </x:c>
      <x:c r="F3277" s="12" t="str">
        <x:v>55 inch</x:v>
      </x:c>
      <x:c r="G3277" s="20" t="n">
        <x:v>1</x:v>
      </x:c>
      <x:c r="H3277" s="12" t="str">
        <x:v>Campus/portfolio roster; individual building occupancy unverified</x:v>
      </x:c>
      <x:c r="I3277" s="12" t="str">
        <x:v>Large enterprise</x:v>
      </x:c>
      <x:c r="J3277" s="12" t="str">
        <x:v>Unresolved</x:v>
      </x:c>
      <x:c r="K3277" s="2" t="str">
        <x:v>PARTNER-M130</x:v>
      </x:c>
    </x:row>
    <x:row r="3278" ht="46" customHeight="1">
      <x:c r="A3278" s="2" t="str">
        <x:v>TEN-69A068939DEA</x:v>
      </x:c>
      <x:c r="B3278" s="12" t="str">
        <x:v>Ernst and Young</x:v>
      </x:c>
      <x:c r="C3278" s="12" t="str">
        <x:v>CORP-0548</x:v>
      </x:c>
      <x:c r="D3278" s="12" t="str">
        <x:v>Bengaluru</x:v>
      </x:c>
      <x:c r="E3278" s="12" t="str">
        <x:v>Bagmane Constellation </x:v>
      </x:c>
      <x:c r="F3278" s="12" t="str">
        <x:v>55 inch</x:v>
      </x:c>
      <x:c r="G3278" s="20" t="n">
        <x:v>1</x:v>
      </x:c>
      <x:c r="H3278" s="12" t="str">
        <x:v>Campus/portfolio roster; individual building occupancy unverified</x:v>
      </x:c>
      <x:c r="I3278" s="12" t="str">
        <x:v>Large enterprise</x:v>
      </x:c>
      <x:c r="J3278" s="12" t="str">
        <x:v>Professional services</x:v>
      </x:c>
      <x:c r="K3278" s="2" t="str">
        <x:v>PARTNER-M130</x:v>
      </x:c>
    </x:row>
    <x:row r="3279" ht="46" customHeight="1">
      <x:c r="A3279" s="2" t="str">
        <x:v>TEN-8DFE5E6CF73B</x:v>
      </x:c>
      <x:c r="B3279" s="12" t="str">
        <x:v>Red Hat</x:v>
      </x:c>
      <x:c r="C3279" s="12" t="str">
        <x:v>CORP-0548</x:v>
      </x:c>
      <x:c r="D3279" s="12" t="str">
        <x:v>Bengaluru</x:v>
      </x:c>
      <x:c r="E3279" s="12" t="str">
        <x:v>Bagmane Constellation </x:v>
      </x:c>
      <x:c r="F3279" s="12" t="str">
        <x:v>55 inch</x:v>
      </x:c>
      <x:c r="G3279" s="20" t="n">
        <x:v>1</x:v>
      </x:c>
      <x:c r="H3279" s="12" t="str">
        <x:v>Campus/portfolio roster; individual building occupancy unverified</x:v>
      </x:c>
      <x:c r="I3279" s="12" t="str">
        <x:v>Large enterprise</x:v>
      </x:c>
      <x:c r="J3279" s="12" t="str">
        <x:v>IT &amp; digital</x:v>
      </x:c>
      <x:c r="K3279" s="2" t="str">
        <x:v>PARTNER-M130</x:v>
      </x:c>
    </x:row>
    <x:row r="3280" ht="46" customHeight="1">
      <x:c r="A3280" s="2" t="str">
        <x:v>TEN-968E2D5B0868</x:v>
      </x:c>
      <x:c r="B3280" s="12" t="str">
        <x:v>Samsung</x:v>
      </x:c>
      <x:c r="C3280" s="12" t="str">
        <x:v>CORP-0548</x:v>
      </x:c>
      <x:c r="D3280" s="12" t="str">
        <x:v>Bengaluru</x:v>
      </x:c>
      <x:c r="E3280" s="12" t="str">
        <x:v>Bagmane Constellation </x:v>
      </x:c>
      <x:c r="F3280" s="12" t="str">
        <x:v>55 inch</x:v>
      </x:c>
      <x:c r="G3280" s="20" t="n">
        <x:v>1</x:v>
      </x:c>
      <x:c r="H3280" s="12" t="str">
        <x:v>Campus/portfolio roster; individual building occupancy unverified</x:v>
      </x:c>
      <x:c r="I3280" s="12" t="str">
        <x:v>Large enterprise</x:v>
      </x:c>
      <x:c r="J3280" s="12" t="str">
        <x:v>Engineering &amp; manufacturing</x:v>
      </x:c>
      <x:c r="K3280" s="2" t="str">
        <x:v>PARTNER-M130</x:v>
      </x:c>
    </x:row>
    <x:row r="3281" ht="46" customHeight="1">
      <x:c r="A3281" s="2" t="str">
        <x:v>TEN-BBDEFA2950F4</x:v>
      </x:c>
      <x:c r="B3281" s="12" t="str">
        <x:v>Google</x:v>
      </x:c>
      <x:c r="C3281" s="12" t="str">
        <x:v>CORP-0548</x:v>
      </x:c>
      <x:c r="D3281" s="12" t="str">
        <x:v>Bengaluru</x:v>
      </x:c>
      <x:c r="E3281" s="12" t="str">
        <x:v>Bagmane Constellation </x:v>
      </x:c>
      <x:c r="F3281" s="12" t="str">
        <x:v>55 inch</x:v>
      </x:c>
      <x:c r="G3281" s="20" t="n">
        <x:v>1</x:v>
      </x:c>
      <x:c r="H3281" s="12" t="str">
        <x:v>Campus/portfolio roster; individual building occupancy unverified</x:v>
      </x:c>
      <x:c r="I3281" s="12" t="str">
        <x:v>Large enterprise</x:v>
      </x:c>
      <x:c r="J3281" s="12" t="str">
        <x:v>IT &amp; digital</x:v>
      </x:c>
      <x:c r="K3281" s="2" t="str">
        <x:v>PARTNER-M130</x:v>
      </x:c>
    </x:row>
    <x:row r="3282" ht="46" customHeight="1">
      <x:c r="A3282" s="2" t="str">
        <x:v>TEN-CBC62794911F</x:v>
      </x:c>
      <x:c r="B3282" s="12" t="str">
        <x:v>Amazon</x:v>
      </x:c>
      <x:c r="C3282" s="12" t="str">
        <x:v>CORP-0548</x:v>
      </x:c>
      <x:c r="D3282" s="12" t="str">
        <x:v>Bengaluru</x:v>
      </x:c>
      <x:c r="E3282" s="12" t="str">
        <x:v>Bagmane Constellation </x:v>
      </x:c>
      <x:c r="F3282" s="12" t="str">
        <x:v>55 inch</x:v>
      </x:c>
      <x:c r="G3282" s="20" t="n">
        <x:v>1</x:v>
      </x:c>
      <x:c r="H3282" s="12" t="str">
        <x:v>Campus/portfolio roster; individual building occupancy unverified</x:v>
      </x:c>
      <x:c r="I3282" s="12" t="str">
        <x:v>Large enterprise</x:v>
      </x:c>
      <x:c r="J3282" s="12" t="str">
        <x:v>IT &amp; digital</x:v>
      </x:c>
      <x:c r="K3282" s="2" t="str">
        <x:v>PARTNER-M130</x:v>
      </x:c>
    </x:row>
    <x:row r="3283" ht="46" customHeight="1">
      <x:c r="A3283" s="2" t="str">
        <x:v>TEN-F31639A23C74</x:v>
      </x:c>
      <x:c r="B3283" s="12" t="str">
        <x:v>Qualcomm</x:v>
      </x:c>
      <x:c r="C3283" s="12" t="str">
        <x:v>CORP-0548</x:v>
      </x:c>
      <x:c r="D3283" s="12" t="str">
        <x:v>Bengaluru</x:v>
      </x:c>
      <x:c r="E3283" s="12" t="str">
        <x:v>Bagmane Constellation </x:v>
      </x:c>
      <x:c r="F3283" s="12" t="str">
        <x:v>55 inch</x:v>
      </x:c>
      <x:c r="G3283" s="20" t="n">
        <x:v>1</x:v>
      </x:c>
      <x:c r="H3283" s="12" t="str">
        <x:v>Campus/portfolio roster; individual building occupancy unverified</x:v>
      </x:c>
      <x:c r="I3283" s="12" t="str">
        <x:v>Large enterprise</x:v>
      </x:c>
      <x:c r="J3283" s="12" t="str">
        <x:v>Engineering &amp; manufacturing</x:v>
      </x:c>
      <x:c r="K3283" s="2" t="str">
        <x:v>PARTNER-M130</x:v>
      </x:c>
    </x:row>
    <x:row r="3284" ht="46" customHeight="1">
      <x:c r="A3284" s="2" t="str">
        <x:v>TEN-F68A6275A50C</x:v>
      </x:c>
      <x:c r="B3284" s="12" t="str">
        <x:v>Archwel</x:v>
      </x:c>
      <x:c r="C3284" s="12" t="str">
        <x:v>CORP-0548</x:v>
      </x:c>
      <x:c r="D3284" s="12" t="str">
        <x:v>Bengaluru</x:v>
      </x:c>
      <x:c r="E3284" s="12" t="str">
        <x:v>Bagmane Constellation </x:v>
      </x:c>
      <x:c r="F3284" s="12" t="str">
        <x:v>55 inch</x:v>
      </x:c>
      <x:c r="G3284" s="20" t="n">
        <x:v>1</x:v>
      </x:c>
      <x:c r="H3284" s="12" t="str">
        <x:v>Campus/portfolio roster; individual building occupancy unverified</x:v>
      </x:c>
      <x:c r="I3284" s="12" t="str">
        <x:v>Mixed business audience</x:v>
      </x:c>
      <x:c r="J3284" s="12" t="str">
        <x:v>Unresolved</x:v>
      </x:c>
      <x:c r="K3284" s="2" t="str">
        <x:v>PARTNER-M130</x:v>
      </x:c>
    </x:row>
    <x:row r="3285" ht="46" customHeight="1">
      <x:c r="A3285" s="2" t="str">
        <x:v>TEN-090321827705</x:v>
      </x:c>
      <x:c r="B3285" s="12" t="str">
        <x:v>Mysis</x:v>
      </x:c>
      <x:c r="C3285" s="12" t="str">
        <x:v>CORP-0549</x:v>
      </x:c>
      <x:c r="D3285" s="12" t="str">
        <x:v>Bengaluru</x:v>
      </x:c>
      <x:c r="E3285" s="12" t="str">
        <x:v>Bagmane Constellation </x:v>
      </x:c>
      <x:c r="F3285" s="12" t="str">
        <x:v>55 inch</x:v>
      </x:c>
      <x:c r="G3285" s="20" t="n">
        <x:v>1</x:v>
      </x:c>
      <x:c r="H3285" s="12" t="str">
        <x:v>Campus/portfolio roster; individual building occupancy unverified</x:v>
      </x:c>
      <x:c r="I3285" s="12" t="str">
        <x:v>Mixed business audience</x:v>
      </x:c>
      <x:c r="J3285" s="12" t="str">
        <x:v>IT &amp; digital</x:v>
      </x:c>
      <x:c r="K3285" s="2" t="str">
        <x:v>PARTNER-M130</x:v>
      </x:c>
    </x:row>
    <x:row r="3286" ht="46" customHeight="1">
      <x:c r="A3286" s="2" t="str">
        <x:v>TEN-16F45B99ABFD</x:v>
      </x:c>
      <x:c r="B3286" s="12" t="str">
        <x:v>Boeing</x:v>
      </x:c>
      <x:c r="C3286" s="12" t="str">
        <x:v>CORP-0549</x:v>
      </x:c>
      <x:c r="D3286" s="12" t="str">
        <x:v>Bengaluru</x:v>
      </x:c>
      <x:c r="E3286" s="12" t="str">
        <x:v>Bagmane Constellation </x:v>
      </x:c>
      <x:c r="F3286" s="12" t="str">
        <x:v>55 inch</x:v>
      </x:c>
      <x:c r="G3286" s="20" t="n">
        <x:v>1</x:v>
      </x:c>
      <x:c r="H3286" s="12" t="str">
        <x:v>Campus/portfolio roster; individual building occupancy unverified</x:v>
      </x:c>
      <x:c r="I3286" s="12" t="str">
        <x:v>Large enterprise</x:v>
      </x:c>
      <x:c r="J3286" s="12" t="str">
        <x:v>Engineering &amp; manufacturing</x:v>
      </x:c>
      <x:c r="K3286" s="2" t="str">
        <x:v>PARTNER-M130</x:v>
      </x:c>
    </x:row>
    <x:row r="3287" ht="46" customHeight="1">
      <x:c r="A3287" s="2" t="str">
        <x:v>TEN-36E26473A4E8</x:v>
      </x:c>
      <x:c r="B3287" s="12" t="str">
        <x:v>Alstom</x:v>
      </x:c>
      <x:c r="C3287" s="12" t="str">
        <x:v>CORP-0549</x:v>
      </x:c>
      <x:c r="D3287" s="12" t="str">
        <x:v>Bengaluru</x:v>
      </x:c>
      <x:c r="E3287" s="12" t="str">
        <x:v>Bagmane Constellation </x:v>
      </x:c>
      <x:c r="F3287" s="12" t="str">
        <x:v>55 inch</x:v>
      </x:c>
      <x:c r="G3287" s="20" t="n">
        <x:v>1</x:v>
      </x:c>
      <x:c r="H3287" s="12" t="str">
        <x:v>Campus/portfolio roster; individual building occupancy unverified</x:v>
      </x:c>
      <x:c r="I3287" s="12" t="str">
        <x:v>Large enterprise</x:v>
      </x:c>
      <x:c r="J3287" s="12" t="str">
        <x:v>Engineering &amp; manufacturing</x:v>
      </x:c>
      <x:c r="K3287" s="2" t="str">
        <x:v>PARTNER-M130</x:v>
      </x:c>
    </x:row>
    <x:row r="3288" ht="46" customHeight="1">
      <x:c r="A3288" s="2" t="str">
        <x:v>TEN-3E451D4C362B</x:v>
      </x:c>
      <x:c r="B3288" s="12" t="str">
        <x:v>Sapient</x:v>
      </x:c>
      <x:c r="C3288" s="12" t="str">
        <x:v>CORP-0549</x:v>
      </x:c>
      <x:c r="D3288" s="12" t="str">
        <x:v>Bengaluru</x:v>
      </x:c>
      <x:c r="E3288" s="12" t="str">
        <x:v>Bagmane Constellation </x:v>
      </x:c>
      <x:c r="F3288" s="12" t="str">
        <x:v>55 inch</x:v>
      </x:c>
      <x:c r="G3288" s="20" t="n">
        <x:v>1</x:v>
      </x:c>
      <x:c r="H3288" s="12" t="str">
        <x:v>Campus/portfolio roster; individual building occupancy unverified</x:v>
      </x:c>
      <x:c r="I3288" s="12" t="str">
        <x:v>Large enterprise</x:v>
      </x:c>
      <x:c r="J3288" s="12" t="str">
        <x:v>Unresolved</x:v>
      </x:c>
      <x:c r="K3288" s="2" t="str">
        <x:v>PARTNER-M130</x:v>
      </x:c>
    </x:row>
    <x:row r="3289" ht="46" customHeight="1">
      <x:c r="A3289" s="2" t="str">
        <x:v>TEN-69A068939DEA</x:v>
      </x:c>
      <x:c r="B3289" s="12" t="str">
        <x:v>Ernst and Young</x:v>
      </x:c>
      <x:c r="C3289" s="12" t="str">
        <x:v>CORP-0549</x:v>
      </x:c>
      <x:c r="D3289" s="12" t="str">
        <x:v>Bengaluru</x:v>
      </x:c>
      <x:c r="E3289" s="12" t="str">
        <x:v>Bagmane Constellation </x:v>
      </x:c>
      <x:c r="F3289" s="12" t="str">
        <x:v>55 inch</x:v>
      </x:c>
      <x:c r="G3289" s="20" t="n">
        <x:v>1</x:v>
      </x:c>
      <x:c r="H3289" s="12" t="str">
        <x:v>Campus/portfolio roster; individual building occupancy unverified</x:v>
      </x:c>
      <x:c r="I3289" s="12" t="str">
        <x:v>Large enterprise</x:v>
      </x:c>
      <x:c r="J3289" s="12" t="str">
        <x:v>Professional services</x:v>
      </x:c>
      <x:c r="K3289" s="2" t="str">
        <x:v>PARTNER-M130</x:v>
      </x:c>
    </x:row>
    <x:row r="3290" ht="46" customHeight="1">
      <x:c r="A3290" s="2" t="str">
        <x:v>TEN-8DFE5E6CF73B</x:v>
      </x:c>
      <x:c r="B3290" s="12" t="str">
        <x:v>Red Hat</x:v>
      </x:c>
      <x:c r="C3290" s="12" t="str">
        <x:v>CORP-0549</x:v>
      </x:c>
      <x:c r="D3290" s="12" t="str">
        <x:v>Bengaluru</x:v>
      </x:c>
      <x:c r="E3290" s="12" t="str">
        <x:v>Bagmane Constellation </x:v>
      </x:c>
      <x:c r="F3290" s="12" t="str">
        <x:v>55 inch</x:v>
      </x:c>
      <x:c r="G3290" s="20" t="n">
        <x:v>1</x:v>
      </x:c>
      <x:c r="H3290" s="12" t="str">
        <x:v>Campus/portfolio roster; individual building occupancy unverified</x:v>
      </x:c>
      <x:c r="I3290" s="12" t="str">
        <x:v>Large enterprise</x:v>
      </x:c>
      <x:c r="J3290" s="12" t="str">
        <x:v>IT &amp; digital</x:v>
      </x:c>
      <x:c r="K3290" s="2" t="str">
        <x:v>PARTNER-M130</x:v>
      </x:c>
    </x:row>
    <x:row r="3291" ht="46" customHeight="1">
      <x:c r="A3291" s="2" t="str">
        <x:v>TEN-968E2D5B0868</x:v>
      </x:c>
      <x:c r="B3291" s="12" t="str">
        <x:v>Samsung</x:v>
      </x:c>
      <x:c r="C3291" s="12" t="str">
        <x:v>CORP-0549</x:v>
      </x:c>
      <x:c r="D3291" s="12" t="str">
        <x:v>Bengaluru</x:v>
      </x:c>
      <x:c r="E3291" s="12" t="str">
        <x:v>Bagmane Constellation </x:v>
      </x:c>
      <x:c r="F3291" s="12" t="str">
        <x:v>55 inch</x:v>
      </x:c>
      <x:c r="G3291" s="20" t="n">
        <x:v>1</x:v>
      </x:c>
      <x:c r="H3291" s="12" t="str">
        <x:v>Campus/portfolio roster; individual building occupancy unverified</x:v>
      </x:c>
      <x:c r="I3291" s="12" t="str">
        <x:v>Large enterprise</x:v>
      </x:c>
      <x:c r="J3291" s="12" t="str">
        <x:v>Engineering &amp; manufacturing</x:v>
      </x:c>
      <x:c r="K3291" s="2" t="str">
        <x:v>PARTNER-M130</x:v>
      </x:c>
    </x:row>
    <x:row r="3292" ht="46" customHeight="1">
      <x:c r="A3292" s="2" t="str">
        <x:v>TEN-BBDEFA2950F4</x:v>
      </x:c>
      <x:c r="B3292" s="12" t="str">
        <x:v>Google</x:v>
      </x:c>
      <x:c r="C3292" s="12" t="str">
        <x:v>CORP-0549</x:v>
      </x:c>
      <x:c r="D3292" s="12" t="str">
        <x:v>Bengaluru</x:v>
      </x:c>
      <x:c r="E3292" s="12" t="str">
        <x:v>Bagmane Constellation </x:v>
      </x:c>
      <x:c r="F3292" s="12" t="str">
        <x:v>55 inch</x:v>
      </x:c>
      <x:c r="G3292" s="20" t="n">
        <x:v>1</x:v>
      </x:c>
      <x:c r="H3292" s="12" t="str">
        <x:v>Campus/portfolio roster; individual building occupancy unverified</x:v>
      </x:c>
      <x:c r="I3292" s="12" t="str">
        <x:v>Large enterprise</x:v>
      </x:c>
      <x:c r="J3292" s="12" t="str">
        <x:v>IT &amp; digital</x:v>
      </x:c>
      <x:c r="K3292" s="2" t="str">
        <x:v>PARTNER-M130</x:v>
      </x:c>
    </x:row>
    <x:row r="3293" ht="46" customHeight="1">
      <x:c r="A3293" s="2" t="str">
        <x:v>TEN-CBC62794911F</x:v>
      </x:c>
      <x:c r="B3293" s="12" t="str">
        <x:v>Amazon</x:v>
      </x:c>
      <x:c r="C3293" s="12" t="str">
        <x:v>CORP-0549</x:v>
      </x:c>
      <x:c r="D3293" s="12" t="str">
        <x:v>Bengaluru</x:v>
      </x:c>
      <x:c r="E3293" s="12" t="str">
        <x:v>Bagmane Constellation </x:v>
      </x:c>
      <x:c r="F3293" s="12" t="str">
        <x:v>55 inch</x:v>
      </x:c>
      <x:c r="G3293" s="20" t="n">
        <x:v>1</x:v>
      </x:c>
      <x:c r="H3293" s="12" t="str">
        <x:v>Campus/portfolio roster; individual building occupancy unverified</x:v>
      </x:c>
      <x:c r="I3293" s="12" t="str">
        <x:v>Large enterprise</x:v>
      </x:c>
      <x:c r="J3293" s="12" t="str">
        <x:v>IT &amp; digital</x:v>
      </x:c>
      <x:c r="K3293" s="2" t="str">
        <x:v>PARTNER-M130</x:v>
      </x:c>
    </x:row>
    <x:row r="3294" ht="46" customHeight="1">
      <x:c r="A3294" s="2" t="str">
        <x:v>TEN-F31639A23C74</x:v>
      </x:c>
      <x:c r="B3294" s="12" t="str">
        <x:v>Qualcomm</x:v>
      </x:c>
      <x:c r="C3294" s="12" t="str">
        <x:v>CORP-0549</x:v>
      </x:c>
      <x:c r="D3294" s="12" t="str">
        <x:v>Bengaluru</x:v>
      </x:c>
      <x:c r="E3294" s="12" t="str">
        <x:v>Bagmane Constellation </x:v>
      </x:c>
      <x:c r="F3294" s="12" t="str">
        <x:v>55 inch</x:v>
      </x:c>
      <x:c r="G3294" s="20" t="n">
        <x:v>1</x:v>
      </x:c>
      <x:c r="H3294" s="12" t="str">
        <x:v>Campus/portfolio roster; individual building occupancy unverified</x:v>
      </x:c>
      <x:c r="I3294" s="12" t="str">
        <x:v>Large enterprise</x:v>
      </x:c>
      <x:c r="J3294" s="12" t="str">
        <x:v>Engineering &amp; manufacturing</x:v>
      </x:c>
      <x:c r="K3294" s="2" t="str">
        <x:v>PARTNER-M130</x:v>
      </x:c>
    </x:row>
    <x:row r="3295" ht="46" customHeight="1">
      <x:c r="A3295" s="2" t="str">
        <x:v>TEN-F68A6275A50C</x:v>
      </x:c>
      <x:c r="B3295" s="12" t="str">
        <x:v>Archwel</x:v>
      </x:c>
      <x:c r="C3295" s="12" t="str">
        <x:v>CORP-0549</x:v>
      </x:c>
      <x:c r="D3295" s="12" t="str">
        <x:v>Bengaluru</x:v>
      </x:c>
      <x:c r="E3295" s="12" t="str">
        <x:v>Bagmane Constellation </x:v>
      </x:c>
      <x:c r="F3295" s="12" t="str">
        <x:v>55 inch</x:v>
      </x:c>
      <x:c r="G3295" s="20" t="n">
        <x:v>1</x:v>
      </x:c>
      <x:c r="H3295" s="12" t="str">
        <x:v>Campus/portfolio roster; individual building occupancy unverified</x:v>
      </x:c>
      <x:c r="I3295" s="12" t="str">
        <x:v>Mixed business audience</x:v>
      </x:c>
      <x:c r="J3295" s="12" t="str">
        <x:v>Unresolved</x:v>
      </x:c>
      <x:c r="K3295" s="2" t="str">
        <x:v>PARTNER-M130</x:v>
      </x:c>
    </x:row>
    <x:row r="3296" ht="46" customHeight="1">
      <x:c r="A3296" s="2" t="str">
        <x:v>TEN-090321827705</x:v>
      </x:c>
      <x:c r="B3296" s="12" t="str">
        <x:v>Mysis</x:v>
      </x:c>
      <x:c r="C3296" s="12" t="str">
        <x:v>CORP-0550</x:v>
      </x:c>
      <x:c r="D3296" s="12" t="str">
        <x:v>Bengaluru</x:v>
      </x:c>
      <x:c r="E3296" s="12" t="str">
        <x:v>Bagmane Constellation </x:v>
      </x:c>
      <x:c r="F3296" s="12" t="str">
        <x:v>55 inch</x:v>
      </x:c>
      <x:c r="G3296" s="20" t="n">
        <x:v>1</x:v>
      </x:c>
      <x:c r="H3296" s="12" t="str">
        <x:v>Campus/portfolio roster; individual building occupancy unverified</x:v>
      </x:c>
      <x:c r="I3296" s="12" t="str">
        <x:v>Mixed business audience</x:v>
      </x:c>
      <x:c r="J3296" s="12" t="str">
        <x:v>IT &amp; digital</x:v>
      </x:c>
      <x:c r="K3296" s="2" t="str">
        <x:v>PARTNER-M130</x:v>
      </x:c>
    </x:row>
    <x:row r="3297" ht="46" customHeight="1">
      <x:c r="A3297" s="2" t="str">
        <x:v>TEN-16F45B99ABFD</x:v>
      </x:c>
      <x:c r="B3297" s="12" t="str">
        <x:v>Boeing</x:v>
      </x:c>
      <x:c r="C3297" s="12" t="str">
        <x:v>CORP-0550</x:v>
      </x:c>
      <x:c r="D3297" s="12" t="str">
        <x:v>Bengaluru</x:v>
      </x:c>
      <x:c r="E3297" s="12" t="str">
        <x:v>Bagmane Constellation </x:v>
      </x:c>
      <x:c r="F3297" s="12" t="str">
        <x:v>55 inch</x:v>
      </x:c>
      <x:c r="G3297" s="20" t="n">
        <x:v>1</x:v>
      </x:c>
      <x:c r="H3297" s="12" t="str">
        <x:v>Campus/portfolio roster; individual building occupancy unverified</x:v>
      </x:c>
      <x:c r="I3297" s="12" t="str">
        <x:v>Large enterprise</x:v>
      </x:c>
      <x:c r="J3297" s="12" t="str">
        <x:v>Engineering &amp; manufacturing</x:v>
      </x:c>
      <x:c r="K3297" s="2" t="str">
        <x:v>PARTNER-M130</x:v>
      </x:c>
    </x:row>
    <x:row r="3298" ht="46" customHeight="1">
      <x:c r="A3298" s="2" t="str">
        <x:v>TEN-36E26473A4E8</x:v>
      </x:c>
      <x:c r="B3298" s="12" t="str">
        <x:v>Alstom</x:v>
      </x:c>
      <x:c r="C3298" s="12" t="str">
        <x:v>CORP-0550</x:v>
      </x:c>
      <x:c r="D3298" s="12" t="str">
        <x:v>Bengaluru</x:v>
      </x:c>
      <x:c r="E3298" s="12" t="str">
        <x:v>Bagmane Constellation </x:v>
      </x:c>
      <x:c r="F3298" s="12" t="str">
        <x:v>55 inch</x:v>
      </x:c>
      <x:c r="G3298" s="20" t="n">
        <x:v>1</x:v>
      </x:c>
      <x:c r="H3298" s="12" t="str">
        <x:v>Campus/portfolio roster; individual building occupancy unverified</x:v>
      </x:c>
      <x:c r="I3298" s="12" t="str">
        <x:v>Large enterprise</x:v>
      </x:c>
      <x:c r="J3298" s="12" t="str">
        <x:v>Engineering &amp; manufacturing</x:v>
      </x:c>
      <x:c r="K3298" s="2" t="str">
        <x:v>PARTNER-M130</x:v>
      </x:c>
    </x:row>
    <x:row r="3299" ht="46" customHeight="1">
      <x:c r="A3299" s="2" t="str">
        <x:v>TEN-3E451D4C362B</x:v>
      </x:c>
      <x:c r="B3299" s="12" t="str">
        <x:v>Sapient</x:v>
      </x:c>
      <x:c r="C3299" s="12" t="str">
        <x:v>CORP-0550</x:v>
      </x:c>
      <x:c r="D3299" s="12" t="str">
        <x:v>Bengaluru</x:v>
      </x:c>
      <x:c r="E3299" s="12" t="str">
        <x:v>Bagmane Constellation </x:v>
      </x:c>
      <x:c r="F3299" s="12" t="str">
        <x:v>55 inch</x:v>
      </x:c>
      <x:c r="G3299" s="20" t="n">
        <x:v>1</x:v>
      </x:c>
      <x:c r="H3299" s="12" t="str">
        <x:v>Campus/portfolio roster; individual building occupancy unverified</x:v>
      </x:c>
      <x:c r="I3299" s="12" t="str">
        <x:v>Large enterprise</x:v>
      </x:c>
      <x:c r="J3299" s="12" t="str">
        <x:v>Unresolved</x:v>
      </x:c>
      <x:c r="K3299" s="2" t="str">
        <x:v>PARTNER-M130</x:v>
      </x:c>
    </x:row>
    <x:row r="3300" ht="46" customHeight="1">
      <x:c r="A3300" s="2" t="str">
        <x:v>TEN-69A068939DEA</x:v>
      </x:c>
      <x:c r="B3300" s="12" t="str">
        <x:v>Ernst and Young</x:v>
      </x:c>
      <x:c r="C3300" s="12" t="str">
        <x:v>CORP-0550</x:v>
      </x:c>
      <x:c r="D3300" s="12" t="str">
        <x:v>Bengaluru</x:v>
      </x:c>
      <x:c r="E3300" s="12" t="str">
        <x:v>Bagmane Constellation </x:v>
      </x:c>
      <x:c r="F3300" s="12" t="str">
        <x:v>55 inch</x:v>
      </x:c>
      <x:c r="G3300" s="20" t="n">
        <x:v>1</x:v>
      </x:c>
      <x:c r="H3300" s="12" t="str">
        <x:v>Campus/portfolio roster; individual building occupancy unverified</x:v>
      </x:c>
      <x:c r="I3300" s="12" t="str">
        <x:v>Large enterprise</x:v>
      </x:c>
      <x:c r="J3300" s="12" t="str">
        <x:v>Professional services</x:v>
      </x:c>
      <x:c r="K3300" s="2" t="str">
        <x:v>PARTNER-M130</x:v>
      </x:c>
    </x:row>
    <x:row r="3301" ht="46" customHeight="1">
      <x:c r="A3301" s="2" t="str">
        <x:v>TEN-8DFE5E6CF73B</x:v>
      </x:c>
      <x:c r="B3301" s="12" t="str">
        <x:v>Red Hat</x:v>
      </x:c>
      <x:c r="C3301" s="12" t="str">
        <x:v>CORP-0550</x:v>
      </x:c>
      <x:c r="D3301" s="12" t="str">
        <x:v>Bengaluru</x:v>
      </x:c>
      <x:c r="E3301" s="12" t="str">
        <x:v>Bagmane Constellation </x:v>
      </x:c>
      <x:c r="F3301" s="12" t="str">
        <x:v>55 inch</x:v>
      </x:c>
      <x:c r="G3301" s="20" t="n">
        <x:v>1</x:v>
      </x:c>
      <x:c r="H3301" s="12" t="str">
        <x:v>Campus/portfolio roster; individual building occupancy unverified</x:v>
      </x:c>
      <x:c r="I3301" s="12" t="str">
        <x:v>Large enterprise</x:v>
      </x:c>
      <x:c r="J3301" s="12" t="str">
        <x:v>IT &amp; digital</x:v>
      </x:c>
      <x:c r="K3301" s="2" t="str">
        <x:v>PARTNER-M130</x:v>
      </x:c>
    </x:row>
    <x:row r="3302" ht="46" customHeight="1">
      <x:c r="A3302" s="2" t="str">
        <x:v>TEN-968E2D5B0868</x:v>
      </x:c>
      <x:c r="B3302" s="12" t="str">
        <x:v>Samsung</x:v>
      </x:c>
      <x:c r="C3302" s="12" t="str">
        <x:v>CORP-0550</x:v>
      </x:c>
      <x:c r="D3302" s="12" t="str">
        <x:v>Bengaluru</x:v>
      </x:c>
      <x:c r="E3302" s="12" t="str">
        <x:v>Bagmane Constellation </x:v>
      </x:c>
      <x:c r="F3302" s="12" t="str">
        <x:v>55 inch</x:v>
      </x:c>
      <x:c r="G3302" s="20" t="n">
        <x:v>1</x:v>
      </x:c>
      <x:c r="H3302" s="12" t="str">
        <x:v>Campus/portfolio roster; individual building occupancy unverified</x:v>
      </x:c>
      <x:c r="I3302" s="12" t="str">
        <x:v>Large enterprise</x:v>
      </x:c>
      <x:c r="J3302" s="12" t="str">
        <x:v>Engineering &amp; manufacturing</x:v>
      </x:c>
      <x:c r="K3302" s="2" t="str">
        <x:v>PARTNER-M130</x:v>
      </x:c>
    </x:row>
    <x:row r="3303" ht="46" customHeight="1">
      <x:c r="A3303" s="2" t="str">
        <x:v>TEN-BBDEFA2950F4</x:v>
      </x:c>
      <x:c r="B3303" s="12" t="str">
        <x:v>Google</x:v>
      </x:c>
      <x:c r="C3303" s="12" t="str">
        <x:v>CORP-0550</x:v>
      </x:c>
      <x:c r="D3303" s="12" t="str">
        <x:v>Bengaluru</x:v>
      </x:c>
      <x:c r="E3303" s="12" t="str">
        <x:v>Bagmane Constellation </x:v>
      </x:c>
      <x:c r="F3303" s="12" t="str">
        <x:v>55 inch</x:v>
      </x:c>
      <x:c r="G3303" s="20" t="n">
        <x:v>1</x:v>
      </x:c>
      <x:c r="H3303" s="12" t="str">
        <x:v>Campus/portfolio roster; individual building occupancy unverified</x:v>
      </x:c>
      <x:c r="I3303" s="12" t="str">
        <x:v>Large enterprise</x:v>
      </x:c>
      <x:c r="J3303" s="12" t="str">
        <x:v>IT &amp; digital</x:v>
      </x:c>
      <x:c r="K3303" s="2" t="str">
        <x:v>PARTNER-M130</x:v>
      </x:c>
    </x:row>
    <x:row r="3304" ht="46" customHeight="1">
      <x:c r="A3304" s="2" t="str">
        <x:v>TEN-CBC62794911F</x:v>
      </x:c>
      <x:c r="B3304" s="12" t="str">
        <x:v>Amazon</x:v>
      </x:c>
      <x:c r="C3304" s="12" t="str">
        <x:v>CORP-0550</x:v>
      </x:c>
      <x:c r="D3304" s="12" t="str">
        <x:v>Bengaluru</x:v>
      </x:c>
      <x:c r="E3304" s="12" t="str">
        <x:v>Bagmane Constellation </x:v>
      </x:c>
      <x:c r="F3304" s="12" t="str">
        <x:v>55 inch</x:v>
      </x:c>
      <x:c r="G3304" s="20" t="n">
        <x:v>1</x:v>
      </x:c>
      <x:c r="H3304" s="12" t="str">
        <x:v>Campus/portfolio roster; individual building occupancy unverified</x:v>
      </x:c>
      <x:c r="I3304" s="12" t="str">
        <x:v>Large enterprise</x:v>
      </x:c>
      <x:c r="J3304" s="12" t="str">
        <x:v>IT &amp; digital</x:v>
      </x:c>
      <x:c r="K3304" s="2" t="str">
        <x:v>PARTNER-M130</x:v>
      </x:c>
    </x:row>
    <x:row r="3305" ht="46" customHeight="1">
      <x:c r="A3305" s="2" t="str">
        <x:v>TEN-F31639A23C74</x:v>
      </x:c>
      <x:c r="B3305" s="12" t="str">
        <x:v>Qualcomm</x:v>
      </x:c>
      <x:c r="C3305" s="12" t="str">
        <x:v>CORP-0550</x:v>
      </x:c>
      <x:c r="D3305" s="12" t="str">
        <x:v>Bengaluru</x:v>
      </x:c>
      <x:c r="E3305" s="12" t="str">
        <x:v>Bagmane Constellation </x:v>
      </x:c>
      <x:c r="F3305" s="12" t="str">
        <x:v>55 inch</x:v>
      </x:c>
      <x:c r="G3305" s="20" t="n">
        <x:v>1</x:v>
      </x:c>
      <x:c r="H3305" s="12" t="str">
        <x:v>Campus/portfolio roster; individual building occupancy unverified</x:v>
      </x:c>
      <x:c r="I3305" s="12" t="str">
        <x:v>Large enterprise</x:v>
      </x:c>
      <x:c r="J3305" s="12" t="str">
        <x:v>Engineering &amp; manufacturing</x:v>
      </x:c>
      <x:c r="K3305" s="2" t="str">
        <x:v>PARTNER-M130</x:v>
      </x:c>
    </x:row>
    <x:row r="3306" ht="46" customHeight="1">
      <x:c r="A3306" s="2" t="str">
        <x:v>TEN-F68A6275A50C</x:v>
      </x:c>
      <x:c r="B3306" s="12" t="str">
        <x:v>Archwel</x:v>
      </x:c>
      <x:c r="C3306" s="12" t="str">
        <x:v>CORP-0550</x:v>
      </x:c>
      <x:c r="D3306" s="12" t="str">
        <x:v>Bengaluru</x:v>
      </x:c>
      <x:c r="E3306" s="12" t="str">
        <x:v>Bagmane Constellation </x:v>
      </x:c>
      <x:c r="F3306" s="12" t="str">
        <x:v>55 inch</x:v>
      </x:c>
      <x:c r="G3306" s="20" t="n">
        <x:v>1</x:v>
      </x:c>
      <x:c r="H3306" s="12" t="str">
        <x:v>Campus/portfolio roster; individual building occupancy unverified</x:v>
      </x:c>
      <x:c r="I3306" s="12" t="str">
        <x:v>Mixed business audience</x:v>
      </x:c>
      <x:c r="J3306" s="12" t="str">
        <x:v>Unresolved</x:v>
      </x:c>
      <x:c r="K3306" s="2" t="str">
        <x:v>PARTNER-M130</x:v>
      </x:c>
    </x:row>
    <x:row r="3307" ht="46" customHeight="1">
      <x:c r="A3307" s="2" t="str">
        <x:v>TEN-090321827705</x:v>
      </x:c>
      <x:c r="B3307" s="12" t="str">
        <x:v>Mysis</x:v>
      </x:c>
      <x:c r="C3307" s="12" t="str">
        <x:v>CORP-0551</x:v>
      </x:c>
      <x:c r="D3307" s="12" t="str">
        <x:v>Bengaluru</x:v>
      </x:c>
      <x:c r="E3307" s="12" t="str">
        <x:v>Bagmane Constellation </x:v>
      </x:c>
      <x:c r="F3307" s="12" t="str">
        <x:v>55 inch</x:v>
      </x:c>
      <x:c r="G3307" s="20" t="n">
        <x:v>1</x:v>
      </x:c>
      <x:c r="H3307" s="12" t="str">
        <x:v>Campus/portfolio roster; individual building occupancy unverified</x:v>
      </x:c>
      <x:c r="I3307" s="12" t="str">
        <x:v>Mixed business audience</x:v>
      </x:c>
      <x:c r="J3307" s="12" t="str">
        <x:v>IT &amp; digital</x:v>
      </x:c>
      <x:c r="K3307" s="2" t="str">
        <x:v>PARTNER-M130</x:v>
      </x:c>
    </x:row>
    <x:row r="3308" ht="46" customHeight="1">
      <x:c r="A3308" s="2" t="str">
        <x:v>TEN-16F45B99ABFD</x:v>
      </x:c>
      <x:c r="B3308" s="12" t="str">
        <x:v>Boeing</x:v>
      </x:c>
      <x:c r="C3308" s="12" t="str">
        <x:v>CORP-0551</x:v>
      </x:c>
      <x:c r="D3308" s="12" t="str">
        <x:v>Bengaluru</x:v>
      </x:c>
      <x:c r="E3308" s="12" t="str">
        <x:v>Bagmane Constellation </x:v>
      </x:c>
      <x:c r="F3308" s="12" t="str">
        <x:v>55 inch</x:v>
      </x:c>
      <x:c r="G3308" s="20" t="n">
        <x:v>1</x:v>
      </x:c>
      <x:c r="H3308" s="12" t="str">
        <x:v>Campus/portfolio roster; individual building occupancy unverified</x:v>
      </x:c>
      <x:c r="I3308" s="12" t="str">
        <x:v>Large enterprise</x:v>
      </x:c>
      <x:c r="J3308" s="12" t="str">
        <x:v>Engineering &amp; manufacturing</x:v>
      </x:c>
      <x:c r="K3308" s="2" t="str">
        <x:v>PARTNER-M130</x:v>
      </x:c>
    </x:row>
    <x:row r="3309" ht="46" customHeight="1">
      <x:c r="A3309" s="2" t="str">
        <x:v>TEN-36E26473A4E8</x:v>
      </x:c>
      <x:c r="B3309" s="12" t="str">
        <x:v>Alstom</x:v>
      </x:c>
      <x:c r="C3309" s="12" t="str">
        <x:v>CORP-0551</x:v>
      </x:c>
      <x:c r="D3309" s="12" t="str">
        <x:v>Bengaluru</x:v>
      </x:c>
      <x:c r="E3309" s="12" t="str">
        <x:v>Bagmane Constellation </x:v>
      </x:c>
      <x:c r="F3309" s="12" t="str">
        <x:v>55 inch</x:v>
      </x:c>
      <x:c r="G3309" s="20" t="n">
        <x:v>1</x:v>
      </x:c>
      <x:c r="H3309" s="12" t="str">
        <x:v>Campus/portfolio roster; individual building occupancy unverified</x:v>
      </x:c>
      <x:c r="I3309" s="12" t="str">
        <x:v>Large enterprise</x:v>
      </x:c>
      <x:c r="J3309" s="12" t="str">
        <x:v>Engineering &amp; manufacturing</x:v>
      </x:c>
      <x:c r="K3309" s="2" t="str">
        <x:v>PARTNER-M130</x:v>
      </x:c>
    </x:row>
    <x:row r="3310" ht="46" customHeight="1">
      <x:c r="A3310" s="2" t="str">
        <x:v>TEN-3E451D4C362B</x:v>
      </x:c>
      <x:c r="B3310" s="12" t="str">
        <x:v>Sapient</x:v>
      </x:c>
      <x:c r="C3310" s="12" t="str">
        <x:v>CORP-0551</x:v>
      </x:c>
      <x:c r="D3310" s="12" t="str">
        <x:v>Bengaluru</x:v>
      </x:c>
      <x:c r="E3310" s="12" t="str">
        <x:v>Bagmane Constellation </x:v>
      </x:c>
      <x:c r="F3310" s="12" t="str">
        <x:v>55 inch</x:v>
      </x:c>
      <x:c r="G3310" s="20" t="n">
        <x:v>1</x:v>
      </x:c>
      <x:c r="H3310" s="12" t="str">
        <x:v>Campus/portfolio roster; individual building occupancy unverified</x:v>
      </x:c>
      <x:c r="I3310" s="12" t="str">
        <x:v>Large enterprise</x:v>
      </x:c>
      <x:c r="J3310" s="12" t="str">
        <x:v>Unresolved</x:v>
      </x:c>
      <x:c r="K3310" s="2" t="str">
        <x:v>PARTNER-M130</x:v>
      </x:c>
    </x:row>
    <x:row r="3311" ht="46" customHeight="1">
      <x:c r="A3311" s="2" t="str">
        <x:v>TEN-69A068939DEA</x:v>
      </x:c>
      <x:c r="B3311" s="12" t="str">
        <x:v>Ernst and Young</x:v>
      </x:c>
      <x:c r="C3311" s="12" t="str">
        <x:v>CORP-0551</x:v>
      </x:c>
      <x:c r="D3311" s="12" t="str">
        <x:v>Bengaluru</x:v>
      </x:c>
      <x:c r="E3311" s="12" t="str">
        <x:v>Bagmane Constellation </x:v>
      </x:c>
      <x:c r="F3311" s="12" t="str">
        <x:v>55 inch</x:v>
      </x:c>
      <x:c r="G3311" s="20" t="n">
        <x:v>1</x:v>
      </x:c>
      <x:c r="H3311" s="12" t="str">
        <x:v>Campus/portfolio roster; individual building occupancy unverified</x:v>
      </x:c>
      <x:c r="I3311" s="12" t="str">
        <x:v>Large enterprise</x:v>
      </x:c>
      <x:c r="J3311" s="12" t="str">
        <x:v>Professional services</x:v>
      </x:c>
      <x:c r="K3311" s="2" t="str">
        <x:v>PARTNER-M130</x:v>
      </x:c>
    </x:row>
    <x:row r="3312" ht="46" customHeight="1">
      <x:c r="A3312" s="2" t="str">
        <x:v>TEN-8DFE5E6CF73B</x:v>
      </x:c>
      <x:c r="B3312" s="12" t="str">
        <x:v>Red Hat</x:v>
      </x:c>
      <x:c r="C3312" s="12" t="str">
        <x:v>CORP-0551</x:v>
      </x:c>
      <x:c r="D3312" s="12" t="str">
        <x:v>Bengaluru</x:v>
      </x:c>
      <x:c r="E3312" s="12" t="str">
        <x:v>Bagmane Constellation </x:v>
      </x:c>
      <x:c r="F3312" s="12" t="str">
        <x:v>55 inch</x:v>
      </x:c>
      <x:c r="G3312" s="20" t="n">
        <x:v>1</x:v>
      </x:c>
      <x:c r="H3312" s="12" t="str">
        <x:v>Campus/portfolio roster; individual building occupancy unverified</x:v>
      </x:c>
      <x:c r="I3312" s="12" t="str">
        <x:v>Large enterprise</x:v>
      </x:c>
      <x:c r="J3312" s="12" t="str">
        <x:v>IT &amp; digital</x:v>
      </x:c>
      <x:c r="K3312" s="2" t="str">
        <x:v>PARTNER-M130</x:v>
      </x:c>
    </x:row>
    <x:row r="3313" ht="46" customHeight="1">
      <x:c r="A3313" s="2" t="str">
        <x:v>TEN-968E2D5B0868</x:v>
      </x:c>
      <x:c r="B3313" s="12" t="str">
        <x:v>Samsung</x:v>
      </x:c>
      <x:c r="C3313" s="12" t="str">
        <x:v>CORP-0551</x:v>
      </x:c>
      <x:c r="D3313" s="12" t="str">
        <x:v>Bengaluru</x:v>
      </x:c>
      <x:c r="E3313" s="12" t="str">
        <x:v>Bagmane Constellation </x:v>
      </x:c>
      <x:c r="F3313" s="12" t="str">
        <x:v>55 inch</x:v>
      </x:c>
      <x:c r="G3313" s="20" t="n">
        <x:v>1</x:v>
      </x:c>
      <x:c r="H3313" s="12" t="str">
        <x:v>Campus/portfolio roster; individual building occupancy unverified</x:v>
      </x:c>
      <x:c r="I3313" s="12" t="str">
        <x:v>Large enterprise</x:v>
      </x:c>
      <x:c r="J3313" s="12" t="str">
        <x:v>Engineering &amp; manufacturing</x:v>
      </x:c>
      <x:c r="K3313" s="2" t="str">
        <x:v>PARTNER-M130</x:v>
      </x:c>
    </x:row>
    <x:row r="3314" ht="46" customHeight="1">
      <x:c r="A3314" s="2" t="str">
        <x:v>TEN-BBDEFA2950F4</x:v>
      </x:c>
      <x:c r="B3314" s="12" t="str">
        <x:v>Google</x:v>
      </x:c>
      <x:c r="C3314" s="12" t="str">
        <x:v>CORP-0551</x:v>
      </x:c>
      <x:c r="D3314" s="12" t="str">
        <x:v>Bengaluru</x:v>
      </x:c>
      <x:c r="E3314" s="12" t="str">
        <x:v>Bagmane Constellation </x:v>
      </x:c>
      <x:c r="F3314" s="12" t="str">
        <x:v>55 inch</x:v>
      </x:c>
      <x:c r="G3314" s="20" t="n">
        <x:v>1</x:v>
      </x:c>
      <x:c r="H3314" s="12" t="str">
        <x:v>Campus/portfolio roster; individual building occupancy unverified</x:v>
      </x:c>
      <x:c r="I3314" s="12" t="str">
        <x:v>Large enterprise</x:v>
      </x:c>
      <x:c r="J3314" s="12" t="str">
        <x:v>IT &amp; digital</x:v>
      </x:c>
      <x:c r="K3314" s="2" t="str">
        <x:v>PARTNER-M130</x:v>
      </x:c>
    </x:row>
    <x:row r="3315" ht="46" customHeight="1">
      <x:c r="A3315" s="2" t="str">
        <x:v>TEN-CBC62794911F</x:v>
      </x:c>
      <x:c r="B3315" s="12" t="str">
        <x:v>Amazon</x:v>
      </x:c>
      <x:c r="C3315" s="12" t="str">
        <x:v>CORP-0551</x:v>
      </x:c>
      <x:c r="D3315" s="12" t="str">
        <x:v>Bengaluru</x:v>
      </x:c>
      <x:c r="E3315" s="12" t="str">
        <x:v>Bagmane Constellation </x:v>
      </x:c>
      <x:c r="F3315" s="12" t="str">
        <x:v>55 inch</x:v>
      </x:c>
      <x:c r="G3315" s="20" t="n">
        <x:v>1</x:v>
      </x:c>
      <x:c r="H3315" s="12" t="str">
        <x:v>Campus/portfolio roster; individual building occupancy unverified</x:v>
      </x:c>
      <x:c r="I3315" s="12" t="str">
        <x:v>Large enterprise</x:v>
      </x:c>
      <x:c r="J3315" s="12" t="str">
        <x:v>IT &amp; digital</x:v>
      </x:c>
      <x:c r="K3315" s="2" t="str">
        <x:v>PARTNER-M130</x:v>
      </x:c>
    </x:row>
    <x:row r="3316" ht="46" customHeight="1">
      <x:c r="A3316" s="2" t="str">
        <x:v>TEN-F31639A23C74</x:v>
      </x:c>
      <x:c r="B3316" s="12" t="str">
        <x:v>Qualcomm</x:v>
      </x:c>
      <x:c r="C3316" s="12" t="str">
        <x:v>CORP-0551</x:v>
      </x:c>
      <x:c r="D3316" s="12" t="str">
        <x:v>Bengaluru</x:v>
      </x:c>
      <x:c r="E3316" s="12" t="str">
        <x:v>Bagmane Constellation </x:v>
      </x:c>
      <x:c r="F3316" s="12" t="str">
        <x:v>55 inch</x:v>
      </x:c>
      <x:c r="G3316" s="20" t="n">
        <x:v>1</x:v>
      </x:c>
      <x:c r="H3316" s="12" t="str">
        <x:v>Campus/portfolio roster; individual building occupancy unverified</x:v>
      </x:c>
      <x:c r="I3316" s="12" t="str">
        <x:v>Large enterprise</x:v>
      </x:c>
      <x:c r="J3316" s="12" t="str">
        <x:v>Engineering &amp; manufacturing</x:v>
      </x:c>
      <x:c r="K3316" s="2" t="str">
        <x:v>PARTNER-M130</x:v>
      </x:c>
    </x:row>
    <x:row r="3317" ht="46" customHeight="1">
      <x:c r="A3317" s="2" t="str">
        <x:v>TEN-F68A6275A50C</x:v>
      </x:c>
      <x:c r="B3317" s="12" t="str">
        <x:v>Archwel</x:v>
      </x:c>
      <x:c r="C3317" s="12" t="str">
        <x:v>CORP-0551</x:v>
      </x:c>
      <x:c r="D3317" s="12" t="str">
        <x:v>Bengaluru</x:v>
      </x:c>
      <x:c r="E3317" s="12" t="str">
        <x:v>Bagmane Constellation </x:v>
      </x:c>
      <x:c r="F3317" s="12" t="str">
        <x:v>55 inch</x:v>
      </x:c>
      <x:c r="G3317" s="20" t="n">
        <x:v>1</x:v>
      </x:c>
      <x:c r="H3317" s="12" t="str">
        <x:v>Campus/portfolio roster; individual building occupancy unverified</x:v>
      </x:c>
      <x:c r="I3317" s="12" t="str">
        <x:v>Mixed business audience</x:v>
      </x:c>
      <x:c r="J3317" s="12" t="str">
        <x:v>Unresolved</x:v>
      </x:c>
      <x:c r="K3317" s="2" t="str">
        <x:v>PARTNER-M130</x:v>
      </x:c>
    </x:row>
    <x:row r="3318" ht="46" customHeight="1">
      <x:c r="A3318" s="2" t="str">
        <x:v>TEN-090321827705</x:v>
      </x:c>
      <x:c r="B3318" s="12" t="str">
        <x:v>Mysis</x:v>
      </x:c>
      <x:c r="C3318" s="12" t="str">
        <x:v>CORP-0552</x:v>
      </x:c>
      <x:c r="D3318" s="12" t="str">
        <x:v>Bengaluru</x:v>
      </x:c>
      <x:c r="E3318" s="12" t="str">
        <x:v>Bagmane Constellation </x:v>
      </x:c>
      <x:c r="F3318" s="12" t="str">
        <x:v>55 inch</x:v>
      </x:c>
      <x:c r="G3318" s="20" t="n">
        <x:v>1</x:v>
      </x:c>
      <x:c r="H3318" s="12" t="str">
        <x:v>Campus/portfolio roster; individual building occupancy unverified</x:v>
      </x:c>
      <x:c r="I3318" s="12" t="str">
        <x:v>Mixed business audience</x:v>
      </x:c>
      <x:c r="J3318" s="12" t="str">
        <x:v>IT &amp; digital</x:v>
      </x:c>
      <x:c r="K3318" s="2" t="str">
        <x:v>PARTNER-M130</x:v>
      </x:c>
    </x:row>
    <x:row r="3319" ht="46" customHeight="1">
      <x:c r="A3319" s="2" t="str">
        <x:v>TEN-16F45B99ABFD</x:v>
      </x:c>
      <x:c r="B3319" s="12" t="str">
        <x:v>Boeing</x:v>
      </x:c>
      <x:c r="C3319" s="12" t="str">
        <x:v>CORP-0552</x:v>
      </x:c>
      <x:c r="D3319" s="12" t="str">
        <x:v>Bengaluru</x:v>
      </x:c>
      <x:c r="E3319" s="12" t="str">
        <x:v>Bagmane Constellation </x:v>
      </x:c>
      <x:c r="F3319" s="12" t="str">
        <x:v>55 inch</x:v>
      </x:c>
      <x:c r="G3319" s="20" t="n">
        <x:v>1</x:v>
      </x:c>
      <x:c r="H3319" s="12" t="str">
        <x:v>Campus/portfolio roster; individual building occupancy unverified</x:v>
      </x:c>
      <x:c r="I3319" s="12" t="str">
        <x:v>Large enterprise</x:v>
      </x:c>
      <x:c r="J3319" s="12" t="str">
        <x:v>Engineering &amp; manufacturing</x:v>
      </x:c>
      <x:c r="K3319" s="2" t="str">
        <x:v>PARTNER-M130</x:v>
      </x:c>
    </x:row>
    <x:row r="3320" ht="46" customHeight="1">
      <x:c r="A3320" s="2" t="str">
        <x:v>TEN-36E26473A4E8</x:v>
      </x:c>
      <x:c r="B3320" s="12" t="str">
        <x:v>Alstom</x:v>
      </x:c>
      <x:c r="C3320" s="12" t="str">
        <x:v>CORP-0552</x:v>
      </x:c>
      <x:c r="D3320" s="12" t="str">
        <x:v>Bengaluru</x:v>
      </x:c>
      <x:c r="E3320" s="12" t="str">
        <x:v>Bagmane Constellation </x:v>
      </x:c>
      <x:c r="F3320" s="12" t="str">
        <x:v>55 inch</x:v>
      </x:c>
      <x:c r="G3320" s="20" t="n">
        <x:v>1</x:v>
      </x:c>
      <x:c r="H3320" s="12" t="str">
        <x:v>Campus/portfolio roster; individual building occupancy unverified</x:v>
      </x:c>
      <x:c r="I3320" s="12" t="str">
        <x:v>Large enterprise</x:v>
      </x:c>
      <x:c r="J3320" s="12" t="str">
        <x:v>Engineering &amp; manufacturing</x:v>
      </x:c>
      <x:c r="K3320" s="2" t="str">
        <x:v>PARTNER-M130</x:v>
      </x:c>
    </x:row>
    <x:row r="3321" ht="46" customHeight="1">
      <x:c r="A3321" s="2" t="str">
        <x:v>TEN-3E451D4C362B</x:v>
      </x:c>
      <x:c r="B3321" s="12" t="str">
        <x:v>Sapient</x:v>
      </x:c>
      <x:c r="C3321" s="12" t="str">
        <x:v>CORP-0552</x:v>
      </x:c>
      <x:c r="D3321" s="12" t="str">
        <x:v>Bengaluru</x:v>
      </x:c>
      <x:c r="E3321" s="12" t="str">
        <x:v>Bagmane Constellation </x:v>
      </x:c>
      <x:c r="F3321" s="12" t="str">
        <x:v>55 inch</x:v>
      </x:c>
      <x:c r="G3321" s="20" t="n">
        <x:v>1</x:v>
      </x:c>
      <x:c r="H3321" s="12" t="str">
        <x:v>Campus/portfolio roster; individual building occupancy unverified</x:v>
      </x:c>
      <x:c r="I3321" s="12" t="str">
        <x:v>Large enterprise</x:v>
      </x:c>
      <x:c r="J3321" s="12" t="str">
        <x:v>Unresolved</x:v>
      </x:c>
      <x:c r="K3321" s="2" t="str">
        <x:v>PARTNER-M130</x:v>
      </x:c>
    </x:row>
    <x:row r="3322" ht="46" customHeight="1">
      <x:c r="A3322" s="2" t="str">
        <x:v>TEN-69A068939DEA</x:v>
      </x:c>
      <x:c r="B3322" s="12" t="str">
        <x:v>Ernst and Young</x:v>
      </x:c>
      <x:c r="C3322" s="12" t="str">
        <x:v>CORP-0552</x:v>
      </x:c>
      <x:c r="D3322" s="12" t="str">
        <x:v>Bengaluru</x:v>
      </x:c>
      <x:c r="E3322" s="12" t="str">
        <x:v>Bagmane Constellation </x:v>
      </x:c>
      <x:c r="F3322" s="12" t="str">
        <x:v>55 inch</x:v>
      </x:c>
      <x:c r="G3322" s="20" t="n">
        <x:v>1</x:v>
      </x:c>
      <x:c r="H3322" s="12" t="str">
        <x:v>Campus/portfolio roster; individual building occupancy unverified</x:v>
      </x:c>
      <x:c r="I3322" s="12" t="str">
        <x:v>Large enterprise</x:v>
      </x:c>
      <x:c r="J3322" s="12" t="str">
        <x:v>Professional services</x:v>
      </x:c>
      <x:c r="K3322" s="2" t="str">
        <x:v>PARTNER-M130</x:v>
      </x:c>
    </x:row>
    <x:row r="3323" ht="46" customHeight="1">
      <x:c r="A3323" s="2" t="str">
        <x:v>TEN-8DFE5E6CF73B</x:v>
      </x:c>
      <x:c r="B3323" s="12" t="str">
        <x:v>Red Hat</x:v>
      </x:c>
      <x:c r="C3323" s="12" t="str">
        <x:v>CORP-0552</x:v>
      </x:c>
      <x:c r="D3323" s="12" t="str">
        <x:v>Bengaluru</x:v>
      </x:c>
      <x:c r="E3323" s="12" t="str">
        <x:v>Bagmane Constellation </x:v>
      </x:c>
      <x:c r="F3323" s="12" t="str">
        <x:v>55 inch</x:v>
      </x:c>
      <x:c r="G3323" s="20" t="n">
        <x:v>1</x:v>
      </x:c>
      <x:c r="H3323" s="12" t="str">
        <x:v>Campus/portfolio roster; individual building occupancy unverified</x:v>
      </x:c>
      <x:c r="I3323" s="12" t="str">
        <x:v>Large enterprise</x:v>
      </x:c>
      <x:c r="J3323" s="12" t="str">
        <x:v>IT &amp; digital</x:v>
      </x:c>
      <x:c r="K3323" s="2" t="str">
        <x:v>PARTNER-M130</x:v>
      </x:c>
    </x:row>
    <x:row r="3324" ht="46" customHeight="1">
      <x:c r="A3324" s="2" t="str">
        <x:v>TEN-968E2D5B0868</x:v>
      </x:c>
      <x:c r="B3324" s="12" t="str">
        <x:v>Samsung</x:v>
      </x:c>
      <x:c r="C3324" s="12" t="str">
        <x:v>CORP-0552</x:v>
      </x:c>
      <x:c r="D3324" s="12" t="str">
        <x:v>Bengaluru</x:v>
      </x:c>
      <x:c r="E3324" s="12" t="str">
        <x:v>Bagmane Constellation </x:v>
      </x:c>
      <x:c r="F3324" s="12" t="str">
        <x:v>55 inch</x:v>
      </x:c>
      <x:c r="G3324" s="20" t="n">
        <x:v>1</x:v>
      </x:c>
      <x:c r="H3324" s="12" t="str">
        <x:v>Campus/portfolio roster; individual building occupancy unverified</x:v>
      </x:c>
      <x:c r="I3324" s="12" t="str">
        <x:v>Large enterprise</x:v>
      </x:c>
      <x:c r="J3324" s="12" t="str">
        <x:v>Engineering &amp; manufacturing</x:v>
      </x:c>
      <x:c r="K3324" s="2" t="str">
        <x:v>PARTNER-M130</x:v>
      </x:c>
    </x:row>
    <x:row r="3325" ht="46" customHeight="1">
      <x:c r="A3325" s="2" t="str">
        <x:v>TEN-BBDEFA2950F4</x:v>
      </x:c>
      <x:c r="B3325" s="12" t="str">
        <x:v>Google</x:v>
      </x:c>
      <x:c r="C3325" s="12" t="str">
        <x:v>CORP-0552</x:v>
      </x:c>
      <x:c r="D3325" s="12" t="str">
        <x:v>Bengaluru</x:v>
      </x:c>
      <x:c r="E3325" s="12" t="str">
        <x:v>Bagmane Constellation </x:v>
      </x:c>
      <x:c r="F3325" s="12" t="str">
        <x:v>55 inch</x:v>
      </x:c>
      <x:c r="G3325" s="20" t="n">
        <x:v>1</x:v>
      </x:c>
      <x:c r="H3325" s="12" t="str">
        <x:v>Campus/portfolio roster; individual building occupancy unverified</x:v>
      </x:c>
      <x:c r="I3325" s="12" t="str">
        <x:v>Large enterprise</x:v>
      </x:c>
      <x:c r="J3325" s="12" t="str">
        <x:v>IT &amp; digital</x:v>
      </x:c>
      <x:c r="K3325" s="2" t="str">
        <x:v>PARTNER-M130</x:v>
      </x:c>
    </x:row>
    <x:row r="3326" ht="46" customHeight="1">
      <x:c r="A3326" s="2" t="str">
        <x:v>TEN-CBC62794911F</x:v>
      </x:c>
      <x:c r="B3326" s="12" t="str">
        <x:v>Amazon</x:v>
      </x:c>
      <x:c r="C3326" s="12" t="str">
        <x:v>CORP-0552</x:v>
      </x:c>
      <x:c r="D3326" s="12" t="str">
        <x:v>Bengaluru</x:v>
      </x:c>
      <x:c r="E3326" s="12" t="str">
        <x:v>Bagmane Constellation </x:v>
      </x:c>
      <x:c r="F3326" s="12" t="str">
        <x:v>55 inch</x:v>
      </x:c>
      <x:c r="G3326" s="20" t="n">
        <x:v>1</x:v>
      </x:c>
      <x:c r="H3326" s="12" t="str">
        <x:v>Campus/portfolio roster; individual building occupancy unverified</x:v>
      </x:c>
      <x:c r="I3326" s="12" t="str">
        <x:v>Large enterprise</x:v>
      </x:c>
      <x:c r="J3326" s="12" t="str">
        <x:v>IT &amp; digital</x:v>
      </x:c>
      <x:c r="K3326" s="2" t="str">
        <x:v>PARTNER-M130</x:v>
      </x:c>
    </x:row>
    <x:row r="3327" ht="46" customHeight="1">
      <x:c r="A3327" s="2" t="str">
        <x:v>TEN-F31639A23C74</x:v>
      </x:c>
      <x:c r="B3327" s="12" t="str">
        <x:v>Qualcomm</x:v>
      </x:c>
      <x:c r="C3327" s="12" t="str">
        <x:v>CORP-0552</x:v>
      </x:c>
      <x:c r="D3327" s="12" t="str">
        <x:v>Bengaluru</x:v>
      </x:c>
      <x:c r="E3327" s="12" t="str">
        <x:v>Bagmane Constellation </x:v>
      </x:c>
      <x:c r="F3327" s="12" t="str">
        <x:v>55 inch</x:v>
      </x:c>
      <x:c r="G3327" s="20" t="n">
        <x:v>1</x:v>
      </x:c>
      <x:c r="H3327" s="12" t="str">
        <x:v>Campus/portfolio roster; individual building occupancy unverified</x:v>
      </x:c>
      <x:c r="I3327" s="12" t="str">
        <x:v>Large enterprise</x:v>
      </x:c>
      <x:c r="J3327" s="12" t="str">
        <x:v>Engineering &amp; manufacturing</x:v>
      </x:c>
      <x:c r="K3327" s="2" t="str">
        <x:v>PARTNER-M130</x:v>
      </x:c>
    </x:row>
    <x:row r="3328" ht="46" customHeight="1">
      <x:c r="A3328" s="2" t="str">
        <x:v>TEN-F68A6275A50C</x:v>
      </x:c>
      <x:c r="B3328" s="12" t="str">
        <x:v>Archwel</x:v>
      </x:c>
      <x:c r="C3328" s="12" t="str">
        <x:v>CORP-0552</x:v>
      </x:c>
      <x:c r="D3328" s="12" t="str">
        <x:v>Bengaluru</x:v>
      </x:c>
      <x:c r="E3328" s="12" t="str">
        <x:v>Bagmane Constellation </x:v>
      </x:c>
      <x:c r="F3328" s="12" t="str">
        <x:v>55 inch</x:v>
      </x:c>
      <x:c r="G3328" s="20" t="n">
        <x:v>1</x:v>
      </x:c>
      <x:c r="H3328" s="12" t="str">
        <x:v>Campus/portfolio roster; individual building occupancy unverified</x:v>
      </x:c>
      <x:c r="I3328" s="12" t="str">
        <x:v>Mixed business audience</x:v>
      </x:c>
      <x:c r="J3328" s="12" t="str">
        <x:v>Unresolved</x:v>
      </x:c>
      <x:c r="K3328" s="2" t="str">
        <x:v>PARTNER-M130</x:v>
      </x:c>
    </x:row>
    <x:row r="3329" ht="46" customHeight="1">
      <x:c r="A3329" s="2" t="str">
        <x:v>TEN-090321827705</x:v>
      </x:c>
      <x:c r="B3329" s="12" t="str">
        <x:v>Mysis</x:v>
      </x:c>
      <x:c r="C3329" s="12" t="str">
        <x:v>CORP-0553</x:v>
      </x:c>
      <x:c r="D3329" s="12" t="str">
        <x:v>Bengaluru</x:v>
      </x:c>
      <x:c r="E3329" s="12" t="str">
        <x:v>Bagmane Constellation </x:v>
      </x:c>
      <x:c r="F3329" s="12" t="str">
        <x:v>55 inch</x:v>
      </x:c>
      <x:c r="G3329" s="20" t="n">
        <x:v>1</x:v>
      </x:c>
      <x:c r="H3329" s="12" t="str">
        <x:v>Campus/portfolio roster; individual building occupancy unverified</x:v>
      </x:c>
      <x:c r="I3329" s="12" t="str">
        <x:v>Mixed business audience</x:v>
      </x:c>
      <x:c r="J3329" s="12" t="str">
        <x:v>IT &amp; digital</x:v>
      </x:c>
      <x:c r="K3329" s="2" t="str">
        <x:v>PARTNER-M130</x:v>
      </x:c>
    </x:row>
    <x:row r="3330" ht="46" customHeight="1">
      <x:c r="A3330" s="2" t="str">
        <x:v>TEN-16F45B99ABFD</x:v>
      </x:c>
      <x:c r="B3330" s="12" t="str">
        <x:v>Boeing</x:v>
      </x:c>
      <x:c r="C3330" s="12" t="str">
        <x:v>CORP-0553</x:v>
      </x:c>
      <x:c r="D3330" s="12" t="str">
        <x:v>Bengaluru</x:v>
      </x:c>
      <x:c r="E3330" s="12" t="str">
        <x:v>Bagmane Constellation </x:v>
      </x:c>
      <x:c r="F3330" s="12" t="str">
        <x:v>55 inch</x:v>
      </x:c>
      <x:c r="G3330" s="20" t="n">
        <x:v>1</x:v>
      </x:c>
      <x:c r="H3330" s="12" t="str">
        <x:v>Campus/portfolio roster; individual building occupancy unverified</x:v>
      </x:c>
      <x:c r="I3330" s="12" t="str">
        <x:v>Large enterprise</x:v>
      </x:c>
      <x:c r="J3330" s="12" t="str">
        <x:v>Engineering &amp; manufacturing</x:v>
      </x:c>
      <x:c r="K3330" s="2" t="str">
        <x:v>PARTNER-M130</x:v>
      </x:c>
    </x:row>
    <x:row r="3331" ht="46" customHeight="1">
      <x:c r="A3331" s="2" t="str">
        <x:v>TEN-36E26473A4E8</x:v>
      </x:c>
      <x:c r="B3331" s="12" t="str">
        <x:v>Alstom</x:v>
      </x:c>
      <x:c r="C3331" s="12" t="str">
        <x:v>CORP-0553</x:v>
      </x:c>
      <x:c r="D3331" s="12" t="str">
        <x:v>Bengaluru</x:v>
      </x:c>
      <x:c r="E3331" s="12" t="str">
        <x:v>Bagmane Constellation </x:v>
      </x:c>
      <x:c r="F3331" s="12" t="str">
        <x:v>55 inch</x:v>
      </x:c>
      <x:c r="G3331" s="20" t="n">
        <x:v>1</x:v>
      </x:c>
      <x:c r="H3331" s="12" t="str">
        <x:v>Campus/portfolio roster; individual building occupancy unverified</x:v>
      </x:c>
      <x:c r="I3331" s="12" t="str">
        <x:v>Large enterprise</x:v>
      </x:c>
      <x:c r="J3331" s="12" t="str">
        <x:v>Engineering &amp; manufacturing</x:v>
      </x:c>
      <x:c r="K3331" s="2" t="str">
        <x:v>PARTNER-M130</x:v>
      </x:c>
    </x:row>
    <x:row r="3332" ht="46" customHeight="1">
      <x:c r="A3332" s="2" t="str">
        <x:v>TEN-3E451D4C362B</x:v>
      </x:c>
      <x:c r="B3332" s="12" t="str">
        <x:v>Sapient</x:v>
      </x:c>
      <x:c r="C3332" s="12" t="str">
        <x:v>CORP-0553</x:v>
      </x:c>
      <x:c r="D3332" s="12" t="str">
        <x:v>Bengaluru</x:v>
      </x:c>
      <x:c r="E3332" s="12" t="str">
        <x:v>Bagmane Constellation </x:v>
      </x:c>
      <x:c r="F3332" s="12" t="str">
        <x:v>55 inch</x:v>
      </x:c>
      <x:c r="G3332" s="20" t="n">
        <x:v>1</x:v>
      </x:c>
      <x:c r="H3332" s="12" t="str">
        <x:v>Campus/portfolio roster; individual building occupancy unverified</x:v>
      </x:c>
      <x:c r="I3332" s="12" t="str">
        <x:v>Large enterprise</x:v>
      </x:c>
      <x:c r="J3332" s="12" t="str">
        <x:v>Unresolved</x:v>
      </x:c>
      <x:c r="K3332" s="2" t="str">
        <x:v>PARTNER-M130</x:v>
      </x:c>
    </x:row>
    <x:row r="3333" ht="46" customHeight="1">
      <x:c r="A3333" s="2" t="str">
        <x:v>TEN-69A068939DEA</x:v>
      </x:c>
      <x:c r="B3333" s="12" t="str">
        <x:v>Ernst and Young</x:v>
      </x:c>
      <x:c r="C3333" s="12" t="str">
        <x:v>CORP-0553</x:v>
      </x:c>
      <x:c r="D3333" s="12" t="str">
        <x:v>Bengaluru</x:v>
      </x:c>
      <x:c r="E3333" s="12" t="str">
        <x:v>Bagmane Constellation </x:v>
      </x:c>
      <x:c r="F3333" s="12" t="str">
        <x:v>55 inch</x:v>
      </x:c>
      <x:c r="G3333" s="20" t="n">
        <x:v>1</x:v>
      </x:c>
      <x:c r="H3333" s="12" t="str">
        <x:v>Campus/portfolio roster; individual building occupancy unverified</x:v>
      </x:c>
      <x:c r="I3333" s="12" t="str">
        <x:v>Large enterprise</x:v>
      </x:c>
      <x:c r="J3333" s="12" t="str">
        <x:v>Professional services</x:v>
      </x:c>
      <x:c r="K3333" s="2" t="str">
        <x:v>PARTNER-M130</x:v>
      </x:c>
    </x:row>
    <x:row r="3334" ht="46" customHeight="1">
      <x:c r="A3334" s="2" t="str">
        <x:v>TEN-8DFE5E6CF73B</x:v>
      </x:c>
      <x:c r="B3334" s="12" t="str">
        <x:v>Red Hat</x:v>
      </x:c>
      <x:c r="C3334" s="12" t="str">
        <x:v>CORP-0553</x:v>
      </x:c>
      <x:c r="D3334" s="12" t="str">
        <x:v>Bengaluru</x:v>
      </x:c>
      <x:c r="E3334" s="12" t="str">
        <x:v>Bagmane Constellation </x:v>
      </x:c>
      <x:c r="F3334" s="12" t="str">
        <x:v>55 inch</x:v>
      </x:c>
      <x:c r="G3334" s="20" t="n">
        <x:v>1</x:v>
      </x:c>
      <x:c r="H3334" s="12" t="str">
        <x:v>Campus/portfolio roster; individual building occupancy unverified</x:v>
      </x:c>
      <x:c r="I3334" s="12" t="str">
        <x:v>Large enterprise</x:v>
      </x:c>
      <x:c r="J3334" s="12" t="str">
        <x:v>IT &amp; digital</x:v>
      </x:c>
      <x:c r="K3334" s="2" t="str">
        <x:v>PARTNER-M130</x:v>
      </x:c>
    </x:row>
    <x:row r="3335" ht="46" customHeight="1">
      <x:c r="A3335" s="2" t="str">
        <x:v>TEN-968E2D5B0868</x:v>
      </x:c>
      <x:c r="B3335" s="12" t="str">
        <x:v>Samsung</x:v>
      </x:c>
      <x:c r="C3335" s="12" t="str">
        <x:v>CORP-0553</x:v>
      </x:c>
      <x:c r="D3335" s="12" t="str">
        <x:v>Bengaluru</x:v>
      </x:c>
      <x:c r="E3335" s="12" t="str">
        <x:v>Bagmane Constellation </x:v>
      </x:c>
      <x:c r="F3335" s="12" t="str">
        <x:v>55 inch</x:v>
      </x:c>
      <x:c r="G3335" s="20" t="n">
        <x:v>1</x:v>
      </x:c>
      <x:c r="H3335" s="12" t="str">
        <x:v>Campus/portfolio roster; individual building occupancy unverified</x:v>
      </x:c>
      <x:c r="I3335" s="12" t="str">
        <x:v>Large enterprise</x:v>
      </x:c>
      <x:c r="J3335" s="12" t="str">
        <x:v>Engineering &amp; manufacturing</x:v>
      </x:c>
      <x:c r="K3335" s="2" t="str">
        <x:v>PARTNER-M130</x:v>
      </x:c>
    </x:row>
    <x:row r="3336" ht="46" customHeight="1">
      <x:c r="A3336" s="2" t="str">
        <x:v>TEN-BBDEFA2950F4</x:v>
      </x:c>
      <x:c r="B3336" s="12" t="str">
        <x:v>Google</x:v>
      </x:c>
      <x:c r="C3336" s="12" t="str">
        <x:v>CORP-0553</x:v>
      </x:c>
      <x:c r="D3336" s="12" t="str">
        <x:v>Bengaluru</x:v>
      </x:c>
      <x:c r="E3336" s="12" t="str">
        <x:v>Bagmane Constellation </x:v>
      </x:c>
      <x:c r="F3336" s="12" t="str">
        <x:v>55 inch</x:v>
      </x:c>
      <x:c r="G3336" s="20" t="n">
        <x:v>1</x:v>
      </x:c>
      <x:c r="H3336" s="12" t="str">
        <x:v>Campus/portfolio roster; individual building occupancy unverified</x:v>
      </x:c>
      <x:c r="I3336" s="12" t="str">
        <x:v>Large enterprise</x:v>
      </x:c>
      <x:c r="J3336" s="12" t="str">
        <x:v>IT &amp; digital</x:v>
      </x:c>
      <x:c r="K3336" s="2" t="str">
        <x:v>PARTNER-M130</x:v>
      </x:c>
    </x:row>
    <x:row r="3337" ht="46" customHeight="1">
      <x:c r="A3337" s="2" t="str">
        <x:v>TEN-CBC62794911F</x:v>
      </x:c>
      <x:c r="B3337" s="12" t="str">
        <x:v>Amazon</x:v>
      </x:c>
      <x:c r="C3337" s="12" t="str">
        <x:v>CORP-0553</x:v>
      </x:c>
      <x:c r="D3337" s="12" t="str">
        <x:v>Bengaluru</x:v>
      </x:c>
      <x:c r="E3337" s="12" t="str">
        <x:v>Bagmane Constellation </x:v>
      </x:c>
      <x:c r="F3337" s="12" t="str">
        <x:v>55 inch</x:v>
      </x:c>
      <x:c r="G3337" s="20" t="n">
        <x:v>1</x:v>
      </x:c>
      <x:c r="H3337" s="12" t="str">
        <x:v>Campus/portfolio roster; individual building occupancy unverified</x:v>
      </x:c>
      <x:c r="I3337" s="12" t="str">
        <x:v>Large enterprise</x:v>
      </x:c>
      <x:c r="J3337" s="12" t="str">
        <x:v>IT &amp; digital</x:v>
      </x:c>
      <x:c r="K3337" s="2" t="str">
        <x:v>PARTNER-M130</x:v>
      </x:c>
    </x:row>
    <x:row r="3338" ht="46" customHeight="1">
      <x:c r="A3338" s="2" t="str">
        <x:v>TEN-F31639A23C74</x:v>
      </x:c>
      <x:c r="B3338" s="12" t="str">
        <x:v>Qualcomm</x:v>
      </x:c>
      <x:c r="C3338" s="12" t="str">
        <x:v>CORP-0553</x:v>
      </x:c>
      <x:c r="D3338" s="12" t="str">
        <x:v>Bengaluru</x:v>
      </x:c>
      <x:c r="E3338" s="12" t="str">
        <x:v>Bagmane Constellation </x:v>
      </x:c>
      <x:c r="F3338" s="12" t="str">
        <x:v>55 inch</x:v>
      </x:c>
      <x:c r="G3338" s="20" t="n">
        <x:v>1</x:v>
      </x:c>
      <x:c r="H3338" s="12" t="str">
        <x:v>Campus/portfolio roster; individual building occupancy unverified</x:v>
      </x:c>
      <x:c r="I3338" s="12" t="str">
        <x:v>Large enterprise</x:v>
      </x:c>
      <x:c r="J3338" s="12" t="str">
        <x:v>Engineering &amp; manufacturing</x:v>
      </x:c>
      <x:c r="K3338" s="2" t="str">
        <x:v>PARTNER-M130</x:v>
      </x:c>
    </x:row>
    <x:row r="3339" ht="46" customHeight="1">
      <x:c r="A3339" s="2" t="str">
        <x:v>TEN-F68A6275A50C</x:v>
      </x:c>
      <x:c r="B3339" s="12" t="str">
        <x:v>Archwel</x:v>
      </x:c>
      <x:c r="C3339" s="12" t="str">
        <x:v>CORP-0553</x:v>
      </x:c>
      <x:c r="D3339" s="12" t="str">
        <x:v>Bengaluru</x:v>
      </x:c>
      <x:c r="E3339" s="12" t="str">
        <x:v>Bagmane Constellation </x:v>
      </x:c>
      <x:c r="F3339" s="12" t="str">
        <x:v>55 inch</x:v>
      </x:c>
      <x:c r="G3339" s="20" t="n">
        <x:v>1</x:v>
      </x:c>
      <x:c r="H3339" s="12" t="str">
        <x:v>Campus/portfolio roster; individual building occupancy unverified</x:v>
      </x:c>
      <x:c r="I3339" s="12" t="str">
        <x:v>Mixed business audience</x:v>
      </x:c>
      <x:c r="J3339" s="12" t="str">
        <x:v>Unresolved</x:v>
      </x:c>
      <x:c r="K3339" s="2" t="str">
        <x:v>PARTNER-M130</x:v>
      </x:c>
    </x:row>
    <x:row r="3340" ht="46" customHeight="1">
      <x:c r="A3340" s="2" t="str">
        <x:v>TEN-090321827705</x:v>
      </x:c>
      <x:c r="B3340" s="12" t="str">
        <x:v>Mysis</x:v>
      </x:c>
      <x:c r="C3340" s="12" t="str">
        <x:v>CORP-0554</x:v>
      </x:c>
      <x:c r="D3340" s="12" t="str">
        <x:v>Bengaluru</x:v>
      </x:c>
      <x:c r="E3340" s="12" t="str">
        <x:v>Bagmane Constellation </x:v>
      </x:c>
      <x:c r="F3340" s="12" t="str">
        <x:v>55 inch</x:v>
      </x:c>
      <x:c r="G3340" s="20" t="n">
        <x:v>1</x:v>
      </x:c>
      <x:c r="H3340" s="12" t="str">
        <x:v>Campus/portfolio roster; individual building occupancy unverified</x:v>
      </x:c>
      <x:c r="I3340" s="12" t="str">
        <x:v>Mixed business audience</x:v>
      </x:c>
      <x:c r="J3340" s="12" t="str">
        <x:v>IT &amp; digital</x:v>
      </x:c>
      <x:c r="K3340" s="2" t="str">
        <x:v>PARTNER-M130</x:v>
      </x:c>
    </x:row>
    <x:row r="3341" ht="46" customHeight="1">
      <x:c r="A3341" s="2" t="str">
        <x:v>TEN-16F45B99ABFD</x:v>
      </x:c>
      <x:c r="B3341" s="12" t="str">
        <x:v>Boeing</x:v>
      </x:c>
      <x:c r="C3341" s="12" t="str">
        <x:v>CORP-0554</x:v>
      </x:c>
      <x:c r="D3341" s="12" t="str">
        <x:v>Bengaluru</x:v>
      </x:c>
      <x:c r="E3341" s="12" t="str">
        <x:v>Bagmane Constellation </x:v>
      </x:c>
      <x:c r="F3341" s="12" t="str">
        <x:v>55 inch</x:v>
      </x:c>
      <x:c r="G3341" s="20" t="n">
        <x:v>1</x:v>
      </x:c>
      <x:c r="H3341" s="12" t="str">
        <x:v>Campus/portfolio roster; individual building occupancy unverified</x:v>
      </x:c>
      <x:c r="I3341" s="12" t="str">
        <x:v>Large enterprise</x:v>
      </x:c>
      <x:c r="J3341" s="12" t="str">
        <x:v>Engineering &amp; manufacturing</x:v>
      </x:c>
      <x:c r="K3341" s="2" t="str">
        <x:v>PARTNER-M130</x:v>
      </x:c>
    </x:row>
    <x:row r="3342" ht="46" customHeight="1">
      <x:c r="A3342" s="2" t="str">
        <x:v>TEN-36E26473A4E8</x:v>
      </x:c>
      <x:c r="B3342" s="12" t="str">
        <x:v>Alstom</x:v>
      </x:c>
      <x:c r="C3342" s="12" t="str">
        <x:v>CORP-0554</x:v>
      </x:c>
      <x:c r="D3342" s="12" t="str">
        <x:v>Bengaluru</x:v>
      </x:c>
      <x:c r="E3342" s="12" t="str">
        <x:v>Bagmane Constellation </x:v>
      </x:c>
      <x:c r="F3342" s="12" t="str">
        <x:v>55 inch</x:v>
      </x:c>
      <x:c r="G3342" s="20" t="n">
        <x:v>1</x:v>
      </x:c>
      <x:c r="H3342" s="12" t="str">
        <x:v>Campus/portfolio roster; individual building occupancy unverified</x:v>
      </x:c>
      <x:c r="I3342" s="12" t="str">
        <x:v>Large enterprise</x:v>
      </x:c>
      <x:c r="J3342" s="12" t="str">
        <x:v>Engineering &amp; manufacturing</x:v>
      </x:c>
      <x:c r="K3342" s="2" t="str">
        <x:v>PARTNER-M130</x:v>
      </x:c>
    </x:row>
    <x:row r="3343" ht="46" customHeight="1">
      <x:c r="A3343" s="2" t="str">
        <x:v>TEN-3E451D4C362B</x:v>
      </x:c>
      <x:c r="B3343" s="12" t="str">
        <x:v>Sapient</x:v>
      </x:c>
      <x:c r="C3343" s="12" t="str">
        <x:v>CORP-0554</x:v>
      </x:c>
      <x:c r="D3343" s="12" t="str">
        <x:v>Bengaluru</x:v>
      </x:c>
      <x:c r="E3343" s="12" t="str">
        <x:v>Bagmane Constellation </x:v>
      </x:c>
      <x:c r="F3343" s="12" t="str">
        <x:v>55 inch</x:v>
      </x:c>
      <x:c r="G3343" s="20" t="n">
        <x:v>1</x:v>
      </x:c>
      <x:c r="H3343" s="12" t="str">
        <x:v>Campus/portfolio roster; individual building occupancy unverified</x:v>
      </x:c>
      <x:c r="I3343" s="12" t="str">
        <x:v>Large enterprise</x:v>
      </x:c>
      <x:c r="J3343" s="12" t="str">
        <x:v>Unresolved</x:v>
      </x:c>
      <x:c r="K3343" s="2" t="str">
        <x:v>PARTNER-M130</x:v>
      </x:c>
    </x:row>
    <x:row r="3344" ht="46" customHeight="1">
      <x:c r="A3344" s="2" t="str">
        <x:v>TEN-69A068939DEA</x:v>
      </x:c>
      <x:c r="B3344" s="12" t="str">
        <x:v>Ernst and Young</x:v>
      </x:c>
      <x:c r="C3344" s="12" t="str">
        <x:v>CORP-0554</x:v>
      </x:c>
      <x:c r="D3344" s="12" t="str">
        <x:v>Bengaluru</x:v>
      </x:c>
      <x:c r="E3344" s="12" t="str">
        <x:v>Bagmane Constellation </x:v>
      </x:c>
      <x:c r="F3344" s="12" t="str">
        <x:v>55 inch</x:v>
      </x:c>
      <x:c r="G3344" s="20" t="n">
        <x:v>1</x:v>
      </x:c>
      <x:c r="H3344" s="12" t="str">
        <x:v>Campus/portfolio roster; individual building occupancy unverified</x:v>
      </x:c>
      <x:c r="I3344" s="12" t="str">
        <x:v>Large enterprise</x:v>
      </x:c>
      <x:c r="J3344" s="12" t="str">
        <x:v>Professional services</x:v>
      </x:c>
      <x:c r="K3344" s="2" t="str">
        <x:v>PARTNER-M130</x:v>
      </x:c>
    </x:row>
    <x:row r="3345" ht="46" customHeight="1">
      <x:c r="A3345" s="2" t="str">
        <x:v>TEN-8DFE5E6CF73B</x:v>
      </x:c>
      <x:c r="B3345" s="12" t="str">
        <x:v>Red Hat</x:v>
      </x:c>
      <x:c r="C3345" s="12" t="str">
        <x:v>CORP-0554</x:v>
      </x:c>
      <x:c r="D3345" s="12" t="str">
        <x:v>Bengaluru</x:v>
      </x:c>
      <x:c r="E3345" s="12" t="str">
        <x:v>Bagmane Constellation </x:v>
      </x:c>
      <x:c r="F3345" s="12" t="str">
        <x:v>55 inch</x:v>
      </x:c>
      <x:c r="G3345" s="20" t="n">
        <x:v>1</x:v>
      </x:c>
      <x:c r="H3345" s="12" t="str">
        <x:v>Campus/portfolio roster; individual building occupancy unverified</x:v>
      </x:c>
      <x:c r="I3345" s="12" t="str">
        <x:v>Large enterprise</x:v>
      </x:c>
      <x:c r="J3345" s="12" t="str">
        <x:v>IT &amp; digital</x:v>
      </x:c>
      <x:c r="K3345" s="2" t="str">
        <x:v>PARTNER-M130</x:v>
      </x:c>
    </x:row>
    <x:row r="3346" ht="46" customHeight="1">
      <x:c r="A3346" s="2" t="str">
        <x:v>TEN-968E2D5B0868</x:v>
      </x:c>
      <x:c r="B3346" s="12" t="str">
        <x:v>Samsung</x:v>
      </x:c>
      <x:c r="C3346" s="12" t="str">
        <x:v>CORP-0554</x:v>
      </x:c>
      <x:c r="D3346" s="12" t="str">
        <x:v>Bengaluru</x:v>
      </x:c>
      <x:c r="E3346" s="12" t="str">
        <x:v>Bagmane Constellation </x:v>
      </x:c>
      <x:c r="F3346" s="12" t="str">
        <x:v>55 inch</x:v>
      </x:c>
      <x:c r="G3346" s="20" t="n">
        <x:v>1</x:v>
      </x:c>
      <x:c r="H3346" s="12" t="str">
        <x:v>Campus/portfolio roster; individual building occupancy unverified</x:v>
      </x:c>
      <x:c r="I3346" s="12" t="str">
        <x:v>Large enterprise</x:v>
      </x:c>
      <x:c r="J3346" s="12" t="str">
        <x:v>Engineering &amp; manufacturing</x:v>
      </x:c>
      <x:c r="K3346" s="2" t="str">
        <x:v>PARTNER-M130</x:v>
      </x:c>
    </x:row>
    <x:row r="3347" ht="46" customHeight="1">
      <x:c r="A3347" s="2" t="str">
        <x:v>TEN-BBDEFA2950F4</x:v>
      </x:c>
      <x:c r="B3347" s="12" t="str">
        <x:v>Google</x:v>
      </x:c>
      <x:c r="C3347" s="12" t="str">
        <x:v>CORP-0554</x:v>
      </x:c>
      <x:c r="D3347" s="12" t="str">
        <x:v>Bengaluru</x:v>
      </x:c>
      <x:c r="E3347" s="12" t="str">
        <x:v>Bagmane Constellation </x:v>
      </x:c>
      <x:c r="F3347" s="12" t="str">
        <x:v>55 inch</x:v>
      </x:c>
      <x:c r="G3347" s="20" t="n">
        <x:v>1</x:v>
      </x:c>
      <x:c r="H3347" s="12" t="str">
        <x:v>Campus/portfolio roster; individual building occupancy unverified</x:v>
      </x:c>
      <x:c r="I3347" s="12" t="str">
        <x:v>Large enterprise</x:v>
      </x:c>
      <x:c r="J3347" s="12" t="str">
        <x:v>IT &amp; digital</x:v>
      </x:c>
      <x:c r="K3347" s="2" t="str">
        <x:v>PARTNER-M130</x:v>
      </x:c>
    </x:row>
    <x:row r="3348" ht="46" customHeight="1">
      <x:c r="A3348" s="2" t="str">
        <x:v>TEN-CBC62794911F</x:v>
      </x:c>
      <x:c r="B3348" s="12" t="str">
        <x:v>Amazon</x:v>
      </x:c>
      <x:c r="C3348" s="12" t="str">
        <x:v>CORP-0554</x:v>
      </x:c>
      <x:c r="D3348" s="12" t="str">
        <x:v>Bengaluru</x:v>
      </x:c>
      <x:c r="E3348" s="12" t="str">
        <x:v>Bagmane Constellation </x:v>
      </x:c>
      <x:c r="F3348" s="12" t="str">
        <x:v>55 inch</x:v>
      </x:c>
      <x:c r="G3348" s="20" t="n">
        <x:v>1</x:v>
      </x:c>
      <x:c r="H3348" s="12" t="str">
        <x:v>Campus/portfolio roster; individual building occupancy unverified</x:v>
      </x:c>
      <x:c r="I3348" s="12" t="str">
        <x:v>Large enterprise</x:v>
      </x:c>
      <x:c r="J3348" s="12" t="str">
        <x:v>IT &amp; digital</x:v>
      </x:c>
      <x:c r="K3348" s="2" t="str">
        <x:v>PARTNER-M130</x:v>
      </x:c>
    </x:row>
    <x:row r="3349" ht="46" customHeight="1">
      <x:c r="A3349" s="2" t="str">
        <x:v>TEN-F31639A23C74</x:v>
      </x:c>
      <x:c r="B3349" s="12" t="str">
        <x:v>Qualcomm</x:v>
      </x:c>
      <x:c r="C3349" s="12" t="str">
        <x:v>CORP-0554</x:v>
      </x:c>
      <x:c r="D3349" s="12" t="str">
        <x:v>Bengaluru</x:v>
      </x:c>
      <x:c r="E3349" s="12" t="str">
        <x:v>Bagmane Constellation </x:v>
      </x:c>
      <x:c r="F3349" s="12" t="str">
        <x:v>55 inch</x:v>
      </x:c>
      <x:c r="G3349" s="20" t="n">
        <x:v>1</x:v>
      </x:c>
      <x:c r="H3349" s="12" t="str">
        <x:v>Campus/portfolio roster; individual building occupancy unverified</x:v>
      </x:c>
      <x:c r="I3349" s="12" t="str">
        <x:v>Large enterprise</x:v>
      </x:c>
      <x:c r="J3349" s="12" t="str">
        <x:v>Engineering &amp; manufacturing</x:v>
      </x:c>
      <x:c r="K3349" s="2" t="str">
        <x:v>PARTNER-M130</x:v>
      </x:c>
    </x:row>
    <x:row r="3350" ht="46" customHeight="1">
      <x:c r="A3350" s="2" t="str">
        <x:v>TEN-F68A6275A50C</x:v>
      </x:c>
      <x:c r="B3350" s="12" t="str">
        <x:v>Archwel</x:v>
      </x:c>
      <x:c r="C3350" s="12" t="str">
        <x:v>CORP-0554</x:v>
      </x:c>
      <x:c r="D3350" s="12" t="str">
        <x:v>Bengaluru</x:v>
      </x:c>
      <x:c r="E3350" s="12" t="str">
        <x:v>Bagmane Constellation </x:v>
      </x:c>
      <x:c r="F3350" s="12" t="str">
        <x:v>55 inch</x:v>
      </x:c>
      <x:c r="G3350" s="20" t="n">
        <x:v>1</x:v>
      </x:c>
      <x:c r="H3350" s="12" t="str">
        <x:v>Campus/portfolio roster; individual building occupancy unverified</x:v>
      </x:c>
      <x:c r="I3350" s="12" t="str">
        <x:v>Mixed business audience</x:v>
      </x:c>
      <x:c r="J3350" s="12" t="str">
        <x:v>Unresolved</x:v>
      </x:c>
      <x:c r="K3350" s="2" t="str">
        <x:v>PARTNER-M130</x:v>
      </x:c>
    </x:row>
    <x:row r="3351" ht="46" customHeight="1">
      <x:c r="A3351" s="2" t="str">
        <x:v>TEN-03A4F323A24B</x:v>
      </x:c>
      <x:c r="B3351" s="12" t="str">
        <x:v>Amelia Global Services</x:v>
      </x:c>
      <x:c r="C3351" s="12" t="str">
        <x:v>CORP-0429</x:v>
      </x:c>
      <x:c r="D3351" s="12" t="str">
        <x:v>Bengaluru</x:v>
      </x:c>
      <x:c r="E3351" s="12" t="str">
        <x:v>International Tech Park (ITPB - SEZ)</x:v>
      </x:c>
      <x:c r="F3351" s="12" t="str">
        <x:v>55 inch</x:v>
      </x:c>
      <x:c r="G3351" s="20" t="n">
        <x:v>1</x:v>
      </x:c>
      <x:c r="H3351" s="12" t="str">
        <x:v>Campus/portfolio roster; individual building occupancy unverified</x:v>
      </x:c>
      <x:c r="I3351" s="12" t="str">
        <x:v>Mixed business audience</x:v>
      </x:c>
      <x:c r="J3351" s="12" t="str">
        <x:v>IT &amp; digital</x:v>
      </x:c>
      <x:c r="K3351" s="2" t="str">
        <x:v>PARTNER-M011</x:v>
      </x:c>
    </x:row>
    <x:row r="3352" ht="46" customHeight="1">
      <x:c r="A3352" s="2" t="str">
        <x:v>TEN-096E2E0989A6</x:v>
      </x:c>
      <x:c r="B3352" s="12" t="str">
        <x:v>Natixis Services in India</x:v>
      </x:c>
      <x:c r="C3352" s="12" t="str">
        <x:v>CORP-0429</x:v>
      </x:c>
      <x:c r="D3352" s="12" t="str">
        <x:v>Bengaluru</x:v>
      </x:c>
      <x:c r="E3352" s="12" t="str">
        <x:v>International Tech Park (ITPB - SEZ)</x:v>
      </x:c>
      <x:c r="F3352" s="12" t="str">
        <x:v>55 inch</x:v>
      </x:c>
      <x:c r="G3352" s="20" t="n">
        <x:v>1</x:v>
      </x:c>
      <x:c r="H3352" s="12" t="str">
        <x:v>Campus/portfolio roster; individual building occupancy unverified</x:v>
      </x:c>
      <x:c r="I3352" s="12" t="str">
        <x:v>Mixed business audience</x:v>
      </x:c>
      <x:c r="J3352" s="12" t="str">
        <x:v>Finance &amp; insurance</x:v>
      </x:c>
      <x:c r="K3352" s="2" t="str">
        <x:v>PARTNER-M011</x:v>
      </x:c>
    </x:row>
    <x:row r="3353" ht="46" customHeight="1">
      <x:c r="A3353" s="2" t="str">
        <x:v>TEN-0F0E714E580D</x:v>
      </x:c>
      <x:c r="B3353" s="12" t="str">
        <x:v>Scientific Games</x:v>
      </x:c>
      <x:c r="C3353" s="12" t="str">
        <x:v>CORP-0429</x:v>
      </x:c>
      <x:c r="D3353" s="12" t="str">
        <x:v>Bengaluru</x:v>
      </x:c>
      <x:c r="E3353" s="12" t="str">
        <x:v>International Tech Park (ITPB - SEZ)</x:v>
      </x:c>
      <x:c r="F3353" s="12" t="str">
        <x:v>55 inch</x:v>
      </x:c>
      <x:c r="G3353" s="20" t="n">
        <x:v>1</x:v>
      </x:c>
      <x:c r="H3353" s="12" t="str">
        <x:v>Campus/portfolio roster; individual building occupancy unverified</x:v>
      </x:c>
      <x:c r="I3353" s="12" t="str">
        <x:v>Mixed business audience</x:v>
      </x:c>
      <x:c r="J3353" s="12" t="str">
        <x:v>Trade, consumer &amp; logistics</x:v>
      </x:c>
      <x:c r="K3353" s="2" t="str">
        <x:v>PARTNER-M011</x:v>
      </x:c>
    </x:row>
    <x:row r="3354" ht="46" customHeight="1">
      <x:c r="A3354" s="2" t="str">
        <x:v>TEN-17B1E60B57B8</x:v>
      </x:c>
      <x:c r="B3354" s="12" t="str">
        <x:v>IPsoft Global Services</x:v>
      </x:c>
      <x:c r="C3354" s="12" t="str">
        <x:v>CORP-0429</x:v>
      </x:c>
      <x:c r="D3354" s="12" t="str">
        <x:v>Bengaluru</x:v>
      </x:c>
      <x:c r="E3354" s="12" t="str">
        <x:v>International Tech Park (ITPB - SEZ)</x:v>
      </x:c>
      <x:c r="F3354" s="12" t="str">
        <x:v>55 inch</x:v>
      </x:c>
      <x:c r="G3354" s="20" t="n">
        <x:v>1</x:v>
      </x:c>
      <x:c r="H3354" s="12" t="str">
        <x:v>Campus/portfolio roster; individual building occupancy unverified</x:v>
      </x:c>
      <x:c r="I3354" s="12" t="str">
        <x:v>Mixed business audience</x:v>
      </x:c>
      <x:c r="J3354" s="12" t="str">
        <x:v>IT &amp; digital</x:v>
      </x:c>
      <x:c r="K3354" s="2" t="str">
        <x:v>PARTNER-M011</x:v>
      </x:c>
    </x:row>
    <x:row r="3355" ht="46" customHeight="1">
      <x:c r="A3355" s="2" t="str">
        <x:v>TEN-4BBC20253CB6</x:v>
      </x:c>
      <x:c r="B3355" s="12" t="str">
        <x:v>Conduent Business Services India</x:v>
      </x:c>
      <x:c r="C3355" s="12" t="str">
        <x:v>CORP-0429</x:v>
      </x:c>
      <x:c r="D3355" s="12" t="str">
        <x:v>Bengaluru</x:v>
      </x:c>
      <x:c r="E3355" s="12" t="str">
        <x:v>International Tech Park (ITPB - SEZ)</x:v>
      </x:c>
      <x:c r="F3355" s="12" t="str">
        <x:v>55 inch</x:v>
      </x:c>
      <x:c r="G3355" s="20" t="n">
        <x:v>1</x:v>
      </x:c>
      <x:c r="H3355" s="12" t="str">
        <x:v>Campus/portfolio roster; individual building occupancy unverified</x:v>
      </x:c>
      <x:c r="I3355" s="12" t="str">
        <x:v>Mixed business audience</x:v>
      </x:c>
      <x:c r="J3355" s="12" t="str">
        <x:v>IT &amp; digital</x:v>
      </x:c>
      <x:c r="K3355" s="2" t="str">
        <x:v>PARTNER-M011</x:v>
      </x:c>
    </x:row>
    <x:row r="3356" ht="46" customHeight="1">
      <x:c r="A3356" s="2" t="str">
        <x:v>TEN-58331B396902</x:v>
      </x:c>
      <x:c r="B3356" s="12" t="str">
        <x:v>Dealslooter.in</x:v>
      </x:c>
      <x:c r="C3356" s="12" t="str">
        <x:v>CORP-0429</x:v>
      </x:c>
      <x:c r="D3356" s="12" t="str">
        <x:v>Bengaluru</x:v>
      </x:c>
      <x:c r="E3356" s="12" t="str">
        <x:v>International Tech Park (ITPB - SEZ)</x:v>
      </x:c>
      <x:c r="F3356" s="12" t="str">
        <x:v>55 inch</x:v>
      </x:c>
      <x:c r="G3356" s="20" t="n">
        <x:v>1</x:v>
      </x:c>
      <x:c r="H3356" s="12" t="str">
        <x:v>Campus/portfolio roster; individual building occupancy unverified</x:v>
      </x:c>
      <x:c r="I3356" s="12" t="str">
        <x:v>Small-scale prospects</x:v>
      </x:c>
      <x:c r="J3356" s="12" t="str">
        <x:v>Trade, consumer &amp; logistics</x:v>
      </x:c>
      <x:c r="K3356" s="2" t="str">
        <x:v>PARTNER-M011</x:v>
      </x:c>
    </x:row>
    <x:row r="3357" ht="46" customHeight="1">
      <x:c r="A3357" s="2" t="str">
        <x:v>TEN-5FA790F3630F</x:v>
      </x:c>
      <x:c r="B3357" s="12" t="str">
        <x:v>Tata Consultancy Services</x:v>
      </x:c>
      <x:c r="C3357" s="12" t="str">
        <x:v>CORP-0429</x:v>
      </x:c>
      <x:c r="D3357" s="12" t="str">
        <x:v>Bengaluru</x:v>
      </x:c>
      <x:c r="E3357" s="12" t="str">
        <x:v>International Tech Park (ITPB - SEZ)</x:v>
      </x:c>
      <x:c r="F3357" s="12" t="str">
        <x:v>55 inch</x:v>
      </x:c>
      <x:c r="G3357" s="20" t="n">
        <x:v>1</x:v>
      </x:c>
      <x:c r="H3357" s="12" t="str">
        <x:v>Campus/portfolio roster; individual building occupancy unverified</x:v>
      </x:c>
      <x:c r="I3357" s="12" t="str">
        <x:v>Large enterprise</x:v>
      </x:c>
      <x:c r="J3357" s="12" t="str">
        <x:v>IT &amp; digital</x:v>
      </x:c>
      <x:c r="K3357" s="2" t="str">
        <x:v>PARTNER-M011</x:v>
      </x:c>
    </x:row>
    <x:row r="3358" ht="46" customHeight="1">
      <x:c r="A3358" s="2" t="str">
        <x:v>TEN-ACFE8450840B</x:v>
      </x:c>
      <x:c r="B3358" s="12" t="str">
        <x:v>HCL</x:v>
      </x:c>
      <x:c r="C3358" s="12" t="str">
        <x:v>CORP-0429</x:v>
      </x:c>
      <x:c r="D3358" s="12" t="str">
        <x:v>Bengaluru</x:v>
      </x:c>
      <x:c r="E3358" s="12" t="str">
        <x:v>International Tech Park (ITPB - SEZ)</x:v>
      </x:c>
      <x:c r="F3358" s="12" t="str">
        <x:v>55 inch</x:v>
      </x:c>
      <x:c r="G3358" s="20" t="n">
        <x:v>1</x:v>
      </x:c>
      <x:c r="H3358" s="12" t="str">
        <x:v>Campus/portfolio roster; individual building occupancy unverified</x:v>
      </x:c>
      <x:c r="I3358" s="12" t="str">
        <x:v>Large enterprise</x:v>
      </x:c>
      <x:c r="J3358" s="12" t="str">
        <x:v>IT &amp; digital</x:v>
      </x:c>
      <x:c r="K3358" s="2" t="str">
        <x:v>PARTNER-M011</x:v>
      </x:c>
    </x:row>
    <x:row r="3359" ht="46" customHeight="1">
      <x:c r="A3359" s="2" t="str">
        <x:v>TEN-B5C691D27CD7</x:v>
      </x:c>
      <x:c r="B3359" s="12" t="str">
        <x:v>Galaxe Solutions</x:v>
      </x:c>
      <x:c r="C3359" s="12" t="str">
        <x:v>CORP-0429</x:v>
      </x:c>
      <x:c r="D3359" s="12" t="str">
        <x:v>Bengaluru</x:v>
      </x:c>
      <x:c r="E3359" s="12" t="str">
        <x:v>International Tech Park (ITPB - SEZ)</x:v>
      </x:c>
      <x:c r="F3359" s="12" t="str">
        <x:v>55 inch</x:v>
      </x:c>
      <x:c r="G3359" s="20" t="n">
        <x:v>1</x:v>
      </x:c>
      <x:c r="H3359" s="12" t="str">
        <x:v>Campus/portfolio roster; individual building occupancy unverified</x:v>
      </x:c>
      <x:c r="I3359" s="12" t="str">
        <x:v>Mixed business audience</x:v>
      </x:c>
      <x:c r="J3359" s="12" t="str">
        <x:v>IT &amp; digital</x:v>
      </x:c>
      <x:c r="K3359" s="2" t="str">
        <x:v>PARTNER-M011</x:v>
      </x:c>
    </x:row>
    <x:row r="3360" ht="46" customHeight="1">
      <x:c r="A3360" s="2" t="str">
        <x:v>TEN-CA80269ADE3A</x:v>
      </x:c>
      <x:c r="B3360" s="12" t="str">
        <x:v>Mu Sigma</x:v>
      </x:c>
      <x:c r="C3360" s="12" t="str">
        <x:v>CORP-0429</x:v>
      </x:c>
      <x:c r="D3360" s="12" t="str">
        <x:v>Bengaluru</x:v>
      </x:c>
      <x:c r="E3360" s="12" t="str">
        <x:v>International Tech Park (ITPB - SEZ)</x:v>
      </x:c>
      <x:c r="F3360" s="12" t="str">
        <x:v>55 inch</x:v>
      </x:c>
      <x:c r="G3360" s="20" t="n">
        <x:v>1</x:v>
      </x:c>
      <x:c r="H3360" s="12" t="str">
        <x:v>Campus/portfolio roster; individual building occupancy unverified</x:v>
      </x:c>
      <x:c r="I3360" s="12" t="str">
        <x:v>Mixed business audience</x:v>
      </x:c>
      <x:c r="J3360" s="12" t="str">
        <x:v>IT &amp; digital</x:v>
      </x:c>
      <x:c r="K3360" s="2" t="str">
        <x:v>PARTNER-M011</x:v>
      </x:c>
    </x:row>
    <x:row r="3361" ht="46" customHeight="1">
      <x:c r="A3361" s="2" t="str">
        <x:v>TEN-D254184A081B</x:v>
      </x:c>
      <x:c r="B3361" s="12" t="str">
        <x:v>CSS Corp</x:v>
      </x:c>
      <x:c r="C3361" s="12" t="str">
        <x:v>CORP-0429</x:v>
      </x:c>
      <x:c r="D3361" s="12" t="str">
        <x:v>Bengaluru</x:v>
      </x:c>
      <x:c r="E3361" s="12" t="str">
        <x:v>International Tech Park (ITPB - SEZ)</x:v>
      </x:c>
      <x:c r="F3361" s="12" t="str">
        <x:v>55 inch</x:v>
      </x:c>
      <x:c r="G3361" s="20" t="n">
        <x:v>1</x:v>
      </x:c>
      <x:c r="H3361" s="12" t="str">
        <x:v>Campus/portfolio roster; individual building occupancy unverified</x:v>
      </x:c>
      <x:c r="I3361" s="12" t="str">
        <x:v>Mixed business audience</x:v>
      </x:c>
      <x:c r="J3361" s="12" t="str">
        <x:v>IT &amp; digital</x:v>
      </x:c>
      <x:c r="K3361" s="2" t="str">
        <x:v>PARTNER-M011</x:v>
      </x:c>
    </x:row>
    <x:row r="3362" ht="46" customHeight="1">
      <x:c r="A3362" s="2" t="str">
        <x:v>TEN-EBC4BBC5D3E0</x:v>
      </x:c>
      <x:c r="B3362" s="12" t="str">
        <x:v>Slash Support</x:v>
      </x:c>
      <x:c r="C3362" s="12" t="str">
        <x:v>CORP-0429</x:v>
      </x:c>
      <x:c r="D3362" s="12" t="str">
        <x:v>Bengaluru</x:v>
      </x:c>
      <x:c r="E3362" s="12" t="str">
        <x:v>International Tech Park (ITPB - SEZ)</x:v>
      </x:c>
      <x:c r="F3362" s="12" t="str">
        <x:v>55 inch</x:v>
      </x:c>
      <x:c r="G3362" s="20" t="n">
        <x:v>1</x:v>
      </x:c>
      <x:c r="H3362" s="12" t="str">
        <x:v>Campus/portfolio roster; individual building occupancy unverified</x:v>
      </x:c>
      <x:c r="I3362" s="12" t="str">
        <x:v>Mixed business audience</x:v>
      </x:c>
      <x:c r="J3362" s="12" t="str">
        <x:v>Unresolved</x:v>
      </x:c>
      <x:c r="K3362" s="2" t="str">
        <x:v>PARTNER-M011</x:v>
      </x:c>
    </x:row>
    <x:row r="3363" ht="46" customHeight="1">
      <x:c r="A3363" s="2" t="str">
        <x:v>TEN-F2E3013A0309</x:v>
      </x:c>
      <x:c r="B3363" s="12" t="str">
        <x:v>Movate Technologies</x:v>
      </x:c>
      <x:c r="C3363" s="12" t="str">
        <x:v>CORP-0429</x:v>
      </x:c>
      <x:c r="D3363" s="12" t="str">
        <x:v>Bengaluru</x:v>
      </x:c>
      <x:c r="E3363" s="12" t="str">
        <x:v>International Tech Park (ITPB - SEZ)</x:v>
      </x:c>
      <x:c r="F3363" s="12" t="str">
        <x:v>55 inch</x:v>
      </x:c>
      <x:c r="G3363" s="20" t="n">
        <x:v>1</x:v>
      </x:c>
      <x:c r="H3363" s="12" t="str">
        <x:v>Campus/portfolio roster; individual building occupancy unverified</x:v>
      </x:c>
      <x:c r="I3363" s="12" t="str">
        <x:v>Mixed business audience</x:v>
      </x:c>
      <x:c r="J3363" s="12" t="str">
        <x:v>IT &amp; digital</x:v>
      </x:c>
      <x:c r="K3363" s="2" t="str">
        <x:v>PARTNER-M011</x:v>
      </x:c>
    </x:row>
    <x:row r="3364" ht="46" customHeight="1">
      <x:c r="A3364" s="2" t="str">
        <x:v>TEN-F6768D57BDBC</x:v>
      </x:c>
      <x:c r="B3364" s="12" t="str">
        <x:v>Societe Generale</x:v>
      </x:c>
      <x:c r="C3364" s="12" t="str">
        <x:v>CORP-0429</x:v>
      </x:c>
      <x:c r="D3364" s="12" t="str">
        <x:v>Bengaluru</x:v>
      </x:c>
      <x:c r="E3364" s="12" t="str">
        <x:v>International Tech Park (ITPB - SEZ)</x:v>
      </x:c>
      <x:c r="F3364" s="12" t="str">
        <x:v>55 inch</x:v>
      </x:c>
      <x:c r="G3364" s="20" t="n">
        <x:v>1</x:v>
      </x:c>
      <x:c r="H3364" s="12" t="str">
        <x:v>Campus/portfolio roster; individual building occupancy unverified</x:v>
      </x:c>
      <x:c r="I3364" s="12" t="str">
        <x:v>Large enterprise</x:v>
      </x:c>
      <x:c r="J3364" s="12" t="str">
        <x:v>Finance &amp; insurance</x:v>
      </x:c>
      <x:c r="K3364" s="2" t="str">
        <x:v>PARTNER-M011</x:v>
      </x:c>
    </x:row>
    <x:row r="3365" ht="46" customHeight="1">
      <x:c r="A3365" s="2" t="str">
        <x:v>TEN-090321827705</x:v>
      </x:c>
      <x:c r="B3365" s="12" t="str">
        <x:v>Mysis</x:v>
      </x:c>
      <x:c r="C3365" s="12" t="str">
        <x:v>CORP-0555</x:v>
      </x:c>
      <x:c r="D3365" s="12" t="str">
        <x:v>Bengaluru</x:v>
      </x:c>
      <x:c r="E3365" s="12" t="str">
        <x:v>Bagmane Constellation </x:v>
      </x:c>
      <x:c r="F3365" s="12" t="str">
        <x:v>55 inch</x:v>
      </x:c>
      <x:c r="G3365" s="20" t="n">
        <x:v>1</x:v>
      </x:c>
      <x:c r="H3365" s="12" t="str">
        <x:v>Campus/portfolio roster; individual building occupancy unverified</x:v>
      </x:c>
      <x:c r="I3365" s="12" t="str">
        <x:v>Mixed business audience</x:v>
      </x:c>
      <x:c r="J3365" s="12" t="str">
        <x:v>IT &amp; digital</x:v>
      </x:c>
      <x:c r="K3365" s="2" t="str">
        <x:v>PARTNER-M130</x:v>
      </x:c>
    </x:row>
    <x:row r="3366" ht="46" customHeight="1">
      <x:c r="A3366" s="2" t="str">
        <x:v>TEN-16F45B99ABFD</x:v>
      </x:c>
      <x:c r="B3366" s="12" t="str">
        <x:v>Boeing</x:v>
      </x:c>
      <x:c r="C3366" s="12" t="str">
        <x:v>CORP-0555</x:v>
      </x:c>
      <x:c r="D3366" s="12" t="str">
        <x:v>Bengaluru</x:v>
      </x:c>
      <x:c r="E3366" s="12" t="str">
        <x:v>Bagmane Constellation </x:v>
      </x:c>
      <x:c r="F3366" s="12" t="str">
        <x:v>55 inch</x:v>
      </x:c>
      <x:c r="G3366" s="20" t="n">
        <x:v>1</x:v>
      </x:c>
      <x:c r="H3366" s="12" t="str">
        <x:v>Campus/portfolio roster; individual building occupancy unverified</x:v>
      </x:c>
      <x:c r="I3366" s="12" t="str">
        <x:v>Large enterprise</x:v>
      </x:c>
      <x:c r="J3366" s="12" t="str">
        <x:v>Engineering &amp; manufacturing</x:v>
      </x:c>
      <x:c r="K3366" s="2" t="str">
        <x:v>PARTNER-M130</x:v>
      </x:c>
    </x:row>
    <x:row r="3367" ht="46" customHeight="1">
      <x:c r="A3367" s="2" t="str">
        <x:v>TEN-36E26473A4E8</x:v>
      </x:c>
      <x:c r="B3367" s="12" t="str">
        <x:v>Alstom</x:v>
      </x:c>
      <x:c r="C3367" s="12" t="str">
        <x:v>CORP-0555</x:v>
      </x:c>
      <x:c r="D3367" s="12" t="str">
        <x:v>Bengaluru</x:v>
      </x:c>
      <x:c r="E3367" s="12" t="str">
        <x:v>Bagmane Constellation </x:v>
      </x:c>
      <x:c r="F3367" s="12" t="str">
        <x:v>55 inch</x:v>
      </x:c>
      <x:c r="G3367" s="20" t="n">
        <x:v>1</x:v>
      </x:c>
      <x:c r="H3367" s="12" t="str">
        <x:v>Campus/portfolio roster; individual building occupancy unverified</x:v>
      </x:c>
      <x:c r="I3367" s="12" t="str">
        <x:v>Large enterprise</x:v>
      </x:c>
      <x:c r="J3367" s="12" t="str">
        <x:v>Engineering &amp; manufacturing</x:v>
      </x:c>
      <x:c r="K3367" s="2" t="str">
        <x:v>PARTNER-M130</x:v>
      </x:c>
    </x:row>
    <x:row r="3368" ht="46" customHeight="1">
      <x:c r="A3368" s="2" t="str">
        <x:v>TEN-3E451D4C362B</x:v>
      </x:c>
      <x:c r="B3368" s="12" t="str">
        <x:v>Sapient</x:v>
      </x:c>
      <x:c r="C3368" s="12" t="str">
        <x:v>CORP-0555</x:v>
      </x:c>
      <x:c r="D3368" s="12" t="str">
        <x:v>Bengaluru</x:v>
      </x:c>
      <x:c r="E3368" s="12" t="str">
        <x:v>Bagmane Constellation </x:v>
      </x:c>
      <x:c r="F3368" s="12" t="str">
        <x:v>55 inch</x:v>
      </x:c>
      <x:c r="G3368" s="20" t="n">
        <x:v>1</x:v>
      </x:c>
      <x:c r="H3368" s="12" t="str">
        <x:v>Campus/portfolio roster; individual building occupancy unverified</x:v>
      </x:c>
      <x:c r="I3368" s="12" t="str">
        <x:v>Large enterprise</x:v>
      </x:c>
      <x:c r="J3368" s="12" t="str">
        <x:v>Unresolved</x:v>
      </x:c>
      <x:c r="K3368" s="2" t="str">
        <x:v>PARTNER-M130</x:v>
      </x:c>
    </x:row>
    <x:row r="3369" ht="46" customHeight="1">
      <x:c r="A3369" s="2" t="str">
        <x:v>TEN-69A068939DEA</x:v>
      </x:c>
      <x:c r="B3369" s="12" t="str">
        <x:v>Ernst and Young</x:v>
      </x:c>
      <x:c r="C3369" s="12" t="str">
        <x:v>CORP-0555</x:v>
      </x:c>
      <x:c r="D3369" s="12" t="str">
        <x:v>Bengaluru</x:v>
      </x:c>
      <x:c r="E3369" s="12" t="str">
        <x:v>Bagmane Constellation </x:v>
      </x:c>
      <x:c r="F3369" s="12" t="str">
        <x:v>55 inch</x:v>
      </x:c>
      <x:c r="G3369" s="20" t="n">
        <x:v>1</x:v>
      </x:c>
      <x:c r="H3369" s="12" t="str">
        <x:v>Campus/portfolio roster; individual building occupancy unverified</x:v>
      </x:c>
      <x:c r="I3369" s="12" t="str">
        <x:v>Large enterprise</x:v>
      </x:c>
      <x:c r="J3369" s="12" t="str">
        <x:v>Professional services</x:v>
      </x:c>
      <x:c r="K3369" s="2" t="str">
        <x:v>PARTNER-M130</x:v>
      </x:c>
    </x:row>
    <x:row r="3370" ht="46" customHeight="1">
      <x:c r="A3370" s="2" t="str">
        <x:v>TEN-8DFE5E6CF73B</x:v>
      </x:c>
      <x:c r="B3370" s="12" t="str">
        <x:v>Red Hat</x:v>
      </x:c>
      <x:c r="C3370" s="12" t="str">
        <x:v>CORP-0555</x:v>
      </x:c>
      <x:c r="D3370" s="12" t="str">
        <x:v>Bengaluru</x:v>
      </x:c>
      <x:c r="E3370" s="12" t="str">
        <x:v>Bagmane Constellation </x:v>
      </x:c>
      <x:c r="F3370" s="12" t="str">
        <x:v>55 inch</x:v>
      </x:c>
      <x:c r="G3370" s="20" t="n">
        <x:v>1</x:v>
      </x:c>
      <x:c r="H3370" s="12" t="str">
        <x:v>Campus/portfolio roster; individual building occupancy unverified</x:v>
      </x:c>
      <x:c r="I3370" s="12" t="str">
        <x:v>Large enterprise</x:v>
      </x:c>
      <x:c r="J3370" s="12" t="str">
        <x:v>IT &amp; digital</x:v>
      </x:c>
      <x:c r="K3370" s="2" t="str">
        <x:v>PARTNER-M130</x:v>
      </x:c>
    </x:row>
    <x:row r="3371" ht="46" customHeight="1">
      <x:c r="A3371" s="2" t="str">
        <x:v>TEN-968E2D5B0868</x:v>
      </x:c>
      <x:c r="B3371" s="12" t="str">
        <x:v>Samsung</x:v>
      </x:c>
      <x:c r="C3371" s="12" t="str">
        <x:v>CORP-0555</x:v>
      </x:c>
      <x:c r="D3371" s="12" t="str">
        <x:v>Bengaluru</x:v>
      </x:c>
      <x:c r="E3371" s="12" t="str">
        <x:v>Bagmane Constellation </x:v>
      </x:c>
      <x:c r="F3371" s="12" t="str">
        <x:v>55 inch</x:v>
      </x:c>
      <x:c r="G3371" s="20" t="n">
        <x:v>1</x:v>
      </x:c>
      <x:c r="H3371" s="12" t="str">
        <x:v>Campus/portfolio roster; individual building occupancy unverified</x:v>
      </x:c>
      <x:c r="I3371" s="12" t="str">
        <x:v>Large enterprise</x:v>
      </x:c>
      <x:c r="J3371" s="12" t="str">
        <x:v>Engineering &amp; manufacturing</x:v>
      </x:c>
      <x:c r="K3371" s="2" t="str">
        <x:v>PARTNER-M130</x:v>
      </x:c>
    </x:row>
    <x:row r="3372" ht="46" customHeight="1">
      <x:c r="A3372" s="2" t="str">
        <x:v>TEN-BBDEFA2950F4</x:v>
      </x:c>
      <x:c r="B3372" s="12" t="str">
        <x:v>Google</x:v>
      </x:c>
      <x:c r="C3372" s="12" t="str">
        <x:v>CORP-0555</x:v>
      </x:c>
      <x:c r="D3372" s="12" t="str">
        <x:v>Bengaluru</x:v>
      </x:c>
      <x:c r="E3372" s="12" t="str">
        <x:v>Bagmane Constellation </x:v>
      </x:c>
      <x:c r="F3372" s="12" t="str">
        <x:v>55 inch</x:v>
      </x:c>
      <x:c r="G3372" s="20" t="n">
        <x:v>1</x:v>
      </x:c>
      <x:c r="H3372" s="12" t="str">
        <x:v>Campus/portfolio roster; individual building occupancy unverified</x:v>
      </x:c>
      <x:c r="I3372" s="12" t="str">
        <x:v>Large enterprise</x:v>
      </x:c>
      <x:c r="J3372" s="12" t="str">
        <x:v>IT &amp; digital</x:v>
      </x:c>
      <x:c r="K3372" s="2" t="str">
        <x:v>PARTNER-M130</x:v>
      </x:c>
    </x:row>
    <x:row r="3373" ht="46" customHeight="1">
      <x:c r="A3373" s="2" t="str">
        <x:v>TEN-CBC62794911F</x:v>
      </x:c>
      <x:c r="B3373" s="12" t="str">
        <x:v>Amazon</x:v>
      </x:c>
      <x:c r="C3373" s="12" t="str">
        <x:v>CORP-0555</x:v>
      </x:c>
      <x:c r="D3373" s="12" t="str">
        <x:v>Bengaluru</x:v>
      </x:c>
      <x:c r="E3373" s="12" t="str">
        <x:v>Bagmane Constellation </x:v>
      </x:c>
      <x:c r="F3373" s="12" t="str">
        <x:v>55 inch</x:v>
      </x:c>
      <x:c r="G3373" s="20" t="n">
        <x:v>1</x:v>
      </x:c>
      <x:c r="H3373" s="12" t="str">
        <x:v>Campus/portfolio roster; individual building occupancy unverified</x:v>
      </x:c>
      <x:c r="I3373" s="12" t="str">
        <x:v>Large enterprise</x:v>
      </x:c>
      <x:c r="J3373" s="12" t="str">
        <x:v>IT &amp; digital</x:v>
      </x:c>
      <x:c r="K3373" s="2" t="str">
        <x:v>PARTNER-M130</x:v>
      </x:c>
    </x:row>
    <x:row r="3374" ht="46" customHeight="1">
      <x:c r="A3374" s="2" t="str">
        <x:v>TEN-F31639A23C74</x:v>
      </x:c>
      <x:c r="B3374" s="12" t="str">
        <x:v>Qualcomm</x:v>
      </x:c>
      <x:c r="C3374" s="12" t="str">
        <x:v>CORP-0555</x:v>
      </x:c>
      <x:c r="D3374" s="12" t="str">
        <x:v>Bengaluru</x:v>
      </x:c>
      <x:c r="E3374" s="12" t="str">
        <x:v>Bagmane Constellation </x:v>
      </x:c>
      <x:c r="F3374" s="12" t="str">
        <x:v>55 inch</x:v>
      </x:c>
      <x:c r="G3374" s="20" t="n">
        <x:v>1</x:v>
      </x:c>
      <x:c r="H3374" s="12" t="str">
        <x:v>Campus/portfolio roster; individual building occupancy unverified</x:v>
      </x:c>
      <x:c r="I3374" s="12" t="str">
        <x:v>Large enterprise</x:v>
      </x:c>
      <x:c r="J3374" s="12" t="str">
        <x:v>Engineering &amp; manufacturing</x:v>
      </x:c>
      <x:c r="K3374" s="2" t="str">
        <x:v>PARTNER-M130</x:v>
      </x:c>
    </x:row>
    <x:row r="3375" ht="46" customHeight="1">
      <x:c r="A3375" s="2" t="str">
        <x:v>TEN-F68A6275A50C</x:v>
      </x:c>
      <x:c r="B3375" s="12" t="str">
        <x:v>Archwel</x:v>
      </x:c>
      <x:c r="C3375" s="12" t="str">
        <x:v>CORP-0555</x:v>
      </x:c>
      <x:c r="D3375" s="12" t="str">
        <x:v>Bengaluru</x:v>
      </x:c>
      <x:c r="E3375" s="12" t="str">
        <x:v>Bagmane Constellation </x:v>
      </x:c>
      <x:c r="F3375" s="12" t="str">
        <x:v>55 inch</x:v>
      </x:c>
      <x:c r="G3375" s="20" t="n">
        <x:v>1</x:v>
      </x:c>
      <x:c r="H3375" s="12" t="str">
        <x:v>Campus/portfolio roster; individual building occupancy unverified</x:v>
      </x:c>
      <x:c r="I3375" s="12" t="str">
        <x:v>Mixed business audience</x:v>
      </x:c>
      <x:c r="J3375" s="12" t="str">
        <x:v>Unresolved</x:v>
      </x:c>
      <x:c r="K3375" s="2" t="str">
        <x:v>PARTNER-M130</x:v>
      </x:c>
    </x:row>
    <x:row r="3376" ht="46" customHeight="1">
      <x:c r="A3376" s="2" t="str">
        <x:v>TEN-066B5B5AD807</x:v>
      </x:c>
      <x:c r="B3376" s="12" t="str">
        <x:v>American Express</x:v>
      </x:c>
      <x:c r="C3376" s="12" t="str">
        <x:v>CORP-0556</x:v>
      </x:c>
      <x:c r="D3376" s="12" t="str">
        <x:v>Bengaluru</x:v>
      </x:c>
      <x:c r="E3376" s="12" t="str">
        <x:v>Bagmane Capital</x:v>
      </x:c>
      <x:c r="F3376" s="12" t="str">
        <x:v>55 inch</x:v>
      </x:c>
      <x:c r="G3376" s="20" t="n">
        <x:v>1</x:v>
      </x:c>
      <x:c r="H3376" s="12" t="str">
        <x:v>Campus/portfolio roster; individual building occupancy unverified</x:v>
      </x:c>
      <x:c r="I3376" s="12" t="str">
        <x:v>Mixed business audience</x:v>
      </x:c>
      <x:c r="J3376" s="12" t="str">
        <x:v>Finance &amp; insurance</x:v>
      </x:c>
      <x:c r="K3376" s="2" t="str">
        <x:v>PARTNER-M138</x:v>
      </x:c>
    </x:row>
    <x:row r="3377" ht="46" customHeight="1">
      <x:c r="A3377" s="2" t="str">
        <x:v>TEN-1E6EA169C908</x:v>
      </x:c>
      <x:c r="B3377" s="12" t="str">
        <x:v>GSK Global Capability Centre</x:v>
      </x:c>
      <x:c r="C3377" s="12" t="str">
        <x:v>CORP-0556</x:v>
      </x:c>
      <x:c r="D3377" s="12" t="str">
        <x:v>Bengaluru</x:v>
      </x:c>
      <x:c r="E3377" s="12" t="str">
        <x:v>Bagmane Capital</x:v>
      </x:c>
      <x:c r="F3377" s="12" t="str">
        <x:v>55 inch</x:v>
      </x:c>
      <x:c r="G3377" s="20" t="n">
        <x:v>1</x:v>
      </x:c>
      <x:c r="H3377" s="12" t="str">
        <x:v>Campus/portfolio roster; individual building occupancy unverified</x:v>
      </x:c>
      <x:c r="I3377" s="12" t="str">
        <x:v>Mixed business audience</x:v>
      </x:c>
      <x:c r="J3377" s="12" t="str">
        <x:v>Healthcare &amp; life sciences</x:v>
      </x:c>
      <x:c r="K3377" s="2" t="str">
        <x:v>PARTNER-M138</x:v>
      </x:c>
    </x:row>
    <x:row r="3378" ht="46" customHeight="1">
      <x:c r="A3378" s="2" t="str">
        <x:v>TEN-484C6092587B</x:v>
      </x:c>
      <x:c r="B3378" s="12" t="str">
        <x:v>Feathertouch Daycare</x:v>
      </x:c>
      <x:c r="C3378" s="12" t="str">
        <x:v>CORP-0556</x:v>
      </x:c>
      <x:c r="D3378" s="12" t="str">
        <x:v>Bengaluru</x:v>
      </x:c>
      <x:c r="E3378" s="12" t="str">
        <x:v>Bagmane Capital</x:v>
      </x:c>
      <x:c r="F3378" s="12" t="str">
        <x:v>55 inch</x:v>
      </x:c>
      <x:c r="G3378" s="20" t="n">
        <x:v>1</x:v>
      </x:c>
      <x:c r="H3378" s="12" t="str">
        <x:v>Campus/portfolio roster; individual building occupancy unverified</x:v>
      </x:c>
      <x:c r="I3378" s="12" t="str">
        <x:v>Medium-scale prospects</x:v>
      </x:c>
      <x:c r="J3378" s="12" t="str">
        <x:v>Education</x:v>
      </x:c>
      <x:c r="K3378" s="2" t="str">
        <x:v>PARTNER-M138</x:v>
      </x:c>
    </x:row>
    <x:row r="3379" ht="46" customHeight="1">
      <x:c r="A3379" s="2" t="str">
        <x:v>TEN-59685FB62EA9</x:v>
      </x:c>
      <x:c r="B3379" s="12" t="str">
        <x:v>Bottomline</x:v>
      </x:c>
      <x:c r="C3379" s="12" t="str">
        <x:v>CORP-0556</x:v>
      </x:c>
      <x:c r="D3379" s="12" t="str">
        <x:v>Bengaluru</x:v>
      </x:c>
      <x:c r="E3379" s="12" t="str">
        <x:v>Bagmane Capital</x:v>
      </x:c>
      <x:c r="F3379" s="12" t="str">
        <x:v>55 inch</x:v>
      </x:c>
      <x:c r="G3379" s="20" t="n">
        <x:v>1</x:v>
      </x:c>
      <x:c r="H3379" s="12" t="str">
        <x:v>Campus/portfolio roster; individual building occupancy unverified</x:v>
      </x:c>
      <x:c r="I3379" s="12" t="str">
        <x:v>Mixed business audience</x:v>
      </x:c>
      <x:c r="J3379" s="12" t="str">
        <x:v>IT &amp; digital</x:v>
      </x:c>
      <x:c r="K3379" s="2" t="str">
        <x:v>PARTNER-M138</x:v>
      </x:c>
    </x:row>
    <x:row r="3380" ht="46" customHeight="1">
      <x:c r="A3380" s="2" t="str">
        <x:v>TEN-72B523BE49B1</x:v>
      </x:c>
      <x:c r="B3380" s="12" t="str">
        <x:v>FAB Global Business Services</x:v>
      </x:c>
      <x:c r="C3380" s="12" t="str">
        <x:v>CORP-0556</x:v>
      </x:c>
      <x:c r="D3380" s="12" t="str">
        <x:v>Bengaluru</x:v>
      </x:c>
      <x:c r="E3380" s="12" t="str">
        <x:v>Bagmane Capital</x:v>
      </x:c>
      <x:c r="F3380" s="12" t="str">
        <x:v>55 inch</x:v>
      </x:c>
      <x:c r="G3380" s="20" t="n">
        <x:v>1</x:v>
      </x:c>
      <x:c r="H3380" s="12" t="str">
        <x:v>Campus/portfolio roster; individual building occupancy unverified</x:v>
      </x:c>
      <x:c r="I3380" s="12" t="str">
        <x:v>Mixed business audience</x:v>
      </x:c>
      <x:c r="J3380" s="12" t="str">
        <x:v>Finance &amp; insurance</x:v>
      </x:c>
      <x:c r="K3380" s="2" t="str">
        <x:v>PARTNER-M138</x:v>
      </x:c>
    </x:row>
    <x:row r="3381" ht="46" customHeight="1">
      <x:c r="A3381" s="2" t="str">
        <x:v>TEN-859F1EFC67BC</x:v>
      </x:c>
      <x:c r="B3381" s="12" t="str">
        <x:v>Amazon Development Centre</x:v>
      </x:c>
      <x:c r="C3381" s="12" t="str">
        <x:v>CORP-0556</x:v>
      </x:c>
      <x:c r="D3381" s="12" t="str">
        <x:v>Bengaluru</x:v>
      </x:c>
      <x:c r="E3381" s="12" t="str">
        <x:v>Bagmane Capital</x:v>
      </x:c>
      <x:c r="F3381" s="12" t="str">
        <x:v>55 inch</x:v>
      </x:c>
      <x:c r="G3381" s="20" t="n">
        <x:v>1</x:v>
      </x:c>
      <x:c r="H3381" s="12" t="str">
        <x:v>Campus/portfolio roster; individual building occupancy unverified</x:v>
      </x:c>
      <x:c r="I3381" s="12" t="str">
        <x:v>Large enterprise</x:v>
      </x:c>
      <x:c r="J3381" s="12" t="str">
        <x:v>IT &amp; digital</x:v>
      </x:c>
      <x:c r="K3381" s="2" t="str">
        <x:v>PARTNER-M138</x:v>
      </x:c>
    </x:row>
    <x:row r="3382" ht="46" customHeight="1">
      <x:c r="A3382" s="2" t="str">
        <x:v>TEN-9FBF261B62C1</x:v>
      </x:c>
      <x:c r="B3382" s="12" t="str">
        <x:v>Microsoft</x:v>
      </x:c>
      <x:c r="C3382" s="12" t="str">
        <x:v>CORP-0556</x:v>
      </x:c>
      <x:c r="D3382" s="12" t="str">
        <x:v>Bengaluru</x:v>
      </x:c>
      <x:c r="E3382" s="12" t="str">
        <x:v>Bagmane Capital</x:v>
      </x:c>
      <x:c r="F3382" s="12" t="str">
        <x:v>55 inch</x:v>
      </x:c>
      <x:c r="G3382" s="20" t="n">
        <x:v>1</x:v>
      </x:c>
      <x:c r="H3382" s="12" t="str">
        <x:v>Campus/portfolio roster; individual building occupancy unverified</x:v>
      </x:c>
      <x:c r="I3382" s="12" t="str">
        <x:v>Large enterprise</x:v>
      </x:c>
      <x:c r="J3382" s="12" t="str">
        <x:v>IT &amp; digital</x:v>
      </x:c>
      <x:c r="K3382" s="2" t="str">
        <x:v>PARTNER-M138</x:v>
      </x:c>
    </x:row>
    <x:row r="3383" ht="46" customHeight="1">
      <x:c r="A3383" s="2" t="str">
        <x:v>TEN-B178003E7D85</x:v>
      </x:c>
      <x:c r="B3383" s="12" t="str">
        <x:v>Databricks India Pvt Ltd</x:v>
      </x:c>
      <x:c r="C3383" s="12" t="str">
        <x:v>CORP-0556</x:v>
      </x:c>
      <x:c r="D3383" s="12" t="str">
        <x:v>Bengaluru</x:v>
      </x:c>
      <x:c r="E3383" s="12" t="str">
        <x:v>Bagmane Capital</x:v>
      </x:c>
      <x:c r="F3383" s="12" t="str">
        <x:v>55 inch</x:v>
      </x:c>
      <x:c r="G3383" s="20" t="n">
        <x:v>1</x:v>
      </x:c>
      <x:c r="H3383" s="12" t="str">
        <x:v>Campus/portfolio roster; individual building occupancy unverified</x:v>
      </x:c>
      <x:c r="I3383" s="12" t="str">
        <x:v>Mixed business audience</x:v>
      </x:c>
      <x:c r="J3383" s="12" t="str">
        <x:v>IT &amp; digital</x:v>
      </x:c>
      <x:c r="K3383" s="2" t="str">
        <x:v>PARTNER-M138</x:v>
      </x:c>
    </x:row>
    <x:row r="3384" ht="46" customHeight="1">
      <x:c r="A3384" s="2" t="str">
        <x:v>TEN-F31639A23C74</x:v>
      </x:c>
      <x:c r="B3384" s="12" t="str">
        <x:v>Qualcomm</x:v>
      </x:c>
      <x:c r="C3384" s="12" t="str">
        <x:v>CORP-0556</x:v>
      </x:c>
      <x:c r="D3384" s="12" t="str">
        <x:v>Bengaluru</x:v>
      </x:c>
      <x:c r="E3384" s="12" t="str">
        <x:v>Bagmane Capital</x:v>
      </x:c>
      <x:c r="F3384" s="12" t="str">
        <x:v>55 inch</x:v>
      </x:c>
      <x:c r="G3384" s="20" t="n">
        <x:v>1</x:v>
      </x:c>
      <x:c r="H3384" s="12" t="str">
        <x:v>Campus/portfolio roster; individual building occupancy unverified</x:v>
      </x:c>
      <x:c r="I3384" s="12" t="str">
        <x:v>Large enterprise</x:v>
      </x:c>
      <x:c r="J3384" s="12" t="str">
        <x:v>Engineering &amp; manufacturing</x:v>
      </x:c>
      <x:c r="K3384" s="2" t="str">
        <x:v>PARTNER-M138</x:v>
      </x:c>
    </x:row>
    <x:row r="3385" ht="46" customHeight="1">
      <x:c r="A3385" s="2" t="str">
        <x:v>TEN-F6C7E6892C6F</x:v>
      </x:c>
      <x:c r="B3385" s="12" t="str">
        <x:v>Wayfair Global Technology Private Limited</x:v>
      </x:c>
      <x:c r="C3385" s="12" t="str">
        <x:v>CORP-0556</x:v>
      </x:c>
      <x:c r="D3385" s="12" t="str">
        <x:v>Bengaluru</x:v>
      </x:c>
      <x:c r="E3385" s="12" t="str">
        <x:v>Bagmane Capital</x:v>
      </x:c>
      <x:c r="F3385" s="12" t="str">
        <x:v>55 inch</x:v>
      </x:c>
      <x:c r="G3385" s="20" t="n">
        <x:v>1</x:v>
      </x:c>
      <x:c r="H3385" s="12" t="str">
        <x:v>Campus/portfolio roster; individual building occupancy unverified</x:v>
      </x:c>
      <x:c r="I3385" s="12" t="str">
        <x:v>Large enterprise</x:v>
      </x:c>
      <x:c r="J3385" s="12" t="str">
        <x:v>Trade, consumer &amp; logistics</x:v>
      </x:c>
      <x:c r="K3385" s="2" t="str">
        <x:v>PARTNER-M138</x:v>
      </x:c>
    </x:row>
    <x:row r="3386" ht="46" customHeight="1">
      <x:c r="A3386" s="2" t="str">
        <x:v>TEN-066B5B5AD807</x:v>
      </x:c>
      <x:c r="B3386" s="12" t="str">
        <x:v>American Express</x:v>
      </x:c>
      <x:c r="C3386" s="12" t="str">
        <x:v>CORP-0557</x:v>
      </x:c>
      <x:c r="D3386" s="12" t="str">
        <x:v>Bengaluru</x:v>
      </x:c>
      <x:c r="E3386" s="12" t="str">
        <x:v>Bagmane Capital</x:v>
      </x:c>
      <x:c r="F3386" s="12" t="str">
        <x:v>55 inch</x:v>
      </x:c>
      <x:c r="G3386" s="20" t="n">
        <x:v>1</x:v>
      </x:c>
      <x:c r="H3386" s="12" t="str">
        <x:v>Campus/portfolio roster; individual building occupancy unverified</x:v>
      </x:c>
      <x:c r="I3386" s="12" t="str">
        <x:v>Mixed business audience</x:v>
      </x:c>
      <x:c r="J3386" s="12" t="str">
        <x:v>Finance &amp; insurance</x:v>
      </x:c>
      <x:c r="K3386" s="2" t="str">
        <x:v>PARTNER-M138</x:v>
      </x:c>
    </x:row>
    <x:row r="3387" ht="46" customHeight="1">
      <x:c r="A3387" s="2" t="str">
        <x:v>TEN-1E6EA169C908</x:v>
      </x:c>
      <x:c r="B3387" s="12" t="str">
        <x:v>GSK Global Capability Centre</x:v>
      </x:c>
      <x:c r="C3387" s="12" t="str">
        <x:v>CORP-0557</x:v>
      </x:c>
      <x:c r="D3387" s="12" t="str">
        <x:v>Bengaluru</x:v>
      </x:c>
      <x:c r="E3387" s="12" t="str">
        <x:v>Bagmane Capital</x:v>
      </x:c>
      <x:c r="F3387" s="12" t="str">
        <x:v>55 inch</x:v>
      </x:c>
      <x:c r="G3387" s="20" t="n">
        <x:v>1</x:v>
      </x:c>
      <x:c r="H3387" s="12" t="str">
        <x:v>Campus/portfolio roster; individual building occupancy unverified</x:v>
      </x:c>
      <x:c r="I3387" s="12" t="str">
        <x:v>Mixed business audience</x:v>
      </x:c>
      <x:c r="J3387" s="12" t="str">
        <x:v>Healthcare &amp; life sciences</x:v>
      </x:c>
      <x:c r="K3387" s="2" t="str">
        <x:v>PARTNER-M138</x:v>
      </x:c>
    </x:row>
    <x:row r="3388" ht="46" customHeight="1">
      <x:c r="A3388" s="2" t="str">
        <x:v>TEN-484C6092587B</x:v>
      </x:c>
      <x:c r="B3388" s="12" t="str">
        <x:v>Feathertouch Daycare</x:v>
      </x:c>
      <x:c r="C3388" s="12" t="str">
        <x:v>CORP-0557</x:v>
      </x:c>
      <x:c r="D3388" s="12" t="str">
        <x:v>Bengaluru</x:v>
      </x:c>
      <x:c r="E3388" s="12" t="str">
        <x:v>Bagmane Capital</x:v>
      </x:c>
      <x:c r="F3388" s="12" t="str">
        <x:v>55 inch</x:v>
      </x:c>
      <x:c r="G3388" s="20" t="n">
        <x:v>1</x:v>
      </x:c>
      <x:c r="H3388" s="12" t="str">
        <x:v>Campus/portfolio roster; individual building occupancy unverified</x:v>
      </x:c>
      <x:c r="I3388" s="12" t="str">
        <x:v>Medium-scale prospects</x:v>
      </x:c>
      <x:c r="J3388" s="12" t="str">
        <x:v>Education</x:v>
      </x:c>
      <x:c r="K3388" s="2" t="str">
        <x:v>PARTNER-M138</x:v>
      </x:c>
    </x:row>
    <x:row r="3389" ht="46" customHeight="1">
      <x:c r="A3389" s="2" t="str">
        <x:v>TEN-59685FB62EA9</x:v>
      </x:c>
      <x:c r="B3389" s="12" t="str">
        <x:v>Bottomline</x:v>
      </x:c>
      <x:c r="C3389" s="12" t="str">
        <x:v>CORP-0557</x:v>
      </x:c>
      <x:c r="D3389" s="12" t="str">
        <x:v>Bengaluru</x:v>
      </x:c>
      <x:c r="E3389" s="12" t="str">
        <x:v>Bagmane Capital</x:v>
      </x:c>
      <x:c r="F3389" s="12" t="str">
        <x:v>55 inch</x:v>
      </x:c>
      <x:c r="G3389" s="20" t="n">
        <x:v>1</x:v>
      </x:c>
      <x:c r="H3389" s="12" t="str">
        <x:v>Campus/portfolio roster; individual building occupancy unverified</x:v>
      </x:c>
      <x:c r="I3389" s="12" t="str">
        <x:v>Mixed business audience</x:v>
      </x:c>
      <x:c r="J3389" s="12" t="str">
        <x:v>IT &amp; digital</x:v>
      </x:c>
      <x:c r="K3389" s="2" t="str">
        <x:v>PARTNER-M138</x:v>
      </x:c>
    </x:row>
    <x:row r="3390" ht="46" customHeight="1">
      <x:c r="A3390" s="2" t="str">
        <x:v>TEN-72B523BE49B1</x:v>
      </x:c>
      <x:c r="B3390" s="12" t="str">
        <x:v>FAB Global Business Services</x:v>
      </x:c>
      <x:c r="C3390" s="12" t="str">
        <x:v>CORP-0557</x:v>
      </x:c>
      <x:c r="D3390" s="12" t="str">
        <x:v>Bengaluru</x:v>
      </x:c>
      <x:c r="E3390" s="12" t="str">
        <x:v>Bagmane Capital</x:v>
      </x:c>
      <x:c r="F3390" s="12" t="str">
        <x:v>55 inch</x:v>
      </x:c>
      <x:c r="G3390" s="20" t="n">
        <x:v>1</x:v>
      </x:c>
      <x:c r="H3390" s="12" t="str">
        <x:v>Campus/portfolio roster; individual building occupancy unverified</x:v>
      </x:c>
      <x:c r="I3390" s="12" t="str">
        <x:v>Mixed business audience</x:v>
      </x:c>
      <x:c r="J3390" s="12" t="str">
        <x:v>Finance &amp; insurance</x:v>
      </x:c>
      <x:c r="K3390" s="2" t="str">
        <x:v>PARTNER-M138</x:v>
      </x:c>
    </x:row>
    <x:row r="3391" ht="46" customHeight="1">
      <x:c r="A3391" s="2" t="str">
        <x:v>TEN-859F1EFC67BC</x:v>
      </x:c>
      <x:c r="B3391" s="12" t="str">
        <x:v>Amazon Development Centre</x:v>
      </x:c>
      <x:c r="C3391" s="12" t="str">
        <x:v>CORP-0557</x:v>
      </x:c>
      <x:c r="D3391" s="12" t="str">
        <x:v>Bengaluru</x:v>
      </x:c>
      <x:c r="E3391" s="12" t="str">
        <x:v>Bagmane Capital</x:v>
      </x:c>
      <x:c r="F3391" s="12" t="str">
        <x:v>55 inch</x:v>
      </x:c>
      <x:c r="G3391" s="20" t="n">
        <x:v>1</x:v>
      </x:c>
      <x:c r="H3391" s="12" t="str">
        <x:v>Campus/portfolio roster; individual building occupancy unverified</x:v>
      </x:c>
      <x:c r="I3391" s="12" t="str">
        <x:v>Large enterprise</x:v>
      </x:c>
      <x:c r="J3391" s="12" t="str">
        <x:v>IT &amp; digital</x:v>
      </x:c>
      <x:c r="K3391" s="2" t="str">
        <x:v>PARTNER-M138</x:v>
      </x:c>
    </x:row>
    <x:row r="3392" ht="46" customHeight="1">
      <x:c r="A3392" s="2" t="str">
        <x:v>TEN-9FBF261B62C1</x:v>
      </x:c>
      <x:c r="B3392" s="12" t="str">
        <x:v>Microsoft</x:v>
      </x:c>
      <x:c r="C3392" s="12" t="str">
        <x:v>CORP-0557</x:v>
      </x:c>
      <x:c r="D3392" s="12" t="str">
        <x:v>Bengaluru</x:v>
      </x:c>
      <x:c r="E3392" s="12" t="str">
        <x:v>Bagmane Capital</x:v>
      </x:c>
      <x:c r="F3392" s="12" t="str">
        <x:v>55 inch</x:v>
      </x:c>
      <x:c r="G3392" s="20" t="n">
        <x:v>1</x:v>
      </x:c>
      <x:c r="H3392" s="12" t="str">
        <x:v>Campus/portfolio roster; individual building occupancy unverified</x:v>
      </x:c>
      <x:c r="I3392" s="12" t="str">
        <x:v>Large enterprise</x:v>
      </x:c>
      <x:c r="J3392" s="12" t="str">
        <x:v>IT &amp; digital</x:v>
      </x:c>
      <x:c r="K3392" s="2" t="str">
        <x:v>PARTNER-M138</x:v>
      </x:c>
    </x:row>
    <x:row r="3393" ht="46" customHeight="1">
      <x:c r="A3393" s="2" t="str">
        <x:v>TEN-B178003E7D85</x:v>
      </x:c>
      <x:c r="B3393" s="12" t="str">
        <x:v>Databricks India Pvt Ltd</x:v>
      </x:c>
      <x:c r="C3393" s="12" t="str">
        <x:v>CORP-0557</x:v>
      </x:c>
      <x:c r="D3393" s="12" t="str">
        <x:v>Bengaluru</x:v>
      </x:c>
      <x:c r="E3393" s="12" t="str">
        <x:v>Bagmane Capital</x:v>
      </x:c>
      <x:c r="F3393" s="12" t="str">
        <x:v>55 inch</x:v>
      </x:c>
      <x:c r="G3393" s="20" t="n">
        <x:v>1</x:v>
      </x:c>
      <x:c r="H3393" s="12" t="str">
        <x:v>Campus/portfolio roster; individual building occupancy unverified</x:v>
      </x:c>
      <x:c r="I3393" s="12" t="str">
        <x:v>Mixed business audience</x:v>
      </x:c>
      <x:c r="J3393" s="12" t="str">
        <x:v>IT &amp; digital</x:v>
      </x:c>
      <x:c r="K3393" s="2" t="str">
        <x:v>PARTNER-M138</x:v>
      </x:c>
    </x:row>
    <x:row r="3394" ht="46" customHeight="1">
      <x:c r="A3394" s="2" t="str">
        <x:v>TEN-F31639A23C74</x:v>
      </x:c>
      <x:c r="B3394" s="12" t="str">
        <x:v>Qualcomm</x:v>
      </x:c>
      <x:c r="C3394" s="12" t="str">
        <x:v>CORP-0557</x:v>
      </x:c>
      <x:c r="D3394" s="12" t="str">
        <x:v>Bengaluru</x:v>
      </x:c>
      <x:c r="E3394" s="12" t="str">
        <x:v>Bagmane Capital</x:v>
      </x:c>
      <x:c r="F3394" s="12" t="str">
        <x:v>55 inch</x:v>
      </x:c>
      <x:c r="G3394" s="20" t="n">
        <x:v>1</x:v>
      </x:c>
      <x:c r="H3394" s="12" t="str">
        <x:v>Campus/portfolio roster; individual building occupancy unverified</x:v>
      </x:c>
      <x:c r="I3394" s="12" t="str">
        <x:v>Large enterprise</x:v>
      </x:c>
      <x:c r="J3394" s="12" t="str">
        <x:v>Engineering &amp; manufacturing</x:v>
      </x:c>
      <x:c r="K3394" s="2" t="str">
        <x:v>PARTNER-M138</x:v>
      </x:c>
    </x:row>
    <x:row r="3395" ht="46" customHeight="1">
      <x:c r="A3395" s="2" t="str">
        <x:v>TEN-F6C7E6892C6F</x:v>
      </x:c>
      <x:c r="B3395" s="12" t="str">
        <x:v>Wayfair Global Technology Private Limited</x:v>
      </x:c>
      <x:c r="C3395" s="12" t="str">
        <x:v>CORP-0557</x:v>
      </x:c>
      <x:c r="D3395" s="12" t="str">
        <x:v>Bengaluru</x:v>
      </x:c>
      <x:c r="E3395" s="12" t="str">
        <x:v>Bagmane Capital</x:v>
      </x:c>
      <x:c r="F3395" s="12" t="str">
        <x:v>55 inch</x:v>
      </x:c>
      <x:c r="G3395" s="20" t="n">
        <x:v>1</x:v>
      </x:c>
      <x:c r="H3395" s="12" t="str">
        <x:v>Campus/portfolio roster; individual building occupancy unverified</x:v>
      </x:c>
      <x:c r="I3395" s="12" t="str">
        <x:v>Large enterprise</x:v>
      </x:c>
      <x:c r="J3395" s="12" t="str">
        <x:v>Trade, consumer &amp; logistics</x:v>
      </x:c>
      <x:c r="K3395" s="2" t="str">
        <x:v>PARTNER-M138</x:v>
      </x:c>
    </x:row>
    <x:row r="3396" ht="46" customHeight="1">
      <x:c r="A3396" s="2" t="str">
        <x:v>TEN-066B5B5AD807</x:v>
      </x:c>
      <x:c r="B3396" s="12" t="str">
        <x:v>American Express</x:v>
      </x:c>
      <x:c r="C3396" s="12" t="str">
        <x:v>CORP-0558</x:v>
      </x:c>
      <x:c r="D3396" s="12" t="str">
        <x:v>Bengaluru</x:v>
      </x:c>
      <x:c r="E3396" s="12" t="str">
        <x:v>Bagmane Capital</x:v>
      </x:c>
      <x:c r="F3396" s="12" t="str">
        <x:v>55 inch</x:v>
      </x:c>
      <x:c r="G3396" s="20" t="n">
        <x:v>1</x:v>
      </x:c>
      <x:c r="H3396" s="12" t="str">
        <x:v>Campus/portfolio roster; individual building occupancy unverified</x:v>
      </x:c>
      <x:c r="I3396" s="12" t="str">
        <x:v>Mixed business audience</x:v>
      </x:c>
      <x:c r="J3396" s="12" t="str">
        <x:v>Finance &amp; insurance</x:v>
      </x:c>
      <x:c r="K3396" s="2" t="str">
        <x:v>PARTNER-M138</x:v>
      </x:c>
    </x:row>
    <x:row r="3397" ht="46" customHeight="1">
      <x:c r="A3397" s="2" t="str">
        <x:v>TEN-1E6EA169C908</x:v>
      </x:c>
      <x:c r="B3397" s="12" t="str">
        <x:v>GSK Global Capability Centre</x:v>
      </x:c>
      <x:c r="C3397" s="12" t="str">
        <x:v>CORP-0558</x:v>
      </x:c>
      <x:c r="D3397" s="12" t="str">
        <x:v>Bengaluru</x:v>
      </x:c>
      <x:c r="E3397" s="12" t="str">
        <x:v>Bagmane Capital</x:v>
      </x:c>
      <x:c r="F3397" s="12" t="str">
        <x:v>55 inch</x:v>
      </x:c>
      <x:c r="G3397" s="20" t="n">
        <x:v>1</x:v>
      </x:c>
      <x:c r="H3397" s="12" t="str">
        <x:v>Campus/portfolio roster; individual building occupancy unverified</x:v>
      </x:c>
      <x:c r="I3397" s="12" t="str">
        <x:v>Mixed business audience</x:v>
      </x:c>
      <x:c r="J3397" s="12" t="str">
        <x:v>Healthcare &amp; life sciences</x:v>
      </x:c>
      <x:c r="K3397" s="2" t="str">
        <x:v>PARTNER-M138</x:v>
      </x:c>
    </x:row>
    <x:row r="3398" ht="46" customHeight="1">
      <x:c r="A3398" s="2" t="str">
        <x:v>TEN-484C6092587B</x:v>
      </x:c>
      <x:c r="B3398" s="12" t="str">
        <x:v>Feathertouch Daycare</x:v>
      </x:c>
      <x:c r="C3398" s="12" t="str">
        <x:v>CORP-0558</x:v>
      </x:c>
      <x:c r="D3398" s="12" t="str">
        <x:v>Bengaluru</x:v>
      </x:c>
      <x:c r="E3398" s="12" t="str">
        <x:v>Bagmane Capital</x:v>
      </x:c>
      <x:c r="F3398" s="12" t="str">
        <x:v>55 inch</x:v>
      </x:c>
      <x:c r="G3398" s="20" t="n">
        <x:v>1</x:v>
      </x:c>
      <x:c r="H3398" s="12" t="str">
        <x:v>Campus/portfolio roster; individual building occupancy unverified</x:v>
      </x:c>
      <x:c r="I3398" s="12" t="str">
        <x:v>Medium-scale prospects</x:v>
      </x:c>
      <x:c r="J3398" s="12" t="str">
        <x:v>Education</x:v>
      </x:c>
      <x:c r="K3398" s="2" t="str">
        <x:v>PARTNER-M138</x:v>
      </x:c>
    </x:row>
    <x:row r="3399" ht="46" customHeight="1">
      <x:c r="A3399" s="2" t="str">
        <x:v>TEN-59685FB62EA9</x:v>
      </x:c>
      <x:c r="B3399" s="12" t="str">
        <x:v>Bottomline</x:v>
      </x:c>
      <x:c r="C3399" s="12" t="str">
        <x:v>CORP-0558</x:v>
      </x:c>
      <x:c r="D3399" s="12" t="str">
        <x:v>Bengaluru</x:v>
      </x:c>
      <x:c r="E3399" s="12" t="str">
        <x:v>Bagmane Capital</x:v>
      </x:c>
      <x:c r="F3399" s="12" t="str">
        <x:v>55 inch</x:v>
      </x:c>
      <x:c r="G3399" s="20" t="n">
        <x:v>1</x:v>
      </x:c>
      <x:c r="H3399" s="12" t="str">
        <x:v>Campus/portfolio roster; individual building occupancy unverified</x:v>
      </x:c>
      <x:c r="I3399" s="12" t="str">
        <x:v>Mixed business audience</x:v>
      </x:c>
      <x:c r="J3399" s="12" t="str">
        <x:v>IT &amp; digital</x:v>
      </x:c>
      <x:c r="K3399" s="2" t="str">
        <x:v>PARTNER-M138</x:v>
      </x:c>
    </x:row>
    <x:row r="3400" ht="46" customHeight="1">
      <x:c r="A3400" s="2" t="str">
        <x:v>TEN-72B523BE49B1</x:v>
      </x:c>
      <x:c r="B3400" s="12" t="str">
        <x:v>FAB Global Business Services</x:v>
      </x:c>
      <x:c r="C3400" s="12" t="str">
        <x:v>CORP-0558</x:v>
      </x:c>
      <x:c r="D3400" s="12" t="str">
        <x:v>Bengaluru</x:v>
      </x:c>
      <x:c r="E3400" s="12" t="str">
        <x:v>Bagmane Capital</x:v>
      </x:c>
      <x:c r="F3400" s="12" t="str">
        <x:v>55 inch</x:v>
      </x:c>
      <x:c r="G3400" s="20" t="n">
        <x:v>1</x:v>
      </x:c>
      <x:c r="H3400" s="12" t="str">
        <x:v>Campus/portfolio roster; individual building occupancy unverified</x:v>
      </x:c>
      <x:c r="I3400" s="12" t="str">
        <x:v>Mixed business audience</x:v>
      </x:c>
      <x:c r="J3400" s="12" t="str">
        <x:v>Finance &amp; insurance</x:v>
      </x:c>
      <x:c r="K3400" s="2" t="str">
        <x:v>PARTNER-M138</x:v>
      </x:c>
    </x:row>
    <x:row r="3401" ht="46" customHeight="1">
      <x:c r="A3401" s="2" t="str">
        <x:v>TEN-859F1EFC67BC</x:v>
      </x:c>
      <x:c r="B3401" s="12" t="str">
        <x:v>Amazon Development Centre</x:v>
      </x:c>
      <x:c r="C3401" s="12" t="str">
        <x:v>CORP-0558</x:v>
      </x:c>
      <x:c r="D3401" s="12" t="str">
        <x:v>Bengaluru</x:v>
      </x:c>
      <x:c r="E3401" s="12" t="str">
        <x:v>Bagmane Capital</x:v>
      </x:c>
      <x:c r="F3401" s="12" t="str">
        <x:v>55 inch</x:v>
      </x:c>
      <x:c r="G3401" s="20" t="n">
        <x:v>1</x:v>
      </x:c>
      <x:c r="H3401" s="12" t="str">
        <x:v>Campus/portfolio roster; individual building occupancy unverified</x:v>
      </x:c>
      <x:c r="I3401" s="12" t="str">
        <x:v>Large enterprise</x:v>
      </x:c>
      <x:c r="J3401" s="12" t="str">
        <x:v>IT &amp; digital</x:v>
      </x:c>
      <x:c r="K3401" s="2" t="str">
        <x:v>PARTNER-M138</x:v>
      </x:c>
    </x:row>
    <x:row r="3402" ht="46" customHeight="1">
      <x:c r="A3402" s="2" t="str">
        <x:v>TEN-9FBF261B62C1</x:v>
      </x:c>
      <x:c r="B3402" s="12" t="str">
        <x:v>Microsoft</x:v>
      </x:c>
      <x:c r="C3402" s="12" t="str">
        <x:v>CORP-0558</x:v>
      </x:c>
      <x:c r="D3402" s="12" t="str">
        <x:v>Bengaluru</x:v>
      </x:c>
      <x:c r="E3402" s="12" t="str">
        <x:v>Bagmane Capital</x:v>
      </x:c>
      <x:c r="F3402" s="12" t="str">
        <x:v>55 inch</x:v>
      </x:c>
      <x:c r="G3402" s="20" t="n">
        <x:v>1</x:v>
      </x:c>
      <x:c r="H3402" s="12" t="str">
        <x:v>Campus/portfolio roster; individual building occupancy unverified</x:v>
      </x:c>
      <x:c r="I3402" s="12" t="str">
        <x:v>Large enterprise</x:v>
      </x:c>
      <x:c r="J3402" s="12" t="str">
        <x:v>IT &amp; digital</x:v>
      </x:c>
      <x:c r="K3402" s="2" t="str">
        <x:v>PARTNER-M138</x:v>
      </x:c>
    </x:row>
    <x:row r="3403" ht="46" customHeight="1">
      <x:c r="A3403" s="2" t="str">
        <x:v>TEN-B178003E7D85</x:v>
      </x:c>
      <x:c r="B3403" s="12" t="str">
        <x:v>Databricks India Pvt Ltd</x:v>
      </x:c>
      <x:c r="C3403" s="12" t="str">
        <x:v>CORP-0558</x:v>
      </x:c>
      <x:c r="D3403" s="12" t="str">
        <x:v>Bengaluru</x:v>
      </x:c>
      <x:c r="E3403" s="12" t="str">
        <x:v>Bagmane Capital</x:v>
      </x:c>
      <x:c r="F3403" s="12" t="str">
        <x:v>55 inch</x:v>
      </x:c>
      <x:c r="G3403" s="20" t="n">
        <x:v>1</x:v>
      </x:c>
      <x:c r="H3403" s="12" t="str">
        <x:v>Campus/portfolio roster; individual building occupancy unverified</x:v>
      </x:c>
      <x:c r="I3403" s="12" t="str">
        <x:v>Mixed business audience</x:v>
      </x:c>
      <x:c r="J3403" s="12" t="str">
        <x:v>IT &amp; digital</x:v>
      </x:c>
      <x:c r="K3403" s="2" t="str">
        <x:v>PARTNER-M138</x:v>
      </x:c>
    </x:row>
    <x:row r="3404" ht="46" customHeight="1">
      <x:c r="A3404" s="2" t="str">
        <x:v>TEN-F31639A23C74</x:v>
      </x:c>
      <x:c r="B3404" s="12" t="str">
        <x:v>Qualcomm</x:v>
      </x:c>
      <x:c r="C3404" s="12" t="str">
        <x:v>CORP-0558</x:v>
      </x:c>
      <x:c r="D3404" s="12" t="str">
        <x:v>Bengaluru</x:v>
      </x:c>
      <x:c r="E3404" s="12" t="str">
        <x:v>Bagmane Capital</x:v>
      </x:c>
      <x:c r="F3404" s="12" t="str">
        <x:v>55 inch</x:v>
      </x:c>
      <x:c r="G3404" s="20" t="n">
        <x:v>1</x:v>
      </x:c>
      <x:c r="H3404" s="12" t="str">
        <x:v>Campus/portfolio roster; individual building occupancy unverified</x:v>
      </x:c>
      <x:c r="I3404" s="12" t="str">
        <x:v>Large enterprise</x:v>
      </x:c>
      <x:c r="J3404" s="12" t="str">
        <x:v>Engineering &amp; manufacturing</x:v>
      </x:c>
      <x:c r="K3404" s="2" t="str">
        <x:v>PARTNER-M138</x:v>
      </x:c>
    </x:row>
    <x:row r="3405" ht="46" customHeight="1">
      <x:c r="A3405" s="2" t="str">
        <x:v>TEN-F6C7E6892C6F</x:v>
      </x:c>
      <x:c r="B3405" s="12" t="str">
        <x:v>Wayfair Global Technology Private Limited</x:v>
      </x:c>
      <x:c r="C3405" s="12" t="str">
        <x:v>CORP-0558</x:v>
      </x:c>
      <x:c r="D3405" s="12" t="str">
        <x:v>Bengaluru</x:v>
      </x:c>
      <x:c r="E3405" s="12" t="str">
        <x:v>Bagmane Capital</x:v>
      </x:c>
      <x:c r="F3405" s="12" t="str">
        <x:v>55 inch</x:v>
      </x:c>
      <x:c r="G3405" s="20" t="n">
        <x:v>1</x:v>
      </x:c>
      <x:c r="H3405" s="12" t="str">
        <x:v>Campus/portfolio roster; individual building occupancy unverified</x:v>
      </x:c>
      <x:c r="I3405" s="12" t="str">
        <x:v>Large enterprise</x:v>
      </x:c>
      <x:c r="J3405" s="12" t="str">
        <x:v>Trade, consumer &amp; logistics</x:v>
      </x:c>
      <x:c r="K3405" s="2" t="str">
        <x:v>PARTNER-M138</x:v>
      </x:c>
    </x:row>
    <x:row r="3406" ht="46" customHeight="1">
      <x:c r="A3406" s="2" t="str">
        <x:v>TEN-066B5B5AD807</x:v>
      </x:c>
      <x:c r="B3406" s="12" t="str">
        <x:v>American Express</x:v>
      </x:c>
      <x:c r="C3406" s="12" t="str">
        <x:v>CORP-0559</x:v>
      </x:c>
      <x:c r="D3406" s="12" t="str">
        <x:v>Bengaluru</x:v>
      </x:c>
      <x:c r="E3406" s="12" t="str">
        <x:v>Bagmane Capital</x:v>
      </x:c>
      <x:c r="F3406" s="12" t="str">
        <x:v>55 inch</x:v>
      </x:c>
      <x:c r="G3406" s="20" t="n">
        <x:v>1</x:v>
      </x:c>
      <x:c r="H3406" s="12" t="str">
        <x:v>Campus/portfolio roster; individual building occupancy unverified</x:v>
      </x:c>
      <x:c r="I3406" s="12" t="str">
        <x:v>Mixed business audience</x:v>
      </x:c>
      <x:c r="J3406" s="12" t="str">
        <x:v>Finance &amp; insurance</x:v>
      </x:c>
      <x:c r="K3406" s="2" t="str">
        <x:v>PARTNER-M138</x:v>
      </x:c>
    </x:row>
    <x:row r="3407" ht="46" customHeight="1">
      <x:c r="A3407" s="2" t="str">
        <x:v>TEN-1E6EA169C908</x:v>
      </x:c>
      <x:c r="B3407" s="12" t="str">
        <x:v>GSK Global Capability Centre</x:v>
      </x:c>
      <x:c r="C3407" s="12" t="str">
        <x:v>CORP-0559</x:v>
      </x:c>
      <x:c r="D3407" s="12" t="str">
        <x:v>Bengaluru</x:v>
      </x:c>
      <x:c r="E3407" s="12" t="str">
        <x:v>Bagmane Capital</x:v>
      </x:c>
      <x:c r="F3407" s="12" t="str">
        <x:v>55 inch</x:v>
      </x:c>
      <x:c r="G3407" s="20" t="n">
        <x:v>1</x:v>
      </x:c>
      <x:c r="H3407" s="12" t="str">
        <x:v>Campus/portfolio roster; individual building occupancy unverified</x:v>
      </x:c>
      <x:c r="I3407" s="12" t="str">
        <x:v>Mixed business audience</x:v>
      </x:c>
      <x:c r="J3407" s="12" t="str">
        <x:v>Healthcare &amp; life sciences</x:v>
      </x:c>
      <x:c r="K3407" s="2" t="str">
        <x:v>PARTNER-M138</x:v>
      </x:c>
    </x:row>
    <x:row r="3408" ht="46" customHeight="1">
      <x:c r="A3408" s="2" t="str">
        <x:v>TEN-484C6092587B</x:v>
      </x:c>
      <x:c r="B3408" s="12" t="str">
        <x:v>Feathertouch Daycare</x:v>
      </x:c>
      <x:c r="C3408" s="12" t="str">
        <x:v>CORP-0559</x:v>
      </x:c>
      <x:c r="D3408" s="12" t="str">
        <x:v>Bengaluru</x:v>
      </x:c>
      <x:c r="E3408" s="12" t="str">
        <x:v>Bagmane Capital</x:v>
      </x:c>
      <x:c r="F3408" s="12" t="str">
        <x:v>55 inch</x:v>
      </x:c>
      <x:c r="G3408" s="20" t="n">
        <x:v>1</x:v>
      </x:c>
      <x:c r="H3408" s="12" t="str">
        <x:v>Campus/portfolio roster; individual building occupancy unverified</x:v>
      </x:c>
      <x:c r="I3408" s="12" t="str">
        <x:v>Medium-scale prospects</x:v>
      </x:c>
      <x:c r="J3408" s="12" t="str">
        <x:v>Education</x:v>
      </x:c>
      <x:c r="K3408" s="2" t="str">
        <x:v>PARTNER-M138</x:v>
      </x:c>
    </x:row>
    <x:row r="3409" ht="46" customHeight="1">
      <x:c r="A3409" s="2" t="str">
        <x:v>TEN-59685FB62EA9</x:v>
      </x:c>
      <x:c r="B3409" s="12" t="str">
        <x:v>Bottomline</x:v>
      </x:c>
      <x:c r="C3409" s="12" t="str">
        <x:v>CORP-0559</x:v>
      </x:c>
      <x:c r="D3409" s="12" t="str">
        <x:v>Bengaluru</x:v>
      </x:c>
      <x:c r="E3409" s="12" t="str">
        <x:v>Bagmane Capital</x:v>
      </x:c>
      <x:c r="F3409" s="12" t="str">
        <x:v>55 inch</x:v>
      </x:c>
      <x:c r="G3409" s="20" t="n">
        <x:v>1</x:v>
      </x:c>
      <x:c r="H3409" s="12" t="str">
        <x:v>Campus/portfolio roster; individual building occupancy unverified</x:v>
      </x:c>
      <x:c r="I3409" s="12" t="str">
        <x:v>Mixed business audience</x:v>
      </x:c>
      <x:c r="J3409" s="12" t="str">
        <x:v>IT &amp; digital</x:v>
      </x:c>
      <x:c r="K3409" s="2" t="str">
        <x:v>PARTNER-M138</x:v>
      </x:c>
    </x:row>
    <x:row r="3410" ht="46" customHeight="1">
      <x:c r="A3410" s="2" t="str">
        <x:v>TEN-72B523BE49B1</x:v>
      </x:c>
      <x:c r="B3410" s="12" t="str">
        <x:v>FAB Global Business Services</x:v>
      </x:c>
      <x:c r="C3410" s="12" t="str">
        <x:v>CORP-0559</x:v>
      </x:c>
      <x:c r="D3410" s="12" t="str">
        <x:v>Bengaluru</x:v>
      </x:c>
      <x:c r="E3410" s="12" t="str">
        <x:v>Bagmane Capital</x:v>
      </x:c>
      <x:c r="F3410" s="12" t="str">
        <x:v>55 inch</x:v>
      </x:c>
      <x:c r="G3410" s="20" t="n">
        <x:v>1</x:v>
      </x:c>
      <x:c r="H3410" s="12" t="str">
        <x:v>Campus/portfolio roster; individual building occupancy unverified</x:v>
      </x:c>
      <x:c r="I3410" s="12" t="str">
        <x:v>Mixed business audience</x:v>
      </x:c>
      <x:c r="J3410" s="12" t="str">
        <x:v>Finance &amp; insurance</x:v>
      </x:c>
      <x:c r="K3410" s="2" t="str">
        <x:v>PARTNER-M138</x:v>
      </x:c>
    </x:row>
    <x:row r="3411" ht="46" customHeight="1">
      <x:c r="A3411" s="2" t="str">
        <x:v>TEN-859F1EFC67BC</x:v>
      </x:c>
      <x:c r="B3411" s="12" t="str">
        <x:v>Amazon Development Centre</x:v>
      </x:c>
      <x:c r="C3411" s="12" t="str">
        <x:v>CORP-0559</x:v>
      </x:c>
      <x:c r="D3411" s="12" t="str">
        <x:v>Bengaluru</x:v>
      </x:c>
      <x:c r="E3411" s="12" t="str">
        <x:v>Bagmane Capital</x:v>
      </x:c>
      <x:c r="F3411" s="12" t="str">
        <x:v>55 inch</x:v>
      </x:c>
      <x:c r="G3411" s="20" t="n">
        <x:v>1</x:v>
      </x:c>
      <x:c r="H3411" s="12" t="str">
        <x:v>Campus/portfolio roster; individual building occupancy unverified</x:v>
      </x:c>
      <x:c r="I3411" s="12" t="str">
        <x:v>Large enterprise</x:v>
      </x:c>
      <x:c r="J3411" s="12" t="str">
        <x:v>IT &amp; digital</x:v>
      </x:c>
      <x:c r="K3411" s="2" t="str">
        <x:v>PARTNER-M138</x:v>
      </x:c>
    </x:row>
    <x:row r="3412" ht="46" customHeight="1">
      <x:c r="A3412" s="2" t="str">
        <x:v>TEN-9FBF261B62C1</x:v>
      </x:c>
      <x:c r="B3412" s="12" t="str">
        <x:v>Microsoft</x:v>
      </x:c>
      <x:c r="C3412" s="12" t="str">
        <x:v>CORP-0559</x:v>
      </x:c>
      <x:c r="D3412" s="12" t="str">
        <x:v>Bengaluru</x:v>
      </x:c>
      <x:c r="E3412" s="12" t="str">
        <x:v>Bagmane Capital</x:v>
      </x:c>
      <x:c r="F3412" s="12" t="str">
        <x:v>55 inch</x:v>
      </x:c>
      <x:c r="G3412" s="20" t="n">
        <x:v>1</x:v>
      </x:c>
      <x:c r="H3412" s="12" t="str">
        <x:v>Campus/portfolio roster; individual building occupancy unverified</x:v>
      </x:c>
      <x:c r="I3412" s="12" t="str">
        <x:v>Large enterprise</x:v>
      </x:c>
      <x:c r="J3412" s="12" t="str">
        <x:v>IT &amp; digital</x:v>
      </x:c>
      <x:c r="K3412" s="2" t="str">
        <x:v>PARTNER-M138</x:v>
      </x:c>
    </x:row>
    <x:row r="3413" ht="46" customHeight="1">
      <x:c r="A3413" s="2" t="str">
        <x:v>TEN-B178003E7D85</x:v>
      </x:c>
      <x:c r="B3413" s="12" t="str">
        <x:v>Databricks India Pvt Ltd</x:v>
      </x:c>
      <x:c r="C3413" s="12" t="str">
        <x:v>CORP-0559</x:v>
      </x:c>
      <x:c r="D3413" s="12" t="str">
        <x:v>Bengaluru</x:v>
      </x:c>
      <x:c r="E3413" s="12" t="str">
        <x:v>Bagmane Capital</x:v>
      </x:c>
      <x:c r="F3413" s="12" t="str">
        <x:v>55 inch</x:v>
      </x:c>
      <x:c r="G3413" s="20" t="n">
        <x:v>1</x:v>
      </x:c>
      <x:c r="H3413" s="12" t="str">
        <x:v>Campus/portfolio roster; individual building occupancy unverified</x:v>
      </x:c>
      <x:c r="I3413" s="12" t="str">
        <x:v>Mixed business audience</x:v>
      </x:c>
      <x:c r="J3413" s="12" t="str">
        <x:v>IT &amp; digital</x:v>
      </x:c>
      <x:c r="K3413" s="2" t="str">
        <x:v>PARTNER-M138</x:v>
      </x:c>
    </x:row>
    <x:row r="3414" ht="46" customHeight="1">
      <x:c r="A3414" s="2" t="str">
        <x:v>TEN-F31639A23C74</x:v>
      </x:c>
      <x:c r="B3414" s="12" t="str">
        <x:v>Qualcomm</x:v>
      </x:c>
      <x:c r="C3414" s="12" t="str">
        <x:v>CORP-0559</x:v>
      </x:c>
      <x:c r="D3414" s="12" t="str">
        <x:v>Bengaluru</x:v>
      </x:c>
      <x:c r="E3414" s="12" t="str">
        <x:v>Bagmane Capital</x:v>
      </x:c>
      <x:c r="F3414" s="12" t="str">
        <x:v>55 inch</x:v>
      </x:c>
      <x:c r="G3414" s="20" t="n">
        <x:v>1</x:v>
      </x:c>
      <x:c r="H3414" s="12" t="str">
        <x:v>Campus/portfolio roster; individual building occupancy unverified</x:v>
      </x:c>
      <x:c r="I3414" s="12" t="str">
        <x:v>Large enterprise</x:v>
      </x:c>
      <x:c r="J3414" s="12" t="str">
        <x:v>Engineering &amp; manufacturing</x:v>
      </x:c>
      <x:c r="K3414" s="2" t="str">
        <x:v>PARTNER-M138</x:v>
      </x:c>
    </x:row>
    <x:row r="3415" ht="46" customHeight="1">
      <x:c r="A3415" s="2" t="str">
        <x:v>TEN-F6C7E6892C6F</x:v>
      </x:c>
      <x:c r="B3415" s="12" t="str">
        <x:v>Wayfair Global Technology Private Limited</x:v>
      </x:c>
      <x:c r="C3415" s="12" t="str">
        <x:v>CORP-0559</x:v>
      </x:c>
      <x:c r="D3415" s="12" t="str">
        <x:v>Bengaluru</x:v>
      </x:c>
      <x:c r="E3415" s="12" t="str">
        <x:v>Bagmane Capital</x:v>
      </x:c>
      <x:c r="F3415" s="12" t="str">
        <x:v>55 inch</x:v>
      </x:c>
      <x:c r="G3415" s="20" t="n">
        <x:v>1</x:v>
      </x:c>
      <x:c r="H3415" s="12" t="str">
        <x:v>Campus/portfolio roster; individual building occupancy unverified</x:v>
      </x:c>
      <x:c r="I3415" s="12" t="str">
        <x:v>Large enterprise</x:v>
      </x:c>
      <x:c r="J3415" s="12" t="str">
        <x:v>Trade, consumer &amp; logistics</x:v>
      </x:c>
      <x:c r="K3415" s="2" t="str">
        <x:v>PARTNER-M138</x:v>
      </x:c>
    </x:row>
    <x:row r="3416" ht="46" customHeight="1">
      <x:c r="A3416" s="2" t="str">
        <x:v>TEN-066B5B5AD807</x:v>
      </x:c>
      <x:c r="B3416" s="12" t="str">
        <x:v>American Express</x:v>
      </x:c>
      <x:c r="C3416" s="12" t="str">
        <x:v>CORP-0560</x:v>
      </x:c>
      <x:c r="D3416" s="12" t="str">
        <x:v>Bengaluru</x:v>
      </x:c>
      <x:c r="E3416" s="12" t="str">
        <x:v>Bagmane Capital</x:v>
      </x:c>
      <x:c r="F3416" s="12" t="str">
        <x:v>55 inch</x:v>
      </x:c>
      <x:c r="G3416" s="20" t="n">
        <x:v>1</x:v>
      </x:c>
      <x:c r="H3416" s="12" t="str">
        <x:v>Campus/portfolio roster; individual building occupancy unverified</x:v>
      </x:c>
      <x:c r="I3416" s="12" t="str">
        <x:v>Mixed business audience</x:v>
      </x:c>
      <x:c r="J3416" s="12" t="str">
        <x:v>Finance &amp; insurance</x:v>
      </x:c>
      <x:c r="K3416" s="2" t="str">
        <x:v>PARTNER-M138</x:v>
      </x:c>
    </x:row>
    <x:row r="3417" ht="46" customHeight="1">
      <x:c r="A3417" s="2" t="str">
        <x:v>TEN-1E6EA169C908</x:v>
      </x:c>
      <x:c r="B3417" s="12" t="str">
        <x:v>GSK Global Capability Centre</x:v>
      </x:c>
      <x:c r="C3417" s="12" t="str">
        <x:v>CORP-0560</x:v>
      </x:c>
      <x:c r="D3417" s="12" t="str">
        <x:v>Bengaluru</x:v>
      </x:c>
      <x:c r="E3417" s="12" t="str">
        <x:v>Bagmane Capital</x:v>
      </x:c>
      <x:c r="F3417" s="12" t="str">
        <x:v>55 inch</x:v>
      </x:c>
      <x:c r="G3417" s="20" t="n">
        <x:v>1</x:v>
      </x:c>
      <x:c r="H3417" s="12" t="str">
        <x:v>Campus/portfolio roster; individual building occupancy unverified</x:v>
      </x:c>
      <x:c r="I3417" s="12" t="str">
        <x:v>Mixed business audience</x:v>
      </x:c>
      <x:c r="J3417" s="12" t="str">
        <x:v>Healthcare &amp; life sciences</x:v>
      </x:c>
      <x:c r="K3417" s="2" t="str">
        <x:v>PARTNER-M138</x:v>
      </x:c>
    </x:row>
    <x:row r="3418" ht="46" customHeight="1">
      <x:c r="A3418" s="2" t="str">
        <x:v>TEN-484C6092587B</x:v>
      </x:c>
      <x:c r="B3418" s="12" t="str">
        <x:v>Feathertouch Daycare</x:v>
      </x:c>
      <x:c r="C3418" s="12" t="str">
        <x:v>CORP-0560</x:v>
      </x:c>
      <x:c r="D3418" s="12" t="str">
        <x:v>Bengaluru</x:v>
      </x:c>
      <x:c r="E3418" s="12" t="str">
        <x:v>Bagmane Capital</x:v>
      </x:c>
      <x:c r="F3418" s="12" t="str">
        <x:v>55 inch</x:v>
      </x:c>
      <x:c r="G3418" s="20" t="n">
        <x:v>1</x:v>
      </x:c>
      <x:c r="H3418" s="12" t="str">
        <x:v>Campus/portfolio roster; individual building occupancy unverified</x:v>
      </x:c>
      <x:c r="I3418" s="12" t="str">
        <x:v>Medium-scale prospects</x:v>
      </x:c>
      <x:c r="J3418" s="12" t="str">
        <x:v>Education</x:v>
      </x:c>
      <x:c r="K3418" s="2" t="str">
        <x:v>PARTNER-M138</x:v>
      </x:c>
    </x:row>
    <x:row r="3419" ht="46" customHeight="1">
      <x:c r="A3419" s="2" t="str">
        <x:v>TEN-59685FB62EA9</x:v>
      </x:c>
      <x:c r="B3419" s="12" t="str">
        <x:v>Bottomline</x:v>
      </x:c>
      <x:c r="C3419" s="12" t="str">
        <x:v>CORP-0560</x:v>
      </x:c>
      <x:c r="D3419" s="12" t="str">
        <x:v>Bengaluru</x:v>
      </x:c>
      <x:c r="E3419" s="12" t="str">
        <x:v>Bagmane Capital</x:v>
      </x:c>
      <x:c r="F3419" s="12" t="str">
        <x:v>55 inch</x:v>
      </x:c>
      <x:c r="G3419" s="20" t="n">
        <x:v>1</x:v>
      </x:c>
      <x:c r="H3419" s="12" t="str">
        <x:v>Campus/portfolio roster; individual building occupancy unverified</x:v>
      </x:c>
      <x:c r="I3419" s="12" t="str">
        <x:v>Mixed business audience</x:v>
      </x:c>
      <x:c r="J3419" s="12" t="str">
        <x:v>IT &amp; digital</x:v>
      </x:c>
      <x:c r="K3419" s="2" t="str">
        <x:v>PARTNER-M138</x:v>
      </x:c>
    </x:row>
    <x:row r="3420" ht="46" customHeight="1">
      <x:c r="A3420" s="2" t="str">
        <x:v>TEN-72B523BE49B1</x:v>
      </x:c>
      <x:c r="B3420" s="12" t="str">
        <x:v>FAB Global Business Services</x:v>
      </x:c>
      <x:c r="C3420" s="12" t="str">
        <x:v>CORP-0560</x:v>
      </x:c>
      <x:c r="D3420" s="12" t="str">
        <x:v>Bengaluru</x:v>
      </x:c>
      <x:c r="E3420" s="12" t="str">
        <x:v>Bagmane Capital</x:v>
      </x:c>
      <x:c r="F3420" s="12" t="str">
        <x:v>55 inch</x:v>
      </x:c>
      <x:c r="G3420" s="20" t="n">
        <x:v>1</x:v>
      </x:c>
      <x:c r="H3420" s="12" t="str">
        <x:v>Campus/portfolio roster; individual building occupancy unverified</x:v>
      </x:c>
      <x:c r="I3420" s="12" t="str">
        <x:v>Mixed business audience</x:v>
      </x:c>
      <x:c r="J3420" s="12" t="str">
        <x:v>Finance &amp; insurance</x:v>
      </x:c>
      <x:c r="K3420" s="2" t="str">
        <x:v>PARTNER-M138</x:v>
      </x:c>
    </x:row>
    <x:row r="3421" ht="46" customHeight="1">
      <x:c r="A3421" s="2" t="str">
        <x:v>TEN-859F1EFC67BC</x:v>
      </x:c>
      <x:c r="B3421" s="12" t="str">
        <x:v>Amazon Development Centre</x:v>
      </x:c>
      <x:c r="C3421" s="12" t="str">
        <x:v>CORP-0560</x:v>
      </x:c>
      <x:c r="D3421" s="12" t="str">
        <x:v>Bengaluru</x:v>
      </x:c>
      <x:c r="E3421" s="12" t="str">
        <x:v>Bagmane Capital</x:v>
      </x:c>
      <x:c r="F3421" s="12" t="str">
        <x:v>55 inch</x:v>
      </x:c>
      <x:c r="G3421" s="20" t="n">
        <x:v>1</x:v>
      </x:c>
      <x:c r="H3421" s="12" t="str">
        <x:v>Campus/portfolio roster; individual building occupancy unverified</x:v>
      </x:c>
      <x:c r="I3421" s="12" t="str">
        <x:v>Large enterprise</x:v>
      </x:c>
      <x:c r="J3421" s="12" t="str">
        <x:v>IT &amp; digital</x:v>
      </x:c>
      <x:c r="K3421" s="2" t="str">
        <x:v>PARTNER-M138</x:v>
      </x:c>
    </x:row>
    <x:row r="3422" ht="46" customHeight="1">
      <x:c r="A3422" s="2" t="str">
        <x:v>TEN-9FBF261B62C1</x:v>
      </x:c>
      <x:c r="B3422" s="12" t="str">
        <x:v>Microsoft</x:v>
      </x:c>
      <x:c r="C3422" s="12" t="str">
        <x:v>CORP-0560</x:v>
      </x:c>
      <x:c r="D3422" s="12" t="str">
        <x:v>Bengaluru</x:v>
      </x:c>
      <x:c r="E3422" s="12" t="str">
        <x:v>Bagmane Capital</x:v>
      </x:c>
      <x:c r="F3422" s="12" t="str">
        <x:v>55 inch</x:v>
      </x:c>
      <x:c r="G3422" s="20" t="n">
        <x:v>1</x:v>
      </x:c>
      <x:c r="H3422" s="12" t="str">
        <x:v>Campus/portfolio roster; individual building occupancy unverified</x:v>
      </x:c>
      <x:c r="I3422" s="12" t="str">
        <x:v>Large enterprise</x:v>
      </x:c>
      <x:c r="J3422" s="12" t="str">
        <x:v>IT &amp; digital</x:v>
      </x:c>
      <x:c r="K3422" s="2" t="str">
        <x:v>PARTNER-M138</x:v>
      </x:c>
    </x:row>
    <x:row r="3423" ht="46" customHeight="1">
      <x:c r="A3423" s="2" t="str">
        <x:v>TEN-B178003E7D85</x:v>
      </x:c>
      <x:c r="B3423" s="12" t="str">
        <x:v>Databricks India Pvt Ltd</x:v>
      </x:c>
      <x:c r="C3423" s="12" t="str">
        <x:v>CORP-0560</x:v>
      </x:c>
      <x:c r="D3423" s="12" t="str">
        <x:v>Bengaluru</x:v>
      </x:c>
      <x:c r="E3423" s="12" t="str">
        <x:v>Bagmane Capital</x:v>
      </x:c>
      <x:c r="F3423" s="12" t="str">
        <x:v>55 inch</x:v>
      </x:c>
      <x:c r="G3423" s="20" t="n">
        <x:v>1</x:v>
      </x:c>
      <x:c r="H3423" s="12" t="str">
        <x:v>Campus/portfolio roster; individual building occupancy unverified</x:v>
      </x:c>
      <x:c r="I3423" s="12" t="str">
        <x:v>Mixed business audience</x:v>
      </x:c>
      <x:c r="J3423" s="12" t="str">
        <x:v>IT &amp; digital</x:v>
      </x:c>
      <x:c r="K3423" s="2" t="str">
        <x:v>PARTNER-M138</x:v>
      </x:c>
    </x:row>
    <x:row r="3424" ht="46" customHeight="1">
      <x:c r="A3424" s="2" t="str">
        <x:v>TEN-F31639A23C74</x:v>
      </x:c>
      <x:c r="B3424" s="12" t="str">
        <x:v>Qualcomm</x:v>
      </x:c>
      <x:c r="C3424" s="12" t="str">
        <x:v>CORP-0560</x:v>
      </x:c>
      <x:c r="D3424" s="12" t="str">
        <x:v>Bengaluru</x:v>
      </x:c>
      <x:c r="E3424" s="12" t="str">
        <x:v>Bagmane Capital</x:v>
      </x:c>
      <x:c r="F3424" s="12" t="str">
        <x:v>55 inch</x:v>
      </x:c>
      <x:c r="G3424" s="20" t="n">
        <x:v>1</x:v>
      </x:c>
      <x:c r="H3424" s="12" t="str">
        <x:v>Campus/portfolio roster; individual building occupancy unverified</x:v>
      </x:c>
      <x:c r="I3424" s="12" t="str">
        <x:v>Large enterprise</x:v>
      </x:c>
      <x:c r="J3424" s="12" t="str">
        <x:v>Engineering &amp; manufacturing</x:v>
      </x:c>
      <x:c r="K3424" s="2" t="str">
        <x:v>PARTNER-M138</x:v>
      </x:c>
    </x:row>
    <x:row r="3425" ht="46" customHeight="1">
      <x:c r="A3425" s="2" t="str">
        <x:v>TEN-F6C7E6892C6F</x:v>
      </x:c>
      <x:c r="B3425" s="12" t="str">
        <x:v>Wayfair Global Technology Private Limited</x:v>
      </x:c>
      <x:c r="C3425" s="12" t="str">
        <x:v>CORP-0560</x:v>
      </x:c>
      <x:c r="D3425" s="12" t="str">
        <x:v>Bengaluru</x:v>
      </x:c>
      <x:c r="E3425" s="12" t="str">
        <x:v>Bagmane Capital</x:v>
      </x:c>
      <x:c r="F3425" s="12" t="str">
        <x:v>55 inch</x:v>
      </x:c>
      <x:c r="G3425" s="20" t="n">
        <x:v>1</x:v>
      </x:c>
      <x:c r="H3425" s="12" t="str">
        <x:v>Campus/portfolio roster; individual building occupancy unverified</x:v>
      </x:c>
      <x:c r="I3425" s="12" t="str">
        <x:v>Large enterprise</x:v>
      </x:c>
      <x:c r="J3425" s="12" t="str">
        <x:v>Trade, consumer &amp; logistics</x:v>
      </x:c>
      <x:c r="K3425" s="2" t="str">
        <x:v>PARTNER-M138</x:v>
      </x:c>
    </x:row>
    <x:row r="3426" ht="46" customHeight="1">
      <x:c r="A3426" s="2" t="str">
        <x:v>TEN-066B5B5AD807</x:v>
      </x:c>
      <x:c r="B3426" s="12" t="str">
        <x:v>American Express</x:v>
      </x:c>
      <x:c r="C3426" s="12" t="str">
        <x:v>CORP-0561</x:v>
      </x:c>
      <x:c r="D3426" s="12" t="str">
        <x:v>Bengaluru</x:v>
      </x:c>
      <x:c r="E3426" s="12" t="str">
        <x:v>Bagmane Capital</x:v>
      </x:c>
      <x:c r="F3426" s="12" t="str">
        <x:v>55 inch</x:v>
      </x:c>
      <x:c r="G3426" s="20" t="n">
        <x:v>1</x:v>
      </x:c>
      <x:c r="H3426" s="12" t="str">
        <x:v>Campus/portfolio roster; individual building occupancy unverified</x:v>
      </x:c>
      <x:c r="I3426" s="12" t="str">
        <x:v>Mixed business audience</x:v>
      </x:c>
      <x:c r="J3426" s="12" t="str">
        <x:v>Finance &amp; insurance</x:v>
      </x:c>
      <x:c r="K3426" s="2" t="str">
        <x:v>PARTNER-M138</x:v>
      </x:c>
    </x:row>
    <x:row r="3427" ht="46" customHeight="1">
      <x:c r="A3427" s="2" t="str">
        <x:v>TEN-1E6EA169C908</x:v>
      </x:c>
      <x:c r="B3427" s="12" t="str">
        <x:v>GSK Global Capability Centre</x:v>
      </x:c>
      <x:c r="C3427" s="12" t="str">
        <x:v>CORP-0561</x:v>
      </x:c>
      <x:c r="D3427" s="12" t="str">
        <x:v>Bengaluru</x:v>
      </x:c>
      <x:c r="E3427" s="12" t="str">
        <x:v>Bagmane Capital</x:v>
      </x:c>
      <x:c r="F3427" s="12" t="str">
        <x:v>55 inch</x:v>
      </x:c>
      <x:c r="G3427" s="20" t="n">
        <x:v>1</x:v>
      </x:c>
      <x:c r="H3427" s="12" t="str">
        <x:v>Campus/portfolio roster; individual building occupancy unverified</x:v>
      </x:c>
      <x:c r="I3427" s="12" t="str">
        <x:v>Mixed business audience</x:v>
      </x:c>
      <x:c r="J3427" s="12" t="str">
        <x:v>Healthcare &amp; life sciences</x:v>
      </x:c>
      <x:c r="K3427" s="2" t="str">
        <x:v>PARTNER-M138</x:v>
      </x:c>
    </x:row>
    <x:row r="3428" ht="46" customHeight="1">
      <x:c r="A3428" s="2" t="str">
        <x:v>TEN-484C6092587B</x:v>
      </x:c>
      <x:c r="B3428" s="12" t="str">
        <x:v>Feathertouch Daycare</x:v>
      </x:c>
      <x:c r="C3428" s="12" t="str">
        <x:v>CORP-0561</x:v>
      </x:c>
      <x:c r="D3428" s="12" t="str">
        <x:v>Bengaluru</x:v>
      </x:c>
      <x:c r="E3428" s="12" t="str">
        <x:v>Bagmane Capital</x:v>
      </x:c>
      <x:c r="F3428" s="12" t="str">
        <x:v>55 inch</x:v>
      </x:c>
      <x:c r="G3428" s="20" t="n">
        <x:v>1</x:v>
      </x:c>
      <x:c r="H3428" s="12" t="str">
        <x:v>Campus/portfolio roster; individual building occupancy unverified</x:v>
      </x:c>
      <x:c r="I3428" s="12" t="str">
        <x:v>Medium-scale prospects</x:v>
      </x:c>
      <x:c r="J3428" s="12" t="str">
        <x:v>Education</x:v>
      </x:c>
      <x:c r="K3428" s="2" t="str">
        <x:v>PARTNER-M138</x:v>
      </x:c>
    </x:row>
    <x:row r="3429" ht="46" customHeight="1">
      <x:c r="A3429" s="2" t="str">
        <x:v>TEN-59685FB62EA9</x:v>
      </x:c>
      <x:c r="B3429" s="12" t="str">
        <x:v>Bottomline</x:v>
      </x:c>
      <x:c r="C3429" s="12" t="str">
        <x:v>CORP-0561</x:v>
      </x:c>
      <x:c r="D3429" s="12" t="str">
        <x:v>Bengaluru</x:v>
      </x:c>
      <x:c r="E3429" s="12" t="str">
        <x:v>Bagmane Capital</x:v>
      </x:c>
      <x:c r="F3429" s="12" t="str">
        <x:v>55 inch</x:v>
      </x:c>
      <x:c r="G3429" s="20" t="n">
        <x:v>1</x:v>
      </x:c>
      <x:c r="H3429" s="12" t="str">
        <x:v>Campus/portfolio roster; individual building occupancy unverified</x:v>
      </x:c>
      <x:c r="I3429" s="12" t="str">
        <x:v>Mixed business audience</x:v>
      </x:c>
      <x:c r="J3429" s="12" t="str">
        <x:v>IT &amp; digital</x:v>
      </x:c>
      <x:c r="K3429" s="2" t="str">
        <x:v>PARTNER-M138</x:v>
      </x:c>
    </x:row>
    <x:row r="3430" ht="46" customHeight="1">
      <x:c r="A3430" s="2" t="str">
        <x:v>TEN-72B523BE49B1</x:v>
      </x:c>
      <x:c r="B3430" s="12" t="str">
        <x:v>FAB Global Business Services</x:v>
      </x:c>
      <x:c r="C3430" s="12" t="str">
        <x:v>CORP-0561</x:v>
      </x:c>
      <x:c r="D3430" s="12" t="str">
        <x:v>Bengaluru</x:v>
      </x:c>
      <x:c r="E3430" s="12" t="str">
        <x:v>Bagmane Capital</x:v>
      </x:c>
      <x:c r="F3430" s="12" t="str">
        <x:v>55 inch</x:v>
      </x:c>
      <x:c r="G3430" s="20" t="n">
        <x:v>1</x:v>
      </x:c>
      <x:c r="H3430" s="12" t="str">
        <x:v>Campus/portfolio roster; individual building occupancy unverified</x:v>
      </x:c>
      <x:c r="I3430" s="12" t="str">
        <x:v>Mixed business audience</x:v>
      </x:c>
      <x:c r="J3430" s="12" t="str">
        <x:v>Finance &amp; insurance</x:v>
      </x:c>
      <x:c r="K3430" s="2" t="str">
        <x:v>PARTNER-M138</x:v>
      </x:c>
    </x:row>
    <x:row r="3431" ht="46" customHeight="1">
      <x:c r="A3431" s="2" t="str">
        <x:v>TEN-859F1EFC67BC</x:v>
      </x:c>
      <x:c r="B3431" s="12" t="str">
        <x:v>Amazon Development Centre</x:v>
      </x:c>
      <x:c r="C3431" s="12" t="str">
        <x:v>CORP-0561</x:v>
      </x:c>
      <x:c r="D3431" s="12" t="str">
        <x:v>Bengaluru</x:v>
      </x:c>
      <x:c r="E3431" s="12" t="str">
        <x:v>Bagmane Capital</x:v>
      </x:c>
      <x:c r="F3431" s="12" t="str">
        <x:v>55 inch</x:v>
      </x:c>
      <x:c r="G3431" s="20" t="n">
        <x:v>1</x:v>
      </x:c>
      <x:c r="H3431" s="12" t="str">
        <x:v>Campus/portfolio roster; individual building occupancy unverified</x:v>
      </x:c>
      <x:c r="I3431" s="12" t="str">
        <x:v>Large enterprise</x:v>
      </x:c>
      <x:c r="J3431" s="12" t="str">
        <x:v>IT &amp; digital</x:v>
      </x:c>
      <x:c r="K3431" s="2" t="str">
        <x:v>PARTNER-M138</x:v>
      </x:c>
    </x:row>
    <x:row r="3432" ht="46" customHeight="1">
      <x:c r="A3432" s="2" t="str">
        <x:v>TEN-9FBF261B62C1</x:v>
      </x:c>
      <x:c r="B3432" s="12" t="str">
        <x:v>Microsoft</x:v>
      </x:c>
      <x:c r="C3432" s="12" t="str">
        <x:v>CORP-0561</x:v>
      </x:c>
      <x:c r="D3432" s="12" t="str">
        <x:v>Bengaluru</x:v>
      </x:c>
      <x:c r="E3432" s="12" t="str">
        <x:v>Bagmane Capital</x:v>
      </x:c>
      <x:c r="F3432" s="12" t="str">
        <x:v>55 inch</x:v>
      </x:c>
      <x:c r="G3432" s="20" t="n">
        <x:v>1</x:v>
      </x:c>
      <x:c r="H3432" s="12" t="str">
        <x:v>Campus/portfolio roster; individual building occupancy unverified</x:v>
      </x:c>
      <x:c r="I3432" s="12" t="str">
        <x:v>Large enterprise</x:v>
      </x:c>
      <x:c r="J3432" s="12" t="str">
        <x:v>IT &amp; digital</x:v>
      </x:c>
      <x:c r="K3432" s="2" t="str">
        <x:v>PARTNER-M138</x:v>
      </x:c>
    </x:row>
    <x:row r="3433" ht="46" customHeight="1">
      <x:c r="A3433" s="2" t="str">
        <x:v>TEN-B178003E7D85</x:v>
      </x:c>
      <x:c r="B3433" s="12" t="str">
        <x:v>Databricks India Pvt Ltd</x:v>
      </x:c>
      <x:c r="C3433" s="12" t="str">
        <x:v>CORP-0561</x:v>
      </x:c>
      <x:c r="D3433" s="12" t="str">
        <x:v>Bengaluru</x:v>
      </x:c>
      <x:c r="E3433" s="12" t="str">
        <x:v>Bagmane Capital</x:v>
      </x:c>
      <x:c r="F3433" s="12" t="str">
        <x:v>55 inch</x:v>
      </x:c>
      <x:c r="G3433" s="20" t="n">
        <x:v>1</x:v>
      </x:c>
      <x:c r="H3433" s="12" t="str">
        <x:v>Campus/portfolio roster; individual building occupancy unverified</x:v>
      </x:c>
      <x:c r="I3433" s="12" t="str">
        <x:v>Mixed business audience</x:v>
      </x:c>
      <x:c r="J3433" s="12" t="str">
        <x:v>IT &amp; digital</x:v>
      </x:c>
      <x:c r="K3433" s="2" t="str">
        <x:v>PARTNER-M138</x:v>
      </x:c>
    </x:row>
    <x:row r="3434" ht="46" customHeight="1">
      <x:c r="A3434" s="2" t="str">
        <x:v>TEN-F31639A23C74</x:v>
      </x:c>
      <x:c r="B3434" s="12" t="str">
        <x:v>Qualcomm</x:v>
      </x:c>
      <x:c r="C3434" s="12" t="str">
        <x:v>CORP-0561</x:v>
      </x:c>
      <x:c r="D3434" s="12" t="str">
        <x:v>Bengaluru</x:v>
      </x:c>
      <x:c r="E3434" s="12" t="str">
        <x:v>Bagmane Capital</x:v>
      </x:c>
      <x:c r="F3434" s="12" t="str">
        <x:v>55 inch</x:v>
      </x:c>
      <x:c r="G3434" s="20" t="n">
        <x:v>1</x:v>
      </x:c>
      <x:c r="H3434" s="12" t="str">
        <x:v>Campus/portfolio roster; individual building occupancy unverified</x:v>
      </x:c>
      <x:c r="I3434" s="12" t="str">
        <x:v>Large enterprise</x:v>
      </x:c>
      <x:c r="J3434" s="12" t="str">
        <x:v>Engineering &amp; manufacturing</x:v>
      </x:c>
      <x:c r="K3434" s="2" t="str">
        <x:v>PARTNER-M138</x:v>
      </x:c>
    </x:row>
    <x:row r="3435" ht="46" customHeight="1">
      <x:c r="A3435" s="2" t="str">
        <x:v>TEN-F6C7E6892C6F</x:v>
      </x:c>
      <x:c r="B3435" s="12" t="str">
        <x:v>Wayfair Global Technology Private Limited</x:v>
      </x:c>
      <x:c r="C3435" s="12" t="str">
        <x:v>CORP-0561</x:v>
      </x:c>
      <x:c r="D3435" s="12" t="str">
        <x:v>Bengaluru</x:v>
      </x:c>
      <x:c r="E3435" s="12" t="str">
        <x:v>Bagmane Capital</x:v>
      </x:c>
      <x:c r="F3435" s="12" t="str">
        <x:v>55 inch</x:v>
      </x:c>
      <x:c r="G3435" s="20" t="n">
        <x:v>1</x:v>
      </x:c>
      <x:c r="H3435" s="12" t="str">
        <x:v>Campus/portfolio roster; individual building occupancy unverified</x:v>
      </x:c>
      <x:c r="I3435" s="12" t="str">
        <x:v>Large enterprise</x:v>
      </x:c>
      <x:c r="J3435" s="12" t="str">
        <x:v>Trade, consumer &amp; logistics</x:v>
      </x:c>
      <x:c r="K3435" s="2" t="str">
        <x:v>PARTNER-M138</x:v>
      </x:c>
    </x:row>
    <x:row r="3436" ht="46" customHeight="1">
      <x:c r="A3436" s="2" t="str">
        <x:v>TEN-066B5B5AD807</x:v>
      </x:c>
      <x:c r="B3436" s="12" t="str">
        <x:v>American Express</x:v>
      </x:c>
      <x:c r="C3436" s="12" t="str">
        <x:v>CORP-0562</x:v>
      </x:c>
      <x:c r="D3436" s="12" t="str">
        <x:v>Bengaluru</x:v>
      </x:c>
      <x:c r="E3436" s="12" t="str">
        <x:v>Bagmane Capital</x:v>
      </x:c>
      <x:c r="F3436" s="12" t="str">
        <x:v>55 inch</x:v>
      </x:c>
      <x:c r="G3436" s="20" t="n">
        <x:v>1</x:v>
      </x:c>
      <x:c r="H3436" s="12" t="str">
        <x:v>Campus/portfolio roster; individual building occupancy unverified</x:v>
      </x:c>
      <x:c r="I3436" s="12" t="str">
        <x:v>Mixed business audience</x:v>
      </x:c>
      <x:c r="J3436" s="12" t="str">
        <x:v>Finance &amp; insurance</x:v>
      </x:c>
      <x:c r="K3436" s="2" t="str">
        <x:v>PARTNER-M138</x:v>
      </x:c>
    </x:row>
    <x:row r="3437" ht="46" customHeight="1">
      <x:c r="A3437" s="2" t="str">
        <x:v>TEN-1E6EA169C908</x:v>
      </x:c>
      <x:c r="B3437" s="12" t="str">
        <x:v>GSK Global Capability Centre</x:v>
      </x:c>
      <x:c r="C3437" s="12" t="str">
        <x:v>CORP-0562</x:v>
      </x:c>
      <x:c r="D3437" s="12" t="str">
        <x:v>Bengaluru</x:v>
      </x:c>
      <x:c r="E3437" s="12" t="str">
        <x:v>Bagmane Capital</x:v>
      </x:c>
      <x:c r="F3437" s="12" t="str">
        <x:v>55 inch</x:v>
      </x:c>
      <x:c r="G3437" s="20" t="n">
        <x:v>1</x:v>
      </x:c>
      <x:c r="H3437" s="12" t="str">
        <x:v>Campus/portfolio roster; individual building occupancy unverified</x:v>
      </x:c>
      <x:c r="I3437" s="12" t="str">
        <x:v>Mixed business audience</x:v>
      </x:c>
      <x:c r="J3437" s="12" t="str">
        <x:v>Healthcare &amp; life sciences</x:v>
      </x:c>
      <x:c r="K3437" s="2" t="str">
        <x:v>PARTNER-M138</x:v>
      </x:c>
    </x:row>
    <x:row r="3438" ht="46" customHeight="1">
      <x:c r="A3438" s="2" t="str">
        <x:v>TEN-484C6092587B</x:v>
      </x:c>
      <x:c r="B3438" s="12" t="str">
        <x:v>Feathertouch Daycare</x:v>
      </x:c>
      <x:c r="C3438" s="12" t="str">
        <x:v>CORP-0562</x:v>
      </x:c>
      <x:c r="D3438" s="12" t="str">
        <x:v>Bengaluru</x:v>
      </x:c>
      <x:c r="E3438" s="12" t="str">
        <x:v>Bagmane Capital</x:v>
      </x:c>
      <x:c r="F3438" s="12" t="str">
        <x:v>55 inch</x:v>
      </x:c>
      <x:c r="G3438" s="20" t="n">
        <x:v>1</x:v>
      </x:c>
      <x:c r="H3438" s="12" t="str">
        <x:v>Campus/portfolio roster; individual building occupancy unverified</x:v>
      </x:c>
      <x:c r="I3438" s="12" t="str">
        <x:v>Medium-scale prospects</x:v>
      </x:c>
      <x:c r="J3438" s="12" t="str">
        <x:v>Education</x:v>
      </x:c>
      <x:c r="K3438" s="2" t="str">
        <x:v>PARTNER-M138</x:v>
      </x:c>
    </x:row>
    <x:row r="3439" ht="46" customHeight="1">
      <x:c r="A3439" s="2" t="str">
        <x:v>TEN-59685FB62EA9</x:v>
      </x:c>
      <x:c r="B3439" s="12" t="str">
        <x:v>Bottomline</x:v>
      </x:c>
      <x:c r="C3439" s="12" t="str">
        <x:v>CORP-0562</x:v>
      </x:c>
      <x:c r="D3439" s="12" t="str">
        <x:v>Bengaluru</x:v>
      </x:c>
      <x:c r="E3439" s="12" t="str">
        <x:v>Bagmane Capital</x:v>
      </x:c>
      <x:c r="F3439" s="12" t="str">
        <x:v>55 inch</x:v>
      </x:c>
      <x:c r="G3439" s="20" t="n">
        <x:v>1</x:v>
      </x:c>
      <x:c r="H3439" s="12" t="str">
        <x:v>Campus/portfolio roster; individual building occupancy unverified</x:v>
      </x:c>
      <x:c r="I3439" s="12" t="str">
        <x:v>Mixed business audience</x:v>
      </x:c>
      <x:c r="J3439" s="12" t="str">
        <x:v>IT &amp; digital</x:v>
      </x:c>
      <x:c r="K3439" s="2" t="str">
        <x:v>PARTNER-M138</x:v>
      </x:c>
    </x:row>
    <x:row r="3440" ht="46" customHeight="1">
      <x:c r="A3440" s="2" t="str">
        <x:v>TEN-72B523BE49B1</x:v>
      </x:c>
      <x:c r="B3440" s="12" t="str">
        <x:v>FAB Global Business Services</x:v>
      </x:c>
      <x:c r="C3440" s="12" t="str">
        <x:v>CORP-0562</x:v>
      </x:c>
      <x:c r="D3440" s="12" t="str">
        <x:v>Bengaluru</x:v>
      </x:c>
      <x:c r="E3440" s="12" t="str">
        <x:v>Bagmane Capital</x:v>
      </x:c>
      <x:c r="F3440" s="12" t="str">
        <x:v>55 inch</x:v>
      </x:c>
      <x:c r="G3440" s="20" t="n">
        <x:v>1</x:v>
      </x:c>
      <x:c r="H3440" s="12" t="str">
        <x:v>Campus/portfolio roster; individual building occupancy unverified</x:v>
      </x:c>
      <x:c r="I3440" s="12" t="str">
        <x:v>Mixed business audience</x:v>
      </x:c>
      <x:c r="J3440" s="12" t="str">
        <x:v>Finance &amp; insurance</x:v>
      </x:c>
      <x:c r="K3440" s="2" t="str">
        <x:v>PARTNER-M138</x:v>
      </x:c>
    </x:row>
    <x:row r="3441" ht="46" customHeight="1">
      <x:c r="A3441" s="2" t="str">
        <x:v>TEN-859F1EFC67BC</x:v>
      </x:c>
      <x:c r="B3441" s="12" t="str">
        <x:v>Amazon Development Centre</x:v>
      </x:c>
      <x:c r="C3441" s="12" t="str">
        <x:v>CORP-0562</x:v>
      </x:c>
      <x:c r="D3441" s="12" t="str">
        <x:v>Bengaluru</x:v>
      </x:c>
      <x:c r="E3441" s="12" t="str">
        <x:v>Bagmane Capital</x:v>
      </x:c>
      <x:c r="F3441" s="12" t="str">
        <x:v>55 inch</x:v>
      </x:c>
      <x:c r="G3441" s="20" t="n">
        <x:v>1</x:v>
      </x:c>
      <x:c r="H3441" s="12" t="str">
        <x:v>Campus/portfolio roster; individual building occupancy unverified</x:v>
      </x:c>
      <x:c r="I3441" s="12" t="str">
        <x:v>Large enterprise</x:v>
      </x:c>
      <x:c r="J3441" s="12" t="str">
        <x:v>IT &amp; digital</x:v>
      </x:c>
      <x:c r="K3441" s="2" t="str">
        <x:v>PARTNER-M138</x:v>
      </x:c>
    </x:row>
    <x:row r="3442" ht="46" customHeight="1">
      <x:c r="A3442" s="2" t="str">
        <x:v>TEN-9FBF261B62C1</x:v>
      </x:c>
      <x:c r="B3442" s="12" t="str">
        <x:v>Microsoft</x:v>
      </x:c>
      <x:c r="C3442" s="12" t="str">
        <x:v>CORP-0562</x:v>
      </x:c>
      <x:c r="D3442" s="12" t="str">
        <x:v>Bengaluru</x:v>
      </x:c>
      <x:c r="E3442" s="12" t="str">
        <x:v>Bagmane Capital</x:v>
      </x:c>
      <x:c r="F3442" s="12" t="str">
        <x:v>55 inch</x:v>
      </x:c>
      <x:c r="G3442" s="20" t="n">
        <x:v>1</x:v>
      </x:c>
      <x:c r="H3442" s="12" t="str">
        <x:v>Campus/portfolio roster; individual building occupancy unverified</x:v>
      </x:c>
      <x:c r="I3442" s="12" t="str">
        <x:v>Large enterprise</x:v>
      </x:c>
      <x:c r="J3442" s="12" t="str">
        <x:v>IT &amp; digital</x:v>
      </x:c>
      <x:c r="K3442" s="2" t="str">
        <x:v>PARTNER-M138</x:v>
      </x:c>
    </x:row>
    <x:row r="3443" ht="46" customHeight="1">
      <x:c r="A3443" s="2" t="str">
        <x:v>TEN-B178003E7D85</x:v>
      </x:c>
      <x:c r="B3443" s="12" t="str">
        <x:v>Databricks India Pvt Ltd</x:v>
      </x:c>
      <x:c r="C3443" s="12" t="str">
        <x:v>CORP-0562</x:v>
      </x:c>
      <x:c r="D3443" s="12" t="str">
        <x:v>Bengaluru</x:v>
      </x:c>
      <x:c r="E3443" s="12" t="str">
        <x:v>Bagmane Capital</x:v>
      </x:c>
      <x:c r="F3443" s="12" t="str">
        <x:v>55 inch</x:v>
      </x:c>
      <x:c r="G3443" s="20" t="n">
        <x:v>1</x:v>
      </x:c>
      <x:c r="H3443" s="12" t="str">
        <x:v>Campus/portfolio roster; individual building occupancy unverified</x:v>
      </x:c>
      <x:c r="I3443" s="12" t="str">
        <x:v>Mixed business audience</x:v>
      </x:c>
      <x:c r="J3443" s="12" t="str">
        <x:v>IT &amp; digital</x:v>
      </x:c>
      <x:c r="K3443" s="2" t="str">
        <x:v>PARTNER-M138</x:v>
      </x:c>
    </x:row>
    <x:row r="3444" ht="46" customHeight="1">
      <x:c r="A3444" s="2" t="str">
        <x:v>TEN-F31639A23C74</x:v>
      </x:c>
      <x:c r="B3444" s="12" t="str">
        <x:v>Qualcomm</x:v>
      </x:c>
      <x:c r="C3444" s="12" t="str">
        <x:v>CORP-0562</x:v>
      </x:c>
      <x:c r="D3444" s="12" t="str">
        <x:v>Bengaluru</x:v>
      </x:c>
      <x:c r="E3444" s="12" t="str">
        <x:v>Bagmane Capital</x:v>
      </x:c>
      <x:c r="F3444" s="12" t="str">
        <x:v>55 inch</x:v>
      </x:c>
      <x:c r="G3444" s="20" t="n">
        <x:v>1</x:v>
      </x:c>
      <x:c r="H3444" s="12" t="str">
        <x:v>Campus/portfolio roster; individual building occupancy unverified</x:v>
      </x:c>
      <x:c r="I3444" s="12" t="str">
        <x:v>Large enterprise</x:v>
      </x:c>
      <x:c r="J3444" s="12" t="str">
        <x:v>Engineering &amp; manufacturing</x:v>
      </x:c>
      <x:c r="K3444" s="2" t="str">
        <x:v>PARTNER-M138</x:v>
      </x:c>
    </x:row>
    <x:row r="3445" ht="46" customHeight="1">
      <x:c r="A3445" s="2" t="str">
        <x:v>TEN-F6C7E6892C6F</x:v>
      </x:c>
      <x:c r="B3445" s="12" t="str">
        <x:v>Wayfair Global Technology Private Limited</x:v>
      </x:c>
      <x:c r="C3445" s="12" t="str">
        <x:v>CORP-0562</x:v>
      </x:c>
      <x:c r="D3445" s="12" t="str">
        <x:v>Bengaluru</x:v>
      </x:c>
      <x:c r="E3445" s="12" t="str">
        <x:v>Bagmane Capital</x:v>
      </x:c>
      <x:c r="F3445" s="12" t="str">
        <x:v>55 inch</x:v>
      </x:c>
      <x:c r="G3445" s="20" t="n">
        <x:v>1</x:v>
      </x:c>
      <x:c r="H3445" s="12" t="str">
        <x:v>Campus/portfolio roster; individual building occupancy unverified</x:v>
      </x:c>
      <x:c r="I3445" s="12" t="str">
        <x:v>Large enterprise</x:v>
      </x:c>
      <x:c r="J3445" s="12" t="str">
        <x:v>Trade, consumer &amp; logistics</x:v>
      </x:c>
      <x:c r="K3445" s="2" t="str">
        <x:v>PARTNER-M138</x:v>
      </x:c>
    </x:row>
    <x:row r="3446" ht="46" customHeight="1">
      <x:c r="A3446" s="2" t="str">
        <x:v>TEN-066B5B5AD807</x:v>
      </x:c>
      <x:c r="B3446" s="12" t="str">
        <x:v>American Express</x:v>
      </x:c>
      <x:c r="C3446" s="12" t="str">
        <x:v>CORP-0563</x:v>
      </x:c>
      <x:c r="D3446" s="12" t="str">
        <x:v>Bengaluru</x:v>
      </x:c>
      <x:c r="E3446" s="12" t="str">
        <x:v>Bagmane Capital</x:v>
      </x:c>
      <x:c r="F3446" s="12" t="str">
        <x:v>55 inch</x:v>
      </x:c>
      <x:c r="G3446" s="20" t="n">
        <x:v>1</x:v>
      </x:c>
      <x:c r="H3446" s="12" t="str">
        <x:v>Campus/portfolio roster; individual building occupancy unverified</x:v>
      </x:c>
      <x:c r="I3446" s="12" t="str">
        <x:v>Mixed business audience</x:v>
      </x:c>
      <x:c r="J3446" s="12" t="str">
        <x:v>Finance &amp; insurance</x:v>
      </x:c>
      <x:c r="K3446" s="2" t="str">
        <x:v>PARTNER-M138</x:v>
      </x:c>
    </x:row>
    <x:row r="3447" ht="46" customHeight="1">
      <x:c r="A3447" s="2" t="str">
        <x:v>TEN-1E6EA169C908</x:v>
      </x:c>
      <x:c r="B3447" s="12" t="str">
        <x:v>GSK Global Capability Centre</x:v>
      </x:c>
      <x:c r="C3447" s="12" t="str">
        <x:v>CORP-0563</x:v>
      </x:c>
      <x:c r="D3447" s="12" t="str">
        <x:v>Bengaluru</x:v>
      </x:c>
      <x:c r="E3447" s="12" t="str">
        <x:v>Bagmane Capital</x:v>
      </x:c>
      <x:c r="F3447" s="12" t="str">
        <x:v>55 inch</x:v>
      </x:c>
      <x:c r="G3447" s="20" t="n">
        <x:v>1</x:v>
      </x:c>
      <x:c r="H3447" s="12" t="str">
        <x:v>Campus/portfolio roster; individual building occupancy unverified</x:v>
      </x:c>
      <x:c r="I3447" s="12" t="str">
        <x:v>Mixed business audience</x:v>
      </x:c>
      <x:c r="J3447" s="12" t="str">
        <x:v>Healthcare &amp; life sciences</x:v>
      </x:c>
      <x:c r="K3447" s="2" t="str">
        <x:v>PARTNER-M138</x:v>
      </x:c>
    </x:row>
    <x:row r="3448" ht="46" customHeight="1">
      <x:c r="A3448" s="2" t="str">
        <x:v>TEN-484C6092587B</x:v>
      </x:c>
      <x:c r="B3448" s="12" t="str">
        <x:v>Feathertouch Daycare</x:v>
      </x:c>
      <x:c r="C3448" s="12" t="str">
        <x:v>CORP-0563</x:v>
      </x:c>
      <x:c r="D3448" s="12" t="str">
        <x:v>Bengaluru</x:v>
      </x:c>
      <x:c r="E3448" s="12" t="str">
        <x:v>Bagmane Capital</x:v>
      </x:c>
      <x:c r="F3448" s="12" t="str">
        <x:v>55 inch</x:v>
      </x:c>
      <x:c r="G3448" s="20" t="n">
        <x:v>1</x:v>
      </x:c>
      <x:c r="H3448" s="12" t="str">
        <x:v>Campus/portfolio roster; individual building occupancy unverified</x:v>
      </x:c>
      <x:c r="I3448" s="12" t="str">
        <x:v>Medium-scale prospects</x:v>
      </x:c>
      <x:c r="J3448" s="12" t="str">
        <x:v>Education</x:v>
      </x:c>
      <x:c r="K3448" s="2" t="str">
        <x:v>PARTNER-M138</x:v>
      </x:c>
    </x:row>
    <x:row r="3449" ht="46" customHeight="1">
      <x:c r="A3449" s="2" t="str">
        <x:v>TEN-59685FB62EA9</x:v>
      </x:c>
      <x:c r="B3449" s="12" t="str">
        <x:v>Bottomline</x:v>
      </x:c>
      <x:c r="C3449" s="12" t="str">
        <x:v>CORP-0563</x:v>
      </x:c>
      <x:c r="D3449" s="12" t="str">
        <x:v>Bengaluru</x:v>
      </x:c>
      <x:c r="E3449" s="12" t="str">
        <x:v>Bagmane Capital</x:v>
      </x:c>
      <x:c r="F3449" s="12" t="str">
        <x:v>55 inch</x:v>
      </x:c>
      <x:c r="G3449" s="20" t="n">
        <x:v>1</x:v>
      </x:c>
      <x:c r="H3449" s="12" t="str">
        <x:v>Campus/portfolio roster; individual building occupancy unverified</x:v>
      </x:c>
      <x:c r="I3449" s="12" t="str">
        <x:v>Mixed business audience</x:v>
      </x:c>
      <x:c r="J3449" s="12" t="str">
        <x:v>IT &amp; digital</x:v>
      </x:c>
      <x:c r="K3449" s="2" t="str">
        <x:v>PARTNER-M138</x:v>
      </x:c>
    </x:row>
    <x:row r="3450" ht="46" customHeight="1">
      <x:c r="A3450" s="2" t="str">
        <x:v>TEN-72B523BE49B1</x:v>
      </x:c>
      <x:c r="B3450" s="12" t="str">
        <x:v>FAB Global Business Services</x:v>
      </x:c>
      <x:c r="C3450" s="12" t="str">
        <x:v>CORP-0563</x:v>
      </x:c>
      <x:c r="D3450" s="12" t="str">
        <x:v>Bengaluru</x:v>
      </x:c>
      <x:c r="E3450" s="12" t="str">
        <x:v>Bagmane Capital</x:v>
      </x:c>
      <x:c r="F3450" s="12" t="str">
        <x:v>55 inch</x:v>
      </x:c>
      <x:c r="G3450" s="20" t="n">
        <x:v>1</x:v>
      </x:c>
      <x:c r="H3450" s="12" t="str">
        <x:v>Campus/portfolio roster; individual building occupancy unverified</x:v>
      </x:c>
      <x:c r="I3450" s="12" t="str">
        <x:v>Mixed business audience</x:v>
      </x:c>
      <x:c r="J3450" s="12" t="str">
        <x:v>Finance &amp; insurance</x:v>
      </x:c>
      <x:c r="K3450" s="2" t="str">
        <x:v>PARTNER-M138</x:v>
      </x:c>
    </x:row>
    <x:row r="3451" ht="46" customHeight="1">
      <x:c r="A3451" s="2" t="str">
        <x:v>TEN-859F1EFC67BC</x:v>
      </x:c>
      <x:c r="B3451" s="12" t="str">
        <x:v>Amazon Development Centre</x:v>
      </x:c>
      <x:c r="C3451" s="12" t="str">
        <x:v>CORP-0563</x:v>
      </x:c>
      <x:c r="D3451" s="12" t="str">
        <x:v>Bengaluru</x:v>
      </x:c>
      <x:c r="E3451" s="12" t="str">
        <x:v>Bagmane Capital</x:v>
      </x:c>
      <x:c r="F3451" s="12" t="str">
        <x:v>55 inch</x:v>
      </x:c>
      <x:c r="G3451" s="20" t="n">
        <x:v>1</x:v>
      </x:c>
      <x:c r="H3451" s="12" t="str">
        <x:v>Campus/portfolio roster; individual building occupancy unverified</x:v>
      </x:c>
      <x:c r="I3451" s="12" t="str">
        <x:v>Large enterprise</x:v>
      </x:c>
      <x:c r="J3451" s="12" t="str">
        <x:v>IT &amp; digital</x:v>
      </x:c>
      <x:c r="K3451" s="2" t="str">
        <x:v>PARTNER-M138</x:v>
      </x:c>
    </x:row>
    <x:row r="3452" ht="46" customHeight="1">
      <x:c r="A3452" s="2" t="str">
        <x:v>TEN-9FBF261B62C1</x:v>
      </x:c>
      <x:c r="B3452" s="12" t="str">
        <x:v>Microsoft</x:v>
      </x:c>
      <x:c r="C3452" s="12" t="str">
        <x:v>CORP-0563</x:v>
      </x:c>
      <x:c r="D3452" s="12" t="str">
        <x:v>Bengaluru</x:v>
      </x:c>
      <x:c r="E3452" s="12" t="str">
        <x:v>Bagmane Capital</x:v>
      </x:c>
      <x:c r="F3452" s="12" t="str">
        <x:v>55 inch</x:v>
      </x:c>
      <x:c r="G3452" s="20" t="n">
        <x:v>1</x:v>
      </x:c>
      <x:c r="H3452" s="12" t="str">
        <x:v>Campus/portfolio roster; individual building occupancy unverified</x:v>
      </x:c>
      <x:c r="I3452" s="12" t="str">
        <x:v>Large enterprise</x:v>
      </x:c>
      <x:c r="J3452" s="12" t="str">
        <x:v>IT &amp; digital</x:v>
      </x:c>
      <x:c r="K3452" s="2" t="str">
        <x:v>PARTNER-M138</x:v>
      </x:c>
    </x:row>
    <x:row r="3453" ht="46" customHeight="1">
      <x:c r="A3453" s="2" t="str">
        <x:v>TEN-B178003E7D85</x:v>
      </x:c>
      <x:c r="B3453" s="12" t="str">
        <x:v>Databricks India Pvt Ltd</x:v>
      </x:c>
      <x:c r="C3453" s="12" t="str">
        <x:v>CORP-0563</x:v>
      </x:c>
      <x:c r="D3453" s="12" t="str">
        <x:v>Bengaluru</x:v>
      </x:c>
      <x:c r="E3453" s="12" t="str">
        <x:v>Bagmane Capital</x:v>
      </x:c>
      <x:c r="F3453" s="12" t="str">
        <x:v>55 inch</x:v>
      </x:c>
      <x:c r="G3453" s="20" t="n">
        <x:v>1</x:v>
      </x:c>
      <x:c r="H3453" s="12" t="str">
        <x:v>Campus/portfolio roster; individual building occupancy unverified</x:v>
      </x:c>
      <x:c r="I3453" s="12" t="str">
        <x:v>Mixed business audience</x:v>
      </x:c>
      <x:c r="J3453" s="12" t="str">
        <x:v>IT &amp; digital</x:v>
      </x:c>
      <x:c r="K3453" s="2" t="str">
        <x:v>PARTNER-M138</x:v>
      </x:c>
    </x:row>
    <x:row r="3454" ht="46" customHeight="1">
      <x:c r="A3454" s="2" t="str">
        <x:v>TEN-F31639A23C74</x:v>
      </x:c>
      <x:c r="B3454" s="12" t="str">
        <x:v>Qualcomm</x:v>
      </x:c>
      <x:c r="C3454" s="12" t="str">
        <x:v>CORP-0563</x:v>
      </x:c>
      <x:c r="D3454" s="12" t="str">
        <x:v>Bengaluru</x:v>
      </x:c>
      <x:c r="E3454" s="12" t="str">
        <x:v>Bagmane Capital</x:v>
      </x:c>
      <x:c r="F3454" s="12" t="str">
        <x:v>55 inch</x:v>
      </x:c>
      <x:c r="G3454" s="20" t="n">
        <x:v>1</x:v>
      </x:c>
      <x:c r="H3454" s="12" t="str">
        <x:v>Campus/portfolio roster; individual building occupancy unverified</x:v>
      </x:c>
      <x:c r="I3454" s="12" t="str">
        <x:v>Large enterprise</x:v>
      </x:c>
      <x:c r="J3454" s="12" t="str">
        <x:v>Engineering &amp; manufacturing</x:v>
      </x:c>
      <x:c r="K3454" s="2" t="str">
        <x:v>PARTNER-M138</x:v>
      </x:c>
    </x:row>
    <x:row r="3455" ht="46" customHeight="1">
      <x:c r="A3455" s="2" t="str">
        <x:v>TEN-F6C7E6892C6F</x:v>
      </x:c>
      <x:c r="B3455" s="12" t="str">
        <x:v>Wayfair Global Technology Private Limited</x:v>
      </x:c>
      <x:c r="C3455" s="12" t="str">
        <x:v>CORP-0563</x:v>
      </x:c>
      <x:c r="D3455" s="12" t="str">
        <x:v>Bengaluru</x:v>
      </x:c>
      <x:c r="E3455" s="12" t="str">
        <x:v>Bagmane Capital</x:v>
      </x:c>
      <x:c r="F3455" s="12" t="str">
        <x:v>55 inch</x:v>
      </x:c>
      <x:c r="G3455" s="20" t="n">
        <x:v>1</x:v>
      </x:c>
      <x:c r="H3455" s="12" t="str">
        <x:v>Campus/portfolio roster; individual building occupancy unverified</x:v>
      </x:c>
      <x:c r="I3455" s="12" t="str">
        <x:v>Large enterprise</x:v>
      </x:c>
      <x:c r="J3455" s="12" t="str">
        <x:v>Trade, consumer &amp; logistics</x:v>
      </x:c>
      <x:c r="K3455" s="2" t="str">
        <x:v>PARTNER-M138</x:v>
      </x:c>
    </x:row>
    <x:row r="3456" ht="46" customHeight="1">
      <x:c r="A3456" s="2" t="str">
        <x:v>TEN-11C27A52B3EC</x:v>
      </x:c>
      <x:c r="B3456" s="12" t="str">
        <x:v>Resourcespro</x:v>
      </x:c>
      <x:c r="C3456" s="12" t="str">
        <x:v>CORP-0564</x:v>
      </x:c>
      <x:c r="D3456" s="12" t="str">
        <x:v>Bengaluru</x:v>
      </x:c>
      <x:c r="E3456" s="12" t="str">
        <x:v>Bagmane Solarium</x:v>
      </x:c>
      <x:c r="F3456" s="12" t="str">
        <x:v>55 inch</x:v>
      </x:c>
      <x:c r="G3456" s="20" t="n">
        <x:v>1</x:v>
      </x:c>
      <x:c r="H3456" s="12" t="str">
        <x:v>Campus/portfolio roster; individual building occupancy unverified</x:v>
      </x:c>
      <x:c r="I3456" s="12" t="str">
        <x:v>Small-scale prospects</x:v>
      </x:c>
      <x:c r="J3456" s="12" t="str">
        <x:v>Professional services</x:v>
      </x:c>
      <x:c r="K3456" s="2" t="str">
        <x:v>PARTNER-M146</x:v>
      </x:c>
    </x:row>
    <x:row r="3457" ht="46" customHeight="1">
      <x:c r="A3457" s="2" t="str">
        <x:v>TEN-32A46F0F2FE1</x:v>
      </x:c>
      <x:c r="B3457" s="12" t="str">
        <x:v>Shell India</x:v>
      </x:c>
      <x:c r="C3457" s="12" t="str">
        <x:v>CORP-0564</x:v>
      </x:c>
      <x:c r="D3457" s="12" t="str">
        <x:v>Bengaluru</x:v>
      </x:c>
      <x:c r="E3457" s="12" t="str">
        <x:v>Bagmane Solarium</x:v>
      </x:c>
      <x:c r="F3457" s="12" t="str">
        <x:v>55 inch</x:v>
      </x:c>
      <x:c r="G3457" s="20" t="n">
        <x:v>1</x:v>
      </x:c>
      <x:c r="H3457" s="12" t="str">
        <x:v>Campus/portfolio roster; individual building occupancy unverified</x:v>
      </x:c>
      <x:c r="I3457" s="12" t="str">
        <x:v>Mixed business audience</x:v>
      </x:c>
      <x:c r="J3457" s="12" t="str">
        <x:v>Engineering &amp; manufacturing</x:v>
      </x:c>
      <x:c r="K3457" s="2" t="str">
        <x:v>PARTNER-M146</x:v>
      </x:c>
    </x:row>
    <x:row r="3458" ht="46" customHeight="1">
      <x:c r="A3458" s="2" t="str">
        <x:v>TEN-54D308D4C42F</x:v>
      </x:c>
      <x:c r="B3458" s="12" t="str">
        <x:v>Carelon Global Solutions</x:v>
      </x:c>
      <x:c r="C3458" s="12" t="str">
        <x:v>CORP-0564</x:v>
      </x:c>
      <x:c r="D3458" s="12" t="str">
        <x:v>Bengaluru</x:v>
      </x:c>
      <x:c r="E3458" s="12" t="str">
        <x:v>Bagmane Solarium</x:v>
      </x:c>
      <x:c r="F3458" s="12" t="str">
        <x:v>55 inch</x:v>
      </x:c>
      <x:c r="G3458" s="20" t="n">
        <x:v>1</x:v>
      </x:c>
      <x:c r="H3458" s="12" t="str">
        <x:v>Campus/portfolio roster; individual building occupancy unverified</x:v>
      </x:c>
      <x:c r="I3458" s="12" t="str">
        <x:v>Mixed business audience</x:v>
      </x:c>
      <x:c r="J3458" s="12" t="str">
        <x:v>Healthcare &amp; life sciences</x:v>
      </x:c>
      <x:c r="K3458" s="2" t="str">
        <x:v>PARTNER-M146</x:v>
      </x:c>
    </x:row>
    <x:row r="3459" ht="46" customHeight="1">
      <x:c r="A3459" s="2" t="str">
        <x:v>TEN-6C0D20116366</x:v>
      </x:c>
      <x:c r="B3459" s="12" t="str">
        <x:v>Burns &amp; McDonnell</x:v>
      </x:c>
      <x:c r="C3459" s="12" t="str">
        <x:v>CORP-0564</x:v>
      </x:c>
      <x:c r="D3459" s="12" t="str">
        <x:v>Bengaluru</x:v>
      </x:c>
      <x:c r="E3459" s="12" t="str">
        <x:v>Bagmane Solarium</x:v>
      </x:c>
      <x:c r="F3459" s="12" t="str">
        <x:v>55 inch</x:v>
      </x:c>
      <x:c r="G3459" s="20" t="n">
        <x:v>1</x:v>
      </x:c>
      <x:c r="H3459" s="12" t="str">
        <x:v>Campus/portfolio roster; individual building occupancy unverified</x:v>
      </x:c>
      <x:c r="I3459" s="12" t="str">
        <x:v>Mixed business audience</x:v>
      </x:c>
      <x:c r="J3459" s="12" t="str">
        <x:v>Engineering &amp; manufacturing</x:v>
      </x:c>
      <x:c r="K3459" s="2" t="str">
        <x:v>PARTNER-M146</x:v>
      </x:c>
    </x:row>
    <x:row r="3460" ht="46" customHeight="1">
      <x:c r="A3460" s="2" t="str">
        <x:v>TEN-9891CBD98729</x:v>
      </x:c>
      <x:c r="B3460" s="12" t="str">
        <x:v>Northern Trust</x:v>
      </x:c>
      <x:c r="C3460" s="12" t="str">
        <x:v>CORP-0564</x:v>
      </x:c>
      <x:c r="D3460" s="12" t="str">
        <x:v>Bengaluru</x:v>
      </x:c>
      <x:c r="E3460" s="12" t="str">
        <x:v>Bagmane Solarium</x:v>
      </x:c>
      <x:c r="F3460" s="12" t="str">
        <x:v>55 inch</x:v>
      </x:c>
      <x:c r="G3460" s="20" t="n">
        <x:v>1</x:v>
      </x:c>
      <x:c r="H3460" s="12" t="str">
        <x:v>Campus/portfolio roster; individual building occupancy unverified</x:v>
      </x:c>
      <x:c r="I3460" s="12" t="str">
        <x:v>Large enterprise</x:v>
      </x:c>
      <x:c r="J3460" s="12" t="str">
        <x:v>Finance &amp; insurance</x:v>
      </x:c>
      <x:c r="K3460" s="2" t="str">
        <x:v>PARTNER-M146</x:v>
      </x:c>
    </x:row>
    <x:row r="3461" ht="46" customHeight="1">
      <x:c r="A3461" s="2" t="str">
        <x:v>TEN-B2390264A2E8</x:v>
      </x:c>
      <x:c r="B3461" s="12" t="str">
        <x:v>Tekion</x:v>
      </x:c>
      <x:c r="C3461" s="12" t="str">
        <x:v>CORP-0564</x:v>
      </x:c>
      <x:c r="D3461" s="12" t="str">
        <x:v>Bengaluru</x:v>
      </x:c>
      <x:c r="E3461" s="12" t="str">
        <x:v>Bagmane Solarium</x:v>
      </x:c>
      <x:c r="F3461" s="12" t="str">
        <x:v>55 inch</x:v>
      </x:c>
      <x:c r="G3461" s="20" t="n">
        <x:v>1</x:v>
      </x:c>
      <x:c r="H3461" s="12" t="str">
        <x:v>Campus/portfolio roster; individual building occupancy unverified</x:v>
      </x:c>
      <x:c r="I3461" s="12" t="str">
        <x:v>Mixed business audience</x:v>
      </x:c>
      <x:c r="J3461" s="12" t="str">
        <x:v>IT &amp; digital</x:v>
      </x:c>
      <x:c r="K3461" s="2" t="str">
        <x:v>PARTNER-M146</x:v>
      </x:c>
    </x:row>
    <x:row r="3462" ht="46" customHeight="1">
      <x:c r="A3462" s="2" t="str">
        <x:v>TEN-B2D5ADC2EC6B</x:v>
      </x:c>
      <x:c r="B3462" s="12" t="str">
        <x:v>Wesco Digital</x:v>
      </x:c>
      <x:c r="C3462" s="12" t="str">
        <x:v>CORP-0564</x:v>
      </x:c>
      <x:c r="D3462" s="12" t="str">
        <x:v>Bengaluru</x:v>
      </x:c>
      <x:c r="E3462" s="12" t="str">
        <x:v>Bagmane Solarium</x:v>
      </x:c>
      <x:c r="F3462" s="12" t="str">
        <x:v>55 inch</x:v>
      </x:c>
      <x:c r="G3462" s="20" t="n">
        <x:v>1</x:v>
      </x:c>
      <x:c r="H3462" s="12" t="str">
        <x:v>Campus/portfolio roster; individual building occupancy unverified</x:v>
      </x:c>
      <x:c r="I3462" s="12" t="str">
        <x:v>Mixed business audience</x:v>
      </x:c>
      <x:c r="J3462" s="12" t="str">
        <x:v>IT &amp; digital</x:v>
      </x:c>
      <x:c r="K3462" s="2" t="str">
        <x:v>PARTNER-M146</x:v>
      </x:c>
    </x:row>
    <x:row r="3463" ht="46" customHeight="1">
      <x:c r="A3463" s="2" t="str">
        <x:v>TEN-B620B7716796</x:v>
      </x:c>
      <x:c r="B3463" s="12" t="str">
        <x:v>Zebra Technologies</x:v>
      </x:c>
      <x:c r="C3463" s="12" t="str">
        <x:v>CORP-0564</x:v>
      </x:c>
      <x:c r="D3463" s="12" t="str">
        <x:v>Bengaluru</x:v>
      </x:c>
      <x:c r="E3463" s="12" t="str">
        <x:v>Bagmane Solarium</x:v>
      </x:c>
      <x:c r="F3463" s="12" t="str">
        <x:v>55 inch</x:v>
      </x:c>
      <x:c r="G3463" s="20" t="n">
        <x:v>1</x:v>
      </x:c>
      <x:c r="H3463" s="12" t="str">
        <x:v>Campus/portfolio roster; individual building occupancy unverified</x:v>
      </x:c>
      <x:c r="I3463" s="12" t="str">
        <x:v>Mixed business audience</x:v>
      </x:c>
      <x:c r="J3463" s="12" t="str">
        <x:v>Engineering &amp; manufacturing</x:v>
      </x:c>
      <x:c r="K3463" s="2" t="str">
        <x:v>PARTNER-M146</x:v>
      </x:c>
    </x:row>
    <x:row r="3464" ht="46" customHeight="1">
      <x:c r="A3464" s="2" t="str">
        <x:v>TEN-BC3067AC45DF</x:v>
      </x:c>
      <x:c r="B3464" s="12" t="str">
        <x:v>Schneider Electric</x:v>
      </x:c>
      <x:c r="C3464" s="12" t="str">
        <x:v>CORP-0564</x:v>
      </x:c>
      <x:c r="D3464" s="12" t="str">
        <x:v>Bengaluru</x:v>
      </x:c>
      <x:c r="E3464" s="12" t="str">
        <x:v>Bagmane Solarium</x:v>
      </x:c>
      <x:c r="F3464" s="12" t="str">
        <x:v>55 inch</x:v>
      </x:c>
      <x:c r="G3464" s="20" t="n">
        <x:v>1</x:v>
      </x:c>
      <x:c r="H3464" s="12" t="str">
        <x:v>Campus/portfolio roster; individual building occupancy unverified</x:v>
      </x:c>
      <x:c r="I3464" s="12" t="str">
        <x:v>Large enterprise</x:v>
      </x:c>
      <x:c r="J3464" s="12" t="str">
        <x:v>Engineering &amp; manufacturing</x:v>
      </x:c>
      <x:c r="K3464" s="2" t="str">
        <x:v>PARTNER-M146</x:v>
      </x:c>
    </x:row>
    <x:row r="3465" ht="46" customHeight="1">
      <x:c r="A3465" s="2" t="str">
        <x:v>TEN-03A4F323A24B</x:v>
      </x:c>
      <x:c r="B3465" s="12" t="str">
        <x:v>Amelia Global Services</x:v>
      </x:c>
      <x:c r="C3465" s="12" t="str">
        <x:v>CORP-0430</x:v>
      </x:c>
      <x:c r="D3465" s="12" t="str">
        <x:v>Bengaluru</x:v>
      </x:c>
      <x:c r="E3465" s="12" t="str">
        <x:v>International Tech Park (ITPB - SEZ)</x:v>
      </x:c>
      <x:c r="F3465" s="12" t="str">
        <x:v>55 inch</x:v>
      </x:c>
      <x:c r="G3465" s="20" t="n">
        <x:v>1</x:v>
      </x:c>
      <x:c r="H3465" s="12" t="str">
        <x:v>Campus/portfolio roster; individual building occupancy unverified</x:v>
      </x:c>
      <x:c r="I3465" s="12" t="str">
        <x:v>Mixed business audience</x:v>
      </x:c>
      <x:c r="J3465" s="12" t="str">
        <x:v>IT &amp; digital</x:v>
      </x:c>
      <x:c r="K3465" s="2" t="str">
        <x:v>PARTNER-M011</x:v>
      </x:c>
    </x:row>
    <x:row r="3466" ht="46" customHeight="1">
      <x:c r="A3466" s="2" t="str">
        <x:v>TEN-096E2E0989A6</x:v>
      </x:c>
      <x:c r="B3466" s="12" t="str">
        <x:v>Natixis Services in India</x:v>
      </x:c>
      <x:c r="C3466" s="12" t="str">
        <x:v>CORP-0430</x:v>
      </x:c>
      <x:c r="D3466" s="12" t="str">
        <x:v>Bengaluru</x:v>
      </x:c>
      <x:c r="E3466" s="12" t="str">
        <x:v>International Tech Park (ITPB - SEZ)</x:v>
      </x:c>
      <x:c r="F3466" s="12" t="str">
        <x:v>55 inch</x:v>
      </x:c>
      <x:c r="G3466" s="20" t="n">
        <x:v>1</x:v>
      </x:c>
      <x:c r="H3466" s="12" t="str">
        <x:v>Campus/portfolio roster; individual building occupancy unverified</x:v>
      </x:c>
      <x:c r="I3466" s="12" t="str">
        <x:v>Mixed business audience</x:v>
      </x:c>
      <x:c r="J3466" s="12" t="str">
        <x:v>Finance &amp; insurance</x:v>
      </x:c>
      <x:c r="K3466" s="2" t="str">
        <x:v>PARTNER-M011</x:v>
      </x:c>
    </x:row>
    <x:row r="3467" ht="46" customHeight="1">
      <x:c r="A3467" s="2" t="str">
        <x:v>TEN-0F0E714E580D</x:v>
      </x:c>
      <x:c r="B3467" s="12" t="str">
        <x:v>Scientific Games</x:v>
      </x:c>
      <x:c r="C3467" s="12" t="str">
        <x:v>CORP-0430</x:v>
      </x:c>
      <x:c r="D3467" s="12" t="str">
        <x:v>Bengaluru</x:v>
      </x:c>
      <x:c r="E3467" s="12" t="str">
        <x:v>International Tech Park (ITPB - SEZ)</x:v>
      </x:c>
      <x:c r="F3467" s="12" t="str">
        <x:v>55 inch</x:v>
      </x:c>
      <x:c r="G3467" s="20" t="n">
        <x:v>1</x:v>
      </x:c>
      <x:c r="H3467" s="12" t="str">
        <x:v>Campus/portfolio roster; individual building occupancy unverified</x:v>
      </x:c>
      <x:c r="I3467" s="12" t="str">
        <x:v>Mixed business audience</x:v>
      </x:c>
      <x:c r="J3467" s="12" t="str">
        <x:v>Trade, consumer &amp; logistics</x:v>
      </x:c>
      <x:c r="K3467" s="2" t="str">
        <x:v>PARTNER-M011</x:v>
      </x:c>
    </x:row>
    <x:row r="3468" ht="46" customHeight="1">
      <x:c r="A3468" s="2" t="str">
        <x:v>TEN-17B1E60B57B8</x:v>
      </x:c>
      <x:c r="B3468" s="12" t="str">
        <x:v>IPsoft Global Services</x:v>
      </x:c>
      <x:c r="C3468" s="12" t="str">
        <x:v>CORP-0430</x:v>
      </x:c>
      <x:c r="D3468" s="12" t="str">
        <x:v>Bengaluru</x:v>
      </x:c>
      <x:c r="E3468" s="12" t="str">
        <x:v>International Tech Park (ITPB - SEZ)</x:v>
      </x:c>
      <x:c r="F3468" s="12" t="str">
        <x:v>55 inch</x:v>
      </x:c>
      <x:c r="G3468" s="20" t="n">
        <x:v>1</x:v>
      </x:c>
      <x:c r="H3468" s="12" t="str">
        <x:v>Campus/portfolio roster; individual building occupancy unverified</x:v>
      </x:c>
      <x:c r="I3468" s="12" t="str">
        <x:v>Mixed business audience</x:v>
      </x:c>
      <x:c r="J3468" s="12" t="str">
        <x:v>IT &amp; digital</x:v>
      </x:c>
      <x:c r="K3468" s="2" t="str">
        <x:v>PARTNER-M011</x:v>
      </x:c>
    </x:row>
    <x:row r="3469" ht="46" customHeight="1">
      <x:c r="A3469" s="2" t="str">
        <x:v>TEN-4BBC20253CB6</x:v>
      </x:c>
      <x:c r="B3469" s="12" t="str">
        <x:v>Conduent Business Services India</x:v>
      </x:c>
      <x:c r="C3469" s="12" t="str">
        <x:v>CORP-0430</x:v>
      </x:c>
      <x:c r="D3469" s="12" t="str">
        <x:v>Bengaluru</x:v>
      </x:c>
      <x:c r="E3469" s="12" t="str">
        <x:v>International Tech Park (ITPB - SEZ)</x:v>
      </x:c>
      <x:c r="F3469" s="12" t="str">
        <x:v>55 inch</x:v>
      </x:c>
      <x:c r="G3469" s="20" t="n">
        <x:v>1</x:v>
      </x:c>
      <x:c r="H3469" s="12" t="str">
        <x:v>Campus/portfolio roster; individual building occupancy unverified</x:v>
      </x:c>
      <x:c r="I3469" s="12" t="str">
        <x:v>Mixed business audience</x:v>
      </x:c>
      <x:c r="J3469" s="12" t="str">
        <x:v>IT &amp; digital</x:v>
      </x:c>
      <x:c r="K3469" s="2" t="str">
        <x:v>PARTNER-M011</x:v>
      </x:c>
    </x:row>
    <x:row r="3470" ht="46" customHeight="1">
      <x:c r="A3470" s="2" t="str">
        <x:v>TEN-58331B396902</x:v>
      </x:c>
      <x:c r="B3470" s="12" t="str">
        <x:v>Dealslooter.in</x:v>
      </x:c>
      <x:c r="C3470" s="12" t="str">
        <x:v>CORP-0430</x:v>
      </x:c>
      <x:c r="D3470" s="12" t="str">
        <x:v>Bengaluru</x:v>
      </x:c>
      <x:c r="E3470" s="12" t="str">
        <x:v>International Tech Park (ITPB - SEZ)</x:v>
      </x:c>
      <x:c r="F3470" s="12" t="str">
        <x:v>55 inch</x:v>
      </x:c>
      <x:c r="G3470" s="20" t="n">
        <x:v>1</x:v>
      </x:c>
      <x:c r="H3470" s="12" t="str">
        <x:v>Campus/portfolio roster; individual building occupancy unverified</x:v>
      </x:c>
      <x:c r="I3470" s="12" t="str">
        <x:v>Small-scale prospects</x:v>
      </x:c>
      <x:c r="J3470" s="12" t="str">
        <x:v>Trade, consumer &amp; logistics</x:v>
      </x:c>
      <x:c r="K3470" s="2" t="str">
        <x:v>PARTNER-M011</x:v>
      </x:c>
    </x:row>
    <x:row r="3471" ht="46" customHeight="1">
      <x:c r="A3471" s="2" t="str">
        <x:v>TEN-5FA790F3630F</x:v>
      </x:c>
      <x:c r="B3471" s="12" t="str">
        <x:v>Tata Consultancy Services</x:v>
      </x:c>
      <x:c r="C3471" s="12" t="str">
        <x:v>CORP-0430</x:v>
      </x:c>
      <x:c r="D3471" s="12" t="str">
        <x:v>Bengaluru</x:v>
      </x:c>
      <x:c r="E3471" s="12" t="str">
        <x:v>International Tech Park (ITPB - SEZ)</x:v>
      </x:c>
      <x:c r="F3471" s="12" t="str">
        <x:v>55 inch</x:v>
      </x:c>
      <x:c r="G3471" s="20" t="n">
        <x:v>1</x:v>
      </x:c>
      <x:c r="H3471" s="12" t="str">
        <x:v>Campus/portfolio roster; individual building occupancy unverified</x:v>
      </x:c>
      <x:c r="I3471" s="12" t="str">
        <x:v>Large enterprise</x:v>
      </x:c>
      <x:c r="J3471" s="12" t="str">
        <x:v>IT &amp; digital</x:v>
      </x:c>
      <x:c r="K3471" s="2" t="str">
        <x:v>PARTNER-M011</x:v>
      </x:c>
    </x:row>
    <x:row r="3472" ht="46" customHeight="1">
      <x:c r="A3472" s="2" t="str">
        <x:v>TEN-ACFE8450840B</x:v>
      </x:c>
      <x:c r="B3472" s="12" t="str">
        <x:v>HCL</x:v>
      </x:c>
      <x:c r="C3472" s="12" t="str">
        <x:v>CORP-0430</x:v>
      </x:c>
      <x:c r="D3472" s="12" t="str">
        <x:v>Bengaluru</x:v>
      </x:c>
      <x:c r="E3472" s="12" t="str">
        <x:v>International Tech Park (ITPB - SEZ)</x:v>
      </x:c>
      <x:c r="F3472" s="12" t="str">
        <x:v>55 inch</x:v>
      </x:c>
      <x:c r="G3472" s="20" t="n">
        <x:v>1</x:v>
      </x:c>
      <x:c r="H3472" s="12" t="str">
        <x:v>Campus/portfolio roster; individual building occupancy unverified</x:v>
      </x:c>
      <x:c r="I3472" s="12" t="str">
        <x:v>Large enterprise</x:v>
      </x:c>
      <x:c r="J3472" s="12" t="str">
        <x:v>IT &amp; digital</x:v>
      </x:c>
      <x:c r="K3472" s="2" t="str">
        <x:v>PARTNER-M011</x:v>
      </x:c>
    </x:row>
    <x:row r="3473" ht="46" customHeight="1">
      <x:c r="A3473" s="2" t="str">
        <x:v>TEN-B5C691D27CD7</x:v>
      </x:c>
      <x:c r="B3473" s="12" t="str">
        <x:v>Galaxe Solutions</x:v>
      </x:c>
      <x:c r="C3473" s="12" t="str">
        <x:v>CORP-0430</x:v>
      </x:c>
      <x:c r="D3473" s="12" t="str">
        <x:v>Bengaluru</x:v>
      </x:c>
      <x:c r="E3473" s="12" t="str">
        <x:v>International Tech Park (ITPB - SEZ)</x:v>
      </x:c>
      <x:c r="F3473" s="12" t="str">
        <x:v>55 inch</x:v>
      </x:c>
      <x:c r="G3473" s="20" t="n">
        <x:v>1</x:v>
      </x:c>
      <x:c r="H3473" s="12" t="str">
        <x:v>Campus/portfolio roster; individual building occupancy unverified</x:v>
      </x:c>
      <x:c r="I3473" s="12" t="str">
        <x:v>Mixed business audience</x:v>
      </x:c>
      <x:c r="J3473" s="12" t="str">
        <x:v>IT &amp; digital</x:v>
      </x:c>
      <x:c r="K3473" s="2" t="str">
        <x:v>PARTNER-M011</x:v>
      </x:c>
    </x:row>
    <x:row r="3474" ht="46" customHeight="1">
      <x:c r="A3474" s="2" t="str">
        <x:v>TEN-CA80269ADE3A</x:v>
      </x:c>
      <x:c r="B3474" s="12" t="str">
        <x:v>Mu Sigma</x:v>
      </x:c>
      <x:c r="C3474" s="12" t="str">
        <x:v>CORP-0430</x:v>
      </x:c>
      <x:c r="D3474" s="12" t="str">
        <x:v>Bengaluru</x:v>
      </x:c>
      <x:c r="E3474" s="12" t="str">
        <x:v>International Tech Park (ITPB - SEZ)</x:v>
      </x:c>
      <x:c r="F3474" s="12" t="str">
        <x:v>55 inch</x:v>
      </x:c>
      <x:c r="G3474" s="20" t="n">
        <x:v>1</x:v>
      </x:c>
      <x:c r="H3474" s="12" t="str">
        <x:v>Campus/portfolio roster; individual building occupancy unverified</x:v>
      </x:c>
      <x:c r="I3474" s="12" t="str">
        <x:v>Mixed business audience</x:v>
      </x:c>
      <x:c r="J3474" s="12" t="str">
        <x:v>IT &amp; digital</x:v>
      </x:c>
      <x:c r="K3474" s="2" t="str">
        <x:v>PARTNER-M011</x:v>
      </x:c>
    </x:row>
    <x:row r="3475" ht="46" customHeight="1">
      <x:c r="A3475" s="2" t="str">
        <x:v>TEN-D254184A081B</x:v>
      </x:c>
      <x:c r="B3475" s="12" t="str">
        <x:v>CSS Corp</x:v>
      </x:c>
      <x:c r="C3475" s="12" t="str">
        <x:v>CORP-0430</x:v>
      </x:c>
      <x:c r="D3475" s="12" t="str">
        <x:v>Bengaluru</x:v>
      </x:c>
      <x:c r="E3475" s="12" t="str">
        <x:v>International Tech Park (ITPB - SEZ)</x:v>
      </x:c>
      <x:c r="F3475" s="12" t="str">
        <x:v>55 inch</x:v>
      </x:c>
      <x:c r="G3475" s="20" t="n">
        <x:v>1</x:v>
      </x:c>
      <x:c r="H3475" s="12" t="str">
        <x:v>Campus/portfolio roster; individual building occupancy unverified</x:v>
      </x:c>
      <x:c r="I3475" s="12" t="str">
        <x:v>Mixed business audience</x:v>
      </x:c>
      <x:c r="J3475" s="12" t="str">
        <x:v>IT &amp; digital</x:v>
      </x:c>
      <x:c r="K3475" s="2" t="str">
        <x:v>PARTNER-M011</x:v>
      </x:c>
    </x:row>
    <x:row r="3476" ht="46" customHeight="1">
      <x:c r="A3476" s="2" t="str">
        <x:v>TEN-EBC4BBC5D3E0</x:v>
      </x:c>
      <x:c r="B3476" s="12" t="str">
        <x:v>Slash Support</x:v>
      </x:c>
      <x:c r="C3476" s="12" t="str">
        <x:v>CORP-0430</x:v>
      </x:c>
      <x:c r="D3476" s="12" t="str">
        <x:v>Bengaluru</x:v>
      </x:c>
      <x:c r="E3476" s="12" t="str">
        <x:v>International Tech Park (ITPB - SEZ)</x:v>
      </x:c>
      <x:c r="F3476" s="12" t="str">
        <x:v>55 inch</x:v>
      </x:c>
      <x:c r="G3476" s="20" t="n">
        <x:v>1</x:v>
      </x:c>
      <x:c r="H3476" s="12" t="str">
        <x:v>Campus/portfolio roster; individual building occupancy unverified</x:v>
      </x:c>
      <x:c r="I3476" s="12" t="str">
        <x:v>Mixed business audience</x:v>
      </x:c>
      <x:c r="J3476" s="12" t="str">
        <x:v>Unresolved</x:v>
      </x:c>
      <x:c r="K3476" s="2" t="str">
        <x:v>PARTNER-M011</x:v>
      </x:c>
    </x:row>
    <x:row r="3477" ht="46" customHeight="1">
      <x:c r="A3477" s="2" t="str">
        <x:v>TEN-F2E3013A0309</x:v>
      </x:c>
      <x:c r="B3477" s="12" t="str">
        <x:v>Movate Technologies</x:v>
      </x:c>
      <x:c r="C3477" s="12" t="str">
        <x:v>CORP-0430</x:v>
      </x:c>
      <x:c r="D3477" s="12" t="str">
        <x:v>Bengaluru</x:v>
      </x:c>
      <x:c r="E3477" s="12" t="str">
        <x:v>International Tech Park (ITPB - SEZ)</x:v>
      </x:c>
      <x:c r="F3477" s="12" t="str">
        <x:v>55 inch</x:v>
      </x:c>
      <x:c r="G3477" s="20" t="n">
        <x:v>1</x:v>
      </x:c>
      <x:c r="H3477" s="12" t="str">
        <x:v>Campus/portfolio roster; individual building occupancy unverified</x:v>
      </x:c>
      <x:c r="I3477" s="12" t="str">
        <x:v>Mixed business audience</x:v>
      </x:c>
      <x:c r="J3477" s="12" t="str">
        <x:v>IT &amp; digital</x:v>
      </x:c>
      <x:c r="K3477" s="2" t="str">
        <x:v>PARTNER-M011</x:v>
      </x:c>
    </x:row>
    <x:row r="3478" ht="46" customHeight="1">
      <x:c r="A3478" s="2" t="str">
        <x:v>TEN-F6768D57BDBC</x:v>
      </x:c>
      <x:c r="B3478" s="12" t="str">
        <x:v>Societe Generale</x:v>
      </x:c>
      <x:c r="C3478" s="12" t="str">
        <x:v>CORP-0430</x:v>
      </x:c>
      <x:c r="D3478" s="12" t="str">
        <x:v>Bengaluru</x:v>
      </x:c>
      <x:c r="E3478" s="12" t="str">
        <x:v>International Tech Park (ITPB - SEZ)</x:v>
      </x:c>
      <x:c r="F3478" s="12" t="str">
        <x:v>55 inch</x:v>
      </x:c>
      <x:c r="G3478" s="20" t="n">
        <x:v>1</x:v>
      </x:c>
      <x:c r="H3478" s="12" t="str">
        <x:v>Campus/portfolio roster; individual building occupancy unverified</x:v>
      </x:c>
      <x:c r="I3478" s="12" t="str">
        <x:v>Large enterprise</x:v>
      </x:c>
      <x:c r="J3478" s="12" t="str">
        <x:v>Finance &amp; insurance</x:v>
      </x:c>
      <x:c r="K3478" s="2" t="str">
        <x:v>PARTNER-M011</x:v>
      </x:c>
    </x:row>
    <x:row r="3479" ht="46" customHeight="1">
      <x:c r="A3479" s="2" t="str">
        <x:v>TEN-11C27A52B3EC</x:v>
      </x:c>
      <x:c r="B3479" s="12" t="str">
        <x:v>Resourcespro</x:v>
      </x:c>
      <x:c r="C3479" s="12" t="str">
        <x:v>CORP-0565</x:v>
      </x:c>
      <x:c r="D3479" s="12" t="str">
        <x:v>Bengaluru</x:v>
      </x:c>
      <x:c r="E3479" s="12" t="str">
        <x:v>Bagmane Solarium</x:v>
      </x:c>
      <x:c r="F3479" s="12" t="str">
        <x:v>55 inch</x:v>
      </x:c>
      <x:c r="G3479" s="20" t="n">
        <x:v>1</x:v>
      </x:c>
      <x:c r="H3479" s="12" t="str">
        <x:v>Campus/portfolio roster; individual building occupancy unverified</x:v>
      </x:c>
      <x:c r="I3479" s="12" t="str">
        <x:v>Small-scale prospects</x:v>
      </x:c>
      <x:c r="J3479" s="12" t="str">
        <x:v>Professional services</x:v>
      </x:c>
      <x:c r="K3479" s="2" t="str">
        <x:v>PARTNER-M146</x:v>
      </x:c>
    </x:row>
    <x:row r="3480" ht="46" customHeight="1">
      <x:c r="A3480" s="2" t="str">
        <x:v>TEN-32A46F0F2FE1</x:v>
      </x:c>
      <x:c r="B3480" s="12" t="str">
        <x:v>Shell India</x:v>
      </x:c>
      <x:c r="C3480" s="12" t="str">
        <x:v>CORP-0565</x:v>
      </x:c>
      <x:c r="D3480" s="12" t="str">
        <x:v>Bengaluru</x:v>
      </x:c>
      <x:c r="E3480" s="12" t="str">
        <x:v>Bagmane Solarium</x:v>
      </x:c>
      <x:c r="F3480" s="12" t="str">
        <x:v>55 inch</x:v>
      </x:c>
      <x:c r="G3480" s="20" t="n">
        <x:v>1</x:v>
      </x:c>
      <x:c r="H3480" s="12" t="str">
        <x:v>Campus/portfolio roster; individual building occupancy unverified</x:v>
      </x:c>
      <x:c r="I3480" s="12" t="str">
        <x:v>Mixed business audience</x:v>
      </x:c>
      <x:c r="J3480" s="12" t="str">
        <x:v>Engineering &amp; manufacturing</x:v>
      </x:c>
      <x:c r="K3480" s="2" t="str">
        <x:v>PARTNER-M146</x:v>
      </x:c>
    </x:row>
    <x:row r="3481" ht="46" customHeight="1">
      <x:c r="A3481" s="2" t="str">
        <x:v>TEN-54D308D4C42F</x:v>
      </x:c>
      <x:c r="B3481" s="12" t="str">
        <x:v>Carelon Global Solutions</x:v>
      </x:c>
      <x:c r="C3481" s="12" t="str">
        <x:v>CORP-0565</x:v>
      </x:c>
      <x:c r="D3481" s="12" t="str">
        <x:v>Bengaluru</x:v>
      </x:c>
      <x:c r="E3481" s="12" t="str">
        <x:v>Bagmane Solarium</x:v>
      </x:c>
      <x:c r="F3481" s="12" t="str">
        <x:v>55 inch</x:v>
      </x:c>
      <x:c r="G3481" s="20" t="n">
        <x:v>1</x:v>
      </x:c>
      <x:c r="H3481" s="12" t="str">
        <x:v>Campus/portfolio roster; individual building occupancy unverified</x:v>
      </x:c>
      <x:c r="I3481" s="12" t="str">
        <x:v>Mixed business audience</x:v>
      </x:c>
      <x:c r="J3481" s="12" t="str">
        <x:v>Healthcare &amp; life sciences</x:v>
      </x:c>
      <x:c r="K3481" s="2" t="str">
        <x:v>PARTNER-M146</x:v>
      </x:c>
    </x:row>
    <x:row r="3482" ht="46" customHeight="1">
      <x:c r="A3482" s="2" t="str">
        <x:v>TEN-6C0D20116366</x:v>
      </x:c>
      <x:c r="B3482" s="12" t="str">
        <x:v>Burns &amp; McDonnell</x:v>
      </x:c>
      <x:c r="C3482" s="12" t="str">
        <x:v>CORP-0565</x:v>
      </x:c>
      <x:c r="D3482" s="12" t="str">
        <x:v>Bengaluru</x:v>
      </x:c>
      <x:c r="E3482" s="12" t="str">
        <x:v>Bagmane Solarium</x:v>
      </x:c>
      <x:c r="F3482" s="12" t="str">
        <x:v>55 inch</x:v>
      </x:c>
      <x:c r="G3482" s="20" t="n">
        <x:v>1</x:v>
      </x:c>
      <x:c r="H3482" s="12" t="str">
        <x:v>Campus/portfolio roster; individual building occupancy unverified</x:v>
      </x:c>
      <x:c r="I3482" s="12" t="str">
        <x:v>Mixed business audience</x:v>
      </x:c>
      <x:c r="J3482" s="12" t="str">
        <x:v>Engineering &amp; manufacturing</x:v>
      </x:c>
      <x:c r="K3482" s="2" t="str">
        <x:v>PARTNER-M146</x:v>
      </x:c>
    </x:row>
    <x:row r="3483" ht="46" customHeight="1">
      <x:c r="A3483" s="2" t="str">
        <x:v>TEN-9891CBD98729</x:v>
      </x:c>
      <x:c r="B3483" s="12" t="str">
        <x:v>Northern Trust</x:v>
      </x:c>
      <x:c r="C3483" s="12" t="str">
        <x:v>CORP-0565</x:v>
      </x:c>
      <x:c r="D3483" s="12" t="str">
        <x:v>Bengaluru</x:v>
      </x:c>
      <x:c r="E3483" s="12" t="str">
        <x:v>Bagmane Solarium</x:v>
      </x:c>
      <x:c r="F3483" s="12" t="str">
        <x:v>55 inch</x:v>
      </x:c>
      <x:c r="G3483" s="20" t="n">
        <x:v>1</x:v>
      </x:c>
      <x:c r="H3483" s="12" t="str">
        <x:v>Campus/portfolio roster; individual building occupancy unverified</x:v>
      </x:c>
      <x:c r="I3483" s="12" t="str">
        <x:v>Large enterprise</x:v>
      </x:c>
      <x:c r="J3483" s="12" t="str">
        <x:v>Finance &amp; insurance</x:v>
      </x:c>
      <x:c r="K3483" s="2" t="str">
        <x:v>PARTNER-M146</x:v>
      </x:c>
    </x:row>
    <x:row r="3484" ht="46" customHeight="1">
      <x:c r="A3484" s="2" t="str">
        <x:v>TEN-B2390264A2E8</x:v>
      </x:c>
      <x:c r="B3484" s="12" t="str">
        <x:v>Tekion</x:v>
      </x:c>
      <x:c r="C3484" s="12" t="str">
        <x:v>CORP-0565</x:v>
      </x:c>
      <x:c r="D3484" s="12" t="str">
        <x:v>Bengaluru</x:v>
      </x:c>
      <x:c r="E3484" s="12" t="str">
        <x:v>Bagmane Solarium</x:v>
      </x:c>
      <x:c r="F3484" s="12" t="str">
        <x:v>55 inch</x:v>
      </x:c>
      <x:c r="G3484" s="20" t="n">
        <x:v>1</x:v>
      </x:c>
      <x:c r="H3484" s="12" t="str">
        <x:v>Campus/portfolio roster; individual building occupancy unverified</x:v>
      </x:c>
      <x:c r="I3484" s="12" t="str">
        <x:v>Mixed business audience</x:v>
      </x:c>
      <x:c r="J3484" s="12" t="str">
        <x:v>IT &amp; digital</x:v>
      </x:c>
      <x:c r="K3484" s="2" t="str">
        <x:v>PARTNER-M146</x:v>
      </x:c>
    </x:row>
    <x:row r="3485" ht="46" customHeight="1">
      <x:c r="A3485" s="2" t="str">
        <x:v>TEN-B2D5ADC2EC6B</x:v>
      </x:c>
      <x:c r="B3485" s="12" t="str">
        <x:v>Wesco Digital</x:v>
      </x:c>
      <x:c r="C3485" s="12" t="str">
        <x:v>CORP-0565</x:v>
      </x:c>
      <x:c r="D3485" s="12" t="str">
        <x:v>Bengaluru</x:v>
      </x:c>
      <x:c r="E3485" s="12" t="str">
        <x:v>Bagmane Solarium</x:v>
      </x:c>
      <x:c r="F3485" s="12" t="str">
        <x:v>55 inch</x:v>
      </x:c>
      <x:c r="G3485" s="20" t="n">
        <x:v>1</x:v>
      </x:c>
      <x:c r="H3485" s="12" t="str">
        <x:v>Campus/portfolio roster; individual building occupancy unverified</x:v>
      </x:c>
      <x:c r="I3485" s="12" t="str">
        <x:v>Mixed business audience</x:v>
      </x:c>
      <x:c r="J3485" s="12" t="str">
        <x:v>IT &amp; digital</x:v>
      </x:c>
      <x:c r="K3485" s="2" t="str">
        <x:v>PARTNER-M146</x:v>
      </x:c>
    </x:row>
    <x:row r="3486" ht="46" customHeight="1">
      <x:c r="A3486" s="2" t="str">
        <x:v>TEN-B620B7716796</x:v>
      </x:c>
      <x:c r="B3486" s="12" t="str">
        <x:v>Zebra Technologies</x:v>
      </x:c>
      <x:c r="C3486" s="12" t="str">
        <x:v>CORP-0565</x:v>
      </x:c>
      <x:c r="D3486" s="12" t="str">
        <x:v>Bengaluru</x:v>
      </x:c>
      <x:c r="E3486" s="12" t="str">
        <x:v>Bagmane Solarium</x:v>
      </x:c>
      <x:c r="F3486" s="12" t="str">
        <x:v>55 inch</x:v>
      </x:c>
      <x:c r="G3486" s="20" t="n">
        <x:v>1</x:v>
      </x:c>
      <x:c r="H3486" s="12" t="str">
        <x:v>Campus/portfolio roster; individual building occupancy unverified</x:v>
      </x:c>
      <x:c r="I3486" s="12" t="str">
        <x:v>Mixed business audience</x:v>
      </x:c>
      <x:c r="J3486" s="12" t="str">
        <x:v>Engineering &amp; manufacturing</x:v>
      </x:c>
      <x:c r="K3486" s="2" t="str">
        <x:v>PARTNER-M146</x:v>
      </x:c>
    </x:row>
    <x:row r="3487" ht="46" customHeight="1">
      <x:c r="A3487" s="2" t="str">
        <x:v>TEN-BC3067AC45DF</x:v>
      </x:c>
      <x:c r="B3487" s="12" t="str">
        <x:v>Schneider Electric</x:v>
      </x:c>
      <x:c r="C3487" s="12" t="str">
        <x:v>CORP-0565</x:v>
      </x:c>
      <x:c r="D3487" s="12" t="str">
        <x:v>Bengaluru</x:v>
      </x:c>
      <x:c r="E3487" s="12" t="str">
        <x:v>Bagmane Solarium</x:v>
      </x:c>
      <x:c r="F3487" s="12" t="str">
        <x:v>55 inch</x:v>
      </x:c>
      <x:c r="G3487" s="20" t="n">
        <x:v>1</x:v>
      </x:c>
      <x:c r="H3487" s="12" t="str">
        <x:v>Campus/portfolio roster; individual building occupancy unverified</x:v>
      </x:c>
      <x:c r="I3487" s="12" t="str">
        <x:v>Large enterprise</x:v>
      </x:c>
      <x:c r="J3487" s="12" t="str">
        <x:v>Engineering &amp; manufacturing</x:v>
      </x:c>
      <x:c r="K3487" s="2" t="str">
        <x:v>PARTNER-M146</x:v>
      </x:c>
    </x:row>
    <x:row r="3488" ht="46" customHeight="1">
      <x:c r="A3488" s="2" t="str">
        <x:v>TEN-11C27A52B3EC</x:v>
      </x:c>
      <x:c r="B3488" s="12" t="str">
        <x:v>Resourcespro</x:v>
      </x:c>
      <x:c r="C3488" s="12" t="str">
        <x:v>CORP-0566</x:v>
      </x:c>
      <x:c r="D3488" s="12" t="str">
        <x:v>Bengaluru</x:v>
      </x:c>
      <x:c r="E3488" s="12" t="str">
        <x:v>Bagmane Solarium</x:v>
      </x:c>
      <x:c r="F3488" s="12" t="str">
        <x:v>55 inch</x:v>
      </x:c>
      <x:c r="G3488" s="20" t="n">
        <x:v>1</x:v>
      </x:c>
      <x:c r="H3488" s="12" t="str">
        <x:v>Campus/portfolio roster; individual building occupancy unverified</x:v>
      </x:c>
      <x:c r="I3488" s="12" t="str">
        <x:v>Small-scale prospects</x:v>
      </x:c>
      <x:c r="J3488" s="12" t="str">
        <x:v>Professional services</x:v>
      </x:c>
      <x:c r="K3488" s="2" t="str">
        <x:v>PARTNER-M146</x:v>
      </x:c>
    </x:row>
    <x:row r="3489" ht="46" customHeight="1">
      <x:c r="A3489" s="2" t="str">
        <x:v>TEN-32A46F0F2FE1</x:v>
      </x:c>
      <x:c r="B3489" s="12" t="str">
        <x:v>Shell India</x:v>
      </x:c>
      <x:c r="C3489" s="12" t="str">
        <x:v>CORP-0566</x:v>
      </x:c>
      <x:c r="D3489" s="12" t="str">
        <x:v>Bengaluru</x:v>
      </x:c>
      <x:c r="E3489" s="12" t="str">
        <x:v>Bagmane Solarium</x:v>
      </x:c>
      <x:c r="F3489" s="12" t="str">
        <x:v>55 inch</x:v>
      </x:c>
      <x:c r="G3489" s="20" t="n">
        <x:v>1</x:v>
      </x:c>
      <x:c r="H3489" s="12" t="str">
        <x:v>Campus/portfolio roster; individual building occupancy unverified</x:v>
      </x:c>
      <x:c r="I3489" s="12" t="str">
        <x:v>Mixed business audience</x:v>
      </x:c>
      <x:c r="J3489" s="12" t="str">
        <x:v>Engineering &amp; manufacturing</x:v>
      </x:c>
      <x:c r="K3489" s="2" t="str">
        <x:v>PARTNER-M146</x:v>
      </x:c>
    </x:row>
    <x:row r="3490" ht="46" customHeight="1">
      <x:c r="A3490" s="2" t="str">
        <x:v>TEN-54D308D4C42F</x:v>
      </x:c>
      <x:c r="B3490" s="12" t="str">
        <x:v>Carelon Global Solutions</x:v>
      </x:c>
      <x:c r="C3490" s="12" t="str">
        <x:v>CORP-0566</x:v>
      </x:c>
      <x:c r="D3490" s="12" t="str">
        <x:v>Bengaluru</x:v>
      </x:c>
      <x:c r="E3490" s="12" t="str">
        <x:v>Bagmane Solarium</x:v>
      </x:c>
      <x:c r="F3490" s="12" t="str">
        <x:v>55 inch</x:v>
      </x:c>
      <x:c r="G3490" s="20" t="n">
        <x:v>1</x:v>
      </x:c>
      <x:c r="H3490" s="12" t="str">
        <x:v>Campus/portfolio roster; individual building occupancy unverified</x:v>
      </x:c>
      <x:c r="I3490" s="12" t="str">
        <x:v>Mixed business audience</x:v>
      </x:c>
      <x:c r="J3490" s="12" t="str">
        <x:v>Healthcare &amp; life sciences</x:v>
      </x:c>
      <x:c r="K3490" s="2" t="str">
        <x:v>PARTNER-M146</x:v>
      </x:c>
    </x:row>
    <x:row r="3491" ht="46" customHeight="1">
      <x:c r="A3491" s="2" t="str">
        <x:v>TEN-6C0D20116366</x:v>
      </x:c>
      <x:c r="B3491" s="12" t="str">
        <x:v>Burns &amp; McDonnell</x:v>
      </x:c>
      <x:c r="C3491" s="12" t="str">
        <x:v>CORP-0566</x:v>
      </x:c>
      <x:c r="D3491" s="12" t="str">
        <x:v>Bengaluru</x:v>
      </x:c>
      <x:c r="E3491" s="12" t="str">
        <x:v>Bagmane Solarium</x:v>
      </x:c>
      <x:c r="F3491" s="12" t="str">
        <x:v>55 inch</x:v>
      </x:c>
      <x:c r="G3491" s="20" t="n">
        <x:v>1</x:v>
      </x:c>
      <x:c r="H3491" s="12" t="str">
        <x:v>Campus/portfolio roster; individual building occupancy unverified</x:v>
      </x:c>
      <x:c r="I3491" s="12" t="str">
        <x:v>Mixed business audience</x:v>
      </x:c>
      <x:c r="J3491" s="12" t="str">
        <x:v>Engineering &amp; manufacturing</x:v>
      </x:c>
      <x:c r="K3491" s="2" t="str">
        <x:v>PARTNER-M146</x:v>
      </x:c>
    </x:row>
    <x:row r="3492" ht="46" customHeight="1">
      <x:c r="A3492" s="2" t="str">
        <x:v>TEN-9891CBD98729</x:v>
      </x:c>
      <x:c r="B3492" s="12" t="str">
        <x:v>Northern Trust</x:v>
      </x:c>
      <x:c r="C3492" s="12" t="str">
        <x:v>CORP-0566</x:v>
      </x:c>
      <x:c r="D3492" s="12" t="str">
        <x:v>Bengaluru</x:v>
      </x:c>
      <x:c r="E3492" s="12" t="str">
        <x:v>Bagmane Solarium</x:v>
      </x:c>
      <x:c r="F3492" s="12" t="str">
        <x:v>55 inch</x:v>
      </x:c>
      <x:c r="G3492" s="20" t="n">
        <x:v>1</x:v>
      </x:c>
      <x:c r="H3492" s="12" t="str">
        <x:v>Campus/portfolio roster; individual building occupancy unverified</x:v>
      </x:c>
      <x:c r="I3492" s="12" t="str">
        <x:v>Large enterprise</x:v>
      </x:c>
      <x:c r="J3492" s="12" t="str">
        <x:v>Finance &amp; insurance</x:v>
      </x:c>
      <x:c r="K3492" s="2" t="str">
        <x:v>PARTNER-M146</x:v>
      </x:c>
    </x:row>
    <x:row r="3493" ht="46" customHeight="1">
      <x:c r="A3493" s="2" t="str">
        <x:v>TEN-B2390264A2E8</x:v>
      </x:c>
      <x:c r="B3493" s="12" t="str">
        <x:v>Tekion</x:v>
      </x:c>
      <x:c r="C3493" s="12" t="str">
        <x:v>CORP-0566</x:v>
      </x:c>
      <x:c r="D3493" s="12" t="str">
        <x:v>Bengaluru</x:v>
      </x:c>
      <x:c r="E3493" s="12" t="str">
        <x:v>Bagmane Solarium</x:v>
      </x:c>
      <x:c r="F3493" s="12" t="str">
        <x:v>55 inch</x:v>
      </x:c>
      <x:c r="G3493" s="20" t="n">
        <x:v>1</x:v>
      </x:c>
      <x:c r="H3493" s="12" t="str">
        <x:v>Campus/portfolio roster; individual building occupancy unverified</x:v>
      </x:c>
      <x:c r="I3493" s="12" t="str">
        <x:v>Mixed business audience</x:v>
      </x:c>
      <x:c r="J3493" s="12" t="str">
        <x:v>IT &amp; digital</x:v>
      </x:c>
      <x:c r="K3493" s="2" t="str">
        <x:v>PARTNER-M146</x:v>
      </x:c>
    </x:row>
    <x:row r="3494" ht="46" customHeight="1">
      <x:c r="A3494" s="2" t="str">
        <x:v>TEN-B2D5ADC2EC6B</x:v>
      </x:c>
      <x:c r="B3494" s="12" t="str">
        <x:v>Wesco Digital</x:v>
      </x:c>
      <x:c r="C3494" s="12" t="str">
        <x:v>CORP-0566</x:v>
      </x:c>
      <x:c r="D3494" s="12" t="str">
        <x:v>Bengaluru</x:v>
      </x:c>
      <x:c r="E3494" s="12" t="str">
        <x:v>Bagmane Solarium</x:v>
      </x:c>
      <x:c r="F3494" s="12" t="str">
        <x:v>55 inch</x:v>
      </x:c>
      <x:c r="G3494" s="20" t="n">
        <x:v>1</x:v>
      </x:c>
      <x:c r="H3494" s="12" t="str">
        <x:v>Campus/portfolio roster; individual building occupancy unverified</x:v>
      </x:c>
      <x:c r="I3494" s="12" t="str">
        <x:v>Mixed business audience</x:v>
      </x:c>
      <x:c r="J3494" s="12" t="str">
        <x:v>IT &amp; digital</x:v>
      </x:c>
      <x:c r="K3494" s="2" t="str">
        <x:v>PARTNER-M146</x:v>
      </x:c>
    </x:row>
    <x:row r="3495" ht="46" customHeight="1">
      <x:c r="A3495" s="2" t="str">
        <x:v>TEN-B620B7716796</x:v>
      </x:c>
      <x:c r="B3495" s="12" t="str">
        <x:v>Zebra Technologies</x:v>
      </x:c>
      <x:c r="C3495" s="12" t="str">
        <x:v>CORP-0566</x:v>
      </x:c>
      <x:c r="D3495" s="12" t="str">
        <x:v>Bengaluru</x:v>
      </x:c>
      <x:c r="E3495" s="12" t="str">
        <x:v>Bagmane Solarium</x:v>
      </x:c>
      <x:c r="F3495" s="12" t="str">
        <x:v>55 inch</x:v>
      </x:c>
      <x:c r="G3495" s="20" t="n">
        <x:v>1</x:v>
      </x:c>
      <x:c r="H3495" s="12" t="str">
        <x:v>Campus/portfolio roster; individual building occupancy unverified</x:v>
      </x:c>
      <x:c r="I3495" s="12" t="str">
        <x:v>Mixed business audience</x:v>
      </x:c>
      <x:c r="J3495" s="12" t="str">
        <x:v>Engineering &amp; manufacturing</x:v>
      </x:c>
      <x:c r="K3495" s="2" t="str">
        <x:v>PARTNER-M146</x:v>
      </x:c>
    </x:row>
    <x:row r="3496" ht="46" customHeight="1">
      <x:c r="A3496" s="2" t="str">
        <x:v>TEN-BC3067AC45DF</x:v>
      </x:c>
      <x:c r="B3496" s="12" t="str">
        <x:v>Schneider Electric</x:v>
      </x:c>
      <x:c r="C3496" s="12" t="str">
        <x:v>CORP-0566</x:v>
      </x:c>
      <x:c r="D3496" s="12" t="str">
        <x:v>Bengaluru</x:v>
      </x:c>
      <x:c r="E3496" s="12" t="str">
        <x:v>Bagmane Solarium</x:v>
      </x:c>
      <x:c r="F3496" s="12" t="str">
        <x:v>55 inch</x:v>
      </x:c>
      <x:c r="G3496" s="20" t="n">
        <x:v>1</x:v>
      </x:c>
      <x:c r="H3496" s="12" t="str">
        <x:v>Campus/portfolio roster; individual building occupancy unverified</x:v>
      </x:c>
      <x:c r="I3496" s="12" t="str">
        <x:v>Large enterprise</x:v>
      </x:c>
      <x:c r="J3496" s="12" t="str">
        <x:v>Engineering &amp; manufacturing</x:v>
      </x:c>
      <x:c r="K3496" s="2" t="str">
        <x:v>PARTNER-M146</x:v>
      </x:c>
    </x:row>
    <x:row r="3497" ht="46" customHeight="1">
      <x:c r="A3497" s="2" t="str">
        <x:v>TEN-11C27A52B3EC</x:v>
      </x:c>
      <x:c r="B3497" s="12" t="str">
        <x:v>Resourcespro</x:v>
      </x:c>
      <x:c r="C3497" s="12" t="str">
        <x:v>CORP-0567</x:v>
      </x:c>
      <x:c r="D3497" s="12" t="str">
        <x:v>Bengaluru</x:v>
      </x:c>
      <x:c r="E3497" s="12" t="str">
        <x:v>Bagmane Solarium</x:v>
      </x:c>
      <x:c r="F3497" s="12" t="str">
        <x:v>55 inch</x:v>
      </x:c>
      <x:c r="G3497" s="20" t="n">
        <x:v>1</x:v>
      </x:c>
      <x:c r="H3497" s="12" t="str">
        <x:v>Campus/portfolio roster; individual building occupancy unverified</x:v>
      </x:c>
      <x:c r="I3497" s="12" t="str">
        <x:v>Small-scale prospects</x:v>
      </x:c>
      <x:c r="J3497" s="12" t="str">
        <x:v>Professional services</x:v>
      </x:c>
      <x:c r="K3497" s="2" t="str">
        <x:v>PARTNER-M146</x:v>
      </x:c>
    </x:row>
    <x:row r="3498" ht="46" customHeight="1">
      <x:c r="A3498" s="2" t="str">
        <x:v>TEN-32A46F0F2FE1</x:v>
      </x:c>
      <x:c r="B3498" s="12" t="str">
        <x:v>Shell India</x:v>
      </x:c>
      <x:c r="C3498" s="12" t="str">
        <x:v>CORP-0567</x:v>
      </x:c>
      <x:c r="D3498" s="12" t="str">
        <x:v>Bengaluru</x:v>
      </x:c>
      <x:c r="E3498" s="12" t="str">
        <x:v>Bagmane Solarium</x:v>
      </x:c>
      <x:c r="F3498" s="12" t="str">
        <x:v>55 inch</x:v>
      </x:c>
      <x:c r="G3498" s="20" t="n">
        <x:v>1</x:v>
      </x:c>
      <x:c r="H3498" s="12" t="str">
        <x:v>Campus/portfolio roster; individual building occupancy unverified</x:v>
      </x:c>
      <x:c r="I3498" s="12" t="str">
        <x:v>Mixed business audience</x:v>
      </x:c>
      <x:c r="J3498" s="12" t="str">
        <x:v>Engineering &amp; manufacturing</x:v>
      </x:c>
      <x:c r="K3498" s="2" t="str">
        <x:v>PARTNER-M146</x:v>
      </x:c>
    </x:row>
    <x:row r="3499" ht="46" customHeight="1">
      <x:c r="A3499" s="2" t="str">
        <x:v>TEN-54D308D4C42F</x:v>
      </x:c>
      <x:c r="B3499" s="12" t="str">
        <x:v>Carelon Global Solutions</x:v>
      </x:c>
      <x:c r="C3499" s="12" t="str">
        <x:v>CORP-0567</x:v>
      </x:c>
      <x:c r="D3499" s="12" t="str">
        <x:v>Bengaluru</x:v>
      </x:c>
      <x:c r="E3499" s="12" t="str">
        <x:v>Bagmane Solarium</x:v>
      </x:c>
      <x:c r="F3499" s="12" t="str">
        <x:v>55 inch</x:v>
      </x:c>
      <x:c r="G3499" s="20" t="n">
        <x:v>1</x:v>
      </x:c>
      <x:c r="H3499" s="12" t="str">
        <x:v>Campus/portfolio roster; individual building occupancy unverified</x:v>
      </x:c>
      <x:c r="I3499" s="12" t="str">
        <x:v>Mixed business audience</x:v>
      </x:c>
      <x:c r="J3499" s="12" t="str">
        <x:v>Healthcare &amp; life sciences</x:v>
      </x:c>
      <x:c r="K3499" s="2" t="str">
        <x:v>PARTNER-M146</x:v>
      </x:c>
    </x:row>
    <x:row r="3500" ht="46" customHeight="1">
      <x:c r="A3500" s="2" t="str">
        <x:v>TEN-6C0D20116366</x:v>
      </x:c>
      <x:c r="B3500" s="12" t="str">
        <x:v>Burns &amp; McDonnell</x:v>
      </x:c>
      <x:c r="C3500" s="12" t="str">
        <x:v>CORP-0567</x:v>
      </x:c>
      <x:c r="D3500" s="12" t="str">
        <x:v>Bengaluru</x:v>
      </x:c>
      <x:c r="E3500" s="12" t="str">
        <x:v>Bagmane Solarium</x:v>
      </x:c>
      <x:c r="F3500" s="12" t="str">
        <x:v>55 inch</x:v>
      </x:c>
      <x:c r="G3500" s="20" t="n">
        <x:v>1</x:v>
      </x:c>
      <x:c r="H3500" s="12" t="str">
        <x:v>Campus/portfolio roster; individual building occupancy unverified</x:v>
      </x:c>
      <x:c r="I3500" s="12" t="str">
        <x:v>Mixed business audience</x:v>
      </x:c>
      <x:c r="J3500" s="12" t="str">
        <x:v>Engineering &amp; manufacturing</x:v>
      </x:c>
      <x:c r="K3500" s="2" t="str">
        <x:v>PARTNER-M146</x:v>
      </x:c>
    </x:row>
    <x:row r="3501" ht="46" customHeight="1">
      <x:c r="A3501" s="2" t="str">
        <x:v>TEN-9891CBD98729</x:v>
      </x:c>
      <x:c r="B3501" s="12" t="str">
        <x:v>Northern Trust</x:v>
      </x:c>
      <x:c r="C3501" s="12" t="str">
        <x:v>CORP-0567</x:v>
      </x:c>
      <x:c r="D3501" s="12" t="str">
        <x:v>Bengaluru</x:v>
      </x:c>
      <x:c r="E3501" s="12" t="str">
        <x:v>Bagmane Solarium</x:v>
      </x:c>
      <x:c r="F3501" s="12" t="str">
        <x:v>55 inch</x:v>
      </x:c>
      <x:c r="G3501" s="20" t="n">
        <x:v>1</x:v>
      </x:c>
      <x:c r="H3501" s="12" t="str">
        <x:v>Campus/portfolio roster; individual building occupancy unverified</x:v>
      </x:c>
      <x:c r="I3501" s="12" t="str">
        <x:v>Large enterprise</x:v>
      </x:c>
      <x:c r="J3501" s="12" t="str">
        <x:v>Finance &amp; insurance</x:v>
      </x:c>
      <x:c r="K3501" s="2" t="str">
        <x:v>PARTNER-M146</x:v>
      </x:c>
    </x:row>
    <x:row r="3502" ht="46" customHeight="1">
      <x:c r="A3502" s="2" t="str">
        <x:v>TEN-B2390264A2E8</x:v>
      </x:c>
      <x:c r="B3502" s="12" t="str">
        <x:v>Tekion</x:v>
      </x:c>
      <x:c r="C3502" s="12" t="str">
        <x:v>CORP-0567</x:v>
      </x:c>
      <x:c r="D3502" s="12" t="str">
        <x:v>Bengaluru</x:v>
      </x:c>
      <x:c r="E3502" s="12" t="str">
        <x:v>Bagmane Solarium</x:v>
      </x:c>
      <x:c r="F3502" s="12" t="str">
        <x:v>55 inch</x:v>
      </x:c>
      <x:c r="G3502" s="20" t="n">
        <x:v>1</x:v>
      </x:c>
      <x:c r="H3502" s="12" t="str">
        <x:v>Campus/portfolio roster; individual building occupancy unverified</x:v>
      </x:c>
      <x:c r="I3502" s="12" t="str">
        <x:v>Mixed business audience</x:v>
      </x:c>
      <x:c r="J3502" s="12" t="str">
        <x:v>IT &amp; digital</x:v>
      </x:c>
      <x:c r="K3502" s="2" t="str">
        <x:v>PARTNER-M146</x:v>
      </x:c>
    </x:row>
    <x:row r="3503" ht="46" customHeight="1">
      <x:c r="A3503" s="2" t="str">
        <x:v>TEN-B2D5ADC2EC6B</x:v>
      </x:c>
      <x:c r="B3503" s="12" t="str">
        <x:v>Wesco Digital</x:v>
      </x:c>
      <x:c r="C3503" s="12" t="str">
        <x:v>CORP-0567</x:v>
      </x:c>
      <x:c r="D3503" s="12" t="str">
        <x:v>Bengaluru</x:v>
      </x:c>
      <x:c r="E3503" s="12" t="str">
        <x:v>Bagmane Solarium</x:v>
      </x:c>
      <x:c r="F3503" s="12" t="str">
        <x:v>55 inch</x:v>
      </x:c>
      <x:c r="G3503" s="20" t="n">
        <x:v>1</x:v>
      </x:c>
      <x:c r="H3503" s="12" t="str">
        <x:v>Campus/portfolio roster; individual building occupancy unverified</x:v>
      </x:c>
      <x:c r="I3503" s="12" t="str">
        <x:v>Mixed business audience</x:v>
      </x:c>
      <x:c r="J3503" s="12" t="str">
        <x:v>IT &amp; digital</x:v>
      </x:c>
      <x:c r="K3503" s="2" t="str">
        <x:v>PARTNER-M146</x:v>
      </x:c>
    </x:row>
    <x:row r="3504" ht="46" customHeight="1">
      <x:c r="A3504" s="2" t="str">
        <x:v>TEN-B620B7716796</x:v>
      </x:c>
      <x:c r="B3504" s="12" t="str">
        <x:v>Zebra Technologies</x:v>
      </x:c>
      <x:c r="C3504" s="12" t="str">
        <x:v>CORP-0567</x:v>
      </x:c>
      <x:c r="D3504" s="12" t="str">
        <x:v>Bengaluru</x:v>
      </x:c>
      <x:c r="E3504" s="12" t="str">
        <x:v>Bagmane Solarium</x:v>
      </x:c>
      <x:c r="F3504" s="12" t="str">
        <x:v>55 inch</x:v>
      </x:c>
      <x:c r="G3504" s="20" t="n">
        <x:v>1</x:v>
      </x:c>
      <x:c r="H3504" s="12" t="str">
        <x:v>Campus/portfolio roster; individual building occupancy unverified</x:v>
      </x:c>
      <x:c r="I3504" s="12" t="str">
        <x:v>Mixed business audience</x:v>
      </x:c>
      <x:c r="J3504" s="12" t="str">
        <x:v>Engineering &amp; manufacturing</x:v>
      </x:c>
      <x:c r="K3504" s="2" t="str">
        <x:v>PARTNER-M146</x:v>
      </x:c>
    </x:row>
    <x:row r="3505" ht="46" customHeight="1">
      <x:c r="A3505" s="2" t="str">
        <x:v>TEN-BC3067AC45DF</x:v>
      </x:c>
      <x:c r="B3505" s="12" t="str">
        <x:v>Schneider Electric</x:v>
      </x:c>
      <x:c r="C3505" s="12" t="str">
        <x:v>CORP-0567</x:v>
      </x:c>
      <x:c r="D3505" s="12" t="str">
        <x:v>Bengaluru</x:v>
      </x:c>
      <x:c r="E3505" s="12" t="str">
        <x:v>Bagmane Solarium</x:v>
      </x:c>
      <x:c r="F3505" s="12" t="str">
        <x:v>55 inch</x:v>
      </x:c>
      <x:c r="G3505" s="20" t="n">
        <x:v>1</x:v>
      </x:c>
      <x:c r="H3505" s="12" t="str">
        <x:v>Campus/portfolio roster; individual building occupancy unverified</x:v>
      </x:c>
      <x:c r="I3505" s="12" t="str">
        <x:v>Large enterprise</x:v>
      </x:c>
      <x:c r="J3505" s="12" t="str">
        <x:v>Engineering &amp; manufacturing</x:v>
      </x:c>
      <x:c r="K3505" s="2" t="str">
        <x:v>PARTNER-M146</x:v>
      </x:c>
    </x:row>
    <x:row r="3506" ht="46" customHeight="1">
      <x:c r="A3506" s="2" t="str">
        <x:v>TEN-11C27A52B3EC</x:v>
      </x:c>
      <x:c r="B3506" s="12" t="str">
        <x:v>Resourcespro</x:v>
      </x:c>
      <x:c r="C3506" s="12" t="str">
        <x:v>CORP-0568</x:v>
      </x:c>
      <x:c r="D3506" s="12" t="str">
        <x:v>Bengaluru</x:v>
      </x:c>
      <x:c r="E3506" s="12" t="str">
        <x:v>Bagmane Solarium</x:v>
      </x:c>
      <x:c r="F3506" s="12" t="str">
        <x:v>55 inch</x:v>
      </x:c>
      <x:c r="G3506" s="20" t="n">
        <x:v>1</x:v>
      </x:c>
      <x:c r="H3506" s="12" t="str">
        <x:v>Campus/portfolio roster; individual building occupancy unverified</x:v>
      </x:c>
      <x:c r="I3506" s="12" t="str">
        <x:v>Small-scale prospects</x:v>
      </x:c>
      <x:c r="J3506" s="12" t="str">
        <x:v>Professional services</x:v>
      </x:c>
      <x:c r="K3506" s="2" t="str">
        <x:v>PARTNER-M146</x:v>
      </x:c>
    </x:row>
    <x:row r="3507" ht="46" customHeight="1">
      <x:c r="A3507" s="2" t="str">
        <x:v>TEN-32A46F0F2FE1</x:v>
      </x:c>
      <x:c r="B3507" s="12" t="str">
        <x:v>Shell India</x:v>
      </x:c>
      <x:c r="C3507" s="12" t="str">
        <x:v>CORP-0568</x:v>
      </x:c>
      <x:c r="D3507" s="12" t="str">
        <x:v>Bengaluru</x:v>
      </x:c>
      <x:c r="E3507" s="12" t="str">
        <x:v>Bagmane Solarium</x:v>
      </x:c>
      <x:c r="F3507" s="12" t="str">
        <x:v>55 inch</x:v>
      </x:c>
      <x:c r="G3507" s="20" t="n">
        <x:v>1</x:v>
      </x:c>
      <x:c r="H3507" s="12" t="str">
        <x:v>Campus/portfolio roster; individual building occupancy unverified</x:v>
      </x:c>
      <x:c r="I3507" s="12" t="str">
        <x:v>Mixed business audience</x:v>
      </x:c>
      <x:c r="J3507" s="12" t="str">
        <x:v>Engineering &amp; manufacturing</x:v>
      </x:c>
      <x:c r="K3507" s="2" t="str">
        <x:v>PARTNER-M146</x:v>
      </x:c>
    </x:row>
    <x:row r="3508" ht="46" customHeight="1">
      <x:c r="A3508" s="2" t="str">
        <x:v>TEN-54D308D4C42F</x:v>
      </x:c>
      <x:c r="B3508" s="12" t="str">
        <x:v>Carelon Global Solutions</x:v>
      </x:c>
      <x:c r="C3508" s="12" t="str">
        <x:v>CORP-0568</x:v>
      </x:c>
      <x:c r="D3508" s="12" t="str">
        <x:v>Bengaluru</x:v>
      </x:c>
      <x:c r="E3508" s="12" t="str">
        <x:v>Bagmane Solarium</x:v>
      </x:c>
      <x:c r="F3508" s="12" t="str">
        <x:v>55 inch</x:v>
      </x:c>
      <x:c r="G3508" s="20" t="n">
        <x:v>1</x:v>
      </x:c>
      <x:c r="H3508" s="12" t="str">
        <x:v>Campus/portfolio roster; individual building occupancy unverified</x:v>
      </x:c>
      <x:c r="I3508" s="12" t="str">
        <x:v>Mixed business audience</x:v>
      </x:c>
      <x:c r="J3508" s="12" t="str">
        <x:v>Healthcare &amp; life sciences</x:v>
      </x:c>
      <x:c r="K3508" s="2" t="str">
        <x:v>PARTNER-M146</x:v>
      </x:c>
    </x:row>
    <x:row r="3509" ht="46" customHeight="1">
      <x:c r="A3509" s="2" t="str">
        <x:v>TEN-6C0D20116366</x:v>
      </x:c>
      <x:c r="B3509" s="12" t="str">
        <x:v>Burns &amp; McDonnell</x:v>
      </x:c>
      <x:c r="C3509" s="12" t="str">
        <x:v>CORP-0568</x:v>
      </x:c>
      <x:c r="D3509" s="12" t="str">
        <x:v>Bengaluru</x:v>
      </x:c>
      <x:c r="E3509" s="12" t="str">
        <x:v>Bagmane Solarium</x:v>
      </x:c>
      <x:c r="F3509" s="12" t="str">
        <x:v>55 inch</x:v>
      </x:c>
      <x:c r="G3509" s="20" t="n">
        <x:v>1</x:v>
      </x:c>
      <x:c r="H3509" s="12" t="str">
        <x:v>Campus/portfolio roster; individual building occupancy unverified</x:v>
      </x:c>
      <x:c r="I3509" s="12" t="str">
        <x:v>Mixed business audience</x:v>
      </x:c>
      <x:c r="J3509" s="12" t="str">
        <x:v>Engineering &amp; manufacturing</x:v>
      </x:c>
      <x:c r="K3509" s="2" t="str">
        <x:v>PARTNER-M146</x:v>
      </x:c>
    </x:row>
    <x:row r="3510" ht="46" customHeight="1">
      <x:c r="A3510" s="2" t="str">
        <x:v>TEN-9891CBD98729</x:v>
      </x:c>
      <x:c r="B3510" s="12" t="str">
        <x:v>Northern Trust</x:v>
      </x:c>
      <x:c r="C3510" s="12" t="str">
        <x:v>CORP-0568</x:v>
      </x:c>
      <x:c r="D3510" s="12" t="str">
        <x:v>Bengaluru</x:v>
      </x:c>
      <x:c r="E3510" s="12" t="str">
        <x:v>Bagmane Solarium</x:v>
      </x:c>
      <x:c r="F3510" s="12" t="str">
        <x:v>55 inch</x:v>
      </x:c>
      <x:c r="G3510" s="20" t="n">
        <x:v>1</x:v>
      </x:c>
      <x:c r="H3510" s="12" t="str">
        <x:v>Campus/portfolio roster; individual building occupancy unverified</x:v>
      </x:c>
      <x:c r="I3510" s="12" t="str">
        <x:v>Large enterprise</x:v>
      </x:c>
      <x:c r="J3510" s="12" t="str">
        <x:v>Finance &amp; insurance</x:v>
      </x:c>
      <x:c r="K3510" s="2" t="str">
        <x:v>PARTNER-M146</x:v>
      </x:c>
    </x:row>
    <x:row r="3511" ht="46" customHeight="1">
      <x:c r="A3511" s="2" t="str">
        <x:v>TEN-B2390264A2E8</x:v>
      </x:c>
      <x:c r="B3511" s="12" t="str">
        <x:v>Tekion</x:v>
      </x:c>
      <x:c r="C3511" s="12" t="str">
        <x:v>CORP-0568</x:v>
      </x:c>
      <x:c r="D3511" s="12" t="str">
        <x:v>Bengaluru</x:v>
      </x:c>
      <x:c r="E3511" s="12" t="str">
        <x:v>Bagmane Solarium</x:v>
      </x:c>
      <x:c r="F3511" s="12" t="str">
        <x:v>55 inch</x:v>
      </x:c>
      <x:c r="G3511" s="20" t="n">
        <x:v>1</x:v>
      </x:c>
      <x:c r="H3511" s="12" t="str">
        <x:v>Campus/portfolio roster; individual building occupancy unverified</x:v>
      </x:c>
      <x:c r="I3511" s="12" t="str">
        <x:v>Mixed business audience</x:v>
      </x:c>
      <x:c r="J3511" s="12" t="str">
        <x:v>IT &amp; digital</x:v>
      </x:c>
      <x:c r="K3511" s="2" t="str">
        <x:v>PARTNER-M146</x:v>
      </x:c>
    </x:row>
    <x:row r="3512" ht="46" customHeight="1">
      <x:c r="A3512" s="2" t="str">
        <x:v>TEN-B2D5ADC2EC6B</x:v>
      </x:c>
      <x:c r="B3512" s="12" t="str">
        <x:v>Wesco Digital</x:v>
      </x:c>
      <x:c r="C3512" s="12" t="str">
        <x:v>CORP-0568</x:v>
      </x:c>
      <x:c r="D3512" s="12" t="str">
        <x:v>Bengaluru</x:v>
      </x:c>
      <x:c r="E3512" s="12" t="str">
        <x:v>Bagmane Solarium</x:v>
      </x:c>
      <x:c r="F3512" s="12" t="str">
        <x:v>55 inch</x:v>
      </x:c>
      <x:c r="G3512" s="20" t="n">
        <x:v>1</x:v>
      </x:c>
      <x:c r="H3512" s="12" t="str">
        <x:v>Campus/portfolio roster; individual building occupancy unverified</x:v>
      </x:c>
      <x:c r="I3512" s="12" t="str">
        <x:v>Mixed business audience</x:v>
      </x:c>
      <x:c r="J3512" s="12" t="str">
        <x:v>IT &amp; digital</x:v>
      </x:c>
      <x:c r="K3512" s="2" t="str">
        <x:v>PARTNER-M146</x:v>
      </x:c>
    </x:row>
    <x:row r="3513" ht="46" customHeight="1">
      <x:c r="A3513" s="2" t="str">
        <x:v>TEN-B620B7716796</x:v>
      </x:c>
      <x:c r="B3513" s="12" t="str">
        <x:v>Zebra Technologies</x:v>
      </x:c>
      <x:c r="C3513" s="12" t="str">
        <x:v>CORP-0568</x:v>
      </x:c>
      <x:c r="D3513" s="12" t="str">
        <x:v>Bengaluru</x:v>
      </x:c>
      <x:c r="E3513" s="12" t="str">
        <x:v>Bagmane Solarium</x:v>
      </x:c>
      <x:c r="F3513" s="12" t="str">
        <x:v>55 inch</x:v>
      </x:c>
      <x:c r="G3513" s="20" t="n">
        <x:v>1</x:v>
      </x:c>
      <x:c r="H3513" s="12" t="str">
        <x:v>Campus/portfolio roster; individual building occupancy unverified</x:v>
      </x:c>
      <x:c r="I3513" s="12" t="str">
        <x:v>Mixed business audience</x:v>
      </x:c>
      <x:c r="J3513" s="12" t="str">
        <x:v>Engineering &amp; manufacturing</x:v>
      </x:c>
      <x:c r="K3513" s="2" t="str">
        <x:v>PARTNER-M146</x:v>
      </x:c>
    </x:row>
    <x:row r="3514" ht="46" customHeight="1">
      <x:c r="A3514" s="2" t="str">
        <x:v>TEN-BC3067AC45DF</x:v>
      </x:c>
      <x:c r="B3514" s="12" t="str">
        <x:v>Schneider Electric</x:v>
      </x:c>
      <x:c r="C3514" s="12" t="str">
        <x:v>CORP-0568</x:v>
      </x:c>
      <x:c r="D3514" s="12" t="str">
        <x:v>Bengaluru</x:v>
      </x:c>
      <x:c r="E3514" s="12" t="str">
        <x:v>Bagmane Solarium</x:v>
      </x:c>
      <x:c r="F3514" s="12" t="str">
        <x:v>55 inch</x:v>
      </x:c>
      <x:c r="G3514" s="20" t="n">
        <x:v>1</x:v>
      </x:c>
      <x:c r="H3514" s="12" t="str">
        <x:v>Campus/portfolio roster; individual building occupancy unverified</x:v>
      </x:c>
      <x:c r="I3514" s="12" t="str">
        <x:v>Large enterprise</x:v>
      </x:c>
      <x:c r="J3514" s="12" t="str">
        <x:v>Engineering &amp; manufacturing</x:v>
      </x:c>
      <x:c r="K3514" s="2" t="str">
        <x:v>PARTNER-M146</x:v>
      </x:c>
    </x:row>
    <x:row r="3515" ht="46" customHeight="1">
      <x:c r="A3515" s="2" t="str">
        <x:v>TEN-11C27A52B3EC</x:v>
      </x:c>
      <x:c r="B3515" s="12" t="str">
        <x:v>Resourcespro</x:v>
      </x:c>
      <x:c r="C3515" s="12" t="str">
        <x:v>CORP-0569</x:v>
      </x:c>
      <x:c r="D3515" s="12" t="str">
        <x:v>Bengaluru</x:v>
      </x:c>
      <x:c r="E3515" s="12" t="str">
        <x:v>Bagmane Solarium</x:v>
      </x:c>
      <x:c r="F3515" s="12" t="str">
        <x:v>55 inch</x:v>
      </x:c>
      <x:c r="G3515" s="20" t="n">
        <x:v>1</x:v>
      </x:c>
      <x:c r="H3515" s="12" t="str">
        <x:v>Campus/portfolio roster; individual building occupancy unverified</x:v>
      </x:c>
      <x:c r="I3515" s="12" t="str">
        <x:v>Small-scale prospects</x:v>
      </x:c>
      <x:c r="J3515" s="12" t="str">
        <x:v>Professional services</x:v>
      </x:c>
      <x:c r="K3515" s="2" t="str">
        <x:v>PARTNER-M146</x:v>
      </x:c>
    </x:row>
    <x:row r="3516" ht="46" customHeight="1">
      <x:c r="A3516" s="2" t="str">
        <x:v>TEN-32A46F0F2FE1</x:v>
      </x:c>
      <x:c r="B3516" s="12" t="str">
        <x:v>Shell India</x:v>
      </x:c>
      <x:c r="C3516" s="12" t="str">
        <x:v>CORP-0569</x:v>
      </x:c>
      <x:c r="D3516" s="12" t="str">
        <x:v>Bengaluru</x:v>
      </x:c>
      <x:c r="E3516" s="12" t="str">
        <x:v>Bagmane Solarium</x:v>
      </x:c>
      <x:c r="F3516" s="12" t="str">
        <x:v>55 inch</x:v>
      </x:c>
      <x:c r="G3516" s="20" t="n">
        <x:v>1</x:v>
      </x:c>
      <x:c r="H3516" s="12" t="str">
        <x:v>Campus/portfolio roster; individual building occupancy unverified</x:v>
      </x:c>
      <x:c r="I3516" s="12" t="str">
        <x:v>Mixed business audience</x:v>
      </x:c>
      <x:c r="J3516" s="12" t="str">
        <x:v>Engineering &amp; manufacturing</x:v>
      </x:c>
      <x:c r="K3516" s="2" t="str">
        <x:v>PARTNER-M146</x:v>
      </x:c>
    </x:row>
    <x:row r="3517" ht="46" customHeight="1">
      <x:c r="A3517" s="2" t="str">
        <x:v>TEN-54D308D4C42F</x:v>
      </x:c>
      <x:c r="B3517" s="12" t="str">
        <x:v>Carelon Global Solutions</x:v>
      </x:c>
      <x:c r="C3517" s="12" t="str">
        <x:v>CORP-0569</x:v>
      </x:c>
      <x:c r="D3517" s="12" t="str">
        <x:v>Bengaluru</x:v>
      </x:c>
      <x:c r="E3517" s="12" t="str">
        <x:v>Bagmane Solarium</x:v>
      </x:c>
      <x:c r="F3517" s="12" t="str">
        <x:v>55 inch</x:v>
      </x:c>
      <x:c r="G3517" s="20" t="n">
        <x:v>1</x:v>
      </x:c>
      <x:c r="H3517" s="12" t="str">
        <x:v>Campus/portfolio roster; individual building occupancy unverified</x:v>
      </x:c>
      <x:c r="I3517" s="12" t="str">
        <x:v>Mixed business audience</x:v>
      </x:c>
      <x:c r="J3517" s="12" t="str">
        <x:v>Healthcare &amp; life sciences</x:v>
      </x:c>
      <x:c r="K3517" s="2" t="str">
        <x:v>PARTNER-M146</x:v>
      </x:c>
    </x:row>
    <x:row r="3518" ht="46" customHeight="1">
      <x:c r="A3518" s="2" t="str">
        <x:v>TEN-6C0D20116366</x:v>
      </x:c>
      <x:c r="B3518" s="12" t="str">
        <x:v>Burns &amp; McDonnell</x:v>
      </x:c>
      <x:c r="C3518" s="12" t="str">
        <x:v>CORP-0569</x:v>
      </x:c>
      <x:c r="D3518" s="12" t="str">
        <x:v>Bengaluru</x:v>
      </x:c>
      <x:c r="E3518" s="12" t="str">
        <x:v>Bagmane Solarium</x:v>
      </x:c>
      <x:c r="F3518" s="12" t="str">
        <x:v>55 inch</x:v>
      </x:c>
      <x:c r="G3518" s="20" t="n">
        <x:v>1</x:v>
      </x:c>
      <x:c r="H3518" s="12" t="str">
        <x:v>Campus/portfolio roster; individual building occupancy unverified</x:v>
      </x:c>
      <x:c r="I3518" s="12" t="str">
        <x:v>Mixed business audience</x:v>
      </x:c>
      <x:c r="J3518" s="12" t="str">
        <x:v>Engineering &amp; manufacturing</x:v>
      </x:c>
      <x:c r="K3518" s="2" t="str">
        <x:v>PARTNER-M146</x:v>
      </x:c>
    </x:row>
    <x:row r="3519" ht="46" customHeight="1">
      <x:c r="A3519" s="2" t="str">
        <x:v>TEN-9891CBD98729</x:v>
      </x:c>
      <x:c r="B3519" s="12" t="str">
        <x:v>Northern Trust</x:v>
      </x:c>
      <x:c r="C3519" s="12" t="str">
        <x:v>CORP-0569</x:v>
      </x:c>
      <x:c r="D3519" s="12" t="str">
        <x:v>Bengaluru</x:v>
      </x:c>
      <x:c r="E3519" s="12" t="str">
        <x:v>Bagmane Solarium</x:v>
      </x:c>
      <x:c r="F3519" s="12" t="str">
        <x:v>55 inch</x:v>
      </x:c>
      <x:c r="G3519" s="20" t="n">
        <x:v>1</x:v>
      </x:c>
      <x:c r="H3519" s="12" t="str">
        <x:v>Campus/portfolio roster; individual building occupancy unverified</x:v>
      </x:c>
      <x:c r="I3519" s="12" t="str">
        <x:v>Large enterprise</x:v>
      </x:c>
      <x:c r="J3519" s="12" t="str">
        <x:v>Finance &amp; insurance</x:v>
      </x:c>
      <x:c r="K3519" s="2" t="str">
        <x:v>PARTNER-M146</x:v>
      </x:c>
    </x:row>
    <x:row r="3520" ht="46" customHeight="1">
      <x:c r="A3520" s="2" t="str">
        <x:v>TEN-B2390264A2E8</x:v>
      </x:c>
      <x:c r="B3520" s="12" t="str">
        <x:v>Tekion</x:v>
      </x:c>
      <x:c r="C3520" s="12" t="str">
        <x:v>CORP-0569</x:v>
      </x:c>
      <x:c r="D3520" s="12" t="str">
        <x:v>Bengaluru</x:v>
      </x:c>
      <x:c r="E3520" s="12" t="str">
        <x:v>Bagmane Solarium</x:v>
      </x:c>
      <x:c r="F3520" s="12" t="str">
        <x:v>55 inch</x:v>
      </x:c>
      <x:c r="G3520" s="20" t="n">
        <x:v>1</x:v>
      </x:c>
      <x:c r="H3520" s="12" t="str">
        <x:v>Campus/portfolio roster; individual building occupancy unverified</x:v>
      </x:c>
      <x:c r="I3520" s="12" t="str">
        <x:v>Mixed business audience</x:v>
      </x:c>
      <x:c r="J3520" s="12" t="str">
        <x:v>IT &amp; digital</x:v>
      </x:c>
      <x:c r="K3520" s="2" t="str">
        <x:v>PARTNER-M146</x:v>
      </x:c>
    </x:row>
    <x:row r="3521" ht="46" customHeight="1">
      <x:c r="A3521" s="2" t="str">
        <x:v>TEN-B2D5ADC2EC6B</x:v>
      </x:c>
      <x:c r="B3521" s="12" t="str">
        <x:v>Wesco Digital</x:v>
      </x:c>
      <x:c r="C3521" s="12" t="str">
        <x:v>CORP-0569</x:v>
      </x:c>
      <x:c r="D3521" s="12" t="str">
        <x:v>Bengaluru</x:v>
      </x:c>
      <x:c r="E3521" s="12" t="str">
        <x:v>Bagmane Solarium</x:v>
      </x:c>
      <x:c r="F3521" s="12" t="str">
        <x:v>55 inch</x:v>
      </x:c>
      <x:c r="G3521" s="20" t="n">
        <x:v>1</x:v>
      </x:c>
      <x:c r="H3521" s="12" t="str">
        <x:v>Campus/portfolio roster; individual building occupancy unverified</x:v>
      </x:c>
      <x:c r="I3521" s="12" t="str">
        <x:v>Mixed business audience</x:v>
      </x:c>
      <x:c r="J3521" s="12" t="str">
        <x:v>IT &amp; digital</x:v>
      </x:c>
      <x:c r="K3521" s="2" t="str">
        <x:v>PARTNER-M146</x:v>
      </x:c>
    </x:row>
    <x:row r="3522" ht="46" customHeight="1">
      <x:c r="A3522" s="2" t="str">
        <x:v>TEN-B620B7716796</x:v>
      </x:c>
      <x:c r="B3522" s="12" t="str">
        <x:v>Zebra Technologies</x:v>
      </x:c>
      <x:c r="C3522" s="12" t="str">
        <x:v>CORP-0569</x:v>
      </x:c>
      <x:c r="D3522" s="12" t="str">
        <x:v>Bengaluru</x:v>
      </x:c>
      <x:c r="E3522" s="12" t="str">
        <x:v>Bagmane Solarium</x:v>
      </x:c>
      <x:c r="F3522" s="12" t="str">
        <x:v>55 inch</x:v>
      </x:c>
      <x:c r="G3522" s="20" t="n">
        <x:v>1</x:v>
      </x:c>
      <x:c r="H3522" s="12" t="str">
        <x:v>Campus/portfolio roster; individual building occupancy unverified</x:v>
      </x:c>
      <x:c r="I3522" s="12" t="str">
        <x:v>Mixed business audience</x:v>
      </x:c>
      <x:c r="J3522" s="12" t="str">
        <x:v>Engineering &amp; manufacturing</x:v>
      </x:c>
      <x:c r="K3522" s="2" t="str">
        <x:v>PARTNER-M146</x:v>
      </x:c>
    </x:row>
    <x:row r="3523" ht="46" customHeight="1">
      <x:c r="A3523" s="2" t="str">
        <x:v>TEN-BC3067AC45DF</x:v>
      </x:c>
      <x:c r="B3523" s="12" t="str">
        <x:v>Schneider Electric</x:v>
      </x:c>
      <x:c r="C3523" s="12" t="str">
        <x:v>CORP-0569</x:v>
      </x:c>
      <x:c r="D3523" s="12" t="str">
        <x:v>Bengaluru</x:v>
      </x:c>
      <x:c r="E3523" s="12" t="str">
        <x:v>Bagmane Solarium</x:v>
      </x:c>
      <x:c r="F3523" s="12" t="str">
        <x:v>55 inch</x:v>
      </x:c>
      <x:c r="G3523" s="20" t="n">
        <x:v>1</x:v>
      </x:c>
      <x:c r="H3523" s="12" t="str">
        <x:v>Campus/portfolio roster; individual building occupancy unverified</x:v>
      </x:c>
      <x:c r="I3523" s="12" t="str">
        <x:v>Large enterprise</x:v>
      </x:c>
      <x:c r="J3523" s="12" t="str">
        <x:v>Engineering &amp; manufacturing</x:v>
      </x:c>
      <x:c r="K3523" s="2" t="str">
        <x:v>PARTNER-M146</x:v>
      </x:c>
    </x:row>
    <x:row r="3524" ht="46" customHeight="1">
      <x:c r="A3524" s="2" t="str">
        <x:v>TEN-11C27A52B3EC</x:v>
      </x:c>
      <x:c r="B3524" s="12" t="str">
        <x:v>Resourcespro</x:v>
      </x:c>
      <x:c r="C3524" s="12" t="str">
        <x:v>CORP-0570</x:v>
      </x:c>
      <x:c r="D3524" s="12" t="str">
        <x:v>Bengaluru</x:v>
      </x:c>
      <x:c r="E3524" s="12" t="str">
        <x:v>Bagmane Solarium</x:v>
      </x:c>
      <x:c r="F3524" s="12" t="str">
        <x:v>55 inch</x:v>
      </x:c>
      <x:c r="G3524" s="20" t="n">
        <x:v>1</x:v>
      </x:c>
      <x:c r="H3524" s="12" t="str">
        <x:v>Campus/portfolio roster; individual building occupancy unverified</x:v>
      </x:c>
      <x:c r="I3524" s="12" t="str">
        <x:v>Small-scale prospects</x:v>
      </x:c>
      <x:c r="J3524" s="12" t="str">
        <x:v>Professional services</x:v>
      </x:c>
      <x:c r="K3524" s="2" t="str">
        <x:v>PARTNER-M146</x:v>
      </x:c>
    </x:row>
    <x:row r="3525" ht="46" customHeight="1">
      <x:c r="A3525" s="2" t="str">
        <x:v>TEN-32A46F0F2FE1</x:v>
      </x:c>
      <x:c r="B3525" s="12" t="str">
        <x:v>Shell India</x:v>
      </x:c>
      <x:c r="C3525" s="12" t="str">
        <x:v>CORP-0570</x:v>
      </x:c>
      <x:c r="D3525" s="12" t="str">
        <x:v>Bengaluru</x:v>
      </x:c>
      <x:c r="E3525" s="12" t="str">
        <x:v>Bagmane Solarium</x:v>
      </x:c>
      <x:c r="F3525" s="12" t="str">
        <x:v>55 inch</x:v>
      </x:c>
      <x:c r="G3525" s="20" t="n">
        <x:v>1</x:v>
      </x:c>
      <x:c r="H3525" s="12" t="str">
        <x:v>Campus/portfolio roster; individual building occupancy unverified</x:v>
      </x:c>
      <x:c r="I3525" s="12" t="str">
        <x:v>Mixed business audience</x:v>
      </x:c>
      <x:c r="J3525" s="12" t="str">
        <x:v>Engineering &amp; manufacturing</x:v>
      </x:c>
      <x:c r="K3525" s="2" t="str">
        <x:v>PARTNER-M146</x:v>
      </x:c>
    </x:row>
    <x:row r="3526" ht="46" customHeight="1">
      <x:c r="A3526" s="2" t="str">
        <x:v>TEN-54D308D4C42F</x:v>
      </x:c>
      <x:c r="B3526" s="12" t="str">
        <x:v>Carelon Global Solutions</x:v>
      </x:c>
      <x:c r="C3526" s="12" t="str">
        <x:v>CORP-0570</x:v>
      </x:c>
      <x:c r="D3526" s="12" t="str">
        <x:v>Bengaluru</x:v>
      </x:c>
      <x:c r="E3526" s="12" t="str">
        <x:v>Bagmane Solarium</x:v>
      </x:c>
      <x:c r="F3526" s="12" t="str">
        <x:v>55 inch</x:v>
      </x:c>
      <x:c r="G3526" s="20" t="n">
        <x:v>1</x:v>
      </x:c>
      <x:c r="H3526" s="12" t="str">
        <x:v>Campus/portfolio roster; individual building occupancy unverified</x:v>
      </x:c>
      <x:c r="I3526" s="12" t="str">
        <x:v>Mixed business audience</x:v>
      </x:c>
      <x:c r="J3526" s="12" t="str">
        <x:v>Healthcare &amp; life sciences</x:v>
      </x:c>
      <x:c r="K3526" s="2" t="str">
        <x:v>PARTNER-M146</x:v>
      </x:c>
    </x:row>
    <x:row r="3527" ht="46" customHeight="1">
      <x:c r="A3527" s="2" t="str">
        <x:v>TEN-6C0D20116366</x:v>
      </x:c>
      <x:c r="B3527" s="12" t="str">
        <x:v>Burns &amp; McDonnell</x:v>
      </x:c>
      <x:c r="C3527" s="12" t="str">
        <x:v>CORP-0570</x:v>
      </x:c>
      <x:c r="D3527" s="12" t="str">
        <x:v>Bengaluru</x:v>
      </x:c>
      <x:c r="E3527" s="12" t="str">
        <x:v>Bagmane Solarium</x:v>
      </x:c>
      <x:c r="F3527" s="12" t="str">
        <x:v>55 inch</x:v>
      </x:c>
      <x:c r="G3527" s="20" t="n">
        <x:v>1</x:v>
      </x:c>
      <x:c r="H3527" s="12" t="str">
        <x:v>Campus/portfolio roster; individual building occupancy unverified</x:v>
      </x:c>
      <x:c r="I3527" s="12" t="str">
        <x:v>Mixed business audience</x:v>
      </x:c>
      <x:c r="J3527" s="12" t="str">
        <x:v>Engineering &amp; manufacturing</x:v>
      </x:c>
      <x:c r="K3527" s="2" t="str">
        <x:v>PARTNER-M146</x:v>
      </x:c>
    </x:row>
    <x:row r="3528" ht="46" customHeight="1">
      <x:c r="A3528" s="2" t="str">
        <x:v>TEN-9891CBD98729</x:v>
      </x:c>
      <x:c r="B3528" s="12" t="str">
        <x:v>Northern Trust</x:v>
      </x:c>
      <x:c r="C3528" s="12" t="str">
        <x:v>CORP-0570</x:v>
      </x:c>
      <x:c r="D3528" s="12" t="str">
        <x:v>Bengaluru</x:v>
      </x:c>
      <x:c r="E3528" s="12" t="str">
        <x:v>Bagmane Solarium</x:v>
      </x:c>
      <x:c r="F3528" s="12" t="str">
        <x:v>55 inch</x:v>
      </x:c>
      <x:c r="G3528" s="20" t="n">
        <x:v>1</x:v>
      </x:c>
      <x:c r="H3528" s="12" t="str">
        <x:v>Campus/portfolio roster; individual building occupancy unverified</x:v>
      </x:c>
      <x:c r="I3528" s="12" t="str">
        <x:v>Large enterprise</x:v>
      </x:c>
      <x:c r="J3528" s="12" t="str">
        <x:v>Finance &amp; insurance</x:v>
      </x:c>
      <x:c r="K3528" s="2" t="str">
        <x:v>PARTNER-M146</x:v>
      </x:c>
    </x:row>
    <x:row r="3529" ht="46" customHeight="1">
      <x:c r="A3529" s="2" t="str">
        <x:v>TEN-B2390264A2E8</x:v>
      </x:c>
      <x:c r="B3529" s="12" t="str">
        <x:v>Tekion</x:v>
      </x:c>
      <x:c r="C3529" s="12" t="str">
        <x:v>CORP-0570</x:v>
      </x:c>
      <x:c r="D3529" s="12" t="str">
        <x:v>Bengaluru</x:v>
      </x:c>
      <x:c r="E3529" s="12" t="str">
        <x:v>Bagmane Solarium</x:v>
      </x:c>
      <x:c r="F3529" s="12" t="str">
        <x:v>55 inch</x:v>
      </x:c>
      <x:c r="G3529" s="20" t="n">
        <x:v>1</x:v>
      </x:c>
      <x:c r="H3529" s="12" t="str">
        <x:v>Campus/portfolio roster; individual building occupancy unverified</x:v>
      </x:c>
      <x:c r="I3529" s="12" t="str">
        <x:v>Mixed business audience</x:v>
      </x:c>
      <x:c r="J3529" s="12" t="str">
        <x:v>IT &amp; digital</x:v>
      </x:c>
      <x:c r="K3529" s="2" t="str">
        <x:v>PARTNER-M146</x:v>
      </x:c>
    </x:row>
    <x:row r="3530" ht="46" customHeight="1">
      <x:c r="A3530" s="2" t="str">
        <x:v>TEN-B2D5ADC2EC6B</x:v>
      </x:c>
      <x:c r="B3530" s="12" t="str">
        <x:v>Wesco Digital</x:v>
      </x:c>
      <x:c r="C3530" s="12" t="str">
        <x:v>CORP-0570</x:v>
      </x:c>
      <x:c r="D3530" s="12" t="str">
        <x:v>Bengaluru</x:v>
      </x:c>
      <x:c r="E3530" s="12" t="str">
        <x:v>Bagmane Solarium</x:v>
      </x:c>
      <x:c r="F3530" s="12" t="str">
        <x:v>55 inch</x:v>
      </x:c>
      <x:c r="G3530" s="20" t="n">
        <x:v>1</x:v>
      </x:c>
      <x:c r="H3530" s="12" t="str">
        <x:v>Campus/portfolio roster; individual building occupancy unverified</x:v>
      </x:c>
      <x:c r="I3530" s="12" t="str">
        <x:v>Mixed business audience</x:v>
      </x:c>
      <x:c r="J3530" s="12" t="str">
        <x:v>IT &amp; digital</x:v>
      </x:c>
      <x:c r="K3530" s="2" t="str">
        <x:v>PARTNER-M146</x:v>
      </x:c>
    </x:row>
    <x:row r="3531" ht="46" customHeight="1">
      <x:c r="A3531" s="2" t="str">
        <x:v>TEN-B620B7716796</x:v>
      </x:c>
      <x:c r="B3531" s="12" t="str">
        <x:v>Zebra Technologies</x:v>
      </x:c>
      <x:c r="C3531" s="12" t="str">
        <x:v>CORP-0570</x:v>
      </x:c>
      <x:c r="D3531" s="12" t="str">
        <x:v>Bengaluru</x:v>
      </x:c>
      <x:c r="E3531" s="12" t="str">
        <x:v>Bagmane Solarium</x:v>
      </x:c>
      <x:c r="F3531" s="12" t="str">
        <x:v>55 inch</x:v>
      </x:c>
      <x:c r="G3531" s="20" t="n">
        <x:v>1</x:v>
      </x:c>
      <x:c r="H3531" s="12" t="str">
        <x:v>Campus/portfolio roster; individual building occupancy unverified</x:v>
      </x:c>
      <x:c r="I3531" s="12" t="str">
        <x:v>Mixed business audience</x:v>
      </x:c>
      <x:c r="J3531" s="12" t="str">
        <x:v>Engineering &amp; manufacturing</x:v>
      </x:c>
      <x:c r="K3531" s="2" t="str">
        <x:v>PARTNER-M146</x:v>
      </x:c>
    </x:row>
    <x:row r="3532" ht="46" customHeight="1">
      <x:c r="A3532" s="2" t="str">
        <x:v>TEN-BC3067AC45DF</x:v>
      </x:c>
      <x:c r="B3532" s="12" t="str">
        <x:v>Schneider Electric</x:v>
      </x:c>
      <x:c r="C3532" s="12" t="str">
        <x:v>CORP-0570</x:v>
      </x:c>
      <x:c r="D3532" s="12" t="str">
        <x:v>Bengaluru</x:v>
      </x:c>
      <x:c r="E3532" s="12" t="str">
        <x:v>Bagmane Solarium</x:v>
      </x:c>
      <x:c r="F3532" s="12" t="str">
        <x:v>55 inch</x:v>
      </x:c>
      <x:c r="G3532" s="20" t="n">
        <x:v>1</x:v>
      </x:c>
      <x:c r="H3532" s="12" t="str">
        <x:v>Campus/portfolio roster; individual building occupancy unverified</x:v>
      </x:c>
      <x:c r="I3532" s="12" t="str">
        <x:v>Large enterprise</x:v>
      </x:c>
      <x:c r="J3532" s="12" t="str">
        <x:v>Engineering &amp; manufacturing</x:v>
      </x:c>
      <x:c r="K3532" s="2" t="str">
        <x:v>PARTNER-M146</x:v>
      </x:c>
    </x:row>
    <x:row r="3533" ht="46" customHeight="1">
      <x:c r="A3533" s="2" t="str">
        <x:v>TEN-11C27A52B3EC</x:v>
      </x:c>
      <x:c r="B3533" s="12" t="str">
        <x:v>Resourcespro</x:v>
      </x:c>
      <x:c r="C3533" s="12" t="str">
        <x:v>CORP-0571</x:v>
      </x:c>
      <x:c r="D3533" s="12" t="str">
        <x:v>Bengaluru</x:v>
      </x:c>
      <x:c r="E3533" s="12" t="str">
        <x:v>Bagmane Solarium</x:v>
      </x:c>
      <x:c r="F3533" s="12" t="str">
        <x:v>55 inch</x:v>
      </x:c>
      <x:c r="G3533" s="20" t="n">
        <x:v>1</x:v>
      </x:c>
      <x:c r="H3533" s="12" t="str">
        <x:v>Campus/portfolio roster; individual building occupancy unverified</x:v>
      </x:c>
      <x:c r="I3533" s="12" t="str">
        <x:v>Small-scale prospects</x:v>
      </x:c>
      <x:c r="J3533" s="12" t="str">
        <x:v>Professional services</x:v>
      </x:c>
      <x:c r="K3533" s="2" t="str">
        <x:v>PARTNER-M146</x:v>
      </x:c>
    </x:row>
    <x:row r="3534" ht="46" customHeight="1">
      <x:c r="A3534" s="2" t="str">
        <x:v>TEN-32A46F0F2FE1</x:v>
      </x:c>
      <x:c r="B3534" s="12" t="str">
        <x:v>Shell India</x:v>
      </x:c>
      <x:c r="C3534" s="12" t="str">
        <x:v>CORP-0571</x:v>
      </x:c>
      <x:c r="D3534" s="12" t="str">
        <x:v>Bengaluru</x:v>
      </x:c>
      <x:c r="E3534" s="12" t="str">
        <x:v>Bagmane Solarium</x:v>
      </x:c>
      <x:c r="F3534" s="12" t="str">
        <x:v>55 inch</x:v>
      </x:c>
      <x:c r="G3534" s="20" t="n">
        <x:v>1</x:v>
      </x:c>
      <x:c r="H3534" s="12" t="str">
        <x:v>Campus/portfolio roster; individual building occupancy unverified</x:v>
      </x:c>
      <x:c r="I3534" s="12" t="str">
        <x:v>Mixed business audience</x:v>
      </x:c>
      <x:c r="J3534" s="12" t="str">
        <x:v>Engineering &amp; manufacturing</x:v>
      </x:c>
      <x:c r="K3534" s="2" t="str">
        <x:v>PARTNER-M146</x:v>
      </x:c>
    </x:row>
    <x:row r="3535" ht="46" customHeight="1">
      <x:c r="A3535" s="2" t="str">
        <x:v>TEN-54D308D4C42F</x:v>
      </x:c>
      <x:c r="B3535" s="12" t="str">
        <x:v>Carelon Global Solutions</x:v>
      </x:c>
      <x:c r="C3535" s="12" t="str">
        <x:v>CORP-0571</x:v>
      </x:c>
      <x:c r="D3535" s="12" t="str">
        <x:v>Bengaluru</x:v>
      </x:c>
      <x:c r="E3535" s="12" t="str">
        <x:v>Bagmane Solarium</x:v>
      </x:c>
      <x:c r="F3535" s="12" t="str">
        <x:v>55 inch</x:v>
      </x:c>
      <x:c r="G3535" s="20" t="n">
        <x:v>1</x:v>
      </x:c>
      <x:c r="H3535" s="12" t="str">
        <x:v>Campus/portfolio roster; individual building occupancy unverified</x:v>
      </x:c>
      <x:c r="I3535" s="12" t="str">
        <x:v>Mixed business audience</x:v>
      </x:c>
      <x:c r="J3535" s="12" t="str">
        <x:v>Healthcare &amp; life sciences</x:v>
      </x:c>
      <x:c r="K3535" s="2" t="str">
        <x:v>PARTNER-M146</x:v>
      </x:c>
    </x:row>
    <x:row r="3536" ht="46" customHeight="1">
      <x:c r="A3536" s="2" t="str">
        <x:v>TEN-6C0D20116366</x:v>
      </x:c>
      <x:c r="B3536" s="12" t="str">
        <x:v>Burns &amp; McDonnell</x:v>
      </x:c>
      <x:c r="C3536" s="12" t="str">
        <x:v>CORP-0571</x:v>
      </x:c>
      <x:c r="D3536" s="12" t="str">
        <x:v>Bengaluru</x:v>
      </x:c>
      <x:c r="E3536" s="12" t="str">
        <x:v>Bagmane Solarium</x:v>
      </x:c>
      <x:c r="F3536" s="12" t="str">
        <x:v>55 inch</x:v>
      </x:c>
      <x:c r="G3536" s="20" t="n">
        <x:v>1</x:v>
      </x:c>
      <x:c r="H3536" s="12" t="str">
        <x:v>Campus/portfolio roster; individual building occupancy unverified</x:v>
      </x:c>
      <x:c r="I3536" s="12" t="str">
        <x:v>Mixed business audience</x:v>
      </x:c>
      <x:c r="J3536" s="12" t="str">
        <x:v>Engineering &amp; manufacturing</x:v>
      </x:c>
      <x:c r="K3536" s="2" t="str">
        <x:v>PARTNER-M146</x:v>
      </x:c>
    </x:row>
    <x:row r="3537" ht="46" customHeight="1">
      <x:c r="A3537" s="2" t="str">
        <x:v>TEN-9891CBD98729</x:v>
      </x:c>
      <x:c r="B3537" s="12" t="str">
        <x:v>Northern Trust</x:v>
      </x:c>
      <x:c r="C3537" s="12" t="str">
        <x:v>CORP-0571</x:v>
      </x:c>
      <x:c r="D3537" s="12" t="str">
        <x:v>Bengaluru</x:v>
      </x:c>
      <x:c r="E3537" s="12" t="str">
        <x:v>Bagmane Solarium</x:v>
      </x:c>
      <x:c r="F3537" s="12" t="str">
        <x:v>55 inch</x:v>
      </x:c>
      <x:c r="G3537" s="20" t="n">
        <x:v>1</x:v>
      </x:c>
      <x:c r="H3537" s="12" t="str">
        <x:v>Campus/portfolio roster; individual building occupancy unverified</x:v>
      </x:c>
      <x:c r="I3537" s="12" t="str">
        <x:v>Large enterprise</x:v>
      </x:c>
      <x:c r="J3537" s="12" t="str">
        <x:v>Finance &amp; insurance</x:v>
      </x:c>
      <x:c r="K3537" s="2" t="str">
        <x:v>PARTNER-M146</x:v>
      </x:c>
    </x:row>
    <x:row r="3538" ht="46" customHeight="1">
      <x:c r="A3538" s="2" t="str">
        <x:v>TEN-B2390264A2E8</x:v>
      </x:c>
      <x:c r="B3538" s="12" t="str">
        <x:v>Tekion</x:v>
      </x:c>
      <x:c r="C3538" s="12" t="str">
        <x:v>CORP-0571</x:v>
      </x:c>
      <x:c r="D3538" s="12" t="str">
        <x:v>Bengaluru</x:v>
      </x:c>
      <x:c r="E3538" s="12" t="str">
        <x:v>Bagmane Solarium</x:v>
      </x:c>
      <x:c r="F3538" s="12" t="str">
        <x:v>55 inch</x:v>
      </x:c>
      <x:c r="G3538" s="20" t="n">
        <x:v>1</x:v>
      </x:c>
      <x:c r="H3538" s="12" t="str">
        <x:v>Campus/portfolio roster; individual building occupancy unverified</x:v>
      </x:c>
      <x:c r="I3538" s="12" t="str">
        <x:v>Mixed business audience</x:v>
      </x:c>
      <x:c r="J3538" s="12" t="str">
        <x:v>IT &amp; digital</x:v>
      </x:c>
      <x:c r="K3538" s="2" t="str">
        <x:v>PARTNER-M146</x:v>
      </x:c>
    </x:row>
    <x:row r="3539" ht="46" customHeight="1">
      <x:c r="A3539" s="2" t="str">
        <x:v>TEN-B2D5ADC2EC6B</x:v>
      </x:c>
      <x:c r="B3539" s="12" t="str">
        <x:v>Wesco Digital</x:v>
      </x:c>
      <x:c r="C3539" s="12" t="str">
        <x:v>CORP-0571</x:v>
      </x:c>
      <x:c r="D3539" s="12" t="str">
        <x:v>Bengaluru</x:v>
      </x:c>
      <x:c r="E3539" s="12" t="str">
        <x:v>Bagmane Solarium</x:v>
      </x:c>
      <x:c r="F3539" s="12" t="str">
        <x:v>55 inch</x:v>
      </x:c>
      <x:c r="G3539" s="20" t="n">
        <x:v>1</x:v>
      </x:c>
      <x:c r="H3539" s="12" t="str">
        <x:v>Campus/portfolio roster; individual building occupancy unverified</x:v>
      </x:c>
      <x:c r="I3539" s="12" t="str">
        <x:v>Mixed business audience</x:v>
      </x:c>
      <x:c r="J3539" s="12" t="str">
        <x:v>IT &amp; digital</x:v>
      </x:c>
      <x:c r="K3539" s="2" t="str">
        <x:v>PARTNER-M146</x:v>
      </x:c>
    </x:row>
    <x:row r="3540" ht="46" customHeight="1">
      <x:c r="A3540" s="2" t="str">
        <x:v>TEN-B620B7716796</x:v>
      </x:c>
      <x:c r="B3540" s="12" t="str">
        <x:v>Zebra Technologies</x:v>
      </x:c>
      <x:c r="C3540" s="12" t="str">
        <x:v>CORP-0571</x:v>
      </x:c>
      <x:c r="D3540" s="12" t="str">
        <x:v>Bengaluru</x:v>
      </x:c>
      <x:c r="E3540" s="12" t="str">
        <x:v>Bagmane Solarium</x:v>
      </x:c>
      <x:c r="F3540" s="12" t="str">
        <x:v>55 inch</x:v>
      </x:c>
      <x:c r="G3540" s="20" t="n">
        <x:v>1</x:v>
      </x:c>
      <x:c r="H3540" s="12" t="str">
        <x:v>Campus/portfolio roster; individual building occupancy unverified</x:v>
      </x:c>
      <x:c r="I3540" s="12" t="str">
        <x:v>Mixed business audience</x:v>
      </x:c>
      <x:c r="J3540" s="12" t="str">
        <x:v>Engineering &amp; manufacturing</x:v>
      </x:c>
      <x:c r="K3540" s="2" t="str">
        <x:v>PARTNER-M146</x:v>
      </x:c>
    </x:row>
    <x:row r="3541" ht="46" customHeight="1">
      <x:c r="A3541" s="2" t="str">
        <x:v>TEN-BC3067AC45DF</x:v>
      </x:c>
      <x:c r="B3541" s="12" t="str">
        <x:v>Schneider Electric</x:v>
      </x:c>
      <x:c r="C3541" s="12" t="str">
        <x:v>CORP-0571</x:v>
      </x:c>
      <x:c r="D3541" s="12" t="str">
        <x:v>Bengaluru</x:v>
      </x:c>
      <x:c r="E3541" s="12" t="str">
        <x:v>Bagmane Solarium</x:v>
      </x:c>
      <x:c r="F3541" s="12" t="str">
        <x:v>55 inch</x:v>
      </x:c>
      <x:c r="G3541" s="20" t="n">
        <x:v>1</x:v>
      </x:c>
      <x:c r="H3541" s="12" t="str">
        <x:v>Campus/portfolio roster; individual building occupancy unverified</x:v>
      </x:c>
      <x:c r="I3541" s="12" t="str">
        <x:v>Large enterprise</x:v>
      </x:c>
      <x:c r="J3541" s="12" t="str">
        <x:v>Engineering &amp; manufacturing</x:v>
      </x:c>
      <x:c r="K3541" s="2" t="str">
        <x:v>PARTNER-M146</x:v>
      </x:c>
    </x:row>
    <x:row r="3542" ht="46" customHeight="1">
      <x:c r="A3542" s="2" t="str">
        <x:v>TEN-0301B82899C9</x:v>
      </x:c>
      <x:c r="B3542" s="12" t="str">
        <x:v>Nettpositive Business Analytics</x:v>
      </x:c>
      <x:c r="C3542" s="12" t="str">
        <x:v>CORP-0572</x:v>
      </x:c>
      <x:c r="D3542" s="12" t="str">
        <x:v>Bengaluru</x:v>
      </x:c>
      <x:c r="E3542" s="12" t="str">
        <x:v>Maruthi Infotech Center</x:v>
      </x:c>
      <x:c r="F3542" s="12" t="str">
        <x:v>55 inch</x:v>
      </x:c>
      <x:c r="G3542" s="20" t="n">
        <x:v>1</x:v>
      </x:c>
      <x:c r="H3542" s="12" t="str">
        <x:v>Campus/portfolio roster; individual building occupancy unverified</x:v>
      </x:c>
      <x:c r="I3542" s="12" t="str">
        <x:v>Small-scale prospects</x:v>
      </x:c>
      <x:c r="J3542" s="12" t="str">
        <x:v>IT &amp; digital</x:v>
      </x:c>
      <x:c r="K3542" s="2" t="str">
        <x:v>PARTNER-M154</x:v>
      </x:c>
    </x:row>
    <x:row r="3543" ht="46" customHeight="1">
      <x:c r="A3543" s="2" t="str">
        <x:v>TEN-1C2EC4E96776</x:v>
      </x:c>
      <x:c r="B3543" s="12" t="str">
        <x:v>American Express GBT</x:v>
      </x:c>
      <x:c r="C3543" s="12" t="str">
        <x:v>CORP-0572</x:v>
      </x:c>
      <x:c r="D3543" s="12" t="str">
        <x:v>Bengaluru</x:v>
      </x:c>
      <x:c r="E3543" s="12" t="str">
        <x:v>Maruthi Infotech Center</x:v>
      </x:c>
      <x:c r="F3543" s="12" t="str">
        <x:v>55 inch</x:v>
      </x:c>
      <x:c r="G3543" s="20" t="n">
        <x:v>1</x:v>
      </x:c>
      <x:c r="H3543" s="12" t="str">
        <x:v>Campus/portfolio roster; individual building occupancy unverified</x:v>
      </x:c>
      <x:c r="I3543" s="12" t="str">
        <x:v>Mixed business audience</x:v>
      </x:c>
      <x:c r="J3543" s="12" t="str">
        <x:v>Trade, consumer &amp; logistics</x:v>
      </x:c>
      <x:c r="K3543" s="2" t="str">
        <x:v>PARTNER-M154</x:v>
      </x:c>
    </x:row>
    <x:row r="3544" ht="46" customHeight="1">
      <x:c r="A3544" s="2" t="str">
        <x:v>TEN-423D620322C3</x:v>
      </x:c>
      <x:c r="B3544" s="12" t="str">
        <x:v>Relevel by Unacademy</x:v>
      </x:c>
      <x:c r="C3544" s="12" t="str">
        <x:v>CORP-0572</x:v>
      </x:c>
      <x:c r="D3544" s="12" t="str">
        <x:v>Bengaluru</x:v>
      </x:c>
      <x:c r="E3544" s="12" t="str">
        <x:v>Maruthi Infotech Center</x:v>
      </x:c>
      <x:c r="F3544" s="12" t="str">
        <x:v>55 inch</x:v>
      </x:c>
      <x:c r="G3544" s="20" t="n">
        <x:v>1</x:v>
      </x:c>
      <x:c r="H3544" s="12" t="str">
        <x:v>Campus/portfolio roster; individual building occupancy unverified</x:v>
      </x:c>
      <x:c r="I3544" s="12" t="str">
        <x:v>Mixed business audience</x:v>
      </x:c>
      <x:c r="J3544" s="12" t="str">
        <x:v>Unresolved</x:v>
      </x:c>
      <x:c r="K3544" s="2" t="str">
        <x:v>PARTNER-M154</x:v>
      </x:c>
    </x:row>
    <x:row r="3545" ht="46" customHeight="1">
      <x:c r="A3545" s="2" t="str">
        <x:v>TEN-7DB74F996F50</x:v>
      </x:c>
      <x:c r="B3545" s="12" t="str">
        <x:v>Hitachi Rail STS Bangalore</x:v>
      </x:c>
      <x:c r="C3545" s="12" t="str">
        <x:v>CORP-0572</x:v>
      </x:c>
      <x:c r="D3545" s="12" t="str">
        <x:v>Bengaluru</x:v>
      </x:c>
      <x:c r="E3545" s="12" t="str">
        <x:v>Maruthi Infotech Center</x:v>
      </x:c>
      <x:c r="F3545" s="12" t="str">
        <x:v>55 inch</x:v>
      </x:c>
      <x:c r="G3545" s="20" t="n">
        <x:v>1</x:v>
      </x:c>
      <x:c r="H3545" s="12" t="str">
        <x:v>Campus/portfolio roster; individual building occupancy unverified</x:v>
      </x:c>
      <x:c r="I3545" s="12" t="str">
        <x:v>Large enterprise</x:v>
      </x:c>
      <x:c r="J3545" s="12" t="str">
        <x:v>Engineering &amp; manufacturing</x:v>
      </x:c>
      <x:c r="K3545" s="2" t="str">
        <x:v>PARTNER-M154</x:v>
      </x:c>
    </x:row>
    <x:row r="3546" ht="46" customHeight="1">
      <x:c r="A3546" s="2" t="str">
        <x:v>TEN-8AD914E76A1E</x:v>
      </x:c>
      <x:c r="B3546" s="12" t="str">
        <x:v>Exotel</x:v>
      </x:c>
      <x:c r="C3546" s="12" t="str">
        <x:v>CORP-0572</x:v>
      </x:c>
      <x:c r="D3546" s="12" t="str">
        <x:v>Bengaluru</x:v>
      </x:c>
      <x:c r="E3546" s="12" t="str">
        <x:v>Maruthi Infotech Center</x:v>
      </x:c>
      <x:c r="F3546" s="12" t="str">
        <x:v>55 inch</x:v>
      </x:c>
      <x:c r="G3546" s="20" t="n">
        <x:v>1</x:v>
      </x:c>
      <x:c r="H3546" s="12" t="str">
        <x:v>Campus/portfolio roster; individual building occupancy unverified</x:v>
      </x:c>
      <x:c r="I3546" s="12" t="str">
        <x:v>Small-scale prospects</x:v>
      </x:c>
      <x:c r="J3546" s="12" t="str">
        <x:v>IT &amp; digital</x:v>
      </x:c>
      <x:c r="K3546" s="2" t="str">
        <x:v>PARTNER-M154</x:v>
      </x:c>
    </x:row>
    <x:row r="3547" ht="46" customHeight="1">
      <x:c r="A3547" s="2" t="str">
        <x:v>TEN-C8FA2C07840D</x:v>
      </x:c>
      <x:c r="B3547" s="12" t="str">
        <x:v>Scoler</x:v>
      </x:c>
      <x:c r="C3547" s="12" t="str">
        <x:v>CORP-0572</x:v>
      </x:c>
      <x:c r="D3547" s="12" t="str">
        <x:v>Bengaluru</x:v>
      </x:c>
      <x:c r="E3547" s="12" t="str">
        <x:v>Maruthi Infotech Center</x:v>
      </x:c>
      <x:c r="F3547" s="12" t="str">
        <x:v>55 inch</x:v>
      </x:c>
      <x:c r="G3547" s="20" t="n">
        <x:v>1</x:v>
      </x:c>
      <x:c r="H3547" s="12" t="str">
        <x:v>Campus/portfolio roster; individual building occupancy unverified</x:v>
      </x:c>
      <x:c r="I3547" s="12" t="str">
        <x:v>Mixed business audience</x:v>
      </x:c>
      <x:c r="J3547" s="12" t="str">
        <x:v>Unresolved</x:v>
      </x:c>
      <x:c r="K3547" s="2" t="str">
        <x:v>PARTNER-M154</x:v>
      </x:c>
    </x:row>
    <x:row r="3548" ht="46" customHeight="1">
      <x:c r="A3548" s="2" t="str">
        <x:v>TEN-FDB92F1E0EDB</x:v>
      </x:c>
      <x:c r="B3548" s="12" t="str">
        <x:v>Dezerv</x:v>
      </x:c>
      <x:c r="C3548" s="12" t="str">
        <x:v>CORP-0572</x:v>
      </x:c>
      <x:c r="D3548" s="12" t="str">
        <x:v>Bengaluru</x:v>
      </x:c>
      <x:c r="E3548" s="12" t="str">
        <x:v>Maruthi Infotech Center</x:v>
      </x:c>
      <x:c r="F3548" s="12" t="str">
        <x:v>55 inch</x:v>
      </x:c>
      <x:c r="G3548" s="20" t="n">
        <x:v>1</x:v>
      </x:c>
      <x:c r="H3548" s="12" t="str">
        <x:v>Campus/portfolio roster; individual building occupancy unverified</x:v>
      </x:c>
      <x:c r="I3548" s="12" t="str">
        <x:v>Medium-scale prospects</x:v>
      </x:c>
      <x:c r="J3548" s="12" t="str">
        <x:v>Finance &amp; insurance</x:v>
      </x:c>
      <x:c r="K3548" s="2" t="str">
        <x:v>PARTNER-M154</x:v>
      </x:c>
    </x:row>
    <x:row r="3549" ht="46" customHeight="1">
      <x:c r="A3549" s="2" t="str">
        <x:v>TEN-0301B82899C9</x:v>
      </x:c>
      <x:c r="B3549" s="12" t="str">
        <x:v>Nettpositive Business Analytics</x:v>
      </x:c>
      <x:c r="C3549" s="12" t="str">
        <x:v>CORP-0573</x:v>
      </x:c>
      <x:c r="D3549" s="12" t="str">
        <x:v>Bengaluru</x:v>
      </x:c>
      <x:c r="E3549" s="12" t="str">
        <x:v>Maruthi Infotech Center</x:v>
      </x:c>
      <x:c r="F3549" s="12" t="str">
        <x:v>55 inch</x:v>
      </x:c>
      <x:c r="G3549" s="20" t="n">
        <x:v>1</x:v>
      </x:c>
      <x:c r="H3549" s="12" t="str">
        <x:v>Campus/portfolio roster; individual building occupancy unverified</x:v>
      </x:c>
      <x:c r="I3549" s="12" t="str">
        <x:v>Small-scale prospects</x:v>
      </x:c>
      <x:c r="J3549" s="12" t="str">
        <x:v>IT &amp; digital</x:v>
      </x:c>
      <x:c r="K3549" s="2" t="str">
        <x:v>PARTNER-M154</x:v>
      </x:c>
    </x:row>
    <x:row r="3550" ht="46" customHeight="1">
      <x:c r="A3550" s="2" t="str">
        <x:v>TEN-1C2EC4E96776</x:v>
      </x:c>
      <x:c r="B3550" s="12" t="str">
        <x:v>American Express GBT</x:v>
      </x:c>
      <x:c r="C3550" s="12" t="str">
        <x:v>CORP-0573</x:v>
      </x:c>
      <x:c r="D3550" s="12" t="str">
        <x:v>Bengaluru</x:v>
      </x:c>
      <x:c r="E3550" s="12" t="str">
        <x:v>Maruthi Infotech Center</x:v>
      </x:c>
      <x:c r="F3550" s="12" t="str">
        <x:v>55 inch</x:v>
      </x:c>
      <x:c r="G3550" s="20" t="n">
        <x:v>1</x:v>
      </x:c>
      <x:c r="H3550" s="12" t="str">
        <x:v>Campus/portfolio roster; individual building occupancy unverified</x:v>
      </x:c>
      <x:c r="I3550" s="12" t="str">
        <x:v>Mixed business audience</x:v>
      </x:c>
      <x:c r="J3550" s="12" t="str">
        <x:v>Trade, consumer &amp; logistics</x:v>
      </x:c>
      <x:c r="K3550" s="2" t="str">
        <x:v>PARTNER-M154</x:v>
      </x:c>
    </x:row>
    <x:row r="3551" ht="46" customHeight="1">
      <x:c r="A3551" s="2" t="str">
        <x:v>TEN-423D620322C3</x:v>
      </x:c>
      <x:c r="B3551" s="12" t="str">
        <x:v>Relevel by Unacademy</x:v>
      </x:c>
      <x:c r="C3551" s="12" t="str">
        <x:v>CORP-0573</x:v>
      </x:c>
      <x:c r="D3551" s="12" t="str">
        <x:v>Bengaluru</x:v>
      </x:c>
      <x:c r="E3551" s="12" t="str">
        <x:v>Maruthi Infotech Center</x:v>
      </x:c>
      <x:c r="F3551" s="12" t="str">
        <x:v>55 inch</x:v>
      </x:c>
      <x:c r="G3551" s="20" t="n">
        <x:v>1</x:v>
      </x:c>
      <x:c r="H3551" s="12" t="str">
        <x:v>Campus/portfolio roster; individual building occupancy unverified</x:v>
      </x:c>
      <x:c r="I3551" s="12" t="str">
        <x:v>Mixed business audience</x:v>
      </x:c>
      <x:c r="J3551" s="12" t="str">
        <x:v>Unresolved</x:v>
      </x:c>
      <x:c r="K3551" s="2" t="str">
        <x:v>PARTNER-M154</x:v>
      </x:c>
    </x:row>
    <x:row r="3552" ht="46" customHeight="1">
      <x:c r="A3552" s="2" t="str">
        <x:v>TEN-7DB74F996F50</x:v>
      </x:c>
      <x:c r="B3552" s="12" t="str">
        <x:v>Hitachi Rail STS Bangalore</x:v>
      </x:c>
      <x:c r="C3552" s="12" t="str">
        <x:v>CORP-0573</x:v>
      </x:c>
      <x:c r="D3552" s="12" t="str">
        <x:v>Bengaluru</x:v>
      </x:c>
      <x:c r="E3552" s="12" t="str">
        <x:v>Maruthi Infotech Center</x:v>
      </x:c>
      <x:c r="F3552" s="12" t="str">
        <x:v>55 inch</x:v>
      </x:c>
      <x:c r="G3552" s="20" t="n">
        <x:v>1</x:v>
      </x:c>
      <x:c r="H3552" s="12" t="str">
        <x:v>Campus/portfolio roster; individual building occupancy unverified</x:v>
      </x:c>
      <x:c r="I3552" s="12" t="str">
        <x:v>Large enterprise</x:v>
      </x:c>
      <x:c r="J3552" s="12" t="str">
        <x:v>Engineering &amp; manufacturing</x:v>
      </x:c>
      <x:c r="K3552" s="2" t="str">
        <x:v>PARTNER-M154</x:v>
      </x:c>
    </x:row>
    <x:row r="3553" ht="46" customHeight="1">
      <x:c r="A3553" s="2" t="str">
        <x:v>TEN-8AD914E76A1E</x:v>
      </x:c>
      <x:c r="B3553" s="12" t="str">
        <x:v>Exotel</x:v>
      </x:c>
      <x:c r="C3553" s="12" t="str">
        <x:v>CORP-0573</x:v>
      </x:c>
      <x:c r="D3553" s="12" t="str">
        <x:v>Bengaluru</x:v>
      </x:c>
      <x:c r="E3553" s="12" t="str">
        <x:v>Maruthi Infotech Center</x:v>
      </x:c>
      <x:c r="F3553" s="12" t="str">
        <x:v>55 inch</x:v>
      </x:c>
      <x:c r="G3553" s="20" t="n">
        <x:v>1</x:v>
      </x:c>
      <x:c r="H3553" s="12" t="str">
        <x:v>Campus/portfolio roster; individual building occupancy unverified</x:v>
      </x:c>
      <x:c r="I3553" s="12" t="str">
        <x:v>Small-scale prospects</x:v>
      </x:c>
      <x:c r="J3553" s="12" t="str">
        <x:v>IT &amp; digital</x:v>
      </x:c>
      <x:c r="K3553" s="2" t="str">
        <x:v>PARTNER-M154</x:v>
      </x:c>
    </x:row>
    <x:row r="3554" ht="46" customHeight="1">
      <x:c r="A3554" s="2" t="str">
        <x:v>TEN-C8FA2C07840D</x:v>
      </x:c>
      <x:c r="B3554" s="12" t="str">
        <x:v>Scoler</x:v>
      </x:c>
      <x:c r="C3554" s="12" t="str">
        <x:v>CORP-0573</x:v>
      </x:c>
      <x:c r="D3554" s="12" t="str">
        <x:v>Bengaluru</x:v>
      </x:c>
      <x:c r="E3554" s="12" t="str">
        <x:v>Maruthi Infotech Center</x:v>
      </x:c>
      <x:c r="F3554" s="12" t="str">
        <x:v>55 inch</x:v>
      </x:c>
      <x:c r="G3554" s="20" t="n">
        <x:v>1</x:v>
      </x:c>
      <x:c r="H3554" s="12" t="str">
        <x:v>Campus/portfolio roster; individual building occupancy unverified</x:v>
      </x:c>
      <x:c r="I3554" s="12" t="str">
        <x:v>Mixed business audience</x:v>
      </x:c>
      <x:c r="J3554" s="12" t="str">
        <x:v>Unresolved</x:v>
      </x:c>
      <x:c r="K3554" s="2" t="str">
        <x:v>PARTNER-M154</x:v>
      </x:c>
    </x:row>
    <x:row r="3555" ht="46" customHeight="1">
      <x:c r="A3555" s="2" t="str">
        <x:v>TEN-FDB92F1E0EDB</x:v>
      </x:c>
      <x:c r="B3555" s="12" t="str">
        <x:v>Dezerv</x:v>
      </x:c>
      <x:c r="C3555" s="12" t="str">
        <x:v>CORP-0573</x:v>
      </x:c>
      <x:c r="D3555" s="12" t="str">
        <x:v>Bengaluru</x:v>
      </x:c>
      <x:c r="E3555" s="12" t="str">
        <x:v>Maruthi Infotech Center</x:v>
      </x:c>
      <x:c r="F3555" s="12" t="str">
        <x:v>55 inch</x:v>
      </x:c>
      <x:c r="G3555" s="20" t="n">
        <x:v>1</x:v>
      </x:c>
      <x:c r="H3555" s="12" t="str">
        <x:v>Campus/portfolio roster; individual building occupancy unverified</x:v>
      </x:c>
      <x:c r="I3555" s="12" t="str">
        <x:v>Medium-scale prospects</x:v>
      </x:c>
      <x:c r="J3555" s="12" t="str">
        <x:v>Finance &amp; insurance</x:v>
      </x:c>
      <x:c r="K3555" s="2" t="str">
        <x:v>PARTNER-M154</x:v>
      </x:c>
    </x:row>
    <x:row r="3556" ht="46" customHeight="1">
      <x:c r="A3556" s="2" t="str">
        <x:v>TEN-0301B82899C9</x:v>
      </x:c>
      <x:c r="B3556" s="12" t="str">
        <x:v>Nettpositive Business Analytics</x:v>
      </x:c>
      <x:c r="C3556" s="12" t="str">
        <x:v>CORP-0574</x:v>
      </x:c>
      <x:c r="D3556" s="12" t="str">
        <x:v>Bengaluru</x:v>
      </x:c>
      <x:c r="E3556" s="12" t="str">
        <x:v>Maruthi Infotech Center</x:v>
      </x:c>
      <x:c r="F3556" s="12" t="str">
        <x:v>55 inch</x:v>
      </x:c>
      <x:c r="G3556" s="20" t="n">
        <x:v>1</x:v>
      </x:c>
      <x:c r="H3556" s="12" t="str">
        <x:v>Campus/portfolio roster; individual building occupancy unverified</x:v>
      </x:c>
      <x:c r="I3556" s="12" t="str">
        <x:v>Small-scale prospects</x:v>
      </x:c>
      <x:c r="J3556" s="12" t="str">
        <x:v>IT &amp; digital</x:v>
      </x:c>
      <x:c r="K3556" s="2" t="str">
        <x:v>PARTNER-M154</x:v>
      </x:c>
    </x:row>
    <x:row r="3557" ht="46" customHeight="1">
      <x:c r="A3557" s="2" t="str">
        <x:v>TEN-1C2EC4E96776</x:v>
      </x:c>
      <x:c r="B3557" s="12" t="str">
        <x:v>American Express GBT</x:v>
      </x:c>
      <x:c r="C3557" s="12" t="str">
        <x:v>CORP-0574</x:v>
      </x:c>
      <x:c r="D3557" s="12" t="str">
        <x:v>Bengaluru</x:v>
      </x:c>
      <x:c r="E3557" s="12" t="str">
        <x:v>Maruthi Infotech Center</x:v>
      </x:c>
      <x:c r="F3557" s="12" t="str">
        <x:v>55 inch</x:v>
      </x:c>
      <x:c r="G3557" s="20" t="n">
        <x:v>1</x:v>
      </x:c>
      <x:c r="H3557" s="12" t="str">
        <x:v>Campus/portfolio roster; individual building occupancy unverified</x:v>
      </x:c>
      <x:c r="I3557" s="12" t="str">
        <x:v>Mixed business audience</x:v>
      </x:c>
      <x:c r="J3557" s="12" t="str">
        <x:v>Trade, consumer &amp; logistics</x:v>
      </x:c>
      <x:c r="K3557" s="2" t="str">
        <x:v>PARTNER-M154</x:v>
      </x:c>
    </x:row>
    <x:row r="3558" ht="46" customHeight="1">
      <x:c r="A3558" s="2" t="str">
        <x:v>TEN-423D620322C3</x:v>
      </x:c>
      <x:c r="B3558" s="12" t="str">
        <x:v>Relevel by Unacademy</x:v>
      </x:c>
      <x:c r="C3558" s="12" t="str">
        <x:v>CORP-0574</x:v>
      </x:c>
      <x:c r="D3558" s="12" t="str">
        <x:v>Bengaluru</x:v>
      </x:c>
      <x:c r="E3558" s="12" t="str">
        <x:v>Maruthi Infotech Center</x:v>
      </x:c>
      <x:c r="F3558" s="12" t="str">
        <x:v>55 inch</x:v>
      </x:c>
      <x:c r="G3558" s="20" t="n">
        <x:v>1</x:v>
      </x:c>
      <x:c r="H3558" s="12" t="str">
        <x:v>Campus/portfolio roster; individual building occupancy unverified</x:v>
      </x:c>
      <x:c r="I3558" s="12" t="str">
        <x:v>Mixed business audience</x:v>
      </x:c>
      <x:c r="J3558" s="12" t="str">
        <x:v>Unresolved</x:v>
      </x:c>
      <x:c r="K3558" s="2" t="str">
        <x:v>PARTNER-M154</x:v>
      </x:c>
    </x:row>
    <x:row r="3559" ht="46" customHeight="1">
      <x:c r="A3559" s="2" t="str">
        <x:v>TEN-7DB74F996F50</x:v>
      </x:c>
      <x:c r="B3559" s="12" t="str">
        <x:v>Hitachi Rail STS Bangalore</x:v>
      </x:c>
      <x:c r="C3559" s="12" t="str">
        <x:v>CORP-0574</x:v>
      </x:c>
      <x:c r="D3559" s="12" t="str">
        <x:v>Bengaluru</x:v>
      </x:c>
      <x:c r="E3559" s="12" t="str">
        <x:v>Maruthi Infotech Center</x:v>
      </x:c>
      <x:c r="F3559" s="12" t="str">
        <x:v>55 inch</x:v>
      </x:c>
      <x:c r="G3559" s="20" t="n">
        <x:v>1</x:v>
      </x:c>
      <x:c r="H3559" s="12" t="str">
        <x:v>Campus/portfolio roster; individual building occupancy unverified</x:v>
      </x:c>
      <x:c r="I3559" s="12" t="str">
        <x:v>Large enterprise</x:v>
      </x:c>
      <x:c r="J3559" s="12" t="str">
        <x:v>Engineering &amp; manufacturing</x:v>
      </x:c>
      <x:c r="K3559" s="2" t="str">
        <x:v>PARTNER-M154</x:v>
      </x:c>
    </x:row>
    <x:row r="3560" ht="46" customHeight="1">
      <x:c r="A3560" s="2" t="str">
        <x:v>TEN-8AD914E76A1E</x:v>
      </x:c>
      <x:c r="B3560" s="12" t="str">
        <x:v>Exotel</x:v>
      </x:c>
      <x:c r="C3560" s="12" t="str">
        <x:v>CORP-0574</x:v>
      </x:c>
      <x:c r="D3560" s="12" t="str">
        <x:v>Bengaluru</x:v>
      </x:c>
      <x:c r="E3560" s="12" t="str">
        <x:v>Maruthi Infotech Center</x:v>
      </x:c>
      <x:c r="F3560" s="12" t="str">
        <x:v>55 inch</x:v>
      </x:c>
      <x:c r="G3560" s="20" t="n">
        <x:v>1</x:v>
      </x:c>
      <x:c r="H3560" s="12" t="str">
        <x:v>Campus/portfolio roster; individual building occupancy unverified</x:v>
      </x:c>
      <x:c r="I3560" s="12" t="str">
        <x:v>Small-scale prospects</x:v>
      </x:c>
      <x:c r="J3560" s="12" t="str">
        <x:v>IT &amp; digital</x:v>
      </x:c>
      <x:c r="K3560" s="2" t="str">
        <x:v>PARTNER-M154</x:v>
      </x:c>
    </x:row>
    <x:row r="3561" ht="46" customHeight="1">
      <x:c r="A3561" s="2" t="str">
        <x:v>TEN-C8FA2C07840D</x:v>
      </x:c>
      <x:c r="B3561" s="12" t="str">
        <x:v>Scoler</x:v>
      </x:c>
      <x:c r="C3561" s="12" t="str">
        <x:v>CORP-0574</x:v>
      </x:c>
      <x:c r="D3561" s="12" t="str">
        <x:v>Bengaluru</x:v>
      </x:c>
      <x:c r="E3561" s="12" t="str">
        <x:v>Maruthi Infotech Center</x:v>
      </x:c>
      <x:c r="F3561" s="12" t="str">
        <x:v>55 inch</x:v>
      </x:c>
      <x:c r="G3561" s="20" t="n">
        <x:v>1</x:v>
      </x:c>
      <x:c r="H3561" s="12" t="str">
        <x:v>Campus/portfolio roster; individual building occupancy unverified</x:v>
      </x:c>
      <x:c r="I3561" s="12" t="str">
        <x:v>Mixed business audience</x:v>
      </x:c>
      <x:c r="J3561" s="12" t="str">
        <x:v>Unresolved</x:v>
      </x:c>
      <x:c r="K3561" s="2" t="str">
        <x:v>PARTNER-M154</x:v>
      </x:c>
    </x:row>
    <x:row r="3562" ht="46" customHeight="1">
      <x:c r="A3562" s="2" t="str">
        <x:v>TEN-FDB92F1E0EDB</x:v>
      </x:c>
      <x:c r="B3562" s="12" t="str">
        <x:v>Dezerv</x:v>
      </x:c>
      <x:c r="C3562" s="12" t="str">
        <x:v>CORP-0574</x:v>
      </x:c>
      <x:c r="D3562" s="12" t="str">
        <x:v>Bengaluru</x:v>
      </x:c>
      <x:c r="E3562" s="12" t="str">
        <x:v>Maruthi Infotech Center</x:v>
      </x:c>
      <x:c r="F3562" s="12" t="str">
        <x:v>55 inch</x:v>
      </x:c>
      <x:c r="G3562" s="20" t="n">
        <x:v>1</x:v>
      </x:c>
      <x:c r="H3562" s="12" t="str">
        <x:v>Campus/portfolio roster; individual building occupancy unverified</x:v>
      </x:c>
      <x:c r="I3562" s="12" t="str">
        <x:v>Medium-scale prospects</x:v>
      </x:c>
      <x:c r="J3562" s="12" t="str">
        <x:v>Finance &amp; insurance</x:v>
      </x:c>
      <x:c r="K3562" s="2" t="str">
        <x:v>PARTNER-M154</x:v>
      </x:c>
    </x:row>
    <x:row r="3563" ht="46" customHeight="1">
      <x:c r="A3563" s="2" t="str">
        <x:v>TEN-03A4F323A24B</x:v>
      </x:c>
      <x:c r="B3563" s="12" t="str">
        <x:v>Amelia Global Services</x:v>
      </x:c>
      <x:c r="C3563" s="12" t="str">
        <x:v>CORP-0431</x:v>
      </x:c>
      <x:c r="D3563" s="12" t="str">
        <x:v>Bengaluru</x:v>
      </x:c>
      <x:c r="E3563" s="12" t="str">
        <x:v>International Tech Park (ITPB - SEZ)</x:v>
      </x:c>
      <x:c r="F3563" s="12" t="str">
        <x:v>55 inch</x:v>
      </x:c>
      <x:c r="G3563" s="20" t="n">
        <x:v>1</x:v>
      </x:c>
      <x:c r="H3563" s="12" t="str">
        <x:v>Campus/portfolio roster; individual building occupancy unverified</x:v>
      </x:c>
      <x:c r="I3563" s="12" t="str">
        <x:v>Mixed business audience</x:v>
      </x:c>
      <x:c r="J3563" s="12" t="str">
        <x:v>IT &amp; digital</x:v>
      </x:c>
      <x:c r="K3563" s="2" t="str">
        <x:v>PARTNER-M011</x:v>
      </x:c>
    </x:row>
    <x:row r="3564" ht="46" customHeight="1">
      <x:c r="A3564" s="2" t="str">
        <x:v>TEN-096E2E0989A6</x:v>
      </x:c>
      <x:c r="B3564" s="12" t="str">
        <x:v>Natixis Services in India</x:v>
      </x:c>
      <x:c r="C3564" s="12" t="str">
        <x:v>CORP-0431</x:v>
      </x:c>
      <x:c r="D3564" s="12" t="str">
        <x:v>Bengaluru</x:v>
      </x:c>
      <x:c r="E3564" s="12" t="str">
        <x:v>International Tech Park (ITPB - SEZ)</x:v>
      </x:c>
      <x:c r="F3564" s="12" t="str">
        <x:v>55 inch</x:v>
      </x:c>
      <x:c r="G3564" s="20" t="n">
        <x:v>1</x:v>
      </x:c>
      <x:c r="H3564" s="12" t="str">
        <x:v>Campus/portfolio roster; individual building occupancy unverified</x:v>
      </x:c>
      <x:c r="I3564" s="12" t="str">
        <x:v>Mixed business audience</x:v>
      </x:c>
      <x:c r="J3564" s="12" t="str">
        <x:v>Finance &amp; insurance</x:v>
      </x:c>
      <x:c r="K3564" s="2" t="str">
        <x:v>PARTNER-M011</x:v>
      </x:c>
    </x:row>
    <x:row r="3565" ht="46" customHeight="1">
      <x:c r="A3565" s="2" t="str">
        <x:v>TEN-0F0E714E580D</x:v>
      </x:c>
      <x:c r="B3565" s="12" t="str">
        <x:v>Scientific Games</x:v>
      </x:c>
      <x:c r="C3565" s="12" t="str">
        <x:v>CORP-0431</x:v>
      </x:c>
      <x:c r="D3565" s="12" t="str">
        <x:v>Bengaluru</x:v>
      </x:c>
      <x:c r="E3565" s="12" t="str">
        <x:v>International Tech Park (ITPB - SEZ)</x:v>
      </x:c>
      <x:c r="F3565" s="12" t="str">
        <x:v>55 inch</x:v>
      </x:c>
      <x:c r="G3565" s="20" t="n">
        <x:v>1</x:v>
      </x:c>
      <x:c r="H3565" s="12" t="str">
        <x:v>Campus/portfolio roster; individual building occupancy unverified</x:v>
      </x:c>
      <x:c r="I3565" s="12" t="str">
        <x:v>Mixed business audience</x:v>
      </x:c>
      <x:c r="J3565" s="12" t="str">
        <x:v>Trade, consumer &amp; logistics</x:v>
      </x:c>
      <x:c r="K3565" s="2" t="str">
        <x:v>PARTNER-M011</x:v>
      </x:c>
    </x:row>
    <x:row r="3566" ht="46" customHeight="1">
      <x:c r="A3566" s="2" t="str">
        <x:v>TEN-17B1E60B57B8</x:v>
      </x:c>
      <x:c r="B3566" s="12" t="str">
        <x:v>IPsoft Global Services</x:v>
      </x:c>
      <x:c r="C3566" s="12" t="str">
        <x:v>CORP-0431</x:v>
      </x:c>
      <x:c r="D3566" s="12" t="str">
        <x:v>Bengaluru</x:v>
      </x:c>
      <x:c r="E3566" s="12" t="str">
        <x:v>International Tech Park (ITPB - SEZ)</x:v>
      </x:c>
      <x:c r="F3566" s="12" t="str">
        <x:v>55 inch</x:v>
      </x:c>
      <x:c r="G3566" s="20" t="n">
        <x:v>1</x:v>
      </x:c>
      <x:c r="H3566" s="12" t="str">
        <x:v>Campus/portfolio roster; individual building occupancy unverified</x:v>
      </x:c>
      <x:c r="I3566" s="12" t="str">
        <x:v>Mixed business audience</x:v>
      </x:c>
      <x:c r="J3566" s="12" t="str">
        <x:v>IT &amp; digital</x:v>
      </x:c>
      <x:c r="K3566" s="2" t="str">
        <x:v>PARTNER-M011</x:v>
      </x:c>
    </x:row>
    <x:row r="3567" ht="46" customHeight="1">
      <x:c r="A3567" s="2" t="str">
        <x:v>TEN-4BBC20253CB6</x:v>
      </x:c>
      <x:c r="B3567" s="12" t="str">
        <x:v>Conduent Business Services India</x:v>
      </x:c>
      <x:c r="C3567" s="12" t="str">
        <x:v>CORP-0431</x:v>
      </x:c>
      <x:c r="D3567" s="12" t="str">
        <x:v>Bengaluru</x:v>
      </x:c>
      <x:c r="E3567" s="12" t="str">
        <x:v>International Tech Park (ITPB - SEZ)</x:v>
      </x:c>
      <x:c r="F3567" s="12" t="str">
        <x:v>55 inch</x:v>
      </x:c>
      <x:c r="G3567" s="20" t="n">
        <x:v>1</x:v>
      </x:c>
      <x:c r="H3567" s="12" t="str">
        <x:v>Campus/portfolio roster; individual building occupancy unverified</x:v>
      </x:c>
      <x:c r="I3567" s="12" t="str">
        <x:v>Mixed business audience</x:v>
      </x:c>
      <x:c r="J3567" s="12" t="str">
        <x:v>IT &amp; digital</x:v>
      </x:c>
      <x:c r="K3567" s="2" t="str">
        <x:v>PARTNER-M011</x:v>
      </x:c>
    </x:row>
    <x:row r="3568" ht="46" customHeight="1">
      <x:c r="A3568" s="2" t="str">
        <x:v>TEN-58331B396902</x:v>
      </x:c>
      <x:c r="B3568" s="12" t="str">
        <x:v>Dealslooter.in</x:v>
      </x:c>
      <x:c r="C3568" s="12" t="str">
        <x:v>CORP-0431</x:v>
      </x:c>
      <x:c r="D3568" s="12" t="str">
        <x:v>Bengaluru</x:v>
      </x:c>
      <x:c r="E3568" s="12" t="str">
        <x:v>International Tech Park (ITPB - SEZ)</x:v>
      </x:c>
      <x:c r="F3568" s="12" t="str">
        <x:v>55 inch</x:v>
      </x:c>
      <x:c r="G3568" s="20" t="n">
        <x:v>1</x:v>
      </x:c>
      <x:c r="H3568" s="12" t="str">
        <x:v>Campus/portfolio roster; individual building occupancy unverified</x:v>
      </x:c>
      <x:c r="I3568" s="12" t="str">
        <x:v>Small-scale prospects</x:v>
      </x:c>
      <x:c r="J3568" s="12" t="str">
        <x:v>Trade, consumer &amp; logistics</x:v>
      </x:c>
      <x:c r="K3568" s="2" t="str">
        <x:v>PARTNER-M011</x:v>
      </x:c>
    </x:row>
    <x:row r="3569" ht="46" customHeight="1">
      <x:c r="A3569" s="2" t="str">
        <x:v>TEN-5FA790F3630F</x:v>
      </x:c>
      <x:c r="B3569" s="12" t="str">
        <x:v>Tata Consultancy Services</x:v>
      </x:c>
      <x:c r="C3569" s="12" t="str">
        <x:v>CORP-0431</x:v>
      </x:c>
      <x:c r="D3569" s="12" t="str">
        <x:v>Bengaluru</x:v>
      </x:c>
      <x:c r="E3569" s="12" t="str">
        <x:v>International Tech Park (ITPB - SEZ)</x:v>
      </x:c>
      <x:c r="F3569" s="12" t="str">
        <x:v>55 inch</x:v>
      </x:c>
      <x:c r="G3569" s="20" t="n">
        <x:v>1</x:v>
      </x:c>
      <x:c r="H3569" s="12" t="str">
        <x:v>Campus/portfolio roster; individual building occupancy unverified</x:v>
      </x:c>
      <x:c r="I3569" s="12" t="str">
        <x:v>Large enterprise</x:v>
      </x:c>
      <x:c r="J3569" s="12" t="str">
        <x:v>IT &amp; digital</x:v>
      </x:c>
      <x:c r="K3569" s="2" t="str">
        <x:v>PARTNER-M011</x:v>
      </x:c>
    </x:row>
    <x:row r="3570" ht="46" customHeight="1">
      <x:c r="A3570" s="2" t="str">
        <x:v>TEN-ACFE8450840B</x:v>
      </x:c>
      <x:c r="B3570" s="12" t="str">
        <x:v>HCL</x:v>
      </x:c>
      <x:c r="C3570" s="12" t="str">
        <x:v>CORP-0431</x:v>
      </x:c>
      <x:c r="D3570" s="12" t="str">
        <x:v>Bengaluru</x:v>
      </x:c>
      <x:c r="E3570" s="12" t="str">
        <x:v>International Tech Park (ITPB - SEZ)</x:v>
      </x:c>
      <x:c r="F3570" s="12" t="str">
        <x:v>55 inch</x:v>
      </x:c>
      <x:c r="G3570" s="20" t="n">
        <x:v>1</x:v>
      </x:c>
      <x:c r="H3570" s="12" t="str">
        <x:v>Campus/portfolio roster; individual building occupancy unverified</x:v>
      </x:c>
      <x:c r="I3570" s="12" t="str">
        <x:v>Large enterprise</x:v>
      </x:c>
      <x:c r="J3570" s="12" t="str">
        <x:v>IT &amp; digital</x:v>
      </x:c>
      <x:c r="K3570" s="2" t="str">
        <x:v>PARTNER-M011</x:v>
      </x:c>
    </x:row>
    <x:row r="3571" ht="46" customHeight="1">
      <x:c r="A3571" s="2" t="str">
        <x:v>TEN-B5C691D27CD7</x:v>
      </x:c>
      <x:c r="B3571" s="12" t="str">
        <x:v>Galaxe Solutions</x:v>
      </x:c>
      <x:c r="C3571" s="12" t="str">
        <x:v>CORP-0431</x:v>
      </x:c>
      <x:c r="D3571" s="12" t="str">
        <x:v>Bengaluru</x:v>
      </x:c>
      <x:c r="E3571" s="12" t="str">
        <x:v>International Tech Park (ITPB - SEZ)</x:v>
      </x:c>
      <x:c r="F3571" s="12" t="str">
        <x:v>55 inch</x:v>
      </x:c>
      <x:c r="G3571" s="20" t="n">
        <x:v>1</x:v>
      </x:c>
      <x:c r="H3571" s="12" t="str">
        <x:v>Campus/portfolio roster; individual building occupancy unverified</x:v>
      </x:c>
      <x:c r="I3571" s="12" t="str">
        <x:v>Mixed business audience</x:v>
      </x:c>
      <x:c r="J3571" s="12" t="str">
        <x:v>IT &amp; digital</x:v>
      </x:c>
      <x:c r="K3571" s="2" t="str">
        <x:v>PARTNER-M011</x:v>
      </x:c>
    </x:row>
    <x:row r="3572" ht="46" customHeight="1">
      <x:c r="A3572" s="2" t="str">
        <x:v>TEN-CA80269ADE3A</x:v>
      </x:c>
      <x:c r="B3572" s="12" t="str">
        <x:v>Mu Sigma</x:v>
      </x:c>
      <x:c r="C3572" s="12" t="str">
        <x:v>CORP-0431</x:v>
      </x:c>
      <x:c r="D3572" s="12" t="str">
        <x:v>Bengaluru</x:v>
      </x:c>
      <x:c r="E3572" s="12" t="str">
        <x:v>International Tech Park (ITPB - SEZ)</x:v>
      </x:c>
      <x:c r="F3572" s="12" t="str">
        <x:v>55 inch</x:v>
      </x:c>
      <x:c r="G3572" s="20" t="n">
        <x:v>1</x:v>
      </x:c>
      <x:c r="H3572" s="12" t="str">
        <x:v>Campus/portfolio roster; individual building occupancy unverified</x:v>
      </x:c>
      <x:c r="I3572" s="12" t="str">
        <x:v>Mixed business audience</x:v>
      </x:c>
      <x:c r="J3572" s="12" t="str">
        <x:v>IT &amp; digital</x:v>
      </x:c>
      <x:c r="K3572" s="2" t="str">
        <x:v>PARTNER-M011</x:v>
      </x:c>
    </x:row>
    <x:row r="3573" ht="46" customHeight="1">
      <x:c r="A3573" s="2" t="str">
        <x:v>TEN-D254184A081B</x:v>
      </x:c>
      <x:c r="B3573" s="12" t="str">
        <x:v>CSS Corp</x:v>
      </x:c>
      <x:c r="C3573" s="12" t="str">
        <x:v>CORP-0431</x:v>
      </x:c>
      <x:c r="D3573" s="12" t="str">
        <x:v>Bengaluru</x:v>
      </x:c>
      <x:c r="E3573" s="12" t="str">
        <x:v>International Tech Park (ITPB - SEZ)</x:v>
      </x:c>
      <x:c r="F3573" s="12" t="str">
        <x:v>55 inch</x:v>
      </x:c>
      <x:c r="G3573" s="20" t="n">
        <x:v>1</x:v>
      </x:c>
      <x:c r="H3573" s="12" t="str">
        <x:v>Campus/portfolio roster; individual building occupancy unverified</x:v>
      </x:c>
      <x:c r="I3573" s="12" t="str">
        <x:v>Mixed business audience</x:v>
      </x:c>
      <x:c r="J3573" s="12" t="str">
        <x:v>IT &amp; digital</x:v>
      </x:c>
      <x:c r="K3573" s="2" t="str">
        <x:v>PARTNER-M011</x:v>
      </x:c>
    </x:row>
    <x:row r="3574" ht="46" customHeight="1">
      <x:c r="A3574" s="2" t="str">
        <x:v>TEN-EBC4BBC5D3E0</x:v>
      </x:c>
      <x:c r="B3574" s="12" t="str">
        <x:v>Slash Support</x:v>
      </x:c>
      <x:c r="C3574" s="12" t="str">
        <x:v>CORP-0431</x:v>
      </x:c>
      <x:c r="D3574" s="12" t="str">
        <x:v>Bengaluru</x:v>
      </x:c>
      <x:c r="E3574" s="12" t="str">
        <x:v>International Tech Park (ITPB - SEZ)</x:v>
      </x:c>
      <x:c r="F3574" s="12" t="str">
        <x:v>55 inch</x:v>
      </x:c>
      <x:c r="G3574" s="20" t="n">
        <x:v>1</x:v>
      </x:c>
      <x:c r="H3574" s="12" t="str">
        <x:v>Campus/portfolio roster; individual building occupancy unverified</x:v>
      </x:c>
      <x:c r="I3574" s="12" t="str">
        <x:v>Mixed business audience</x:v>
      </x:c>
      <x:c r="J3574" s="12" t="str">
        <x:v>Unresolved</x:v>
      </x:c>
      <x:c r="K3574" s="2" t="str">
        <x:v>PARTNER-M011</x:v>
      </x:c>
    </x:row>
    <x:row r="3575" ht="46" customHeight="1">
      <x:c r="A3575" s="2" t="str">
        <x:v>TEN-F2E3013A0309</x:v>
      </x:c>
      <x:c r="B3575" s="12" t="str">
        <x:v>Movate Technologies</x:v>
      </x:c>
      <x:c r="C3575" s="12" t="str">
        <x:v>CORP-0431</x:v>
      </x:c>
      <x:c r="D3575" s="12" t="str">
        <x:v>Bengaluru</x:v>
      </x:c>
      <x:c r="E3575" s="12" t="str">
        <x:v>International Tech Park (ITPB - SEZ)</x:v>
      </x:c>
      <x:c r="F3575" s="12" t="str">
        <x:v>55 inch</x:v>
      </x:c>
      <x:c r="G3575" s="20" t="n">
        <x:v>1</x:v>
      </x:c>
      <x:c r="H3575" s="12" t="str">
        <x:v>Campus/portfolio roster; individual building occupancy unverified</x:v>
      </x:c>
      <x:c r="I3575" s="12" t="str">
        <x:v>Mixed business audience</x:v>
      </x:c>
      <x:c r="J3575" s="12" t="str">
        <x:v>IT &amp; digital</x:v>
      </x:c>
      <x:c r="K3575" s="2" t="str">
        <x:v>PARTNER-M011</x:v>
      </x:c>
    </x:row>
    <x:row r="3576" ht="46" customHeight="1">
      <x:c r="A3576" s="2" t="str">
        <x:v>TEN-F6768D57BDBC</x:v>
      </x:c>
      <x:c r="B3576" s="12" t="str">
        <x:v>Societe Generale</x:v>
      </x:c>
      <x:c r="C3576" s="12" t="str">
        <x:v>CORP-0431</x:v>
      </x:c>
      <x:c r="D3576" s="12" t="str">
        <x:v>Bengaluru</x:v>
      </x:c>
      <x:c r="E3576" s="12" t="str">
        <x:v>International Tech Park (ITPB - SEZ)</x:v>
      </x:c>
      <x:c r="F3576" s="12" t="str">
        <x:v>55 inch</x:v>
      </x:c>
      <x:c r="G3576" s="20" t="n">
        <x:v>1</x:v>
      </x:c>
      <x:c r="H3576" s="12" t="str">
        <x:v>Campus/portfolio roster; individual building occupancy unverified</x:v>
      </x:c>
      <x:c r="I3576" s="12" t="str">
        <x:v>Large enterprise</x:v>
      </x:c>
      <x:c r="J3576" s="12" t="str">
        <x:v>Finance &amp; insurance</x:v>
      </x:c>
      <x:c r="K3576" s="2" t="str">
        <x:v>PARTNER-M011</x:v>
      </x:c>
    </x:row>
    <x:row r="3577" ht="46" customHeight="1">
      <x:c r="A3577" s="2" t="str">
        <x:v>TEN-0301B82899C9</x:v>
      </x:c>
      <x:c r="B3577" s="12" t="str">
        <x:v>Nettpositive Business Analytics</x:v>
      </x:c>
      <x:c r="C3577" s="12" t="str">
        <x:v>CORP-0575</x:v>
      </x:c>
      <x:c r="D3577" s="12" t="str">
        <x:v>Bengaluru</x:v>
      </x:c>
      <x:c r="E3577" s="12" t="str">
        <x:v>Maruthi Infotech Center</x:v>
      </x:c>
      <x:c r="F3577" s="12" t="str">
        <x:v>55 inch</x:v>
      </x:c>
      <x:c r="G3577" s="20" t="n">
        <x:v>1</x:v>
      </x:c>
      <x:c r="H3577" s="12" t="str">
        <x:v>Campus/portfolio roster; individual building occupancy unverified</x:v>
      </x:c>
      <x:c r="I3577" s="12" t="str">
        <x:v>Small-scale prospects</x:v>
      </x:c>
      <x:c r="J3577" s="12" t="str">
        <x:v>IT &amp; digital</x:v>
      </x:c>
      <x:c r="K3577" s="2" t="str">
        <x:v>PARTNER-M154</x:v>
      </x:c>
    </x:row>
    <x:row r="3578" ht="46" customHeight="1">
      <x:c r="A3578" s="2" t="str">
        <x:v>TEN-1C2EC4E96776</x:v>
      </x:c>
      <x:c r="B3578" s="12" t="str">
        <x:v>American Express GBT</x:v>
      </x:c>
      <x:c r="C3578" s="12" t="str">
        <x:v>CORP-0575</x:v>
      </x:c>
      <x:c r="D3578" s="12" t="str">
        <x:v>Bengaluru</x:v>
      </x:c>
      <x:c r="E3578" s="12" t="str">
        <x:v>Maruthi Infotech Center</x:v>
      </x:c>
      <x:c r="F3578" s="12" t="str">
        <x:v>55 inch</x:v>
      </x:c>
      <x:c r="G3578" s="20" t="n">
        <x:v>1</x:v>
      </x:c>
      <x:c r="H3578" s="12" t="str">
        <x:v>Campus/portfolio roster; individual building occupancy unverified</x:v>
      </x:c>
      <x:c r="I3578" s="12" t="str">
        <x:v>Mixed business audience</x:v>
      </x:c>
      <x:c r="J3578" s="12" t="str">
        <x:v>Trade, consumer &amp; logistics</x:v>
      </x:c>
      <x:c r="K3578" s="2" t="str">
        <x:v>PARTNER-M154</x:v>
      </x:c>
    </x:row>
    <x:row r="3579" ht="46" customHeight="1">
      <x:c r="A3579" s="2" t="str">
        <x:v>TEN-423D620322C3</x:v>
      </x:c>
      <x:c r="B3579" s="12" t="str">
        <x:v>Relevel by Unacademy</x:v>
      </x:c>
      <x:c r="C3579" s="12" t="str">
        <x:v>CORP-0575</x:v>
      </x:c>
      <x:c r="D3579" s="12" t="str">
        <x:v>Bengaluru</x:v>
      </x:c>
      <x:c r="E3579" s="12" t="str">
        <x:v>Maruthi Infotech Center</x:v>
      </x:c>
      <x:c r="F3579" s="12" t="str">
        <x:v>55 inch</x:v>
      </x:c>
      <x:c r="G3579" s="20" t="n">
        <x:v>1</x:v>
      </x:c>
      <x:c r="H3579" s="12" t="str">
        <x:v>Campus/portfolio roster; individual building occupancy unverified</x:v>
      </x:c>
      <x:c r="I3579" s="12" t="str">
        <x:v>Mixed business audience</x:v>
      </x:c>
      <x:c r="J3579" s="12" t="str">
        <x:v>Unresolved</x:v>
      </x:c>
      <x:c r="K3579" s="2" t="str">
        <x:v>PARTNER-M154</x:v>
      </x:c>
    </x:row>
    <x:row r="3580" ht="46" customHeight="1">
      <x:c r="A3580" s="2" t="str">
        <x:v>TEN-7DB74F996F50</x:v>
      </x:c>
      <x:c r="B3580" s="12" t="str">
        <x:v>Hitachi Rail STS Bangalore</x:v>
      </x:c>
      <x:c r="C3580" s="12" t="str">
        <x:v>CORP-0575</x:v>
      </x:c>
      <x:c r="D3580" s="12" t="str">
        <x:v>Bengaluru</x:v>
      </x:c>
      <x:c r="E3580" s="12" t="str">
        <x:v>Maruthi Infotech Center</x:v>
      </x:c>
      <x:c r="F3580" s="12" t="str">
        <x:v>55 inch</x:v>
      </x:c>
      <x:c r="G3580" s="20" t="n">
        <x:v>1</x:v>
      </x:c>
      <x:c r="H3580" s="12" t="str">
        <x:v>Campus/portfolio roster; individual building occupancy unverified</x:v>
      </x:c>
      <x:c r="I3580" s="12" t="str">
        <x:v>Large enterprise</x:v>
      </x:c>
      <x:c r="J3580" s="12" t="str">
        <x:v>Engineering &amp; manufacturing</x:v>
      </x:c>
      <x:c r="K3580" s="2" t="str">
        <x:v>PARTNER-M154</x:v>
      </x:c>
    </x:row>
    <x:row r="3581" ht="46" customHeight="1">
      <x:c r="A3581" s="2" t="str">
        <x:v>TEN-8AD914E76A1E</x:v>
      </x:c>
      <x:c r="B3581" s="12" t="str">
        <x:v>Exotel</x:v>
      </x:c>
      <x:c r="C3581" s="12" t="str">
        <x:v>CORP-0575</x:v>
      </x:c>
      <x:c r="D3581" s="12" t="str">
        <x:v>Bengaluru</x:v>
      </x:c>
      <x:c r="E3581" s="12" t="str">
        <x:v>Maruthi Infotech Center</x:v>
      </x:c>
      <x:c r="F3581" s="12" t="str">
        <x:v>55 inch</x:v>
      </x:c>
      <x:c r="G3581" s="20" t="n">
        <x:v>1</x:v>
      </x:c>
      <x:c r="H3581" s="12" t="str">
        <x:v>Campus/portfolio roster; individual building occupancy unverified</x:v>
      </x:c>
      <x:c r="I3581" s="12" t="str">
        <x:v>Small-scale prospects</x:v>
      </x:c>
      <x:c r="J3581" s="12" t="str">
        <x:v>IT &amp; digital</x:v>
      </x:c>
      <x:c r="K3581" s="2" t="str">
        <x:v>PARTNER-M154</x:v>
      </x:c>
    </x:row>
    <x:row r="3582" ht="46" customHeight="1">
      <x:c r="A3582" s="2" t="str">
        <x:v>TEN-C8FA2C07840D</x:v>
      </x:c>
      <x:c r="B3582" s="12" t="str">
        <x:v>Scoler</x:v>
      </x:c>
      <x:c r="C3582" s="12" t="str">
        <x:v>CORP-0575</x:v>
      </x:c>
      <x:c r="D3582" s="12" t="str">
        <x:v>Bengaluru</x:v>
      </x:c>
      <x:c r="E3582" s="12" t="str">
        <x:v>Maruthi Infotech Center</x:v>
      </x:c>
      <x:c r="F3582" s="12" t="str">
        <x:v>55 inch</x:v>
      </x:c>
      <x:c r="G3582" s="20" t="n">
        <x:v>1</x:v>
      </x:c>
      <x:c r="H3582" s="12" t="str">
        <x:v>Campus/portfolio roster; individual building occupancy unverified</x:v>
      </x:c>
      <x:c r="I3582" s="12" t="str">
        <x:v>Mixed business audience</x:v>
      </x:c>
      <x:c r="J3582" s="12" t="str">
        <x:v>Unresolved</x:v>
      </x:c>
      <x:c r="K3582" s="2" t="str">
        <x:v>PARTNER-M154</x:v>
      </x:c>
    </x:row>
    <x:row r="3583" ht="46" customHeight="1">
      <x:c r="A3583" s="2" t="str">
        <x:v>TEN-FDB92F1E0EDB</x:v>
      </x:c>
      <x:c r="B3583" s="12" t="str">
        <x:v>Dezerv</x:v>
      </x:c>
      <x:c r="C3583" s="12" t="str">
        <x:v>CORP-0575</x:v>
      </x:c>
      <x:c r="D3583" s="12" t="str">
        <x:v>Bengaluru</x:v>
      </x:c>
      <x:c r="E3583" s="12" t="str">
        <x:v>Maruthi Infotech Center</x:v>
      </x:c>
      <x:c r="F3583" s="12" t="str">
        <x:v>55 inch</x:v>
      </x:c>
      <x:c r="G3583" s="20" t="n">
        <x:v>1</x:v>
      </x:c>
      <x:c r="H3583" s="12" t="str">
        <x:v>Campus/portfolio roster; individual building occupancy unverified</x:v>
      </x:c>
      <x:c r="I3583" s="12" t="str">
        <x:v>Medium-scale prospects</x:v>
      </x:c>
      <x:c r="J3583" s="12" t="str">
        <x:v>Finance &amp; insurance</x:v>
      </x:c>
      <x:c r="K3583" s="2" t="str">
        <x:v>PARTNER-M154</x:v>
      </x:c>
    </x:row>
    <x:row r="3584" ht="46" customHeight="1">
      <x:c r="A3584" s="2" t="str">
        <x:v>TEN-0301B82899C9</x:v>
      </x:c>
      <x:c r="B3584" s="12" t="str">
        <x:v>Nettpositive Business Analytics</x:v>
      </x:c>
      <x:c r="C3584" s="12" t="str">
        <x:v>CORP-0576</x:v>
      </x:c>
      <x:c r="D3584" s="12" t="str">
        <x:v>Bengaluru</x:v>
      </x:c>
      <x:c r="E3584" s="12" t="str">
        <x:v>Maruthi Infotech Center</x:v>
      </x:c>
      <x:c r="F3584" s="12" t="str">
        <x:v>55 inch</x:v>
      </x:c>
      <x:c r="G3584" s="20" t="n">
        <x:v>1</x:v>
      </x:c>
      <x:c r="H3584" s="12" t="str">
        <x:v>Campus/portfolio roster; individual building occupancy unverified</x:v>
      </x:c>
      <x:c r="I3584" s="12" t="str">
        <x:v>Small-scale prospects</x:v>
      </x:c>
      <x:c r="J3584" s="12" t="str">
        <x:v>IT &amp; digital</x:v>
      </x:c>
      <x:c r="K3584" s="2" t="str">
        <x:v>PARTNER-M154</x:v>
      </x:c>
    </x:row>
    <x:row r="3585" ht="46" customHeight="1">
      <x:c r="A3585" s="2" t="str">
        <x:v>TEN-1C2EC4E96776</x:v>
      </x:c>
      <x:c r="B3585" s="12" t="str">
        <x:v>American Express GBT</x:v>
      </x:c>
      <x:c r="C3585" s="12" t="str">
        <x:v>CORP-0576</x:v>
      </x:c>
      <x:c r="D3585" s="12" t="str">
        <x:v>Bengaluru</x:v>
      </x:c>
      <x:c r="E3585" s="12" t="str">
        <x:v>Maruthi Infotech Center</x:v>
      </x:c>
      <x:c r="F3585" s="12" t="str">
        <x:v>55 inch</x:v>
      </x:c>
      <x:c r="G3585" s="20" t="n">
        <x:v>1</x:v>
      </x:c>
      <x:c r="H3585" s="12" t="str">
        <x:v>Campus/portfolio roster; individual building occupancy unverified</x:v>
      </x:c>
      <x:c r="I3585" s="12" t="str">
        <x:v>Mixed business audience</x:v>
      </x:c>
      <x:c r="J3585" s="12" t="str">
        <x:v>Trade, consumer &amp; logistics</x:v>
      </x:c>
      <x:c r="K3585" s="2" t="str">
        <x:v>PARTNER-M154</x:v>
      </x:c>
    </x:row>
    <x:row r="3586" ht="46" customHeight="1">
      <x:c r="A3586" s="2" t="str">
        <x:v>TEN-423D620322C3</x:v>
      </x:c>
      <x:c r="B3586" s="12" t="str">
        <x:v>Relevel by Unacademy</x:v>
      </x:c>
      <x:c r="C3586" s="12" t="str">
        <x:v>CORP-0576</x:v>
      </x:c>
      <x:c r="D3586" s="12" t="str">
        <x:v>Bengaluru</x:v>
      </x:c>
      <x:c r="E3586" s="12" t="str">
        <x:v>Maruthi Infotech Center</x:v>
      </x:c>
      <x:c r="F3586" s="12" t="str">
        <x:v>55 inch</x:v>
      </x:c>
      <x:c r="G3586" s="20" t="n">
        <x:v>1</x:v>
      </x:c>
      <x:c r="H3586" s="12" t="str">
        <x:v>Campus/portfolio roster; individual building occupancy unverified</x:v>
      </x:c>
      <x:c r="I3586" s="12" t="str">
        <x:v>Mixed business audience</x:v>
      </x:c>
      <x:c r="J3586" s="12" t="str">
        <x:v>Unresolved</x:v>
      </x:c>
      <x:c r="K3586" s="2" t="str">
        <x:v>PARTNER-M154</x:v>
      </x:c>
    </x:row>
    <x:row r="3587" ht="46" customHeight="1">
      <x:c r="A3587" s="2" t="str">
        <x:v>TEN-7DB74F996F50</x:v>
      </x:c>
      <x:c r="B3587" s="12" t="str">
        <x:v>Hitachi Rail STS Bangalore</x:v>
      </x:c>
      <x:c r="C3587" s="12" t="str">
        <x:v>CORP-0576</x:v>
      </x:c>
      <x:c r="D3587" s="12" t="str">
        <x:v>Bengaluru</x:v>
      </x:c>
      <x:c r="E3587" s="12" t="str">
        <x:v>Maruthi Infotech Center</x:v>
      </x:c>
      <x:c r="F3587" s="12" t="str">
        <x:v>55 inch</x:v>
      </x:c>
      <x:c r="G3587" s="20" t="n">
        <x:v>1</x:v>
      </x:c>
      <x:c r="H3587" s="12" t="str">
        <x:v>Campus/portfolio roster; individual building occupancy unverified</x:v>
      </x:c>
      <x:c r="I3587" s="12" t="str">
        <x:v>Large enterprise</x:v>
      </x:c>
      <x:c r="J3587" s="12" t="str">
        <x:v>Engineering &amp; manufacturing</x:v>
      </x:c>
      <x:c r="K3587" s="2" t="str">
        <x:v>PARTNER-M154</x:v>
      </x:c>
    </x:row>
    <x:row r="3588" ht="46" customHeight="1">
      <x:c r="A3588" s="2" t="str">
        <x:v>TEN-8AD914E76A1E</x:v>
      </x:c>
      <x:c r="B3588" s="12" t="str">
        <x:v>Exotel</x:v>
      </x:c>
      <x:c r="C3588" s="12" t="str">
        <x:v>CORP-0576</x:v>
      </x:c>
      <x:c r="D3588" s="12" t="str">
        <x:v>Bengaluru</x:v>
      </x:c>
      <x:c r="E3588" s="12" t="str">
        <x:v>Maruthi Infotech Center</x:v>
      </x:c>
      <x:c r="F3588" s="12" t="str">
        <x:v>55 inch</x:v>
      </x:c>
      <x:c r="G3588" s="20" t="n">
        <x:v>1</x:v>
      </x:c>
      <x:c r="H3588" s="12" t="str">
        <x:v>Campus/portfolio roster; individual building occupancy unverified</x:v>
      </x:c>
      <x:c r="I3588" s="12" t="str">
        <x:v>Small-scale prospects</x:v>
      </x:c>
      <x:c r="J3588" s="12" t="str">
        <x:v>IT &amp; digital</x:v>
      </x:c>
      <x:c r="K3588" s="2" t="str">
        <x:v>PARTNER-M154</x:v>
      </x:c>
    </x:row>
    <x:row r="3589" ht="46" customHeight="1">
      <x:c r="A3589" s="2" t="str">
        <x:v>TEN-C8FA2C07840D</x:v>
      </x:c>
      <x:c r="B3589" s="12" t="str">
        <x:v>Scoler</x:v>
      </x:c>
      <x:c r="C3589" s="12" t="str">
        <x:v>CORP-0576</x:v>
      </x:c>
      <x:c r="D3589" s="12" t="str">
        <x:v>Bengaluru</x:v>
      </x:c>
      <x:c r="E3589" s="12" t="str">
        <x:v>Maruthi Infotech Center</x:v>
      </x:c>
      <x:c r="F3589" s="12" t="str">
        <x:v>55 inch</x:v>
      </x:c>
      <x:c r="G3589" s="20" t="n">
        <x:v>1</x:v>
      </x:c>
      <x:c r="H3589" s="12" t="str">
        <x:v>Campus/portfolio roster; individual building occupancy unverified</x:v>
      </x:c>
      <x:c r="I3589" s="12" t="str">
        <x:v>Mixed business audience</x:v>
      </x:c>
      <x:c r="J3589" s="12" t="str">
        <x:v>Unresolved</x:v>
      </x:c>
      <x:c r="K3589" s="2" t="str">
        <x:v>PARTNER-M154</x:v>
      </x:c>
    </x:row>
    <x:row r="3590" ht="46" customHeight="1">
      <x:c r="A3590" s="2" t="str">
        <x:v>TEN-FDB92F1E0EDB</x:v>
      </x:c>
      <x:c r="B3590" s="12" t="str">
        <x:v>Dezerv</x:v>
      </x:c>
      <x:c r="C3590" s="12" t="str">
        <x:v>CORP-0576</x:v>
      </x:c>
      <x:c r="D3590" s="12" t="str">
        <x:v>Bengaluru</x:v>
      </x:c>
      <x:c r="E3590" s="12" t="str">
        <x:v>Maruthi Infotech Center</x:v>
      </x:c>
      <x:c r="F3590" s="12" t="str">
        <x:v>55 inch</x:v>
      </x:c>
      <x:c r="G3590" s="20" t="n">
        <x:v>1</x:v>
      </x:c>
      <x:c r="H3590" s="12" t="str">
        <x:v>Campus/portfolio roster; individual building occupancy unverified</x:v>
      </x:c>
      <x:c r="I3590" s="12" t="str">
        <x:v>Medium-scale prospects</x:v>
      </x:c>
      <x:c r="J3590" s="12" t="str">
        <x:v>Finance &amp; insurance</x:v>
      </x:c>
      <x:c r="K3590" s="2" t="str">
        <x:v>PARTNER-M154</x:v>
      </x:c>
    </x:row>
    <x:row r="3591" ht="46" customHeight="1">
      <x:c r="A3591" s="2" t="str">
        <x:v>TEN-0301B82899C9</x:v>
      </x:c>
      <x:c r="B3591" s="12" t="str">
        <x:v>Nettpositive Business Analytics</x:v>
      </x:c>
      <x:c r="C3591" s="12" t="str">
        <x:v>CORP-0577</x:v>
      </x:c>
      <x:c r="D3591" s="12" t="str">
        <x:v>Bengaluru</x:v>
      </x:c>
      <x:c r="E3591" s="12" t="str">
        <x:v>Maruthi Infotech Center</x:v>
      </x:c>
      <x:c r="F3591" s="12" t="str">
        <x:v>55 inch</x:v>
      </x:c>
      <x:c r="G3591" s="20" t="n">
        <x:v>1</x:v>
      </x:c>
      <x:c r="H3591" s="12" t="str">
        <x:v>Campus/portfolio roster; individual building occupancy unverified</x:v>
      </x:c>
      <x:c r="I3591" s="12" t="str">
        <x:v>Small-scale prospects</x:v>
      </x:c>
      <x:c r="J3591" s="12" t="str">
        <x:v>IT &amp; digital</x:v>
      </x:c>
      <x:c r="K3591" s="2" t="str">
        <x:v>PARTNER-M154</x:v>
      </x:c>
    </x:row>
    <x:row r="3592" ht="46" customHeight="1">
      <x:c r="A3592" s="2" t="str">
        <x:v>TEN-1C2EC4E96776</x:v>
      </x:c>
      <x:c r="B3592" s="12" t="str">
        <x:v>American Express GBT</x:v>
      </x:c>
      <x:c r="C3592" s="12" t="str">
        <x:v>CORP-0577</x:v>
      </x:c>
      <x:c r="D3592" s="12" t="str">
        <x:v>Bengaluru</x:v>
      </x:c>
      <x:c r="E3592" s="12" t="str">
        <x:v>Maruthi Infotech Center</x:v>
      </x:c>
      <x:c r="F3592" s="12" t="str">
        <x:v>55 inch</x:v>
      </x:c>
      <x:c r="G3592" s="20" t="n">
        <x:v>1</x:v>
      </x:c>
      <x:c r="H3592" s="12" t="str">
        <x:v>Campus/portfolio roster; individual building occupancy unverified</x:v>
      </x:c>
      <x:c r="I3592" s="12" t="str">
        <x:v>Mixed business audience</x:v>
      </x:c>
      <x:c r="J3592" s="12" t="str">
        <x:v>Trade, consumer &amp; logistics</x:v>
      </x:c>
      <x:c r="K3592" s="2" t="str">
        <x:v>PARTNER-M154</x:v>
      </x:c>
    </x:row>
    <x:row r="3593" ht="46" customHeight="1">
      <x:c r="A3593" s="2" t="str">
        <x:v>TEN-423D620322C3</x:v>
      </x:c>
      <x:c r="B3593" s="12" t="str">
        <x:v>Relevel by Unacademy</x:v>
      </x:c>
      <x:c r="C3593" s="12" t="str">
        <x:v>CORP-0577</x:v>
      </x:c>
      <x:c r="D3593" s="12" t="str">
        <x:v>Bengaluru</x:v>
      </x:c>
      <x:c r="E3593" s="12" t="str">
        <x:v>Maruthi Infotech Center</x:v>
      </x:c>
      <x:c r="F3593" s="12" t="str">
        <x:v>55 inch</x:v>
      </x:c>
      <x:c r="G3593" s="20" t="n">
        <x:v>1</x:v>
      </x:c>
      <x:c r="H3593" s="12" t="str">
        <x:v>Campus/portfolio roster; individual building occupancy unverified</x:v>
      </x:c>
      <x:c r="I3593" s="12" t="str">
        <x:v>Mixed business audience</x:v>
      </x:c>
      <x:c r="J3593" s="12" t="str">
        <x:v>Unresolved</x:v>
      </x:c>
      <x:c r="K3593" s="2" t="str">
        <x:v>PARTNER-M154</x:v>
      </x:c>
    </x:row>
    <x:row r="3594" ht="46" customHeight="1">
      <x:c r="A3594" s="2" t="str">
        <x:v>TEN-7DB74F996F50</x:v>
      </x:c>
      <x:c r="B3594" s="12" t="str">
        <x:v>Hitachi Rail STS Bangalore</x:v>
      </x:c>
      <x:c r="C3594" s="12" t="str">
        <x:v>CORP-0577</x:v>
      </x:c>
      <x:c r="D3594" s="12" t="str">
        <x:v>Bengaluru</x:v>
      </x:c>
      <x:c r="E3594" s="12" t="str">
        <x:v>Maruthi Infotech Center</x:v>
      </x:c>
      <x:c r="F3594" s="12" t="str">
        <x:v>55 inch</x:v>
      </x:c>
      <x:c r="G3594" s="20" t="n">
        <x:v>1</x:v>
      </x:c>
      <x:c r="H3594" s="12" t="str">
        <x:v>Campus/portfolio roster; individual building occupancy unverified</x:v>
      </x:c>
      <x:c r="I3594" s="12" t="str">
        <x:v>Large enterprise</x:v>
      </x:c>
      <x:c r="J3594" s="12" t="str">
        <x:v>Engineering &amp; manufacturing</x:v>
      </x:c>
      <x:c r="K3594" s="2" t="str">
        <x:v>PARTNER-M154</x:v>
      </x:c>
    </x:row>
    <x:row r="3595" ht="46" customHeight="1">
      <x:c r="A3595" s="2" t="str">
        <x:v>TEN-8AD914E76A1E</x:v>
      </x:c>
      <x:c r="B3595" s="12" t="str">
        <x:v>Exotel</x:v>
      </x:c>
      <x:c r="C3595" s="12" t="str">
        <x:v>CORP-0577</x:v>
      </x:c>
      <x:c r="D3595" s="12" t="str">
        <x:v>Bengaluru</x:v>
      </x:c>
      <x:c r="E3595" s="12" t="str">
        <x:v>Maruthi Infotech Center</x:v>
      </x:c>
      <x:c r="F3595" s="12" t="str">
        <x:v>55 inch</x:v>
      </x:c>
      <x:c r="G3595" s="20" t="n">
        <x:v>1</x:v>
      </x:c>
      <x:c r="H3595" s="12" t="str">
        <x:v>Campus/portfolio roster; individual building occupancy unverified</x:v>
      </x:c>
      <x:c r="I3595" s="12" t="str">
        <x:v>Small-scale prospects</x:v>
      </x:c>
      <x:c r="J3595" s="12" t="str">
        <x:v>IT &amp; digital</x:v>
      </x:c>
      <x:c r="K3595" s="2" t="str">
        <x:v>PARTNER-M154</x:v>
      </x:c>
    </x:row>
    <x:row r="3596" ht="46" customHeight="1">
      <x:c r="A3596" s="2" t="str">
        <x:v>TEN-C8FA2C07840D</x:v>
      </x:c>
      <x:c r="B3596" s="12" t="str">
        <x:v>Scoler</x:v>
      </x:c>
      <x:c r="C3596" s="12" t="str">
        <x:v>CORP-0577</x:v>
      </x:c>
      <x:c r="D3596" s="12" t="str">
        <x:v>Bengaluru</x:v>
      </x:c>
      <x:c r="E3596" s="12" t="str">
        <x:v>Maruthi Infotech Center</x:v>
      </x:c>
      <x:c r="F3596" s="12" t="str">
        <x:v>55 inch</x:v>
      </x:c>
      <x:c r="G3596" s="20" t="n">
        <x:v>1</x:v>
      </x:c>
      <x:c r="H3596" s="12" t="str">
        <x:v>Campus/portfolio roster; individual building occupancy unverified</x:v>
      </x:c>
      <x:c r="I3596" s="12" t="str">
        <x:v>Mixed business audience</x:v>
      </x:c>
      <x:c r="J3596" s="12" t="str">
        <x:v>Unresolved</x:v>
      </x:c>
      <x:c r="K3596" s="2" t="str">
        <x:v>PARTNER-M154</x:v>
      </x:c>
    </x:row>
    <x:row r="3597" ht="46" customHeight="1">
      <x:c r="A3597" s="2" t="str">
        <x:v>TEN-FDB92F1E0EDB</x:v>
      </x:c>
      <x:c r="B3597" s="12" t="str">
        <x:v>Dezerv</x:v>
      </x:c>
      <x:c r="C3597" s="12" t="str">
        <x:v>CORP-0577</x:v>
      </x:c>
      <x:c r="D3597" s="12" t="str">
        <x:v>Bengaluru</x:v>
      </x:c>
      <x:c r="E3597" s="12" t="str">
        <x:v>Maruthi Infotech Center</x:v>
      </x:c>
      <x:c r="F3597" s="12" t="str">
        <x:v>55 inch</x:v>
      </x:c>
      <x:c r="G3597" s="20" t="n">
        <x:v>1</x:v>
      </x:c>
      <x:c r="H3597" s="12" t="str">
        <x:v>Campus/portfolio roster; individual building occupancy unverified</x:v>
      </x:c>
      <x:c r="I3597" s="12" t="str">
        <x:v>Medium-scale prospects</x:v>
      </x:c>
      <x:c r="J3597" s="12" t="str">
        <x:v>Finance &amp; insurance</x:v>
      </x:c>
      <x:c r="K3597" s="2" t="str">
        <x:v>PARTNER-M154</x:v>
      </x:c>
    </x:row>
    <x:row r="3598" ht="46" customHeight="1">
      <x:c r="A3598" s="2" t="str">
        <x:v>TEN-0301B82899C9</x:v>
      </x:c>
      <x:c r="B3598" s="12" t="str">
        <x:v>Nettpositive Business Analytics</x:v>
      </x:c>
      <x:c r="C3598" s="12" t="str">
        <x:v>CORP-0578</x:v>
      </x:c>
      <x:c r="D3598" s="12" t="str">
        <x:v>Bengaluru</x:v>
      </x:c>
      <x:c r="E3598" s="12" t="str">
        <x:v>Maruthi Infotech Center</x:v>
      </x:c>
      <x:c r="F3598" s="12" t="str">
        <x:v>55 inch</x:v>
      </x:c>
      <x:c r="G3598" s="20" t="n">
        <x:v>1</x:v>
      </x:c>
      <x:c r="H3598" s="12" t="str">
        <x:v>Campus/portfolio roster; individual building occupancy unverified</x:v>
      </x:c>
      <x:c r="I3598" s="12" t="str">
        <x:v>Small-scale prospects</x:v>
      </x:c>
      <x:c r="J3598" s="12" t="str">
        <x:v>IT &amp; digital</x:v>
      </x:c>
      <x:c r="K3598" s="2" t="str">
        <x:v>PARTNER-M154</x:v>
      </x:c>
    </x:row>
    <x:row r="3599" ht="46" customHeight="1">
      <x:c r="A3599" s="2" t="str">
        <x:v>TEN-1C2EC4E96776</x:v>
      </x:c>
      <x:c r="B3599" s="12" t="str">
        <x:v>American Express GBT</x:v>
      </x:c>
      <x:c r="C3599" s="12" t="str">
        <x:v>CORP-0578</x:v>
      </x:c>
      <x:c r="D3599" s="12" t="str">
        <x:v>Bengaluru</x:v>
      </x:c>
      <x:c r="E3599" s="12" t="str">
        <x:v>Maruthi Infotech Center</x:v>
      </x:c>
      <x:c r="F3599" s="12" t="str">
        <x:v>55 inch</x:v>
      </x:c>
      <x:c r="G3599" s="20" t="n">
        <x:v>1</x:v>
      </x:c>
      <x:c r="H3599" s="12" t="str">
        <x:v>Campus/portfolio roster; individual building occupancy unverified</x:v>
      </x:c>
      <x:c r="I3599" s="12" t="str">
        <x:v>Mixed business audience</x:v>
      </x:c>
      <x:c r="J3599" s="12" t="str">
        <x:v>Trade, consumer &amp; logistics</x:v>
      </x:c>
      <x:c r="K3599" s="2" t="str">
        <x:v>PARTNER-M154</x:v>
      </x:c>
    </x:row>
    <x:row r="3600" ht="46" customHeight="1">
      <x:c r="A3600" s="2" t="str">
        <x:v>TEN-423D620322C3</x:v>
      </x:c>
      <x:c r="B3600" s="12" t="str">
        <x:v>Relevel by Unacademy</x:v>
      </x:c>
      <x:c r="C3600" s="12" t="str">
        <x:v>CORP-0578</x:v>
      </x:c>
      <x:c r="D3600" s="12" t="str">
        <x:v>Bengaluru</x:v>
      </x:c>
      <x:c r="E3600" s="12" t="str">
        <x:v>Maruthi Infotech Center</x:v>
      </x:c>
      <x:c r="F3600" s="12" t="str">
        <x:v>55 inch</x:v>
      </x:c>
      <x:c r="G3600" s="20" t="n">
        <x:v>1</x:v>
      </x:c>
      <x:c r="H3600" s="12" t="str">
        <x:v>Campus/portfolio roster; individual building occupancy unverified</x:v>
      </x:c>
      <x:c r="I3600" s="12" t="str">
        <x:v>Mixed business audience</x:v>
      </x:c>
      <x:c r="J3600" s="12" t="str">
        <x:v>Unresolved</x:v>
      </x:c>
      <x:c r="K3600" s="2" t="str">
        <x:v>PARTNER-M154</x:v>
      </x:c>
    </x:row>
    <x:row r="3601" ht="46" customHeight="1">
      <x:c r="A3601" s="2" t="str">
        <x:v>TEN-7DB74F996F50</x:v>
      </x:c>
      <x:c r="B3601" s="12" t="str">
        <x:v>Hitachi Rail STS Bangalore</x:v>
      </x:c>
      <x:c r="C3601" s="12" t="str">
        <x:v>CORP-0578</x:v>
      </x:c>
      <x:c r="D3601" s="12" t="str">
        <x:v>Bengaluru</x:v>
      </x:c>
      <x:c r="E3601" s="12" t="str">
        <x:v>Maruthi Infotech Center</x:v>
      </x:c>
      <x:c r="F3601" s="12" t="str">
        <x:v>55 inch</x:v>
      </x:c>
      <x:c r="G3601" s="20" t="n">
        <x:v>1</x:v>
      </x:c>
      <x:c r="H3601" s="12" t="str">
        <x:v>Campus/portfolio roster; individual building occupancy unverified</x:v>
      </x:c>
      <x:c r="I3601" s="12" t="str">
        <x:v>Large enterprise</x:v>
      </x:c>
      <x:c r="J3601" s="12" t="str">
        <x:v>Engineering &amp; manufacturing</x:v>
      </x:c>
      <x:c r="K3601" s="2" t="str">
        <x:v>PARTNER-M154</x:v>
      </x:c>
    </x:row>
    <x:row r="3602" ht="46" customHeight="1">
      <x:c r="A3602" s="2" t="str">
        <x:v>TEN-8AD914E76A1E</x:v>
      </x:c>
      <x:c r="B3602" s="12" t="str">
        <x:v>Exotel</x:v>
      </x:c>
      <x:c r="C3602" s="12" t="str">
        <x:v>CORP-0578</x:v>
      </x:c>
      <x:c r="D3602" s="12" t="str">
        <x:v>Bengaluru</x:v>
      </x:c>
      <x:c r="E3602" s="12" t="str">
        <x:v>Maruthi Infotech Center</x:v>
      </x:c>
      <x:c r="F3602" s="12" t="str">
        <x:v>55 inch</x:v>
      </x:c>
      <x:c r="G3602" s="20" t="n">
        <x:v>1</x:v>
      </x:c>
      <x:c r="H3602" s="12" t="str">
        <x:v>Campus/portfolio roster; individual building occupancy unverified</x:v>
      </x:c>
      <x:c r="I3602" s="12" t="str">
        <x:v>Small-scale prospects</x:v>
      </x:c>
      <x:c r="J3602" s="12" t="str">
        <x:v>IT &amp; digital</x:v>
      </x:c>
      <x:c r="K3602" s="2" t="str">
        <x:v>PARTNER-M154</x:v>
      </x:c>
    </x:row>
    <x:row r="3603" ht="46" customHeight="1">
      <x:c r="A3603" s="2" t="str">
        <x:v>TEN-C8FA2C07840D</x:v>
      </x:c>
      <x:c r="B3603" s="12" t="str">
        <x:v>Scoler</x:v>
      </x:c>
      <x:c r="C3603" s="12" t="str">
        <x:v>CORP-0578</x:v>
      </x:c>
      <x:c r="D3603" s="12" t="str">
        <x:v>Bengaluru</x:v>
      </x:c>
      <x:c r="E3603" s="12" t="str">
        <x:v>Maruthi Infotech Center</x:v>
      </x:c>
      <x:c r="F3603" s="12" t="str">
        <x:v>55 inch</x:v>
      </x:c>
      <x:c r="G3603" s="20" t="n">
        <x:v>1</x:v>
      </x:c>
      <x:c r="H3603" s="12" t="str">
        <x:v>Campus/portfolio roster; individual building occupancy unverified</x:v>
      </x:c>
      <x:c r="I3603" s="12" t="str">
        <x:v>Mixed business audience</x:v>
      </x:c>
      <x:c r="J3603" s="12" t="str">
        <x:v>Unresolved</x:v>
      </x:c>
      <x:c r="K3603" s="2" t="str">
        <x:v>PARTNER-M154</x:v>
      </x:c>
    </x:row>
    <x:row r="3604" ht="46" customHeight="1">
      <x:c r="A3604" s="2" t="str">
        <x:v>TEN-FDB92F1E0EDB</x:v>
      </x:c>
      <x:c r="B3604" s="12" t="str">
        <x:v>Dezerv</x:v>
      </x:c>
      <x:c r="C3604" s="12" t="str">
        <x:v>CORP-0578</x:v>
      </x:c>
      <x:c r="D3604" s="12" t="str">
        <x:v>Bengaluru</x:v>
      </x:c>
      <x:c r="E3604" s="12" t="str">
        <x:v>Maruthi Infotech Center</x:v>
      </x:c>
      <x:c r="F3604" s="12" t="str">
        <x:v>55 inch</x:v>
      </x:c>
      <x:c r="G3604" s="20" t="n">
        <x:v>1</x:v>
      </x:c>
      <x:c r="H3604" s="12" t="str">
        <x:v>Campus/portfolio roster; individual building occupancy unverified</x:v>
      </x:c>
      <x:c r="I3604" s="12" t="str">
        <x:v>Medium-scale prospects</x:v>
      </x:c>
      <x:c r="J3604" s="12" t="str">
        <x:v>Finance &amp; insurance</x:v>
      </x:c>
      <x:c r="K3604" s="2" t="str">
        <x:v>PARTNER-M154</x:v>
      </x:c>
    </x:row>
    <x:row r="3605" ht="46" customHeight="1">
      <x:c r="A3605" s="2" t="str">
        <x:v>TEN-0301B82899C9</x:v>
      </x:c>
      <x:c r="B3605" s="12" t="str">
        <x:v>Nettpositive Business Analytics</x:v>
      </x:c>
      <x:c r="C3605" s="12" t="str">
        <x:v>CORP-0579</x:v>
      </x:c>
      <x:c r="D3605" s="12" t="str">
        <x:v>Bengaluru</x:v>
      </x:c>
      <x:c r="E3605" s="12" t="str">
        <x:v>Maruthi Infotech Center</x:v>
      </x:c>
      <x:c r="F3605" s="12" t="str">
        <x:v>55 inch</x:v>
      </x:c>
      <x:c r="G3605" s="20" t="n">
        <x:v>1</x:v>
      </x:c>
      <x:c r="H3605" s="12" t="str">
        <x:v>Campus/portfolio roster; individual building occupancy unverified</x:v>
      </x:c>
      <x:c r="I3605" s="12" t="str">
        <x:v>Small-scale prospects</x:v>
      </x:c>
      <x:c r="J3605" s="12" t="str">
        <x:v>IT &amp; digital</x:v>
      </x:c>
      <x:c r="K3605" s="2" t="str">
        <x:v>PARTNER-M154</x:v>
      </x:c>
    </x:row>
    <x:row r="3606" ht="46" customHeight="1">
      <x:c r="A3606" s="2" t="str">
        <x:v>TEN-1C2EC4E96776</x:v>
      </x:c>
      <x:c r="B3606" s="12" t="str">
        <x:v>American Express GBT</x:v>
      </x:c>
      <x:c r="C3606" s="12" t="str">
        <x:v>CORP-0579</x:v>
      </x:c>
      <x:c r="D3606" s="12" t="str">
        <x:v>Bengaluru</x:v>
      </x:c>
      <x:c r="E3606" s="12" t="str">
        <x:v>Maruthi Infotech Center</x:v>
      </x:c>
      <x:c r="F3606" s="12" t="str">
        <x:v>55 inch</x:v>
      </x:c>
      <x:c r="G3606" s="20" t="n">
        <x:v>1</x:v>
      </x:c>
      <x:c r="H3606" s="12" t="str">
        <x:v>Campus/portfolio roster; individual building occupancy unverified</x:v>
      </x:c>
      <x:c r="I3606" s="12" t="str">
        <x:v>Mixed business audience</x:v>
      </x:c>
      <x:c r="J3606" s="12" t="str">
        <x:v>Trade, consumer &amp; logistics</x:v>
      </x:c>
      <x:c r="K3606" s="2" t="str">
        <x:v>PARTNER-M154</x:v>
      </x:c>
    </x:row>
    <x:row r="3607" ht="46" customHeight="1">
      <x:c r="A3607" s="2" t="str">
        <x:v>TEN-423D620322C3</x:v>
      </x:c>
      <x:c r="B3607" s="12" t="str">
        <x:v>Relevel by Unacademy</x:v>
      </x:c>
      <x:c r="C3607" s="12" t="str">
        <x:v>CORP-0579</x:v>
      </x:c>
      <x:c r="D3607" s="12" t="str">
        <x:v>Bengaluru</x:v>
      </x:c>
      <x:c r="E3607" s="12" t="str">
        <x:v>Maruthi Infotech Center</x:v>
      </x:c>
      <x:c r="F3607" s="12" t="str">
        <x:v>55 inch</x:v>
      </x:c>
      <x:c r="G3607" s="20" t="n">
        <x:v>1</x:v>
      </x:c>
      <x:c r="H3607" s="12" t="str">
        <x:v>Campus/portfolio roster; individual building occupancy unverified</x:v>
      </x:c>
      <x:c r="I3607" s="12" t="str">
        <x:v>Mixed business audience</x:v>
      </x:c>
      <x:c r="J3607" s="12" t="str">
        <x:v>Unresolved</x:v>
      </x:c>
      <x:c r="K3607" s="2" t="str">
        <x:v>PARTNER-M154</x:v>
      </x:c>
    </x:row>
    <x:row r="3608" ht="46" customHeight="1">
      <x:c r="A3608" s="2" t="str">
        <x:v>TEN-7DB74F996F50</x:v>
      </x:c>
      <x:c r="B3608" s="12" t="str">
        <x:v>Hitachi Rail STS Bangalore</x:v>
      </x:c>
      <x:c r="C3608" s="12" t="str">
        <x:v>CORP-0579</x:v>
      </x:c>
      <x:c r="D3608" s="12" t="str">
        <x:v>Bengaluru</x:v>
      </x:c>
      <x:c r="E3608" s="12" t="str">
        <x:v>Maruthi Infotech Center</x:v>
      </x:c>
      <x:c r="F3608" s="12" t="str">
        <x:v>55 inch</x:v>
      </x:c>
      <x:c r="G3608" s="20" t="n">
        <x:v>1</x:v>
      </x:c>
      <x:c r="H3608" s="12" t="str">
        <x:v>Campus/portfolio roster; individual building occupancy unverified</x:v>
      </x:c>
      <x:c r="I3608" s="12" t="str">
        <x:v>Large enterprise</x:v>
      </x:c>
      <x:c r="J3608" s="12" t="str">
        <x:v>Engineering &amp; manufacturing</x:v>
      </x:c>
      <x:c r="K3608" s="2" t="str">
        <x:v>PARTNER-M154</x:v>
      </x:c>
    </x:row>
    <x:row r="3609" ht="46" customHeight="1">
      <x:c r="A3609" s="2" t="str">
        <x:v>TEN-8AD914E76A1E</x:v>
      </x:c>
      <x:c r="B3609" s="12" t="str">
        <x:v>Exotel</x:v>
      </x:c>
      <x:c r="C3609" s="12" t="str">
        <x:v>CORP-0579</x:v>
      </x:c>
      <x:c r="D3609" s="12" t="str">
        <x:v>Bengaluru</x:v>
      </x:c>
      <x:c r="E3609" s="12" t="str">
        <x:v>Maruthi Infotech Center</x:v>
      </x:c>
      <x:c r="F3609" s="12" t="str">
        <x:v>55 inch</x:v>
      </x:c>
      <x:c r="G3609" s="20" t="n">
        <x:v>1</x:v>
      </x:c>
      <x:c r="H3609" s="12" t="str">
        <x:v>Campus/portfolio roster; individual building occupancy unverified</x:v>
      </x:c>
      <x:c r="I3609" s="12" t="str">
        <x:v>Small-scale prospects</x:v>
      </x:c>
      <x:c r="J3609" s="12" t="str">
        <x:v>IT &amp; digital</x:v>
      </x:c>
      <x:c r="K3609" s="2" t="str">
        <x:v>PARTNER-M154</x:v>
      </x:c>
    </x:row>
    <x:row r="3610" ht="46" customHeight="1">
      <x:c r="A3610" s="2" t="str">
        <x:v>TEN-C8FA2C07840D</x:v>
      </x:c>
      <x:c r="B3610" s="12" t="str">
        <x:v>Scoler</x:v>
      </x:c>
      <x:c r="C3610" s="12" t="str">
        <x:v>CORP-0579</x:v>
      </x:c>
      <x:c r="D3610" s="12" t="str">
        <x:v>Bengaluru</x:v>
      </x:c>
      <x:c r="E3610" s="12" t="str">
        <x:v>Maruthi Infotech Center</x:v>
      </x:c>
      <x:c r="F3610" s="12" t="str">
        <x:v>55 inch</x:v>
      </x:c>
      <x:c r="G3610" s="20" t="n">
        <x:v>1</x:v>
      </x:c>
      <x:c r="H3610" s="12" t="str">
        <x:v>Campus/portfolio roster; individual building occupancy unverified</x:v>
      </x:c>
      <x:c r="I3610" s="12" t="str">
        <x:v>Mixed business audience</x:v>
      </x:c>
      <x:c r="J3610" s="12" t="str">
        <x:v>Unresolved</x:v>
      </x:c>
      <x:c r="K3610" s="2" t="str">
        <x:v>PARTNER-M154</x:v>
      </x:c>
    </x:row>
    <x:row r="3611" ht="46" customHeight="1">
      <x:c r="A3611" s="2" t="str">
        <x:v>TEN-FDB92F1E0EDB</x:v>
      </x:c>
      <x:c r="B3611" s="12" t="str">
        <x:v>Dezerv</x:v>
      </x:c>
      <x:c r="C3611" s="12" t="str">
        <x:v>CORP-0579</x:v>
      </x:c>
      <x:c r="D3611" s="12" t="str">
        <x:v>Bengaluru</x:v>
      </x:c>
      <x:c r="E3611" s="12" t="str">
        <x:v>Maruthi Infotech Center</x:v>
      </x:c>
      <x:c r="F3611" s="12" t="str">
        <x:v>55 inch</x:v>
      </x:c>
      <x:c r="G3611" s="20" t="n">
        <x:v>1</x:v>
      </x:c>
      <x:c r="H3611" s="12" t="str">
        <x:v>Campus/portfolio roster; individual building occupancy unverified</x:v>
      </x:c>
      <x:c r="I3611" s="12" t="str">
        <x:v>Medium-scale prospects</x:v>
      </x:c>
      <x:c r="J3611" s="12" t="str">
        <x:v>Finance &amp; insurance</x:v>
      </x:c>
      <x:c r="K3611" s="2" t="str">
        <x:v>PARTNER-M154</x:v>
      </x:c>
    </x:row>
    <x:row r="3612" ht="46" customHeight="1">
      <x:c r="A3612" s="2" t="str">
        <x:v>TEN-0301B82899C9</x:v>
      </x:c>
      <x:c r="B3612" s="12" t="str">
        <x:v>Nettpositive Business Analytics</x:v>
      </x:c>
      <x:c r="C3612" s="12" t="str">
        <x:v>CORP-0580</x:v>
      </x:c>
      <x:c r="D3612" s="12" t="str">
        <x:v>Bengaluru</x:v>
      </x:c>
      <x:c r="E3612" s="12" t="str">
        <x:v>Fincity Corproate Park </x:v>
      </x:c>
      <x:c r="F3612" s="12" t="str">
        <x:v>55 inch</x:v>
      </x:c>
      <x:c r="G3612" s="20" t="n">
        <x:v>1</x:v>
      </x:c>
      <x:c r="H3612" s="12" t="str">
        <x:v>Campus/portfolio roster; individual building occupancy unverified</x:v>
      </x:c>
      <x:c r="I3612" s="12" t="str">
        <x:v>Small-scale prospects</x:v>
      </x:c>
      <x:c r="J3612" s="12" t="str">
        <x:v>IT &amp; digital</x:v>
      </x:c>
      <x:c r="K3612" s="2" t="str">
        <x:v>PARTNER-M162</x:v>
      </x:c>
    </x:row>
    <x:row r="3613" ht="46" customHeight="1">
      <x:c r="A3613" s="2" t="str">
        <x:v>TEN-1C2EC4E96776</x:v>
      </x:c>
      <x:c r="B3613" s="12" t="str">
        <x:v>American Express GBT</x:v>
      </x:c>
      <x:c r="C3613" s="12" t="str">
        <x:v>CORP-0580</x:v>
      </x:c>
      <x:c r="D3613" s="12" t="str">
        <x:v>Bengaluru</x:v>
      </x:c>
      <x:c r="E3613" s="12" t="str">
        <x:v>Fincity Corproate Park </x:v>
      </x:c>
      <x:c r="F3613" s="12" t="str">
        <x:v>55 inch</x:v>
      </x:c>
      <x:c r="G3613" s="20" t="n">
        <x:v>1</x:v>
      </x:c>
      <x:c r="H3613" s="12" t="str">
        <x:v>Campus/portfolio roster; individual building occupancy unverified</x:v>
      </x:c>
      <x:c r="I3613" s="12" t="str">
        <x:v>Mixed business audience</x:v>
      </x:c>
      <x:c r="J3613" s="12" t="str">
        <x:v>Trade, consumer &amp; logistics</x:v>
      </x:c>
      <x:c r="K3613" s="2" t="str">
        <x:v>PARTNER-M162</x:v>
      </x:c>
    </x:row>
    <x:row r="3614" ht="46" customHeight="1">
      <x:c r="A3614" s="2" t="str">
        <x:v>TEN-423D620322C3</x:v>
      </x:c>
      <x:c r="B3614" s="12" t="str">
        <x:v>Relevel by Unacademy</x:v>
      </x:c>
      <x:c r="C3614" s="12" t="str">
        <x:v>CORP-0580</x:v>
      </x:c>
      <x:c r="D3614" s="12" t="str">
        <x:v>Bengaluru</x:v>
      </x:c>
      <x:c r="E3614" s="12" t="str">
        <x:v>Fincity Corproate Park </x:v>
      </x:c>
      <x:c r="F3614" s="12" t="str">
        <x:v>55 inch</x:v>
      </x:c>
      <x:c r="G3614" s="20" t="n">
        <x:v>1</x:v>
      </x:c>
      <x:c r="H3614" s="12" t="str">
        <x:v>Campus/portfolio roster; individual building occupancy unverified</x:v>
      </x:c>
      <x:c r="I3614" s="12" t="str">
        <x:v>Mixed business audience</x:v>
      </x:c>
      <x:c r="J3614" s="12" t="str">
        <x:v>Unresolved</x:v>
      </x:c>
      <x:c r="K3614" s="2" t="str">
        <x:v>PARTNER-M162</x:v>
      </x:c>
    </x:row>
    <x:row r="3615" ht="46" customHeight="1">
      <x:c r="A3615" s="2" t="str">
        <x:v>TEN-7DB74F996F50</x:v>
      </x:c>
      <x:c r="B3615" s="12" t="str">
        <x:v>Hitachi Rail STS Bangalore</x:v>
      </x:c>
      <x:c r="C3615" s="12" t="str">
        <x:v>CORP-0580</x:v>
      </x:c>
      <x:c r="D3615" s="12" t="str">
        <x:v>Bengaluru</x:v>
      </x:c>
      <x:c r="E3615" s="12" t="str">
        <x:v>Fincity Corproate Park </x:v>
      </x:c>
      <x:c r="F3615" s="12" t="str">
        <x:v>55 inch</x:v>
      </x:c>
      <x:c r="G3615" s="20" t="n">
        <x:v>1</x:v>
      </x:c>
      <x:c r="H3615" s="12" t="str">
        <x:v>Campus/portfolio roster; individual building occupancy unverified</x:v>
      </x:c>
      <x:c r="I3615" s="12" t="str">
        <x:v>Large enterprise</x:v>
      </x:c>
      <x:c r="J3615" s="12" t="str">
        <x:v>Engineering &amp; manufacturing</x:v>
      </x:c>
      <x:c r="K3615" s="2" t="str">
        <x:v>PARTNER-M162</x:v>
      </x:c>
    </x:row>
    <x:row r="3616" ht="46" customHeight="1">
      <x:c r="A3616" s="2" t="str">
        <x:v>TEN-8AD914E76A1E</x:v>
      </x:c>
      <x:c r="B3616" s="12" t="str">
        <x:v>Exotel</x:v>
      </x:c>
      <x:c r="C3616" s="12" t="str">
        <x:v>CORP-0580</x:v>
      </x:c>
      <x:c r="D3616" s="12" t="str">
        <x:v>Bengaluru</x:v>
      </x:c>
      <x:c r="E3616" s="12" t="str">
        <x:v>Fincity Corproate Park </x:v>
      </x:c>
      <x:c r="F3616" s="12" t="str">
        <x:v>55 inch</x:v>
      </x:c>
      <x:c r="G3616" s="20" t="n">
        <x:v>1</x:v>
      </x:c>
      <x:c r="H3616" s="12" t="str">
        <x:v>Campus/portfolio roster; individual building occupancy unverified</x:v>
      </x:c>
      <x:c r="I3616" s="12" t="str">
        <x:v>Small-scale prospects</x:v>
      </x:c>
      <x:c r="J3616" s="12" t="str">
        <x:v>IT &amp; digital</x:v>
      </x:c>
      <x:c r="K3616" s="2" t="str">
        <x:v>PARTNER-M162</x:v>
      </x:c>
    </x:row>
    <x:row r="3617" ht="46" customHeight="1">
      <x:c r="A3617" s="2" t="str">
        <x:v>TEN-C8FA2C07840D</x:v>
      </x:c>
      <x:c r="B3617" s="12" t="str">
        <x:v>Scoler</x:v>
      </x:c>
      <x:c r="C3617" s="12" t="str">
        <x:v>CORP-0580</x:v>
      </x:c>
      <x:c r="D3617" s="12" t="str">
        <x:v>Bengaluru</x:v>
      </x:c>
      <x:c r="E3617" s="12" t="str">
        <x:v>Fincity Corproate Park </x:v>
      </x:c>
      <x:c r="F3617" s="12" t="str">
        <x:v>55 inch</x:v>
      </x:c>
      <x:c r="G3617" s="20" t="n">
        <x:v>1</x:v>
      </x:c>
      <x:c r="H3617" s="12" t="str">
        <x:v>Campus/portfolio roster; individual building occupancy unverified</x:v>
      </x:c>
      <x:c r="I3617" s="12" t="str">
        <x:v>Mixed business audience</x:v>
      </x:c>
      <x:c r="J3617" s="12" t="str">
        <x:v>Unresolved</x:v>
      </x:c>
      <x:c r="K3617" s="2" t="str">
        <x:v>PARTNER-M162</x:v>
      </x:c>
    </x:row>
    <x:row r="3618" ht="46" customHeight="1">
      <x:c r="A3618" s="2" t="str">
        <x:v>TEN-FDB92F1E0EDB</x:v>
      </x:c>
      <x:c r="B3618" s="12" t="str">
        <x:v>Dezerv</x:v>
      </x:c>
      <x:c r="C3618" s="12" t="str">
        <x:v>CORP-0580</x:v>
      </x:c>
      <x:c r="D3618" s="12" t="str">
        <x:v>Bengaluru</x:v>
      </x:c>
      <x:c r="E3618" s="12" t="str">
        <x:v>Fincity Corproate Park </x:v>
      </x:c>
      <x:c r="F3618" s="12" t="str">
        <x:v>55 inch</x:v>
      </x:c>
      <x:c r="G3618" s="20" t="n">
        <x:v>1</x:v>
      </x:c>
      <x:c r="H3618" s="12" t="str">
        <x:v>Campus/portfolio roster; individual building occupancy unverified</x:v>
      </x:c>
      <x:c r="I3618" s="12" t="str">
        <x:v>Medium-scale prospects</x:v>
      </x:c>
      <x:c r="J3618" s="12" t="str">
        <x:v>Finance &amp; insurance</x:v>
      </x:c>
      <x:c r="K3618" s="2" t="str">
        <x:v>PARTNER-M162</x:v>
      </x:c>
    </x:row>
    <x:row r="3619" ht="46" customHeight="1">
      <x:c r="A3619" s="2" t="str">
        <x:v>TEN-0301B82899C9</x:v>
      </x:c>
      <x:c r="B3619" s="12" t="str">
        <x:v>Nettpositive Business Analytics</x:v>
      </x:c>
      <x:c r="C3619" s="12" t="str">
        <x:v>CORP-0581</x:v>
      </x:c>
      <x:c r="D3619" s="12" t="str">
        <x:v>Bengaluru</x:v>
      </x:c>
      <x:c r="E3619" s="12" t="str">
        <x:v>Fincity Corproate Park </x:v>
      </x:c>
      <x:c r="F3619" s="12" t="str">
        <x:v>55 inch</x:v>
      </x:c>
      <x:c r="G3619" s="20" t="n">
        <x:v>1</x:v>
      </x:c>
      <x:c r="H3619" s="12" t="str">
        <x:v>Campus/portfolio roster; individual building occupancy unverified</x:v>
      </x:c>
      <x:c r="I3619" s="12" t="str">
        <x:v>Small-scale prospects</x:v>
      </x:c>
      <x:c r="J3619" s="12" t="str">
        <x:v>IT &amp; digital</x:v>
      </x:c>
      <x:c r="K3619" s="2" t="str">
        <x:v>PARTNER-M162</x:v>
      </x:c>
    </x:row>
    <x:row r="3620" ht="46" customHeight="1">
      <x:c r="A3620" s="2" t="str">
        <x:v>TEN-1C2EC4E96776</x:v>
      </x:c>
      <x:c r="B3620" s="12" t="str">
        <x:v>American Express GBT</x:v>
      </x:c>
      <x:c r="C3620" s="12" t="str">
        <x:v>CORP-0581</x:v>
      </x:c>
      <x:c r="D3620" s="12" t="str">
        <x:v>Bengaluru</x:v>
      </x:c>
      <x:c r="E3620" s="12" t="str">
        <x:v>Fincity Corproate Park </x:v>
      </x:c>
      <x:c r="F3620" s="12" t="str">
        <x:v>55 inch</x:v>
      </x:c>
      <x:c r="G3620" s="20" t="n">
        <x:v>1</x:v>
      </x:c>
      <x:c r="H3620" s="12" t="str">
        <x:v>Campus/portfolio roster; individual building occupancy unverified</x:v>
      </x:c>
      <x:c r="I3620" s="12" t="str">
        <x:v>Mixed business audience</x:v>
      </x:c>
      <x:c r="J3620" s="12" t="str">
        <x:v>Trade, consumer &amp; logistics</x:v>
      </x:c>
      <x:c r="K3620" s="2" t="str">
        <x:v>PARTNER-M162</x:v>
      </x:c>
    </x:row>
    <x:row r="3621" ht="46" customHeight="1">
      <x:c r="A3621" s="2" t="str">
        <x:v>TEN-423D620322C3</x:v>
      </x:c>
      <x:c r="B3621" s="12" t="str">
        <x:v>Relevel by Unacademy</x:v>
      </x:c>
      <x:c r="C3621" s="12" t="str">
        <x:v>CORP-0581</x:v>
      </x:c>
      <x:c r="D3621" s="12" t="str">
        <x:v>Bengaluru</x:v>
      </x:c>
      <x:c r="E3621" s="12" t="str">
        <x:v>Fincity Corproate Park </x:v>
      </x:c>
      <x:c r="F3621" s="12" t="str">
        <x:v>55 inch</x:v>
      </x:c>
      <x:c r="G3621" s="20" t="n">
        <x:v>1</x:v>
      </x:c>
      <x:c r="H3621" s="12" t="str">
        <x:v>Campus/portfolio roster; individual building occupancy unverified</x:v>
      </x:c>
      <x:c r="I3621" s="12" t="str">
        <x:v>Mixed business audience</x:v>
      </x:c>
      <x:c r="J3621" s="12" t="str">
        <x:v>Unresolved</x:v>
      </x:c>
      <x:c r="K3621" s="2" t="str">
        <x:v>PARTNER-M162</x:v>
      </x:c>
    </x:row>
    <x:row r="3622" ht="46" customHeight="1">
      <x:c r="A3622" s="2" t="str">
        <x:v>TEN-7DB74F996F50</x:v>
      </x:c>
      <x:c r="B3622" s="12" t="str">
        <x:v>Hitachi Rail STS Bangalore</x:v>
      </x:c>
      <x:c r="C3622" s="12" t="str">
        <x:v>CORP-0581</x:v>
      </x:c>
      <x:c r="D3622" s="12" t="str">
        <x:v>Bengaluru</x:v>
      </x:c>
      <x:c r="E3622" s="12" t="str">
        <x:v>Fincity Corproate Park </x:v>
      </x:c>
      <x:c r="F3622" s="12" t="str">
        <x:v>55 inch</x:v>
      </x:c>
      <x:c r="G3622" s="20" t="n">
        <x:v>1</x:v>
      </x:c>
      <x:c r="H3622" s="12" t="str">
        <x:v>Campus/portfolio roster; individual building occupancy unverified</x:v>
      </x:c>
      <x:c r="I3622" s="12" t="str">
        <x:v>Large enterprise</x:v>
      </x:c>
      <x:c r="J3622" s="12" t="str">
        <x:v>Engineering &amp; manufacturing</x:v>
      </x:c>
      <x:c r="K3622" s="2" t="str">
        <x:v>PARTNER-M162</x:v>
      </x:c>
    </x:row>
    <x:row r="3623" ht="46" customHeight="1">
      <x:c r="A3623" s="2" t="str">
        <x:v>TEN-8AD914E76A1E</x:v>
      </x:c>
      <x:c r="B3623" s="12" t="str">
        <x:v>Exotel</x:v>
      </x:c>
      <x:c r="C3623" s="12" t="str">
        <x:v>CORP-0581</x:v>
      </x:c>
      <x:c r="D3623" s="12" t="str">
        <x:v>Bengaluru</x:v>
      </x:c>
      <x:c r="E3623" s="12" t="str">
        <x:v>Fincity Corproate Park </x:v>
      </x:c>
      <x:c r="F3623" s="12" t="str">
        <x:v>55 inch</x:v>
      </x:c>
      <x:c r="G3623" s="20" t="n">
        <x:v>1</x:v>
      </x:c>
      <x:c r="H3623" s="12" t="str">
        <x:v>Campus/portfolio roster; individual building occupancy unverified</x:v>
      </x:c>
      <x:c r="I3623" s="12" t="str">
        <x:v>Small-scale prospects</x:v>
      </x:c>
      <x:c r="J3623" s="12" t="str">
        <x:v>IT &amp; digital</x:v>
      </x:c>
      <x:c r="K3623" s="2" t="str">
        <x:v>PARTNER-M162</x:v>
      </x:c>
    </x:row>
    <x:row r="3624" ht="46" customHeight="1">
      <x:c r="A3624" s="2" t="str">
        <x:v>TEN-C8FA2C07840D</x:v>
      </x:c>
      <x:c r="B3624" s="12" t="str">
        <x:v>Scoler</x:v>
      </x:c>
      <x:c r="C3624" s="12" t="str">
        <x:v>CORP-0581</x:v>
      </x:c>
      <x:c r="D3624" s="12" t="str">
        <x:v>Bengaluru</x:v>
      </x:c>
      <x:c r="E3624" s="12" t="str">
        <x:v>Fincity Corproate Park </x:v>
      </x:c>
      <x:c r="F3624" s="12" t="str">
        <x:v>55 inch</x:v>
      </x:c>
      <x:c r="G3624" s="20" t="n">
        <x:v>1</x:v>
      </x:c>
      <x:c r="H3624" s="12" t="str">
        <x:v>Campus/portfolio roster; individual building occupancy unverified</x:v>
      </x:c>
      <x:c r="I3624" s="12" t="str">
        <x:v>Mixed business audience</x:v>
      </x:c>
      <x:c r="J3624" s="12" t="str">
        <x:v>Unresolved</x:v>
      </x:c>
      <x:c r="K3624" s="2" t="str">
        <x:v>PARTNER-M162</x:v>
      </x:c>
    </x:row>
    <x:row r="3625" ht="46" customHeight="1">
      <x:c r="A3625" s="2" t="str">
        <x:v>TEN-FDB92F1E0EDB</x:v>
      </x:c>
      <x:c r="B3625" s="12" t="str">
        <x:v>Dezerv</x:v>
      </x:c>
      <x:c r="C3625" s="12" t="str">
        <x:v>CORP-0581</x:v>
      </x:c>
      <x:c r="D3625" s="12" t="str">
        <x:v>Bengaluru</x:v>
      </x:c>
      <x:c r="E3625" s="12" t="str">
        <x:v>Fincity Corproate Park </x:v>
      </x:c>
      <x:c r="F3625" s="12" t="str">
        <x:v>55 inch</x:v>
      </x:c>
      <x:c r="G3625" s="20" t="n">
        <x:v>1</x:v>
      </x:c>
      <x:c r="H3625" s="12" t="str">
        <x:v>Campus/portfolio roster; individual building occupancy unverified</x:v>
      </x:c>
      <x:c r="I3625" s="12" t="str">
        <x:v>Medium-scale prospects</x:v>
      </x:c>
      <x:c r="J3625" s="12" t="str">
        <x:v>Finance &amp; insurance</x:v>
      </x:c>
      <x:c r="K3625" s="2" t="str">
        <x:v>PARTNER-M162</x:v>
      </x:c>
    </x:row>
    <x:row r="3626" ht="46" customHeight="1">
      <x:c r="A3626" s="2" t="str">
        <x:v>TEN-0301B82899C9</x:v>
      </x:c>
      <x:c r="B3626" s="12" t="str">
        <x:v>Nettpositive Business Analytics</x:v>
      </x:c>
      <x:c r="C3626" s="12" t="str">
        <x:v>CORP-0582</x:v>
      </x:c>
      <x:c r="D3626" s="12" t="str">
        <x:v>Bengaluru</x:v>
      </x:c>
      <x:c r="E3626" s="12" t="str">
        <x:v>Fincity Corproate Park </x:v>
      </x:c>
      <x:c r="F3626" s="12" t="str">
        <x:v>55 inch</x:v>
      </x:c>
      <x:c r="G3626" s="20" t="n">
        <x:v>1</x:v>
      </x:c>
      <x:c r="H3626" s="12" t="str">
        <x:v>Campus/portfolio roster; individual building occupancy unverified</x:v>
      </x:c>
      <x:c r="I3626" s="12" t="str">
        <x:v>Small-scale prospects</x:v>
      </x:c>
      <x:c r="J3626" s="12" t="str">
        <x:v>IT &amp; digital</x:v>
      </x:c>
      <x:c r="K3626" s="2" t="str">
        <x:v>PARTNER-M162</x:v>
      </x:c>
    </x:row>
    <x:row r="3627" ht="46" customHeight="1">
      <x:c r="A3627" s="2" t="str">
        <x:v>TEN-1C2EC4E96776</x:v>
      </x:c>
      <x:c r="B3627" s="12" t="str">
        <x:v>American Express GBT</x:v>
      </x:c>
      <x:c r="C3627" s="12" t="str">
        <x:v>CORP-0582</x:v>
      </x:c>
      <x:c r="D3627" s="12" t="str">
        <x:v>Bengaluru</x:v>
      </x:c>
      <x:c r="E3627" s="12" t="str">
        <x:v>Fincity Corproate Park </x:v>
      </x:c>
      <x:c r="F3627" s="12" t="str">
        <x:v>55 inch</x:v>
      </x:c>
      <x:c r="G3627" s="20" t="n">
        <x:v>1</x:v>
      </x:c>
      <x:c r="H3627" s="12" t="str">
        <x:v>Campus/portfolio roster; individual building occupancy unverified</x:v>
      </x:c>
      <x:c r="I3627" s="12" t="str">
        <x:v>Mixed business audience</x:v>
      </x:c>
      <x:c r="J3627" s="12" t="str">
        <x:v>Trade, consumer &amp; logistics</x:v>
      </x:c>
      <x:c r="K3627" s="2" t="str">
        <x:v>PARTNER-M162</x:v>
      </x:c>
    </x:row>
    <x:row r="3628" ht="46" customHeight="1">
      <x:c r="A3628" s="2" t="str">
        <x:v>TEN-423D620322C3</x:v>
      </x:c>
      <x:c r="B3628" s="12" t="str">
        <x:v>Relevel by Unacademy</x:v>
      </x:c>
      <x:c r="C3628" s="12" t="str">
        <x:v>CORP-0582</x:v>
      </x:c>
      <x:c r="D3628" s="12" t="str">
        <x:v>Bengaluru</x:v>
      </x:c>
      <x:c r="E3628" s="12" t="str">
        <x:v>Fincity Corproate Park </x:v>
      </x:c>
      <x:c r="F3628" s="12" t="str">
        <x:v>55 inch</x:v>
      </x:c>
      <x:c r="G3628" s="20" t="n">
        <x:v>1</x:v>
      </x:c>
      <x:c r="H3628" s="12" t="str">
        <x:v>Campus/portfolio roster; individual building occupancy unverified</x:v>
      </x:c>
      <x:c r="I3628" s="12" t="str">
        <x:v>Mixed business audience</x:v>
      </x:c>
      <x:c r="J3628" s="12" t="str">
        <x:v>Unresolved</x:v>
      </x:c>
      <x:c r="K3628" s="2" t="str">
        <x:v>PARTNER-M162</x:v>
      </x:c>
    </x:row>
    <x:row r="3629" ht="46" customHeight="1">
      <x:c r="A3629" s="2" t="str">
        <x:v>TEN-7DB74F996F50</x:v>
      </x:c>
      <x:c r="B3629" s="12" t="str">
        <x:v>Hitachi Rail STS Bangalore</x:v>
      </x:c>
      <x:c r="C3629" s="12" t="str">
        <x:v>CORP-0582</x:v>
      </x:c>
      <x:c r="D3629" s="12" t="str">
        <x:v>Bengaluru</x:v>
      </x:c>
      <x:c r="E3629" s="12" t="str">
        <x:v>Fincity Corproate Park </x:v>
      </x:c>
      <x:c r="F3629" s="12" t="str">
        <x:v>55 inch</x:v>
      </x:c>
      <x:c r="G3629" s="20" t="n">
        <x:v>1</x:v>
      </x:c>
      <x:c r="H3629" s="12" t="str">
        <x:v>Campus/portfolio roster; individual building occupancy unverified</x:v>
      </x:c>
      <x:c r="I3629" s="12" t="str">
        <x:v>Large enterprise</x:v>
      </x:c>
      <x:c r="J3629" s="12" t="str">
        <x:v>Engineering &amp; manufacturing</x:v>
      </x:c>
      <x:c r="K3629" s="2" t="str">
        <x:v>PARTNER-M162</x:v>
      </x:c>
    </x:row>
    <x:row r="3630" ht="46" customHeight="1">
      <x:c r="A3630" s="2" t="str">
        <x:v>TEN-8AD914E76A1E</x:v>
      </x:c>
      <x:c r="B3630" s="12" t="str">
        <x:v>Exotel</x:v>
      </x:c>
      <x:c r="C3630" s="12" t="str">
        <x:v>CORP-0582</x:v>
      </x:c>
      <x:c r="D3630" s="12" t="str">
        <x:v>Bengaluru</x:v>
      </x:c>
      <x:c r="E3630" s="12" t="str">
        <x:v>Fincity Corproate Park </x:v>
      </x:c>
      <x:c r="F3630" s="12" t="str">
        <x:v>55 inch</x:v>
      </x:c>
      <x:c r="G3630" s="20" t="n">
        <x:v>1</x:v>
      </x:c>
      <x:c r="H3630" s="12" t="str">
        <x:v>Campus/portfolio roster; individual building occupancy unverified</x:v>
      </x:c>
      <x:c r="I3630" s="12" t="str">
        <x:v>Small-scale prospects</x:v>
      </x:c>
      <x:c r="J3630" s="12" t="str">
        <x:v>IT &amp; digital</x:v>
      </x:c>
      <x:c r="K3630" s="2" t="str">
        <x:v>PARTNER-M162</x:v>
      </x:c>
    </x:row>
    <x:row r="3631" ht="46" customHeight="1">
      <x:c r="A3631" s="2" t="str">
        <x:v>TEN-C8FA2C07840D</x:v>
      </x:c>
      <x:c r="B3631" s="12" t="str">
        <x:v>Scoler</x:v>
      </x:c>
      <x:c r="C3631" s="12" t="str">
        <x:v>CORP-0582</x:v>
      </x:c>
      <x:c r="D3631" s="12" t="str">
        <x:v>Bengaluru</x:v>
      </x:c>
      <x:c r="E3631" s="12" t="str">
        <x:v>Fincity Corproate Park </x:v>
      </x:c>
      <x:c r="F3631" s="12" t="str">
        <x:v>55 inch</x:v>
      </x:c>
      <x:c r="G3631" s="20" t="n">
        <x:v>1</x:v>
      </x:c>
      <x:c r="H3631" s="12" t="str">
        <x:v>Campus/portfolio roster; individual building occupancy unverified</x:v>
      </x:c>
      <x:c r="I3631" s="12" t="str">
        <x:v>Mixed business audience</x:v>
      </x:c>
      <x:c r="J3631" s="12" t="str">
        <x:v>Unresolved</x:v>
      </x:c>
      <x:c r="K3631" s="2" t="str">
        <x:v>PARTNER-M162</x:v>
      </x:c>
    </x:row>
    <x:row r="3632" ht="46" customHeight="1">
      <x:c r="A3632" s="2" t="str">
        <x:v>TEN-FDB92F1E0EDB</x:v>
      </x:c>
      <x:c r="B3632" s="12" t="str">
        <x:v>Dezerv</x:v>
      </x:c>
      <x:c r="C3632" s="12" t="str">
        <x:v>CORP-0582</x:v>
      </x:c>
      <x:c r="D3632" s="12" t="str">
        <x:v>Bengaluru</x:v>
      </x:c>
      <x:c r="E3632" s="12" t="str">
        <x:v>Fincity Corproate Park </x:v>
      </x:c>
      <x:c r="F3632" s="12" t="str">
        <x:v>55 inch</x:v>
      </x:c>
      <x:c r="G3632" s="20" t="n">
        <x:v>1</x:v>
      </x:c>
      <x:c r="H3632" s="12" t="str">
        <x:v>Campus/portfolio roster; individual building occupancy unverified</x:v>
      </x:c>
      <x:c r="I3632" s="12" t="str">
        <x:v>Medium-scale prospects</x:v>
      </x:c>
      <x:c r="J3632" s="12" t="str">
        <x:v>Finance &amp; insurance</x:v>
      </x:c>
      <x:c r="K3632" s="2" t="str">
        <x:v>PARTNER-M162</x:v>
      </x:c>
    </x:row>
    <x:row r="3633" ht="46" customHeight="1">
      <x:c r="A3633" s="2" t="str">
        <x:v>TEN-0301B82899C9</x:v>
      </x:c>
      <x:c r="B3633" s="12" t="str">
        <x:v>Nettpositive Business Analytics</x:v>
      </x:c>
      <x:c r="C3633" s="12" t="str">
        <x:v>CORP-0583</x:v>
      </x:c>
      <x:c r="D3633" s="12" t="str">
        <x:v>Bengaluru</x:v>
      </x:c>
      <x:c r="E3633" s="12" t="str">
        <x:v>Fincity Corproate Park </x:v>
      </x:c>
      <x:c r="F3633" s="12" t="str">
        <x:v>55 inch</x:v>
      </x:c>
      <x:c r="G3633" s="20" t="n">
        <x:v>1</x:v>
      </x:c>
      <x:c r="H3633" s="12" t="str">
        <x:v>Campus/portfolio roster; individual building occupancy unverified</x:v>
      </x:c>
      <x:c r="I3633" s="12" t="str">
        <x:v>Small-scale prospects</x:v>
      </x:c>
      <x:c r="J3633" s="12" t="str">
        <x:v>IT &amp; digital</x:v>
      </x:c>
      <x:c r="K3633" s="2" t="str">
        <x:v>PARTNER-M162</x:v>
      </x:c>
    </x:row>
    <x:row r="3634" ht="46" customHeight="1">
      <x:c r="A3634" s="2" t="str">
        <x:v>TEN-1C2EC4E96776</x:v>
      </x:c>
      <x:c r="B3634" s="12" t="str">
        <x:v>American Express GBT</x:v>
      </x:c>
      <x:c r="C3634" s="12" t="str">
        <x:v>CORP-0583</x:v>
      </x:c>
      <x:c r="D3634" s="12" t="str">
        <x:v>Bengaluru</x:v>
      </x:c>
      <x:c r="E3634" s="12" t="str">
        <x:v>Fincity Corproate Park </x:v>
      </x:c>
      <x:c r="F3634" s="12" t="str">
        <x:v>55 inch</x:v>
      </x:c>
      <x:c r="G3634" s="20" t="n">
        <x:v>1</x:v>
      </x:c>
      <x:c r="H3634" s="12" t="str">
        <x:v>Campus/portfolio roster; individual building occupancy unverified</x:v>
      </x:c>
      <x:c r="I3634" s="12" t="str">
        <x:v>Mixed business audience</x:v>
      </x:c>
      <x:c r="J3634" s="12" t="str">
        <x:v>Trade, consumer &amp; logistics</x:v>
      </x:c>
      <x:c r="K3634" s="2" t="str">
        <x:v>PARTNER-M162</x:v>
      </x:c>
    </x:row>
    <x:row r="3635" ht="46" customHeight="1">
      <x:c r="A3635" s="2" t="str">
        <x:v>TEN-423D620322C3</x:v>
      </x:c>
      <x:c r="B3635" s="12" t="str">
        <x:v>Relevel by Unacademy</x:v>
      </x:c>
      <x:c r="C3635" s="12" t="str">
        <x:v>CORP-0583</x:v>
      </x:c>
      <x:c r="D3635" s="12" t="str">
        <x:v>Bengaluru</x:v>
      </x:c>
      <x:c r="E3635" s="12" t="str">
        <x:v>Fincity Corproate Park </x:v>
      </x:c>
      <x:c r="F3635" s="12" t="str">
        <x:v>55 inch</x:v>
      </x:c>
      <x:c r="G3635" s="20" t="n">
        <x:v>1</x:v>
      </x:c>
      <x:c r="H3635" s="12" t="str">
        <x:v>Campus/portfolio roster; individual building occupancy unverified</x:v>
      </x:c>
      <x:c r="I3635" s="12" t="str">
        <x:v>Mixed business audience</x:v>
      </x:c>
      <x:c r="J3635" s="12" t="str">
        <x:v>Unresolved</x:v>
      </x:c>
      <x:c r="K3635" s="2" t="str">
        <x:v>PARTNER-M162</x:v>
      </x:c>
    </x:row>
    <x:row r="3636" ht="46" customHeight="1">
      <x:c r="A3636" s="2" t="str">
        <x:v>TEN-7DB74F996F50</x:v>
      </x:c>
      <x:c r="B3636" s="12" t="str">
        <x:v>Hitachi Rail STS Bangalore</x:v>
      </x:c>
      <x:c r="C3636" s="12" t="str">
        <x:v>CORP-0583</x:v>
      </x:c>
      <x:c r="D3636" s="12" t="str">
        <x:v>Bengaluru</x:v>
      </x:c>
      <x:c r="E3636" s="12" t="str">
        <x:v>Fincity Corproate Park </x:v>
      </x:c>
      <x:c r="F3636" s="12" t="str">
        <x:v>55 inch</x:v>
      </x:c>
      <x:c r="G3636" s="20" t="n">
        <x:v>1</x:v>
      </x:c>
      <x:c r="H3636" s="12" t="str">
        <x:v>Campus/portfolio roster; individual building occupancy unverified</x:v>
      </x:c>
      <x:c r="I3636" s="12" t="str">
        <x:v>Large enterprise</x:v>
      </x:c>
      <x:c r="J3636" s="12" t="str">
        <x:v>Engineering &amp; manufacturing</x:v>
      </x:c>
      <x:c r="K3636" s="2" t="str">
        <x:v>PARTNER-M162</x:v>
      </x:c>
    </x:row>
    <x:row r="3637" ht="46" customHeight="1">
      <x:c r="A3637" s="2" t="str">
        <x:v>TEN-8AD914E76A1E</x:v>
      </x:c>
      <x:c r="B3637" s="12" t="str">
        <x:v>Exotel</x:v>
      </x:c>
      <x:c r="C3637" s="12" t="str">
        <x:v>CORP-0583</x:v>
      </x:c>
      <x:c r="D3637" s="12" t="str">
        <x:v>Bengaluru</x:v>
      </x:c>
      <x:c r="E3637" s="12" t="str">
        <x:v>Fincity Corproate Park </x:v>
      </x:c>
      <x:c r="F3637" s="12" t="str">
        <x:v>55 inch</x:v>
      </x:c>
      <x:c r="G3637" s="20" t="n">
        <x:v>1</x:v>
      </x:c>
      <x:c r="H3637" s="12" t="str">
        <x:v>Campus/portfolio roster; individual building occupancy unverified</x:v>
      </x:c>
      <x:c r="I3637" s="12" t="str">
        <x:v>Small-scale prospects</x:v>
      </x:c>
      <x:c r="J3637" s="12" t="str">
        <x:v>IT &amp; digital</x:v>
      </x:c>
      <x:c r="K3637" s="2" t="str">
        <x:v>PARTNER-M162</x:v>
      </x:c>
    </x:row>
    <x:row r="3638" ht="46" customHeight="1">
      <x:c r="A3638" s="2" t="str">
        <x:v>TEN-C8FA2C07840D</x:v>
      </x:c>
      <x:c r="B3638" s="12" t="str">
        <x:v>Scoler</x:v>
      </x:c>
      <x:c r="C3638" s="12" t="str">
        <x:v>CORP-0583</x:v>
      </x:c>
      <x:c r="D3638" s="12" t="str">
        <x:v>Bengaluru</x:v>
      </x:c>
      <x:c r="E3638" s="12" t="str">
        <x:v>Fincity Corproate Park </x:v>
      </x:c>
      <x:c r="F3638" s="12" t="str">
        <x:v>55 inch</x:v>
      </x:c>
      <x:c r="G3638" s="20" t="n">
        <x:v>1</x:v>
      </x:c>
      <x:c r="H3638" s="12" t="str">
        <x:v>Campus/portfolio roster; individual building occupancy unverified</x:v>
      </x:c>
      <x:c r="I3638" s="12" t="str">
        <x:v>Mixed business audience</x:v>
      </x:c>
      <x:c r="J3638" s="12" t="str">
        <x:v>Unresolved</x:v>
      </x:c>
      <x:c r="K3638" s="2" t="str">
        <x:v>PARTNER-M162</x:v>
      </x:c>
    </x:row>
    <x:row r="3639" ht="46" customHeight="1">
      <x:c r="A3639" s="2" t="str">
        <x:v>TEN-FDB92F1E0EDB</x:v>
      </x:c>
      <x:c r="B3639" s="12" t="str">
        <x:v>Dezerv</x:v>
      </x:c>
      <x:c r="C3639" s="12" t="str">
        <x:v>CORP-0583</x:v>
      </x:c>
      <x:c r="D3639" s="12" t="str">
        <x:v>Bengaluru</x:v>
      </x:c>
      <x:c r="E3639" s="12" t="str">
        <x:v>Fincity Corproate Park </x:v>
      </x:c>
      <x:c r="F3639" s="12" t="str">
        <x:v>55 inch</x:v>
      </x:c>
      <x:c r="G3639" s="20" t="n">
        <x:v>1</x:v>
      </x:c>
      <x:c r="H3639" s="12" t="str">
        <x:v>Campus/portfolio roster; individual building occupancy unverified</x:v>
      </x:c>
      <x:c r="I3639" s="12" t="str">
        <x:v>Medium-scale prospects</x:v>
      </x:c>
      <x:c r="J3639" s="12" t="str">
        <x:v>Finance &amp; insurance</x:v>
      </x:c>
      <x:c r="K3639" s="2" t="str">
        <x:v>PARTNER-M162</x:v>
      </x:c>
    </x:row>
    <x:row r="3640" ht="46" customHeight="1">
      <x:c r="A3640" s="2" t="str">
        <x:v>TEN-17C400F7181E</x:v>
      </x:c>
      <x:c r="B3640" s="12" t="str">
        <x:v>Cambium Networks Private Limited</x:v>
      </x:c>
      <x:c r="C3640" s="12" t="str">
        <x:v>CORP-0584</x:v>
      </x:c>
      <x:c r="D3640" s="12" t="str">
        <x:v>Bengaluru</x:v>
      </x:c>
      <x:c r="E3640" s="12" t="str">
        <x:v>Cessna Business Park</x:v>
      </x:c>
      <x:c r="F3640" s="12" t="str">
        <x:v>55 inch</x:v>
      </x:c>
      <x:c r="G3640" s="20" t="n">
        <x:v>1</x:v>
      </x:c>
      <x:c r="H3640" s="12" t="str">
        <x:v>Campus/portfolio roster; individual building occupancy unverified</x:v>
      </x:c>
      <x:c r="I3640" s="12" t="str">
        <x:v>Mixed business audience</x:v>
      </x:c>
      <x:c r="J3640" s="12" t="str">
        <x:v>IT &amp; digital</x:v>
      </x:c>
      <x:c r="K3640" s="2" t="str">
        <x:v>PARTNER-M166</x:v>
      </x:c>
    </x:row>
    <x:row r="3641" ht="46" customHeight="1">
      <x:c r="A3641" s="2" t="str">
        <x:v>TEN-284A226B58B5</x:v>
      </x:c>
      <x:c r="B3641" s="12" t="str">
        <x:v>Birla Pivot</x:v>
      </x:c>
      <x:c r="C3641" s="12" t="str">
        <x:v>CORP-0584</x:v>
      </x:c>
      <x:c r="D3641" s="12" t="str">
        <x:v>Bengaluru</x:v>
      </x:c>
      <x:c r="E3641" s="12" t="str">
        <x:v>Cessna Business Park</x:v>
      </x:c>
      <x:c r="F3641" s="12" t="str">
        <x:v>55 inch</x:v>
      </x:c>
      <x:c r="G3641" s="20" t="n">
        <x:v>1</x:v>
      </x:c>
      <x:c r="H3641" s="12" t="str">
        <x:v>Campus/portfolio roster; individual building occupancy unverified</x:v>
      </x:c>
      <x:c r="I3641" s="12" t="str">
        <x:v>Large enterprise</x:v>
      </x:c>
      <x:c r="J3641" s="12" t="str">
        <x:v>Trade, consumer &amp; logistics</x:v>
      </x:c>
      <x:c r="K3641" s="2" t="str">
        <x:v>PARTNER-M166</x:v>
      </x:c>
    </x:row>
    <x:row r="3642" ht="46" customHeight="1">
      <x:c r="A3642" s="2" t="str">
        <x:v>TEN-7E2E1BC4E8F9</x:v>
      </x:c>
      <x:c r="B3642" s="12" t="str">
        <x:v>OPEX Technologies Pvt Ltd</x:v>
      </x:c>
      <x:c r="C3642" s="12" t="str">
        <x:v>CORP-0584</x:v>
      </x:c>
      <x:c r="D3642" s="12" t="str">
        <x:v>Bengaluru</x:v>
      </x:c>
      <x:c r="E3642" s="12" t="str">
        <x:v>Cessna Business Park</x:v>
      </x:c>
      <x:c r="F3642" s="12" t="str">
        <x:v>55 inch</x:v>
      </x:c>
      <x:c r="G3642" s="20" t="n">
        <x:v>1</x:v>
      </x:c>
      <x:c r="H3642" s="12" t="str">
        <x:v>Campus/portfolio roster; individual building occupancy unverified</x:v>
      </x:c>
      <x:c r="I3642" s="12" t="str">
        <x:v>Mixed business audience</x:v>
      </x:c>
      <x:c r="J3642" s="12" t="str">
        <x:v>Unresolved</x:v>
      </x:c>
      <x:c r="K3642" s="2" t="str">
        <x:v>PARTNER-M166</x:v>
      </x:c>
    </x:row>
    <x:row r="3643" ht="46" customHeight="1">
      <x:c r="A3643" s="2" t="str">
        <x:v>TEN-93C8F532FDF9</x:v>
      </x:c>
      <x:c r="B3643" s="12" t="str">
        <x:v>Kanini Software Solutions</x:v>
      </x:c>
      <x:c r="C3643" s="12" t="str">
        <x:v>CORP-0584</x:v>
      </x:c>
      <x:c r="D3643" s="12" t="str">
        <x:v>Bengaluru</x:v>
      </x:c>
      <x:c r="E3643" s="12" t="str">
        <x:v>Cessna Business Park</x:v>
      </x:c>
      <x:c r="F3643" s="12" t="str">
        <x:v>55 inch</x:v>
      </x:c>
      <x:c r="G3643" s="20" t="n">
        <x:v>1</x:v>
      </x:c>
      <x:c r="H3643" s="12" t="str">
        <x:v>Campus/portfolio roster; individual building occupancy unverified</x:v>
      </x:c>
      <x:c r="I3643" s="12" t="str">
        <x:v>Small-scale prospects</x:v>
      </x:c>
      <x:c r="J3643" s="12" t="str">
        <x:v>IT &amp; digital</x:v>
      </x:c>
      <x:c r="K3643" s="2" t="str">
        <x:v>PARTNER-M166</x:v>
      </x:c>
    </x:row>
    <x:row r="3644" ht="46" customHeight="1">
      <x:c r="A3644" s="2" t="str">
        <x:v>TEN-958F32C11ABB</x:v>
      </x:c>
      <x:c r="B3644" s="12" t="str">
        <x:v>ZeroStack Inc</x:v>
      </x:c>
      <x:c r="C3644" s="12" t="str">
        <x:v>CORP-0584</x:v>
      </x:c>
      <x:c r="D3644" s="12" t="str">
        <x:v>Bengaluru</x:v>
      </x:c>
      <x:c r="E3644" s="12" t="str">
        <x:v>Cessna Business Park</x:v>
      </x:c>
      <x:c r="F3644" s="12" t="str">
        <x:v>55 inch</x:v>
      </x:c>
      <x:c r="G3644" s="20" t="n">
        <x:v>1</x:v>
      </x:c>
      <x:c r="H3644" s="12" t="str">
        <x:v>Campus/portfolio roster; individual building occupancy unverified</x:v>
      </x:c>
      <x:c r="I3644" s="12" t="str">
        <x:v>Small-scale prospects</x:v>
      </x:c>
      <x:c r="J3644" s="12" t="str">
        <x:v>IT &amp; digital</x:v>
      </x:c>
      <x:c r="K3644" s="2" t="str">
        <x:v>PARTNER-M166</x:v>
      </x:c>
    </x:row>
    <x:row r="3645" ht="46" customHeight="1">
      <x:c r="A3645" s="2" t="str">
        <x:v>TEN-B00DCCE00CF7</x:v>
      </x:c>
      <x:c r="B3645" s="12" t="str">
        <x:v>KogniVera IT Solutions Pvt Ltd</x:v>
      </x:c>
      <x:c r="C3645" s="12" t="str">
        <x:v>CORP-0584</x:v>
      </x:c>
      <x:c r="D3645" s="12" t="str">
        <x:v>Bengaluru</x:v>
      </x:c>
      <x:c r="E3645" s="12" t="str">
        <x:v>Cessna Business Park</x:v>
      </x:c>
      <x:c r="F3645" s="12" t="str">
        <x:v>55 inch</x:v>
      </x:c>
      <x:c r="G3645" s="20" t="n">
        <x:v>1</x:v>
      </x:c>
      <x:c r="H3645" s="12" t="str">
        <x:v>Campus/portfolio roster; individual building occupancy unverified</x:v>
      </x:c>
      <x:c r="I3645" s="12" t="str">
        <x:v>Small-scale prospects</x:v>
      </x:c>
      <x:c r="J3645" s="12" t="str">
        <x:v>IT &amp; digital</x:v>
      </x:c>
      <x:c r="K3645" s="2" t="str">
        <x:v>PARTNER-M166</x:v>
      </x:c>
    </x:row>
    <x:row r="3646" ht="46" customHeight="1">
      <x:c r="A3646" s="2" t="str">
        <x:v>TEN-CF43145687C6</x:v>
      </x:c>
      <x:c r="B3646" s="12" t="str">
        <x:v>Page Industries Limited</x:v>
      </x:c>
      <x:c r="C3646" s="12" t="str">
        <x:v>CORP-0584</x:v>
      </x:c>
      <x:c r="D3646" s="12" t="str">
        <x:v>Bengaluru</x:v>
      </x:c>
      <x:c r="E3646" s="12" t="str">
        <x:v>Cessna Business Park</x:v>
      </x:c>
      <x:c r="F3646" s="12" t="str">
        <x:v>55 inch</x:v>
      </x:c>
      <x:c r="G3646" s="20" t="n">
        <x:v>1</x:v>
      </x:c>
      <x:c r="H3646" s="12" t="str">
        <x:v>Campus/portfolio roster; individual building occupancy unverified</x:v>
      </x:c>
      <x:c r="I3646" s="12" t="str">
        <x:v>Mixed business audience</x:v>
      </x:c>
      <x:c r="J3646" s="12" t="str">
        <x:v>Trade, consumer &amp; logistics</x:v>
      </x:c>
      <x:c r="K3646" s="2" t="str">
        <x:v>PARTNER-M166</x:v>
      </x:c>
    </x:row>
    <x:row r="3647" ht="46" customHeight="1">
      <x:c r="A3647" s="2" t="str">
        <x:v>TEN-D5AABFA3A414</x:v>
      </x:c>
      <x:c r="B3647" s="12" t="str">
        <x:v>Dexian India Technologies Private Limited</x:v>
      </x:c>
      <x:c r="C3647" s="12" t="str">
        <x:v>CORP-0584</x:v>
      </x:c>
      <x:c r="D3647" s="12" t="str">
        <x:v>Bengaluru</x:v>
      </x:c>
      <x:c r="E3647" s="12" t="str">
        <x:v>Cessna Business Park</x:v>
      </x:c>
      <x:c r="F3647" s="12" t="str">
        <x:v>55 inch</x:v>
      </x:c>
      <x:c r="G3647" s="20" t="n">
        <x:v>1</x:v>
      </x:c>
      <x:c r="H3647" s="12" t="str">
        <x:v>Campus/portfolio roster; individual building occupancy unverified</x:v>
      </x:c>
      <x:c r="I3647" s="12" t="str">
        <x:v>Mixed business audience</x:v>
      </x:c>
      <x:c r="J3647" s="12" t="str">
        <x:v>IT &amp; digital</x:v>
      </x:c>
      <x:c r="K3647" s="2" t="str">
        <x:v>PARTNER-M166</x:v>
      </x:c>
    </x:row>
    <x:row r="3648" ht="46" customHeight="1">
      <x:c r="A3648" s="2" t="str">
        <x:v>TEN-D6C19C7AF47E</x:v>
      </x:c>
      <x:c r="B3648" s="12" t="str">
        <x:v>First Pass Semiconductors</x:v>
      </x:c>
      <x:c r="C3648" s="12" t="str">
        <x:v>CORP-0584</x:v>
      </x:c>
      <x:c r="D3648" s="12" t="str">
        <x:v>Bengaluru</x:v>
      </x:c>
      <x:c r="E3648" s="12" t="str">
        <x:v>Cessna Business Park</x:v>
      </x:c>
      <x:c r="F3648" s="12" t="str">
        <x:v>55 inch</x:v>
      </x:c>
      <x:c r="G3648" s="20" t="n">
        <x:v>1</x:v>
      </x:c>
      <x:c r="H3648" s="12" t="str">
        <x:v>Campus/portfolio roster; individual building occupancy unverified</x:v>
      </x:c>
      <x:c r="I3648" s="12" t="str">
        <x:v>Medium-scale prospects</x:v>
      </x:c>
      <x:c r="J3648" s="12" t="str">
        <x:v>Engineering &amp; manufacturing</x:v>
      </x:c>
      <x:c r="K3648" s="2" t="str">
        <x:v>PARTNER-M166</x:v>
      </x:c>
    </x:row>
    <x:row r="3649" ht="46" customHeight="1">
      <x:c r="A3649" s="2" t="str">
        <x:v>TEN-FFF9B8935849</x:v>
      </x:c>
      <x:c r="B3649" s="12" t="str">
        <x:v>Sophos Technologies</x:v>
      </x:c>
      <x:c r="C3649" s="12" t="str">
        <x:v>CORP-0584</x:v>
      </x:c>
      <x:c r="D3649" s="12" t="str">
        <x:v>Bengaluru</x:v>
      </x:c>
      <x:c r="E3649" s="12" t="str">
        <x:v>Cessna Business Park</x:v>
      </x:c>
      <x:c r="F3649" s="12" t="str">
        <x:v>55 inch</x:v>
      </x:c>
      <x:c r="G3649" s="20" t="n">
        <x:v>1</x:v>
      </x:c>
      <x:c r="H3649" s="12" t="str">
        <x:v>Campus/portfolio roster; individual building occupancy unverified</x:v>
      </x:c>
      <x:c r="I3649" s="12" t="str">
        <x:v>Mixed business audience</x:v>
      </x:c>
      <x:c r="J3649" s="12" t="str">
        <x:v>IT &amp; digital</x:v>
      </x:c>
      <x:c r="K3649" s="2" t="str">
        <x:v>PARTNER-M166</x:v>
      </x:c>
    </x:row>
    <x:row r="3650" ht="46" customHeight="1">
      <x:c r="A3650" s="2" t="str">
        <x:v>TEN-11B177B76116</x:v>
      </x:c>
      <x:c r="B3650" s="12" t="str">
        <x:v>Avaya Global Connect Ltd</x:v>
      </x:c>
      <x:c r="C3650" s="12" t="str">
        <x:v>CORP-0432</x:v>
      </x:c>
      <x:c r="D3650" s="12" t="str">
        <x:v>Bengaluru</x:v>
      </x:c>
      <x:c r="E3650" s="12" t="str">
        <x:v>Prestige Tech Park</x:v>
      </x:c>
      <x:c r="F3650" s="12" t="str">
        <x:v>55 inch</x:v>
      </x:c>
      <x:c r="G3650" s="20" t="n">
        <x:v>1</x:v>
      </x:c>
      <x:c r="H3650" s="12" t="str">
        <x:v>Campus/portfolio roster; individual building occupancy unverified</x:v>
      </x:c>
      <x:c r="I3650" s="12" t="str">
        <x:v>Mixed business audience</x:v>
      </x:c>
      <x:c r="J3650" s="12" t="str">
        <x:v>IT &amp; digital</x:v>
      </x:c>
      <x:c r="K3650" s="2" t="str">
        <x:v>PARTNER-M014</x:v>
      </x:c>
    </x:row>
    <x:row r="3651" ht="46" customHeight="1">
      <x:c r="A3651" s="2" t="str">
        <x:v>TEN-1A32A2EA27AE</x:v>
      </x:c>
      <x:c r="B3651" s="12" t="str">
        <x:v>Aptos India Private Limited</x:v>
      </x:c>
      <x:c r="C3651" s="12" t="str">
        <x:v>CORP-0432</x:v>
      </x:c>
      <x:c r="D3651" s="12" t="str">
        <x:v>Bengaluru</x:v>
      </x:c>
      <x:c r="E3651" s="12" t="str">
        <x:v>Prestige Tech Park</x:v>
      </x:c>
      <x:c r="F3651" s="12" t="str">
        <x:v>55 inch</x:v>
      </x:c>
      <x:c r="G3651" s="20" t="n">
        <x:v>1</x:v>
      </x:c>
      <x:c r="H3651" s="12" t="str">
        <x:v>Campus/portfolio roster; individual building occupancy unverified</x:v>
      </x:c>
      <x:c r="I3651" s="12" t="str">
        <x:v>Mixed business audience</x:v>
      </x:c>
      <x:c r="J3651" s="12" t="str">
        <x:v>IT &amp; digital</x:v>
      </x:c>
      <x:c r="K3651" s="2" t="str">
        <x:v>PARTNER-M014</x:v>
      </x:c>
    </x:row>
    <x:row r="3652" ht="46" customHeight="1">
      <x:c r="A3652" s="2" t="str">
        <x:v>TEN-1B8499B49BB3</x:v>
      </x:c>
      <x:c r="B3652" s="12" t="str">
        <x:v>Delliot</x:v>
      </x:c>
      <x:c r="C3652" s="12" t="str">
        <x:v>CORP-0432</x:v>
      </x:c>
      <x:c r="D3652" s="12" t="str">
        <x:v>Bengaluru</x:v>
      </x:c>
      <x:c r="E3652" s="12" t="str">
        <x:v>Prestige Tech Park</x:v>
      </x:c>
      <x:c r="F3652" s="12" t="str">
        <x:v>55 inch</x:v>
      </x:c>
      <x:c r="G3652" s="20" t="n">
        <x:v>1</x:v>
      </x:c>
      <x:c r="H3652" s="12" t="str">
        <x:v>Campus/portfolio roster; individual building occupancy unverified</x:v>
      </x:c>
      <x:c r="I3652" s="12" t="str">
        <x:v>Mixed business audience</x:v>
      </x:c>
      <x:c r="J3652" s="12" t="str">
        <x:v>Unresolved</x:v>
      </x:c>
      <x:c r="K3652" s="2" t="str">
        <x:v>PARTNER-M014</x:v>
      </x:c>
    </x:row>
    <x:row r="3653" ht="46" customHeight="1">
      <x:c r="A3653" s="2" t="str">
        <x:v>TEN-38773D0009A0</x:v>
      </x:c>
      <x:c r="B3653" s="12" t="str">
        <x:v>Frog Design Studio</x:v>
      </x:c>
      <x:c r="C3653" s="12" t="str">
        <x:v>CORP-0432</x:v>
      </x:c>
      <x:c r="D3653" s="12" t="str">
        <x:v>Bengaluru</x:v>
      </x:c>
      <x:c r="E3653" s="12" t="str">
        <x:v>Prestige Tech Park</x:v>
      </x:c>
      <x:c r="F3653" s="12" t="str">
        <x:v>55 inch</x:v>
      </x:c>
      <x:c r="G3653" s="20" t="n">
        <x:v>1</x:v>
      </x:c>
      <x:c r="H3653" s="12" t="str">
        <x:v>Campus/portfolio roster; individual building occupancy unverified</x:v>
      </x:c>
      <x:c r="I3653" s="12" t="str">
        <x:v>Mixed business audience</x:v>
      </x:c>
      <x:c r="J3653" s="12" t="str">
        <x:v>Professional services</x:v>
      </x:c>
      <x:c r="K3653" s="2" t="str">
        <x:v>PARTNER-M014</x:v>
      </x:c>
    </x:row>
    <x:row r="3654" ht="46" customHeight="1">
      <x:c r="A3654" s="2" t="str">
        <x:v>TEN-49F1F88DBFE4</x:v>
      </x:c>
      <x:c r="B3654" s="12" t="str">
        <x:v>Futures First Info Services</x:v>
      </x:c>
      <x:c r="C3654" s="12" t="str">
        <x:v>CORP-0432</x:v>
      </x:c>
      <x:c r="D3654" s="12" t="str">
        <x:v>Bengaluru</x:v>
      </x:c>
      <x:c r="E3654" s="12" t="str">
        <x:v>Prestige Tech Park</x:v>
      </x:c>
      <x:c r="F3654" s="12" t="str">
        <x:v>55 inch</x:v>
      </x:c>
      <x:c r="G3654" s="20" t="n">
        <x:v>1</x:v>
      </x:c>
      <x:c r="H3654" s="12" t="str">
        <x:v>Campus/portfolio roster; individual building occupancy unverified</x:v>
      </x:c>
      <x:c r="I3654" s="12" t="str">
        <x:v>Mixed business audience</x:v>
      </x:c>
      <x:c r="J3654" s="12" t="str">
        <x:v>IT &amp; digital</x:v>
      </x:c>
      <x:c r="K3654" s="2" t="str">
        <x:v>PARTNER-M014</x:v>
      </x:c>
    </x:row>
    <x:row r="3655" ht="46" customHeight="1">
      <x:c r="A3655" s="2" t="str">
        <x:v>TEN-53296B6A946C</x:v>
      </x:c>
      <x:c r="B3655" s="12" t="str">
        <x:v>Waif's</x:v>
      </x:c>
      <x:c r="C3655" s="12" t="str">
        <x:v>CORP-0432</x:v>
      </x:c>
      <x:c r="D3655" s="12" t="str">
        <x:v>Bengaluru</x:v>
      </x:c>
      <x:c r="E3655" s="12" t="str">
        <x:v>Prestige Tech Park</x:v>
      </x:c>
      <x:c r="F3655" s="12" t="str">
        <x:v>55 inch</x:v>
      </x:c>
      <x:c r="G3655" s="20" t="n">
        <x:v>1</x:v>
      </x:c>
      <x:c r="H3655" s="12" t="str">
        <x:v>Campus/portfolio roster; individual building occupancy unverified</x:v>
      </x:c>
      <x:c r="I3655" s="12" t="str">
        <x:v>Mixed business audience</x:v>
      </x:c>
      <x:c r="J3655" s="12" t="str">
        <x:v>Unresolved</x:v>
      </x:c>
      <x:c r="K3655" s="2" t="str">
        <x:v>PARTNER-M014</x:v>
      </x:c>
    </x:row>
    <x:row r="3656" ht="46" customHeight="1">
      <x:c r="A3656" s="2" t="str">
        <x:v>TEN-72DA9DBF0092</x:v>
      </x:c>
      <x:c r="B3656" s="12" t="str">
        <x:v>Aruba Networks</x:v>
      </x:c>
      <x:c r="C3656" s="12" t="str">
        <x:v>CORP-0432</x:v>
      </x:c>
      <x:c r="D3656" s="12" t="str">
        <x:v>Bengaluru</x:v>
      </x:c>
      <x:c r="E3656" s="12" t="str">
        <x:v>Prestige Tech Park</x:v>
      </x:c>
      <x:c r="F3656" s="12" t="str">
        <x:v>55 inch</x:v>
      </x:c>
      <x:c r="G3656" s="20" t="n">
        <x:v>1</x:v>
      </x:c>
      <x:c r="H3656" s="12" t="str">
        <x:v>Campus/portfolio roster; individual building occupancy unverified</x:v>
      </x:c>
      <x:c r="I3656" s="12" t="str">
        <x:v>Large enterprise</x:v>
      </x:c>
      <x:c r="J3656" s="12" t="str">
        <x:v>IT &amp; digital</x:v>
      </x:c>
      <x:c r="K3656" s="2" t="str">
        <x:v>PARTNER-M014</x:v>
      </x:c>
    </x:row>
    <x:row r="3657" ht="46" customHeight="1">
      <x:c r="A3657" s="2" t="str">
        <x:v>TEN-76DBEE9F2C38</x:v>
      </x:c>
      <x:c r="B3657" s="12" t="str">
        <x:v>Mobile Programming</x:v>
      </x:c>
      <x:c r="C3657" s="12" t="str">
        <x:v>CORP-0432</x:v>
      </x:c>
      <x:c r="D3657" s="12" t="str">
        <x:v>Bengaluru</x:v>
      </x:c>
      <x:c r="E3657" s="12" t="str">
        <x:v>Prestige Tech Park</x:v>
      </x:c>
      <x:c r="F3657" s="12" t="str">
        <x:v>55 inch</x:v>
      </x:c>
      <x:c r="G3657" s="20" t="n">
        <x:v>1</x:v>
      </x:c>
      <x:c r="H3657" s="12" t="str">
        <x:v>Campus/portfolio roster; individual building occupancy unverified</x:v>
      </x:c>
      <x:c r="I3657" s="12" t="str">
        <x:v>Small-scale prospects</x:v>
      </x:c>
      <x:c r="J3657" s="12" t="str">
        <x:v>IT &amp; digital</x:v>
      </x:c>
      <x:c r="K3657" s="2" t="str">
        <x:v>PARTNER-M014</x:v>
      </x:c>
    </x:row>
    <x:row r="3658" ht="46" customHeight="1">
      <x:c r="A3658" s="2" t="str">
        <x:v>TEN-775865062819</x:v>
      </x:c>
      <x:c r="B3658" s="12" t="str">
        <x:v>Nagarro Software Pvt. Ltd</x:v>
      </x:c>
      <x:c r="C3658" s="12" t="str">
        <x:v>CORP-0432</x:v>
      </x:c>
      <x:c r="D3658" s="12" t="str">
        <x:v>Bengaluru</x:v>
      </x:c>
      <x:c r="E3658" s="12" t="str">
        <x:v>Prestige Tech Park</x:v>
      </x:c>
      <x:c r="F3658" s="12" t="str">
        <x:v>55 inch</x:v>
      </x:c>
      <x:c r="G3658" s="20" t="n">
        <x:v>1</x:v>
      </x:c>
      <x:c r="H3658" s="12" t="str">
        <x:v>Campus/portfolio roster; individual building occupancy unverified</x:v>
      </x:c>
      <x:c r="I3658" s="12" t="str">
        <x:v>Large enterprise</x:v>
      </x:c>
      <x:c r="J3658" s="12" t="str">
        <x:v>IT &amp; digital</x:v>
      </x:c>
      <x:c r="K3658" s="2" t="str">
        <x:v>PARTNER-M014</x:v>
      </x:c>
    </x:row>
    <x:row r="3659" ht="46" customHeight="1">
      <x:c r="A3659" s="2" t="str">
        <x:v>TEN-78522B7571D3</x:v>
      </x:c>
      <x:c r="B3659" s="12" t="str">
        <x:v>Grab Greco LLP</x:v>
      </x:c>
      <x:c r="C3659" s="12" t="str">
        <x:v>CORP-0432</x:v>
      </x:c>
      <x:c r="D3659" s="12" t="str">
        <x:v>Bengaluru</x:v>
      </x:c>
      <x:c r="E3659" s="12" t="str">
        <x:v>Prestige Tech Park</x:v>
      </x:c>
      <x:c r="F3659" s="12" t="str">
        <x:v>55 inch</x:v>
      </x:c>
      <x:c r="G3659" s="20" t="n">
        <x:v>1</x:v>
      </x:c>
      <x:c r="H3659" s="12" t="str">
        <x:v>Campus/portfolio roster; individual building occupancy unverified</x:v>
      </x:c>
      <x:c r="I3659" s="12" t="str">
        <x:v>Mixed business audience</x:v>
      </x:c>
      <x:c r="J3659" s="12" t="str">
        <x:v>Unresolved</x:v>
      </x:c>
      <x:c r="K3659" s="2" t="str">
        <x:v>PARTNER-M014</x:v>
      </x:c>
    </x:row>
    <x:row r="3660" ht="46" customHeight="1">
      <x:c r="A3660" s="2" t="str">
        <x:v>TEN-8217BB19EBF1</x:v>
      </x:c>
      <x:c r="B3660" s="12" t="str">
        <x:v>J.P. Morgan</x:v>
      </x:c>
      <x:c r="C3660" s="12" t="str">
        <x:v>CORP-0432</x:v>
      </x:c>
      <x:c r="D3660" s="12" t="str">
        <x:v>Bengaluru</x:v>
      </x:c>
      <x:c r="E3660" s="12" t="str">
        <x:v>Prestige Tech Park</x:v>
      </x:c>
      <x:c r="F3660" s="12" t="str">
        <x:v>55 inch</x:v>
      </x:c>
      <x:c r="G3660" s="20" t="n">
        <x:v>1</x:v>
      </x:c>
      <x:c r="H3660" s="12" t="str">
        <x:v>Campus/portfolio roster; individual building occupancy unverified</x:v>
      </x:c>
      <x:c r="I3660" s="12" t="str">
        <x:v>Large enterprise</x:v>
      </x:c>
      <x:c r="J3660" s="12" t="str">
        <x:v>Finance &amp; insurance</x:v>
      </x:c>
      <x:c r="K3660" s="2" t="str">
        <x:v>PARTNER-M014</x:v>
      </x:c>
    </x:row>
    <x:row r="3661" ht="46" customHeight="1">
      <x:c r="A3661" s="2" t="str">
        <x:v>TEN-9202AF6CE925</x:v>
      </x:c>
      <x:c r="B3661" s="12" t="str">
        <x:v>Oracle</x:v>
      </x:c>
      <x:c r="C3661" s="12" t="str">
        <x:v>CORP-0432</x:v>
      </x:c>
      <x:c r="D3661" s="12" t="str">
        <x:v>Bengaluru</x:v>
      </x:c>
      <x:c r="E3661" s="12" t="str">
        <x:v>Prestige Tech Park</x:v>
      </x:c>
      <x:c r="F3661" s="12" t="str">
        <x:v>55 inch</x:v>
      </x:c>
      <x:c r="G3661" s="20" t="n">
        <x:v>1</x:v>
      </x:c>
      <x:c r="H3661" s="12" t="str">
        <x:v>Campus/portfolio roster; individual building occupancy unverified</x:v>
      </x:c>
      <x:c r="I3661" s="12" t="str">
        <x:v>Large enterprise</x:v>
      </x:c>
      <x:c r="J3661" s="12" t="str">
        <x:v>IT &amp; digital</x:v>
      </x:c>
      <x:c r="K3661" s="2" t="str">
        <x:v>PARTNER-M014</x:v>
      </x:c>
    </x:row>
    <x:row r="3662" ht="46" customHeight="1">
      <x:c r="A3662" s="2" t="str">
        <x:v>TEN-9B7F5525854D</x:v>
      </x:c>
      <x:c r="B3662" s="12" t="str">
        <x:v>AQUANTIA SEMICONDUCTOR INDIA PVT LTD</x:v>
      </x:c>
      <x:c r="C3662" s="12" t="str">
        <x:v>CORP-0432</x:v>
      </x:c>
      <x:c r="D3662" s="12" t="str">
        <x:v>Bengaluru</x:v>
      </x:c>
      <x:c r="E3662" s="12" t="str">
        <x:v>Prestige Tech Park</x:v>
      </x:c>
      <x:c r="F3662" s="12" t="str">
        <x:v>55 inch</x:v>
      </x:c>
      <x:c r="G3662" s="20" t="n">
        <x:v>1</x:v>
      </x:c>
      <x:c r="H3662" s="12" t="str">
        <x:v>Campus/portfolio roster; individual building occupancy unverified</x:v>
      </x:c>
      <x:c r="I3662" s="12" t="str">
        <x:v>Mixed business audience</x:v>
      </x:c>
      <x:c r="J3662" s="12" t="str">
        <x:v>Engineering &amp; manufacturing</x:v>
      </x:c>
      <x:c r="K3662" s="2" t="str">
        <x:v>PARTNER-M014</x:v>
      </x:c>
    </x:row>
    <x:row r="3663" ht="46" customHeight="1">
      <x:c r="A3663" s="2" t="str">
        <x:v>TEN-B909749F4464</x:v>
      </x:c>
      <x:c r="B3663" s="12" t="str">
        <x:v>Conga (Apttus) Software Pvt. Ltd</x:v>
      </x:c>
      <x:c r="C3663" s="12" t="str">
        <x:v>CORP-0432</x:v>
      </x:c>
      <x:c r="D3663" s="12" t="str">
        <x:v>Bengaluru</x:v>
      </x:c>
      <x:c r="E3663" s="12" t="str">
        <x:v>Prestige Tech Park</x:v>
      </x:c>
      <x:c r="F3663" s="12" t="str">
        <x:v>55 inch</x:v>
      </x:c>
      <x:c r="G3663" s="20" t="n">
        <x:v>1</x:v>
      </x:c>
      <x:c r="H3663" s="12" t="str">
        <x:v>Campus/portfolio roster; individual building occupancy unverified</x:v>
      </x:c>
      <x:c r="I3663" s="12" t="str">
        <x:v>Mixed business audience</x:v>
      </x:c>
      <x:c r="J3663" s="12" t="str">
        <x:v>IT &amp; digital</x:v>
      </x:c>
      <x:c r="K3663" s="2" t="str">
        <x:v>PARTNER-M014</x:v>
      </x:c>
    </x:row>
    <x:row r="3664" ht="46" customHeight="1">
      <x:c r="A3664" s="2" t="str">
        <x:v>TEN-BC3067AC45DF</x:v>
      </x:c>
      <x:c r="B3664" s="12" t="str">
        <x:v>Schneider Electric</x:v>
      </x:c>
      <x:c r="C3664" s="12" t="str">
        <x:v>CORP-0432</x:v>
      </x:c>
      <x:c r="D3664" s="12" t="str">
        <x:v>Bengaluru</x:v>
      </x:c>
      <x:c r="E3664" s="12" t="str">
        <x:v>Prestige Tech Park</x:v>
      </x:c>
      <x:c r="F3664" s="12" t="str">
        <x:v>55 inch</x:v>
      </x:c>
      <x:c r="G3664" s="20" t="n">
        <x:v>1</x:v>
      </x:c>
      <x:c r="H3664" s="12" t="str">
        <x:v>Campus/portfolio roster; individual building occupancy unverified</x:v>
      </x:c>
      <x:c r="I3664" s="12" t="str">
        <x:v>Large enterprise</x:v>
      </x:c>
      <x:c r="J3664" s="12" t="str">
        <x:v>Engineering &amp; manufacturing</x:v>
      </x:c>
      <x:c r="K3664" s="2" t="str">
        <x:v>PARTNER-M014</x:v>
      </x:c>
    </x:row>
    <x:row r="3665" ht="46" customHeight="1">
      <x:c r="A3665" s="2" t="str">
        <x:v>TEN-C34DF63CE5F2</x:v>
      </x:c>
      <x:c r="B3665" s="12" t="str">
        <x:v>BlueJeans Networks Pvt Ltd</x:v>
      </x:c>
      <x:c r="C3665" s="12" t="str">
        <x:v>CORP-0432</x:v>
      </x:c>
      <x:c r="D3665" s="12" t="str">
        <x:v>Bengaluru</x:v>
      </x:c>
      <x:c r="E3665" s="12" t="str">
        <x:v>Prestige Tech Park</x:v>
      </x:c>
      <x:c r="F3665" s="12" t="str">
        <x:v>55 inch</x:v>
      </x:c>
      <x:c r="G3665" s="20" t="n">
        <x:v>1</x:v>
      </x:c>
      <x:c r="H3665" s="12" t="str">
        <x:v>Campus/portfolio roster; individual building occupancy unverified</x:v>
      </x:c>
      <x:c r="I3665" s="12" t="str">
        <x:v>Mixed business audience</x:v>
      </x:c>
      <x:c r="J3665" s="12" t="str">
        <x:v>IT &amp; digital</x:v>
      </x:c>
      <x:c r="K3665" s="2" t="str">
        <x:v>PARTNER-M014</x:v>
      </x:c>
    </x:row>
    <x:row r="3666" ht="46" customHeight="1">
      <x:c r="A3666" s="2" t="str">
        <x:v>TEN-C47675D3BD0C</x:v>
      </x:c>
      <x:c r="B3666" s="12" t="str">
        <x:v>Money View</x:v>
      </x:c>
      <x:c r="C3666" s="12" t="str">
        <x:v>CORP-0432</x:v>
      </x:c>
      <x:c r="D3666" s="12" t="str">
        <x:v>Bengaluru</x:v>
      </x:c>
      <x:c r="E3666" s="12" t="str">
        <x:v>Prestige Tech Park</x:v>
      </x:c>
      <x:c r="F3666" s="12" t="str">
        <x:v>55 inch</x:v>
      </x:c>
      <x:c r="G3666" s="20" t="n">
        <x:v>1</x:v>
      </x:c>
      <x:c r="H3666" s="12" t="str">
        <x:v>Campus/portfolio roster; individual building occupancy unverified</x:v>
      </x:c>
      <x:c r="I3666" s="12" t="str">
        <x:v>Medium-scale prospects</x:v>
      </x:c>
      <x:c r="J3666" s="12" t="str">
        <x:v>Finance &amp; insurance</x:v>
      </x:c>
      <x:c r="K3666" s="2" t="str">
        <x:v>PARTNER-M014</x:v>
      </x:c>
    </x:row>
    <x:row r="3667" ht="46" customHeight="1">
      <x:c r="A3667" s="2" t="str">
        <x:v>TEN-D886B2C883A6</x:v>
      </x:c>
      <x:c r="B3667" s="12" t="str">
        <x:v>Citi Bank</x:v>
      </x:c>
      <x:c r="C3667" s="12" t="str">
        <x:v>CORP-0432</x:v>
      </x:c>
      <x:c r="D3667" s="12" t="str">
        <x:v>Bengaluru</x:v>
      </x:c>
      <x:c r="E3667" s="12" t="str">
        <x:v>Prestige Tech Park</x:v>
      </x:c>
      <x:c r="F3667" s="12" t="str">
        <x:v>55 inch</x:v>
      </x:c>
      <x:c r="G3667" s="20" t="n">
        <x:v>1</x:v>
      </x:c>
      <x:c r="H3667" s="12" t="str">
        <x:v>Campus/portfolio roster; individual building occupancy unverified</x:v>
      </x:c>
      <x:c r="I3667" s="12" t="str">
        <x:v>Large enterprise</x:v>
      </x:c>
      <x:c r="J3667" s="12" t="str">
        <x:v>Finance &amp; insurance</x:v>
      </x:c>
      <x:c r="K3667" s="2" t="str">
        <x:v>PARTNER-M014</x:v>
      </x:c>
    </x:row>
    <x:row r="3668" ht="46" customHeight="1">
      <x:c r="A3668" s="2" t="str">
        <x:v>TEN-D9364FD0A5DE</x:v>
      </x:c>
      <x:c r="B3668" s="12" t="str">
        <x:v>Walmart Labs</x:v>
      </x:c>
      <x:c r="C3668" s="12" t="str">
        <x:v>CORP-0432</x:v>
      </x:c>
      <x:c r="D3668" s="12" t="str">
        <x:v>Bengaluru</x:v>
      </x:c>
      <x:c r="E3668" s="12" t="str">
        <x:v>Prestige Tech Park</x:v>
      </x:c>
      <x:c r="F3668" s="12" t="str">
        <x:v>55 inch</x:v>
      </x:c>
      <x:c r="G3668" s="20" t="n">
        <x:v>1</x:v>
      </x:c>
      <x:c r="H3668" s="12" t="str">
        <x:v>Campus/portfolio roster; individual building occupancy unverified</x:v>
      </x:c>
      <x:c r="I3668" s="12" t="str">
        <x:v>Large enterprise</x:v>
      </x:c>
      <x:c r="J3668" s="12" t="str">
        <x:v>Trade, consumer &amp; logistics</x:v>
      </x:c>
      <x:c r="K3668" s="2" t="str">
        <x:v>PARTNER-M014</x:v>
      </x:c>
    </x:row>
    <x:row r="3669" ht="46" customHeight="1">
      <x:c r="A3669" s="2" t="str">
        <x:v>TEN-F55A85B2F2EB</x:v>
      </x:c>
      <x:c r="B3669" s="12" t="str">
        <x:v>Capgemini</x:v>
      </x:c>
      <x:c r="C3669" s="12" t="str">
        <x:v>CORP-0432</x:v>
      </x:c>
      <x:c r="D3669" s="12" t="str">
        <x:v>Bengaluru</x:v>
      </x:c>
      <x:c r="E3669" s="12" t="str">
        <x:v>Prestige Tech Park</x:v>
      </x:c>
      <x:c r="F3669" s="12" t="str">
        <x:v>55 inch</x:v>
      </x:c>
      <x:c r="G3669" s="20" t="n">
        <x:v>1</x:v>
      </x:c>
      <x:c r="H3669" s="12" t="str">
        <x:v>Campus/portfolio roster; individual building occupancy unverified</x:v>
      </x:c>
      <x:c r="I3669" s="12" t="str">
        <x:v>Large enterprise</x:v>
      </x:c>
      <x:c r="J3669" s="12" t="str">
        <x:v>IT &amp; digital</x:v>
      </x:c>
      <x:c r="K3669" s="2" t="str">
        <x:v>PARTNER-M014</x:v>
      </x:c>
    </x:row>
    <x:row r="3670" ht="46" customHeight="1">
      <x:c r="A3670" s="2" t="str">
        <x:v>TEN-17C400F7181E</x:v>
      </x:c>
      <x:c r="B3670" s="12" t="str">
        <x:v>Cambium Networks Private Limited</x:v>
      </x:c>
      <x:c r="C3670" s="12" t="str">
        <x:v>CORP-0585</x:v>
      </x:c>
      <x:c r="D3670" s="12" t="str">
        <x:v>Bengaluru</x:v>
      </x:c>
      <x:c r="E3670" s="12" t="str">
        <x:v>Cessna Business Park</x:v>
      </x:c>
      <x:c r="F3670" s="12" t="str">
        <x:v>55 inch</x:v>
      </x:c>
      <x:c r="G3670" s="20" t="n">
        <x:v>1</x:v>
      </x:c>
      <x:c r="H3670" s="12" t="str">
        <x:v>Campus/portfolio roster; individual building occupancy unverified</x:v>
      </x:c>
      <x:c r="I3670" s="12" t="str">
        <x:v>Mixed business audience</x:v>
      </x:c>
      <x:c r="J3670" s="12" t="str">
        <x:v>IT &amp; digital</x:v>
      </x:c>
      <x:c r="K3670" s="2" t="str">
        <x:v>PARTNER-M166</x:v>
      </x:c>
    </x:row>
    <x:row r="3671" ht="46" customHeight="1">
      <x:c r="A3671" s="2" t="str">
        <x:v>TEN-284A226B58B5</x:v>
      </x:c>
      <x:c r="B3671" s="12" t="str">
        <x:v>Birla Pivot</x:v>
      </x:c>
      <x:c r="C3671" s="12" t="str">
        <x:v>CORP-0585</x:v>
      </x:c>
      <x:c r="D3671" s="12" t="str">
        <x:v>Bengaluru</x:v>
      </x:c>
      <x:c r="E3671" s="12" t="str">
        <x:v>Cessna Business Park</x:v>
      </x:c>
      <x:c r="F3671" s="12" t="str">
        <x:v>55 inch</x:v>
      </x:c>
      <x:c r="G3671" s="20" t="n">
        <x:v>1</x:v>
      </x:c>
      <x:c r="H3671" s="12" t="str">
        <x:v>Campus/portfolio roster; individual building occupancy unverified</x:v>
      </x:c>
      <x:c r="I3671" s="12" t="str">
        <x:v>Large enterprise</x:v>
      </x:c>
      <x:c r="J3671" s="12" t="str">
        <x:v>Trade, consumer &amp; logistics</x:v>
      </x:c>
      <x:c r="K3671" s="2" t="str">
        <x:v>PARTNER-M166</x:v>
      </x:c>
    </x:row>
    <x:row r="3672" ht="46" customHeight="1">
      <x:c r="A3672" s="2" t="str">
        <x:v>TEN-7E2E1BC4E8F9</x:v>
      </x:c>
      <x:c r="B3672" s="12" t="str">
        <x:v>OPEX Technologies Pvt Ltd</x:v>
      </x:c>
      <x:c r="C3672" s="12" t="str">
        <x:v>CORP-0585</x:v>
      </x:c>
      <x:c r="D3672" s="12" t="str">
        <x:v>Bengaluru</x:v>
      </x:c>
      <x:c r="E3672" s="12" t="str">
        <x:v>Cessna Business Park</x:v>
      </x:c>
      <x:c r="F3672" s="12" t="str">
        <x:v>55 inch</x:v>
      </x:c>
      <x:c r="G3672" s="20" t="n">
        <x:v>1</x:v>
      </x:c>
      <x:c r="H3672" s="12" t="str">
        <x:v>Campus/portfolio roster; individual building occupancy unverified</x:v>
      </x:c>
      <x:c r="I3672" s="12" t="str">
        <x:v>Mixed business audience</x:v>
      </x:c>
      <x:c r="J3672" s="12" t="str">
        <x:v>Unresolved</x:v>
      </x:c>
      <x:c r="K3672" s="2" t="str">
        <x:v>PARTNER-M166</x:v>
      </x:c>
    </x:row>
    <x:row r="3673" ht="46" customHeight="1">
      <x:c r="A3673" s="2" t="str">
        <x:v>TEN-93C8F532FDF9</x:v>
      </x:c>
      <x:c r="B3673" s="12" t="str">
        <x:v>Kanini Software Solutions</x:v>
      </x:c>
      <x:c r="C3673" s="12" t="str">
        <x:v>CORP-0585</x:v>
      </x:c>
      <x:c r="D3673" s="12" t="str">
        <x:v>Bengaluru</x:v>
      </x:c>
      <x:c r="E3673" s="12" t="str">
        <x:v>Cessna Business Park</x:v>
      </x:c>
      <x:c r="F3673" s="12" t="str">
        <x:v>55 inch</x:v>
      </x:c>
      <x:c r="G3673" s="20" t="n">
        <x:v>1</x:v>
      </x:c>
      <x:c r="H3673" s="12" t="str">
        <x:v>Campus/portfolio roster; individual building occupancy unverified</x:v>
      </x:c>
      <x:c r="I3673" s="12" t="str">
        <x:v>Small-scale prospects</x:v>
      </x:c>
      <x:c r="J3673" s="12" t="str">
        <x:v>IT &amp; digital</x:v>
      </x:c>
      <x:c r="K3673" s="2" t="str">
        <x:v>PARTNER-M166</x:v>
      </x:c>
    </x:row>
    <x:row r="3674" ht="46" customHeight="1">
      <x:c r="A3674" s="2" t="str">
        <x:v>TEN-958F32C11ABB</x:v>
      </x:c>
      <x:c r="B3674" s="12" t="str">
        <x:v>ZeroStack Inc</x:v>
      </x:c>
      <x:c r="C3674" s="12" t="str">
        <x:v>CORP-0585</x:v>
      </x:c>
      <x:c r="D3674" s="12" t="str">
        <x:v>Bengaluru</x:v>
      </x:c>
      <x:c r="E3674" s="12" t="str">
        <x:v>Cessna Business Park</x:v>
      </x:c>
      <x:c r="F3674" s="12" t="str">
        <x:v>55 inch</x:v>
      </x:c>
      <x:c r="G3674" s="20" t="n">
        <x:v>1</x:v>
      </x:c>
      <x:c r="H3674" s="12" t="str">
        <x:v>Campus/portfolio roster; individual building occupancy unverified</x:v>
      </x:c>
      <x:c r="I3674" s="12" t="str">
        <x:v>Small-scale prospects</x:v>
      </x:c>
      <x:c r="J3674" s="12" t="str">
        <x:v>IT &amp; digital</x:v>
      </x:c>
      <x:c r="K3674" s="2" t="str">
        <x:v>PARTNER-M166</x:v>
      </x:c>
    </x:row>
    <x:row r="3675" ht="46" customHeight="1">
      <x:c r="A3675" s="2" t="str">
        <x:v>TEN-B00DCCE00CF7</x:v>
      </x:c>
      <x:c r="B3675" s="12" t="str">
        <x:v>KogniVera IT Solutions Pvt Ltd</x:v>
      </x:c>
      <x:c r="C3675" s="12" t="str">
        <x:v>CORP-0585</x:v>
      </x:c>
      <x:c r="D3675" s="12" t="str">
        <x:v>Bengaluru</x:v>
      </x:c>
      <x:c r="E3675" s="12" t="str">
        <x:v>Cessna Business Park</x:v>
      </x:c>
      <x:c r="F3675" s="12" t="str">
        <x:v>55 inch</x:v>
      </x:c>
      <x:c r="G3675" s="20" t="n">
        <x:v>1</x:v>
      </x:c>
      <x:c r="H3675" s="12" t="str">
        <x:v>Campus/portfolio roster; individual building occupancy unverified</x:v>
      </x:c>
      <x:c r="I3675" s="12" t="str">
        <x:v>Small-scale prospects</x:v>
      </x:c>
      <x:c r="J3675" s="12" t="str">
        <x:v>IT &amp; digital</x:v>
      </x:c>
      <x:c r="K3675" s="2" t="str">
        <x:v>PARTNER-M166</x:v>
      </x:c>
    </x:row>
    <x:row r="3676" ht="46" customHeight="1">
      <x:c r="A3676" s="2" t="str">
        <x:v>TEN-CF43145687C6</x:v>
      </x:c>
      <x:c r="B3676" s="12" t="str">
        <x:v>Page Industries Limited</x:v>
      </x:c>
      <x:c r="C3676" s="12" t="str">
        <x:v>CORP-0585</x:v>
      </x:c>
      <x:c r="D3676" s="12" t="str">
        <x:v>Bengaluru</x:v>
      </x:c>
      <x:c r="E3676" s="12" t="str">
        <x:v>Cessna Business Park</x:v>
      </x:c>
      <x:c r="F3676" s="12" t="str">
        <x:v>55 inch</x:v>
      </x:c>
      <x:c r="G3676" s="20" t="n">
        <x:v>1</x:v>
      </x:c>
      <x:c r="H3676" s="12" t="str">
        <x:v>Campus/portfolio roster; individual building occupancy unverified</x:v>
      </x:c>
      <x:c r="I3676" s="12" t="str">
        <x:v>Mixed business audience</x:v>
      </x:c>
      <x:c r="J3676" s="12" t="str">
        <x:v>Trade, consumer &amp; logistics</x:v>
      </x:c>
      <x:c r="K3676" s="2" t="str">
        <x:v>PARTNER-M166</x:v>
      </x:c>
    </x:row>
    <x:row r="3677" ht="46" customHeight="1">
      <x:c r="A3677" s="2" t="str">
        <x:v>TEN-D5AABFA3A414</x:v>
      </x:c>
      <x:c r="B3677" s="12" t="str">
        <x:v>Dexian India Technologies Private Limited</x:v>
      </x:c>
      <x:c r="C3677" s="12" t="str">
        <x:v>CORP-0585</x:v>
      </x:c>
      <x:c r="D3677" s="12" t="str">
        <x:v>Bengaluru</x:v>
      </x:c>
      <x:c r="E3677" s="12" t="str">
        <x:v>Cessna Business Park</x:v>
      </x:c>
      <x:c r="F3677" s="12" t="str">
        <x:v>55 inch</x:v>
      </x:c>
      <x:c r="G3677" s="20" t="n">
        <x:v>1</x:v>
      </x:c>
      <x:c r="H3677" s="12" t="str">
        <x:v>Campus/portfolio roster; individual building occupancy unverified</x:v>
      </x:c>
      <x:c r="I3677" s="12" t="str">
        <x:v>Mixed business audience</x:v>
      </x:c>
      <x:c r="J3677" s="12" t="str">
        <x:v>IT &amp; digital</x:v>
      </x:c>
      <x:c r="K3677" s="2" t="str">
        <x:v>PARTNER-M166</x:v>
      </x:c>
    </x:row>
    <x:row r="3678" ht="46" customHeight="1">
      <x:c r="A3678" s="2" t="str">
        <x:v>TEN-D6C19C7AF47E</x:v>
      </x:c>
      <x:c r="B3678" s="12" t="str">
        <x:v>First Pass Semiconductors</x:v>
      </x:c>
      <x:c r="C3678" s="12" t="str">
        <x:v>CORP-0585</x:v>
      </x:c>
      <x:c r="D3678" s="12" t="str">
        <x:v>Bengaluru</x:v>
      </x:c>
      <x:c r="E3678" s="12" t="str">
        <x:v>Cessna Business Park</x:v>
      </x:c>
      <x:c r="F3678" s="12" t="str">
        <x:v>55 inch</x:v>
      </x:c>
      <x:c r="G3678" s="20" t="n">
        <x:v>1</x:v>
      </x:c>
      <x:c r="H3678" s="12" t="str">
        <x:v>Campus/portfolio roster; individual building occupancy unverified</x:v>
      </x:c>
      <x:c r="I3678" s="12" t="str">
        <x:v>Medium-scale prospects</x:v>
      </x:c>
      <x:c r="J3678" s="12" t="str">
        <x:v>Engineering &amp; manufacturing</x:v>
      </x:c>
      <x:c r="K3678" s="2" t="str">
        <x:v>PARTNER-M166</x:v>
      </x:c>
    </x:row>
    <x:row r="3679" ht="46" customHeight="1">
      <x:c r="A3679" s="2" t="str">
        <x:v>TEN-FFF9B8935849</x:v>
      </x:c>
      <x:c r="B3679" s="12" t="str">
        <x:v>Sophos Technologies</x:v>
      </x:c>
      <x:c r="C3679" s="12" t="str">
        <x:v>CORP-0585</x:v>
      </x:c>
      <x:c r="D3679" s="12" t="str">
        <x:v>Bengaluru</x:v>
      </x:c>
      <x:c r="E3679" s="12" t="str">
        <x:v>Cessna Business Park</x:v>
      </x:c>
      <x:c r="F3679" s="12" t="str">
        <x:v>55 inch</x:v>
      </x:c>
      <x:c r="G3679" s="20" t="n">
        <x:v>1</x:v>
      </x:c>
      <x:c r="H3679" s="12" t="str">
        <x:v>Campus/portfolio roster; individual building occupancy unverified</x:v>
      </x:c>
      <x:c r="I3679" s="12" t="str">
        <x:v>Mixed business audience</x:v>
      </x:c>
      <x:c r="J3679" s="12" t="str">
        <x:v>IT &amp; digital</x:v>
      </x:c>
      <x:c r="K3679" s="2" t="str">
        <x:v>PARTNER-M166</x:v>
      </x:c>
    </x:row>
    <x:row r="3680" ht="46" customHeight="1">
      <x:c r="A3680" s="2" t="str">
        <x:v>TEN-17C400F7181E</x:v>
      </x:c>
      <x:c r="B3680" s="12" t="str">
        <x:v>Cambium Networks Private Limited</x:v>
      </x:c>
      <x:c r="C3680" s="12" t="str">
        <x:v>CORP-0586</x:v>
      </x:c>
      <x:c r="D3680" s="12" t="str">
        <x:v>Bengaluru</x:v>
      </x:c>
      <x:c r="E3680" s="12" t="str">
        <x:v>Cessna Business Park</x:v>
      </x:c>
      <x:c r="F3680" s="12" t="str">
        <x:v>55 inch</x:v>
      </x:c>
      <x:c r="G3680" s="20" t="n">
        <x:v>1</x:v>
      </x:c>
      <x:c r="H3680" s="12" t="str">
        <x:v>Campus/portfolio roster; individual building occupancy unverified</x:v>
      </x:c>
      <x:c r="I3680" s="12" t="str">
        <x:v>Mixed business audience</x:v>
      </x:c>
      <x:c r="J3680" s="12" t="str">
        <x:v>IT &amp; digital</x:v>
      </x:c>
      <x:c r="K3680" s="2" t="str">
        <x:v>PARTNER-M166</x:v>
      </x:c>
    </x:row>
    <x:row r="3681" ht="46" customHeight="1">
      <x:c r="A3681" s="2" t="str">
        <x:v>TEN-284A226B58B5</x:v>
      </x:c>
      <x:c r="B3681" s="12" t="str">
        <x:v>Birla Pivot</x:v>
      </x:c>
      <x:c r="C3681" s="12" t="str">
        <x:v>CORP-0586</x:v>
      </x:c>
      <x:c r="D3681" s="12" t="str">
        <x:v>Bengaluru</x:v>
      </x:c>
      <x:c r="E3681" s="12" t="str">
        <x:v>Cessna Business Park</x:v>
      </x:c>
      <x:c r="F3681" s="12" t="str">
        <x:v>55 inch</x:v>
      </x:c>
      <x:c r="G3681" s="20" t="n">
        <x:v>1</x:v>
      </x:c>
      <x:c r="H3681" s="12" t="str">
        <x:v>Campus/portfolio roster; individual building occupancy unverified</x:v>
      </x:c>
      <x:c r="I3681" s="12" t="str">
        <x:v>Large enterprise</x:v>
      </x:c>
      <x:c r="J3681" s="12" t="str">
        <x:v>Trade, consumer &amp; logistics</x:v>
      </x:c>
      <x:c r="K3681" s="2" t="str">
        <x:v>PARTNER-M166</x:v>
      </x:c>
    </x:row>
    <x:row r="3682" ht="46" customHeight="1">
      <x:c r="A3682" s="2" t="str">
        <x:v>TEN-7E2E1BC4E8F9</x:v>
      </x:c>
      <x:c r="B3682" s="12" t="str">
        <x:v>OPEX Technologies Pvt Ltd</x:v>
      </x:c>
      <x:c r="C3682" s="12" t="str">
        <x:v>CORP-0586</x:v>
      </x:c>
      <x:c r="D3682" s="12" t="str">
        <x:v>Bengaluru</x:v>
      </x:c>
      <x:c r="E3682" s="12" t="str">
        <x:v>Cessna Business Park</x:v>
      </x:c>
      <x:c r="F3682" s="12" t="str">
        <x:v>55 inch</x:v>
      </x:c>
      <x:c r="G3682" s="20" t="n">
        <x:v>1</x:v>
      </x:c>
      <x:c r="H3682" s="12" t="str">
        <x:v>Campus/portfolio roster; individual building occupancy unverified</x:v>
      </x:c>
      <x:c r="I3682" s="12" t="str">
        <x:v>Mixed business audience</x:v>
      </x:c>
      <x:c r="J3682" s="12" t="str">
        <x:v>Unresolved</x:v>
      </x:c>
      <x:c r="K3682" s="2" t="str">
        <x:v>PARTNER-M166</x:v>
      </x:c>
    </x:row>
    <x:row r="3683" ht="46" customHeight="1">
      <x:c r="A3683" s="2" t="str">
        <x:v>TEN-93C8F532FDF9</x:v>
      </x:c>
      <x:c r="B3683" s="12" t="str">
        <x:v>Kanini Software Solutions</x:v>
      </x:c>
      <x:c r="C3683" s="12" t="str">
        <x:v>CORP-0586</x:v>
      </x:c>
      <x:c r="D3683" s="12" t="str">
        <x:v>Bengaluru</x:v>
      </x:c>
      <x:c r="E3683" s="12" t="str">
        <x:v>Cessna Business Park</x:v>
      </x:c>
      <x:c r="F3683" s="12" t="str">
        <x:v>55 inch</x:v>
      </x:c>
      <x:c r="G3683" s="20" t="n">
        <x:v>1</x:v>
      </x:c>
      <x:c r="H3683" s="12" t="str">
        <x:v>Campus/portfolio roster; individual building occupancy unverified</x:v>
      </x:c>
      <x:c r="I3683" s="12" t="str">
        <x:v>Small-scale prospects</x:v>
      </x:c>
      <x:c r="J3683" s="12" t="str">
        <x:v>IT &amp; digital</x:v>
      </x:c>
      <x:c r="K3683" s="2" t="str">
        <x:v>PARTNER-M166</x:v>
      </x:c>
    </x:row>
    <x:row r="3684" ht="46" customHeight="1">
      <x:c r="A3684" s="2" t="str">
        <x:v>TEN-958F32C11ABB</x:v>
      </x:c>
      <x:c r="B3684" s="12" t="str">
        <x:v>ZeroStack Inc</x:v>
      </x:c>
      <x:c r="C3684" s="12" t="str">
        <x:v>CORP-0586</x:v>
      </x:c>
      <x:c r="D3684" s="12" t="str">
        <x:v>Bengaluru</x:v>
      </x:c>
      <x:c r="E3684" s="12" t="str">
        <x:v>Cessna Business Park</x:v>
      </x:c>
      <x:c r="F3684" s="12" t="str">
        <x:v>55 inch</x:v>
      </x:c>
      <x:c r="G3684" s="20" t="n">
        <x:v>1</x:v>
      </x:c>
      <x:c r="H3684" s="12" t="str">
        <x:v>Campus/portfolio roster; individual building occupancy unverified</x:v>
      </x:c>
      <x:c r="I3684" s="12" t="str">
        <x:v>Small-scale prospects</x:v>
      </x:c>
      <x:c r="J3684" s="12" t="str">
        <x:v>IT &amp; digital</x:v>
      </x:c>
      <x:c r="K3684" s="2" t="str">
        <x:v>PARTNER-M166</x:v>
      </x:c>
    </x:row>
    <x:row r="3685" ht="46" customHeight="1">
      <x:c r="A3685" s="2" t="str">
        <x:v>TEN-B00DCCE00CF7</x:v>
      </x:c>
      <x:c r="B3685" s="12" t="str">
        <x:v>KogniVera IT Solutions Pvt Ltd</x:v>
      </x:c>
      <x:c r="C3685" s="12" t="str">
        <x:v>CORP-0586</x:v>
      </x:c>
      <x:c r="D3685" s="12" t="str">
        <x:v>Bengaluru</x:v>
      </x:c>
      <x:c r="E3685" s="12" t="str">
        <x:v>Cessna Business Park</x:v>
      </x:c>
      <x:c r="F3685" s="12" t="str">
        <x:v>55 inch</x:v>
      </x:c>
      <x:c r="G3685" s="20" t="n">
        <x:v>1</x:v>
      </x:c>
      <x:c r="H3685" s="12" t="str">
        <x:v>Campus/portfolio roster; individual building occupancy unverified</x:v>
      </x:c>
      <x:c r="I3685" s="12" t="str">
        <x:v>Small-scale prospects</x:v>
      </x:c>
      <x:c r="J3685" s="12" t="str">
        <x:v>IT &amp; digital</x:v>
      </x:c>
      <x:c r="K3685" s="2" t="str">
        <x:v>PARTNER-M166</x:v>
      </x:c>
    </x:row>
    <x:row r="3686" ht="46" customHeight="1">
      <x:c r="A3686" s="2" t="str">
        <x:v>TEN-CF43145687C6</x:v>
      </x:c>
      <x:c r="B3686" s="12" t="str">
        <x:v>Page Industries Limited</x:v>
      </x:c>
      <x:c r="C3686" s="12" t="str">
        <x:v>CORP-0586</x:v>
      </x:c>
      <x:c r="D3686" s="12" t="str">
        <x:v>Bengaluru</x:v>
      </x:c>
      <x:c r="E3686" s="12" t="str">
        <x:v>Cessna Business Park</x:v>
      </x:c>
      <x:c r="F3686" s="12" t="str">
        <x:v>55 inch</x:v>
      </x:c>
      <x:c r="G3686" s="20" t="n">
        <x:v>1</x:v>
      </x:c>
      <x:c r="H3686" s="12" t="str">
        <x:v>Campus/portfolio roster; individual building occupancy unverified</x:v>
      </x:c>
      <x:c r="I3686" s="12" t="str">
        <x:v>Mixed business audience</x:v>
      </x:c>
      <x:c r="J3686" s="12" t="str">
        <x:v>Trade, consumer &amp; logistics</x:v>
      </x:c>
      <x:c r="K3686" s="2" t="str">
        <x:v>PARTNER-M166</x:v>
      </x:c>
    </x:row>
    <x:row r="3687" ht="46" customHeight="1">
      <x:c r="A3687" s="2" t="str">
        <x:v>TEN-D5AABFA3A414</x:v>
      </x:c>
      <x:c r="B3687" s="12" t="str">
        <x:v>Dexian India Technologies Private Limited</x:v>
      </x:c>
      <x:c r="C3687" s="12" t="str">
        <x:v>CORP-0586</x:v>
      </x:c>
      <x:c r="D3687" s="12" t="str">
        <x:v>Bengaluru</x:v>
      </x:c>
      <x:c r="E3687" s="12" t="str">
        <x:v>Cessna Business Park</x:v>
      </x:c>
      <x:c r="F3687" s="12" t="str">
        <x:v>55 inch</x:v>
      </x:c>
      <x:c r="G3687" s="20" t="n">
        <x:v>1</x:v>
      </x:c>
      <x:c r="H3687" s="12" t="str">
        <x:v>Campus/portfolio roster; individual building occupancy unverified</x:v>
      </x:c>
      <x:c r="I3687" s="12" t="str">
        <x:v>Mixed business audience</x:v>
      </x:c>
      <x:c r="J3687" s="12" t="str">
        <x:v>IT &amp; digital</x:v>
      </x:c>
      <x:c r="K3687" s="2" t="str">
        <x:v>PARTNER-M166</x:v>
      </x:c>
    </x:row>
    <x:row r="3688" ht="46" customHeight="1">
      <x:c r="A3688" s="2" t="str">
        <x:v>TEN-D6C19C7AF47E</x:v>
      </x:c>
      <x:c r="B3688" s="12" t="str">
        <x:v>First Pass Semiconductors</x:v>
      </x:c>
      <x:c r="C3688" s="12" t="str">
        <x:v>CORP-0586</x:v>
      </x:c>
      <x:c r="D3688" s="12" t="str">
        <x:v>Bengaluru</x:v>
      </x:c>
      <x:c r="E3688" s="12" t="str">
        <x:v>Cessna Business Park</x:v>
      </x:c>
      <x:c r="F3688" s="12" t="str">
        <x:v>55 inch</x:v>
      </x:c>
      <x:c r="G3688" s="20" t="n">
        <x:v>1</x:v>
      </x:c>
      <x:c r="H3688" s="12" t="str">
        <x:v>Campus/portfolio roster; individual building occupancy unverified</x:v>
      </x:c>
      <x:c r="I3688" s="12" t="str">
        <x:v>Medium-scale prospects</x:v>
      </x:c>
      <x:c r="J3688" s="12" t="str">
        <x:v>Engineering &amp; manufacturing</x:v>
      </x:c>
      <x:c r="K3688" s="2" t="str">
        <x:v>PARTNER-M166</x:v>
      </x:c>
    </x:row>
    <x:row r="3689" ht="46" customHeight="1">
      <x:c r="A3689" s="2" t="str">
        <x:v>TEN-FFF9B8935849</x:v>
      </x:c>
      <x:c r="B3689" s="12" t="str">
        <x:v>Sophos Technologies</x:v>
      </x:c>
      <x:c r="C3689" s="12" t="str">
        <x:v>CORP-0586</x:v>
      </x:c>
      <x:c r="D3689" s="12" t="str">
        <x:v>Bengaluru</x:v>
      </x:c>
      <x:c r="E3689" s="12" t="str">
        <x:v>Cessna Business Park</x:v>
      </x:c>
      <x:c r="F3689" s="12" t="str">
        <x:v>55 inch</x:v>
      </x:c>
      <x:c r="G3689" s="20" t="n">
        <x:v>1</x:v>
      </x:c>
      <x:c r="H3689" s="12" t="str">
        <x:v>Campus/portfolio roster; individual building occupancy unverified</x:v>
      </x:c>
      <x:c r="I3689" s="12" t="str">
        <x:v>Mixed business audience</x:v>
      </x:c>
      <x:c r="J3689" s="12" t="str">
        <x:v>IT &amp; digital</x:v>
      </x:c>
      <x:c r="K3689" s="2" t="str">
        <x:v>PARTNER-M166</x:v>
      </x:c>
    </x:row>
    <x:row r="3690" ht="46" customHeight="1">
      <x:c r="A3690" s="2" t="str">
        <x:v>TEN-1E2BE5B93DE6</x:v>
      </x:c>
      <x:c r="B3690" s="12" t="str">
        <x:v>Servier India Private Limited</x:v>
      </x:c>
      <x:c r="C3690" s="12" t="str">
        <x:v>CORP-0588</x:v>
      </x:c>
      <x:c r="D3690" s="12" t="str">
        <x:v>Mumbai</x:v>
      </x:c>
      <x:c r="E3690" s="12" t="str">
        <x:v>Parinee Crescenzo Business Park</x:v>
      </x:c>
      <x:c r="F3690" s="12" t="str">
        <x:v>55 inch</x:v>
      </x:c>
      <x:c r="G3690" s="20" t="n">
        <x:v>1</x:v>
      </x:c>
      <x:c r="H3690" s="12" t="str">
        <x:v>Campus/portfolio roster; individual building occupancy unverified</x:v>
      </x:c>
      <x:c r="I3690" s="12" t="str">
        <x:v>Mixed business audience</x:v>
      </x:c>
      <x:c r="J3690" s="12" t="str">
        <x:v>Healthcare &amp; life sciences</x:v>
      </x:c>
      <x:c r="K3690" s="2" t="str">
        <x:v>PARTNER-M171</x:v>
      </x:c>
    </x:row>
    <x:row r="3691" ht="46" customHeight="1">
      <x:c r="A3691" s="2" t="str">
        <x:v>TEN-2598A96C6EA1</x:v>
      </x:c>
      <x:c r="B3691" s="12" t="str">
        <x:v>AlphaGrep</x:v>
      </x:c>
      <x:c r="C3691" s="12" t="str">
        <x:v>CORP-0588</x:v>
      </x:c>
      <x:c r="D3691" s="12" t="str">
        <x:v>Mumbai</x:v>
      </x:c>
      <x:c r="E3691" s="12" t="str">
        <x:v>Parinee Crescenzo Business Park</x:v>
      </x:c>
      <x:c r="F3691" s="12" t="str">
        <x:v>55 inch</x:v>
      </x:c>
      <x:c r="G3691" s="20" t="n">
        <x:v>1</x:v>
      </x:c>
      <x:c r="H3691" s="12" t="str">
        <x:v>Campus/portfolio roster; individual building occupancy unverified</x:v>
      </x:c>
      <x:c r="I3691" s="12" t="str">
        <x:v>Medium-scale prospects</x:v>
      </x:c>
      <x:c r="J3691" s="12" t="str">
        <x:v>Finance &amp; insurance</x:v>
      </x:c>
      <x:c r="K3691" s="2" t="str">
        <x:v>PARTNER-M171</x:v>
      </x:c>
    </x:row>
    <x:row r="3692" ht="46" customHeight="1">
      <x:c r="A3692" s="2" t="str">
        <x:v>TEN-331FDE4AA88E</x:v>
      </x:c>
      <x:c r="B3692" s="12" t="str">
        <x:v>Standard Chartered</x:v>
      </x:c>
      <x:c r="C3692" s="12" t="str">
        <x:v>CORP-0588</x:v>
      </x:c>
      <x:c r="D3692" s="12" t="str">
        <x:v>Mumbai</x:v>
      </x:c>
      <x:c r="E3692" s="12" t="str">
        <x:v>Parinee Crescenzo Business Park</x:v>
      </x:c>
      <x:c r="F3692" s="12" t="str">
        <x:v>55 inch</x:v>
      </x:c>
      <x:c r="G3692" s="20" t="n">
        <x:v>1</x:v>
      </x:c>
      <x:c r="H3692" s="12" t="str">
        <x:v>Campus/portfolio roster; individual building occupancy unverified</x:v>
      </x:c>
      <x:c r="I3692" s="12" t="str">
        <x:v>Large enterprise</x:v>
      </x:c>
      <x:c r="J3692" s="12" t="str">
        <x:v>Finance &amp; insurance</x:v>
      </x:c>
      <x:c r="K3692" s="2" t="str">
        <x:v>PARTNER-M171</x:v>
      </x:c>
    </x:row>
    <x:row r="3693" ht="46" customHeight="1">
      <x:c r="A3693" s="2" t="str">
        <x:v>TEN-560846A98A9B</x:v>
      </x:c>
      <x:c r="B3693" s="12" t="str">
        <x:v>FTI Consulting</x:v>
      </x:c>
      <x:c r="C3693" s="12" t="str">
        <x:v>CORP-0588</x:v>
      </x:c>
      <x:c r="D3693" s="12" t="str">
        <x:v>Mumbai</x:v>
      </x:c>
      <x:c r="E3693" s="12" t="str">
        <x:v>Parinee Crescenzo Business Park</x:v>
      </x:c>
      <x:c r="F3693" s="12" t="str">
        <x:v>55 inch</x:v>
      </x:c>
      <x:c r="G3693" s="20" t="n">
        <x:v>1</x:v>
      </x:c>
      <x:c r="H3693" s="12" t="str">
        <x:v>Campus/portfolio roster; individual building occupancy unverified</x:v>
      </x:c>
      <x:c r="I3693" s="12" t="str">
        <x:v>Large enterprise</x:v>
      </x:c>
      <x:c r="J3693" s="12" t="str">
        <x:v>Professional services</x:v>
      </x:c>
      <x:c r="K3693" s="2" t="str">
        <x:v>PARTNER-M171</x:v>
      </x:c>
    </x:row>
    <x:row r="3694" ht="46" customHeight="1">
      <x:c r="A3694" s="2" t="str">
        <x:v>TEN-5DBFA12F5818</x:v>
      </x:c>
      <x:c r="B3694" s="12" t="str">
        <x:v>SBI Funds Management Limited</x:v>
      </x:c>
      <x:c r="C3694" s="12" t="str">
        <x:v>CORP-0588</x:v>
      </x:c>
      <x:c r="D3694" s="12" t="str">
        <x:v>Mumbai</x:v>
      </x:c>
      <x:c r="E3694" s="12" t="str">
        <x:v>Parinee Crescenzo Business Park</x:v>
      </x:c>
      <x:c r="F3694" s="12" t="str">
        <x:v>55 inch</x:v>
      </x:c>
      <x:c r="G3694" s="20" t="n">
        <x:v>1</x:v>
      </x:c>
      <x:c r="H3694" s="12" t="str">
        <x:v>Campus/portfolio roster; individual building occupancy unverified</x:v>
      </x:c>
      <x:c r="I3694" s="12" t="str">
        <x:v>Large enterprise</x:v>
      </x:c>
      <x:c r="J3694" s="12" t="str">
        <x:v>Finance &amp; insurance</x:v>
      </x:c>
      <x:c r="K3694" s="2" t="str">
        <x:v>PARTNER-M171</x:v>
      </x:c>
    </x:row>
    <x:row r="3695" ht="46" customHeight="1">
      <x:c r="A3695" s="2" t="str">
        <x:v>TEN-78D2184A1F2B</x:v>
      </x:c>
      <x:c r="B3695" s="12" t="str">
        <x:v>Kredx</x:v>
      </x:c>
      <x:c r="C3695" s="12" t="str">
        <x:v>CORP-0588</x:v>
      </x:c>
      <x:c r="D3695" s="12" t="str">
        <x:v>Mumbai</x:v>
      </x:c>
      <x:c r="E3695" s="12" t="str">
        <x:v>Parinee Crescenzo Business Park</x:v>
      </x:c>
      <x:c r="F3695" s="12" t="str">
        <x:v>55 inch</x:v>
      </x:c>
      <x:c r="G3695" s="20" t="n">
        <x:v>1</x:v>
      </x:c>
      <x:c r="H3695" s="12" t="str">
        <x:v>Campus/portfolio roster; individual building occupancy unverified</x:v>
      </x:c>
      <x:c r="I3695" s="12" t="str">
        <x:v>Medium-scale prospects</x:v>
      </x:c>
      <x:c r="J3695" s="12" t="str">
        <x:v>Finance &amp; insurance</x:v>
      </x:c>
      <x:c r="K3695" s="2" t="str">
        <x:v>PARTNER-M171</x:v>
      </x:c>
    </x:row>
    <x:row r="3696" ht="46" customHeight="1">
      <x:c r="A3696" s="2" t="str">
        <x:v>TEN-94475FFBE5A1</x:v>
      </x:c>
      <x:c r="B3696" s="12" t="str">
        <x:v>Orreya Partners India LLP</x:v>
      </x:c>
      <x:c r="C3696" s="12" t="str">
        <x:v>CORP-0588</x:v>
      </x:c>
      <x:c r="D3696" s="12" t="str">
        <x:v>Mumbai</x:v>
      </x:c>
      <x:c r="E3696" s="12" t="str">
        <x:v>Parinee Crescenzo Business Park</x:v>
      </x:c>
      <x:c r="F3696" s="12" t="str">
        <x:v>55 inch</x:v>
      </x:c>
      <x:c r="G3696" s="20" t="n">
        <x:v>1</x:v>
      </x:c>
      <x:c r="H3696" s="12" t="str">
        <x:v>Campus/portfolio roster; individual building occupancy unverified</x:v>
      </x:c>
      <x:c r="I3696" s="12" t="str">
        <x:v>Medium-scale prospects</x:v>
      </x:c>
      <x:c r="J3696" s="12" t="str">
        <x:v>Finance &amp; insurance</x:v>
      </x:c>
      <x:c r="K3696" s="2" t="str">
        <x:v>PARTNER-M171</x:v>
      </x:c>
    </x:row>
    <x:row r="3697" ht="46" customHeight="1">
      <x:c r="A3697" s="2" t="str">
        <x:v>TEN-9717823FF639</x:v>
      </x:c>
      <x:c r="B3697" s="12" t="str">
        <x:v>BOB Capital Markets Ltd</x:v>
      </x:c>
      <x:c r="C3697" s="12" t="str">
        <x:v>CORP-0588</x:v>
      </x:c>
      <x:c r="D3697" s="12" t="str">
        <x:v>Mumbai</x:v>
      </x:c>
      <x:c r="E3697" s="12" t="str">
        <x:v>Parinee Crescenzo Business Park</x:v>
      </x:c>
      <x:c r="F3697" s="12" t="str">
        <x:v>55 inch</x:v>
      </x:c>
      <x:c r="G3697" s="20" t="n">
        <x:v>1</x:v>
      </x:c>
      <x:c r="H3697" s="12" t="str">
        <x:v>Campus/portfolio roster; individual building occupancy unverified</x:v>
      </x:c>
      <x:c r="I3697" s="12" t="str">
        <x:v>Large enterprise</x:v>
      </x:c>
      <x:c r="J3697" s="12" t="str">
        <x:v>Finance &amp; insurance</x:v>
      </x:c>
      <x:c r="K3697" s="2" t="str">
        <x:v>PARTNER-M171</x:v>
      </x:c>
    </x:row>
    <x:row r="3698" ht="46" customHeight="1">
      <x:c r="A3698" s="2" t="str">
        <x:v>TEN-1E2BE5B93DE6</x:v>
      </x:c>
      <x:c r="B3698" s="12" t="str">
        <x:v>Servier India Private Limited</x:v>
      </x:c>
      <x:c r="C3698" s="12" t="str">
        <x:v>CORP-0589</x:v>
      </x:c>
      <x:c r="D3698" s="12" t="str">
        <x:v>Mumbai</x:v>
      </x:c>
      <x:c r="E3698" s="12" t="str">
        <x:v>Parinee Crescenzo Business Park</x:v>
      </x:c>
      <x:c r="F3698" s="12" t="str">
        <x:v>55 inch</x:v>
      </x:c>
      <x:c r="G3698" s="20" t="n">
        <x:v>1</x:v>
      </x:c>
      <x:c r="H3698" s="12" t="str">
        <x:v>Campus/portfolio roster; individual building occupancy unverified</x:v>
      </x:c>
      <x:c r="I3698" s="12" t="str">
        <x:v>Mixed business audience</x:v>
      </x:c>
      <x:c r="J3698" s="12" t="str">
        <x:v>Healthcare &amp; life sciences</x:v>
      </x:c>
      <x:c r="K3698" s="2" t="str">
        <x:v>PARTNER-M171</x:v>
      </x:c>
    </x:row>
    <x:row r="3699" ht="46" customHeight="1">
      <x:c r="A3699" s="2" t="str">
        <x:v>TEN-2598A96C6EA1</x:v>
      </x:c>
      <x:c r="B3699" s="12" t="str">
        <x:v>AlphaGrep</x:v>
      </x:c>
      <x:c r="C3699" s="12" t="str">
        <x:v>CORP-0589</x:v>
      </x:c>
      <x:c r="D3699" s="12" t="str">
        <x:v>Mumbai</x:v>
      </x:c>
      <x:c r="E3699" s="12" t="str">
        <x:v>Parinee Crescenzo Business Park</x:v>
      </x:c>
      <x:c r="F3699" s="12" t="str">
        <x:v>55 inch</x:v>
      </x:c>
      <x:c r="G3699" s="20" t="n">
        <x:v>1</x:v>
      </x:c>
      <x:c r="H3699" s="12" t="str">
        <x:v>Campus/portfolio roster; individual building occupancy unverified</x:v>
      </x:c>
      <x:c r="I3699" s="12" t="str">
        <x:v>Medium-scale prospects</x:v>
      </x:c>
      <x:c r="J3699" s="12" t="str">
        <x:v>Finance &amp; insurance</x:v>
      </x:c>
      <x:c r="K3699" s="2" t="str">
        <x:v>PARTNER-M171</x:v>
      </x:c>
    </x:row>
    <x:row r="3700" ht="46" customHeight="1">
      <x:c r="A3700" s="2" t="str">
        <x:v>TEN-331FDE4AA88E</x:v>
      </x:c>
      <x:c r="B3700" s="12" t="str">
        <x:v>Standard Chartered</x:v>
      </x:c>
      <x:c r="C3700" s="12" t="str">
        <x:v>CORP-0589</x:v>
      </x:c>
      <x:c r="D3700" s="12" t="str">
        <x:v>Mumbai</x:v>
      </x:c>
      <x:c r="E3700" s="12" t="str">
        <x:v>Parinee Crescenzo Business Park</x:v>
      </x:c>
      <x:c r="F3700" s="12" t="str">
        <x:v>55 inch</x:v>
      </x:c>
      <x:c r="G3700" s="20" t="n">
        <x:v>1</x:v>
      </x:c>
      <x:c r="H3700" s="12" t="str">
        <x:v>Campus/portfolio roster; individual building occupancy unverified</x:v>
      </x:c>
      <x:c r="I3700" s="12" t="str">
        <x:v>Large enterprise</x:v>
      </x:c>
      <x:c r="J3700" s="12" t="str">
        <x:v>Finance &amp; insurance</x:v>
      </x:c>
      <x:c r="K3700" s="2" t="str">
        <x:v>PARTNER-M171</x:v>
      </x:c>
    </x:row>
    <x:row r="3701" ht="46" customHeight="1">
      <x:c r="A3701" s="2" t="str">
        <x:v>TEN-560846A98A9B</x:v>
      </x:c>
      <x:c r="B3701" s="12" t="str">
        <x:v>FTI Consulting</x:v>
      </x:c>
      <x:c r="C3701" s="12" t="str">
        <x:v>CORP-0589</x:v>
      </x:c>
      <x:c r="D3701" s="12" t="str">
        <x:v>Mumbai</x:v>
      </x:c>
      <x:c r="E3701" s="12" t="str">
        <x:v>Parinee Crescenzo Business Park</x:v>
      </x:c>
      <x:c r="F3701" s="12" t="str">
        <x:v>55 inch</x:v>
      </x:c>
      <x:c r="G3701" s="20" t="n">
        <x:v>1</x:v>
      </x:c>
      <x:c r="H3701" s="12" t="str">
        <x:v>Campus/portfolio roster; individual building occupancy unverified</x:v>
      </x:c>
      <x:c r="I3701" s="12" t="str">
        <x:v>Large enterprise</x:v>
      </x:c>
      <x:c r="J3701" s="12" t="str">
        <x:v>Professional services</x:v>
      </x:c>
      <x:c r="K3701" s="2" t="str">
        <x:v>PARTNER-M171</x:v>
      </x:c>
    </x:row>
    <x:row r="3702" ht="46" customHeight="1">
      <x:c r="A3702" s="2" t="str">
        <x:v>TEN-5DBFA12F5818</x:v>
      </x:c>
      <x:c r="B3702" s="12" t="str">
        <x:v>SBI Funds Management Limited</x:v>
      </x:c>
      <x:c r="C3702" s="12" t="str">
        <x:v>CORP-0589</x:v>
      </x:c>
      <x:c r="D3702" s="12" t="str">
        <x:v>Mumbai</x:v>
      </x:c>
      <x:c r="E3702" s="12" t="str">
        <x:v>Parinee Crescenzo Business Park</x:v>
      </x:c>
      <x:c r="F3702" s="12" t="str">
        <x:v>55 inch</x:v>
      </x:c>
      <x:c r="G3702" s="20" t="n">
        <x:v>1</x:v>
      </x:c>
      <x:c r="H3702" s="12" t="str">
        <x:v>Campus/portfolio roster; individual building occupancy unverified</x:v>
      </x:c>
      <x:c r="I3702" s="12" t="str">
        <x:v>Large enterprise</x:v>
      </x:c>
      <x:c r="J3702" s="12" t="str">
        <x:v>Finance &amp; insurance</x:v>
      </x:c>
      <x:c r="K3702" s="2" t="str">
        <x:v>PARTNER-M171</x:v>
      </x:c>
    </x:row>
    <x:row r="3703" ht="46" customHeight="1">
      <x:c r="A3703" s="2" t="str">
        <x:v>TEN-78D2184A1F2B</x:v>
      </x:c>
      <x:c r="B3703" s="12" t="str">
        <x:v>Kredx</x:v>
      </x:c>
      <x:c r="C3703" s="12" t="str">
        <x:v>CORP-0589</x:v>
      </x:c>
      <x:c r="D3703" s="12" t="str">
        <x:v>Mumbai</x:v>
      </x:c>
      <x:c r="E3703" s="12" t="str">
        <x:v>Parinee Crescenzo Business Park</x:v>
      </x:c>
      <x:c r="F3703" s="12" t="str">
        <x:v>55 inch</x:v>
      </x:c>
      <x:c r="G3703" s="20" t="n">
        <x:v>1</x:v>
      </x:c>
      <x:c r="H3703" s="12" t="str">
        <x:v>Campus/portfolio roster; individual building occupancy unverified</x:v>
      </x:c>
      <x:c r="I3703" s="12" t="str">
        <x:v>Medium-scale prospects</x:v>
      </x:c>
      <x:c r="J3703" s="12" t="str">
        <x:v>Finance &amp; insurance</x:v>
      </x:c>
      <x:c r="K3703" s="2" t="str">
        <x:v>PARTNER-M171</x:v>
      </x:c>
    </x:row>
    <x:row r="3704" ht="46" customHeight="1">
      <x:c r="A3704" s="2" t="str">
        <x:v>TEN-94475FFBE5A1</x:v>
      </x:c>
      <x:c r="B3704" s="12" t="str">
        <x:v>Orreya Partners India LLP</x:v>
      </x:c>
      <x:c r="C3704" s="12" t="str">
        <x:v>CORP-0589</x:v>
      </x:c>
      <x:c r="D3704" s="12" t="str">
        <x:v>Mumbai</x:v>
      </x:c>
      <x:c r="E3704" s="12" t="str">
        <x:v>Parinee Crescenzo Business Park</x:v>
      </x:c>
      <x:c r="F3704" s="12" t="str">
        <x:v>55 inch</x:v>
      </x:c>
      <x:c r="G3704" s="20" t="n">
        <x:v>1</x:v>
      </x:c>
      <x:c r="H3704" s="12" t="str">
        <x:v>Campus/portfolio roster; individual building occupancy unverified</x:v>
      </x:c>
      <x:c r="I3704" s="12" t="str">
        <x:v>Medium-scale prospects</x:v>
      </x:c>
      <x:c r="J3704" s="12" t="str">
        <x:v>Finance &amp; insurance</x:v>
      </x:c>
      <x:c r="K3704" s="2" t="str">
        <x:v>PARTNER-M171</x:v>
      </x:c>
    </x:row>
    <x:row r="3705" ht="46" customHeight="1">
      <x:c r="A3705" s="2" t="str">
        <x:v>TEN-9717823FF639</x:v>
      </x:c>
      <x:c r="B3705" s="12" t="str">
        <x:v>BOB Capital Markets Ltd</x:v>
      </x:c>
      <x:c r="C3705" s="12" t="str">
        <x:v>CORP-0589</x:v>
      </x:c>
      <x:c r="D3705" s="12" t="str">
        <x:v>Mumbai</x:v>
      </x:c>
      <x:c r="E3705" s="12" t="str">
        <x:v>Parinee Crescenzo Business Park</x:v>
      </x:c>
      <x:c r="F3705" s="12" t="str">
        <x:v>55 inch</x:v>
      </x:c>
      <x:c r="G3705" s="20" t="n">
        <x:v>1</x:v>
      </x:c>
      <x:c r="H3705" s="12" t="str">
        <x:v>Campus/portfolio roster; individual building occupancy unverified</x:v>
      </x:c>
      <x:c r="I3705" s="12" t="str">
        <x:v>Large enterprise</x:v>
      </x:c>
      <x:c r="J3705" s="12" t="str">
        <x:v>Finance &amp; insurance</x:v>
      </x:c>
      <x:c r="K3705" s="2" t="str">
        <x:v>PARTNER-M171</x:v>
      </x:c>
    </x:row>
    <x:row r="3706" ht="46" customHeight="1">
      <x:c r="A3706" s="2" t="str">
        <x:v>TEN-1E2BE5B93DE6</x:v>
      </x:c>
      <x:c r="B3706" s="12" t="str">
        <x:v>Servier India Private Limited</x:v>
      </x:c>
      <x:c r="C3706" s="12" t="str">
        <x:v>CORP-0590</x:v>
      </x:c>
      <x:c r="D3706" s="12" t="str">
        <x:v>Mumbai</x:v>
      </x:c>
      <x:c r="E3706" s="12" t="str">
        <x:v>Parinee Crescenzo Business Park</x:v>
      </x:c>
      <x:c r="F3706" s="12" t="str">
        <x:v>55 inch</x:v>
      </x:c>
      <x:c r="G3706" s="20" t="n">
        <x:v>1</x:v>
      </x:c>
      <x:c r="H3706" s="12" t="str">
        <x:v>Campus/portfolio roster; individual building occupancy unverified</x:v>
      </x:c>
      <x:c r="I3706" s="12" t="str">
        <x:v>Mixed business audience</x:v>
      </x:c>
      <x:c r="J3706" s="12" t="str">
        <x:v>Healthcare &amp; life sciences</x:v>
      </x:c>
      <x:c r="K3706" s="2" t="str">
        <x:v>PARTNER-M171</x:v>
      </x:c>
    </x:row>
    <x:row r="3707" ht="46" customHeight="1">
      <x:c r="A3707" s="2" t="str">
        <x:v>TEN-2598A96C6EA1</x:v>
      </x:c>
      <x:c r="B3707" s="12" t="str">
        <x:v>AlphaGrep</x:v>
      </x:c>
      <x:c r="C3707" s="12" t="str">
        <x:v>CORP-0590</x:v>
      </x:c>
      <x:c r="D3707" s="12" t="str">
        <x:v>Mumbai</x:v>
      </x:c>
      <x:c r="E3707" s="12" t="str">
        <x:v>Parinee Crescenzo Business Park</x:v>
      </x:c>
      <x:c r="F3707" s="12" t="str">
        <x:v>55 inch</x:v>
      </x:c>
      <x:c r="G3707" s="20" t="n">
        <x:v>1</x:v>
      </x:c>
      <x:c r="H3707" s="12" t="str">
        <x:v>Campus/portfolio roster; individual building occupancy unverified</x:v>
      </x:c>
      <x:c r="I3707" s="12" t="str">
        <x:v>Medium-scale prospects</x:v>
      </x:c>
      <x:c r="J3707" s="12" t="str">
        <x:v>Finance &amp; insurance</x:v>
      </x:c>
      <x:c r="K3707" s="2" t="str">
        <x:v>PARTNER-M171</x:v>
      </x:c>
    </x:row>
    <x:row r="3708" ht="46" customHeight="1">
      <x:c r="A3708" s="2" t="str">
        <x:v>TEN-331FDE4AA88E</x:v>
      </x:c>
      <x:c r="B3708" s="12" t="str">
        <x:v>Standard Chartered</x:v>
      </x:c>
      <x:c r="C3708" s="12" t="str">
        <x:v>CORP-0590</x:v>
      </x:c>
      <x:c r="D3708" s="12" t="str">
        <x:v>Mumbai</x:v>
      </x:c>
      <x:c r="E3708" s="12" t="str">
        <x:v>Parinee Crescenzo Business Park</x:v>
      </x:c>
      <x:c r="F3708" s="12" t="str">
        <x:v>55 inch</x:v>
      </x:c>
      <x:c r="G3708" s="20" t="n">
        <x:v>1</x:v>
      </x:c>
      <x:c r="H3708" s="12" t="str">
        <x:v>Campus/portfolio roster; individual building occupancy unverified</x:v>
      </x:c>
      <x:c r="I3708" s="12" t="str">
        <x:v>Large enterprise</x:v>
      </x:c>
      <x:c r="J3708" s="12" t="str">
        <x:v>Finance &amp; insurance</x:v>
      </x:c>
      <x:c r="K3708" s="2" t="str">
        <x:v>PARTNER-M171</x:v>
      </x:c>
    </x:row>
    <x:row r="3709" ht="46" customHeight="1">
      <x:c r="A3709" s="2" t="str">
        <x:v>TEN-560846A98A9B</x:v>
      </x:c>
      <x:c r="B3709" s="12" t="str">
        <x:v>FTI Consulting</x:v>
      </x:c>
      <x:c r="C3709" s="12" t="str">
        <x:v>CORP-0590</x:v>
      </x:c>
      <x:c r="D3709" s="12" t="str">
        <x:v>Mumbai</x:v>
      </x:c>
      <x:c r="E3709" s="12" t="str">
        <x:v>Parinee Crescenzo Business Park</x:v>
      </x:c>
      <x:c r="F3709" s="12" t="str">
        <x:v>55 inch</x:v>
      </x:c>
      <x:c r="G3709" s="20" t="n">
        <x:v>1</x:v>
      </x:c>
      <x:c r="H3709" s="12" t="str">
        <x:v>Campus/portfolio roster; individual building occupancy unverified</x:v>
      </x:c>
      <x:c r="I3709" s="12" t="str">
        <x:v>Large enterprise</x:v>
      </x:c>
      <x:c r="J3709" s="12" t="str">
        <x:v>Professional services</x:v>
      </x:c>
      <x:c r="K3709" s="2" t="str">
        <x:v>PARTNER-M171</x:v>
      </x:c>
    </x:row>
    <x:row r="3710" ht="46" customHeight="1">
      <x:c r="A3710" s="2" t="str">
        <x:v>TEN-5DBFA12F5818</x:v>
      </x:c>
      <x:c r="B3710" s="12" t="str">
        <x:v>SBI Funds Management Limited</x:v>
      </x:c>
      <x:c r="C3710" s="12" t="str">
        <x:v>CORP-0590</x:v>
      </x:c>
      <x:c r="D3710" s="12" t="str">
        <x:v>Mumbai</x:v>
      </x:c>
      <x:c r="E3710" s="12" t="str">
        <x:v>Parinee Crescenzo Business Park</x:v>
      </x:c>
      <x:c r="F3710" s="12" t="str">
        <x:v>55 inch</x:v>
      </x:c>
      <x:c r="G3710" s="20" t="n">
        <x:v>1</x:v>
      </x:c>
      <x:c r="H3710" s="12" t="str">
        <x:v>Campus/portfolio roster; individual building occupancy unverified</x:v>
      </x:c>
      <x:c r="I3710" s="12" t="str">
        <x:v>Large enterprise</x:v>
      </x:c>
      <x:c r="J3710" s="12" t="str">
        <x:v>Finance &amp; insurance</x:v>
      </x:c>
      <x:c r="K3710" s="2" t="str">
        <x:v>PARTNER-M171</x:v>
      </x:c>
    </x:row>
    <x:row r="3711" ht="46" customHeight="1">
      <x:c r="A3711" s="2" t="str">
        <x:v>TEN-78D2184A1F2B</x:v>
      </x:c>
      <x:c r="B3711" s="12" t="str">
        <x:v>Kredx</x:v>
      </x:c>
      <x:c r="C3711" s="12" t="str">
        <x:v>CORP-0590</x:v>
      </x:c>
      <x:c r="D3711" s="12" t="str">
        <x:v>Mumbai</x:v>
      </x:c>
      <x:c r="E3711" s="12" t="str">
        <x:v>Parinee Crescenzo Business Park</x:v>
      </x:c>
      <x:c r="F3711" s="12" t="str">
        <x:v>55 inch</x:v>
      </x:c>
      <x:c r="G3711" s="20" t="n">
        <x:v>1</x:v>
      </x:c>
      <x:c r="H3711" s="12" t="str">
        <x:v>Campus/portfolio roster; individual building occupancy unverified</x:v>
      </x:c>
      <x:c r="I3711" s="12" t="str">
        <x:v>Medium-scale prospects</x:v>
      </x:c>
      <x:c r="J3711" s="12" t="str">
        <x:v>Finance &amp; insurance</x:v>
      </x:c>
      <x:c r="K3711" s="2" t="str">
        <x:v>PARTNER-M171</x:v>
      </x:c>
    </x:row>
    <x:row r="3712" ht="46" customHeight="1">
      <x:c r="A3712" s="2" t="str">
        <x:v>TEN-94475FFBE5A1</x:v>
      </x:c>
      <x:c r="B3712" s="12" t="str">
        <x:v>Orreya Partners India LLP</x:v>
      </x:c>
      <x:c r="C3712" s="12" t="str">
        <x:v>CORP-0590</x:v>
      </x:c>
      <x:c r="D3712" s="12" t="str">
        <x:v>Mumbai</x:v>
      </x:c>
      <x:c r="E3712" s="12" t="str">
        <x:v>Parinee Crescenzo Business Park</x:v>
      </x:c>
      <x:c r="F3712" s="12" t="str">
        <x:v>55 inch</x:v>
      </x:c>
      <x:c r="G3712" s="20" t="n">
        <x:v>1</x:v>
      </x:c>
      <x:c r="H3712" s="12" t="str">
        <x:v>Campus/portfolio roster; individual building occupancy unverified</x:v>
      </x:c>
      <x:c r="I3712" s="12" t="str">
        <x:v>Medium-scale prospects</x:v>
      </x:c>
      <x:c r="J3712" s="12" t="str">
        <x:v>Finance &amp; insurance</x:v>
      </x:c>
      <x:c r="K3712" s="2" t="str">
        <x:v>PARTNER-M171</x:v>
      </x:c>
    </x:row>
    <x:row r="3713" ht="46" customHeight="1">
      <x:c r="A3713" s="2" t="str">
        <x:v>TEN-9717823FF639</x:v>
      </x:c>
      <x:c r="B3713" s="12" t="str">
        <x:v>BOB Capital Markets Ltd</x:v>
      </x:c>
      <x:c r="C3713" s="12" t="str">
        <x:v>CORP-0590</x:v>
      </x:c>
      <x:c r="D3713" s="12" t="str">
        <x:v>Mumbai</x:v>
      </x:c>
      <x:c r="E3713" s="12" t="str">
        <x:v>Parinee Crescenzo Business Park</x:v>
      </x:c>
      <x:c r="F3713" s="12" t="str">
        <x:v>55 inch</x:v>
      </x:c>
      <x:c r="G3713" s="20" t="n">
        <x:v>1</x:v>
      </x:c>
      <x:c r="H3713" s="12" t="str">
        <x:v>Campus/portfolio roster; individual building occupancy unverified</x:v>
      </x:c>
      <x:c r="I3713" s="12" t="str">
        <x:v>Large enterprise</x:v>
      </x:c>
      <x:c r="J3713" s="12" t="str">
        <x:v>Finance &amp; insurance</x:v>
      </x:c>
      <x:c r="K3713" s="2" t="str">
        <x:v>PARTNER-M171</x:v>
      </x:c>
    </x:row>
    <x:row r="3714" ht="46" customHeight="1">
      <x:c r="A3714" s="2" t="str">
        <x:v>TEN-1E2BE5B93DE6</x:v>
      </x:c>
      <x:c r="B3714" s="12" t="str">
        <x:v>Servier India Private Limited</x:v>
      </x:c>
      <x:c r="C3714" s="12" t="str">
        <x:v>CORP-0591</x:v>
      </x:c>
      <x:c r="D3714" s="12" t="str">
        <x:v>Mumbai</x:v>
      </x:c>
      <x:c r="E3714" s="12" t="str">
        <x:v>Parinee Crescenzo Business Park</x:v>
      </x:c>
      <x:c r="F3714" s="12" t="str">
        <x:v>55 inch</x:v>
      </x:c>
      <x:c r="G3714" s="20" t="n">
        <x:v>1</x:v>
      </x:c>
      <x:c r="H3714" s="12" t="str">
        <x:v>Campus/portfolio roster; individual building occupancy unverified</x:v>
      </x:c>
      <x:c r="I3714" s="12" t="str">
        <x:v>Mixed business audience</x:v>
      </x:c>
      <x:c r="J3714" s="12" t="str">
        <x:v>Healthcare &amp; life sciences</x:v>
      </x:c>
      <x:c r="K3714" s="2" t="str">
        <x:v>PARTNER-M171</x:v>
      </x:c>
    </x:row>
    <x:row r="3715" ht="46" customHeight="1">
      <x:c r="A3715" s="2" t="str">
        <x:v>TEN-2598A96C6EA1</x:v>
      </x:c>
      <x:c r="B3715" s="12" t="str">
        <x:v>AlphaGrep</x:v>
      </x:c>
      <x:c r="C3715" s="12" t="str">
        <x:v>CORP-0591</x:v>
      </x:c>
      <x:c r="D3715" s="12" t="str">
        <x:v>Mumbai</x:v>
      </x:c>
      <x:c r="E3715" s="12" t="str">
        <x:v>Parinee Crescenzo Business Park</x:v>
      </x:c>
      <x:c r="F3715" s="12" t="str">
        <x:v>55 inch</x:v>
      </x:c>
      <x:c r="G3715" s="20" t="n">
        <x:v>1</x:v>
      </x:c>
      <x:c r="H3715" s="12" t="str">
        <x:v>Campus/portfolio roster; individual building occupancy unverified</x:v>
      </x:c>
      <x:c r="I3715" s="12" t="str">
        <x:v>Medium-scale prospects</x:v>
      </x:c>
      <x:c r="J3715" s="12" t="str">
        <x:v>Finance &amp; insurance</x:v>
      </x:c>
      <x:c r="K3715" s="2" t="str">
        <x:v>PARTNER-M171</x:v>
      </x:c>
    </x:row>
    <x:row r="3716" ht="46" customHeight="1">
      <x:c r="A3716" s="2" t="str">
        <x:v>TEN-331FDE4AA88E</x:v>
      </x:c>
      <x:c r="B3716" s="12" t="str">
        <x:v>Standard Chartered</x:v>
      </x:c>
      <x:c r="C3716" s="12" t="str">
        <x:v>CORP-0591</x:v>
      </x:c>
      <x:c r="D3716" s="12" t="str">
        <x:v>Mumbai</x:v>
      </x:c>
      <x:c r="E3716" s="12" t="str">
        <x:v>Parinee Crescenzo Business Park</x:v>
      </x:c>
      <x:c r="F3716" s="12" t="str">
        <x:v>55 inch</x:v>
      </x:c>
      <x:c r="G3716" s="20" t="n">
        <x:v>1</x:v>
      </x:c>
      <x:c r="H3716" s="12" t="str">
        <x:v>Campus/portfolio roster; individual building occupancy unverified</x:v>
      </x:c>
      <x:c r="I3716" s="12" t="str">
        <x:v>Large enterprise</x:v>
      </x:c>
      <x:c r="J3716" s="12" t="str">
        <x:v>Finance &amp; insurance</x:v>
      </x:c>
      <x:c r="K3716" s="2" t="str">
        <x:v>PARTNER-M171</x:v>
      </x:c>
    </x:row>
    <x:row r="3717" ht="46" customHeight="1">
      <x:c r="A3717" s="2" t="str">
        <x:v>TEN-560846A98A9B</x:v>
      </x:c>
      <x:c r="B3717" s="12" t="str">
        <x:v>FTI Consulting</x:v>
      </x:c>
      <x:c r="C3717" s="12" t="str">
        <x:v>CORP-0591</x:v>
      </x:c>
      <x:c r="D3717" s="12" t="str">
        <x:v>Mumbai</x:v>
      </x:c>
      <x:c r="E3717" s="12" t="str">
        <x:v>Parinee Crescenzo Business Park</x:v>
      </x:c>
      <x:c r="F3717" s="12" t="str">
        <x:v>55 inch</x:v>
      </x:c>
      <x:c r="G3717" s="20" t="n">
        <x:v>1</x:v>
      </x:c>
      <x:c r="H3717" s="12" t="str">
        <x:v>Campus/portfolio roster; individual building occupancy unverified</x:v>
      </x:c>
      <x:c r="I3717" s="12" t="str">
        <x:v>Large enterprise</x:v>
      </x:c>
      <x:c r="J3717" s="12" t="str">
        <x:v>Professional services</x:v>
      </x:c>
      <x:c r="K3717" s="2" t="str">
        <x:v>PARTNER-M171</x:v>
      </x:c>
    </x:row>
    <x:row r="3718" ht="46" customHeight="1">
      <x:c r="A3718" s="2" t="str">
        <x:v>TEN-5DBFA12F5818</x:v>
      </x:c>
      <x:c r="B3718" s="12" t="str">
        <x:v>SBI Funds Management Limited</x:v>
      </x:c>
      <x:c r="C3718" s="12" t="str">
        <x:v>CORP-0591</x:v>
      </x:c>
      <x:c r="D3718" s="12" t="str">
        <x:v>Mumbai</x:v>
      </x:c>
      <x:c r="E3718" s="12" t="str">
        <x:v>Parinee Crescenzo Business Park</x:v>
      </x:c>
      <x:c r="F3718" s="12" t="str">
        <x:v>55 inch</x:v>
      </x:c>
      <x:c r="G3718" s="20" t="n">
        <x:v>1</x:v>
      </x:c>
      <x:c r="H3718" s="12" t="str">
        <x:v>Campus/portfolio roster; individual building occupancy unverified</x:v>
      </x:c>
      <x:c r="I3718" s="12" t="str">
        <x:v>Large enterprise</x:v>
      </x:c>
      <x:c r="J3718" s="12" t="str">
        <x:v>Finance &amp; insurance</x:v>
      </x:c>
      <x:c r="K3718" s="2" t="str">
        <x:v>PARTNER-M171</x:v>
      </x:c>
    </x:row>
    <x:row r="3719" ht="46" customHeight="1">
      <x:c r="A3719" s="2" t="str">
        <x:v>TEN-78D2184A1F2B</x:v>
      </x:c>
      <x:c r="B3719" s="12" t="str">
        <x:v>Kredx</x:v>
      </x:c>
      <x:c r="C3719" s="12" t="str">
        <x:v>CORP-0591</x:v>
      </x:c>
      <x:c r="D3719" s="12" t="str">
        <x:v>Mumbai</x:v>
      </x:c>
      <x:c r="E3719" s="12" t="str">
        <x:v>Parinee Crescenzo Business Park</x:v>
      </x:c>
      <x:c r="F3719" s="12" t="str">
        <x:v>55 inch</x:v>
      </x:c>
      <x:c r="G3719" s="20" t="n">
        <x:v>1</x:v>
      </x:c>
      <x:c r="H3719" s="12" t="str">
        <x:v>Campus/portfolio roster; individual building occupancy unverified</x:v>
      </x:c>
      <x:c r="I3719" s="12" t="str">
        <x:v>Medium-scale prospects</x:v>
      </x:c>
      <x:c r="J3719" s="12" t="str">
        <x:v>Finance &amp; insurance</x:v>
      </x:c>
      <x:c r="K3719" s="2" t="str">
        <x:v>PARTNER-M171</x:v>
      </x:c>
    </x:row>
    <x:row r="3720" ht="46" customHeight="1">
      <x:c r="A3720" s="2" t="str">
        <x:v>TEN-94475FFBE5A1</x:v>
      </x:c>
      <x:c r="B3720" s="12" t="str">
        <x:v>Orreya Partners India LLP</x:v>
      </x:c>
      <x:c r="C3720" s="12" t="str">
        <x:v>CORP-0591</x:v>
      </x:c>
      <x:c r="D3720" s="12" t="str">
        <x:v>Mumbai</x:v>
      </x:c>
      <x:c r="E3720" s="12" t="str">
        <x:v>Parinee Crescenzo Business Park</x:v>
      </x:c>
      <x:c r="F3720" s="12" t="str">
        <x:v>55 inch</x:v>
      </x:c>
      <x:c r="G3720" s="20" t="n">
        <x:v>1</x:v>
      </x:c>
      <x:c r="H3720" s="12" t="str">
        <x:v>Campus/portfolio roster; individual building occupancy unverified</x:v>
      </x:c>
      <x:c r="I3720" s="12" t="str">
        <x:v>Medium-scale prospects</x:v>
      </x:c>
      <x:c r="J3720" s="12" t="str">
        <x:v>Finance &amp; insurance</x:v>
      </x:c>
      <x:c r="K3720" s="2" t="str">
        <x:v>PARTNER-M171</x:v>
      </x:c>
    </x:row>
    <x:row r="3721" ht="46" customHeight="1">
      <x:c r="A3721" s="2" t="str">
        <x:v>TEN-9717823FF639</x:v>
      </x:c>
      <x:c r="B3721" s="12" t="str">
        <x:v>BOB Capital Markets Ltd</x:v>
      </x:c>
      <x:c r="C3721" s="12" t="str">
        <x:v>CORP-0591</x:v>
      </x:c>
      <x:c r="D3721" s="12" t="str">
        <x:v>Mumbai</x:v>
      </x:c>
      <x:c r="E3721" s="12" t="str">
        <x:v>Parinee Crescenzo Business Park</x:v>
      </x:c>
      <x:c r="F3721" s="12" t="str">
        <x:v>55 inch</x:v>
      </x:c>
      <x:c r="G3721" s="20" t="n">
        <x:v>1</x:v>
      </x:c>
      <x:c r="H3721" s="12" t="str">
        <x:v>Campus/portfolio roster; individual building occupancy unverified</x:v>
      </x:c>
      <x:c r="I3721" s="12" t="str">
        <x:v>Large enterprise</x:v>
      </x:c>
      <x:c r="J3721" s="12" t="str">
        <x:v>Finance &amp; insurance</x:v>
      </x:c>
      <x:c r="K3721" s="2" t="str">
        <x:v>PARTNER-M171</x:v>
      </x:c>
    </x:row>
    <x:row r="3722" ht="46" customHeight="1">
      <x:c r="A3722" s="2" t="str">
        <x:v>TEN-0C9871ACDD81</x:v>
      </x:c>
      <x:c r="B3722" s="12" t="str">
        <x:v>Terkar Capital Mumbai</x:v>
      </x:c>
      <x:c r="C3722" s="12" t="str">
        <x:v>CORP-0592</x:v>
      </x:c>
      <x:c r="D3722" s="12" t="str">
        <x:v>Mumbai</x:v>
      </x:c>
      <x:c r="E3722" s="12" t="str">
        <x:v>The Capital</x:v>
      </x:c>
      <x:c r="F3722" s="12" t="str">
        <x:v>55 inch</x:v>
      </x:c>
      <x:c r="G3722" s="20" t="n">
        <x:v>1</x:v>
      </x:c>
      <x:c r="H3722" s="12" t="str">
        <x:v>Campus/portfolio roster; individual building occupancy unverified</x:v>
      </x:c>
      <x:c r="I3722" s="12" t="str">
        <x:v>Medium-scale prospects</x:v>
      </x:c>
      <x:c r="J3722" s="12" t="str">
        <x:v>Finance &amp; insurance</x:v>
      </x:c>
      <x:c r="K3722" s="2" t="str">
        <x:v>PARTNER-M175</x:v>
      </x:c>
    </x:row>
    <x:row r="3723" ht="46" customHeight="1">
      <x:c r="A3723" s="2" t="str">
        <x:v>TEN-126B90B3AAF0</x:v>
      </x:c>
      <x:c r="B3723" s="12" t="str">
        <x:v>Danube Properties</x:v>
      </x:c>
      <x:c r="C3723" s="12" t="str">
        <x:v>CORP-0592</x:v>
      </x:c>
      <x:c r="D3723" s="12" t="str">
        <x:v>Mumbai</x:v>
      </x:c>
      <x:c r="E3723" s="12" t="str">
        <x:v>The Capital</x:v>
      </x:c>
      <x:c r="F3723" s="12" t="str">
        <x:v>55 inch</x:v>
      </x:c>
      <x:c r="G3723" s="20" t="n">
        <x:v>1</x:v>
      </x:c>
      <x:c r="H3723" s="12" t="str">
        <x:v>Campus/portfolio roster; individual building occupancy unverified</x:v>
      </x:c>
      <x:c r="I3723" s="12" t="str">
        <x:v>Mixed business audience</x:v>
      </x:c>
      <x:c r="J3723" s="12" t="str">
        <x:v>Trade, consumer &amp; logistics</x:v>
      </x:c>
      <x:c r="K3723" s="2" t="str">
        <x:v>PARTNER-M175</x:v>
      </x:c>
    </x:row>
    <x:row r="3724" ht="46" customHeight="1">
      <x:c r="A3724" s="2" t="str">
        <x:v>TEN-22C64C35E554</x:v>
      </x:c>
      <x:c r="B3724" s="12" t="str">
        <x:v>Unaprime Investment Advisors Private Ltd</x:v>
      </x:c>
      <x:c r="C3724" s="12" t="str">
        <x:v>CORP-0592</x:v>
      </x:c>
      <x:c r="D3724" s="12" t="str">
        <x:v>Mumbai</x:v>
      </x:c>
      <x:c r="E3724" s="12" t="str">
        <x:v>The Capital</x:v>
      </x:c>
      <x:c r="F3724" s="12" t="str">
        <x:v>55 inch</x:v>
      </x:c>
      <x:c r="G3724" s="20" t="n">
        <x:v>1</x:v>
      </x:c>
      <x:c r="H3724" s="12" t="str">
        <x:v>Campus/portfolio roster; individual building occupancy unverified</x:v>
      </x:c>
      <x:c r="I3724" s="12" t="str">
        <x:v>Small-scale prospects</x:v>
      </x:c>
      <x:c r="J3724" s="12" t="str">
        <x:v>Finance &amp; insurance</x:v>
      </x:c>
      <x:c r="K3724" s="2" t="str">
        <x:v>PARTNER-M175</x:v>
      </x:c>
    </x:row>
    <x:row r="3725" ht="46" customHeight="1">
      <x:c r="A3725" s="2" t="str">
        <x:v>TEN-230FC25B995B</x:v>
      </x:c>
      <x:c r="B3725" s="12" t="str">
        <x:v>Bain &amp; Company</x:v>
      </x:c>
      <x:c r="C3725" s="12" t="str">
        <x:v>CORP-0592</x:v>
      </x:c>
      <x:c r="D3725" s="12" t="str">
        <x:v>Mumbai</x:v>
      </x:c>
      <x:c r="E3725" s="12" t="str">
        <x:v>The Capital</x:v>
      </x:c>
      <x:c r="F3725" s="12" t="str">
        <x:v>55 inch</x:v>
      </x:c>
      <x:c r="G3725" s="20" t="n">
        <x:v>1</x:v>
      </x:c>
      <x:c r="H3725" s="12" t="str">
        <x:v>Campus/portfolio roster; individual building occupancy unverified</x:v>
      </x:c>
      <x:c r="I3725" s="12" t="str">
        <x:v>Mixed business audience</x:v>
      </x:c>
      <x:c r="J3725" s="12" t="str">
        <x:v>Professional services</x:v>
      </x:c>
      <x:c r="K3725" s="2" t="str">
        <x:v>PARTNER-M175</x:v>
      </x:c>
    </x:row>
    <x:row r="3726" ht="46" customHeight="1">
      <x:c r="A3726" s="2" t="str">
        <x:v>TEN-2E592B5232A8</x:v>
      </x:c>
      <x:c r="B3726" s="12" t="str">
        <x:v>Wipro GE Healthcare Pvt Ltd</x:v>
      </x:c>
      <x:c r="C3726" s="12" t="str">
        <x:v>CORP-0592</x:v>
      </x:c>
      <x:c r="D3726" s="12" t="str">
        <x:v>Mumbai</x:v>
      </x:c>
      <x:c r="E3726" s="12" t="str">
        <x:v>The Capital</x:v>
      </x:c>
      <x:c r="F3726" s="12" t="str">
        <x:v>55 inch</x:v>
      </x:c>
      <x:c r="G3726" s="20" t="n">
        <x:v>1</x:v>
      </x:c>
      <x:c r="H3726" s="12" t="str">
        <x:v>Campus/portfolio roster; individual building occupancy unverified</x:v>
      </x:c>
      <x:c r="I3726" s="12" t="str">
        <x:v>Mixed business audience</x:v>
      </x:c>
      <x:c r="J3726" s="12" t="str">
        <x:v>Healthcare &amp; life sciences</x:v>
      </x:c>
      <x:c r="K3726" s="2" t="str">
        <x:v>PARTNER-M175</x:v>
      </x:c>
    </x:row>
    <x:row r="3727" ht="46" customHeight="1">
      <x:c r="A3727" s="2" t="str">
        <x:v>TEN-3CA8EB0EEB79</x:v>
      </x:c>
      <x:c r="B3727" s="12" t="str">
        <x:v>DiamondXE</x:v>
      </x:c>
      <x:c r="C3727" s="12" t="str">
        <x:v>CORP-0592</x:v>
      </x:c>
      <x:c r="D3727" s="12" t="str">
        <x:v>Mumbai</x:v>
      </x:c>
      <x:c r="E3727" s="12" t="str">
        <x:v>The Capital</x:v>
      </x:c>
      <x:c r="F3727" s="12" t="str">
        <x:v>55 inch</x:v>
      </x:c>
      <x:c r="G3727" s="20" t="n">
        <x:v>1</x:v>
      </x:c>
      <x:c r="H3727" s="12" t="str">
        <x:v>Campus/portfolio roster; individual building occupancy unverified</x:v>
      </x:c>
      <x:c r="I3727" s="12" t="str">
        <x:v>Small-scale prospects</x:v>
      </x:c>
      <x:c r="J3727" s="12" t="str">
        <x:v>Trade, consumer &amp; logistics</x:v>
      </x:c>
      <x:c r="K3727" s="2" t="str">
        <x:v>PARTNER-M175</x:v>
      </x:c>
    </x:row>
    <x:row r="3728" ht="46" customHeight="1">
      <x:c r="A3728" s="2" t="str">
        <x:v>TEN-40919C846642</x:v>
      </x:c>
      <x:c r="B3728" s="12" t="str">
        <x:v>Bombay Law Chambers</x:v>
      </x:c>
      <x:c r="C3728" s="12" t="str">
        <x:v>CORP-0592</x:v>
      </x:c>
      <x:c r="D3728" s="12" t="str">
        <x:v>Mumbai</x:v>
      </x:c>
      <x:c r="E3728" s="12" t="str">
        <x:v>The Capital</x:v>
      </x:c>
      <x:c r="F3728" s="12" t="str">
        <x:v>55 inch</x:v>
      </x:c>
      <x:c r="G3728" s="20" t="n">
        <x:v>1</x:v>
      </x:c>
      <x:c r="H3728" s="12" t="str">
        <x:v>Campus/portfolio roster; individual building occupancy unverified</x:v>
      </x:c>
      <x:c r="I3728" s="12" t="str">
        <x:v>Small-scale prospects</x:v>
      </x:c>
      <x:c r="J3728" s="12" t="str">
        <x:v>Professional services</x:v>
      </x:c>
      <x:c r="K3728" s="2" t="str">
        <x:v>PARTNER-M175</x:v>
      </x:c>
    </x:row>
    <x:row r="3729" ht="46" customHeight="1">
      <x:c r="A3729" s="2" t="str">
        <x:v>TEN-4818ADBE7A3E</x:v>
      </x:c>
      <x:c r="B3729" s="12" t="str">
        <x:v>HGS</x:v>
      </x:c>
      <x:c r="C3729" s="12" t="str">
        <x:v>CORP-0592</x:v>
      </x:c>
      <x:c r="D3729" s="12" t="str">
        <x:v>Mumbai</x:v>
      </x:c>
      <x:c r="E3729" s="12" t="str">
        <x:v>The Capital</x:v>
      </x:c>
      <x:c r="F3729" s="12" t="str">
        <x:v>55 inch</x:v>
      </x:c>
      <x:c r="G3729" s="20" t="n">
        <x:v>1</x:v>
      </x:c>
      <x:c r="H3729" s="12" t="str">
        <x:v>Campus/portfolio roster; individual building occupancy unverified</x:v>
      </x:c>
      <x:c r="I3729" s="12" t="str">
        <x:v>Mixed business audience</x:v>
      </x:c>
      <x:c r="J3729" s="12" t="str">
        <x:v>IT &amp; digital</x:v>
      </x:c>
      <x:c r="K3729" s="2" t="str">
        <x:v>PARTNER-M175</x:v>
      </x:c>
    </x:row>
    <x:row r="3730" ht="46" customHeight="1">
      <x:c r="A3730" s="2" t="str">
        <x:v>TEN-682BFBE623F3</x:v>
      </x:c>
      <x:c r="B3730" s="12" t="str">
        <x:v>International Gemological Institute</x:v>
      </x:c>
      <x:c r="C3730" s="12" t="str">
        <x:v>CORP-0592</x:v>
      </x:c>
      <x:c r="D3730" s="12" t="str">
        <x:v>Mumbai</x:v>
      </x:c>
      <x:c r="E3730" s="12" t="str">
        <x:v>The Capital</x:v>
      </x:c>
      <x:c r="F3730" s="12" t="str">
        <x:v>55 inch</x:v>
      </x:c>
      <x:c r="G3730" s="20" t="n">
        <x:v>1</x:v>
      </x:c>
      <x:c r="H3730" s="12" t="str">
        <x:v>Campus/portfolio roster; individual building occupancy unverified</x:v>
      </x:c>
      <x:c r="I3730" s="12" t="str">
        <x:v>Mixed business audience</x:v>
      </x:c>
      <x:c r="J3730" s="12" t="str">
        <x:v>Engineering &amp; manufacturing</x:v>
      </x:c>
      <x:c r="K3730" s="2" t="str">
        <x:v>PARTNER-M175</x:v>
      </x:c>
    </x:row>
    <x:row r="3731" ht="46" customHeight="1">
      <x:c r="A3731" s="2" t="str">
        <x:v>TEN-713806984796</x:v>
      </x:c>
      <x:c r="B3731" s="12" t="str">
        <x:v>Finsec Law Advisors</x:v>
      </x:c>
      <x:c r="C3731" s="12" t="str">
        <x:v>CORP-0592</x:v>
      </x:c>
      <x:c r="D3731" s="12" t="str">
        <x:v>Mumbai</x:v>
      </x:c>
      <x:c r="E3731" s="12" t="str">
        <x:v>The Capital</x:v>
      </x:c>
      <x:c r="F3731" s="12" t="str">
        <x:v>55 inch</x:v>
      </x:c>
      <x:c r="G3731" s="20" t="n">
        <x:v>1</x:v>
      </x:c>
      <x:c r="H3731" s="12" t="str">
        <x:v>Campus/portfolio roster; individual building occupancy unverified</x:v>
      </x:c>
      <x:c r="I3731" s="12" t="str">
        <x:v>Small-scale prospects</x:v>
      </x:c>
      <x:c r="J3731" s="12" t="str">
        <x:v>Professional services</x:v>
      </x:c>
      <x:c r="K3731" s="2" t="str">
        <x:v>PARTNER-M175</x:v>
      </x:c>
    </x:row>
    <x:row r="3732" ht="46" customHeight="1">
      <x:c r="A3732" s="2" t="str">
        <x:v>TEN-7374F6DDD227</x:v>
      </x:c>
      <x:c r="B3732" s="12" t="str">
        <x:v>IFC Ventures</x:v>
      </x:c>
      <x:c r="C3732" s="12" t="str">
        <x:v>CORP-0592</x:v>
      </x:c>
      <x:c r="D3732" s="12" t="str">
        <x:v>Mumbai</x:v>
      </x:c>
      <x:c r="E3732" s="12" t="str">
        <x:v>The Capital</x:v>
      </x:c>
      <x:c r="F3732" s="12" t="str">
        <x:v>55 inch</x:v>
      </x:c>
      <x:c r="G3732" s="20" t="n">
        <x:v>1</x:v>
      </x:c>
      <x:c r="H3732" s="12" t="str">
        <x:v>Campus/portfolio roster; individual building occupancy unverified</x:v>
      </x:c>
      <x:c r="I3732" s="12" t="str">
        <x:v>Medium-scale prospects</x:v>
      </x:c>
      <x:c r="J3732" s="12" t="str">
        <x:v>Finance &amp; insurance</x:v>
      </x:c>
      <x:c r="K3732" s="2" t="str">
        <x:v>PARTNER-M175</x:v>
      </x:c>
    </x:row>
    <x:row r="3733" ht="46" customHeight="1">
      <x:c r="A3733" s="2" t="str">
        <x:v>TEN-737B94C445E5</x:v>
      </x:c>
      <x:c r="B3733" s="12" t="str">
        <x:v>Diamond Producers Association Limited</x:v>
      </x:c>
      <x:c r="C3733" s="12" t="str">
        <x:v>CORP-0592</x:v>
      </x:c>
      <x:c r="D3733" s="12" t="str">
        <x:v>Mumbai</x:v>
      </x:c>
      <x:c r="E3733" s="12" t="str">
        <x:v>The Capital</x:v>
      </x:c>
      <x:c r="F3733" s="12" t="str">
        <x:v>55 inch</x:v>
      </x:c>
      <x:c r="G3733" s="20" t="n">
        <x:v>1</x:v>
      </x:c>
      <x:c r="H3733" s="12" t="str">
        <x:v>Campus/portfolio roster; individual building occupancy unverified</x:v>
      </x:c>
      <x:c r="I3733" s="12" t="str">
        <x:v>Institutional</x:v>
      </x:c>
      <x:c r="J3733" s="12" t="str">
        <x:v>Government &amp; nonprofit</x:v>
      </x:c>
      <x:c r="K3733" s="2" t="str">
        <x:v>PARTNER-M175</x:v>
      </x:c>
    </x:row>
    <x:row r="3734" ht="46" customHeight="1">
      <x:c r="A3734" s="2" t="str">
        <x:v>TEN-7833F51548E5</x:v>
      </x:c>
      <x:c r="B3734" s="12" t="str">
        <x:v>Incred Capital</x:v>
      </x:c>
      <x:c r="C3734" s="12" t="str">
        <x:v>CORP-0592</x:v>
      </x:c>
      <x:c r="D3734" s="12" t="str">
        <x:v>Mumbai</x:v>
      </x:c>
      <x:c r="E3734" s="12" t="str">
        <x:v>The Capital</x:v>
      </x:c>
      <x:c r="F3734" s="12" t="str">
        <x:v>55 inch</x:v>
      </x:c>
      <x:c r="G3734" s="20" t="n">
        <x:v>1</x:v>
      </x:c>
      <x:c r="H3734" s="12" t="str">
        <x:v>Campus/portfolio roster; individual building occupancy unverified</x:v>
      </x:c>
      <x:c r="I3734" s="12" t="str">
        <x:v>Mixed business audience</x:v>
      </x:c>
      <x:c r="J3734" s="12" t="str">
        <x:v>Finance &amp; insurance</x:v>
      </x:c>
      <x:c r="K3734" s="2" t="str">
        <x:v>PARTNER-M175</x:v>
      </x:c>
    </x:row>
    <x:row r="3735" ht="46" customHeight="1">
      <x:c r="A3735" s="2" t="str">
        <x:v>TEN-795C2469C0AB</x:v>
      </x:c>
      <x:c r="B3735" s="12" t="str">
        <x:v>Inverness India</x:v>
      </x:c>
      <x:c r="C3735" s="12" t="str">
        <x:v>CORP-0592</x:v>
      </x:c>
      <x:c r="D3735" s="12" t="str">
        <x:v>Mumbai</x:v>
      </x:c>
      <x:c r="E3735" s="12" t="str">
        <x:v>The Capital</x:v>
      </x:c>
      <x:c r="F3735" s="12" t="str">
        <x:v>55 inch</x:v>
      </x:c>
      <x:c r="G3735" s="20" t="n">
        <x:v>1</x:v>
      </x:c>
      <x:c r="H3735" s="12" t="str">
        <x:v>Campus/portfolio roster; individual building occupancy unverified</x:v>
      </x:c>
      <x:c r="I3735" s="12" t="str">
        <x:v>Mixed business audience</x:v>
      </x:c>
      <x:c r="J3735" s="12" t="str">
        <x:v>Unresolved</x:v>
      </x:c>
      <x:c r="K3735" s="2" t="str">
        <x:v>PARTNER-M175</x:v>
      </x:c>
    </x:row>
    <x:row r="3736" ht="46" customHeight="1">
      <x:c r="A3736" s="2" t="str">
        <x:v>TEN-847162D496C7</x:v>
      </x:c>
      <x:c r="B3736" s="12" t="str">
        <x:v>fastloanservice</x:v>
      </x:c>
      <x:c r="C3736" s="12" t="str">
        <x:v>CORP-0592</x:v>
      </x:c>
      <x:c r="D3736" s="12" t="str">
        <x:v>Mumbai</x:v>
      </x:c>
      <x:c r="E3736" s="12" t="str">
        <x:v>The Capital</x:v>
      </x:c>
      <x:c r="F3736" s="12" t="str">
        <x:v>55 inch</x:v>
      </x:c>
      <x:c r="G3736" s="20" t="n">
        <x:v>1</x:v>
      </x:c>
      <x:c r="H3736" s="12" t="str">
        <x:v>Campus/portfolio roster; individual building occupancy unverified</x:v>
      </x:c>
      <x:c r="I3736" s="12" t="str">
        <x:v>Mixed business audience</x:v>
      </x:c>
      <x:c r="J3736" s="12" t="str">
        <x:v>Unresolved</x:v>
      </x:c>
      <x:c r="K3736" s="2" t="str">
        <x:v>PARTNER-M175</x:v>
      </x:c>
    </x:row>
    <x:row r="3737" ht="46" customHeight="1">
      <x:c r="A3737" s="2" t="str">
        <x:v>TEN-9F3A4329D832</x:v>
      </x:c>
      <x:c r="B3737" s="12" t="str">
        <x:v>SUBWAY</x:v>
      </x:c>
      <x:c r="C3737" s="12" t="str">
        <x:v>CORP-0592</x:v>
      </x:c>
      <x:c r="D3737" s="12" t="str">
        <x:v>Mumbai</x:v>
      </x:c>
      <x:c r="E3737" s="12" t="str">
        <x:v>The Capital</x:v>
      </x:c>
      <x:c r="F3737" s="12" t="str">
        <x:v>55 inch</x:v>
      </x:c>
      <x:c r="G3737" s="20" t="n">
        <x:v>1</x:v>
      </x:c>
      <x:c r="H3737" s="12" t="str">
        <x:v>Campus/portfolio roster; individual building occupancy unverified</x:v>
      </x:c>
      <x:c r="I3737" s="12" t="str">
        <x:v>Mixed business audience</x:v>
      </x:c>
      <x:c r="J3737" s="12" t="str">
        <x:v>Trade, consumer &amp; logistics</x:v>
      </x:c>
      <x:c r="K3737" s="2" t="str">
        <x:v>PARTNER-M175</x:v>
      </x:c>
    </x:row>
    <x:row r="3738" ht="46" customHeight="1">
      <x:c r="A3738" s="2" t="str">
        <x:v>TEN-A09B30E3D0A6</x:v>
      </x:c>
      <x:c r="B3738" s="12" t="str">
        <x:v>Visa Inc</x:v>
      </x:c>
      <x:c r="C3738" s="12" t="str">
        <x:v>CORP-0592</x:v>
      </x:c>
      <x:c r="D3738" s="12" t="str">
        <x:v>Mumbai</x:v>
      </x:c>
      <x:c r="E3738" s="12" t="str">
        <x:v>The Capital</x:v>
      </x:c>
      <x:c r="F3738" s="12" t="str">
        <x:v>55 inch</x:v>
      </x:c>
      <x:c r="G3738" s="20" t="n">
        <x:v>1</x:v>
      </x:c>
      <x:c r="H3738" s="12" t="str">
        <x:v>Campus/portfolio roster; individual building occupancy unverified</x:v>
      </x:c>
      <x:c r="I3738" s="12" t="str">
        <x:v>Large enterprise</x:v>
      </x:c>
      <x:c r="J3738" s="12" t="str">
        <x:v>Finance &amp; insurance</x:v>
      </x:c>
      <x:c r="K3738" s="2" t="str">
        <x:v>PARTNER-M175</x:v>
      </x:c>
    </x:row>
    <x:row r="3739" ht="46" customHeight="1">
      <x:c r="A3739" s="2" t="str">
        <x:v>TEN-AD5DF8A9641C</x:v>
      </x:c>
      <x:c r="B3739" s="12" t="str">
        <x:v>AMN Life Science Pvt. Ltd</x:v>
      </x:c>
      <x:c r="C3739" s="12" t="str">
        <x:v>CORP-0592</x:v>
      </x:c>
      <x:c r="D3739" s="12" t="str">
        <x:v>Mumbai</x:v>
      </x:c>
      <x:c r="E3739" s="12" t="str">
        <x:v>The Capital</x:v>
      </x:c>
      <x:c r="F3739" s="12" t="str">
        <x:v>55 inch</x:v>
      </x:c>
      <x:c r="G3739" s="20" t="n">
        <x:v>1</x:v>
      </x:c>
      <x:c r="H3739" s="12" t="str">
        <x:v>Campus/portfolio roster; individual building occupancy unverified</x:v>
      </x:c>
      <x:c r="I3739" s="12" t="str">
        <x:v>Medium-scale prospects</x:v>
      </x:c>
      <x:c r="J3739" s="12" t="str">
        <x:v>Healthcare &amp; life sciences</x:v>
      </x:c>
      <x:c r="K3739" s="2" t="str">
        <x:v>PARTNER-M175</x:v>
      </x:c>
    </x:row>
    <x:row r="3740" ht="46" customHeight="1">
      <x:c r="A3740" s="2" t="str">
        <x:v>TEN-AE69DE673F61</x:v>
      </x:c>
      <x:c r="B3740" s="12" t="str">
        <x:v>Hiraco</x:v>
      </x:c>
      <x:c r="C3740" s="12" t="str">
        <x:v>CORP-0592</x:v>
      </x:c>
      <x:c r="D3740" s="12" t="str">
        <x:v>Mumbai</x:v>
      </x:c>
      <x:c r="E3740" s="12" t="str">
        <x:v>The Capital</x:v>
      </x:c>
      <x:c r="F3740" s="12" t="str">
        <x:v>55 inch</x:v>
      </x:c>
      <x:c r="G3740" s="20" t="n">
        <x:v>1</x:v>
      </x:c>
      <x:c r="H3740" s="12" t="str">
        <x:v>Campus/portfolio roster; individual building occupancy unverified</x:v>
      </x:c>
      <x:c r="I3740" s="12" t="str">
        <x:v>Mixed business audience</x:v>
      </x:c>
      <x:c r="J3740" s="12" t="str">
        <x:v>Unresolved</x:v>
      </x:c>
      <x:c r="K3740" s="2" t="str">
        <x:v>PARTNER-M175</x:v>
      </x:c>
    </x:row>
    <x:row r="3741" ht="46" customHeight="1">
      <x:c r="A3741" s="2" t="str">
        <x:v>TEN-C8827568878B</x:v>
      </x:c>
      <x:c r="B3741" s="12" t="str">
        <x:v>Bank Of Baroda</x:v>
      </x:c>
      <x:c r="C3741" s="12" t="str">
        <x:v>CORP-0592</x:v>
      </x:c>
      <x:c r="D3741" s="12" t="str">
        <x:v>Mumbai</x:v>
      </x:c>
      <x:c r="E3741" s="12" t="str">
        <x:v>The Capital</x:v>
      </x:c>
      <x:c r="F3741" s="12" t="str">
        <x:v>55 inch</x:v>
      </x:c>
      <x:c r="G3741" s="20" t="n">
        <x:v>1</x:v>
      </x:c>
      <x:c r="H3741" s="12" t="str">
        <x:v>Campus/portfolio roster; individual building occupancy unverified</x:v>
      </x:c>
      <x:c r="I3741" s="12" t="str">
        <x:v>Large enterprise</x:v>
      </x:c>
      <x:c r="J3741" s="12" t="str">
        <x:v>Finance &amp; insurance</x:v>
      </x:c>
      <x:c r="K3741" s="2" t="str">
        <x:v>PARTNER-M175</x:v>
      </x:c>
    </x:row>
    <x:row r="3742" ht="46" customHeight="1">
      <x:c r="A3742" s="2" t="str">
        <x:v>TEN-CBFFDC2663B6</x:v>
      </x:c>
      <x:c r="B3742" s="12" t="str">
        <x:v>HK Capital</x:v>
      </x:c>
      <x:c r="C3742" s="12" t="str">
        <x:v>CORP-0592</x:v>
      </x:c>
      <x:c r="D3742" s="12" t="str">
        <x:v>Mumbai</x:v>
      </x:c>
      <x:c r="E3742" s="12" t="str">
        <x:v>The Capital</x:v>
      </x:c>
      <x:c r="F3742" s="12" t="str">
        <x:v>55 inch</x:v>
      </x:c>
      <x:c r="G3742" s="20" t="n">
        <x:v>1</x:v>
      </x:c>
      <x:c r="H3742" s="12" t="str">
        <x:v>Campus/portfolio roster; individual building occupancy unverified</x:v>
      </x:c>
      <x:c r="I3742" s="12" t="str">
        <x:v>Medium-scale prospects</x:v>
      </x:c>
      <x:c r="J3742" s="12" t="str">
        <x:v>Finance &amp; insurance</x:v>
      </x:c>
      <x:c r="K3742" s="2" t="str">
        <x:v>PARTNER-M175</x:v>
      </x:c>
    </x:row>
    <x:row r="3743" ht="46" customHeight="1">
      <x:c r="A3743" s="2" t="str">
        <x:v>TEN-DF2E8D7953EB</x:v>
      </x:c>
      <x:c r="B3743" s="12" t="str">
        <x:v>Opec</x:v>
      </x:c>
      <x:c r="C3743" s="12" t="str">
        <x:v>CORP-0592</x:v>
      </x:c>
      <x:c r="D3743" s="12" t="str">
        <x:v>Mumbai</x:v>
      </x:c>
      <x:c r="E3743" s="12" t="str">
        <x:v>The Capital</x:v>
      </x:c>
      <x:c r="F3743" s="12" t="str">
        <x:v>55 inch</x:v>
      </x:c>
      <x:c r="G3743" s="20" t="n">
        <x:v>1</x:v>
      </x:c>
      <x:c r="H3743" s="12" t="str">
        <x:v>Campus/portfolio roster; individual building occupancy unverified</x:v>
      </x:c>
      <x:c r="I3743" s="12" t="str">
        <x:v>Mixed business audience</x:v>
      </x:c>
      <x:c r="J3743" s="12" t="str">
        <x:v>Unresolved</x:v>
      </x:c>
      <x:c r="K3743" s="2" t="str">
        <x:v>PARTNER-M175</x:v>
      </x:c>
    </x:row>
    <x:row r="3744" ht="46" customHeight="1">
      <x:c r="A3744" s="2" t="str">
        <x:v>TEN-EEC59CDFE811</x:v>
      </x:c>
      <x:c r="B3744" s="12" t="str">
        <x:v>Metta Capital Advisors LLP</x:v>
      </x:c>
      <x:c r="C3744" s="12" t="str">
        <x:v>CORP-0592</x:v>
      </x:c>
      <x:c r="D3744" s="12" t="str">
        <x:v>Mumbai</x:v>
      </x:c>
      <x:c r="E3744" s="12" t="str">
        <x:v>The Capital</x:v>
      </x:c>
      <x:c r="F3744" s="12" t="str">
        <x:v>55 inch</x:v>
      </x:c>
      <x:c r="G3744" s="20" t="n">
        <x:v>1</x:v>
      </x:c>
      <x:c r="H3744" s="12" t="str">
        <x:v>Campus/portfolio roster; individual building occupancy unverified</x:v>
      </x:c>
      <x:c r="I3744" s="12" t="str">
        <x:v>Small-scale prospects</x:v>
      </x:c>
      <x:c r="J3744" s="12" t="str">
        <x:v>Finance &amp; insurance</x:v>
      </x:c>
      <x:c r="K3744" s="2" t="str">
        <x:v>PARTNER-M175</x:v>
      </x:c>
    </x:row>
    <x:row r="3745" ht="46" customHeight="1">
      <x:c r="A3745" s="2" t="str">
        <x:v>TEN-FC8A936BC45B</x:v>
      </x:c>
      <x:c r="B3745" s="12" t="str">
        <x:v>hoonartek</x:v>
      </x:c>
      <x:c r="C3745" s="12" t="str">
        <x:v>CORP-0592</x:v>
      </x:c>
      <x:c r="D3745" s="12" t="str">
        <x:v>Mumbai</x:v>
      </x:c>
      <x:c r="E3745" s="12" t="str">
        <x:v>The Capital</x:v>
      </x:c>
      <x:c r="F3745" s="12" t="str">
        <x:v>55 inch</x:v>
      </x:c>
      <x:c r="G3745" s="20" t="n">
        <x:v>1</x:v>
      </x:c>
      <x:c r="H3745" s="12" t="str">
        <x:v>Campus/portfolio roster; individual building occupancy unverified</x:v>
      </x:c>
      <x:c r="I3745" s="12" t="str">
        <x:v>Small-scale prospects</x:v>
      </x:c>
      <x:c r="J3745" s="12" t="str">
        <x:v>IT &amp; digital</x:v>
      </x:c>
      <x:c r="K3745" s="2" t="str">
        <x:v>PARTNER-M175</x:v>
      </x:c>
    </x:row>
    <x:row r="3746" ht="46" customHeight="1">
      <x:c r="A3746" s="2" t="str">
        <x:v>TEN-0C9871ACDD81</x:v>
      </x:c>
      <x:c r="B3746" s="12" t="str">
        <x:v>Terkar Capital Mumbai</x:v>
      </x:c>
      <x:c r="C3746" s="12" t="str">
        <x:v>CORP-0593</x:v>
      </x:c>
      <x:c r="D3746" s="12" t="str">
        <x:v>Mumbai</x:v>
      </x:c>
      <x:c r="E3746" s="12" t="str">
        <x:v>The Capital</x:v>
      </x:c>
      <x:c r="F3746" s="12" t="str">
        <x:v>55 inch</x:v>
      </x:c>
      <x:c r="G3746" s="20" t="n">
        <x:v>1</x:v>
      </x:c>
      <x:c r="H3746" s="12" t="str">
        <x:v>Campus/portfolio roster; individual building occupancy unverified</x:v>
      </x:c>
      <x:c r="I3746" s="12" t="str">
        <x:v>Medium-scale prospects</x:v>
      </x:c>
      <x:c r="J3746" s="12" t="str">
        <x:v>Finance &amp; insurance</x:v>
      </x:c>
      <x:c r="K3746" s="2" t="str">
        <x:v>PARTNER-M175</x:v>
      </x:c>
    </x:row>
    <x:row r="3747" ht="46" customHeight="1">
      <x:c r="A3747" s="2" t="str">
        <x:v>TEN-126B90B3AAF0</x:v>
      </x:c>
      <x:c r="B3747" s="12" t="str">
        <x:v>Danube Properties</x:v>
      </x:c>
      <x:c r="C3747" s="12" t="str">
        <x:v>CORP-0593</x:v>
      </x:c>
      <x:c r="D3747" s="12" t="str">
        <x:v>Mumbai</x:v>
      </x:c>
      <x:c r="E3747" s="12" t="str">
        <x:v>The Capital</x:v>
      </x:c>
      <x:c r="F3747" s="12" t="str">
        <x:v>55 inch</x:v>
      </x:c>
      <x:c r="G3747" s="20" t="n">
        <x:v>1</x:v>
      </x:c>
      <x:c r="H3747" s="12" t="str">
        <x:v>Campus/portfolio roster; individual building occupancy unverified</x:v>
      </x:c>
      <x:c r="I3747" s="12" t="str">
        <x:v>Mixed business audience</x:v>
      </x:c>
      <x:c r="J3747" s="12" t="str">
        <x:v>Trade, consumer &amp; logistics</x:v>
      </x:c>
      <x:c r="K3747" s="2" t="str">
        <x:v>PARTNER-M175</x:v>
      </x:c>
    </x:row>
    <x:row r="3748" ht="46" customHeight="1">
      <x:c r="A3748" s="2" t="str">
        <x:v>TEN-22C64C35E554</x:v>
      </x:c>
      <x:c r="B3748" s="12" t="str">
        <x:v>Unaprime Investment Advisors Private Ltd</x:v>
      </x:c>
      <x:c r="C3748" s="12" t="str">
        <x:v>CORP-0593</x:v>
      </x:c>
      <x:c r="D3748" s="12" t="str">
        <x:v>Mumbai</x:v>
      </x:c>
      <x:c r="E3748" s="12" t="str">
        <x:v>The Capital</x:v>
      </x:c>
      <x:c r="F3748" s="12" t="str">
        <x:v>55 inch</x:v>
      </x:c>
      <x:c r="G3748" s="20" t="n">
        <x:v>1</x:v>
      </x:c>
      <x:c r="H3748" s="12" t="str">
        <x:v>Campus/portfolio roster; individual building occupancy unverified</x:v>
      </x:c>
      <x:c r="I3748" s="12" t="str">
        <x:v>Small-scale prospects</x:v>
      </x:c>
      <x:c r="J3748" s="12" t="str">
        <x:v>Finance &amp; insurance</x:v>
      </x:c>
      <x:c r="K3748" s="2" t="str">
        <x:v>PARTNER-M175</x:v>
      </x:c>
    </x:row>
    <x:row r="3749" ht="46" customHeight="1">
      <x:c r="A3749" s="2" t="str">
        <x:v>TEN-230FC25B995B</x:v>
      </x:c>
      <x:c r="B3749" s="12" t="str">
        <x:v>Bain &amp; Company</x:v>
      </x:c>
      <x:c r="C3749" s="12" t="str">
        <x:v>CORP-0593</x:v>
      </x:c>
      <x:c r="D3749" s="12" t="str">
        <x:v>Mumbai</x:v>
      </x:c>
      <x:c r="E3749" s="12" t="str">
        <x:v>The Capital</x:v>
      </x:c>
      <x:c r="F3749" s="12" t="str">
        <x:v>55 inch</x:v>
      </x:c>
      <x:c r="G3749" s="20" t="n">
        <x:v>1</x:v>
      </x:c>
      <x:c r="H3749" s="12" t="str">
        <x:v>Campus/portfolio roster; individual building occupancy unverified</x:v>
      </x:c>
      <x:c r="I3749" s="12" t="str">
        <x:v>Mixed business audience</x:v>
      </x:c>
      <x:c r="J3749" s="12" t="str">
        <x:v>Professional services</x:v>
      </x:c>
      <x:c r="K3749" s="2" t="str">
        <x:v>PARTNER-M175</x:v>
      </x:c>
    </x:row>
    <x:row r="3750" ht="46" customHeight="1">
      <x:c r="A3750" s="2" t="str">
        <x:v>TEN-2E592B5232A8</x:v>
      </x:c>
      <x:c r="B3750" s="12" t="str">
        <x:v>Wipro GE Healthcare Pvt Ltd</x:v>
      </x:c>
      <x:c r="C3750" s="12" t="str">
        <x:v>CORP-0593</x:v>
      </x:c>
      <x:c r="D3750" s="12" t="str">
        <x:v>Mumbai</x:v>
      </x:c>
      <x:c r="E3750" s="12" t="str">
        <x:v>The Capital</x:v>
      </x:c>
      <x:c r="F3750" s="12" t="str">
        <x:v>55 inch</x:v>
      </x:c>
      <x:c r="G3750" s="20" t="n">
        <x:v>1</x:v>
      </x:c>
      <x:c r="H3750" s="12" t="str">
        <x:v>Campus/portfolio roster; individual building occupancy unverified</x:v>
      </x:c>
      <x:c r="I3750" s="12" t="str">
        <x:v>Mixed business audience</x:v>
      </x:c>
      <x:c r="J3750" s="12" t="str">
        <x:v>Healthcare &amp; life sciences</x:v>
      </x:c>
      <x:c r="K3750" s="2" t="str">
        <x:v>PARTNER-M175</x:v>
      </x:c>
    </x:row>
    <x:row r="3751" ht="46" customHeight="1">
      <x:c r="A3751" s="2" t="str">
        <x:v>TEN-3CA8EB0EEB79</x:v>
      </x:c>
      <x:c r="B3751" s="12" t="str">
        <x:v>DiamondXE</x:v>
      </x:c>
      <x:c r="C3751" s="12" t="str">
        <x:v>CORP-0593</x:v>
      </x:c>
      <x:c r="D3751" s="12" t="str">
        <x:v>Mumbai</x:v>
      </x:c>
      <x:c r="E3751" s="12" t="str">
        <x:v>The Capital</x:v>
      </x:c>
      <x:c r="F3751" s="12" t="str">
        <x:v>55 inch</x:v>
      </x:c>
      <x:c r="G3751" s="20" t="n">
        <x:v>1</x:v>
      </x:c>
      <x:c r="H3751" s="12" t="str">
        <x:v>Campus/portfolio roster; individual building occupancy unverified</x:v>
      </x:c>
      <x:c r="I3751" s="12" t="str">
        <x:v>Small-scale prospects</x:v>
      </x:c>
      <x:c r="J3751" s="12" t="str">
        <x:v>Trade, consumer &amp; logistics</x:v>
      </x:c>
      <x:c r="K3751" s="2" t="str">
        <x:v>PARTNER-M175</x:v>
      </x:c>
    </x:row>
    <x:row r="3752" ht="46" customHeight="1">
      <x:c r="A3752" s="2" t="str">
        <x:v>TEN-40919C846642</x:v>
      </x:c>
      <x:c r="B3752" s="12" t="str">
        <x:v>Bombay Law Chambers</x:v>
      </x:c>
      <x:c r="C3752" s="12" t="str">
        <x:v>CORP-0593</x:v>
      </x:c>
      <x:c r="D3752" s="12" t="str">
        <x:v>Mumbai</x:v>
      </x:c>
      <x:c r="E3752" s="12" t="str">
        <x:v>The Capital</x:v>
      </x:c>
      <x:c r="F3752" s="12" t="str">
        <x:v>55 inch</x:v>
      </x:c>
      <x:c r="G3752" s="20" t="n">
        <x:v>1</x:v>
      </x:c>
      <x:c r="H3752" s="12" t="str">
        <x:v>Campus/portfolio roster; individual building occupancy unverified</x:v>
      </x:c>
      <x:c r="I3752" s="12" t="str">
        <x:v>Small-scale prospects</x:v>
      </x:c>
      <x:c r="J3752" s="12" t="str">
        <x:v>Professional services</x:v>
      </x:c>
      <x:c r="K3752" s="2" t="str">
        <x:v>PARTNER-M175</x:v>
      </x:c>
    </x:row>
    <x:row r="3753" ht="46" customHeight="1">
      <x:c r="A3753" s="2" t="str">
        <x:v>TEN-4818ADBE7A3E</x:v>
      </x:c>
      <x:c r="B3753" s="12" t="str">
        <x:v>HGS</x:v>
      </x:c>
      <x:c r="C3753" s="12" t="str">
        <x:v>CORP-0593</x:v>
      </x:c>
      <x:c r="D3753" s="12" t="str">
        <x:v>Mumbai</x:v>
      </x:c>
      <x:c r="E3753" s="12" t="str">
        <x:v>The Capital</x:v>
      </x:c>
      <x:c r="F3753" s="12" t="str">
        <x:v>55 inch</x:v>
      </x:c>
      <x:c r="G3753" s="20" t="n">
        <x:v>1</x:v>
      </x:c>
      <x:c r="H3753" s="12" t="str">
        <x:v>Campus/portfolio roster; individual building occupancy unverified</x:v>
      </x:c>
      <x:c r="I3753" s="12" t="str">
        <x:v>Mixed business audience</x:v>
      </x:c>
      <x:c r="J3753" s="12" t="str">
        <x:v>IT &amp; digital</x:v>
      </x:c>
      <x:c r="K3753" s="2" t="str">
        <x:v>PARTNER-M175</x:v>
      </x:c>
    </x:row>
    <x:row r="3754" ht="46" customHeight="1">
      <x:c r="A3754" s="2" t="str">
        <x:v>TEN-682BFBE623F3</x:v>
      </x:c>
      <x:c r="B3754" s="12" t="str">
        <x:v>International Gemological Institute</x:v>
      </x:c>
      <x:c r="C3754" s="12" t="str">
        <x:v>CORP-0593</x:v>
      </x:c>
      <x:c r="D3754" s="12" t="str">
        <x:v>Mumbai</x:v>
      </x:c>
      <x:c r="E3754" s="12" t="str">
        <x:v>The Capital</x:v>
      </x:c>
      <x:c r="F3754" s="12" t="str">
        <x:v>55 inch</x:v>
      </x:c>
      <x:c r="G3754" s="20" t="n">
        <x:v>1</x:v>
      </x:c>
      <x:c r="H3754" s="12" t="str">
        <x:v>Campus/portfolio roster; individual building occupancy unverified</x:v>
      </x:c>
      <x:c r="I3754" s="12" t="str">
        <x:v>Mixed business audience</x:v>
      </x:c>
      <x:c r="J3754" s="12" t="str">
        <x:v>Engineering &amp; manufacturing</x:v>
      </x:c>
      <x:c r="K3754" s="2" t="str">
        <x:v>PARTNER-M175</x:v>
      </x:c>
    </x:row>
    <x:row r="3755" ht="46" customHeight="1">
      <x:c r="A3755" s="2" t="str">
        <x:v>TEN-713806984796</x:v>
      </x:c>
      <x:c r="B3755" s="12" t="str">
        <x:v>Finsec Law Advisors</x:v>
      </x:c>
      <x:c r="C3755" s="12" t="str">
        <x:v>CORP-0593</x:v>
      </x:c>
      <x:c r="D3755" s="12" t="str">
        <x:v>Mumbai</x:v>
      </x:c>
      <x:c r="E3755" s="12" t="str">
        <x:v>The Capital</x:v>
      </x:c>
      <x:c r="F3755" s="12" t="str">
        <x:v>55 inch</x:v>
      </x:c>
      <x:c r="G3755" s="20" t="n">
        <x:v>1</x:v>
      </x:c>
      <x:c r="H3755" s="12" t="str">
        <x:v>Campus/portfolio roster; individual building occupancy unverified</x:v>
      </x:c>
      <x:c r="I3755" s="12" t="str">
        <x:v>Small-scale prospects</x:v>
      </x:c>
      <x:c r="J3755" s="12" t="str">
        <x:v>Professional services</x:v>
      </x:c>
      <x:c r="K3755" s="2" t="str">
        <x:v>PARTNER-M175</x:v>
      </x:c>
    </x:row>
    <x:row r="3756" ht="46" customHeight="1">
      <x:c r="A3756" s="2" t="str">
        <x:v>TEN-7374F6DDD227</x:v>
      </x:c>
      <x:c r="B3756" s="12" t="str">
        <x:v>IFC Ventures</x:v>
      </x:c>
      <x:c r="C3756" s="12" t="str">
        <x:v>CORP-0593</x:v>
      </x:c>
      <x:c r="D3756" s="12" t="str">
        <x:v>Mumbai</x:v>
      </x:c>
      <x:c r="E3756" s="12" t="str">
        <x:v>The Capital</x:v>
      </x:c>
      <x:c r="F3756" s="12" t="str">
        <x:v>55 inch</x:v>
      </x:c>
      <x:c r="G3756" s="20" t="n">
        <x:v>1</x:v>
      </x:c>
      <x:c r="H3756" s="12" t="str">
        <x:v>Campus/portfolio roster; individual building occupancy unverified</x:v>
      </x:c>
      <x:c r="I3756" s="12" t="str">
        <x:v>Medium-scale prospects</x:v>
      </x:c>
      <x:c r="J3756" s="12" t="str">
        <x:v>Finance &amp; insurance</x:v>
      </x:c>
      <x:c r="K3756" s="2" t="str">
        <x:v>PARTNER-M175</x:v>
      </x:c>
    </x:row>
    <x:row r="3757" ht="46" customHeight="1">
      <x:c r="A3757" s="2" t="str">
        <x:v>TEN-737B94C445E5</x:v>
      </x:c>
      <x:c r="B3757" s="12" t="str">
        <x:v>Diamond Producers Association Limited</x:v>
      </x:c>
      <x:c r="C3757" s="12" t="str">
        <x:v>CORP-0593</x:v>
      </x:c>
      <x:c r="D3757" s="12" t="str">
        <x:v>Mumbai</x:v>
      </x:c>
      <x:c r="E3757" s="12" t="str">
        <x:v>The Capital</x:v>
      </x:c>
      <x:c r="F3757" s="12" t="str">
        <x:v>55 inch</x:v>
      </x:c>
      <x:c r="G3757" s="20" t="n">
        <x:v>1</x:v>
      </x:c>
      <x:c r="H3757" s="12" t="str">
        <x:v>Campus/portfolio roster; individual building occupancy unverified</x:v>
      </x:c>
      <x:c r="I3757" s="12" t="str">
        <x:v>Institutional</x:v>
      </x:c>
      <x:c r="J3757" s="12" t="str">
        <x:v>Government &amp; nonprofit</x:v>
      </x:c>
      <x:c r="K3757" s="2" t="str">
        <x:v>PARTNER-M175</x:v>
      </x:c>
    </x:row>
    <x:row r="3758" ht="46" customHeight="1">
      <x:c r="A3758" s="2" t="str">
        <x:v>TEN-7833F51548E5</x:v>
      </x:c>
      <x:c r="B3758" s="12" t="str">
        <x:v>Incred Capital</x:v>
      </x:c>
      <x:c r="C3758" s="12" t="str">
        <x:v>CORP-0593</x:v>
      </x:c>
      <x:c r="D3758" s="12" t="str">
        <x:v>Mumbai</x:v>
      </x:c>
      <x:c r="E3758" s="12" t="str">
        <x:v>The Capital</x:v>
      </x:c>
      <x:c r="F3758" s="12" t="str">
        <x:v>55 inch</x:v>
      </x:c>
      <x:c r="G3758" s="20" t="n">
        <x:v>1</x:v>
      </x:c>
      <x:c r="H3758" s="12" t="str">
        <x:v>Campus/portfolio roster; individual building occupancy unverified</x:v>
      </x:c>
      <x:c r="I3758" s="12" t="str">
        <x:v>Mixed business audience</x:v>
      </x:c>
      <x:c r="J3758" s="12" t="str">
        <x:v>Finance &amp; insurance</x:v>
      </x:c>
      <x:c r="K3758" s="2" t="str">
        <x:v>PARTNER-M175</x:v>
      </x:c>
    </x:row>
    <x:row r="3759" ht="46" customHeight="1">
      <x:c r="A3759" s="2" t="str">
        <x:v>TEN-795C2469C0AB</x:v>
      </x:c>
      <x:c r="B3759" s="12" t="str">
        <x:v>Inverness India</x:v>
      </x:c>
      <x:c r="C3759" s="12" t="str">
        <x:v>CORP-0593</x:v>
      </x:c>
      <x:c r="D3759" s="12" t="str">
        <x:v>Mumbai</x:v>
      </x:c>
      <x:c r="E3759" s="12" t="str">
        <x:v>The Capital</x:v>
      </x:c>
      <x:c r="F3759" s="12" t="str">
        <x:v>55 inch</x:v>
      </x:c>
      <x:c r="G3759" s="20" t="n">
        <x:v>1</x:v>
      </x:c>
      <x:c r="H3759" s="12" t="str">
        <x:v>Campus/portfolio roster; individual building occupancy unverified</x:v>
      </x:c>
      <x:c r="I3759" s="12" t="str">
        <x:v>Mixed business audience</x:v>
      </x:c>
      <x:c r="J3759" s="12" t="str">
        <x:v>Unresolved</x:v>
      </x:c>
      <x:c r="K3759" s="2" t="str">
        <x:v>PARTNER-M175</x:v>
      </x:c>
    </x:row>
    <x:row r="3760" ht="46" customHeight="1">
      <x:c r="A3760" s="2" t="str">
        <x:v>TEN-847162D496C7</x:v>
      </x:c>
      <x:c r="B3760" s="12" t="str">
        <x:v>fastloanservice</x:v>
      </x:c>
      <x:c r="C3760" s="12" t="str">
        <x:v>CORP-0593</x:v>
      </x:c>
      <x:c r="D3760" s="12" t="str">
        <x:v>Mumbai</x:v>
      </x:c>
      <x:c r="E3760" s="12" t="str">
        <x:v>The Capital</x:v>
      </x:c>
      <x:c r="F3760" s="12" t="str">
        <x:v>55 inch</x:v>
      </x:c>
      <x:c r="G3760" s="20" t="n">
        <x:v>1</x:v>
      </x:c>
      <x:c r="H3760" s="12" t="str">
        <x:v>Campus/portfolio roster; individual building occupancy unverified</x:v>
      </x:c>
      <x:c r="I3760" s="12" t="str">
        <x:v>Mixed business audience</x:v>
      </x:c>
      <x:c r="J3760" s="12" t="str">
        <x:v>Unresolved</x:v>
      </x:c>
      <x:c r="K3760" s="2" t="str">
        <x:v>PARTNER-M175</x:v>
      </x:c>
    </x:row>
    <x:row r="3761" ht="46" customHeight="1">
      <x:c r="A3761" s="2" t="str">
        <x:v>TEN-9F3A4329D832</x:v>
      </x:c>
      <x:c r="B3761" s="12" t="str">
        <x:v>SUBWAY</x:v>
      </x:c>
      <x:c r="C3761" s="12" t="str">
        <x:v>CORP-0593</x:v>
      </x:c>
      <x:c r="D3761" s="12" t="str">
        <x:v>Mumbai</x:v>
      </x:c>
      <x:c r="E3761" s="12" t="str">
        <x:v>The Capital</x:v>
      </x:c>
      <x:c r="F3761" s="12" t="str">
        <x:v>55 inch</x:v>
      </x:c>
      <x:c r="G3761" s="20" t="n">
        <x:v>1</x:v>
      </x:c>
      <x:c r="H3761" s="12" t="str">
        <x:v>Campus/portfolio roster; individual building occupancy unverified</x:v>
      </x:c>
      <x:c r="I3761" s="12" t="str">
        <x:v>Mixed business audience</x:v>
      </x:c>
      <x:c r="J3761" s="12" t="str">
        <x:v>Trade, consumer &amp; logistics</x:v>
      </x:c>
      <x:c r="K3761" s="2" t="str">
        <x:v>PARTNER-M175</x:v>
      </x:c>
    </x:row>
    <x:row r="3762" ht="46" customHeight="1">
      <x:c r="A3762" s="2" t="str">
        <x:v>TEN-A09B30E3D0A6</x:v>
      </x:c>
      <x:c r="B3762" s="12" t="str">
        <x:v>Visa Inc</x:v>
      </x:c>
      <x:c r="C3762" s="12" t="str">
        <x:v>CORP-0593</x:v>
      </x:c>
      <x:c r="D3762" s="12" t="str">
        <x:v>Mumbai</x:v>
      </x:c>
      <x:c r="E3762" s="12" t="str">
        <x:v>The Capital</x:v>
      </x:c>
      <x:c r="F3762" s="12" t="str">
        <x:v>55 inch</x:v>
      </x:c>
      <x:c r="G3762" s="20" t="n">
        <x:v>1</x:v>
      </x:c>
      <x:c r="H3762" s="12" t="str">
        <x:v>Campus/portfolio roster; individual building occupancy unverified</x:v>
      </x:c>
      <x:c r="I3762" s="12" t="str">
        <x:v>Large enterprise</x:v>
      </x:c>
      <x:c r="J3762" s="12" t="str">
        <x:v>Finance &amp; insurance</x:v>
      </x:c>
      <x:c r="K3762" s="2" t="str">
        <x:v>PARTNER-M175</x:v>
      </x:c>
    </x:row>
    <x:row r="3763" ht="46" customHeight="1">
      <x:c r="A3763" s="2" t="str">
        <x:v>TEN-AD5DF8A9641C</x:v>
      </x:c>
      <x:c r="B3763" s="12" t="str">
        <x:v>AMN Life Science Pvt. Ltd</x:v>
      </x:c>
      <x:c r="C3763" s="12" t="str">
        <x:v>CORP-0593</x:v>
      </x:c>
      <x:c r="D3763" s="12" t="str">
        <x:v>Mumbai</x:v>
      </x:c>
      <x:c r="E3763" s="12" t="str">
        <x:v>The Capital</x:v>
      </x:c>
      <x:c r="F3763" s="12" t="str">
        <x:v>55 inch</x:v>
      </x:c>
      <x:c r="G3763" s="20" t="n">
        <x:v>1</x:v>
      </x:c>
      <x:c r="H3763" s="12" t="str">
        <x:v>Campus/portfolio roster; individual building occupancy unverified</x:v>
      </x:c>
      <x:c r="I3763" s="12" t="str">
        <x:v>Medium-scale prospects</x:v>
      </x:c>
      <x:c r="J3763" s="12" t="str">
        <x:v>Healthcare &amp; life sciences</x:v>
      </x:c>
      <x:c r="K3763" s="2" t="str">
        <x:v>PARTNER-M175</x:v>
      </x:c>
    </x:row>
    <x:row r="3764" ht="46" customHeight="1">
      <x:c r="A3764" s="2" t="str">
        <x:v>TEN-AE69DE673F61</x:v>
      </x:c>
      <x:c r="B3764" s="12" t="str">
        <x:v>Hiraco</x:v>
      </x:c>
      <x:c r="C3764" s="12" t="str">
        <x:v>CORP-0593</x:v>
      </x:c>
      <x:c r="D3764" s="12" t="str">
        <x:v>Mumbai</x:v>
      </x:c>
      <x:c r="E3764" s="12" t="str">
        <x:v>The Capital</x:v>
      </x:c>
      <x:c r="F3764" s="12" t="str">
        <x:v>55 inch</x:v>
      </x:c>
      <x:c r="G3764" s="20" t="n">
        <x:v>1</x:v>
      </x:c>
      <x:c r="H3764" s="12" t="str">
        <x:v>Campus/portfolio roster; individual building occupancy unverified</x:v>
      </x:c>
      <x:c r="I3764" s="12" t="str">
        <x:v>Mixed business audience</x:v>
      </x:c>
      <x:c r="J3764" s="12" t="str">
        <x:v>Unresolved</x:v>
      </x:c>
      <x:c r="K3764" s="2" t="str">
        <x:v>PARTNER-M175</x:v>
      </x:c>
    </x:row>
    <x:row r="3765" ht="46" customHeight="1">
      <x:c r="A3765" s="2" t="str">
        <x:v>TEN-C8827568878B</x:v>
      </x:c>
      <x:c r="B3765" s="12" t="str">
        <x:v>Bank Of Baroda</x:v>
      </x:c>
      <x:c r="C3765" s="12" t="str">
        <x:v>CORP-0593</x:v>
      </x:c>
      <x:c r="D3765" s="12" t="str">
        <x:v>Mumbai</x:v>
      </x:c>
      <x:c r="E3765" s="12" t="str">
        <x:v>The Capital</x:v>
      </x:c>
      <x:c r="F3765" s="12" t="str">
        <x:v>55 inch</x:v>
      </x:c>
      <x:c r="G3765" s="20" t="n">
        <x:v>1</x:v>
      </x:c>
      <x:c r="H3765" s="12" t="str">
        <x:v>Campus/portfolio roster; individual building occupancy unverified</x:v>
      </x:c>
      <x:c r="I3765" s="12" t="str">
        <x:v>Large enterprise</x:v>
      </x:c>
      <x:c r="J3765" s="12" t="str">
        <x:v>Finance &amp; insurance</x:v>
      </x:c>
      <x:c r="K3765" s="2" t="str">
        <x:v>PARTNER-M175</x:v>
      </x:c>
    </x:row>
    <x:row r="3766" ht="46" customHeight="1">
      <x:c r="A3766" s="2" t="str">
        <x:v>TEN-CBFFDC2663B6</x:v>
      </x:c>
      <x:c r="B3766" s="12" t="str">
        <x:v>HK Capital</x:v>
      </x:c>
      <x:c r="C3766" s="12" t="str">
        <x:v>CORP-0593</x:v>
      </x:c>
      <x:c r="D3766" s="12" t="str">
        <x:v>Mumbai</x:v>
      </x:c>
      <x:c r="E3766" s="12" t="str">
        <x:v>The Capital</x:v>
      </x:c>
      <x:c r="F3766" s="12" t="str">
        <x:v>55 inch</x:v>
      </x:c>
      <x:c r="G3766" s="20" t="n">
        <x:v>1</x:v>
      </x:c>
      <x:c r="H3766" s="12" t="str">
        <x:v>Campus/portfolio roster; individual building occupancy unverified</x:v>
      </x:c>
      <x:c r="I3766" s="12" t="str">
        <x:v>Medium-scale prospects</x:v>
      </x:c>
      <x:c r="J3766" s="12" t="str">
        <x:v>Finance &amp; insurance</x:v>
      </x:c>
      <x:c r="K3766" s="2" t="str">
        <x:v>PARTNER-M175</x:v>
      </x:c>
    </x:row>
    <x:row r="3767" ht="46" customHeight="1">
      <x:c r="A3767" s="2" t="str">
        <x:v>TEN-DF2E8D7953EB</x:v>
      </x:c>
      <x:c r="B3767" s="12" t="str">
        <x:v>Opec</x:v>
      </x:c>
      <x:c r="C3767" s="12" t="str">
        <x:v>CORP-0593</x:v>
      </x:c>
      <x:c r="D3767" s="12" t="str">
        <x:v>Mumbai</x:v>
      </x:c>
      <x:c r="E3767" s="12" t="str">
        <x:v>The Capital</x:v>
      </x:c>
      <x:c r="F3767" s="12" t="str">
        <x:v>55 inch</x:v>
      </x:c>
      <x:c r="G3767" s="20" t="n">
        <x:v>1</x:v>
      </x:c>
      <x:c r="H3767" s="12" t="str">
        <x:v>Campus/portfolio roster; individual building occupancy unverified</x:v>
      </x:c>
      <x:c r="I3767" s="12" t="str">
        <x:v>Mixed business audience</x:v>
      </x:c>
      <x:c r="J3767" s="12" t="str">
        <x:v>Unresolved</x:v>
      </x:c>
      <x:c r="K3767" s="2" t="str">
        <x:v>PARTNER-M175</x:v>
      </x:c>
    </x:row>
    <x:row r="3768" ht="46" customHeight="1">
      <x:c r="A3768" s="2" t="str">
        <x:v>TEN-EEC59CDFE811</x:v>
      </x:c>
      <x:c r="B3768" s="12" t="str">
        <x:v>Metta Capital Advisors LLP</x:v>
      </x:c>
      <x:c r="C3768" s="12" t="str">
        <x:v>CORP-0593</x:v>
      </x:c>
      <x:c r="D3768" s="12" t="str">
        <x:v>Mumbai</x:v>
      </x:c>
      <x:c r="E3768" s="12" t="str">
        <x:v>The Capital</x:v>
      </x:c>
      <x:c r="F3768" s="12" t="str">
        <x:v>55 inch</x:v>
      </x:c>
      <x:c r="G3768" s="20" t="n">
        <x:v>1</x:v>
      </x:c>
      <x:c r="H3768" s="12" t="str">
        <x:v>Campus/portfolio roster; individual building occupancy unverified</x:v>
      </x:c>
      <x:c r="I3768" s="12" t="str">
        <x:v>Small-scale prospects</x:v>
      </x:c>
      <x:c r="J3768" s="12" t="str">
        <x:v>Finance &amp; insurance</x:v>
      </x:c>
      <x:c r="K3768" s="2" t="str">
        <x:v>PARTNER-M175</x:v>
      </x:c>
    </x:row>
    <x:row r="3769" ht="46" customHeight="1">
      <x:c r="A3769" s="2" t="str">
        <x:v>TEN-FC8A936BC45B</x:v>
      </x:c>
      <x:c r="B3769" s="12" t="str">
        <x:v>hoonartek</x:v>
      </x:c>
      <x:c r="C3769" s="12" t="str">
        <x:v>CORP-0593</x:v>
      </x:c>
      <x:c r="D3769" s="12" t="str">
        <x:v>Mumbai</x:v>
      </x:c>
      <x:c r="E3769" s="12" t="str">
        <x:v>The Capital</x:v>
      </x:c>
      <x:c r="F3769" s="12" t="str">
        <x:v>55 inch</x:v>
      </x:c>
      <x:c r="G3769" s="20" t="n">
        <x:v>1</x:v>
      </x:c>
      <x:c r="H3769" s="12" t="str">
        <x:v>Campus/portfolio roster; individual building occupancy unverified</x:v>
      </x:c>
      <x:c r="I3769" s="12" t="str">
        <x:v>Small-scale prospects</x:v>
      </x:c>
      <x:c r="J3769" s="12" t="str">
        <x:v>IT &amp; digital</x:v>
      </x:c>
      <x:c r="K3769" s="2" t="str">
        <x:v>PARTNER-M175</x:v>
      </x:c>
    </x:row>
    <x:row r="3770" ht="46" customHeight="1">
      <x:c r="A3770" s="2" t="str">
        <x:v>TEN-0C9871ACDD81</x:v>
      </x:c>
      <x:c r="B3770" s="12" t="str">
        <x:v>Terkar Capital Mumbai</x:v>
      </x:c>
      <x:c r="C3770" s="12" t="str">
        <x:v>CORP-0594</x:v>
      </x:c>
      <x:c r="D3770" s="12" t="str">
        <x:v>Mumbai</x:v>
      </x:c>
      <x:c r="E3770" s="12" t="str">
        <x:v>The Capital</x:v>
      </x:c>
      <x:c r="F3770" s="12" t="str">
        <x:v>55 inch</x:v>
      </x:c>
      <x:c r="G3770" s="20" t="n">
        <x:v>1</x:v>
      </x:c>
      <x:c r="H3770" s="12" t="str">
        <x:v>Campus/portfolio roster; individual building occupancy unverified</x:v>
      </x:c>
      <x:c r="I3770" s="12" t="str">
        <x:v>Medium-scale prospects</x:v>
      </x:c>
      <x:c r="J3770" s="12" t="str">
        <x:v>Finance &amp; insurance</x:v>
      </x:c>
      <x:c r="K3770" s="2" t="str">
        <x:v>PARTNER-M175</x:v>
      </x:c>
    </x:row>
    <x:row r="3771" ht="46" customHeight="1">
      <x:c r="A3771" s="2" t="str">
        <x:v>TEN-126B90B3AAF0</x:v>
      </x:c>
      <x:c r="B3771" s="12" t="str">
        <x:v>Danube Properties</x:v>
      </x:c>
      <x:c r="C3771" s="12" t="str">
        <x:v>CORP-0594</x:v>
      </x:c>
      <x:c r="D3771" s="12" t="str">
        <x:v>Mumbai</x:v>
      </x:c>
      <x:c r="E3771" s="12" t="str">
        <x:v>The Capital</x:v>
      </x:c>
      <x:c r="F3771" s="12" t="str">
        <x:v>55 inch</x:v>
      </x:c>
      <x:c r="G3771" s="20" t="n">
        <x:v>1</x:v>
      </x:c>
      <x:c r="H3771" s="12" t="str">
        <x:v>Campus/portfolio roster; individual building occupancy unverified</x:v>
      </x:c>
      <x:c r="I3771" s="12" t="str">
        <x:v>Mixed business audience</x:v>
      </x:c>
      <x:c r="J3771" s="12" t="str">
        <x:v>Trade, consumer &amp; logistics</x:v>
      </x:c>
      <x:c r="K3771" s="2" t="str">
        <x:v>PARTNER-M175</x:v>
      </x:c>
    </x:row>
    <x:row r="3772" ht="46" customHeight="1">
      <x:c r="A3772" s="2" t="str">
        <x:v>TEN-22C64C35E554</x:v>
      </x:c>
      <x:c r="B3772" s="12" t="str">
        <x:v>Unaprime Investment Advisors Private Ltd</x:v>
      </x:c>
      <x:c r="C3772" s="12" t="str">
        <x:v>CORP-0594</x:v>
      </x:c>
      <x:c r="D3772" s="12" t="str">
        <x:v>Mumbai</x:v>
      </x:c>
      <x:c r="E3772" s="12" t="str">
        <x:v>The Capital</x:v>
      </x:c>
      <x:c r="F3772" s="12" t="str">
        <x:v>55 inch</x:v>
      </x:c>
      <x:c r="G3772" s="20" t="n">
        <x:v>1</x:v>
      </x:c>
      <x:c r="H3772" s="12" t="str">
        <x:v>Campus/portfolio roster; individual building occupancy unverified</x:v>
      </x:c>
      <x:c r="I3772" s="12" t="str">
        <x:v>Small-scale prospects</x:v>
      </x:c>
      <x:c r="J3772" s="12" t="str">
        <x:v>Finance &amp; insurance</x:v>
      </x:c>
      <x:c r="K3772" s="2" t="str">
        <x:v>PARTNER-M175</x:v>
      </x:c>
    </x:row>
    <x:row r="3773" ht="46" customHeight="1">
      <x:c r="A3773" s="2" t="str">
        <x:v>TEN-230FC25B995B</x:v>
      </x:c>
      <x:c r="B3773" s="12" t="str">
        <x:v>Bain &amp; Company</x:v>
      </x:c>
      <x:c r="C3773" s="12" t="str">
        <x:v>CORP-0594</x:v>
      </x:c>
      <x:c r="D3773" s="12" t="str">
        <x:v>Mumbai</x:v>
      </x:c>
      <x:c r="E3773" s="12" t="str">
        <x:v>The Capital</x:v>
      </x:c>
      <x:c r="F3773" s="12" t="str">
        <x:v>55 inch</x:v>
      </x:c>
      <x:c r="G3773" s="20" t="n">
        <x:v>1</x:v>
      </x:c>
      <x:c r="H3773" s="12" t="str">
        <x:v>Campus/portfolio roster; individual building occupancy unverified</x:v>
      </x:c>
      <x:c r="I3773" s="12" t="str">
        <x:v>Mixed business audience</x:v>
      </x:c>
      <x:c r="J3773" s="12" t="str">
        <x:v>Professional services</x:v>
      </x:c>
      <x:c r="K3773" s="2" t="str">
        <x:v>PARTNER-M175</x:v>
      </x:c>
    </x:row>
    <x:row r="3774" ht="46" customHeight="1">
      <x:c r="A3774" s="2" t="str">
        <x:v>TEN-2E592B5232A8</x:v>
      </x:c>
      <x:c r="B3774" s="12" t="str">
        <x:v>Wipro GE Healthcare Pvt Ltd</x:v>
      </x:c>
      <x:c r="C3774" s="12" t="str">
        <x:v>CORP-0594</x:v>
      </x:c>
      <x:c r="D3774" s="12" t="str">
        <x:v>Mumbai</x:v>
      </x:c>
      <x:c r="E3774" s="12" t="str">
        <x:v>The Capital</x:v>
      </x:c>
      <x:c r="F3774" s="12" t="str">
        <x:v>55 inch</x:v>
      </x:c>
      <x:c r="G3774" s="20" t="n">
        <x:v>1</x:v>
      </x:c>
      <x:c r="H3774" s="12" t="str">
        <x:v>Campus/portfolio roster; individual building occupancy unverified</x:v>
      </x:c>
      <x:c r="I3774" s="12" t="str">
        <x:v>Mixed business audience</x:v>
      </x:c>
      <x:c r="J3774" s="12" t="str">
        <x:v>Healthcare &amp; life sciences</x:v>
      </x:c>
      <x:c r="K3774" s="2" t="str">
        <x:v>PARTNER-M175</x:v>
      </x:c>
    </x:row>
    <x:row r="3775" ht="46" customHeight="1">
      <x:c r="A3775" s="2" t="str">
        <x:v>TEN-3CA8EB0EEB79</x:v>
      </x:c>
      <x:c r="B3775" s="12" t="str">
        <x:v>DiamondXE</x:v>
      </x:c>
      <x:c r="C3775" s="12" t="str">
        <x:v>CORP-0594</x:v>
      </x:c>
      <x:c r="D3775" s="12" t="str">
        <x:v>Mumbai</x:v>
      </x:c>
      <x:c r="E3775" s="12" t="str">
        <x:v>The Capital</x:v>
      </x:c>
      <x:c r="F3775" s="12" t="str">
        <x:v>55 inch</x:v>
      </x:c>
      <x:c r="G3775" s="20" t="n">
        <x:v>1</x:v>
      </x:c>
      <x:c r="H3775" s="12" t="str">
        <x:v>Campus/portfolio roster; individual building occupancy unverified</x:v>
      </x:c>
      <x:c r="I3775" s="12" t="str">
        <x:v>Small-scale prospects</x:v>
      </x:c>
      <x:c r="J3775" s="12" t="str">
        <x:v>Trade, consumer &amp; logistics</x:v>
      </x:c>
      <x:c r="K3775" s="2" t="str">
        <x:v>PARTNER-M175</x:v>
      </x:c>
    </x:row>
    <x:row r="3776" ht="46" customHeight="1">
      <x:c r="A3776" s="2" t="str">
        <x:v>TEN-40919C846642</x:v>
      </x:c>
      <x:c r="B3776" s="12" t="str">
        <x:v>Bombay Law Chambers</x:v>
      </x:c>
      <x:c r="C3776" s="12" t="str">
        <x:v>CORP-0594</x:v>
      </x:c>
      <x:c r="D3776" s="12" t="str">
        <x:v>Mumbai</x:v>
      </x:c>
      <x:c r="E3776" s="12" t="str">
        <x:v>The Capital</x:v>
      </x:c>
      <x:c r="F3776" s="12" t="str">
        <x:v>55 inch</x:v>
      </x:c>
      <x:c r="G3776" s="20" t="n">
        <x:v>1</x:v>
      </x:c>
      <x:c r="H3776" s="12" t="str">
        <x:v>Campus/portfolio roster; individual building occupancy unverified</x:v>
      </x:c>
      <x:c r="I3776" s="12" t="str">
        <x:v>Small-scale prospects</x:v>
      </x:c>
      <x:c r="J3776" s="12" t="str">
        <x:v>Professional services</x:v>
      </x:c>
      <x:c r="K3776" s="2" t="str">
        <x:v>PARTNER-M175</x:v>
      </x:c>
    </x:row>
    <x:row r="3777" ht="46" customHeight="1">
      <x:c r="A3777" s="2" t="str">
        <x:v>TEN-4818ADBE7A3E</x:v>
      </x:c>
      <x:c r="B3777" s="12" t="str">
        <x:v>HGS</x:v>
      </x:c>
      <x:c r="C3777" s="12" t="str">
        <x:v>CORP-0594</x:v>
      </x:c>
      <x:c r="D3777" s="12" t="str">
        <x:v>Mumbai</x:v>
      </x:c>
      <x:c r="E3777" s="12" t="str">
        <x:v>The Capital</x:v>
      </x:c>
      <x:c r="F3777" s="12" t="str">
        <x:v>55 inch</x:v>
      </x:c>
      <x:c r="G3777" s="20" t="n">
        <x:v>1</x:v>
      </x:c>
      <x:c r="H3777" s="12" t="str">
        <x:v>Campus/portfolio roster; individual building occupancy unverified</x:v>
      </x:c>
      <x:c r="I3777" s="12" t="str">
        <x:v>Mixed business audience</x:v>
      </x:c>
      <x:c r="J3777" s="12" t="str">
        <x:v>IT &amp; digital</x:v>
      </x:c>
      <x:c r="K3777" s="2" t="str">
        <x:v>PARTNER-M175</x:v>
      </x:c>
    </x:row>
    <x:row r="3778" ht="46" customHeight="1">
      <x:c r="A3778" s="2" t="str">
        <x:v>TEN-682BFBE623F3</x:v>
      </x:c>
      <x:c r="B3778" s="12" t="str">
        <x:v>International Gemological Institute</x:v>
      </x:c>
      <x:c r="C3778" s="12" t="str">
        <x:v>CORP-0594</x:v>
      </x:c>
      <x:c r="D3778" s="12" t="str">
        <x:v>Mumbai</x:v>
      </x:c>
      <x:c r="E3778" s="12" t="str">
        <x:v>The Capital</x:v>
      </x:c>
      <x:c r="F3778" s="12" t="str">
        <x:v>55 inch</x:v>
      </x:c>
      <x:c r="G3778" s="20" t="n">
        <x:v>1</x:v>
      </x:c>
      <x:c r="H3778" s="12" t="str">
        <x:v>Campus/portfolio roster; individual building occupancy unverified</x:v>
      </x:c>
      <x:c r="I3778" s="12" t="str">
        <x:v>Mixed business audience</x:v>
      </x:c>
      <x:c r="J3778" s="12" t="str">
        <x:v>Engineering &amp; manufacturing</x:v>
      </x:c>
      <x:c r="K3778" s="2" t="str">
        <x:v>PARTNER-M175</x:v>
      </x:c>
    </x:row>
    <x:row r="3779" ht="46" customHeight="1">
      <x:c r="A3779" s="2" t="str">
        <x:v>TEN-713806984796</x:v>
      </x:c>
      <x:c r="B3779" s="12" t="str">
        <x:v>Finsec Law Advisors</x:v>
      </x:c>
      <x:c r="C3779" s="12" t="str">
        <x:v>CORP-0594</x:v>
      </x:c>
      <x:c r="D3779" s="12" t="str">
        <x:v>Mumbai</x:v>
      </x:c>
      <x:c r="E3779" s="12" t="str">
        <x:v>The Capital</x:v>
      </x:c>
      <x:c r="F3779" s="12" t="str">
        <x:v>55 inch</x:v>
      </x:c>
      <x:c r="G3779" s="20" t="n">
        <x:v>1</x:v>
      </x:c>
      <x:c r="H3779" s="12" t="str">
        <x:v>Campus/portfolio roster; individual building occupancy unverified</x:v>
      </x:c>
      <x:c r="I3779" s="12" t="str">
        <x:v>Small-scale prospects</x:v>
      </x:c>
      <x:c r="J3779" s="12" t="str">
        <x:v>Professional services</x:v>
      </x:c>
      <x:c r="K3779" s="2" t="str">
        <x:v>PARTNER-M175</x:v>
      </x:c>
    </x:row>
    <x:row r="3780" ht="46" customHeight="1">
      <x:c r="A3780" s="2" t="str">
        <x:v>TEN-7374F6DDD227</x:v>
      </x:c>
      <x:c r="B3780" s="12" t="str">
        <x:v>IFC Ventures</x:v>
      </x:c>
      <x:c r="C3780" s="12" t="str">
        <x:v>CORP-0594</x:v>
      </x:c>
      <x:c r="D3780" s="12" t="str">
        <x:v>Mumbai</x:v>
      </x:c>
      <x:c r="E3780" s="12" t="str">
        <x:v>The Capital</x:v>
      </x:c>
      <x:c r="F3780" s="12" t="str">
        <x:v>55 inch</x:v>
      </x:c>
      <x:c r="G3780" s="20" t="n">
        <x:v>1</x:v>
      </x:c>
      <x:c r="H3780" s="12" t="str">
        <x:v>Campus/portfolio roster; individual building occupancy unverified</x:v>
      </x:c>
      <x:c r="I3780" s="12" t="str">
        <x:v>Medium-scale prospects</x:v>
      </x:c>
      <x:c r="J3780" s="12" t="str">
        <x:v>Finance &amp; insurance</x:v>
      </x:c>
      <x:c r="K3780" s="2" t="str">
        <x:v>PARTNER-M175</x:v>
      </x:c>
    </x:row>
    <x:row r="3781" ht="46" customHeight="1">
      <x:c r="A3781" s="2" t="str">
        <x:v>TEN-737B94C445E5</x:v>
      </x:c>
      <x:c r="B3781" s="12" t="str">
        <x:v>Diamond Producers Association Limited</x:v>
      </x:c>
      <x:c r="C3781" s="12" t="str">
        <x:v>CORP-0594</x:v>
      </x:c>
      <x:c r="D3781" s="12" t="str">
        <x:v>Mumbai</x:v>
      </x:c>
      <x:c r="E3781" s="12" t="str">
        <x:v>The Capital</x:v>
      </x:c>
      <x:c r="F3781" s="12" t="str">
        <x:v>55 inch</x:v>
      </x:c>
      <x:c r="G3781" s="20" t="n">
        <x:v>1</x:v>
      </x:c>
      <x:c r="H3781" s="12" t="str">
        <x:v>Campus/portfolio roster; individual building occupancy unverified</x:v>
      </x:c>
      <x:c r="I3781" s="12" t="str">
        <x:v>Institutional</x:v>
      </x:c>
      <x:c r="J3781" s="12" t="str">
        <x:v>Government &amp; nonprofit</x:v>
      </x:c>
      <x:c r="K3781" s="2" t="str">
        <x:v>PARTNER-M175</x:v>
      </x:c>
    </x:row>
    <x:row r="3782" ht="46" customHeight="1">
      <x:c r="A3782" s="2" t="str">
        <x:v>TEN-7833F51548E5</x:v>
      </x:c>
      <x:c r="B3782" s="12" t="str">
        <x:v>Incred Capital</x:v>
      </x:c>
      <x:c r="C3782" s="12" t="str">
        <x:v>CORP-0594</x:v>
      </x:c>
      <x:c r="D3782" s="12" t="str">
        <x:v>Mumbai</x:v>
      </x:c>
      <x:c r="E3782" s="12" t="str">
        <x:v>The Capital</x:v>
      </x:c>
      <x:c r="F3782" s="12" t="str">
        <x:v>55 inch</x:v>
      </x:c>
      <x:c r="G3782" s="20" t="n">
        <x:v>1</x:v>
      </x:c>
      <x:c r="H3782" s="12" t="str">
        <x:v>Campus/portfolio roster; individual building occupancy unverified</x:v>
      </x:c>
      <x:c r="I3782" s="12" t="str">
        <x:v>Mixed business audience</x:v>
      </x:c>
      <x:c r="J3782" s="12" t="str">
        <x:v>Finance &amp; insurance</x:v>
      </x:c>
      <x:c r="K3782" s="2" t="str">
        <x:v>PARTNER-M175</x:v>
      </x:c>
    </x:row>
    <x:row r="3783" ht="46" customHeight="1">
      <x:c r="A3783" s="2" t="str">
        <x:v>TEN-795C2469C0AB</x:v>
      </x:c>
      <x:c r="B3783" s="12" t="str">
        <x:v>Inverness India</x:v>
      </x:c>
      <x:c r="C3783" s="12" t="str">
        <x:v>CORP-0594</x:v>
      </x:c>
      <x:c r="D3783" s="12" t="str">
        <x:v>Mumbai</x:v>
      </x:c>
      <x:c r="E3783" s="12" t="str">
        <x:v>The Capital</x:v>
      </x:c>
      <x:c r="F3783" s="12" t="str">
        <x:v>55 inch</x:v>
      </x:c>
      <x:c r="G3783" s="20" t="n">
        <x:v>1</x:v>
      </x:c>
      <x:c r="H3783" s="12" t="str">
        <x:v>Campus/portfolio roster; individual building occupancy unverified</x:v>
      </x:c>
      <x:c r="I3783" s="12" t="str">
        <x:v>Mixed business audience</x:v>
      </x:c>
      <x:c r="J3783" s="12" t="str">
        <x:v>Unresolved</x:v>
      </x:c>
      <x:c r="K3783" s="2" t="str">
        <x:v>PARTNER-M175</x:v>
      </x:c>
    </x:row>
    <x:row r="3784" ht="46" customHeight="1">
      <x:c r="A3784" s="2" t="str">
        <x:v>TEN-847162D496C7</x:v>
      </x:c>
      <x:c r="B3784" s="12" t="str">
        <x:v>fastloanservice</x:v>
      </x:c>
      <x:c r="C3784" s="12" t="str">
        <x:v>CORP-0594</x:v>
      </x:c>
      <x:c r="D3784" s="12" t="str">
        <x:v>Mumbai</x:v>
      </x:c>
      <x:c r="E3784" s="12" t="str">
        <x:v>The Capital</x:v>
      </x:c>
      <x:c r="F3784" s="12" t="str">
        <x:v>55 inch</x:v>
      </x:c>
      <x:c r="G3784" s="20" t="n">
        <x:v>1</x:v>
      </x:c>
      <x:c r="H3784" s="12" t="str">
        <x:v>Campus/portfolio roster; individual building occupancy unverified</x:v>
      </x:c>
      <x:c r="I3784" s="12" t="str">
        <x:v>Mixed business audience</x:v>
      </x:c>
      <x:c r="J3784" s="12" t="str">
        <x:v>Unresolved</x:v>
      </x:c>
      <x:c r="K3784" s="2" t="str">
        <x:v>PARTNER-M175</x:v>
      </x:c>
    </x:row>
    <x:row r="3785" ht="46" customHeight="1">
      <x:c r="A3785" s="2" t="str">
        <x:v>TEN-9F3A4329D832</x:v>
      </x:c>
      <x:c r="B3785" s="12" t="str">
        <x:v>SUBWAY</x:v>
      </x:c>
      <x:c r="C3785" s="12" t="str">
        <x:v>CORP-0594</x:v>
      </x:c>
      <x:c r="D3785" s="12" t="str">
        <x:v>Mumbai</x:v>
      </x:c>
      <x:c r="E3785" s="12" t="str">
        <x:v>The Capital</x:v>
      </x:c>
      <x:c r="F3785" s="12" t="str">
        <x:v>55 inch</x:v>
      </x:c>
      <x:c r="G3785" s="20" t="n">
        <x:v>1</x:v>
      </x:c>
      <x:c r="H3785" s="12" t="str">
        <x:v>Campus/portfolio roster; individual building occupancy unverified</x:v>
      </x:c>
      <x:c r="I3785" s="12" t="str">
        <x:v>Mixed business audience</x:v>
      </x:c>
      <x:c r="J3785" s="12" t="str">
        <x:v>Trade, consumer &amp; logistics</x:v>
      </x:c>
      <x:c r="K3785" s="2" t="str">
        <x:v>PARTNER-M175</x:v>
      </x:c>
    </x:row>
    <x:row r="3786" ht="46" customHeight="1">
      <x:c r="A3786" s="2" t="str">
        <x:v>TEN-A09B30E3D0A6</x:v>
      </x:c>
      <x:c r="B3786" s="12" t="str">
        <x:v>Visa Inc</x:v>
      </x:c>
      <x:c r="C3786" s="12" t="str">
        <x:v>CORP-0594</x:v>
      </x:c>
      <x:c r="D3786" s="12" t="str">
        <x:v>Mumbai</x:v>
      </x:c>
      <x:c r="E3786" s="12" t="str">
        <x:v>The Capital</x:v>
      </x:c>
      <x:c r="F3786" s="12" t="str">
        <x:v>55 inch</x:v>
      </x:c>
      <x:c r="G3786" s="20" t="n">
        <x:v>1</x:v>
      </x:c>
      <x:c r="H3786" s="12" t="str">
        <x:v>Campus/portfolio roster; individual building occupancy unverified</x:v>
      </x:c>
      <x:c r="I3786" s="12" t="str">
        <x:v>Large enterprise</x:v>
      </x:c>
      <x:c r="J3786" s="12" t="str">
        <x:v>Finance &amp; insurance</x:v>
      </x:c>
      <x:c r="K3786" s="2" t="str">
        <x:v>PARTNER-M175</x:v>
      </x:c>
    </x:row>
    <x:row r="3787" ht="46" customHeight="1">
      <x:c r="A3787" s="2" t="str">
        <x:v>TEN-AD5DF8A9641C</x:v>
      </x:c>
      <x:c r="B3787" s="12" t="str">
        <x:v>AMN Life Science Pvt. Ltd</x:v>
      </x:c>
      <x:c r="C3787" s="12" t="str">
        <x:v>CORP-0594</x:v>
      </x:c>
      <x:c r="D3787" s="12" t="str">
        <x:v>Mumbai</x:v>
      </x:c>
      <x:c r="E3787" s="12" t="str">
        <x:v>The Capital</x:v>
      </x:c>
      <x:c r="F3787" s="12" t="str">
        <x:v>55 inch</x:v>
      </x:c>
      <x:c r="G3787" s="20" t="n">
        <x:v>1</x:v>
      </x:c>
      <x:c r="H3787" s="12" t="str">
        <x:v>Campus/portfolio roster; individual building occupancy unverified</x:v>
      </x:c>
      <x:c r="I3787" s="12" t="str">
        <x:v>Medium-scale prospects</x:v>
      </x:c>
      <x:c r="J3787" s="12" t="str">
        <x:v>Healthcare &amp; life sciences</x:v>
      </x:c>
      <x:c r="K3787" s="2" t="str">
        <x:v>PARTNER-M175</x:v>
      </x:c>
    </x:row>
    <x:row r="3788" ht="46" customHeight="1">
      <x:c r="A3788" s="2" t="str">
        <x:v>TEN-AE69DE673F61</x:v>
      </x:c>
      <x:c r="B3788" s="12" t="str">
        <x:v>Hiraco</x:v>
      </x:c>
      <x:c r="C3788" s="12" t="str">
        <x:v>CORP-0594</x:v>
      </x:c>
      <x:c r="D3788" s="12" t="str">
        <x:v>Mumbai</x:v>
      </x:c>
      <x:c r="E3788" s="12" t="str">
        <x:v>The Capital</x:v>
      </x:c>
      <x:c r="F3788" s="12" t="str">
        <x:v>55 inch</x:v>
      </x:c>
      <x:c r="G3788" s="20" t="n">
        <x:v>1</x:v>
      </x:c>
      <x:c r="H3788" s="12" t="str">
        <x:v>Campus/portfolio roster; individual building occupancy unverified</x:v>
      </x:c>
      <x:c r="I3788" s="12" t="str">
        <x:v>Mixed business audience</x:v>
      </x:c>
      <x:c r="J3788" s="12" t="str">
        <x:v>Unresolved</x:v>
      </x:c>
      <x:c r="K3788" s="2" t="str">
        <x:v>PARTNER-M175</x:v>
      </x:c>
    </x:row>
    <x:row r="3789" ht="46" customHeight="1">
      <x:c r="A3789" s="2" t="str">
        <x:v>TEN-C8827568878B</x:v>
      </x:c>
      <x:c r="B3789" s="12" t="str">
        <x:v>Bank Of Baroda</x:v>
      </x:c>
      <x:c r="C3789" s="12" t="str">
        <x:v>CORP-0594</x:v>
      </x:c>
      <x:c r="D3789" s="12" t="str">
        <x:v>Mumbai</x:v>
      </x:c>
      <x:c r="E3789" s="12" t="str">
        <x:v>The Capital</x:v>
      </x:c>
      <x:c r="F3789" s="12" t="str">
        <x:v>55 inch</x:v>
      </x:c>
      <x:c r="G3789" s="20" t="n">
        <x:v>1</x:v>
      </x:c>
      <x:c r="H3789" s="12" t="str">
        <x:v>Campus/portfolio roster; individual building occupancy unverified</x:v>
      </x:c>
      <x:c r="I3789" s="12" t="str">
        <x:v>Large enterprise</x:v>
      </x:c>
      <x:c r="J3789" s="12" t="str">
        <x:v>Finance &amp; insurance</x:v>
      </x:c>
      <x:c r="K3789" s="2" t="str">
        <x:v>PARTNER-M175</x:v>
      </x:c>
    </x:row>
    <x:row r="3790" ht="46" customHeight="1">
      <x:c r="A3790" s="2" t="str">
        <x:v>TEN-CBFFDC2663B6</x:v>
      </x:c>
      <x:c r="B3790" s="12" t="str">
        <x:v>HK Capital</x:v>
      </x:c>
      <x:c r="C3790" s="12" t="str">
        <x:v>CORP-0594</x:v>
      </x:c>
      <x:c r="D3790" s="12" t="str">
        <x:v>Mumbai</x:v>
      </x:c>
      <x:c r="E3790" s="12" t="str">
        <x:v>The Capital</x:v>
      </x:c>
      <x:c r="F3790" s="12" t="str">
        <x:v>55 inch</x:v>
      </x:c>
      <x:c r="G3790" s="20" t="n">
        <x:v>1</x:v>
      </x:c>
      <x:c r="H3790" s="12" t="str">
        <x:v>Campus/portfolio roster; individual building occupancy unverified</x:v>
      </x:c>
      <x:c r="I3790" s="12" t="str">
        <x:v>Medium-scale prospects</x:v>
      </x:c>
      <x:c r="J3790" s="12" t="str">
        <x:v>Finance &amp; insurance</x:v>
      </x:c>
      <x:c r="K3790" s="2" t="str">
        <x:v>PARTNER-M175</x:v>
      </x:c>
    </x:row>
    <x:row r="3791" ht="46" customHeight="1">
      <x:c r="A3791" s="2" t="str">
        <x:v>TEN-DF2E8D7953EB</x:v>
      </x:c>
      <x:c r="B3791" s="12" t="str">
        <x:v>Opec</x:v>
      </x:c>
      <x:c r="C3791" s="12" t="str">
        <x:v>CORP-0594</x:v>
      </x:c>
      <x:c r="D3791" s="12" t="str">
        <x:v>Mumbai</x:v>
      </x:c>
      <x:c r="E3791" s="12" t="str">
        <x:v>The Capital</x:v>
      </x:c>
      <x:c r="F3791" s="12" t="str">
        <x:v>55 inch</x:v>
      </x:c>
      <x:c r="G3791" s="20" t="n">
        <x:v>1</x:v>
      </x:c>
      <x:c r="H3791" s="12" t="str">
        <x:v>Campus/portfolio roster; individual building occupancy unverified</x:v>
      </x:c>
      <x:c r="I3791" s="12" t="str">
        <x:v>Mixed business audience</x:v>
      </x:c>
      <x:c r="J3791" s="12" t="str">
        <x:v>Unresolved</x:v>
      </x:c>
      <x:c r="K3791" s="2" t="str">
        <x:v>PARTNER-M175</x:v>
      </x:c>
    </x:row>
    <x:row r="3792" ht="46" customHeight="1">
      <x:c r="A3792" s="2" t="str">
        <x:v>TEN-EEC59CDFE811</x:v>
      </x:c>
      <x:c r="B3792" s="12" t="str">
        <x:v>Metta Capital Advisors LLP</x:v>
      </x:c>
      <x:c r="C3792" s="12" t="str">
        <x:v>CORP-0594</x:v>
      </x:c>
      <x:c r="D3792" s="12" t="str">
        <x:v>Mumbai</x:v>
      </x:c>
      <x:c r="E3792" s="12" t="str">
        <x:v>The Capital</x:v>
      </x:c>
      <x:c r="F3792" s="12" t="str">
        <x:v>55 inch</x:v>
      </x:c>
      <x:c r="G3792" s="20" t="n">
        <x:v>1</x:v>
      </x:c>
      <x:c r="H3792" s="12" t="str">
        <x:v>Campus/portfolio roster; individual building occupancy unverified</x:v>
      </x:c>
      <x:c r="I3792" s="12" t="str">
        <x:v>Small-scale prospects</x:v>
      </x:c>
      <x:c r="J3792" s="12" t="str">
        <x:v>Finance &amp; insurance</x:v>
      </x:c>
      <x:c r="K3792" s="2" t="str">
        <x:v>PARTNER-M175</x:v>
      </x:c>
    </x:row>
    <x:row r="3793" ht="46" customHeight="1">
      <x:c r="A3793" s="2" t="str">
        <x:v>TEN-FC8A936BC45B</x:v>
      </x:c>
      <x:c r="B3793" s="12" t="str">
        <x:v>hoonartek</x:v>
      </x:c>
      <x:c r="C3793" s="12" t="str">
        <x:v>CORP-0594</x:v>
      </x:c>
      <x:c r="D3793" s="12" t="str">
        <x:v>Mumbai</x:v>
      </x:c>
      <x:c r="E3793" s="12" t="str">
        <x:v>The Capital</x:v>
      </x:c>
      <x:c r="F3793" s="12" t="str">
        <x:v>55 inch</x:v>
      </x:c>
      <x:c r="G3793" s="20" t="n">
        <x:v>1</x:v>
      </x:c>
      <x:c r="H3793" s="12" t="str">
        <x:v>Campus/portfolio roster; individual building occupancy unverified</x:v>
      </x:c>
      <x:c r="I3793" s="12" t="str">
        <x:v>Small-scale prospects</x:v>
      </x:c>
      <x:c r="J3793" s="12" t="str">
        <x:v>IT &amp; digital</x:v>
      </x:c>
      <x:c r="K3793" s="2" t="str">
        <x:v>PARTNER-M175</x:v>
      </x:c>
    </x:row>
    <x:row r="3794" ht="46" customHeight="1">
      <x:c r="A3794" s="2" t="str">
        <x:v>TEN-11B177B76116</x:v>
      </x:c>
      <x:c r="B3794" s="12" t="str">
        <x:v>Avaya Global Connect Ltd</x:v>
      </x:c>
      <x:c r="C3794" s="12" t="str">
        <x:v>CORP-0433</x:v>
      </x:c>
      <x:c r="D3794" s="12" t="str">
        <x:v>Bengaluru</x:v>
      </x:c>
      <x:c r="E3794" s="12" t="str">
        <x:v>Prestige Tech Park</x:v>
      </x:c>
      <x:c r="F3794" s="12" t="str">
        <x:v>55 inch</x:v>
      </x:c>
      <x:c r="G3794" s="20" t="n">
        <x:v>1</x:v>
      </x:c>
      <x:c r="H3794" s="12" t="str">
        <x:v>Campus/portfolio roster; individual building occupancy unverified</x:v>
      </x:c>
      <x:c r="I3794" s="12" t="str">
        <x:v>Mixed business audience</x:v>
      </x:c>
      <x:c r="J3794" s="12" t="str">
        <x:v>IT &amp; digital</x:v>
      </x:c>
      <x:c r="K3794" s="2" t="str">
        <x:v>PARTNER-M014</x:v>
      </x:c>
    </x:row>
    <x:row r="3795" ht="46" customHeight="1">
      <x:c r="A3795" s="2" t="str">
        <x:v>TEN-1A32A2EA27AE</x:v>
      </x:c>
      <x:c r="B3795" s="12" t="str">
        <x:v>Aptos India Private Limited</x:v>
      </x:c>
      <x:c r="C3795" s="12" t="str">
        <x:v>CORP-0433</x:v>
      </x:c>
      <x:c r="D3795" s="12" t="str">
        <x:v>Bengaluru</x:v>
      </x:c>
      <x:c r="E3795" s="12" t="str">
        <x:v>Prestige Tech Park</x:v>
      </x:c>
      <x:c r="F3795" s="12" t="str">
        <x:v>55 inch</x:v>
      </x:c>
      <x:c r="G3795" s="20" t="n">
        <x:v>1</x:v>
      </x:c>
      <x:c r="H3795" s="12" t="str">
        <x:v>Campus/portfolio roster; individual building occupancy unverified</x:v>
      </x:c>
      <x:c r="I3795" s="12" t="str">
        <x:v>Mixed business audience</x:v>
      </x:c>
      <x:c r="J3795" s="12" t="str">
        <x:v>IT &amp; digital</x:v>
      </x:c>
      <x:c r="K3795" s="2" t="str">
        <x:v>PARTNER-M014</x:v>
      </x:c>
    </x:row>
    <x:row r="3796" ht="46" customHeight="1">
      <x:c r="A3796" s="2" t="str">
        <x:v>TEN-1B8499B49BB3</x:v>
      </x:c>
      <x:c r="B3796" s="12" t="str">
        <x:v>Delliot</x:v>
      </x:c>
      <x:c r="C3796" s="12" t="str">
        <x:v>CORP-0433</x:v>
      </x:c>
      <x:c r="D3796" s="12" t="str">
        <x:v>Bengaluru</x:v>
      </x:c>
      <x:c r="E3796" s="12" t="str">
        <x:v>Prestige Tech Park</x:v>
      </x:c>
      <x:c r="F3796" s="12" t="str">
        <x:v>55 inch</x:v>
      </x:c>
      <x:c r="G3796" s="20" t="n">
        <x:v>1</x:v>
      </x:c>
      <x:c r="H3796" s="12" t="str">
        <x:v>Campus/portfolio roster; individual building occupancy unverified</x:v>
      </x:c>
      <x:c r="I3796" s="12" t="str">
        <x:v>Mixed business audience</x:v>
      </x:c>
      <x:c r="J3796" s="12" t="str">
        <x:v>Unresolved</x:v>
      </x:c>
      <x:c r="K3796" s="2" t="str">
        <x:v>PARTNER-M014</x:v>
      </x:c>
    </x:row>
    <x:row r="3797" ht="46" customHeight="1">
      <x:c r="A3797" s="2" t="str">
        <x:v>TEN-38773D0009A0</x:v>
      </x:c>
      <x:c r="B3797" s="12" t="str">
        <x:v>Frog Design Studio</x:v>
      </x:c>
      <x:c r="C3797" s="12" t="str">
        <x:v>CORP-0433</x:v>
      </x:c>
      <x:c r="D3797" s="12" t="str">
        <x:v>Bengaluru</x:v>
      </x:c>
      <x:c r="E3797" s="12" t="str">
        <x:v>Prestige Tech Park</x:v>
      </x:c>
      <x:c r="F3797" s="12" t="str">
        <x:v>55 inch</x:v>
      </x:c>
      <x:c r="G3797" s="20" t="n">
        <x:v>1</x:v>
      </x:c>
      <x:c r="H3797" s="12" t="str">
        <x:v>Campus/portfolio roster; individual building occupancy unverified</x:v>
      </x:c>
      <x:c r="I3797" s="12" t="str">
        <x:v>Mixed business audience</x:v>
      </x:c>
      <x:c r="J3797" s="12" t="str">
        <x:v>Professional services</x:v>
      </x:c>
      <x:c r="K3797" s="2" t="str">
        <x:v>PARTNER-M014</x:v>
      </x:c>
    </x:row>
    <x:row r="3798" ht="46" customHeight="1">
      <x:c r="A3798" s="2" t="str">
        <x:v>TEN-49F1F88DBFE4</x:v>
      </x:c>
      <x:c r="B3798" s="12" t="str">
        <x:v>Futures First Info Services</x:v>
      </x:c>
      <x:c r="C3798" s="12" t="str">
        <x:v>CORP-0433</x:v>
      </x:c>
      <x:c r="D3798" s="12" t="str">
        <x:v>Bengaluru</x:v>
      </x:c>
      <x:c r="E3798" s="12" t="str">
        <x:v>Prestige Tech Park</x:v>
      </x:c>
      <x:c r="F3798" s="12" t="str">
        <x:v>55 inch</x:v>
      </x:c>
      <x:c r="G3798" s="20" t="n">
        <x:v>1</x:v>
      </x:c>
      <x:c r="H3798" s="12" t="str">
        <x:v>Campus/portfolio roster; individual building occupancy unverified</x:v>
      </x:c>
      <x:c r="I3798" s="12" t="str">
        <x:v>Mixed business audience</x:v>
      </x:c>
      <x:c r="J3798" s="12" t="str">
        <x:v>IT &amp; digital</x:v>
      </x:c>
      <x:c r="K3798" s="2" t="str">
        <x:v>PARTNER-M014</x:v>
      </x:c>
    </x:row>
    <x:row r="3799" ht="46" customHeight="1">
      <x:c r="A3799" s="2" t="str">
        <x:v>TEN-53296B6A946C</x:v>
      </x:c>
      <x:c r="B3799" s="12" t="str">
        <x:v>Waif's</x:v>
      </x:c>
      <x:c r="C3799" s="12" t="str">
        <x:v>CORP-0433</x:v>
      </x:c>
      <x:c r="D3799" s="12" t="str">
        <x:v>Bengaluru</x:v>
      </x:c>
      <x:c r="E3799" s="12" t="str">
        <x:v>Prestige Tech Park</x:v>
      </x:c>
      <x:c r="F3799" s="12" t="str">
        <x:v>55 inch</x:v>
      </x:c>
      <x:c r="G3799" s="20" t="n">
        <x:v>1</x:v>
      </x:c>
      <x:c r="H3799" s="12" t="str">
        <x:v>Campus/portfolio roster; individual building occupancy unverified</x:v>
      </x:c>
      <x:c r="I3799" s="12" t="str">
        <x:v>Mixed business audience</x:v>
      </x:c>
      <x:c r="J3799" s="12" t="str">
        <x:v>Unresolved</x:v>
      </x:c>
      <x:c r="K3799" s="2" t="str">
        <x:v>PARTNER-M014</x:v>
      </x:c>
    </x:row>
    <x:row r="3800" ht="46" customHeight="1">
      <x:c r="A3800" s="2" t="str">
        <x:v>TEN-72DA9DBF0092</x:v>
      </x:c>
      <x:c r="B3800" s="12" t="str">
        <x:v>Aruba Networks</x:v>
      </x:c>
      <x:c r="C3800" s="12" t="str">
        <x:v>CORP-0433</x:v>
      </x:c>
      <x:c r="D3800" s="12" t="str">
        <x:v>Bengaluru</x:v>
      </x:c>
      <x:c r="E3800" s="12" t="str">
        <x:v>Prestige Tech Park</x:v>
      </x:c>
      <x:c r="F3800" s="12" t="str">
        <x:v>55 inch</x:v>
      </x:c>
      <x:c r="G3800" s="20" t="n">
        <x:v>1</x:v>
      </x:c>
      <x:c r="H3800" s="12" t="str">
        <x:v>Campus/portfolio roster; individual building occupancy unverified</x:v>
      </x:c>
      <x:c r="I3800" s="12" t="str">
        <x:v>Large enterprise</x:v>
      </x:c>
      <x:c r="J3800" s="12" t="str">
        <x:v>IT &amp; digital</x:v>
      </x:c>
      <x:c r="K3800" s="2" t="str">
        <x:v>PARTNER-M014</x:v>
      </x:c>
    </x:row>
    <x:row r="3801" ht="46" customHeight="1">
      <x:c r="A3801" s="2" t="str">
        <x:v>TEN-76DBEE9F2C38</x:v>
      </x:c>
      <x:c r="B3801" s="12" t="str">
        <x:v>Mobile Programming</x:v>
      </x:c>
      <x:c r="C3801" s="12" t="str">
        <x:v>CORP-0433</x:v>
      </x:c>
      <x:c r="D3801" s="12" t="str">
        <x:v>Bengaluru</x:v>
      </x:c>
      <x:c r="E3801" s="12" t="str">
        <x:v>Prestige Tech Park</x:v>
      </x:c>
      <x:c r="F3801" s="12" t="str">
        <x:v>55 inch</x:v>
      </x:c>
      <x:c r="G3801" s="20" t="n">
        <x:v>1</x:v>
      </x:c>
      <x:c r="H3801" s="12" t="str">
        <x:v>Campus/portfolio roster; individual building occupancy unverified</x:v>
      </x:c>
      <x:c r="I3801" s="12" t="str">
        <x:v>Small-scale prospects</x:v>
      </x:c>
      <x:c r="J3801" s="12" t="str">
        <x:v>IT &amp; digital</x:v>
      </x:c>
      <x:c r="K3801" s="2" t="str">
        <x:v>PARTNER-M014</x:v>
      </x:c>
    </x:row>
    <x:row r="3802" ht="46" customHeight="1">
      <x:c r="A3802" s="2" t="str">
        <x:v>TEN-775865062819</x:v>
      </x:c>
      <x:c r="B3802" s="12" t="str">
        <x:v>Nagarro Software Pvt. Ltd</x:v>
      </x:c>
      <x:c r="C3802" s="12" t="str">
        <x:v>CORP-0433</x:v>
      </x:c>
      <x:c r="D3802" s="12" t="str">
        <x:v>Bengaluru</x:v>
      </x:c>
      <x:c r="E3802" s="12" t="str">
        <x:v>Prestige Tech Park</x:v>
      </x:c>
      <x:c r="F3802" s="12" t="str">
        <x:v>55 inch</x:v>
      </x:c>
      <x:c r="G3802" s="20" t="n">
        <x:v>1</x:v>
      </x:c>
      <x:c r="H3802" s="12" t="str">
        <x:v>Campus/portfolio roster; individual building occupancy unverified</x:v>
      </x:c>
      <x:c r="I3802" s="12" t="str">
        <x:v>Large enterprise</x:v>
      </x:c>
      <x:c r="J3802" s="12" t="str">
        <x:v>IT &amp; digital</x:v>
      </x:c>
      <x:c r="K3802" s="2" t="str">
        <x:v>PARTNER-M014</x:v>
      </x:c>
    </x:row>
    <x:row r="3803" ht="46" customHeight="1">
      <x:c r="A3803" s="2" t="str">
        <x:v>TEN-78522B7571D3</x:v>
      </x:c>
      <x:c r="B3803" s="12" t="str">
        <x:v>Grab Greco LLP</x:v>
      </x:c>
      <x:c r="C3803" s="12" t="str">
        <x:v>CORP-0433</x:v>
      </x:c>
      <x:c r="D3803" s="12" t="str">
        <x:v>Bengaluru</x:v>
      </x:c>
      <x:c r="E3803" s="12" t="str">
        <x:v>Prestige Tech Park</x:v>
      </x:c>
      <x:c r="F3803" s="12" t="str">
        <x:v>55 inch</x:v>
      </x:c>
      <x:c r="G3803" s="20" t="n">
        <x:v>1</x:v>
      </x:c>
      <x:c r="H3803" s="12" t="str">
        <x:v>Campus/portfolio roster; individual building occupancy unverified</x:v>
      </x:c>
      <x:c r="I3803" s="12" t="str">
        <x:v>Mixed business audience</x:v>
      </x:c>
      <x:c r="J3803" s="12" t="str">
        <x:v>Unresolved</x:v>
      </x:c>
      <x:c r="K3803" s="2" t="str">
        <x:v>PARTNER-M014</x:v>
      </x:c>
    </x:row>
    <x:row r="3804" ht="46" customHeight="1">
      <x:c r="A3804" s="2" t="str">
        <x:v>TEN-8217BB19EBF1</x:v>
      </x:c>
      <x:c r="B3804" s="12" t="str">
        <x:v>J.P. Morgan</x:v>
      </x:c>
      <x:c r="C3804" s="12" t="str">
        <x:v>CORP-0433</x:v>
      </x:c>
      <x:c r="D3804" s="12" t="str">
        <x:v>Bengaluru</x:v>
      </x:c>
      <x:c r="E3804" s="12" t="str">
        <x:v>Prestige Tech Park</x:v>
      </x:c>
      <x:c r="F3804" s="12" t="str">
        <x:v>55 inch</x:v>
      </x:c>
      <x:c r="G3804" s="20" t="n">
        <x:v>1</x:v>
      </x:c>
      <x:c r="H3804" s="12" t="str">
        <x:v>Campus/portfolio roster; individual building occupancy unverified</x:v>
      </x:c>
      <x:c r="I3804" s="12" t="str">
        <x:v>Large enterprise</x:v>
      </x:c>
      <x:c r="J3804" s="12" t="str">
        <x:v>Finance &amp; insurance</x:v>
      </x:c>
      <x:c r="K3804" s="2" t="str">
        <x:v>PARTNER-M014</x:v>
      </x:c>
    </x:row>
    <x:row r="3805" ht="46" customHeight="1">
      <x:c r="A3805" s="2" t="str">
        <x:v>TEN-9202AF6CE925</x:v>
      </x:c>
      <x:c r="B3805" s="12" t="str">
        <x:v>Oracle</x:v>
      </x:c>
      <x:c r="C3805" s="12" t="str">
        <x:v>CORP-0433</x:v>
      </x:c>
      <x:c r="D3805" s="12" t="str">
        <x:v>Bengaluru</x:v>
      </x:c>
      <x:c r="E3805" s="12" t="str">
        <x:v>Prestige Tech Park</x:v>
      </x:c>
      <x:c r="F3805" s="12" t="str">
        <x:v>55 inch</x:v>
      </x:c>
      <x:c r="G3805" s="20" t="n">
        <x:v>1</x:v>
      </x:c>
      <x:c r="H3805" s="12" t="str">
        <x:v>Campus/portfolio roster; individual building occupancy unverified</x:v>
      </x:c>
      <x:c r="I3805" s="12" t="str">
        <x:v>Large enterprise</x:v>
      </x:c>
      <x:c r="J3805" s="12" t="str">
        <x:v>IT &amp; digital</x:v>
      </x:c>
      <x:c r="K3805" s="2" t="str">
        <x:v>PARTNER-M014</x:v>
      </x:c>
    </x:row>
    <x:row r="3806" ht="46" customHeight="1">
      <x:c r="A3806" s="2" t="str">
        <x:v>TEN-9B7F5525854D</x:v>
      </x:c>
      <x:c r="B3806" s="12" t="str">
        <x:v>AQUANTIA SEMICONDUCTOR INDIA PVT LTD</x:v>
      </x:c>
      <x:c r="C3806" s="12" t="str">
        <x:v>CORP-0433</x:v>
      </x:c>
      <x:c r="D3806" s="12" t="str">
        <x:v>Bengaluru</x:v>
      </x:c>
      <x:c r="E3806" s="12" t="str">
        <x:v>Prestige Tech Park</x:v>
      </x:c>
      <x:c r="F3806" s="12" t="str">
        <x:v>55 inch</x:v>
      </x:c>
      <x:c r="G3806" s="20" t="n">
        <x:v>1</x:v>
      </x:c>
      <x:c r="H3806" s="12" t="str">
        <x:v>Campus/portfolio roster; individual building occupancy unverified</x:v>
      </x:c>
      <x:c r="I3806" s="12" t="str">
        <x:v>Mixed business audience</x:v>
      </x:c>
      <x:c r="J3806" s="12" t="str">
        <x:v>Engineering &amp; manufacturing</x:v>
      </x:c>
      <x:c r="K3806" s="2" t="str">
        <x:v>PARTNER-M014</x:v>
      </x:c>
    </x:row>
    <x:row r="3807" ht="46" customHeight="1">
      <x:c r="A3807" s="2" t="str">
        <x:v>TEN-B909749F4464</x:v>
      </x:c>
      <x:c r="B3807" s="12" t="str">
        <x:v>Conga (Apttus) Software Pvt. Ltd</x:v>
      </x:c>
      <x:c r="C3807" s="12" t="str">
        <x:v>CORP-0433</x:v>
      </x:c>
      <x:c r="D3807" s="12" t="str">
        <x:v>Bengaluru</x:v>
      </x:c>
      <x:c r="E3807" s="12" t="str">
        <x:v>Prestige Tech Park</x:v>
      </x:c>
      <x:c r="F3807" s="12" t="str">
        <x:v>55 inch</x:v>
      </x:c>
      <x:c r="G3807" s="20" t="n">
        <x:v>1</x:v>
      </x:c>
      <x:c r="H3807" s="12" t="str">
        <x:v>Campus/portfolio roster; individual building occupancy unverified</x:v>
      </x:c>
      <x:c r="I3807" s="12" t="str">
        <x:v>Mixed business audience</x:v>
      </x:c>
      <x:c r="J3807" s="12" t="str">
        <x:v>IT &amp; digital</x:v>
      </x:c>
      <x:c r="K3807" s="2" t="str">
        <x:v>PARTNER-M014</x:v>
      </x:c>
    </x:row>
    <x:row r="3808" ht="46" customHeight="1">
      <x:c r="A3808" s="2" t="str">
        <x:v>TEN-BC3067AC45DF</x:v>
      </x:c>
      <x:c r="B3808" s="12" t="str">
        <x:v>Schneider Electric</x:v>
      </x:c>
      <x:c r="C3808" s="12" t="str">
        <x:v>CORP-0433</x:v>
      </x:c>
      <x:c r="D3808" s="12" t="str">
        <x:v>Bengaluru</x:v>
      </x:c>
      <x:c r="E3808" s="12" t="str">
        <x:v>Prestige Tech Park</x:v>
      </x:c>
      <x:c r="F3808" s="12" t="str">
        <x:v>55 inch</x:v>
      </x:c>
      <x:c r="G3808" s="20" t="n">
        <x:v>1</x:v>
      </x:c>
      <x:c r="H3808" s="12" t="str">
        <x:v>Campus/portfolio roster; individual building occupancy unverified</x:v>
      </x:c>
      <x:c r="I3808" s="12" t="str">
        <x:v>Large enterprise</x:v>
      </x:c>
      <x:c r="J3808" s="12" t="str">
        <x:v>Engineering &amp; manufacturing</x:v>
      </x:c>
      <x:c r="K3808" s="2" t="str">
        <x:v>PARTNER-M014</x:v>
      </x:c>
    </x:row>
    <x:row r="3809" ht="46" customHeight="1">
      <x:c r="A3809" s="2" t="str">
        <x:v>TEN-C34DF63CE5F2</x:v>
      </x:c>
      <x:c r="B3809" s="12" t="str">
        <x:v>BlueJeans Networks Pvt Ltd</x:v>
      </x:c>
      <x:c r="C3809" s="12" t="str">
        <x:v>CORP-0433</x:v>
      </x:c>
      <x:c r="D3809" s="12" t="str">
        <x:v>Bengaluru</x:v>
      </x:c>
      <x:c r="E3809" s="12" t="str">
        <x:v>Prestige Tech Park</x:v>
      </x:c>
      <x:c r="F3809" s="12" t="str">
        <x:v>55 inch</x:v>
      </x:c>
      <x:c r="G3809" s="20" t="n">
        <x:v>1</x:v>
      </x:c>
      <x:c r="H3809" s="12" t="str">
        <x:v>Campus/portfolio roster; individual building occupancy unverified</x:v>
      </x:c>
      <x:c r="I3809" s="12" t="str">
        <x:v>Mixed business audience</x:v>
      </x:c>
      <x:c r="J3809" s="12" t="str">
        <x:v>IT &amp; digital</x:v>
      </x:c>
      <x:c r="K3809" s="2" t="str">
        <x:v>PARTNER-M014</x:v>
      </x:c>
    </x:row>
    <x:row r="3810" ht="46" customHeight="1">
      <x:c r="A3810" s="2" t="str">
        <x:v>TEN-C47675D3BD0C</x:v>
      </x:c>
      <x:c r="B3810" s="12" t="str">
        <x:v>Money View</x:v>
      </x:c>
      <x:c r="C3810" s="12" t="str">
        <x:v>CORP-0433</x:v>
      </x:c>
      <x:c r="D3810" s="12" t="str">
        <x:v>Bengaluru</x:v>
      </x:c>
      <x:c r="E3810" s="12" t="str">
        <x:v>Prestige Tech Park</x:v>
      </x:c>
      <x:c r="F3810" s="12" t="str">
        <x:v>55 inch</x:v>
      </x:c>
      <x:c r="G3810" s="20" t="n">
        <x:v>1</x:v>
      </x:c>
      <x:c r="H3810" s="12" t="str">
        <x:v>Campus/portfolio roster; individual building occupancy unverified</x:v>
      </x:c>
      <x:c r="I3810" s="12" t="str">
        <x:v>Medium-scale prospects</x:v>
      </x:c>
      <x:c r="J3810" s="12" t="str">
        <x:v>Finance &amp; insurance</x:v>
      </x:c>
      <x:c r="K3810" s="2" t="str">
        <x:v>PARTNER-M014</x:v>
      </x:c>
    </x:row>
    <x:row r="3811" ht="46" customHeight="1">
      <x:c r="A3811" s="2" t="str">
        <x:v>TEN-D886B2C883A6</x:v>
      </x:c>
      <x:c r="B3811" s="12" t="str">
        <x:v>Citi Bank</x:v>
      </x:c>
      <x:c r="C3811" s="12" t="str">
        <x:v>CORP-0433</x:v>
      </x:c>
      <x:c r="D3811" s="12" t="str">
        <x:v>Bengaluru</x:v>
      </x:c>
      <x:c r="E3811" s="12" t="str">
        <x:v>Prestige Tech Park</x:v>
      </x:c>
      <x:c r="F3811" s="12" t="str">
        <x:v>55 inch</x:v>
      </x:c>
      <x:c r="G3811" s="20" t="n">
        <x:v>1</x:v>
      </x:c>
      <x:c r="H3811" s="12" t="str">
        <x:v>Campus/portfolio roster; individual building occupancy unverified</x:v>
      </x:c>
      <x:c r="I3811" s="12" t="str">
        <x:v>Large enterprise</x:v>
      </x:c>
      <x:c r="J3811" s="12" t="str">
        <x:v>Finance &amp; insurance</x:v>
      </x:c>
      <x:c r="K3811" s="2" t="str">
        <x:v>PARTNER-M014</x:v>
      </x:c>
    </x:row>
    <x:row r="3812" ht="46" customHeight="1">
      <x:c r="A3812" s="2" t="str">
        <x:v>TEN-D9364FD0A5DE</x:v>
      </x:c>
      <x:c r="B3812" s="12" t="str">
        <x:v>Walmart Labs</x:v>
      </x:c>
      <x:c r="C3812" s="12" t="str">
        <x:v>CORP-0433</x:v>
      </x:c>
      <x:c r="D3812" s="12" t="str">
        <x:v>Bengaluru</x:v>
      </x:c>
      <x:c r="E3812" s="12" t="str">
        <x:v>Prestige Tech Park</x:v>
      </x:c>
      <x:c r="F3812" s="12" t="str">
        <x:v>55 inch</x:v>
      </x:c>
      <x:c r="G3812" s="20" t="n">
        <x:v>1</x:v>
      </x:c>
      <x:c r="H3812" s="12" t="str">
        <x:v>Campus/portfolio roster; individual building occupancy unverified</x:v>
      </x:c>
      <x:c r="I3812" s="12" t="str">
        <x:v>Large enterprise</x:v>
      </x:c>
      <x:c r="J3812" s="12" t="str">
        <x:v>Trade, consumer &amp; logistics</x:v>
      </x:c>
      <x:c r="K3812" s="2" t="str">
        <x:v>PARTNER-M014</x:v>
      </x:c>
    </x:row>
    <x:row r="3813" ht="46" customHeight="1">
      <x:c r="A3813" s="2" t="str">
        <x:v>TEN-F55A85B2F2EB</x:v>
      </x:c>
      <x:c r="B3813" s="12" t="str">
        <x:v>Capgemini</x:v>
      </x:c>
      <x:c r="C3813" s="12" t="str">
        <x:v>CORP-0433</x:v>
      </x:c>
      <x:c r="D3813" s="12" t="str">
        <x:v>Bengaluru</x:v>
      </x:c>
      <x:c r="E3813" s="12" t="str">
        <x:v>Prestige Tech Park</x:v>
      </x:c>
      <x:c r="F3813" s="12" t="str">
        <x:v>55 inch</x:v>
      </x:c>
      <x:c r="G3813" s="20" t="n">
        <x:v>1</x:v>
      </x:c>
      <x:c r="H3813" s="12" t="str">
        <x:v>Campus/portfolio roster; individual building occupancy unverified</x:v>
      </x:c>
      <x:c r="I3813" s="12" t="str">
        <x:v>Large enterprise</x:v>
      </x:c>
      <x:c r="J3813" s="12" t="str">
        <x:v>IT &amp; digital</x:v>
      </x:c>
      <x:c r="K3813" s="2" t="str">
        <x:v>PARTNER-M014</x:v>
      </x:c>
    </x:row>
    <x:row r="3814" ht="46" customHeight="1">
      <x:c r="A3814" s="2" t="str">
        <x:v>TEN-10C5B5430B91</x:v>
      </x:c>
      <x:c r="B3814" s="12" t="str">
        <x:v>Pioneer Foundation Engineers Pvt. Ltd</x:v>
      </x:c>
      <x:c r="C3814" s="12" t="str">
        <x:v>CORP-0596</x:v>
      </x:c>
      <x:c r="D3814" s="12" t="str">
        <x:v>Mumbai</x:v>
      </x:c>
      <x:c r="E3814" s="12" t="str">
        <x:v>Kanakia Boomerang</x:v>
      </x:c>
      <x:c r="F3814" s="12" t="str">
        <x:v>55 inch</x:v>
      </x:c>
      <x:c r="G3814" s="20" t="n">
        <x:v>1</x:v>
      </x:c>
      <x:c r="H3814" s="12" t="str">
        <x:v>Campus/portfolio roster; individual building occupancy unverified</x:v>
      </x:c>
      <x:c r="I3814" s="12" t="str">
        <x:v>Medium-scale prospects</x:v>
      </x:c>
      <x:c r="J3814" s="12" t="str">
        <x:v>Engineering &amp; manufacturing</x:v>
      </x:c>
      <x:c r="K3814" s="2" t="str">
        <x:v>PARTNER-M179</x:v>
      </x:c>
    </x:row>
    <x:row r="3815" ht="46" customHeight="1">
      <x:c r="A3815" s="2" t="str">
        <x:v>TEN-12562C5D297E</x:v>
      </x:c>
      <x:c r="B3815" s="12" t="str">
        <x:v>Nord-Lock India Private Limited</x:v>
      </x:c>
      <x:c r="C3815" s="12" t="str">
        <x:v>CORP-0596</x:v>
      </x:c>
      <x:c r="D3815" s="12" t="str">
        <x:v>Mumbai</x:v>
      </x:c>
      <x:c r="E3815" s="12" t="str">
        <x:v>Kanakia Boomerang</x:v>
      </x:c>
      <x:c r="F3815" s="12" t="str">
        <x:v>55 inch</x:v>
      </x:c>
      <x:c r="G3815" s="20" t="n">
        <x:v>1</x:v>
      </x:c>
      <x:c r="H3815" s="12" t="str">
        <x:v>Campus/portfolio roster; individual building occupancy unverified</x:v>
      </x:c>
      <x:c r="I3815" s="12" t="str">
        <x:v>Mixed business audience</x:v>
      </x:c>
      <x:c r="J3815" s="12" t="str">
        <x:v>Engineering &amp; manufacturing</x:v>
      </x:c>
      <x:c r="K3815" s="2" t="str">
        <x:v>PARTNER-M179</x:v>
      </x:c>
    </x:row>
    <x:row r="3816" ht="46" customHeight="1">
      <x:c r="A3816" s="2" t="str">
        <x:v>TEN-1F792F557E35</x:v>
      </x:c>
      <x:c r="B3816" s="12" t="str">
        <x:v>IGP.com</x:v>
      </x:c>
      <x:c r="C3816" s="12" t="str">
        <x:v>CORP-0596</x:v>
      </x:c>
      <x:c r="D3816" s="12" t="str">
        <x:v>Mumbai</x:v>
      </x:c>
      <x:c r="E3816" s="12" t="str">
        <x:v>Kanakia Boomerang</x:v>
      </x:c>
      <x:c r="F3816" s="12" t="str">
        <x:v>55 inch</x:v>
      </x:c>
      <x:c r="G3816" s="20" t="n">
        <x:v>1</x:v>
      </x:c>
      <x:c r="H3816" s="12" t="str">
        <x:v>Campus/portfolio roster; individual building occupancy unverified</x:v>
      </x:c>
      <x:c r="I3816" s="12" t="str">
        <x:v>Mixed business audience</x:v>
      </x:c>
      <x:c r="J3816" s="12" t="str">
        <x:v>Trade, consumer &amp; logistics</x:v>
      </x:c>
      <x:c r="K3816" s="2" t="str">
        <x:v>PARTNER-M179</x:v>
      </x:c>
    </x:row>
    <x:row r="3817" ht="46" customHeight="1">
      <x:c r="A3817" s="2" t="str">
        <x:v>TEN-204F804BC276</x:v>
      </x:c>
      <x:c r="B3817" s="12" t="str">
        <x:v>Clear Point Instrumentation Pvt. Ltd</x:v>
      </x:c>
      <x:c r="C3817" s="12" t="str">
        <x:v>CORP-0596</x:v>
      </x:c>
      <x:c r="D3817" s="12" t="str">
        <x:v>Mumbai</x:v>
      </x:c>
      <x:c r="E3817" s="12" t="str">
        <x:v>Kanakia Boomerang</x:v>
      </x:c>
      <x:c r="F3817" s="12" t="str">
        <x:v>55 inch</x:v>
      </x:c>
      <x:c r="G3817" s="20" t="n">
        <x:v>1</x:v>
      </x:c>
      <x:c r="H3817" s="12" t="str">
        <x:v>Campus/portfolio roster; individual building occupancy unverified</x:v>
      </x:c>
      <x:c r="I3817" s="12" t="str">
        <x:v>Medium-scale prospects</x:v>
      </x:c>
      <x:c r="J3817" s="12" t="str">
        <x:v>Engineering &amp; manufacturing</x:v>
      </x:c>
      <x:c r="K3817" s="2" t="str">
        <x:v>PARTNER-M179</x:v>
      </x:c>
    </x:row>
    <x:row r="3818" ht="46" customHeight="1">
      <x:c r="A3818" s="2" t="str">
        <x:v>TEN-272D2169C38E</x:v>
      </x:c>
      <x:c r="B3818" s="12" t="str">
        <x:v>Hi5 Youth Foundation</x:v>
      </x:c>
      <x:c r="C3818" s="12" t="str">
        <x:v>CORP-0596</x:v>
      </x:c>
      <x:c r="D3818" s="12" t="str">
        <x:v>Mumbai</x:v>
      </x:c>
      <x:c r="E3818" s="12" t="str">
        <x:v>Kanakia Boomerang</x:v>
      </x:c>
      <x:c r="F3818" s="12" t="str">
        <x:v>55 inch</x:v>
      </x:c>
      <x:c r="G3818" s="20" t="n">
        <x:v>1</x:v>
      </x:c>
      <x:c r="H3818" s="12" t="str">
        <x:v>Campus/portfolio roster; individual building occupancy unverified</x:v>
      </x:c>
      <x:c r="I3818" s="12" t="str">
        <x:v>Institutional</x:v>
      </x:c>
      <x:c r="J3818" s="12" t="str">
        <x:v>Government &amp; nonprofit</x:v>
      </x:c>
      <x:c r="K3818" s="2" t="str">
        <x:v>PARTNER-M179</x:v>
      </x:c>
    </x:row>
    <x:row r="3819" ht="46" customHeight="1">
      <x:c r="A3819" s="2" t="str">
        <x:v>TEN-2BE4993D4FEC</x:v>
      </x:c>
      <x:c r="B3819" s="12" t="str">
        <x:v>Mep</x:v>
      </x:c>
      <x:c r="C3819" s="12" t="str">
        <x:v>CORP-0596</x:v>
      </x:c>
      <x:c r="D3819" s="12" t="str">
        <x:v>Mumbai</x:v>
      </x:c>
      <x:c r="E3819" s="12" t="str">
        <x:v>Kanakia Boomerang</x:v>
      </x:c>
      <x:c r="F3819" s="12" t="str">
        <x:v>55 inch</x:v>
      </x:c>
      <x:c r="G3819" s="20" t="n">
        <x:v>1</x:v>
      </x:c>
      <x:c r="H3819" s="12" t="str">
        <x:v>Campus/portfolio roster; individual building occupancy unverified</x:v>
      </x:c>
      <x:c r="I3819" s="12" t="str">
        <x:v>Mixed business audience</x:v>
      </x:c>
      <x:c r="J3819" s="12" t="str">
        <x:v>Unresolved</x:v>
      </x:c>
      <x:c r="K3819" s="2" t="str">
        <x:v>PARTNER-M179</x:v>
      </x:c>
    </x:row>
    <x:row r="3820" ht="46" customHeight="1">
      <x:c r="A3820" s="2" t="str">
        <x:v>TEN-5045ABCEFDBB</x:v>
      </x:c>
      <x:c r="B3820" s="12" t="str">
        <x:v>Roxul Rockwool</x:v>
      </x:c>
      <x:c r="C3820" s="12" t="str">
        <x:v>CORP-0596</x:v>
      </x:c>
      <x:c r="D3820" s="12" t="str">
        <x:v>Mumbai</x:v>
      </x:c>
      <x:c r="E3820" s="12" t="str">
        <x:v>Kanakia Boomerang</x:v>
      </x:c>
      <x:c r="F3820" s="12" t="str">
        <x:v>55 inch</x:v>
      </x:c>
      <x:c r="G3820" s="20" t="n">
        <x:v>1</x:v>
      </x:c>
      <x:c r="H3820" s="12" t="str">
        <x:v>Campus/portfolio roster; individual building occupancy unverified</x:v>
      </x:c>
      <x:c r="I3820" s="12" t="str">
        <x:v>Mixed business audience</x:v>
      </x:c>
      <x:c r="J3820" s="12" t="str">
        <x:v>Engineering &amp; manufacturing</x:v>
      </x:c>
      <x:c r="K3820" s="2" t="str">
        <x:v>PARTNER-M179</x:v>
      </x:c>
    </x:row>
    <x:row r="3821" ht="46" customHeight="1">
      <x:c r="A3821" s="2" t="str">
        <x:v>TEN-5CF27221D70B</x:v>
      </x:c>
      <x:c r="B3821" s="12" t="str">
        <x:v>Transven Lifestyle Pvt. Ltd</x:v>
      </x:c>
      <x:c r="C3821" s="12" t="str">
        <x:v>CORP-0596</x:v>
      </x:c>
      <x:c r="D3821" s="12" t="str">
        <x:v>Mumbai</x:v>
      </x:c>
      <x:c r="E3821" s="12" t="str">
        <x:v>Kanakia Boomerang</x:v>
      </x:c>
      <x:c r="F3821" s="12" t="str">
        <x:v>55 inch</x:v>
      </x:c>
      <x:c r="G3821" s="20" t="n">
        <x:v>1</x:v>
      </x:c>
      <x:c r="H3821" s="12" t="str">
        <x:v>Campus/portfolio roster; individual building occupancy unverified</x:v>
      </x:c>
      <x:c r="I3821" s="12" t="str">
        <x:v>Small-scale prospects</x:v>
      </x:c>
      <x:c r="J3821" s="12" t="str">
        <x:v>Trade, consumer &amp; logistics</x:v>
      </x:c>
      <x:c r="K3821" s="2" t="str">
        <x:v>PARTNER-M179</x:v>
      </x:c>
    </x:row>
    <x:row r="3822" ht="46" customHeight="1">
      <x:c r="A3822" s="2" t="str">
        <x:v>TEN-61512E0643A9</x:v>
      </x:c>
      <x:c r="B3822" s="12" t="str">
        <x:v>Sitel India</x:v>
      </x:c>
      <x:c r="C3822" s="12" t="str">
        <x:v>CORP-0596</x:v>
      </x:c>
      <x:c r="D3822" s="12" t="str">
        <x:v>Mumbai</x:v>
      </x:c>
      <x:c r="E3822" s="12" t="str">
        <x:v>Kanakia Boomerang</x:v>
      </x:c>
      <x:c r="F3822" s="12" t="str">
        <x:v>55 inch</x:v>
      </x:c>
      <x:c r="G3822" s="20" t="n">
        <x:v>1</x:v>
      </x:c>
      <x:c r="H3822" s="12" t="str">
        <x:v>Campus/portfolio roster; individual building occupancy unverified</x:v>
      </x:c>
      <x:c r="I3822" s="12" t="str">
        <x:v>Mixed business audience</x:v>
      </x:c>
      <x:c r="J3822" s="12" t="str">
        <x:v>IT &amp; digital</x:v>
      </x:c>
      <x:c r="K3822" s="2" t="str">
        <x:v>PARTNER-M179</x:v>
      </x:c>
    </x:row>
    <x:row r="3823" ht="46" customHeight="1">
      <x:c r="A3823" s="2" t="str">
        <x:v>TEN-621D5603203C</x:v>
      </x:c>
      <x:c r="B3823" s="12" t="str">
        <x:v>Heurtey Petrochem India Private Limited</x:v>
      </x:c>
      <x:c r="C3823" s="12" t="str">
        <x:v>CORP-0596</x:v>
      </x:c>
      <x:c r="D3823" s="12" t="str">
        <x:v>Mumbai</x:v>
      </x:c>
      <x:c r="E3823" s="12" t="str">
        <x:v>Kanakia Boomerang</x:v>
      </x:c>
      <x:c r="F3823" s="12" t="str">
        <x:v>55 inch</x:v>
      </x:c>
      <x:c r="G3823" s="20" t="n">
        <x:v>1</x:v>
      </x:c>
      <x:c r="H3823" s="12" t="str">
        <x:v>Campus/portfolio roster; individual building occupancy unverified</x:v>
      </x:c>
      <x:c r="I3823" s="12" t="str">
        <x:v>Mixed business audience</x:v>
      </x:c>
      <x:c r="J3823" s="12" t="str">
        <x:v>Engineering &amp; manufacturing</x:v>
      </x:c>
      <x:c r="K3823" s="2" t="str">
        <x:v>PARTNER-M179</x:v>
      </x:c>
    </x:row>
    <x:row r="3824" ht="46" customHeight="1">
      <x:c r="A3824" s="2" t="str">
        <x:v>TEN-6F8D802453D7</x:v>
      </x:c>
      <x:c r="B3824" s="12" t="str">
        <x:v>Synergy Group</x:v>
      </x:c>
      <x:c r="C3824" s="12" t="str">
        <x:v>CORP-0596</x:v>
      </x:c>
      <x:c r="D3824" s="12" t="str">
        <x:v>Mumbai</x:v>
      </x:c>
      <x:c r="E3824" s="12" t="str">
        <x:v>Kanakia Boomerang</x:v>
      </x:c>
      <x:c r="F3824" s="12" t="str">
        <x:v>55 inch</x:v>
      </x:c>
      <x:c r="G3824" s="20" t="n">
        <x:v>1</x:v>
      </x:c>
      <x:c r="H3824" s="12" t="str">
        <x:v>Campus/portfolio roster; individual building occupancy unverified</x:v>
      </x:c>
      <x:c r="I3824" s="12" t="str">
        <x:v>Mixed business audience</x:v>
      </x:c>
      <x:c r="J3824" s="12" t="str">
        <x:v>Unresolved</x:v>
      </x:c>
      <x:c r="K3824" s="2" t="str">
        <x:v>PARTNER-M179</x:v>
      </x:c>
    </x:row>
    <x:row r="3825" ht="46" customHeight="1">
      <x:c r="A3825" s="2" t="str">
        <x:v>TEN-7DBA31647FAA</x:v>
      </x:c>
      <x:c r="B3825" s="12" t="str">
        <x:v>VRIPL Retail Private Limited</x:v>
      </x:c>
      <x:c r="C3825" s="12" t="str">
        <x:v>CORP-0596</x:v>
      </x:c>
      <x:c r="D3825" s="12" t="str">
        <x:v>Mumbai</x:v>
      </x:c>
      <x:c r="E3825" s="12" t="str">
        <x:v>Kanakia Boomerang</x:v>
      </x:c>
      <x:c r="F3825" s="12" t="str">
        <x:v>55 inch</x:v>
      </x:c>
      <x:c r="G3825" s="20" t="n">
        <x:v>1</x:v>
      </x:c>
      <x:c r="H3825" s="12" t="str">
        <x:v>Campus/portfolio roster; individual building occupancy unverified</x:v>
      </x:c>
      <x:c r="I3825" s="12" t="str">
        <x:v>Small-scale prospects</x:v>
      </x:c>
      <x:c r="J3825" s="12" t="str">
        <x:v>Trade, consumer &amp; logistics</x:v>
      </x:c>
      <x:c r="K3825" s="2" t="str">
        <x:v>PARTNER-M179</x:v>
      </x:c>
    </x:row>
    <x:row r="3826" ht="46" customHeight="1">
      <x:c r="A3826" s="2" t="str">
        <x:v>TEN-DB041B39B6B0</x:v>
      </x:c>
      <x:c r="B3826" s="12" t="str">
        <x:v>CIMS</x:v>
      </x:c>
      <x:c r="C3826" s="12" t="str">
        <x:v>CORP-0596</x:v>
      </x:c>
      <x:c r="D3826" s="12" t="str">
        <x:v>Mumbai</x:v>
      </x:c>
      <x:c r="E3826" s="12" t="str">
        <x:v>Kanakia Boomerang</x:v>
      </x:c>
      <x:c r="F3826" s="12" t="str">
        <x:v>55 inch</x:v>
      </x:c>
      <x:c r="G3826" s="20" t="n">
        <x:v>1</x:v>
      </x:c>
      <x:c r="H3826" s="12" t="str">
        <x:v>Campus/portfolio roster; individual building occupancy unverified</x:v>
      </x:c>
      <x:c r="I3826" s="12" t="str">
        <x:v>Mixed business audience</x:v>
      </x:c>
      <x:c r="J3826" s="12" t="str">
        <x:v>Unresolved</x:v>
      </x:c>
      <x:c r="K3826" s="2" t="str">
        <x:v>PARTNER-M179</x:v>
      </x:c>
    </x:row>
    <x:row r="3827" ht="46" customHeight="1">
      <x:c r="A3827" s="2" t="str">
        <x:v>TEN-EA2E8D5F5E0F</x:v>
      </x:c>
      <x:c r="B3827" s="12" t="str">
        <x:v>Unitherm Engineers Limited</x:v>
      </x:c>
      <x:c r="C3827" s="12" t="str">
        <x:v>CORP-0596</x:v>
      </x:c>
      <x:c r="D3827" s="12" t="str">
        <x:v>Mumbai</x:v>
      </x:c>
      <x:c r="E3827" s="12" t="str">
        <x:v>Kanakia Boomerang</x:v>
      </x:c>
      <x:c r="F3827" s="12" t="str">
        <x:v>55 inch</x:v>
      </x:c>
      <x:c r="G3827" s="20" t="n">
        <x:v>1</x:v>
      </x:c>
      <x:c r="H3827" s="12" t="str">
        <x:v>Campus/portfolio roster; individual building occupancy unverified</x:v>
      </x:c>
      <x:c r="I3827" s="12" t="str">
        <x:v>Medium-scale prospects</x:v>
      </x:c>
      <x:c r="J3827" s="12" t="str">
        <x:v>Engineering &amp; manufacturing</x:v>
      </x:c>
      <x:c r="K3827" s="2" t="str">
        <x:v>PARTNER-M179</x:v>
      </x:c>
    </x:row>
    <x:row r="3828" ht="46" customHeight="1">
      <x:c r="A3828" s="2" t="str">
        <x:v>TEN-EC31F8A49FA4</x:v>
      </x:c>
      <x:c r="B3828" s="12" t="str">
        <x:v>Vellvette</x:v>
      </x:c>
      <x:c r="C3828" s="12" t="str">
        <x:v>CORP-0596</x:v>
      </x:c>
      <x:c r="D3828" s="12" t="str">
        <x:v>Mumbai</x:v>
      </x:c>
      <x:c r="E3828" s="12" t="str">
        <x:v>Kanakia Boomerang</x:v>
      </x:c>
      <x:c r="F3828" s="12" t="str">
        <x:v>55 inch</x:v>
      </x:c>
      <x:c r="G3828" s="20" t="n">
        <x:v>1</x:v>
      </x:c>
      <x:c r="H3828" s="12" t="str">
        <x:v>Campus/portfolio roster; individual building occupancy unverified</x:v>
      </x:c>
      <x:c r="I3828" s="12" t="str">
        <x:v>Small-scale prospects</x:v>
      </x:c>
      <x:c r="J3828" s="12" t="str">
        <x:v>Trade, consumer &amp; logistics</x:v>
      </x:c>
      <x:c r="K3828" s="2" t="str">
        <x:v>PARTNER-M179</x:v>
      </x:c>
    </x:row>
    <x:row r="3829" ht="46" customHeight="1">
      <x:c r="A3829" s="2" t="str">
        <x:v>TEN-F8D593D0B92D</x:v>
      </x:c>
      <x:c r="B3829" s="12" t="str">
        <x:v>eClinicalWorks India Private Limited</x:v>
      </x:c>
      <x:c r="C3829" s="12" t="str">
        <x:v>CORP-0596</x:v>
      </x:c>
      <x:c r="D3829" s="12" t="str">
        <x:v>Mumbai</x:v>
      </x:c>
      <x:c r="E3829" s="12" t="str">
        <x:v>Kanakia Boomerang</x:v>
      </x:c>
      <x:c r="F3829" s="12" t="str">
        <x:v>55 inch</x:v>
      </x:c>
      <x:c r="G3829" s="20" t="n">
        <x:v>1</x:v>
      </x:c>
      <x:c r="H3829" s="12" t="str">
        <x:v>Campus/portfolio roster; individual building occupancy unverified</x:v>
      </x:c>
      <x:c r="I3829" s="12" t="str">
        <x:v>Mixed business audience</x:v>
      </x:c>
      <x:c r="J3829" s="12" t="str">
        <x:v>IT &amp; digital</x:v>
      </x:c>
      <x:c r="K3829" s="2" t="str">
        <x:v>PARTNER-M179</x:v>
      </x:c>
    </x:row>
    <x:row r="3830" ht="46" customHeight="1">
      <x:c r="A3830" s="2" t="str">
        <x:v>TEN-10C5B5430B91</x:v>
      </x:c>
      <x:c r="B3830" s="12" t="str">
        <x:v>Pioneer Foundation Engineers Pvt. Ltd</x:v>
      </x:c>
      <x:c r="C3830" s="12" t="str">
        <x:v>CORP-0597</x:v>
      </x:c>
      <x:c r="D3830" s="12" t="str">
        <x:v>Mumbai</x:v>
      </x:c>
      <x:c r="E3830" s="12" t="str">
        <x:v>Kanakia Boomerang</x:v>
      </x:c>
      <x:c r="F3830" s="12" t="str">
        <x:v>55 inch</x:v>
      </x:c>
      <x:c r="G3830" s="20" t="n">
        <x:v>1</x:v>
      </x:c>
      <x:c r="H3830" s="12" t="str">
        <x:v>Campus/portfolio roster; individual building occupancy unverified</x:v>
      </x:c>
      <x:c r="I3830" s="12" t="str">
        <x:v>Medium-scale prospects</x:v>
      </x:c>
      <x:c r="J3830" s="12" t="str">
        <x:v>Engineering &amp; manufacturing</x:v>
      </x:c>
      <x:c r="K3830" s="2" t="str">
        <x:v>PARTNER-M179</x:v>
      </x:c>
    </x:row>
    <x:row r="3831" ht="46" customHeight="1">
      <x:c r="A3831" s="2" t="str">
        <x:v>TEN-12562C5D297E</x:v>
      </x:c>
      <x:c r="B3831" s="12" t="str">
        <x:v>Nord-Lock India Private Limited</x:v>
      </x:c>
      <x:c r="C3831" s="12" t="str">
        <x:v>CORP-0597</x:v>
      </x:c>
      <x:c r="D3831" s="12" t="str">
        <x:v>Mumbai</x:v>
      </x:c>
      <x:c r="E3831" s="12" t="str">
        <x:v>Kanakia Boomerang</x:v>
      </x:c>
      <x:c r="F3831" s="12" t="str">
        <x:v>55 inch</x:v>
      </x:c>
      <x:c r="G3831" s="20" t="n">
        <x:v>1</x:v>
      </x:c>
      <x:c r="H3831" s="12" t="str">
        <x:v>Campus/portfolio roster; individual building occupancy unverified</x:v>
      </x:c>
      <x:c r="I3831" s="12" t="str">
        <x:v>Mixed business audience</x:v>
      </x:c>
      <x:c r="J3831" s="12" t="str">
        <x:v>Engineering &amp; manufacturing</x:v>
      </x:c>
      <x:c r="K3831" s="2" t="str">
        <x:v>PARTNER-M179</x:v>
      </x:c>
    </x:row>
    <x:row r="3832" ht="46" customHeight="1">
      <x:c r="A3832" s="2" t="str">
        <x:v>TEN-1F792F557E35</x:v>
      </x:c>
      <x:c r="B3832" s="12" t="str">
        <x:v>IGP.com</x:v>
      </x:c>
      <x:c r="C3832" s="12" t="str">
        <x:v>CORP-0597</x:v>
      </x:c>
      <x:c r="D3832" s="12" t="str">
        <x:v>Mumbai</x:v>
      </x:c>
      <x:c r="E3832" s="12" t="str">
        <x:v>Kanakia Boomerang</x:v>
      </x:c>
      <x:c r="F3832" s="12" t="str">
        <x:v>55 inch</x:v>
      </x:c>
      <x:c r="G3832" s="20" t="n">
        <x:v>1</x:v>
      </x:c>
      <x:c r="H3832" s="12" t="str">
        <x:v>Campus/portfolio roster; individual building occupancy unverified</x:v>
      </x:c>
      <x:c r="I3832" s="12" t="str">
        <x:v>Mixed business audience</x:v>
      </x:c>
      <x:c r="J3832" s="12" t="str">
        <x:v>Trade, consumer &amp; logistics</x:v>
      </x:c>
      <x:c r="K3832" s="2" t="str">
        <x:v>PARTNER-M179</x:v>
      </x:c>
    </x:row>
    <x:row r="3833" ht="46" customHeight="1">
      <x:c r="A3833" s="2" t="str">
        <x:v>TEN-204F804BC276</x:v>
      </x:c>
      <x:c r="B3833" s="12" t="str">
        <x:v>Clear Point Instrumentation Pvt. Ltd</x:v>
      </x:c>
      <x:c r="C3833" s="12" t="str">
        <x:v>CORP-0597</x:v>
      </x:c>
      <x:c r="D3833" s="12" t="str">
        <x:v>Mumbai</x:v>
      </x:c>
      <x:c r="E3833" s="12" t="str">
        <x:v>Kanakia Boomerang</x:v>
      </x:c>
      <x:c r="F3833" s="12" t="str">
        <x:v>55 inch</x:v>
      </x:c>
      <x:c r="G3833" s="20" t="n">
        <x:v>1</x:v>
      </x:c>
      <x:c r="H3833" s="12" t="str">
        <x:v>Campus/portfolio roster; individual building occupancy unverified</x:v>
      </x:c>
      <x:c r="I3833" s="12" t="str">
        <x:v>Medium-scale prospects</x:v>
      </x:c>
      <x:c r="J3833" s="12" t="str">
        <x:v>Engineering &amp; manufacturing</x:v>
      </x:c>
      <x:c r="K3833" s="2" t="str">
        <x:v>PARTNER-M179</x:v>
      </x:c>
    </x:row>
    <x:row r="3834" ht="46" customHeight="1">
      <x:c r="A3834" s="2" t="str">
        <x:v>TEN-272D2169C38E</x:v>
      </x:c>
      <x:c r="B3834" s="12" t="str">
        <x:v>Hi5 Youth Foundation</x:v>
      </x:c>
      <x:c r="C3834" s="12" t="str">
        <x:v>CORP-0597</x:v>
      </x:c>
      <x:c r="D3834" s="12" t="str">
        <x:v>Mumbai</x:v>
      </x:c>
      <x:c r="E3834" s="12" t="str">
        <x:v>Kanakia Boomerang</x:v>
      </x:c>
      <x:c r="F3834" s="12" t="str">
        <x:v>55 inch</x:v>
      </x:c>
      <x:c r="G3834" s="20" t="n">
        <x:v>1</x:v>
      </x:c>
      <x:c r="H3834" s="12" t="str">
        <x:v>Campus/portfolio roster; individual building occupancy unverified</x:v>
      </x:c>
      <x:c r="I3834" s="12" t="str">
        <x:v>Institutional</x:v>
      </x:c>
      <x:c r="J3834" s="12" t="str">
        <x:v>Government &amp; nonprofit</x:v>
      </x:c>
      <x:c r="K3834" s="2" t="str">
        <x:v>PARTNER-M179</x:v>
      </x:c>
    </x:row>
    <x:row r="3835" ht="46" customHeight="1">
      <x:c r="A3835" s="2" t="str">
        <x:v>TEN-2BE4993D4FEC</x:v>
      </x:c>
      <x:c r="B3835" s="12" t="str">
        <x:v>Mep</x:v>
      </x:c>
      <x:c r="C3835" s="12" t="str">
        <x:v>CORP-0597</x:v>
      </x:c>
      <x:c r="D3835" s="12" t="str">
        <x:v>Mumbai</x:v>
      </x:c>
      <x:c r="E3835" s="12" t="str">
        <x:v>Kanakia Boomerang</x:v>
      </x:c>
      <x:c r="F3835" s="12" t="str">
        <x:v>55 inch</x:v>
      </x:c>
      <x:c r="G3835" s="20" t="n">
        <x:v>1</x:v>
      </x:c>
      <x:c r="H3835" s="12" t="str">
        <x:v>Campus/portfolio roster; individual building occupancy unverified</x:v>
      </x:c>
      <x:c r="I3835" s="12" t="str">
        <x:v>Mixed business audience</x:v>
      </x:c>
      <x:c r="J3835" s="12" t="str">
        <x:v>Unresolved</x:v>
      </x:c>
      <x:c r="K3835" s="2" t="str">
        <x:v>PARTNER-M179</x:v>
      </x:c>
    </x:row>
    <x:row r="3836" ht="46" customHeight="1">
      <x:c r="A3836" s="2" t="str">
        <x:v>TEN-5045ABCEFDBB</x:v>
      </x:c>
      <x:c r="B3836" s="12" t="str">
        <x:v>Roxul Rockwool</x:v>
      </x:c>
      <x:c r="C3836" s="12" t="str">
        <x:v>CORP-0597</x:v>
      </x:c>
      <x:c r="D3836" s="12" t="str">
        <x:v>Mumbai</x:v>
      </x:c>
      <x:c r="E3836" s="12" t="str">
        <x:v>Kanakia Boomerang</x:v>
      </x:c>
      <x:c r="F3836" s="12" t="str">
        <x:v>55 inch</x:v>
      </x:c>
      <x:c r="G3836" s="20" t="n">
        <x:v>1</x:v>
      </x:c>
      <x:c r="H3836" s="12" t="str">
        <x:v>Campus/portfolio roster; individual building occupancy unverified</x:v>
      </x:c>
      <x:c r="I3836" s="12" t="str">
        <x:v>Mixed business audience</x:v>
      </x:c>
      <x:c r="J3836" s="12" t="str">
        <x:v>Engineering &amp; manufacturing</x:v>
      </x:c>
      <x:c r="K3836" s="2" t="str">
        <x:v>PARTNER-M179</x:v>
      </x:c>
    </x:row>
    <x:row r="3837" ht="46" customHeight="1">
      <x:c r="A3837" s="2" t="str">
        <x:v>TEN-5CF27221D70B</x:v>
      </x:c>
      <x:c r="B3837" s="12" t="str">
        <x:v>Transven Lifestyle Pvt. Ltd</x:v>
      </x:c>
      <x:c r="C3837" s="12" t="str">
        <x:v>CORP-0597</x:v>
      </x:c>
      <x:c r="D3837" s="12" t="str">
        <x:v>Mumbai</x:v>
      </x:c>
      <x:c r="E3837" s="12" t="str">
        <x:v>Kanakia Boomerang</x:v>
      </x:c>
      <x:c r="F3837" s="12" t="str">
        <x:v>55 inch</x:v>
      </x:c>
      <x:c r="G3837" s="20" t="n">
        <x:v>1</x:v>
      </x:c>
      <x:c r="H3837" s="12" t="str">
        <x:v>Campus/portfolio roster; individual building occupancy unverified</x:v>
      </x:c>
      <x:c r="I3837" s="12" t="str">
        <x:v>Small-scale prospects</x:v>
      </x:c>
      <x:c r="J3837" s="12" t="str">
        <x:v>Trade, consumer &amp; logistics</x:v>
      </x:c>
      <x:c r="K3837" s="2" t="str">
        <x:v>PARTNER-M179</x:v>
      </x:c>
    </x:row>
    <x:row r="3838" ht="46" customHeight="1">
      <x:c r="A3838" s="2" t="str">
        <x:v>TEN-61512E0643A9</x:v>
      </x:c>
      <x:c r="B3838" s="12" t="str">
        <x:v>Sitel India</x:v>
      </x:c>
      <x:c r="C3838" s="12" t="str">
        <x:v>CORP-0597</x:v>
      </x:c>
      <x:c r="D3838" s="12" t="str">
        <x:v>Mumbai</x:v>
      </x:c>
      <x:c r="E3838" s="12" t="str">
        <x:v>Kanakia Boomerang</x:v>
      </x:c>
      <x:c r="F3838" s="12" t="str">
        <x:v>55 inch</x:v>
      </x:c>
      <x:c r="G3838" s="20" t="n">
        <x:v>1</x:v>
      </x:c>
      <x:c r="H3838" s="12" t="str">
        <x:v>Campus/portfolio roster; individual building occupancy unverified</x:v>
      </x:c>
      <x:c r="I3838" s="12" t="str">
        <x:v>Mixed business audience</x:v>
      </x:c>
      <x:c r="J3838" s="12" t="str">
        <x:v>IT &amp; digital</x:v>
      </x:c>
      <x:c r="K3838" s="2" t="str">
        <x:v>PARTNER-M179</x:v>
      </x:c>
    </x:row>
    <x:row r="3839" ht="46" customHeight="1">
      <x:c r="A3839" s="2" t="str">
        <x:v>TEN-621D5603203C</x:v>
      </x:c>
      <x:c r="B3839" s="12" t="str">
        <x:v>Heurtey Petrochem India Private Limited</x:v>
      </x:c>
      <x:c r="C3839" s="12" t="str">
        <x:v>CORP-0597</x:v>
      </x:c>
      <x:c r="D3839" s="12" t="str">
        <x:v>Mumbai</x:v>
      </x:c>
      <x:c r="E3839" s="12" t="str">
        <x:v>Kanakia Boomerang</x:v>
      </x:c>
      <x:c r="F3839" s="12" t="str">
        <x:v>55 inch</x:v>
      </x:c>
      <x:c r="G3839" s="20" t="n">
        <x:v>1</x:v>
      </x:c>
      <x:c r="H3839" s="12" t="str">
        <x:v>Campus/portfolio roster; individual building occupancy unverified</x:v>
      </x:c>
      <x:c r="I3839" s="12" t="str">
        <x:v>Mixed business audience</x:v>
      </x:c>
      <x:c r="J3839" s="12" t="str">
        <x:v>Engineering &amp; manufacturing</x:v>
      </x:c>
      <x:c r="K3839" s="2" t="str">
        <x:v>PARTNER-M179</x:v>
      </x:c>
    </x:row>
    <x:row r="3840" ht="46" customHeight="1">
      <x:c r="A3840" s="2" t="str">
        <x:v>TEN-6F8D802453D7</x:v>
      </x:c>
      <x:c r="B3840" s="12" t="str">
        <x:v>Synergy Group</x:v>
      </x:c>
      <x:c r="C3840" s="12" t="str">
        <x:v>CORP-0597</x:v>
      </x:c>
      <x:c r="D3840" s="12" t="str">
        <x:v>Mumbai</x:v>
      </x:c>
      <x:c r="E3840" s="12" t="str">
        <x:v>Kanakia Boomerang</x:v>
      </x:c>
      <x:c r="F3840" s="12" t="str">
        <x:v>55 inch</x:v>
      </x:c>
      <x:c r="G3840" s="20" t="n">
        <x:v>1</x:v>
      </x:c>
      <x:c r="H3840" s="12" t="str">
        <x:v>Campus/portfolio roster; individual building occupancy unverified</x:v>
      </x:c>
      <x:c r="I3840" s="12" t="str">
        <x:v>Mixed business audience</x:v>
      </x:c>
      <x:c r="J3840" s="12" t="str">
        <x:v>Unresolved</x:v>
      </x:c>
      <x:c r="K3840" s="2" t="str">
        <x:v>PARTNER-M179</x:v>
      </x:c>
    </x:row>
    <x:row r="3841" ht="46" customHeight="1">
      <x:c r="A3841" s="2" t="str">
        <x:v>TEN-7DBA31647FAA</x:v>
      </x:c>
      <x:c r="B3841" s="12" t="str">
        <x:v>VRIPL Retail Private Limited</x:v>
      </x:c>
      <x:c r="C3841" s="12" t="str">
        <x:v>CORP-0597</x:v>
      </x:c>
      <x:c r="D3841" s="12" t="str">
        <x:v>Mumbai</x:v>
      </x:c>
      <x:c r="E3841" s="12" t="str">
        <x:v>Kanakia Boomerang</x:v>
      </x:c>
      <x:c r="F3841" s="12" t="str">
        <x:v>55 inch</x:v>
      </x:c>
      <x:c r="G3841" s="20" t="n">
        <x:v>1</x:v>
      </x:c>
      <x:c r="H3841" s="12" t="str">
        <x:v>Campus/portfolio roster; individual building occupancy unverified</x:v>
      </x:c>
      <x:c r="I3841" s="12" t="str">
        <x:v>Small-scale prospects</x:v>
      </x:c>
      <x:c r="J3841" s="12" t="str">
        <x:v>Trade, consumer &amp; logistics</x:v>
      </x:c>
      <x:c r="K3841" s="2" t="str">
        <x:v>PARTNER-M179</x:v>
      </x:c>
    </x:row>
    <x:row r="3842" ht="46" customHeight="1">
      <x:c r="A3842" s="2" t="str">
        <x:v>TEN-DB041B39B6B0</x:v>
      </x:c>
      <x:c r="B3842" s="12" t="str">
        <x:v>CIMS</x:v>
      </x:c>
      <x:c r="C3842" s="12" t="str">
        <x:v>CORP-0597</x:v>
      </x:c>
      <x:c r="D3842" s="12" t="str">
        <x:v>Mumbai</x:v>
      </x:c>
      <x:c r="E3842" s="12" t="str">
        <x:v>Kanakia Boomerang</x:v>
      </x:c>
      <x:c r="F3842" s="12" t="str">
        <x:v>55 inch</x:v>
      </x:c>
      <x:c r="G3842" s="20" t="n">
        <x:v>1</x:v>
      </x:c>
      <x:c r="H3842" s="12" t="str">
        <x:v>Campus/portfolio roster; individual building occupancy unverified</x:v>
      </x:c>
      <x:c r="I3842" s="12" t="str">
        <x:v>Mixed business audience</x:v>
      </x:c>
      <x:c r="J3842" s="12" t="str">
        <x:v>Unresolved</x:v>
      </x:c>
      <x:c r="K3842" s="2" t="str">
        <x:v>PARTNER-M179</x:v>
      </x:c>
    </x:row>
    <x:row r="3843" ht="46" customHeight="1">
      <x:c r="A3843" s="2" t="str">
        <x:v>TEN-EA2E8D5F5E0F</x:v>
      </x:c>
      <x:c r="B3843" s="12" t="str">
        <x:v>Unitherm Engineers Limited</x:v>
      </x:c>
      <x:c r="C3843" s="12" t="str">
        <x:v>CORP-0597</x:v>
      </x:c>
      <x:c r="D3843" s="12" t="str">
        <x:v>Mumbai</x:v>
      </x:c>
      <x:c r="E3843" s="12" t="str">
        <x:v>Kanakia Boomerang</x:v>
      </x:c>
      <x:c r="F3843" s="12" t="str">
        <x:v>55 inch</x:v>
      </x:c>
      <x:c r="G3843" s="20" t="n">
        <x:v>1</x:v>
      </x:c>
      <x:c r="H3843" s="12" t="str">
        <x:v>Campus/portfolio roster; individual building occupancy unverified</x:v>
      </x:c>
      <x:c r="I3843" s="12" t="str">
        <x:v>Medium-scale prospects</x:v>
      </x:c>
      <x:c r="J3843" s="12" t="str">
        <x:v>Engineering &amp; manufacturing</x:v>
      </x:c>
      <x:c r="K3843" s="2" t="str">
        <x:v>PARTNER-M179</x:v>
      </x:c>
    </x:row>
    <x:row r="3844" ht="46" customHeight="1">
      <x:c r="A3844" s="2" t="str">
        <x:v>TEN-EC31F8A49FA4</x:v>
      </x:c>
      <x:c r="B3844" s="12" t="str">
        <x:v>Vellvette</x:v>
      </x:c>
      <x:c r="C3844" s="12" t="str">
        <x:v>CORP-0597</x:v>
      </x:c>
      <x:c r="D3844" s="12" t="str">
        <x:v>Mumbai</x:v>
      </x:c>
      <x:c r="E3844" s="12" t="str">
        <x:v>Kanakia Boomerang</x:v>
      </x:c>
      <x:c r="F3844" s="12" t="str">
        <x:v>55 inch</x:v>
      </x:c>
      <x:c r="G3844" s="20" t="n">
        <x:v>1</x:v>
      </x:c>
      <x:c r="H3844" s="12" t="str">
        <x:v>Campus/portfolio roster; individual building occupancy unverified</x:v>
      </x:c>
      <x:c r="I3844" s="12" t="str">
        <x:v>Small-scale prospects</x:v>
      </x:c>
      <x:c r="J3844" s="12" t="str">
        <x:v>Trade, consumer &amp; logistics</x:v>
      </x:c>
      <x:c r="K3844" s="2" t="str">
        <x:v>PARTNER-M179</x:v>
      </x:c>
    </x:row>
    <x:row r="3845" ht="46" customHeight="1">
      <x:c r="A3845" s="2" t="str">
        <x:v>TEN-F8D593D0B92D</x:v>
      </x:c>
      <x:c r="B3845" s="12" t="str">
        <x:v>eClinicalWorks India Private Limited</x:v>
      </x:c>
      <x:c r="C3845" s="12" t="str">
        <x:v>CORP-0597</x:v>
      </x:c>
      <x:c r="D3845" s="12" t="str">
        <x:v>Mumbai</x:v>
      </x:c>
      <x:c r="E3845" s="12" t="str">
        <x:v>Kanakia Boomerang</x:v>
      </x:c>
      <x:c r="F3845" s="12" t="str">
        <x:v>55 inch</x:v>
      </x:c>
      <x:c r="G3845" s="20" t="n">
        <x:v>1</x:v>
      </x:c>
      <x:c r="H3845" s="12" t="str">
        <x:v>Campus/portfolio roster; individual building occupancy unverified</x:v>
      </x:c>
      <x:c r="I3845" s="12" t="str">
        <x:v>Mixed business audience</x:v>
      </x:c>
      <x:c r="J3845" s="12" t="str">
        <x:v>IT &amp; digital</x:v>
      </x:c>
      <x:c r="K3845" s="2" t="str">
        <x:v>PARTNER-M179</x:v>
      </x:c>
    </x:row>
    <x:row r="3846" ht="46" customHeight="1">
      <x:c r="A3846" s="2" t="str">
        <x:v>TEN-10C5B5430B91</x:v>
      </x:c>
      <x:c r="B3846" s="12" t="str">
        <x:v>Pioneer Foundation Engineers Pvt. Ltd</x:v>
      </x:c>
      <x:c r="C3846" s="12" t="str">
        <x:v>CORP-0598</x:v>
      </x:c>
      <x:c r="D3846" s="12" t="str">
        <x:v>Mumbai</x:v>
      </x:c>
      <x:c r="E3846" s="12" t="str">
        <x:v>Kanakia Boomerang</x:v>
      </x:c>
      <x:c r="F3846" s="12" t="str">
        <x:v>55 inch</x:v>
      </x:c>
      <x:c r="G3846" s="20" t="n">
        <x:v>1</x:v>
      </x:c>
      <x:c r="H3846" s="12" t="str">
        <x:v>Campus/portfolio roster; individual building occupancy unverified</x:v>
      </x:c>
      <x:c r="I3846" s="12" t="str">
        <x:v>Medium-scale prospects</x:v>
      </x:c>
      <x:c r="J3846" s="12" t="str">
        <x:v>Engineering &amp; manufacturing</x:v>
      </x:c>
      <x:c r="K3846" s="2" t="str">
        <x:v>PARTNER-M179</x:v>
      </x:c>
    </x:row>
    <x:row r="3847" ht="46" customHeight="1">
      <x:c r="A3847" s="2" t="str">
        <x:v>TEN-12562C5D297E</x:v>
      </x:c>
      <x:c r="B3847" s="12" t="str">
        <x:v>Nord-Lock India Private Limited</x:v>
      </x:c>
      <x:c r="C3847" s="12" t="str">
        <x:v>CORP-0598</x:v>
      </x:c>
      <x:c r="D3847" s="12" t="str">
        <x:v>Mumbai</x:v>
      </x:c>
      <x:c r="E3847" s="12" t="str">
        <x:v>Kanakia Boomerang</x:v>
      </x:c>
      <x:c r="F3847" s="12" t="str">
        <x:v>55 inch</x:v>
      </x:c>
      <x:c r="G3847" s="20" t="n">
        <x:v>1</x:v>
      </x:c>
      <x:c r="H3847" s="12" t="str">
        <x:v>Campus/portfolio roster; individual building occupancy unverified</x:v>
      </x:c>
      <x:c r="I3847" s="12" t="str">
        <x:v>Mixed business audience</x:v>
      </x:c>
      <x:c r="J3847" s="12" t="str">
        <x:v>Engineering &amp; manufacturing</x:v>
      </x:c>
      <x:c r="K3847" s="2" t="str">
        <x:v>PARTNER-M179</x:v>
      </x:c>
    </x:row>
    <x:row r="3848" ht="46" customHeight="1">
      <x:c r="A3848" s="2" t="str">
        <x:v>TEN-1F792F557E35</x:v>
      </x:c>
      <x:c r="B3848" s="12" t="str">
        <x:v>IGP.com</x:v>
      </x:c>
      <x:c r="C3848" s="12" t="str">
        <x:v>CORP-0598</x:v>
      </x:c>
      <x:c r="D3848" s="12" t="str">
        <x:v>Mumbai</x:v>
      </x:c>
      <x:c r="E3848" s="12" t="str">
        <x:v>Kanakia Boomerang</x:v>
      </x:c>
      <x:c r="F3848" s="12" t="str">
        <x:v>55 inch</x:v>
      </x:c>
      <x:c r="G3848" s="20" t="n">
        <x:v>1</x:v>
      </x:c>
      <x:c r="H3848" s="12" t="str">
        <x:v>Campus/portfolio roster; individual building occupancy unverified</x:v>
      </x:c>
      <x:c r="I3848" s="12" t="str">
        <x:v>Mixed business audience</x:v>
      </x:c>
      <x:c r="J3848" s="12" t="str">
        <x:v>Trade, consumer &amp; logistics</x:v>
      </x:c>
      <x:c r="K3848" s="2" t="str">
        <x:v>PARTNER-M179</x:v>
      </x:c>
    </x:row>
    <x:row r="3849" ht="46" customHeight="1">
      <x:c r="A3849" s="2" t="str">
        <x:v>TEN-204F804BC276</x:v>
      </x:c>
      <x:c r="B3849" s="12" t="str">
        <x:v>Clear Point Instrumentation Pvt. Ltd</x:v>
      </x:c>
      <x:c r="C3849" s="12" t="str">
        <x:v>CORP-0598</x:v>
      </x:c>
      <x:c r="D3849" s="12" t="str">
        <x:v>Mumbai</x:v>
      </x:c>
      <x:c r="E3849" s="12" t="str">
        <x:v>Kanakia Boomerang</x:v>
      </x:c>
      <x:c r="F3849" s="12" t="str">
        <x:v>55 inch</x:v>
      </x:c>
      <x:c r="G3849" s="20" t="n">
        <x:v>1</x:v>
      </x:c>
      <x:c r="H3849" s="12" t="str">
        <x:v>Campus/portfolio roster; individual building occupancy unverified</x:v>
      </x:c>
      <x:c r="I3849" s="12" t="str">
        <x:v>Medium-scale prospects</x:v>
      </x:c>
      <x:c r="J3849" s="12" t="str">
        <x:v>Engineering &amp; manufacturing</x:v>
      </x:c>
      <x:c r="K3849" s="2" t="str">
        <x:v>PARTNER-M179</x:v>
      </x:c>
    </x:row>
    <x:row r="3850" ht="46" customHeight="1">
      <x:c r="A3850" s="2" t="str">
        <x:v>TEN-272D2169C38E</x:v>
      </x:c>
      <x:c r="B3850" s="12" t="str">
        <x:v>Hi5 Youth Foundation</x:v>
      </x:c>
      <x:c r="C3850" s="12" t="str">
        <x:v>CORP-0598</x:v>
      </x:c>
      <x:c r="D3850" s="12" t="str">
        <x:v>Mumbai</x:v>
      </x:c>
      <x:c r="E3850" s="12" t="str">
        <x:v>Kanakia Boomerang</x:v>
      </x:c>
      <x:c r="F3850" s="12" t="str">
        <x:v>55 inch</x:v>
      </x:c>
      <x:c r="G3850" s="20" t="n">
        <x:v>1</x:v>
      </x:c>
      <x:c r="H3850" s="12" t="str">
        <x:v>Campus/portfolio roster; individual building occupancy unverified</x:v>
      </x:c>
      <x:c r="I3850" s="12" t="str">
        <x:v>Institutional</x:v>
      </x:c>
      <x:c r="J3850" s="12" t="str">
        <x:v>Government &amp; nonprofit</x:v>
      </x:c>
      <x:c r="K3850" s="2" t="str">
        <x:v>PARTNER-M179</x:v>
      </x:c>
    </x:row>
    <x:row r="3851" ht="46" customHeight="1">
      <x:c r="A3851" s="2" t="str">
        <x:v>TEN-2BE4993D4FEC</x:v>
      </x:c>
      <x:c r="B3851" s="12" t="str">
        <x:v>Mep</x:v>
      </x:c>
      <x:c r="C3851" s="12" t="str">
        <x:v>CORP-0598</x:v>
      </x:c>
      <x:c r="D3851" s="12" t="str">
        <x:v>Mumbai</x:v>
      </x:c>
      <x:c r="E3851" s="12" t="str">
        <x:v>Kanakia Boomerang</x:v>
      </x:c>
      <x:c r="F3851" s="12" t="str">
        <x:v>55 inch</x:v>
      </x:c>
      <x:c r="G3851" s="20" t="n">
        <x:v>1</x:v>
      </x:c>
      <x:c r="H3851" s="12" t="str">
        <x:v>Campus/portfolio roster; individual building occupancy unverified</x:v>
      </x:c>
      <x:c r="I3851" s="12" t="str">
        <x:v>Mixed business audience</x:v>
      </x:c>
      <x:c r="J3851" s="12" t="str">
        <x:v>Unresolved</x:v>
      </x:c>
      <x:c r="K3851" s="2" t="str">
        <x:v>PARTNER-M179</x:v>
      </x:c>
    </x:row>
    <x:row r="3852" ht="46" customHeight="1">
      <x:c r="A3852" s="2" t="str">
        <x:v>TEN-5045ABCEFDBB</x:v>
      </x:c>
      <x:c r="B3852" s="12" t="str">
        <x:v>Roxul Rockwool</x:v>
      </x:c>
      <x:c r="C3852" s="12" t="str">
        <x:v>CORP-0598</x:v>
      </x:c>
      <x:c r="D3852" s="12" t="str">
        <x:v>Mumbai</x:v>
      </x:c>
      <x:c r="E3852" s="12" t="str">
        <x:v>Kanakia Boomerang</x:v>
      </x:c>
      <x:c r="F3852" s="12" t="str">
        <x:v>55 inch</x:v>
      </x:c>
      <x:c r="G3852" s="20" t="n">
        <x:v>1</x:v>
      </x:c>
      <x:c r="H3852" s="12" t="str">
        <x:v>Campus/portfolio roster; individual building occupancy unverified</x:v>
      </x:c>
      <x:c r="I3852" s="12" t="str">
        <x:v>Mixed business audience</x:v>
      </x:c>
      <x:c r="J3852" s="12" t="str">
        <x:v>Engineering &amp; manufacturing</x:v>
      </x:c>
      <x:c r="K3852" s="2" t="str">
        <x:v>PARTNER-M179</x:v>
      </x:c>
    </x:row>
    <x:row r="3853" ht="46" customHeight="1">
      <x:c r="A3853" s="2" t="str">
        <x:v>TEN-5CF27221D70B</x:v>
      </x:c>
      <x:c r="B3853" s="12" t="str">
        <x:v>Transven Lifestyle Pvt. Ltd</x:v>
      </x:c>
      <x:c r="C3853" s="12" t="str">
        <x:v>CORP-0598</x:v>
      </x:c>
      <x:c r="D3853" s="12" t="str">
        <x:v>Mumbai</x:v>
      </x:c>
      <x:c r="E3853" s="12" t="str">
        <x:v>Kanakia Boomerang</x:v>
      </x:c>
      <x:c r="F3853" s="12" t="str">
        <x:v>55 inch</x:v>
      </x:c>
      <x:c r="G3853" s="20" t="n">
        <x:v>1</x:v>
      </x:c>
      <x:c r="H3853" s="12" t="str">
        <x:v>Campus/portfolio roster; individual building occupancy unverified</x:v>
      </x:c>
      <x:c r="I3853" s="12" t="str">
        <x:v>Small-scale prospects</x:v>
      </x:c>
      <x:c r="J3853" s="12" t="str">
        <x:v>Trade, consumer &amp; logistics</x:v>
      </x:c>
      <x:c r="K3853" s="2" t="str">
        <x:v>PARTNER-M179</x:v>
      </x:c>
    </x:row>
    <x:row r="3854" ht="46" customHeight="1">
      <x:c r="A3854" s="2" t="str">
        <x:v>TEN-61512E0643A9</x:v>
      </x:c>
      <x:c r="B3854" s="12" t="str">
        <x:v>Sitel India</x:v>
      </x:c>
      <x:c r="C3854" s="12" t="str">
        <x:v>CORP-0598</x:v>
      </x:c>
      <x:c r="D3854" s="12" t="str">
        <x:v>Mumbai</x:v>
      </x:c>
      <x:c r="E3854" s="12" t="str">
        <x:v>Kanakia Boomerang</x:v>
      </x:c>
      <x:c r="F3854" s="12" t="str">
        <x:v>55 inch</x:v>
      </x:c>
      <x:c r="G3854" s="20" t="n">
        <x:v>1</x:v>
      </x:c>
      <x:c r="H3854" s="12" t="str">
        <x:v>Campus/portfolio roster; individual building occupancy unverified</x:v>
      </x:c>
      <x:c r="I3854" s="12" t="str">
        <x:v>Mixed business audience</x:v>
      </x:c>
      <x:c r="J3854" s="12" t="str">
        <x:v>IT &amp; digital</x:v>
      </x:c>
      <x:c r="K3854" s="2" t="str">
        <x:v>PARTNER-M179</x:v>
      </x:c>
    </x:row>
    <x:row r="3855" ht="46" customHeight="1">
      <x:c r="A3855" s="2" t="str">
        <x:v>TEN-621D5603203C</x:v>
      </x:c>
      <x:c r="B3855" s="12" t="str">
        <x:v>Heurtey Petrochem India Private Limited</x:v>
      </x:c>
      <x:c r="C3855" s="12" t="str">
        <x:v>CORP-0598</x:v>
      </x:c>
      <x:c r="D3855" s="12" t="str">
        <x:v>Mumbai</x:v>
      </x:c>
      <x:c r="E3855" s="12" t="str">
        <x:v>Kanakia Boomerang</x:v>
      </x:c>
      <x:c r="F3855" s="12" t="str">
        <x:v>55 inch</x:v>
      </x:c>
      <x:c r="G3855" s="20" t="n">
        <x:v>1</x:v>
      </x:c>
      <x:c r="H3855" s="12" t="str">
        <x:v>Campus/portfolio roster; individual building occupancy unverified</x:v>
      </x:c>
      <x:c r="I3855" s="12" t="str">
        <x:v>Mixed business audience</x:v>
      </x:c>
      <x:c r="J3855" s="12" t="str">
        <x:v>Engineering &amp; manufacturing</x:v>
      </x:c>
      <x:c r="K3855" s="2" t="str">
        <x:v>PARTNER-M179</x:v>
      </x:c>
    </x:row>
    <x:row r="3856" ht="46" customHeight="1">
      <x:c r="A3856" s="2" t="str">
        <x:v>TEN-6F8D802453D7</x:v>
      </x:c>
      <x:c r="B3856" s="12" t="str">
        <x:v>Synergy Group</x:v>
      </x:c>
      <x:c r="C3856" s="12" t="str">
        <x:v>CORP-0598</x:v>
      </x:c>
      <x:c r="D3856" s="12" t="str">
        <x:v>Mumbai</x:v>
      </x:c>
      <x:c r="E3856" s="12" t="str">
        <x:v>Kanakia Boomerang</x:v>
      </x:c>
      <x:c r="F3856" s="12" t="str">
        <x:v>55 inch</x:v>
      </x:c>
      <x:c r="G3856" s="20" t="n">
        <x:v>1</x:v>
      </x:c>
      <x:c r="H3856" s="12" t="str">
        <x:v>Campus/portfolio roster; individual building occupancy unverified</x:v>
      </x:c>
      <x:c r="I3856" s="12" t="str">
        <x:v>Mixed business audience</x:v>
      </x:c>
      <x:c r="J3856" s="12" t="str">
        <x:v>Unresolved</x:v>
      </x:c>
      <x:c r="K3856" s="2" t="str">
        <x:v>PARTNER-M179</x:v>
      </x:c>
    </x:row>
    <x:row r="3857" ht="46" customHeight="1">
      <x:c r="A3857" s="2" t="str">
        <x:v>TEN-7DBA31647FAA</x:v>
      </x:c>
      <x:c r="B3857" s="12" t="str">
        <x:v>VRIPL Retail Private Limited</x:v>
      </x:c>
      <x:c r="C3857" s="12" t="str">
        <x:v>CORP-0598</x:v>
      </x:c>
      <x:c r="D3857" s="12" t="str">
        <x:v>Mumbai</x:v>
      </x:c>
      <x:c r="E3857" s="12" t="str">
        <x:v>Kanakia Boomerang</x:v>
      </x:c>
      <x:c r="F3857" s="12" t="str">
        <x:v>55 inch</x:v>
      </x:c>
      <x:c r="G3857" s="20" t="n">
        <x:v>1</x:v>
      </x:c>
      <x:c r="H3857" s="12" t="str">
        <x:v>Campus/portfolio roster; individual building occupancy unverified</x:v>
      </x:c>
      <x:c r="I3857" s="12" t="str">
        <x:v>Small-scale prospects</x:v>
      </x:c>
      <x:c r="J3857" s="12" t="str">
        <x:v>Trade, consumer &amp; logistics</x:v>
      </x:c>
      <x:c r="K3857" s="2" t="str">
        <x:v>PARTNER-M179</x:v>
      </x:c>
    </x:row>
    <x:row r="3858" ht="46" customHeight="1">
      <x:c r="A3858" s="2" t="str">
        <x:v>TEN-DB041B39B6B0</x:v>
      </x:c>
      <x:c r="B3858" s="12" t="str">
        <x:v>CIMS</x:v>
      </x:c>
      <x:c r="C3858" s="12" t="str">
        <x:v>CORP-0598</x:v>
      </x:c>
      <x:c r="D3858" s="12" t="str">
        <x:v>Mumbai</x:v>
      </x:c>
      <x:c r="E3858" s="12" t="str">
        <x:v>Kanakia Boomerang</x:v>
      </x:c>
      <x:c r="F3858" s="12" t="str">
        <x:v>55 inch</x:v>
      </x:c>
      <x:c r="G3858" s="20" t="n">
        <x:v>1</x:v>
      </x:c>
      <x:c r="H3858" s="12" t="str">
        <x:v>Campus/portfolio roster; individual building occupancy unverified</x:v>
      </x:c>
      <x:c r="I3858" s="12" t="str">
        <x:v>Mixed business audience</x:v>
      </x:c>
      <x:c r="J3858" s="12" t="str">
        <x:v>Unresolved</x:v>
      </x:c>
      <x:c r="K3858" s="2" t="str">
        <x:v>PARTNER-M179</x:v>
      </x:c>
    </x:row>
    <x:row r="3859" ht="46" customHeight="1">
      <x:c r="A3859" s="2" t="str">
        <x:v>TEN-EA2E8D5F5E0F</x:v>
      </x:c>
      <x:c r="B3859" s="12" t="str">
        <x:v>Unitherm Engineers Limited</x:v>
      </x:c>
      <x:c r="C3859" s="12" t="str">
        <x:v>CORP-0598</x:v>
      </x:c>
      <x:c r="D3859" s="12" t="str">
        <x:v>Mumbai</x:v>
      </x:c>
      <x:c r="E3859" s="12" t="str">
        <x:v>Kanakia Boomerang</x:v>
      </x:c>
      <x:c r="F3859" s="12" t="str">
        <x:v>55 inch</x:v>
      </x:c>
      <x:c r="G3859" s="20" t="n">
        <x:v>1</x:v>
      </x:c>
      <x:c r="H3859" s="12" t="str">
        <x:v>Campus/portfolio roster; individual building occupancy unverified</x:v>
      </x:c>
      <x:c r="I3859" s="12" t="str">
        <x:v>Medium-scale prospects</x:v>
      </x:c>
      <x:c r="J3859" s="12" t="str">
        <x:v>Engineering &amp; manufacturing</x:v>
      </x:c>
      <x:c r="K3859" s="2" t="str">
        <x:v>PARTNER-M179</x:v>
      </x:c>
    </x:row>
    <x:row r="3860" ht="46" customHeight="1">
      <x:c r="A3860" s="2" t="str">
        <x:v>TEN-EC31F8A49FA4</x:v>
      </x:c>
      <x:c r="B3860" s="12" t="str">
        <x:v>Vellvette</x:v>
      </x:c>
      <x:c r="C3860" s="12" t="str">
        <x:v>CORP-0598</x:v>
      </x:c>
      <x:c r="D3860" s="12" t="str">
        <x:v>Mumbai</x:v>
      </x:c>
      <x:c r="E3860" s="12" t="str">
        <x:v>Kanakia Boomerang</x:v>
      </x:c>
      <x:c r="F3860" s="12" t="str">
        <x:v>55 inch</x:v>
      </x:c>
      <x:c r="G3860" s="20" t="n">
        <x:v>1</x:v>
      </x:c>
      <x:c r="H3860" s="12" t="str">
        <x:v>Campus/portfolio roster; individual building occupancy unverified</x:v>
      </x:c>
      <x:c r="I3860" s="12" t="str">
        <x:v>Small-scale prospects</x:v>
      </x:c>
      <x:c r="J3860" s="12" t="str">
        <x:v>Trade, consumer &amp; logistics</x:v>
      </x:c>
      <x:c r="K3860" s="2" t="str">
        <x:v>PARTNER-M179</x:v>
      </x:c>
    </x:row>
    <x:row r="3861" ht="46" customHeight="1">
      <x:c r="A3861" s="2" t="str">
        <x:v>TEN-F8D593D0B92D</x:v>
      </x:c>
      <x:c r="B3861" s="12" t="str">
        <x:v>eClinicalWorks India Private Limited</x:v>
      </x:c>
      <x:c r="C3861" s="12" t="str">
        <x:v>CORP-0598</x:v>
      </x:c>
      <x:c r="D3861" s="12" t="str">
        <x:v>Mumbai</x:v>
      </x:c>
      <x:c r="E3861" s="12" t="str">
        <x:v>Kanakia Boomerang</x:v>
      </x:c>
      <x:c r="F3861" s="12" t="str">
        <x:v>55 inch</x:v>
      </x:c>
      <x:c r="G3861" s="20" t="n">
        <x:v>1</x:v>
      </x:c>
      <x:c r="H3861" s="12" t="str">
        <x:v>Campus/portfolio roster; individual building occupancy unverified</x:v>
      </x:c>
      <x:c r="I3861" s="12" t="str">
        <x:v>Mixed business audience</x:v>
      </x:c>
      <x:c r="J3861" s="12" t="str">
        <x:v>IT &amp; digital</x:v>
      </x:c>
      <x:c r="K3861" s="2" t="str">
        <x:v>PARTNER-M179</x:v>
      </x:c>
    </x:row>
    <x:row r="3862" ht="46" customHeight="1">
      <x:c r="A3862" s="2" t="str">
        <x:v>TEN-10C5B5430B91</x:v>
      </x:c>
      <x:c r="B3862" s="12" t="str">
        <x:v>Pioneer Foundation Engineers Pvt. Ltd</x:v>
      </x:c>
      <x:c r="C3862" s="12" t="str">
        <x:v>CORP-0599</x:v>
      </x:c>
      <x:c r="D3862" s="12" t="str">
        <x:v>Mumbai</x:v>
      </x:c>
      <x:c r="E3862" s="12" t="str">
        <x:v>Kanakia Boomerang</x:v>
      </x:c>
      <x:c r="F3862" s="12" t="str">
        <x:v>55 inch</x:v>
      </x:c>
      <x:c r="G3862" s="20" t="n">
        <x:v>1</x:v>
      </x:c>
      <x:c r="H3862" s="12" t="str">
        <x:v>Campus/portfolio roster; individual building occupancy unverified</x:v>
      </x:c>
      <x:c r="I3862" s="12" t="str">
        <x:v>Medium-scale prospects</x:v>
      </x:c>
      <x:c r="J3862" s="12" t="str">
        <x:v>Engineering &amp; manufacturing</x:v>
      </x:c>
      <x:c r="K3862" s="2" t="str">
        <x:v>PARTNER-M179</x:v>
      </x:c>
    </x:row>
    <x:row r="3863" ht="46" customHeight="1">
      <x:c r="A3863" s="2" t="str">
        <x:v>TEN-12562C5D297E</x:v>
      </x:c>
      <x:c r="B3863" s="12" t="str">
        <x:v>Nord-Lock India Private Limited</x:v>
      </x:c>
      <x:c r="C3863" s="12" t="str">
        <x:v>CORP-0599</x:v>
      </x:c>
      <x:c r="D3863" s="12" t="str">
        <x:v>Mumbai</x:v>
      </x:c>
      <x:c r="E3863" s="12" t="str">
        <x:v>Kanakia Boomerang</x:v>
      </x:c>
      <x:c r="F3863" s="12" t="str">
        <x:v>55 inch</x:v>
      </x:c>
      <x:c r="G3863" s="20" t="n">
        <x:v>1</x:v>
      </x:c>
      <x:c r="H3863" s="12" t="str">
        <x:v>Campus/portfolio roster; individual building occupancy unverified</x:v>
      </x:c>
      <x:c r="I3863" s="12" t="str">
        <x:v>Mixed business audience</x:v>
      </x:c>
      <x:c r="J3863" s="12" t="str">
        <x:v>Engineering &amp; manufacturing</x:v>
      </x:c>
      <x:c r="K3863" s="2" t="str">
        <x:v>PARTNER-M179</x:v>
      </x:c>
    </x:row>
    <x:row r="3864" ht="46" customHeight="1">
      <x:c r="A3864" s="2" t="str">
        <x:v>TEN-1F792F557E35</x:v>
      </x:c>
      <x:c r="B3864" s="12" t="str">
        <x:v>IGP.com</x:v>
      </x:c>
      <x:c r="C3864" s="12" t="str">
        <x:v>CORP-0599</x:v>
      </x:c>
      <x:c r="D3864" s="12" t="str">
        <x:v>Mumbai</x:v>
      </x:c>
      <x:c r="E3864" s="12" t="str">
        <x:v>Kanakia Boomerang</x:v>
      </x:c>
      <x:c r="F3864" s="12" t="str">
        <x:v>55 inch</x:v>
      </x:c>
      <x:c r="G3864" s="20" t="n">
        <x:v>1</x:v>
      </x:c>
      <x:c r="H3864" s="12" t="str">
        <x:v>Campus/portfolio roster; individual building occupancy unverified</x:v>
      </x:c>
      <x:c r="I3864" s="12" t="str">
        <x:v>Mixed business audience</x:v>
      </x:c>
      <x:c r="J3864" s="12" t="str">
        <x:v>Trade, consumer &amp; logistics</x:v>
      </x:c>
      <x:c r="K3864" s="2" t="str">
        <x:v>PARTNER-M179</x:v>
      </x:c>
    </x:row>
    <x:row r="3865" ht="46" customHeight="1">
      <x:c r="A3865" s="2" t="str">
        <x:v>TEN-204F804BC276</x:v>
      </x:c>
      <x:c r="B3865" s="12" t="str">
        <x:v>Clear Point Instrumentation Pvt. Ltd</x:v>
      </x:c>
      <x:c r="C3865" s="12" t="str">
        <x:v>CORP-0599</x:v>
      </x:c>
      <x:c r="D3865" s="12" t="str">
        <x:v>Mumbai</x:v>
      </x:c>
      <x:c r="E3865" s="12" t="str">
        <x:v>Kanakia Boomerang</x:v>
      </x:c>
      <x:c r="F3865" s="12" t="str">
        <x:v>55 inch</x:v>
      </x:c>
      <x:c r="G3865" s="20" t="n">
        <x:v>1</x:v>
      </x:c>
      <x:c r="H3865" s="12" t="str">
        <x:v>Campus/portfolio roster; individual building occupancy unverified</x:v>
      </x:c>
      <x:c r="I3865" s="12" t="str">
        <x:v>Medium-scale prospects</x:v>
      </x:c>
      <x:c r="J3865" s="12" t="str">
        <x:v>Engineering &amp; manufacturing</x:v>
      </x:c>
      <x:c r="K3865" s="2" t="str">
        <x:v>PARTNER-M179</x:v>
      </x:c>
    </x:row>
    <x:row r="3866" ht="46" customHeight="1">
      <x:c r="A3866" s="2" t="str">
        <x:v>TEN-272D2169C38E</x:v>
      </x:c>
      <x:c r="B3866" s="12" t="str">
        <x:v>Hi5 Youth Foundation</x:v>
      </x:c>
      <x:c r="C3866" s="12" t="str">
        <x:v>CORP-0599</x:v>
      </x:c>
      <x:c r="D3866" s="12" t="str">
        <x:v>Mumbai</x:v>
      </x:c>
      <x:c r="E3866" s="12" t="str">
        <x:v>Kanakia Boomerang</x:v>
      </x:c>
      <x:c r="F3866" s="12" t="str">
        <x:v>55 inch</x:v>
      </x:c>
      <x:c r="G3866" s="20" t="n">
        <x:v>1</x:v>
      </x:c>
      <x:c r="H3866" s="12" t="str">
        <x:v>Campus/portfolio roster; individual building occupancy unverified</x:v>
      </x:c>
      <x:c r="I3866" s="12" t="str">
        <x:v>Institutional</x:v>
      </x:c>
      <x:c r="J3866" s="12" t="str">
        <x:v>Government &amp; nonprofit</x:v>
      </x:c>
      <x:c r="K3866" s="2" t="str">
        <x:v>PARTNER-M179</x:v>
      </x:c>
    </x:row>
    <x:row r="3867" ht="46" customHeight="1">
      <x:c r="A3867" s="2" t="str">
        <x:v>TEN-2BE4993D4FEC</x:v>
      </x:c>
      <x:c r="B3867" s="12" t="str">
        <x:v>Mep</x:v>
      </x:c>
      <x:c r="C3867" s="12" t="str">
        <x:v>CORP-0599</x:v>
      </x:c>
      <x:c r="D3867" s="12" t="str">
        <x:v>Mumbai</x:v>
      </x:c>
      <x:c r="E3867" s="12" t="str">
        <x:v>Kanakia Boomerang</x:v>
      </x:c>
      <x:c r="F3867" s="12" t="str">
        <x:v>55 inch</x:v>
      </x:c>
      <x:c r="G3867" s="20" t="n">
        <x:v>1</x:v>
      </x:c>
      <x:c r="H3867" s="12" t="str">
        <x:v>Campus/portfolio roster; individual building occupancy unverified</x:v>
      </x:c>
      <x:c r="I3867" s="12" t="str">
        <x:v>Mixed business audience</x:v>
      </x:c>
      <x:c r="J3867" s="12" t="str">
        <x:v>Unresolved</x:v>
      </x:c>
      <x:c r="K3867" s="2" t="str">
        <x:v>PARTNER-M179</x:v>
      </x:c>
    </x:row>
    <x:row r="3868" ht="46" customHeight="1">
      <x:c r="A3868" s="2" t="str">
        <x:v>TEN-5045ABCEFDBB</x:v>
      </x:c>
      <x:c r="B3868" s="12" t="str">
        <x:v>Roxul Rockwool</x:v>
      </x:c>
      <x:c r="C3868" s="12" t="str">
        <x:v>CORP-0599</x:v>
      </x:c>
      <x:c r="D3868" s="12" t="str">
        <x:v>Mumbai</x:v>
      </x:c>
      <x:c r="E3868" s="12" t="str">
        <x:v>Kanakia Boomerang</x:v>
      </x:c>
      <x:c r="F3868" s="12" t="str">
        <x:v>55 inch</x:v>
      </x:c>
      <x:c r="G3868" s="20" t="n">
        <x:v>1</x:v>
      </x:c>
      <x:c r="H3868" s="12" t="str">
        <x:v>Campus/portfolio roster; individual building occupancy unverified</x:v>
      </x:c>
      <x:c r="I3868" s="12" t="str">
        <x:v>Mixed business audience</x:v>
      </x:c>
      <x:c r="J3868" s="12" t="str">
        <x:v>Engineering &amp; manufacturing</x:v>
      </x:c>
      <x:c r="K3868" s="2" t="str">
        <x:v>PARTNER-M179</x:v>
      </x:c>
    </x:row>
    <x:row r="3869" ht="46" customHeight="1">
      <x:c r="A3869" s="2" t="str">
        <x:v>TEN-5CF27221D70B</x:v>
      </x:c>
      <x:c r="B3869" s="12" t="str">
        <x:v>Transven Lifestyle Pvt. Ltd</x:v>
      </x:c>
      <x:c r="C3869" s="12" t="str">
        <x:v>CORP-0599</x:v>
      </x:c>
      <x:c r="D3869" s="12" t="str">
        <x:v>Mumbai</x:v>
      </x:c>
      <x:c r="E3869" s="12" t="str">
        <x:v>Kanakia Boomerang</x:v>
      </x:c>
      <x:c r="F3869" s="12" t="str">
        <x:v>55 inch</x:v>
      </x:c>
      <x:c r="G3869" s="20" t="n">
        <x:v>1</x:v>
      </x:c>
      <x:c r="H3869" s="12" t="str">
        <x:v>Campus/portfolio roster; individual building occupancy unverified</x:v>
      </x:c>
      <x:c r="I3869" s="12" t="str">
        <x:v>Small-scale prospects</x:v>
      </x:c>
      <x:c r="J3869" s="12" t="str">
        <x:v>Trade, consumer &amp; logistics</x:v>
      </x:c>
      <x:c r="K3869" s="2" t="str">
        <x:v>PARTNER-M179</x:v>
      </x:c>
    </x:row>
    <x:row r="3870" ht="46" customHeight="1">
      <x:c r="A3870" s="2" t="str">
        <x:v>TEN-61512E0643A9</x:v>
      </x:c>
      <x:c r="B3870" s="12" t="str">
        <x:v>Sitel India</x:v>
      </x:c>
      <x:c r="C3870" s="12" t="str">
        <x:v>CORP-0599</x:v>
      </x:c>
      <x:c r="D3870" s="12" t="str">
        <x:v>Mumbai</x:v>
      </x:c>
      <x:c r="E3870" s="12" t="str">
        <x:v>Kanakia Boomerang</x:v>
      </x:c>
      <x:c r="F3870" s="12" t="str">
        <x:v>55 inch</x:v>
      </x:c>
      <x:c r="G3870" s="20" t="n">
        <x:v>1</x:v>
      </x:c>
      <x:c r="H3870" s="12" t="str">
        <x:v>Campus/portfolio roster; individual building occupancy unverified</x:v>
      </x:c>
      <x:c r="I3870" s="12" t="str">
        <x:v>Mixed business audience</x:v>
      </x:c>
      <x:c r="J3870" s="12" t="str">
        <x:v>IT &amp; digital</x:v>
      </x:c>
      <x:c r="K3870" s="2" t="str">
        <x:v>PARTNER-M179</x:v>
      </x:c>
    </x:row>
    <x:row r="3871" ht="46" customHeight="1">
      <x:c r="A3871" s="2" t="str">
        <x:v>TEN-621D5603203C</x:v>
      </x:c>
      <x:c r="B3871" s="12" t="str">
        <x:v>Heurtey Petrochem India Private Limited</x:v>
      </x:c>
      <x:c r="C3871" s="12" t="str">
        <x:v>CORP-0599</x:v>
      </x:c>
      <x:c r="D3871" s="12" t="str">
        <x:v>Mumbai</x:v>
      </x:c>
      <x:c r="E3871" s="12" t="str">
        <x:v>Kanakia Boomerang</x:v>
      </x:c>
      <x:c r="F3871" s="12" t="str">
        <x:v>55 inch</x:v>
      </x:c>
      <x:c r="G3871" s="20" t="n">
        <x:v>1</x:v>
      </x:c>
      <x:c r="H3871" s="12" t="str">
        <x:v>Campus/portfolio roster; individual building occupancy unverified</x:v>
      </x:c>
      <x:c r="I3871" s="12" t="str">
        <x:v>Mixed business audience</x:v>
      </x:c>
      <x:c r="J3871" s="12" t="str">
        <x:v>Engineering &amp; manufacturing</x:v>
      </x:c>
      <x:c r="K3871" s="2" t="str">
        <x:v>PARTNER-M179</x:v>
      </x:c>
    </x:row>
    <x:row r="3872" ht="46" customHeight="1">
      <x:c r="A3872" s="2" t="str">
        <x:v>TEN-6F8D802453D7</x:v>
      </x:c>
      <x:c r="B3872" s="12" t="str">
        <x:v>Synergy Group</x:v>
      </x:c>
      <x:c r="C3872" s="12" t="str">
        <x:v>CORP-0599</x:v>
      </x:c>
      <x:c r="D3872" s="12" t="str">
        <x:v>Mumbai</x:v>
      </x:c>
      <x:c r="E3872" s="12" t="str">
        <x:v>Kanakia Boomerang</x:v>
      </x:c>
      <x:c r="F3872" s="12" t="str">
        <x:v>55 inch</x:v>
      </x:c>
      <x:c r="G3872" s="20" t="n">
        <x:v>1</x:v>
      </x:c>
      <x:c r="H3872" s="12" t="str">
        <x:v>Campus/portfolio roster; individual building occupancy unverified</x:v>
      </x:c>
      <x:c r="I3872" s="12" t="str">
        <x:v>Mixed business audience</x:v>
      </x:c>
      <x:c r="J3872" s="12" t="str">
        <x:v>Unresolved</x:v>
      </x:c>
      <x:c r="K3872" s="2" t="str">
        <x:v>PARTNER-M179</x:v>
      </x:c>
    </x:row>
    <x:row r="3873" ht="46" customHeight="1">
      <x:c r="A3873" s="2" t="str">
        <x:v>TEN-7DBA31647FAA</x:v>
      </x:c>
      <x:c r="B3873" s="12" t="str">
        <x:v>VRIPL Retail Private Limited</x:v>
      </x:c>
      <x:c r="C3873" s="12" t="str">
        <x:v>CORP-0599</x:v>
      </x:c>
      <x:c r="D3873" s="12" t="str">
        <x:v>Mumbai</x:v>
      </x:c>
      <x:c r="E3873" s="12" t="str">
        <x:v>Kanakia Boomerang</x:v>
      </x:c>
      <x:c r="F3873" s="12" t="str">
        <x:v>55 inch</x:v>
      </x:c>
      <x:c r="G3873" s="20" t="n">
        <x:v>1</x:v>
      </x:c>
      <x:c r="H3873" s="12" t="str">
        <x:v>Campus/portfolio roster; individual building occupancy unverified</x:v>
      </x:c>
      <x:c r="I3873" s="12" t="str">
        <x:v>Small-scale prospects</x:v>
      </x:c>
      <x:c r="J3873" s="12" t="str">
        <x:v>Trade, consumer &amp; logistics</x:v>
      </x:c>
      <x:c r="K3873" s="2" t="str">
        <x:v>PARTNER-M179</x:v>
      </x:c>
    </x:row>
    <x:row r="3874" ht="46" customHeight="1">
      <x:c r="A3874" s="2" t="str">
        <x:v>TEN-DB041B39B6B0</x:v>
      </x:c>
      <x:c r="B3874" s="12" t="str">
        <x:v>CIMS</x:v>
      </x:c>
      <x:c r="C3874" s="12" t="str">
        <x:v>CORP-0599</x:v>
      </x:c>
      <x:c r="D3874" s="12" t="str">
        <x:v>Mumbai</x:v>
      </x:c>
      <x:c r="E3874" s="12" t="str">
        <x:v>Kanakia Boomerang</x:v>
      </x:c>
      <x:c r="F3874" s="12" t="str">
        <x:v>55 inch</x:v>
      </x:c>
      <x:c r="G3874" s="20" t="n">
        <x:v>1</x:v>
      </x:c>
      <x:c r="H3874" s="12" t="str">
        <x:v>Campus/portfolio roster; individual building occupancy unverified</x:v>
      </x:c>
      <x:c r="I3874" s="12" t="str">
        <x:v>Mixed business audience</x:v>
      </x:c>
      <x:c r="J3874" s="12" t="str">
        <x:v>Unresolved</x:v>
      </x:c>
      <x:c r="K3874" s="2" t="str">
        <x:v>PARTNER-M179</x:v>
      </x:c>
    </x:row>
    <x:row r="3875" ht="46" customHeight="1">
      <x:c r="A3875" s="2" t="str">
        <x:v>TEN-EA2E8D5F5E0F</x:v>
      </x:c>
      <x:c r="B3875" s="12" t="str">
        <x:v>Unitherm Engineers Limited</x:v>
      </x:c>
      <x:c r="C3875" s="12" t="str">
        <x:v>CORP-0599</x:v>
      </x:c>
      <x:c r="D3875" s="12" t="str">
        <x:v>Mumbai</x:v>
      </x:c>
      <x:c r="E3875" s="12" t="str">
        <x:v>Kanakia Boomerang</x:v>
      </x:c>
      <x:c r="F3875" s="12" t="str">
        <x:v>55 inch</x:v>
      </x:c>
      <x:c r="G3875" s="20" t="n">
        <x:v>1</x:v>
      </x:c>
      <x:c r="H3875" s="12" t="str">
        <x:v>Campus/portfolio roster; individual building occupancy unverified</x:v>
      </x:c>
      <x:c r="I3875" s="12" t="str">
        <x:v>Medium-scale prospects</x:v>
      </x:c>
      <x:c r="J3875" s="12" t="str">
        <x:v>Engineering &amp; manufacturing</x:v>
      </x:c>
      <x:c r="K3875" s="2" t="str">
        <x:v>PARTNER-M179</x:v>
      </x:c>
    </x:row>
    <x:row r="3876" ht="46" customHeight="1">
      <x:c r="A3876" s="2" t="str">
        <x:v>TEN-EC31F8A49FA4</x:v>
      </x:c>
      <x:c r="B3876" s="12" t="str">
        <x:v>Vellvette</x:v>
      </x:c>
      <x:c r="C3876" s="12" t="str">
        <x:v>CORP-0599</x:v>
      </x:c>
      <x:c r="D3876" s="12" t="str">
        <x:v>Mumbai</x:v>
      </x:c>
      <x:c r="E3876" s="12" t="str">
        <x:v>Kanakia Boomerang</x:v>
      </x:c>
      <x:c r="F3876" s="12" t="str">
        <x:v>55 inch</x:v>
      </x:c>
      <x:c r="G3876" s="20" t="n">
        <x:v>1</x:v>
      </x:c>
      <x:c r="H3876" s="12" t="str">
        <x:v>Campus/portfolio roster; individual building occupancy unverified</x:v>
      </x:c>
      <x:c r="I3876" s="12" t="str">
        <x:v>Small-scale prospects</x:v>
      </x:c>
      <x:c r="J3876" s="12" t="str">
        <x:v>Trade, consumer &amp; logistics</x:v>
      </x:c>
      <x:c r="K3876" s="2" t="str">
        <x:v>PARTNER-M179</x:v>
      </x:c>
    </x:row>
    <x:row r="3877" ht="46" customHeight="1">
      <x:c r="A3877" s="2" t="str">
        <x:v>TEN-F8D593D0B92D</x:v>
      </x:c>
      <x:c r="B3877" s="12" t="str">
        <x:v>eClinicalWorks India Private Limited</x:v>
      </x:c>
      <x:c r="C3877" s="12" t="str">
        <x:v>CORP-0599</x:v>
      </x:c>
      <x:c r="D3877" s="12" t="str">
        <x:v>Mumbai</x:v>
      </x:c>
      <x:c r="E3877" s="12" t="str">
        <x:v>Kanakia Boomerang</x:v>
      </x:c>
      <x:c r="F3877" s="12" t="str">
        <x:v>55 inch</x:v>
      </x:c>
      <x:c r="G3877" s="20" t="n">
        <x:v>1</x:v>
      </x:c>
      <x:c r="H3877" s="12" t="str">
        <x:v>Campus/portfolio roster; individual building occupancy unverified</x:v>
      </x:c>
      <x:c r="I3877" s="12" t="str">
        <x:v>Mixed business audience</x:v>
      </x:c>
      <x:c r="J3877" s="12" t="str">
        <x:v>IT &amp; digital</x:v>
      </x:c>
      <x:c r="K3877" s="2" t="str">
        <x:v>PARTNER-M179</x:v>
      </x:c>
    </x:row>
    <x:row r="3878" ht="46" customHeight="1">
      <x:c r="A3878" s="2" t="str">
        <x:v>TEN-10C5B5430B91</x:v>
      </x:c>
      <x:c r="B3878" s="12" t="str">
        <x:v>Pioneer Foundation Engineers Pvt. Ltd</x:v>
      </x:c>
      <x:c r="C3878" s="12" t="str">
        <x:v>CORP-0600</x:v>
      </x:c>
      <x:c r="D3878" s="12" t="str">
        <x:v>Mumbai</x:v>
      </x:c>
      <x:c r="E3878" s="12" t="str">
        <x:v>Kanakia Boomerang</x:v>
      </x:c>
      <x:c r="F3878" s="12" t="str">
        <x:v>55 inch</x:v>
      </x:c>
      <x:c r="G3878" s="20" t="n">
        <x:v>1</x:v>
      </x:c>
      <x:c r="H3878" s="12" t="str">
        <x:v>Campus/portfolio roster; individual building occupancy unverified</x:v>
      </x:c>
      <x:c r="I3878" s="12" t="str">
        <x:v>Medium-scale prospects</x:v>
      </x:c>
      <x:c r="J3878" s="12" t="str">
        <x:v>Engineering &amp; manufacturing</x:v>
      </x:c>
      <x:c r="K3878" s="2" t="str">
        <x:v>PARTNER-M179</x:v>
      </x:c>
    </x:row>
    <x:row r="3879" ht="46" customHeight="1">
      <x:c r="A3879" s="2" t="str">
        <x:v>TEN-12562C5D297E</x:v>
      </x:c>
      <x:c r="B3879" s="12" t="str">
        <x:v>Nord-Lock India Private Limited</x:v>
      </x:c>
      <x:c r="C3879" s="12" t="str">
        <x:v>CORP-0600</x:v>
      </x:c>
      <x:c r="D3879" s="12" t="str">
        <x:v>Mumbai</x:v>
      </x:c>
      <x:c r="E3879" s="12" t="str">
        <x:v>Kanakia Boomerang</x:v>
      </x:c>
      <x:c r="F3879" s="12" t="str">
        <x:v>55 inch</x:v>
      </x:c>
      <x:c r="G3879" s="20" t="n">
        <x:v>1</x:v>
      </x:c>
      <x:c r="H3879" s="12" t="str">
        <x:v>Campus/portfolio roster; individual building occupancy unverified</x:v>
      </x:c>
      <x:c r="I3879" s="12" t="str">
        <x:v>Mixed business audience</x:v>
      </x:c>
      <x:c r="J3879" s="12" t="str">
        <x:v>Engineering &amp; manufacturing</x:v>
      </x:c>
      <x:c r="K3879" s="2" t="str">
        <x:v>PARTNER-M179</x:v>
      </x:c>
    </x:row>
    <x:row r="3880" ht="46" customHeight="1">
      <x:c r="A3880" s="2" t="str">
        <x:v>TEN-1F792F557E35</x:v>
      </x:c>
      <x:c r="B3880" s="12" t="str">
        <x:v>IGP.com</x:v>
      </x:c>
      <x:c r="C3880" s="12" t="str">
        <x:v>CORP-0600</x:v>
      </x:c>
      <x:c r="D3880" s="12" t="str">
        <x:v>Mumbai</x:v>
      </x:c>
      <x:c r="E3880" s="12" t="str">
        <x:v>Kanakia Boomerang</x:v>
      </x:c>
      <x:c r="F3880" s="12" t="str">
        <x:v>55 inch</x:v>
      </x:c>
      <x:c r="G3880" s="20" t="n">
        <x:v>1</x:v>
      </x:c>
      <x:c r="H3880" s="12" t="str">
        <x:v>Campus/portfolio roster; individual building occupancy unverified</x:v>
      </x:c>
      <x:c r="I3880" s="12" t="str">
        <x:v>Mixed business audience</x:v>
      </x:c>
      <x:c r="J3880" s="12" t="str">
        <x:v>Trade, consumer &amp; logistics</x:v>
      </x:c>
      <x:c r="K3880" s="2" t="str">
        <x:v>PARTNER-M179</x:v>
      </x:c>
    </x:row>
    <x:row r="3881" ht="46" customHeight="1">
      <x:c r="A3881" s="2" t="str">
        <x:v>TEN-204F804BC276</x:v>
      </x:c>
      <x:c r="B3881" s="12" t="str">
        <x:v>Clear Point Instrumentation Pvt. Ltd</x:v>
      </x:c>
      <x:c r="C3881" s="12" t="str">
        <x:v>CORP-0600</x:v>
      </x:c>
      <x:c r="D3881" s="12" t="str">
        <x:v>Mumbai</x:v>
      </x:c>
      <x:c r="E3881" s="12" t="str">
        <x:v>Kanakia Boomerang</x:v>
      </x:c>
      <x:c r="F3881" s="12" t="str">
        <x:v>55 inch</x:v>
      </x:c>
      <x:c r="G3881" s="20" t="n">
        <x:v>1</x:v>
      </x:c>
      <x:c r="H3881" s="12" t="str">
        <x:v>Campus/portfolio roster; individual building occupancy unverified</x:v>
      </x:c>
      <x:c r="I3881" s="12" t="str">
        <x:v>Medium-scale prospects</x:v>
      </x:c>
      <x:c r="J3881" s="12" t="str">
        <x:v>Engineering &amp; manufacturing</x:v>
      </x:c>
      <x:c r="K3881" s="2" t="str">
        <x:v>PARTNER-M179</x:v>
      </x:c>
    </x:row>
    <x:row r="3882" ht="46" customHeight="1">
      <x:c r="A3882" s="2" t="str">
        <x:v>TEN-272D2169C38E</x:v>
      </x:c>
      <x:c r="B3882" s="12" t="str">
        <x:v>Hi5 Youth Foundation</x:v>
      </x:c>
      <x:c r="C3882" s="12" t="str">
        <x:v>CORP-0600</x:v>
      </x:c>
      <x:c r="D3882" s="12" t="str">
        <x:v>Mumbai</x:v>
      </x:c>
      <x:c r="E3882" s="12" t="str">
        <x:v>Kanakia Boomerang</x:v>
      </x:c>
      <x:c r="F3882" s="12" t="str">
        <x:v>55 inch</x:v>
      </x:c>
      <x:c r="G3882" s="20" t="n">
        <x:v>1</x:v>
      </x:c>
      <x:c r="H3882" s="12" t="str">
        <x:v>Campus/portfolio roster; individual building occupancy unverified</x:v>
      </x:c>
      <x:c r="I3882" s="12" t="str">
        <x:v>Institutional</x:v>
      </x:c>
      <x:c r="J3882" s="12" t="str">
        <x:v>Government &amp; nonprofit</x:v>
      </x:c>
      <x:c r="K3882" s="2" t="str">
        <x:v>PARTNER-M179</x:v>
      </x:c>
    </x:row>
    <x:row r="3883" ht="46" customHeight="1">
      <x:c r="A3883" s="2" t="str">
        <x:v>TEN-2BE4993D4FEC</x:v>
      </x:c>
      <x:c r="B3883" s="12" t="str">
        <x:v>Mep</x:v>
      </x:c>
      <x:c r="C3883" s="12" t="str">
        <x:v>CORP-0600</x:v>
      </x:c>
      <x:c r="D3883" s="12" t="str">
        <x:v>Mumbai</x:v>
      </x:c>
      <x:c r="E3883" s="12" t="str">
        <x:v>Kanakia Boomerang</x:v>
      </x:c>
      <x:c r="F3883" s="12" t="str">
        <x:v>55 inch</x:v>
      </x:c>
      <x:c r="G3883" s="20" t="n">
        <x:v>1</x:v>
      </x:c>
      <x:c r="H3883" s="12" t="str">
        <x:v>Campus/portfolio roster; individual building occupancy unverified</x:v>
      </x:c>
      <x:c r="I3883" s="12" t="str">
        <x:v>Mixed business audience</x:v>
      </x:c>
      <x:c r="J3883" s="12" t="str">
        <x:v>Unresolved</x:v>
      </x:c>
      <x:c r="K3883" s="2" t="str">
        <x:v>PARTNER-M179</x:v>
      </x:c>
    </x:row>
    <x:row r="3884" ht="46" customHeight="1">
      <x:c r="A3884" s="2" t="str">
        <x:v>TEN-5045ABCEFDBB</x:v>
      </x:c>
      <x:c r="B3884" s="12" t="str">
        <x:v>Roxul Rockwool</x:v>
      </x:c>
      <x:c r="C3884" s="12" t="str">
        <x:v>CORP-0600</x:v>
      </x:c>
      <x:c r="D3884" s="12" t="str">
        <x:v>Mumbai</x:v>
      </x:c>
      <x:c r="E3884" s="12" t="str">
        <x:v>Kanakia Boomerang</x:v>
      </x:c>
      <x:c r="F3884" s="12" t="str">
        <x:v>55 inch</x:v>
      </x:c>
      <x:c r="G3884" s="20" t="n">
        <x:v>1</x:v>
      </x:c>
      <x:c r="H3884" s="12" t="str">
        <x:v>Campus/portfolio roster; individual building occupancy unverified</x:v>
      </x:c>
      <x:c r="I3884" s="12" t="str">
        <x:v>Mixed business audience</x:v>
      </x:c>
      <x:c r="J3884" s="12" t="str">
        <x:v>Engineering &amp; manufacturing</x:v>
      </x:c>
      <x:c r="K3884" s="2" t="str">
        <x:v>PARTNER-M179</x:v>
      </x:c>
    </x:row>
    <x:row r="3885" ht="46" customHeight="1">
      <x:c r="A3885" s="2" t="str">
        <x:v>TEN-5CF27221D70B</x:v>
      </x:c>
      <x:c r="B3885" s="12" t="str">
        <x:v>Transven Lifestyle Pvt. Ltd</x:v>
      </x:c>
      <x:c r="C3885" s="12" t="str">
        <x:v>CORP-0600</x:v>
      </x:c>
      <x:c r="D3885" s="12" t="str">
        <x:v>Mumbai</x:v>
      </x:c>
      <x:c r="E3885" s="12" t="str">
        <x:v>Kanakia Boomerang</x:v>
      </x:c>
      <x:c r="F3885" s="12" t="str">
        <x:v>55 inch</x:v>
      </x:c>
      <x:c r="G3885" s="20" t="n">
        <x:v>1</x:v>
      </x:c>
      <x:c r="H3885" s="12" t="str">
        <x:v>Campus/portfolio roster; individual building occupancy unverified</x:v>
      </x:c>
      <x:c r="I3885" s="12" t="str">
        <x:v>Small-scale prospects</x:v>
      </x:c>
      <x:c r="J3885" s="12" t="str">
        <x:v>Trade, consumer &amp; logistics</x:v>
      </x:c>
      <x:c r="K3885" s="2" t="str">
        <x:v>PARTNER-M179</x:v>
      </x:c>
    </x:row>
    <x:row r="3886" ht="46" customHeight="1">
      <x:c r="A3886" s="2" t="str">
        <x:v>TEN-61512E0643A9</x:v>
      </x:c>
      <x:c r="B3886" s="12" t="str">
        <x:v>Sitel India</x:v>
      </x:c>
      <x:c r="C3886" s="12" t="str">
        <x:v>CORP-0600</x:v>
      </x:c>
      <x:c r="D3886" s="12" t="str">
        <x:v>Mumbai</x:v>
      </x:c>
      <x:c r="E3886" s="12" t="str">
        <x:v>Kanakia Boomerang</x:v>
      </x:c>
      <x:c r="F3886" s="12" t="str">
        <x:v>55 inch</x:v>
      </x:c>
      <x:c r="G3886" s="20" t="n">
        <x:v>1</x:v>
      </x:c>
      <x:c r="H3886" s="12" t="str">
        <x:v>Campus/portfolio roster; individual building occupancy unverified</x:v>
      </x:c>
      <x:c r="I3886" s="12" t="str">
        <x:v>Mixed business audience</x:v>
      </x:c>
      <x:c r="J3886" s="12" t="str">
        <x:v>IT &amp; digital</x:v>
      </x:c>
      <x:c r="K3886" s="2" t="str">
        <x:v>PARTNER-M179</x:v>
      </x:c>
    </x:row>
    <x:row r="3887" ht="46" customHeight="1">
      <x:c r="A3887" s="2" t="str">
        <x:v>TEN-621D5603203C</x:v>
      </x:c>
      <x:c r="B3887" s="12" t="str">
        <x:v>Heurtey Petrochem India Private Limited</x:v>
      </x:c>
      <x:c r="C3887" s="12" t="str">
        <x:v>CORP-0600</x:v>
      </x:c>
      <x:c r="D3887" s="12" t="str">
        <x:v>Mumbai</x:v>
      </x:c>
      <x:c r="E3887" s="12" t="str">
        <x:v>Kanakia Boomerang</x:v>
      </x:c>
      <x:c r="F3887" s="12" t="str">
        <x:v>55 inch</x:v>
      </x:c>
      <x:c r="G3887" s="20" t="n">
        <x:v>1</x:v>
      </x:c>
      <x:c r="H3887" s="12" t="str">
        <x:v>Campus/portfolio roster; individual building occupancy unverified</x:v>
      </x:c>
      <x:c r="I3887" s="12" t="str">
        <x:v>Mixed business audience</x:v>
      </x:c>
      <x:c r="J3887" s="12" t="str">
        <x:v>Engineering &amp; manufacturing</x:v>
      </x:c>
      <x:c r="K3887" s="2" t="str">
        <x:v>PARTNER-M179</x:v>
      </x:c>
    </x:row>
    <x:row r="3888" ht="46" customHeight="1">
      <x:c r="A3888" s="2" t="str">
        <x:v>TEN-6F8D802453D7</x:v>
      </x:c>
      <x:c r="B3888" s="12" t="str">
        <x:v>Synergy Group</x:v>
      </x:c>
      <x:c r="C3888" s="12" t="str">
        <x:v>CORP-0600</x:v>
      </x:c>
      <x:c r="D3888" s="12" t="str">
        <x:v>Mumbai</x:v>
      </x:c>
      <x:c r="E3888" s="12" t="str">
        <x:v>Kanakia Boomerang</x:v>
      </x:c>
      <x:c r="F3888" s="12" t="str">
        <x:v>55 inch</x:v>
      </x:c>
      <x:c r="G3888" s="20" t="n">
        <x:v>1</x:v>
      </x:c>
      <x:c r="H3888" s="12" t="str">
        <x:v>Campus/portfolio roster; individual building occupancy unverified</x:v>
      </x:c>
      <x:c r="I3888" s="12" t="str">
        <x:v>Mixed business audience</x:v>
      </x:c>
      <x:c r="J3888" s="12" t="str">
        <x:v>Unresolved</x:v>
      </x:c>
      <x:c r="K3888" s="2" t="str">
        <x:v>PARTNER-M179</x:v>
      </x:c>
    </x:row>
    <x:row r="3889" ht="46" customHeight="1">
      <x:c r="A3889" s="2" t="str">
        <x:v>TEN-7DBA31647FAA</x:v>
      </x:c>
      <x:c r="B3889" s="12" t="str">
        <x:v>VRIPL Retail Private Limited</x:v>
      </x:c>
      <x:c r="C3889" s="12" t="str">
        <x:v>CORP-0600</x:v>
      </x:c>
      <x:c r="D3889" s="12" t="str">
        <x:v>Mumbai</x:v>
      </x:c>
      <x:c r="E3889" s="12" t="str">
        <x:v>Kanakia Boomerang</x:v>
      </x:c>
      <x:c r="F3889" s="12" t="str">
        <x:v>55 inch</x:v>
      </x:c>
      <x:c r="G3889" s="20" t="n">
        <x:v>1</x:v>
      </x:c>
      <x:c r="H3889" s="12" t="str">
        <x:v>Campus/portfolio roster; individual building occupancy unverified</x:v>
      </x:c>
      <x:c r="I3889" s="12" t="str">
        <x:v>Small-scale prospects</x:v>
      </x:c>
      <x:c r="J3889" s="12" t="str">
        <x:v>Trade, consumer &amp; logistics</x:v>
      </x:c>
      <x:c r="K3889" s="2" t="str">
        <x:v>PARTNER-M179</x:v>
      </x:c>
    </x:row>
    <x:row r="3890" ht="46" customHeight="1">
      <x:c r="A3890" s="2" t="str">
        <x:v>TEN-DB041B39B6B0</x:v>
      </x:c>
      <x:c r="B3890" s="12" t="str">
        <x:v>CIMS</x:v>
      </x:c>
      <x:c r="C3890" s="12" t="str">
        <x:v>CORP-0600</x:v>
      </x:c>
      <x:c r="D3890" s="12" t="str">
        <x:v>Mumbai</x:v>
      </x:c>
      <x:c r="E3890" s="12" t="str">
        <x:v>Kanakia Boomerang</x:v>
      </x:c>
      <x:c r="F3890" s="12" t="str">
        <x:v>55 inch</x:v>
      </x:c>
      <x:c r="G3890" s="20" t="n">
        <x:v>1</x:v>
      </x:c>
      <x:c r="H3890" s="12" t="str">
        <x:v>Campus/portfolio roster; individual building occupancy unverified</x:v>
      </x:c>
      <x:c r="I3890" s="12" t="str">
        <x:v>Mixed business audience</x:v>
      </x:c>
      <x:c r="J3890" s="12" t="str">
        <x:v>Unresolved</x:v>
      </x:c>
      <x:c r="K3890" s="2" t="str">
        <x:v>PARTNER-M179</x:v>
      </x:c>
    </x:row>
    <x:row r="3891" ht="46" customHeight="1">
      <x:c r="A3891" s="2" t="str">
        <x:v>TEN-EA2E8D5F5E0F</x:v>
      </x:c>
      <x:c r="B3891" s="12" t="str">
        <x:v>Unitherm Engineers Limited</x:v>
      </x:c>
      <x:c r="C3891" s="12" t="str">
        <x:v>CORP-0600</x:v>
      </x:c>
      <x:c r="D3891" s="12" t="str">
        <x:v>Mumbai</x:v>
      </x:c>
      <x:c r="E3891" s="12" t="str">
        <x:v>Kanakia Boomerang</x:v>
      </x:c>
      <x:c r="F3891" s="12" t="str">
        <x:v>55 inch</x:v>
      </x:c>
      <x:c r="G3891" s="20" t="n">
        <x:v>1</x:v>
      </x:c>
      <x:c r="H3891" s="12" t="str">
        <x:v>Campus/portfolio roster; individual building occupancy unverified</x:v>
      </x:c>
      <x:c r="I3891" s="12" t="str">
        <x:v>Medium-scale prospects</x:v>
      </x:c>
      <x:c r="J3891" s="12" t="str">
        <x:v>Engineering &amp; manufacturing</x:v>
      </x:c>
      <x:c r="K3891" s="2" t="str">
        <x:v>PARTNER-M179</x:v>
      </x:c>
    </x:row>
    <x:row r="3892" ht="46" customHeight="1">
      <x:c r="A3892" s="2" t="str">
        <x:v>TEN-EC31F8A49FA4</x:v>
      </x:c>
      <x:c r="B3892" s="12" t="str">
        <x:v>Vellvette</x:v>
      </x:c>
      <x:c r="C3892" s="12" t="str">
        <x:v>CORP-0600</x:v>
      </x:c>
      <x:c r="D3892" s="12" t="str">
        <x:v>Mumbai</x:v>
      </x:c>
      <x:c r="E3892" s="12" t="str">
        <x:v>Kanakia Boomerang</x:v>
      </x:c>
      <x:c r="F3892" s="12" t="str">
        <x:v>55 inch</x:v>
      </x:c>
      <x:c r="G3892" s="20" t="n">
        <x:v>1</x:v>
      </x:c>
      <x:c r="H3892" s="12" t="str">
        <x:v>Campus/portfolio roster; individual building occupancy unverified</x:v>
      </x:c>
      <x:c r="I3892" s="12" t="str">
        <x:v>Small-scale prospects</x:v>
      </x:c>
      <x:c r="J3892" s="12" t="str">
        <x:v>Trade, consumer &amp; logistics</x:v>
      </x:c>
      <x:c r="K3892" s="2" t="str">
        <x:v>PARTNER-M179</x:v>
      </x:c>
    </x:row>
    <x:row r="3893" ht="46" customHeight="1">
      <x:c r="A3893" s="2" t="str">
        <x:v>TEN-F8D593D0B92D</x:v>
      </x:c>
      <x:c r="B3893" s="12" t="str">
        <x:v>eClinicalWorks India Private Limited</x:v>
      </x:c>
      <x:c r="C3893" s="12" t="str">
        <x:v>CORP-0600</x:v>
      </x:c>
      <x:c r="D3893" s="12" t="str">
        <x:v>Mumbai</x:v>
      </x:c>
      <x:c r="E3893" s="12" t="str">
        <x:v>Kanakia Boomerang</x:v>
      </x:c>
      <x:c r="F3893" s="12" t="str">
        <x:v>55 inch</x:v>
      </x:c>
      <x:c r="G3893" s="20" t="n">
        <x:v>1</x:v>
      </x:c>
      <x:c r="H3893" s="12" t="str">
        <x:v>Campus/portfolio roster; individual building occupancy unverified</x:v>
      </x:c>
      <x:c r="I3893" s="12" t="str">
        <x:v>Mixed business audience</x:v>
      </x:c>
      <x:c r="J3893" s="12" t="str">
        <x:v>IT &amp; digital</x:v>
      </x:c>
      <x:c r="K3893" s="2" t="str">
        <x:v>PARTNER-M179</x:v>
      </x:c>
    </x:row>
    <x:row r="3894" ht="46" customHeight="1">
      <x:c r="A3894" s="2" t="str">
        <x:v>TEN-10C5B5430B91</x:v>
      </x:c>
      <x:c r="B3894" s="12" t="str">
        <x:v>Pioneer Foundation Engineers Pvt. Ltd</x:v>
      </x:c>
      <x:c r="C3894" s="12" t="str">
        <x:v>CORP-0601</x:v>
      </x:c>
      <x:c r="D3894" s="12" t="str">
        <x:v>Mumbai</x:v>
      </x:c>
      <x:c r="E3894" s="12" t="str">
        <x:v>Kanakia Boomerang</x:v>
      </x:c>
      <x:c r="F3894" s="12" t="str">
        <x:v>55 inch</x:v>
      </x:c>
      <x:c r="G3894" s="20" t="n">
        <x:v>1</x:v>
      </x:c>
      <x:c r="H3894" s="12" t="str">
        <x:v>Campus/portfolio roster; individual building occupancy unverified</x:v>
      </x:c>
      <x:c r="I3894" s="12" t="str">
        <x:v>Medium-scale prospects</x:v>
      </x:c>
      <x:c r="J3894" s="12" t="str">
        <x:v>Engineering &amp; manufacturing</x:v>
      </x:c>
      <x:c r="K3894" s="2" t="str">
        <x:v>PARTNER-M179</x:v>
      </x:c>
    </x:row>
    <x:row r="3895" ht="46" customHeight="1">
      <x:c r="A3895" s="2" t="str">
        <x:v>TEN-12562C5D297E</x:v>
      </x:c>
      <x:c r="B3895" s="12" t="str">
        <x:v>Nord-Lock India Private Limited</x:v>
      </x:c>
      <x:c r="C3895" s="12" t="str">
        <x:v>CORP-0601</x:v>
      </x:c>
      <x:c r="D3895" s="12" t="str">
        <x:v>Mumbai</x:v>
      </x:c>
      <x:c r="E3895" s="12" t="str">
        <x:v>Kanakia Boomerang</x:v>
      </x:c>
      <x:c r="F3895" s="12" t="str">
        <x:v>55 inch</x:v>
      </x:c>
      <x:c r="G3895" s="20" t="n">
        <x:v>1</x:v>
      </x:c>
      <x:c r="H3895" s="12" t="str">
        <x:v>Campus/portfolio roster; individual building occupancy unverified</x:v>
      </x:c>
      <x:c r="I3895" s="12" t="str">
        <x:v>Mixed business audience</x:v>
      </x:c>
      <x:c r="J3895" s="12" t="str">
        <x:v>Engineering &amp; manufacturing</x:v>
      </x:c>
      <x:c r="K3895" s="2" t="str">
        <x:v>PARTNER-M179</x:v>
      </x:c>
    </x:row>
    <x:row r="3896" ht="46" customHeight="1">
      <x:c r="A3896" s="2" t="str">
        <x:v>TEN-1F792F557E35</x:v>
      </x:c>
      <x:c r="B3896" s="12" t="str">
        <x:v>IGP.com</x:v>
      </x:c>
      <x:c r="C3896" s="12" t="str">
        <x:v>CORP-0601</x:v>
      </x:c>
      <x:c r="D3896" s="12" t="str">
        <x:v>Mumbai</x:v>
      </x:c>
      <x:c r="E3896" s="12" t="str">
        <x:v>Kanakia Boomerang</x:v>
      </x:c>
      <x:c r="F3896" s="12" t="str">
        <x:v>55 inch</x:v>
      </x:c>
      <x:c r="G3896" s="20" t="n">
        <x:v>1</x:v>
      </x:c>
      <x:c r="H3896" s="12" t="str">
        <x:v>Campus/portfolio roster; individual building occupancy unverified</x:v>
      </x:c>
      <x:c r="I3896" s="12" t="str">
        <x:v>Mixed business audience</x:v>
      </x:c>
      <x:c r="J3896" s="12" t="str">
        <x:v>Trade, consumer &amp; logistics</x:v>
      </x:c>
      <x:c r="K3896" s="2" t="str">
        <x:v>PARTNER-M179</x:v>
      </x:c>
    </x:row>
    <x:row r="3897" ht="46" customHeight="1">
      <x:c r="A3897" s="2" t="str">
        <x:v>TEN-204F804BC276</x:v>
      </x:c>
      <x:c r="B3897" s="12" t="str">
        <x:v>Clear Point Instrumentation Pvt. Ltd</x:v>
      </x:c>
      <x:c r="C3897" s="12" t="str">
        <x:v>CORP-0601</x:v>
      </x:c>
      <x:c r="D3897" s="12" t="str">
        <x:v>Mumbai</x:v>
      </x:c>
      <x:c r="E3897" s="12" t="str">
        <x:v>Kanakia Boomerang</x:v>
      </x:c>
      <x:c r="F3897" s="12" t="str">
        <x:v>55 inch</x:v>
      </x:c>
      <x:c r="G3897" s="20" t="n">
        <x:v>1</x:v>
      </x:c>
      <x:c r="H3897" s="12" t="str">
        <x:v>Campus/portfolio roster; individual building occupancy unverified</x:v>
      </x:c>
      <x:c r="I3897" s="12" t="str">
        <x:v>Medium-scale prospects</x:v>
      </x:c>
      <x:c r="J3897" s="12" t="str">
        <x:v>Engineering &amp; manufacturing</x:v>
      </x:c>
      <x:c r="K3897" s="2" t="str">
        <x:v>PARTNER-M179</x:v>
      </x:c>
    </x:row>
    <x:row r="3898" ht="46" customHeight="1">
      <x:c r="A3898" s="2" t="str">
        <x:v>TEN-272D2169C38E</x:v>
      </x:c>
      <x:c r="B3898" s="12" t="str">
        <x:v>Hi5 Youth Foundation</x:v>
      </x:c>
      <x:c r="C3898" s="12" t="str">
        <x:v>CORP-0601</x:v>
      </x:c>
      <x:c r="D3898" s="12" t="str">
        <x:v>Mumbai</x:v>
      </x:c>
      <x:c r="E3898" s="12" t="str">
        <x:v>Kanakia Boomerang</x:v>
      </x:c>
      <x:c r="F3898" s="12" t="str">
        <x:v>55 inch</x:v>
      </x:c>
      <x:c r="G3898" s="20" t="n">
        <x:v>1</x:v>
      </x:c>
      <x:c r="H3898" s="12" t="str">
        <x:v>Campus/portfolio roster; individual building occupancy unverified</x:v>
      </x:c>
      <x:c r="I3898" s="12" t="str">
        <x:v>Institutional</x:v>
      </x:c>
      <x:c r="J3898" s="12" t="str">
        <x:v>Government &amp; nonprofit</x:v>
      </x:c>
      <x:c r="K3898" s="2" t="str">
        <x:v>PARTNER-M179</x:v>
      </x:c>
    </x:row>
    <x:row r="3899" ht="46" customHeight="1">
      <x:c r="A3899" s="2" t="str">
        <x:v>TEN-2BE4993D4FEC</x:v>
      </x:c>
      <x:c r="B3899" s="12" t="str">
        <x:v>Mep</x:v>
      </x:c>
      <x:c r="C3899" s="12" t="str">
        <x:v>CORP-0601</x:v>
      </x:c>
      <x:c r="D3899" s="12" t="str">
        <x:v>Mumbai</x:v>
      </x:c>
      <x:c r="E3899" s="12" t="str">
        <x:v>Kanakia Boomerang</x:v>
      </x:c>
      <x:c r="F3899" s="12" t="str">
        <x:v>55 inch</x:v>
      </x:c>
      <x:c r="G3899" s="20" t="n">
        <x:v>1</x:v>
      </x:c>
      <x:c r="H3899" s="12" t="str">
        <x:v>Campus/portfolio roster; individual building occupancy unverified</x:v>
      </x:c>
      <x:c r="I3899" s="12" t="str">
        <x:v>Mixed business audience</x:v>
      </x:c>
      <x:c r="J3899" s="12" t="str">
        <x:v>Unresolved</x:v>
      </x:c>
      <x:c r="K3899" s="2" t="str">
        <x:v>PARTNER-M179</x:v>
      </x:c>
    </x:row>
    <x:row r="3900" ht="46" customHeight="1">
      <x:c r="A3900" s="2" t="str">
        <x:v>TEN-5045ABCEFDBB</x:v>
      </x:c>
      <x:c r="B3900" s="12" t="str">
        <x:v>Roxul Rockwool</x:v>
      </x:c>
      <x:c r="C3900" s="12" t="str">
        <x:v>CORP-0601</x:v>
      </x:c>
      <x:c r="D3900" s="12" t="str">
        <x:v>Mumbai</x:v>
      </x:c>
      <x:c r="E3900" s="12" t="str">
        <x:v>Kanakia Boomerang</x:v>
      </x:c>
      <x:c r="F3900" s="12" t="str">
        <x:v>55 inch</x:v>
      </x:c>
      <x:c r="G3900" s="20" t="n">
        <x:v>1</x:v>
      </x:c>
      <x:c r="H3900" s="12" t="str">
        <x:v>Campus/portfolio roster; individual building occupancy unverified</x:v>
      </x:c>
      <x:c r="I3900" s="12" t="str">
        <x:v>Mixed business audience</x:v>
      </x:c>
      <x:c r="J3900" s="12" t="str">
        <x:v>Engineering &amp; manufacturing</x:v>
      </x:c>
      <x:c r="K3900" s="2" t="str">
        <x:v>PARTNER-M179</x:v>
      </x:c>
    </x:row>
    <x:row r="3901" ht="46" customHeight="1">
      <x:c r="A3901" s="2" t="str">
        <x:v>TEN-5CF27221D70B</x:v>
      </x:c>
      <x:c r="B3901" s="12" t="str">
        <x:v>Transven Lifestyle Pvt. Ltd</x:v>
      </x:c>
      <x:c r="C3901" s="12" t="str">
        <x:v>CORP-0601</x:v>
      </x:c>
      <x:c r="D3901" s="12" t="str">
        <x:v>Mumbai</x:v>
      </x:c>
      <x:c r="E3901" s="12" t="str">
        <x:v>Kanakia Boomerang</x:v>
      </x:c>
      <x:c r="F3901" s="12" t="str">
        <x:v>55 inch</x:v>
      </x:c>
      <x:c r="G3901" s="20" t="n">
        <x:v>1</x:v>
      </x:c>
      <x:c r="H3901" s="12" t="str">
        <x:v>Campus/portfolio roster; individual building occupancy unverified</x:v>
      </x:c>
      <x:c r="I3901" s="12" t="str">
        <x:v>Small-scale prospects</x:v>
      </x:c>
      <x:c r="J3901" s="12" t="str">
        <x:v>Trade, consumer &amp; logistics</x:v>
      </x:c>
      <x:c r="K3901" s="2" t="str">
        <x:v>PARTNER-M179</x:v>
      </x:c>
    </x:row>
    <x:row r="3902" ht="46" customHeight="1">
      <x:c r="A3902" s="2" t="str">
        <x:v>TEN-61512E0643A9</x:v>
      </x:c>
      <x:c r="B3902" s="12" t="str">
        <x:v>Sitel India</x:v>
      </x:c>
      <x:c r="C3902" s="12" t="str">
        <x:v>CORP-0601</x:v>
      </x:c>
      <x:c r="D3902" s="12" t="str">
        <x:v>Mumbai</x:v>
      </x:c>
      <x:c r="E3902" s="12" t="str">
        <x:v>Kanakia Boomerang</x:v>
      </x:c>
      <x:c r="F3902" s="12" t="str">
        <x:v>55 inch</x:v>
      </x:c>
      <x:c r="G3902" s="20" t="n">
        <x:v>1</x:v>
      </x:c>
      <x:c r="H3902" s="12" t="str">
        <x:v>Campus/portfolio roster; individual building occupancy unverified</x:v>
      </x:c>
      <x:c r="I3902" s="12" t="str">
        <x:v>Mixed business audience</x:v>
      </x:c>
      <x:c r="J3902" s="12" t="str">
        <x:v>IT &amp; digital</x:v>
      </x:c>
      <x:c r="K3902" s="2" t="str">
        <x:v>PARTNER-M179</x:v>
      </x:c>
    </x:row>
    <x:row r="3903" ht="46" customHeight="1">
      <x:c r="A3903" s="2" t="str">
        <x:v>TEN-621D5603203C</x:v>
      </x:c>
      <x:c r="B3903" s="12" t="str">
        <x:v>Heurtey Petrochem India Private Limited</x:v>
      </x:c>
      <x:c r="C3903" s="12" t="str">
        <x:v>CORP-0601</x:v>
      </x:c>
      <x:c r="D3903" s="12" t="str">
        <x:v>Mumbai</x:v>
      </x:c>
      <x:c r="E3903" s="12" t="str">
        <x:v>Kanakia Boomerang</x:v>
      </x:c>
      <x:c r="F3903" s="12" t="str">
        <x:v>55 inch</x:v>
      </x:c>
      <x:c r="G3903" s="20" t="n">
        <x:v>1</x:v>
      </x:c>
      <x:c r="H3903" s="12" t="str">
        <x:v>Campus/portfolio roster; individual building occupancy unverified</x:v>
      </x:c>
      <x:c r="I3903" s="12" t="str">
        <x:v>Mixed business audience</x:v>
      </x:c>
      <x:c r="J3903" s="12" t="str">
        <x:v>Engineering &amp; manufacturing</x:v>
      </x:c>
      <x:c r="K3903" s="2" t="str">
        <x:v>PARTNER-M179</x:v>
      </x:c>
    </x:row>
    <x:row r="3904" ht="46" customHeight="1">
      <x:c r="A3904" s="2" t="str">
        <x:v>TEN-6F8D802453D7</x:v>
      </x:c>
      <x:c r="B3904" s="12" t="str">
        <x:v>Synergy Group</x:v>
      </x:c>
      <x:c r="C3904" s="12" t="str">
        <x:v>CORP-0601</x:v>
      </x:c>
      <x:c r="D3904" s="12" t="str">
        <x:v>Mumbai</x:v>
      </x:c>
      <x:c r="E3904" s="12" t="str">
        <x:v>Kanakia Boomerang</x:v>
      </x:c>
      <x:c r="F3904" s="12" t="str">
        <x:v>55 inch</x:v>
      </x:c>
      <x:c r="G3904" s="20" t="n">
        <x:v>1</x:v>
      </x:c>
      <x:c r="H3904" s="12" t="str">
        <x:v>Campus/portfolio roster; individual building occupancy unverified</x:v>
      </x:c>
      <x:c r="I3904" s="12" t="str">
        <x:v>Mixed business audience</x:v>
      </x:c>
      <x:c r="J3904" s="12" t="str">
        <x:v>Unresolved</x:v>
      </x:c>
      <x:c r="K3904" s="2" t="str">
        <x:v>PARTNER-M179</x:v>
      </x:c>
    </x:row>
    <x:row r="3905" ht="46" customHeight="1">
      <x:c r="A3905" s="2" t="str">
        <x:v>TEN-7DBA31647FAA</x:v>
      </x:c>
      <x:c r="B3905" s="12" t="str">
        <x:v>VRIPL Retail Private Limited</x:v>
      </x:c>
      <x:c r="C3905" s="12" t="str">
        <x:v>CORP-0601</x:v>
      </x:c>
      <x:c r="D3905" s="12" t="str">
        <x:v>Mumbai</x:v>
      </x:c>
      <x:c r="E3905" s="12" t="str">
        <x:v>Kanakia Boomerang</x:v>
      </x:c>
      <x:c r="F3905" s="12" t="str">
        <x:v>55 inch</x:v>
      </x:c>
      <x:c r="G3905" s="20" t="n">
        <x:v>1</x:v>
      </x:c>
      <x:c r="H3905" s="12" t="str">
        <x:v>Campus/portfolio roster; individual building occupancy unverified</x:v>
      </x:c>
      <x:c r="I3905" s="12" t="str">
        <x:v>Small-scale prospects</x:v>
      </x:c>
      <x:c r="J3905" s="12" t="str">
        <x:v>Trade, consumer &amp; logistics</x:v>
      </x:c>
      <x:c r="K3905" s="2" t="str">
        <x:v>PARTNER-M179</x:v>
      </x:c>
    </x:row>
    <x:row r="3906" ht="46" customHeight="1">
      <x:c r="A3906" s="2" t="str">
        <x:v>TEN-DB041B39B6B0</x:v>
      </x:c>
      <x:c r="B3906" s="12" t="str">
        <x:v>CIMS</x:v>
      </x:c>
      <x:c r="C3906" s="12" t="str">
        <x:v>CORP-0601</x:v>
      </x:c>
      <x:c r="D3906" s="12" t="str">
        <x:v>Mumbai</x:v>
      </x:c>
      <x:c r="E3906" s="12" t="str">
        <x:v>Kanakia Boomerang</x:v>
      </x:c>
      <x:c r="F3906" s="12" t="str">
        <x:v>55 inch</x:v>
      </x:c>
      <x:c r="G3906" s="20" t="n">
        <x:v>1</x:v>
      </x:c>
      <x:c r="H3906" s="12" t="str">
        <x:v>Campus/portfolio roster; individual building occupancy unverified</x:v>
      </x:c>
      <x:c r="I3906" s="12" t="str">
        <x:v>Mixed business audience</x:v>
      </x:c>
      <x:c r="J3906" s="12" t="str">
        <x:v>Unresolved</x:v>
      </x:c>
      <x:c r="K3906" s="2" t="str">
        <x:v>PARTNER-M179</x:v>
      </x:c>
    </x:row>
    <x:row r="3907" ht="46" customHeight="1">
      <x:c r="A3907" s="2" t="str">
        <x:v>TEN-EA2E8D5F5E0F</x:v>
      </x:c>
      <x:c r="B3907" s="12" t="str">
        <x:v>Unitherm Engineers Limited</x:v>
      </x:c>
      <x:c r="C3907" s="12" t="str">
        <x:v>CORP-0601</x:v>
      </x:c>
      <x:c r="D3907" s="12" t="str">
        <x:v>Mumbai</x:v>
      </x:c>
      <x:c r="E3907" s="12" t="str">
        <x:v>Kanakia Boomerang</x:v>
      </x:c>
      <x:c r="F3907" s="12" t="str">
        <x:v>55 inch</x:v>
      </x:c>
      <x:c r="G3907" s="20" t="n">
        <x:v>1</x:v>
      </x:c>
      <x:c r="H3907" s="12" t="str">
        <x:v>Campus/portfolio roster; individual building occupancy unverified</x:v>
      </x:c>
      <x:c r="I3907" s="12" t="str">
        <x:v>Medium-scale prospects</x:v>
      </x:c>
      <x:c r="J3907" s="12" t="str">
        <x:v>Engineering &amp; manufacturing</x:v>
      </x:c>
      <x:c r="K3907" s="2" t="str">
        <x:v>PARTNER-M179</x:v>
      </x:c>
    </x:row>
    <x:row r="3908" ht="46" customHeight="1">
      <x:c r="A3908" s="2" t="str">
        <x:v>TEN-EC31F8A49FA4</x:v>
      </x:c>
      <x:c r="B3908" s="12" t="str">
        <x:v>Vellvette</x:v>
      </x:c>
      <x:c r="C3908" s="12" t="str">
        <x:v>CORP-0601</x:v>
      </x:c>
      <x:c r="D3908" s="12" t="str">
        <x:v>Mumbai</x:v>
      </x:c>
      <x:c r="E3908" s="12" t="str">
        <x:v>Kanakia Boomerang</x:v>
      </x:c>
      <x:c r="F3908" s="12" t="str">
        <x:v>55 inch</x:v>
      </x:c>
      <x:c r="G3908" s="20" t="n">
        <x:v>1</x:v>
      </x:c>
      <x:c r="H3908" s="12" t="str">
        <x:v>Campus/portfolio roster; individual building occupancy unverified</x:v>
      </x:c>
      <x:c r="I3908" s="12" t="str">
        <x:v>Small-scale prospects</x:v>
      </x:c>
      <x:c r="J3908" s="12" t="str">
        <x:v>Trade, consumer &amp; logistics</x:v>
      </x:c>
      <x:c r="K3908" s="2" t="str">
        <x:v>PARTNER-M179</x:v>
      </x:c>
    </x:row>
    <x:row r="3909" ht="46" customHeight="1">
      <x:c r="A3909" s="2" t="str">
        <x:v>TEN-F8D593D0B92D</x:v>
      </x:c>
      <x:c r="B3909" s="12" t="str">
        <x:v>eClinicalWorks India Private Limited</x:v>
      </x:c>
      <x:c r="C3909" s="12" t="str">
        <x:v>CORP-0601</x:v>
      </x:c>
      <x:c r="D3909" s="12" t="str">
        <x:v>Mumbai</x:v>
      </x:c>
      <x:c r="E3909" s="12" t="str">
        <x:v>Kanakia Boomerang</x:v>
      </x:c>
      <x:c r="F3909" s="12" t="str">
        <x:v>55 inch</x:v>
      </x:c>
      <x:c r="G3909" s="20" t="n">
        <x:v>1</x:v>
      </x:c>
      <x:c r="H3909" s="12" t="str">
        <x:v>Campus/portfolio roster; individual building occupancy unverified</x:v>
      </x:c>
      <x:c r="I3909" s="12" t="str">
        <x:v>Mixed business audience</x:v>
      </x:c>
      <x:c r="J3909" s="12" t="str">
        <x:v>IT &amp; digital</x:v>
      </x:c>
      <x:c r="K3909" s="2" t="str">
        <x:v>PARTNER-M179</x:v>
      </x:c>
    </x:row>
    <x:row r="3910" ht="46" customHeight="1">
      <x:c r="A3910" s="2" t="str">
        <x:v>TEN-778D09F77BD0</x:v>
      </x:c>
      <x:c r="B3910" s="12" t="str">
        <x:v>Convergys</x:v>
      </x:c>
      <x:c r="C3910" s="12" t="str">
        <x:v>CORP-0602</x:v>
      </x:c>
      <x:c r="D3910" s="12" t="str">
        <x:v>Mumbai</x:v>
      </x:c>
      <x:c r="E3910" s="12" t="str">
        <x:v>G Corp Tech Park</x:v>
      </x:c>
      <x:c r="F3910" s="12" t="str">
        <x:v>55 inch</x:v>
      </x:c>
      <x:c r="G3910" s="20" t="n">
        <x:v>1</x:v>
      </x:c>
      <x:c r="H3910" s="12" t="str">
        <x:v>Campus/portfolio roster; individual building occupancy unverified</x:v>
      </x:c>
      <x:c r="I3910" s="12" t="str">
        <x:v>Mixed business audience</x:v>
      </x:c>
      <x:c r="J3910" s="12" t="str">
        <x:v>IT &amp; digital</x:v>
      </x:c>
      <x:c r="K3910" s="2" t="str">
        <x:v>PARTNER-M185</x:v>
      </x:c>
    </x:row>
    <x:row r="3911" ht="46" customHeight="1">
      <x:c r="A3911" s="2" t="str">
        <x:v>TEN-799B0C7CF86C</x:v>
      </x:c>
      <x:c r="B3911" s="12" t="str">
        <x:v>DXC Technology</x:v>
      </x:c>
      <x:c r="C3911" s="12" t="str">
        <x:v>CORP-0602</x:v>
      </x:c>
      <x:c r="D3911" s="12" t="str">
        <x:v>Mumbai</x:v>
      </x:c>
      <x:c r="E3911" s="12" t="str">
        <x:v>G Corp Tech Park</x:v>
      </x:c>
      <x:c r="F3911" s="12" t="str">
        <x:v>55 inch</x:v>
      </x:c>
      <x:c r="G3911" s="20" t="n">
        <x:v>1</x:v>
      </x:c>
      <x:c r="H3911" s="12" t="str">
        <x:v>Campus/portfolio roster; individual building occupancy unverified</x:v>
      </x:c>
      <x:c r="I3911" s="12" t="str">
        <x:v>Mixed business audience</x:v>
      </x:c>
      <x:c r="J3911" s="12" t="str">
        <x:v>IT &amp; digital</x:v>
      </x:c>
      <x:c r="K3911" s="2" t="str">
        <x:v>PARTNER-M185</x:v>
      </x:c>
    </x:row>
    <x:row r="3912" ht="46" customHeight="1">
      <x:c r="A3912" s="2" t="str">
        <x:v>TEN-812F14050534</x:v>
      </x:c>
      <x:c r="B3912" s="12" t="str">
        <x:v>Virtusa Consulting Services Private Limited</x:v>
      </x:c>
      <x:c r="C3912" s="12" t="str">
        <x:v>CORP-0602</x:v>
      </x:c>
      <x:c r="D3912" s="12" t="str">
        <x:v>Mumbai</x:v>
      </x:c>
      <x:c r="E3912" s="12" t="str">
        <x:v>G Corp Tech Park</x:v>
      </x:c>
      <x:c r="F3912" s="12" t="str">
        <x:v>55 inch</x:v>
      </x:c>
      <x:c r="G3912" s="20" t="n">
        <x:v>1</x:v>
      </x:c>
      <x:c r="H3912" s="12" t="str">
        <x:v>Campus/portfolio roster; individual building occupancy unverified</x:v>
      </x:c>
      <x:c r="I3912" s="12" t="str">
        <x:v>Mixed business audience</x:v>
      </x:c>
      <x:c r="J3912" s="12" t="str">
        <x:v>IT &amp; digital</x:v>
      </x:c>
      <x:c r="K3912" s="2" t="str">
        <x:v>PARTNER-M185</x:v>
      </x:c>
    </x:row>
    <x:row r="3913" ht="46" customHeight="1">
      <x:c r="A3913" s="2" t="str">
        <x:v>TEN-8FCBA0633921</x:v>
      </x:c>
      <x:c r="B3913" s="12" t="str">
        <x:v>ACE E-Service Pvt Ltd</x:v>
      </x:c>
      <x:c r="C3913" s="12" t="str">
        <x:v>CORP-0602</x:v>
      </x:c>
      <x:c r="D3913" s="12" t="str">
        <x:v>Mumbai</x:v>
      </x:c>
      <x:c r="E3913" s="12" t="str">
        <x:v>G Corp Tech Park</x:v>
      </x:c>
      <x:c r="F3913" s="12" t="str">
        <x:v>55 inch</x:v>
      </x:c>
      <x:c r="G3913" s="20" t="n">
        <x:v>1</x:v>
      </x:c>
      <x:c r="H3913" s="12" t="str">
        <x:v>Campus/portfolio roster; individual building occupancy unverified</x:v>
      </x:c>
      <x:c r="I3913" s="12" t="str">
        <x:v>Small-scale prospects</x:v>
      </x:c>
      <x:c r="J3913" s="12" t="str">
        <x:v>IT &amp; digital</x:v>
      </x:c>
      <x:c r="K3913" s="2" t="str">
        <x:v>PARTNER-M185</x:v>
      </x:c>
    </x:row>
    <x:row r="3914" ht="46" customHeight="1">
      <x:c r="A3914" s="2" t="str">
        <x:v>TEN-A107DE23AABA</x:v>
      </x:c>
      <x:c r="B3914" s="12" t="str">
        <x:v>Sterling Talent Solutions</x:v>
      </x:c>
      <x:c r="C3914" s="12" t="str">
        <x:v>CORP-0602</x:v>
      </x:c>
      <x:c r="D3914" s="12" t="str">
        <x:v>Mumbai</x:v>
      </x:c>
      <x:c r="E3914" s="12" t="str">
        <x:v>G Corp Tech Park</x:v>
      </x:c>
      <x:c r="F3914" s="12" t="str">
        <x:v>55 inch</x:v>
      </x:c>
      <x:c r="G3914" s="20" t="n">
        <x:v>1</x:v>
      </x:c>
      <x:c r="H3914" s="12" t="str">
        <x:v>Campus/portfolio roster; individual building occupancy unverified</x:v>
      </x:c>
      <x:c r="I3914" s="12" t="str">
        <x:v>Mixed business audience</x:v>
      </x:c>
      <x:c r="J3914" s="12" t="str">
        <x:v>Professional services</x:v>
      </x:c>
      <x:c r="K3914" s="2" t="str">
        <x:v>PARTNER-M185</x:v>
      </x:c>
    </x:row>
    <x:row r="3915" ht="46" customHeight="1">
      <x:c r="A3915" s="2" t="str">
        <x:v>TEN-A4FA06EB9338</x:v>
      </x:c>
      <x:c r="B3915" s="12" t="str">
        <x:v>Birla Sunlife Insurance Co Ltd</x:v>
      </x:c>
      <x:c r="C3915" s="12" t="str">
        <x:v>CORP-0602</x:v>
      </x:c>
      <x:c r="D3915" s="12" t="str">
        <x:v>Mumbai</x:v>
      </x:c>
      <x:c r="E3915" s="12" t="str">
        <x:v>G Corp Tech Park</x:v>
      </x:c>
      <x:c r="F3915" s="12" t="str">
        <x:v>55 inch</x:v>
      </x:c>
      <x:c r="G3915" s="20" t="n">
        <x:v>1</x:v>
      </x:c>
      <x:c r="H3915" s="12" t="str">
        <x:v>Campus/portfolio roster; individual building occupancy unverified</x:v>
      </x:c>
      <x:c r="I3915" s="12" t="str">
        <x:v>Large enterprise</x:v>
      </x:c>
      <x:c r="J3915" s="12" t="str">
        <x:v>Finance &amp; insurance</x:v>
      </x:c>
      <x:c r="K3915" s="2" t="str">
        <x:v>PARTNER-M185</x:v>
      </x:c>
    </x:row>
    <x:row r="3916" ht="46" customHeight="1">
      <x:c r="A3916" s="2" t="str">
        <x:v>TEN-BA6AE2780CD4</x:v>
      </x:c>
      <x:c r="B3916" s="12" t="str">
        <x:v>Concentrix</x:v>
      </x:c>
      <x:c r="C3916" s="12" t="str">
        <x:v>CORP-0602</x:v>
      </x:c>
      <x:c r="D3916" s="12" t="str">
        <x:v>Mumbai</x:v>
      </x:c>
      <x:c r="E3916" s="12" t="str">
        <x:v>G Corp Tech Park</x:v>
      </x:c>
      <x:c r="F3916" s="12" t="str">
        <x:v>55 inch</x:v>
      </x:c>
      <x:c r="G3916" s="20" t="n">
        <x:v>1</x:v>
      </x:c>
      <x:c r="H3916" s="12" t="str">
        <x:v>Campus/portfolio roster; individual building occupancy unverified</x:v>
      </x:c>
      <x:c r="I3916" s="12" t="str">
        <x:v>Large enterprise</x:v>
      </x:c>
      <x:c r="J3916" s="12" t="str">
        <x:v>IT &amp; digital</x:v>
      </x:c>
      <x:c r="K3916" s="2" t="str">
        <x:v>PARTNER-M185</x:v>
      </x:c>
    </x:row>
    <x:row r="3917" ht="46" customHeight="1">
      <x:c r="A3917" s="2" t="str">
        <x:v>TEN-E4737DBE1BA9</x:v>
      </x:c>
      <x:c r="B3917" s="12" t="str">
        <x:v>IQVIA</x:v>
      </x:c>
      <x:c r="C3917" s="12" t="str">
        <x:v>CORP-0602</x:v>
      </x:c>
      <x:c r="D3917" s="12" t="str">
        <x:v>Mumbai</x:v>
      </x:c>
      <x:c r="E3917" s="12" t="str">
        <x:v>G Corp Tech Park</x:v>
      </x:c>
      <x:c r="F3917" s="12" t="str">
        <x:v>55 inch</x:v>
      </x:c>
      <x:c r="G3917" s="20" t="n">
        <x:v>1</x:v>
      </x:c>
      <x:c r="H3917" s="12" t="str">
        <x:v>Campus/portfolio roster; individual building occupancy unverified</x:v>
      </x:c>
      <x:c r="I3917" s="12" t="str">
        <x:v>Mixed business audience</x:v>
      </x:c>
      <x:c r="J3917" s="12" t="str">
        <x:v>Healthcare &amp; life sciences</x:v>
      </x:c>
      <x:c r="K3917" s="2" t="str">
        <x:v>PARTNER-M185</x:v>
      </x:c>
    </x:row>
    <x:row r="3918" ht="46" customHeight="1">
      <x:c r="A3918" s="2" t="str">
        <x:v>TEN-EED420C0D2C1</x:v>
      </x:c>
      <x:c r="B3918" s="12" t="str">
        <x:v>PerkinElmer India</x:v>
      </x:c>
      <x:c r="C3918" s="12" t="str">
        <x:v>CORP-0602</x:v>
      </x:c>
      <x:c r="D3918" s="12" t="str">
        <x:v>Mumbai</x:v>
      </x:c>
      <x:c r="E3918" s="12" t="str">
        <x:v>G Corp Tech Park</x:v>
      </x:c>
      <x:c r="F3918" s="12" t="str">
        <x:v>55 inch</x:v>
      </x:c>
      <x:c r="G3918" s="20" t="n">
        <x:v>1</x:v>
      </x:c>
      <x:c r="H3918" s="12" t="str">
        <x:v>Campus/portfolio roster; individual building occupancy unverified</x:v>
      </x:c>
      <x:c r="I3918" s="12" t="str">
        <x:v>Mixed business audience</x:v>
      </x:c>
      <x:c r="J3918" s="12" t="str">
        <x:v>Healthcare &amp; life sciences</x:v>
      </x:c>
      <x:c r="K3918" s="2" t="str">
        <x:v>PARTNER-M185</x:v>
      </x:c>
    </x:row>
    <x:row r="3919" ht="46" customHeight="1">
      <x:c r="A3919" s="2" t="str">
        <x:v>TEN-778D09F77BD0</x:v>
      </x:c>
      <x:c r="B3919" s="12" t="str">
        <x:v>Convergys</x:v>
      </x:c>
      <x:c r="C3919" s="12" t="str">
        <x:v>CORP-0603</x:v>
      </x:c>
      <x:c r="D3919" s="12" t="str">
        <x:v>Mumbai</x:v>
      </x:c>
      <x:c r="E3919" s="12" t="str">
        <x:v>G Corp Tech Park</x:v>
      </x:c>
      <x:c r="F3919" s="12" t="str">
        <x:v>55 inch</x:v>
      </x:c>
      <x:c r="G3919" s="20" t="n">
        <x:v>1</x:v>
      </x:c>
      <x:c r="H3919" s="12" t="str">
        <x:v>Campus/portfolio roster; individual building occupancy unverified</x:v>
      </x:c>
      <x:c r="I3919" s="12" t="str">
        <x:v>Mixed business audience</x:v>
      </x:c>
      <x:c r="J3919" s="12" t="str">
        <x:v>IT &amp; digital</x:v>
      </x:c>
      <x:c r="K3919" s="2" t="str">
        <x:v>PARTNER-M185</x:v>
      </x:c>
    </x:row>
    <x:row r="3920" ht="46" customHeight="1">
      <x:c r="A3920" s="2" t="str">
        <x:v>TEN-799B0C7CF86C</x:v>
      </x:c>
      <x:c r="B3920" s="12" t="str">
        <x:v>DXC Technology</x:v>
      </x:c>
      <x:c r="C3920" s="12" t="str">
        <x:v>CORP-0603</x:v>
      </x:c>
      <x:c r="D3920" s="12" t="str">
        <x:v>Mumbai</x:v>
      </x:c>
      <x:c r="E3920" s="12" t="str">
        <x:v>G Corp Tech Park</x:v>
      </x:c>
      <x:c r="F3920" s="12" t="str">
        <x:v>55 inch</x:v>
      </x:c>
      <x:c r="G3920" s="20" t="n">
        <x:v>1</x:v>
      </x:c>
      <x:c r="H3920" s="12" t="str">
        <x:v>Campus/portfolio roster; individual building occupancy unverified</x:v>
      </x:c>
      <x:c r="I3920" s="12" t="str">
        <x:v>Mixed business audience</x:v>
      </x:c>
      <x:c r="J3920" s="12" t="str">
        <x:v>IT &amp; digital</x:v>
      </x:c>
      <x:c r="K3920" s="2" t="str">
        <x:v>PARTNER-M185</x:v>
      </x:c>
    </x:row>
    <x:row r="3921" ht="46" customHeight="1">
      <x:c r="A3921" s="2" t="str">
        <x:v>TEN-812F14050534</x:v>
      </x:c>
      <x:c r="B3921" s="12" t="str">
        <x:v>Virtusa Consulting Services Private Limited</x:v>
      </x:c>
      <x:c r="C3921" s="12" t="str">
        <x:v>CORP-0603</x:v>
      </x:c>
      <x:c r="D3921" s="12" t="str">
        <x:v>Mumbai</x:v>
      </x:c>
      <x:c r="E3921" s="12" t="str">
        <x:v>G Corp Tech Park</x:v>
      </x:c>
      <x:c r="F3921" s="12" t="str">
        <x:v>55 inch</x:v>
      </x:c>
      <x:c r="G3921" s="20" t="n">
        <x:v>1</x:v>
      </x:c>
      <x:c r="H3921" s="12" t="str">
        <x:v>Campus/portfolio roster; individual building occupancy unverified</x:v>
      </x:c>
      <x:c r="I3921" s="12" t="str">
        <x:v>Mixed business audience</x:v>
      </x:c>
      <x:c r="J3921" s="12" t="str">
        <x:v>IT &amp; digital</x:v>
      </x:c>
      <x:c r="K3921" s="2" t="str">
        <x:v>PARTNER-M185</x:v>
      </x:c>
    </x:row>
    <x:row r="3922" ht="46" customHeight="1">
      <x:c r="A3922" s="2" t="str">
        <x:v>TEN-8FCBA0633921</x:v>
      </x:c>
      <x:c r="B3922" s="12" t="str">
        <x:v>ACE E-Service Pvt Ltd</x:v>
      </x:c>
      <x:c r="C3922" s="12" t="str">
        <x:v>CORP-0603</x:v>
      </x:c>
      <x:c r="D3922" s="12" t="str">
        <x:v>Mumbai</x:v>
      </x:c>
      <x:c r="E3922" s="12" t="str">
        <x:v>G Corp Tech Park</x:v>
      </x:c>
      <x:c r="F3922" s="12" t="str">
        <x:v>55 inch</x:v>
      </x:c>
      <x:c r="G3922" s="20" t="n">
        <x:v>1</x:v>
      </x:c>
      <x:c r="H3922" s="12" t="str">
        <x:v>Campus/portfolio roster; individual building occupancy unverified</x:v>
      </x:c>
      <x:c r="I3922" s="12" t="str">
        <x:v>Small-scale prospects</x:v>
      </x:c>
      <x:c r="J3922" s="12" t="str">
        <x:v>IT &amp; digital</x:v>
      </x:c>
      <x:c r="K3922" s="2" t="str">
        <x:v>PARTNER-M185</x:v>
      </x:c>
    </x:row>
    <x:row r="3923" ht="46" customHeight="1">
      <x:c r="A3923" s="2" t="str">
        <x:v>TEN-A107DE23AABA</x:v>
      </x:c>
      <x:c r="B3923" s="12" t="str">
        <x:v>Sterling Talent Solutions</x:v>
      </x:c>
      <x:c r="C3923" s="12" t="str">
        <x:v>CORP-0603</x:v>
      </x:c>
      <x:c r="D3923" s="12" t="str">
        <x:v>Mumbai</x:v>
      </x:c>
      <x:c r="E3923" s="12" t="str">
        <x:v>G Corp Tech Park</x:v>
      </x:c>
      <x:c r="F3923" s="12" t="str">
        <x:v>55 inch</x:v>
      </x:c>
      <x:c r="G3923" s="20" t="n">
        <x:v>1</x:v>
      </x:c>
      <x:c r="H3923" s="12" t="str">
        <x:v>Campus/portfolio roster; individual building occupancy unverified</x:v>
      </x:c>
      <x:c r="I3923" s="12" t="str">
        <x:v>Mixed business audience</x:v>
      </x:c>
      <x:c r="J3923" s="12" t="str">
        <x:v>Professional services</x:v>
      </x:c>
      <x:c r="K3923" s="2" t="str">
        <x:v>PARTNER-M185</x:v>
      </x:c>
    </x:row>
    <x:row r="3924" ht="46" customHeight="1">
      <x:c r="A3924" s="2" t="str">
        <x:v>TEN-A4FA06EB9338</x:v>
      </x:c>
      <x:c r="B3924" s="12" t="str">
        <x:v>Birla Sunlife Insurance Co Ltd</x:v>
      </x:c>
      <x:c r="C3924" s="12" t="str">
        <x:v>CORP-0603</x:v>
      </x:c>
      <x:c r="D3924" s="12" t="str">
        <x:v>Mumbai</x:v>
      </x:c>
      <x:c r="E3924" s="12" t="str">
        <x:v>G Corp Tech Park</x:v>
      </x:c>
      <x:c r="F3924" s="12" t="str">
        <x:v>55 inch</x:v>
      </x:c>
      <x:c r="G3924" s="20" t="n">
        <x:v>1</x:v>
      </x:c>
      <x:c r="H3924" s="12" t="str">
        <x:v>Campus/portfolio roster; individual building occupancy unverified</x:v>
      </x:c>
      <x:c r="I3924" s="12" t="str">
        <x:v>Large enterprise</x:v>
      </x:c>
      <x:c r="J3924" s="12" t="str">
        <x:v>Finance &amp; insurance</x:v>
      </x:c>
      <x:c r="K3924" s="2" t="str">
        <x:v>PARTNER-M185</x:v>
      </x:c>
    </x:row>
    <x:row r="3925" ht="46" customHeight="1">
      <x:c r="A3925" s="2" t="str">
        <x:v>TEN-BA6AE2780CD4</x:v>
      </x:c>
      <x:c r="B3925" s="12" t="str">
        <x:v>Concentrix</x:v>
      </x:c>
      <x:c r="C3925" s="12" t="str">
        <x:v>CORP-0603</x:v>
      </x:c>
      <x:c r="D3925" s="12" t="str">
        <x:v>Mumbai</x:v>
      </x:c>
      <x:c r="E3925" s="12" t="str">
        <x:v>G Corp Tech Park</x:v>
      </x:c>
      <x:c r="F3925" s="12" t="str">
        <x:v>55 inch</x:v>
      </x:c>
      <x:c r="G3925" s="20" t="n">
        <x:v>1</x:v>
      </x:c>
      <x:c r="H3925" s="12" t="str">
        <x:v>Campus/portfolio roster; individual building occupancy unverified</x:v>
      </x:c>
      <x:c r="I3925" s="12" t="str">
        <x:v>Large enterprise</x:v>
      </x:c>
      <x:c r="J3925" s="12" t="str">
        <x:v>IT &amp; digital</x:v>
      </x:c>
      <x:c r="K3925" s="2" t="str">
        <x:v>PARTNER-M185</x:v>
      </x:c>
    </x:row>
    <x:row r="3926" ht="46" customHeight="1">
      <x:c r="A3926" s="2" t="str">
        <x:v>TEN-E4737DBE1BA9</x:v>
      </x:c>
      <x:c r="B3926" s="12" t="str">
        <x:v>IQVIA</x:v>
      </x:c>
      <x:c r="C3926" s="12" t="str">
        <x:v>CORP-0603</x:v>
      </x:c>
      <x:c r="D3926" s="12" t="str">
        <x:v>Mumbai</x:v>
      </x:c>
      <x:c r="E3926" s="12" t="str">
        <x:v>G Corp Tech Park</x:v>
      </x:c>
      <x:c r="F3926" s="12" t="str">
        <x:v>55 inch</x:v>
      </x:c>
      <x:c r="G3926" s="20" t="n">
        <x:v>1</x:v>
      </x:c>
      <x:c r="H3926" s="12" t="str">
        <x:v>Campus/portfolio roster; individual building occupancy unverified</x:v>
      </x:c>
      <x:c r="I3926" s="12" t="str">
        <x:v>Mixed business audience</x:v>
      </x:c>
      <x:c r="J3926" s="12" t="str">
        <x:v>Healthcare &amp; life sciences</x:v>
      </x:c>
      <x:c r="K3926" s="2" t="str">
        <x:v>PARTNER-M185</x:v>
      </x:c>
    </x:row>
    <x:row r="3927" ht="46" customHeight="1">
      <x:c r="A3927" s="2" t="str">
        <x:v>TEN-EED420C0D2C1</x:v>
      </x:c>
      <x:c r="B3927" s="12" t="str">
        <x:v>PerkinElmer India</x:v>
      </x:c>
      <x:c r="C3927" s="12" t="str">
        <x:v>CORP-0603</x:v>
      </x:c>
      <x:c r="D3927" s="12" t="str">
        <x:v>Mumbai</x:v>
      </x:c>
      <x:c r="E3927" s="12" t="str">
        <x:v>G Corp Tech Park</x:v>
      </x:c>
      <x:c r="F3927" s="12" t="str">
        <x:v>55 inch</x:v>
      </x:c>
      <x:c r="G3927" s="20" t="n">
        <x:v>1</x:v>
      </x:c>
      <x:c r="H3927" s="12" t="str">
        <x:v>Campus/portfolio roster; individual building occupancy unverified</x:v>
      </x:c>
      <x:c r="I3927" s="12" t="str">
        <x:v>Mixed business audience</x:v>
      </x:c>
      <x:c r="J3927" s="12" t="str">
        <x:v>Healthcare &amp; life sciences</x:v>
      </x:c>
      <x:c r="K3927" s="2" t="str">
        <x:v>PARTNER-M185</x:v>
      </x:c>
    </x:row>
    <x:row r="3928" ht="46" customHeight="1">
      <x:c r="A3928" s="2" t="str">
        <x:v>TEN-778D09F77BD0</x:v>
      </x:c>
      <x:c r="B3928" s="12" t="str">
        <x:v>Convergys</x:v>
      </x:c>
      <x:c r="C3928" s="12" t="str">
        <x:v>CORP-0604</x:v>
      </x:c>
      <x:c r="D3928" s="12" t="str">
        <x:v>Mumbai</x:v>
      </x:c>
      <x:c r="E3928" s="12" t="str">
        <x:v>G Corp Tech Park</x:v>
      </x:c>
      <x:c r="F3928" s="12" t="str">
        <x:v>55 inch</x:v>
      </x:c>
      <x:c r="G3928" s="20" t="n">
        <x:v>1</x:v>
      </x:c>
      <x:c r="H3928" s="12" t="str">
        <x:v>Campus/portfolio roster; individual building occupancy unverified</x:v>
      </x:c>
      <x:c r="I3928" s="12" t="str">
        <x:v>Mixed business audience</x:v>
      </x:c>
      <x:c r="J3928" s="12" t="str">
        <x:v>IT &amp; digital</x:v>
      </x:c>
      <x:c r="K3928" s="2" t="str">
        <x:v>PARTNER-M185</x:v>
      </x:c>
    </x:row>
    <x:row r="3929" ht="46" customHeight="1">
      <x:c r="A3929" s="2" t="str">
        <x:v>TEN-799B0C7CF86C</x:v>
      </x:c>
      <x:c r="B3929" s="12" t="str">
        <x:v>DXC Technology</x:v>
      </x:c>
      <x:c r="C3929" s="12" t="str">
        <x:v>CORP-0604</x:v>
      </x:c>
      <x:c r="D3929" s="12" t="str">
        <x:v>Mumbai</x:v>
      </x:c>
      <x:c r="E3929" s="12" t="str">
        <x:v>G Corp Tech Park</x:v>
      </x:c>
      <x:c r="F3929" s="12" t="str">
        <x:v>55 inch</x:v>
      </x:c>
      <x:c r="G3929" s="20" t="n">
        <x:v>1</x:v>
      </x:c>
      <x:c r="H3929" s="12" t="str">
        <x:v>Campus/portfolio roster; individual building occupancy unverified</x:v>
      </x:c>
      <x:c r="I3929" s="12" t="str">
        <x:v>Mixed business audience</x:v>
      </x:c>
      <x:c r="J3929" s="12" t="str">
        <x:v>IT &amp; digital</x:v>
      </x:c>
      <x:c r="K3929" s="2" t="str">
        <x:v>PARTNER-M185</x:v>
      </x:c>
    </x:row>
    <x:row r="3930" ht="46" customHeight="1">
      <x:c r="A3930" s="2" t="str">
        <x:v>TEN-812F14050534</x:v>
      </x:c>
      <x:c r="B3930" s="12" t="str">
        <x:v>Virtusa Consulting Services Private Limited</x:v>
      </x:c>
      <x:c r="C3930" s="12" t="str">
        <x:v>CORP-0604</x:v>
      </x:c>
      <x:c r="D3930" s="12" t="str">
        <x:v>Mumbai</x:v>
      </x:c>
      <x:c r="E3930" s="12" t="str">
        <x:v>G Corp Tech Park</x:v>
      </x:c>
      <x:c r="F3930" s="12" t="str">
        <x:v>55 inch</x:v>
      </x:c>
      <x:c r="G3930" s="20" t="n">
        <x:v>1</x:v>
      </x:c>
      <x:c r="H3930" s="12" t="str">
        <x:v>Campus/portfolio roster; individual building occupancy unverified</x:v>
      </x:c>
      <x:c r="I3930" s="12" t="str">
        <x:v>Mixed business audience</x:v>
      </x:c>
      <x:c r="J3930" s="12" t="str">
        <x:v>IT &amp; digital</x:v>
      </x:c>
      <x:c r="K3930" s="2" t="str">
        <x:v>PARTNER-M185</x:v>
      </x:c>
    </x:row>
    <x:row r="3931" ht="46" customHeight="1">
      <x:c r="A3931" s="2" t="str">
        <x:v>TEN-8FCBA0633921</x:v>
      </x:c>
      <x:c r="B3931" s="12" t="str">
        <x:v>ACE E-Service Pvt Ltd</x:v>
      </x:c>
      <x:c r="C3931" s="12" t="str">
        <x:v>CORP-0604</x:v>
      </x:c>
      <x:c r="D3931" s="12" t="str">
        <x:v>Mumbai</x:v>
      </x:c>
      <x:c r="E3931" s="12" t="str">
        <x:v>G Corp Tech Park</x:v>
      </x:c>
      <x:c r="F3931" s="12" t="str">
        <x:v>55 inch</x:v>
      </x:c>
      <x:c r="G3931" s="20" t="n">
        <x:v>1</x:v>
      </x:c>
      <x:c r="H3931" s="12" t="str">
        <x:v>Campus/portfolio roster; individual building occupancy unverified</x:v>
      </x:c>
      <x:c r="I3931" s="12" t="str">
        <x:v>Small-scale prospects</x:v>
      </x:c>
      <x:c r="J3931" s="12" t="str">
        <x:v>IT &amp; digital</x:v>
      </x:c>
      <x:c r="K3931" s="2" t="str">
        <x:v>PARTNER-M185</x:v>
      </x:c>
    </x:row>
    <x:row r="3932" ht="46" customHeight="1">
      <x:c r="A3932" s="2" t="str">
        <x:v>TEN-A107DE23AABA</x:v>
      </x:c>
      <x:c r="B3932" s="12" t="str">
        <x:v>Sterling Talent Solutions</x:v>
      </x:c>
      <x:c r="C3932" s="12" t="str">
        <x:v>CORP-0604</x:v>
      </x:c>
      <x:c r="D3932" s="12" t="str">
        <x:v>Mumbai</x:v>
      </x:c>
      <x:c r="E3932" s="12" t="str">
        <x:v>G Corp Tech Park</x:v>
      </x:c>
      <x:c r="F3932" s="12" t="str">
        <x:v>55 inch</x:v>
      </x:c>
      <x:c r="G3932" s="20" t="n">
        <x:v>1</x:v>
      </x:c>
      <x:c r="H3932" s="12" t="str">
        <x:v>Campus/portfolio roster; individual building occupancy unverified</x:v>
      </x:c>
      <x:c r="I3932" s="12" t="str">
        <x:v>Mixed business audience</x:v>
      </x:c>
      <x:c r="J3932" s="12" t="str">
        <x:v>Professional services</x:v>
      </x:c>
      <x:c r="K3932" s="2" t="str">
        <x:v>PARTNER-M185</x:v>
      </x:c>
    </x:row>
    <x:row r="3933" ht="46" customHeight="1">
      <x:c r="A3933" s="2" t="str">
        <x:v>TEN-A4FA06EB9338</x:v>
      </x:c>
      <x:c r="B3933" s="12" t="str">
        <x:v>Birla Sunlife Insurance Co Ltd</x:v>
      </x:c>
      <x:c r="C3933" s="12" t="str">
        <x:v>CORP-0604</x:v>
      </x:c>
      <x:c r="D3933" s="12" t="str">
        <x:v>Mumbai</x:v>
      </x:c>
      <x:c r="E3933" s="12" t="str">
        <x:v>G Corp Tech Park</x:v>
      </x:c>
      <x:c r="F3933" s="12" t="str">
        <x:v>55 inch</x:v>
      </x:c>
      <x:c r="G3933" s="20" t="n">
        <x:v>1</x:v>
      </x:c>
      <x:c r="H3933" s="12" t="str">
        <x:v>Campus/portfolio roster; individual building occupancy unverified</x:v>
      </x:c>
      <x:c r="I3933" s="12" t="str">
        <x:v>Large enterprise</x:v>
      </x:c>
      <x:c r="J3933" s="12" t="str">
        <x:v>Finance &amp; insurance</x:v>
      </x:c>
      <x:c r="K3933" s="2" t="str">
        <x:v>PARTNER-M185</x:v>
      </x:c>
    </x:row>
    <x:row r="3934" ht="46" customHeight="1">
      <x:c r="A3934" s="2" t="str">
        <x:v>TEN-BA6AE2780CD4</x:v>
      </x:c>
      <x:c r="B3934" s="12" t="str">
        <x:v>Concentrix</x:v>
      </x:c>
      <x:c r="C3934" s="12" t="str">
        <x:v>CORP-0604</x:v>
      </x:c>
      <x:c r="D3934" s="12" t="str">
        <x:v>Mumbai</x:v>
      </x:c>
      <x:c r="E3934" s="12" t="str">
        <x:v>G Corp Tech Park</x:v>
      </x:c>
      <x:c r="F3934" s="12" t="str">
        <x:v>55 inch</x:v>
      </x:c>
      <x:c r="G3934" s="20" t="n">
        <x:v>1</x:v>
      </x:c>
      <x:c r="H3934" s="12" t="str">
        <x:v>Campus/portfolio roster; individual building occupancy unverified</x:v>
      </x:c>
      <x:c r="I3934" s="12" t="str">
        <x:v>Large enterprise</x:v>
      </x:c>
      <x:c r="J3934" s="12" t="str">
        <x:v>IT &amp; digital</x:v>
      </x:c>
      <x:c r="K3934" s="2" t="str">
        <x:v>PARTNER-M185</x:v>
      </x:c>
    </x:row>
    <x:row r="3935" ht="46" customHeight="1">
      <x:c r="A3935" s="2" t="str">
        <x:v>TEN-E4737DBE1BA9</x:v>
      </x:c>
      <x:c r="B3935" s="12" t="str">
        <x:v>IQVIA</x:v>
      </x:c>
      <x:c r="C3935" s="12" t="str">
        <x:v>CORP-0604</x:v>
      </x:c>
      <x:c r="D3935" s="12" t="str">
        <x:v>Mumbai</x:v>
      </x:c>
      <x:c r="E3935" s="12" t="str">
        <x:v>G Corp Tech Park</x:v>
      </x:c>
      <x:c r="F3935" s="12" t="str">
        <x:v>55 inch</x:v>
      </x:c>
      <x:c r="G3935" s="20" t="n">
        <x:v>1</x:v>
      </x:c>
      <x:c r="H3935" s="12" t="str">
        <x:v>Campus/portfolio roster; individual building occupancy unverified</x:v>
      </x:c>
      <x:c r="I3935" s="12" t="str">
        <x:v>Mixed business audience</x:v>
      </x:c>
      <x:c r="J3935" s="12" t="str">
        <x:v>Healthcare &amp; life sciences</x:v>
      </x:c>
      <x:c r="K3935" s="2" t="str">
        <x:v>PARTNER-M185</x:v>
      </x:c>
    </x:row>
    <x:row r="3936" ht="46" customHeight="1">
      <x:c r="A3936" s="2" t="str">
        <x:v>TEN-EED420C0D2C1</x:v>
      </x:c>
      <x:c r="B3936" s="12" t="str">
        <x:v>PerkinElmer India</x:v>
      </x:c>
      <x:c r="C3936" s="12" t="str">
        <x:v>CORP-0604</x:v>
      </x:c>
      <x:c r="D3936" s="12" t="str">
        <x:v>Mumbai</x:v>
      </x:c>
      <x:c r="E3936" s="12" t="str">
        <x:v>G Corp Tech Park</x:v>
      </x:c>
      <x:c r="F3936" s="12" t="str">
        <x:v>55 inch</x:v>
      </x:c>
      <x:c r="G3936" s="20" t="n">
        <x:v>1</x:v>
      </x:c>
      <x:c r="H3936" s="12" t="str">
        <x:v>Campus/portfolio roster; individual building occupancy unverified</x:v>
      </x:c>
      <x:c r="I3936" s="12" t="str">
        <x:v>Mixed business audience</x:v>
      </x:c>
      <x:c r="J3936" s="12" t="str">
        <x:v>Healthcare &amp; life sciences</x:v>
      </x:c>
      <x:c r="K3936" s="2" t="str">
        <x:v>PARTNER-M185</x:v>
      </x:c>
    </x:row>
    <x:row r="3937" ht="46" customHeight="1">
      <x:c r="A3937" s="2" t="str">
        <x:v>TEN-11B177B76116</x:v>
      </x:c>
      <x:c r="B3937" s="12" t="str">
        <x:v>Avaya Global Connect Ltd</x:v>
      </x:c>
      <x:c r="C3937" s="12" t="str">
        <x:v>CORP-0434</x:v>
      </x:c>
      <x:c r="D3937" s="12" t="str">
        <x:v>Bengaluru</x:v>
      </x:c>
      <x:c r="E3937" s="12" t="str">
        <x:v>Prestige Tech Park</x:v>
      </x:c>
      <x:c r="F3937" s="12" t="str">
        <x:v>55 inch</x:v>
      </x:c>
      <x:c r="G3937" s="20" t="n">
        <x:v>1</x:v>
      </x:c>
      <x:c r="H3937" s="12" t="str">
        <x:v>Campus/portfolio roster; individual building occupancy unverified</x:v>
      </x:c>
      <x:c r="I3937" s="12" t="str">
        <x:v>Mixed business audience</x:v>
      </x:c>
      <x:c r="J3937" s="12" t="str">
        <x:v>IT &amp; digital</x:v>
      </x:c>
      <x:c r="K3937" s="2" t="str">
        <x:v>PARTNER-M014</x:v>
      </x:c>
    </x:row>
    <x:row r="3938" ht="46" customHeight="1">
      <x:c r="A3938" s="2" t="str">
        <x:v>TEN-1A32A2EA27AE</x:v>
      </x:c>
      <x:c r="B3938" s="12" t="str">
        <x:v>Aptos India Private Limited</x:v>
      </x:c>
      <x:c r="C3938" s="12" t="str">
        <x:v>CORP-0434</x:v>
      </x:c>
      <x:c r="D3938" s="12" t="str">
        <x:v>Bengaluru</x:v>
      </x:c>
      <x:c r="E3938" s="12" t="str">
        <x:v>Prestige Tech Park</x:v>
      </x:c>
      <x:c r="F3938" s="12" t="str">
        <x:v>55 inch</x:v>
      </x:c>
      <x:c r="G3938" s="20" t="n">
        <x:v>1</x:v>
      </x:c>
      <x:c r="H3938" s="12" t="str">
        <x:v>Campus/portfolio roster; individual building occupancy unverified</x:v>
      </x:c>
      <x:c r="I3938" s="12" t="str">
        <x:v>Mixed business audience</x:v>
      </x:c>
      <x:c r="J3938" s="12" t="str">
        <x:v>IT &amp; digital</x:v>
      </x:c>
      <x:c r="K3938" s="2" t="str">
        <x:v>PARTNER-M014</x:v>
      </x:c>
    </x:row>
    <x:row r="3939" ht="46" customHeight="1">
      <x:c r="A3939" s="2" t="str">
        <x:v>TEN-1B8499B49BB3</x:v>
      </x:c>
      <x:c r="B3939" s="12" t="str">
        <x:v>Delliot</x:v>
      </x:c>
      <x:c r="C3939" s="12" t="str">
        <x:v>CORP-0434</x:v>
      </x:c>
      <x:c r="D3939" s="12" t="str">
        <x:v>Bengaluru</x:v>
      </x:c>
      <x:c r="E3939" s="12" t="str">
        <x:v>Prestige Tech Park</x:v>
      </x:c>
      <x:c r="F3939" s="12" t="str">
        <x:v>55 inch</x:v>
      </x:c>
      <x:c r="G3939" s="20" t="n">
        <x:v>1</x:v>
      </x:c>
      <x:c r="H3939" s="12" t="str">
        <x:v>Campus/portfolio roster; individual building occupancy unverified</x:v>
      </x:c>
      <x:c r="I3939" s="12" t="str">
        <x:v>Mixed business audience</x:v>
      </x:c>
      <x:c r="J3939" s="12" t="str">
        <x:v>Unresolved</x:v>
      </x:c>
      <x:c r="K3939" s="2" t="str">
        <x:v>PARTNER-M014</x:v>
      </x:c>
    </x:row>
    <x:row r="3940" ht="46" customHeight="1">
      <x:c r="A3940" s="2" t="str">
        <x:v>TEN-38773D0009A0</x:v>
      </x:c>
      <x:c r="B3940" s="12" t="str">
        <x:v>Frog Design Studio</x:v>
      </x:c>
      <x:c r="C3940" s="12" t="str">
        <x:v>CORP-0434</x:v>
      </x:c>
      <x:c r="D3940" s="12" t="str">
        <x:v>Bengaluru</x:v>
      </x:c>
      <x:c r="E3940" s="12" t="str">
        <x:v>Prestige Tech Park</x:v>
      </x:c>
      <x:c r="F3940" s="12" t="str">
        <x:v>55 inch</x:v>
      </x:c>
      <x:c r="G3940" s="20" t="n">
        <x:v>1</x:v>
      </x:c>
      <x:c r="H3940" s="12" t="str">
        <x:v>Campus/portfolio roster; individual building occupancy unverified</x:v>
      </x:c>
      <x:c r="I3940" s="12" t="str">
        <x:v>Mixed business audience</x:v>
      </x:c>
      <x:c r="J3940" s="12" t="str">
        <x:v>Professional services</x:v>
      </x:c>
      <x:c r="K3940" s="2" t="str">
        <x:v>PARTNER-M014</x:v>
      </x:c>
    </x:row>
    <x:row r="3941" ht="46" customHeight="1">
      <x:c r="A3941" s="2" t="str">
        <x:v>TEN-49F1F88DBFE4</x:v>
      </x:c>
      <x:c r="B3941" s="12" t="str">
        <x:v>Futures First Info Services</x:v>
      </x:c>
      <x:c r="C3941" s="12" t="str">
        <x:v>CORP-0434</x:v>
      </x:c>
      <x:c r="D3941" s="12" t="str">
        <x:v>Bengaluru</x:v>
      </x:c>
      <x:c r="E3941" s="12" t="str">
        <x:v>Prestige Tech Park</x:v>
      </x:c>
      <x:c r="F3941" s="12" t="str">
        <x:v>55 inch</x:v>
      </x:c>
      <x:c r="G3941" s="20" t="n">
        <x:v>1</x:v>
      </x:c>
      <x:c r="H3941" s="12" t="str">
        <x:v>Campus/portfolio roster; individual building occupancy unverified</x:v>
      </x:c>
      <x:c r="I3941" s="12" t="str">
        <x:v>Mixed business audience</x:v>
      </x:c>
      <x:c r="J3941" s="12" t="str">
        <x:v>IT &amp; digital</x:v>
      </x:c>
      <x:c r="K3941" s="2" t="str">
        <x:v>PARTNER-M014</x:v>
      </x:c>
    </x:row>
    <x:row r="3942" ht="46" customHeight="1">
      <x:c r="A3942" s="2" t="str">
        <x:v>TEN-53296B6A946C</x:v>
      </x:c>
      <x:c r="B3942" s="12" t="str">
        <x:v>Waif's</x:v>
      </x:c>
      <x:c r="C3942" s="12" t="str">
        <x:v>CORP-0434</x:v>
      </x:c>
      <x:c r="D3942" s="12" t="str">
        <x:v>Bengaluru</x:v>
      </x:c>
      <x:c r="E3942" s="12" t="str">
        <x:v>Prestige Tech Park</x:v>
      </x:c>
      <x:c r="F3942" s="12" t="str">
        <x:v>55 inch</x:v>
      </x:c>
      <x:c r="G3942" s="20" t="n">
        <x:v>1</x:v>
      </x:c>
      <x:c r="H3942" s="12" t="str">
        <x:v>Campus/portfolio roster; individual building occupancy unverified</x:v>
      </x:c>
      <x:c r="I3942" s="12" t="str">
        <x:v>Mixed business audience</x:v>
      </x:c>
      <x:c r="J3942" s="12" t="str">
        <x:v>Unresolved</x:v>
      </x:c>
      <x:c r="K3942" s="2" t="str">
        <x:v>PARTNER-M014</x:v>
      </x:c>
    </x:row>
    <x:row r="3943" ht="46" customHeight="1">
      <x:c r="A3943" s="2" t="str">
        <x:v>TEN-72DA9DBF0092</x:v>
      </x:c>
      <x:c r="B3943" s="12" t="str">
        <x:v>Aruba Networks</x:v>
      </x:c>
      <x:c r="C3943" s="12" t="str">
        <x:v>CORP-0434</x:v>
      </x:c>
      <x:c r="D3943" s="12" t="str">
        <x:v>Bengaluru</x:v>
      </x:c>
      <x:c r="E3943" s="12" t="str">
        <x:v>Prestige Tech Park</x:v>
      </x:c>
      <x:c r="F3943" s="12" t="str">
        <x:v>55 inch</x:v>
      </x:c>
      <x:c r="G3943" s="20" t="n">
        <x:v>1</x:v>
      </x:c>
      <x:c r="H3943" s="12" t="str">
        <x:v>Campus/portfolio roster; individual building occupancy unverified</x:v>
      </x:c>
      <x:c r="I3943" s="12" t="str">
        <x:v>Large enterprise</x:v>
      </x:c>
      <x:c r="J3943" s="12" t="str">
        <x:v>IT &amp; digital</x:v>
      </x:c>
      <x:c r="K3943" s="2" t="str">
        <x:v>PARTNER-M014</x:v>
      </x:c>
    </x:row>
    <x:row r="3944" ht="46" customHeight="1">
      <x:c r="A3944" s="2" t="str">
        <x:v>TEN-76DBEE9F2C38</x:v>
      </x:c>
      <x:c r="B3944" s="12" t="str">
        <x:v>Mobile Programming</x:v>
      </x:c>
      <x:c r="C3944" s="12" t="str">
        <x:v>CORP-0434</x:v>
      </x:c>
      <x:c r="D3944" s="12" t="str">
        <x:v>Bengaluru</x:v>
      </x:c>
      <x:c r="E3944" s="12" t="str">
        <x:v>Prestige Tech Park</x:v>
      </x:c>
      <x:c r="F3944" s="12" t="str">
        <x:v>55 inch</x:v>
      </x:c>
      <x:c r="G3944" s="20" t="n">
        <x:v>1</x:v>
      </x:c>
      <x:c r="H3944" s="12" t="str">
        <x:v>Campus/portfolio roster; individual building occupancy unverified</x:v>
      </x:c>
      <x:c r="I3944" s="12" t="str">
        <x:v>Small-scale prospects</x:v>
      </x:c>
      <x:c r="J3944" s="12" t="str">
        <x:v>IT &amp; digital</x:v>
      </x:c>
      <x:c r="K3944" s="2" t="str">
        <x:v>PARTNER-M014</x:v>
      </x:c>
    </x:row>
    <x:row r="3945" ht="46" customHeight="1">
      <x:c r="A3945" s="2" t="str">
        <x:v>TEN-775865062819</x:v>
      </x:c>
      <x:c r="B3945" s="12" t="str">
        <x:v>Nagarro Software Pvt. Ltd</x:v>
      </x:c>
      <x:c r="C3945" s="12" t="str">
        <x:v>CORP-0434</x:v>
      </x:c>
      <x:c r="D3945" s="12" t="str">
        <x:v>Bengaluru</x:v>
      </x:c>
      <x:c r="E3945" s="12" t="str">
        <x:v>Prestige Tech Park</x:v>
      </x:c>
      <x:c r="F3945" s="12" t="str">
        <x:v>55 inch</x:v>
      </x:c>
      <x:c r="G3945" s="20" t="n">
        <x:v>1</x:v>
      </x:c>
      <x:c r="H3945" s="12" t="str">
        <x:v>Campus/portfolio roster; individual building occupancy unverified</x:v>
      </x:c>
      <x:c r="I3945" s="12" t="str">
        <x:v>Large enterprise</x:v>
      </x:c>
      <x:c r="J3945" s="12" t="str">
        <x:v>IT &amp; digital</x:v>
      </x:c>
      <x:c r="K3945" s="2" t="str">
        <x:v>PARTNER-M014</x:v>
      </x:c>
    </x:row>
    <x:row r="3946" ht="46" customHeight="1">
      <x:c r="A3946" s="2" t="str">
        <x:v>TEN-78522B7571D3</x:v>
      </x:c>
      <x:c r="B3946" s="12" t="str">
        <x:v>Grab Greco LLP</x:v>
      </x:c>
      <x:c r="C3946" s="12" t="str">
        <x:v>CORP-0434</x:v>
      </x:c>
      <x:c r="D3946" s="12" t="str">
        <x:v>Bengaluru</x:v>
      </x:c>
      <x:c r="E3946" s="12" t="str">
        <x:v>Prestige Tech Park</x:v>
      </x:c>
      <x:c r="F3946" s="12" t="str">
        <x:v>55 inch</x:v>
      </x:c>
      <x:c r="G3946" s="20" t="n">
        <x:v>1</x:v>
      </x:c>
      <x:c r="H3946" s="12" t="str">
        <x:v>Campus/portfolio roster; individual building occupancy unverified</x:v>
      </x:c>
      <x:c r="I3946" s="12" t="str">
        <x:v>Mixed business audience</x:v>
      </x:c>
      <x:c r="J3946" s="12" t="str">
        <x:v>Unresolved</x:v>
      </x:c>
      <x:c r="K3946" s="2" t="str">
        <x:v>PARTNER-M014</x:v>
      </x:c>
    </x:row>
    <x:row r="3947" ht="46" customHeight="1">
      <x:c r="A3947" s="2" t="str">
        <x:v>TEN-8217BB19EBF1</x:v>
      </x:c>
      <x:c r="B3947" s="12" t="str">
        <x:v>J.P. Morgan</x:v>
      </x:c>
      <x:c r="C3947" s="12" t="str">
        <x:v>CORP-0434</x:v>
      </x:c>
      <x:c r="D3947" s="12" t="str">
        <x:v>Bengaluru</x:v>
      </x:c>
      <x:c r="E3947" s="12" t="str">
        <x:v>Prestige Tech Park</x:v>
      </x:c>
      <x:c r="F3947" s="12" t="str">
        <x:v>55 inch</x:v>
      </x:c>
      <x:c r="G3947" s="20" t="n">
        <x:v>1</x:v>
      </x:c>
      <x:c r="H3947" s="12" t="str">
        <x:v>Campus/portfolio roster; individual building occupancy unverified</x:v>
      </x:c>
      <x:c r="I3947" s="12" t="str">
        <x:v>Large enterprise</x:v>
      </x:c>
      <x:c r="J3947" s="12" t="str">
        <x:v>Finance &amp; insurance</x:v>
      </x:c>
      <x:c r="K3947" s="2" t="str">
        <x:v>PARTNER-M014</x:v>
      </x:c>
    </x:row>
    <x:row r="3948" ht="46" customHeight="1">
      <x:c r="A3948" s="2" t="str">
        <x:v>TEN-9202AF6CE925</x:v>
      </x:c>
      <x:c r="B3948" s="12" t="str">
        <x:v>Oracle</x:v>
      </x:c>
      <x:c r="C3948" s="12" t="str">
        <x:v>CORP-0434</x:v>
      </x:c>
      <x:c r="D3948" s="12" t="str">
        <x:v>Bengaluru</x:v>
      </x:c>
      <x:c r="E3948" s="12" t="str">
        <x:v>Prestige Tech Park</x:v>
      </x:c>
      <x:c r="F3948" s="12" t="str">
        <x:v>55 inch</x:v>
      </x:c>
      <x:c r="G3948" s="20" t="n">
        <x:v>1</x:v>
      </x:c>
      <x:c r="H3948" s="12" t="str">
        <x:v>Campus/portfolio roster; individual building occupancy unverified</x:v>
      </x:c>
      <x:c r="I3948" s="12" t="str">
        <x:v>Large enterprise</x:v>
      </x:c>
      <x:c r="J3948" s="12" t="str">
        <x:v>IT &amp; digital</x:v>
      </x:c>
      <x:c r="K3948" s="2" t="str">
        <x:v>PARTNER-M014</x:v>
      </x:c>
    </x:row>
    <x:row r="3949" ht="46" customHeight="1">
      <x:c r="A3949" s="2" t="str">
        <x:v>TEN-9B7F5525854D</x:v>
      </x:c>
      <x:c r="B3949" s="12" t="str">
        <x:v>AQUANTIA SEMICONDUCTOR INDIA PVT LTD</x:v>
      </x:c>
      <x:c r="C3949" s="12" t="str">
        <x:v>CORP-0434</x:v>
      </x:c>
      <x:c r="D3949" s="12" t="str">
        <x:v>Bengaluru</x:v>
      </x:c>
      <x:c r="E3949" s="12" t="str">
        <x:v>Prestige Tech Park</x:v>
      </x:c>
      <x:c r="F3949" s="12" t="str">
        <x:v>55 inch</x:v>
      </x:c>
      <x:c r="G3949" s="20" t="n">
        <x:v>1</x:v>
      </x:c>
      <x:c r="H3949" s="12" t="str">
        <x:v>Campus/portfolio roster; individual building occupancy unverified</x:v>
      </x:c>
      <x:c r="I3949" s="12" t="str">
        <x:v>Mixed business audience</x:v>
      </x:c>
      <x:c r="J3949" s="12" t="str">
        <x:v>Engineering &amp; manufacturing</x:v>
      </x:c>
      <x:c r="K3949" s="2" t="str">
        <x:v>PARTNER-M014</x:v>
      </x:c>
    </x:row>
    <x:row r="3950" ht="46" customHeight="1">
      <x:c r="A3950" s="2" t="str">
        <x:v>TEN-B909749F4464</x:v>
      </x:c>
      <x:c r="B3950" s="12" t="str">
        <x:v>Conga (Apttus) Software Pvt. Ltd</x:v>
      </x:c>
      <x:c r="C3950" s="12" t="str">
        <x:v>CORP-0434</x:v>
      </x:c>
      <x:c r="D3950" s="12" t="str">
        <x:v>Bengaluru</x:v>
      </x:c>
      <x:c r="E3950" s="12" t="str">
        <x:v>Prestige Tech Park</x:v>
      </x:c>
      <x:c r="F3950" s="12" t="str">
        <x:v>55 inch</x:v>
      </x:c>
      <x:c r="G3950" s="20" t="n">
        <x:v>1</x:v>
      </x:c>
      <x:c r="H3950" s="12" t="str">
        <x:v>Campus/portfolio roster; individual building occupancy unverified</x:v>
      </x:c>
      <x:c r="I3950" s="12" t="str">
        <x:v>Mixed business audience</x:v>
      </x:c>
      <x:c r="J3950" s="12" t="str">
        <x:v>IT &amp; digital</x:v>
      </x:c>
      <x:c r="K3950" s="2" t="str">
        <x:v>PARTNER-M014</x:v>
      </x:c>
    </x:row>
    <x:row r="3951" ht="46" customHeight="1">
      <x:c r="A3951" s="2" t="str">
        <x:v>TEN-BC3067AC45DF</x:v>
      </x:c>
      <x:c r="B3951" s="12" t="str">
        <x:v>Schneider Electric</x:v>
      </x:c>
      <x:c r="C3951" s="12" t="str">
        <x:v>CORP-0434</x:v>
      </x:c>
      <x:c r="D3951" s="12" t="str">
        <x:v>Bengaluru</x:v>
      </x:c>
      <x:c r="E3951" s="12" t="str">
        <x:v>Prestige Tech Park</x:v>
      </x:c>
      <x:c r="F3951" s="12" t="str">
        <x:v>55 inch</x:v>
      </x:c>
      <x:c r="G3951" s="20" t="n">
        <x:v>1</x:v>
      </x:c>
      <x:c r="H3951" s="12" t="str">
        <x:v>Campus/portfolio roster; individual building occupancy unverified</x:v>
      </x:c>
      <x:c r="I3951" s="12" t="str">
        <x:v>Large enterprise</x:v>
      </x:c>
      <x:c r="J3951" s="12" t="str">
        <x:v>Engineering &amp; manufacturing</x:v>
      </x:c>
      <x:c r="K3951" s="2" t="str">
        <x:v>PARTNER-M014</x:v>
      </x:c>
    </x:row>
    <x:row r="3952" ht="46" customHeight="1">
      <x:c r="A3952" s="2" t="str">
        <x:v>TEN-C34DF63CE5F2</x:v>
      </x:c>
      <x:c r="B3952" s="12" t="str">
        <x:v>BlueJeans Networks Pvt Ltd</x:v>
      </x:c>
      <x:c r="C3952" s="12" t="str">
        <x:v>CORP-0434</x:v>
      </x:c>
      <x:c r="D3952" s="12" t="str">
        <x:v>Bengaluru</x:v>
      </x:c>
      <x:c r="E3952" s="12" t="str">
        <x:v>Prestige Tech Park</x:v>
      </x:c>
      <x:c r="F3952" s="12" t="str">
        <x:v>55 inch</x:v>
      </x:c>
      <x:c r="G3952" s="20" t="n">
        <x:v>1</x:v>
      </x:c>
      <x:c r="H3952" s="12" t="str">
        <x:v>Campus/portfolio roster; individual building occupancy unverified</x:v>
      </x:c>
      <x:c r="I3952" s="12" t="str">
        <x:v>Mixed business audience</x:v>
      </x:c>
      <x:c r="J3952" s="12" t="str">
        <x:v>IT &amp; digital</x:v>
      </x:c>
      <x:c r="K3952" s="2" t="str">
        <x:v>PARTNER-M014</x:v>
      </x:c>
    </x:row>
    <x:row r="3953" ht="46" customHeight="1">
      <x:c r="A3953" s="2" t="str">
        <x:v>TEN-C47675D3BD0C</x:v>
      </x:c>
      <x:c r="B3953" s="12" t="str">
        <x:v>Money View</x:v>
      </x:c>
      <x:c r="C3953" s="12" t="str">
        <x:v>CORP-0434</x:v>
      </x:c>
      <x:c r="D3953" s="12" t="str">
        <x:v>Bengaluru</x:v>
      </x:c>
      <x:c r="E3953" s="12" t="str">
        <x:v>Prestige Tech Park</x:v>
      </x:c>
      <x:c r="F3953" s="12" t="str">
        <x:v>55 inch</x:v>
      </x:c>
      <x:c r="G3953" s="20" t="n">
        <x:v>1</x:v>
      </x:c>
      <x:c r="H3953" s="12" t="str">
        <x:v>Campus/portfolio roster; individual building occupancy unverified</x:v>
      </x:c>
      <x:c r="I3953" s="12" t="str">
        <x:v>Medium-scale prospects</x:v>
      </x:c>
      <x:c r="J3953" s="12" t="str">
        <x:v>Finance &amp; insurance</x:v>
      </x:c>
      <x:c r="K3953" s="2" t="str">
        <x:v>PARTNER-M014</x:v>
      </x:c>
    </x:row>
    <x:row r="3954" ht="46" customHeight="1">
      <x:c r="A3954" s="2" t="str">
        <x:v>TEN-D886B2C883A6</x:v>
      </x:c>
      <x:c r="B3954" s="12" t="str">
        <x:v>Citi Bank</x:v>
      </x:c>
      <x:c r="C3954" s="12" t="str">
        <x:v>CORP-0434</x:v>
      </x:c>
      <x:c r="D3954" s="12" t="str">
        <x:v>Bengaluru</x:v>
      </x:c>
      <x:c r="E3954" s="12" t="str">
        <x:v>Prestige Tech Park</x:v>
      </x:c>
      <x:c r="F3954" s="12" t="str">
        <x:v>55 inch</x:v>
      </x:c>
      <x:c r="G3954" s="20" t="n">
        <x:v>1</x:v>
      </x:c>
      <x:c r="H3954" s="12" t="str">
        <x:v>Campus/portfolio roster; individual building occupancy unverified</x:v>
      </x:c>
      <x:c r="I3954" s="12" t="str">
        <x:v>Large enterprise</x:v>
      </x:c>
      <x:c r="J3954" s="12" t="str">
        <x:v>Finance &amp; insurance</x:v>
      </x:c>
      <x:c r="K3954" s="2" t="str">
        <x:v>PARTNER-M014</x:v>
      </x:c>
    </x:row>
    <x:row r="3955" ht="46" customHeight="1">
      <x:c r="A3955" s="2" t="str">
        <x:v>TEN-D9364FD0A5DE</x:v>
      </x:c>
      <x:c r="B3955" s="12" t="str">
        <x:v>Walmart Labs</x:v>
      </x:c>
      <x:c r="C3955" s="12" t="str">
        <x:v>CORP-0434</x:v>
      </x:c>
      <x:c r="D3955" s="12" t="str">
        <x:v>Bengaluru</x:v>
      </x:c>
      <x:c r="E3955" s="12" t="str">
        <x:v>Prestige Tech Park</x:v>
      </x:c>
      <x:c r="F3955" s="12" t="str">
        <x:v>55 inch</x:v>
      </x:c>
      <x:c r="G3955" s="20" t="n">
        <x:v>1</x:v>
      </x:c>
      <x:c r="H3955" s="12" t="str">
        <x:v>Campus/portfolio roster; individual building occupancy unverified</x:v>
      </x:c>
      <x:c r="I3955" s="12" t="str">
        <x:v>Large enterprise</x:v>
      </x:c>
      <x:c r="J3955" s="12" t="str">
        <x:v>Trade, consumer &amp; logistics</x:v>
      </x:c>
      <x:c r="K3955" s="2" t="str">
        <x:v>PARTNER-M014</x:v>
      </x:c>
    </x:row>
    <x:row r="3956" ht="46" customHeight="1">
      <x:c r="A3956" s="2" t="str">
        <x:v>TEN-F55A85B2F2EB</x:v>
      </x:c>
      <x:c r="B3956" s="12" t="str">
        <x:v>Capgemini</x:v>
      </x:c>
      <x:c r="C3956" s="12" t="str">
        <x:v>CORP-0434</x:v>
      </x:c>
      <x:c r="D3956" s="12" t="str">
        <x:v>Bengaluru</x:v>
      </x:c>
      <x:c r="E3956" s="12" t="str">
        <x:v>Prestige Tech Park</x:v>
      </x:c>
      <x:c r="F3956" s="12" t="str">
        <x:v>55 inch</x:v>
      </x:c>
      <x:c r="G3956" s="20" t="n">
        <x:v>1</x:v>
      </x:c>
      <x:c r="H3956" s="12" t="str">
        <x:v>Campus/portfolio roster; individual building occupancy unverified</x:v>
      </x:c>
      <x:c r="I3956" s="12" t="str">
        <x:v>Large enterprise</x:v>
      </x:c>
      <x:c r="J3956" s="12" t="str">
        <x:v>IT &amp; digital</x:v>
      </x:c>
      <x:c r="K3956" s="2" t="str">
        <x:v>PARTNER-M014</x:v>
      </x:c>
    </x:row>
    <x:row r="3957" ht="46" customHeight="1">
      <x:c r="A3957" s="2" t="str">
        <x:v>TEN-2B28F04A8B61</x:v>
      </x:c>
      <x:c r="B3957" s="12" t="str">
        <x:v>DSB International School</x:v>
      </x:c>
      <x:c r="C3957" s="12" t="str">
        <x:v>CORP-0605</x:v>
      </x:c>
      <x:c r="D3957" s="12" t="str">
        <x:v>Mumbai</x:v>
      </x:c>
      <x:c r="E3957" s="12" t="str">
        <x:v>Urmi Estate</x:v>
      </x:c>
      <x:c r="F3957" s="12" t="str">
        <x:v>55 inch</x:v>
      </x:c>
      <x:c r="G3957" s="20" t="n">
        <x:v>1</x:v>
      </x:c>
      <x:c r="H3957" s="12" t="str">
        <x:v>Campus/portfolio roster; individual building occupancy unverified</x:v>
      </x:c>
      <x:c r="I3957" s="12" t="str">
        <x:v>Mixed business audience</x:v>
      </x:c>
      <x:c r="J3957" s="12" t="str">
        <x:v>Education</x:v>
      </x:c>
      <x:c r="K3957" s="2" t="str">
        <x:v>PARTNER-M188</x:v>
      </x:c>
    </x:row>
    <x:row r="3958" ht="46" customHeight="1">
      <x:c r="A3958" s="2" t="str">
        <x:v>TEN-375E37AB8AEE</x:v>
      </x:c>
      <x:c r="B3958" s="12" t="str">
        <x:v>VAssist Services Pvt. Ltd</x:v>
      </x:c>
      <x:c r="C3958" s="12" t="str">
        <x:v>CORP-0605</x:v>
      </x:c>
      <x:c r="D3958" s="12" t="str">
        <x:v>Mumbai</x:v>
      </x:c>
      <x:c r="E3958" s="12" t="str">
        <x:v>Urmi Estate</x:v>
      </x:c>
      <x:c r="F3958" s="12" t="str">
        <x:v>55 inch</x:v>
      </x:c>
      <x:c r="G3958" s="20" t="n">
        <x:v>1</x:v>
      </x:c>
      <x:c r="H3958" s="12" t="str">
        <x:v>Campus/portfolio roster; individual building occupancy unverified</x:v>
      </x:c>
      <x:c r="I3958" s="12" t="str">
        <x:v>Mixed business audience</x:v>
      </x:c>
      <x:c r="J3958" s="12" t="str">
        <x:v>Unresolved</x:v>
      </x:c>
      <x:c r="K3958" s="2" t="str">
        <x:v>PARTNER-M188</x:v>
      </x:c>
    </x:row>
    <x:row r="3959" ht="46" customHeight="1">
      <x:c r="A3959" s="2" t="str">
        <x:v>TEN-4226BEF8F9C9</x:v>
      </x:c>
      <x:c r="B3959" s="12" t="str">
        <x:v>PUBLICIS MEDIA</x:v>
      </x:c>
      <x:c r="C3959" s="12" t="str">
        <x:v>CORP-0605</x:v>
      </x:c>
      <x:c r="D3959" s="12" t="str">
        <x:v>Mumbai</x:v>
      </x:c>
      <x:c r="E3959" s="12" t="str">
        <x:v>Urmi Estate</x:v>
      </x:c>
      <x:c r="F3959" s="12" t="str">
        <x:v>55 inch</x:v>
      </x:c>
      <x:c r="G3959" s="20" t="n">
        <x:v>1</x:v>
      </x:c>
      <x:c r="H3959" s="12" t="str">
        <x:v>Campus/portfolio roster; individual building occupancy unverified</x:v>
      </x:c>
      <x:c r="I3959" s="12" t="str">
        <x:v>Large enterprise</x:v>
      </x:c>
      <x:c r="J3959" s="12" t="str">
        <x:v>Professional services</x:v>
      </x:c>
      <x:c r="K3959" s="2" t="str">
        <x:v>PARTNER-M188</x:v>
      </x:c>
    </x:row>
    <x:row r="3960" ht="46" customHeight="1">
      <x:c r="A3960" s="2" t="str">
        <x:v>TEN-43AE726EC13A</x:v>
      </x:c>
      <x:c r="B3960" s="12" t="str">
        <x:v>Maersk Line Office</x:v>
      </x:c>
      <x:c r="C3960" s="12" t="str">
        <x:v>CORP-0605</x:v>
      </x:c>
      <x:c r="D3960" s="12" t="str">
        <x:v>Mumbai</x:v>
      </x:c>
      <x:c r="E3960" s="12" t="str">
        <x:v>Urmi Estate</x:v>
      </x:c>
      <x:c r="F3960" s="12" t="str">
        <x:v>55 inch</x:v>
      </x:c>
      <x:c r="G3960" s="20" t="n">
        <x:v>1</x:v>
      </x:c>
      <x:c r="H3960" s="12" t="str">
        <x:v>Campus/portfolio roster; individual building occupancy unverified</x:v>
      </x:c>
      <x:c r="I3960" s="12" t="str">
        <x:v>Large enterprise</x:v>
      </x:c>
      <x:c r="J3960" s="12" t="str">
        <x:v>Trade, consumer &amp; logistics</x:v>
      </x:c>
      <x:c r="K3960" s="2" t="str">
        <x:v>PARTNER-M188</x:v>
      </x:c>
    </x:row>
    <x:row r="3961" ht="46" customHeight="1">
      <x:c r="A3961" s="2" t="str">
        <x:v>TEN-5A80E9846757</x:v>
      </x:c>
      <x:c r="B3961" s="12" t="str">
        <x:v>Star India Private Limited</x:v>
      </x:c>
      <x:c r="C3961" s="12" t="str">
        <x:v>CORP-0605</x:v>
      </x:c>
      <x:c r="D3961" s="12" t="str">
        <x:v>Mumbai</x:v>
      </x:c>
      <x:c r="E3961" s="12" t="str">
        <x:v>Urmi Estate</x:v>
      </x:c>
      <x:c r="F3961" s="12" t="str">
        <x:v>55 inch</x:v>
      </x:c>
      <x:c r="G3961" s="20" t="n">
        <x:v>1</x:v>
      </x:c>
      <x:c r="H3961" s="12" t="str">
        <x:v>Campus/portfolio roster; individual building occupancy unverified</x:v>
      </x:c>
      <x:c r="I3961" s="12" t="str">
        <x:v>Mixed business audience</x:v>
      </x:c>
      <x:c r="J3961" s="12" t="str">
        <x:v>Trade, consumer &amp; logistics</x:v>
      </x:c>
      <x:c r="K3961" s="2" t="str">
        <x:v>PARTNER-M188</x:v>
      </x:c>
    </x:row>
    <x:row r="3962" ht="46" customHeight="1">
      <x:c r="A3962" s="2" t="str">
        <x:v>TEN-6511014F09E3</x:v>
      </x:c>
      <x:c r="B3962" s="12" t="str">
        <x:v>Law &amp; Kenneth Saatchi &amp; Saatchi India Private Limited</x:v>
      </x:c>
      <x:c r="C3962" s="12" t="str">
        <x:v>CORP-0605</x:v>
      </x:c>
      <x:c r="D3962" s="12" t="str">
        <x:v>Mumbai</x:v>
      </x:c>
      <x:c r="E3962" s="12" t="str">
        <x:v>Urmi Estate</x:v>
      </x:c>
      <x:c r="F3962" s="12" t="str">
        <x:v>55 inch</x:v>
      </x:c>
      <x:c r="G3962" s="20" t="n">
        <x:v>1</x:v>
      </x:c>
      <x:c r="H3962" s="12" t="str">
        <x:v>Campus/portfolio roster; individual building occupancy unverified</x:v>
      </x:c>
      <x:c r="I3962" s="12" t="str">
        <x:v>Large enterprise</x:v>
      </x:c>
      <x:c r="J3962" s="12" t="str">
        <x:v>Trade, consumer &amp; logistics</x:v>
      </x:c>
      <x:c r="K3962" s="2" t="str">
        <x:v>PARTNER-M188</x:v>
      </x:c>
    </x:row>
    <x:row r="3963" ht="46" customHeight="1">
      <x:c r="A3963" s="2" t="str">
        <x:v>TEN-65F0C1A7EAFF</x:v>
      </x:c>
      <x:c r="B3963" s="12" t="str">
        <x:v>Digitas</x:v>
      </x:c>
      <x:c r="C3963" s="12" t="str">
        <x:v>CORP-0605</x:v>
      </x:c>
      <x:c r="D3963" s="12" t="str">
        <x:v>Mumbai</x:v>
      </x:c>
      <x:c r="E3963" s="12" t="str">
        <x:v>Urmi Estate</x:v>
      </x:c>
      <x:c r="F3963" s="12" t="str">
        <x:v>55 inch</x:v>
      </x:c>
      <x:c r="G3963" s="20" t="n">
        <x:v>1</x:v>
      </x:c>
      <x:c r="H3963" s="12" t="str">
        <x:v>Campus/portfolio roster; individual building occupancy unverified</x:v>
      </x:c>
      <x:c r="I3963" s="12" t="str">
        <x:v>Large enterprise</x:v>
      </x:c>
      <x:c r="J3963" s="12" t="str">
        <x:v>Professional services</x:v>
      </x:c>
      <x:c r="K3963" s="2" t="str">
        <x:v>PARTNER-M188</x:v>
      </x:c>
    </x:row>
    <x:row r="3964" ht="46" customHeight="1">
      <x:c r="A3964" s="2" t="str">
        <x:v>TEN-88C77A8CE97E</x:v>
      </x:c>
      <x:c r="B3964" s="12" t="str">
        <x:v>Consulate General of Republic of South Africa</x:v>
      </x:c>
      <x:c r="C3964" s="12" t="str">
        <x:v>CORP-0605</x:v>
      </x:c>
      <x:c r="D3964" s="12" t="str">
        <x:v>Mumbai</x:v>
      </x:c>
      <x:c r="E3964" s="12" t="str">
        <x:v>Urmi Estate</x:v>
      </x:c>
      <x:c r="F3964" s="12" t="str">
        <x:v>55 inch</x:v>
      </x:c>
      <x:c r="G3964" s="20" t="n">
        <x:v>1</x:v>
      </x:c>
      <x:c r="H3964" s="12" t="str">
        <x:v>Campus/portfolio roster; individual building occupancy unverified</x:v>
      </x:c>
      <x:c r="I3964" s="12" t="str">
        <x:v>Institutional</x:v>
      </x:c>
      <x:c r="J3964" s="12" t="str">
        <x:v>Government &amp; nonprofit</x:v>
      </x:c>
      <x:c r="K3964" s="2" t="str">
        <x:v>PARTNER-M188</x:v>
      </x:c>
    </x:row>
    <x:row r="3965" ht="46" customHeight="1">
      <x:c r="A3965" s="2" t="str">
        <x:v>TEN-9D3E03571A85</x:v>
      </x:c>
      <x:c r="B3965" s="12" t="str">
        <x:v>PhillipCapital (India) Pvt. Ltd</x:v>
      </x:c>
      <x:c r="C3965" s="12" t="str">
        <x:v>CORP-0605</x:v>
      </x:c>
      <x:c r="D3965" s="12" t="str">
        <x:v>Mumbai</x:v>
      </x:c>
      <x:c r="E3965" s="12" t="str">
        <x:v>Urmi Estate</x:v>
      </x:c>
      <x:c r="F3965" s="12" t="str">
        <x:v>55 inch</x:v>
      </x:c>
      <x:c r="G3965" s="20" t="n">
        <x:v>1</x:v>
      </x:c>
      <x:c r="H3965" s="12" t="str">
        <x:v>Campus/portfolio roster; individual building occupancy unverified</x:v>
      </x:c>
      <x:c r="I3965" s="12" t="str">
        <x:v>Mixed business audience</x:v>
      </x:c>
      <x:c r="J3965" s="12" t="str">
        <x:v>Finance &amp; insurance</x:v>
      </x:c>
      <x:c r="K3965" s="2" t="str">
        <x:v>PARTNER-M188</x:v>
      </x:c>
    </x:row>
    <x:row r="3966" ht="46" customHeight="1">
      <x:c r="A3966" s="2" t="str">
        <x:v>TEN-9E0F4D8A0AA5</x:v>
      </x:c>
      <x:c r="B3966" s="12" t="str">
        <x:v>Akasa Air</x:v>
      </x:c>
      <x:c r="C3966" s="12" t="str">
        <x:v>CORP-0605</x:v>
      </x:c>
      <x:c r="D3966" s="12" t="str">
        <x:v>Mumbai</x:v>
      </x:c>
      <x:c r="E3966" s="12" t="str">
        <x:v>Urmi Estate</x:v>
      </x:c>
      <x:c r="F3966" s="12" t="str">
        <x:v>55 inch</x:v>
      </x:c>
      <x:c r="G3966" s="20" t="n">
        <x:v>1</x:v>
      </x:c>
      <x:c r="H3966" s="12" t="str">
        <x:v>Campus/portfolio roster; individual building occupancy unverified</x:v>
      </x:c>
      <x:c r="I3966" s="12" t="str">
        <x:v>Mixed business audience</x:v>
      </x:c>
      <x:c r="J3966" s="12" t="str">
        <x:v>Trade, consumer &amp; logistics</x:v>
      </x:c>
      <x:c r="K3966" s="2" t="str">
        <x:v>PARTNER-M188</x:v>
      </x:c>
    </x:row>
    <x:row r="3967" ht="46" customHeight="1">
      <x:c r="A3967" s="2" t="str">
        <x:v>TEN-B9E919CF563D</x:v>
      </x:c>
      <x:c r="B3967" s="12" t="str">
        <x:v>Performics.Convonix</x:v>
      </x:c>
      <x:c r="C3967" s="12" t="str">
        <x:v>CORP-0605</x:v>
      </x:c>
      <x:c r="D3967" s="12" t="str">
        <x:v>Mumbai</x:v>
      </x:c>
      <x:c r="E3967" s="12" t="str">
        <x:v>Urmi Estate</x:v>
      </x:c>
      <x:c r="F3967" s="12" t="str">
        <x:v>55 inch</x:v>
      </x:c>
      <x:c r="G3967" s="20" t="n">
        <x:v>1</x:v>
      </x:c>
      <x:c r="H3967" s="12" t="str">
        <x:v>Campus/portfolio roster; individual building occupancy unverified</x:v>
      </x:c>
      <x:c r="I3967" s="12" t="str">
        <x:v>Large enterprise</x:v>
      </x:c>
      <x:c r="J3967" s="12" t="str">
        <x:v>Professional services</x:v>
      </x:c>
      <x:c r="K3967" s="2" t="str">
        <x:v>PARTNER-M188</x:v>
      </x:c>
    </x:row>
    <x:row r="3968" ht="46" customHeight="1">
      <x:c r="A3968" s="2" t="str">
        <x:v>TEN-D2DC6A741591</x:v>
      </x:c>
      <x:c r="B3968" s="12" t="str">
        <x:v>Lycée Français International de Mumbai</x:v>
      </x:c>
      <x:c r="C3968" s="12" t="str">
        <x:v>CORP-0605</x:v>
      </x:c>
      <x:c r="D3968" s="12" t="str">
        <x:v>Mumbai</x:v>
      </x:c>
      <x:c r="E3968" s="12" t="str">
        <x:v>Urmi Estate</x:v>
      </x:c>
      <x:c r="F3968" s="12" t="str">
        <x:v>55 inch</x:v>
      </x:c>
      <x:c r="G3968" s="20" t="n">
        <x:v>1</x:v>
      </x:c>
      <x:c r="H3968" s="12" t="str">
        <x:v>Campus/portfolio roster; individual building occupancy unverified</x:v>
      </x:c>
      <x:c r="I3968" s="12" t="str">
        <x:v>Mixed business audience</x:v>
      </x:c>
      <x:c r="J3968" s="12" t="str">
        <x:v>Education</x:v>
      </x:c>
      <x:c r="K3968" s="2" t="str">
        <x:v>PARTNER-M188</x:v>
      </x:c>
    </x:row>
    <x:row r="3969" ht="46" customHeight="1">
      <x:c r="A3969" s="2" t="str">
        <x:v>TEN-E07EEA591709</x:v>
      </x:c>
      <x:c r="B3969" s="12" t="str">
        <x:v>The Learning Galaxy</x:v>
      </x:c>
      <x:c r="C3969" s="12" t="str">
        <x:v>CORP-0605</x:v>
      </x:c>
      <x:c r="D3969" s="12" t="str">
        <x:v>Mumbai</x:v>
      </x:c>
      <x:c r="E3969" s="12" t="str">
        <x:v>Urmi Estate</x:v>
      </x:c>
      <x:c r="F3969" s="12" t="str">
        <x:v>55 inch</x:v>
      </x:c>
      <x:c r="G3969" s="20" t="n">
        <x:v>1</x:v>
      </x:c>
      <x:c r="H3969" s="12" t="str">
        <x:v>Campus/portfolio roster; individual building occupancy unverified</x:v>
      </x:c>
      <x:c r="I3969" s="12" t="str">
        <x:v>Small-scale prospects</x:v>
      </x:c>
      <x:c r="J3969" s="12" t="str">
        <x:v>Education</x:v>
      </x:c>
      <x:c r="K3969" s="2" t="str">
        <x:v>PARTNER-M188</x:v>
      </x:c>
    </x:row>
    <x:row r="3970" ht="46" customHeight="1">
      <x:c r="A3970" s="2" t="str">
        <x:v>TEN-EDA2DFE8C935</x:v>
      </x:c>
      <x:c r="B3970" s="12" t="str">
        <x:v>Hotstar</x:v>
      </x:c>
      <x:c r="C3970" s="12" t="str">
        <x:v>CORP-0605</x:v>
      </x:c>
      <x:c r="D3970" s="12" t="str">
        <x:v>Mumbai</x:v>
      </x:c>
      <x:c r="E3970" s="12" t="str">
        <x:v>Urmi Estate</x:v>
      </x:c>
      <x:c r="F3970" s="12" t="str">
        <x:v>55 inch</x:v>
      </x:c>
      <x:c r="G3970" s="20" t="n">
        <x:v>1</x:v>
      </x:c>
      <x:c r="H3970" s="12" t="str">
        <x:v>Campus/portfolio roster; individual building occupancy unverified</x:v>
      </x:c>
      <x:c r="I3970" s="12" t="str">
        <x:v>Mixed business audience</x:v>
      </x:c>
      <x:c r="J3970" s="12" t="str">
        <x:v>Trade, consumer &amp; logistics</x:v>
      </x:c>
      <x:c r="K3970" s="2" t="str">
        <x:v>PARTNER-M188</x:v>
      </x:c>
    </x:row>
    <x:row r="3971" ht="46" customHeight="1">
      <x:c r="A3971" s="2" t="str">
        <x:v>TEN-2B28F04A8B61</x:v>
      </x:c>
      <x:c r="B3971" s="12" t="str">
        <x:v>DSB International School</x:v>
      </x:c>
      <x:c r="C3971" s="12" t="str">
        <x:v>CORP-0606</x:v>
      </x:c>
      <x:c r="D3971" s="12" t="str">
        <x:v>Mumbai</x:v>
      </x:c>
      <x:c r="E3971" s="12" t="str">
        <x:v>Urmi Estate</x:v>
      </x:c>
      <x:c r="F3971" s="12" t="str">
        <x:v>55 inch</x:v>
      </x:c>
      <x:c r="G3971" s="20" t="n">
        <x:v>1</x:v>
      </x:c>
      <x:c r="H3971" s="12" t="str">
        <x:v>Campus/portfolio roster; individual building occupancy unverified</x:v>
      </x:c>
      <x:c r="I3971" s="12" t="str">
        <x:v>Mixed business audience</x:v>
      </x:c>
      <x:c r="J3971" s="12" t="str">
        <x:v>Education</x:v>
      </x:c>
      <x:c r="K3971" s="2" t="str">
        <x:v>PARTNER-M188</x:v>
      </x:c>
    </x:row>
    <x:row r="3972" ht="46" customHeight="1">
      <x:c r="A3972" s="2" t="str">
        <x:v>TEN-375E37AB8AEE</x:v>
      </x:c>
      <x:c r="B3972" s="12" t="str">
        <x:v>VAssist Services Pvt. Ltd</x:v>
      </x:c>
      <x:c r="C3972" s="12" t="str">
        <x:v>CORP-0606</x:v>
      </x:c>
      <x:c r="D3972" s="12" t="str">
        <x:v>Mumbai</x:v>
      </x:c>
      <x:c r="E3972" s="12" t="str">
        <x:v>Urmi Estate</x:v>
      </x:c>
      <x:c r="F3972" s="12" t="str">
        <x:v>55 inch</x:v>
      </x:c>
      <x:c r="G3972" s="20" t="n">
        <x:v>1</x:v>
      </x:c>
      <x:c r="H3972" s="12" t="str">
        <x:v>Campus/portfolio roster; individual building occupancy unverified</x:v>
      </x:c>
      <x:c r="I3972" s="12" t="str">
        <x:v>Mixed business audience</x:v>
      </x:c>
      <x:c r="J3972" s="12" t="str">
        <x:v>Unresolved</x:v>
      </x:c>
      <x:c r="K3972" s="2" t="str">
        <x:v>PARTNER-M188</x:v>
      </x:c>
    </x:row>
    <x:row r="3973" ht="46" customHeight="1">
      <x:c r="A3973" s="2" t="str">
        <x:v>TEN-4226BEF8F9C9</x:v>
      </x:c>
      <x:c r="B3973" s="12" t="str">
        <x:v>PUBLICIS MEDIA</x:v>
      </x:c>
      <x:c r="C3973" s="12" t="str">
        <x:v>CORP-0606</x:v>
      </x:c>
      <x:c r="D3973" s="12" t="str">
        <x:v>Mumbai</x:v>
      </x:c>
      <x:c r="E3973" s="12" t="str">
        <x:v>Urmi Estate</x:v>
      </x:c>
      <x:c r="F3973" s="12" t="str">
        <x:v>55 inch</x:v>
      </x:c>
      <x:c r="G3973" s="20" t="n">
        <x:v>1</x:v>
      </x:c>
      <x:c r="H3973" s="12" t="str">
        <x:v>Campus/portfolio roster; individual building occupancy unverified</x:v>
      </x:c>
      <x:c r="I3973" s="12" t="str">
        <x:v>Large enterprise</x:v>
      </x:c>
      <x:c r="J3973" s="12" t="str">
        <x:v>Professional services</x:v>
      </x:c>
      <x:c r="K3973" s="2" t="str">
        <x:v>PARTNER-M188</x:v>
      </x:c>
    </x:row>
    <x:row r="3974" ht="46" customHeight="1">
      <x:c r="A3974" s="2" t="str">
        <x:v>TEN-43AE726EC13A</x:v>
      </x:c>
      <x:c r="B3974" s="12" t="str">
        <x:v>Maersk Line Office</x:v>
      </x:c>
      <x:c r="C3974" s="12" t="str">
        <x:v>CORP-0606</x:v>
      </x:c>
      <x:c r="D3974" s="12" t="str">
        <x:v>Mumbai</x:v>
      </x:c>
      <x:c r="E3974" s="12" t="str">
        <x:v>Urmi Estate</x:v>
      </x:c>
      <x:c r="F3974" s="12" t="str">
        <x:v>55 inch</x:v>
      </x:c>
      <x:c r="G3974" s="20" t="n">
        <x:v>1</x:v>
      </x:c>
      <x:c r="H3974" s="12" t="str">
        <x:v>Campus/portfolio roster; individual building occupancy unverified</x:v>
      </x:c>
      <x:c r="I3974" s="12" t="str">
        <x:v>Large enterprise</x:v>
      </x:c>
      <x:c r="J3974" s="12" t="str">
        <x:v>Trade, consumer &amp; logistics</x:v>
      </x:c>
      <x:c r="K3974" s="2" t="str">
        <x:v>PARTNER-M188</x:v>
      </x:c>
    </x:row>
    <x:row r="3975" ht="46" customHeight="1">
      <x:c r="A3975" s="2" t="str">
        <x:v>TEN-5A80E9846757</x:v>
      </x:c>
      <x:c r="B3975" s="12" t="str">
        <x:v>Star India Private Limited</x:v>
      </x:c>
      <x:c r="C3975" s="12" t="str">
        <x:v>CORP-0606</x:v>
      </x:c>
      <x:c r="D3975" s="12" t="str">
        <x:v>Mumbai</x:v>
      </x:c>
      <x:c r="E3975" s="12" t="str">
        <x:v>Urmi Estate</x:v>
      </x:c>
      <x:c r="F3975" s="12" t="str">
        <x:v>55 inch</x:v>
      </x:c>
      <x:c r="G3975" s="20" t="n">
        <x:v>1</x:v>
      </x:c>
      <x:c r="H3975" s="12" t="str">
        <x:v>Campus/portfolio roster; individual building occupancy unverified</x:v>
      </x:c>
      <x:c r="I3975" s="12" t="str">
        <x:v>Mixed business audience</x:v>
      </x:c>
      <x:c r="J3975" s="12" t="str">
        <x:v>Trade, consumer &amp; logistics</x:v>
      </x:c>
      <x:c r="K3975" s="2" t="str">
        <x:v>PARTNER-M188</x:v>
      </x:c>
    </x:row>
    <x:row r="3976" ht="46" customHeight="1">
      <x:c r="A3976" s="2" t="str">
        <x:v>TEN-6511014F09E3</x:v>
      </x:c>
      <x:c r="B3976" s="12" t="str">
        <x:v>Law &amp; Kenneth Saatchi &amp; Saatchi India Private Limited</x:v>
      </x:c>
      <x:c r="C3976" s="12" t="str">
        <x:v>CORP-0606</x:v>
      </x:c>
      <x:c r="D3976" s="12" t="str">
        <x:v>Mumbai</x:v>
      </x:c>
      <x:c r="E3976" s="12" t="str">
        <x:v>Urmi Estate</x:v>
      </x:c>
      <x:c r="F3976" s="12" t="str">
        <x:v>55 inch</x:v>
      </x:c>
      <x:c r="G3976" s="20" t="n">
        <x:v>1</x:v>
      </x:c>
      <x:c r="H3976" s="12" t="str">
        <x:v>Campus/portfolio roster; individual building occupancy unverified</x:v>
      </x:c>
      <x:c r="I3976" s="12" t="str">
        <x:v>Large enterprise</x:v>
      </x:c>
      <x:c r="J3976" s="12" t="str">
        <x:v>Trade, consumer &amp; logistics</x:v>
      </x:c>
      <x:c r="K3976" s="2" t="str">
        <x:v>PARTNER-M188</x:v>
      </x:c>
    </x:row>
    <x:row r="3977" ht="46" customHeight="1">
      <x:c r="A3977" s="2" t="str">
        <x:v>TEN-65F0C1A7EAFF</x:v>
      </x:c>
      <x:c r="B3977" s="12" t="str">
        <x:v>Digitas</x:v>
      </x:c>
      <x:c r="C3977" s="12" t="str">
        <x:v>CORP-0606</x:v>
      </x:c>
      <x:c r="D3977" s="12" t="str">
        <x:v>Mumbai</x:v>
      </x:c>
      <x:c r="E3977" s="12" t="str">
        <x:v>Urmi Estate</x:v>
      </x:c>
      <x:c r="F3977" s="12" t="str">
        <x:v>55 inch</x:v>
      </x:c>
      <x:c r="G3977" s="20" t="n">
        <x:v>1</x:v>
      </x:c>
      <x:c r="H3977" s="12" t="str">
        <x:v>Campus/portfolio roster; individual building occupancy unverified</x:v>
      </x:c>
      <x:c r="I3977" s="12" t="str">
        <x:v>Large enterprise</x:v>
      </x:c>
      <x:c r="J3977" s="12" t="str">
        <x:v>Professional services</x:v>
      </x:c>
      <x:c r="K3977" s="2" t="str">
        <x:v>PARTNER-M188</x:v>
      </x:c>
    </x:row>
    <x:row r="3978" ht="46" customHeight="1">
      <x:c r="A3978" s="2" t="str">
        <x:v>TEN-88C77A8CE97E</x:v>
      </x:c>
      <x:c r="B3978" s="12" t="str">
        <x:v>Consulate General of Republic of South Africa</x:v>
      </x:c>
      <x:c r="C3978" s="12" t="str">
        <x:v>CORP-0606</x:v>
      </x:c>
      <x:c r="D3978" s="12" t="str">
        <x:v>Mumbai</x:v>
      </x:c>
      <x:c r="E3978" s="12" t="str">
        <x:v>Urmi Estate</x:v>
      </x:c>
      <x:c r="F3978" s="12" t="str">
        <x:v>55 inch</x:v>
      </x:c>
      <x:c r="G3978" s="20" t="n">
        <x:v>1</x:v>
      </x:c>
      <x:c r="H3978" s="12" t="str">
        <x:v>Campus/portfolio roster; individual building occupancy unverified</x:v>
      </x:c>
      <x:c r="I3978" s="12" t="str">
        <x:v>Institutional</x:v>
      </x:c>
      <x:c r="J3978" s="12" t="str">
        <x:v>Government &amp; nonprofit</x:v>
      </x:c>
      <x:c r="K3978" s="2" t="str">
        <x:v>PARTNER-M188</x:v>
      </x:c>
    </x:row>
    <x:row r="3979" ht="46" customHeight="1">
      <x:c r="A3979" s="2" t="str">
        <x:v>TEN-9D3E03571A85</x:v>
      </x:c>
      <x:c r="B3979" s="12" t="str">
        <x:v>PhillipCapital (India) Pvt. Ltd</x:v>
      </x:c>
      <x:c r="C3979" s="12" t="str">
        <x:v>CORP-0606</x:v>
      </x:c>
      <x:c r="D3979" s="12" t="str">
        <x:v>Mumbai</x:v>
      </x:c>
      <x:c r="E3979" s="12" t="str">
        <x:v>Urmi Estate</x:v>
      </x:c>
      <x:c r="F3979" s="12" t="str">
        <x:v>55 inch</x:v>
      </x:c>
      <x:c r="G3979" s="20" t="n">
        <x:v>1</x:v>
      </x:c>
      <x:c r="H3979" s="12" t="str">
        <x:v>Campus/portfolio roster; individual building occupancy unverified</x:v>
      </x:c>
      <x:c r="I3979" s="12" t="str">
        <x:v>Mixed business audience</x:v>
      </x:c>
      <x:c r="J3979" s="12" t="str">
        <x:v>Finance &amp; insurance</x:v>
      </x:c>
      <x:c r="K3979" s="2" t="str">
        <x:v>PARTNER-M188</x:v>
      </x:c>
    </x:row>
    <x:row r="3980" ht="46" customHeight="1">
      <x:c r="A3980" s="2" t="str">
        <x:v>TEN-9E0F4D8A0AA5</x:v>
      </x:c>
      <x:c r="B3980" s="12" t="str">
        <x:v>Akasa Air</x:v>
      </x:c>
      <x:c r="C3980" s="12" t="str">
        <x:v>CORP-0606</x:v>
      </x:c>
      <x:c r="D3980" s="12" t="str">
        <x:v>Mumbai</x:v>
      </x:c>
      <x:c r="E3980" s="12" t="str">
        <x:v>Urmi Estate</x:v>
      </x:c>
      <x:c r="F3980" s="12" t="str">
        <x:v>55 inch</x:v>
      </x:c>
      <x:c r="G3980" s="20" t="n">
        <x:v>1</x:v>
      </x:c>
      <x:c r="H3980" s="12" t="str">
        <x:v>Campus/portfolio roster; individual building occupancy unverified</x:v>
      </x:c>
      <x:c r="I3980" s="12" t="str">
        <x:v>Mixed business audience</x:v>
      </x:c>
      <x:c r="J3980" s="12" t="str">
        <x:v>Trade, consumer &amp; logistics</x:v>
      </x:c>
      <x:c r="K3980" s="2" t="str">
        <x:v>PARTNER-M188</x:v>
      </x:c>
    </x:row>
    <x:row r="3981" ht="46" customHeight="1">
      <x:c r="A3981" s="2" t="str">
        <x:v>TEN-B9E919CF563D</x:v>
      </x:c>
      <x:c r="B3981" s="12" t="str">
        <x:v>Performics.Convonix</x:v>
      </x:c>
      <x:c r="C3981" s="12" t="str">
        <x:v>CORP-0606</x:v>
      </x:c>
      <x:c r="D3981" s="12" t="str">
        <x:v>Mumbai</x:v>
      </x:c>
      <x:c r="E3981" s="12" t="str">
        <x:v>Urmi Estate</x:v>
      </x:c>
      <x:c r="F3981" s="12" t="str">
        <x:v>55 inch</x:v>
      </x:c>
      <x:c r="G3981" s="20" t="n">
        <x:v>1</x:v>
      </x:c>
      <x:c r="H3981" s="12" t="str">
        <x:v>Campus/portfolio roster; individual building occupancy unverified</x:v>
      </x:c>
      <x:c r="I3981" s="12" t="str">
        <x:v>Large enterprise</x:v>
      </x:c>
      <x:c r="J3981" s="12" t="str">
        <x:v>Professional services</x:v>
      </x:c>
      <x:c r="K3981" s="2" t="str">
        <x:v>PARTNER-M188</x:v>
      </x:c>
    </x:row>
    <x:row r="3982" ht="46" customHeight="1">
      <x:c r="A3982" s="2" t="str">
        <x:v>TEN-D2DC6A741591</x:v>
      </x:c>
      <x:c r="B3982" s="12" t="str">
        <x:v>Lycée Français International de Mumbai</x:v>
      </x:c>
      <x:c r="C3982" s="12" t="str">
        <x:v>CORP-0606</x:v>
      </x:c>
      <x:c r="D3982" s="12" t="str">
        <x:v>Mumbai</x:v>
      </x:c>
      <x:c r="E3982" s="12" t="str">
        <x:v>Urmi Estate</x:v>
      </x:c>
      <x:c r="F3982" s="12" t="str">
        <x:v>55 inch</x:v>
      </x:c>
      <x:c r="G3982" s="20" t="n">
        <x:v>1</x:v>
      </x:c>
      <x:c r="H3982" s="12" t="str">
        <x:v>Campus/portfolio roster; individual building occupancy unverified</x:v>
      </x:c>
      <x:c r="I3982" s="12" t="str">
        <x:v>Mixed business audience</x:v>
      </x:c>
      <x:c r="J3982" s="12" t="str">
        <x:v>Education</x:v>
      </x:c>
      <x:c r="K3982" s="2" t="str">
        <x:v>PARTNER-M188</x:v>
      </x:c>
    </x:row>
    <x:row r="3983" ht="46" customHeight="1">
      <x:c r="A3983" s="2" t="str">
        <x:v>TEN-E07EEA591709</x:v>
      </x:c>
      <x:c r="B3983" s="12" t="str">
        <x:v>The Learning Galaxy</x:v>
      </x:c>
      <x:c r="C3983" s="12" t="str">
        <x:v>CORP-0606</x:v>
      </x:c>
      <x:c r="D3983" s="12" t="str">
        <x:v>Mumbai</x:v>
      </x:c>
      <x:c r="E3983" s="12" t="str">
        <x:v>Urmi Estate</x:v>
      </x:c>
      <x:c r="F3983" s="12" t="str">
        <x:v>55 inch</x:v>
      </x:c>
      <x:c r="G3983" s="20" t="n">
        <x:v>1</x:v>
      </x:c>
      <x:c r="H3983" s="12" t="str">
        <x:v>Campus/portfolio roster; individual building occupancy unverified</x:v>
      </x:c>
      <x:c r="I3983" s="12" t="str">
        <x:v>Small-scale prospects</x:v>
      </x:c>
      <x:c r="J3983" s="12" t="str">
        <x:v>Education</x:v>
      </x:c>
      <x:c r="K3983" s="2" t="str">
        <x:v>PARTNER-M188</x:v>
      </x:c>
    </x:row>
    <x:row r="3984" ht="46" customHeight="1">
      <x:c r="A3984" s="2" t="str">
        <x:v>TEN-EDA2DFE8C935</x:v>
      </x:c>
      <x:c r="B3984" s="12" t="str">
        <x:v>Hotstar</x:v>
      </x:c>
      <x:c r="C3984" s="12" t="str">
        <x:v>CORP-0606</x:v>
      </x:c>
      <x:c r="D3984" s="12" t="str">
        <x:v>Mumbai</x:v>
      </x:c>
      <x:c r="E3984" s="12" t="str">
        <x:v>Urmi Estate</x:v>
      </x:c>
      <x:c r="F3984" s="12" t="str">
        <x:v>55 inch</x:v>
      </x:c>
      <x:c r="G3984" s="20" t="n">
        <x:v>1</x:v>
      </x:c>
      <x:c r="H3984" s="12" t="str">
        <x:v>Campus/portfolio roster; individual building occupancy unverified</x:v>
      </x:c>
      <x:c r="I3984" s="12" t="str">
        <x:v>Mixed business audience</x:v>
      </x:c>
      <x:c r="J3984" s="12" t="str">
        <x:v>Trade, consumer &amp; logistics</x:v>
      </x:c>
      <x:c r="K3984" s="2" t="str">
        <x:v>PARTNER-M188</x:v>
      </x:c>
    </x:row>
    <x:row r="3985" ht="46" customHeight="1">
      <x:c r="A3985" s="2" t="str">
        <x:v>TEN-2B28F04A8B61</x:v>
      </x:c>
      <x:c r="B3985" s="12" t="str">
        <x:v>DSB International School</x:v>
      </x:c>
      <x:c r="C3985" s="12" t="str">
        <x:v>CORP-0607</x:v>
      </x:c>
      <x:c r="D3985" s="12" t="str">
        <x:v>Mumbai</x:v>
      </x:c>
      <x:c r="E3985" s="12" t="str">
        <x:v>Urmi Estate</x:v>
      </x:c>
      <x:c r="F3985" s="12" t="str">
        <x:v>55 inch</x:v>
      </x:c>
      <x:c r="G3985" s="20" t="n">
        <x:v>1</x:v>
      </x:c>
      <x:c r="H3985" s="12" t="str">
        <x:v>Campus/portfolio roster; individual building occupancy unverified</x:v>
      </x:c>
      <x:c r="I3985" s="12" t="str">
        <x:v>Mixed business audience</x:v>
      </x:c>
      <x:c r="J3985" s="12" t="str">
        <x:v>Education</x:v>
      </x:c>
      <x:c r="K3985" s="2" t="str">
        <x:v>PARTNER-M188</x:v>
      </x:c>
    </x:row>
    <x:row r="3986" ht="46" customHeight="1">
      <x:c r="A3986" s="2" t="str">
        <x:v>TEN-375E37AB8AEE</x:v>
      </x:c>
      <x:c r="B3986" s="12" t="str">
        <x:v>VAssist Services Pvt. Ltd</x:v>
      </x:c>
      <x:c r="C3986" s="12" t="str">
        <x:v>CORP-0607</x:v>
      </x:c>
      <x:c r="D3986" s="12" t="str">
        <x:v>Mumbai</x:v>
      </x:c>
      <x:c r="E3986" s="12" t="str">
        <x:v>Urmi Estate</x:v>
      </x:c>
      <x:c r="F3986" s="12" t="str">
        <x:v>55 inch</x:v>
      </x:c>
      <x:c r="G3986" s="20" t="n">
        <x:v>1</x:v>
      </x:c>
      <x:c r="H3986" s="12" t="str">
        <x:v>Campus/portfolio roster; individual building occupancy unverified</x:v>
      </x:c>
      <x:c r="I3986" s="12" t="str">
        <x:v>Mixed business audience</x:v>
      </x:c>
      <x:c r="J3986" s="12" t="str">
        <x:v>Unresolved</x:v>
      </x:c>
      <x:c r="K3986" s="2" t="str">
        <x:v>PARTNER-M188</x:v>
      </x:c>
    </x:row>
    <x:row r="3987" ht="46" customHeight="1">
      <x:c r="A3987" s="2" t="str">
        <x:v>TEN-4226BEF8F9C9</x:v>
      </x:c>
      <x:c r="B3987" s="12" t="str">
        <x:v>PUBLICIS MEDIA</x:v>
      </x:c>
      <x:c r="C3987" s="12" t="str">
        <x:v>CORP-0607</x:v>
      </x:c>
      <x:c r="D3987" s="12" t="str">
        <x:v>Mumbai</x:v>
      </x:c>
      <x:c r="E3987" s="12" t="str">
        <x:v>Urmi Estate</x:v>
      </x:c>
      <x:c r="F3987" s="12" t="str">
        <x:v>55 inch</x:v>
      </x:c>
      <x:c r="G3987" s="20" t="n">
        <x:v>1</x:v>
      </x:c>
      <x:c r="H3987" s="12" t="str">
        <x:v>Campus/portfolio roster; individual building occupancy unverified</x:v>
      </x:c>
      <x:c r="I3987" s="12" t="str">
        <x:v>Large enterprise</x:v>
      </x:c>
      <x:c r="J3987" s="12" t="str">
        <x:v>Professional services</x:v>
      </x:c>
      <x:c r="K3987" s="2" t="str">
        <x:v>PARTNER-M188</x:v>
      </x:c>
    </x:row>
    <x:row r="3988" ht="46" customHeight="1">
      <x:c r="A3988" s="2" t="str">
        <x:v>TEN-43AE726EC13A</x:v>
      </x:c>
      <x:c r="B3988" s="12" t="str">
        <x:v>Maersk Line Office</x:v>
      </x:c>
      <x:c r="C3988" s="12" t="str">
        <x:v>CORP-0607</x:v>
      </x:c>
      <x:c r="D3988" s="12" t="str">
        <x:v>Mumbai</x:v>
      </x:c>
      <x:c r="E3988" s="12" t="str">
        <x:v>Urmi Estate</x:v>
      </x:c>
      <x:c r="F3988" s="12" t="str">
        <x:v>55 inch</x:v>
      </x:c>
      <x:c r="G3988" s="20" t="n">
        <x:v>1</x:v>
      </x:c>
      <x:c r="H3988" s="12" t="str">
        <x:v>Campus/portfolio roster; individual building occupancy unverified</x:v>
      </x:c>
      <x:c r="I3988" s="12" t="str">
        <x:v>Large enterprise</x:v>
      </x:c>
      <x:c r="J3988" s="12" t="str">
        <x:v>Trade, consumer &amp; logistics</x:v>
      </x:c>
      <x:c r="K3988" s="2" t="str">
        <x:v>PARTNER-M188</x:v>
      </x:c>
    </x:row>
    <x:row r="3989" ht="46" customHeight="1">
      <x:c r="A3989" s="2" t="str">
        <x:v>TEN-5A80E9846757</x:v>
      </x:c>
      <x:c r="B3989" s="12" t="str">
        <x:v>Star India Private Limited</x:v>
      </x:c>
      <x:c r="C3989" s="12" t="str">
        <x:v>CORP-0607</x:v>
      </x:c>
      <x:c r="D3989" s="12" t="str">
        <x:v>Mumbai</x:v>
      </x:c>
      <x:c r="E3989" s="12" t="str">
        <x:v>Urmi Estate</x:v>
      </x:c>
      <x:c r="F3989" s="12" t="str">
        <x:v>55 inch</x:v>
      </x:c>
      <x:c r="G3989" s="20" t="n">
        <x:v>1</x:v>
      </x:c>
      <x:c r="H3989" s="12" t="str">
        <x:v>Campus/portfolio roster; individual building occupancy unverified</x:v>
      </x:c>
      <x:c r="I3989" s="12" t="str">
        <x:v>Mixed business audience</x:v>
      </x:c>
      <x:c r="J3989" s="12" t="str">
        <x:v>Trade, consumer &amp; logistics</x:v>
      </x:c>
      <x:c r="K3989" s="2" t="str">
        <x:v>PARTNER-M188</x:v>
      </x:c>
    </x:row>
    <x:row r="3990" ht="46" customHeight="1">
      <x:c r="A3990" s="2" t="str">
        <x:v>TEN-6511014F09E3</x:v>
      </x:c>
      <x:c r="B3990" s="12" t="str">
        <x:v>Law &amp; Kenneth Saatchi &amp; Saatchi India Private Limited</x:v>
      </x:c>
      <x:c r="C3990" s="12" t="str">
        <x:v>CORP-0607</x:v>
      </x:c>
      <x:c r="D3990" s="12" t="str">
        <x:v>Mumbai</x:v>
      </x:c>
      <x:c r="E3990" s="12" t="str">
        <x:v>Urmi Estate</x:v>
      </x:c>
      <x:c r="F3990" s="12" t="str">
        <x:v>55 inch</x:v>
      </x:c>
      <x:c r="G3990" s="20" t="n">
        <x:v>1</x:v>
      </x:c>
      <x:c r="H3990" s="12" t="str">
        <x:v>Campus/portfolio roster; individual building occupancy unverified</x:v>
      </x:c>
      <x:c r="I3990" s="12" t="str">
        <x:v>Large enterprise</x:v>
      </x:c>
      <x:c r="J3990" s="12" t="str">
        <x:v>Trade, consumer &amp; logistics</x:v>
      </x:c>
      <x:c r="K3990" s="2" t="str">
        <x:v>PARTNER-M188</x:v>
      </x:c>
    </x:row>
    <x:row r="3991" ht="46" customHeight="1">
      <x:c r="A3991" s="2" t="str">
        <x:v>TEN-65F0C1A7EAFF</x:v>
      </x:c>
      <x:c r="B3991" s="12" t="str">
        <x:v>Digitas</x:v>
      </x:c>
      <x:c r="C3991" s="12" t="str">
        <x:v>CORP-0607</x:v>
      </x:c>
      <x:c r="D3991" s="12" t="str">
        <x:v>Mumbai</x:v>
      </x:c>
      <x:c r="E3991" s="12" t="str">
        <x:v>Urmi Estate</x:v>
      </x:c>
      <x:c r="F3991" s="12" t="str">
        <x:v>55 inch</x:v>
      </x:c>
      <x:c r="G3991" s="20" t="n">
        <x:v>1</x:v>
      </x:c>
      <x:c r="H3991" s="12" t="str">
        <x:v>Campus/portfolio roster; individual building occupancy unverified</x:v>
      </x:c>
      <x:c r="I3991" s="12" t="str">
        <x:v>Large enterprise</x:v>
      </x:c>
      <x:c r="J3991" s="12" t="str">
        <x:v>Professional services</x:v>
      </x:c>
      <x:c r="K3991" s="2" t="str">
        <x:v>PARTNER-M188</x:v>
      </x:c>
    </x:row>
    <x:row r="3992" ht="46" customHeight="1">
      <x:c r="A3992" s="2" t="str">
        <x:v>TEN-88C77A8CE97E</x:v>
      </x:c>
      <x:c r="B3992" s="12" t="str">
        <x:v>Consulate General of Republic of South Africa</x:v>
      </x:c>
      <x:c r="C3992" s="12" t="str">
        <x:v>CORP-0607</x:v>
      </x:c>
      <x:c r="D3992" s="12" t="str">
        <x:v>Mumbai</x:v>
      </x:c>
      <x:c r="E3992" s="12" t="str">
        <x:v>Urmi Estate</x:v>
      </x:c>
      <x:c r="F3992" s="12" t="str">
        <x:v>55 inch</x:v>
      </x:c>
      <x:c r="G3992" s="20" t="n">
        <x:v>1</x:v>
      </x:c>
      <x:c r="H3992" s="12" t="str">
        <x:v>Campus/portfolio roster; individual building occupancy unverified</x:v>
      </x:c>
      <x:c r="I3992" s="12" t="str">
        <x:v>Institutional</x:v>
      </x:c>
      <x:c r="J3992" s="12" t="str">
        <x:v>Government &amp; nonprofit</x:v>
      </x:c>
      <x:c r="K3992" s="2" t="str">
        <x:v>PARTNER-M188</x:v>
      </x:c>
    </x:row>
    <x:row r="3993" ht="46" customHeight="1">
      <x:c r="A3993" s="2" t="str">
        <x:v>TEN-9D3E03571A85</x:v>
      </x:c>
      <x:c r="B3993" s="12" t="str">
        <x:v>PhillipCapital (India) Pvt. Ltd</x:v>
      </x:c>
      <x:c r="C3993" s="12" t="str">
        <x:v>CORP-0607</x:v>
      </x:c>
      <x:c r="D3993" s="12" t="str">
        <x:v>Mumbai</x:v>
      </x:c>
      <x:c r="E3993" s="12" t="str">
        <x:v>Urmi Estate</x:v>
      </x:c>
      <x:c r="F3993" s="12" t="str">
        <x:v>55 inch</x:v>
      </x:c>
      <x:c r="G3993" s="20" t="n">
        <x:v>1</x:v>
      </x:c>
      <x:c r="H3993" s="12" t="str">
        <x:v>Campus/portfolio roster; individual building occupancy unverified</x:v>
      </x:c>
      <x:c r="I3993" s="12" t="str">
        <x:v>Mixed business audience</x:v>
      </x:c>
      <x:c r="J3993" s="12" t="str">
        <x:v>Finance &amp; insurance</x:v>
      </x:c>
      <x:c r="K3993" s="2" t="str">
        <x:v>PARTNER-M188</x:v>
      </x:c>
    </x:row>
    <x:row r="3994" ht="46" customHeight="1">
      <x:c r="A3994" s="2" t="str">
        <x:v>TEN-9E0F4D8A0AA5</x:v>
      </x:c>
      <x:c r="B3994" s="12" t="str">
        <x:v>Akasa Air</x:v>
      </x:c>
      <x:c r="C3994" s="12" t="str">
        <x:v>CORP-0607</x:v>
      </x:c>
      <x:c r="D3994" s="12" t="str">
        <x:v>Mumbai</x:v>
      </x:c>
      <x:c r="E3994" s="12" t="str">
        <x:v>Urmi Estate</x:v>
      </x:c>
      <x:c r="F3994" s="12" t="str">
        <x:v>55 inch</x:v>
      </x:c>
      <x:c r="G3994" s="20" t="n">
        <x:v>1</x:v>
      </x:c>
      <x:c r="H3994" s="12" t="str">
        <x:v>Campus/portfolio roster; individual building occupancy unverified</x:v>
      </x:c>
      <x:c r="I3994" s="12" t="str">
        <x:v>Mixed business audience</x:v>
      </x:c>
      <x:c r="J3994" s="12" t="str">
        <x:v>Trade, consumer &amp; logistics</x:v>
      </x:c>
      <x:c r="K3994" s="2" t="str">
        <x:v>PARTNER-M188</x:v>
      </x:c>
    </x:row>
    <x:row r="3995" ht="46" customHeight="1">
      <x:c r="A3995" s="2" t="str">
        <x:v>TEN-B9E919CF563D</x:v>
      </x:c>
      <x:c r="B3995" s="12" t="str">
        <x:v>Performics.Convonix</x:v>
      </x:c>
      <x:c r="C3995" s="12" t="str">
        <x:v>CORP-0607</x:v>
      </x:c>
      <x:c r="D3995" s="12" t="str">
        <x:v>Mumbai</x:v>
      </x:c>
      <x:c r="E3995" s="12" t="str">
        <x:v>Urmi Estate</x:v>
      </x:c>
      <x:c r="F3995" s="12" t="str">
        <x:v>55 inch</x:v>
      </x:c>
      <x:c r="G3995" s="20" t="n">
        <x:v>1</x:v>
      </x:c>
      <x:c r="H3995" s="12" t="str">
        <x:v>Campus/portfolio roster; individual building occupancy unverified</x:v>
      </x:c>
      <x:c r="I3995" s="12" t="str">
        <x:v>Large enterprise</x:v>
      </x:c>
      <x:c r="J3995" s="12" t="str">
        <x:v>Professional services</x:v>
      </x:c>
      <x:c r="K3995" s="2" t="str">
        <x:v>PARTNER-M188</x:v>
      </x:c>
    </x:row>
    <x:row r="3996" ht="46" customHeight="1">
      <x:c r="A3996" s="2" t="str">
        <x:v>TEN-D2DC6A741591</x:v>
      </x:c>
      <x:c r="B3996" s="12" t="str">
        <x:v>Lycée Français International de Mumbai</x:v>
      </x:c>
      <x:c r="C3996" s="12" t="str">
        <x:v>CORP-0607</x:v>
      </x:c>
      <x:c r="D3996" s="12" t="str">
        <x:v>Mumbai</x:v>
      </x:c>
      <x:c r="E3996" s="12" t="str">
        <x:v>Urmi Estate</x:v>
      </x:c>
      <x:c r="F3996" s="12" t="str">
        <x:v>55 inch</x:v>
      </x:c>
      <x:c r="G3996" s="20" t="n">
        <x:v>1</x:v>
      </x:c>
      <x:c r="H3996" s="12" t="str">
        <x:v>Campus/portfolio roster; individual building occupancy unverified</x:v>
      </x:c>
      <x:c r="I3996" s="12" t="str">
        <x:v>Mixed business audience</x:v>
      </x:c>
      <x:c r="J3996" s="12" t="str">
        <x:v>Education</x:v>
      </x:c>
      <x:c r="K3996" s="2" t="str">
        <x:v>PARTNER-M188</x:v>
      </x:c>
    </x:row>
    <x:row r="3997" ht="46" customHeight="1">
      <x:c r="A3997" s="2" t="str">
        <x:v>TEN-E07EEA591709</x:v>
      </x:c>
      <x:c r="B3997" s="12" t="str">
        <x:v>The Learning Galaxy</x:v>
      </x:c>
      <x:c r="C3997" s="12" t="str">
        <x:v>CORP-0607</x:v>
      </x:c>
      <x:c r="D3997" s="12" t="str">
        <x:v>Mumbai</x:v>
      </x:c>
      <x:c r="E3997" s="12" t="str">
        <x:v>Urmi Estate</x:v>
      </x:c>
      <x:c r="F3997" s="12" t="str">
        <x:v>55 inch</x:v>
      </x:c>
      <x:c r="G3997" s="20" t="n">
        <x:v>1</x:v>
      </x:c>
      <x:c r="H3997" s="12" t="str">
        <x:v>Campus/portfolio roster; individual building occupancy unverified</x:v>
      </x:c>
      <x:c r="I3997" s="12" t="str">
        <x:v>Small-scale prospects</x:v>
      </x:c>
      <x:c r="J3997" s="12" t="str">
        <x:v>Education</x:v>
      </x:c>
      <x:c r="K3997" s="2" t="str">
        <x:v>PARTNER-M188</x:v>
      </x:c>
    </x:row>
    <x:row r="3998" ht="46" customHeight="1">
      <x:c r="A3998" s="2" t="str">
        <x:v>TEN-EDA2DFE8C935</x:v>
      </x:c>
      <x:c r="B3998" s="12" t="str">
        <x:v>Hotstar</x:v>
      </x:c>
      <x:c r="C3998" s="12" t="str">
        <x:v>CORP-0607</x:v>
      </x:c>
      <x:c r="D3998" s="12" t="str">
        <x:v>Mumbai</x:v>
      </x:c>
      <x:c r="E3998" s="12" t="str">
        <x:v>Urmi Estate</x:v>
      </x:c>
      <x:c r="F3998" s="12" t="str">
        <x:v>55 inch</x:v>
      </x:c>
      <x:c r="G3998" s="20" t="n">
        <x:v>1</x:v>
      </x:c>
      <x:c r="H3998" s="12" t="str">
        <x:v>Campus/portfolio roster; individual building occupancy unverified</x:v>
      </x:c>
      <x:c r="I3998" s="12" t="str">
        <x:v>Mixed business audience</x:v>
      </x:c>
      <x:c r="J3998" s="12" t="str">
        <x:v>Trade, consumer &amp; logistics</x:v>
      </x:c>
      <x:c r="K3998" s="2" t="str">
        <x:v>PARTNER-M188</x:v>
      </x:c>
    </x:row>
    <x:row r="3999" ht="46" customHeight="1">
      <x:c r="A3999" s="2" t="str">
        <x:v>TEN-2B28F04A8B61</x:v>
      </x:c>
      <x:c r="B3999" s="12" t="str">
        <x:v>DSB International School</x:v>
      </x:c>
      <x:c r="C3999" s="12" t="str">
        <x:v>CORP-0608</x:v>
      </x:c>
      <x:c r="D3999" s="12" t="str">
        <x:v>Mumbai</x:v>
      </x:c>
      <x:c r="E3999" s="12" t="str">
        <x:v>Urmi Estate</x:v>
      </x:c>
      <x:c r="F3999" s="12" t="str">
        <x:v>55 inch</x:v>
      </x:c>
      <x:c r="G3999" s="20" t="n">
        <x:v>1</x:v>
      </x:c>
      <x:c r="H3999" s="12" t="str">
        <x:v>Campus/portfolio roster; individual building occupancy unverified</x:v>
      </x:c>
      <x:c r="I3999" s="12" t="str">
        <x:v>Mixed business audience</x:v>
      </x:c>
      <x:c r="J3999" s="12" t="str">
        <x:v>Education</x:v>
      </x:c>
      <x:c r="K3999" s="2" t="str">
        <x:v>PARTNER-M188</x:v>
      </x:c>
    </x:row>
    <x:row r="4000" ht="46" customHeight="1">
      <x:c r="A4000" s="2" t="str">
        <x:v>TEN-375E37AB8AEE</x:v>
      </x:c>
      <x:c r="B4000" s="12" t="str">
        <x:v>VAssist Services Pvt. Ltd</x:v>
      </x:c>
      <x:c r="C4000" s="12" t="str">
        <x:v>CORP-0608</x:v>
      </x:c>
      <x:c r="D4000" s="12" t="str">
        <x:v>Mumbai</x:v>
      </x:c>
      <x:c r="E4000" s="12" t="str">
        <x:v>Urmi Estate</x:v>
      </x:c>
      <x:c r="F4000" s="12" t="str">
        <x:v>55 inch</x:v>
      </x:c>
      <x:c r="G4000" s="20" t="n">
        <x:v>1</x:v>
      </x:c>
      <x:c r="H4000" s="12" t="str">
        <x:v>Campus/portfolio roster; individual building occupancy unverified</x:v>
      </x:c>
      <x:c r="I4000" s="12" t="str">
        <x:v>Mixed business audience</x:v>
      </x:c>
      <x:c r="J4000" s="12" t="str">
        <x:v>Unresolved</x:v>
      </x:c>
      <x:c r="K4000" s="2" t="str">
        <x:v>PARTNER-M188</x:v>
      </x:c>
    </x:row>
    <x:row r="4001" ht="46" customHeight="1">
      <x:c r="A4001" s="2" t="str">
        <x:v>TEN-4226BEF8F9C9</x:v>
      </x:c>
      <x:c r="B4001" s="12" t="str">
        <x:v>PUBLICIS MEDIA</x:v>
      </x:c>
      <x:c r="C4001" s="12" t="str">
        <x:v>CORP-0608</x:v>
      </x:c>
      <x:c r="D4001" s="12" t="str">
        <x:v>Mumbai</x:v>
      </x:c>
      <x:c r="E4001" s="12" t="str">
        <x:v>Urmi Estate</x:v>
      </x:c>
      <x:c r="F4001" s="12" t="str">
        <x:v>55 inch</x:v>
      </x:c>
      <x:c r="G4001" s="20" t="n">
        <x:v>1</x:v>
      </x:c>
      <x:c r="H4001" s="12" t="str">
        <x:v>Campus/portfolio roster; individual building occupancy unverified</x:v>
      </x:c>
      <x:c r="I4001" s="12" t="str">
        <x:v>Large enterprise</x:v>
      </x:c>
      <x:c r="J4001" s="12" t="str">
        <x:v>Professional services</x:v>
      </x:c>
      <x:c r="K4001" s="2" t="str">
        <x:v>PARTNER-M188</x:v>
      </x:c>
    </x:row>
    <x:row r="4002" ht="46" customHeight="1">
      <x:c r="A4002" s="2" t="str">
        <x:v>TEN-43AE726EC13A</x:v>
      </x:c>
      <x:c r="B4002" s="12" t="str">
        <x:v>Maersk Line Office</x:v>
      </x:c>
      <x:c r="C4002" s="12" t="str">
        <x:v>CORP-0608</x:v>
      </x:c>
      <x:c r="D4002" s="12" t="str">
        <x:v>Mumbai</x:v>
      </x:c>
      <x:c r="E4002" s="12" t="str">
        <x:v>Urmi Estate</x:v>
      </x:c>
      <x:c r="F4002" s="12" t="str">
        <x:v>55 inch</x:v>
      </x:c>
      <x:c r="G4002" s="20" t="n">
        <x:v>1</x:v>
      </x:c>
      <x:c r="H4002" s="12" t="str">
        <x:v>Campus/portfolio roster; individual building occupancy unverified</x:v>
      </x:c>
      <x:c r="I4002" s="12" t="str">
        <x:v>Large enterprise</x:v>
      </x:c>
      <x:c r="J4002" s="12" t="str">
        <x:v>Trade, consumer &amp; logistics</x:v>
      </x:c>
      <x:c r="K4002" s="2" t="str">
        <x:v>PARTNER-M188</x:v>
      </x:c>
    </x:row>
    <x:row r="4003" ht="46" customHeight="1">
      <x:c r="A4003" s="2" t="str">
        <x:v>TEN-5A80E9846757</x:v>
      </x:c>
      <x:c r="B4003" s="12" t="str">
        <x:v>Star India Private Limited</x:v>
      </x:c>
      <x:c r="C4003" s="12" t="str">
        <x:v>CORP-0608</x:v>
      </x:c>
      <x:c r="D4003" s="12" t="str">
        <x:v>Mumbai</x:v>
      </x:c>
      <x:c r="E4003" s="12" t="str">
        <x:v>Urmi Estate</x:v>
      </x:c>
      <x:c r="F4003" s="12" t="str">
        <x:v>55 inch</x:v>
      </x:c>
      <x:c r="G4003" s="20" t="n">
        <x:v>1</x:v>
      </x:c>
      <x:c r="H4003" s="12" t="str">
        <x:v>Campus/portfolio roster; individual building occupancy unverified</x:v>
      </x:c>
      <x:c r="I4003" s="12" t="str">
        <x:v>Mixed business audience</x:v>
      </x:c>
      <x:c r="J4003" s="12" t="str">
        <x:v>Trade, consumer &amp; logistics</x:v>
      </x:c>
      <x:c r="K4003" s="2" t="str">
        <x:v>PARTNER-M188</x:v>
      </x:c>
    </x:row>
    <x:row r="4004" ht="46" customHeight="1">
      <x:c r="A4004" s="2" t="str">
        <x:v>TEN-6511014F09E3</x:v>
      </x:c>
      <x:c r="B4004" s="12" t="str">
        <x:v>Law &amp; Kenneth Saatchi &amp; Saatchi India Private Limited</x:v>
      </x:c>
      <x:c r="C4004" s="12" t="str">
        <x:v>CORP-0608</x:v>
      </x:c>
      <x:c r="D4004" s="12" t="str">
        <x:v>Mumbai</x:v>
      </x:c>
      <x:c r="E4004" s="12" t="str">
        <x:v>Urmi Estate</x:v>
      </x:c>
      <x:c r="F4004" s="12" t="str">
        <x:v>55 inch</x:v>
      </x:c>
      <x:c r="G4004" s="20" t="n">
        <x:v>1</x:v>
      </x:c>
      <x:c r="H4004" s="12" t="str">
        <x:v>Campus/portfolio roster; individual building occupancy unverified</x:v>
      </x:c>
      <x:c r="I4004" s="12" t="str">
        <x:v>Large enterprise</x:v>
      </x:c>
      <x:c r="J4004" s="12" t="str">
        <x:v>Trade, consumer &amp; logistics</x:v>
      </x:c>
      <x:c r="K4004" s="2" t="str">
        <x:v>PARTNER-M188</x:v>
      </x:c>
    </x:row>
    <x:row r="4005" ht="46" customHeight="1">
      <x:c r="A4005" s="2" t="str">
        <x:v>TEN-65F0C1A7EAFF</x:v>
      </x:c>
      <x:c r="B4005" s="12" t="str">
        <x:v>Digitas</x:v>
      </x:c>
      <x:c r="C4005" s="12" t="str">
        <x:v>CORP-0608</x:v>
      </x:c>
      <x:c r="D4005" s="12" t="str">
        <x:v>Mumbai</x:v>
      </x:c>
      <x:c r="E4005" s="12" t="str">
        <x:v>Urmi Estate</x:v>
      </x:c>
      <x:c r="F4005" s="12" t="str">
        <x:v>55 inch</x:v>
      </x:c>
      <x:c r="G4005" s="20" t="n">
        <x:v>1</x:v>
      </x:c>
      <x:c r="H4005" s="12" t="str">
        <x:v>Campus/portfolio roster; individual building occupancy unverified</x:v>
      </x:c>
      <x:c r="I4005" s="12" t="str">
        <x:v>Large enterprise</x:v>
      </x:c>
      <x:c r="J4005" s="12" t="str">
        <x:v>Professional services</x:v>
      </x:c>
      <x:c r="K4005" s="2" t="str">
        <x:v>PARTNER-M188</x:v>
      </x:c>
    </x:row>
    <x:row r="4006" ht="46" customHeight="1">
      <x:c r="A4006" s="2" t="str">
        <x:v>TEN-88C77A8CE97E</x:v>
      </x:c>
      <x:c r="B4006" s="12" t="str">
        <x:v>Consulate General of Republic of South Africa</x:v>
      </x:c>
      <x:c r="C4006" s="12" t="str">
        <x:v>CORP-0608</x:v>
      </x:c>
      <x:c r="D4006" s="12" t="str">
        <x:v>Mumbai</x:v>
      </x:c>
      <x:c r="E4006" s="12" t="str">
        <x:v>Urmi Estate</x:v>
      </x:c>
      <x:c r="F4006" s="12" t="str">
        <x:v>55 inch</x:v>
      </x:c>
      <x:c r="G4006" s="20" t="n">
        <x:v>1</x:v>
      </x:c>
      <x:c r="H4006" s="12" t="str">
        <x:v>Campus/portfolio roster; individual building occupancy unverified</x:v>
      </x:c>
      <x:c r="I4006" s="12" t="str">
        <x:v>Institutional</x:v>
      </x:c>
      <x:c r="J4006" s="12" t="str">
        <x:v>Government &amp; nonprofit</x:v>
      </x:c>
      <x:c r="K4006" s="2" t="str">
        <x:v>PARTNER-M188</x:v>
      </x:c>
    </x:row>
    <x:row r="4007" ht="46" customHeight="1">
      <x:c r="A4007" s="2" t="str">
        <x:v>TEN-9D3E03571A85</x:v>
      </x:c>
      <x:c r="B4007" s="12" t="str">
        <x:v>PhillipCapital (India) Pvt. Ltd</x:v>
      </x:c>
      <x:c r="C4007" s="12" t="str">
        <x:v>CORP-0608</x:v>
      </x:c>
      <x:c r="D4007" s="12" t="str">
        <x:v>Mumbai</x:v>
      </x:c>
      <x:c r="E4007" s="12" t="str">
        <x:v>Urmi Estate</x:v>
      </x:c>
      <x:c r="F4007" s="12" t="str">
        <x:v>55 inch</x:v>
      </x:c>
      <x:c r="G4007" s="20" t="n">
        <x:v>1</x:v>
      </x:c>
      <x:c r="H4007" s="12" t="str">
        <x:v>Campus/portfolio roster; individual building occupancy unverified</x:v>
      </x:c>
      <x:c r="I4007" s="12" t="str">
        <x:v>Mixed business audience</x:v>
      </x:c>
      <x:c r="J4007" s="12" t="str">
        <x:v>Finance &amp; insurance</x:v>
      </x:c>
      <x:c r="K4007" s="2" t="str">
        <x:v>PARTNER-M188</x:v>
      </x:c>
    </x:row>
    <x:row r="4008" ht="46" customHeight="1">
      <x:c r="A4008" s="2" t="str">
        <x:v>TEN-9E0F4D8A0AA5</x:v>
      </x:c>
      <x:c r="B4008" s="12" t="str">
        <x:v>Akasa Air</x:v>
      </x:c>
      <x:c r="C4008" s="12" t="str">
        <x:v>CORP-0608</x:v>
      </x:c>
      <x:c r="D4008" s="12" t="str">
        <x:v>Mumbai</x:v>
      </x:c>
      <x:c r="E4008" s="12" t="str">
        <x:v>Urmi Estate</x:v>
      </x:c>
      <x:c r="F4008" s="12" t="str">
        <x:v>55 inch</x:v>
      </x:c>
      <x:c r="G4008" s="20" t="n">
        <x:v>1</x:v>
      </x:c>
      <x:c r="H4008" s="12" t="str">
        <x:v>Campus/portfolio roster; individual building occupancy unverified</x:v>
      </x:c>
      <x:c r="I4008" s="12" t="str">
        <x:v>Mixed business audience</x:v>
      </x:c>
      <x:c r="J4008" s="12" t="str">
        <x:v>Trade, consumer &amp; logistics</x:v>
      </x:c>
      <x:c r="K4008" s="2" t="str">
        <x:v>PARTNER-M188</x:v>
      </x:c>
    </x:row>
    <x:row r="4009" ht="46" customHeight="1">
      <x:c r="A4009" s="2" t="str">
        <x:v>TEN-B9E919CF563D</x:v>
      </x:c>
      <x:c r="B4009" s="12" t="str">
        <x:v>Performics.Convonix</x:v>
      </x:c>
      <x:c r="C4009" s="12" t="str">
        <x:v>CORP-0608</x:v>
      </x:c>
      <x:c r="D4009" s="12" t="str">
        <x:v>Mumbai</x:v>
      </x:c>
      <x:c r="E4009" s="12" t="str">
        <x:v>Urmi Estate</x:v>
      </x:c>
      <x:c r="F4009" s="12" t="str">
        <x:v>55 inch</x:v>
      </x:c>
      <x:c r="G4009" s="20" t="n">
        <x:v>1</x:v>
      </x:c>
      <x:c r="H4009" s="12" t="str">
        <x:v>Campus/portfolio roster; individual building occupancy unverified</x:v>
      </x:c>
      <x:c r="I4009" s="12" t="str">
        <x:v>Large enterprise</x:v>
      </x:c>
      <x:c r="J4009" s="12" t="str">
        <x:v>Professional services</x:v>
      </x:c>
      <x:c r="K4009" s="2" t="str">
        <x:v>PARTNER-M188</x:v>
      </x:c>
    </x:row>
    <x:row r="4010" ht="46" customHeight="1">
      <x:c r="A4010" s="2" t="str">
        <x:v>TEN-D2DC6A741591</x:v>
      </x:c>
      <x:c r="B4010" s="12" t="str">
        <x:v>Lycée Français International de Mumbai</x:v>
      </x:c>
      <x:c r="C4010" s="12" t="str">
        <x:v>CORP-0608</x:v>
      </x:c>
      <x:c r="D4010" s="12" t="str">
        <x:v>Mumbai</x:v>
      </x:c>
      <x:c r="E4010" s="12" t="str">
        <x:v>Urmi Estate</x:v>
      </x:c>
      <x:c r="F4010" s="12" t="str">
        <x:v>55 inch</x:v>
      </x:c>
      <x:c r="G4010" s="20" t="n">
        <x:v>1</x:v>
      </x:c>
      <x:c r="H4010" s="12" t="str">
        <x:v>Campus/portfolio roster; individual building occupancy unverified</x:v>
      </x:c>
      <x:c r="I4010" s="12" t="str">
        <x:v>Mixed business audience</x:v>
      </x:c>
      <x:c r="J4010" s="12" t="str">
        <x:v>Education</x:v>
      </x:c>
      <x:c r="K4010" s="2" t="str">
        <x:v>PARTNER-M188</x:v>
      </x:c>
    </x:row>
    <x:row r="4011" ht="46" customHeight="1">
      <x:c r="A4011" s="2" t="str">
        <x:v>TEN-E07EEA591709</x:v>
      </x:c>
      <x:c r="B4011" s="12" t="str">
        <x:v>The Learning Galaxy</x:v>
      </x:c>
      <x:c r="C4011" s="12" t="str">
        <x:v>CORP-0608</x:v>
      </x:c>
      <x:c r="D4011" s="12" t="str">
        <x:v>Mumbai</x:v>
      </x:c>
      <x:c r="E4011" s="12" t="str">
        <x:v>Urmi Estate</x:v>
      </x:c>
      <x:c r="F4011" s="12" t="str">
        <x:v>55 inch</x:v>
      </x:c>
      <x:c r="G4011" s="20" t="n">
        <x:v>1</x:v>
      </x:c>
      <x:c r="H4011" s="12" t="str">
        <x:v>Campus/portfolio roster; individual building occupancy unverified</x:v>
      </x:c>
      <x:c r="I4011" s="12" t="str">
        <x:v>Small-scale prospects</x:v>
      </x:c>
      <x:c r="J4011" s="12" t="str">
        <x:v>Education</x:v>
      </x:c>
      <x:c r="K4011" s="2" t="str">
        <x:v>PARTNER-M188</x:v>
      </x:c>
    </x:row>
    <x:row r="4012" ht="46" customHeight="1">
      <x:c r="A4012" s="2" t="str">
        <x:v>TEN-EDA2DFE8C935</x:v>
      </x:c>
      <x:c r="B4012" s="12" t="str">
        <x:v>Hotstar</x:v>
      </x:c>
      <x:c r="C4012" s="12" t="str">
        <x:v>CORP-0608</x:v>
      </x:c>
      <x:c r="D4012" s="12" t="str">
        <x:v>Mumbai</x:v>
      </x:c>
      <x:c r="E4012" s="12" t="str">
        <x:v>Urmi Estate</x:v>
      </x:c>
      <x:c r="F4012" s="12" t="str">
        <x:v>55 inch</x:v>
      </x:c>
      <x:c r="G4012" s="20" t="n">
        <x:v>1</x:v>
      </x:c>
      <x:c r="H4012" s="12" t="str">
        <x:v>Campus/portfolio roster; individual building occupancy unverified</x:v>
      </x:c>
      <x:c r="I4012" s="12" t="str">
        <x:v>Mixed business audience</x:v>
      </x:c>
      <x:c r="J4012" s="12" t="str">
        <x:v>Trade, consumer &amp; logistics</x:v>
      </x:c>
      <x:c r="K4012" s="2" t="str">
        <x:v>PARTNER-M188</x:v>
      </x:c>
    </x:row>
    <x:row r="4013" ht="46" customHeight="1">
      <x:c r="A4013" s="2" t="str">
        <x:v>TEN-00B26C576287</x:v>
      </x:c>
      <x:c r="B4013" s="12" t="str">
        <x:v>EBARA MACHINERY INDIA PVT. LTD</x:v>
      </x:c>
      <x:c r="C4013" s="12" t="str">
        <x:v>CORP-0610</x:v>
      </x:c>
      <x:c r="D4013" s="12" t="str">
        <x:v>Mumbai</x:v>
      </x:c>
      <x:c r="E4013" s="12" t="str">
        <x:v>Empire Tower</x:v>
      </x:c>
      <x:c r="F4013" s="12" t="str">
        <x:v>55 inch</x:v>
      </x:c>
      <x:c r="G4013" s="20" t="n">
        <x:v>1</x:v>
      </x:c>
      <x:c r="H4013" s="12" t="str">
        <x:v>Campus/portfolio roster; individual building occupancy unverified</x:v>
      </x:c>
      <x:c r="I4013" s="12" t="str">
        <x:v>Mixed business audience</x:v>
      </x:c>
      <x:c r="J4013" s="12" t="str">
        <x:v>Engineering &amp; manufacturing</x:v>
      </x:c>
      <x:c r="K4013" s="2" t="str">
        <x:v>PARTNER-M193</x:v>
      </x:c>
    </x:row>
    <x:row r="4014" ht="46" customHeight="1">
      <x:c r="A4014" s="2" t="str">
        <x:v>TEN-18D91AC992E3</x:v>
      </x:c>
      <x:c r="B4014" s="12" t="str">
        <x:v>Enser Communications Pvt. Ltd</x:v>
      </x:c>
      <x:c r="C4014" s="12" t="str">
        <x:v>CORP-0610</x:v>
      </x:c>
      <x:c r="D4014" s="12" t="str">
        <x:v>Mumbai</x:v>
      </x:c>
      <x:c r="E4014" s="12" t="str">
        <x:v>Empire Tower</x:v>
      </x:c>
      <x:c r="F4014" s="12" t="str">
        <x:v>55 inch</x:v>
      </x:c>
      <x:c r="G4014" s="20" t="n">
        <x:v>1</x:v>
      </x:c>
      <x:c r="H4014" s="12" t="str">
        <x:v>Campus/portfolio roster; individual building occupancy unverified</x:v>
      </x:c>
      <x:c r="I4014" s="12" t="str">
        <x:v>Small-scale prospects</x:v>
      </x:c>
      <x:c r="J4014" s="12" t="str">
        <x:v>IT &amp; digital</x:v>
      </x:c>
      <x:c r="K4014" s="2" t="str">
        <x:v>PARTNER-M193</x:v>
      </x:c>
    </x:row>
    <x:row r="4015" ht="46" customHeight="1">
      <x:c r="A4015" s="2" t="str">
        <x:v>TEN-287C67E28C61</x:v>
      </x:c>
      <x:c r="B4015" s="12" t="str">
        <x:v>First Brands Group India-Horizon Global</x:v>
      </x:c>
      <x:c r="C4015" s="12" t="str">
        <x:v>CORP-0610</x:v>
      </x:c>
      <x:c r="D4015" s="12" t="str">
        <x:v>Mumbai</x:v>
      </x:c>
      <x:c r="E4015" s="12" t="str">
        <x:v>Empire Tower</x:v>
      </x:c>
      <x:c r="F4015" s="12" t="str">
        <x:v>55 inch</x:v>
      </x:c>
      <x:c r="G4015" s="20" t="n">
        <x:v>1</x:v>
      </x:c>
      <x:c r="H4015" s="12" t="str">
        <x:v>Campus/portfolio roster; individual building occupancy unverified</x:v>
      </x:c>
      <x:c r="I4015" s="12" t="str">
        <x:v>Mixed business audience</x:v>
      </x:c>
      <x:c r="J4015" s="12" t="str">
        <x:v>Engineering &amp; manufacturing</x:v>
      </x:c>
      <x:c r="K4015" s="2" t="str">
        <x:v>PARTNER-M193</x:v>
      </x:c>
    </x:row>
    <x:row r="4016" ht="46" customHeight="1">
      <x:c r="A4016" s="2" t="str">
        <x:v>TEN-43C65EC0AB55</x:v>
      </x:c>
      <x:c r="B4016" s="12" t="str">
        <x:v>Seamex</x:v>
      </x:c>
      <x:c r="C4016" s="12" t="str">
        <x:v>CORP-0610</x:v>
      </x:c>
      <x:c r="D4016" s="12" t="str">
        <x:v>Mumbai</x:v>
      </x:c>
      <x:c r="E4016" s="12" t="str">
        <x:v>Empire Tower</x:v>
      </x:c>
      <x:c r="F4016" s="12" t="str">
        <x:v>55 inch</x:v>
      </x:c>
      <x:c r="G4016" s="20" t="n">
        <x:v>1</x:v>
      </x:c>
      <x:c r="H4016" s="12" t="str">
        <x:v>Campus/portfolio roster; individual building occupancy unverified</x:v>
      </x:c>
      <x:c r="I4016" s="12" t="str">
        <x:v>Medium-scale prospects</x:v>
      </x:c>
      <x:c r="J4016" s="12" t="str">
        <x:v>Trade, consumer &amp; logistics</x:v>
      </x:c>
      <x:c r="K4016" s="2" t="str">
        <x:v>PARTNER-M193</x:v>
      </x:c>
    </x:row>
    <x:row r="4017" ht="46" customHeight="1">
      <x:c r="A4017" s="2" t="str">
        <x:v>TEN-529DBF20A42C</x:v>
      </x:c>
      <x:c r="B4017" s="12" t="str">
        <x:v>EFC Business Center Pvt. Ltd</x:v>
      </x:c>
      <x:c r="C4017" s="12" t="str">
        <x:v>CORP-0610</x:v>
      </x:c>
      <x:c r="D4017" s="12" t="str">
        <x:v>Mumbai</x:v>
      </x:c>
      <x:c r="E4017" s="12" t="str">
        <x:v>Empire Tower</x:v>
      </x:c>
      <x:c r="F4017" s="12" t="str">
        <x:v>55 inch</x:v>
      </x:c>
      <x:c r="G4017" s="20" t="n">
        <x:v>1</x:v>
      </x:c>
      <x:c r="H4017" s="12" t="str">
        <x:v>Campus/portfolio roster; individual building occupancy unverified</x:v>
      </x:c>
      <x:c r="I4017" s="12" t="str">
        <x:v>Mixed business audience</x:v>
      </x:c>
      <x:c r="J4017" s="12" t="str">
        <x:v>Workspace &amp; property operations</x:v>
      </x:c>
      <x:c r="K4017" s="2" t="str">
        <x:v>PARTNER-M193</x:v>
      </x:c>
    </x:row>
    <x:row r="4018" ht="46" customHeight="1">
      <x:c r="A4018" s="2" t="str">
        <x:v>TEN-954EFE4DFA16</x:v>
      </x:c>
      <x:c r="B4018" s="12" t="str">
        <x:v>Tata Consulting Engineers Limited</x:v>
      </x:c>
      <x:c r="C4018" s="12" t="str">
        <x:v>CORP-0610</x:v>
      </x:c>
      <x:c r="D4018" s="12" t="str">
        <x:v>Mumbai</x:v>
      </x:c>
      <x:c r="E4018" s="12" t="str">
        <x:v>Empire Tower</x:v>
      </x:c>
      <x:c r="F4018" s="12" t="str">
        <x:v>55 inch</x:v>
      </x:c>
      <x:c r="G4018" s="20" t="n">
        <x:v>1</x:v>
      </x:c>
      <x:c r="H4018" s="12" t="str">
        <x:v>Campus/portfolio roster; individual building occupancy unverified</x:v>
      </x:c>
      <x:c r="I4018" s="12" t="str">
        <x:v>Large enterprise</x:v>
      </x:c>
      <x:c r="J4018" s="12" t="str">
        <x:v>Engineering &amp; manufacturing</x:v>
      </x:c>
      <x:c r="K4018" s="2" t="str">
        <x:v>PARTNER-M193</x:v>
      </x:c>
    </x:row>
    <x:row r="4019" ht="46" customHeight="1">
      <x:c r="A4019" s="2" t="str">
        <x:v>TEN-A3B1D465525D</x:v>
      </x:c>
      <x:c r="B4019" s="12" t="str">
        <x:v>Maersk Line</x:v>
      </x:c>
      <x:c r="C4019" s="12" t="str">
        <x:v>CORP-0610</x:v>
      </x:c>
      <x:c r="D4019" s="12" t="str">
        <x:v>Mumbai</x:v>
      </x:c>
      <x:c r="E4019" s="12" t="str">
        <x:v>Empire Tower</x:v>
      </x:c>
      <x:c r="F4019" s="12" t="str">
        <x:v>55 inch</x:v>
      </x:c>
      <x:c r="G4019" s="20" t="n">
        <x:v>1</x:v>
      </x:c>
      <x:c r="H4019" s="12" t="str">
        <x:v>Campus/portfolio roster; individual building occupancy unverified</x:v>
      </x:c>
      <x:c r="I4019" s="12" t="str">
        <x:v>Large enterprise</x:v>
      </x:c>
      <x:c r="J4019" s="12" t="str">
        <x:v>Trade, consumer &amp; logistics</x:v>
      </x:c>
      <x:c r="K4019" s="2" t="str">
        <x:v>PARTNER-M193</x:v>
      </x:c>
    </x:row>
    <x:row r="4020" ht="46" customHeight="1">
      <x:c r="A4020" s="2" t="str">
        <x:v>TEN-C505819DE3AF</x:v>
      </x:c>
      <x:c r="B4020" s="12" t="str">
        <x:v>LH Global Hub Services Pvt. Ltd</x:v>
      </x:c>
      <x:c r="C4020" s="12" t="str">
        <x:v>CORP-0610</x:v>
      </x:c>
      <x:c r="D4020" s="12" t="str">
        <x:v>Mumbai</x:v>
      </x:c>
      <x:c r="E4020" s="12" t="str">
        <x:v>Empire Tower</x:v>
      </x:c>
      <x:c r="F4020" s="12" t="str">
        <x:v>55 inch</x:v>
      </x:c>
      <x:c r="G4020" s="20" t="n">
        <x:v>1</x:v>
      </x:c>
      <x:c r="H4020" s="12" t="str">
        <x:v>Campus/portfolio roster; individual building occupancy unverified</x:v>
      </x:c>
      <x:c r="I4020" s="12" t="str">
        <x:v>Mixed business audience</x:v>
      </x:c>
      <x:c r="J4020" s="12" t="str">
        <x:v>Unresolved</x:v>
      </x:c>
      <x:c r="K4020" s="2" t="str">
        <x:v>PARTNER-M193</x:v>
      </x:c>
    </x:row>
    <x:row r="4021" ht="46" customHeight="1">
      <x:c r="A4021" s="2" t="str">
        <x:v>TEN-CA3E3381A8E6</x:v>
      </x:c>
      <x:c r="B4021" s="12" t="str">
        <x:v>Presidency Digital India Private</x:v>
      </x:c>
      <x:c r="C4021" s="12" t="str">
        <x:v>CORP-0610</x:v>
      </x:c>
      <x:c r="D4021" s="12" t="str">
        <x:v>Mumbai</x:v>
      </x:c>
      <x:c r="E4021" s="12" t="str">
        <x:v>Empire Tower</x:v>
      </x:c>
      <x:c r="F4021" s="12" t="str">
        <x:v>55 inch</x:v>
      </x:c>
      <x:c r="G4021" s="20" t="n">
        <x:v>1</x:v>
      </x:c>
      <x:c r="H4021" s="12" t="str">
        <x:v>Campus/portfolio roster; individual building occupancy unverified</x:v>
      </x:c>
      <x:c r="I4021" s="12" t="str">
        <x:v>Small-scale prospects</x:v>
      </x:c>
      <x:c r="J4021" s="12" t="str">
        <x:v>IT &amp; digital</x:v>
      </x:c>
      <x:c r="K4021" s="2" t="str">
        <x:v>PARTNER-M193</x:v>
      </x:c>
    </x:row>
    <x:row r="4022" ht="46" customHeight="1">
      <x:c r="A4022" s="2" t="str">
        <x:v>TEN-D6046E32A027</x:v>
      </x:c>
      <x:c r="B4022" s="12" t="str">
        <x:v>Lupin Limited</x:v>
      </x:c>
      <x:c r="C4022" s="12" t="str">
        <x:v>CORP-0610</x:v>
      </x:c>
      <x:c r="D4022" s="12" t="str">
        <x:v>Mumbai</x:v>
      </x:c>
      <x:c r="E4022" s="12" t="str">
        <x:v>Empire Tower</x:v>
      </x:c>
      <x:c r="F4022" s="12" t="str">
        <x:v>55 inch</x:v>
      </x:c>
      <x:c r="G4022" s="20" t="n">
        <x:v>1</x:v>
      </x:c>
      <x:c r="H4022" s="12" t="str">
        <x:v>Campus/portfolio roster; individual building occupancy unverified</x:v>
      </x:c>
      <x:c r="I4022" s="12" t="str">
        <x:v>Mixed business audience</x:v>
      </x:c>
      <x:c r="J4022" s="12" t="str">
        <x:v>Healthcare &amp; life sciences</x:v>
      </x:c>
      <x:c r="K4022" s="2" t="str">
        <x:v>PARTNER-M193</x:v>
      </x:c>
    </x:row>
    <x:row r="4023" ht="46" customHeight="1">
      <x:c r="A4023" s="2" t="str">
        <x:v>TEN-D72EAD2E3D44</x:v>
      </x:c>
      <x:c r="B4023" s="12" t="str">
        <x:v>Tech Mahindra</x:v>
      </x:c>
      <x:c r="C4023" s="12" t="str">
        <x:v>CORP-0610</x:v>
      </x:c>
      <x:c r="D4023" s="12" t="str">
        <x:v>Mumbai</x:v>
      </x:c>
      <x:c r="E4023" s="12" t="str">
        <x:v>Empire Tower</x:v>
      </x:c>
      <x:c r="F4023" s="12" t="str">
        <x:v>55 inch</x:v>
      </x:c>
      <x:c r="G4023" s="20" t="n">
        <x:v>1</x:v>
      </x:c>
      <x:c r="H4023" s="12" t="str">
        <x:v>Campus/portfolio roster; individual building occupancy unverified</x:v>
      </x:c>
      <x:c r="I4023" s="12" t="str">
        <x:v>Large enterprise</x:v>
      </x:c>
      <x:c r="J4023" s="12" t="str">
        <x:v>IT &amp; digital</x:v>
      </x:c>
      <x:c r="K4023" s="2" t="str">
        <x:v>PARTNER-M193</x:v>
      </x:c>
    </x:row>
    <x:row r="4024" ht="46" customHeight="1">
      <x:c r="A4024" s="2" t="str">
        <x:v>TEN-EF8161E9BFF2</x:v>
      </x:c>
      <x:c r="B4024" s="12" t="str">
        <x:v>Jacobs Solutions India Pvt. Ltd</x:v>
      </x:c>
      <x:c r="C4024" s="12" t="str">
        <x:v>CORP-0610</x:v>
      </x:c>
      <x:c r="D4024" s="12" t="str">
        <x:v>Mumbai</x:v>
      </x:c>
      <x:c r="E4024" s="12" t="str">
        <x:v>Empire Tower</x:v>
      </x:c>
      <x:c r="F4024" s="12" t="str">
        <x:v>55 inch</x:v>
      </x:c>
      <x:c r="G4024" s="20" t="n">
        <x:v>1</x:v>
      </x:c>
      <x:c r="H4024" s="12" t="str">
        <x:v>Campus/portfolio roster; individual building occupancy unverified</x:v>
      </x:c>
      <x:c r="I4024" s="12" t="str">
        <x:v>Mixed business audience</x:v>
      </x:c>
      <x:c r="J4024" s="12" t="str">
        <x:v>Engineering &amp; manufacturing</x:v>
      </x:c>
      <x:c r="K4024" s="2" t="str">
        <x:v>PARTNER-M193</x:v>
      </x:c>
    </x:row>
    <x:row r="4025" ht="46" customHeight="1">
      <x:c r="A4025" s="2" t="str">
        <x:v>TEN-FC53D3F16D7A</x:v>
      </x:c>
      <x:c r="B4025" s="12" t="str">
        <x:v>Certified Professional Translation</x:v>
      </x:c>
      <x:c r="C4025" s="12" t="str">
        <x:v>CORP-0610</x:v>
      </x:c>
      <x:c r="D4025" s="12" t="str">
        <x:v>Mumbai</x:v>
      </x:c>
      <x:c r="E4025" s="12" t="str">
        <x:v>Empire Tower</x:v>
      </x:c>
      <x:c r="F4025" s="12" t="str">
        <x:v>55 inch</x:v>
      </x:c>
      <x:c r="G4025" s="20" t="n">
        <x:v>1</x:v>
      </x:c>
      <x:c r="H4025" s="12" t="str">
        <x:v>Campus/portfolio roster; individual building occupancy unverified</x:v>
      </x:c>
      <x:c r="I4025" s="12" t="str">
        <x:v>Small-scale prospects</x:v>
      </x:c>
      <x:c r="J4025" s="12" t="str">
        <x:v>Professional services</x:v>
      </x:c>
      <x:c r="K4025" s="2" t="str">
        <x:v>PARTNER-M193</x:v>
      </x:c>
    </x:row>
    <x:row r="4026" ht="46" customHeight="1">
      <x:c r="A4026" s="2" t="str">
        <x:v>TEN-00B26C576287</x:v>
      </x:c>
      <x:c r="B4026" s="12" t="str">
        <x:v>EBARA MACHINERY INDIA PVT. LTD</x:v>
      </x:c>
      <x:c r="C4026" s="12" t="str">
        <x:v>CORP-0611</x:v>
      </x:c>
      <x:c r="D4026" s="12" t="str">
        <x:v>Mumbai</x:v>
      </x:c>
      <x:c r="E4026" s="12" t="str">
        <x:v>Empire Tower</x:v>
      </x:c>
      <x:c r="F4026" s="12" t="str">
        <x:v>55 inch</x:v>
      </x:c>
      <x:c r="G4026" s="20" t="n">
        <x:v>1</x:v>
      </x:c>
      <x:c r="H4026" s="12" t="str">
        <x:v>Campus/portfolio roster; individual building occupancy unverified</x:v>
      </x:c>
      <x:c r="I4026" s="12" t="str">
        <x:v>Mixed business audience</x:v>
      </x:c>
      <x:c r="J4026" s="12" t="str">
        <x:v>Engineering &amp; manufacturing</x:v>
      </x:c>
      <x:c r="K4026" s="2" t="str">
        <x:v>PARTNER-M193</x:v>
      </x:c>
    </x:row>
    <x:row r="4027" ht="46" customHeight="1">
      <x:c r="A4027" s="2" t="str">
        <x:v>TEN-18D91AC992E3</x:v>
      </x:c>
      <x:c r="B4027" s="12" t="str">
        <x:v>Enser Communications Pvt. Ltd</x:v>
      </x:c>
      <x:c r="C4027" s="12" t="str">
        <x:v>CORP-0611</x:v>
      </x:c>
      <x:c r="D4027" s="12" t="str">
        <x:v>Mumbai</x:v>
      </x:c>
      <x:c r="E4027" s="12" t="str">
        <x:v>Empire Tower</x:v>
      </x:c>
      <x:c r="F4027" s="12" t="str">
        <x:v>55 inch</x:v>
      </x:c>
      <x:c r="G4027" s="20" t="n">
        <x:v>1</x:v>
      </x:c>
      <x:c r="H4027" s="12" t="str">
        <x:v>Campus/portfolio roster; individual building occupancy unverified</x:v>
      </x:c>
      <x:c r="I4027" s="12" t="str">
        <x:v>Small-scale prospects</x:v>
      </x:c>
      <x:c r="J4027" s="12" t="str">
        <x:v>IT &amp; digital</x:v>
      </x:c>
      <x:c r="K4027" s="2" t="str">
        <x:v>PARTNER-M193</x:v>
      </x:c>
    </x:row>
    <x:row r="4028" ht="46" customHeight="1">
      <x:c r="A4028" s="2" t="str">
        <x:v>TEN-287C67E28C61</x:v>
      </x:c>
      <x:c r="B4028" s="12" t="str">
        <x:v>First Brands Group India-Horizon Global</x:v>
      </x:c>
      <x:c r="C4028" s="12" t="str">
        <x:v>CORP-0611</x:v>
      </x:c>
      <x:c r="D4028" s="12" t="str">
        <x:v>Mumbai</x:v>
      </x:c>
      <x:c r="E4028" s="12" t="str">
        <x:v>Empire Tower</x:v>
      </x:c>
      <x:c r="F4028" s="12" t="str">
        <x:v>55 inch</x:v>
      </x:c>
      <x:c r="G4028" s="20" t="n">
        <x:v>1</x:v>
      </x:c>
      <x:c r="H4028" s="12" t="str">
        <x:v>Campus/portfolio roster; individual building occupancy unverified</x:v>
      </x:c>
      <x:c r="I4028" s="12" t="str">
        <x:v>Mixed business audience</x:v>
      </x:c>
      <x:c r="J4028" s="12" t="str">
        <x:v>Engineering &amp; manufacturing</x:v>
      </x:c>
      <x:c r="K4028" s="2" t="str">
        <x:v>PARTNER-M193</x:v>
      </x:c>
    </x:row>
    <x:row r="4029" ht="46" customHeight="1">
      <x:c r="A4029" s="2" t="str">
        <x:v>TEN-43C65EC0AB55</x:v>
      </x:c>
      <x:c r="B4029" s="12" t="str">
        <x:v>Seamex</x:v>
      </x:c>
      <x:c r="C4029" s="12" t="str">
        <x:v>CORP-0611</x:v>
      </x:c>
      <x:c r="D4029" s="12" t="str">
        <x:v>Mumbai</x:v>
      </x:c>
      <x:c r="E4029" s="12" t="str">
        <x:v>Empire Tower</x:v>
      </x:c>
      <x:c r="F4029" s="12" t="str">
        <x:v>55 inch</x:v>
      </x:c>
      <x:c r="G4029" s="20" t="n">
        <x:v>1</x:v>
      </x:c>
      <x:c r="H4029" s="12" t="str">
        <x:v>Campus/portfolio roster; individual building occupancy unverified</x:v>
      </x:c>
      <x:c r="I4029" s="12" t="str">
        <x:v>Medium-scale prospects</x:v>
      </x:c>
      <x:c r="J4029" s="12" t="str">
        <x:v>Trade, consumer &amp; logistics</x:v>
      </x:c>
      <x:c r="K4029" s="2" t="str">
        <x:v>PARTNER-M193</x:v>
      </x:c>
    </x:row>
    <x:row r="4030" ht="46" customHeight="1">
      <x:c r="A4030" s="2" t="str">
        <x:v>TEN-529DBF20A42C</x:v>
      </x:c>
      <x:c r="B4030" s="12" t="str">
        <x:v>EFC Business Center Pvt. Ltd</x:v>
      </x:c>
      <x:c r="C4030" s="12" t="str">
        <x:v>CORP-0611</x:v>
      </x:c>
      <x:c r="D4030" s="12" t="str">
        <x:v>Mumbai</x:v>
      </x:c>
      <x:c r="E4030" s="12" t="str">
        <x:v>Empire Tower</x:v>
      </x:c>
      <x:c r="F4030" s="12" t="str">
        <x:v>55 inch</x:v>
      </x:c>
      <x:c r="G4030" s="20" t="n">
        <x:v>1</x:v>
      </x:c>
      <x:c r="H4030" s="12" t="str">
        <x:v>Campus/portfolio roster; individual building occupancy unverified</x:v>
      </x:c>
      <x:c r="I4030" s="12" t="str">
        <x:v>Mixed business audience</x:v>
      </x:c>
      <x:c r="J4030" s="12" t="str">
        <x:v>Workspace &amp; property operations</x:v>
      </x:c>
      <x:c r="K4030" s="2" t="str">
        <x:v>PARTNER-M193</x:v>
      </x:c>
    </x:row>
    <x:row r="4031" ht="46" customHeight="1">
      <x:c r="A4031" s="2" t="str">
        <x:v>TEN-954EFE4DFA16</x:v>
      </x:c>
      <x:c r="B4031" s="12" t="str">
        <x:v>Tata Consulting Engineers Limited</x:v>
      </x:c>
      <x:c r="C4031" s="12" t="str">
        <x:v>CORP-0611</x:v>
      </x:c>
      <x:c r="D4031" s="12" t="str">
        <x:v>Mumbai</x:v>
      </x:c>
      <x:c r="E4031" s="12" t="str">
        <x:v>Empire Tower</x:v>
      </x:c>
      <x:c r="F4031" s="12" t="str">
        <x:v>55 inch</x:v>
      </x:c>
      <x:c r="G4031" s="20" t="n">
        <x:v>1</x:v>
      </x:c>
      <x:c r="H4031" s="12" t="str">
        <x:v>Campus/portfolio roster; individual building occupancy unverified</x:v>
      </x:c>
      <x:c r="I4031" s="12" t="str">
        <x:v>Large enterprise</x:v>
      </x:c>
      <x:c r="J4031" s="12" t="str">
        <x:v>Engineering &amp; manufacturing</x:v>
      </x:c>
      <x:c r="K4031" s="2" t="str">
        <x:v>PARTNER-M193</x:v>
      </x:c>
    </x:row>
    <x:row r="4032" ht="46" customHeight="1">
      <x:c r="A4032" s="2" t="str">
        <x:v>TEN-A3B1D465525D</x:v>
      </x:c>
      <x:c r="B4032" s="12" t="str">
        <x:v>Maersk Line</x:v>
      </x:c>
      <x:c r="C4032" s="12" t="str">
        <x:v>CORP-0611</x:v>
      </x:c>
      <x:c r="D4032" s="12" t="str">
        <x:v>Mumbai</x:v>
      </x:c>
      <x:c r="E4032" s="12" t="str">
        <x:v>Empire Tower</x:v>
      </x:c>
      <x:c r="F4032" s="12" t="str">
        <x:v>55 inch</x:v>
      </x:c>
      <x:c r="G4032" s="20" t="n">
        <x:v>1</x:v>
      </x:c>
      <x:c r="H4032" s="12" t="str">
        <x:v>Campus/portfolio roster; individual building occupancy unverified</x:v>
      </x:c>
      <x:c r="I4032" s="12" t="str">
        <x:v>Large enterprise</x:v>
      </x:c>
      <x:c r="J4032" s="12" t="str">
        <x:v>Trade, consumer &amp; logistics</x:v>
      </x:c>
      <x:c r="K4032" s="2" t="str">
        <x:v>PARTNER-M193</x:v>
      </x:c>
    </x:row>
    <x:row r="4033" ht="46" customHeight="1">
      <x:c r="A4033" s="2" t="str">
        <x:v>TEN-C505819DE3AF</x:v>
      </x:c>
      <x:c r="B4033" s="12" t="str">
        <x:v>LH Global Hub Services Pvt. Ltd</x:v>
      </x:c>
      <x:c r="C4033" s="12" t="str">
        <x:v>CORP-0611</x:v>
      </x:c>
      <x:c r="D4033" s="12" t="str">
        <x:v>Mumbai</x:v>
      </x:c>
      <x:c r="E4033" s="12" t="str">
        <x:v>Empire Tower</x:v>
      </x:c>
      <x:c r="F4033" s="12" t="str">
        <x:v>55 inch</x:v>
      </x:c>
      <x:c r="G4033" s="20" t="n">
        <x:v>1</x:v>
      </x:c>
      <x:c r="H4033" s="12" t="str">
        <x:v>Campus/portfolio roster; individual building occupancy unverified</x:v>
      </x:c>
      <x:c r="I4033" s="12" t="str">
        <x:v>Mixed business audience</x:v>
      </x:c>
      <x:c r="J4033" s="12" t="str">
        <x:v>Unresolved</x:v>
      </x:c>
      <x:c r="K4033" s="2" t="str">
        <x:v>PARTNER-M193</x:v>
      </x:c>
    </x:row>
    <x:row r="4034" ht="46" customHeight="1">
      <x:c r="A4034" s="2" t="str">
        <x:v>TEN-CA3E3381A8E6</x:v>
      </x:c>
      <x:c r="B4034" s="12" t="str">
        <x:v>Presidency Digital India Private</x:v>
      </x:c>
      <x:c r="C4034" s="12" t="str">
        <x:v>CORP-0611</x:v>
      </x:c>
      <x:c r="D4034" s="12" t="str">
        <x:v>Mumbai</x:v>
      </x:c>
      <x:c r="E4034" s="12" t="str">
        <x:v>Empire Tower</x:v>
      </x:c>
      <x:c r="F4034" s="12" t="str">
        <x:v>55 inch</x:v>
      </x:c>
      <x:c r="G4034" s="20" t="n">
        <x:v>1</x:v>
      </x:c>
      <x:c r="H4034" s="12" t="str">
        <x:v>Campus/portfolio roster; individual building occupancy unverified</x:v>
      </x:c>
      <x:c r="I4034" s="12" t="str">
        <x:v>Small-scale prospects</x:v>
      </x:c>
      <x:c r="J4034" s="12" t="str">
        <x:v>IT &amp; digital</x:v>
      </x:c>
      <x:c r="K4034" s="2" t="str">
        <x:v>PARTNER-M193</x:v>
      </x:c>
    </x:row>
    <x:row r="4035" ht="46" customHeight="1">
      <x:c r="A4035" s="2" t="str">
        <x:v>TEN-D6046E32A027</x:v>
      </x:c>
      <x:c r="B4035" s="12" t="str">
        <x:v>Lupin Limited</x:v>
      </x:c>
      <x:c r="C4035" s="12" t="str">
        <x:v>CORP-0611</x:v>
      </x:c>
      <x:c r="D4035" s="12" t="str">
        <x:v>Mumbai</x:v>
      </x:c>
      <x:c r="E4035" s="12" t="str">
        <x:v>Empire Tower</x:v>
      </x:c>
      <x:c r="F4035" s="12" t="str">
        <x:v>55 inch</x:v>
      </x:c>
      <x:c r="G4035" s="20" t="n">
        <x:v>1</x:v>
      </x:c>
      <x:c r="H4035" s="12" t="str">
        <x:v>Campus/portfolio roster; individual building occupancy unverified</x:v>
      </x:c>
      <x:c r="I4035" s="12" t="str">
        <x:v>Mixed business audience</x:v>
      </x:c>
      <x:c r="J4035" s="12" t="str">
        <x:v>Healthcare &amp; life sciences</x:v>
      </x:c>
      <x:c r="K4035" s="2" t="str">
        <x:v>PARTNER-M193</x:v>
      </x:c>
    </x:row>
    <x:row r="4036" ht="46" customHeight="1">
      <x:c r="A4036" s="2" t="str">
        <x:v>TEN-D72EAD2E3D44</x:v>
      </x:c>
      <x:c r="B4036" s="12" t="str">
        <x:v>Tech Mahindra</x:v>
      </x:c>
      <x:c r="C4036" s="12" t="str">
        <x:v>CORP-0611</x:v>
      </x:c>
      <x:c r="D4036" s="12" t="str">
        <x:v>Mumbai</x:v>
      </x:c>
      <x:c r="E4036" s="12" t="str">
        <x:v>Empire Tower</x:v>
      </x:c>
      <x:c r="F4036" s="12" t="str">
        <x:v>55 inch</x:v>
      </x:c>
      <x:c r="G4036" s="20" t="n">
        <x:v>1</x:v>
      </x:c>
      <x:c r="H4036" s="12" t="str">
        <x:v>Campus/portfolio roster; individual building occupancy unverified</x:v>
      </x:c>
      <x:c r="I4036" s="12" t="str">
        <x:v>Large enterprise</x:v>
      </x:c>
      <x:c r="J4036" s="12" t="str">
        <x:v>IT &amp; digital</x:v>
      </x:c>
      <x:c r="K4036" s="2" t="str">
        <x:v>PARTNER-M193</x:v>
      </x:c>
    </x:row>
    <x:row r="4037" ht="46" customHeight="1">
      <x:c r="A4037" s="2" t="str">
        <x:v>TEN-EF8161E9BFF2</x:v>
      </x:c>
      <x:c r="B4037" s="12" t="str">
        <x:v>Jacobs Solutions India Pvt. Ltd</x:v>
      </x:c>
      <x:c r="C4037" s="12" t="str">
        <x:v>CORP-0611</x:v>
      </x:c>
      <x:c r="D4037" s="12" t="str">
        <x:v>Mumbai</x:v>
      </x:c>
      <x:c r="E4037" s="12" t="str">
        <x:v>Empire Tower</x:v>
      </x:c>
      <x:c r="F4037" s="12" t="str">
        <x:v>55 inch</x:v>
      </x:c>
      <x:c r="G4037" s="20" t="n">
        <x:v>1</x:v>
      </x:c>
      <x:c r="H4037" s="12" t="str">
        <x:v>Campus/portfolio roster; individual building occupancy unverified</x:v>
      </x:c>
      <x:c r="I4037" s="12" t="str">
        <x:v>Mixed business audience</x:v>
      </x:c>
      <x:c r="J4037" s="12" t="str">
        <x:v>Engineering &amp; manufacturing</x:v>
      </x:c>
      <x:c r="K4037" s="2" t="str">
        <x:v>PARTNER-M193</x:v>
      </x:c>
    </x:row>
    <x:row r="4038" ht="46" customHeight="1">
      <x:c r="A4038" s="2" t="str">
        <x:v>TEN-FC53D3F16D7A</x:v>
      </x:c>
      <x:c r="B4038" s="12" t="str">
        <x:v>Certified Professional Translation</x:v>
      </x:c>
      <x:c r="C4038" s="12" t="str">
        <x:v>CORP-0611</x:v>
      </x:c>
      <x:c r="D4038" s="12" t="str">
        <x:v>Mumbai</x:v>
      </x:c>
      <x:c r="E4038" s="12" t="str">
        <x:v>Empire Tower</x:v>
      </x:c>
      <x:c r="F4038" s="12" t="str">
        <x:v>55 inch</x:v>
      </x:c>
      <x:c r="G4038" s="20" t="n">
        <x:v>1</x:v>
      </x:c>
      <x:c r="H4038" s="12" t="str">
        <x:v>Campus/portfolio roster; individual building occupancy unverified</x:v>
      </x:c>
      <x:c r="I4038" s="12" t="str">
        <x:v>Small-scale prospects</x:v>
      </x:c>
      <x:c r="J4038" s="12" t="str">
        <x:v>Professional services</x:v>
      </x:c>
      <x:c r="K4038" s="2" t="str">
        <x:v>PARTNER-M193</x:v>
      </x:c>
    </x:row>
    <x:row r="4039" ht="46" customHeight="1">
      <x:c r="A4039" s="2" t="str">
        <x:v>TEN-00B26C576287</x:v>
      </x:c>
      <x:c r="B4039" s="12" t="str">
        <x:v>EBARA MACHINERY INDIA PVT. LTD</x:v>
      </x:c>
      <x:c r="C4039" s="12" t="str">
        <x:v>CORP-0612</x:v>
      </x:c>
      <x:c r="D4039" s="12" t="str">
        <x:v>Mumbai</x:v>
      </x:c>
      <x:c r="E4039" s="12" t="str">
        <x:v>Empire Tower</x:v>
      </x:c>
      <x:c r="F4039" s="12" t="str">
        <x:v>55 inch</x:v>
      </x:c>
      <x:c r="G4039" s="20" t="n">
        <x:v>1</x:v>
      </x:c>
      <x:c r="H4039" s="12" t="str">
        <x:v>Campus/portfolio roster; individual building occupancy unverified</x:v>
      </x:c>
      <x:c r="I4039" s="12" t="str">
        <x:v>Mixed business audience</x:v>
      </x:c>
      <x:c r="J4039" s="12" t="str">
        <x:v>Engineering &amp; manufacturing</x:v>
      </x:c>
      <x:c r="K4039" s="2" t="str">
        <x:v>PARTNER-M193</x:v>
      </x:c>
    </x:row>
    <x:row r="4040" ht="46" customHeight="1">
      <x:c r="A4040" s="2" t="str">
        <x:v>TEN-18D91AC992E3</x:v>
      </x:c>
      <x:c r="B4040" s="12" t="str">
        <x:v>Enser Communications Pvt. Ltd</x:v>
      </x:c>
      <x:c r="C4040" s="12" t="str">
        <x:v>CORP-0612</x:v>
      </x:c>
      <x:c r="D4040" s="12" t="str">
        <x:v>Mumbai</x:v>
      </x:c>
      <x:c r="E4040" s="12" t="str">
        <x:v>Empire Tower</x:v>
      </x:c>
      <x:c r="F4040" s="12" t="str">
        <x:v>55 inch</x:v>
      </x:c>
      <x:c r="G4040" s="20" t="n">
        <x:v>1</x:v>
      </x:c>
      <x:c r="H4040" s="12" t="str">
        <x:v>Campus/portfolio roster; individual building occupancy unverified</x:v>
      </x:c>
      <x:c r="I4040" s="12" t="str">
        <x:v>Small-scale prospects</x:v>
      </x:c>
      <x:c r="J4040" s="12" t="str">
        <x:v>IT &amp; digital</x:v>
      </x:c>
      <x:c r="K4040" s="2" t="str">
        <x:v>PARTNER-M193</x:v>
      </x:c>
    </x:row>
    <x:row r="4041" ht="46" customHeight="1">
      <x:c r="A4041" s="2" t="str">
        <x:v>TEN-287C67E28C61</x:v>
      </x:c>
      <x:c r="B4041" s="12" t="str">
        <x:v>First Brands Group India-Horizon Global</x:v>
      </x:c>
      <x:c r="C4041" s="12" t="str">
        <x:v>CORP-0612</x:v>
      </x:c>
      <x:c r="D4041" s="12" t="str">
        <x:v>Mumbai</x:v>
      </x:c>
      <x:c r="E4041" s="12" t="str">
        <x:v>Empire Tower</x:v>
      </x:c>
      <x:c r="F4041" s="12" t="str">
        <x:v>55 inch</x:v>
      </x:c>
      <x:c r="G4041" s="20" t="n">
        <x:v>1</x:v>
      </x:c>
      <x:c r="H4041" s="12" t="str">
        <x:v>Campus/portfolio roster; individual building occupancy unverified</x:v>
      </x:c>
      <x:c r="I4041" s="12" t="str">
        <x:v>Mixed business audience</x:v>
      </x:c>
      <x:c r="J4041" s="12" t="str">
        <x:v>Engineering &amp; manufacturing</x:v>
      </x:c>
      <x:c r="K4041" s="2" t="str">
        <x:v>PARTNER-M193</x:v>
      </x:c>
    </x:row>
    <x:row r="4042" ht="46" customHeight="1">
      <x:c r="A4042" s="2" t="str">
        <x:v>TEN-43C65EC0AB55</x:v>
      </x:c>
      <x:c r="B4042" s="12" t="str">
        <x:v>Seamex</x:v>
      </x:c>
      <x:c r="C4042" s="12" t="str">
        <x:v>CORP-0612</x:v>
      </x:c>
      <x:c r="D4042" s="12" t="str">
        <x:v>Mumbai</x:v>
      </x:c>
      <x:c r="E4042" s="12" t="str">
        <x:v>Empire Tower</x:v>
      </x:c>
      <x:c r="F4042" s="12" t="str">
        <x:v>55 inch</x:v>
      </x:c>
      <x:c r="G4042" s="20" t="n">
        <x:v>1</x:v>
      </x:c>
      <x:c r="H4042" s="12" t="str">
        <x:v>Campus/portfolio roster; individual building occupancy unverified</x:v>
      </x:c>
      <x:c r="I4042" s="12" t="str">
        <x:v>Medium-scale prospects</x:v>
      </x:c>
      <x:c r="J4042" s="12" t="str">
        <x:v>Trade, consumer &amp; logistics</x:v>
      </x:c>
      <x:c r="K4042" s="2" t="str">
        <x:v>PARTNER-M193</x:v>
      </x:c>
    </x:row>
    <x:row r="4043" ht="46" customHeight="1">
      <x:c r="A4043" s="2" t="str">
        <x:v>TEN-529DBF20A42C</x:v>
      </x:c>
      <x:c r="B4043" s="12" t="str">
        <x:v>EFC Business Center Pvt. Ltd</x:v>
      </x:c>
      <x:c r="C4043" s="12" t="str">
        <x:v>CORP-0612</x:v>
      </x:c>
      <x:c r="D4043" s="12" t="str">
        <x:v>Mumbai</x:v>
      </x:c>
      <x:c r="E4043" s="12" t="str">
        <x:v>Empire Tower</x:v>
      </x:c>
      <x:c r="F4043" s="12" t="str">
        <x:v>55 inch</x:v>
      </x:c>
      <x:c r="G4043" s="20" t="n">
        <x:v>1</x:v>
      </x:c>
      <x:c r="H4043" s="12" t="str">
        <x:v>Campus/portfolio roster; individual building occupancy unverified</x:v>
      </x:c>
      <x:c r="I4043" s="12" t="str">
        <x:v>Mixed business audience</x:v>
      </x:c>
      <x:c r="J4043" s="12" t="str">
        <x:v>Workspace &amp; property operations</x:v>
      </x:c>
      <x:c r="K4043" s="2" t="str">
        <x:v>PARTNER-M193</x:v>
      </x:c>
    </x:row>
    <x:row r="4044" ht="46" customHeight="1">
      <x:c r="A4044" s="2" t="str">
        <x:v>TEN-954EFE4DFA16</x:v>
      </x:c>
      <x:c r="B4044" s="12" t="str">
        <x:v>Tata Consulting Engineers Limited</x:v>
      </x:c>
      <x:c r="C4044" s="12" t="str">
        <x:v>CORP-0612</x:v>
      </x:c>
      <x:c r="D4044" s="12" t="str">
        <x:v>Mumbai</x:v>
      </x:c>
      <x:c r="E4044" s="12" t="str">
        <x:v>Empire Tower</x:v>
      </x:c>
      <x:c r="F4044" s="12" t="str">
        <x:v>55 inch</x:v>
      </x:c>
      <x:c r="G4044" s="20" t="n">
        <x:v>1</x:v>
      </x:c>
      <x:c r="H4044" s="12" t="str">
        <x:v>Campus/portfolio roster; individual building occupancy unverified</x:v>
      </x:c>
      <x:c r="I4044" s="12" t="str">
        <x:v>Large enterprise</x:v>
      </x:c>
      <x:c r="J4044" s="12" t="str">
        <x:v>Engineering &amp; manufacturing</x:v>
      </x:c>
      <x:c r="K4044" s="2" t="str">
        <x:v>PARTNER-M193</x:v>
      </x:c>
    </x:row>
    <x:row r="4045" ht="46" customHeight="1">
      <x:c r="A4045" s="2" t="str">
        <x:v>TEN-A3B1D465525D</x:v>
      </x:c>
      <x:c r="B4045" s="12" t="str">
        <x:v>Maersk Line</x:v>
      </x:c>
      <x:c r="C4045" s="12" t="str">
        <x:v>CORP-0612</x:v>
      </x:c>
      <x:c r="D4045" s="12" t="str">
        <x:v>Mumbai</x:v>
      </x:c>
      <x:c r="E4045" s="12" t="str">
        <x:v>Empire Tower</x:v>
      </x:c>
      <x:c r="F4045" s="12" t="str">
        <x:v>55 inch</x:v>
      </x:c>
      <x:c r="G4045" s="20" t="n">
        <x:v>1</x:v>
      </x:c>
      <x:c r="H4045" s="12" t="str">
        <x:v>Campus/portfolio roster; individual building occupancy unverified</x:v>
      </x:c>
      <x:c r="I4045" s="12" t="str">
        <x:v>Large enterprise</x:v>
      </x:c>
      <x:c r="J4045" s="12" t="str">
        <x:v>Trade, consumer &amp; logistics</x:v>
      </x:c>
      <x:c r="K4045" s="2" t="str">
        <x:v>PARTNER-M193</x:v>
      </x:c>
    </x:row>
    <x:row r="4046" ht="46" customHeight="1">
      <x:c r="A4046" s="2" t="str">
        <x:v>TEN-C505819DE3AF</x:v>
      </x:c>
      <x:c r="B4046" s="12" t="str">
        <x:v>LH Global Hub Services Pvt. Ltd</x:v>
      </x:c>
      <x:c r="C4046" s="12" t="str">
        <x:v>CORP-0612</x:v>
      </x:c>
      <x:c r="D4046" s="12" t="str">
        <x:v>Mumbai</x:v>
      </x:c>
      <x:c r="E4046" s="12" t="str">
        <x:v>Empire Tower</x:v>
      </x:c>
      <x:c r="F4046" s="12" t="str">
        <x:v>55 inch</x:v>
      </x:c>
      <x:c r="G4046" s="20" t="n">
        <x:v>1</x:v>
      </x:c>
      <x:c r="H4046" s="12" t="str">
        <x:v>Campus/portfolio roster; individual building occupancy unverified</x:v>
      </x:c>
      <x:c r="I4046" s="12" t="str">
        <x:v>Mixed business audience</x:v>
      </x:c>
      <x:c r="J4046" s="12" t="str">
        <x:v>Unresolved</x:v>
      </x:c>
      <x:c r="K4046" s="2" t="str">
        <x:v>PARTNER-M193</x:v>
      </x:c>
    </x:row>
    <x:row r="4047" ht="46" customHeight="1">
      <x:c r="A4047" s="2" t="str">
        <x:v>TEN-CA3E3381A8E6</x:v>
      </x:c>
      <x:c r="B4047" s="12" t="str">
        <x:v>Presidency Digital India Private</x:v>
      </x:c>
      <x:c r="C4047" s="12" t="str">
        <x:v>CORP-0612</x:v>
      </x:c>
      <x:c r="D4047" s="12" t="str">
        <x:v>Mumbai</x:v>
      </x:c>
      <x:c r="E4047" s="12" t="str">
        <x:v>Empire Tower</x:v>
      </x:c>
      <x:c r="F4047" s="12" t="str">
        <x:v>55 inch</x:v>
      </x:c>
      <x:c r="G4047" s="20" t="n">
        <x:v>1</x:v>
      </x:c>
      <x:c r="H4047" s="12" t="str">
        <x:v>Campus/portfolio roster; individual building occupancy unverified</x:v>
      </x:c>
      <x:c r="I4047" s="12" t="str">
        <x:v>Small-scale prospects</x:v>
      </x:c>
      <x:c r="J4047" s="12" t="str">
        <x:v>IT &amp; digital</x:v>
      </x:c>
      <x:c r="K4047" s="2" t="str">
        <x:v>PARTNER-M193</x:v>
      </x:c>
    </x:row>
    <x:row r="4048" ht="46" customHeight="1">
      <x:c r="A4048" s="2" t="str">
        <x:v>TEN-D6046E32A027</x:v>
      </x:c>
      <x:c r="B4048" s="12" t="str">
        <x:v>Lupin Limited</x:v>
      </x:c>
      <x:c r="C4048" s="12" t="str">
        <x:v>CORP-0612</x:v>
      </x:c>
      <x:c r="D4048" s="12" t="str">
        <x:v>Mumbai</x:v>
      </x:c>
      <x:c r="E4048" s="12" t="str">
        <x:v>Empire Tower</x:v>
      </x:c>
      <x:c r="F4048" s="12" t="str">
        <x:v>55 inch</x:v>
      </x:c>
      <x:c r="G4048" s="20" t="n">
        <x:v>1</x:v>
      </x:c>
      <x:c r="H4048" s="12" t="str">
        <x:v>Campus/portfolio roster; individual building occupancy unverified</x:v>
      </x:c>
      <x:c r="I4048" s="12" t="str">
        <x:v>Mixed business audience</x:v>
      </x:c>
      <x:c r="J4048" s="12" t="str">
        <x:v>Healthcare &amp; life sciences</x:v>
      </x:c>
      <x:c r="K4048" s="2" t="str">
        <x:v>PARTNER-M193</x:v>
      </x:c>
    </x:row>
    <x:row r="4049" ht="46" customHeight="1">
      <x:c r="A4049" s="2" t="str">
        <x:v>TEN-D72EAD2E3D44</x:v>
      </x:c>
      <x:c r="B4049" s="12" t="str">
        <x:v>Tech Mahindra</x:v>
      </x:c>
      <x:c r="C4049" s="12" t="str">
        <x:v>CORP-0612</x:v>
      </x:c>
      <x:c r="D4049" s="12" t="str">
        <x:v>Mumbai</x:v>
      </x:c>
      <x:c r="E4049" s="12" t="str">
        <x:v>Empire Tower</x:v>
      </x:c>
      <x:c r="F4049" s="12" t="str">
        <x:v>55 inch</x:v>
      </x:c>
      <x:c r="G4049" s="20" t="n">
        <x:v>1</x:v>
      </x:c>
      <x:c r="H4049" s="12" t="str">
        <x:v>Campus/portfolio roster; individual building occupancy unverified</x:v>
      </x:c>
      <x:c r="I4049" s="12" t="str">
        <x:v>Large enterprise</x:v>
      </x:c>
      <x:c r="J4049" s="12" t="str">
        <x:v>IT &amp; digital</x:v>
      </x:c>
      <x:c r="K4049" s="2" t="str">
        <x:v>PARTNER-M193</x:v>
      </x:c>
    </x:row>
    <x:row r="4050" ht="46" customHeight="1">
      <x:c r="A4050" s="2" t="str">
        <x:v>TEN-EF8161E9BFF2</x:v>
      </x:c>
      <x:c r="B4050" s="12" t="str">
        <x:v>Jacobs Solutions India Pvt. Ltd</x:v>
      </x:c>
      <x:c r="C4050" s="12" t="str">
        <x:v>CORP-0612</x:v>
      </x:c>
      <x:c r="D4050" s="12" t="str">
        <x:v>Mumbai</x:v>
      </x:c>
      <x:c r="E4050" s="12" t="str">
        <x:v>Empire Tower</x:v>
      </x:c>
      <x:c r="F4050" s="12" t="str">
        <x:v>55 inch</x:v>
      </x:c>
      <x:c r="G4050" s="20" t="n">
        <x:v>1</x:v>
      </x:c>
      <x:c r="H4050" s="12" t="str">
        <x:v>Campus/portfolio roster; individual building occupancy unverified</x:v>
      </x:c>
      <x:c r="I4050" s="12" t="str">
        <x:v>Mixed business audience</x:v>
      </x:c>
      <x:c r="J4050" s="12" t="str">
        <x:v>Engineering &amp; manufacturing</x:v>
      </x:c>
      <x:c r="K4050" s="2" t="str">
        <x:v>PARTNER-M193</x:v>
      </x:c>
    </x:row>
    <x:row r="4051" ht="46" customHeight="1">
      <x:c r="A4051" s="2" t="str">
        <x:v>TEN-FC53D3F16D7A</x:v>
      </x:c>
      <x:c r="B4051" s="12" t="str">
        <x:v>Certified Professional Translation</x:v>
      </x:c>
      <x:c r="C4051" s="12" t="str">
        <x:v>CORP-0612</x:v>
      </x:c>
      <x:c r="D4051" s="12" t="str">
        <x:v>Mumbai</x:v>
      </x:c>
      <x:c r="E4051" s="12" t="str">
        <x:v>Empire Tower</x:v>
      </x:c>
      <x:c r="F4051" s="12" t="str">
        <x:v>55 inch</x:v>
      </x:c>
      <x:c r="G4051" s="20" t="n">
        <x:v>1</x:v>
      </x:c>
      <x:c r="H4051" s="12" t="str">
        <x:v>Campus/portfolio roster; individual building occupancy unverified</x:v>
      </x:c>
      <x:c r="I4051" s="12" t="str">
        <x:v>Small-scale prospects</x:v>
      </x:c>
      <x:c r="J4051" s="12" t="str">
        <x:v>Professional services</x:v>
      </x:c>
      <x:c r="K4051" s="2" t="str">
        <x:v>PARTNER-M193</x:v>
      </x:c>
    </x:row>
    <x:row r="4052" ht="46" customHeight="1">
      <x:c r="A4052" s="2" t="str">
        <x:v>TEN-00B26C576287</x:v>
      </x:c>
      <x:c r="B4052" s="12" t="str">
        <x:v>EBARA MACHINERY INDIA PVT. LTD</x:v>
      </x:c>
      <x:c r="C4052" s="12" t="str">
        <x:v>CORP-0613</x:v>
      </x:c>
      <x:c r="D4052" s="12" t="str">
        <x:v>Mumbai</x:v>
      </x:c>
      <x:c r="E4052" s="12" t="str">
        <x:v>Empire Tower</x:v>
      </x:c>
      <x:c r="F4052" s="12" t="str">
        <x:v>55 inch</x:v>
      </x:c>
      <x:c r="G4052" s="20" t="n">
        <x:v>1</x:v>
      </x:c>
      <x:c r="H4052" s="12" t="str">
        <x:v>Campus/portfolio roster; individual building occupancy unverified</x:v>
      </x:c>
      <x:c r="I4052" s="12" t="str">
        <x:v>Mixed business audience</x:v>
      </x:c>
      <x:c r="J4052" s="12" t="str">
        <x:v>Engineering &amp; manufacturing</x:v>
      </x:c>
      <x:c r="K4052" s="2" t="str">
        <x:v>PARTNER-M193</x:v>
      </x:c>
    </x:row>
    <x:row r="4053" ht="46" customHeight="1">
      <x:c r="A4053" s="2" t="str">
        <x:v>TEN-18D91AC992E3</x:v>
      </x:c>
      <x:c r="B4053" s="12" t="str">
        <x:v>Enser Communications Pvt. Ltd</x:v>
      </x:c>
      <x:c r="C4053" s="12" t="str">
        <x:v>CORP-0613</x:v>
      </x:c>
      <x:c r="D4053" s="12" t="str">
        <x:v>Mumbai</x:v>
      </x:c>
      <x:c r="E4053" s="12" t="str">
        <x:v>Empire Tower</x:v>
      </x:c>
      <x:c r="F4053" s="12" t="str">
        <x:v>55 inch</x:v>
      </x:c>
      <x:c r="G4053" s="20" t="n">
        <x:v>1</x:v>
      </x:c>
      <x:c r="H4053" s="12" t="str">
        <x:v>Campus/portfolio roster; individual building occupancy unverified</x:v>
      </x:c>
      <x:c r="I4053" s="12" t="str">
        <x:v>Small-scale prospects</x:v>
      </x:c>
      <x:c r="J4053" s="12" t="str">
        <x:v>IT &amp; digital</x:v>
      </x:c>
      <x:c r="K4053" s="2" t="str">
        <x:v>PARTNER-M193</x:v>
      </x:c>
    </x:row>
    <x:row r="4054" ht="46" customHeight="1">
      <x:c r="A4054" s="2" t="str">
        <x:v>TEN-287C67E28C61</x:v>
      </x:c>
      <x:c r="B4054" s="12" t="str">
        <x:v>First Brands Group India-Horizon Global</x:v>
      </x:c>
      <x:c r="C4054" s="12" t="str">
        <x:v>CORP-0613</x:v>
      </x:c>
      <x:c r="D4054" s="12" t="str">
        <x:v>Mumbai</x:v>
      </x:c>
      <x:c r="E4054" s="12" t="str">
        <x:v>Empire Tower</x:v>
      </x:c>
      <x:c r="F4054" s="12" t="str">
        <x:v>55 inch</x:v>
      </x:c>
      <x:c r="G4054" s="20" t="n">
        <x:v>1</x:v>
      </x:c>
      <x:c r="H4054" s="12" t="str">
        <x:v>Campus/portfolio roster; individual building occupancy unverified</x:v>
      </x:c>
      <x:c r="I4054" s="12" t="str">
        <x:v>Mixed business audience</x:v>
      </x:c>
      <x:c r="J4054" s="12" t="str">
        <x:v>Engineering &amp; manufacturing</x:v>
      </x:c>
      <x:c r="K4054" s="2" t="str">
        <x:v>PARTNER-M193</x:v>
      </x:c>
    </x:row>
    <x:row r="4055" ht="46" customHeight="1">
      <x:c r="A4055" s="2" t="str">
        <x:v>TEN-43C65EC0AB55</x:v>
      </x:c>
      <x:c r="B4055" s="12" t="str">
        <x:v>Seamex</x:v>
      </x:c>
      <x:c r="C4055" s="12" t="str">
        <x:v>CORP-0613</x:v>
      </x:c>
      <x:c r="D4055" s="12" t="str">
        <x:v>Mumbai</x:v>
      </x:c>
      <x:c r="E4055" s="12" t="str">
        <x:v>Empire Tower</x:v>
      </x:c>
      <x:c r="F4055" s="12" t="str">
        <x:v>55 inch</x:v>
      </x:c>
      <x:c r="G4055" s="20" t="n">
        <x:v>1</x:v>
      </x:c>
      <x:c r="H4055" s="12" t="str">
        <x:v>Campus/portfolio roster; individual building occupancy unverified</x:v>
      </x:c>
      <x:c r="I4055" s="12" t="str">
        <x:v>Medium-scale prospects</x:v>
      </x:c>
      <x:c r="J4055" s="12" t="str">
        <x:v>Trade, consumer &amp; logistics</x:v>
      </x:c>
      <x:c r="K4055" s="2" t="str">
        <x:v>PARTNER-M193</x:v>
      </x:c>
    </x:row>
    <x:row r="4056" ht="46" customHeight="1">
      <x:c r="A4056" s="2" t="str">
        <x:v>TEN-529DBF20A42C</x:v>
      </x:c>
      <x:c r="B4056" s="12" t="str">
        <x:v>EFC Business Center Pvt. Ltd</x:v>
      </x:c>
      <x:c r="C4056" s="12" t="str">
        <x:v>CORP-0613</x:v>
      </x:c>
      <x:c r="D4056" s="12" t="str">
        <x:v>Mumbai</x:v>
      </x:c>
      <x:c r="E4056" s="12" t="str">
        <x:v>Empire Tower</x:v>
      </x:c>
      <x:c r="F4056" s="12" t="str">
        <x:v>55 inch</x:v>
      </x:c>
      <x:c r="G4056" s="20" t="n">
        <x:v>1</x:v>
      </x:c>
      <x:c r="H4056" s="12" t="str">
        <x:v>Campus/portfolio roster; individual building occupancy unverified</x:v>
      </x:c>
      <x:c r="I4056" s="12" t="str">
        <x:v>Mixed business audience</x:v>
      </x:c>
      <x:c r="J4056" s="12" t="str">
        <x:v>Workspace &amp; property operations</x:v>
      </x:c>
      <x:c r="K4056" s="2" t="str">
        <x:v>PARTNER-M193</x:v>
      </x:c>
    </x:row>
    <x:row r="4057" ht="46" customHeight="1">
      <x:c r="A4057" s="2" t="str">
        <x:v>TEN-954EFE4DFA16</x:v>
      </x:c>
      <x:c r="B4057" s="12" t="str">
        <x:v>Tata Consulting Engineers Limited</x:v>
      </x:c>
      <x:c r="C4057" s="12" t="str">
        <x:v>CORP-0613</x:v>
      </x:c>
      <x:c r="D4057" s="12" t="str">
        <x:v>Mumbai</x:v>
      </x:c>
      <x:c r="E4057" s="12" t="str">
        <x:v>Empire Tower</x:v>
      </x:c>
      <x:c r="F4057" s="12" t="str">
        <x:v>55 inch</x:v>
      </x:c>
      <x:c r="G4057" s="20" t="n">
        <x:v>1</x:v>
      </x:c>
      <x:c r="H4057" s="12" t="str">
        <x:v>Campus/portfolio roster; individual building occupancy unverified</x:v>
      </x:c>
      <x:c r="I4057" s="12" t="str">
        <x:v>Large enterprise</x:v>
      </x:c>
      <x:c r="J4057" s="12" t="str">
        <x:v>Engineering &amp; manufacturing</x:v>
      </x:c>
      <x:c r="K4057" s="2" t="str">
        <x:v>PARTNER-M193</x:v>
      </x:c>
    </x:row>
    <x:row r="4058" ht="46" customHeight="1">
      <x:c r="A4058" s="2" t="str">
        <x:v>TEN-A3B1D465525D</x:v>
      </x:c>
      <x:c r="B4058" s="12" t="str">
        <x:v>Maersk Line</x:v>
      </x:c>
      <x:c r="C4058" s="12" t="str">
        <x:v>CORP-0613</x:v>
      </x:c>
      <x:c r="D4058" s="12" t="str">
        <x:v>Mumbai</x:v>
      </x:c>
      <x:c r="E4058" s="12" t="str">
        <x:v>Empire Tower</x:v>
      </x:c>
      <x:c r="F4058" s="12" t="str">
        <x:v>55 inch</x:v>
      </x:c>
      <x:c r="G4058" s="20" t="n">
        <x:v>1</x:v>
      </x:c>
      <x:c r="H4058" s="12" t="str">
        <x:v>Campus/portfolio roster; individual building occupancy unverified</x:v>
      </x:c>
      <x:c r="I4058" s="12" t="str">
        <x:v>Large enterprise</x:v>
      </x:c>
      <x:c r="J4058" s="12" t="str">
        <x:v>Trade, consumer &amp; logistics</x:v>
      </x:c>
      <x:c r="K4058" s="2" t="str">
        <x:v>PARTNER-M193</x:v>
      </x:c>
    </x:row>
    <x:row r="4059" ht="46" customHeight="1">
      <x:c r="A4059" s="2" t="str">
        <x:v>TEN-C505819DE3AF</x:v>
      </x:c>
      <x:c r="B4059" s="12" t="str">
        <x:v>LH Global Hub Services Pvt. Ltd</x:v>
      </x:c>
      <x:c r="C4059" s="12" t="str">
        <x:v>CORP-0613</x:v>
      </x:c>
      <x:c r="D4059" s="12" t="str">
        <x:v>Mumbai</x:v>
      </x:c>
      <x:c r="E4059" s="12" t="str">
        <x:v>Empire Tower</x:v>
      </x:c>
      <x:c r="F4059" s="12" t="str">
        <x:v>55 inch</x:v>
      </x:c>
      <x:c r="G4059" s="20" t="n">
        <x:v>1</x:v>
      </x:c>
      <x:c r="H4059" s="12" t="str">
        <x:v>Campus/portfolio roster; individual building occupancy unverified</x:v>
      </x:c>
      <x:c r="I4059" s="12" t="str">
        <x:v>Mixed business audience</x:v>
      </x:c>
      <x:c r="J4059" s="12" t="str">
        <x:v>Unresolved</x:v>
      </x:c>
      <x:c r="K4059" s="2" t="str">
        <x:v>PARTNER-M193</x:v>
      </x:c>
    </x:row>
    <x:row r="4060" ht="46" customHeight="1">
      <x:c r="A4060" s="2" t="str">
        <x:v>TEN-CA3E3381A8E6</x:v>
      </x:c>
      <x:c r="B4060" s="12" t="str">
        <x:v>Presidency Digital India Private</x:v>
      </x:c>
      <x:c r="C4060" s="12" t="str">
        <x:v>CORP-0613</x:v>
      </x:c>
      <x:c r="D4060" s="12" t="str">
        <x:v>Mumbai</x:v>
      </x:c>
      <x:c r="E4060" s="12" t="str">
        <x:v>Empire Tower</x:v>
      </x:c>
      <x:c r="F4060" s="12" t="str">
        <x:v>55 inch</x:v>
      </x:c>
      <x:c r="G4060" s="20" t="n">
        <x:v>1</x:v>
      </x:c>
      <x:c r="H4060" s="12" t="str">
        <x:v>Campus/portfolio roster; individual building occupancy unverified</x:v>
      </x:c>
      <x:c r="I4060" s="12" t="str">
        <x:v>Small-scale prospects</x:v>
      </x:c>
      <x:c r="J4060" s="12" t="str">
        <x:v>IT &amp; digital</x:v>
      </x:c>
      <x:c r="K4060" s="2" t="str">
        <x:v>PARTNER-M193</x:v>
      </x:c>
    </x:row>
    <x:row r="4061" ht="46" customHeight="1">
      <x:c r="A4061" s="2" t="str">
        <x:v>TEN-D6046E32A027</x:v>
      </x:c>
      <x:c r="B4061" s="12" t="str">
        <x:v>Lupin Limited</x:v>
      </x:c>
      <x:c r="C4061" s="12" t="str">
        <x:v>CORP-0613</x:v>
      </x:c>
      <x:c r="D4061" s="12" t="str">
        <x:v>Mumbai</x:v>
      </x:c>
      <x:c r="E4061" s="12" t="str">
        <x:v>Empire Tower</x:v>
      </x:c>
      <x:c r="F4061" s="12" t="str">
        <x:v>55 inch</x:v>
      </x:c>
      <x:c r="G4061" s="20" t="n">
        <x:v>1</x:v>
      </x:c>
      <x:c r="H4061" s="12" t="str">
        <x:v>Campus/portfolio roster; individual building occupancy unverified</x:v>
      </x:c>
      <x:c r="I4061" s="12" t="str">
        <x:v>Mixed business audience</x:v>
      </x:c>
      <x:c r="J4061" s="12" t="str">
        <x:v>Healthcare &amp; life sciences</x:v>
      </x:c>
      <x:c r="K4061" s="2" t="str">
        <x:v>PARTNER-M193</x:v>
      </x:c>
    </x:row>
    <x:row r="4062" ht="46" customHeight="1">
      <x:c r="A4062" s="2" t="str">
        <x:v>TEN-D72EAD2E3D44</x:v>
      </x:c>
      <x:c r="B4062" s="12" t="str">
        <x:v>Tech Mahindra</x:v>
      </x:c>
      <x:c r="C4062" s="12" t="str">
        <x:v>CORP-0613</x:v>
      </x:c>
      <x:c r="D4062" s="12" t="str">
        <x:v>Mumbai</x:v>
      </x:c>
      <x:c r="E4062" s="12" t="str">
        <x:v>Empire Tower</x:v>
      </x:c>
      <x:c r="F4062" s="12" t="str">
        <x:v>55 inch</x:v>
      </x:c>
      <x:c r="G4062" s="20" t="n">
        <x:v>1</x:v>
      </x:c>
      <x:c r="H4062" s="12" t="str">
        <x:v>Campus/portfolio roster; individual building occupancy unverified</x:v>
      </x:c>
      <x:c r="I4062" s="12" t="str">
        <x:v>Large enterprise</x:v>
      </x:c>
      <x:c r="J4062" s="12" t="str">
        <x:v>IT &amp; digital</x:v>
      </x:c>
      <x:c r="K4062" s="2" t="str">
        <x:v>PARTNER-M193</x:v>
      </x:c>
    </x:row>
    <x:row r="4063" ht="46" customHeight="1">
      <x:c r="A4063" s="2" t="str">
        <x:v>TEN-EF8161E9BFF2</x:v>
      </x:c>
      <x:c r="B4063" s="12" t="str">
        <x:v>Jacobs Solutions India Pvt. Ltd</x:v>
      </x:c>
      <x:c r="C4063" s="12" t="str">
        <x:v>CORP-0613</x:v>
      </x:c>
      <x:c r="D4063" s="12" t="str">
        <x:v>Mumbai</x:v>
      </x:c>
      <x:c r="E4063" s="12" t="str">
        <x:v>Empire Tower</x:v>
      </x:c>
      <x:c r="F4063" s="12" t="str">
        <x:v>55 inch</x:v>
      </x:c>
      <x:c r="G4063" s="20" t="n">
        <x:v>1</x:v>
      </x:c>
      <x:c r="H4063" s="12" t="str">
        <x:v>Campus/portfolio roster; individual building occupancy unverified</x:v>
      </x:c>
      <x:c r="I4063" s="12" t="str">
        <x:v>Mixed business audience</x:v>
      </x:c>
      <x:c r="J4063" s="12" t="str">
        <x:v>Engineering &amp; manufacturing</x:v>
      </x:c>
      <x:c r="K4063" s="2" t="str">
        <x:v>PARTNER-M193</x:v>
      </x:c>
    </x:row>
    <x:row r="4064" ht="46" customHeight="1">
      <x:c r="A4064" s="2" t="str">
        <x:v>TEN-FC53D3F16D7A</x:v>
      </x:c>
      <x:c r="B4064" s="12" t="str">
        <x:v>Certified Professional Translation</x:v>
      </x:c>
      <x:c r="C4064" s="12" t="str">
        <x:v>CORP-0613</x:v>
      </x:c>
      <x:c r="D4064" s="12" t="str">
        <x:v>Mumbai</x:v>
      </x:c>
      <x:c r="E4064" s="12" t="str">
        <x:v>Empire Tower</x:v>
      </x:c>
      <x:c r="F4064" s="12" t="str">
        <x:v>55 inch</x:v>
      </x:c>
      <x:c r="G4064" s="20" t="n">
        <x:v>1</x:v>
      </x:c>
      <x:c r="H4064" s="12" t="str">
        <x:v>Campus/portfolio roster; individual building occupancy unverified</x:v>
      </x:c>
      <x:c r="I4064" s="12" t="str">
        <x:v>Small-scale prospects</x:v>
      </x:c>
      <x:c r="J4064" s="12" t="str">
        <x:v>Professional services</x:v>
      </x:c>
      <x:c r="K4064" s="2" t="str">
        <x:v>PARTNER-M193</x:v>
      </x:c>
    </x:row>
    <x:row r="4065" ht="46" customHeight="1">
      <x:c r="A4065" s="2" t="str">
        <x:v>TEN-0CDD2A017BE5</x:v>
      </x:c>
      <x:c r="B4065" s="12" t="str">
        <x:v>SKY Engineering &amp; Cleaning Systems</x:v>
      </x:c>
      <x:c r="C4065" s="12" t="str">
        <x:v>CORP-0614</x:v>
      </x:c>
      <x:c r="D4065" s="12" t="str">
        <x:v>Mumbai</x:v>
      </x:c>
      <x:c r="E4065" s="12" t="str">
        <x:v>Reliable Tech Park</x:v>
      </x:c>
      <x:c r="F4065" s="12" t="str">
        <x:v>55 inch</x:v>
      </x:c>
      <x:c r="G4065" s="20" t="n">
        <x:v>1</x:v>
      </x:c>
      <x:c r="H4065" s="12" t="str">
        <x:v>Campus/portfolio roster; individual building occupancy unverified</x:v>
      </x:c>
      <x:c r="I4065" s="12" t="str">
        <x:v>Medium-scale prospects</x:v>
      </x:c>
      <x:c r="J4065" s="12" t="str">
        <x:v>Engineering &amp; manufacturing</x:v>
      </x:c>
      <x:c r="K4065" s="2" t="str">
        <x:v>PARTNER-M197</x:v>
      </x:c>
    </x:row>
    <x:row r="4066" ht="46" customHeight="1">
      <x:c r="A4066" s="2" t="str">
        <x:v>TEN-1ABCE44EA9E8</x:v>
      </x:c>
      <x:c r="B4066" s="12" t="str">
        <x:v>Godrej Koerber Supply Chain Limited</x:v>
      </x:c>
      <x:c r="C4066" s="12" t="str">
        <x:v>CORP-0614</x:v>
      </x:c>
      <x:c r="D4066" s="12" t="str">
        <x:v>Mumbai</x:v>
      </x:c>
      <x:c r="E4066" s="12" t="str">
        <x:v>Reliable Tech Park</x:v>
      </x:c>
      <x:c r="F4066" s="12" t="str">
        <x:v>55 inch</x:v>
      </x:c>
      <x:c r="G4066" s="20" t="n">
        <x:v>1</x:v>
      </x:c>
      <x:c r="H4066" s="12" t="str">
        <x:v>Campus/portfolio roster; individual building occupancy unverified</x:v>
      </x:c>
      <x:c r="I4066" s="12" t="str">
        <x:v>Mixed business audience</x:v>
      </x:c>
      <x:c r="J4066" s="12" t="str">
        <x:v>Trade, consumer &amp; logistics</x:v>
      </x:c>
      <x:c r="K4066" s="2" t="str">
        <x:v>PARTNER-M197</x:v>
      </x:c>
    </x:row>
    <x:row r="4067" ht="46" customHeight="1">
      <x:c r="A4067" s="2" t="str">
        <x:v>TEN-1DEB513143F7</x:v>
      </x:c>
      <x:c r="B4067" s="12" t="str">
        <x:v>Universal Sompo General Insurance Company Ltd</x:v>
      </x:c>
      <x:c r="C4067" s="12" t="str">
        <x:v>CORP-0614</x:v>
      </x:c>
      <x:c r="D4067" s="12" t="str">
        <x:v>Mumbai</x:v>
      </x:c>
      <x:c r="E4067" s="12" t="str">
        <x:v>Reliable Tech Park</x:v>
      </x:c>
      <x:c r="F4067" s="12" t="str">
        <x:v>55 inch</x:v>
      </x:c>
      <x:c r="G4067" s="20" t="n">
        <x:v>1</x:v>
      </x:c>
      <x:c r="H4067" s="12" t="str">
        <x:v>Campus/portfolio roster; individual building occupancy unverified</x:v>
      </x:c>
      <x:c r="I4067" s="12" t="str">
        <x:v>Mixed business audience</x:v>
      </x:c>
      <x:c r="J4067" s="12" t="str">
        <x:v>Finance &amp; insurance</x:v>
      </x:c>
      <x:c r="K4067" s="2" t="str">
        <x:v>PARTNER-M197</x:v>
      </x:c>
    </x:row>
    <x:row r="4068" ht="46" customHeight="1">
      <x:c r="A4068" s="2" t="str">
        <x:v>TEN-298147A4B3E2</x:v>
      </x:c>
      <x:c r="B4068" s="12" t="str">
        <x:v>Awfis</x:v>
      </x:c>
      <x:c r="C4068" s="12" t="str">
        <x:v>CORP-0614</x:v>
      </x:c>
      <x:c r="D4068" s="12" t="str">
        <x:v>Mumbai</x:v>
      </x:c>
      <x:c r="E4068" s="12" t="str">
        <x:v>Reliable Tech Park</x:v>
      </x:c>
      <x:c r="F4068" s="12" t="str">
        <x:v>55 inch</x:v>
      </x:c>
      <x:c r="G4068" s="20" t="n">
        <x:v>1</x:v>
      </x:c>
      <x:c r="H4068" s="12" t="str">
        <x:v>Campus/portfolio roster; individual building occupancy unverified</x:v>
      </x:c>
      <x:c r="I4068" s="12" t="str">
        <x:v>Mixed business audience</x:v>
      </x:c>
      <x:c r="J4068" s="12" t="str">
        <x:v>Workspace &amp; property operations</x:v>
      </x:c>
      <x:c r="K4068" s="2" t="str">
        <x:v>PARTNER-M197</x:v>
      </x:c>
    </x:row>
    <x:row r="4069" ht="46" customHeight="1">
      <x:c r="A4069" s="2" t="str">
        <x:v>TEN-31E219ED8F4E</x:v>
      </x:c>
      <x:c r="B4069" s="12" t="str">
        <x:v>Lionbridge India</x:v>
      </x:c>
      <x:c r="C4069" s="12" t="str">
        <x:v>CORP-0614</x:v>
      </x:c>
      <x:c r="D4069" s="12" t="str">
        <x:v>Mumbai</x:v>
      </x:c>
      <x:c r="E4069" s="12" t="str">
        <x:v>Reliable Tech Park</x:v>
      </x:c>
      <x:c r="F4069" s="12" t="str">
        <x:v>55 inch</x:v>
      </x:c>
      <x:c r="G4069" s="20" t="n">
        <x:v>1</x:v>
      </x:c>
      <x:c r="H4069" s="12" t="str">
        <x:v>Campus/portfolio roster; individual building occupancy unverified</x:v>
      </x:c>
      <x:c r="I4069" s="12" t="str">
        <x:v>Mixed business audience</x:v>
      </x:c>
      <x:c r="J4069" s="12" t="str">
        <x:v>Professional services</x:v>
      </x:c>
      <x:c r="K4069" s="2" t="str">
        <x:v>PARTNER-M197</x:v>
      </x:c>
    </x:row>
    <x:row r="4070" ht="46" customHeight="1">
      <x:c r="A4070" s="2" t="str">
        <x:v>TEN-4856E7F0424C</x:v>
      </x:c>
      <x:c r="B4070" s="12" t="str">
        <x:v>ISS Global Forwarding India</x:v>
      </x:c>
      <x:c r="C4070" s="12" t="str">
        <x:v>CORP-0614</x:v>
      </x:c>
      <x:c r="D4070" s="12" t="str">
        <x:v>Mumbai</x:v>
      </x:c>
      <x:c r="E4070" s="12" t="str">
        <x:v>Reliable Tech Park</x:v>
      </x:c>
      <x:c r="F4070" s="12" t="str">
        <x:v>55 inch</x:v>
      </x:c>
      <x:c r="G4070" s="20" t="n">
        <x:v>1</x:v>
      </x:c>
      <x:c r="H4070" s="12" t="str">
        <x:v>Campus/portfolio roster; individual building occupancy unverified</x:v>
      </x:c>
      <x:c r="I4070" s="12" t="str">
        <x:v>Mixed business audience</x:v>
      </x:c>
      <x:c r="J4070" s="12" t="str">
        <x:v>Trade, consumer &amp; logistics</x:v>
      </x:c>
      <x:c r="K4070" s="2" t="str">
        <x:v>PARTNER-M197</x:v>
      </x:c>
    </x:row>
    <x:row r="4071" ht="46" customHeight="1">
      <x:c r="A4071" s="2" t="str">
        <x:v>TEN-5763FDBE162D</x:v>
      </x:c>
      <x:c r="B4071" s="12" t="str">
        <x:v>GREEN ECO TECH NXT</x:v>
      </x:c>
      <x:c r="C4071" s="12" t="str">
        <x:v>CORP-0614</x:v>
      </x:c>
      <x:c r="D4071" s="12" t="str">
        <x:v>Mumbai</x:v>
      </x:c>
      <x:c r="E4071" s="12" t="str">
        <x:v>Reliable Tech Park</x:v>
      </x:c>
      <x:c r="F4071" s="12" t="str">
        <x:v>55 inch</x:v>
      </x:c>
      <x:c r="G4071" s="20" t="n">
        <x:v>1</x:v>
      </x:c>
      <x:c r="H4071" s="12" t="str">
        <x:v>Campus/portfolio roster; individual building occupancy unverified</x:v>
      </x:c>
      <x:c r="I4071" s="12" t="str">
        <x:v>Mixed business audience</x:v>
      </x:c>
      <x:c r="J4071" s="12" t="str">
        <x:v>Unresolved</x:v>
      </x:c>
      <x:c r="K4071" s="2" t="str">
        <x:v>PARTNER-M197</x:v>
      </x:c>
    </x:row>
    <x:row r="4072" ht="46" customHeight="1">
      <x:c r="A4072" s="2" t="str">
        <x:v>TEN-5DCF807F8D0D</x:v>
      </x:c>
      <x:c r="B4072" s="12" t="str">
        <x:v>CITI-INDIA Creative IT</x:v>
      </x:c>
      <x:c r="C4072" s="12" t="str">
        <x:v>CORP-0614</x:v>
      </x:c>
      <x:c r="D4072" s="12" t="str">
        <x:v>Mumbai</x:v>
      </x:c>
      <x:c r="E4072" s="12" t="str">
        <x:v>Reliable Tech Park</x:v>
      </x:c>
      <x:c r="F4072" s="12" t="str">
        <x:v>55 inch</x:v>
      </x:c>
      <x:c r="G4072" s="20" t="n">
        <x:v>1</x:v>
      </x:c>
      <x:c r="H4072" s="12" t="str">
        <x:v>Campus/portfolio roster; individual building occupancy unverified</x:v>
      </x:c>
      <x:c r="I4072" s="12" t="str">
        <x:v>Mixed business audience</x:v>
      </x:c>
      <x:c r="J4072" s="12" t="str">
        <x:v>IT &amp; digital</x:v>
      </x:c>
      <x:c r="K4072" s="2" t="str">
        <x:v>PARTNER-M197</x:v>
      </x:c>
    </x:row>
    <x:row r="4073" ht="46" customHeight="1">
      <x:c r="A4073" s="2" t="str">
        <x:v>TEN-65A886E0457A</x:v>
      </x:c>
      <x:c r="B4073" s="12" t="str">
        <x:v>Tech Mahindra Pvt ltd</x:v>
      </x:c>
      <x:c r="C4073" s="12" t="str">
        <x:v>CORP-0614</x:v>
      </x:c>
      <x:c r="D4073" s="12" t="str">
        <x:v>Mumbai</x:v>
      </x:c>
      <x:c r="E4073" s="12" t="str">
        <x:v>Reliable Tech Park</x:v>
      </x:c>
      <x:c r="F4073" s="12" t="str">
        <x:v>55 inch</x:v>
      </x:c>
      <x:c r="G4073" s="20" t="n">
        <x:v>1</x:v>
      </x:c>
      <x:c r="H4073" s="12" t="str">
        <x:v>Campus/portfolio roster; individual building occupancy unverified</x:v>
      </x:c>
      <x:c r="I4073" s="12" t="str">
        <x:v>Large enterprise</x:v>
      </x:c>
      <x:c r="J4073" s="12" t="str">
        <x:v>IT &amp; digital</x:v>
      </x:c>
      <x:c r="K4073" s="2" t="str">
        <x:v>PARTNER-M197</x:v>
      </x:c>
    </x:row>
    <x:row r="4074" ht="46" customHeight="1">
      <x:c r="A4074" s="2" t="str">
        <x:v>TEN-787004BAB6D4</x:v>
      </x:c>
      <x:c r="B4074" s="12" t="str">
        <x:v>ECI Telecom India Pvt Limited</x:v>
      </x:c>
      <x:c r="C4074" s="12" t="str">
        <x:v>CORP-0614</x:v>
      </x:c>
      <x:c r="D4074" s="12" t="str">
        <x:v>Mumbai</x:v>
      </x:c>
      <x:c r="E4074" s="12" t="str">
        <x:v>Reliable Tech Park</x:v>
      </x:c>
      <x:c r="F4074" s="12" t="str">
        <x:v>55 inch</x:v>
      </x:c>
      <x:c r="G4074" s="20" t="n">
        <x:v>1</x:v>
      </x:c>
      <x:c r="H4074" s="12" t="str">
        <x:v>Campus/portfolio roster; individual building occupancy unverified</x:v>
      </x:c>
      <x:c r="I4074" s="12" t="str">
        <x:v>Mixed business audience</x:v>
      </x:c>
      <x:c r="J4074" s="12" t="str">
        <x:v>IT &amp; digital</x:v>
      </x:c>
      <x:c r="K4074" s="2" t="str">
        <x:v>PARTNER-M197</x:v>
      </x:c>
    </x:row>
    <x:row r="4075" ht="46" customHeight="1">
      <x:c r="A4075" s="2" t="str">
        <x:v>TEN-7D43CDC02A4B</x:v>
      </x:c>
      <x:c r="B4075" s="12" t="str">
        <x:v>Indian Commodity Exchange Ltd</x:v>
      </x:c>
      <x:c r="C4075" s="12" t="str">
        <x:v>CORP-0614</x:v>
      </x:c>
      <x:c r="D4075" s="12" t="str">
        <x:v>Mumbai</x:v>
      </x:c>
      <x:c r="E4075" s="12" t="str">
        <x:v>Reliable Tech Park</x:v>
      </x:c>
      <x:c r="F4075" s="12" t="str">
        <x:v>55 inch</x:v>
      </x:c>
      <x:c r="G4075" s="20" t="n">
        <x:v>1</x:v>
      </x:c>
      <x:c r="H4075" s="12" t="str">
        <x:v>Campus/portfolio roster; individual building occupancy unverified</x:v>
      </x:c>
      <x:c r="I4075" s="12" t="str">
        <x:v>Medium-scale prospects</x:v>
      </x:c>
      <x:c r="J4075" s="12" t="str">
        <x:v>Finance &amp; insurance</x:v>
      </x:c>
      <x:c r="K4075" s="2" t="str">
        <x:v>PARTNER-M197</x:v>
      </x:c>
    </x:row>
    <x:row r="4076" ht="46" customHeight="1">
      <x:c r="A4076" s="2" t="str">
        <x:v>TEN-83D267F2D2BA</x:v>
      </x:c>
      <x:c r="B4076" s="12" t="str">
        <x:v>Honeywell Automation</x:v>
      </x:c>
      <x:c r="C4076" s="12" t="str">
        <x:v>CORP-0614</x:v>
      </x:c>
      <x:c r="D4076" s="12" t="str">
        <x:v>Mumbai</x:v>
      </x:c>
      <x:c r="E4076" s="12" t="str">
        <x:v>Reliable Tech Park</x:v>
      </x:c>
      <x:c r="F4076" s="12" t="str">
        <x:v>55 inch</x:v>
      </x:c>
      <x:c r="G4076" s="20" t="n">
        <x:v>1</x:v>
      </x:c>
      <x:c r="H4076" s="12" t="str">
        <x:v>Campus/portfolio roster; individual building occupancy unverified</x:v>
      </x:c>
      <x:c r="I4076" s="12" t="str">
        <x:v>Large enterprise</x:v>
      </x:c>
      <x:c r="J4076" s="12" t="str">
        <x:v>Engineering &amp; manufacturing</x:v>
      </x:c>
      <x:c r="K4076" s="2" t="str">
        <x:v>PARTNER-M197</x:v>
      </x:c>
    </x:row>
    <x:row r="4077" ht="46" customHeight="1">
      <x:c r="A4077" s="2" t="str">
        <x:v>TEN-8A4FFCF51C45</x:v>
      </x:c>
      <x:c r="B4077" s="12" t="str">
        <x:v>Clariant India Private Limited</x:v>
      </x:c>
      <x:c r="C4077" s="12" t="str">
        <x:v>CORP-0614</x:v>
      </x:c>
      <x:c r="D4077" s="12" t="str">
        <x:v>Mumbai</x:v>
      </x:c>
      <x:c r="E4077" s="12" t="str">
        <x:v>Reliable Tech Park</x:v>
      </x:c>
      <x:c r="F4077" s="12" t="str">
        <x:v>55 inch</x:v>
      </x:c>
      <x:c r="G4077" s="20" t="n">
        <x:v>1</x:v>
      </x:c>
      <x:c r="H4077" s="12" t="str">
        <x:v>Campus/portfolio roster; individual building occupancy unverified</x:v>
      </x:c>
      <x:c r="I4077" s="12" t="str">
        <x:v>Mixed business audience</x:v>
      </x:c>
      <x:c r="J4077" s="12" t="str">
        <x:v>Engineering &amp; manufacturing</x:v>
      </x:c>
      <x:c r="K4077" s="2" t="str">
        <x:v>PARTNER-M197</x:v>
      </x:c>
    </x:row>
    <x:row r="4078" ht="46" customHeight="1">
      <x:c r="A4078" s="2" t="str">
        <x:v>TEN-B67D6F69AB3E</x:v>
      </x:c>
      <x:c r="B4078" s="12" t="str">
        <x:v>Fresh for Health</x:v>
      </x:c>
      <x:c r="C4078" s="12" t="str">
        <x:v>CORP-0614</x:v>
      </x:c>
      <x:c r="D4078" s="12" t="str">
        <x:v>Mumbai</x:v>
      </x:c>
      <x:c r="E4078" s="12" t="str">
        <x:v>Reliable Tech Park</x:v>
      </x:c>
      <x:c r="F4078" s="12" t="str">
        <x:v>55 inch</x:v>
      </x:c>
      <x:c r="G4078" s="20" t="n">
        <x:v>1</x:v>
      </x:c>
      <x:c r="H4078" s="12" t="str">
        <x:v>Campus/portfolio roster; individual building occupancy unverified</x:v>
      </x:c>
      <x:c r="I4078" s="12" t="str">
        <x:v>Small-scale prospects</x:v>
      </x:c>
      <x:c r="J4078" s="12" t="str">
        <x:v>Healthcare &amp; life sciences</x:v>
      </x:c>
      <x:c r="K4078" s="2" t="str">
        <x:v>PARTNER-M197</x:v>
      </x:c>
    </x:row>
    <x:row r="4079" ht="46" customHeight="1">
      <x:c r="A4079" s="2" t="str">
        <x:v>TEN-F04C5BE93A0B</x:v>
      </x:c>
      <x:c r="B4079" s="12" t="str">
        <x:v>Yotta Data Services</x:v>
      </x:c>
      <x:c r="C4079" s="12" t="str">
        <x:v>CORP-0614</x:v>
      </x:c>
      <x:c r="D4079" s="12" t="str">
        <x:v>Mumbai</x:v>
      </x:c>
      <x:c r="E4079" s="12" t="str">
        <x:v>Reliable Tech Park</x:v>
      </x:c>
      <x:c r="F4079" s="12" t="str">
        <x:v>55 inch</x:v>
      </x:c>
      <x:c r="G4079" s="20" t="n">
        <x:v>1</x:v>
      </x:c>
      <x:c r="H4079" s="12" t="str">
        <x:v>Campus/portfolio roster; individual building occupancy unverified</x:v>
      </x:c>
      <x:c r="I4079" s="12" t="str">
        <x:v>Mixed business audience</x:v>
      </x:c>
      <x:c r="J4079" s="12" t="str">
        <x:v>IT &amp; digital</x:v>
      </x:c>
      <x:c r="K4079" s="2" t="str">
        <x:v>PARTNER-M197</x:v>
      </x:c>
    </x:row>
    <x:row r="4080" ht="46" customHeight="1">
      <x:c r="A4080" s="2" t="str">
        <x:v>TEN-11B177B76116</x:v>
      </x:c>
      <x:c r="B4080" s="12" t="str">
        <x:v>Avaya Global Connect Ltd</x:v>
      </x:c>
      <x:c r="C4080" s="12" t="str">
        <x:v>CORP-0435</x:v>
      </x:c>
      <x:c r="D4080" s="12" t="str">
        <x:v>Bengaluru</x:v>
      </x:c>
      <x:c r="E4080" s="12" t="str">
        <x:v>Prestige Tech Park</x:v>
      </x:c>
      <x:c r="F4080" s="12" t="str">
        <x:v>55 inch</x:v>
      </x:c>
      <x:c r="G4080" s="20" t="n">
        <x:v>1</x:v>
      </x:c>
      <x:c r="H4080" s="12" t="str">
        <x:v>Campus/portfolio roster; individual building occupancy unverified</x:v>
      </x:c>
      <x:c r="I4080" s="12" t="str">
        <x:v>Mixed business audience</x:v>
      </x:c>
      <x:c r="J4080" s="12" t="str">
        <x:v>IT &amp; digital</x:v>
      </x:c>
      <x:c r="K4080" s="2" t="str">
        <x:v>PARTNER-M014</x:v>
      </x:c>
    </x:row>
    <x:row r="4081" ht="46" customHeight="1">
      <x:c r="A4081" s="2" t="str">
        <x:v>TEN-1A32A2EA27AE</x:v>
      </x:c>
      <x:c r="B4081" s="12" t="str">
        <x:v>Aptos India Private Limited</x:v>
      </x:c>
      <x:c r="C4081" s="12" t="str">
        <x:v>CORP-0435</x:v>
      </x:c>
      <x:c r="D4081" s="12" t="str">
        <x:v>Bengaluru</x:v>
      </x:c>
      <x:c r="E4081" s="12" t="str">
        <x:v>Prestige Tech Park</x:v>
      </x:c>
      <x:c r="F4081" s="12" t="str">
        <x:v>55 inch</x:v>
      </x:c>
      <x:c r="G4081" s="20" t="n">
        <x:v>1</x:v>
      </x:c>
      <x:c r="H4081" s="12" t="str">
        <x:v>Campus/portfolio roster; individual building occupancy unverified</x:v>
      </x:c>
      <x:c r="I4081" s="12" t="str">
        <x:v>Mixed business audience</x:v>
      </x:c>
      <x:c r="J4081" s="12" t="str">
        <x:v>IT &amp; digital</x:v>
      </x:c>
      <x:c r="K4081" s="2" t="str">
        <x:v>PARTNER-M014</x:v>
      </x:c>
    </x:row>
    <x:row r="4082" ht="46" customHeight="1">
      <x:c r="A4082" s="2" t="str">
        <x:v>TEN-1B8499B49BB3</x:v>
      </x:c>
      <x:c r="B4082" s="12" t="str">
        <x:v>Delliot</x:v>
      </x:c>
      <x:c r="C4082" s="12" t="str">
        <x:v>CORP-0435</x:v>
      </x:c>
      <x:c r="D4082" s="12" t="str">
        <x:v>Bengaluru</x:v>
      </x:c>
      <x:c r="E4082" s="12" t="str">
        <x:v>Prestige Tech Park</x:v>
      </x:c>
      <x:c r="F4082" s="12" t="str">
        <x:v>55 inch</x:v>
      </x:c>
      <x:c r="G4082" s="20" t="n">
        <x:v>1</x:v>
      </x:c>
      <x:c r="H4082" s="12" t="str">
        <x:v>Campus/portfolio roster; individual building occupancy unverified</x:v>
      </x:c>
      <x:c r="I4082" s="12" t="str">
        <x:v>Mixed business audience</x:v>
      </x:c>
      <x:c r="J4082" s="12" t="str">
        <x:v>Unresolved</x:v>
      </x:c>
      <x:c r="K4082" s="2" t="str">
        <x:v>PARTNER-M014</x:v>
      </x:c>
    </x:row>
    <x:row r="4083" ht="46" customHeight="1">
      <x:c r="A4083" s="2" t="str">
        <x:v>TEN-38773D0009A0</x:v>
      </x:c>
      <x:c r="B4083" s="12" t="str">
        <x:v>Frog Design Studio</x:v>
      </x:c>
      <x:c r="C4083" s="12" t="str">
        <x:v>CORP-0435</x:v>
      </x:c>
      <x:c r="D4083" s="12" t="str">
        <x:v>Bengaluru</x:v>
      </x:c>
      <x:c r="E4083" s="12" t="str">
        <x:v>Prestige Tech Park</x:v>
      </x:c>
      <x:c r="F4083" s="12" t="str">
        <x:v>55 inch</x:v>
      </x:c>
      <x:c r="G4083" s="20" t="n">
        <x:v>1</x:v>
      </x:c>
      <x:c r="H4083" s="12" t="str">
        <x:v>Campus/portfolio roster; individual building occupancy unverified</x:v>
      </x:c>
      <x:c r="I4083" s="12" t="str">
        <x:v>Mixed business audience</x:v>
      </x:c>
      <x:c r="J4083" s="12" t="str">
        <x:v>Professional services</x:v>
      </x:c>
      <x:c r="K4083" s="2" t="str">
        <x:v>PARTNER-M014</x:v>
      </x:c>
    </x:row>
    <x:row r="4084" ht="46" customHeight="1">
      <x:c r="A4084" s="2" t="str">
        <x:v>TEN-49F1F88DBFE4</x:v>
      </x:c>
      <x:c r="B4084" s="12" t="str">
        <x:v>Futures First Info Services</x:v>
      </x:c>
      <x:c r="C4084" s="12" t="str">
        <x:v>CORP-0435</x:v>
      </x:c>
      <x:c r="D4084" s="12" t="str">
        <x:v>Bengaluru</x:v>
      </x:c>
      <x:c r="E4084" s="12" t="str">
        <x:v>Prestige Tech Park</x:v>
      </x:c>
      <x:c r="F4084" s="12" t="str">
        <x:v>55 inch</x:v>
      </x:c>
      <x:c r="G4084" s="20" t="n">
        <x:v>1</x:v>
      </x:c>
      <x:c r="H4084" s="12" t="str">
        <x:v>Campus/portfolio roster; individual building occupancy unverified</x:v>
      </x:c>
      <x:c r="I4084" s="12" t="str">
        <x:v>Mixed business audience</x:v>
      </x:c>
      <x:c r="J4084" s="12" t="str">
        <x:v>IT &amp; digital</x:v>
      </x:c>
      <x:c r="K4084" s="2" t="str">
        <x:v>PARTNER-M014</x:v>
      </x:c>
    </x:row>
    <x:row r="4085" ht="46" customHeight="1">
      <x:c r="A4085" s="2" t="str">
        <x:v>TEN-53296B6A946C</x:v>
      </x:c>
      <x:c r="B4085" s="12" t="str">
        <x:v>Waif's</x:v>
      </x:c>
      <x:c r="C4085" s="12" t="str">
        <x:v>CORP-0435</x:v>
      </x:c>
      <x:c r="D4085" s="12" t="str">
        <x:v>Bengaluru</x:v>
      </x:c>
      <x:c r="E4085" s="12" t="str">
        <x:v>Prestige Tech Park</x:v>
      </x:c>
      <x:c r="F4085" s="12" t="str">
        <x:v>55 inch</x:v>
      </x:c>
      <x:c r="G4085" s="20" t="n">
        <x:v>1</x:v>
      </x:c>
      <x:c r="H4085" s="12" t="str">
        <x:v>Campus/portfolio roster; individual building occupancy unverified</x:v>
      </x:c>
      <x:c r="I4085" s="12" t="str">
        <x:v>Mixed business audience</x:v>
      </x:c>
      <x:c r="J4085" s="12" t="str">
        <x:v>Unresolved</x:v>
      </x:c>
      <x:c r="K4085" s="2" t="str">
        <x:v>PARTNER-M014</x:v>
      </x:c>
    </x:row>
    <x:row r="4086" ht="46" customHeight="1">
      <x:c r="A4086" s="2" t="str">
        <x:v>TEN-72DA9DBF0092</x:v>
      </x:c>
      <x:c r="B4086" s="12" t="str">
        <x:v>Aruba Networks</x:v>
      </x:c>
      <x:c r="C4086" s="12" t="str">
        <x:v>CORP-0435</x:v>
      </x:c>
      <x:c r="D4086" s="12" t="str">
        <x:v>Bengaluru</x:v>
      </x:c>
      <x:c r="E4086" s="12" t="str">
        <x:v>Prestige Tech Park</x:v>
      </x:c>
      <x:c r="F4086" s="12" t="str">
        <x:v>55 inch</x:v>
      </x:c>
      <x:c r="G4086" s="20" t="n">
        <x:v>1</x:v>
      </x:c>
      <x:c r="H4086" s="12" t="str">
        <x:v>Campus/portfolio roster; individual building occupancy unverified</x:v>
      </x:c>
      <x:c r="I4086" s="12" t="str">
        <x:v>Large enterprise</x:v>
      </x:c>
      <x:c r="J4086" s="12" t="str">
        <x:v>IT &amp; digital</x:v>
      </x:c>
      <x:c r="K4086" s="2" t="str">
        <x:v>PARTNER-M014</x:v>
      </x:c>
    </x:row>
    <x:row r="4087" ht="46" customHeight="1">
      <x:c r="A4087" s="2" t="str">
        <x:v>TEN-76DBEE9F2C38</x:v>
      </x:c>
      <x:c r="B4087" s="12" t="str">
        <x:v>Mobile Programming</x:v>
      </x:c>
      <x:c r="C4087" s="12" t="str">
        <x:v>CORP-0435</x:v>
      </x:c>
      <x:c r="D4087" s="12" t="str">
        <x:v>Bengaluru</x:v>
      </x:c>
      <x:c r="E4087" s="12" t="str">
        <x:v>Prestige Tech Park</x:v>
      </x:c>
      <x:c r="F4087" s="12" t="str">
        <x:v>55 inch</x:v>
      </x:c>
      <x:c r="G4087" s="20" t="n">
        <x:v>1</x:v>
      </x:c>
      <x:c r="H4087" s="12" t="str">
        <x:v>Campus/portfolio roster; individual building occupancy unverified</x:v>
      </x:c>
      <x:c r="I4087" s="12" t="str">
        <x:v>Small-scale prospects</x:v>
      </x:c>
      <x:c r="J4087" s="12" t="str">
        <x:v>IT &amp; digital</x:v>
      </x:c>
      <x:c r="K4087" s="2" t="str">
        <x:v>PARTNER-M014</x:v>
      </x:c>
    </x:row>
    <x:row r="4088" ht="46" customHeight="1">
      <x:c r="A4088" s="2" t="str">
        <x:v>TEN-775865062819</x:v>
      </x:c>
      <x:c r="B4088" s="12" t="str">
        <x:v>Nagarro Software Pvt. Ltd</x:v>
      </x:c>
      <x:c r="C4088" s="12" t="str">
        <x:v>CORP-0435</x:v>
      </x:c>
      <x:c r="D4088" s="12" t="str">
        <x:v>Bengaluru</x:v>
      </x:c>
      <x:c r="E4088" s="12" t="str">
        <x:v>Prestige Tech Park</x:v>
      </x:c>
      <x:c r="F4088" s="12" t="str">
        <x:v>55 inch</x:v>
      </x:c>
      <x:c r="G4088" s="20" t="n">
        <x:v>1</x:v>
      </x:c>
      <x:c r="H4088" s="12" t="str">
        <x:v>Campus/portfolio roster; individual building occupancy unverified</x:v>
      </x:c>
      <x:c r="I4088" s="12" t="str">
        <x:v>Large enterprise</x:v>
      </x:c>
      <x:c r="J4088" s="12" t="str">
        <x:v>IT &amp; digital</x:v>
      </x:c>
      <x:c r="K4088" s="2" t="str">
        <x:v>PARTNER-M014</x:v>
      </x:c>
    </x:row>
    <x:row r="4089" ht="46" customHeight="1">
      <x:c r="A4089" s="2" t="str">
        <x:v>TEN-78522B7571D3</x:v>
      </x:c>
      <x:c r="B4089" s="12" t="str">
        <x:v>Grab Greco LLP</x:v>
      </x:c>
      <x:c r="C4089" s="12" t="str">
        <x:v>CORP-0435</x:v>
      </x:c>
      <x:c r="D4089" s="12" t="str">
        <x:v>Bengaluru</x:v>
      </x:c>
      <x:c r="E4089" s="12" t="str">
        <x:v>Prestige Tech Park</x:v>
      </x:c>
      <x:c r="F4089" s="12" t="str">
        <x:v>55 inch</x:v>
      </x:c>
      <x:c r="G4089" s="20" t="n">
        <x:v>1</x:v>
      </x:c>
      <x:c r="H4089" s="12" t="str">
        <x:v>Campus/portfolio roster; individual building occupancy unverified</x:v>
      </x:c>
      <x:c r="I4089" s="12" t="str">
        <x:v>Mixed business audience</x:v>
      </x:c>
      <x:c r="J4089" s="12" t="str">
        <x:v>Unresolved</x:v>
      </x:c>
      <x:c r="K4089" s="2" t="str">
        <x:v>PARTNER-M014</x:v>
      </x:c>
    </x:row>
    <x:row r="4090" ht="46" customHeight="1">
      <x:c r="A4090" s="2" t="str">
        <x:v>TEN-8217BB19EBF1</x:v>
      </x:c>
      <x:c r="B4090" s="12" t="str">
        <x:v>J.P. Morgan</x:v>
      </x:c>
      <x:c r="C4090" s="12" t="str">
        <x:v>CORP-0435</x:v>
      </x:c>
      <x:c r="D4090" s="12" t="str">
        <x:v>Bengaluru</x:v>
      </x:c>
      <x:c r="E4090" s="12" t="str">
        <x:v>Prestige Tech Park</x:v>
      </x:c>
      <x:c r="F4090" s="12" t="str">
        <x:v>55 inch</x:v>
      </x:c>
      <x:c r="G4090" s="20" t="n">
        <x:v>1</x:v>
      </x:c>
      <x:c r="H4090" s="12" t="str">
        <x:v>Campus/portfolio roster; individual building occupancy unverified</x:v>
      </x:c>
      <x:c r="I4090" s="12" t="str">
        <x:v>Large enterprise</x:v>
      </x:c>
      <x:c r="J4090" s="12" t="str">
        <x:v>Finance &amp; insurance</x:v>
      </x:c>
      <x:c r="K4090" s="2" t="str">
        <x:v>PARTNER-M014</x:v>
      </x:c>
    </x:row>
    <x:row r="4091" ht="46" customHeight="1">
      <x:c r="A4091" s="2" t="str">
        <x:v>TEN-9202AF6CE925</x:v>
      </x:c>
      <x:c r="B4091" s="12" t="str">
        <x:v>Oracle</x:v>
      </x:c>
      <x:c r="C4091" s="12" t="str">
        <x:v>CORP-0435</x:v>
      </x:c>
      <x:c r="D4091" s="12" t="str">
        <x:v>Bengaluru</x:v>
      </x:c>
      <x:c r="E4091" s="12" t="str">
        <x:v>Prestige Tech Park</x:v>
      </x:c>
      <x:c r="F4091" s="12" t="str">
        <x:v>55 inch</x:v>
      </x:c>
      <x:c r="G4091" s="20" t="n">
        <x:v>1</x:v>
      </x:c>
      <x:c r="H4091" s="12" t="str">
        <x:v>Campus/portfolio roster; individual building occupancy unverified</x:v>
      </x:c>
      <x:c r="I4091" s="12" t="str">
        <x:v>Large enterprise</x:v>
      </x:c>
      <x:c r="J4091" s="12" t="str">
        <x:v>IT &amp; digital</x:v>
      </x:c>
      <x:c r="K4091" s="2" t="str">
        <x:v>PARTNER-M014</x:v>
      </x:c>
    </x:row>
    <x:row r="4092" ht="46" customHeight="1">
      <x:c r="A4092" s="2" t="str">
        <x:v>TEN-9B7F5525854D</x:v>
      </x:c>
      <x:c r="B4092" s="12" t="str">
        <x:v>AQUANTIA SEMICONDUCTOR INDIA PVT LTD</x:v>
      </x:c>
      <x:c r="C4092" s="12" t="str">
        <x:v>CORP-0435</x:v>
      </x:c>
      <x:c r="D4092" s="12" t="str">
        <x:v>Bengaluru</x:v>
      </x:c>
      <x:c r="E4092" s="12" t="str">
        <x:v>Prestige Tech Park</x:v>
      </x:c>
      <x:c r="F4092" s="12" t="str">
        <x:v>55 inch</x:v>
      </x:c>
      <x:c r="G4092" s="20" t="n">
        <x:v>1</x:v>
      </x:c>
      <x:c r="H4092" s="12" t="str">
        <x:v>Campus/portfolio roster; individual building occupancy unverified</x:v>
      </x:c>
      <x:c r="I4092" s="12" t="str">
        <x:v>Mixed business audience</x:v>
      </x:c>
      <x:c r="J4092" s="12" t="str">
        <x:v>Engineering &amp; manufacturing</x:v>
      </x:c>
      <x:c r="K4092" s="2" t="str">
        <x:v>PARTNER-M014</x:v>
      </x:c>
    </x:row>
    <x:row r="4093" ht="46" customHeight="1">
      <x:c r="A4093" s="2" t="str">
        <x:v>TEN-B909749F4464</x:v>
      </x:c>
      <x:c r="B4093" s="12" t="str">
        <x:v>Conga (Apttus) Software Pvt. Ltd</x:v>
      </x:c>
      <x:c r="C4093" s="12" t="str">
        <x:v>CORP-0435</x:v>
      </x:c>
      <x:c r="D4093" s="12" t="str">
        <x:v>Bengaluru</x:v>
      </x:c>
      <x:c r="E4093" s="12" t="str">
        <x:v>Prestige Tech Park</x:v>
      </x:c>
      <x:c r="F4093" s="12" t="str">
        <x:v>55 inch</x:v>
      </x:c>
      <x:c r="G4093" s="20" t="n">
        <x:v>1</x:v>
      </x:c>
      <x:c r="H4093" s="12" t="str">
        <x:v>Campus/portfolio roster; individual building occupancy unverified</x:v>
      </x:c>
      <x:c r="I4093" s="12" t="str">
        <x:v>Mixed business audience</x:v>
      </x:c>
      <x:c r="J4093" s="12" t="str">
        <x:v>IT &amp; digital</x:v>
      </x:c>
      <x:c r="K4093" s="2" t="str">
        <x:v>PARTNER-M014</x:v>
      </x:c>
    </x:row>
    <x:row r="4094" ht="46" customHeight="1">
      <x:c r="A4094" s="2" t="str">
        <x:v>TEN-BC3067AC45DF</x:v>
      </x:c>
      <x:c r="B4094" s="12" t="str">
        <x:v>Schneider Electric</x:v>
      </x:c>
      <x:c r="C4094" s="12" t="str">
        <x:v>CORP-0435</x:v>
      </x:c>
      <x:c r="D4094" s="12" t="str">
        <x:v>Bengaluru</x:v>
      </x:c>
      <x:c r="E4094" s="12" t="str">
        <x:v>Prestige Tech Park</x:v>
      </x:c>
      <x:c r="F4094" s="12" t="str">
        <x:v>55 inch</x:v>
      </x:c>
      <x:c r="G4094" s="20" t="n">
        <x:v>1</x:v>
      </x:c>
      <x:c r="H4094" s="12" t="str">
        <x:v>Campus/portfolio roster; individual building occupancy unverified</x:v>
      </x:c>
      <x:c r="I4094" s="12" t="str">
        <x:v>Large enterprise</x:v>
      </x:c>
      <x:c r="J4094" s="12" t="str">
        <x:v>Engineering &amp; manufacturing</x:v>
      </x:c>
      <x:c r="K4094" s="2" t="str">
        <x:v>PARTNER-M014</x:v>
      </x:c>
    </x:row>
    <x:row r="4095" ht="46" customHeight="1">
      <x:c r="A4095" s="2" t="str">
        <x:v>TEN-C34DF63CE5F2</x:v>
      </x:c>
      <x:c r="B4095" s="12" t="str">
        <x:v>BlueJeans Networks Pvt Ltd</x:v>
      </x:c>
      <x:c r="C4095" s="12" t="str">
        <x:v>CORP-0435</x:v>
      </x:c>
      <x:c r="D4095" s="12" t="str">
        <x:v>Bengaluru</x:v>
      </x:c>
      <x:c r="E4095" s="12" t="str">
        <x:v>Prestige Tech Park</x:v>
      </x:c>
      <x:c r="F4095" s="12" t="str">
        <x:v>55 inch</x:v>
      </x:c>
      <x:c r="G4095" s="20" t="n">
        <x:v>1</x:v>
      </x:c>
      <x:c r="H4095" s="12" t="str">
        <x:v>Campus/portfolio roster; individual building occupancy unverified</x:v>
      </x:c>
      <x:c r="I4095" s="12" t="str">
        <x:v>Mixed business audience</x:v>
      </x:c>
      <x:c r="J4095" s="12" t="str">
        <x:v>IT &amp; digital</x:v>
      </x:c>
      <x:c r="K4095" s="2" t="str">
        <x:v>PARTNER-M014</x:v>
      </x:c>
    </x:row>
    <x:row r="4096" ht="46" customHeight="1">
      <x:c r="A4096" s="2" t="str">
        <x:v>TEN-C47675D3BD0C</x:v>
      </x:c>
      <x:c r="B4096" s="12" t="str">
        <x:v>Money View</x:v>
      </x:c>
      <x:c r="C4096" s="12" t="str">
        <x:v>CORP-0435</x:v>
      </x:c>
      <x:c r="D4096" s="12" t="str">
        <x:v>Bengaluru</x:v>
      </x:c>
      <x:c r="E4096" s="12" t="str">
        <x:v>Prestige Tech Park</x:v>
      </x:c>
      <x:c r="F4096" s="12" t="str">
        <x:v>55 inch</x:v>
      </x:c>
      <x:c r="G4096" s="20" t="n">
        <x:v>1</x:v>
      </x:c>
      <x:c r="H4096" s="12" t="str">
        <x:v>Campus/portfolio roster; individual building occupancy unverified</x:v>
      </x:c>
      <x:c r="I4096" s="12" t="str">
        <x:v>Medium-scale prospects</x:v>
      </x:c>
      <x:c r="J4096" s="12" t="str">
        <x:v>Finance &amp; insurance</x:v>
      </x:c>
      <x:c r="K4096" s="2" t="str">
        <x:v>PARTNER-M014</x:v>
      </x:c>
    </x:row>
    <x:row r="4097" ht="46" customHeight="1">
      <x:c r="A4097" s="2" t="str">
        <x:v>TEN-D886B2C883A6</x:v>
      </x:c>
      <x:c r="B4097" s="12" t="str">
        <x:v>Citi Bank</x:v>
      </x:c>
      <x:c r="C4097" s="12" t="str">
        <x:v>CORP-0435</x:v>
      </x:c>
      <x:c r="D4097" s="12" t="str">
        <x:v>Bengaluru</x:v>
      </x:c>
      <x:c r="E4097" s="12" t="str">
        <x:v>Prestige Tech Park</x:v>
      </x:c>
      <x:c r="F4097" s="12" t="str">
        <x:v>55 inch</x:v>
      </x:c>
      <x:c r="G4097" s="20" t="n">
        <x:v>1</x:v>
      </x:c>
      <x:c r="H4097" s="12" t="str">
        <x:v>Campus/portfolio roster; individual building occupancy unverified</x:v>
      </x:c>
      <x:c r="I4097" s="12" t="str">
        <x:v>Large enterprise</x:v>
      </x:c>
      <x:c r="J4097" s="12" t="str">
        <x:v>Finance &amp; insurance</x:v>
      </x:c>
      <x:c r="K4097" s="2" t="str">
        <x:v>PARTNER-M014</x:v>
      </x:c>
    </x:row>
    <x:row r="4098" ht="46" customHeight="1">
      <x:c r="A4098" s="2" t="str">
        <x:v>TEN-D9364FD0A5DE</x:v>
      </x:c>
      <x:c r="B4098" s="12" t="str">
        <x:v>Walmart Labs</x:v>
      </x:c>
      <x:c r="C4098" s="12" t="str">
        <x:v>CORP-0435</x:v>
      </x:c>
      <x:c r="D4098" s="12" t="str">
        <x:v>Bengaluru</x:v>
      </x:c>
      <x:c r="E4098" s="12" t="str">
        <x:v>Prestige Tech Park</x:v>
      </x:c>
      <x:c r="F4098" s="12" t="str">
        <x:v>55 inch</x:v>
      </x:c>
      <x:c r="G4098" s="20" t="n">
        <x:v>1</x:v>
      </x:c>
      <x:c r="H4098" s="12" t="str">
        <x:v>Campus/portfolio roster; individual building occupancy unverified</x:v>
      </x:c>
      <x:c r="I4098" s="12" t="str">
        <x:v>Large enterprise</x:v>
      </x:c>
      <x:c r="J4098" s="12" t="str">
        <x:v>Trade, consumer &amp; logistics</x:v>
      </x:c>
      <x:c r="K4098" s="2" t="str">
        <x:v>PARTNER-M014</x:v>
      </x:c>
    </x:row>
    <x:row r="4099" ht="46" customHeight="1">
      <x:c r="A4099" s="2" t="str">
        <x:v>TEN-F55A85B2F2EB</x:v>
      </x:c>
      <x:c r="B4099" s="12" t="str">
        <x:v>Capgemini</x:v>
      </x:c>
      <x:c r="C4099" s="12" t="str">
        <x:v>CORP-0435</x:v>
      </x:c>
      <x:c r="D4099" s="12" t="str">
        <x:v>Bengaluru</x:v>
      </x:c>
      <x:c r="E4099" s="12" t="str">
        <x:v>Prestige Tech Park</x:v>
      </x:c>
      <x:c r="F4099" s="12" t="str">
        <x:v>55 inch</x:v>
      </x:c>
      <x:c r="G4099" s="20" t="n">
        <x:v>1</x:v>
      </x:c>
      <x:c r="H4099" s="12" t="str">
        <x:v>Campus/portfolio roster; individual building occupancy unverified</x:v>
      </x:c>
      <x:c r="I4099" s="12" t="str">
        <x:v>Large enterprise</x:v>
      </x:c>
      <x:c r="J4099" s="12" t="str">
        <x:v>IT &amp; digital</x:v>
      </x:c>
      <x:c r="K4099" s="2" t="str">
        <x:v>PARTNER-M014</x:v>
      </x:c>
    </x:row>
    <x:row r="4100" ht="46" customHeight="1">
      <x:c r="A4100" s="2" t="str">
        <x:v>TEN-0CDD2A017BE5</x:v>
      </x:c>
      <x:c r="B4100" s="12" t="str">
        <x:v>SKY Engineering &amp; Cleaning Systems</x:v>
      </x:c>
      <x:c r="C4100" s="12" t="str">
        <x:v>CORP-0615</x:v>
      </x:c>
      <x:c r="D4100" s="12" t="str">
        <x:v>Mumbai</x:v>
      </x:c>
      <x:c r="E4100" s="12" t="str">
        <x:v>Reliable Tech Park</x:v>
      </x:c>
      <x:c r="F4100" s="12" t="str">
        <x:v>55 inch</x:v>
      </x:c>
      <x:c r="G4100" s="20" t="n">
        <x:v>1</x:v>
      </x:c>
      <x:c r="H4100" s="12" t="str">
        <x:v>Campus/portfolio roster; individual building occupancy unverified</x:v>
      </x:c>
      <x:c r="I4100" s="12" t="str">
        <x:v>Medium-scale prospects</x:v>
      </x:c>
      <x:c r="J4100" s="12" t="str">
        <x:v>Engineering &amp; manufacturing</x:v>
      </x:c>
      <x:c r="K4100" s="2" t="str">
        <x:v>PARTNER-M197</x:v>
      </x:c>
    </x:row>
    <x:row r="4101" ht="46" customHeight="1">
      <x:c r="A4101" s="2" t="str">
        <x:v>TEN-1ABCE44EA9E8</x:v>
      </x:c>
      <x:c r="B4101" s="12" t="str">
        <x:v>Godrej Koerber Supply Chain Limited</x:v>
      </x:c>
      <x:c r="C4101" s="12" t="str">
        <x:v>CORP-0615</x:v>
      </x:c>
      <x:c r="D4101" s="12" t="str">
        <x:v>Mumbai</x:v>
      </x:c>
      <x:c r="E4101" s="12" t="str">
        <x:v>Reliable Tech Park</x:v>
      </x:c>
      <x:c r="F4101" s="12" t="str">
        <x:v>55 inch</x:v>
      </x:c>
      <x:c r="G4101" s="20" t="n">
        <x:v>1</x:v>
      </x:c>
      <x:c r="H4101" s="12" t="str">
        <x:v>Campus/portfolio roster; individual building occupancy unverified</x:v>
      </x:c>
      <x:c r="I4101" s="12" t="str">
        <x:v>Mixed business audience</x:v>
      </x:c>
      <x:c r="J4101" s="12" t="str">
        <x:v>Trade, consumer &amp; logistics</x:v>
      </x:c>
      <x:c r="K4101" s="2" t="str">
        <x:v>PARTNER-M197</x:v>
      </x:c>
    </x:row>
    <x:row r="4102" ht="46" customHeight="1">
      <x:c r="A4102" s="2" t="str">
        <x:v>TEN-1DEB513143F7</x:v>
      </x:c>
      <x:c r="B4102" s="12" t="str">
        <x:v>Universal Sompo General Insurance Company Ltd</x:v>
      </x:c>
      <x:c r="C4102" s="12" t="str">
        <x:v>CORP-0615</x:v>
      </x:c>
      <x:c r="D4102" s="12" t="str">
        <x:v>Mumbai</x:v>
      </x:c>
      <x:c r="E4102" s="12" t="str">
        <x:v>Reliable Tech Park</x:v>
      </x:c>
      <x:c r="F4102" s="12" t="str">
        <x:v>55 inch</x:v>
      </x:c>
      <x:c r="G4102" s="20" t="n">
        <x:v>1</x:v>
      </x:c>
      <x:c r="H4102" s="12" t="str">
        <x:v>Campus/portfolio roster; individual building occupancy unverified</x:v>
      </x:c>
      <x:c r="I4102" s="12" t="str">
        <x:v>Mixed business audience</x:v>
      </x:c>
      <x:c r="J4102" s="12" t="str">
        <x:v>Finance &amp; insurance</x:v>
      </x:c>
      <x:c r="K4102" s="2" t="str">
        <x:v>PARTNER-M197</x:v>
      </x:c>
    </x:row>
    <x:row r="4103" ht="46" customHeight="1">
      <x:c r="A4103" s="2" t="str">
        <x:v>TEN-298147A4B3E2</x:v>
      </x:c>
      <x:c r="B4103" s="12" t="str">
        <x:v>Awfis</x:v>
      </x:c>
      <x:c r="C4103" s="12" t="str">
        <x:v>CORP-0615</x:v>
      </x:c>
      <x:c r="D4103" s="12" t="str">
        <x:v>Mumbai</x:v>
      </x:c>
      <x:c r="E4103" s="12" t="str">
        <x:v>Reliable Tech Park</x:v>
      </x:c>
      <x:c r="F4103" s="12" t="str">
        <x:v>55 inch</x:v>
      </x:c>
      <x:c r="G4103" s="20" t="n">
        <x:v>1</x:v>
      </x:c>
      <x:c r="H4103" s="12" t="str">
        <x:v>Campus/portfolio roster; individual building occupancy unverified</x:v>
      </x:c>
      <x:c r="I4103" s="12" t="str">
        <x:v>Mixed business audience</x:v>
      </x:c>
      <x:c r="J4103" s="12" t="str">
        <x:v>Workspace &amp; property operations</x:v>
      </x:c>
      <x:c r="K4103" s="2" t="str">
        <x:v>PARTNER-M197</x:v>
      </x:c>
    </x:row>
    <x:row r="4104" ht="46" customHeight="1">
      <x:c r="A4104" s="2" t="str">
        <x:v>TEN-31E219ED8F4E</x:v>
      </x:c>
      <x:c r="B4104" s="12" t="str">
        <x:v>Lionbridge India</x:v>
      </x:c>
      <x:c r="C4104" s="12" t="str">
        <x:v>CORP-0615</x:v>
      </x:c>
      <x:c r="D4104" s="12" t="str">
        <x:v>Mumbai</x:v>
      </x:c>
      <x:c r="E4104" s="12" t="str">
        <x:v>Reliable Tech Park</x:v>
      </x:c>
      <x:c r="F4104" s="12" t="str">
        <x:v>55 inch</x:v>
      </x:c>
      <x:c r="G4104" s="20" t="n">
        <x:v>1</x:v>
      </x:c>
      <x:c r="H4104" s="12" t="str">
        <x:v>Campus/portfolio roster; individual building occupancy unverified</x:v>
      </x:c>
      <x:c r="I4104" s="12" t="str">
        <x:v>Mixed business audience</x:v>
      </x:c>
      <x:c r="J4104" s="12" t="str">
        <x:v>Professional services</x:v>
      </x:c>
      <x:c r="K4104" s="2" t="str">
        <x:v>PARTNER-M197</x:v>
      </x:c>
    </x:row>
    <x:row r="4105" ht="46" customHeight="1">
      <x:c r="A4105" s="2" t="str">
        <x:v>TEN-4856E7F0424C</x:v>
      </x:c>
      <x:c r="B4105" s="12" t="str">
        <x:v>ISS Global Forwarding India</x:v>
      </x:c>
      <x:c r="C4105" s="12" t="str">
        <x:v>CORP-0615</x:v>
      </x:c>
      <x:c r="D4105" s="12" t="str">
        <x:v>Mumbai</x:v>
      </x:c>
      <x:c r="E4105" s="12" t="str">
        <x:v>Reliable Tech Park</x:v>
      </x:c>
      <x:c r="F4105" s="12" t="str">
        <x:v>55 inch</x:v>
      </x:c>
      <x:c r="G4105" s="20" t="n">
        <x:v>1</x:v>
      </x:c>
      <x:c r="H4105" s="12" t="str">
        <x:v>Campus/portfolio roster; individual building occupancy unverified</x:v>
      </x:c>
      <x:c r="I4105" s="12" t="str">
        <x:v>Mixed business audience</x:v>
      </x:c>
      <x:c r="J4105" s="12" t="str">
        <x:v>Trade, consumer &amp; logistics</x:v>
      </x:c>
      <x:c r="K4105" s="2" t="str">
        <x:v>PARTNER-M197</x:v>
      </x:c>
    </x:row>
    <x:row r="4106" ht="46" customHeight="1">
      <x:c r="A4106" s="2" t="str">
        <x:v>TEN-5763FDBE162D</x:v>
      </x:c>
      <x:c r="B4106" s="12" t="str">
        <x:v>GREEN ECO TECH NXT</x:v>
      </x:c>
      <x:c r="C4106" s="12" t="str">
        <x:v>CORP-0615</x:v>
      </x:c>
      <x:c r="D4106" s="12" t="str">
        <x:v>Mumbai</x:v>
      </x:c>
      <x:c r="E4106" s="12" t="str">
        <x:v>Reliable Tech Park</x:v>
      </x:c>
      <x:c r="F4106" s="12" t="str">
        <x:v>55 inch</x:v>
      </x:c>
      <x:c r="G4106" s="20" t="n">
        <x:v>1</x:v>
      </x:c>
      <x:c r="H4106" s="12" t="str">
        <x:v>Campus/portfolio roster; individual building occupancy unverified</x:v>
      </x:c>
      <x:c r="I4106" s="12" t="str">
        <x:v>Mixed business audience</x:v>
      </x:c>
      <x:c r="J4106" s="12" t="str">
        <x:v>Unresolved</x:v>
      </x:c>
      <x:c r="K4106" s="2" t="str">
        <x:v>PARTNER-M197</x:v>
      </x:c>
    </x:row>
    <x:row r="4107" ht="46" customHeight="1">
      <x:c r="A4107" s="2" t="str">
        <x:v>TEN-5DCF807F8D0D</x:v>
      </x:c>
      <x:c r="B4107" s="12" t="str">
        <x:v>CITI-INDIA Creative IT</x:v>
      </x:c>
      <x:c r="C4107" s="12" t="str">
        <x:v>CORP-0615</x:v>
      </x:c>
      <x:c r="D4107" s="12" t="str">
        <x:v>Mumbai</x:v>
      </x:c>
      <x:c r="E4107" s="12" t="str">
        <x:v>Reliable Tech Park</x:v>
      </x:c>
      <x:c r="F4107" s="12" t="str">
        <x:v>55 inch</x:v>
      </x:c>
      <x:c r="G4107" s="20" t="n">
        <x:v>1</x:v>
      </x:c>
      <x:c r="H4107" s="12" t="str">
        <x:v>Campus/portfolio roster; individual building occupancy unverified</x:v>
      </x:c>
      <x:c r="I4107" s="12" t="str">
        <x:v>Mixed business audience</x:v>
      </x:c>
      <x:c r="J4107" s="12" t="str">
        <x:v>IT &amp; digital</x:v>
      </x:c>
      <x:c r="K4107" s="2" t="str">
        <x:v>PARTNER-M197</x:v>
      </x:c>
    </x:row>
    <x:row r="4108" ht="46" customHeight="1">
      <x:c r="A4108" s="2" t="str">
        <x:v>TEN-65A886E0457A</x:v>
      </x:c>
      <x:c r="B4108" s="12" t="str">
        <x:v>Tech Mahindra Pvt ltd</x:v>
      </x:c>
      <x:c r="C4108" s="12" t="str">
        <x:v>CORP-0615</x:v>
      </x:c>
      <x:c r="D4108" s="12" t="str">
        <x:v>Mumbai</x:v>
      </x:c>
      <x:c r="E4108" s="12" t="str">
        <x:v>Reliable Tech Park</x:v>
      </x:c>
      <x:c r="F4108" s="12" t="str">
        <x:v>55 inch</x:v>
      </x:c>
      <x:c r="G4108" s="20" t="n">
        <x:v>1</x:v>
      </x:c>
      <x:c r="H4108" s="12" t="str">
        <x:v>Campus/portfolio roster; individual building occupancy unverified</x:v>
      </x:c>
      <x:c r="I4108" s="12" t="str">
        <x:v>Large enterprise</x:v>
      </x:c>
      <x:c r="J4108" s="12" t="str">
        <x:v>IT &amp; digital</x:v>
      </x:c>
      <x:c r="K4108" s="2" t="str">
        <x:v>PARTNER-M197</x:v>
      </x:c>
    </x:row>
    <x:row r="4109" ht="46" customHeight="1">
      <x:c r="A4109" s="2" t="str">
        <x:v>TEN-787004BAB6D4</x:v>
      </x:c>
      <x:c r="B4109" s="12" t="str">
        <x:v>ECI Telecom India Pvt Limited</x:v>
      </x:c>
      <x:c r="C4109" s="12" t="str">
        <x:v>CORP-0615</x:v>
      </x:c>
      <x:c r="D4109" s="12" t="str">
        <x:v>Mumbai</x:v>
      </x:c>
      <x:c r="E4109" s="12" t="str">
        <x:v>Reliable Tech Park</x:v>
      </x:c>
      <x:c r="F4109" s="12" t="str">
        <x:v>55 inch</x:v>
      </x:c>
      <x:c r="G4109" s="20" t="n">
        <x:v>1</x:v>
      </x:c>
      <x:c r="H4109" s="12" t="str">
        <x:v>Campus/portfolio roster; individual building occupancy unverified</x:v>
      </x:c>
      <x:c r="I4109" s="12" t="str">
        <x:v>Mixed business audience</x:v>
      </x:c>
      <x:c r="J4109" s="12" t="str">
        <x:v>IT &amp; digital</x:v>
      </x:c>
      <x:c r="K4109" s="2" t="str">
        <x:v>PARTNER-M197</x:v>
      </x:c>
    </x:row>
    <x:row r="4110" ht="46" customHeight="1">
      <x:c r="A4110" s="2" t="str">
        <x:v>TEN-7D43CDC02A4B</x:v>
      </x:c>
      <x:c r="B4110" s="12" t="str">
        <x:v>Indian Commodity Exchange Ltd</x:v>
      </x:c>
      <x:c r="C4110" s="12" t="str">
        <x:v>CORP-0615</x:v>
      </x:c>
      <x:c r="D4110" s="12" t="str">
        <x:v>Mumbai</x:v>
      </x:c>
      <x:c r="E4110" s="12" t="str">
        <x:v>Reliable Tech Park</x:v>
      </x:c>
      <x:c r="F4110" s="12" t="str">
        <x:v>55 inch</x:v>
      </x:c>
      <x:c r="G4110" s="20" t="n">
        <x:v>1</x:v>
      </x:c>
      <x:c r="H4110" s="12" t="str">
        <x:v>Campus/portfolio roster; individual building occupancy unverified</x:v>
      </x:c>
      <x:c r="I4110" s="12" t="str">
        <x:v>Medium-scale prospects</x:v>
      </x:c>
      <x:c r="J4110" s="12" t="str">
        <x:v>Finance &amp; insurance</x:v>
      </x:c>
      <x:c r="K4110" s="2" t="str">
        <x:v>PARTNER-M197</x:v>
      </x:c>
    </x:row>
    <x:row r="4111" ht="46" customHeight="1">
      <x:c r="A4111" s="2" t="str">
        <x:v>TEN-83D267F2D2BA</x:v>
      </x:c>
      <x:c r="B4111" s="12" t="str">
        <x:v>Honeywell Automation</x:v>
      </x:c>
      <x:c r="C4111" s="12" t="str">
        <x:v>CORP-0615</x:v>
      </x:c>
      <x:c r="D4111" s="12" t="str">
        <x:v>Mumbai</x:v>
      </x:c>
      <x:c r="E4111" s="12" t="str">
        <x:v>Reliable Tech Park</x:v>
      </x:c>
      <x:c r="F4111" s="12" t="str">
        <x:v>55 inch</x:v>
      </x:c>
      <x:c r="G4111" s="20" t="n">
        <x:v>1</x:v>
      </x:c>
      <x:c r="H4111" s="12" t="str">
        <x:v>Campus/portfolio roster; individual building occupancy unverified</x:v>
      </x:c>
      <x:c r="I4111" s="12" t="str">
        <x:v>Large enterprise</x:v>
      </x:c>
      <x:c r="J4111" s="12" t="str">
        <x:v>Engineering &amp; manufacturing</x:v>
      </x:c>
      <x:c r="K4111" s="2" t="str">
        <x:v>PARTNER-M197</x:v>
      </x:c>
    </x:row>
    <x:row r="4112" ht="46" customHeight="1">
      <x:c r="A4112" s="2" t="str">
        <x:v>TEN-8A4FFCF51C45</x:v>
      </x:c>
      <x:c r="B4112" s="12" t="str">
        <x:v>Clariant India Private Limited</x:v>
      </x:c>
      <x:c r="C4112" s="12" t="str">
        <x:v>CORP-0615</x:v>
      </x:c>
      <x:c r="D4112" s="12" t="str">
        <x:v>Mumbai</x:v>
      </x:c>
      <x:c r="E4112" s="12" t="str">
        <x:v>Reliable Tech Park</x:v>
      </x:c>
      <x:c r="F4112" s="12" t="str">
        <x:v>55 inch</x:v>
      </x:c>
      <x:c r="G4112" s="20" t="n">
        <x:v>1</x:v>
      </x:c>
      <x:c r="H4112" s="12" t="str">
        <x:v>Campus/portfolio roster; individual building occupancy unverified</x:v>
      </x:c>
      <x:c r="I4112" s="12" t="str">
        <x:v>Mixed business audience</x:v>
      </x:c>
      <x:c r="J4112" s="12" t="str">
        <x:v>Engineering &amp; manufacturing</x:v>
      </x:c>
      <x:c r="K4112" s="2" t="str">
        <x:v>PARTNER-M197</x:v>
      </x:c>
    </x:row>
    <x:row r="4113" ht="46" customHeight="1">
      <x:c r="A4113" s="2" t="str">
        <x:v>TEN-B67D6F69AB3E</x:v>
      </x:c>
      <x:c r="B4113" s="12" t="str">
        <x:v>Fresh for Health</x:v>
      </x:c>
      <x:c r="C4113" s="12" t="str">
        <x:v>CORP-0615</x:v>
      </x:c>
      <x:c r="D4113" s="12" t="str">
        <x:v>Mumbai</x:v>
      </x:c>
      <x:c r="E4113" s="12" t="str">
        <x:v>Reliable Tech Park</x:v>
      </x:c>
      <x:c r="F4113" s="12" t="str">
        <x:v>55 inch</x:v>
      </x:c>
      <x:c r="G4113" s="20" t="n">
        <x:v>1</x:v>
      </x:c>
      <x:c r="H4113" s="12" t="str">
        <x:v>Campus/portfolio roster; individual building occupancy unverified</x:v>
      </x:c>
      <x:c r="I4113" s="12" t="str">
        <x:v>Small-scale prospects</x:v>
      </x:c>
      <x:c r="J4113" s="12" t="str">
        <x:v>Healthcare &amp; life sciences</x:v>
      </x:c>
      <x:c r="K4113" s="2" t="str">
        <x:v>PARTNER-M197</x:v>
      </x:c>
    </x:row>
    <x:row r="4114" ht="46" customHeight="1">
      <x:c r="A4114" s="2" t="str">
        <x:v>TEN-F04C5BE93A0B</x:v>
      </x:c>
      <x:c r="B4114" s="12" t="str">
        <x:v>Yotta Data Services</x:v>
      </x:c>
      <x:c r="C4114" s="12" t="str">
        <x:v>CORP-0615</x:v>
      </x:c>
      <x:c r="D4114" s="12" t="str">
        <x:v>Mumbai</x:v>
      </x:c>
      <x:c r="E4114" s="12" t="str">
        <x:v>Reliable Tech Park</x:v>
      </x:c>
      <x:c r="F4114" s="12" t="str">
        <x:v>55 inch</x:v>
      </x:c>
      <x:c r="G4114" s="20" t="n">
        <x:v>1</x:v>
      </x:c>
      <x:c r="H4114" s="12" t="str">
        <x:v>Campus/portfolio roster; individual building occupancy unverified</x:v>
      </x:c>
      <x:c r="I4114" s="12" t="str">
        <x:v>Mixed business audience</x:v>
      </x:c>
      <x:c r="J4114" s="12" t="str">
        <x:v>IT &amp; digital</x:v>
      </x:c>
      <x:c r="K4114" s="2" t="str">
        <x:v>PARTNER-M197</x:v>
      </x:c>
    </x:row>
    <x:row r="4115" ht="46" customHeight="1">
      <x:c r="A4115" s="2" t="str">
        <x:v>TEN-0CDD2A017BE5</x:v>
      </x:c>
      <x:c r="B4115" s="12" t="str">
        <x:v>SKY Engineering &amp; Cleaning Systems</x:v>
      </x:c>
      <x:c r="C4115" s="12" t="str">
        <x:v>CORP-0616</x:v>
      </x:c>
      <x:c r="D4115" s="12" t="str">
        <x:v>Mumbai</x:v>
      </x:c>
      <x:c r="E4115" s="12" t="str">
        <x:v>Reliable Tech Park</x:v>
      </x:c>
      <x:c r="F4115" s="12" t="str">
        <x:v>55 inch</x:v>
      </x:c>
      <x:c r="G4115" s="20" t="n">
        <x:v>1</x:v>
      </x:c>
      <x:c r="H4115" s="12" t="str">
        <x:v>Campus/portfolio roster; individual building occupancy unverified</x:v>
      </x:c>
      <x:c r="I4115" s="12" t="str">
        <x:v>Medium-scale prospects</x:v>
      </x:c>
      <x:c r="J4115" s="12" t="str">
        <x:v>Engineering &amp; manufacturing</x:v>
      </x:c>
      <x:c r="K4115" s="2" t="str">
        <x:v>PARTNER-M197</x:v>
      </x:c>
    </x:row>
    <x:row r="4116" ht="46" customHeight="1">
      <x:c r="A4116" s="2" t="str">
        <x:v>TEN-1ABCE44EA9E8</x:v>
      </x:c>
      <x:c r="B4116" s="12" t="str">
        <x:v>Godrej Koerber Supply Chain Limited</x:v>
      </x:c>
      <x:c r="C4116" s="12" t="str">
        <x:v>CORP-0616</x:v>
      </x:c>
      <x:c r="D4116" s="12" t="str">
        <x:v>Mumbai</x:v>
      </x:c>
      <x:c r="E4116" s="12" t="str">
        <x:v>Reliable Tech Park</x:v>
      </x:c>
      <x:c r="F4116" s="12" t="str">
        <x:v>55 inch</x:v>
      </x:c>
      <x:c r="G4116" s="20" t="n">
        <x:v>1</x:v>
      </x:c>
      <x:c r="H4116" s="12" t="str">
        <x:v>Campus/portfolio roster; individual building occupancy unverified</x:v>
      </x:c>
      <x:c r="I4116" s="12" t="str">
        <x:v>Mixed business audience</x:v>
      </x:c>
      <x:c r="J4116" s="12" t="str">
        <x:v>Trade, consumer &amp; logistics</x:v>
      </x:c>
      <x:c r="K4116" s="2" t="str">
        <x:v>PARTNER-M197</x:v>
      </x:c>
    </x:row>
    <x:row r="4117" ht="46" customHeight="1">
      <x:c r="A4117" s="2" t="str">
        <x:v>TEN-1DEB513143F7</x:v>
      </x:c>
      <x:c r="B4117" s="12" t="str">
        <x:v>Universal Sompo General Insurance Company Ltd</x:v>
      </x:c>
      <x:c r="C4117" s="12" t="str">
        <x:v>CORP-0616</x:v>
      </x:c>
      <x:c r="D4117" s="12" t="str">
        <x:v>Mumbai</x:v>
      </x:c>
      <x:c r="E4117" s="12" t="str">
        <x:v>Reliable Tech Park</x:v>
      </x:c>
      <x:c r="F4117" s="12" t="str">
        <x:v>55 inch</x:v>
      </x:c>
      <x:c r="G4117" s="20" t="n">
        <x:v>1</x:v>
      </x:c>
      <x:c r="H4117" s="12" t="str">
        <x:v>Campus/portfolio roster; individual building occupancy unverified</x:v>
      </x:c>
      <x:c r="I4117" s="12" t="str">
        <x:v>Mixed business audience</x:v>
      </x:c>
      <x:c r="J4117" s="12" t="str">
        <x:v>Finance &amp; insurance</x:v>
      </x:c>
      <x:c r="K4117" s="2" t="str">
        <x:v>PARTNER-M197</x:v>
      </x:c>
    </x:row>
    <x:row r="4118" ht="46" customHeight="1">
      <x:c r="A4118" s="2" t="str">
        <x:v>TEN-298147A4B3E2</x:v>
      </x:c>
      <x:c r="B4118" s="12" t="str">
        <x:v>Awfis</x:v>
      </x:c>
      <x:c r="C4118" s="12" t="str">
        <x:v>CORP-0616</x:v>
      </x:c>
      <x:c r="D4118" s="12" t="str">
        <x:v>Mumbai</x:v>
      </x:c>
      <x:c r="E4118" s="12" t="str">
        <x:v>Reliable Tech Park</x:v>
      </x:c>
      <x:c r="F4118" s="12" t="str">
        <x:v>55 inch</x:v>
      </x:c>
      <x:c r="G4118" s="20" t="n">
        <x:v>1</x:v>
      </x:c>
      <x:c r="H4118" s="12" t="str">
        <x:v>Campus/portfolio roster; individual building occupancy unverified</x:v>
      </x:c>
      <x:c r="I4118" s="12" t="str">
        <x:v>Mixed business audience</x:v>
      </x:c>
      <x:c r="J4118" s="12" t="str">
        <x:v>Workspace &amp; property operations</x:v>
      </x:c>
      <x:c r="K4118" s="2" t="str">
        <x:v>PARTNER-M197</x:v>
      </x:c>
    </x:row>
    <x:row r="4119" ht="46" customHeight="1">
      <x:c r="A4119" s="2" t="str">
        <x:v>TEN-31E219ED8F4E</x:v>
      </x:c>
      <x:c r="B4119" s="12" t="str">
        <x:v>Lionbridge India</x:v>
      </x:c>
      <x:c r="C4119" s="12" t="str">
        <x:v>CORP-0616</x:v>
      </x:c>
      <x:c r="D4119" s="12" t="str">
        <x:v>Mumbai</x:v>
      </x:c>
      <x:c r="E4119" s="12" t="str">
        <x:v>Reliable Tech Park</x:v>
      </x:c>
      <x:c r="F4119" s="12" t="str">
        <x:v>55 inch</x:v>
      </x:c>
      <x:c r="G4119" s="20" t="n">
        <x:v>1</x:v>
      </x:c>
      <x:c r="H4119" s="12" t="str">
        <x:v>Campus/portfolio roster; individual building occupancy unverified</x:v>
      </x:c>
      <x:c r="I4119" s="12" t="str">
        <x:v>Mixed business audience</x:v>
      </x:c>
      <x:c r="J4119" s="12" t="str">
        <x:v>Professional services</x:v>
      </x:c>
      <x:c r="K4119" s="2" t="str">
        <x:v>PARTNER-M197</x:v>
      </x:c>
    </x:row>
    <x:row r="4120" ht="46" customHeight="1">
      <x:c r="A4120" s="2" t="str">
        <x:v>TEN-4856E7F0424C</x:v>
      </x:c>
      <x:c r="B4120" s="12" t="str">
        <x:v>ISS Global Forwarding India</x:v>
      </x:c>
      <x:c r="C4120" s="12" t="str">
        <x:v>CORP-0616</x:v>
      </x:c>
      <x:c r="D4120" s="12" t="str">
        <x:v>Mumbai</x:v>
      </x:c>
      <x:c r="E4120" s="12" t="str">
        <x:v>Reliable Tech Park</x:v>
      </x:c>
      <x:c r="F4120" s="12" t="str">
        <x:v>55 inch</x:v>
      </x:c>
      <x:c r="G4120" s="20" t="n">
        <x:v>1</x:v>
      </x:c>
      <x:c r="H4120" s="12" t="str">
        <x:v>Campus/portfolio roster; individual building occupancy unverified</x:v>
      </x:c>
      <x:c r="I4120" s="12" t="str">
        <x:v>Mixed business audience</x:v>
      </x:c>
      <x:c r="J4120" s="12" t="str">
        <x:v>Trade, consumer &amp; logistics</x:v>
      </x:c>
      <x:c r="K4120" s="2" t="str">
        <x:v>PARTNER-M197</x:v>
      </x:c>
    </x:row>
    <x:row r="4121" ht="46" customHeight="1">
      <x:c r="A4121" s="2" t="str">
        <x:v>TEN-5763FDBE162D</x:v>
      </x:c>
      <x:c r="B4121" s="12" t="str">
        <x:v>GREEN ECO TECH NXT</x:v>
      </x:c>
      <x:c r="C4121" s="12" t="str">
        <x:v>CORP-0616</x:v>
      </x:c>
      <x:c r="D4121" s="12" t="str">
        <x:v>Mumbai</x:v>
      </x:c>
      <x:c r="E4121" s="12" t="str">
        <x:v>Reliable Tech Park</x:v>
      </x:c>
      <x:c r="F4121" s="12" t="str">
        <x:v>55 inch</x:v>
      </x:c>
      <x:c r="G4121" s="20" t="n">
        <x:v>1</x:v>
      </x:c>
      <x:c r="H4121" s="12" t="str">
        <x:v>Campus/portfolio roster; individual building occupancy unverified</x:v>
      </x:c>
      <x:c r="I4121" s="12" t="str">
        <x:v>Mixed business audience</x:v>
      </x:c>
      <x:c r="J4121" s="12" t="str">
        <x:v>Unresolved</x:v>
      </x:c>
      <x:c r="K4121" s="2" t="str">
        <x:v>PARTNER-M197</x:v>
      </x:c>
    </x:row>
    <x:row r="4122" ht="46" customHeight="1">
      <x:c r="A4122" s="2" t="str">
        <x:v>TEN-5DCF807F8D0D</x:v>
      </x:c>
      <x:c r="B4122" s="12" t="str">
        <x:v>CITI-INDIA Creative IT</x:v>
      </x:c>
      <x:c r="C4122" s="12" t="str">
        <x:v>CORP-0616</x:v>
      </x:c>
      <x:c r="D4122" s="12" t="str">
        <x:v>Mumbai</x:v>
      </x:c>
      <x:c r="E4122" s="12" t="str">
        <x:v>Reliable Tech Park</x:v>
      </x:c>
      <x:c r="F4122" s="12" t="str">
        <x:v>55 inch</x:v>
      </x:c>
      <x:c r="G4122" s="20" t="n">
        <x:v>1</x:v>
      </x:c>
      <x:c r="H4122" s="12" t="str">
        <x:v>Campus/portfolio roster; individual building occupancy unverified</x:v>
      </x:c>
      <x:c r="I4122" s="12" t="str">
        <x:v>Mixed business audience</x:v>
      </x:c>
      <x:c r="J4122" s="12" t="str">
        <x:v>IT &amp; digital</x:v>
      </x:c>
      <x:c r="K4122" s="2" t="str">
        <x:v>PARTNER-M197</x:v>
      </x:c>
    </x:row>
    <x:row r="4123" ht="46" customHeight="1">
      <x:c r="A4123" s="2" t="str">
        <x:v>TEN-65A886E0457A</x:v>
      </x:c>
      <x:c r="B4123" s="12" t="str">
        <x:v>Tech Mahindra Pvt ltd</x:v>
      </x:c>
      <x:c r="C4123" s="12" t="str">
        <x:v>CORP-0616</x:v>
      </x:c>
      <x:c r="D4123" s="12" t="str">
        <x:v>Mumbai</x:v>
      </x:c>
      <x:c r="E4123" s="12" t="str">
        <x:v>Reliable Tech Park</x:v>
      </x:c>
      <x:c r="F4123" s="12" t="str">
        <x:v>55 inch</x:v>
      </x:c>
      <x:c r="G4123" s="20" t="n">
        <x:v>1</x:v>
      </x:c>
      <x:c r="H4123" s="12" t="str">
        <x:v>Campus/portfolio roster; individual building occupancy unverified</x:v>
      </x:c>
      <x:c r="I4123" s="12" t="str">
        <x:v>Large enterprise</x:v>
      </x:c>
      <x:c r="J4123" s="12" t="str">
        <x:v>IT &amp; digital</x:v>
      </x:c>
      <x:c r="K4123" s="2" t="str">
        <x:v>PARTNER-M197</x:v>
      </x:c>
    </x:row>
    <x:row r="4124" ht="46" customHeight="1">
      <x:c r="A4124" s="2" t="str">
        <x:v>TEN-787004BAB6D4</x:v>
      </x:c>
      <x:c r="B4124" s="12" t="str">
        <x:v>ECI Telecom India Pvt Limited</x:v>
      </x:c>
      <x:c r="C4124" s="12" t="str">
        <x:v>CORP-0616</x:v>
      </x:c>
      <x:c r="D4124" s="12" t="str">
        <x:v>Mumbai</x:v>
      </x:c>
      <x:c r="E4124" s="12" t="str">
        <x:v>Reliable Tech Park</x:v>
      </x:c>
      <x:c r="F4124" s="12" t="str">
        <x:v>55 inch</x:v>
      </x:c>
      <x:c r="G4124" s="20" t="n">
        <x:v>1</x:v>
      </x:c>
      <x:c r="H4124" s="12" t="str">
        <x:v>Campus/portfolio roster; individual building occupancy unverified</x:v>
      </x:c>
      <x:c r="I4124" s="12" t="str">
        <x:v>Mixed business audience</x:v>
      </x:c>
      <x:c r="J4124" s="12" t="str">
        <x:v>IT &amp; digital</x:v>
      </x:c>
      <x:c r="K4124" s="2" t="str">
        <x:v>PARTNER-M197</x:v>
      </x:c>
    </x:row>
    <x:row r="4125" ht="46" customHeight="1">
      <x:c r="A4125" s="2" t="str">
        <x:v>TEN-7D43CDC02A4B</x:v>
      </x:c>
      <x:c r="B4125" s="12" t="str">
        <x:v>Indian Commodity Exchange Ltd</x:v>
      </x:c>
      <x:c r="C4125" s="12" t="str">
        <x:v>CORP-0616</x:v>
      </x:c>
      <x:c r="D4125" s="12" t="str">
        <x:v>Mumbai</x:v>
      </x:c>
      <x:c r="E4125" s="12" t="str">
        <x:v>Reliable Tech Park</x:v>
      </x:c>
      <x:c r="F4125" s="12" t="str">
        <x:v>55 inch</x:v>
      </x:c>
      <x:c r="G4125" s="20" t="n">
        <x:v>1</x:v>
      </x:c>
      <x:c r="H4125" s="12" t="str">
        <x:v>Campus/portfolio roster; individual building occupancy unverified</x:v>
      </x:c>
      <x:c r="I4125" s="12" t="str">
        <x:v>Medium-scale prospects</x:v>
      </x:c>
      <x:c r="J4125" s="12" t="str">
        <x:v>Finance &amp; insurance</x:v>
      </x:c>
      <x:c r="K4125" s="2" t="str">
        <x:v>PARTNER-M197</x:v>
      </x:c>
    </x:row>
    <x:row r="4126" ht="46" customHeight="1">
      <x:c r="A4126" s="2" t="str">
        <x:v>TEN-83D267F2D2BA</x:v>
      </x:c>
      <x:c r="B4126" s="12" t="str">
        <x:v>Honeywell Automation</x:v>
      </x:c>
      <x:c r="C4126" s="12" t="str">
        <x:v>CORP-0616</x:v>
      </x:c>
      <x:c r="D4126" s="12" t="str">
        <x:v>Mumbai</x:v>
      </x:c>
      <x:c r="E4126" s="12" t="str">
        <x:v>Reliable Tech Park</x:v>
      </x:c>
      <x:c r="F4126" s="12" t="str">
        <x:v>55 inch</x:v>
      </x:c>
      <x:c r="G4126" s="20" t="n">
        <x:v>1</x:v>
      </x:c>
      <x:c r="H4126" s="12" t="str">
        <x:v>Campus/portfolio roster; individual building occupancy unverified</x:v>
      </x:c>
      <x:c r="I4126" s="12" t="str">
        <x:v>Large enterprise</x:v>
      </x:c>
      <x:c r="J4126" s="12" t="str">
        <x:v>Engineering &amp; manufacturing</x:v>
      </x:c>
      <x:c r="K4126" s="2" t="str">
        <x:v>PARTNER-M197</x:v>
      </x:c>
    </x:row>
    <x:row r="4127" ht="46" customHeight="1">
      <x:c r="A4127" s="2" t="str">
        <x:v>TEN-8A4FFCF51C45</x:v>
      </x:c>
      <x:c r="B4127" s="12" t="str">
        <x:v>Clariant India Private Limited</x:v>
      </x:c>
      <x:c r="C4127" s="12" t="str">
        <x:v>CORP-0616</x:v>
      </x:c>
      <x:c r="D4127" s="12" t="str">
        <x:v>Mumbai</x:v>
      </x:c>
      <x:c r="E4127" s="12" t="str">
        <x:v>Reliable Tech Park</x:v>
      </x:c>
      <x:c r="F4127" s="12" t="str">
        <x:v>55 inch</x:v>
      </x:c>
      <x:c r="G4127" s="20" t="n">
        <x:v>1</x:v>
      </x:c>
      <x:c r="H4127" s="12" t="str">
        <x:v>Campus/portfolio roster; individual building occupancy unverified</x:v>
      </x:c>
      <x:c r="I4127" s="12" t="str">
        <x:v>Mixed business audience</x:v>
      </x:c>
      <x:c r="J4127" s="12" t="str">
        <x:v>Engineering &amp; manufacturing</x:v>
      </x:c>
      <x:c r="K4127" s="2" t="str">
        <x:v>PARTNER-M197</x:v>
      </x:c>
    </x:row>
    <x:row r="4128" ht="46" customHeight="1">
      <x:c r="A4128" s="2" t="str">
        <x:v>TEN-B67D6F69AB3E</x:v>
      </x:c>
      <x:c r="B4128" s="12" t="str">
        <x:v>Fresh for Health</x:v>
      </x:c>
      <x:c r="C4128" s="12" t="str">
        <x:v>CORP-0616</x:v>
      </x:c>
      <x:c r="D4128" s="12" t="str">
        <x:v>Mumbai</x:v>
      </x:c>
      <x:c r="E4128" s="12" t="str">
        <x:v>Reliable Tech Park</x:v>
      </x:c>
      <x:c r="F4128" s="12" t="str">
        <x:v>55 inch</x:v>
      </x:c>
      <x:c r="G4128" s="20" t="n">
        <x:v>1</x:v>
      </x:c>
      <x:c r="H4128" s="12" t="str">
        <x:v>Campus/portfolio roster; individual building occupancy unverified</x:v>
      </x:c>
      <x:c r="I4128" s="12" t="str">
        <x:v>Small-scale prospects</x:v>
      </x:c>
      <x:c r="J4128" s="12" t="str">
        <x:v>Healthcare &amp; life sciences</x:v>
      </x:c>
      <x:c r="K4128" s="2" t="str">
        <x:v>PARTNER-M197</x:v>
      </x:c>
    </x:row>
    <x:row r="4129" ht="46" customHeight="1">
      <x:c r="A4129" s="2" t="str">
        <x:v>TEN-F04C5BE93A0B</x:v>
      </x:c>
      <x:c r="B4129" s="12" t="str">
        <x:v>Yotta Data Services</x:v>
      </x:c>
      <x:c r="C4129" s="12" t="str">
        <x:v>CORP-0616</x:v>
      </x:c>
      <x:c r="D4129" s="12" t="str">
        <x:v>Mumbai</x:v>
      </x:c>
      <x:c r="E4129" s="12" t="str">
        <x:v>Reliable Tech Park</x:v>
      </x:c>
      <x:c r="F4129" s="12" t="str">
        <x:v>55 inch</x:v>
      </x:c>
      <x:c r="G4129" s="20" t="n">
        <x:v>1</x:v>
      </x:c>
      <x:c r="H4129" s="12" t="str">
        <x:v>Campus/portfolio roster; individual building occupancy unverified</x:v>
      </x:c>
      <x:c r="I4129" s="12" t="str">
        <x:v>Mixed business audience</x:v>
      </x:c>
      <x:c r="J4129" s="12" t="str">
        <x:v>IT &amp; digital</x:v>
      </x:c>
      <x:c r="K4129" s="2" t="str">
        <x:v>PARTNER-M197</x:v>
      </x:c>
    </x:row>
    <x:row r="4130" ht="46" customHeight="1">
      <x:c r="A4130" s="2" t="str">
        <x:v>TEN-0CDD2A017BE5</x:v>
      </x:c>
      <x:c r="B4130" s="12" t="str">
        <x:v>SKY Engineering &amp; Cleaning Systems</x:v>
      </x:c>
      <x:c r="C4130" s="12" t="str">
        <x:v>CORP-0617</x:v>
      </x:c>
      <x:c r="D4130" s="12" t="str">
        <x:v>Mumbai</x:v>
      </x:c>
      <x:c r="E4130" s="12" t="str">
        <x:v>Reliable Tech Park</x:v>
      </x:c>
      <x:c r="F4130" s="12" t="str">
        <x:v>55 inch</x:v>
      </x:c>
      <x:c r="G4130" s="20" t="n">
        <x:v>1</x:v>
      </x:c>
      <x:c r="H4130" s="12" t="str">
        <x:v>Campus/portfolio roster; individual building occupancy unverified</x:v>
      </x:c>
      <x:c r="I4130" s="12" t="str">
        <x:v>Medium-scale prospects</x:v>
      </x:c>
      <x:c r="J4130" s="12" t="str">
        <x:v>Engineering &amp; manufacturing</x:v>
      </x:c>
      <x:c r="K4130" s="2" t="str">
        <x:v>PARTNER-M197</x:v>
      </x:c>
    </x:row>
    <x:row r="4131" ht="46" customHeight="1">
      <x:c r="A4131" s="2" t="str">
        <x:v>TEN-1ABCE44EA9E8</x:v>
      </x:c>
      <x:c r="B4131" s="12" t="str">
        <x:v>Godrej Koerber Supply Chain Limited</x:v>
      </x:c>
      <x:c r="C4131" s="12" t="str">
        <x:v>CORP-0617</x:v>
      </x:c>
      <x:c r="D4131" s="12" t="str">
        <x:v>Mumbai</x:v>
      </x:c>
      <x:c r="E4131" s="12" t="str">
        <x:v>Reliable Tech Park</x:v>
      </x:c>
      <x:c r="F4131" s="12" t="str">
        <x:v>55 inch</x:v>
      </x:c>
      <x:c r="G4131" s="20" t="n">
        <x:v>1</x:v>
      </x:c>
      <x:c r="H4131" s="12" t="str">
        <x:v>Campus/portfolio roster; individual building occupancy unverified</x:v>
      </x:c>
      <x:c r="I4131" s="12" t="str">
        <x:v>Mixed business audience</x:v>
      </x:c>
      <x:c r="J4131" s="12" t="str">
        <x:v>Trade, consumer &amp; logistics</x:v>
      </x:c>
      <x:c r="K4131" s="2" t="str">
        <x:v>PARTNER-M197</x:v>
      </x:c>
    </x:row>
    <x:row r="4132" ht="46" customHeight="1">
      <x:c r="A4132" s="2" t="str">
        <x:v>TEN-1DEB513143F7</x:v>
      </x:c>
      <x:c r="B4132" s="12" t="str">
        <x:v>Universal Sompo General Insurance Company Ltd</x:v>
      </x:c>
      <x:c r="C4132" s="12" t="str">
        <x:v>CORP-0617</x:v>
      </x:c>
      <x:c r="D4132" s="12" t="str">
        <x:v>Mumbai</x:v>
      </x:c>
      <x:c r="E4132" s="12" t="str">
        <x:v>Reliable Tech Park</x:v>
      </x:c>
      <x:c r="F4132" s="12" t="str">
        <x:v>55 inch</x:v>
      </x:c>
      <x:c r="G4132" s="20" t="n">
        <x:v>1</x:v>
      </x:c>
      <x:c r="H4132" s="12" t="str">
        <x:v>Campus/portfolio roster; individual building occupancy unverified</x:v>
      </x:c>
      <x:c r="I4132" s="12" t="str">
        <x:v>Mixed business audience</x:v>
      </x:c>
      <x:c r="J4132" s="12" t="str">
        <x:v>Finance &amp; insurance</x:v>
      </x:c>
      <x:c r="K4132" s="2" t="str">
        <x:v>PARTNER-M197</x:v>
      </x:c>
    </x:row>
    <x:row r="4133" ht="46" customHeight="1">
      <x:c r="A4133" s="2" t="str">
        <x:v>TEN-298147A4B3E2</x:v>
      </x:c>
      <x:c r="B4133" s="12" t="str">
        <x:v>Awfis</x:v>
      </x:c>
      <x:c r="C4133" s="12" t="str">
        <x:v>CORP-0617</x:v>
      </x:c>
      <x:c r="D4133" s="12" t="str">
        <x:v>Mumbai</x:v>
      </x:c>
      <x:c r="E4133" s="12" t="str">
        <x:v>Reliable Tech Park</x:v>
      </x:c>
      <x:c r="F4133" s="12" t="str">
        <x:v>55 inch</x:v>
      </x:c>
      <x:c r="G4133" s="20" t="n">
        <x:v>1</x:v>
      </x:c>
      <x:c r="H4133" s="12" t="str">
        <x:v>Campus/portfolio roster; individual building occupancy unverified</x:v>
      </x:c>
      <x:c r="I4133" s="12" t="str">
        <x:v>Mixed business audience</x:v>
      </x:c>
      <x:c r="J4133" s="12" t="str">
        <x:v>Workspace &amp; property operations</x:v>
      </x:c>
      <x:c r="K4133" s="2" t="str">
        <x:v>PARTNER-M197</x:v>
      </x:c>
    </x:row>
    <x:row r="4134" ht="46" customHeight="1">
      <x:c r="A4134" s="2" t="str">
        <x:v>TEN-31E219ED8F4E</x:v>
      </x:c>
      <x:c r="B4134" s="12" t="str">
        <x:v>Lionbridge India</x:v>
      </x:c>
      <x:c r="C4134" s="12" t="str">
        <x:v>CORP-0617</x:v>
      </x:c>
      <x:c r="D4134" s="12" t="str">
        <x:v>Mumbai</x:v>
      </x:c>
      <x:c r="E4134" s="12" t="str">
        <x:v>Reliable Tech Park</x:v>
      </x:c>
      <x:c r="F4134" s="12" t="str">
        <x:v>55 inch</x:v>
      </x:c>
      <x:c r="G4134" s="20" t="n">
        <x:v>1</x:v>
      </x:c>
      <x:c r="H4134" s="12" t="str">
        <x:v>Campus/portfolio roster; individual building occupancy unverified</x:v>
      </x:c>
      <x:c r="I4134" s="12" t="str">
        <x:v>Mixed business audience</x:v>
      </x:c>
      <x:c r="J4134" s="12" t="str">
        <x:v>Professional services</x:v>
      </x:c>
      <x:c r="K4134" s="2" t="str">
        <x:v>PARTNER-M197</x:v>
      </x:c>
    </x:row>
    <x:row r="4135" ht="46" customHeight="1">
      <x:c r="A4135" s="2" t="str">
        <x:v>TEN-4856E7F0424C</x:v>
      </x:c>
      <x:c r="B4135" s="12" t="str">
        <x:v>ISS Global Forwarding India</x:v>
      </x:c>
      <x:c r="C4135" s="12" t="str">
        <x:v>CORP-0617</x:v>
      </x:c>
      <x:c r="D4135" s="12" t="str">
        <x:v>Mumbai</x:v>
      </x:c>
      <x:c r="E4135" s="12" t="str">
        <x:v>Reliable Tech Park</x:v>
      </x:c>
      <x:c r="F4135" s="12" t="str">
        <x:v>55 inch</x:v>
      </x:c>
      <x:c r="G4135" s="20" t="n">
        <x:v>1</x:v>
      </x:c>
      <x:c r="H4135" s="12" t="str">
        <x:v>Campus/portfolio roster; individual building occupancy unverified</x:v>
      </x:c>
      <x:c r="I4135" s="12" t="str">
        <x:v>Mixed business audience</x:v>
      </x:c>
      <x:c r="J4135" s="12" t="str">
        <x:v>Trade, consumer &amp; logistics</x:v>
      </x:c>
      <x:c r="K4135" s="2" t="str">
        <x:v>PARTNER-M197</x:v>
      </x:c>
    </x:row>
    <x:row r="4136" ht="46" customHeight="1">
      <x:c r="A4136" s="2" t="str">
        <x:v>TEN-5763FDBE162D</x:v>
      </x:c>
      <x:c r="B4136" s="12" t="str">
        <x:v>GREEN ECO TECH NXT</x:v>
      </x:c>
      <x:c r="C4136" s="12" t="str">
        <x:v>CORP-0617</x:v>
      </x:c>
      <x:c r="D4136" s="12" t="str">
        <x:v>Mumbai</x:v>
      </x:c>
      <x:c r="E4136" s="12" t="str">
        <x:v>Reliable Tech Park</x:v>
      </x:c>
      <x:c r="F4136" s="12" t="str">
        <x:v>55 inch</x:v>
      </x:c>
      <x:c r="G4136" s="20" t="n">
        <x:v>1</x:v>
      </x:c>
      <x:c r="H4136" s="12" t="str">
        <x:v>Campus/portfolio roster; individual building occupancy unverified</x:v>
      </x:c>
      <x:c r="I4136" s="12" t="str">
        <x:v>Mixed business audience</x:v>
      </x:c>
      <x:c r="J4136" s="12" t="str">
        <x:v>Unresolved</x:v>
      </x:c>
      <x:c r="K4136" s="2" t="str">
        <x:v>PARTNER-M197</x:v>
      </x:c>
    </x:row>
    <x:row r="4137" ht="46" customHeight="1">
      <x:c r="A4137" s="2" t="str">
        <x:v>TEN-5DCF807F8D0D</x:v>
      </x:c>
      <x:c r="B4137" s="12" t="str">
        <x:v>CITI-INDIA Creative IT</x:v>
      </x:c>
      <x:c r="C4137" s="12" t="str">
        <x:v>CORP-0617</x:v>
      </x:c>
      <x:c r="D4137" s="12" t="str">
        <x:v>Mumbai</x:v>
      </x:c>
      <x:c r="E4137" s="12" t="str">
        <x:v>Reliable Tech Park</x:v>
      </x:c>
      <x:c r="F4137" s="12" t="str">
        <x:v>55 inch</x:v>
      </x:c>
      <x:c r="G4137" s="20" t="n">
        <x:v>1</x:v>
      </x:c>
      <x:c r="H4137" s="12" t="str">
        <x:v>Campus/portfolio roster; individual building occupancy unverified</x:v>
      </x:c>
      <x:c r="I4137" s="12" t="str">
        <x:v>Mixed business audience</x:v>
      </x:c>
      <x:c r="J4137" s="12" t="str">
        <x:v>IT &amp; digital</x:v>
      </x:c>
      <x:c r="K4137" s="2" t="str">
        <x:v>PARTNER-M197</x:v>
      </x:c>
    </x:row>
    <x:row r="4138" ht="46" customHeight="1">
      <x:c r="A4138" s="2" t="str">
        <x:v>TEN-65A886E0457A</x:v>
      </x:c>
      <x:c r="B4138" s="12" t="str">
        <x:v>Tech Mahindra Pvt ltd</x:v>
      </x:c>
      <x:c r="C4138" s="12" t="str">
        <x:v>CORP-0617</x:v>
      </x:c>
      <x:c r="D4138" s="12" t="str">
        <x:v>Mumbai</x:v>
      </x:c>
      <x:c r="E4138" s="12" t="str">
        <x:v>Reliable Tech Park</x:v>
      </x:c>
      <x:c r="F4138" s="12" t="str">
        <x:v>55 inch</x:v>
      </x:c>
      <x:c r="G4138" s="20" t="n">
        <x:v>1</x:v>
      </x:c>
      <x:c r="H4138" s="12" t="str">
        <x:v>Campus/portfolio roster; individual building occupancy unverified</x:v>
      </x:c>
      <x:c r="I4138" s="12" t="str">
        <x:v>Large enterprise</x:v>
      </x:c>
      <x:c r="J4138" s="12" t="str">
        <x:v>IT &amp; digital</x:v>
      </x:c>
      <x:c r="K4138" s="2" t="str">
        <x:v>PARTNER-M197</x:v>
      </x:c>
    </x:row>
    <x:row r="4139" ht="46" customHeight="1">
      <x:c r="A4139" s="2" t="str">
        <x:v>TEN-787004BAB6D4</x:v>
      </x:c>
      <x:c r="B4139" s="12" t="str">
        <x:v>ECI Telecom India Pvt Limited</x:v>
      </x:c>
      <x:c r="C4139" s="12" t="str">
        <x:v>CORP-0617</x:v>
      </x:c>
      <x:c r="D4139" s="12" t="str">
        <x:v>Mumbai</x:v>
      </x:c>
      <x:c r="E4139" s="12" t="str">
        <x:v>Reliable Tech Park</x:v>
      </x:c>
      <x:c r="F4139" s="12" t="str">
        <x:v>55 inch</x:v>
      </x:c>
      <x:c r="G4139" s="20" t="n">
        <x:v>1</x:v>
      </x:c>
      <x:c r="H4139" s="12" t="str">
        <x:v>Campus/portfolio roster; individual building occupancy unverified</x:v>
      </x:c>
      <x:c r="I4139" s="12" t="str">
        <x:v>Mixed business audience</x:v>
      </x:c>
      <x:c r="J4139" s="12" t="str">
        <x:v>IT &amp; digital</x:v>
      </x:c>
      <x:c r="K4139" s="2" t="str">
        <x:v>PARTNER-M197</x:v>
      </x:c>
    </x:row>
    <x:row r="4140" ht="46" customHeight="1">
      <x:c r="A4140" s="2" t="str">
        <x:v>TEN-7D43CDC02A4B</x:v>
      </x:c>
      <x:c r="B4140" s="12" t="str">
        <x:v>Indian Commodity Exchange Ltd</x:v>
      </x:c>
      <x:c r="C4140" s="12" t="str">
        <x:v>CORP-0617</x:v>
      </x:c>
      <x:c r="D4140" s="12" t="str">
        <x:v>Mumbai</x:v>
      </x:c>
      <x:c r="E4140" s="12" t="str">
        <x:v>Reliable Tech Park</x:v>
      </x:c>
      <x:c r="F4140" s="12" t="str">
        <x:v>55 inch</x:v>
      </x:c>
      <x:c r="G4140" s="20" t="n">
        <x:v>1</x:v>
      </x:c>
      <x:c r="H4140" s="12" t="str">
        <x:v>Campus/portfolio roster; individual building occupancy unverified</x:v>
      </x:c>
      <x:c r="I4140" s="12" t="str">
        <x:v>Medium-scale prospects</x:v>
      </x:c>
      <x:c r="J4140" s="12" t="str">
        <x:v>Finance &amp; insurance</x:v>
      </x:c>
      <x:c r="K4140" s="2" t="str">
        <x:v>PARTNER-M197</x:v>
      </x:c>
    </x:row>
    <x:row r="4141" ht="46" customHeight="1">
      <x:c r="A4141" s="2" t="str">
        <x:v>TEN-83D267F2D2BA</x:v>
      </x:c>
      <x:c r="B4141" s="12" t="str">
        <x:v>Honeywell Automation</x:v>
      </x:c>
      <x:c r="C4141" s="12" t="str">
        <x:v>CORP-0617</x:v>
      </x:c>
      <x:c r="D4141" s="12" t="str">
        <x:v>Mumbai</x:v>
      </x:c>
      <x:c r="E4141" s="12" t="str">
        <x:v>Reliable Tech Park</x:v>
      </x:c>
      <x:c r="F4141" s="12" t="str">
        <x:v>55 inch</x:v>
      </x:c>
      <x:c r="G4141" s="20" t="n">
        <x:v>1</x:v>
      </x:c>
      <x:c r="H4141" s="12" t="str">
        <x:v>Campus/portfolio roster; individual building occupancy unverified</x:v>
      </x:c>
      <x:c r="I4141" s="12" t="str">
        <x:v>Large enterprise</x:v>
      </x:c>
      <x:c r="J4141" s="12" t="str">
        <x:v>Engineering &amp; manufacturing</x:v>
      </x:c>
      <x:c r="K4141" s="2" t="str">
        <x:v>PARTNER-M197</x:v>
      </x:c>
    </x:row>
    <x:row r="4142" ht="46" customHeight="1">
      <x:c r="A4142" s="2" t="str">
        <x:v>TEN-8A4FFCF51C45</x:v>
      </x:c>
      <x:c r="B4142" s="12" t="str">
        <x:v>Clariant India Private Limited</x:v>
      </x:c>
      <x:c r="C4142" s="12" t="str">
        <x:v>CORP-0617</x:v>
      </x:c>
      <x:c r="D4142" s="12" t="str">
        <x:v>Mumbai</x:v>
      </x:c>
      <x:c r="E4142" s="12" t="str">
        <x:v>Reliable Tech Park</x:v>
      </x:c>
      <x:c r="F4142" s="12" t="str">
        <x:v>55 inch</x:v>
      </x:c>
      <x:c r="G4142" s="20" t="n">
        <x:v>1</x:v>
      </x:c>
      <x:c r="H4142" s="12" t="str">
        <x:v>Campus/portfolio roster; individual building occupancy unverified</x:v>
      </x:c>
      <x:c r="I4142" s="12" t="str">
        <x:v>Mixed business audience</x:v>
      </x:c>
      <x:c r="J4142" s="12" t="str">
        <x:v>Engineering &amp; manufacturing</x:v>
      </x:c>
      <x:c r="K4142" s="2" t="str">
        <x:v>PARTNER-M197</x:v>
      </x:c>
    </x:row>
    <x:row r="4143" ht="46" customHeight="1">
      <x:c r="A4143" s="2" t="str">
        <x:v>TEN-B67D6F69AB3E</x:v>
      </x:c>
      <x:c r="B4143" s="12" t="str">
        <x:v>Fresh for Health</x:v>
      </x:c>
      <x:c r="C4143" s="12" t="str">
        <x:v>CORP-0617</x:v>
      </x:c>
      <x:c r="D4143" s="12" t="str">
        <x:v>Mumbai</x:v>
      </x:c>
      <x:c r="E4143" s="12" t="str">
        <x:v>Reliable Tech Park</x:v>
      </x:c>
      <x:c r="F4143" s="12" t="str">
        <x:v>55 inch</x:v>
      </x:c>
      <x:c r="G4143" s="20" t="n">
        <x:v>1</x:v>
      </x:c>
      <x:c r="H4143" s="12" t="str">
        <x:v>Campus/portfolio roster; individual building occupancy unverified</x:v>
      </x:c>
      <x:c r="I4143" s="12" t="str">
        <x:v>Small-scale prospects</x:v>
      </x:c>
      <x:c r="J4143" s="12" t="str">
        <x:v>Healthcare &amp; life sciences</x:v>
      </x:c>
      <x:c r="K4143" s="2" t="str">
        <x:v>PARTNER-M197</x:v>
      </x:c>
    </x:row>
    <x:row r="4144" ht="46" customHeight="1">
      <x:c r="A4144" s="2" t="str">
        <x:v>TEN-F04C5BE93A0B</x:v>
      </x:c>
      <x:c r="B4144" s="12" t="str">
        <x:v>Yotta Data Services</x:v>
      </x:c>
      <x:c r="C4144" s="12" t="str">
        <x:v>CORP-0617</x:v>
      </x:c>
      <x:c r="D4144" s="12" t="str">
        <x:v>Mumbai</x:v>
      </x:c>
      <x:c r="E4144" s="12" t="str">
        <x:v>Reliable Tech Park</x:v>
      </x:c>
      <x:c r="F4144" s="12" t="str">
        <x:v>55 inch</x:v>
      </x:c>
      <x:c r="G4144" s="20" t="n">
        <x:v>1</x:v>
      </x:c>
      <x:c r="H4144" s="12" t="str">
        <x:v>Campus/portfolio roster; individual building occupancy unverified</x:v>
      </x:c>
      <x:c r="I4144" s="12" t="str">
        <x:v>Mixed business audience</x:v>
      </x:c>
      <x:c r="J4144" s="12" t="str">
        <x:v>IT &amp; digital</x:v>
      </x:c>
      <x:c r="K4144" s="2" t="str">
        <x:v>PARTNER-M197</x:v>
      </x:c>
    </x:row>
    <x:row r="4145" ht="46" customHeight="1">
      <x:c r="A4145" s="2" t="str">
        <x:v>TEN-03310C19B984</x:v>
      </x:c>
      <x:c r="B4145" s="12" t="str">
        <x:v>WebMD</x:v>
      </x:c>
      <x:c r="C4145" s="12" t="str">
        <x:v>CORP-0618</x:v>
      </x:c>
      <x:c r="D4145" s="12" t="str">
        <x:v>Mumbai</x:v>
      </x:c>
      <x:c r="E4145" s="12" t="str">
        <x:v>Liberty tower</x:v>
      </x:c>
      <x:c r="F4145" s="12" t="str">
        <x:v>55 inch</x:v>
      </x:c>
      <x:c r="G4145" s="20" t="n">
        <x:v>1</x:v>
      </x:c>
      <x:c r="H4145" s="12" t="str">
        <x:v>Campus/portfolio roster; individual building occupancy unverified</x:v>
      </x:c>
      <x:c r="I4145" s="12" t="str">
        <x:v>Mixed business audience</x:v>
      </x:c>
      <x:c r="J4145" s="12" t="str">
        <x:v>Healthcare &amp; life sciences</x:v>
      </x:c>
      <x:c r="K4145" s="2" t="str">
        <x:v>PARTNER-M201</x:v>
      </x:c>
    </x:row>
    <x:row r="4146" ht="46" customHeight="1">
      <x:c r="A4146" s="2" t="str">
        <x:v>TEN-26B2AD07B562</x:v>
      </x:c>
      <x:c r="B4146" s="12" t="str">
        <x:v>Ecofirst Services Limited</x:v>
      </x:c>
      <x:c r="C4146" s="12" t="str">
        <x:v>CORP-0618</x:v>
      </x:c>
      <x:c r="D4146" s="12" t="str">
        <x:v>Mumbai</x:v>
      </x:c>
      <x:c r="E4146" s="12" t="str">
        <x:v>Liberty tower</x:v>
      </x:c>
      <x:c r="F4146" s="12" t="str">
        <x:v>55 inch</x:v>
      </x:c>
      <x:c r="G4146" s="20" t="n">
        <x:v>1</x:v>
      </x:c>
      <x:c r="H4146" s="12" t="str">
        <x:v>Campus/portfolio roster; individual building occupancy unverified</x:v>
      </x:c>
      <x:c r="I4146" s="12" t="str">
        <x:v>Mixed business audience</x:v>
      </x:c>
      <x:c r="J4146" s="12" t="str">
        <x:v>Unresolved</x:v>
      </x:c>
      <x:c r="K4146" s="2" t="str">
        <x:v>PARTNER-M201</x:v>
      </x:c>
    </x:row>
    <x:row r="4147" ht="46" customHeight="1">
      <x:c r="A4147" s="2" t="str">
        <x:v>TEN-29F25A570409</x:v>
      </x:c>
      <x:c r="B4147" s="12" t="str">
        <x:v>Reliance General Insurance</x:v>
      </x:c>
      <x:c r="C4147" s="12" t="str">
        <x:v>CORP-0618</x:v>
      </x:c>
      <x:c r="D4147" s="12" t="str">
        <x:v>Mumbai</x:v>
      </x:c>
      <x:c r="E4147" s="12" t="str">
        <x:v>Liberty tower</x:v>
      </x:c>
      <x:c r="F4147" s="12" t="str">
        <x:v>55 inch</x:v>
      </x:c>
      <x:c r="G4147" s="20" t="n">
        <x:v>1</x:v>
      </x:c>
      <x:c r="H4147" s="12" t="str">
        <x:v>Campus/portfolio roster; individual building occupancy unverified</x:v>
      </x:c>
      <x:c r="I4147" s="12" t="str">
        <x:v>Mixed business audience</x:v>
      </x:c>
      <x:c r="J4147" s="12" t="str">
        <x:v>Finance &amp; insurance</x:v>
      </x:c>
      <x:c r="K4147" s="2" t="str">
        <x:v>PARTNER-M201</x:v>
      </x:c>
    </x:row>
    <x:row r="4148" ht="46" customHeight="1">
      <x:c r="A4148" s="2" t="str">
        <x:v>TEN-42D9546A54E2</x:v>
      </x:c>
      <x:c r="B4148" s="12" t="str">
        <x:v>SamX Motion Pictures</x:v>
      </x:c>
      <x:c r="C4148" s="12" t="str">
        <x:v>CORP-0618</x:v>
      </x:c>
      <x:c r="D4148" s="12" t="str">
        <x:v>Mumbai</x:v>
      </x:c>
      <x:c r="E4148" s="12" t="str">
        <x:v>Liberty tower</x:v>
      </x:c>
      <x:c r="F4148" s="12" t="str">
        <x:v>55 inch</x:v>
      </x:c>
      <x:c r="G4148" s="20" t="n">
        <x:v>1</x:v>
      </x:c>
      <x:c r="H4148" s="12" t="str">
        <x:v>Campus/portfolio roster; individual building occupancy unverified</x:v>
      </x:c>
      <x:c r="I4148" s="12" t="str">
        <x:v>Small-scale prospects</x:v>
      </x:c>
      <x:c r="J4148" s="12" t="str">
        <x:v>Trade, consumer &amp; logistics</x:v>
      </x:c>
      <x:c r="K4148" s="2" t="str">
        <x:v>PARTNER-M201</x:v>
      </x:c>
    </x:row>
    <x:row r="4149" ht="46" customHeight="1">
      <x:c r="A4149" s="2" t="str">
        <x:v>TEN-4BC4BBB1EBF1</x:v>
      </x:c>
      <x:c r="B4149" s="12" t="str">
        <x:v>Reliable Cloud City pvt</x:v>
      </x:c>
      <x:c r="C4149" s="12" t="str">
        <x:v>CORP-0618</x:v>
      </x:c>
      <x:c r="D4149" s="12" t="str">
        <x:v>Mumbai</x:v>
      </x:c>
      <x:c r="E4149" s="12" t="str">
        <x:v>Liberty tower</x:v>
      </x:c>
      <x:c r="F4149" s="12" t="str">
        <x:v>55 inch</x:v>
      </x:c>
      <x:c r="G4149" s="20" t="n">
        <x:v>1</x:v>
      </x:c>
      <x:c r="H4149" s="12" t="str">
        <x:v>Campus/portfolio roster; individual building occupancy unverified</x:v>
      </x:c>
      <x:c r="I4149" s="12" t="str">
        <x:v>Small-scale prospects</x:v>
      </x:c>
      <x:c r="J4149" s="12" t="str">
        <x:v>IT &amp; digital</x:v>
      </x:c>
      <x:c r="K4149" s="2" t="str">
        <x:v>PARTNER-M201</x:v>
      </x:c>
    </x:row>
    <x:row r="4150" ht="46" customHeight="1">
      <x:c r="A4150" s="2" t="str">
        <x:v>TEN-5152258A3CCA</x:v>
      </x:c>
      <x:c r="B4150" s="12" t="str">
        <x:v>Magic Bus India Foundation</x:v>
      </x:c>
      <x:c r="C4150" s="12" t="str">
        <x:v>CORP-0618</x:v>
      </x:c>
      <x:c r="D4150" s="12" t="str">
        <x:v>Mumbai</x:v>
      </x:c>
      <x:c r="E4150" s="12" t="str">
        <x:v>Liberty tower</x:v>
      </x:c>
      <x:c r="F4150" s="12" t="str">
        <x:v>55 inch</x:v>
      </x:c>
      <x:c r="G4150" s="20" t="n">
        <x:v>1</x:v>
      </x:c>
      <x:c r="H4150" s="12" t="str">
        <x:v>Campus/portfolio roster; individual building occupancy unverified</x:v>
      </x:c>
      <x:c r="I4150" s="12" t="str">
        <x:v>Institutional</x:v>
      </x:c>
      <x:c r="J4150" s="12" t="str">
        <x:v>Government &amp; nonprofit</x:v>
      </x:c>
      <x:c r="K4150" s="2" t="str">
        <x:v>PARTNER-M201</x:v>
      </x:c>
    </x:row>
    <x:row r="4151" ht="46" customHeight="1">
      <x:c r="A4151" s="2" t="str">
        <x:v>TEN-7A3BF6233C80</x:v>
      </x:c>
      <x:c r="B4151" s="12" t="str">
        <x:v>Bharat Serums and Vaccines Limited</x:v>
      </x:c>
      <x:c r="C4151" s="12" t="str">
        <x:v>CORP-0618</x:v>
      </x:c>
      <x:c r="D4151" s="12" t="str">
        <x:v>Mumbai</x:v>
      </x:c>
      <x:c r="E4151" s="12" t="str">
        <x:v>Liberty tower</x:v>
      </x:c>
      <x:c r="F4151" s="12" t="str">
        <x:v>55 inch</x:v>
      </x:c>
      <x:c r="G4151" s="20" t="n">
        <x:v>1</x:v>
      </x:c>
      <x:c r="H4151" s="12" t="str">
        <x:v>Campus/portfolio roster; individual building occupancy unverified</x:v>
      </x:c>
      <x:c r="I4151" s="12" t="str">
        <x:v>Mixed business audience</x:v>
      </x:c>
      <x:c r="J4151" s="12" t="str">
        <x:v>Healthcare &amp; life sciences</x:v>
      </x:c>
      <x:c r="K4151" s="2" t="str">
        <x:v>PARTNER-M201</x:v>
      </x:c>
    </x:row>
    <x:row r="4152" ht="46" customHeight="1">
      <x:c r="A4152" s="2" t="str">
        <x:v>TEN-7D924CB86824</x:v>
      </x:c>
      <x:c r="B4152" s="12" t="str">
        <x:v>Inchcape Shipping Services</x:v>
      </x:c>
      <x:c r="C4152" s="12" t="str">
        <x:v>CORP-0618</x:v>
      </x:c>
      <x:c r="D4152" s="12" t="str">
        <x:v>Mumbai</x:v>
      </x:c>
      <x:c r="E4152" s="12" t="str">
        <x:v>Liberty tower</x:v>
      </x:c>
      <x:c r="F4152" s="12" t="str">
        <x:v>55 inch</x:v>
      </x:c>
      <x:c r="G4152" s="20" t="n">
        <x:v>1</x:v>
      </x:c>
      <x:c r="H4152" s="12" t="str">
        <x:v>Campus/portfolio roster; individual building occupancy unverified</x:v>
      </x:c>
      <x:c r="I4152" s="12" t="str">
        <x:v>Mixed business audience</x:v>
      </x:c>
      <x:c r="J4152" s="12" t="str">
        <x:v>Trade, consumer &amp; logistics</x:v>
      </x:c>
      <x:c r="K4152" s="2" t="str">
        <x:v>PARTNER-M201</x:v>
      </x:c>
    </x:row>
    <x:row r="4153" ht="46" customHeight="1">
      <x:c r="A4153" s="2" t="str">
        <x:v>TEN-80E224094D7E</x:v>
      </x:c>
      <x:c r="B4153" s="12" t="str">
        <x:v>Sutherland Global Services</x:v>
      </x:c>
      <x:c r="C4153" s="12" t="str">
        <x:v>CORP-0618</x:v>
      </x:c>
      <x:c r="D4153" s="12" t="str">
        <x:v>Mumbai</x:v>
      </x:c>
      <x:c r="E4153" s="12" t="str">
        <x:v>Liberty tower</x:v>
      </x:c>
      <x:c r="F4153" s="12" t="str">
        <x:v>55 inch</x:v>
      </x:c>
      <x:c r="G4153" s="20" t="n">
        <x:v>1</x:v>
      </x:c>
      <x:c r="H4153" s="12" t="str">
        <x:v>Campus/portfolio roster; individual building occupancy unverified</x:v>
      </x:c>
      <x:c r="I4153" s="12" t="str">
        <x:v>Mixed business audience</x:v>
      </x:c>
      <x:c r="J4153" s="12" t="str">
        <x:v>IT &amp; digital</x:v>
      </x:c>
      <x:c r="K4153" s="2" t="str">
        <x:v>PARTNER-M201</x:v>
      </x:c>
    </x:row>
    <x:row r="4154" ht="46" customHeight="1">
      <x:c r="A4154" s="2" t="str">
        <x:v>TEN-A321F0CAA709</x:v>
      </x:c>
      <x:c r="B4154" s="12" t="str">
        <x:v>Sulzer Tech India Pvt. Ltd</x:v>
      </x:c>
      <x:c r="C4154" s="12" t="str">
        <x:v>CORP-0618</x:v>
      </x:c>
      <x:c r="D4154" s="12" t="str">
        <x:v>Mumbai</x:v>
      </x:c>
      <x:c r="E4154" s="12" t="str">
        <x:v>Liberty tower</x:v>
      </x:c>
      <x:c r="F4154" s="12" t="str">
        <x:v>55 inch</x:v>
      </x:c>
      <x:c r="G4154" s="20" t="n">
        <x:v>1</x:v>
      </x:c>
      <x:c r="H4154" s="12" t="str">
        <x:v>Campus/portfolio roster; individual building occupancy unverified</x:v>
      </x:c>
      <x:c r="I4154" s="12" t="str">
        <x:v>Mixed business audience</x:v>
      </x:c>
      <x:c r="J4154" s="12" t="str">
        <x:v>Engineering &amp; manufacturing</x:v>
      </x:c>
      <x:c r="K4154" s="2" t="str">
        <x:v>PARTNER-M201</x:v>
      </x:c>
    </x:row>
    <x:row r="4155" ht="46" customHeight="1">
      <x:c r="A4155" s="2" t="str">
        <x:v>TEN-BA21AB5B12DA</x:v>
      </x:c>
      <x:c r="B4155" s="12" t="str">
        <x:v>Cytel</x:v>
      </x:c>
      <x:c r="C4155" s="12" t="str">
        <x:v>CORP-0618</x:v>
      </x:c>
      <x:c r="D4155" s="12" t="str">
        <x:v>Mumbai</x:v>
      </x:c>
      <x:c r="E4155" s="12" t="str">
        <x:v>Liberty tower</x:v>
      </x:c>
      <x:c r="F4155" s="12" t="str">
        <x:v>55 inch</x:v>
      </x:c>
      <x:c r="G4155" s="20" t="n">
        <x:v>1</x:v>
      </x:c>
      <x:c r="H4155" s="12" t="str">
        <x:v>Campus/portfolio roster; individual building occupancy unverified</x:v>
      </x:c>
      <x:c r="I4155" s="12" t="str">
        <x:v>Mixed business audience</x:v>
      </x:c>
      <x:c r="J4155" s="12" t="str">
        <x:v>IT &amp; digital</x:v>
      </x:c>
      <x:c r="K4155" s="2" t="str">
        <x:v>PARTNER-M201</x:v>
      </x:c>
    </x:row>
    <x:row r="4156" ht="46" customHeight="1">
      <x:c r="A4156" s="2" t="str">
        <x:v>TEN-CC3B496B4CCE</x:v>
      </x:c>
      <x:c r="B4156" s="12" t="str">
        <x:v>SIFY Technology</x:v>
      </x:c>
      <x:c r="C4156" s="12" t="str">
        <x:v>CORP-0618</x:v>
      </x:c>
      <x:c r="D4156" s="12" t="str">
        <x:v>Mumbai</x:v>
      </x:c>
      <x:c r="E4156" s="12" t="str">
        <x:v>Liberty tower</x:v>
      </x:c>
      <x:c r="F4156" s="12" t="str">
        <x:v>55 inch</x:v>
      </x:c>
      <x:c r="G4156" s="20" t="n">
        <x:v>1</x:v>
      </x:c>
      <x:c r="H4156" s="12" t="str">
        <x:v>Campus/portfolio roster; individual building occupancy unverified</x:v>
      </x:c>
      <x:c r="I4156" s="12" t="str">
        <x:v>Mixed business audience</x:v>
      </x:c>
      <x:c r="J4156" s="12" t="str">
        <x:v>IT &amp; digital</x:v>
      </x:c>
      <x:c r="K4156" s="2" t="str">
        <x:v>PARTNER-M201</x:v>
      </x:c>
    </x:row>
    <x:row r="4157" ht="46" customHeight="1">
      <x:c r="A4157" s="2" t="str">
        <x:v>TEN-ED4F2BE1879B</x:v>
      </x:c>
      <x:c r="B4157" s="12" t="str">
        <x:v>InterProducTec Virtual Labs Pvt. Ltd</x:v>
      </x:c>
      <x:c r="C4157" s="12" t="str">
        <x:v>CORP-0618</x:v>
      </x:c>
      <x:c r="D4157" s="12" t="str">
        <x:v>Mumbai</x:v>
      </x:c>
      <x:c r="E4157" s="12" t="str">
        <x:v>Liberty tower</x:v>
      </x:c>
      <x:c r="F4157" s="12" t="str">
        <x:v>55 inch</x:v>
      </x:c>
      <x:c r="G4157" s="20" t="n">
        <x:v>1</x:v>
      </x:c>
      <x:c r="H4157" s="12" t="str">
        <x:v>Campus/portfolio roster; individual building occupancy unverified</x:v>
      </x:c>
      <x:c r="I4157" s="12" t="str">
        <x:v>Mixed business audience</x:v>
      </x:c>
      <x:c r="J4157" s="12" t="str">
        <x:v>Unresolved</x:v>
      </x:c>
      <x:c r="K4157" s="2" t="str">
        <x:v>PARTNER-M201</x:v>
      </x:c>
    </x:row>
    <x:row r="4158" ht="46" customHeight="1">
      <x:c r="A4158" s="2" t="str">
        <x:v>TEN-03310C19B984</x:v>
      </x:c>
      <x:c r="B4158" s="12" t="str">
        <x:v>WebMD</x:v>
      </x:c>
      <x:c r="C4158" s="12" t="str">
        <x:v>CORP-0619</x:v>
      </x:c>
      <x:c r="D4158" s="12" t="str">
        <x:v>Mumbai</x:v>
      </x:c>
      <x:c r="E4158" s="12" t="str">
        <x:v>Liberty tower</x:v>
      </x:c>
      <x:c r="F4158" s="12" t="str">
        <x:v>55 inch</x:v>
      </x:c>
      <x:c r="G4158" s="20" t="n">
        <x:v>1</x:v>
      </x:c>
      <x:c r="H4158" s="12" t="str">
        <x:v>Campus/portfolio roster; individual building occupancy unverified</x:v>
      </x:c>
      <x:c r="I4158" s="12" t="str">
        <x:v>Mixed business audience</x:v>
      </x:c>
      <x:c r="J4158" s="12" t="str">
        <x:v>Healthcare &amp; life sciences</x:v>
      </x:c>
      <x:c r="K4158" s="2" t="str">
        <x:v>PARTNER-M201</x:v>
      </x:c>
    </x:row>
    <x:row r="4159" ht="46" customHeight="1">
      <x:c r="A4159" s="2" t="str">
        <x:v>TEN-26B2AD07B562</x:v>
      </x:c>
      <x:c r="B4159" s="12" t="str">
        <x:v>Ecofirst Services Limited</x:v>
      </x:c>
      <x:c r="C4159" s="12" t="str">
        <x:v>CORP-0619</x:v>
      </x:c>
      <x:c r="D4159" s="12" t="str">
        <x:v>Mumbai</x:v>
      </x:c>
      <x:c r="E4159" s="12" t="str">
        <x:v>Liberty tower</x:v>
      </x:c>
      <x:c r="F4159" s="12" t="str">
        <x:v>55 inch</x:v>
      </x:c>
      <x:c r="G4159" s="20" t="n">
        <x:v>1</x:v>
      </x:c>
      <x:c r="H4159" s="12" t="str">
        <x:v>Campus/portfolio roster; individual building occupancy unverified</x:v>
      </x:c>
      <x:c r="I4159" s="12" t="str">
        <x:v>Mixed business audience</x:v>
      </x:c>
      <x:c r="J4159" s="12" t="str">
        <x:v>Unresolved</x:v>
      </x:c>
      <x:c r="K4159" s="2" t="str">
        <x:v>PARTNER-M201</x:v>
      </x:c>
    </x:row>
    <x:row r="4160" ht="46" customHeight="1">
      <x:c r="A4160" s="2" t="str">
        <x:v>TEN-29F25A570409</x:v>
      </x:c>
      <x:c r="B4160" s="12" t="str">
        <x:v>Reliance General Insurance</x:v>
      </x:c>
      <x:c r="C4160" s="12" t="str">
        <x:v>CORP-0619</x:v>
      </x:c>
      <x:c r="D4160" s="12" t="str">
        <x:v>Mumbai</x:v>
      </x:c>
      <x:c r="E4160" s="12" t="str">
        <x:v>Liberty tower</x:v>
      </x:c>
      <x:c r="F4160" s="12" t="str">
        <x:v>55 inch</x:v>
      </x:c>
      <x:c r="G4160" s="20" t="n">
        <x:v>1</x:v>
      </x:c>
      <x:c r="H4160" s="12" t="str">
        <x:v>Campus/portfolio roster; individual building occupancy unverified</x:v>
      </x:c>
      <x:c r="I4160" s="12" t="str">
        <x:v>Mixed business audience</x:v>
      </x:c>
      <x:c r="J4160" s="12" t="str">
        <x:v>Finance &amp; insurance</x:v>
      </x:c>
      <x:c r="K4160" s="2" t="str">
        <x:v>PARTNER-M201</x:v>
      </x:c>
    </x:row>
    <x:row r="4161" ht="46" customHeight="1">
      <x:c r="A4161" s="2" t="str">
        <x:v>TEN-42D9546A54E2</x:v>
      </x:c>
      <x:c r="B4161" s="12" t="str">
        <x:v>SamX Motion Pictures</x:v>
      </x:c>
      <x:c r="C4161" s="12" t="str">
        <x:v>CORP-0619</x:v>
      </x:c>
      <x:c r="D4161" s="12" t="str">
        <x:v>Mumbai</x:v>
      </x:c>
      <x:c r="E4161" s="12" t="str">
        <x:v>Liberty tower</x:v>
      </x:c>
      <x:c r="F4161" s="12" t="str">
        <x:v>55 inch</x:v>
      </x:c>
      <x:c r="G4161" s="20" t="n">
        <x:v>1</x:v>
      </x:c>
      <x:c r="H4161" s="12" t="str">
        <x:v>Campus/portfolio roster; individual building occupancy unverified</x:v>
      </x:c>
      <x:c r="I4161" s="12" t="str">
        <x:v>Small-scale prospects</x:v>
      </x:c>
      <x:c r="J4161" s="12" t="str">
        <x:v>Trade, consumer &amp; logistics</x:v>
      </x:c>
      <x:c r="K4161" s="2" t="str">
        <x:v>PARTNER-M201</x:v>
      </x:c>
    </x:row>
    <x:row r="4162" ht="46" customHeight="1">
      <x:c r="A4162" s="2" t="str">
        <x:v>TEN-4BC4BBB1EBF1</x:v>
      </x:c>
      <x:c r="B4162" s="12" t="str">
        <x:v>Reliable Cloud City pvt</x:v>
      </x:c>
      <x:c r="C4162" s="12" t="str">
        <x:v>CORP-0619</x:v>
      </x:c>
      <x:c r="D4162" s="12" t="str">
        <x:v>Mumbai</x:v>
      </x:c>
      <x:c r="E4162" s="12" t="str">
        <x:v>Liberty tower</x:v>
      </x:c>
      <x:c r="F4162" s="12" t="str">
        <x:v>55 inch</x:v>
      </x:c>
      <x:c r="G4162" s="20" t="n">
        <x:v>1</x:v>
      </x:c>
      <x:c r="H4162" s="12" t="str">
        <x:v>Campus/portfolio roster; individual building occupancy unverified</x:v>
      </x:c>
      <x:c r="I4162" s="12" t="str">
        <x:v>Small-scale prospects</x:v>
      </x:c>
      <x:c r="J4162" s="12" t="str">
        <x:v>IT &amp; digital</x:v>
      </x:c>
      <x:c r="K4162" s="2" t="str">
        <x:v>PARTNER-M201</x:v>
      </x:c>
    </x:row>
    <x:row r="4163" ht="46" customHeight="1">
      <x:c r="A4163" s="2" t="str">
        <x:v>TEN-5152258A3CCA</x:v>
      </x:c>
      <x:c r="B4163" s="12" t="str">
        <x:v>Magic Bus India Foundation</x:v>
      </x:c>
      <x:c r="C4163" s="12" t="str">
        <x:v>CORP-0619</x:v>
      </x:c>
      <x:c r="D4163" s="12" t="str">
        <x:v>Mumbai</x:v>
      </x:c>
      <x:c r="E4163" s="12" t="str">
        <x:v>Liberty tower</x:v>
      </x:c>
      <x:c r="F4163" s="12" t="str">
        <x:v>55 inch</x:v>
      </x:c>
      <x:c r="G4163" s="20" t="n">
        <x:v>1</x:v>
      </x:c>
      <x:c r="H4163" s="12" t="str">
        <x:v>Campus/portfolio roster; individual building occupancy unverified</x:v>
      </x:c>
      <x:c r="I4163" s="12" t="str">
        <x:v>Institutional</x:v>
      </x:c>
      <x:c r="J4163" s="12" t="str">
        <x:v>Government &amp; nonprofit</x:v>
      </x:c>
      <x:c r="K4163" s="2" t="str">
        <x:v>PARTNER-M201</x:v>
      </x:c>
    </x:row>
    <x:row r="4164" ht="46" customHeight="1">
      <x:c r="A4164" s="2" t="str">
        <x:v>TEN-7A3BF6233C80</x:v>
      </x:c>
      <x:c r="B4164" s="12" t="str">
        <x:v>Bharat Serums and Vaccines Limited</x:v>
      </x:c>
      <x:c r="C4164" s="12" t="str">
        <x:v>CORP-0619</x:v>
      </x:c>
      <x:c r="D4164" s="12" t="str">
        <x:v>Mumbai</x:v>
      </x:c>
      <x:c r="E4164" s="12" t="str">
        <x:v>Liberty tower</x:v>
      </x:c>
      <x:c r="F4164" s="12" t="str">
        <x:v>55 inch</x:v>
      </x:c>
      <x:c r="G4164" s="20" t="n">
        <x:v>1</x:v>
      </x:c>
      <x:c r="H4164" s="12" t="str">
        <x:v>Campus/portfolio roster; individual building occupancy unverified</x:v>
      </x:c>
      <x:c r="I4164" s="12" t="str">
        <x:v>Mixed business audience</x:v>
      </x:c>
      <x:c r="J4164" s="12" t="str">
        <x:v>Healthcare &amp; life sciences</x:v>
      </x:c>
      <x:c r="K4164" s="2" t="str">
        <x:v>PARTNER-M201</x:v>
      </x:c>
    </x:row>
    <x:row r="4165" ht="46" customHeight="1">
      <x:c r="A4165" s="2" t="str">
        <x:v>TEN-7D924CB86824</x:v>
      </x:c>
      <x:c r="B4165" s="12" t="str">
        <x:v>Inchcape Shipping Services</x:v>
      </x:c>
      <x:c r="C4165" s="12" t="str">
        <x:v>CORP-0619</x:v>
      </x:c>
      <x:c r="D4165" s="12" t="str">
        <x:v>Mumbai</x:v>
      </x:c>
      <x:c r="E4165" s="12" t="str">
        <x:v>Liberty tower</x:v>
      </x:c>
      <x:c r="F4165" s="12" t="str">
        <x:v>55 inch</x:v>
      </x:c>
      <x:c r="G4165" s="20" t="n">
        <x:v>1</x:v>
      </x:c>
      <x:c r="H4165" s="12" t="str">
        <x:v>Campus/portfolio roster; individual building occupancy unverified</x:v>
      </x:c>
      <x:c r="I4165" s="12" t="str">
        <x:v>Mixed business audience</x:v>
      </x:c>
      <x:c r="J4165" s="12" t="str">
        <x:v>Trade, consumer &amp; logistics</x:v>
      </x:c>
      <x:c r="K4165" s="2" t="str">
        <x:v>PARTNER-M201</x:v>
      </x:c>
    </x:row>
    <x:row r="4166" ht="46" customHeight="1">
      <x:c r="A4166" s="2" t="str">
        <x:v>TEN-80E224094D7E</x:v>
      </x:c>
      <x:c r="B4166" s="12" t="str">
        <x:v>Sutherland Global Services</x:v>
      </x:c>
      <x:c r="C4166" s="12" t="str">
        <x:v>CORP-0619</x:v>
      </x:c>
      <x:c r="D4166" s="12" t="str">
        <x:v>Mumbai</x:v>
      </x:c>
      <x:c r="E4166" s="12" t="str">
        <x:v>Liberty tower</x:v>
      </x:c>
      <x:c r="F4166" s="12" t="str">
        <x:v>55 inch</x:v>
      </x:c>
      <x:c r="G4166" s="20" t="n">
        <x:v>1</x:v>
      </x:c>
      <x:c r="H4166" s="12" t="str">
        <x:v>Campus/portfolio roster; individual building occupancy unverified</x:v>
      </x:c>
      <x:c r="I4166" s="12" t="str">
        <x:v>Mixed business audience</x:v>
      </x:c>
      <x:c r="J4166" s="12" t="str">
        <x:v>IT &amp; digital</x:v>
      </x:c>
      <x:c r="K4166" s="2" t="str">
        <x:v>PARTNER-M201</x:v>
      </x:c>
    </x:row>
    <x:row r="4167" ht="46" customHeight="1">
      <x:c r="A4167" s="2" t="str">
        <x:v>TEN-A321F0CAA709</x:v>
      </x:c>
      <x:c r="B4167" s="12" t="str">
        <x:v>Sulzer Tech India Pvt. Ltd</x:v>
      </x:c>
      <x:c r="C4167" s="12" t="str">
        <x:v>CORP-0619</x:v>
      </x:c>
      <x:c r="D4167" s="12" t="str">
        <x:v>Mumbai</x:v>
      </x:c>
      <x:c r="E4167" s="12" t="str">
        <x:v>Liberty tower</x:v>
      </x:c>
      <x:c r="F4167" s="12" t="str">
        <x:v>55 inch</x:v>
      </x:c>
      <x:c r="G4167" s="20" t="n">
        <x:v>1</x:v>
      </x:c>
      <x:c r="H4167" s="12" t="str">
        <x:v>Campus/portfolio roster; individual building occupancy unverified</x:v>
      </x:c>
      <x:c r="I4167" s="12" t="str">
        <x:v>Mixed business audience</x:v>
      </x:c>
      <x:c r="J4167" s="12" t="str">
        <x:v>Engineering &amp; manufacturing</x:v>
      </x:c>
      <x:c r="K4167" s="2" t="str">
        <x:v>PARTNER-M201</x:v>
      </x:c>
    </x:row>
    <x:row r="4168" ht="46" customHeight="1">
      <x:c r="A4168" s="2" t="str">
        <x:v>TEN-BA21AB5B12DA</x:v>
      </x:c>
      <x:c r="B4168" s="12" t="str">
        <x:v>Cytel</x:v>
      </x:c>
      <x:c r="C4168" s="12" t="str">
        <x:v>CORP-0619</x:v>
      </x:c>
      <x:c r="D4168" s="12" t="str">
        <x:v>Mumbai</x:v>
      </x:c>
      <x:c r="E4168" s="12" t="str">
        <x:v>Liberty tower</x:v>
      </x:c>
      <x:c r="F4168" s="12" t="str">
        <x:v>55 inch</x:v>
      </x:c>
      <x:c r="G4168" s="20" t="n">
        <x:v>1</x:v>
      </x:c>
      <x:c r="H4168" s="12" t="str">
        <x:v>Campus/portfolio roster; individual building occupancy unverified</x:v>
      </x:c>
      <x:c r="I4168" s="12" t="str">
        <x:v>Mixed business audience</x:v>
      </x:c>
      <x:c r="J4168" s="12" t="str">
        <x:v>IT &amp; digital</x:v>
      </x:c>
      <x:c r="K4168" s="2" t="str">
        <x:v>PARTNER-M201</x:v>
      </x:c>
    </x:row>
    <x:row r="4169" ht="46" customHeight="1">
      <x:c r="A4169" s="2" t="str">
        <x:v>TEN-CC3B496B4CCE</x:v>
      </x:c>
      <x:c r="B4169" s="12" t="str">
        <x:v>SIFY Technology</x:v>
      </x:c>
      <x:c r="C4169" s="12" t="str">
        <x:v>CORP-0619</x:v>
      </x:c>
      <x:c r="D4169" s="12" t="str">
        <x:v>Mumbai</x:v>
      </x:c>
      <x:c r="E4169" s="12" t="str">
        <x:v>Liberty tower</x:v>
      </x:c>
      <x:c r="F4169" s="12" t="str">
        <x:v>55 inch</x:v>
      </x:c>
      <x:c r="G4169" s="20" t="n">
        <x:v>1</x:v>
      </x:c>
      <x:c r="H4169" s="12" t="str">
        <x:v>Campus/portfolio roster; individual building occupancy unverified</x:v>
      </x:c>
      <x:c r="I4169" s="12" t="str">
        <x:v>Mixed business audience</x:v>
      </x:c>
      <x:c r="J4169" s="12" t="str">
        <x:v>IT &amp; digital</x:v>
      </x:c>
      <x:c r="K4169" s="2" t="str">
        <x:v>PARTNER-M201</x:v>
      </x:c>
    </x:row>
    <x:row r="4170" ht="46" customHeight="1">
      <x:c r="A4170" s="2" t="str">
        <x:v>TEN-ED4F2BE1879B</x:v>
      </x:c>
      <x:c r="B4170" s="12" t="str">
        <x:v>InterProducTec Virtual Labs Pvt. Ltd</x:v>
      </x:c>
      <x:c r="C4170" s="12" t="str">
        <x:v>CORP-0619</x:v>
      </x:c>
      <x:c r="D4170" s="12" t="str">
        <x:v>Mumbai</x:v>
      </x:c>
      <x:c r="E4170" s="12" t="str">
        <x:v>Liberty tower</x:v>
      </x:c>
      <x:c r="F4170" s="12" t="str">
        <x:v>55 inch</x:v>
      </x:c>
      <x:c r="G4170" s="20" t="n">
        <x:v>1</x:v>
      </x:c>
      <x:c r="H4170" s="12" t="str">
        <x:v>Campus/portfolio roster; individual building occupancy unverified</x:v>
      </x:c>
      <x:c r="I4170" s="12" t="str">
        <x:v>Mixed business audience</x:v>
      </x:c>
      <x:c r="J4170" s="12" t="str">
        <x:v>Unresolved</x:v>
      </x:c>
      <x:c r="K4170" s="2" t="str">
        <x:v>PARTNER-M201</x:v>
      </x:c>
    </x:row>
    <x:row r="4171" ht="46" customHeight="1">
      <x:c r="A4171" s="2" t="str">
        <x:v>TEN-03310C19B984</x:v>
      </x:c>
      <x:c r="B4171" s="12" t="str">
        <x:v>WebMD</x:v>
      </x:c>
      <x:c r="C4171" s="12" t="str">
        <x:v>CORP-0620</x:v>
      </x:c>
      <x:c r="D4171" s="12" t="str">
        <x:v>Mumbai</x:v>
      </x:c>
      <x:c r="E4171" s="12" t="str">
        <x:v>Reliable Plaza</x:v>
      </x:c>
      <x:c r="F4171" s="12" t="str">
        <x:v>55 inch</x:v>
      </x:c>
      <x:c r="G4171" s="20" t="n">
        <x:v>1</x:v>
      </x:c>
      <x:c r="H4171" s="12" t="str">
        <x:v>Campus/portfolio roster; individual building occupancy unverified</x:v>
      </x:c>
      <x:c r="I4171" s="12" t="str">
        <x:v>Mixed business audience</x:v>
      </x:c>
      <x:c r="J4171" s="12" t="str">
        <x:v>Healthcare &amp; life sciences</x:v>
      </x:c>
      <x:c r="K4171" s="2" t="str">
        <x:v>PARTNER-M203</x:v>
      </x:c>
    </x:row>
    <x:row r="4172" ht="46" customHeight="1">
      <x:c r="A4172" s="2" t="str">
        <x:v>TEN-4BC4BBB1EBF1</x:v>
      </x:c>
      <x:c r="B4172" s="12" t="str">
        <x:v>Reliable Cloud City pvt</x:v>
      </x:c>
      <x:c r="C4172" s="12" t="str">
        <x:v>CORP-0620</x:v>
      </x:c>
      <x:c r="D4172" s="12" t="str">
        <x:v>Mumbai</x:v>
      </x:c>
      <x:c r="E4172" s="12" t="str">
        <x:v>Reliable Plaza</x:v>
      </x:c>
      <x:c r="F4172" s="12" t="str">
        <x:v>55 inch</x:v>
      </x:c>
      <x:c r="G4172" s="20" t="n">
        <x:v>1</x:v>
      </x:c>
      <x:c r="H4172" s="12" t="str">
        <x:v>Campus/portfolio roster; individual building occupancy unverified</x:v>
      </x:c>
      <x:c r="I4172" s="12" t="str">
        <x:v>Small-scale prospects</x:v>
      </x:c>
      <x:c r="J4172" s="12" t="str">
        <x:v>IT &amp; digital</x:v>
      </x:c>
      <x:c r="K4172" s="2" t="str">
        <x:v>PARTNER-M203</x:v>
      </x:c>
    </x:row>
    <x:row r="4173" ht="46" customHeight="1">
      <x:c r="A4173" s="2" t="str">
        <x:v>TEN-7A3BF6233C80</x:v>
      </x:c>
      <x:c r="B4173" s="12" t="str">
        <x:v>Bharat Serums and Vaccines Limited</x:v>
      </x:c>
      <x:c r="C4173" s="12" t="str">
        <x:v>CORP-0620</x:v>
      </x:c>
      <x:c r="D4173" s="12" t="str">
        <x:v>Mumbai</x:v>
      </x:c>
      <x:c r="E4173" s="12" t="str">
        <x:v>Reliable Plaza</x:v>
      </x:c>
      <x:c r="F4173" s="12" t="str">
        <x:v>55 inch</x:v>
      </x:c>
      <x:c r="G4173" s="20" t="n">
        <x:v>1</x:v>
      </x:c>
      <x:c r="H4173" s="12" t="str">
        <x:v>Campus/portfolio roster; individual building occupancy unverified</x:v>
      </x:c>
      <x:c r="I4173" s="12" t="str">
        <x:v>Mixed business audience</x:v>
      </x:c>
      <x:c r="J4173" s="12" t="str">
        <x:v>Healthcare &amp; life sciences</x:v>
      </x:c>
      <x:c r="K4173" s="2" t="str">
        <x:v>PARTNER-M203</x:v>
      </x:c>
    </x:row>
    <x:row r="4174" ht="46" customHeight="1">
      <x:c r="A4174" s="2" t="str">
        <x:v>TEN-ED4F2BE1879B</x:v>
      </x:c>
      <x:c r="B4174" s="12" t="str">
        <x:v>InterProducTec Virtual Labs Pvt. Ltd</x:v>
      </x:c>
      <x:c r="C4174" s="12" t="str">
        <x:v>CORP-0620</x:v>
      </x:c>
      <x:c r="D4174" s="12" t="str">
        <x:v>Mumbai</x:v>
      </x:c>
      <x:c r="E4174" s="12" t="str">
        <x:v>Reliable Plaza</x:v>
      </x:c>
      <x:c r="F4174" s="12" t="str">
        <x:v>55 inch</x:v>
      </x:c>
      <x:c r="G4174" s="20" t="n">
        <x:v>1</x:v>
      </x:c>
      <x:c r="H4174" s="12" t="str">
        <x:v>Campus/portfolio roster; individual building occupancy unverified</x:v>
      </x:c>
      <x:c r="I4174" s="12" t="str">
        <x:v>Mixed business audience</x:v>
      </x:c>
      <x:c r="J4174" s="12" t="str">
        <x:v>Unresolved</x:v>
      </x:c>
      <x:c r="K4174" s="2" t="str">
        <x:v>PARTNER-M203</x:v>
      </x:c>
    </x:row>
    <x:row r="4175" ht="46" customHeight="1">
      <x:c r="A4175" s="2" t="str">
        <x:v>TEN-03310C19B984</x:v>
      </x:c>
      <x:c r="B4175" s="12" t="str">
        <x:v>WebMD</x:v>
      </x:c>
      <x:c r="C4175" s="12" t="str">
        <x:v>CORP-0621</x:v>
      </x:c>
      <x:c r="D4175" s="12" t="str">
        <x:v>Mumbai</x:v>
      </x:c>
      <x:c r="E4175" s="12" t="str">
        <x:v>Reliable Plaza</x:v>
      </x:c>
      <x:c r="F4175" s="12" t="str">
        <x:v>55 inch</x:v>
      </x:c>
      <x:c r="G4175" s="20" t="n">
        <x:v>1</x:v>
      </x:c>
      <x:c r="H4175" s="12" t="str">
        <x:v>Campus/portfolio roster; individual building occupancy unverified</x:v>
      </x:c>
      <x:c r="I4175" s="12" t="str">
        <x:v>Mixed business audience</x:v>
      </x:c>
      <x:c r="J4175" s="12" t="str">
        <x:v>Healthcare &amp; life sciences</x:v>
      </x:c>
      <x:c r="K4175" s="2" t="str">
        <x:v>PARTNER-M203</x:v>
      </x:c>
    </x:row>
    <x:row r="4176" ht="46" customHeight="1">
      <x:c r="A4176" s="2" t="str">
        <x:v>TEN-4BC4BBB1EBF1</x:v>
      </x:c>
      <x:c r="B4176" s="12" t="str">
        <x:v>Reliable Cloud City pvt</x:v>
      </x:c>
      <x:c r="C4176" s="12" t="str">
        <x:v>CORP-0621</x:v>
      </x:c>
      <x:c r="D4176" s="12" t="str">
        <x:v>Mumbai</x:v>
      </x:c>
      <x:c r="E4176" s="12" t="str">
        <x:v>Reliable Plaza</x:v>
      </x:c>
      <x:c r="F4176" s="12" t="str">
        <x:v>55 inch</x:v>
      </x:c>
      <x:c r="G4176" s="20" t="n">
        <x:v>1</x:v>
      </x:c>
      <x:c r="H4176" s="12" t="str">
        <x:v>Campus/portfolio roster; individual building occupancy unverified</x:v>
      </x:c>
      <x:c r="I4176" s="12" t="str">
        <x:v>Small-scale prospects</x:v>
      </x:c>
      <x:c r="J4176" s="12" t="str">
        <x:v>IT &amp; digital</x:v>
      </x:c>
      <x:c r="K4176" s="2" t="str">
        <x:v>PARTNER-M203</x:v>
      </x:c>
    </x:row>
    <x:row r="4177" ht="46" customHeight="1">
      <x:c r="A4177" s="2" t="str">
        <x:v>TEN-7A3BF6233C80</x:v>
      </x:c>
      <x:c r="B4177" s="12" t="str">
        <x:v>Bharat Serums and Vaccines Limited</x:v>
      </x:c>
      <x:c r="C4177" s="12" t="str">
        <x:v>CORP-0621</x:v>
      </x:c>
      <x:c r="D4177" s="12" t="str">
        <x:v>Mumbai</x:v>
      </x:c>
      <x:c r="E4177" s="12" t="str">
        <x:v>Reliable Plaza</x:v>
      </x:c>
      <x:c r="F4177" s="12" t="str">
        <x:v>55 inch</x:v>
      </x:c>
      <x:c r="G4177" s="20" t="n">
        <x:v>1</x:v>
      </x:c>
      <x:c r="H4177" s="12" t="str">
        <x:v>Campus/portfolio roster; individual building occupancy unverified</x:v>
      </x:c>
      <x:c r="I4177" s="12" t="str">
        <x:v>Mixed business audience</x:v>
      </x:c>
      <x:c r="J4177" s="12" t="str">
        <x:v>Healthcare &amp; life sciences</x:v>
      </x:c>
      <x:c r="K4177" s="2" t="str">
        <x:v>PARTNER-M203</x:v>
      </x:c>
    </x:row>
    <x:row r="4178" ht="46" customHeight="1">
      <x:c r="A4178" s="2" t="str">
        <x:v>TEN-ED4F2BE1879B</x:v>
      </x:c>
      <x:c r="B4178" s="12" t="str">
        <x:v>InterProducTec Virtual Labs Pvt. Ltd</x:v>
      </x:c>
      <x:c r="C4178" s="12" t="str">
        <x:v>CORP-0621</x:v>
      </x:c>
      <x:c r="D4178" s="12" t="str">
        <x:v>Mumbai</x:v>
      </x:c>
      <x:c r="E4178" s="12" t="str">
        <x:v>Reliable Plaza</x:v>
      </x:c>
      <x:c r="F4178" s="12" t="str">
        <x:v>55 inch</x:v>
      </x:c>
      <x:c r="G4178" s="20" t="n">
        <x:v>1</x:v>
      </x:c>
      <x:c r="H4178" s="12" t="str">
        <x:v>Campus/portfolio roster; individual building occupancy unverified</x:v>
      </x:c>
      <x:c r="I4178" s="12" t="str">
        <x:v>Mixed business audience</x:v>
      </x:c>
      <x:c r="J4178" s="12" t="str">
        <x:v>Unresolved</x:v>
      </x:c>
      <x:c r="K4178" s="2" t="str">
        <x:v>PARTNER-M203</x:v>
      </x:c>
    </x:row>
    <x:row r="4179" ht="46" customHeight="1">
      <x:c r="A4179" s="2" t="str">
        <x:v>TEN-127B47622F3A</x:v>
      </x:c>
      <x:c r="B4179" s="12" t="str">
        <x:v>ZTE INDIA</x:v>
      </x:c>
      <x:c r="C4179" s="12" t="str">
        <x:v>CORP-0622</x:v>
      </x:c>
      <x:c r="D4179" s="12" t="str">
        <x:v>Mumbai</x:v>
      </x:c>
      <x:c r="E4179" s="12" t="str">
        <x:v>Rupa Solitaire</x:v>
      </x:c>
      <x:c r="F4179" s="12" t="str">
        <x:v>55 inch</x:v>
      </x:c>
      <x:c r="G4179" s="20" t="n">
        <x:v>1</x:v>
      </x:c>
      <x:c r="H4179" s="12" t="str">
        <x:v>Campus/portfolio roster; individual building occupancy unverified</x:v>
      </x:c>
      <x:c r="I4179" s="12" t="str">
        <x:v>Mixed business audience</x:v>
      </x:c>
      <x:c r="J4179" s="12" t="str">
        <x:v>Engineering &amp; manufacturing</x:v>
      </x:c>
      <x:c r="K4179" s="2" t="str">
        <x:v>PARTNER-M205</x:v>
      </x:c>
    </x:row>
    <x:row r="4180" ht="46" customHeight="1">
      <x:c r="A4180" s="2" t="str">
        <x:v>TEN-15C760D67D1D</x:v>
      </x:c>
      <x:c r="B4180" s="12" t="str">
        <x:v>Ascra Technologies</x:v>
      </x:c>
      <x:c r="C4180" s="12" t="str">
        <x:v>CORP-0622</x:v>
      </x:c>
      <x:c r="D4180" s="12" t="str">
        <x:v>Mumbai</x:v>
      </x:c>
      <x:c r="E4180" s="12" t="str">
        <x:v>Rupa Solitaire</x:v>
      </x:c>
      <x:c r="F4180" s="12" t="str">
        <x:v>55 inch</x:v>
      </x:c>
      <x:c r="G4180" s="20" t="n">
        <x:v>1</x:v>
      </x:c>
      <x:c r="H4180" s="12" t="str">
        <x:v>Campus/portfolio roster; individual building occupancy unverified</x:v>
      </x:c>
      <x:c r="I4180" s="12" t="str">
        <x:v>Small-scale prospects</x:v>
      </x:c>
      <x:c r="J4180" s="12" t="str">
        <x:v>IT &amp; digital</x:v>
      </x:c>
      <x:c r="K4180" s="2" t="str">
        <x:v>PARTNER-M205</x:v>
      </x:c>
    </x:row>
    <x:row r="4181" ht="46" customHeight="1">
      <x:c r="A4181" s="2" t="str">
        <x:v>TEN-1E42D3AD0FD0</x:v>
      </x:c>
      <x:c r="B4181" s="12" t="str">
        <x:v>Linde India Limited</x:v>
      </x:c>
      <x:c r="C4181" s="12" t="str">
        <x:v>CORP-0622</x:v>
      </x:c>
      <x:c r="D4181" s="12" t="str">
        <x:v>Mumbai</x:v>
      </x:c>
      <x:c r="E4181" s="12" t="str">
        <x:v>Rupa Solitaire</x:v>
      </x:c>
      <x:c r="F4181" s="12" t="str">
        <x:v>55 inch</x:v>
      </x:c>
      <x:c r="G4181" s="20" t="n">
        <x:v>1</x:v>
      </x:c>
      <x:c r="H4181" s="12" t="str">
        <x:v>Campus/portfolio roster; individual building occupancy unverified</x:v>
      </x:c>
      <x:c r="I4181" s="12" t="str">
        <x:v>Mixed business audience</x:v>
      </x:c>
      <x:c r="J4181" s="12" t="str">
        <x:v>Engineering &amp; manufacturing</x:v>
      </x:c>
      <x:c r="K4181" s="2" t="str">
        <x:v>PARTNER-M205</x:v>
      </x:c>
    </x:row>
    <x:row r="4182" ht="46" customHeight="1">
      <x:c r="A4182" s="2" t="str">
        <x:v>TEN-2D454207B572</x:v>
      </x:c>
      <x:c r="B4182" s="12" t="str">
        <x:v>Marquis Technologies</x:v>
      </x:c>
      <x:c r="C4182" s="12" t="str">
        <x:v>CORP-0622</x:v>
      </x:c>
      <x:c r="D4182" s="12" t="str">
        <x:v>Mumbai</x:v>
      </x:c>
      <x:c r="E4182" s="12" t="str">
        <x:v>Rupa Solitaire</x:v>
      </x:c>
      <x:c r="F4182" s="12" t="str">
        <x:v>55 inch</x:v>
      </x:c>
      <x:c r="G4182" s="20" t="n">
        <x:v>1</x:v>
      </x:c>
      <x:c r="H4182" s="12" t="str">
        <x:v>Campus/portfolio roster; individual building occupancy unverified</x:v>
      </x:c>
      <x:c r="I4182" s="12" t="str">
        <x:v>Mixed business audience</x:v>
      </x:c>
      <x:c r="J4182" s="12" t="str">
        <x:v>Unresolved</x:v>
      </x:c>
      <x:c r="K4182" s="2" t="str">
        <x:v>PARTNER-M205</x:v>
      </x:c>
    </x:row>
    <x:row r="4183" ht="46" customHeight="1">
      <x:c r="A4183" s="2" t="str">
        <x:v>TEN-4337D4E769C7</x:v>
      </x:c>
      <x:c r="B4183" s="12" t="str">
        <x:v>Object Edge</x:v>
      </x:c>
      <x:c r="C4183" s="12" t="str">
        <x:v>CORP-0622</x:v>
      </x:c>
      <x:c r="D4183" s="12" t="str">
        <x:v>Mumbai</x:v>
      </x:c>
      <x:c r="E4183" s="12" t="str">
        <x:v>Rupa Solitaire</x:v>
      </x:c>
      <x:c r="F4183" s="12" t="str">
        <x:v>55 inch</x:v>
      </x:c>
      <x:c r="G4183" s="20" t="n">
        <x:v>1</x:v>
      </x:c>
      <x:c r="H4183" s="12" t="str">
        <x:v>Campus/portfolio roster; individual building occupancy unverified</x:v>
      </x:c>
      <x:c r="I4183" s="12" t="str">
        <x:v>Small-scale prospects</x:v>
      </x:c>
      <x:c r="J4183" s="12" t="str">
        <x:v>IT &amp; digital</x:v>
      </x:c>
      <x:c r="K4183" s="2" t="str">
        <x:v>PARTNER-M205</x:v>
      </x:c>
    </x:row>
    <x:row r="4184" ht="46" customHeight="1">
      <x:c r="A4184" s="2" t="str">
        <x:v>TEN-553E661E9572</x:v>
      </x:c>
      <x:c r="B4184" s="12" t="str">
        <x:v>Alumayer</x:v>
      </x:c>
      <x:c r="C4184" s="12" t="str">
        <x:v>CORP-0622</x:v>
      </x:c>
      <x:c r="D4184" s="12" t="str">
        <x:v>Mumbai</x:v>
      </x:c>
      <x:c r="E4184" s="12" t="str">
        <x:v>Rupa Solitaire</x:v>
      </x:c>
      <x:c r="F4184" s="12" t="str">
        <x:v>55 inch</x:v>
      </x:c>
      <x:c r="G4184" s="20" t="n">
        <x:v>1</x:v>
      </x:c>
      <x:c r="H4184" s="12" t="str">
        <x:v>Campus/portfolio roster; individual building occupancy unverified</x:v>
      </x:c>
      <x:c r="I4184" s="12" t="str">
        <x:v>Medium-scale prospects</x:v>
      </x:c>
      <x:c r="J4184" s="12" t="str">
        <x:v>Engineering &amp; manufacturing</x:v>
      </x:c>
      <x:c r="K4184" s="2" t="str">
        <x:v>PARTNER-M205</x:v>
      </x:c>
    </x:row>
    <x:row r="4185" ht="46" customHeight="1">
      <x:c r="A4185" s="2" t="str">
        <x:v>TEN-5F95F2022E30</x:v>
      </x:c>
      <x:c r="B4185" s="12" t="str">
        <x:v>Sarla Advantech Pvt. Ltd</x:v>
      </x:c>
      <x:c r="C4185" s="12" t="str">
        <x:v>CORP-0622</x:v>
      </x:c>
      <x:c r="D4185" s="12" t="str">
        <x:v>Mumbai</x:v>
      </x:c>
      <x:c r="E4185" s="12" t="str">
        <x:v>Rupa Solitaire</x:v>
      </x:c>
      <x:c r="F4185" s="12" t="str">
        <x:v>55 inch</x:v>
      </x:c>
      <x:c r="G4185" s="20" t="n">
        <x:v>1</x:v>
      </x:c>
      <x:c r="H4185" s="12" t="str">
        <x:v>Campus/portfolio roster; individual building occupancy unverified</x:v>
      </x:c>
      <x:c r="I4185" s="12" t="str">
        <x:v>Small-scale prospects</x:v>
      </x:c>
      <x:c r="J4185" s="12" t="str">
        <x:v>IT &amp; digital</x:v>
      </x:c>
      <x:c r="K4185" s="2" t="str">
        <x:v>PARTNER-M205</x:v>
      </x:c>
    </x:row>
    <x:row r="4186" ht="46" customHeight="1">
      <x:c r="A4186" s="2" t="str">
        <x:v>TEN-784276C71673</x:v>
      </x:c>
      <x:c r="B4186" s="12" t="str">
        <x:v>Mavenir Systems</x:v>
      </x:c>
      <x:c r="C4186" s="12" t="str">
        <x:v>CORP-0622</x:v>
      </x:c>
      <x:c r="D4186" s="12" t="str">
        <x:v>Mumbai</x:v>
      </x:c>
      <x:c r="E4186" s="12" t="str">
        <x:v>Rupa Solitaire</x:v>
      </x:c>
      <x:c r="F4186" s="12" t="str">
        <x:v>55 inch</x:v>
      </x:c>
      <x:c r="G4186" s="20" t="n">
        <x:v>1</x:v>
      </x:c>
      <x:c r="H4186" s="12" t="str">
        <x:v>Campus/portfolio roster; individual building occupancy unverified</x:v>
      </x:c>
      <x:c r="I4186" s="12" t="str">
        <x:v>Mixed business audience</x:v>
      </x:c>
      <x:c r="J4186" s="12" t="str">
        <x:v>IT &amp; digital</x:v>
      </x:c>
      <x:c r="K4186" s="2" t="str">
        <x:v>PARTNER-M205</x:v>
      </x:c>
    </x:row>
    <x:row r="4187" ht="46" customHeight="1">
      <x:c r="A4187" s="2" t="str">
        <x:v>TEN-7D3893B5DA94</x:v>
      </x:c>
      <x:c r="B4187" s="12" t="str">
        <x:v>G4K Solutions Pvt. Ltd</x:v>
      </x:c>
      <x:c r="C4187" s="12" t="str">
        <x:v>CORP-0622</x:v>
      </x:c>
      <x:c r="D4187" s="12" t="str">
        <x:v>Mumbai</x:v>
      </x:c>
      <x:c r="E4187" s="12" t="str">
        <x:v>Rupa Solitaire</x:v>
      </x:c>
      <x:c r="F4187" s="12" t="str">
        <x:v>55 inch</x:v>
      </x:c>
      <x:c r="G4187" s="20" t="n">
        <x:v>1</x:v>
      </x:c>
      <x:c r="H4187" s="12" t="str">
        <x:v>Campus/portfolio roster; individual building occupancy unverified</x:v>
      </x:c>
      <x:c r="I4187" s="12" t="str">
        <x:v>Mixed business audience</x:v>
      </x:c>
      <x:c r="J4187" s="12" t="str">
        <x:v>Unresolved</x:v>
      </x:c>
      <x:c r="K4187" s="2" t="str">
        <x:v>PARTNER-M205</x:v>
      </x:c>
    </x:row>
    <x:row r="4188" ht="46" customHeight="1">
      <x:c r="A4188" s="2" t="str">
        <x:v>TEN-85645F258252</x:v>
      </x:c>
      <x:c r="B4188" s="12" t="str">
        <x:v>WEBTELINDIA</x:v>
      </x:c>
      <x:c r="C4188" s="12" t="str">
        <x:v>CORP-0622</x:v>
      </x:c>
      <x:c r="D4188" s="12" t="str">
        <x:v>Mumbai</x:v>
      </x:c>
      <x:c r="E4188" s="12" t="str">
        <x:v>Rupa Solitaire</x:v>
      </x:c>
      <x:c r="F4188" s="12" t="str">
        <x:v>55 inch</x:v>
      </x:c>
      <x:c r="G4188" s="20" t="n">
        <x:v>1</x:v>
      </x:c>
      <x:c r="H4188" s="12" t="str">
        <x:v>Campus/portfolio roster; individual building occupancy unverified</x:v>
      </x:c>
      <x:c r="I4188" s="12" t="str">
        <x:v>Small-scale prospects</x:v>
      </x:c>
      <x:c r="J4188" s="12" t="str">
        <x:v>IT &amp; digital</x:v>
      </x:c>
      <x:c r="K4188" s="2" t="str">
        <x:v>PARTNER-M205</x:v>
      </x:c>
    </x:row>
    <x:row r="4189" ht="46" customHeight="1">
      <x:c r="A4189" s="2" t="str">
        <x:v>TEN-8EFC3B922572</x:v>
      </x:c>
      <x:c r="B4189" s="12" t="str">
        <x:v>Flagship Biotech International Private Limited</x:v>
      </x:c>
      <x:c r="C4189" s="12" t="str">
        <x:v>CORP-0622</x:v>
      </x:c>
      <x:c r="D4189" s="12" t="str">
        <x:v>Mumbai</x:v>
      </x:c>
      <x:c r="E4189" s="12" t="str">
        <x:v>Rupa Solitaire</x:v>
      </x:c>
      <x:c r="F4189" s="12" t="str">
        <x:v>55 inch</x:v>
      </x:c>
      <x:c r="G4189" s="20" t="n">
        <x:v>1</x:v>
      </x:c>
      <x:c r="H4189" s="12" t="str">
        <x:v>Campus/portfolio roster; individual building occupancy unverified</x:v>
      </x:c>
      <x:c r="I4189" s="12" t="str">
        <x:v>Medium-scale prospects</x:v>
      </x:c>
      <x:c r="J4189" s="12" t="str">
        <x:v>Healthcare &amp; life sciences</x:v>
      </x:c>
      <x:c r="K4189" s="2" t="str">
        <x:v>PARTNER-M205</x:v>
      </x:c>
    </x:row>
    <x:row r="4190" ht="46" customHeight="1">
      <x:c r="A4190" s="2" t="str">
        <x:v>TEN-9EAAB7C5C964</x:v>
      </x:c>
      <x:c r="B4190" s="12" t="str">
        <x:v>Rein Labs</x:v>
      </x:c>
      <x:c r="C4190" s="12" t="str">
        <x:v>CORP-0622</x:v>
      </x:c>
      <x:c r="D4190" s="12" t="str">
        <x:v>Mumbai</x:v>
      </x:c>
      <x:c r="E4190" s="12" t="str">
        <x:v>Rupa Solitaire</x:v>
      </x:c>
      <x:c r="F4190" s="12" t="str">
        <x:v>55 inch</x:v>
      </x:c>
      <x:c r="G4190" s="20" t="n">
        <x:v>1</x:v>
      </x:c>
      <x:c r="H4190" s="12" t="str">
        <x:v>Campus/portfolio roster; individual building occupancy unverified</x:v>
      </x:c>
      <x:c r="I4190" s="12" t="str">
        <x:v>Mixed business audience</x:v>
      </x:c>
      <x:c r="J4190" s="12" t="str">
        <x:v>Unresolved</x:v>
      </x:c>
      <x:c r="K4190" s="2" t="str">
        <x:v>PARTNER-M205</x:v>
      </x:c>
    </x:row>
    <x:row r="4191" ht="46" customHeight="1">
      <x:c r="A4191" s="2" t="str">
        <x:v>TEN-B5671F0D45A2</x:v>
      </x:c>
      <x:c r="B4191" s="12" t="str">
        <x:v>Value Loans</x:v>
      </x:c>
      <x:c r="C4191" s="12" t="str">
        <x:v>CORP-0622</x:v>
      </x:c>
      <x:c r="D4191" s="12" t="str">
        <x:v>Mumbai</x:v>
      </x:c>
      <x:c r="E4191" s="12" t="str">
        <x:v>Rupa Solitaire</x:v>
      </x:c>
      <x:c r="F4191" s="12" t="str">
        <x:v>55 inch</x:v>
      </x:c>
      <x:c r="G4191" s="20" t="n">
        <x:v>1</x:v>
      </x:c>
      <x:c r="H4191" s="12" t="str">
        <x:v>Campus/portfolio roster; individual building occupancy unverified</x:v>
      </x:c>
      <x:c r="I4191" s="12" t="str">
        <x:v>Medium-scale prospects</x:v>
      </x:c>
      <x:c r="J4191" s="12" t="str">
        <x:v>Finance &amp; insurance</x:v>
      </x:c>
      <x:c r="K4191" s="2" t="str">
        <x:v>PARTNER-M205</x:v>
      </x:c>
    </x:row>
    <x:row r="4192" ht="46" customHeight="1">
      <x:c r="A4192" s="2" t="str">
        <x:v>TEN-B76D588EDAE8</x:v>
      </x:c>
      <x:c r="B4192" s="12" t="str">
        <x:v>XL Dynamics India Private Limited</x:v>
      </x:c>
      <x:c r="C4192" s="12" t="str">
        <x:v>CORP-0622</x:v>
      </x:c>
      <x:c r="D4192" s="12" t="str">
        <x:v>Mumbai</x:v>
      </x:c>
      <x:c r="E4192" s="12" t="str">
        <x:v>Rupa Solitaire</x:v>
      </x:c>
      <x:c r="F4192" s="12" t="str">
        <x:v>55 inch</x:v>
      </x:c>
      <x:c r="G4192" s="20" t="n">
        <x:v>1</x:v>
      </x:c>
      <x:c r="H4192" s="12" t="str">
        <x:v>Campus/portfolio roster; individual building occupancy unverified</x:v>
      </x:c>
      <x:c r="I4192" s="12" t="str">
        <x:v>Small-scale prospects</x:v>
      </x:c>
      <x:c r="J4192" s="12" t="str">
        <x:v>IT &amp; digital</x:v>
      </x:c>
      <x:c r="K4192" s="2" t="str">
        <x:v>PARTNER-M205</x:v>
      </x:c>
    </x:row>
    <x:row r="4193" ht="46" customHeight="1">
      <x:c r="A4193" s="2" t="str">
        <x:v>TEN-D8F6D49FF41D</x:v>
      </x:c>
      <x:c r="B4193" s="12" t="str">
        <x:v>MindCraft Software Pvt. Ltd</x:v>
      </x:c>
      <x:c r="C4193" s="12" t="str">
        <x:v>CORP-0622</x:v>
      </x:c>
      <x:c r="D4193" s="12" t="str">
        <x:v>Mumbai</x:v>
      </x:c>
      <x:c r="E4193" s="12" t="str">
        <x:v>Rupa Solitaire</x:v>
      </x:c>
      <x:c r="F4193" s="12" t="str">
        <x:v>55 inch</x:v>
      </x:c>
      <x:c r="G4193" s="20" t="n">
        <x:v>1</x:v>
      </x:c>
      <x:c r="H4193" s="12" t="str">
        <x:v>Campus/portfolio roster; individual building occupancy unverified</x:v>
      </x:c>
      <x:c r="I4193" s="12" t="str">
        <x:v>Small-scale prospects</x:v>
      </x:c>
      <x:c r="J4193" s="12" t="str">
        <x:v>IT &amp; digital</x:v>
      </x:c>
      <x:c r="K4193" s="2" t="str">
        <x:v>PARTNER-M205</x:v>
      </x:c>
    </x:row>
    <x:row r="4194" ht="46" customHeight="1">
      <x:c r="A4194" s="2" t="str">
        <x:v>TEN-E8D6DDD422B5</x:v>
      </x:c>
      <x:c r="B4194" s="12" t="str">
        <x:v>Orient Technologies</x:v>
      </x:c>
      <x:c r="C4194" s="12" t="str">
        <x:v>CORP-0622</x:v>
      </x:c>
      <x:c r="D4194" s="12" t="str">
        <x:v>Mumbai</x:v>
      </x:c>
      <x:c r="E4194" s="12" t="str">
        <x:v>Rupa Solitaire</x:v>
      </x:c>
      <x:c r="F4194" s="12" t="str">
        <x:v>55 inch</x:v>
      </x:c>
      <x:c r="G4194" s="20" t="n">
        <x:v>1</x:v>
      </x:c>
      <x:c r="H4194" s="12" t="str">
        <x:v>Campus/portfolio roster; individual building occupancy unverified</x:v>
      </x:c>
      <x:c r="I4194" s="12" t="str">
        <x:v>Mixed business audience</x:v>
      </x:c>
      <x:c r="J4194" s="12" t="str">
        <x:v>IT &amp; digital</x:v>
      </x:c>
      <x:c r="K4194" s="2" t="str">
        <x:v>PARTNER-M205</x:v>
      </x:c>
    </x:row>
    <x:row r="4195" ht="46" customHeight="1">
      <x:c r="A4195" s="2" t="str">
        <x:v>TEN-F1CCD67C8E7F</x:v>
      </x:c>
      <x:c r="B4195" s="12" t="str">
        <x:v>IcruxSystem Pvt. Ltd</x:v>
      </x:c>
      <x:c r="C4195" s="12" t="str">
        <x:v>CORP-0622</x:v>
      </x:c>
      <x:c r="D4195" s="12" t="str">
        <x:v>Mumbai</x:v>
      </x:c>
      <x:c r="E4195" s="12" t="str">
        <x:v>Rupa Solitaire</x:v>
      </x:c>
      <x:c r="F4195" s="12" t="str">
        <x:v>55 inch</x:v>
      </x:c>
      <x:c r="G4195" s="20" t="n">
        <x:v>1</x:v>
      </x:c>
      <x:c r="H4195" s="12" t="str">
        <x:v>Campus/portfolio roster; individual building occupancy unverified</x:v>
      </x:c>
      <x:c r="I4195" s="12" t="str">
        <x:v>Mixed business audience</x:v>
      </x:c>
      <x:c r="J4195" s="12" t="str">
        <x:v>Unresolved</x:v>
      </x:c>
      <x:c r="K4195" s="2" t="str">
        <x:v>PARTNER-M205</x:v>
      </x:c>
    </x:row>
    <x:row r="4196" ht="46" customHeight="1">
      <x:c r="A4196" s="2" t="str">
        <x:v>TEN-127B47622F3A</x:v>
      </x:c>
      <x:c r="B4196" s="12" t="str">
        <x:v>ZTE INDIA</x:v>
      </x:c>
      <x:c r="C4196" s="12" t="str">
        <x:v>CORP-0623</x:v>
      </x:c>
      <x:c r="D4196" s="12" t="str">
        <x:v>Mumbai</x:v>
      </x:c>
      <x:c r="E4196" s="12" t="str">
        <x:v>Rupa Solitaire</x:v>
      </x:c>
      <x:c r="F4196" s="12" t="str">
        <x:v>55 inch</x:v>
      </x:c>
      <x:c r="G4196" s="20" t="n">
        <x:v>1</x:v>
      </x:c>
      <x:c r="H4196" s="12" t="str">
        <x:v>Campus/portfolio roster; individual building occupancy unverified</x:v>
      </x:c>
      <x:c r="I4196" s="12" t="str">
        <x:v>Mixed business audience</x:v>
      </x:c>
      <x:c r="J4196" s="12" t="str">
        <x:v>Engineering &amp; manufacturing</x:v>
      </x:c>
      <x:c r="K4196" s="2" t="str">
        <x:v>PARTNER-M205</x:v>
      </x:c>
    </x:row>
    <x:row r="4197" ht="46" customHeight="1">
      <x:c r="A4197" s="2" t="str">
        <x:v>TEN-15C760D67D1D</x:v>
      </x:c>
      <x:c r="B4197" s="12" t="str">
        <x:v>Ascra Technologies</x:v>
      </x:c>
      <x:c r="C4197" s="12" t="str">
        <x:v>CORP-0623</x:v>
      </x:c>
      <x:c r="D4197" s="12" t="str">
        <x:v>Mumbai</x:v>
      </x:c>
      <x:c r="E4197" s="12" t="str">
        <x:v>Rupa Solitaire</x:v>
      </x:c>
      <x:c r="F4197" s="12" t="str">
        <x:v>55 inch</x:v>
      </x:c>
      <x:c r="G4197" s="20" t="n">
        <x:v>1</x:v>
      </x:c>
      <x:c r="H4197" s="12" t="str">
        <x:v>Campus/portfolio roster; individual building occupancy unverified</x:v>
      </x:c>
      <x:c r="I4197" s="12" t="str">
        <x:v>Small-scale prospects</x:v>
      </x:c>
      <x:c r="J4197" s="12" t="str">
        <x:v>IT &amp; digital</x:v>
      </x:c>
      <x:c r="K4197" s="2" t="str">
        <x:v>PARTNER-M205</x:v>
      </x:c>
    </x:row>
    <x:row r="4198" ht="46" customHeight="1">
      <x:c r="A4198" s="2" t="str">
        <x:v>TEN-1E42D3AD0FD0</x:v>
      </x:c>
      <x:c r="B4198" s="12" t="str">
        <x:v>Linde India Limited</x:v>
      </x:c>
      <x:c r="C4198" s="12" t="str">
        <x:v>CORP-0623</x:v>
      </x:c>
      <x:c r="D4198" s="12" t="str">
        <x:v>Mumbai</x:v>
      </x:c>
      <x:c r="E4198" s="12" t="str">
        <x:v>Rupa Solitaire</x:v>
      </x:c>
      <x:c r="F4198" s="12" t="str">
        <x:v>55 inch</x:v>
      </x:c>
      <x:c r="G4198" s="20" t="n">
        <x:v>1</x:v>
      </x:c>
      <x:c r="H4198" s="12" t="str">
        <x:v>Campus/portfolio roster; individual building occupancy unverified</x:v>
      </x:c>
      <x:c r="I4198" s="12" t="str">
        <x:v>Mixed business audience</x:v>
      </x:c>
      <x:c r="J4198" s="12" t="str">
        <x:v>Engineering &amp; manufacturing</x:v>
      </x:c>
      <x:c r="K4198" s="2" t="str">
        <x:v>PARTNER-M205</x:v>
      </x:c>
    </x:row>
    <x:row r="4199" ht="46" customHeight="1">
      <x:c r="A4199" s="2" t="str">
        <x:v>TEN-2D454207B572</x:v>
      </x:c>
      <x:c r="B4199" s="12" t="str">
        <x:v>Marquis Technologies</x:v>
      </x:c>
      <x:c r="C4199" s="12" t="str">
        <x:v>CORP-0623</x:v>
      </x:c>
      <x:c r="D4199" s="12" t="str">
        <x:v>Mumbai</x:v>
      </x:c>
      <x:c r="E4199" s="12" t="str">
        <x:v>Rupa Solitaire</x:v>
      </x:c>
      <x:c r="F4199" s="12" t="str">
        <x:v>55 inch</x:v>
      </x:c>
      <x:c r="G4199" s="20" t="n">
        <x:v>1</x:v>
      </x:c>
      <x:c r="H4199" s="12" t="str">
        <x:v>Campus/portfolio roster; individual building occupancy unverified</x:v>
      </x:c>
      <x:c r="I4199" s="12" t="str">
        <x:v>Mixed business audience</x:v>
      </x:c>
      <x:c r="J4199" s="12" t="str">
        <x:v>Unresolved</x:v>
      </x:c>
      <x:c r="K4199" s="2" t="str">
        <x:v>PARTNER-M205</x:v>
      </x:c>
    </x:row>
    <x:row r="4200" ht="46" customHeight="1">
      <x:c r="A4200" s="2" t="str">
        <x:v>TEN-4337D4E769C7</x:v>
      </x:c>
      <x:c r="B4200" s="12" t="str">
        <x:v>Object Edge</x:v>
      </x:c>
      <x:c r="C4200" s="12" t="str">
        <x:v>CORP-0623</x:v>
      </x:c>
      <x:c r="D4200" s="12" t="str">
        <x:v>Mumbai</x:v>
      </x:c>
      <x:c r="E4200" s="12" t="str">
        <x:v>Rupa Solitaire</x:v>
      </x:c>
      <x:c r="F4200" s="12" t="str">
        <x:v>55 inch</x:v>
      </x:c>
      <x:c r="G4200" s="20" t="n">
        <x:v>1</x:v>
      </x:c>
      <x:c r="H4200" s="12" t="str">
        <x:v>Campus/portfolio roster; individual building occupancy unverified</x:v>
      </x:c>
      <x:c r="I4200" s="12" t="str">
        <x:v>Small-scale prospects</x:v>
      </x:c>
      <x:c r="J4200" s="12" t="str">
        <x:v>IT &amp; digital</x:v>
      </x:c>
      <x:c r="K4200" s="2" t="str">
        <x:v>PARTNER-M205</x:v>
      </x:c>
    </x:row>
    <x:row r="4201" ht="46" customHeight="1">
      <x:c r="A4201" s="2" t="str">
        <x:v>TEN-553E661E9572</x:v>
      </x:c>
      <x:c r="B4201" s="12" t="str">
        <x:v>Alumayer</x:v>
      </x:c>
      <x:c r="C4201" s="12" t="str">
        <x:v>CORP-0623</x:v>
      </x:c>
      <x:c r="D4201" s="12" t="str">
        <x:v>Mumbai</x:v>
      </x:c>
      <x:c r="E4201" s="12" t="str">
        <x:v>Rupa Solitaire</x:v>
      </x:c>
      <x:c r="F4201" s="12" t="str">
        <x:v>55 inch</x:v>
      </x:c>
      <x:c r="G4201" s="20" t="n">
        <x:v>1</x:v>
      </x:c>
      <x:c r="H4201" s="12" t="str">
        <x:v>Campus/portfolio roster; individual building occupancy unverified</x:v>
      </x:c>
      <x:c r="I4201" s="12" t="str">
        <x:v>Medium-scale prospects</x:v>
      </x:c>
      <x:c r="J4201" s="12" t="str">
        <x:v>Engineering &amp; manufacturing</x:v>
      </x:c>
      <x:c r="K4201" s="2" t="str">
        <x:v>PARTNER-M205</x:v>
      </x:c>
    </x:row>
    <x:row r="4202" ht="46" customHeight="1">
      <x:c r="A4202" s="2" t="str">
        <x:v>TEN-5F95F2022E30</x:v>
      </x:c>
      <x:c r="B4202" s="12" t="str">
        <x:v>Sarla Advantech Pvt. Ltd</x:v>
      </x:c>
      <x:c r="C4202" s="12" t="str">
        <x:v>CORP-0623</x:v>
      </x:c>
      <x:c r="D4202" s="12" t="str">
        <x:v>Mumbai</x:v>
      </x:c>
      <x:c r="E4202" s="12" t="str">
        <x:v>Rupa Solitaire</x:v>
      </x:c>
      <x:c r="F4202" s="12" t="str">
        <x:v>55 inch</x:v>
      </x:c>
      <x:c r="G4202" s="20" t="n">
        <x:v>1</x:v>
      </x:c>
      <x:c r="H4202" s="12" t="str">
        <x:v>Campus/portfolio roster; individual building occupancy unverified</x:v>
      </x:c>
      <x:c r="I4202" s="12" t="str">
        <x:v>Small-scale prospects</x:v>
      </x:c>
      <x:c r="J4202" s="12" t="str">
        <x:v>IT &amp; digital</x:v>
      </x:c>
      <x:c r="K4202" s="2" t="str">
        <x:v>PARTNER-M205</x:v>
      </x:c>
    </x:row>
    <x:row r="4203" ht="46" customHeight="1">
      <x:c r="A4203" s="2" t="str">
        <x:v>TEN-784276C71673</x:v>
      </x:c>
      <x:c r="B4203" s="12" t="str">
        <x:v>Mavenir Systems</x:v>
      </x:c>
      <x:c r="C4203" s="12" t="str">
        <x:v>CORP-0623</x:v>
      </x:c>
      <x:c r="D4203" s="12" t="str">
        <x:v>Mumbai</x:v>
      </x:c>
      <x:c r="E4203" s="12" t="str">
        <x:v>Rupa Solitaire</x:v>
      </x:c>
      <x:c r="F4203" s="12" t="str">
        <x:v>55 inch</x:v>
      </x:c>
      <x:c r="G4203" s="20" t="n">
        <x:v>1</x:v>
      </x:c>
      <x:c r="H4203" s="12" t="str">
        <x:v>Campus/portfolio roster; individual building occupancy unverified</x:v>
      </x:c>
      <x:c r="I4203" s="12" t="str">
        <x:v>Mixed business audience</x:v>
      </x:c>
      <x:c r="J4203" s="12" t="str">
        <x:v>IT &amp; digital</x:v>
      </x:c>
      <x:c r="K4203" s="2" t="str">
        <x:v>PARTNER-M205</x:v>
      </x:c>
    </x:row>
    <x:row r="4204" ht="46" customHeight="1">
      <x:c r="A4204" s="2" t="str">
        <x:v>TEN-7D3893B5DA94</x:v>
      </x:c>
      <x:c r="B4204" s="12" t="str">
        <x:v>G4K Solutions Pvt. Ltd</x:v>
      </x:c>
      <x:c r="C4204" s="12" t="str">
        <x:v>CORP-0623</x:v>
      </x:c>
      <x:c r="D4204" s="12" t="str">
        <x:v>Mumbai</x:v>
      </x:c>
      <x:c r="E4204" s="12" t="str">
        <x:v>Rupa Solitaire</x:v>
      </x:c>
      <x:c r="F4204" s="12" t="str">
        <x:v>55 inch</x:v>
      </x:c>
      <x:c r="G4204" s="20" t="n">
        <x:v>1</x:v>
      </x:c>
      <x:c r="H4204" s="12" t="str">
        <x:v>Campus/portfolio roster; individual building occupancy unverified</x:v>
      </x:c>
      <x:c r="I4204" s="12" t="str">
        <x:v>Mixed business audience</x:v>
      </x:c>
      <x:c r="J4204" s="12" t="str">
        <x:v>Unresolved</x:v>
      </x:c>
      <x:c r="K4204" s="2" t="str">
        <x:v>PARTNER-M205</x:v>
      </x:c>
    </x:row>
    <x:row r="4205" ht="46" customHeight="1">
      <x:c r="A4205" s="2" t="str">
        <x:v>TEN-85645F258252</x:v>
      </x:c>
      <x:c r="B4205" s="12" t="str">
        <x:v>WEBTELINDIA</x:v>
      </x:c>
      <x:c r="C4205" s="12" t="str">
        <x:v>CORP-0623</x:v>
      </x:c>
      <x:c r="D4205" s="12" t="str">
        <x:v>Mumbai</x:v>
      </x:c>
      <x:c r="E4205" s="12" t="str">
        <x:v>Rupa Solitaire</x:v>
      </x:c>
      <x:c r="F4205" s="12" t="str">
        <x:v>55 inch</x:v>
      </x:c>
      <x:c r="G4205" s="20" t="n">
        <x:v>1</x:v>
      </x:c>
      <x:c r="H4205" s="12" t="str">
        <x:v>Campus/portfolio roster; individual building occupancy unverified</x:v>
      </x:c>
      <x:c r="I4205" s="12" t="str">
        <x:v>Small-scale prospects</x:v>
      </x:c>
      <x:c r="J4205" s="12" t="str">
        <x:v>IT &amp; digital</x:v>
      </x:c>
      <x:c r="K4205" s="2" t="str">
        <x:v>PARTNER-M205</x:v>
      </x:c>
    </x:row>
    <x:row r="4206" ht="46" customHeight="1">
      <x:c r="A4206" s="2" t="str">
        <x:v>TEN-8EFC3B922572</x:v>
      </x:c>
      <x:c r="B4206" s="12" t="str">
        <x:v>Flagship Biotech International Private Limited</x:v>
      </x:c>
      <x:c r="C4206" s="12" t="str">
        <x:v>CORP-0623</x:v>
      </x:c>
      <x:c r="D4206" s="12" t="str">
        <x:v>Mumbai</x:v>
      </x:c>
      <x:c r="E4206" s="12" t="str">
        <x:v>Rupa Solitaire</x:v>
      </x:c>
      <x:c r="F4206" s="12" t="str">
        <x:v>55 inch</x:v>
      </x:c>
      <x:c r="G4206" s="20" t="n">
        <x:v>1</x:v>
      </x:c>
      <x:c r="H4206" s="12" t="str">
        <x:v>Campus/portfolio roster; individual building occupancy unverified</x:v>
      </x:c>
      <x:c r="I4206" s="12" t="str">
        <x:v>Medium-scale prospects</x:v>
      </x:c>
      <x:c r="J4206" s="12" t="str">
        <x:v>Healthcare &amp; life sciences</x:v>
      </x:c>
      <x:c r="K4206" s="2" t="str">
        <x:v>PARTNER-M205</x:v>
      </x:c>
    </x:row>
    <x:row r="4207" ht="46" customHeight="1">
      <x:c r="A4207" s="2" t="str">
        <x:v>TEN-9EAAB7C5C964</x:v>
      </x:c>
      <x:c r="B4207" s="12" t="str">
        <x:v>Rein Labs</x:v>
      </x:c>
      <x:c r="C4207" s="12" t="str">
        <x:v>CORP-0623</x:v>
      </x:c>
      <x:c r="D4207" s="12" t="str">
        <x:v>Mumbai</x:v>
      </x:c>
      <x:c r="E4207" s="12" t="str">
        <x:v>Rupa Solitaire</x:v>
      </x:c>
      <x:c r="F4207" s="12" t="str">
        <x:v>55 inch</x:v>
      </x:c>
      <x:c r="G4207" s="20" t="n">
        <x:v>1</x:v>
      </x:c>
      <x:c r="H4207" s="12" t="str">
        <x:v>Campus/portfolio roster; individual building occupancy unverified</x:v>
      </x:c>
      <x:c r="I4207" s="12" t="str">
        <x:v>Mixed business audience</x:v>
      </x:c>
      <x:c r="J4207" s="12" t="str">
        <x:v>Unresolved</x:v>
      </x:c>
      <x:c r="K4207" s="2" t="str">
        <x:v>PARTNER-M205</x:v>
      </x:c>
    </x:row>
    <x:row r="4208" ht="46" customHeight="1">
      <x:c r="A4208" s="2" t="str">
        <x:v>TEN-B5671F0D45A2</x:v>
      </x:c>
      <x:c r="B4208" s="12" t="str">
        <x:v>Value Loans</x:v>
      </x:c>
      <x:c r="C4208" s="12" t="str">
        <x:v>CORP-0623</x:v>
      </x:c>
      <x:c r="D4208" s="12" t="str">
        <x:v>Mumbai</x:v>
      </x:c>
      <x:c r="E4208" s="12" t="str">
        <x:v>Rupa Solitaire</x:v>
      </x:c>
      <x:c r="F4208" s="12" t="str">
        <x:v>55 inch</x:v>
      </x:c>
      <x:c r="G4208" s="20" t="n">
        <x:v>1</x:v>
      </x:c>
      <x:c r="H4208" s="12" t="str">
        <x:v>Campus/portfolio roster; individual building occupancy unverified</x:v>
      </x:c>
      <x:c r="I4208" s="12" t="str">
        <x:v>Medium-scale prospects</x:v>
      </x:c>
      <x:c r="J4208" s="12" t="str">
        <x:v>Finance &amp; insurance</x:v>
      </x:c>
      <x:c r="K4208" s="2" t="str">
        <x:v>PARTNER-M205</x:v>
      </x:c>
    </x:row>
    <x:row r="4209" ht="46" customHeight="1">
      <x:c r="A4209" s="2" t="str">
        <x:v>TEN-B76D588EDAE8</x:v>
      </x:c>
      <x:c r="B4209" s="12" t="str">
        <x:v>XL Dynamics India Private Limited</x:v>
      </x:c>
      <x:c r="C4209" s="12" t="str">
        <x:v>CORP-0623</x:v>
      </x:c>
      <x:c r="D4209" s="12" t="str">
        <x:v>Mumbai</x:v>
      </x:c>
      <x:c r="E4209" s="12" t="str">
        <x:v>Rupa Solitaire</x:v>
      </x:c>
      <x:c r="F4209" s="12" t="str">
        <x:v>55 inch</x:v>
      </x:c>
      <x:c r="G4209" s="20" t="n">
        <x:v>1</x:v>
      </x:c>
      <x:c r="H4209" s="12" t="str">
        <x:v>Campus/portfolio roster; individual building occupancy unverified</x:v>
      </x:c>
      <x:c r="I4209" s="12" t="str">
        <x:v>Small-scale prospects</x:v>
      </x:c>
      <x:c r="J4209" s="12" t="str">
        <x:v>IT &amp; digital</x:v>
      </x:c>
      <x:c r="K4209" s="2" t="str">
        <x:v>PARTNER-M205</x:v>
      </x:c>
    </x:row>
    <x:row r="4210" ht="46" customHeight="1">
      <x:c r="A4210" s="2" t="str">
        <x:v>TEN-D8F6D49FF41D</x:v>
      </x:c>
      <x:c r="B4210" s="12" t="str">
        <x:v>MindCraft Software Pvt. Ltd</x:v>
      </x:c>
      <x:c r="C4210" s="12" t="str">
        <x:v>CORP-0623</x:v>
      </x:c>
      <x:c r="D4210" s="12" t="str">
        <x:v>Mumbai</x:v>
      </x:c>
      <x:c r="E4210" s="12" t="str">
        <x:v>Rupa Solitaire</x:v>
      </x:c>
      <x:c r="F4210" s="12" t="str">
        <x:v>55 inch</x:v>
      </x:c>
      <x:c r="G4210" s="20" t="n">
        <x:v>1</x:v>
      </x:c>
      <x:c r="H4210" s="12" t="str">
        <x:v>Campus/portfolio roster; individual building occupancy unverified</x:v>
      </x:c>
      <x:c r="I4210" s="12" t="str">
        <x:v>Small-scale prospects</x:v>
      </x:c>
      <x:c r="J4210" s="12" t="str">
        <x:v>IT &amp; digital</x:v>
      </x:c>
      <x:c r="K4210" s="2" t="str">
        <x:v>PARTNER-M205</x:v>
      </x:c>
    </x:row>
    <x:row r="4211" ht="46" customHeight="1">
      <x:c r="A4211" s="2" t="str">
        <x:v>TEN-E8D6DDD422B5</x:v>
      </x:c>
      <x:c r="B4211" s="12" t="str">
        <x:v>Orient Technologies</x:v>
      </x:c>
      <x:c r="C4211" s="12" t="str">
        <x:v>CORP-0623</x:v>
      </x:c>
      <x:c r="D4211" s="12" t="str">
        <x:v>Mumbai</x:v>
      </x:c>
      <x:c r="E4211" s="12" t="str">
        <x:v>Rupa Solitaire</x:v>
      </x:c>
      <x:c r="F4211" s="12" t="str">
        <x:v>55 inch</x:v>
      </x:c>
      <x:c r="G4211" s="20" t="n">
        <x:v>1</x:v>
      </x:c>
      <x:c r="H4211" s="12" t="str">
        <x:v>Campus/portfolio roster; individual building occupancy unverified</x:v>
      </x:c>
      <x:c r="I4211" s="12" t="str">
        <x:v>Mixed business audience</x:v>
      </x:c>
      <x:c r="J4211" s="12" t="str">
        <x:v>IT &amp; digital</x:v>
      </x:c>
      <x:c r="K4211" s="2" t="str">
        <x:v>PARTNER-M205</x:v>
      </x:c>
    </x:row>
    <x:row r="4212" ht="46" customHeight="1">
      <x:c r="A4212" s="2" t="str">
        <x:v>TEN-F1CCD67C8E7F</x:v>
      </x:c>
      <x:c r="B4212" s="12" t="str">
        <x:v>IcruxSystem Pvt. Ltd</x:v>
      </x:c>
      <x:c r="C4212" s="12" t="str">
        <x:v>CORP-0623</x:v>
      </x:c>
      <x:c r="D4212" s="12" t="str">
        <x:v>Mumbai</x:v>
      </x:c>
      <x:c r="E4212" s="12" t="str">
        <x:v>Rupa Solitaire</x:v>
      </x:c>
      <x:c r="F4212" s="12" t="str">
        <x:v>55 inch</x:v>
      </x:c>
      <x:c r="G4212" s="20" t="n">
        <x:v>1</x:v>
      </x:c>
      <x:c r="H4212" s="12" t="str">
        <x:v>Campus/portfolio roster; individual building occupancy unverified</x:v>
      </x:c>
      <x:c r="I4212" s="12" t="str">
        <x:v>Mixed business audience</x:v>
      </x:c>
      <x:c r="J4212" s="12" t="str">
        <x:v>Unresolved</x:v>
      </x:c>
      <x:c r="K4212" s="2" t="str">
        <x:v>PARTNER-M205</x:v>
      </x:c>
    </x:row>
    <x:row r="4213" ht="46" customHeight="1">
      <x:c r="A4213" s="2" t="str">
        <x:v>TEN-127B47622F3A</x:v>
      </x:c>
      <x:c r="B4213" s="12" t="str">
        <x:v>ZTE INDIA</x:v>
      </x:c>
      <x:c r="C4213" s="12" t="str">
        <x:v>CORP-0624</x:v>
      </x:c>
      <x:c r="D4213" s="12" t="str">
        <x:v>Mumbai</x:v>
      </x:c>
      <x:c r="E4213" s="12" t="str">
        <x:v>Rupa Solitaire</x:v>
      </x:c>
      <x:c r="F4213" s="12" t="str">
        <x:v>55 inch</x:v>
      </x:c>
      <x:c r="G4213" s="20" t="n">
        <x:v>1</x:v>
      </x:c>
      <x:c r="H4213" s="12" t="str">
        <x:v>Campus/portfolio roster; individual building occupancy unverified</x:v>
      </x:c>
      <x:c r="I4213" s="12" t="str">
        <x:v>Mixed business audience</x:v>
      </x:c>
      <x:c r="J4213" s="12" t="str">
        <x:v>Engineering &amp; manufacturing</x:v>
      </x:c>
      <x:c r="K4213" s="2" t="str">
        <x:v>PARTNER-M205</x:v>
      </x:c>
    </x:row>
    <x:row r="4214" ht="46" customHeight="1">
      <x:c r="A4214" s="2" t="str">
        <x:v>TEN-15C760D67D1D</x:v>
      </x:c>
      <x:c r="B4214" s="12" t="str">
        <x:v>Ascra Technologies</x:v>
      </x:c>
      <x:c r="C4214" s="12" t="str">
        <x:v>CORP-0624</x:v>
      </x:c>
      <x:c r="D4214" s="12" t="str">
        <x:v>Mumbai</x:v>
      </x:c>
      <x:c r="E4214" s="12" t="str">
        <x:v>Rupa Solitaire</x:v>
      </x:c>
      <x:c r="F4214" s="12" t="str">
        <x:v>55 inch</x:v>
      </x:c>
      <x:c r="G4214" s="20" t="n">
        <x:v>1</x:v>
      </x:c>
      <x:c r="H4214" s="12" t="str">
        <x:v>Campus/portfolio roster; individual building occupancy unverified</x:v>
      </x:c>
      <x:c r="I4214" s="12" t="str">
        <x:v>Small-scale prospects</x:v>
      </x:c>
      <x:c r="J4214" s="12" t="str">
        <x:v>IT &amp; digital</x:v>
      </x:c>
      <x:c r="K4214" s="2" t="str">
        <x:v>PARTNER-M205</x:v>
      </x:c>
    </x:row>
    <x:row r="4215" ht="46" customHeight="1">
      <x:c r="A4215" s="2" t="str">
        <x:v>TEN-1E42D3AD0FD0</x:v>
      </x:c>
      <x:c r="B4215" s="12" t="str">
        <x:v>Linde India Limited</x:v>
      </x:c>
      <x:c r="C4215" s="12" t="str">
        <x:v>CORP-0624</x:v>
      </x:c>
      <x:c r="D4215" s="12" t="str">
        <x:v>Mumbai</x:v>
      </x:c>
      <x:c r="E4215" s="12" t="str">
        <x:v>Rupa Solitaire</x:v>
      </x:c>
      <x:c r="F4215" s="12" t="str">
        <x:v>55 inch</x:v>
      </x:c>
      <x:c r="G4215" s="20" t="n">
        <x:v>1</x:v>
      </x:c>
      <x:c r="H4215" s="12" t="str">
        <x:v>Campus/portfolio roster; individual building occupancy unverified</x:v>
      </x:c>
      <x:c r="I4215" s="12" t="str">
        <x:v>Mixed business audience</x:v>
      </x:c>
      <x:c r="J4215" s="12" t="str">
        <x:v>Engineering &amp; manufacturing</x:v>
      </x:c>
      <x:c r="K4215" s="2" t="str">
        <x:v>PARTNER-M205</x:v>
      </x:c>
    </x:row>
    <x:row r="4216" ht="46" customHeight="1">
      <x:c r="A4216" s="2" t="str">
        <x:v>TEN-2D454207B572</x:v>
      </x:c>
      <x:c r="B4216" s="12" t="str">
        <x:v>Marquis Technologies</x:v>
      </x:c>
      <x:c r="C4216" s="12" t="str">
        <x:v>CORP-0624</x:v>
      </x:c>
      <x:c r="D4216" s="12" t="str">
        <x:v>Mumbai</x:v>
      </x:c>
      <x:c r="E4216" s="12" t="str">
        <x:v>Rupa Solitaire</x:v>
      </x:c>
      <x:c r="F4216" s="12" t="str">
        <x:v>55 inch</x:v>
      </x:c>
      <x:c r="G4216" s="20" t="n">
        <x:v>1</x:v>
      </x:c>
      <x:c r="H4216" s="12" t="str">
        <x:v>Campus/portfolio roster; individual building occupancy unverified</x:v>
      </x:c>
      <x:c r="I4216" s="12" t="str">
        <x:v>Mixed business audience</x:v>
      </x:c>
      <x:c r="J4216" s="12" t="str">
        <x:v>Unresolved</x:v>
      </x:c>
      <x:c r="K4216" s="2" t="str">
        <x:v>PARTNER-M205</x:v>
      </x:c>
    </x:row>
    <x:row r="4217" ht="46" customHeight="1">
      <x:c r="A4217" s="2" t="str">
        <x:v>TEN-4337D4E769C7</x:v>
      </x:c>
      <x:c r="B4217" s="12" t="str">
        <x:v>Object Edge</x:v>
      </x:c>
      <x:c r="C4217" s="12" t="str">
        <x:v>CORP-0624</x:v>
      </x:c>
      <x:c r="D4217" s="12" t="str">
        <x:v>Mumbai</x:v>
      </x:c>
      <x:c r="E4217" s="12" t="str">
        <x:v>Rupa Solitaire</x:v>
      </x:c>
      <x:c r="F4217" s="12" t="str">
        <x:v>55 inch</x:v>
      </x:c>
      <x:c r="G4217" s="20" t="n">
        <x:v>1</x:v>
      </x:c>
      <x:c r="H4217" s="12" t="str">
        <x:v>Campus/portfolio roster; individual building occupancy unverified</x:v>
      </x:c>
      <x:c r="I4217" s="12" t="str">
        <x:v>Small-scale prospects</x:v>
      </x:c>
      <x:c r="J4217" s="12" t="str">
        <x:v>IT &amp; digital</x:v>
      </x:c>
      <x:c r="K4217" s="2" t="str">
        <x:v>PARTNER-M205</x:v>
      </x:c>
    </x:row>
    <x:row r="4218" ht="46" customHeight="1">
      <x:c r="A4218" s="2" t="str">
        <x:v>TEN-553E661E9572</x:v>
      </x:c>
      <x:c r="B4218" s="12" t="str">
        <x:v>Alumayer</x:v>
      </x:c>
      <x:c r="C4218" s="12" t="str">
        <x:v>CORP-0624</x:v>
      </x:c>
      <x:c r="D4218" s="12" t="str">
        <x:v>Mumbai</x:v>
      </x:c>
      <x:c r="E4218" s="12" t="str">
        <x:v>Rupa Solitaire</x:v>
      </x:c>
      <x:c r="F4218" s="12" t="str">
        <x:v>55 inch</x:v>
      </x:c>
      <x:c r="G4218" s="20" t="n">
        <x:v>1</x:v>
      </x:c>
      <x:c r="H4218" s="12" t="str">
        <x:v>Campus/portfolio roster; individual building occupancy unverified</x:v>
      </x:c>
      <x:c r="I4218" s="12" t="str">
        <x:v>Medium-scale prospects</x:v>
      </x:c>
      <x:c r="J4218" s="12" t="str">
        <x:v>Engineering &amp; manufacturing</x:v>
      </x:c>
      <x:c r="K4218" s="2" t="str">
        <x:v>PARTNER-M205</x:v>
      </x:c>
    </x:row>
    <x:row r="4219" ht="46" customHeight="1">
      <x:c r="A4219" s="2" t="str">
        <x:v>TEN-5F95F2022E30</x:v>
      </x:c>
      <x:c r="B4219" s="12" t="str">
        <x:v>Sarla Advantech Pvt. Ltd</x:v>
      </x:c>
      <x:c r="C4219" s="12" t="str">
        <x:v>CORP-0624</x:v>
      </x:c>
      <x:c r="D4219" s="12" t="str">
        <x:v>Mumbai</x:v>
      </x:c>
      <x:c r="E4219" s="12" t="str">
        <x:v>Rupa Solitaire</x:v>
      </x:c>
      <x:c r="F4219" s="12" t="str">
        <x:v>55 inch</x:v>
      </x:c>
      <x:c r="G4219" s="20" t="n">
        <x:v>1</x:v>
      </x:c>
      <x:c r="H4219" s="12" t="str">
        <x:v>Campus/portfolio roster; individual building occupancy unverified</x:v>
      </x:c>
      <x:c r="I4219" s="12" t="str">
        <x:v>Small-scale prospects</x:v>
      </x:c>
      <x:c r="J4219" s="12" t="str">
        <x:v>IT &amp; digital</x:v>
      </x:c>
      <x:c r="K4219" s="2" t="str">
        <x:v>PARTNER-M205</x:v>
      </x:c>
    </x:row>
    <x:row r="4220" ht="46" customHeight="1">
      <x:c r="A4220" s="2" t="str">
        <x:v>TEN-784276C71673</x:v>
      </x:c>
      <x:c r="B4220" s="12" t="str">
        <x:v>Mavenir Systems</x:v>
      </x:c>
      <x:c r="C4220" s="12" t="str">
        <x:v>CORP-0624</x:v>
      </x:c>
      <x:c r="D4220" s="12" t="str">
        <x:v>Mumbai</x:v>
      </x:c>
      <x:c r="E4220" s="12" t="str">
        <x:v>Rupa Solitaire</x:v>
      </x:c>
      <x:c r="F4220" s="12" t="str">
        <x:v>55 inch</x:v>
      </x:c>
      <x:c r="G4220" s="20" t="n">
        <x:v>1</x:v>
      </x:c>
      <x:c r="H4220" s="12" t="str">
        <x:v>Campus/portfolio roster; individual building occupancy unverified</x:v>
      </x:c>
      <x:c r="I4220" s="12" t="str">
        <x:v>Mixed business audience</x:v>
      </x:c>
      <x:c r="J4220" s="12" t="str">
        <x:v>IT &amp; digital</x:v>
      </x:c>
      <x:c r="K4220" s="2" t="str">
        <x:v>PARTNER-M205</x:v>
      </x:c>
    </x:row>
    <x:row r="4221" ht="46" customHeight="1">
      <x:c r="A4221" s="2" t="str">
        <x:v>TEN-7D3893B5DA94</x:v>
      </x:c>
      <x:c r="B4221" s="12" t="str">
        <x:v>G4K Solutions Pvt. Ltd</x:v>
      </x:c>
      <x:c r="C4221" s="12" t="str">
        <x:v>CORP-0624</x:v>
      </x:c>
      <x:c r="D4221" s="12" t="str">
        <x:v>Mumbai</x:v>
      </x:c>
      <x:c r="E4221" s="12" t="str">
        <x:v>Rupa Solitaire</x:v>
      </x:c>
      <x:c r="F4221" s="12" t="str">
        <x:v>55 inch</x:v>
      </x:c>
      <x:c r="G4221" s="20" t="n">
        <x:v>1</x:v>
      </x:c>
      <x:c r="H4221" s="12" t="str">
        <x:v>Campus/portfolio roster; individual building occupancy unverified</x:v>
      </x:c>
      <x:c r="I4221" s="12" t="str">
        <x:v>Mixed business audience</x:v>
      </x:c>
      <x:c r="J4221" s="12" t="str">
        <x:v>Unresolved</x:v>
      </x:c>
      <x:c r="K4221" s="2" t="str">
        <x:v>PARTNER-M205</x:v>
      </x:c>
    </x:row>
    <x:row r="4222" ht="46" customHeight="1">
      <x:c r="A4222" s="2" t="str">
        <x:v>TEN-85645F258252</x:v>
      </x:c>
      <x:c r="B4222" s="12" t="str">
        <x:v>WEBTELINDIA</x:v>
      </x:c>
      <x:c r="C4222" s="12" t="str">
        <x:v>CORP-0624</x:v>
      </x:c>
      <x:c r="D4222" s="12" t="str">
        <x:v>Mumbai</x:v>
      </x:c>
      <x:c r="E4222" s="12" t="str">
        <x:v>Rupa Solitaire</x:v>
      </x:c>
      <x:c r="F4222" s="12" t="str">
        <x:v>55 inch</x:v>
      </x:c>
      <x:c r="G4222" s="20" t="n">
        <x:v>1</x:v>
      </x:c>
      <x:c r="H4222" s="12" t="str">
        <x:v>Campus/portfolio roster; individual building occupancy unverified</x:v>
      </x:c>
      <x:c r="I4222" s="12" t="str">
        <x:v>Small-scale prospects</x:v>
      </x:c>
      <x:c r="J4222" s="12" t="str">
        <x:v>IT &amp; digital</x:v>
      </x:c>
      <x:c r="K4222" s="2" t="str">
        <x:v>PARTNER-M205</x:v>
      </x:c>
    </x:row>
    <x:row r="4223" ht="46" customHeight="1">
      <x:c r="A4223" s="2" t="str">
        <x:v>TEN-8EFC3B922572</x:v>
      </x:c>
      <x:c r="B4223" s="12" t="str">
        <x:v>Flagship Biotech International Private Limited</x:v>
      </x:c>
      <x:c r="C4223" s="12" t="str">
        <x:v>CORP-0624</x:v>
      </x:c>
      <x:c r="D4223" s="12" t="str">
        <x:v>Mumbai</x:v>
      </x:c>
      <x:c r="E4223" s="12" t="str">
        <x:v>Rupa Solitaire</x:v>
      </x:c>
      <x:c r="F4223" s="12" t="str">
        <x:v>55 inch</x:v>
      </x:c>
      <x:c r="G4223" s="20" t="n">
        <x:v>1</x:v>
      </x:c>
      <x:c r="H4223" s="12" t="str">
        <x:v>Campus/portfolio roster; individual building occupancy unverified</x:v>
      </x:c>
      <x:c r="I4223" s="12" t="str">
        <x:v>Medium-scale prospects</x:v>
      </x:c>
      <x:c r="J4223" s="12" t="str">
        <x:v>Healthcare &amp; life sciences</x:v>
      </x:c>
      <x:c r="K4223" s="2" t="str">
        <x:v>PARTNER-M205</x:v>
      </x:c>
    </x:row>
    <x:row r="4224" ht="46" customHeight="1">
      <x:c r="A4224" s="2" t="str">
        <x:v>TEN-9EAAB7C5C964</x:v>
      </x:c>
      <x:c r="B4224" s="12" t="str">
        <x:v>Rein Labs</x:v>
      </x:c>
      <x:c r="C4224" s="12" t="str">
        <x:v>CORP-0624</x:v>
      </x:c>
      <x:c r="D4224" s="12" t="str">
        <x:v>Mumbai</x:v>
      </x:c>
      <x:c r="E4224" s="12" t="str">
        <x:v>Rupa Solitaire</x:v>
      </x:c>
      <x:c r="F4224" s="12" t="str">
        <x:v>55 inch</x:v>
      </x:c>
      <x:c r="G4224" s="20" t="n">
        <x:v>1</x:v>
      </x:c>
      <x:c r="H4224" s="12" t="str">
        <x:v>Campus/portfolio roster; individual building occupancy unverified</x:v>
      </x:c>
      <x:c r="I4224" s="12" t="str">
        <x:v>Mixed business audience</x:v>
      </x:c>
      <x:c r="J4224" s="12" t="str">
        <x:v>Unresolved</x:v>
      </x:c>
      <x:c r="K4224" s="2" t="str">
        <x:v>PARTNER-M205</x:v>
      </x:c>
    </x:row>
    <x:row r="4225" ht="46" customHeight="1">
      <x:c r="A4225" s="2" t="str">
        <x:v>TEN-B5671F0D45A2</x:v>
      </x:c>
      <x:c r="B4225" s="12" t="str">
        <x:v>Value Loans</x:v>
      </x:c>
      <x:c r="C4225" s="12" t="str">
        <x:v>CORP-0624</x:v>
      </x:c>
      <x:c r="D4225" s="12" t="str">
        <x:v>Mumbai</x:v>
      </x:c>
      <x:c r="E4225" s="12" t="str">
        <x:v>Rupa Solitaire</x:v>
      </x:c>
      <x:c r="F4225" s="12" t="str">
        <x:v>55 inch</x:v>
      </x:c>
      <x:c r="G4225" s="20" t="n">
        <x:v>1</x:v>
      </x:c>
      <x:c r="H4225" s="12" t="str">
        <x:v>Campus/portfolio roster; individual building occupancy unverified</x:v>
      </x:c>
      <x:c r="I4225" s="12" t="str">
        <x:v>Medium-scale prospects</x:v>
      </x:c>
      <x:c r="J4225" s="12" t="str">
        <x:v>Finance &amp; insurance</x:v>
      </x:c>
      <x:c r="K4225" s="2" t="str">
        <x:v>PARTNER-M205</x:v>
      </x:c>
    </x:row>
    <x:row r="4226" ht="46" customHeight="1">
      <x:c r="A4226" s="2" t="str">
        <x:v>TEN-B76D588EDAE8</x:v>
      </x:c>
      <x:c r="B4226" s="12" t="str">
        <x:v>XL Dynamics India Private Limited</x:v>
      </x:c>
      <x:c r="C4226" s="12" t="str">
        <x:v>CORP-0624</x:v>
      </x:c>
      <x:c r="D4226" s="12" t="str">
        <x:v>Mumbai</x:v>
      </x:c>
      <x:c r="E4226" s="12" t="str">
        <x:v>Rupa Solitaire</x:v>
      </x:c>
      <x:c r="F4226" s="12" t="str">
        <x:v>55 inch</x:v>
      </x:c>
      <x:c r="G4226" s="20" t="n">
        <x:v>1</x:v>
      </x:c>
      <x:c r="H4226" s="12" t="str">
        <x:v>Campus/portfolio roster; individual building occupancy unverified</x:v>
      </x:c>
      <x:c r="I4226" s="12" t="str">
        <x:v>Small-scale prospects</x:v>
      </x:c>
      <x:c r="J4226" s="12" t="str">
        <x:v>IT &amp; digital</x:v>
      </x:c>
      <x:c r="K4226" s="2" t="str">
        <x:v>PARTNER-M205</x:v>
      </x:c>
    </x:row>
    <x:row r="4227" ht="46" customHeight="1">
      <x:c r="A4227" s="2" t="str">
        <x:v>TEN-D8F6D49FF41D</x:v>
      </x:c>
      <x:c r="B4227" s="12" t="str">
        <x:v>MindCraft Software Pvt. Ltd</x:v>
      </x:c>
      <x:c r="C4227" s="12" t="str">
        <x:v>CORP-0624</x:v>
      </x:c>
      <x:c r="D4227" s="12" t="str">
        <x:v>Mumbai</x:v>
      </x:c>
      <x:c r="E4227" s="12" t="str">
        <x:v>Rupa Solitaire</x:v>
      </x:c>
      <x:c r="F4227" s="12" t="str">
        <x:v>55 inch</x:v>
      </x:c>
      <x:c r="G4227" s="20" t="n">
        <x:v>1</x:v>
      </x:c>
      <x:c r="H4227" s="12" t="str">
        <x:v>Campus/portfolio roster; individual building occupancy unverified</x:v>
      </x:c>
      <x:c r="I4227" s="12" t="str">
        <x:v>Small-scale prospects</x:v>
      </x:c>
      <x:c r="J4227" s="12" t="str">
        <x:v>IT &amp; digital</x:v>
      </x:c>
      <x:c r="K4227" s="2" t="str">
        <x:v>PARTNER-M205</x:v>
      </x:c>
    </x:row>
    <x:row r="4228" ht="46" customHeight="1">
      <x:c r="A4228" s="2" t="str">
        <x:v>TEN-E8D6DDD422B5</x:v>
      </x:c>
      <x:c r="B4228" s="12" t="str">
        <x:v>Orient Technologies</x:v>
      </x:c>
      <x:c r="C4228" s="12" t="str">
        <x:v>CORP-0624</x:v>
      </x:c>
      <x:c r="D4228" s="12" t="str">
        <x:v>Mumbai</x:v>
      </x:c>
      <x:c r="E4228" s="12" t="str">
        <x:v>Rupa Solitaire</x:v>
      </x:c>
      <x:c r="F4228" s="12" t="str">
        <x:v>55 inch</x:v>
      </x:c>
      <x:c r="G4228" s="20" t="n">
        <x:v>1</x:v>
      </x:c>
      <x:c r="H4228" s="12" t="str">
        <x:v>Campus/portfolio roster; individual building occupancy unverified</x:v>
      </x:c>
      <x:c r="I4228" s="12" t="str">
        <x:v>Mixed business audience</x:v>
      </x:c>
      <x:c r="J4228" s="12" t="str">
        <x:v>IT &amp; digital</x:v>
      </x:c>
      <x:c r="K4228" s="2" t="str">
        <x:v>PARTNER-M205</x:v>
      </x:c>
    </x:row>
    <x:row r="4229" ht="46" customHeight="1">
      <x:c r="A4229" s="2" t="str">
        <x:v>TEN-F1CCD67C8E7F</x:v>
      </x:c>
      <x:c r="B4229" s="12" t="str">
        <x:v>IcruxSystem Pvt. Ltd</x:v>
      </x:c>
      <x:c r="C4229" s="12" t="str">
        <x:v>CORP-0624</x:v>
      </x:c>
      <x:c r="D4229" s="12" t="str">
        <x:v>Mumbai</x:v>
      </x:c>
      <x:c r="E4229" s="12" t="str">
        <x:v>Rupa Solitaire</x:v>
      </x:c>
      <x:c r="F4229" s="12" t="str">
        <x:v>55 inch</x:v>
      </x:c>
      <x:c r="G4229" s="20" t="n">
        <x:v>1</x:v>
      </x:c>
      <x:c r="H4229" s="12" t="str">
        <x:v>Campus/portfolio roster; individual building occupancy unverified</x:v>
      </x:c>
      <x:c r="I4229" s="12" t="str">
        <x:v>Mixed business audience</x:v>
      </x:c>
      <x:c r="J4229" s="12" t="str">
        <x:v>Unresolved</x:v>
      </x:c>
      <x:c r="K4229" s="2" t="str">
        <x:v>PARTNER-M205</x:v>
      </x:c>
    </x:row>
    <x:row r="4230" ht="46" customHeight="1">
      <x:c r="A4230" s="2" t="str">
        <x:v>TEN-11B177B76116</x:v>
      </x:c>
      <x:c r="B4230" s="12" t="str">
        <x:v>Avaya Global Connect Ltd</x:v>
      </x:c>
      <x:c r="C4230" s="12" t="str">
        <x:v>CORP-0436</x:v>
      </x:c>
      <x:c r="D4230" s="12" t="str">
        <x:v>Bengaluru</x:v>
      </x:c>
      <x:c r="E4230" s="12" t="str">
        <x:v>Prestige Tech Park</x:v>
      </x:c>
      <x:c r="F4230" s="12" t="str">
        <x:v>55 inch</x:v>
      </x:c>
      <x:c r="G4230" s="20" t="n">
        <x:v>1</x:v>
      </x:c>
      <x:c r="H4230" s="12" t="str">
        <x:v>Campus/portfolio roster; individual building occupancy unverified</x:v>
      </x:c>
      <x:c r="I4230" s="12" t="str">
        <x:v>Mixed business audience</x:v>
      </x:c>
      <x:c r="J4230" s="12" t="str">
        <x:v>IT &amp; digital</x:v>
      </x:c>
      <x:c r="K4230" s="2" t="str">
        <x:v>PARTNER-M014</x:v>
      </x:c>
    </x:row>
    <x:row r="4231" ht="46" customHeight="1">
      <x:c r="A4231" s="2" t="str">
        <x:v>TEN-1A32A2EA27AE</x:v>
      </x:c>
      <x:c r="B4231" s="12" t="str">
        <x:v>Aptos India Private Limited</x:v>
      </x:c>
      <x:c r="C4231" s="12" t="str">
        <x:v>CORP-0436</x:v>
      </x:c>
      <x:c r="D4231" s="12" t="str">
        <x:v>Bengaluru</x:v>
      </x:c>
      <x:c r="E4231" s="12" t="str">
        <x:v>Prestige Tech Park</x:v>
      </x:c>
      <x:c r="F4231" s="12" t="str">
        <x:v>55 inch</x:v>
      </x:c>
      <x:c r="G4231" s="20" t="n">
        <x:v>1</x:v>
      </x:c>
      <x:c r="H4231" s="12" t="str">
        <x:v>Campus/portfolio roster; individual building occupancy unverified</x:v>
      </x:c>
      <x:c r="I4231" s="12" t="str">
        <x:v>Mixed business audience</x:v>
      </x:c>
      <x:c r="J4231" s="12" t="str">
        <x:v>IT &amp; digital</x:v>
      </x:c>
      <x:c r="K4231" s="2" t="str">
        <x:v>PARTNER-M014</x:v>
      </x:c>
    </x:row>
    <x:row r="4232" ht="46" customHeight="1">
      <x:c r="A4232" s="2" t="str">
        <x:v>TEN-1B8499B49BB3</x:v>
      </x:c>
      <x:c r="B4232" s="12" t="str">
        <x:v>Delliot</x:v>
      </x:c>
      <x:c r="C4232" s="12" t="str">
        <x:v>CORP-0436</x:v>
      </x:c>
      <x:c r="D4232" s="12" t="str">
        <x:v>Bengaluru</x:v>
      </x:c>
      <x:c r="E4232" s="12" t="str">
        <x:v>Prestige Tech Park</x:v>
      </x:c>
      <x:c r="F4232" s="12" t="str">
        <x:v>55 inch</x:v>
      </x:c>
      <x:c r="G4232" s="20" t="n">
        <x:v>1</x:v>
      </x:c>
      <x:c r="H4232" s="12" t="str">
        <x:v>Campus/portfolio roster; individual building occupancy unverified</x:v>
      </x:c>
      <x:c r="I4232" s="12" t="str">
        <x:v>Mixed business audience</x:v>
      </x:c>
      <x:c r="J4232" s="12" t="str">
        <x:v>Unresolved</x:v>
      </x:c>
      <x:c r="K4232" s="2" t="str">
        <x:v>PARTNER-M014</x:v>
      </x:c>
    </x:row>
    <x:row r="4233" ht="46" customHeight="1">
      <x:c r="A4233" s="2" t="str">
        <x:v>TEN-38773D0009A0</x:v>
      </x:c>
      <x:c r="B4233" s="12" t="str">
        <x:v>Frog Design Studio</x:v>
      </x:c>
      <x:c r="C4233" s="12" t="str">
        <x:v>CORP-0436</x:v>
      </x:c>
      <x:c r="D4233" s="12" t="str">
        <x:v>Bengaluru</x:v>
      </x:c>
      <x:c r="E4233" s="12" t="str">
        <x:v>Prestige Tech Park</x:v>
      </x:c>
      <x:c r="F4233" s="12" t="str">
        <x:v>55 inch</x:v>
      </x:c>
      <x:c r="G4233" s="20" t="n">
        <x:v>1</x:v>
      </x:c>
      <x:c r="H4233" s="12" t="str">
        <x:v>Campus/portfolio roster; individual building occupancy unverified</x:v>
      </x:c>
      <x:c r="I4233" s="12" t="str">
        <x:v>Mixed business audience</x:v>
      </x:c>
      <x:c r="J4233" s="12" t="str">
        <x:v>Professional services</x:v>
      </x:c>
      <x:c r="K4233" s="2" t="str">
        <x:v>PARTNER-M014</x:v>
      </x:c>
    </x:row>
    <x:row r="4234" ht="46" customHeight="1">
      <x:c r="A4234" s="2" t="str">
        <x:v>TEN-49F1F88DBFE4</x:v>
      </x:c>
      <x:c r="B4234" s="12" t="str">
        <x:v>Futures First Info Services</x:v>
      </x:c>
      <x:c r="C4234" s="12" t="str">
        <x:v>CORP-0436</x:v>
      </x:c>
      <x:c r="D4234" s="12" t="str">
        <x:v>Bengaluru</x:v>
      </x:c>
      <x:c r="E4234" s="12" t="str">
        <x:v>Prestige Tech Park</x:v>
      </x:c>
      <x:c r="F4234" s="12" t="str">
        <x:v>55 inch</x:v>
      </x:c>
      <x:c r="G4234" s="20" t="n">
        <x:v>1</x:v>
      </x:c>
      <x:c r="H4234" s="12" t="str">
        <x:v>Campus/portfolio roster; individual building occupancy unverified</x:v>
      </x:c>
      <x:c r="I4234" s="12" t="str">
        <x:v>Mixed business audience</x:v>
      </x:c>
      <x:c r="J4234" s="12" t="str">
        <x:v>IT &amp; digital</x:v>
      </x:c>
      <x:c r="K4234" s="2" t="str">
        <x:v>PARTNER-M014</x:v>
      </x:c>
    </x:row>
    <x:row r="4235" ht="46" customHeight="1">
      <x:c r="A4235" s="2" t="str">
        <x:v>TEN-53296B6A946C</x:v>
      </x:c>
      <x:c r="B4235" s="12" t="str">
        <x:v>Waif's</x:v>
      </x:c>
      <x:c r="C4235" s="12" t="str">
        <x:v>CORP-0436</x:v>
      </x:c>
      <x:c r="D4235" s="12" t="str">
        <x:v>Bengaluru</x:v>
      </x:c>
      <x:c r="E4235" s="12" t="str">
        <x:v>Prestige Tech Park</x:v>
      </x:c>
      <x:c r="F4235" s="12" t="str">
        <x:v>55 inch</x:v>
      </x:c>
      <x:c r="G4235" s="20" t="n">
        <x:v>1</x:v>
      </x:c>
      <x:c r="H4235" s="12" t="str">
        <x:v>Campus/portfolio roster; individual building occupancy unverified</x:v>
      </x:c>
      <x:c r="I4235" s="12" t="str">
        <x:v>Mixed business audience</x:v>
      </x:c>
      <x:c r="J4235" s="12" t="str">
        <x:v>Unresolved</x:v>
      </x:c>
      <x:c r="K4235" s="2" t="str">
        <x:v>PARTNER-M014</x:v>
      </x:c>
    </x:row>
    <x:row r="4236" ht="46" customHeight="1">
      <x:c r="A4236" s="2" t="str">
        <x:v>TEN-72DA9DBF0092</x:v>
      </x:c>
      <x:c r="B4236" s="12" t="str">
        <x:v>Aruba Networks</x:v>
      </x:c>
      <x:c r="C4236" s="12" t="str">
        <x:v>CORP-0436</x:v>
      </x:c>
      <x:c r="D4236" s="12" t="str">
        <x:v>Bengaluru</x:v>
      </x:c>
      <x:c r="E4236" s="12" t="str">
        <x:v>Prestige Tech Park</x:v>
      </x:c>
      <x:c r="F4236" s="12" t="str">
        <x:v>55 inch</x:v>
      </x:c>
      <x:c r="G4236" s="20" t="n">
        <x:v>1</x:v>
      </x:c>
      <x:c r="H4236" s="12" t="str">
        <x:v>Campus/portfolio roster; individual building occupancy unverified</x:v>
      </x:c>
      <x:c r="I4236" s="12" t="str">
        <x:v>Large enterprise</x:v>
      </x:c>
      <x:c r="J4236" s="12" t="str">
        <x:v>IT &amp; digital</x:v>
      </x:c>
      <x:c r="K4236" s="2" t="str">
        <x:v>PARTNER-M014</x:v>
      </x:c>
    </x:row>
    <x:row r="4237" ht="46" customHeight="1">
      <x:c r="A4237" s="2" t="str">
        <x:v>TEN-76DBEE9F2C38</x:v>
      </x:c>
      <x:c r="B4237" s="12" t="str">
        <x:v>Mobile Programming</x:v>
      </x:c>
      <x:c r="C4237" s="12" t="str">
        <x:v>CORP-0436</x:v>
      </x:c>
      <x:c r="D4237" s="12" t="str">
        <x:v>Bengaluru</x:v>
      </x:c>
      <x:c r="E4237" s="12" t="str">
        <x:v>Prestige Tech Park</x:v>
      </x:c>
      <x:c r="F4237" s="12" t="str">
        <x:v>55 inch</x:v>
      </x:c>
      <x:c r="G4237" s="20" t="n">
        <x:v>1</x:v>
      </x:c>
      <x:c r="H4237" s="12" t="str">
        <x:v>Campus/portfolio roster; individual building occupancy unverified</x:v>
      </x:c>
      <x:c r="I4237" s="12" t="str">
        <x:v>Small-scale prospects</x:v>
      </x:c>
      <x:c r="J4237" s="12" t="str">
        <x:v>IT &amp; digital</x:v>
      </x:c>
      <x:c r="K4237" s="2" t="str">
        <x:v>PARTNER-M014</x:v>
      </x:c>
    </x:row>
    <x:row r="4238" ht="46" customHeight="1">
      <x:c r="A4238" s="2" t="str">
        <x:v>TEN-775865062819</x:v>
      </x:c>
      <x:c r="B4238" s="12" t="str">
        <x:v>Nagarro Software Pvt. Ltd</x:v>
      </x:c>
      <x:c r="C4238" s="12" t="str">
        <x:v>CORP-0436</x:v>
      </x:c>
      <x:c r="D4238" s="12" t="str">
        <x:v>Bengaluru</x:v>
      </x:c>
      <x:c r="E4238" s="12" t="str">
        <x:v>Prestige Tech Park</x:v>
      </x:c>
      <x:c r="F4238" s="12" t="str">
        <x:v>55 inch</x:v>
      </x:c>
      <x:c r="G4238" s="20" t="n">
        <x:v>1</x:v>
      </x:c>
      <x:c r="H4238" s="12" t="str">
        <x:v>Campus/portfolio roster; individual building occupancy unverified</x:v>
      </x:c>
      <x:c r="I4238" s="12" t="str">
        <x:v>Large enterprise</x:v>
      </x:c>
      <x:c r="J4238" s="12" t="str">
        <x:v>IT &amp; digital</x:v>
      </x:c>
      <x:c r="K4238" s="2" t="str">
        <x:v>PARTNER-M014</x:v>
      </x:c>
    </x:row>
    <x:row r="4239" ht="46" customHeight="1">
      <x:c r="A4239" s="2" t="str">
        <x:v>TEN-78522B7571D3</x:v>
      </x:c>
      <x:c r="B4239" s="12" t="str">
        <x:v>Grab Greco LLP</x:v>
      </x:c>
      <x:c r="C4239" s="12" t="str">
        <x:v>CORP-0436</x:v>
      </x:c>
      <x:c r="D4239" s="12" t="str">
        <x:v>Bengaluru</x:v>
      </x:c>
      <x:c r="E4239" s="12" t="str">
        <x:v>Prestige Tech Park</x:v>
      </x:c>
      <x:c r="F4239" s="12" t="str">
        <x:v>55 inch</x:v>
      </x:c>
      <x:c r="G4239" s="20" t="n">
        <x:v>1</x:v>
      </x:c>
      <x:c r="H4239" s="12" t="str">
        <x:v>Campus/portfolio roster; individual building occupancy unverified</x:v>
      </x:c>
      <x:c r="I4239" s="12" t="str">
        <x:v>Mixed business audience</x:v>
      </x:c>
      <x:c r="J4239" s="12" t="str">
        <x:v>Unresolved</x:v>
      </x:c>
      <x:c r="K4239" s="2" t="str">
        <x:v>PARTNER-M014</x:v>
      </x:c>
    </x:row>
    <x:row r="4240" ht="46" customHeight="1">
      <x:c r="A4240" s="2" t="str">
        <x:v>TEN-8217BB19EBF1</x:v>
      </x:c>
      <x:c r="B4240" s="12" t="str">
        <x:v>J.P. Morgan</x:v>
      </x:c>
      <x:c r="C4240" s="12" t="str">
        <x:v>CORP-0436</x:v>
      </x:c>
      <x:c r="D4240" s="12" t="str">
        <x:v>Bengaluru</x:v>
      </x:c>
      <x:c r="E4240" s="12" t="str">
        <x:v>Prestige Tech Park</x:v>
      </x:c>
      <x:c r="F4240" s="12" t="str">
        <x:v>55 inch</x:v>
      </x:c>
      <x:c r="G4240" s="20" t="n">
        <x:v>1</x:v>
      </x:c>
      <x:c r="H4240" s="12" t="str">
        <x:v>Campus/portfolio roster; individual building occupancy unverified</x:v>
      </x:c>
      <x:c r="I4240" s="12" t="str">
        <x:v>Large enterprise</x:v>
      </x:c>
      <x:c r="J4240" s="12" t="str">
        <x:v>Finance &amp; insurance</x:v>
      </x:c>
      <x:c r="K4240" s="2" t="str">
        <x:v>PARTNER-M014</x:v>
      </x:c>
    </x:row>
    <x:row r="4241" ht="46" customHeight="1">
      <x:c r="A4241" s="2" t="str">
        <x:v>TEN-9202AF6CE925</x:v>
      </x:c>
      <x:c r="B4241" s="12" t="str">
        <x:v>Oracle</x:v>
      </x:c>
      <x:c r="C4241" s="12" t="str">
        <x:v>CORP-0436</x:v>
      </x:c>
      <x:c r="D4241" s="12" t="str">
        <x:v>Bengaluru</x:v>
      </x:c>
      <x:c r="E4241" s="12" t="str">
        <x:v>Prestige Tech Park</x:v>
      </x:c>
      <x:c r="F4241" s="12" t="str">
        <x:v>55 inch</x:v>
      </x:c>
      <x:c r="G4241" s="20" t="n">
        <x:v>1</x:v>
      </x:c>
      <x:c r="H4241" s="12" t="str">
        <x:v>Campus/portfolio roster; individual building occupancy unverified</x:v>
      </x:c>
      <x:c r="I4241" s="12" t="str">
        <x:v>Large enterprise</x:v>
      </x:c>
      <x:c r="J4241" s="12" t="str">
        <x:v>IT &amp; digital</x:v>
      </x:c>
      <x:c r="K4241" s="2" t="str">
        <x:v>PARTNER-M014</x:v>
      </x:c>
    </x:row>
    <x:row r="4242" ht="46" customHeight="1">
      <x:c r="A4242" s="2" t="str">
        <x:v>TEN-9B7F5525854D</x:v>
      </x:c>
      <x:c r="B4242" s="12" t="str">
        <x:v>AQUANTIA SEMICONDUCTOR INDIA PVT LTD</x:v>
      </x:c>
      <x:c r="C4242" s="12" t="str">
        <x:v>CORP-0436</x:v>
      </x:c>
      <x:c r="D4242" s="12" t="str">
        <x:v>Bengaluru</x:v>
      </x:c>
      <x:c r="E4242" s="12" t="str">
        <x:v>Prestige Tech Park</x:v>
      </x:c>
      <x:c r="F4242" s="12" t="str">
        <x:v>55 inch</x:v>
      </x:c>
      <x:c r="G4242" s="20" t="n">
        <x:v>1</x:v>
      </x:c>
      <x:c r="H4242" s="12" t="str">
        <x:v>Campus/portfolio roster; individual building occupancy unverified</x:v>
      </x:c>
      <x:c r="I4242" s="12" t="str">
        <x:v>Mixed business audience</x:v>
      </x:c>
      <x:c r="J4242" s="12" t="str">
        <x:v>Engineering &amp; manufacturing</x:v>
      </x:c>
      <x:c r="K4242" s="2" t="str">
        <x:v>PARTNER-M014</x:v>
      </x:c>
    </x:row>
    <x:row r="4243" ht="46" customHeight="1">
      <x:c r="A4243" s="2" t="str">
        <x:v>TEN-B909749F4464</x:v>
      </x:c>
      <x:c r="B4243" s="12" t="str">
        <x:v>Conga (Apttus) Software Pvt. Ltd</x:v>
      </x:c>
      <x:c r="C4243" s="12" t="str">
        <x:v>CORP-0436</x:v>
      </x:c>
      <x:c r="D4243" s="12" t="str">
        <x:v>Bengaluru</x:v>
      </x:c>
      <x:c r="E4243" s="12" t="str">
        <x:v>Prestige Tech Park</x:v>
      </x:c>
      <x:c r="F4243" s="12" t="str">
        <x:v>55 inch</x:v>
      </x:c>
      <x:c r="G4243" s="20" t="n">
        <x:v>1</x:v>
      </x:c>
      <x:c r="H4243" s="12" t="str">
        <x:v>Campus/portfolio roster; individual building occupancy unverified</x:v>
      </x:c>
      <x:c r="I4243" s="12" t="str">
        <x:v>Mixed business audience</x:v>
      </x:c>
      <x:c r="J4243" s="12" t="str">
        <x:v>IT &amp; digital</x:v>
      </x:c>
      <x:c r="K4243" s="2" t="str">
        <x:v>PARTNER-M014</x:v>
      </x:c>
    </x:row>
    <x:row r="4244" ht="46" customHeight="1">
      <x:c r="A4244" s="2" t="str">
        <x:v>TEN-BC3067AC45DF</x:v>
      </x:c>
      <x:c r="B4244" s="12" t="str">
        <x:v>Schneider Electric</x:v>
      </x:c>
      <x:c r="C4244" s="12" t="str">
        <x:v>CORP-0436</x:v>
      </x:c>
      <x:c r="D4244" s="12" t="str">
        <x:v>Bengaluru</x:v>
      </x:c>
      <x:c r="E4244" s="12" t="str">
        <x:v>Prestige Tech Park</x:v>
      </x:c>
      <x:c r="F4244" s="12" t="str">
        <x:v>55 inch</x:v>
      </x:c>
      <x:c r="G4244" s="20" t="n">
        <x:v>1</x:v>
      </x:c>
      <x:c r="H4244" s="12" t="str">
        <x:v>Campus/portfolio roster; individual building occupancy unverified</x:v>
      </x:c>
      <x:c r="I4244" s="12" t="str">
        <x:v>Large enterprise</x:v>
      </x:c>
      <x:c r="J4244" s="12" t="str">
        <x:v>Engineering &amp; manufacturing</x:v>
      </x:c>
      <x:c r="K4244" s="2" t="str">
        <x:v>PARTNER-M014</x:v>
      </x:c>
    </x:row>
    <x:row r="4245" ht="46" customHeight="1">
      <x:c r="A4245" s="2" t="str">
        <x:v>TEN-C34DF63CE5F2</x:v>
      </x:c>
      <x:c r="B4245" s="12" t="str">
        <x:v>BlueJeans Networks Pvt Ltd</x:v>
      </x:c>
      <x:c r="C4245" s="12" t="str">
        <x:v>CORP-0436</x:v>
      </x:c>
      <x:c r="D4245" s="12" t="str">
        <x:v>Bengaluru</x:v>
      </x:c>
      <x:c r="E4245" s="12" t="str">
        <x:v>Prestige Tech Park</x:v>
      </x:c>
      <x:c r="F4245" s="12" t="str">
        <x:v>55 inch</x:v>
      </x:c>
      <x:c r="G4245" s="20" t="n">
        <x:v>1</x:v>
      </x:c>
      <x:c r="H4245" s="12" t="str">
        <x:v>Campus/portfolio roster; individual building occupancy unverified</x:v>
      </x:c>
      <x:c r="I4245" s="12" t="str">
        <x:v>Mixed business audience</x:v>
      </x:c>
      <x:c r="J4245" s="12" t="str">
        <x:v>IT &amp; digital</x:v>
      </x:c>
      <x:c r="K4245" s="2" t="str">
        <x:v>PARTNER-M014</x:v>
      </x:c>
    </x:row>
    <x:row r="4246" ht="46" customHeight="1">
      <x:c r="A4246" s="2" t="str">
        <x:v>TEN-C47675D3BD0C</x:v>
      </x:c>
      <x:c r="B4246" s="12" t="str">
        <x:v>Money View</x:v>
      </x:c>
      <x:c r="C4246" s="12" t="str">
        <x:v>CORP-0436</x:v>
      </x:c>
      <x:c r="D4246" s="12" t="str">
        <x:v>Bengaluru</x:v>
      </x:c>
      <x:c r="E4246" s="12" t="str">
        <x:v>Prestige Tech Park</x:v>
      </x:c>
      <x:c r="F4246" s="12" t="str">
        <x:v>55 inch</x:v>
      </x:c>
      <x:c r="G4246" s="20" t="n">
        <x:v>1</x:v>
      </x:c>
      <x:c r="H4246" s="12" t="str">
        <x:v>Campus/portfolio roster; individual building occupancy unverified</x:v>
      </x:c>
      <x:c r="I4246" s="12" t="str">
        <x:v>Medium-scale prospects</x:v>
      </x:c>
      <x:c r="J4246" s="12" t="str">
        <x:v>Finance &amp; insurance</x:v>
      </x:c>
      <x:c r="K4246" s="2" t="str">
        <x:v>PARTNER-M014</x:v>
      </x:c>
    </x:row>
    <x:row r="4247" ht="46" customHeight="1">
      <x:c r="A4247" s="2" t="str">
        <x:v>TEN-D886B2C883A6</x:v>
      </x:c>
      <x:c r="B4247" s="12" t="str">
        <x:v>Citi Bank</x:v>
      </x:c>
      <x:c r="C4247" s="12" t="str">
        <x:v>CORP-0436</x:v>
      </x:c>
      <x:c r="D4247" s="12" t="str">
        <x:v>Bengaluru</x:v>
      </x:c>
      <x:c r="E4247" s="12" t="str">
        <x:v>Prestige Tech Park</x:v>
      </x:c>
      <x:c r="F4247" s="12" t="str">
        <x:v>55 inch</x:v>
      </x:c>
      <x:c r="G4247" s="20" t="n">
        <x:v>1</x:v>
      </x:c>
      <x:c r="H4247" s="12" t="str">
        <x:v>Campus/portfolio roster; individual building occupancy unverified</x:v>
      </x:c>
      <x:c r="I4247" s="12" t="str">
        <x:v>Large enterprise</x:v>
      </x:c>
      <x:c r="J4247" s="12" t="str">
        <x:v>Finance &amp; insurance</x:v>
      </x:c>
      <x:c r="K4247" s="2" t="str">
        <x:v>PARTNER-M014</x:v>
      </x:c>
    </x:row>
    <x:row r="4248" ht="46" customHeight="1">
      <x:c r="A4248" s="2" t="str">
        <x:v>TEN-D9364FD0A5DE</x:v>
      </x:c>
      <x:c r="B4248" s="12" t="str">
        <x:v>Walmart Labs</x:v>
      </x:c>
      <x:c r="C4248" s="12" t="str">
        <x:v>CORP-0436</x:v>
      </x:c>
      <x:c r="D4248" s="12" t="str">
        <x:v>Bengaluru</x:v>
      </x:c>
      <x:c r="E4248" s="12" t="str">
        <x:v>Prestige Tech Park</x:v>
      </x:c>
      <x:c r="F4248" s="12" t="str">
        <x:v>55 inch</x:v>
      </x:c>
      <x:c r="G4248" s="20" t="n">
        <x:v>1</x:v>
      </x:c>
      <x:c r="H4248" s="12" t="str">
        <x:v>Campus/portfolio roster; individual building occupancy unverified</x:v>
      </x:c>
      <x:c r="I4248" s="12" t="str">
        <x:v>Large enterprise</x:v>
      </x:c>
      <x:c r="J4248" s="12" t="str">
        <x:v>Trade, consumer &amp; logistics</x:v>
      </x:c>
      <x:c r="K4248" s="2" t="str">
        <x:v>PARTNER-M014</x:v>
      </x:c>
    </x:row>
    <x:row r="4249" ht="46" customHeight="1">
      <x:c r="A4249" s="2" t="str">
        <x:v>TEN-F55A85B2F2EB</x:v>
      </x:c>
      <x:c r="B4249" s="12" t="str">
        <x:v>Capgemini</x:v>
      </x:c>
      <x:c r="C4249" s="12" t="str">
        <x:v>CORP-0436</x:v>
      </x:c>
      <x:c r="D4249" s="12" t="str">
        <x:v>Bengaluru</x:v>
      </x:c>
      <x:c r="E4249" s="12" t="str">
        <x:v>Prestige Tech Park</x:v>
      </x:c>
      <x:c r="F4249" s="12" t="str">
        <x:v>55 inch</x:v>
      </x:c>
      <x:c r="G4249" s="20" t="n">
        <x:v>1</x:v>
      </x:c>
      <x:c r="H4249" s="12" t="str">
        <x:v>Campus/portfolio roster; individual building occupancy unverified</x:v>
      </x:c>
      <x:c r="I4249" s="12" t="str">
        <x:v>Large enterprise</x:v>
      </x:c>
      <x:c r="J4249" s="12" t="str">
        <x:v>IT &amp; digital</x:v>
      </x:c>
      <x:c r="K4249" s="2" t="str">
        <x:v>PARTNER-M014</x:v>
      </x:c>
    </x:row>
    <x:row r="4250" ht="46" customHeight="1">
      <x:c r="A4250" s="2" t="str">
        <x:v>TEN-127B47622F3A</x:v>
      </x:c>
      <x:c r="B4250" s="12" t="str">
        <x:v>ZTE INDIA</x:v>
      </x:c>
      <x:c r="C4250" s="12" t="str">
        <x:v>CORP-0625</x:v>
      </x:c>
      <x:c r="D4250" s="12" t="str">
        <x:v>Mumbai</x:v>
      </x:c>
      <x:c r="E4250" s="12" t="str">
        <x:v>Rupa Solitaire</x:v>
      </x:c>
      <x:c r="F4250" s="12" t="str">
        <x:v>55 inch</x:v>
      </x:c>
      <x:c r="G4250" s="20" t="n">
        <x:v>1</x:v>
      </x:c>
      <x:c r="H4250" s="12" t="str">
        <x:v>Campus/portfolio roster; individual building occupancy unverified</x:v>
      </x:c>
      <x:c r="I4250" s="12" t="str">
        <x:v>Mixed business audience</x:v>
      </x:c>
      <x:c r="J4250" s="12" t="str">
        <x:v>Engineering &amp; manufacturing</x:v>
      </x:c>
      <x:c r="K4250" s="2" t="str">
        <x:v>PARTNER-M205</x:v>
      </x:c>
    </x:row>
    <x:row r="4251" ht="46" customHeight="1">
      <x:c r="A4251" s="2" t="str">
        <x:v>TEN-15C760D67D1D</x:v>
      </x:c>
      <x:c r="B4251" s="12" t="str">
        <x:v>Ascra Technologies</x:v>
      </x:c>
      <x:c r="C4251" s="12" t="str">
        <x:v>CORP-0625</x:v>
      </x:c>
      <x:c r="D4251" s="12" t="str">
        <x:v>Mumbai</x:v>
      </x:c>
      <x:c r="E4251" s="12" t="str">
        <x:v>Rupa Solitaire</x:v>
      </x:c>
      <x:c r="F4251" s="12" t="str">
        <x:v>55 inch</x:v>
      </x:c>
      <x:c r="G4251" s="20" t="n">
        <x:v>1</x:v>
      </x:c>
      <x:c r="H4251" s="12" t="str">
        <x:v>Campus/portfolio roster; individual building occupancy unverified</x:v>
      </x:c>
      <x:c r="I4251" s="12" t="str">
        <x:v>Small-scale prospects</x:v>
      </x:c>
      <x:c r="J4251" s="12" t="str">
        <x:v>IT &amp; digital</x:v>
      </x:c>
      <x:c r="K4251" s="2" t="str">
        <x:v>PARTNER-M205</x:v>
      </x:c>
    </x:row>
    <x:row r="4252" ht="46" customHeight="1">
      <x:c r="A4252" s="2" t="str">
        <x:v>TEN-1E42D3AD0FD0</x:v>
      </x:c>
      <x:c r="B4252" s="12" t="str">
        <x:v>Linde India Limited</x:v>
      </x:c>
      <x:c r="C4252" s="12" t="str">
        <x:v>CORP-0625</x:v>
      </x:c>
      <x:c r="D4252" s="12" t="str">
        <x:v>Mumbai</x:v>
      </x:c>
      <x:c r="E4252" s="12" t="str">
        <x:v>Rupa Solitaire</x:v>
      </x:c>
      <x:c r="F4252" s="12" t="str">
        <x:v>55 inch</x:v>
      </x:c>
      <x:c r="G4252" s="20" t="n">
        <x:v>1</x:v>
      </x:c>
      <x:c r="H4252" s="12" t="str">
        <x:v>Campus/portfolio roster; individual building occupancy unverified</x:v>
      </x:c>
      <x:c r="I4252" s="12" t="str">
        <x:v>Mixed business audience</x:v>
      </x:c>
      <x:c r="J4252" s="12" t="str">
        <x:v>Engineering &amp; manufacturing</x:v>
      </x:c>
      <x:c r="K4252" s="2" t="str">
        <x:v>PARTNER-M205</x:v>
      </x:c>
    </x:row>
    <x:row r="4253" ht="46" customHeight="1">
      <x:c r="A4253" s="2" t="str">
        <x:v>TEN-2D454207B572</x:v>
      </x:c>
      <x:c r="B4253" s="12" t="str">
        <x:v>Marquis Technologies</x:v>
      </x:c>
      <x:c r="C4253" s="12" t="str">
        <x:v>CORP-0625</x:v>
      </x:c>
      <x:c r="D4253" s="12" t="str">
        <x:v>Mumbai</x:v>
      </x:c>
      <x:c r="E4253" s="12" t="str">
        <x:v>Rupa Solitaire</x:v>
      </x:c>
      <x:c r="F4253" s="12" t="str">
        <x:v>55 inch</x:v>
      </x:c>
      <x:c r="G4253" s="20" t="n">
        <x:v>1</x:v>
      </x:c>
      <x:c r="H4253" s="12" t="str">
        <x:v>Campus/portfolio roster; individual building occupancy unverified</x:v>
      </x:c>
      <x:c r="I4253" s="12" t="str">
        <x:v>Mixed business audience</x:v>
      </x:c>
      <x:c r="J4253" s="12" t="str">
        <x:v>Unresolved</x:v>
      </x:c>
      <x:c r="K4253" s="2" t="str">
        <x:v>PARTNER-M205</x:v>
      </x:c>
    </x:row>
    <x:row r="4254" ht="46" customHeight="1">
      <x:c r="A4254" s="2" t="str">
        <x:v>TEN-4337D4E769C7</x:v>
      </x:c>
      <x:c r="B4254" s="12" t="str">
        <x:v>Object Edge</x:v>
      </x:c>
      <x:c r="C4254" s="12" t="str">
        <x:v>CORP-0625</x:v>
      </x:c>
      <x:c r="D4254" s="12" t="str">
        <x:v>Mumbai</x:v>
      </x:c>
      <x:c r="E4254" s="12" t="str">
        <x:v>Rupa Solitaire</x:v>
      </x:c>
      <x:c r="F4254" s="12" t="str">
        <x:v>55 inch</x:v>
      </x:c>
      <x:c r="G4254" s="20" t="n">
        <x:v>1</x:v>
      </x:c>
      <x:c r="H4254" s="12" t="str">
        <x:v>Campus/portfolio roster; individual building occupancy unverified</x:v>
      </x:c>
      <x:c r="I4254" s="12" t="str">
        <x:v>Small-scale prospects</x:v>
      </x:c>
      <x:c r="J4254" s="12" t="str">
        <x:v>IT &amp; digital</x:v>
      </x:c>
      <x:c r="K4254" s="2" t="str">
        <x:v>PARTNER-M205</x:v>
      </x:c>
    </x:row>
    <x:row r="4255" ht="46" customHeight="1">
      <x:c r="A4255" s="2" t="str">
        <x:v>TEN-553E661E9572</x:v>
      </x:c>
      <x:c r="B4255" s="12" t="str">
        <x:v>Alumayer</x:v>
      </x:c>
      <x:c r="C4255" s="12" t="str">
        <x:v>CORP-0625</x:v>
      </x:c>
      <x:c r="D4255" s="12" t="str">
        <x:v>Mumbai</x:v>
      </x:c>
      <x:c r="E4255" s="12" t="str">
        <x:v>Rupa Solitaire</x:v>
      </x:c>
      <x:c r="F4255" s="12" t="str">
        <x:v>55 inch</x:v>
      </x:c>
      <x:c r="G4255" s="20" t="n">
        <x:v>1</x:v>
      </x:c>
      <x:c r="H4255" s="12" t="str">
        <x:v>Campus/portfolio roster; individual building occupancy unverified</x:v>
      </x:c>
      <x:c r="I4255" s="12" t="str">
        <x:v>Medium-scale prospects</x:v>
      </x:c>
      <x:c r="J4255" s="12" t="str">
        <x:v>Engineering &amp; manufacturing</x:v>
      </x:c>
      <x:c r="K4255" s="2" t="str">
        <x:v>PARTNER-M205</x:v>
      </x:c>
    </x:row>
    <x:row r="4256" ht="46" customHeight="1">
      <x:c r="A4256" s="2" t="str">
        <x:v>TEN-5F95F2022E30</x:v>
      </x:c>
      <x:c r="B4256" s="12" t="str">
        <x:v>Sarla Advantech Pvt. Ltd</x:v>
      </x:c>
      <x:c r="C4256" s="12" t="str">
        <x:v>CORP-0625</x:v>
      </x:c>
      <x:c r="D4256" s="12" t="str">
        <x:v>Mumbai</x:v>
      </x:c>
      <x:c r="E4256" s="12" t="str">
        <x:v>Rupa Solitaire</x:v>
      </x:c>
      <x:c r="F4256" s="12" t="str">
        <x:v>55 inch</x:v>
      </x:c>
      <x:c r="G4256" s="20" t="n">
        <x:v>1</x:v>
      </x:c>
      <x:c r="H4256" s="12" t="str">
        <x:v>Campus/portfolio roster; individual building occupancy unverified</x:v>
      </x:c>
      <x:c r="I4256" s="12" t="str">
        <x:v>Small-scale prospects</x:v>
      </x:c>
      <x:c r="J4256" s="12" t="str">
        <x:v>IT &amp; digital</x:v>
      </x:c>
      <x:c r="K4256" s="2" t="str">
        <x:v>PARTNER-M205</x:v>
      </x:c>
    </x:row>
    <x:row r="4257" ht="46" customHeight="1">
      <x:c r="A4257" s="2" t="str">
        <x:v>TEN-784276C71673</x:v>
      </x:c>
      <x:c r="B4257" s="12" t="str">
        <x:v>Mavenir Systems</x:v>
      </x:c>
      <x:c r="C4257" s="12" t="str">
        <x:v>CORP-0625</x:v>
      </x:c>
      <x:c r="D4257" s="12" t="str">
        <x:v>Mumbai</x:v>
      </x:c>
      <x:c r="E4257" s="12" t="str">
        <x:v>Rupa Solitaire</x:v>
      </x:c>
      <x:c r="F4257" s="12" t="str">
        <x:v>55 inch</x:v>
      </x:c>
      <x:c r="G4257" s="20" t="n">
        <x:v>1</x:v>
      </x:c>
      <x:c r="H4257" s="12" t="str">
        <x:v>Campus/portfolio roster; individual building occupancy unverified</x:v>
      </x:c>
      <x:c r="I4257" s="12" t="str">
        <x:v>Mixed business audience</x:v>
      </x:c>
      <x:c r="J4257" s="12" t="str">
        <x:v>IT &amp; digital</x:v>
      </x:c>
      <x:c r="K4257" s="2" t="str">
        <x:v>PARTNER-M205</x:v>
      </x:c>
    </x:row>
    <x:row r="4258" ht="46" customHeight="1">
      <x:c r="A4258" s="2" t="str">
        <x:v>TEN-7D3893B5DA94</x:v>
      </x:c>
      <x:c r="B4258" s="12" t="str">
        <x:v>G4K Solutions Pvt. Ltd</x:v>
      </x:c>
      <x:c r="C4258" s="12" t="str">
        <x:v>CORP-0625</x:v>
      </x:c>
      <x:c r="D4258" s="12" t="str">
        <x:v>Mumbai</x:v>
      </x:c>
      <x:c r="E4258" s="12" t="str">
        <x:v>Rupa Solitaire</x:v>
      </x:c>
      <x:c r="F4258" s="12" t="str">
        <x:v>55 inch</x:v>
      </x:c>
      <x:c r="G4258" s="20" t="n">
        <x:v>1</x:v>
      </x:c>
      <x:c r="H4258" s="12" t="str">
        <x:v>Campus/portfolio roster; individual building occupancy unverified</x:v>
      </x:c>
      <x:c r="I4258" s="12" t="str">
        <x:v>Mixed business audience</x:v>
      </x:c>
      <x:c r="J4258" s="12" t="str">
        <x:v>Unresolved</x:v>
      </x:c>
      <x:c r="K4258" s="2" t="str">
        <x:v>PARTNER-M205</x:v>
      </x:c>
    </x:row>
    <x:row r="4259" ht="46" customHeight="1">
      <x:c r="A4259" s="2" t="str">
        <x:v>TEN-85645F258252</x:v>
      </x:c>
      <x:c r="B4259" s="12" t="str">
        <x:v>WEBTELINDIA</x:v>
      </x:c>
      <x:c r="C4259" s="12" t="str">
        <x:v>CORP-0625</x:v>
      </x:c>
      <x:c r="D4259" s="12" t="str">
        <x:v>Mumbai</x:v>
      </x:c>
      <x:c r="E4259" s="12" t="str">
        <x:v>Rupa Solitaire</x:v>
      </x:c>
      <x:c r="F4259" s="12" t="str">
        <x:v>55 inch</x:v>
      </x:c>
      <x:c r="G4259" s="20" t="n">
        <x:v>1</x:v>
      </x:c>
      <x:c r="H4259" s="12" t="str">
        <x:v>Campus/portfolio roster; individual building occupancy unverified</x:v>
      </x:c>
      <x:c r="I4259" s="12" t="str">
        <x:v>Small-scale prospects</x:v>
      </x:c>
      <x:c r="J4259" s="12" t="str">
        <x:v>IT &amp; digital</x:v>
      </x:c>
      <x:c r="K4259" s="2" t="str">
        <x:v>PARTNER-M205</x:v>
      </x:c>
    </x:row>
    <x:row r="4260" ht="46" customHeight="1">
      <x:c r="A4260" s="2" t="str">
        <x:v>TEN-8EFC3B922572</x:v>
      </x:c>
      <x:c r="B4260" s="12" t="str">
        <x:v>Flagship Biotech International Private Limited</x:v>
      </x:c>
      <x:c r="C4260" s="12" t="str">
        <x:v>CORP-0625</x:v>
      </x:c>
      <x:c r="D4260" s="12" t="str">
        <x:v>Mumbai</x:v>
      </x:c>
      <x:c r="E4260" s="12" t="str">
        <x:v>Rupa Solitaire</x:v>
      </x:c>
      <x:c r="F4260" s="12" t="str">
        <x:v>55 inch</x:v>
      </x:c>
      <x:c r="G4260" s="20" t="n">
        <x:v>1</x:v>
      </x:c>
      <x:c r="H4260" s="12" t="str">
        <x:v>Campus/portfolio roster; individual building occupancy unverified</x:v>
      </x:c>
      <x:c r="I4260" s="12" t="str">
        <x:v>Medium-scale prospects</x:v>
      </x:c>
      <x:c r="J4260" s="12" t="str">
        <x:v>Healthcare &amp; life sciences</x:v>
      </x:c>
      <x:c r="K4260" s="2" t="str">
        <x:v>PARTNER-M205</x:v>
      </x:c>
    </x:row>
    <x:row r="4261" ht="46" customHeight="1">
      <x:c r="A4261" s="2" t="str">
        <x:v>TEN-9EAAB7C5C964</x:v>
      </x:c>
      <x:c r="B4261" s="12" t="str">
        <x:v>Rein Labs</x:v>
      </x:c>
      <x:c r="C4261" s="12" t="str">
        <x:v>CORP-0625</x:v>
      </x:c>
      <x:c r="D4261" s="12" t="str">
        <x:v>Mumbai</x:v>
      </x:c>
      <x:c r="E4261" s="12" t="str">
        <x:v>Rupa Solitaire</x:v>
      </x:c>
      <x:c r="F4261" s="12" t="str">
        <x:v>55 inch</x:v>
      </x:c>
      <x:c r="G4261" s="20" t="n">
        <x:v>1</x:v>
      </x:c>
      <x:c r="H4261" s="12" t="str">
        <x:v>Campus/portfolio roster; individual building occupancy unverified</x:v>
      </x:c>
      <x:c r="I4261" s="12" t="str">
        <x:v>Mixed business audience</x:v>
      </x:c>
      <x:c r="J4261" s="12" t="str">
        <x:v>Unresolved</x:v>
      </x:c>
      <x:c r="K4261" s="2" t="str">
        <x:v>PARTNER-M205</x:v>
      </x:c>
    </x:row>
    <x:row r="4262" ht="46" customHeight="1">
      <x:c r="A4262" s="2" t="str">
        <x:v>TEN-B5671F0D45A2</x:v>
      </x:c>
      <x:c r="B4262" s="12" t="str">
        <x:v>Value Loans</x:v>
      </x:c>
      <x:c r="C4262" s="12" t="str">
        <x:v>CORP-0625</x:v>
      </x:c>
      <x:c r="D4262" s="12" t="str">
        <x:v>Mumbai</x:v>
      </x:c>
      <x:c r="E4262" s="12" t="str">
        <x:v>Rupa Solitaire</x:v>
      </x:c>
      <x:c r="F4262" s="12" t="str">
        <x:v>55 inch</x:v>
      </x:c>
      <x:c r="G4262" s="20" t="n">
        <x:v>1</x:v>
      </x:c>
      <x:c r="H4262" s="12" t="str">
        <x:v>Campus/portfolio roster; individual building occupancy unverified</x:v>
      </x:c>
      <x:c r="I4262" s="12" t="str">
        <x:v>Medium-scale prospects</x:v>
      </x:c>
      <x:c r="J4262" s="12" t="str">
        <x:v>Finance &amp; insurance</x:v>
      </x:c>
      <x:c r="K4262" s="2" t="str">
        <x:v>PARTNER-M205</x:v>
      </x:c>
    </x:row>
    <x:row r="4263" ht="46" customHeight="1">
      <x:c r="A4263" s="2" t="str">
        <x:v>TEN-B76D588EDAE8</x:v>
      </x:c>
      <x:c r="B4263" s="12" t="str">
        <x:v>XL Dynamics India Private Limited</x:v>
      </x:c>
      <x:c r="C4263" s="12" t="str">
        <x:v>CORP-0625</x:v>
      </x:c>
      <x:c r="D4263" s="12" t="str">
        <x:v>Mumbai</x:v>
      </x:c>
      <x:c r="E4263" s="12" t="str">
        <x:v>Rupa Solitaire</x:v>
      </x:c>
      <x:c r="F4263" s="12" t="str">
        <x:v>55 inch</x:v>
      </x:c>
      <x:c r="G4263" s="20" t="n">
        <x:v>1</x:v>
      </x:c>
      <x:c r="H4263" s="12" t="str">
        <x:v>Campus/portfolio roster; individual building occupancy unverified</x:v>
      </x:c>
      <x:c r="I4263" s="12" t="str">
        <x:v>Small-scale prospects</x:v>
      </x:c>
      <x:c r="J4263" s="12" t="str">
        <x:v>IT &amp; digital</x:v>
      </x:c>
      <x:c r="K4263" s="2" t="str">
        <x:v>PARTNER-M205</x:v>
      </x:c>
    </x:row>
    <x:row r="4264" ht="46" customHeight="1">
      <x:c r="A4264" s="2" t="str">
        <x:v>TEN-D8F6D49FF41D</x:v>
      </x:c>
      <x:c r="B4264" s="12" t="str">
        <x:v>MindCraft Software Pvt. Ltd</x:v>
      </x:c>
      <x:c r="C4264" s="12" t="str">
        <x:v>CORP-0625</x:v>
      </x:c>
      <x:c r="D4264" s="12" t="str">
        <x:v>Mumbai</x:v>
      </x:c>
      <x:c r="E4264" s="12" t="str">
        <x:v>Rupa Solitaire</x:v>
      </x:c>
      <x:c r="F4264" s="12" t="str">
        <x:v>55 inch</x:v>
      </x:c>
      <x:c r="G4264" s="20" t="n">
        <x:v>1</x:v>
      </x:c>
      <x:c r="H4264" s="12" t="str">
        <x:v>Campus/portfolio roster; individual building occupancy unverified</x:v>
      </x:c>
      <x:c r="I4264" s="12" t="str">
        <x:v>Small-scale prospects</x:v>
      </x:c>
      <x:c r="J4264" s="12" t="str">
        <x:v>IT &amp; digital</x:v>
      </x:c>
      <x:c r="K4264" s="2" t="str">
        <x:v>PARTNER-M205</x:v>
      </x:c>
    </x:row>
    <x:row r="4265" ht="46" customHeight="1">
      <x:c r="A4265" s="2" t="str">
        <x:v>TEN-E8D6DDD422B5</x:v>
      </x:c>
      <x:c r="B4265" s="12" t="str">
        <x:v>Orient Technologies</x:v>
      </x:c>
      <x:c r="C4265" s="12" t="str">
        <x:v>CORP-0625</x:v>
      </x:c>
      <x:c r="D4265" s="12" t="str">
        <x:v>Mumbai</x:v>
      </x:c>
      <x:c r="E4265" s="12" t="str">
        <x:v>Rupa Solitaire</x:v>
      </x:c>
      <x:c r="F4265" s="12" t="str">
        <x:v>55 inch</x:v>
      </x:c>
      <x:c r="G4265" s="20" t="n">
        <x:v>1</x:v>
      </x:c>
      <x:c r="H4265" s="12" t="str">
        <x:v>Campus/portfolio roster; individual building occupancy unverified</x:v>
      </x:c>
      <x:c r="I4265" s="12" t="str">
        <x:v>Mixed business audience</x:v>
      </x:c>
      <x:c r="J4265" s="12" t="str">
        <x:v>IT &amp; digital</x:v>
      </x:c>
      <x:c r="K4265" s="2" t="str">
        <x:v>PARTNER-M205</x:v>
      </x:c>
    </x:row>
    <x:row r="4266" ht="46" customHeight="1">
      <x:c r="A4266" s="2" t="str">
        <x:v>TEN-F1CCD67C8E7F</x:v>
      </x:c>
      <x:c r="B4266" s="12" t="str">
        <x:v>IcruxSystem Pvt. Ltd</x:v>
      </x:c>
      <x:c r="C4266" s="12" t="str">
        <x:v>CORP-0625</x:v>
      </x:c>
      <x:c r="D4266" s="12" t="str">
        <x:v>Mumbai</x:v>
      </x:c>
      <x:c r="E4266" s="12" t="str">
        <x:v>Rupa Solitaire</x:v>
      </x:c>
      <x:c r="F4266" s="12" t="str">
        <x:v>55 inch</x:v>
      </x:c>
      <x:c r="G4266" s="20" t="n">
        <x:v>1</x:v>
      </x:c>
      <x:c r="H4266" s="12" t="str">
        <x:v>Campus/portfolio roster; individual building occupancy unverified</x:v>
      </x:c>
      <x:c r="I4266" s="12" t="str">
        <x:v>Mixed business audience</x:v>
      </x:c>
      <x:c r="J4266" s="12" t="str">
        <x:v>Unresolved</x:v>
      </x:c>
      <x:c r="K4266" s="2" t="str">
        <x:v>PARTNER-M205</x:v>
      </x:c>
    </x:row>
    <x:row r="4267" ht="46" customHeight="1">
      <x:c r="A4267" s="2" t="str">
        <x:v>TEN-127B47622F3A</x:v>
      </x:c>
      <x:c r="B4267" s="12" t="str">
        <x:v>ZTE INDIA</x:v>
      </x:c>
      <x:c r="C4267" s="12" t="str">
        <x:v>CORP-0626</x:v>
      </x:c>
      <x:c r="D4267" s="12" t="str">
        <x:v>Mumbai</x:v>
      </x:c>
      <x:c r="E4267" s="12" t="str">
        <x:v>Rupa Solitaire</x:v>
      </x:c>
      <x:c r="F4267" s="12" t="str">
        <x:v>55 inch</x:v>
      </x:c>
      <x:c r="G4267" s="20" t="n">
        <x:v>1</x:v>
      </x:c>
      <x:c r="H4267" s="12" t="str">
        <x:v>Campus/portfolio roster; individual building occupancy unverified</x:v>
      </x:c>
      <x:c r="I4267" s="12" t="str">
        <x:v>Mixed business audience</x:v>
      </x:c>
      <x:c r="J4267" s="12" t="str">
        <x:v>Engineering &amp; manufacturing</x:v>
      </x:c>
      <x:c r="K4267" s="2" t="str">
        <x:v>PARTNER-M205</x:v>
      </x:c>
    </x:row>
    <x:row r="4268" ht="46" customHeight="1">
      <x:c r="A4268" s="2" t="str">
        <x:v>TEN-15C760D67D1D</x:v>
      </x:c>
      <x:c r="B4268" s="12" t="str">
        <x:v>Ascra Technologies</x:v>
      </x:c>
      <x:c r="C4268" s="12" t="str">
        <x:v>CORP-0626</x:v>
      </x:c>
      <x:c r="D4268" s="12" t="str">
        <x:v>Mumbai</x:v>
      </x:c>
      <x:c r="E4268" s="12" t="str">
        <x:v>Rupa Solitaire</x:v>
      </x:c>
      <x:c r="F4268" s="12" t="str">
        <x:v>55 inch</x:v>
      </x:c>
      <x:c r="G4268" s="20" t="n">
        <x:v>1</x:v>
      </x:c>
      <x:c r="H4268" s="12" t="str">
        <x:v>Campus/portfolio roster; individual building occupancy unverified</x:v>
      </x:c>
      <x:c r="I4268" s="12" t="str">
        <x:v>Small-scale prospects</x:v>
      </x:c>
      <x:c r="J4268" s="12" t="str">
        <x:v>IT &amp; digital</x:v>
      </x:c>
      <x:c r="K4268" s="2" t="str">
        <x:v>PARTNER-M205</x:v>
      </x:c>
    </x:row>
    <x:row r="4269" ht="46" customHeight="1">
      <x:c r="A4269" s="2" t="str">
        <x:v>TEN-1E42D3AD0FD0</x:v>
      </x:c>
      <x:c r="B4269" s="12" t="str">
        <x:v>Linde India Limited</x:v>
      </x:c>
      <x:c r="C4269" s="12" t="str">
        <x:v>CORP-0626</x:v>
      </x:c>
      <x:c r="D4269" s="12" t="str">
        <x:v>Mumbai</x:v>
      </x:c>
      <x:c r="E4269" s="12" t="str">
        <x:v>Rupa Solitaire</x:v>
      </x:c>
      <x:c r="F4269" s="12" t="str">
        <x:v>55 inch</x:v>
      </x:c>
      <x:c r="G4269" s="20" t="n">
        <x:v>1</x:v>
      </x:c>
      <x:c r="H4269" s="12" t="str">
        <x:v>Campus/portfolio roster; individual building occupancy unverified</x:v>
      </x:c>
      <x:c r="I4269" s="12" t="str">
        <x:v>Mixed business audience</x:v>
      </x:c>
      <x:c r="J4269" s="12" t="str">
        <x:v>Engineering &amp; manufacturing</x:v>
      </x:c>
      <x:c r="K4269" s="2" t="str">
        <x:v>PARTNER-M205</x:v>
      </x:c>
    </x:row>
    <x:row r="4270" ht="46" customHeight="1">
      <x:c r="A4270" s="2" t="str">
        <x:v>TEN-2D454207B572</x:v>
      </x:c>
      <x:c r="B4270" s="12" t="str">
        <x:v>Marquis Technologies</x:v>
      </x:c>
      <x:c r="C4270" s="12" t="str">
        <x:v>CORP-0626</x:v>
      </x:c>
      <x:c r="D4270" s="12" t="str">
        <x:v>Mumbai</x:v>
      </x:c>
      <x:c r="E4270" s="12" t="str">
        <x:v>Rupa Solitaire</x:v>
      </x:c>
      <x:c r="F4270" s="12" t="str">
        <x:v>55 inch</x:v>
      </x:c>
      <x:c r="G4270" s="20" t="n">
        <x:v>1</x:v>
      </x:c>
      <x:c r="H4270" s="12" t="str">
        <x:v>Campus/portfolio roster; individual building occupancy unverified</x:v>
      </x:c>
      <x:c r="I4270" s="12" t="str">
        <x:v>Mixed business audience</x:v>
      </x:c>
      <x:c r="J4270" s="12" t="str">
        <x:v>Unresolved</x:v>
      </x:c>
      <x:c r="K4270" s="2" t="str">
        <x:v>PARTNER-M205</x:v>
      </x:c>
    </x:row>
    <x:row r="4271" ht="46" customHeight="1">
      <x:c r="A4271" s="2" t="str">
        <x:v>TEN-4337D4E769C7</x:v>
      </x:c>
      <x:c r="B4271" s="12" t="str">
        <x:v>Object Edge</x:v>
      </x:c>
      <x:c r="C4271" s="12" t="str">
        <x:v>CORP-0626</x:v>
      </x:c>
      <x:c r="D4271" s="12" t="str">
        <x:v>Mumbai</x:v>
      </x:c>
      <x:c r="E4271" s="12" t="str">
        <x:v>Rupa Solitaire</x:v>
      </x:c>
      <x:c r="F4271" s="12" t="str">
        <x:v>55 inch</x:v>
      </x:c>
      <x:c r="G4271" s="20" t="n">
        <x:v>1</x:v>
      </x:c>
      <x:c r="H4271" s="12" t="str">
        <x:v>Campus/portfolio roster; individual building occupancy unverified</x:v>
      </x:c>
      <x:c r="I4271" s="12" t="str">
        <x:v>Small-scale prospects</x:v>
      </x:c>
      <x:c r="J4271" s="12" t="str">
        <x:v>IT &amp; digital</x:v>
      </x:c>
      <x:c r="K4271" s="2" t="str">
        <x:v>PARTNER-M205</x:v>
      </x:c>
    </x:row>
    <x:row r="4272" ht="46" customHeight="1">
      <x:c r="A4272" s="2" t="str">
        <x:v>TEN-553E661E9572</x:v>
      </x:c>
      <x:c r="B4272" s="12" t="str">
        <x:v>Alumayer</x:v>
      </x:c>
      <x:c r="C4272" s="12" t="str">
        <x:v>CORP-0626</x:v>
      </x:c>
      <x:c r="D4272" s="12" t="str">
        <x:v>Mumbai</x:v>
      </x:c>
      <x:c r="E4272" s="12" t="str">
        <x:v>Rupa Solitaire</x:v>
      </x:c>
      <x:c r="F4272" s="12" t="str">
        <x:v>55 inch</x:v>
      </x:c>
      <x:c r="G4272" s="20" t="n">
        <x:v>1</x:v>
      </x:c>
      <x:c r="H4272" s="12" t="str">
        <x:v>Campus/portfolio roster; individual building occupancy unverified</x:v>
      </x:c>
      <x:c r="I4272" s="12" t="str">
        <x:v>Medium-scale prospects</x:v>
      </x:c>
      <x:c r="J4272" s="12" t="str">
        <x:v>Engineering &amp; manufacturing</x:v>
      </x:c>
      <x:c r="K4272" s="2" t="str">
        <x:v>PARTNER-M205</x:v>
      </x:c>
    </x:row>
    <x:row r="4273" ht="46" customHeight="1">
      <x:c r="A4273" s="2" t="str">
        <x:v>TEN-5F95F2022E30</x:v>
      </x:c>
      <x:c r="B4273" s="12" t="str">
        <x:v>Sarla Advantech Pvt. Ltd</x:v>
      </x:c>
      <x:c r="C4273" s="12" t="str">
        <x:v>CORP-0626</x:v>
      </x:c>
      <x:c r="D4273" s="12" t="str">
        <x:v>Mumbai</x:v>
      </x:c>
      <x:c r="E4273" s="12" t="str">
        <x:v>Rupa Solitaire</x:v>
      </x:c>
      <x:c r="F4273" s="12" t="str">
        <x:v>55 inch</x:v>
      </x:c>
      <x:c r="G4273" s="20" t="n">
        <x:v>1</x:v>
      </x:c>
      <x:c r="H4273" s="12" t="str">
        <x:v>Campus/portfolio roster; individual building occupancy unverified</x:v>
      </x:c>
      <x:c r="I4273" s="12" t="str">
        <x:v>Small-scale prospects</x:v>
      </x:c>
      <x:c r="J4273" s="12" t="str">
        <x:v>IT &amp; digital</x:v>
      </x:c>
      <x:c r="K4273" s="2" t="str">
        <x:v>PARTNER-M205</x:v>
      </x:c>
    </x:row>
    <x:row r="4274" ht="46" customHeight="1">
      <x:c r="A4274" s="2" t="str">
        <x:v>TEN-784276C71673</x:v>
      </x:c>
      <x:c r="B4274" s="12" t="str">
        <x:v>Mavenir Systems</x:v>
      </x:c>
      <x:c r="C4274" s="12" t="str">
        <x:v>CORP-0626</x:v>
      </x:c>
      <x:c r="D4274" s="12" t="str">
        <x:v>Mumbai</x:v>
      </x:c>
      <x:c r="E4274" s="12" t="str">
        <x:v>Rupa Solitaire</x:v>
      </x:c>
      <x:c r="F4274" s="12" t="str">
        <x:v>55 inch</x:v>
      </x:c>
      <x:c r="G4274" s="20" t="n">
        <x:v>1</x:v>
      </x:c>
      <x:c r="H4274" s="12" t="str">
        <x:v>Campus/portfolio roster; individual building occupancy unverified</x:v>
      </x:c>
      <x:c r="I4274" s="12" t="str">
        <x:v>Mixed business audience</x:v>
      </x:c>
      <x:c r="J4274" s="12" t="str">
        <x:v>IT &amp; digital</x:v>
      </x:c>
      <x:c r="K4274" s="2" t="str">
        <x:v>PARTNER-M205</x:v>
      </x:c>
    </x:row>
    <x:row r="4275" ht="46" customHeight="1">
      <x:c r="A4275" s="2" t="str">
        <x:v>TEN-7D3893B5DA94</x:v>
      </x:c>
      <x:c r="B4275" s="12" t="str">
        <x:v>G4K Solutions Pvt. Ltd</x:v>
      </x:c>
      <x:c r="C4275" s="12" t="str">
        <x:v>CORP-0626</x:v>
      </x:c>
      <x:c r="D4275" s="12" t="str">
        <x:v>Mumbai</x:v>
      </x:c>
      <x:c r="E4275" s="12" t="str">
        <x:v>Rupa Solitaire</x:v>
      </x:c>
      <x:c r="F4275" s="12" t="str">
        <x:v>55 inch</x:v>
      </x:c>
      <x:c r="G4275" s="20" t="n">
        <x:v>1</x:v>
      </x:c>
      <x:c r="H4275" s="12" t="str">
        <x:v>Campus/portfolio roster; individual building occupancy unverified</x:v>
      </x:c>
      <x:c r="I4275" s="12" t="str">
        <x:v>Mixed business audience</x:v>
      </x:c>
      <x:c r="J4275" s="12" t="str">
        <x:v>Unresolved</x:v>
      </x:c>
      <x:c r="K4275" s="2" t="str">
        <x:v>PARTNER-M205</x:v>
      </x:c>
    </x:row>
    <x:row r="4276" ht="46" customHeight="1">
      <x:c r="A4276" s="2" t="str">
        <x:v>TEN-85645F258252</x:v>
      </x:c>
      <x:c r="B4276" s="12" t="str">
        <x:v>WEBTELINDIA</x:v>
      </x:c>
      <x:c r="C4276" s="12" t="str">
        <x:v>CORP-0626</x:v>
      </x:c>
      <x:c r="D4276" s="12" t="str">
        <x:v>Mumbai</x:v>
      </x:c>
      <x:c r="E4276" s="12" t="str">
        <x:v>Rupa Solitaire</x:v>
      </x:c>
      <x:c r="F4276" s="12" t="str">
        <x:v>55 inch</x:v>
      </x:c>
      <x:c r="G4276" s="20" t="n">
        <x:v>1</x:v>
      </x:c>
      <x:c r="H4276" s="12" t="str">
        <x:v>Campus/portfolio roster; individual building occupancy unverified</x:v>
      </x:c>
      <x:c r="I4276" s="12" t="str">
        <x:v>Small-scale prospects</x:v>
      </x:c>
      <x:c r="J4276" s="12" t="str">
        <x:v>IT &amp; digital</x:v>
      </x:c>
      <x:c r="K4276" s="2" t="str">
        <x:v>PARTNER-M205</x:v>
      </x:c>
    </x:row>
    <x:row r="4277" ht="46" customHeight="1">
      <x:c r="A4277" s="2" t="str">
        <x:v>TEN-8EFC3B922572</x:v>
      </x:c>
      <x:c r="B4277" s="12" t="str">
        <x:v>Flagship Biotech International Private Limited</x:v>
      </x:c>
      <x:c r="C4277" s="12" t="str">
        <x:v>CORP-0626</x:v>
      </x:c>
      <x:c r="D4277" s="12" t="str">
        <x:v>Mumbai</x:v>
      </x:c>
      <x:c r="E4277" s="12" t="str">
        <x:v>Rupa Solitaire</x:v>
      </x:c>
      <x:c r="F4277" s="12" t="str">
        <x:v>55 inch</x:v>
      </x:c>
      <x:c r="G4277" s="20" t="n">
        <x:v>1</x:v>
      </x:c>
      <x:c r="H4277" s="12" t="str">
        <x:v>Campus/portfolio roster; individual building occupancy unverified</x:v>
      </x:c>
      <x:c r="I4277" s="12" t="str">
        <x:v>Medium-scale prospects</x:v>
      </x:c>
      <x:c r="J4277" s="12" t="str">
        <x:v>Healthcare &amp; life sciences</x:v>
      </x:c>
      <x:c r="K4277" s="2" t="str">
        <x:v>PARTNER-M205</x:v>
      </x:c>
    </x:row>
    <x:row r="4278" ht="46" customHeight="1">
      <x:c r="A4278" s="2" t="str">
        <x:v>TEN-9EAAB7C5C964</x:v>
      </x:c>
      <x:c r="B4278" s="12" t="str">
        <x:v>Rein Labs</x:v>
      </x:c>
      <x:c r="C4278" s="12" t="str">
        <x:v>CORP-0626</x:v>
      </x:c>
      <x:c r="D4278" s="12" t="str">
        <x:v>Mumbai</x:v>
      </x:c>
      <x:c r="E4278" s="12" t="str">
        <x:v>Rupa Solitaire</x:v>
      </x:c>
      <x:c r="F4278" s="12" t="str">
        <x:v>55 inch</x:v>
      </x:c>
      <x:c r="G4278" s="20" t="n">
        <x:v>1</x:v>
      </x:c>
      <x:c r="H4278" s="12" t="str">
        <x:v>Campus/portfolio roster; individual building occupancy unverified</x:v>
      </x:c>
      <x:c r="I4278" s="12" t="str">
        <x:v>Mixed business audience</x:v>
      </x:c>
      <x:c r="J4278" s="12" t="str">
        <x:v>Unresolved</x:v>
      </x:c>
      <x:c r="K4278" s="2" t="str">
        <x:v>PARTNER-M205</x:v>
      </x:c>
    </x:row>
    <x:row r="4279" ht="46" customHeight="1">
      <x:c r="A4279" s="2" t="str">
        <x:v>TEN-B5671F0D45A2</x:v>
      </x:c>
      <x:c r="B4279" s="12" t="str">
        <x:v>Value Loans</x:v>
      </x:c>
      <x:c r="C4279" s="12" t="str">
        <x:v>CORP-0626</x:v>
      </x:c>
      <x:c r="D4279" s="12" t="str">
        <x:v>Mumbai</x:v>
      </x:c>
      <x:c r="E4279" s="12" t="str">
        <x:v>Rupa Solitaire</x:v>
      </x:c>
      <x:c r="F4279" s="12" t="str">
        <x:v>55 inch</x:v>
      </x:c>
      <x:c r="G4279" s="20" t="n">
        <x:v>1</x:v>
      </x:c>
      <x:c r="H4279" s="12" t="str">
        <x:v>Campus/portfolio roster; individual building occupancy unverified</x:v>
      </x:c>
      <x:c r="I4279" s="12" t="str">
        <x:v>Medium-scale prospects</x:v>
      </x:c>
      <x:c r="J4279" s="12" t="str">
        <x:v>Finance &amp; insurance</x:v>
      </x:c>
      <x:c r="K4279" s="2" t="str">
        <x:v>PARTNER-M205</x:v>
      </x:c>
    </x:row>
    <x:row r="4280" ht="46" customHeight="1">
      <x:c r="A4280" s="2" t="str">
        <x:v>TEN-B76D588EDAE8</x:v>
      </x:c>
      <x:c r="B4280" s="12" t="str">
        <x:v>XL Dynamics India Private Limited</x:v>
      </x:c>
      <x:c r="C4280" s="12" t="str">
        <x:v>CORP-0626</x:v>
      </x:c>
      <x:c r="D4280" s="12" t="str">
        <x:v>Mumbai</x:v>
      </x:c>
      <x:c r="E4280" s="12" t="str">
        <x:v>Rupa Solitaire</x:v>
      </x:c>
      <x:c r="F4280" s="12" t="str">
        <x:v>55 inch</x:v>
      </x:c>
      <x:c r="G4280" s="20" t="n">
        <x:v>1</x:v>
      </x:c>
      <x:c r="H4280" s="12" t="str">
        <x:v>Campus/portfolio roster; individual building occupancy unverified</x:v>
      </x:c>
      <x:c r="I4280" s="12" t="str">
        <x:v>Small-scale prospects</x:v>
      </x:c>
      <x:c r="J4280" s="12" t="str">
        <x:v>IT &amp; digital</x:v>
      </x:c>
      <x:c r="K4280" s="2" t="str">
        <x:v>PARTNER-M205</x:v>
      </x:c>
    </x:row>
    <x:row r="4281" ht="46" customHeight="1">
      <x:c r="A4281" s="2" t="str">
        <x:v>TEN-D8F6D49FF41D</x:v>
      </x:c>
      <x:c r="B4281" s="12" t="str">
        <x:v>MindCraft Software Pvt. Ltd</x:v>
      </x:c>
      <x:c r="C4281" s="12" t="str">
        <x:v>CORP-0626</x:v>
      </x:c>
      <x:c r="D4281" s="12" t="str">
        <x:v>Mumbai</x:v>
      </x:c>
      <x:c r="E4281" s="12" t="str">
        <x:v>Rupa Solitaire</x:v>
      </x:c>
      <x:c r="F4281" s="12" t="str">
        <x:v>55 inch</x:v>
      </x:c>
      <x:c r="G4281" s="20" t="n">
        <x:v>1</x:v>
      </x:c>
      <x:c r="H4281" s="12" t="str">
        <x:v>Campus/portfolio roster; individual building occupancy unverified</x:v>
      </x:c>
      <x:c r="I4281" s="12" t="str">
        <x:v>Small-scale prospects</x:v>
      </x:c>
      <x:c r="J4281" s="12" t="str">
        <x:v>IT &amp; digital</x:v>
      </x:c>
      <x:c r="K4281" s="2" t="str">
        <x:v>PARTNER-M205</x:v>
      </x:c>
    </x:row>
    <x:row r="4282" ht="46" customHeight="1">
      <x:c r="A4282" s="2" t="str">
        <x:v>TEN-E8D6DDD422B5</x:v>
      </x:c>
      <x:c r="B4282" s="12" t="str">
        <x:v>Orient Technologies</x:v>
      </x:c>
      <x:c r="C4282" s="12" t="str">
        <x:v>CORP-0626</x:v>
      </x:c>
      <x:c r="D4282" s="12" t="str">
        <x:v>Mumbai</x:v>
      </x:c>
      <x:c r="E4282" s="12" t="str">
        <x:v>Rupa Solitaire</x:v>
      </x:c>
      <x:c r="F4282" s="12" t="str">
        <x:v>55 inch</x:v>
      </x:c>
      <x:c r="G4282" s="20" t="n">
        <x:v>1</x:v>
      </x:c>
      <x:c r="H4282" s="12" t="str">
        <x:v>Campus/portfolio roster; individual building occupancy unverified</x:v>
      </x:c>
      <x:c r="I4282" s="12" t="str">
        <x:v>Mixed business audience</x:v>
      </x:c>
      <x:c r="J4282" s="12" t="str">
        <x:v>IT &amp; digital</x:v>
      </x:c>
      <x:c r="K4282" s="2" t="str">
        <x:v>PARTNER-M205</x:v>
      </x:c>
    </x:row>
    <x:row r="4283" ht="46" customHeight="1">
      <x:c r="A4283" s="2" t="str">
        <x:v>TEN-F1CCD67C8E7F</x:v>
      </x:c>
      <x:c r="B4283" s="12" t="str">
        <x:v>IcruxSystem Pvt. Ltd</x:v>
      </x:c>
      <x:c r="C4283" s="12" t="str">
        <x:v>CORP-0626</x:v>
      </x:c>
      <x:c r="D4283" s="12" t="str">
        <x:v>Mumbai</x:v>
      </x:c>
      <x:c r="E4283" s="12" t="str">
        <x:v>Rupa Solitaire</x:v>
      </x:c>
      <x:c r="F4283" s="12" t="str">
        <x:v>55 inch</x:v>
      </x:c>
      <x:c r="G4283" s="20" t="n">
        <x:v>1</x:v>
      </x:c>
      <x:c r="H4283" s="12" t="str">
        <x:v>Campus/portfolio roster; individual building occupancy unverified</x:v>
      </x:c>
      <x:c r="I4283" s="12" t="str">
        <x:v>Mixed business audience</x:v>
      </x:c>
      <x:c r="J4283" s="12" t="str">
        <x:v>Unresolved</x:v>
      </x:c>
      <x:c r="K4283" s="2" t="str">
        <x:v>PARTNER-M205</x:v>
      </x:c>
    </x:row>
    <x:row r="4284" ht="46" customHeight="1">
      <x:c r="A4284" s="2" t="str">
        <x:v>TEN-127B47622F3A</x:v>
      </x:c>
      <x:c r="B4284" s="12" t="str">
        <x:v>ZTE INDIA</x:v>
      </x:c>
      <x:c r="C4284" s="12" t="str">
        <x:v>CORP-0627</x:v>
      </x:c>
      <x:c r="D4284" s="12" t="str">
        <x:v>Mumbai</x:v>
      </x:c>
      <x:c r="E4284" s="12" t="str">
        <x:v>Rupa Solitaire</x:v>
      </x:c>
      <x:c r="F4284" s="12" t="str">
        <x:v>55 inch</x:v>
      </x:c>
      <x:c r="G4284" s="20" t="n">
        <x:v>1</x:v>
      </x:c>
      <x:c r="H4284" s="12" t="str">
        <x:v>Campus/portfolio roster; individual building occupancy unverified</x:v>
      </x:c>
      <x:c r="I4284" s="12" t="str">
        <x:v>Mixed business audience</x:v>
      </x:c>
      <x:c r="J4284" s="12" t="str">
        <x:v>Engineering &amp; manufacturing</x:v>
      </x:c>
      <x:c r="K4284" s="2" t="str">
        <x:v>PARTNER-M205</x:v>
      </x:c>
    </x:row>
    <x:row r="4285" ht="46" customHeight="1">
      <x:c r="A4285" s="2" t="str">
        <x:v>TEN-15C760D67D1D</x:v>
      </x:c>
      <x:c r="B4285" s="12" t="str">
        <x:v>Ascra Technologies</x:v>
      </x:c>
      <x:c r="C4285" s="12" t="str">
        <x:v>CORP-0627</x:v>
      </x:c>
      <x:c r="D4285" s="12" t="str">
        <x:v>Mumbai</x:v>
      </x:c>
      <x:c r="E4285" s="12" t="str">
        <x:v>Rupa Solitaire</x:v>
      </x:c>
      <x:c r="F4285" s="12" t="str">
        <x:v>55 inch</x:v>
      </x:c>
      <x:c r="G4285" s="20" t="n">
        <x:v>1</x:v>
      </x:c>
      <x:c r="H4285" s="12" t="str">
        <x:v>Campus/portfolio roster; individual building occupancy unverified</x:v>
      </x:c>
      <x:c r="I4285" s="12" t="str">
        <x:v>Small-scale prospects</x:v>
      </x:c>
      <x:c r="J4285" s="12" t="str">
        <x:v>IT &amp; digital</x:v>
      </x:c>
      <x:c r="K4285" s="2" t="str">
        <x:v>PARTNER-M205</x:v>
      </x:c>
    </x:row>
    <x:row r="4286" ht="46" customHeight="1">
      <x:c r="A4286" s="2" t="str">
        <x:v>TEN-1E42D3AD0FD0</x:v>
      </x:c>
      <x:c r="B4286" s="12" t="str">
        <x:v>Linde India Limited</x:v>
      </x:c>
      <x:c r="C4286" s="12" t="str">
        <x:v>CORP-0627</x:v>
      </x:c>
      <x:c r="D4286" s="12" t="str">
        <x:v>Mumbai</x:v>
      </x:c>
      <x:c r="E4286" s="12" t="str">
        <x:v>Rupa Solitaire</x:v>
      </x:c>
      <x:c r="F4286" s="12" t="str">
        <x:v>55 inch</x:v>
      </x:c>
      <x:c r="G4286" s="20" t="n">
        <x:v>1</x:v>
      </x:c>
      <x:c r="H4286" s="12" t="str">
        <x:v>Campus/portfolio roster; individual building occupancy unverified</x:v>
      </x:c>
      <x:c r="I4286" s="12" t="str">
        <x:v>Mixed business audience</x:v>
      </x:c>
      <x:c r="J4286" s="12" t="str">
        <x:v>Engineering &amp; manufacturing</x:v>
      </x:c>
      <x:c r="K4286" s="2" t="str">
        <x:v>PARTNER-M205</x:v>
      </x:c>
    </x:row>
    <x:row r="4287" ht="46" customHeight="1">
      <x:c r="A4287" s="2" t="str">
        <x:v>TEN-2D454207B572</x:v>
      </x:c>
      <x:c r="B4287" s="12" t="str">
        <x:v>Marquis Technologies</x:v>
      </x:c>
      <x:c r="C4287" s="12" t="str">
        <x:v>CORP-0627</x:v>
      </x:c>
      <x:c r="D4287" s="12" t="str">
        <x:v>Mumbai</x:v>
      </x:c>
      <x:c r="E4287" s="12" t="str">
        <x:v>Rupa Solitaire</x:v>
      </x:c>
      <x:c r="F4287" s="12" t="str">
        <x:v>55 inch</x:v>
      </x:c>
      <x:c r="G4287" s="20" t="n">
        <x:v>1</x:v>
      </x:c>
      <x:c r="H4287" s="12" t="str">
        <x:v>Campus/portfolio roster; individual building occupancy unverified</x:v>
      </x:c>
      <x:c r="I4287" s="12" t="str">
        <x:v>Mixed business audience</x:v>
      </x:c>
      <x:c r="J4287" s="12" t="str">
        <x:v>Unresolved</x:v>
      </x:c>
      <x:c r="K4287" s="2" t="str">
        <x:v>PARTNER-M205</x:v>
      </x:c>
    </x:row>
    <x:row r="4288" ht="46" customHeight="1">
      <x:c r="A4288" s="2" t="str">
        <x:v>TEN-4337D4E769C7</x:v>
      </x:c>
      <x:c r="B4288" s="12" t="str">
        <x:v>Object Edge</x:v>
      </x:c>
      <x:c r="C4288" s="12" t="str">
        <x:v>CORP-0627</x:v>
      </x:c>
      <x:c r="D4288" s="12" t="str">
        <x:v>Mumbai</x:v>
      </x:c>
      <x:c r="E4288" s="12" t="str">
        <x:v>Rupa Solitaire</x:v>
      </x:c>
      <x:c r="F4288" s="12" t="str">
        <x:v>55 inch</x:v>
      </x:c>
      <x:c r="G4288" s="20" t="n">
        <x:v>1</x:v>
      </x:c>
      <x:c r="H4288" s="12" t="str">
        <x:v>Campus/portfolio roster; individual building occupancy unverified</x:v>
      </x:c>
      <x:c r="I4288" s="12" t="str">
        <x:v>Small-scale prospects</x:v>
      </x:c>
      <x:c r="J4288" s="12" t="str">
        <x:v>IT &amp; digital</x:v>
      </x:c>
      <x:c r="K4288" s="2" t="str">
        <x:v>PARTNER-M205</x:v>
      </x:c>
    </x:row>
    <x:row r="4289" ht="46" customHeight="1">
      <x:c r="A4289" s="2" t="str">
        <x:v>TEN-553E661E9572</x:v>
      </x:c>
      <x:c r="B4289" s="12" t="str">
        <x:v>Alumayer</x:v>
      </x:c>
      <x:c r="C4289" s="12" t="str">
        <x:v>CORP-0627</x:v>
      </x:c>
      <x:c r="D4289" s="12" t="str">
        <x:v>Mumbai</x:v>
      </x:c>
      <x:c r="E4289" s="12" t="str">
        <x:v>Rupa Solitaire</x:v>
      </x:c>
      <x:c r="F4289" s="12" t="str">
        <x:v>55 inch</x:v>
      </x:c>
      <x:c r="G4289" s="20" t="n">
        <x:v>1</x:v>
      </x:c>
      <x:c r="H4289" s="12" t="str">
        <x:v>Campus/portfolio roster; individual building occupancy unverified</x:v>
      </x:c>
      <x:c r="I4289" s="12" t="str">
        <x:v>Medium-scale prospects</x:v>
      </x:c>
      <x:c r="J4289" s="12" t="str">
        <x:v>Engineering &amp; manufacturing</x:v>
      </x:c>
      <x:c r="K4289" s="2" t="str">
        <x:v>PARTNER-M205</x:v>
      </x:c>
    </x:row>
    <x:row r="4290" ht="46" customHeight="1">
      <x:c r="A4290" s="2" t="str">
        <x:v>TEN-5F95F2022E30</x:v>
      </x:c>
      <x:c r="B4290" s="12" t="str">
        <x:v>Sarla Advantech Pvt. Ltd</x:v>
      </x:c>
      <x:c r="C4290" s="12" t="str">
        <x:v>CORP-0627</x:v>
      </x:c>
      <x:c r="D4290" s="12" t="str">
        <x:v>Mumbai</x:v>
      </x:c>
      <x:c r="E4290" s="12" t="str">
        <x:v>Rupa Solitaire</x:v>
      </x:c>
      <x:c r="F4290" s="12" t="str">
        <x:v>55 inch</x:v>
      </x:c>
      <x:c r="G4290" s="20" t="n">
        <x:v>1</x:v>
      </x:c>
      <x:c r="H4290" s="12" t="str">
        <x:v>Campus/portfolio roster; individual building occupancy unverified</x:v>
      </x:c>
      <x:c r="I4290" s="12" t="str">
        <x:v>Small-scale prospects</x:v>
      </x:c>
      <x:c r="J4290" s="12" t="str">
        <x:v>IT &amp; digital</x:v>
      </x:c>
      <x:c r="K4290" s="2" t="str">
        <x:v>PARTNER-M205</x:v>
      </x:c>
    </x:row>
    <x:row r="4291" ht="46" customHeight="1">
      <x:c r="A4291" s="2" t="str">
        <x:v>TEN-784276C71673</x:v>
      </x:c>
      <x:c r="B4291" s="12" t="str">
        <x:v>Mavenir Systems</x:v>
      </x:c>
      <x:c r="C4291" s="12" t="str">
        <x:v>CORP-0627</x:v>
      </x:c>
      <x:c r="D4291" s="12" t="str">
        <x:v>Mumbai</x:v>
      </x:c>
      <x:c r="E4291" s="12" t="str">
        <x:v>Rupa Solitaire</x:v>
      </x:c>
      <x:c r="F4291" s="12" t="str">
        <x:v>55 inch</x:v>
      </x:c>
      <x:c r="G4291" s="20" t="n">
        <x:v>1</x:v>
      </x:c>
      <x:c r="H4291" s="12" t="str">
        <x:v>Campus/portfolio roster; individual building occupancy unverified</x:v>
      </x:c>
      <x:c r="I4291" s="12" t="str">
        <x:v>Mixed business audience</x:v>
      </x:c>
      <x:c r="J4291" s="12" t="str">
        <x:v>IT &amp; digital</x:v>
      </x:c>
      <x:c r="K4291" s="2" t="str">
        <x:v>PARTNER-M205</x:v>
      </x:c>
    </x:row>
    <x:row r="4292" ht="46" customHeight="1">
      <x:c r="A4292" s="2" t="str">
        <x:v>TEN-7D3893B5DA94</x:v>
      </x:c>
      <x:c r="B4292" s="12" t="str">
        <x:v>G4K Solutions Pvt. Ltd</x:v>
      </x:c>
      <x:c r="C4292" s="12" t="str">
        <x:v>CORP-0627</x:v>
      </x:c>
      <x:c r="D4292" s="12" t="str">
        <x:v>Mumbai</x:v>
      </x:c>
      <x:c r="E4292" s="12" t="str">
        <x:v>Rupa Solitaire</x:v>
      </x:c>
      <x:c r="F4292" s="12" t="str">
        <x:v>55 inch</x:v>
      </x:c>
      <x:c r="G4292" s="20" t="n">
        <x:v>1</x:v>
      </x:c>
      <x:c r="H4292" s="12" t="str">
        <x:v>Campus/portfolio roster; individual building occupancy unverified</x:v>
      </x:c>
      <x:c r="I4292" s="12" t="str">
        <x:v>Mixed business audience</x:v>
      </x:c>
      <x:c r="J4292" s="12" t="str">
        <x:v>Unresolved</x:v>
      </x:c>
      <x:c r="K4292" s="2" t="str">
        <x:v>PARTNER-M205</x:v>
      </x:c>
    </x:row>
    <x:row r="4293" ht="46" customHeight="1">
      <x:c r="A4293" s="2" t="str">
        <x:v>TEN-85645F258252</x:v>
      </x:c>
      <x:c r="B4293" s="12" t="str">
        <x:v>WEBTELINDIA</x:v>
      </x:c>
      <x:c r="C4293" s="12" t="str">
        <x:v>CORP-0627</x:v>
      </x:c>
      <x:c r="D4293" s="12" t="str">
        <x:v>Mumbai</x:v>
      </x:c>
      <x:c r="E4293" s="12" t="str">
        <x:v>Rupa Solitaire</x:v>
      </x:c>
      <x:c r="F4293" s="12" t="str">
        <x:v>55 inch</x:v>
      </x:c>
      <x:c r="G4293" s="20" t="n">
        <x:v>1</x:v>
      </x:c>
      <x:c r="H4293" s="12" t="str">
        <x:v>Campus/portfolio roster; individual building occupancy unverified</x:v>
      </x:c>
      <x:c r="I4293" s="12" t="str">
        <x:v>Small-scale prospects</x:v>
      </x:c>
      <x:c r="J4293" s="12" t="str">
        <x:v>IT &amp; digital</x:v>
      </x:c>
      <x:c r="K4293" s="2" t="str">
        <x:v>PARTNER-M205</x:v>
      </x:c>
    </x:row>
    <x:row r="4294" ht="46" customHeight="1">
      <x:c r="A4294" s="2" t="str">
        <x:v>TEN-8EFC3B922572</x:v>
      </x:c>
      <x:c r="B4294" s="12" t="str">
        <x:v>Flagship Biotech International Private Limited</x:v>
      </x:c>
      <x:c r="C4294" s="12" t="str">
        <x:v>CORP-0627</x:v>
      </x:c>
      <x:c r="D4294" s="12" t="str">
        <x:v>Mumbai</x:v>
      </x:c>
      <x:c r="E4294" s="12" t="str">
        <x:v>Rupa Solitaire</x:v>
      </x:c>
      <x:c r="F4294" s="12" t="str">
        <x:v>55 inch</x:v>
      </x:c>
      <x:c r="G4294" s="20" t="n">
        <x:v>1</x:v>
      </x:c>
      <x:c r="H4294" s="12" t="str">
        <x:v>Campus/portfolio roster; individual building occupancy unverified</x:v>
      </x:c>
      <x:c r="I4294" s="12" t="str">
        <x:v>Medium-scale prospects</x:v>
      </x:c>
      <x:c r="J4294" s="12" t="str">
        <x:v>Healthcare &amp; life sciences</x:v>
      </x:c>
      <x:c r="K4294" s="2" t="str">
        <x:v>PARTNER-M205</x:v>
      </x:c>
    </x:row>
    <x:row r="4295" ht="46" customHeight="1">
      <x:c r="A4295" s="2" t="str">
        <x:v>TEN-9EAAB7C5C964</x:v>
      </x:c>
      <x:c r="B4295" s="12" t="str">
        <x:v>Rein Labs</x:v>
      </x:c>
      <x:c r="C4295" s="12" t="str">
        <x:v>CORP-0627</x:v>
      </x:c>
      <x:c r="D4295" s="12" t="str">
        <x:v>Mumbai</x:v>
      </x:c>
      <x:c r="E4295" s="12" t="str">
        <x:v>Rupa Solitaire</x:v>
      </x:c>
      <x:c r="F4295" s="12" t="str">
        <x:v>55 inch</x:v>
      </x:c>
      <x:c r="G4295" s="20" t="n">
        <x:v>1</x:v>
      </x:c>
      <x:c r="H4295" s="12" t="str">
        <x:v>Campus/portfolio roster; individual building occupancy unverified</x:v>
      </x:c>
      <x:c r="I4295" s="12" t="str">
        <x:v>Mixed business audience</x:v>
      </x:c>
      <x:c r="J4295" s="12" t="str">
        <x:v>Unresolved</x:v>
      </x:c>
      <x:c r="K4295" s="2" t="str">
        <x:v>PARTNER-M205</x:v>
      </x:c>
    </x:row>
    <x:row r="4296" ht="46" customHeight="1">
      <x:c r="A4296" s="2" t="str">
        <x:v>TEN-B5671F0D45A2</x:v>
      </x:c>
      <x:c r="B4296" s="12" t="str">
        <x:v>Value Loans</x:v>
      </x:c>
      <x:c r="C4296" s="12" t="str">
        <x:v>CORP-0627</x:v>
      </x:c>
      <x:c r="D4296" s="12" t="str">
        <x:v>Mumbai</x:v>
      </x:c>
      <x:c r="E4296" s="12" t="str">
        <x:v>Rupa Solitaire</x:v>
      </x:c>
      <x:c r="F4296" s="12" t="str">
        <x:v>55 inch</x:v>
      </x:c>
      <x:c r="G4296" s="20" t="n">
        <x:v>1</x:v>
      </x:c>
      <x:c r="H4296" s="12" t="str">
        <x:v>Campus/portfolio roster; individual building occupancy unverified</x:v>
      </x:c>
      <x:c r="I4296" s="12" t="str">
        <x:v>Medium-scale prospects</x:v>
      </x:c>
      <x:c r="J4296" s="12" t="str">
        <x:v>Finance &amp; insurance</x:v>
      </x:c>
      <x:c r="K4296" s="2" t="str">
        <x:v>PARTNER-M205</x:v>
      </x:c>
    </x:row>
    <x:row r="4297" ht="46" customHeight="1">
      <x:c r="A4297" s="2" t="str">
        <x:v>TEN-B76D588EDAE8</x:v>
      </x:c>
      <x:c r="B4297" s="12" t="str">
        <x:v>XL Dynamics India Private Limited</x:v>
      </x:c>
      <x:c r="C4297" s="12" t="str">
        <x:v>CORP-0627</x:v>
      </x:c>
      <x:c r="D4297" s="12" t="str">
        <x:v>Mumbai</x:v>
      </x:c>
      <x:c r="E4297" s="12" t="str">
        <x:v>Rupa Solitaire</x:v>
      </x:c>
      <x:c r="F4297" s="12" t="str">
        <x:v>55 inch</x:v>
      </x:c>
      <x:c r="G4297" s="20" t="n">
        <x:v>1</x:v>
      </x:c>
      <x:c r="H4297" s="12" t="str">
        <x:v>Campus/portfolio roster; individual building occupancy unverified</x:v>
      </x:c>
      <x:c r="I4297" s="12" t="str">
        <x:v>Small-scale prospects</x:v>
      </x:c>
      <x:c r="J4297" s="12" t="str">
        <x:v>IT &amp; digital</x:v>
      </x:c>
      <x:c r="K4297" s="2" t="str">
        <x:v>PARTNER-M205</x:v>
      </x:c>
    </x:row>
    <x:row r="4298" ht="46" customHeight="1">
      <x:c r="A4298" s="2" t="str">
        <x:v>TEN-D8F6D49FF41D</x:v>
      </x:c>
      <x:c r="B4298" s="12" t="str">
        <x:v>MindCraft Software Pvt. Ltd</x:v>
      </x:c>
      <x:c r="C4298" s="12" t="str">
        <x:v>CORP-0627</x:v>
      </x:c>
      <x:c r="D4298" s="12" t="str">
        <x:v>Mumbai</x:v>
      </x:c>
      <x:c r="E4298" s="12" t="str">
        <x:v>Rupa Solitaire</x:v>
      </x:c>
      <x:c r="F4298" s="12" t="str">
        <x:v>55 inch</x:v>
      </x:c>
      <x:c r="G4298" s="20" t="n">
        <x:v>1</x:v>
      </x:c>
      <x:c r="H4298" s="12" t="str">
        <x:v>Campus/portfolio roster; individual building occupancy unverified</x:v>
      </x:c>
      <x:c r="I4298" s="12" t="str">
        <x:v>Small-scale prospects</x:v>
      </x:c>
      <x:c r="J4298" s="12" t="str">
        <x:v>IT &amp; digital</x:v>
      </x:c>
      <x:c r="K4298" s="2" t="str">
        <x:v>PARTNER-M205</x:v>
      </x:c>
    </x:row>
    <x:row r="4299" ht="46" customHeight="1">
      <x:c r="A4299" s="2" t="str">
        <x:v>TEN-E8D6DDD422B5</x:v>
      </x:c>
      <x:c r="B4299" s="12" t="str">
        <x:v>Orient Technologies</x:v>
      </x:c>
      <x:c r="C4299" s="12" t="str">
        <x:v>CORP-0627</x:v>
      </x:c>
      <x:c r="D4299" s="12" t="str">
        <x:v>Mumbai</x:v>
      </x:c>
      <x:c r="E4299" s="12" t="str">
        <x:v>Rupa Solitaire</x:v>
      </x:c>
      <x:c r="F4299" s="12" t="str">
        <x:v>55 inch</x:v>
      </x:c>
      <x:c r="G4299" s="20" t="n">
        <x:v>1</x:v>
      </x:c>
      <x:c r="H4299" s="12" t="str">
        <x:v>Campus/portfolio roster; individual building occupancy unverified</x:v>
      </x:c>
      <x:c r="I4299" s="12" t="str">
        <x:v>Mixed business audience</x:v>
      </x:c>
      <x:c r="J4299" s="12" t="str">
        <x:v>IT &amp; digital</x:v>
      </x:c>
      <x:c r="K4299" s="2" t="str">
        <x:v>PARTNER-M205</x:v>
      </x:c>
    </x:row>
    <x:row r="4300" ht="46" customHeight="1">
      <x:c r="A4300" s="2" t="str">
        <x:v>TEN-F1CCD67C8E7F</x:v>
      </x:c>
      <x:c r="B4300" s="12" t="str">
        <x:v>IcruxSystem Pvt. Ltd</x:v>
      </x:c>
      <x:c r="C4300" s="12" t="str">
        <x:v>CORP-0627</x:v>
      </x:c>
      <x:c r="D4300" s="12" t="str">
        <x:v>Mumbai</x:v>
      </x:c>
      <x:c r="E4300" s="12" t="str">
        <x:v>Rupa Solitaire</x:v>
      </x:c>
      <x:c r="F4300" s="12" t="str">
        <x:v>55 inch</x:v>
      </x:c>
      <x:c r="G4300" s="20" t="n">
        <x:v>1</x:v>
      </x:c>
      <x:c r="H4300" s="12" t="str">
        <x:v>Campus/portfolio roster; individual building occupancy unverified</x:v>
      </x:c>
      <x:c r="I4300" s="12" t="str">
        <x:v>Mixed business audience</x:v>
      </x:c>
      <x:c r="J4300" s="12" t="str">
        <x:v>Unresolved</x:v>
      </x:c>
      <x:c r="K4300" s="2" t="str">
        <x:v>PARTNER-M205</x:v>
      </x:c>
    </x:row>
    <x:row r="4301" ht="46" customHeight="1">
      <x:c r="A4301" s="2" t="str">
        <x:v>TEN-127B47622F3A</x:v>
      </x:c>
      <x:c r="B4301" s="12" t="str">
        <x:v>ZTE INDIA</x:v>
      </x:c>
      <x:c r="C4301" s="12" t="str">
        <x:v>CORP-0628</x:v>
      </x:c>
      <x:c r="D4301" s="12" t="str">
        <x:v>Mumbai</x:v>
      </x:c>
      <x:c r="E4301" s="12" t="str">
        <x:v>Rupa Solitaire</x:v>
      </x:c>
      <x:c r="F4301" s="12" t="str">
        <x:v>55 inch</x:v>
      </x:c>
      <x:c r="G4301" s="20" t="n">
        <x:v>1</x:v>
      </x:c>
      <x:c r="H4301" s="12" t="str">
        <x:v>Campus/portfolio roster; individual building occupancy unverified</x:v>
      </x:c>
      <x:c r="I4301" s="12" t="str">
        <x:v>Mixed business audience</x:v>
      </x:c>
      <x:c r="J4301" s="12" t="str">
        <x:v>Engineering &amp; manufacturing</x:v>
      </x:c>
      <x:c r="K4301" s="2" t="str">
        <x:v>PARTNER-M205</x:v>
      </x:c>
    </x:row>
    <x:row r="4302" ht="46" customHeight="1">
      <x:c r="A4302" s="2" t="str">
        <x:v>TEN-15C760D67D1D</x:v>
      </x:c>
      <x:c r="B4302" s="12" t="str">
        <x:v>Ascra Technologies</x:v>
      </x:c>
      <x:c r="C4302" s="12" t="str">
        <x:v>CORP-0628</x:v>
      </x:c>
      <x:c r="D4302" s="12" t="str">
        <x:v>Mumbai</x:v>
      </x:c>
      <x:c r="E4302" s="12" t="str">
        <x:v>Rupa Solitaire</x:v>
      </x:c>
      <x:c r="F4302" s="12" t="str">
        <x:v>55 inch</x:v>
      </x:c>
      <x:c r="G4302" s="20" t="n">
        <x:v>1</x:v>
      </x:c>
      <x:c r="H4302" s="12" t="str">
        <x:v>Campus/portfolio roster; individual building occupancy unverified</x:v>
      </x:c>
      <x:c r="I4302" s="12" t="str">
        <x:v>Small-scale prospects</x:v>
      </x:c>
      <x:c r="J4302" s="12" t="str">
        <x:v>IT &amp; digital</x:v>
      </x:c>
      <x:c r="K4302" s="2" t="str">
        <x:v>PARTNER-M205</x:v>
      </x:c>
    </x:row>
    <x:row r="4303" ht="46" customHeight="1">
      <x:c r="A4303" s="2" t="str">
        <x:v>TEN-1E42D3AD0FD0</x:v>
      </x:c>
      <x:c r="B4303" s="12" t="str">
        <x:v>Linde India Limited</x:v>
      </x:c>
      <x:c r="C4303" s="12" t="str">
        <x:v>CORP-0628</x:v>
      </x:c>
      <x:c r="D4303" s="12" t="str">
        <x:v>Mumbai</x:v>
      </x:c>
      <x:c r="E4303" s="12" t="str">
        <x:v>Rupa Solitaire</x:v>
      </x:c>
      <x:c r="F4303" s="12" t="str">
        <x:v>55 inch</x:v>
      </x:c>
      <x:c r="G4303" s="20" t="n">
        <x:v>1</x:v>
      </x:c>
      <x:c r="H4303" s="12" t="str">
        <x:v>Campus/portfolio roster; individual building occupancy unverified</x:v>
      </x:c>
      <x:c r="I4303" s="12" t="str">
        <x:v>Mixed business audience</x:v>
      </x:c>
      <x:c r="J4303" s="12" t="str">
        <x:v>Engineering &amp; manufacturing</x:v>
      </x:c>
      <x:c r="K4303" s="2" t="str">
        <x:v>PARTNER-M205</x:v>
      </x:c>
    </x:row>
    <x:row r="4304" ht="46" customHeight="1">
      <x:c r="A4304" s="2" t="str">
        <x:v>TEN-2D454207B572</x:v>
      </x:c>
      <x:c r="B4304" s="12" t="str">
        <x:v>Marquis Technologies</x:v>
      </x:c>
      <x:c r="C4304" s="12" t="str">
        <x:v>CORP-0628</x:v>
      </x:c>
      <x:c r="D4304" s="12" t="str">
        <x:v>Mumbai</x:v>
      </x:c>
      <x:c r="E4304" s="12" t="str">
        <x:v>Rupa Solitaire</x:v>
      </x:c>
      <x:c r="F4304" s="12" t="str">
        <x:v>55 inch</x:v>
      </x:c>
      <x:c r="G4304" s="20" t="n">
        <x:v>1</x:v>
      </x:c>
      <x:c r="H4304" s="12" t="str">
        <x:v>Campus/portfolio roster; individual building occupancy unverified</x:v>
      </x:c>
      <x:c r="I4304" s="12" t="str">
        <x:v>Mixed business audience</x:v>
      </x:c>
      <x:c r="J4304" s="12" t="str">
        <x:v>Unresolved</x:v>
      </x:c>
      <x:c r="K4304" s="2" t="str">
        <x:v>PARTNER-M205</x:v>
      </x:c>
    </x:row>
    <x:row r="4305" ht="46" customHeight="1">
      <x:c r="A4305" s="2" t="str">
        <x:v>TEN-4337D4E769C7</x:v>
      </x:c>
      <x:c r="B4305" s="12" t="str">
        <x:v>Object Edge</x:v>
      </x:c>
      <x:c r="C4305" s="12" t="str">
        <x:v>CORP-0628</x:v>
      </x:c>
      <x:c r="D4305" s="12" t="str">
        <x:v>Mumbai</x:v>
      </x:c>
      <x:c r="E4305" s="12" t="str">
        <x:v>Rupa Solitaire</x:v>
      </x:c>
      <x:c r="F4305" s="12" t="str">
        <x:v>55 inch</x:v>
      </x:c>
      <x:c r="G4305" s="20" t="n">
        <x:v>1</x:v>
      </x:c>
      <x:c r="H4305" s="12" t="str">
        <x:v>Campus/portfolio roster; individual building occupancy unverified</x:v>
      </x:c>
      <x:c r="I4305" s="12" t="str">
        <x:v>Small-scale prospects</x:v>
      </x:c>
      <x:c r="J4305" s="12" t="str">
        <x:v>IT &amp; digital</x:v>
      </x:c>
      <x:c r="K4305" s="2" t="str">
        <x:v>PARTNER-M205</x:v>
      </x:c>
    </x:row>
    <x:row r="4306" ht="46" customHeight="1">
      <x:c r="A4306" s="2" t="str">
        <x:v>TEN-553E661E9572</x:v>
      </x:c>
      <x:c r="B4306" s="12" t="str">
        <x:v>Alumayer</x:v>
      </x:c>
      <x:c r="C4306" s="12" t="str">
        <x:v>CORP-0628</x:v>
      </x:c>
      <x:c r="D4306" s="12" t="str">
        <x:v>Mumbai</x:v>
      </x:c>
      <x:c r="E4306" s="12" t="str">
        <x:v>Rupa Solitaire</x:v>
      </x:c>
      <x:c r="F4306" s="12" t="str">
        <x:v>55 inch</x:v>
      </x:c>
      <x:c r="G4306" s="20" t="n">
        <x:v>1</x:v>
      </x:c>
      <x:c r="H4306" s="12" t="str">
        <x:v>Campus/portfolio roster; individual building occupancy unverified</x:v>
      </x:c>
      <x:c r="I4306" s="12" t="str">
        <x:v>Medium-scale prospects</x:v>
      </x:c>
      <x:c r="J4306" s="12" t="str">
        <x:v>Engineering &amp; manufacturing</x:v>
      </x:c>
      <x:c r="K4306" s="2" t="str">
        <x:v>PARTNER-M205</x:v>
      </x:c>
    </x:row>
    <x:row r="4307" ht="46" customHeight="1">
      <x:c r="A4307" s="2" t="str">
        <x:v>TEN-5F95F2022E30</x:v>
      </x:c>
      <x:c r="B4307" s="12" t="str">
        <x:v>Sarla Advantech Pvt. Ltd</x:v>
      </x:c>
      <x:c r="C4307" s="12" t="str">
        <x:v>CORP-0628</x:v>
      </x:c>
      <x:c r="D4307" s="12" t="str">
        <x:v>Mumbai</x:v>
      </x:c>
      <x:c r="E4307" s="12" t="str">
        <x:v>Rupa Solitaire</x:v>
      </x:c>
      <x:c r="F4307" s="12" t="str">
        <x:v>55 inch</x:v>
      </x:c>
      <x:c r="G4307" s="20" t="n">
        <x:v>1</x:v>
      </x:c>
      <x:c r="H4307" s="12" t="str">
        <x:v>Campus/portfolio roster; individual building occupancy unverified</x:v>
      </x:c>
      <x:c r="I4307" s="12" t="str">
        <x:v>Small-scale prospects</x:v>
      </x:c>
      <x:c r="J4307" s="12" t="str">
        <x:v>IT &amp; digital</x:v>
      </x:c>
      <x:c r="K4307" s="2" t="str">
        <x:v>PARTNER-M205</x:v>
      </x:c>
    </x:row>
    <x:row r="4308" ht="46" customHeight="1">
      <x:c r="A4308" s="2" t="str">
        <x:v>TEN-784276C71673</x:v>
      </x:c>
      <x:c r="B4308" s="12" t="str">
        <x:v>Mavenir Systems</x:v>
      </x:c>
      <x:c r="C4308" s="12" t="str">
        <x:v>CORP-0628</x:v>
      </x:c>
      <x:c r="D4308" s="12" t="str">
        <x:v>Mumbai</x:v>
      </x:c>
      <x:c r="E4308" s="12" t="str">
        <x:v>Rupa Solitaire</x:v>
      </x:c>
      <x:c r="F4308" s="12" t="str">
        <x:v>55 inch</x:v>
      </x:c>
      <x:c r="G4308" s="20" t="n">
        <x:v>1</x:v>
      </x:c>
      <x:c r="H4308" s="12" t="str">
        <x:v>Campus/portfolio roster; individual building occupancy unverified</x:v>
      </x:c>
      <x:c r="I4308" s="12" t="str">
        <x:v>Mixed business audience</x:v>
      </x:c>
      <x:c r="J4308" s="12" t="str">
        <x:v>IT &amp; digital</x:v>
      </x:c>
      <x:c r="K4308" s="2" t="str">
        <x:v>PARTNER-M205</x:v>
      </x:c>
    </x:row>
    <x:row r="4309" ht="46" customHeight="1">
      <x:c r="A4309" s="2" t="str">
        <x:v>TEN-7D3893B5DA94</x:v>
      </x:c>
      <x:c r="B4309" s="12" t="str">
        <x:v>G4K Solutions Pvt. Ltd</x:v>
      </x:c>
      <x:c r="C4309" s="12" t="str">
        <x:v>CORP-0628</x:v>
      </x:c>
      <x:c r="D4309" s="12" t="str">
        <x:v>Mumbai</x:v>
      </x:c>
      <x:c r="E4309" s="12" t="str">
        <x:v>Rupa Solitaire</x:v>
      </x:c>
      <x:c r="F4309" s="12" t="str">
        <x:v>55 inch</x:v>
      </x:c>
      <x:c r="G4309" s="20" t="n">
        <x:v>1</x:v>
      </x:c>
      <x:c r="H4309" s="12" t="str">
        <x:v>Campus/portfolio roster; individual building occupancy unverified</x:v>
      </x:c>
      <x:c r="I4309" s="12" t="str">
        <x:v>Mixed business audience</x:v>
      </x:c>
      <x:c r="J4309" s="12" t="str">
        <x:v>Unresolved</x:v>
      </x:c>
      <x:c r="K4309" s="2" t="str">
        <x:v>PARTNER-M205</x:v>
      </x:c>
    </x:row>
    <x:row r="4310" ht="46" customHeight="1">
      <x:c r="A4310" s="2" t="str">
        <x:v>TEN-85645F258252</x:v>
      </x:c>
      <x:c r="B4310" s="12" t="str">
        <x:v>WEBTELINDIA</x:v>
      </x:c>
      <x:c r="C4310" s="12" t="str">
        <x:v>CORP-0628</x:v>
      </x:c>
      <x:c r="D4310" s="12" t="str">
        <x:v>Mumbai</x:v>
      </x:c>
      <x:c r="E4310" s="12" t="str">
        <x:v>Rupa Solitaire</x:v>
      </x:c>
      <x:c r="F4310" s="12" t="str">
        <x:v>55 inch</x:v>
      </x:c>
      <x:c r="G4310" s="20" t="n">
        <x:v>1</x:v>
      </x:c>
      <x:c r="H4310" s="12" t="str">
        <x:v>Campus/portfolio roster; individual building occupancy unverified</x:v>
      </x:c>
      <x:c r="I4310" s="12" t="str">
        <x:v>Small-scale prospects</x:v>
      </x:c>
      <x:c r="J4310" s="12" t="str">
        <x:v>IT &amp; digital</x:v>
      </x:c>
      <x:c r="K4310" s="2" t="str">
        <x:v>PARTNER-M205</x:v>
      </x:c>
    </x:row>
    <x:row r="4311" ht="46" customHeight="1">
      <x:c r="A4311" s="2" t="str">
        <x:v>TEN-8EFC3B922572</x:v>
      </x:c>
      <x:c r="B4311" s="12" t="str">
        <x:v>Flagship Biotech International Private Limited</x:v>
      </x:c>
      <x:c r="C4311" s="12" t="str">
        <x:v>CORP-0628</x:v>
      </x:c>
      <x:c r="D4311" s="12" t="str">
        <x:v>Mumbai</x:v>
      </x:c>
      <x:c r="E4311" s="12" t="str">
        <x:v>Rupa Solitaire</x:v>
      </x:c>
      <x:c r="F4311" s="12" t="str">
        <x:v>55 inch</x:v>
      </x:c>
      <x:c r="G4311" s="20" t="n">
        <x:v>1</x:v>
      </x:c>
      <x:c r="H4311" s="12" t="str">
        <x:v>Campus/portfolio roster; individual building occupancy unverified</x:v>
      </x:c>
      <x:c r="I4311" s="12" t="str">
        <x:v>Medium-scale prospects</x:v>
      </x:c>
      <x:c r="J4311" s="12" t="str">
        <x:v>Healthcare &amp; life sciences</x:v>
      </x:c>
      <x:c r="K4311" s="2" t="str">
        <x:v>PARTNER-M205</x:v>
      </x:c>
    </x:row>
    <x:row r="4312" ht="46" customHeight="1">
      <x:c r="A4312" s="2" t="str">
        <x:v>TEN-9EAAB7C5C964</x:v>
      </x:c>
      <x:c r="B4312" s="12" t="str">
        <x:v>Rein Labs</x:v>
      </x:c>
      <x:c r="C4312" s="12" t="str">
        <x:v>CORP-0628</x:v>
      </x:c>
      <x:c r="D4312" s="12" t="str">
        <x:v>Mumbai</x:v>
      </x:c>
      <x:c r="E4312" s="12" t="str">
        <x:v>Rupa Solitaire</x:v>
      </x:c>
      <x:c r="F4312" s="12" t="str">
        <x:v>55 inch</x:v>
      </x:c>
      <x:c r="G4312" s="20" t="n">
        <x:v>1</x:v>
      </x:c>
      <x:c r="H4312" s="12" t="str">
        <x:v>Campus/portfolio roster; individual building occupancy unverified</x:v>
      </x:c>
      <x:c r="I4312" s="12" t="str">
        <x:v>Mixed business audience</x:v>
      </x:c>
      <x:c r="J4312" s="12" t="str">
        <x:v>Unresolved</x:v>
      </x:c>
      <x:c r="K4312" s="2" t="str">
        <x:v>PARTNER-M205</x:v>
      </x:c>
    </x:row>
    <x:row r="4313" ht="46" customHeight="1">
      <x:c r="A4313" s="2" t="str">
        <x:v>TEN-B5671F0D45A2</x:v>
      </x:c>
      <x:c r="B4313" s="12" t="str">
        <x:v>Value Loans</x:v>
      </x:c>
      <x:c r="C4313" s="12" t="str">
        <x:v>CORP-0628</x:v>
      </x:c>
      <x:c r="D4313" s="12" t="str">
        <x:v>Mumbai</x:v>
      </x:c>
      <x:c r="E4313" s="12" t="str">
        <x:v>Rupa Solitaire</x:v>
      </x:c>
      <x:c r="F4313" s="12" t="str">
        <x:v>55 inch</x:v>
      </x:c>
      <x:c r="G4313" s="20" t="n">
        <x:v>1</x:v>
      </x:c>
      <x:c r="H4313" s="12" t="str">
        <x:v>Campus/portfolio roster; individual building occupancy unverified</x:v>
      </x:c>
      <x:c r="I4313" s="12" t="str">
        <x:v>Medium-scale prospects</x:v>
      </x:c>
      <x:c r="J4313" s="12" t="str">
        <x:v>Finance &amp; insurance</x:v>
      </x:c>
      <x:c r="K4313" s="2" t="str">
        <x:v>PARTNER-M205</x:v>
      </x:c>
    </x:row>
    <x:row r="4314" ht="46" customHeight="1">
      <x:c r="A4314" s="2" t="str">
        <x:v>TEN-B76D588EDAE8</x:v>
      </x:c>
      <x:c r="B4314" s="12" t="str">
        <x:v>XL Dynamics India Private Limited</x:v>
      </x:c>
      <x:c r="C4314" s="12" t="str">
        <x:v>CORP-0628</x:v>
      </x:c>
      <x:c r="D4314" s="12" t="str">
        <x:v>Mumbai</x:v>
      </x:c>
      <x:c r="E4314" s="12" t="str">
        <x:v>Rupa Solitaire</x:v>
      </x:c>
      <x:c r="F4314" s="12" t="str">
        <x:v>55 inch</x:v>
      </x:c>
      <x:c r="G4314" s="20" t="n">
        <x:v>1</x:v>
      </x:c>
      <x:c r="H4314" s="12" t="str">
        <x:v>Campus/portfolio roster; individual building occupancy unverified</x:v>
      </x:c>
      <x:c r="I4314" s="12" t="str">
        <x:v>Small-scale prospects</x:v>
      </x:c>
      <x:c r="J4314" s="12" t="str">
        <x:v>IT &amp; digital</x:v>
      </x:c>
      <x:c r="K4314" s="2" t="str">
        <x:v>PARTNER-M205</x:v>
      </x:c>
    </x:row>
    <x:row r="4315" ht="46" customHeight="1">
      <x:c r="A4315" s="2" t="str">
        <x:v>TEN-D8F6D49FF41D</x:v>
      </x:c>
      <x:c r="B4315" s="12" t="str">
        <x:v>MindCraft Software Pvt. Ltd</x:v>
      </x:c>
      <x:c r="C4315" s="12" t="str">
        <x:v>CORP-0628</x:v>
      </x:c>
      <x:c r="D4315" s="12" t="str">
        <x:v>Mumbai</x:v>
      </x:c>
      <x:c r="E4315" s="12" t="str">
        <x:v>Rupa Solitaire</x:v>
      </x:c>
      <x:c r="F4315" s="12" t="str">
        <x:v>55 inch</x:v>
      </x:c>
      <x:c r="G4315" s="20" t="n">
        <x:v>1</x:v>
      </x:c>
      <x:c r="H4315" s="12" t="str">
        <x:v>Campus/portfolio roster; individual building occupancy unverified</x:v>
      </x:c>
      <x:c r="I4315" s="12" t="str">
        <x:v>Small-scale prospects</x:v>
      </x:c>
      <x:c r="J4315" s="12" t="str">
        <x:v>IT &amp; digital</x:v>
      </x:c>
      <x:c r="K4315" s="2" t="str">
        <x:v>PARTNER-M205</x:v>
      </x:c>
    </x:row>
    <x:row r="4316" ht="46" customHeight="1">
      <x:c r="A4316" s="2" t="str">
        <x:v>TEN-E8D6DDD422B5</x:v>
      </x:c>
      <x:c r="B4316" s="12" t="str">
        <x:v>Orient Technologies</x:v>
      </x:c>
      <x:c r="C4316" s="12" t="str">
        <x:v>CORP-0628</x:v>
      </x:c>
      <x:c r="D4316" s="12" t="str">
        <x:v>Mumbai</x:v>
      </x:c>
      <x:c r="E4316" s="12" t="str">
        <x:v>Rupa Solitaire</x:v>
      </x:c>
      <x:c r="F4316" s="12" t="str">
        <x:v>55 inch</x:v>
      </x:c>
      <x:c r="G4316" s="20" t="n">
        <x:v>1</x:v>
      </x:c>
      <x:c r="H4316" s="12" t="str">
        <x:v>Campus/portfolio roster; individual building occupancy unverified</x:v>
      </x:c>
      <x:c r="I4316" s="12" t="str">
        <x:v>Mixed business audience</x:v>
      </x:c>
      <x:c r="J4316" s="12" t="str">
        <x:v>IT &amp; digital</x:v>
      </x:c>
      <x:c r="K4316" s="2" t="str">
        <x:v>PARTNER-M205</x:v>
      </x:c>
    </x:row>
    <x:row r="4317" ht="46" customHeight="1">
      <x:c r="A4317" s="2" t="str">
        <x:v>TEN-F1CCD67C8E7F</x:v>
      </x:c>
      <x:c r="B4317" s="12" t="str">
        <x:v>IcruxSystem Pvt. Ltd</x:v>
      </x:c>
      <x:c r="C4317" s="12" t="str">
        <x:v>CORP-0628</x:v>
      </x:c>
      <x:c r="D4317" s="12" t="str">
        <x:v>Mumbai</x:v>
      </x:c>
      <x:c r="E4317" s="12" t="str">
        <x:v>Rupa Solitaire</x:v>
      </x:c>
      <x:c r="F4317" s="12" t="str">
        <x:v>55 inch</x:v>
      </x:c>
      <x:c r="G4317" s="20" t="n">
        <x:v>1</x:v>
      </x:c>
      <x:c r="H4317" s="12" t="str">
        <x:v>Campus/portfolio roster; individual building occupancy unverified</x:v>
      </x:c>
      <x:c r="I4317" s="12" t="str">
        <x:v>Mixed business audience</x:v>
      </x:c>
      <x:c r="J4317" s="12" t="str">
        <x:v>Unresolved</x:v>
      </x:c>
      <x:c r="K4317" s="2" t="str">
        <x:v>PARTNER-M205</x:v>
      </x:c>
    </x:row>
    <x:row r="4318" ht="46" customHeight="1">
      <x:c r="A4318" s="2" t="str">
        <x:v>TEN-127B47622F3A</x:v>
      </x:c>
      <x:c r="B4318" s="12" t="str">
        <x:v>ZTE INDIA</x:v>
      </x:c>
      <x:c r="C4318" s="12" t="str">
        <x:v>CORP-0629</x:v>
      </x:c>
      <x:c r="D4318" s="12" t="str">
        <x:v>Mumbai</x:v>
      </x:c>
      <x:c r="E4318" s="12" t="str">
        <x:v>Rupa Solitaire</x:v>
      </x:c>
      <x:c r="F4318" s="12" t="str">
        <x:v>55 inch</x:v>
      </x:c>
      <x:c r="G4318" s="20" t="n">
        <x:v>1</x:v>
      </x:c>
      <x:c r="H4318" s="12" t="str">
        <x:v>Campus/portfolio roster; individual building occupancy unverified</x:v>
      </x:c>
      <x:c r="I4318" s="12" t="str">
        <x:v>Mixed business audience</x:v>
      </x:c>
      <x:c r="J4318" s="12" t="str">
        <x:v>Engineering &amp; manufacturing</x:v>
      </x:c>
      <x:c r="K4318" s="2" t="str">
        <x:v>PARTNER-M205</x:v>
      </x:c>
    </x:row>
    <x:row r="4319" ht="46" customHeight="1">
      <x:c r="A4319" s="2" t="str">
        <x:v>TEN-15C760D67D1D</x:v>
      </x:c>
      <x:c r="B4319" s="12" t="str">
        <x:v>Ascra Technologies</x:v>
      </x:c>
      <x:c r="C4319" s="12" t="str">
        <x:v>CORP-0629</x:v>
      </x:c>
      <x:c r="D4319" s="12" t="str">
        <x:v>Mumbai</x:v>
      </x:c>
      <x:c r="E4319" s="12" t="str">
        <x:v>Rupa Solitaire</x:v>
      </x:c>
      <x:c r="F4319" s="12" t="str">
        <x:v>55 inch</x:v>
      </x:c>
      <x:c r="G4319" s="20" t="n">
        <x:v>1</x:v>
      </x:c>
      <x:c r="H4319" s="12" t="str">
        <x:v>Campus/portfolio roster; individual building occupancy unverified</x:v>
      </x:c>
      <x:c r="I4319" s="12" t="str">
        <x:v>Small-scale prospects</x:v>
      </x:c>
      <x:c r="J4319" s="12" t="str">
        <x:v>IT &amp; digital</x:v>
      </x:c>
      <x:c r="K4319" s="2" t="str">
        <x:v>PARTNER-M205</x:v>
      </x:c>
    </x:row>
    <x:row r="4320" ht="46" customHeight="1">
      <x:c r="A4320" s="2" t="str">
        <x:v>TEN-1E42D3AD0FD0</x:v>
      </x:c>
      <x:c r="B4320" s="12" t="str">
        <x:v>Linde India Limited</x:v>
      </x:c>
      <x:c r="C4320" s="12" t="str">
        <x:v>CORP-0629</x:v>
      </x:c>
      <x:c r="D4320" s="12" t="str">
        <x:v>Mumbai</x:v>
      </x:c>
      <x:c r="E4320" s="12" t="str">
        <x:v>Rupa Solitaire</x:v>
      </x:c>
      <x:c r="F4320" s="12" t="str">
        <x:v>55 inch</x:v>
      </x:c>
      <x:c r="G4320" s="20" t="n">
        <x:v>1</x:v>
      </x:c>
      <x:c r="H4320" s="12" t="str">
        <x:v>Campus/portfolio roster; individual building occupancy unverified</x:v>
      </x:c>
      <x:c r="I4320" s="12" t="str">
        <x:v>Mixed business audience</x:v>
      </x:c>
      <x:c r="J4320" s="12" t="str">
        <x:v>Engineering &amp; manufacturing</x:v>
      </x:c>
      <x:c r="K4320" s="2" t="str">
        <x:v>PARTNER-M205</x:v>
      </x:c>
    </x:row>
    <x:row r="4321" ht="46" customHeight="1">
      <x:c r="A4321" s="2" t="str">
        <x:v>TEN-2D454207B572</x:v>
      </x:c>
      <x:c r="B4321" s="12" t="str">
        <x:v>Marquis Technologies</x:v>
      </x:c>
      <x:c r="C4321" s="12" t="str">
        <x:v>CORP-0629</x:v>
      </x:c>
      <x:c r="D4321" s="12" t="str">
        <x:v>Mumbai</x:v>
      </x:c>
      <x:c r="E4321" s="12" t="str">
        <x:v>Rupa Solitaire</x:v>
      </x:c>
      <x:c r="F4321" s="12" t="str">
        <x:v>55 inch</x:v>
      </x:c>
      <x:c r="G4321" s="20" t="n">
        <x:v>1</x:v>
      </x:c>
      <x:c r="H4321" s="12" t="str">
        <x:v>Campus/portfolio roster; individual building occupancy unverified</x:v>
      </x:c>
      <x:c r="I4321" s="12" t="str">
        <x:v>Mixed business audience</x:v>
      </x:c>
      <x:c r="J4321" s="12" t="str">
        <x:v>Unresolved</x:v>
      </x:c>
      <x:c r="K4321" s="2" t="str">
        <x:v>PARTNER-M205</x:v>
      </x:c>
    </x:row>
    <x:row r="4322" ht="46" customHeight="1">
      <x:c r="A4322" s="2" t="str">
        <x:v>TEN-4337D4E769C7</x:v>
      </x:c>
      <x:c r="B4322" s="12" t="str">
        <x:v>Object Edge</x:v>
      </x:c>
      <x:c r="C4322" s="12" t="str">
        <x:v>CORP-0629</x:v>
      </x:c>
      <x:c r="D4322" s="12" t="str">
        <x:v>Mumbai</x:v>
      </x:c>
      <x:c r="E4322" s="12" t="str">
        <x:v>Rupa Solitaire</x:v>
      </x:c>
      <x:c r="F4322" s="12" t="str">
        <x:v>55 inch</x:v>
      </x:c>
      <x:c r="G4322" s="20" t="n">
        <x:v>1</x:v>
      </x:c>
      <x:c r="H4322" s="12" t="str">
        <x:v>Campus/portfolio roster; individual building occupancy unverified</x:v>
      </x:c>
      <x:c r="I4322" s="12" t="str">
        <x:v>Small-scale prospects</x:v>
      </x:c>
      <x:c r="J4322" s="12" t="str">
        <x:v>IT &amp; digital</x:v>
      </x:c>
      <x:c r="K4322" s="2" t="str">
        <x:v>PARTNER-M205</x:v>
      </x:c>
    </x:row>
    <x:row r="4323" ht="46" customHeight="1">
      <x:c r="A4323" s="2" t="str">
        <x:v>TEN-553E661E9572</x:v>
      </x:c>
      <x:c r="B4323" s="12" t="str">
        <x:v>Alumayer</x:v>
      </x:c>
      <x:c r="C4323" s="12" t="str">
        <x:v>CORP-0629</x:v>
      </x:c>
      <x:c r="D4323" s="12" t="str">
        <x:v>Mumbai</x:v>
      </x:c>
      <x:c r="E4323" s="12" t="str">
        <x:v>Rupa Solitaire</x:v>
      </x:c>
      <x:c r="F4323" s="12" t="str">
        <x:v>55 inch</x:v>
      </x:c>
      <x:c r="G4323" s="20" t="n">
        <x:v>1</x:v>
      </x:c>
      <x:c r="H4323" s="12" t="str">
        <x:v>Campus/portfolio roster; individual building occupancy unverified</x:v>
      </x:c>
      <x:c r="I4323" s="12" t="str">
        <x:v>Medium-scale prospects</x:v>
      </x:c>
      <x:c r="J4323" s="12" t="str">
        <x:v>Engineering &amp; manufacturing</x:v>
      </x:c>
      <x:c r="K4323" s="2" t="str">
        <x:v>PARTNER-M205</x:v>
      </x:c>
    </x:row>
    <x:row r="4324" ht="46" customHeight="1">
      <x:c r="A4324" s="2" t="str">
        <x:v>TEN-5F95F2022E30</x:v>
      </x:c>
      <x:c r="B4324" s="12" t="str">
        <x:v>Sarla Advantech Pvt. Ltd</x:v>
      </x:c>
      <x:c r="C4324" s="12" t="str">
        <x:v>CORP-0629</x:v>
      </x:c>
      <x:c r="D4324" s="12" t="str">
        <x:v>Mumbai</x:v>
      </x:c>
      <x:c r="E4324" s="12" t="str">
        <x:v>Rupa Solitaire</x:v>
      </x:c>
      <x:c r="F4324" s="12" t="str">
        <x:v>55 inch</x:v>
      </x:c>
      <x:c r="G4324" s="20" t="n">
        <x:v>1</x:v>
      </x:c>
      <x:c r="H4324" s="12" t="str">
        <x:v>Campus/portfolio roster; individual building occupancy unverified</x:v>
      </x:c>
      <x:c r="I4324" s="12" t="str">
        <x:v>Small-scale prospects</x:v>
      </x:c>
      <x:c r="J4324" s="12" t="str">
        <x:v>IT &amp; digital</x:v>
      </x:c>
      <x:c r="K4324" s="2" t="str">
        <x:v>PARTNER-M205</x:v>
      </x:c>
    </x:row>
    <x:row r="4325" ht="46" customHeight="1">
      <x:c r="A4325" s="2" t="str">
        <x:v>TEN-784276C71673</x:v>
      </x:c>
      <x:c r="B4325" s="12" t="str">
        <x:v>Mavenir Systems</x:v>
      </x:c>
      <x:c r="C4325" s="12" t="str">
        <x:v>CORP-0629</x:v>
      </x:c>
      <x:c r="D4325" s="12" t="str">
        <x:v>Mumbai</x:v>
      </x:c>
      <x:c r="E4325" s="12" t="str">
        <x:v>Rupa Solitaire</x:v>
      </x:c>
      <x:c r="F4325" s="12" t="str">
        <x:v>55 inch</x:v>
      </x:c>
      <x:c r="G4325" s="20" t="n">
        <x:v>1</x:v>
      </x:c>
      <x:c r="H4325" s="12" t="str">
        <x:v>Campus/portfolio roster; individual building occupancy unverified</x:v>
      </x:c>
      <x:c r="I4325" s="12" t="str">
        <x:v>Mixed business audience</x:v>
      </x:c>
      <x:c r="J4325" s="12" t="str">
        <x:v>IT &amp; digital</x:v>
      </x:c>
      <x:c r="K4325" s="2" t="str">
        <x:v>PARTNER-M205</x:v>
      </x:c>
    </x:row>
    <x:row r="4326" ht="46" customHeight="1">
      <x:c r="A4326" s="2" t="str">
        <x:v>TEN-7D3893B5DA94</x:v>
      </x:c>
      <x:c r="B4326" s="12" t="str">
        <x:v>G4K Solutions Pvt. Ltd</x:v>
      </x:c>
      <x:c r="C4326" s="12" t="str">
        <x:v>CORP-0629</x:v>
      </x:c>
      <x:c r="D4326" s="12" t="str">
        <x:v>Mumbai</x:v>
      </x:c>
      <x:c r="E4326" s="12" t="str">
        <x:v>Rupa Solitaire</x:v>
      </x:c>
      <x:c r="F4326" s="12" t="str">
        <x:v>55 inch</x:v>
      </x:c>
      <x:c r="G4326" s="20" t="n">
        <x:v>1</x:v>
      </x:c>
      <x:c r="H4326" s="12" t="str">
        <x:v>Campus/portfolio roster; individual building occupancy unverified</x:v>
      </x:c>
      <x:c r="I4326" s="12" t="str">
        <x:v>Mixed business audience</x:v>
      </x:c>
      <x:c r="J4326" s="12" t="str">
        <x:v>Unresolved</x:v>
      </x:c>
      <x:c r="K4326" s="2" t="str">
        <x:v>PARTNER-M205</x:v>
      </x:c>
    </x:row>
    <x:row r="4327" ht="46" customHeight="1">
      <x:c r="A4327" s="2" t="str">
        <x:v>TEN-85645F258252</x:v>
      </x:c>
      <x:c r="B4327" s="12" t="str">
        <x:v>WEBTELINDIA</x:v>
      </x:c>
      <x:c r="C4327" s="12" t="str">
        <x:v>CORP-0629</x:v>
      </x:c>
      <x:c r="D4327" s="12" t="str">
        <x:v>Mumbai</x:v>
      </x:c>
      <x:c r="E4327" s="12" t="str">
        <x:v>Rupa Solitaire</x:v>
      </x:c>
      <x:c r="F4327" s="12" t="str">
        <x:v>55 inch</x:v>
      </x:c>
      <x:c r="G4327" s="20" t="n">
        <x:v>1</x:v>
      </x:c>
      <x:c r="H4327" s="12" t="str">
        <x:v>Campus/portfolio roster; individual building occupancy unverified</x:v>
      </x:c>
      <x:c r="I4327" s="12" t="str">
        <x:v>Small-scale prospects</x:v>
      </x:c>
      <x:c r="J4327" s="12" t="str">
        <x:v>IT &amp; digital</x:v>
      </x:c>
      <x:c r="K4327" s="2" t="str">
        <x:v>PARTNER-M205</x:v>
      </x:c>
    </x:row>
    <x:row r="4328" ht="46" customHeight="1">
      <x:c r="A4328" s="2" t="str">
        <x:v>TEN-8EFC3B922572</x:v>
      </x:c>
      <x:c r="B4328" s="12" t="str">
        <x:v>Flagship Biotech International Private Limited</x:v>
      </x:c>
      <x:c r="C4328" s="12" t="str">
        <x:v>CORP-0629</x:v>
      </x:c>
      <x:c r="D4328" s="12" t="str">
        <x:v>Mumbai</x:v>
      </x:c>
      <x:c r="E4328" s="12" t="str">
        <x:v>Rupa Solitaire</x:v>
      </x:c>
      <x:c r="F4328" s="12" t="str">
        <x:v>55 inch</x:v>
      </x:c>
      <x:c r="G4328" s="20" t="n">
        <x:v>1</x:v>
      </x:c>
      <x:c r="H4328" s="12" t="str">
        <x:v>Campus/portfolio roster; individual building occupancy unverified</x:v>
      </x:c>
      <x:c r="I4328" s="12" t="str">
        <x:v>Medium-scale prospects</x:v>
      </x:c>
      <x:c r="J4328" s="12" t="str">
        <x:v>Healthcare &amp; life sciences</x:v>
      </x:c>
      <x:c r="K4328" s="2" t="str">
        <x:v>PARTNER-M205</x:v>
      </x:c>
    </x:row>
    <x:row r="4329" ht="46" customHeight="1">
      <x:c r="A4329" s="2" t="str">
        <x:v>TEN-9EAAB7C5C964</x:v>
      </x:c>
      <x:c r="B4329" s="12" t="str">
        <x:v>Rein Labs</x:v>
      </x:c>
      <x:c r="C4329" s="12" t="str">
        <x:v>CORP-0629</x:v>
      </x:c>
      <x:c r="D4329" s="12" t="str">
        <x:v>Mumbai</x:v>
      </x:c>
      <x:c r="E4329" s="12" t="str">
        <x:v>Rupa Solitaire</x:v>
      </x:c>
      <x:c r="F4329" s="12" t="str">
        <x:v>55 inch</x:v>
      </x:c>
      <x:c r="G4329" s="20" t="n">
        <x:v>1</x:v>
      </x:c>
      <x:c r="H4329" s="12" t="str">
        <x:v>Campus/portfolio roster; individual building occupancy unverified</x:v>
      </x:c>
      <x:c r="I4329" s="12" t="str">
        <x:v>Mixed business audience</x:v>
      </x:c>
      <x:c r="J4329" s="12" t="str">
        <x:v>Unresolved</x:v>
      </x:c>
      <x:c r="K4329" s="2" t="str">
        <x:v>PARTNER-M205</x:v>
      </x:c>
    </x:row>
    <x:row r="4330" ht="46" customHeight="1">
      <x:c r="A4330" s="2" t="str">
        <x:v>TEN-B5671F0D45A2</x:v>
      </x:c>
      <x:c r="B4330" s="12" t="str">
        <x:v>Value Loans</x:v>
      </x:c>
      <x:c r="C4330" s="12" t="str">
        <x:v>CORP-0629</x:v>
      </x:c>
      <x:c r="D4330" s="12" t="str">
        <x:v>Mumbai</x:v>
      </x:c>
      <x:c r="E4330" s="12" t="str">
        <x:v>Rupa Solitaire</x:v>
      </x:c>
      <x:c r="F4330" s="12" t="str">
        <x:v>55 inch</x:v>
      </x:c>
      <x:c r="G4330" s="20" t="n">
        <x:v>1</x:v>
      </x:c>
      <x:c r="H4330" s="12" t="str">
        <x:v>Campus/portfolio roster; individual building occupancy unverified</x:v>
      </x:c>
      <x:c r="I4330" s="12" t="str">
        <x:v>Medium-scale prospects</x:v>
      </x:c>
      <x:c r="J4330" s="12" t="str">
        <x:v>Finance &amp; insurance</x:v>
      </x:c>
      <x:c r="K4330" s="2" t="str">
        <x:v>PARTNER-M205</x:v>
      </x:c>
    </x:row>
    <x:row r="4331" ht="46" customHeight="1">
      <x:c r="A4331" s="2" t="str">
        <x:v>TEN-B76D588EDAE8</x:v>
      </x:c>
      <x:c r="B4331" s="12" t="str">
        <x:v>XL Dynamics India Private Limited</x:v>
      </x:c>
      <x:c r="C4331" s="12" t="str">
        <x:v>CORP-0629</x:v>
      </x:c>
      <x:c r="D4331" s="12" t="str">
        <x:v>Mumbai</x:v>
      </x:c>
      <x:c r="E4331" s="12" t="str">
        <x:v>Rupa Solitaire</x:v>
      </x:c>
      <x:c r="F4331" s="12" t="str">
        <x:v>55 inch</x:v>
      </x:c>
      <x:c r="G4331" s="20" t="n">
        <x:v>1</x:v>
      </x:c>
      <x:c r="H4331" s="12" t="str">
        <x:v>Campus/portfolio roster; individual building occupancy unverified</x:v>
      </x:c>
      <x:c r="I4331" s="12" t="str">
        <x:v>Small-scale prospects</x:v>
      </x:c>
      <x:c r="J4331" s="12" t="str">
        <x:v>IT &amp; digital</x:v>
      </x:c>
      <x:c r="K4331" s="2" t="str">
        <x:v>PARTNER-M205</x:v>
      </x:c>
    </x:row>
    <x:row r="4332" ht="46" customHeight="1">
      <x:c r="A4332" s="2" t="str">
        <x:v>TEN-D8F6D49FF41D</x:v>
      </x:c>
      <x:c r="B4332" s="12" t="str">
        <x:v>MindCraft Software Pvt. Ltd</x:v>
      </x:c>
      <x:c r="C4332" s="12" t="str">
        <x:v>CORP-0629</x:v>
      </x:c>
      <x:c r="D4332" s="12" t="str">
        <x:v>Mumbai</x:v>
      </x:c>
      <x:c r="E4332" s="12" t="str">
        <x:v>Rupa Solitaire</x:v>
      </x:c>
      <x:c r="F4332" s="12" t="str">
        <x:v>55 inch</x:v>
      </x:c>
      <x:c r="G4332" s="20" t="n">
        <x:v>1</x:v>
      </x:c>
      <x:c r="H4332" s="12" t="str">
        <x:v>Campus/portfolio roster; individual building occupancy unverified</x:v>
      </x:c>
      <x:c r="I4332" s="12" t="str">
        <x:v>Small-scale prospects</x:v>
      </x:c>
      <x:c r="J4332" s="12" t="str">
        <x:v>IT &amp; digital</x:v>
      </x:c>
      <x:c r="K4332" s="2" t="str">
        <x:v>PARTNER-M205</x:v>
      </x:c>
    </x:row>
    <x:row r="4333" ht="46" customHeight="1">
      <x:c r="A4333" s="2" t="str">
        <x:v>TEN-E8D6DDD422B5</x:v>
      </x:c>
      <x:c r="B4333" s="12" t="str">
        <x:v>Orient Technologies</x:v>
      </x:c>
      <x:c r="C4333" s="12" t="str">
        <x:v>CORP-0629</x:v>
      </x:c>
      <x:c r="D4333" s="12" t="str">
        <x:v>Mumbai</x:v>
      </x:c>
      <x:c r="E4333" s="12" t="str">
        <x:v>Rupa Solitaire</x:v>
      </x:c>
      <x:c r="F4333" s="12" t="str">
        <x:v>55 inch</x:v>
      </x:c>
      <x:c r="G4333" s="20" t="n">
        <x:v>1</x:v>
      </x:c>
      <x:c r="H4333" s="12" t="str">
        <x:v>Campus/portfolio roster; individual building occupancy unverified</x:v>
      </x:c>
      <x:c r="I4333" s="12" t="str">
        <x:v>Mixed business audience</x:v>
      </x:c>
      <x:c r="J4333" s="12" t="str">
        <x:v>IT &amp; digital</x:v>
      </x:c>
      <x:c r="K4333" s="2" t="str">
        <x:v>PARTNER-M205</x:v>
      </x:c>
    </x:row>
    <x:row r="4334" ht="46" customHeight="1">
      <x:c r="A4334" s="2" t="str">
        <x:v>TEN-F1CCD67C8E7F</x:v>
      </x:c>
      <x:c r="B4334" s="12" t="str">
        <x:v>IcruxSystem Pvt. Ltd</x:v>
      </x:c>
      <x:c r="C4334" s="12" t="str">
        <x:v>CORP-0629</x:v>
      </x:c>
      <x:c r="D4334" s="12" t="str">
        <x:v>Mumbai</x:v>
      </x:c>
      <x:c r="E4334" s="12" t="str">
        <x:v>Rupa Solitaire</x:v>
      </x:c>
      <x:c r="F4334" s="12" t="str">
        <x:v>55 inch</x:v>
      </x:c>
      <x:c r="G4334" s="20" t="n">
        <x:v>1</x:v>
      </x:c>
      <x:c r="H4334" s="12" t="str">
        <x:v>Campus/portfolio roster; individual building occupancy unverified</x:v>
      </x:c>
      <x:c r="I4334" s="12" t="str">
        <x:v>Mixed business audience</x:v>
      </x:c>
      <x:c r="J4334" s="12" t="str">
        <x:v>Unresolved</x:v>
      </x:c>
      <x:c r="K4334" s="2" t="str">
        <x:v>PARTNER-M205</x:v>
      </x:c>
    </x:row>
    <x:row r="4335" ht="46" customHeight="1">
      <x:c r="A4335" s="2" t="str">
        <x:v>TEN-127B47622F3A</x:v>
      </x:c>
      <x:c r="B4335" s="12" t="str">
        <x:v>ZTE INDIA</x:v>
      </x:c>
      <x:c r="C4335" s="12" t="str">
        <x:v>CORP-0630</x:v>
      </x:c>
      <x:c r="D4335" s="12" t="str">
        <x:v>Mumbai</x:v>
      </x:c>
      <x:c r="E4335" s="12" t="str">
        <x:v>Rupa Solitaire</x:v>
      </x:c>
      <x:c r="F4335" s="12" t="str">
        <x:v>55 inch</x:v>
      </x:c>
      <x:c r="G4335" s="20" t="n">
        <x:v>1</x:v>
      </x:c>
      <x:c r="H4335" s="12" t="str">
        <x:v>Campus/portfolio roster; individual building occupancy unverified</x:v>
      </x:c>
      <x:c r="I4335" s="12" t="str">
        <x:v>Mixed business audience</x:v>
      </x:c>
      <x:c r="J4335" s="12" t="str">
        <x:v>Engineering &amp; manufacturing</x:v>
      </x:c>
      <x:c r="K4335" s="2" t="str">
        <x:v>PARTNER-M205</x:v>
      </x:c>
    </x:row>
    <x:row r="4336" ht="46" customHeight="1">
      <x:c r="A4336" s="2" t="str">
        <x:v>TEN-15C760D67D1D</x:v>
      </x:c>
      <x:c r="B4336" s="12" t="str">
        <x:v>Ascra Technologies</x:v>
      </x:c>
      <x:c r="C4336" s="12" t="str">
        <x:v>CORP-0630</x:v>
      </x:c>
      <x:c r="D4336" s="12" t="str">
        <x:v>Mumbai</x:v>
      </x:c>
      <x:c r="E4336" s="12" t="str">
        <x:v>Rupa Solitaire</x:v>
      </x:c>
      <x:c r="F4336" s="12" t="str">
        <x:v>55 inch</x:v>
      </x:c>
      <x:c r="G4336" s="20" t="n">
        <x:v>1</x:v>
      </x:c>
      <x:c r="H4336" s="12" t="str">
        <x:v>Campus/portfolio roster; individual building occupancy unverified</x:v>
      </x:c>
      <x:c r="I4336" s="12" t="str">
        <x:v>Small-scale prospects</x:v>
      </x:c>
      <x:c r="J4336" s="12" t="str">
        <x:v>IT &amp; digital</x:v>
      </x:c>
      <x:c r="K4336" s="2" t="str">
        <x:v>PARTNER-M205</x:v>
      </x:c>
    </x:row>
    <x:row r="4337" ht="46" customHeight="1">
      <x:c r="A4337" s="2" t="str">
        <x:v>TEN-1E42D3AD0FD0</x:v>
      </x:c>
      <x:c r="B4337" s="12" t="str">
        <x:v>Linde India Limited</x:v>
      </x:c>
      <x:c r="C4337" s="12" t="str">
        <x:v>CORP-0630</x:v>
      </x:c>
      <x:c r="D4337" s="12" t="str">
        <x:v>Mumbai</x:v>
      </x:c>
      <x:c r="E4337" s="12" t="str">
        <x:v>Rupa Solitaire</x:v>
      </x:c>
      <x:c r="F4337" s="12" t="str">
        <x:v>55 inch</x:v>
      </x:c>
      <x:c r="G4337" s="20" t="n">
        <x:v>1</x:v>
      </x:c>
      <x:c r="H4337" s="12" t="str">
        <x:v>Campus/portfolio roster; individual building occupancy unverified</x:v>
      </x:c>
      <x:c r="I4337" s="12" t="str">
        <x:v>Mixed business audience</x:v>
      </x:c>
      <x:c r="J4337" s="12" t="str">
        <x:v>Engineering &amp; manufacturing</x:v>
      </x:c>
      <x:c r="K4337" s="2" t="str">
        <x:v>PARTNER-M205</x:v>
      </x:c>
    </x:row>
    <x:row r="4338" ht="46" customHeight="1">
      <x:c r="A4338" s="2" t="str">
        <x:v>TEN-2D454207B572</x:v>
      </x:c>
      <x:c r="B4338" s="12" t="str">
        <x:v>Marquis Technologies</x:v>
      </x:c>
      <x:c r="C4338" s="12" t="str">
        <x:v>CORP-0630</x:v>
      </x:c>
      <x:c r="D4338" s="12" t="str">
        <x:v>Mumbai</x:v>
      </x:c>
      <x:c r="E4338" s="12" t="str">
        <x:v>Rupa Solitaire</x:v>
      </x:c>
      <x:c r="F4338" s="12" t="str">
        <x:v>55 inch</x:v>
      </x:c>
      <x:c r="G4338" s="20" t="n">
        <x:v>1</x:v>
      </x:c>
      <x:c r="H4338" s="12" t="str">
        <x:v>Campus/portfolio roster; individual building occupancy unverified</x:v>
      </x:c>
      <x:c r="I4338" s="12" t="str">
        <x:v>Mixed business audience</x:v>
      </x:c>
      <x:c r="J4338" s="12" t="str">
        <x:v>Unresolved</x:v>
      </x:c>
      <x:c r="K4338" s="2" t="str">
        <x:v>PARTNER-M205</x:v>
      </x:c>
    </x:row>
    <x:row r="4339" ht="46" customHeight="1">
      <x:c r="A4339" s="2" t="str">
        <x:v>TEN-4337D4E769C7</x:v>
      </x:c>
      <x:c r="B4339" s="12" t="str">
        <x:v>Object Edge</x:v>
      </x:c>
      <x:c r="C4339" s="12" t="str">
        <x:v>CORP-0630</x:v>
      </x:c>
      <x:c r="D4339" s="12" t="str">
        <x:v>Mumbai</x:v>
      </x:c>
      <x:c r="E4339" s="12" t="str">
        <x:v>Rupa Solitaire</x:v>
      </x:c>
      <x:c r="F4339" s="12" t="str">
        <x:v>55 inch</x:v>
      </x:c>
      <x:c r="G4339" s="20" t="n">
        <x:v>1</x:v>
      </x:c>
      <x:c r="H4339" s="12" t="str">
        <x:v>Campus/portfolio roster; individual building occupancy unverified</x:v>
      </x:c>
      <x:c r="I4339" s="12" t="str">
        <x:v>Small-scale prospects</x:v>
      </x:c>
      <x:c r="J4339" s="12" t="str">
        <x:v>IT &amp; digital</x:v>
      </x:c>
      <x:c r="K4339" s="2" t="str">
        <x:v>PARTNER-M205</x:v>
      </x:c>
    </x:row>
    <x:row r="4340" ht="46" customHeight="1">
      <x:c r="A4340" s="2" t="str">
        <x:v>TEN-553E661E9572</x:v>
      </x:c>
      <x:c r="B4340" s="12" t="str">
        <x:v>Alumayer</x:v>
      </x:c>
      <x:c r="C4340" s="12" t="str">
        <x:v>CORP-0630</x:v>
      </x:c>
      <x:c r="D4340" s="12" t="str">
        <x:v>Mumbai</x:v>
      </x:c>
      <x:c r="E4340" s="12" t="str">
        <x:v>Rupa Solitaire</x:v>
      </x:c>
      <x:c r="F4340" s="12" t="str">
        <x:v>55 inch</x:v>
      </x:c>
      <x:c r="G4340" s="20" t="n">
        <x:v>1</x:v>
      </x:c>
      <x:c r="H4340" s="12" t="str">
        <x:v>Campus/portfolio roster; individual building occupancy unverified</x:v>
      </x:c>
      <x:c r="I4340" s="12" t="str">
        <x:v>Medium-scale prospects</x:v>
      </x:c>
      <x:c r="J4340" s="12" t="str">
        <x:v>Engineering &amp; manufacturing</x:v>
      </x:c>
      <x:c r="K4340" s="2" t="str">
        <x:v>PARTNER-M205</x:v>
      </x:c>
    </x:row>
    <x:row r="4341" ht="46" customHeight="1">
      <x:c r="A4341" s="2" t="str">
        <x:v>TEN-5F95F2022E30</x:v>
      </x:c>
      <x:c r="B4341" s="12" t="str">
        <x:v>Sarla Advantech Pvt. Ltd</x:v>
      </x:c>
      <x:c r="C4341" s="12" t="str">
        <x:v>CORP-0630</x:v>
      </x:c>
      <x:c r="D4341" s="12" t="str">
        <x:v>Mumbai</x:v>
      </x:c>
      <x:c r="E4341" s="12" t="str">
        <x:v>Rupa Solitaire</x:v>
      </x:c>
      <x:c r="F4341" s="12" t="str">
        <x:v>55 inch</x:v>
      </x:c>
      <x:c r="G4341" s="20" t="n">
        <x:v>1</x:v>
      </x:c>
      <x:c r="H4341" s="12" t="str">
        <x:v>Campus/portfolio roster; individual building occupancy unverified</x:v>
      </x:c>
      <x:c r="I4341" s="12" t="str">
        <x:v>Small-scale prospects</x:v>
      </x:c>
      <x:c r="J4341" s="12" t="str">
        <x:v>IT &amp; digital</x:v>
      </x:c>
      <x:c r="K4341" s="2" t="str">
        <x:v>PARTNER-M205</x:v>
      </x:c>
    </x:row>
    <x:row r="4342" ht="46" customHeight="1">
      <x:c r="A4342" s="2" t="str">
        <x:v>TEN-784276C71673</x:v>
      </x:c>
      <x:c r="B4342" s="12" t="str">
        <x:v>Mavenir Systems</x:v>
      </x:c>
      <x:c r="C4342" s="12" t="str">
        <x:v>CORP-0630</x:v>
      </x:c>
      <x:c r="D4342" s="12" t="str">
        <x:v>Mumbai</x:v>
      </x:c>
      <x:c r="E4342" s="12" t="str">
        <x:v>Rupa Solitaire</x:v>
      </x:c>
      <x:c r="F4342" s="12" t="str">
        <x:v>55 inch</x:v>
      </x:c>
      <x:c r="G4342" s="20" t="n">
        <x:v>1</x:v>
      </x:c>
      <x:c r="H4342" s="12" t="str">
        <x:v>Campus/portfolio roster; individual building occupancy unverified</x:v>
      </x:c>
      <x:c r="I4342" s="12" t="str">
        <x:v>Mixed business audience</x:v>
      </x:c>
      <x:c r="J4342" s="12" t="str">
        <x:v>IT &amp; digital</x:v>
      </x:c>
      <x:c r="K4342" s="2" t="str">
        <x:v>PARTNER-M205</x:v>
      </x:c>
    </x:row>
    <x:row r="4343" ht="46" customHeight="1">
      <x:c r="A4343" s="2" t="str">
        <x:v>TEN-7D3893B5DA94</x:v>
      </x:c>
      <x:c r="B4343" s="12" t="str">
        <x:v>G4K Solutions Pvt. Ltd</x:v>
      </x:c>
      <x:c r="C4343" s="12" t="str">
        <x:v>CORP-0630</x:v>
      </x:c>
      <x:c r="D4343" s="12" t="str">
        <x:v>Mumbai</x:v>
      </x:c>
      <x:c r="E4343" s="12" t="str">
        <x:v>Rupa Solitaire</x:v>
      </x:c>
      <x:c r="F4343" s="12" t="str">
        <x:v>55 inch</x:v>
      </x:c>
      <x:c r="G4343" s="20" t="n">
        <x:v>1</x:v>
      </x:c>
      <x:c r="H4343" s="12" t="str">
        <x:v>Campus/portfolio roster; individual building occupancy unverified</x:v>
      </x:c>
      <x:c r="I4343" s="12" t="str">
        <x:v>Mixed business audience</x:v>
      </x:c>
      <x:c r="J4343" s="12" t="str">
        <x:v>Unresolved</x:v>
      </x:c>
      <x:c r="K4343" s="2" t="str">
        <x:v>PARTNER-M205</x:v>
      </x:c>
    </x:row>
    <x:row r="4344" ht="46" customHeight="1">
      <x:c r="A4344" s="2" t="str">
        <x:v>TEN-85645F258252</x:v>
      </x:c>
      <x:c r="B4344" s="12" t="str">
        <x:v>WEBTELINDIA</x:v>
      </x:c>
      <x:c r="C4344" s="12" t="str">
        <x:v>CORP-0630</x:v>
      </x:c>
      <x:c r="D4344" s="12" t="str">
        <x:v>Mumbai</x:v>
      </x:c>
      <x:c r="E4344" s="12" t="str">
        <x:v>Rupa Solitaire</x:v>
      </x:c>
      <x:c r="F4344" s="12" t="str">
        <x:v>55 inch</x:v>
      </x:c>
      <x:c r="G4344" s="20" t="n">
        <x:v>1</x:v>
      </x:c>
      <x:c r="H4344" s="12" t="str">
        <x:v>Campus/portfolio roster; individual building occupancy unverified</x:v>
      </x:c>
      <x:c r="I4344" s="12" t="str">
        <x:v>Small-scale prospects</x:v>
      </x:c>
      <x:c r="J4344" s="12" t="str">
        <x:v>IT &amp; digital</x:v>
      </x:c>
      <x:c r="K4344" s="2" t="str">
        <x:v>PARTNER-M205</x:v>
      </x:c>
    </x:row>
    <x:row r="4345" ht="46" customHeight="1">
      <x:c r="A4345" s="2" t="str">
        <x:v>TEN-8EFC3B922572</x:v>
      </x:c>
      <x:c r="B4345" s="12" t="str">
        <x:v>Flagship Biotech International Private Limited</x:v>
      </x:c>
      <x:c r="C4345" s="12" t="str">
        <x:v>CORP-0630</x:v>
      </x:c>
      <x:c r="D4345" s="12" t="str">
        <x:v>Mumbai</x:v>
      </x:c>
      <x:c r="E4345" s="12" t="str">
        <x:v>Rupa Solitaire</x:v>
      </x:c>
      <x:c r="F4345" s="12" t="str">
        <x:v>55 inch</x:v>
      </x:c>
      <x:c r="G4345" s="20" t="n">
        <x:v>1</x:v>
      </x:c>
      <x:c r="H4345" s="12" t="str">
        <x:v>Campus/portfolio roster; individual building occupancy unverified</x:v>
      </x:c>
      <x:c r="I4345" s="12" t="str">
        <x:v>Medium-scale prospects</x:v>
      </x:c>
      <x:c r="J4345" s="12" t="str">
        <x:v>Healthcare &amp; life sciences</x:v>
      </x:c>
      <x:c r="K4345" s="2" t="str">
        <x:v>PARTNER-M205</x:v>
      </x:c>
    </x:row>
    <x:row r="4346" ht="46" customHeight="1">
      <x:c r="A4346" s="2" t="str">
        <x:v>TEN-9EAAB7C5C964</x:v>
      </x:c>
      <x:c r="B4346" s="12" t="str">
        <x:v>Rein Labs</x:v>
      </x:c>
      <x:c r="C4346" s="12" t="str">
        <x:v>CORP-0630</x:v>
      </x:c>
      <x:c r="D4346" s="12" t="str">
        <x:v>Mumbai</x:v>
      </x:c>
      <x:c r="E4346" s="12" t="str">
        <x:v>Rupa Solitaire</x:v>
      </x:c>
      <x:c r="F4346" s="12" t="str">
        <x:v>55 inch</x:v>
      </x:c>
      <x:c r="G4346" s="20" t="n">
        <x:v>1</x:v>
      </x:c>
      <x:c r="H4346" s="12" t="str">
        <x:v>Campus/portfolio roster; individual building occupancy unverified</x:v>
      </x:c>
      <x:c r="I4346" s="12" t="str">
        <x:v>Mixed business audience</x:v>
      </x:c>
      <x:c r="J4346" s="12" t="str">
        <x:v>Unresolved</x:v>
      </x:c>
      <x:c r="K4346" s="2" t="str">
        <x:v>PARTNER-M205</x:v>
      </x:c>
    </x:row>
    <x:row r="4347" ht="46" customHeight="1">
      <x:c r="A4347" s="2" t="str">
        <x:v>TEN-B5671F0D45A2</x:v>
      </x:c>
      <x:c r="B4347" s="12" t="str">
        <x:v>Value Loans</x:v>
      </x:c>
      <x:c r="C4347" s="12" t="str">
        <x:v>CORP-0630</x:v>
      </x:c>
      <x:c r="D4347" s="12" t="str">
        <x:v>Mumbai</x:v>
      </x:c>
      <x:c r="E4347" s="12" t="str">
        <x:v>Rupa Solitaire</x:v>
      </x:c>
      <x:c r="F4347" s="12" t="str">
        <x:v>55 inch</x:v>
      </x:c>
      <x:c r="G4347" s="20" t="n">
        <x:v>1</x:v>
      </x:c>
      <x:c r="H4347" s="12" t="str">
        <x:v>Campus/portfolio roster; individual building occupancy unverified</x:v>
      </x:c>
      <x:c r="I4347" s="12" t="str">
        <x:v>Medium-scale prospects</x:v>
      </x:c>
      <x:c r="J4347" s="12" t="str">
        <x:v>Finance &amp; insurance</x:v>
      </x:c>
      <x:c r="K4347" s="2" t="str">
        <x:v>PARTNER-M205</x:v>
      </x:c>
    </x:row>
    <x:row r="4348" ht="46" customHeight="1">
      <x:c r="A4348" s="2" t="str">
        <x:v>TEN-B76D588EDAE8</x:v>
      </x:c>
      <x:c r="B4348" s="12" t="str">
        <x:v>XL Dynamics India Private Limited</x:v>
      </x:c>
      <x:c r="C4348" s="12" t="str">
        <x:v>CORP-0630</x:v>
      </x:c>
      <x:c r="D4348" s="12" t="str">
        <x:v>Mumbai</x:v>
      </x:c>
      <x:c r="E4348" s="12" t="str">
        <x:v>Rupa Solitaire</x:v>
      </x:c>
      <x:c r="F4348" s="12" t="str">
        <x:v>55 inch</x:v>
      </x:c>
      <x:c r="G4348" s="20" t="n">
        <x:v>1</x:v>
      </x:c>
      <x:c r="H4348" s="12" t="str">
        <x:v>Campus/portfolio roster; individual building occupancy unverified</x:v>
      </x:c>
      <x:c r="I4348" s="12" t="str">
        <x:v>Small-scale prospects</x:v>
      </x:c>
      <x:c r="J4348" s="12" t="str">
        <x:v>IT &amp; digital</x:v>
      </x:c>
      <x:c r="K4348" s="2" t="str">
        <x:v>PARTNER-M205</x:v>
      </x:c>
    </x:row>
    <x:row r="4349" ht="46" customHeight="1">
      <x:c r="A4349" s="2" t="str">
        <x:v>TEN-D8F6D49FF41D</x:v>
      </x:c>
      <x:c r="B4349" s="12" t="str">
        <x:v>MindCraft Software Pvt. Ltd</x:v>
      </x:c>
      <x:c r="C4349" s="12" t="str">
        <x:v>CORP-0630</x:v>
      </x:c>
      <x:c r="D4349" s="12" t="str">
        <x:v>Mumbai</x:v>
      </x:c>
      <x:c r="E4349" s="12" t="str">
        <x:v>Rupa Solitaire</x:v>
      </x:c>
      <x:c r="F4349" s="12" t="str">
        <x:v>55 inch</x:v>
      </x:c>
      <x:c r="G4349" s="20" t="n">
        <x:v>1</x:v>
      </x:c>
      <x:c r="H4349" s="12" t="str">
        <x:v>Campus/portfolio roster; individual building occupancy unverified</x:v>
      </x:c>
      <x:c r="I4349" s="12" t="str">
        <x:v>Small-scale prospects</x:v>
      </x:c>
      <x:c r="J4349" s="12" t="str">
        <x:v>IT &amp; digital</x:v>
      </x:c>
      <x:c r="K4349" s="2" t="str">
        <x:v>PARTNER-M205</x:v>
      </x:c>
    </x:row>
    <x:row r="4350" ht="46" customHeight="1">
      <x:c r="A4350" s="2" t="str">
        <x:v>TEN-E8D6DDD422B5</x:v>
      </x:c>
      <x:c r="B4350" s="12" t="str">
        <x:v>Orient Technologies</x:v>
      </x:c>
      <x:c r="C4350" s="12" t="str">
        <x:v>CORP-0630</x:v>
      </x:c>
      <x:c r="D4350" s="12" t="str">
        <x:v>Mumbai</x:v>
      </x:c>
      <x:c r="E4350" s="12" t="str">
        <x:v>Rupa Solitaire</x:v>
      </x:c>
      <x:c r="F4350" s="12" t="str">
        <x:v>55 inch</x:v>
      </x:c>
      <x:c r="G4350" s="20" t="n">
        <x:v>1</x:v>
      </x:c>
      <x:c r="H4350" s="12" t="str">
        <x:v>Campus/portfolio roster; individual building occupancy unverified</x:v>
      </x:c>
      <x:c r="I4350" s="12" t="str">
        <x:v>Mixed business audience</x:v>
      </x:c>
      <x:c r="J4350" s="12" t="str">
        <x:v>IT &amp; digital</x:v>
      </x:c>
      <x:c r="K4350" s="2" t="str">
        <x:v>PARTNER-M205</x:v>
      </x:c>
    </x:row>
    <x:row r="4351" ht="46" customHeight="1">
      <x:c r="A4351" s="2" t="str">
        <x:v>TEN-F1CCD67C8E7F</x:v>
      </x:c>
      <x:c r="B4351" s="12" t="str">
        <x:v>IcruxSystem Pvt. Ltd</x:v>
      </x:c>
      <x:c r="C4351" s="12" t="str">
        <x:v>CORP-0630</x:v>
      </x:c>
      <x:c r="D4351" s="12" t="str">
        <x:v>Mumbai</x:v>
      </x:c>
      <x:c r="E4351" s="12" t="str">
        <x:v>Rupa Solitaire</x:v>
      </x:c>
      <x:c r="F4351" s="12" t="str">
        <x:v>55 inch</x:v>
      </x:c>
      <x:c r="G4351" s="20" t="n">
        <x:v>1</x:v>
      </x:c>
      <x:c r="H4351" s="12" t="str">
        <x:v>Campus/portfolio roster; individual building occupancy unverified</x:v>
      </x:c>
      <x:c r="I4351" s="12" t="str">
        <x:v>Mixed business audience</x:v>
      </x:c>
      <x:c r="J4351" s="12" t="str">
        <x:v>Unresolved</x:v>
      </x:c>
      <x:c r="K4351" s="2" t="str">
        <x:v>PARTNER-M205</x:v>
      </x:c>
    </x:row>
    <x:row r="4352" ht="46" customHeight="1">
      <x:c r="A4352" s="2" t="str">
        <x:v>TEN-127B47622F3A</x:v>
      </x:c>
      <x:c r="B4352" s="12" t="str">
        <x:v>ZTE INDIA</x:v>
      </x:c>
      <x:c r="C4352" s="12" t="str">
        <x:v>CORP-0631</x:v>
      </x:c>
      <x:c r="D4352" s="12" t="str">
        <x:v>Mumbai</x:v>
      </x:c>
      <x:c r="E4352" s="12" t="str">
        <x:v>Rupa Solitaire</x:v>
      </x:c>
      <x:c r="F4352" s="12" t="str">
        <x:v>55 inch</x:v>
      </x:c>
      <x:c r="G4352" s="20" t="n">
        <x:v>1</x:v>
      </x:c>
      <x:c r="H4352" s="12" t="str">
        <x:v>Campus/portfolio roster; individual building occupancy unverified</x:v>
      </x:c>
      <x:c r="I4352" s="12" t="str">
        <x:v>Mixed business audience</x:v>
      </x:c>
      <x:c r="J4352" s="12" t="str">
        <x:v>Engineering &amp; manufacturing</x:v>
      </x:c>
      <x:c r="K4352" s="2" t="str">
        <x:v>PARTNER-M205</x:v>
      </x:c>
    </x:row>
    <x:row r="4353" ht="46" customHeight="1">
      <x:c r="A4353" s="2" t="str">
        <x:v>TEN-15C760D67D1D</x:v>
      </x:c>
      <x:c r="B4353" s="12" t="str">
        <x:v>Ascra Technologies</x:v>
      </x:c>
      <x:c r="C4353" s="12" t="str">
        <x:v>CORP-0631</x:v>
      </x:c>
      <x:c r="D4353" s="12" t="str">
        <x:v>Mumbai</x:v>
      </x:c>
      <x:c r="E4353" s="12" t="str">
        <x:v>Rupa Solitaire</x:v>
      </x:c>
      <x:c r="F4353" s="12" t="str">
        <x:v>55 inch</x:v>
      </x:c>
      <x:c r="G4353" s="20" t="n">
        <x:v>1</x:v>
      </x:c>
      <x:c r="H4353" s="12" t="str">
        <x:v>Campus/portfolio roster; individual building occupancy unverified</x:v>
      </x:c>
      <x:c r="I4353" s="12" t="str">
        <x:v>Small-scale prospects</x:v>
      </x:c>
      <x:c r="J4353" s="12" t="str">
        <x:v>IT &amp; digital</x:v>
      </x:c>
      <x:c r="K4353" s="2" t="str">
        <x:v>PARTNER-M205</x:v>
      </x:c>
    </x:row>
    <x:row r="4354" ht="46" customHeight="1">
      <x:c r="A4354" s="2" t="str">
        <x:v>TEN-1E42D3AD0FD0</x:v>
      </x:c>
      <x:c r="B4354" s="12" t="str">
        <x:v>Linde India Limited</x:v>
      </x:c>
      <x:c r="C4354" s="12" t="str">
        <x:v>CORP-0631</x:v>
      </x:c>
      <x:c r="D4354" s="12" t="str">
        <x:v>Mumbai</x:v>
      </x:c>
      <x:c r="E4354" s="12" t="str">
        <x:v>Rupa Solitaire</x:v>
      </x:c>
      <x:c r="F4354" s="12" t="str">
        <x:v>55 inch</x:v>
      </x:c>
      <x:c r="G4354" s="20" t="n">
        <x:v>1</x:v>
      </x:c>
      <x:c r="H4354" s="12" t="str">
        <x:v>Campus/portfolio roster; individual building occupancy unverified</x:v>
      </x:c>
      <x:c r="I4354" s="12" t="str">
        <x:v>Mixed business audience</x:v>
      </x:c>
      <x:c r="J4354" s="12" t="str">
        <x:v>Engineering &amp; manufacturing</x:v>
      </x:c>
      <x:c r="K4354" s="2" t="str">
        <x:v>PARTNER-M205</x:v>
      </x:c>
    </x:row>
    <x:row r="4355" ht="46" customHeight="1">
      <x:c r="A4355" s="2" t="str">
        <x:v>TEN-2D454207B572</x:v>
      </x:c>
      <x:c r="B4355" s="12" t="str">
        <x:v>Marquis Technologies</x:v>
      </x:c>
      <x:c r="C4355" s="12" t="str">
        <x:v>CORP-0631</x:v>
      </x:c>
      <x:c r="D4355" s="12" t="str">
        <x:v>Mumbai</x:v>
      </x:c>
      <x:c r="E4355" s="12" t="str">
        <x:v>Rupa Solitaire</x:v>
      </x:c>
      <x:c r="F4355" s="12" t="str">
        <x:v>55 inch</x:v>
      </x:c>
      <x:c r="G4355" s="20" t="n">
        <x:v>1</x:v>
      </x:c>
      <x:c r="H4355" s="12" t="str">
        <x:v>Campus/portfolio roster; individual building occupancy unverified</x:v>
      </x:c>
      <x:c r="I4355" s="12" t="str">
        <x:v>Mixed business audience</x:v>
      </x:c>
      <x:c r="J4355" s="12" t="str">
        <x:v>Unresolved</x:v>
      </x:c>
      <x:c r="K4355" s="2" t="str">
        <x:v>PARTNER-M205</x:v>
      </x:c>
    </x:row>
    <x:row r="4356" ht="46" customHeight="1">
      <x:c r="A4356" s="2" t="str">
        <x:v>TEN-4337D4E769C7</x:v>
      </x:c>
      <x:c r="B4356" s="12" t="str">
        <x:v>Object Edge</x:v>
      </x:c>
      <x:c r="C4356" s="12" t="str">
        <x:v>CORP-0631</x:v>
      </x:c>
      <x:c r="D4356" s="12" t="str">
        <x:v>Mumbai</x:v>
      </x:c>
      <x:c r="E4356" s="12" t="str">
        <x:v>Rupa Solitaire</x:v>
      </x:c>
      <x:c r="F4356" s="12" t="str">
        <x:v>55 inch</x:v>
      </x:c>
      <x:c r="G4356" s="20" t="n">
        <x:v>1</x:v>
      </x:c>
      <x:c r="H4356" s="12" t="str">
        <x:v>Campus/portfolio roster; individual building occupancy unverified</x:v>
      </x:c>
      <x:c r="I4356" s="12" t="str">
        <x:v>Small-scale prospects</x:v>
      </x:c>
      <x:c r="J4356" s="12" t="str">
        <x:v>IT &amp; digital</x:v>
      </x:c>
      <x:c r="K4356" s="2" t="str">
        <x:v>PARTNER-M205</x:v>
      </x:c>
    </x:row>
    <x:row r="4357" ht="46" customHeight="1">
      <x:c r="A4357" s="2" t="str">
        <x:v>TEN-553E661E9572</x:v>
      </x:c>
      <x:c r="B4357" s="12" t="str">
        <x:v>Alumayer</x:v>
      </x:c>
      <x:c r="C4357" s="12" t="str">
        <x:v>CORP-0631</x:v>
      </x:c>
      <x:c r="D4357" s="12" t="str">
        <x:v>Mumbai</x:v>
      </x:c>
      <x:c r="E4357" s="12" t="str">
        <x:v>Rupa Solitaire</x:v>
      </x:c>
      <x:c r="F4357" s="12" t="str">
        <x:v>55 inch</x:v>
      </x:c>
      <x:c r="G4357" s="20" t="n">
        <x:v>1</x:v>
      </x:c>
      <x:c r="H4357" s="12" t="str">
        <x:v>Campus/portfolio roster; individual building occupancy unverified</x:v>
      </x:c>
      <x:c r="I4357" s="12" t="str">
        <x:v>Medium-scale prospects</x:v>
      </x:c>
      <x:c r="J4357" s="12" t="str">
        <x:v>Engineering &amp; manufacturing</x:v>
      </x:c>
      <x:c r="K4357" s="2" t="str">
        <x:v>PARTNER-M205</x:v>
      </x:c>
    </x:row>
    <x:row r="4358" ht="46" customHeight="1">
      <x:c r="A4358" s="2" t="str">
        <x:v>TEN-5F95F2022E30</x:v>
      </x:c>
      <x:c r="B4358" s="12" t="str">
        <x:v>Sarla Advantech Pvt. Ltd</x:v>
      </x:c>
      <x:c r="C4358" s="12" t="str">
        <x:v>CORP-0631</x:v>
      </x:c>
      <x:c r="D4358" s="12" t="str">
        <x:v>Mumbai</x:v>
      </x:c>
      <x:c r="E4358" s="12" t="str">
        <x:v>Rupa Solitaire</x:v>
      </x:c>
      <x:c r="F4358" s="12" t="str">
        <x:v>55 inch</x:v>
      </x:c>
      <x:c r="G4358" s="20" t="n">
        <x:v>1</x:v>
      </x:c>
      <x:c r="H4358" s="12" t="str">
        <x:v>Campus/portfolio roster; individual building occupancy unverified</x:v>
      </x:c>
      <x:c r="I4358" s="12" t="str">
        <x:v>Small-scale prospects</x:v>
      </x:c>
      <x:c r="J4358" s="12" t="str">
        <x:v>IT &amp; digital</x:v>
      </x:c>
      <x:c r="K4358" s="2" t="str">
        <x:v>PARTNER-M205</x:v>
      </x:c>
    </x:row>
    <x:row r="4359" ht="46" customHeight="1">
      <x:c r="A4359" s="2" t="str">
        <x:v>TEN-784276C71673</x:v>
      </x:c>
      <x:c r="B4359" s="12" t="str">
        <x:v>Mavenir Systems</x:v>
      </x:c>
      <x:c r="C4359" s="12" t="str">
        <x:v>CORP-0631</x:v>
      </x:c>
      <x:c r="D4359" s="12" t="str">
        <x:v>Mumbai</x:v>
      </x:c>
      <x:c r="E4359" s="12" t="str">
        <x:v>Rupa Solitaire</x:v>
      </x:c>
      <x:c r="F4359" s="12" t="str">
        <x:v>55 inch</x:v>
      </x:c>
      <x:c r="G4359" s="20" t="n">
        <x:v>1</x:v>
      </x:c>
      <x:c r="H4359" s="12" t="str">
        <x:v>Campus/portfolio roster; individual building occupancy unverified</x:v>
      </x:c>
      <x:c r="I4359" s="12" t="str">
        <x:v>Mixed business audience</x:v>
      </x:c>
      <x:c r="J4359" s="12" t="str">
        <x:v>IT &amp; digital</x:v>
      </x:c>
      <x:c r="K4359" s="2" t="str">
        <x:v>PARTNER-M205</x:v>
      </x:c>
    </x:row>
    <x:row r="4360" ht="46" customHeight="1">
      <x:c r="A4360" s="2" t="str">
        <x:v>TEN-7D3893B5DA94</x:v>
      </x:c>
      <x:c r="B4360" s="12" t="str">
        <x:v>G4K Solutions Pvt. Ltd</x:v>
      </x:c>
      <x:c r="C4360" s="12" t="str">
        <x:v>CORP-0631</x:v>
      </x:c>
      <x:c r="D4360" s="12" t="str">
        <x:v>Mumbai</x:v>
      </x:c>
      <x:c r="E4360" s="12" t="str">
        <x:v>Rupa Solitaire</x:v>
      </x:c>
      <x:c r="F4360" s="12" t="str">
        <x:v>55 inch</x:v>
      </x:c>
      <x:c r="G4360" s="20" t="n">
        <x:v>1</x:v>
      </x:c>
      <x:c r="H4360" s="12" t="str">
        <x:v>Campus/portfolio roster; individual building occupancy unverified</x:v>
      </x:c>
      <x:c r="I4360" s="12" t="str">
        <x:v>Mixed business audience</x:v>
      </x:c>
      <x:c r="J4360" s="12" t="str">
        <x:v>Unresolved</x:v>
      </x:c>
      <x:c r="K4360" s="2" t="str">
        <x:v>PARTNER-M205</x:v>
      </x:c>
    </x:row>
    <x:row r="4361" ht="46" customHeight="1">
      <x:c r="A4361" s="2" t="str">
        <x:v>TEN-85645F258252</x:v>
      </x:c>
      <x:c r="B4361" s="12" t="str">
        <x:v>WEBTELINDIA</x:v>
      </x:c>
      <x:c r="C4361" s="12" t="str">
        <x:v>CORP-0631</x:v>
      </x:c>
      <x:c r="D4361" s="12" t="str">
        <x:v>Mumbai</x:v>
      </x:c>
      <x:c r="E4361" s="12" t="str">
        <x:v>Rupa Solitaire</x:v>
      </x:c>
      <x:c r="F4361" s="12" t="str">
        <x:v>55 inch</x:v>
      </x:c>
      <x:c r="G4361" s="20" t="n">
        <x:v>1</x:v>
      </x:c>
      <x:c r="H4361" s="12" t="str">
        <x:v>Campus/portfolio roster; individual building occupancy unverified</x:v>
      </x:c>
      <x:c r="I4361" s="12" t="str">
        <x:v>Small-scale prospects</x:v>
      </x:c>
      <x:c r="J4361" s="12" t="str">
        <x:v>IT &amp; digital</x:v>
      </x:c>
      <x:c r="K4361" s="2" t="str">
        <x:v>PARTNER-M205</x:v>
      </x:c>
    </x:row>
    <x:row r="4362" ht="46" customHeight="1">
      <x:c r="A4362" s="2" t="str">
        <x:v>TEN-8EFC3B922572</x:v>
      </x:c>
      <x:c r="B4362" s="12" t="str">
        <x:v>Flagship Biotech International Private Limited</x:v>
      </x:c>
      <x:c r="C4362" s="12" t="str">
        <x:v>CORP-0631</x:v>
      </x:c>
      <x:c r="D4362" s="12" t="str">
        <x:v>Mumbai</x:v>
      </x:c>
      <x:c r="E4362" s="12" t="str">
        <x:v>Rupa Solitaire</x:v>
      </x:c>
      <x:c r="F4362" s="12" t="str">
        <x:v>55 inch</x:v>
      </x:c>
      <x:c r="G4362" s="20" t="n">
        <x:v>1</x:v>
      </x:c>
      <x:c r="H4362" s="12" t="str">
        <x:v>Campus/portfolio roster; individual building occupancy unverified</x:v>
      </x:c>
      <x:c r="I4362" s="12" t="str">
        <x:v>Medium-scale prospects</x:v>
      </x:c>
      <x:c r="J4362" s="12" t="str">
        <x:v>Healthcare &amp; life sciences</x:v>
      </x:c>
      <x:c r="K4362" s="2" t="str">
        <x:v>PARTNER-M205</x:v>
      </x:c>
    </x:row>
    <x:row r="4363" ht="46" customHeight="1">
      <x:c r="A4363" s="2" t="str">
        <x:v>TEN-9EAAB7C5C964</x:v>
      </x:c>
      <x:c r="B4363" s="12" t="str">
        <x:v>Rein Labs</x:v>
      </x:c>
      <x:c r="C4363" s="12" t="str">
        <x:v>CORP-0631</x:v>
      </x:c>
      <x:c r="D4363" s="12" t="str">
        <x:v>Mumbai</x:v>
      </x:c>
      <x:c r="E4363" s="12" t="str">
        <x:v>Rupa Solitaire</x:v>
      </x:c>
      <x:c r="F4363" s="12" t="str">
        <x:v>55 inch</x:v>
      </x:c>
      <x:c r="G4363" s="20" t="n">
        <x:v>1</x:v>
      </x:c>
      <x:c r="H4363" s="12" t="str">
        <x:v>Campus/portfolio roster; individual building occupancy unverified</x:v>
      </x:c>
      <x:c r="I4363" s="12" t="str">
        <x:v>Mixed business audience</x:v>
      </x:c>
      <x:c r="J4363" s="12" t="str">
        <x:v>Unresolved</x:v>
      </x:c>
      <x:c r="K4363" s="2" t="str">
        <x:v>PARTNER-M205</x:v>
      </x:c>
    </x:row>
    <x:row r="4364" ht="46" customHeight="1">
      <x:c r="A4364" s="2" t="str">
        <x:v>TEN-B5671F0D45A2</x:v>
      </x:c>
      <x:c r="B4364" s="12" t="str">
        <x:v>Value Loans</x:v>
      </x:c>
      <x:c r="C4364" s="12" t="str">
        <x:v>CORP-0631</x:v>
      </x:c>
      <x:c r="D4364" s="12" t="str">
        <x:v>Mumbai</x:v>
      </x:c>
      <x:c r="E4364" s="12" t="str">
        <x:v>Rupa Solitaire</x:v>
      </x:c>
      <x:c r="F4364" s="12" t="str">
        <x:v>55 inch</x:v>
      </x:c>
      <x:c r="G4364" s="20" t="n">
        <x:v>1</x:v>
      </x:c>
      <x:c r="H4364" s="12" t="str">
        <x:v>Campus/portfolio roster; individual building occupancy unverified</x:v>
      </x:c>
      <x:c r="I4364" s="12" t="str">
        <x:v>Medium-scale prospects</x:v>
      </x:c>
      <x:c r="J4364" s="12" t="str">
        <x:v>Finance &amp; insurance</x:v>
      </x:c>
      <x:c r="K4364" s="2" t="str">
        <x:v>PARTNER-M205</x:v>
      </x:c>
    </x:row>
    <x:row r="4365" ht="46" customHeight="1">
      <x:c r="A4365" s="2" t="str">
        <x:v>TEN-B76D588EDAE8</x:v>
      </x:c>
      <x:c r="B4365" s="12" t="str">
        <x:v>XL Dynamics India Private Limited</x:v>
      </x:c>
      <x:c r="C4365" s="12" t="str">
        <x:v>CORP-0631</x:v>
      </x:c>
      <x:c r="D4365" s="12" t="str">
        <x:v>Mumbai</x:v>
      </x:c>
      <x:c r="E4365" s="12" t="str">
        <x:v>Rupa Solitaire</x:v>
      </x:c>
      <x:c r="F4365" s="12" t="str">
        <x:v>55 inch</x:v>
      </x:c>
      <x:c r="G4365" s="20" t="n">
        <x:v>1</x:v>
      </x:c>
      <x:c r="H4365" s="12" t="str">
        <x:v>Campus/portfolio roster; individual building occupancy unverified</x:v>
      </x:c>
      <x:c r="I4365" s="12" t="str">
        <x:v>Small-scale prospects</x:v>
      </x:c>
      <x:c r="J4365" s="12" t="str">
        <x:v>IT &amp; digital</x:v>
      </x:c>
      <x:c r="K4365" s="2" t="str">
        <x:v>PARTNER-M205</x:v>
      </x:c>
    </x:row>
    <x:row r="4366" ht="46" customHeight="1">
      <x:c r="A4366" s="2" t="str">
        <x:v>TEN-D8F6D49FF41D</x:v>
      </x:c>
      <x:c r="B4366" s="12" t="str">
        <x:v>MindCraft Software Pvt. Ltd</x:v>
      </x:c>
      <x:c r="C4366" s="12" t="str">
        <x:v>CORP-0631</x:v>
      </x:c>
      <x:c r="D4366" s="12" t="str">
        <x:v>Mumbai</x:v>
      </x:c>
      <x:c r="E4366" s="12" t="str">
        <x:v>Rupa Solitaire</x:v>
      </x:c>
      <x:c r="F4366" s="12" t="str">
        <x:v>55 inch</x:v>
      </x:c>
      <x:c r="G4366" s="20" t="n">
        <x:v>1</x:v>
      </x:c>
      <x:c r="H4366" s="12" t="str">
        <x:v>Campus/portfolio roster; individual building occupancy unverified</x:v>
      </x:c>
      <x:c r="I4366" s="12" t="str">
        <x:v>Small-scale prospects</x:v>
      </x:c>
      <x:c r="J4366" s="12" t="str">
        <x:v>IT &amp; digital</x:v>
      </x:c>
      <x:c r="K4366" s="2" t="str">
        <x:v>PARTNER-M205</x:v>
      </x:c>
    </x:row>
    <x:row r="4367" ht="46" customHeight="1">
      <x:c r="A4367" s="2" t="str">
        <x:v>TEN-E8D6DDD422B5</x:v>
      </x:c>
      <x:c r="B4367" s="12" t="str">
        <x:v>Orient Technologies</x:v>
      </x:c>
      <x:c r="C4367" s="12" t="str">
        <x:v>CORP-0631</x:v>
      </x:c>
      <x:c r="D4367" s="12" t="str">
        <x:v>Mumbai</x:v>
      </x:c>
      <x:c r="E4367" s="12" t="str">
        <x:v>Rupa Solitaire</x:v>
      </x:c>
      <x:c r="F4367" s="12" t="str">
        <x:v>55 inch</x:v>
      </x:c>
      <x:c r="G4367" s="20" t="n">
        <x:v>1</x:v>
      </x:c>
      <x:c r="H4367" s="12" t="str">
        <x:v>Campus/portfolio roster; individual building occupancy unverified</x:v>
      </x:c>
      <x:c r="I4367" s="12" t="str">
        <x:v>Mixed business audience</x:v>
      </x:c>
      <x:c r="J4367" s="12" t="str">
        <x:v>IT &amp; digital</x:v>
      </x:c>
      <x:c r="K4367" s="2" t="str">
        <x:v>PARTNER-M205</x:v>
      </x:c>
    </x:row>
    <x:row r="4368" ht="46" customHeight="1">
      <x:c r="A4368" s="2" t="str">
        <x:v>TEN-F1CCD67C8E7F</x:v>
      </x:c>
      <x:c r="B4368" s="12" t="str">
        <x:v>IcruxSystem Pvt. Ltd</x:v>
      </x:c>
      <x:c r="C4368" s="12" t="str">
        <x:v>CORP-0631</x:v>
      </x:c>
      <x:c r="D4368" s="12" t="str">
        <x:v>Mumbai</x:v>
      </x:c>
      <x:c r="E4368" s="12" t="str">
        <x:v>Rupa Solitaire</x:v>
      </x:c>
      <x:c r="F4368" s="12" t="str">
        <x:v>55 inch</x:v>
      </x:c>
      <x:c r="G4368" s="20" t="n">
        <x:v>1</x:v>
      </x:c>
      <x:c r="H4368" s="12" t="str">
        <x:v>Campus/portfolio roster; individual building occupancy unverified</x:v>
      </x:c>
      <x:c r="I4368" s="12" t="str">
        <x:v>Mixed business audience</x:v>
      </x:c>
      <x:c r="J4368" s="12" t="str">
        <x:v>Unresolved</x:v>
      </x:c>
      <x:c r="K4368" s="2" t="str">
        <x:v>PARTNER-M205</x:v>
      </x:c>
    </x:row>
    <x:row r="4369" ht="46" customHeight="1">
      <x:c r="A4369" s="2" t="str">
        <x:v>TEN-11B177B76116</x:v>
      </x:c>
      <x:c r="B4369" s="12" t="str">
        <x:v>Avaya Global Connect Ltd</x:v>
      </x:c>
      <x:c r="C4369" s="12" t="str">
        <x:v>CORP-0437</x:v>
      </x:c>
      <x:c r="D4369" s="12" t="str">
        <x:v>Bengaluru</x:v>
      </x:c>
      <x:c r="E4369" s="12" t="str">
        <x:v>Prestige Tech Park</x:v>
      </x:c>
      <x:c r="F4369" s="12" t="str">
        <x:v>55 inch</x:v>
      </x:c>
      <x:c r="G4369" s="20" t="n">
        <x:v>1</x:v>
      </x:c>
      <x:c r="H4369" s="12" t="str">
        <x:v>Campus/portfolio roster; individual building occupancy unverified</x:v>
      </x:c>
      <x:c r="I4369" s="12" t="str">
        <x:v>Mixed business audience</x:v>
      </x:c>
      <x:c r="J4369" s="12" t="str">
        <x:v>IT &amp; digital</x:v>
      </x:c>
      <x:c r="K4369" s="2" t="str">
        <x:v>PARTNER-M014</x:v>
      </x:c>
    </x:row>
    <x:row r="4370" ht="46" customHeight="1">
      <x:c r="A4370" s="2" t="str">
        <x:v>TEN-1A32A2EA27AE</x:v>
      </x:c>
      <x:c r="B4370" s="12" t="str">
        <x:v>Aptos India Private Limited</x:v>
      </x:c>
      <x:c r="C4370" s="12" t="str">
        <x:v>CORP-0437</x:v>
      </x:c>
      <x:c r="D4370" s="12" t="str">
        <x:v>Bengaluru</x:v>
      </x:c>
      <x:c r="E4370" s="12" t="str">
        <x:v>Prestige Tech Park</x:v>
      </x:c>
      <x:c r="F4370" s="12" t="str">
        <x:v>55 inch</x:v>
      </x:c>
      <x:c r="G4370" s="20" t="n">
        <x:v>1</x:v>
      </x:c>
      <x:c r="H4370" s="12" t="str">
        <x:v>Campus/portfolio roster; individual building occupancy unverified</x:v>
      </x:c>
      <x:c r="I4370" s="12" t="str">
        <x:v>Mixed business audience</x:v>
      </x:c>
      <x:c r="J4370" s="12" t="str">
        <x:v>IT &amp; digital</x:v>
      </x:c>
      <x:c r="K4370" s="2" t="str">
        <x:v>PARTNER-M014</x:v>
      </x:c>
    </x:row>
    <x:row r="4371" ht="46" customHeight="1">
      <x:c r="A4371" s="2" t="str">
        <x:v>TEN-1B8499B49BB3</x:v>
      </x:c>
      <x:c r="B4371" s="12" t="str">
        <x:v>Delliot</x:v>
      </x:c>
      <x:c r="C4371" s="12" t="str">
        <x:v>CORP-0437</x:v>
      </x:c>
      <x:c r="D4371" s="12" t="str">
        <x:v>Bengaluru</x:v>
      </x:c>
      <x:c r="E4371" s="12" t="str">
        <x:v>Prestige Tech Park</x:v>
      </x:c>
      <x:c r="F4371" s="12" t="str">
        <x:v>55 inch</x:v>
      </x:c>
      <x:c r="G4371" s="20" t="n">
        <x:v>1</x:v>
      </x:c>
      <x:c r="H4371" s="12" t="str">
        <x:v>Campus/portfolio roster; individual building occupancy unverified</x:v>
      </x:c>
      <x:c r="I4371" s="12" t="str">
        <x:v>Mixed business audience</x:v>
      </x:c>
      <x:c r="J4371" s="12" t="str">
        <x:v>Unresolved</x:v>
      </x:c>
      <x:c r="K4371" s="2" t="str">
        <x:v>PARTNER-M014</x:v>
      </x:c>
    </x:row>
    <x:row r="4372" ht="46" customHeight="1">
      <x:c r="A4372" s="2" t="str">
        <x:v>TEN-38773D0009A0</x:v>
      </x:c>
      <x:c r="B4372" s="12" t="str">
        <x:v>Frog Design Studio</x:v>
      </x:c>
      <x:c r="C4372" s="12" t="str">
        <x:v>CORP-0437</x:v>
      </x:c>
      <x:c r="D4372" s="12" t="str">
        <x:v>Bengaluru</x:v>
      </x:c>
      <x:c r="E4372" s="12" t="str">
        <x:v>Prestige Tech Park</x:v>
      </x:c>
      <x:c r="F4372" s="12" t="str">
        <x:v>55 inch</x:v>
      </x:c>
      <x:c r="G4372" s="20" t="n">
        <x:v>1</x:v>
      </x:c>
      <x:c r="H4372" s="12" t="str">
        <x:v>Campus/portfolio roster; individual building occupancy unverified</x:v>
      </x:c>
      <x:c r="I4372" s="12" t="str">
        <x:v>Mixed business audience</x:v>
      </x:c>
      <x:c r="J4372" s="12" t="str">
        <x:v>Professional services</x:v>
      </x:c>
      <x:c r="K4372" s="2" t="str">
        <x:v>PARTNER-M014</x:v>
      </x:c>
    </x:row>
    <x:row r="4373" ht="46" customHeight="1">
      <x:c r="A4373" s="2" t="str">
        <x:v>TEN-49F1F88DBFE4</x:v>
      </x:c>
      <x:c r="B4373" s="12" t="str">
        <x:v>Futures First Info Services</x:v>
      </x:c>
      <x:c r="C4373" s="12" t="str">
        <x:v>CORP-0437</x:v>
      </x:c>
      <x:c r="D4373" s="12" t="str">
        <x:v>Bengaluru</x:v>
      </x:c>
      <x:c r="E4373" s="12" t="str">
        <x:v>Prestige Tech Park</x:v>
      </x:c>
      <x:c r="F4373" s="12" t="str">
        <x:v>55 inch</x:v>
      </x:c>
      <x:c r="G4373" s="20" t="n">
        <x:v>1</x:v>
      </x:c>
      <x:c r="H4373" s="12" t="str">
        <x:v>Campus/portfolio roster; individual building occupancy unverified</x:v>
      </x:c>
      <x:c r="I4373" s="12" t="str">
        <x:v>Mixed business audience</x:v>
      </x:c>
      <x:c r="J4373" s="12" t="str">
        <x:v>IT &amp; digital</x:v>
      </x:c>
      <x:c r="K4373" s="2" t="str">
        <x:v>PARTNER-M014</x:v>
      </x:c>
    </x:row>
    <x:row r="4374" ht="46" customHeight="1">
      <x:c r="A4374" s="2" t="str">
        <x:v>TEN-53296B6A946C</x:v>
      </x:c>
      <x:c r="B4374" s="12" t="str">
        <x:v>Waif's</x:v>
      </x:c>
      <x:c r="C4374" s="12" t="str">
        <x:v>CORP-0437</x:v>
      </x:c>
      <x:c r="D4374" s="12" t="str">
        <x:v>Bengaluru</x:v>
      </x:c>
      <x:c r="E4374" s="12" t="str">
        <x:v>Prestige Tech Park</x:v>
      </x:c>
      <x:c r="F4374" s="12" t="str">
        <x:v>55 inch</x:v>
      </x:c>
      <x:c r="G4374" s="20" t="n">
        <x:v>1</x:v>
      </x:c>
      <x:c r="H4374" s="12" t="str">
        <x:v>Campus/portfolio roster; individual building occupancy unverified</x:v>
      </x:c>
      <x:c r="I4374" s="12" t="str">
        <x:v>Mixed business audience</x:v>
      </x:c>
      <x:c r="J4374" s="12" t="str">
        <x:v>Unresolved</x:v>
      </x:c>
      <x:c r="K4374" s="2" t="str">
        <x:v>PARTNER-M014</x:v>
      </x:c>
    </x:row>
    <x:row r="4375" ht="46" customHeight="1">
      <x:c r="A4375" s="2" t="str">
        <x:v>TEN-72DA9DBF0092</x:v>
      </x:c>
      <x:c r="B4375" s="12" t="str">
        <x:v>Aruba Networks</x:v>
      </x:c>
      <x:c r="C4375" s="12" t="str">
        <x:v>CORP-0437</x:v>
      </x:c>
      <x:c r="D4375" s="12" t="str">
        <x:v>Bengaluru</x:v>
      </x:c>
      <x:c r="E4375" s="12" t="str">
        <x:v>Prestige Tech Park</x:v>
      </x:c>
      <x:c r="F4375" s="12" t="str">
        <x:v>55 inch</x:v>
      </x:c>
      <x:c r="G4375" s="20" t="n">
        <x:v>1</x:v>
      </x:c>
      <x:c r="H4375" s="12" t="str">
        <x:v>Campus/portfolio roster; individual building occupancy unverified</x:v>
      </x:c>
      <x:c r="I4375" s="12" t="str">
        <x:v>Large enterprise</x:v>
      </x:c>
      <x:c r="J4375" s="12" t="str">
        <x:v>IT &amp; digital</x:v>
      </x:c>
      <x:c r="K4375" s="2" t="str">
        <x:v>PARTNER-M014</x:v>
      </x:c>
    </x:row>
    <x:row r="4376" ht="46" customHeight="1">
      <x:c r="A4376" s="2" t="str">
        <x:v>TEN-76DBEE9F2C38</x:v>
      </x:c>
      <x:c r="B4376" s="12" t="str">
        <x:v>Mobile Programming</x:v>
      </x:c>
      <x:c r="C4376" s="12" t="str">
        <x:v>CORP-0437</x:v>
      </x:c>
      <x:c r="D4376" s="12" t="str">
        <x:v>Bengaluru</x:v>
      </x:c>
      <x:c r="E4376" s="12" t="str">
        <x:v>Prestige Tech Park</x:v>
      </x:c>
      <x:c r="F4376" s="12" t="str">
        <x:v>55 inch</x:v>
      </x:c>
      <x:c r="G4376" s="20" t="n">
        <x:v>1</x:v>
      </x:c>
      <x:c r="H4376" s="12" t="str">
        <x:v>Campus/portfolio roster; individual building occupancy unverified</x:v>
      </x:c>
      <x:c r="I4376" s="12" t="str">
        <x:v>Small-scale prospects</x:v>
      </x:c>
      <x:c r="J4376" s="12" t="str">
        <x:v>IT &amp; digital</x:v>
      </x:c>
      <x:c r="K4376" s="2" t="str">
        <x:v>PARTNER-M014</x:v>
      </x:c>
    </x:row>
    <x:row r="4377" ht="46" customHeight="1">
      <x:c r="A4377" s="2" t="str">
        <x:v>TEN-775865062819</x:v>
      </x:c>
      <x:c r="B4377" s="12" t="str">
        <x:v>Nagarro Software Pvt. Ltd</x:v>
      </x:c>
      <x:c r="C4377" s="12" t="str">
        <x:v>CORP-0437</x:v>
      </x:c>
      <x:c r="D4377" s="12" t="str">
        <x:v>Bengaluru</x:v>
      </x:c>
      <x:c r="E4377" s="12" t="str">
        <x:v>Prestige Tech Park</x:v>
      </x:c>
      <x:c r="F4377" s="12" t="str">
        <x:v>55 inch</x:v>
      </x:c>
      <x:c r="G4377" s="20" t="n">
        <x:v>1</x:v>
      </x:c>
      <x:c r="H4377" s="12" t="str">
        <x:v>Campus/portfolio roster; individual building occupancy unverified</x:v>
      </x:c>
      <x:c r="I4377" s="12" t="str">
        <x:v>Large enterprise</x:v>
      </x:c>
      <x:c r="J4377" s="12" t="str">
        <x:v>IT &amp; digital</x:v>
      </x:c>
      <x:c r="K4377" s="2" t="str">
        <x:v>PARTNER-M014</x:v>
      </x:c>
    </x:row>
    <x:row r="4378" ht="46" customHeight="1">
      <x:c r="A4378" s="2" t="str">
        <x:v>TEN-78522B7571D3</x:v>
      </x:c>
      <x:c r="B4378" s="12" t="str">
        <x:v>Grab Greco LLP</x:v>
      </x:c>
      <x:c r="C4378" s="12" t="str">
        <x:v>CORP-0437</x:v>
      </x:c>
      <x:c r="D4378" s="12" t="str">
        <x:v>Bengaluru</x:v>
      </x:c>
      <x:c r="E4378" s="12" t="str">
        <x:v>Prestige Tech Park</x:v>
      </x:c>
      <x:c r="F4378" s="12" t="str">
        <x:v>55 inch</x:v>
      </x:c>
      <x:c r="G4378" s="20" t="n">
        <x:v>1</x:v>
      </x:c>
      <x:c r="H4378" s="12" t="str">
        <x:v>Campus/portfolio roster; individual building occupancy unverified</x:v>
      </x:c>
      <x:c r="I4378" s="12" t="str">
        <x:v>Mixed business audience</x:v>
      </x:c>
      <x:c r="J4378" s="12" t="str">
        <x:v>Unresolved</x:v>
      </x:c>
      <x:c r="K4378" s="2" t="str">
        <x:v>PARTNER-M014</x:v>
      </x:c>
    </x:row>
    <x:row r="4379" ht="46" customHeight="1">
      <x:c r="A4379" s="2" t="str">
        <x:v>TEN-8217BB19EBF1</x:v>
      </x:c>
      <x:c r="B4379" s="12" t="str">
        <x:v>J.P. Morgan</x:v>
      </x:c>
      <x:c r="C4379" s="12" t="str">
        <x:v>CORP-0437</x:v>
      </x:c>
      <x:c r="D4379" s="12" t="str">
        <x:v>Bengaluru</x:v>
      </x:c>
      <x:c r="E4379" s="12" t="str">
        <x:v>Prestige Tech Park</x:v>
      </x:c>
      <x:c r="F4379" s="12" t="str">
        <x:v>55 inch</x:v>
      </x:c>
      <x:c r="G4379" s="20" t="n">
        <x:v>1</x:v>
      </x:c>
      <x:c r="H4379" s="12" t="str">
        <x:v>Campus/portfolio roster; individual building occupancy unverified</x:v>
      </x:c>
      <x:c r="I4379" s="12" t="str">
        <x:v>Large enterprise</x:v>
      </x:c>
      <x:c r="J4379" s="12" t="str">
        <x:v>Finance &amp; insurance</x:v>
      </x:c>
      <x:c r="K4379" s="2" t="str">
        <x:v>PARTNER-M014</x:v>
      </x:c>
    </x:row>
    <x:row r="4380" ht="46" customHeight="1">
      <x:c r="A4380" s="2" t="str">
        <x:v>TEN-9202AF6CE925</x:v>
      </x:c>
      <x:c r="B4380" s="12" t="str">
        <x:v>Oracle</x:v>
      </x:c>
      <x:c r="C4380" s="12" t="str">
        <x:v>CORP-0437</x:v>
      </x:c>
      <x:c r="D4380" s="12" t="str">
        <x:v>Bengaluru</x:v>
      </x:c>
      <x:c r="E4380" s="12" t="str">
        <x:v>Prestige Tech Park</x:v>
      </x:c>
      <x:c r="F4380" s="12" t="str">
        <x:v>55 inch</x:v>
      </x:c>
      <x:c r="G4380" s="20" t="n">
        <x:v>1</x:v>
      </x:c>
      <x:c r="H4380" s="12" t="str">
        <x:v>Campus/portfolio roster; individual building occupancy unverified</x:v>
      </x:c>
      <x:c r="I4380" s="12" t="str">
        <x:v>Large enterprise</x:v>
      </x:c>
      <x:c r="J4380" s="12" t="str">
        <x:v>IT &amp; digital</x:v>
      </x:c>
      <x:c r="K4380" s="2" t="str">
        <x:v>PARTNER-M014</x:v>
      </x:c>
    </x:row>
    <x:row r="4381" ht="46" customHeight="1">
      <x:c r="A4381" s="2" t="str">
        <x:v>TEN-9B7F5525854D</x:v>
      </x:c>
      <x:c r="B4381" s="12" t="str">
        <x:v>AQUANTIA SEMICONDUCTOR INDIA PVT LTD</x:v>
      </x:c>
      <x:c r="C4381" s="12" t="str">
        <x:v>CORP-0437</x:v>
      </x:c>
      <x:c r="D4381" s="12" t="str">
        <x:v>Bengaluru</x:v>
      </x:c>
      <x:c r="E4381" s="12" t="str">
        <x:v>Prestige Tech Park</x:v>
      </x:c>
      <x:c r="F4381" s="12" t="str">
        <x:v>55 inch</x:v>
      </x:c>
      <x:c r="G4381" s="20" t="n">
        <x:v>1</x:v>
      </x:c>
      <x:c r="H4381" s="12" t="str">
        <x:v>Campus/portfolio roster; individual building occupancy unverified</x:v>
      </x:c>
      <x:c r="I4381" s="12" t="str">
        <x:v>Mixed business audience</x:v>
      </x:c>
      <x:c r="J4381" s="12" t="str">
        <x:v>Engineering &amp; manufacturing</x:v>
      </x:c>
      <x:c r="K4381" s="2" t="str">
        <x:v>PARTNER-M014</x:v>
      </x:c>
    </x:row>
    <x:row r="4382" ht="46" customHeight="1">
      <x:c r="A4382" s="2" t="str">
        <x:v>TEN-B909749F4464</x:v>
      </x:c>
      <x:c r="B4382" s="12" t="str">
        <x:v>Conga (Apttus) Software Pvt. Ltd</x:v>
      </x:c>
      <x:c r="C4382" s="12" t="str">
        <x:v>CORP-0437</x:v>
      </x:c>
      <x:c r="D4382" s="12" t="str">
        <x:v>Bengaluru</x:v>
      </x:c>
      <x:c r="E4382" s="12" t="str">
        <x:v>Prestige Tech Park</x:v>
      </x:c>
      <x:c r="F4382" s="12" t="str">
        <x:v>55 inch</x:v>
      </x:c>
      <x:c r="G4382" s="20" t="n">
        <x:v>1</x:v>
      </x:c>
      <x:c r="H4382" s="12" t="str">
        <x:v>Campus/portfolio roster; individual building occupancy unverified</x:v>
      </x:c>
      <x:c r="I4382" s="12" t="str">
        <x:v>Mixed business audience</x:v>
      </x:c>
      <x:c r="J4382" s="12" t="str">
        <x:v>IT &amp; digital</x:v>
      </x:c>
      <x:c r="K4382" s="2" t="str">
        <x:v>PARTNER-M014</x:v>
      </x:c>
    </x:row>
    <x:row r="4383" ht="46" customHeight="1">
      <x:c r="A4383" s="2" t="str">
        <x:v>TEN-BC3067AC45DF</x:v>
      </x:c>
      <x:c r="B4383" s="12" t="str">
        <x:v>Schneider Electric</x:v>
      </x:c>
      <x:c r="C4383" s="12" t="str">
        <x:v>CORP-0437</x:v>
      </x:c>
      <x:c r="D4383" s="12" t="str">
        <x:v>Bengaluru</x:v>
      </x:c>
      <x:c r="E4383" s="12" t="str">
        <x:v>Prestige Tech Park</x:v>
      </x:c>
      <x:c r="F4383" s="12" t="str">
        <x:v>55 inch</x:v>
      </x:c>
      <x:c r="G4383" s="20" t="n">
        <x:v>1</x:v>
      </x:c>
      <x:c r="H4383" s="12" t="str">
        <x:v>Campus/portfolio roster; individual building occupancy unverified</x:v>
      </x:c>
      <x:c r="I4383" s="12" t="str">
        <x:v>Large enterprise</x:v>
      </x:c>
      <x:c r="J4383" s="12" t="str">
        <x:v>Engineering &amp; manufacturing</x:v>
      </x:c>
      <x:c r="K4383" s="2" t="str">
        <x:v>PARTNER-M014</x:v>
      </x:c>
    </x:row>
    <x:row r="4384" ht="46" customHeight="1">
      <x:c r="A4384" s="2" t="str">
        <x:v>TEN-C34DF63CE5F2</x:v>
      </x:c>
      <x:c r="B4384" s="12" t="str">
        <x:v>BlueJeans Networks Pvt Ltd</x:v>
      </x:c>
      <x:c r="C4384" s="12" t="str">
        <x:v>CORP-0437</x:v>
      </x:c>
      <x:c r="D4384" s="12" t="str">
        <x:v>Bengaluru</x:v>
      </x:c>
      <x:c r="E4384" s="12" t="str">
        <x:v>Prestige Tech Park</x:v>
      </x:c>
      <x:c r="F4384" s="12" t="str">
        <x:v>55 inch</x:v>
      </x:c>
      <x:c r="G4384" s="20" t="n">
        <x:v>1</x:v>
      </x:c>
      <x:c r="H4384" s="12" t="str">
        <x:v>Campus/portfolio roster; individual building occupancy unverified</x:v>
      </x:c>
      <x:c r="I4384" s="12" t="str">
        <x:v>Mixed business audience</x:v>
      </x:c>
      <x:c r="J4384" s="12" t="str">
        <x:v>IT &amp; digital</x:v>
      </x:c>
      <x:c r="K4384" s="2" t="str">
        <x:v>PARTNER-M014</x:v>
      </x:c>
    </x:row>
    <x:row r="4385" ht="46" customHeight="1">
      <x:c r="A4385" s="2" t="str">
        <x:v>TEN-C47675D3BD0C</x:v>
      </x:c>
      <x:c r="B4385" s="12" t="str">
        <x:v>Money View</x:v>
      </x:c>
      <x:c r="C4385" s="12" t="str">
        <x:v>CORP-0437</x:v>
      </x:c>
      <x:c r="D4385" s="12" t="str">
        <x:v>Bengaluru</x:v>
      </x:c>
      <x:c r="E4385" s="12" t="str">
        <x:v>Prestige Tech Park</x:v>
      </x:c>
      <x:c r="F4385" s="12" t="str">
        <x:v>55 inch</x:v>
      </x:c>
      <x:c r="G4385" s="20" t="n">
        <x:v>1</x:v>
      </x:c>
      <x:c r="H4385" s="12" t="str">
        <x:v>Campus/portfolio roster; individual building occupancy unverified</x:v>
      </x:c>
      <x:c r="I4385" s="12" t="str">
        <x:v>Medium-scale prospects</x:v>
      </x:c>
      <x:c r="J4385" s="12" t="str">
        <x:v>Finance &amp; insurance</x:v>
      </x:c>
      <x:c r="K4385" s="2" t="str">
        <x:v>PARTNER-M014</x:v>
      </x:c>
    </x:row>
    <x:row r="4386" ht="46" customHeight="1">
      <x:c r="A4386" s="2" t="str">
        <x:v>TEN-D886B2C883A6</x:v>
      </x:c>
      <x:c r="B4386" s="12" t="str">
        <x:v>Citi Bank</x:v>
      </x:c>
      <x:c r="C4386" s="12" t="str">
        <x:v>CORP-0437</x:v>
      </x:c>
      <x:c r="D4386" s="12" t="str">
        <x:v>Bengaluru</x:v>
      </x:c>
      <x:c r="E4386" s="12" t="str">
        <x:v>Prestige Tech Park</x:v>
      </x:c>
      <x:c r="F4386" s="12" t="str">
        <x:v>55 inch</x:v>
      </x:c>
      <x:c r="G4386" s="20" t="n">
        <x:v>1</x:v>
      </x:c>
      <x:c r="H4386" s="12" t="str">
        <x:v>Campus/portfolio roster; individual building occupancy unverified</x:v>
      </x:c>
      <x:c r="I4386" s="12" t="str">
        <x:v>Large enterprise</x:v>
      </x:c>
      <x:c r="J4386" s="12" t="str">
        <x:v>Finance &amp; insurance</x:v>
      </x:c>
      <x:c r="K4386" s="2" t="str">
        <x:v>PARTNER-M014</x:v>
      </x:c>
    </x:row>
    <x:row r="4387" ht="46" customHeight="1">
      <x:c r="A4387" s="2" t="str">
        <x:v>TEN-D9364FD0A5DE</x:v>
      </x:c>
      <x:c r="B4387" s="12" t="str">
        <x:v>Walmart Labs</x:v>
      </x:c>
      <x:c r="C4387" s="12" t="str">
        <x:v>CORP-0437</x:v>
      </x:c>
      <x:c r="D4387" s="12" t="str">
        <x:v>Bengaluru</x:v>
      </x:c>
      <x:c r="E4387" s="12" t="str">
        <x:v>Prestige Tech Park</x:v>
      </x:c>
      <x:c r="F4387" s="12" t="str">
        <x:v>55 inch</x:v>
      </x:c>
      <x:c r="G4387" s="20" t="n">
        <x:v>1</x:v>
      </x:c>
      <x:c r="H4387" s="12" t="str">
        <x:v>Campus/portfolio roster; individual building occupancy unverified</x:v>
      </x:c>
      <x:c r="I4387" s="12" t="str">
        <x:v>Large enterprise</x:v>
      </x:c>
      <x:c r="J4387" s="12" t="str">
        <x:v>Trade, consumer &amp; logistics</x:v>
      </x:c>
      <x:c r="K4387" s="2" t="str">
        <x:v>PARTNER-M014</x:v>
      </x:c>
    </x:row>
    <x:row r="4388" ht="46" customHeight="1">
      <x:c r="A4388" s="2" t="str">
        <x:v>TEN-F55A85B2F2EB</x:v>
      </x:c>
      <x:c r="B4388" s="12" t="str">
        <x:v>Capgemini</x:v>
      </x:c>
      <x:c r="C4388" s="12" t="str">
        <x:v>CORP-0437</x:v>
      </x:c>
      <x:c r="D4388" s="12" t="str">
        <x:v>Bengaluru</x:v>
      </x:c>
      <x:c r="E4388" s="12" t="str">
        <x:v>Prestige Tech Park</x:v>
      </x:c>
      <x:c r="F4388" s="12" t="str">
        <x:v>55 inch</x:v>
      </x:c>
      <x:c r="G4388" s="20" t="n">
        <x:v>1</x:v>
      </x:c>
      <x:c r="H4388" s="12" t="str">
        <x:v>Campus/portfolio roster; individual building occupancy unverified</x:v>
      </x:c>
      <x:c r="I4388" s="12" t="str">
        <x:v>Large enterprise</x:v>
      </x:c>
      <x:c r="J4388" s="12" t="str">
        <x:v>IT &amp; digital</x:v>
      </x:c>
      <x:c r="K4388" s="2" t="str">
        <x:v>PARTNER-M014</x:v>
      </x:c>
    </x:row>
    <x:row r="4389" ht="46" customHeight="1">
      <x:c r="A4389" s="2" t="str">
        <x:v>TEN-0CB5E89248A4</x:v>
      </x:c>
      <x:c r="B4389" s="12" t="str">
        <x:v>Amber Day Care &amp; Candyfloss Pre-school</x:v>
      </x:c>
      <x:c r="C4389" s="12" t="str">
        <x:v>CORP-0640</x:v>
      </x:c>
      <x:c r="D4389" s="12" t="str">
        <x:v>Mumbai</x:v>
      </x:c>
      <x:c r="E4389" s="12" t="str">
        <x:v>Technology Center IV</x:v>
      </x:c>
      <x:c r="F4389" s="12" t="str">
        <x:v>55 inch</x:v>
      </x:c>
      <x:c r="G4389" s="20" t="n">
        <x:v>1</x:v>
      </x:c>
      <x:c r="H4389" s="12" t="str">
        <x:v>Campus/portfolio roster; individual building occupancy unverified</x:v>
      </x:c>
      <x:c r="I4389" s="12" t="str">
        <x:v>Micro-scale prospects</x:v>
      </x:c>
      <x:c r="J4389" s="12" t="str">
        <x:v>Education</x:v>
      </x:c>
      <x:c r="K4389" s="2" t="str">
        <x:v>PARTNER-M223</x:v>
      </x:c>
    </x:row>
    <x:row r="4390" ht="46" customHeight="1">
      <x:c r="A4390" s="2" t="str">
        <x:v>TEN-262F528291FE</x:v>
      </x:c>
      <x:c r="B4390" s="12" t="str">
        <x:v>CitiusTech Healthcare Technology Private Limited</x:v>
      </x:c>
      <x:c r="C4390" s="12" t="str">
        <x:v>CORP-0640</x:v>
      </x:c>
      <x:c r="D4390" s="12" t="str">
        <x:v>Mumbai</x:v>
      </x:c>
      <x:c r="E4390" s="12" t="str">
        <x:v>Technology Center IV</x:v>
      </x:c>
      <x:c r="F4390" s="12" t="str">
        <x:v>55 inch</x:v>
      </x:c>
      <x:c r="G4390" s="20" t="n">
        <x:v>1</x:v>
      </x:c>
      <x:c r="H4390" s="12" t="str">
        <x:v>Campus/portfolio roster; individual building occupancy unverified</x:v>
      </x:c>
      <x:c r="I4390" s="12" t="str">
        <x:v>Mixed business audience</x:v>
      </x:c>
      <x:c r="J4390" s="12" t="str">
        <x:v>Healthcare &amp; life sciences</x:v>
      </x:c>
      <x:c r="K4390" s="2" t="str">
        <x:v>PARTNER-M223</x:v>
      </x:c>
    </x:row>
    <x:row r="4391" ht="46" customHeight="1">
      <x:c r="A4391" s="2" t="str">
        <x:v>TEN-0CB5E89248A4</x:v>
      </x:c>
      <x:c r="B4391" s="12" t="str">
        <x:v>Amber Day Care &amp; Candyfloss Pre-school</x:v>
      </x:c>
      <x:c r="C4391" s="12" t="str">
        <x:v>CORP-0641</x:v>
      </x:c>
      <x:c r="D4391" s="12" t="str">
        <x:v>Mumbai</x:v>
      </x:c>
      <x:c r="E4391" s="12" t="str">
        <x:v>Technology Center IV</x:v>
      </x:c>
      <x:c r="F4391" s="12" t="str">
        <x:v>55 inch</x:v>
      </x:c>
      <x:c r="G4391" s="20" t="n">
        <x:v>1</x:v>
      </x:c>
      <x:c r="H4391" s="12" t="str">
        <x:v>Campus/portfolio roster; individual building occupancy unverified</x:v>
      </x:c>
      <x:c r="I4391" s="12" t="str">
        <x:v>Micro-scale prospects</x:v>
      </x:c>
      <x:c r="J4391" s="12" t="str">
        <x:v>Education</x:v>
      </x:c>
      <x:c r="K4391" s="2" t="str">
        <x:v>PARTNER-M223</x:v>
      </x:c>
    </x:row>
    <x:row r="4392" ht="46" customHeight="1">
      <x:c r="A4392" s="2" t="str">
        <x:v>TEN-262F528291FE</x:v>
      </x:c>
      <x:c r="B4392" s="12" t="str">
        <x:v>CitiusTech Healthcare Technology Private Limited</x:v>
      </x:c>
      <x:c r="C4392" s="12" t="str">
        <x:v>CORP-0641</x:v>
      </x:c>
      <x:c r="D4392" s="12" t="str">
        <x:v>Mumbai</x:v>
      </x:c>
      <x:c r="E4392" s="12" t="str">
        <x:v>Technology Center IV</x:v>
      </x:c>
      <x:c r="F4392" s="12" t="str">
        <x:v>55 inch</x:v>
      </x:c>
      <x:c r="G4392" s="20" t="n">
        <x:v>1</x:v>
      </x:c>
      <x:c r="H4392" s="12" t="str">
        <x:v>Campus/portfolio roster; individual building occupancy unverified</x:v>
      </x:c>
      <x:c r="I4392" s="12" t="str">
        <x:v>Mixed business audience</x:v>
      </x:c>
      <x:c r="J4392" s="12" t="str">
        <x:v>Healthcare &amp; life sciences</x:v>
      </x:c>
      <x:c r="K4392" s="2" t="str">
        <x:v>PARTNER-M223</x:v>
      </x:c>
    </x:row>
    <x:row r="4393" ht="46" customHeight="1">
      <x:c r="A4393" s="2" t="str">
        <x:v>TEN-0CB5E89248A4</x:v>
      </x:c>
      <x:c r="B4393" s="12" t="str">
        <x:v>Amber Day Care &amp; Candyfloss Pre-school</x:v>
      </x:c>
      <x:c r="C4393" s="12" t="str">
        <x:v>CORP-0642</x:v>
      </x:c>
      <x:c r="D4393" s="12" t="str">
        <x:v>Mumbai</x:v>
      </x:c>
      <x:c r="E4393" s="12" t="str">
        <x:v>Technology Center IV</x:v>
      </x:c>
      <x:c r="F4393" s="12" t="str">
        <x:v>55 inch</x:v>
      </x:c>
      <x:c r="G4393" s="20" t="n">
        <x:v>1</x:v>
      </x:c>
      <x:c r="H4393" s="12" t="str">
        <x:v>Campus/portfolio roster; individual building occupancy unverified</x:v>
      </x:c>
      <x:c r="I4393" s="12" t="str">
        <x:v>Micro-scale prospects</x:v>
      </x:c>
      <x:c r="J4393" s="12" t="str">
        <x:v>Education</x:v>
      </x:c>
      <x:c r="K4393" s="2" t="str">
        <x:v>PARTNER-M223</x:v>
      </x:c>
    </x:row>
    <x:row r="4394" ht="46" customHeight="1">
      <x:c r="A4394" s="2" t="str">
        <x:v>TEN-262F528291FE</x:v>
      </x:c>
      <x:c r="B4394" s="12" t="str">
        <x:v>CitiusTech Healthcare Technology Private Limited</x:v>
      </x:c>
      <x:c r="C4394" s="12" t="str">
        <x:v>CORP-0642</x:v>
      </x:c>
      <x:c r="D4394" s="12" t="str">
        <x:v>Mumbai</x:v>
      </x:c>
      <x:c r="E4394" s="12" t="str">
        <x:v>Technology Center IV</x:v>
      </x:c>
      <x:c r="F4394" s="12" t="str">
        <x:v>55 inch</x:v>
      </x:c>
      <x:c r="G4394" s="20" t="n">
        <x:v>1</x:v>
      </x:c>
      <x:c r="H4394" s="12" t="str">
        <x:v>Campus/portfolio roster; individual building occupancy unverified</x:v>
      </x:c>
      <x:c r="I4394" s="12" t="str">
        <x:v>Mixed business audience</x:v>
      </x:c>
      <x:c r="J4394" s="12" t="str">
        <x:v>Healthcare &amp; life sciences</x:v>
      </x:c>
      <x:c r="K4394" s="2" t="str">
        <x:v>PARTNER-M223</x:v>
      </x:c>
    </x:row>
    <x:row r="4395" ht="46" customHeight="1">
      <x:c r="A4395" s="2" t="str">
        <x:v>TEN-0CB5E89248A4</x:v>
      </x:c>
      <x:c r="B4395" s="12" t="str">
        <x:v>Amber Day Care &amp; Candyfloss Pre-school</x:v>
      </x:c>
      <x:c r="C4395" s="12" t="str">
        <x:v>CORP-0643</x:v>
      </x:c>
      <x:c r="D4395" s="12" t="str">
        <x:v>Mumbai</x:v>
      </x:c>
      <x:c r="E4395" s="12" t="str">
        <x:v>Technology Center IV</x:v>
      </x:c>
      <x:c r="F4395" s="12" t="str">
        <x:v>55 inch</x:v>
      </x:c>
      <x:c r="G4395" s="20" t="n">
        <x:v>1</x:v>
      </x:c>
      <x:c r="H4395" s="12" t="str">
        <x:v>Campus/portfolio roster; individual building occupancy unverified</x:v>
      </x:c>
      <x:c r="I4395" s="12" t="str">
        <x:v>Micro-scale prospects</x:v>
      </x:c>
      <x:c r="J4395" s="12" t="str">
        <x:v>Education</x:v>
      </x:c>
      <x:c r="K4395" s="2" t="str">
        <x:v>PARTNER-M223</x:v>
      </x:c>
    </x:row>
    <x:row r="4396" ht="46" customHeight="1">
      <x:c r="A4396" s="2" t="str">
        <x:v>TEN-262F528291FE</x:v>
      </x:c>
      <x:c r="B4396" s="12" t="str">
        <x:v>CitiusTech Healthcare Technology Private Limited</x:v>
      </x:c>
      <x:c r="C4396" s="12" t="str">
        <x:v>CORP-0643</x:v>
      </x:c>
      <x:c r="D4396" s="12" t="str">
        <x:v>Mumbai</x:v>
      </x:c>
      <x:c r="E4396" s="12" t="str">
        <x:v>Technology Center IV</x:v>
      </x:c>
      <x:c r="F4396" s="12" t="str">
        <x:v>55 inch</x:v>
      </x:c>
      <x:c r="G4396" s="20" t="n">
        <x:v>1</x:v>
      </x:c>
      <x:c r="H4396" s="12" t="str">
        <x:v>Campus/portfolio roster; individual building occupancy unverified</x:v>
      </x:c>
      <x:c r="I4396" s="12" t="str">
        <x:v>Mixed business audience</x:v>
      </x:c>
      <x:c r="J4396" s="12" t="str">
        <x:v>Healthcare &amp; life sciences</x:v>
      </x:c>
      <x:c r="K4396" s="2" t="str">
        <x:v>PARTNER-M223</x:v>
      </x:c>
    </x:row>
    <x:row r="4397" ht="46" customHeight="1">
      <x:c r="A4397" s="2" t="str">
        <x:v>TEN-04A7BF588AF8</x:v>
      </x:c>
      <x:c r="B4397" s="12" t="str">
        <x:v>DSM Nutritional Products India PVT</x:v>
      </x:c>
      <x:c r="C4397" s="12" t="str">
        <x:v>CORP-0644</x:v>
      </x:c>
      <x:c r="D4397" s="12" t="str">
        <x:v>Mumbai</x:v>
      </x:c>
      <x:c r="E4397" s="12" t="str">
        <x:v>Windsor House</x:v>
      </x:c>
      <x:c r="F4397" s="12" t="str">
        <x:v>55 inch</x:v>
      </x:c>
      <x:c r="G4397" s="20" t="n">
        <x:v>1</x:v>
      </x:c>
      <x:c r="H4397" s="12" t="str">
        <x:v>Campus/portfolio roster; individual building occupancy unverified</x:v>
      </x:c>
      <x:c r="I4397" s="12" t="str">
        <x:v>Mixed business audience</x:v>
      </x:c>
      <x:c r="J4397" s="12" t="str">
        <x:v>Engineering &amp; manufacturing</x:v>
      </x:c>
      <x:c r="K4397" s="2" t="str">
        <x:v>PARTNER-M227</x:v>
      </x:c>
    </x:row>
    <x:row r="4398" ht="46" customHeight="1">
      <x:c r="A4398" s="2" t="str">
        <x:v>TEN-09DD085FC8CC</x:v>
      </x:c>
      <x:c r="B4398" s="12" t="str">
        <x:v>The Crescent Group</x:v>
      </x:c>
      <x:c r="C4398" s="12" t="str">
        <x:v>CORP-0644</x:v>
      </x:c>
      <x:c r="D4398" s="12" t="str">
        <x:v>Mumbai</x:v>
      </x:c>
      <x:c r="E4398" s="12" t="str">
        <x:v>Windsor House</x:v>
      </x:c>
      <x:c r="F4398" s="12" t="str">
        <x:v>55 inch</x:v>
      </x:c>
      <x:c r="G4398" s="20" t="n">
        <x:v>1</x:v>
      </x:c>
      <x:c r="H4398" s="12" t="str">
        <x:v>Campus/portfolio roster; individual building occupancy unverified</x:v>
      </x:c>
      <x:c r="I4398" s="12" t="str">
        <x:v>Mixed business audience</x:v>
      </x:c>
      <x:c r="J4398" s="12" t="str">
        <x:v>Unresolved</x:v>
      </x:c>
      <x:c r="K4398" s="2" t="str">
        <x:v>PARTNER-M227</x:v>
      </x:c>
    </x:row>
    <x:row r="4399" ht="46" customHeight="1">
      <x:c r="A4399" s="2" t="str">
        <x:v>TEN-12FFE3FCB38E</x:v>
      </x:c>
      <x:c r="B4399" s="12" t="str">
        <x:v>AK Group</x:v>
      </x:c>
      <x:c r="C4399" s="12" t="str">
        <x:v>CORP-0644</x:v>
      </x:c>
      <x:c r="D4399" s="12" t="str">
        <x:v>Mumbai</x:v>
      </x:c>
      <x:c r="E4399" s="12" t="str">
        <x:v>Windsor House</x:v>
      </x:c>
      <x:c r="F4399" s="12" t="str">
        <x:v>55 inch</x:v>
      </x:c>
      <x:c r="G4399" s="20" t="n">
        <x:v>1</x:v>
      </x:c>
      <x:c r="H4399" s="12" t="str">
        <x:v>Campus/portfolio roster; individual building occupancy unverified</x:v>
      </x:c>
      <x:c r="I4399" s="12" t="str">
        <x:v>Mixed business audience</x:v>
      </x:c>
      <x:c r="J4399" s="12" t="str">
        <x:v>Unresolved</x:v>
      </x:c>
      <x:c r="K4399" s="2" t="str">
        <x:v>PARTNER-M227</x:v>
      </x:c>
    </x:row>
    <x:row r="4400" ht="46" customHeight="1">
      <x:c r="A4400" s="2" t="str">
        <x:v>TEN-3DAF16CAD05F</x:v>
      </x:c>
      <x:c r="B4400" s="12" t="str">
        <x:v>BTV</x:v>
      </x:c>
      <x:c r="C4400" s="12" t="str">
        <x:v>CORP-0644</x:v>
      </x:c>
      <x:c r="D4400" s="12" t="str">
        <x:v>Mumbai</x:v>
      </x:c>
      <x:c r="E4400" s="12" t="str">
        <x:v>Windsor House</x:v>
      </x:c>
      <x:c r="F4400" s="12" t="str">
        <x:v>55 inch</x:v>
      </x:c>
      <x:c r="G4400" s="20" t="n">
        <x:v>1</x:v>
      </x:c>
      <x:c r="H4400" s="12" t="str">
        <x:v>Campus/portfolio roster; individual building occupancy unverified</x:v>
      </x:c>
      <x:c r="I4400" s="12" t="str">
        <x:v>Mixed business audience</x:v>
      </x:c>
      <x:c r="J4400" s="12" t="str">
        <x:v>Unresolved</x:v>
      </x:c>
      <x:c r="K4400" s="2" t="str">
        <x:v>PARTNER-M227</x:v>
      </x:c>
    </x:row>
    <x:row r="4401" ht="46" customHeight="1">
      <x:c r="A4401" s="2" t="str">
        <x:v>TEN-5BA92BB8BE69</x:v>
      </x:c>
      <x:c r="B4401" s="12" t="str">
        <x:v>Hathway head office</x:v>
      </x:c>
      <x:c r="C4401" s="12" t="str">
        <x:v>CORP-0644</x:v>
      </x:c>
      <x:c r="D4401" s="12" t="str">
        <x:v>Mumbai</x:v>
      </x:c>
      <x:c r="E4401" s="12" t="str">
        <x:v>Windsor House</x:v>
      </x:c>
      <x:c r="F4401" s="12" t="str">
        <x:v>55 inch</x:v>
      </x:c>
      <x:c r="G4401" s="20" t="n">
        <x:v>1</x:v>
      </x:c>
      <x:c r="H4401" s="12" t="str">
        <x:v>Campus/portfolio roster; individual building occupancy unverified</x:v>
      </x:c>
      <x:c r="I4401" s="12" t="str">
        <x:v>Mixed business audience</x:v>
      </x:c>
      <x:c r="J4401" s="12" t="str">
        <x:v>IT &amp; digital</x:v>
      </x:c>
      <x:c r="K4401" s="2" t="str">
        <x:v>PARTNER-M227</x:v>
      </x:c>
    </x:row>
    <x:row r="4402" ht="46" customHeight="1">
      <x:c r="A4402" s="2" t="str">
        <x:v>TEN-6AABB2EDC69D</x:v>
      </x:c>
      <x:c r="B4402" s="12" t="str">
        <x:v>Microsoft Corporation India Private Limited</x:v>
      </x:c>
      <x:c r="C4402" s="12" t="str">
        <x:v>CORP-0644</x:v>
      </x:c>
      <x:c r="D4402" s="12" t="str">
        <x:v>Mumbai</x:v>
      </x:c>
      <x:c r="E4402" s="12" t="str">
        <x:v>Windsor House</x:v>
      </x:c>
      <x:c r="F4402" s="12" t="str">
        <x:v>55 inch</x:v>
      </x:c>
      <x:c r="G4402" s="20" t="n">
        <x:v>1</x:v>
      </x:c>
      <x:c r="H4402" s="12" t="str">
        <x:v>Campus/portfolio roster; individual building occupancy unverified</x:v>
      </x:c>
      <x:c r="I4402" s="12" t="str">
        <x:v>Large enterprise</x:v>
      </x:c>
      <x:c r="J4402" s="12" t="str">
        <x:v>IT &amp; digital</x:v>
      </x:c>
      <x:c r="K4402" s="2" t="str">
        <x:v>PARTNER-M227</x:v>
      </x:c>
    </x:row>
    <x:row r="4403" ht="46" customHeight="1">
      <x:c r="A4403" s="2" t="str">
        <x:v>TEN-9E587843CD26</x:v>
      </x:c>
      <x:c r="B4403" s="12" t="str">
        <x:v>Windsor Realty Private Ltd</x:v>
      </x:c>
      <x:c r="C4403" s="12" t="str">
        <x:v>CORP-0644</x:v>
      </x:c>
      <x:c r="D4403" s="12" t="str">
        <x:v>Mumbai</x:v>
      </x:c>
      <x:c r="E4403" s="12" t="str">
        <x:v>Windsor House</x:v>
      </x:c>
      <x:c r="F4403" s="12" t="str">
        <x:v>55 inch</x:v>
      </x:c>
      <x:c r="G4403" s="20" t="n">
        <x:v>1</x:v>
      </x:c>
      <x:c r="H4403" s="12" t="str">
        <x:v>Campus/portfolio roster; individual building occupancy unverified</x:v>
      </x:c>
      <x:c r="I4403" s="12" t="str">
        <x:v>Small-scale prospects</x:v>
      </x:c>
      <x:c r="J4403" s="12" t="str">
        <x:v>Trade, consumer &amp; logistics</x:v>
      </x:c>
      <x:c r="K4403" s="2" t="str">
        <x:v>PARTNER-M227</x:v>
      </x:c>
    </x:row>
    <x:row r="4404" ht="46" customHeight="1">
      <x:c r="A4404" s="2" t="str">
        <x:v>TEN-A518E4150708</x:v>
      </x:c>
      <x:c r="B4404" s="12" t="str">
        <x:v>Credilia Financial Services Limited</x:v>
      </x:c>
      <x:c r="C4404" s="12" t="str">
        <x:v>CORP-0644</x:v>
      </x:c>
      <x:c r="D4404" s="12" t="str">
        <x:v>Mumbai</x:v>
      </x:c>
      <x:c r="E4404" s="12" t="str">
        <x:v>Windsor House</x:v>
      </x:c>
      <x:c r="F4404" s="12" t="str">
        <x:v>55 inch</x:v>
      </x:c>
      <x:c r="G4404" s="20" t="n">
        <x:v>1</x:v>
      </x:c>
      <x:c r="H4404" s="12" t="str">
        <x:v>Campus/portfolio roster; individual building occupancy unverified</x:v>
      </x:c>
      <x:c r="I4404" s="12" t="str">
        <x:v>Mixed business audience</x:v>
      </x:c>
      <x:c r="J4404" s="12" t="str">
        <x:v>Finance &amp; insurance</x:v>
      </x:c>
      <x:c r="K4404" s="2" t="str">
        <x:v>PARTNER-M227</x:v>
      </x:c>
    </x:row>
    <x:row r="4405" ht="46" customHeight="1">
      <x:c r="A4405" s="2" t="str">
        <x:v>TEN-AA16486DD980</x:v>
      </x:c>
      <x:c r="B4405" s="12" t="str">
        <x:v>Mirae Asset Global investments (India) pvt</x:v>
      </x:c>
      <x:c r="C4405" s="12" t="str">
        <x:v>CORP-0644</x:v>
      </x:c>
      <x:c r="D4405" s="12" t="str">
        <x:v>Mumbai</x:v>
      </x:c>
      <x:c r="E4405" s="12" t="str">
        <x:v>Windsor House</x:v>
      </x:c>
      <x:c r="F4405" s="12" t="str">
        <x:v>55 inch</x:v>
      </x:c>
      <x:c r="G4405" s="20" t="n">
        <x:v>1</x:v>
      </x:c>
      <x:c r="H4405" s="12" t="str">
        <x:v>Campus/portfolio roster; individual building occupancy unverified</x:v>
      </x:c>
      <x:c r="I4405" s="12" t="str">
        <x:v>Mixed business audience</x:v>
      </x:c>
      <x:c r="J4405" s="12" t="str">
        <x:v>Finance &amp; insurance</x:v>
      </x:c>
      <x:c r="K4405" s="2" t="str">
        <x:v>PARTNER-M227</x:v>
      </x:c>
    </x:row>
    <x:row r="4406" ht="46" customHeight="1">
      <x:c r="A4406" s="2" t="str">
        <x:v>TEN-B500F96CF69E</x:v>
      </x:c>
      <x:c r="B4406" s="12" t="str">
        <x:v>Sekura Energy Private Limited</x:v>
      </x:c>
      <x:c r="C4406" s="12" t="str">
        <x:v>CORP-0644</x:v>
      </x:c>
      <x:c r="D4406" s="12" t="str">
        <x:v>Mumbai</x:v>
      </x:c>
      <x:c r="E4406" s="12" t="str">
        <x:v>Windsor House</x:v>
      </x:c>
      <x:c r="F4406" s="12" t="str">
        <x:v>55 inch</x:v>
      </x:c>
      <x:c r="G4406" s="20" t="n">
        <x:v>1</x:v>
      </x:c>
      <x:c r="H4406" s="12" t="str">
        <x:v>Campus/portfolio roster; individual building occupancy unverified</x:v>
      </x:c>
      <x:c r="I4406" s="12" t="str">
        <x:v>Medium-scale prospects</x:v>
      </x:c>
      <x:c r="J4406" s="12" t="str">
        <x:v>Engineering &amp; manufacturing</x:v>
      </x:c>
      <x:c r="K4406" s="2" t="str">
        <x:v>PARTNER-M227</x:v>
      </x:c>
    </x:row>
    <x:row r="4407" ht="46" customHeight="1">
      <x:c r="A4407" s="2" t="str">
        <x:v>TEN-CA95A5D8C4D9</x:v>
      </x:c>
      <x:c r="B4407" s="12" t="str">
        <x:v>Outlook India Publishig PVT</x:v>
      </x:c>
      <x:c r="C4407" s="12" t="str">
        <x:v>CORP-0644</x:v>
      </x:c>
      <x:c r="D4407" s="12" t="str">
        <x:v>Mumbai</x:v>
      </x:c>
      <x:c r="E4407" s="12" t="str">
        <x:v>Windsor House</x:v>
      </x:c>
      <x:c r="F4407" s="12" t="str">
        <x:v>55 inch</x:v>
      </x:c>
      <x:c r="G4407" s="20" t="n">
        <x:v>1</x:v>
      </x:c>
      <x:c r="H4407" s="12" t="str">
        <x:v>Campus/portfolio roster; individual building occupancy unverified</x:v>
      </x:c>
      <x:c r="I4407" s="12" t="str">
        <x:v>Mixed business audience</x:v>
      </x:c>
      <x:c r="J4407" s="12" t="str">
        <x:v>Trade, consumer &amp; logistics</x:v>
      </x:c>
      <x:c r="K4407" s="2" t="str">
        <x:v>PARTNER-M227</x:v>
      </x:c>
    </x:row>
    <x:row r="4408" ht="46" customHeight="1">
      <x:c r="A4408" s="2" t="str">
        <x:v>TEN-E1C13B3EF2E0</x:v>
      </x:c>
      <x:c r="B4408" s="12" t="str">
        <x:v>India Bonds</x:v>
      </x:c>
      <x:c r="C4408" s="12" t="str">
        <x:v>CORP-0644</x:v>
      </x:c>
      <x:c r="D4408" s="12" t="str">
        <x:v>Mumbai</x:v>
      </x:c>
      <x:c r="E4408" s="12" t="str">
        <x:v>Windsor House</x:v>
      </x:c>
      <x:c r="F4408" s="12" t="str">
        <x:v>55 inch</x:v>
      </x:c>
      <x:c r="G4408" s="20" t="n">
        <x:v>1</x:v>
      </x:c>
      <x:c r="H4408" s="12" t="str">
        <x:v>Campus/portfolio roster; individual building occupancy unverified</x:v>
      </x:c>
      <x:c r="I4408" s="12" t="str">
        <x:v>Medium-scale prospects</x:v>
      </x:c>
      <x:c r="J4408" s="12" t="str">
        <x:v>Finance &amp; insurance</x:v>
      </x:c>
      <x:c r="K4408" s="2" t="str">
        <x:v>PARTNER-M227</x:v>
      </x:c>
    </x:row>
    <x:row r="4409" ht="46" customHeight="1">
      <x:c r="A4409" s="2" t="str">
        <x:v>TEN-E6CED8408C37</x:v>
      </x:c>
      <x:c r="B4409" s="12" t="str">
        <x:v>H&amp;R Johnson</x:v>
      </x:c>
      <x:c r="C4409" s="12" t="str">
        <x:v>CORP-0644</x:v>
      </x:c>
      <x:c r="D4409" s="12" t="str">
        <x:v>Mumbai</x:v>
      </x:c>
      <x:c r="E4409" s="12" t="str">
        <x:v>Windsor House</x:v>
      </x:c>
      <x:c r="F4409" s="12" t="str">
        <x:v>55 inch</x:v>
      </x:c>
      <x:c r="G4409" s="20" t="n">
        <x:v>1</x:v>
      </x:c>
      <x:c r="H4409" s="12" t="str">
        <x:v>Campus/portfolio roster; individual building occupancy unverified</x:v>
      </x:c>
      <x:c r="I4409" s="12" t="str">
        <x:v>Mixed business audience</x:v>
      </x:c>
      <x:c r="J4409" s="12" t="str">
        <x:v>Engineering &amp; manufacturing</x:v>
      </x:c>
      <x:c r="K4409" s="2" t="str">
        <x:v>PARTNER-M227</x:v>
      </x:c>
    </x:row>
    <x:row r="4410" ht="46" customHeight="1">
      <x:c r="A4410" s="2" t="str">
        <x:v>TEN-F9306C38D687</x:v>
      </x:c>
      <x:c r="B4410" s="12" t="str">
        <x:v>BBC studios India pvt</x:v>
      </x:c>
      <x:c r="C4410" s="12" t="str">
        <x:v>CORP-0644</x:v>
      </x:c>
      <x:c r="D4410" s="12" t="str">
        <x:v>Mumbai</x:v>
      </x:c>
      <x:c r="E4410" s="12" t="str">
        <x:v>Windsor House</x:v>
      </x:c>
      <x:c r="F4410" s="12" t="str">
        <x:v>55 inch</x:v>
      </x:c>
      <x:c r="G4410" s="20" t="n">
        <x:v>1</x:v>
      </x:c>
      <x:c r="H4410" s="12" t="str">
        <x:v>Campus/portfolio roster; individual building occupancy unverified</x:v>
      </x:c>
      <x:c r="I4410" s="12" t="str">
        <x:v>Mixed business audience</x:v>
      </x:c>
      <x:c r="J4410" s="12" t="str">
        <x:v>Trade, consumer &amp; logistics</x:v>
      </x:c>
      <x:c r="K4410" s="2" t="str">
        <x:v>PARTNER-M227</x:v>
      </x:c>
    </x:row>
    <x:row r="4411" ht="46" customHeight="1">
      <x:c r="A4411" s="2" t="str">
        <x:v>TEN-11B177B76116</x:v>
      </x:c>
      <x:c r="B4411" s="12" t="str">
        <x:v>Avaya Global Connect Ltd</x:v>
      </x:c>
      <x:c r="C4411" s="12" t="str">
        <x:v>CORP-0438</x:v>
      </x:c>
      <x:c r="D4411" s="12" t="str">
        <x:v>Bengaluru</x:v>
      </x:c>
      <x:c r="E4411" s="12" t="str">
        <x:v>Prestige Tech Park</x:v>
      </x:c>
      <x:c r="F4411" s="12" t="str">
        <x:v>55 inch</x:v>
      </x:c>
      <x:c r="G4411" s="20" t="n">
        <x:v>1</x:v>
      </x:c>
      <x:c r="H4411" s="12" t="str">
        <x:v>Campus/portfolio roster; individual building occupancy unverified</x:v>
      </x:c>
      <x:c r="I4411" s="12" t="str">
        <x:v>Mixed business audience</x:v>
      </x:c>
      <x:c r="J4411" s="12" t="str">
        <x:v>IT &amp; digital</x:v>
      </x:c>
      <x:c r="K4411" s="2" t="str">
        <x:v>PARTNER-M014</x:v>
      </x:c>
    </x:row>
    <x:row r="4412" ht="46" customHeight="1">
      <x:c r="A4412" s="2" t="str">
        <x:v>TEN-1A32A2EA27AE</x:v>
      </x:c>
      <x:c r="B4412" s="12" t="str">
        <x:v>Aptos India Private Limited</x:v>
      </x:c>
      <x:c r="C4412" s="12" t="str">
        <x:v>CORP-0438</x:v>
      </x:c>
      <x:c r="D4412" s="12" t="str">
        <x:v>Bengaluru</x:v>
      </x:c>
      <x:c r="E4412" s="12" t="str">
        <x:v>Prestige Tech Park</x:v>
      </x:c>
      <x:c r="F4412" s="12" t="str">
        <x:v>55 inch</x:v>
      </x:c>
      <x:c r="G4412" s="20" t="n">
        <x:v>1</x:v>
      </x:c>
      <x:c r="H4412" s="12" t="str">
        <x:v>Campus/portfolio roster; individual building occupancy unverified</x:v>
      </x:c>
      <x:c r="I4412" s="12" t="str">
        <x:v>Mixed business audience</x:v>
      </x:c>
      <x:c r="J4412" s="12" t="str">
        <x:v>IT &amp; digital</x:v>
      </x:c>
      <x:c r="K4412" s="2" t="str">
        <x:v>PARTNER-M014</x:v>
      </x:c>
    </x:row>
    <x:row r="4413" ht="46" customHeight="1">
      <x:c r="A4413" s="2" t="str">
        <x:v>TEN-1B8499B49BB3</x:v>
      </x:c>
      <x:c r="B4413" s="12" t="str">
        <x:v>Delliot</x:v>
      </x:c>
      <x:c r="C4413" s="12" t="str">
        <x:v>CORP-0438</x:v>
      </x:c>
      <x:c r="D4413" s="12" t="str">
        <x:v>Bengaluru</x:v>
      </x:c>
      <x:c r="E4413" s="12" t="str">
        <x:v>Prestige Tech Park</x:v>
      </x:c>
      <x:c r="F4413" s="12" t="str">
        <x:v>55 inch</x:v>
      </x:c>
      <x:c r="G4413" s="20" t="n">
        <x:v>1</x:v>
      </x:c>
      <x:c r="H4413" s="12" t="str">
        <x:v>Campus/portfolio roster; individual building occupancy unverified</x:v>
      </x:c>
      <x:c r="I4413" s="12" t="str">
        <x:v>Mixed business audience</x:v>
      </x:c>
      <x:c r="J4413" s="12" t="str">
        <x:v>Unresolved</x:v>
      </x:c>
      <x:c r="K4413" s="2" t="str">
        <x:v>PARTNER-M014</x:v>
      </x:c>
    </x:row>
    <x:row r="4414" ht="46" customHeight="1">
      <x:c r="A4414" s="2" t="str">
        <x:v>TEN-38773D0009A0</x:v>
      </x:c>
      <x:c r="B4414" s="12" t="str">
        <x:v>Frog Design Studio</x:v>
      </x:c>
      <x:c r="C4414" s="12" t="str">
        <x:v>CORP-0438</x:v>
      </x:c>
      <x:c r="D4414" s="12" t="str">
        <x:v>Bengaluru</x:v>
      </x:c>
      <x:c r="E4414" s="12" t="str">
        <x:v>Prestige Tech Park</x:v>
      </x:c>
      <x:c r="F4414" s="12" t="str">
        <x:v>55 inch</x:v>
      </x:c>
      <x:c r="G4414" s="20" t="n">
        <x:v>1</x:v>
      </x:c>
      <x:c r="H4414" s="12" t="str">
        <x:v>Campus/portfolio roster; individual building occupancy unverified</x:v>
      </x:c>
      <x:c r="I4414" s="12" t="str">
        <x:v>Mixed business audience</x:v>
      </x:c>
      <x:c r="J4414" s="12" t="str">
        <x:v>Professional services</x:v>
      </x:c>
      <x:c r="K4414" s="2" t="str">
        <x:v>PARTNER-M014</x:v>
      </x:c>
    </x:row>
    <x:row r="4415" ht="46" customHeight="1">
      <x:c r="A4415" s="2" t="str">
        <x:v>TEN-49F1F88DBFE4</x:v>
      </x:c>
      <x:c r="B4415" s="12" t="str">
        <x:v>Futures First Info Services</x:v>
      </x:c>
      <x:c r="C4415" s="12" t="str">
        <x:v>CORP-0438</x:v>
      </x:c>
      <x:c r="D4415" s="12" t="str">
        <x:v>Bengaluru</x:v>
      </x:c>
      <x:c r="E4415" s="12" t="str">
        <x:v>Prestige Tech Park</x:v>
      </x:c>
      <x:c r="F4415" s="12" t="str">
        <x:v>55 inch</x:v>
      </x:c>
      <x:c r="G4415" s="20" t="n">
        <x:v>1</x:v>
      </x:c>
      <x:c r="H4415" s="12" t="str">
        <x:v>Campus/portfolio roster; individual building occupancy unverified</x:v>
      </x:c>
      <x:c r="I4415" s="12" t="str">
        <x:v>Mixed business audience</x:v>
      </x:c>
      <x:c r="J4415" s="12" t="str">
        <x:v>IT &amp; digital</x:v>
      </x:c>
      <x:c r="K4415" s="2" t="str">
        <x:v>PARTNER-M014</x:v>
      </x:c>
    </x:row>
    <x:row r="4416" ht="46" customHeight="1">
      <x:c r="A4416" s="2" t="str">
        <x:v>TEN-53296B6A946C</x:v>
      </x:c>
      <x:c r="B4416" s="12" t="str">
        <x:v>Waif's</x:v>
      </x:c>
      <x:c r="C4416" s="12" t="str">
        <x:v>CORP-0438</x:v>
      </x:c>
      <x:c r="D4416" s="12" t="str">
        <x:v>Bengaluru</x:v>
      </x:c>
      <x:c r="E4416" s="12" t="str">
        <x:v>Prestige Tech Park</x:v>
      </x:c>
      <x:c r="F4416" s="12" t="str">
        <x:v>55 inch</x:v>
      </x:c>
      <x:c r="G4416" s="20" t="n">
        <x:v>1</x:v>
      </x:c>
      <x:c r="H4416" s="12" t="str">
        <x:v>Campus/portfolio roster; individual building occupancy unverified</x:v>
      </x:c>
      <x:c r="I4416" s="12" t="str">
        <x:v>Mixed business audience</x:v>
      </x:c>
      <x:c r="J4416" s="12" t="str">
        <x:v>Unresolved</x:v>
      </x:c>
      <x:c r="K4416" s="2" t="str">
        <x:v>PARTNER-M014</x:v>
      </x:c>
    </x:row>
    <x:row r="4417" ht="46" customHeight="1">
      <x:c r="A4417" s="2" t="str">
        <x:v>TEN-72DA9DBF0092</x:v>
      </x:c>
      <x:c r="B4417" s="12" t="str">
        <x:v>Aruba Networks</x:v>
      </x:c>
      <x:c r="C4417" s="12" t="str">
        <x:v>CORP-0438</x:v>
      </x:c>
      <x:c r="D4417" s="12" t="str">
        <x:v>Bengaluru</x:v>
      </x:c>
      <x:c r="E4417" s="12" t="str">
        <x:v>Prestige Tech Park</x:v>
      </x:c>
      <x:c r="F4417" s="12" t="str">
        <x:v>55 inch</x:v>
      </x:c>
      <x:c r="G4417" s="20" t="n">
        <x:v>1</x:v>
      </x:c>
      <x:c r="H4417" s="12" t="str">
        <x:v>Campus/portfolio roster; individual building occupancy unverified</x:v>
      </x:c>
      <x:c r="I4417" s="12" t="str">
        <x:v>Large enterprise</x:v>
      </x:c>
      <x:c r="J4417" s="12" t="str">
        <x:v>IT &amp; digital</x:v>
      </x:c>
      <x:c r="K4417" s="2" t="str">
        <x:v>PARTNER-M014</x:v>
      </x:c>
    </x:row>
    <x:row r="4418" ht="46" customHeight="1">
      <x:c r="A4418" s="2" t="str">
        <x:v>TEN-76DBEE9F2C38</x:v>
      </x:c>
      <x:c r="B4418" s="12" t="str">
        <x:v>Mobile Programming</x:v>
      </x:c>
      <x:c r="C4418" s="12" t="str">
        <x:v>CORP-0438</x:v>
      </x:c>
      <x:c r="D4418" s="12" t="str">
        <x:v>Bengaluru</x:v>
      </x:c>
      <x:c r="E4418" s="12" t="str">
        <x:v>Prestige Tech Park</x:v>
      </x:c>
      <x:c r="F4418" s="12" t="str">
        <x:v>55 inch</x:v>
      </x:c>
      <x:c r="G4418" s="20" t="n">
        <x:v>1</x:v>
      </x:c>
      <x:c r="H4418" s="12" t="str">
        <x:v>Campus/portfolio roster; individual building occupancy unverified</x:v>
      </x:c>
      <x:c r="I4418" s="12" t="str">
        <x:v>Small-scale prospects</x:v>
      </x:c>
      <x:c r="J4418" s="12" t="str">
        <x:v>IT &amp; digital</x:v>
      </x:c>
      <x:c r="K4418" s="2" t="str">
        <x:v>PARTNER-M014</x:v>
      </x:c>
    </x:row>
    <x:row r="4419" ht="46" customHeight="1">
      <x:c r="A4419" s="2" t="str">
        <x:v>TEN-775865062819</x:v>
      </x:c>
      <x:c r="B4419" s="12" t="str">
        <x:v>Nagarro Software Pvt. Ltd</x:v>
      </x:c>
      <x:c r="C4419" s="12" t="str">
        <x:v>CORP-0438</x:v>
      </x:c>
      <x:c r="D4419" s="12" t="str">
        <x:v>Bengaluru</x:v>
      </x:c>
      <x:c r="E4419" s="12" t="str">
        <x:v>Prestige Tech Park</x:v>
      </x:c>
      <x:c r="F4419" s="12" t="str">
        <x:v>55 inch</x:v>
      </x:c>
      <x:c r="G4419" s="20" t="n">
        <x:v>1</x:v>
      </x:c>
      <x:c r="H4419" s="12" t="str">
        <x:v>Campus/portfolio roster; individual building occupancy unverified</x:v>
      </x:c>
      <x:c r="I4419" s="12" t="str">
        <x:v>Large enterprise</x:v>
      </x:c>
      <x:c r="J4419" s="12" t="str">
        <x:v>IT &amp; digital</x:v>
      </x:c>
      <x:c r="K4419" s="2" t="str">
        <x:v>PARTNER-M014</x:v>
      </x:c>
    </x:row>
    <x:row r="4420" ht="46" customHeight="1">
      <x:c r="A4420" s="2" t="str">
        <x:v>TEN-78522B7571D3</x:v>
      </x:c>
      <x:c r="B4420" s="12" t="str">
        <x:v>Grab Greco LLP</x:v>
      </x:c>
      <x:c r="C4420" s="12" t="str">
        <x:v>CORP-0438</x:v>
      </x:c>
      <x:c r="D4420" s="12" t="str">
        <x:v>Bengaluru</x:v>
      </x:c>
      <x:c r="E4420" s="12" t="str">
        <x:v>Prestige Tech Park</x:v>
      </x:c>
      <x:c r="F4420" s="12" t="str">
        <x:v>55 inch</x:v>
      </x:c>
      <x:c r="G4420" s="20" t="n">
        <x:v>1</x:v>
      </x:c>
      <x:c r="H4420" s="12" t="str">
        <x:v>Campus/portfolio roster; individual building occupancy unverified</x:v>
      </x:c>
      <x:c r="I4420" s="12" t="str">
        <x:v>Mixed business audience</x:v>
      </x:c>
      <x:c r="J4420" s="12" t="str">
        <x:v>Unresolved</x:v>
      </x:c>
      <x:c r="K4420" s="2" t="str">
        <x:v>PARTNER-M014</x:v>
      </x:c>
    </x:row>
    <x:row r="4421" ht="46" customHeight="1">
      <x:c r="A4421" s="2" t="str">
        <x:v>TEN-8217BB19EBF1</x:v>
      </x:c>
      <x:c r="B4421" s="12" t="str">
        <x:v>J.P. Morgan</x:v>
      </x:c>
      <x:c r="C4421" s="12" t="str">
        <x:v>CORP-0438</x:v>
      </x:c>
      <x:c r="D4421" s="12" t="str">
        <x:v>Bengaluru</x:v>
      </x:c>
      <x:c r="E4421" s="12" t="str">
        <x:v>Prestige Tech Park</x:v>
      </x:c>
      <x:c r="F4421" s="12" t="str">
        <x:v>55 inch</x:v>
      </x:c>
      <x:c r="G4421" s="20" t="n">
        <x:v>1</x:v>
      </x:c>
      <x:c r="H4421" s="12" t="str">
        <x:v>Campus/portfolio roster; individual building occupancy unverified</x:v>
      </x:c>
      <x:c r="I4421" s="12" t="str">
        <x:v>Large enterprise</x:v>
      </x:c>
      <x:c r="J4421" s="12" t="str">
        <x:v>Finance &amp; insurance</x:v>
      </x:c>
      <x:c r="K4421" s="2" t="str">
        <x:v>PARTNER-M014</x:v>
      </x:c>
    </x:row>
    <x:row r="4422" ht="46" customHeight="1">
      <x:c r="A4422" s="2" t="str">
        <x:v>TEN-9202AF6CE925</x:v>
      </x:c>
      <x:c r="B4422" s="12" t="str">
        <x:v>Oracle</x:v>
      </x:c>
      <x:c r="C4422" s="12" t="str">
        <x:v>CORP-0438</x:v>
      </x:c>
      <x:c r="D4422" s="12" t="str">
        <x:v>Bengaluru</x:v>
      </x:c>
      <x:c r="E4422" s="12" t="str">
        <x:v>Prestige Tech Park</x:v>
      </x:c>
      <x:c r="F4422" s="12" t="str">
        <x:v>55 inch</x:v>
      </x:c>
      <x:c r="G4422" s="20" t="n">
        <x:v>1</x:v>
      </x:c>
      <x:c r="H4422" s="12" t="str">
        <x:v>Campus/portfolio roster; individual building occupancy unverified</x:v>
      </x:c>
      <x:c r="I4422" s="12" t="str">
        <x:v>Large enterprise</x:v>
      </x:c>
      <x:c r="J4422" s="12" t="str">
        <x:v>IT &amp; digital</x:v>
      </x:c>
      <x:c r="K4422" s="2" t="str">
        <x:v>PARTNER-M014</x:v>
      </x:c>
    </x:row>
    <x:row r="4423" ht="46" customHeight="1">
      <x:c r="A4423" s="2" t="str">
        <x:v>TEN-9B7F5525854D</x:v>
      </x:c>
      <x:c r="B4423" s="12" t="str">
        <x:v>AQUANTIA SEMICONDUCTOR INDIA PVT LTD</x:v>
      </x:c>
      <x:c r="C4423" s="12" t="str">
        <x:v>CORP-0438</x:v>
      </x:c>
      <x:c r="D4423" s="12" t="str">
        <x:v>Bengaluru</x:v>
      </x:c>
      <x:c r="E4423" s="12" t="str">
        <x:v>Prestige Tech Park</x:v>
      </x:c>
      <x:c r="F4423" s="12" t="str">
        <x:v>55 inch</x:v>
      </x:c>
      <x:c r="G4423" s="20" t="n">
        <x:v>1</x:v>
      </x:c>
      <x:c r="H4423" s="12" t="str">
        <x:v>Campus/portfolio roster; individual building occupancy unverified</x:v>
      </x:c>
      <x:c r="I4423" s="12" t="str">
        <x:v>Mixed business audience</x:v>
      </x:c>
      <x:c r="J4423" s="12" t="str">
        <x:v>Engineering &amp; manufacturing</x:v>
      </x:c>
      <x:c r="K4423" s="2" t="str">
        <x:v>PARTNER-M014</x:v>
      </x:c>
    </x:row>
    <x:row r="4424" ht="46" customHeight="1">
      <x:c r="A4424" s="2" t="str">
        <x:v>TEN-B909749F4464</x:v>
      </x:c>
      <x:c r="B4424" s="12" t="str">
        <x:v>Conga (Apttus) Software Pvt. Ltd</x:v>
      </x:c>
      <x:c r="C4424" s="12" t="str">
        <x:v>CORP-0438</x:v>
      </x:c>
      <x:c r="D4424" s="12" t="str">
        <x:v>Bengaluru</x:v>
      </x:c>
      <x:c r="E4424" s="12" t="str">
        <x:v>Prestige Tech Park</x:v>
      </x:c>
      <x:c r="F4424" s="12" t="str">
        <x:v>55 inch</x:v>
      </x:c>
      <x:c r="G4424" s="20" t="n">
        <x:v>1</x:v>
      </x:c>
      <x:c r="H4424" s="12" t="str">
        <x:v>Campus/portfolio roster; individual building occupancy unverified</x:v>
      </x:c>
      <x:c r="I4424" s="12" t="str">
        <x:v>Mixed business audience</x:v>
      </x:c>
      <x:c r="J4424" s="12" t="str">
        <x:v>IT &amp; digital</x:v>
      </x:c>
      <x:c r="K4424" s="2" t="str">
        <x:v>PARTNER-M014</x:v>
      </x:c>
    </x:row>
    <x:row r="4425" ht="46" customHeight="1">
      <x:c r="A4425" s="2" t="str">
        <x:v>TEN-BC3067AC45DF</x:v>
      </x:c>
      <x:c r="B4425" s="12" t="str">
        <x:v>Schneider Electric</x:v>
      </x:c>
      <x:c r="C4425" s="12" t="str">
        <x:v>CORP-0438</x:v>
      </x:c>
      <x:c r="D4425" s="12" t="str">
        <x:v>Bengaluru</x:v>
      </x:c>
      <x:c r="E4425" s="12" t="str">
        <x:v>Prestige Tech Park</x:v>
      </x:c>
      <x:c r="F4425" s="12" t="str">
        <x:v>55 inch</x:v>
      </x:c>
      <x:c r="G4425" s="20" t="n">
        <x:v>1</x:v>
      </x:c>
      <x:c r="H4425" s="12" t="str">
        <x:v>Campus/portfolio roster; individual building occupancy unverified</x:v>
      </x:c>
      <x:c r="I4425" s="12" t="str">
        <x:v>Large enterprise</x:v>
      </x:c>
      <x:c r="J4425" s="12" t="str">
        <x:v>Engineering &amp; manufacturing</x:v>
      </x:c>
      <x:c r="K4425" s="2" t="str">
        <x:v>PARTNER-M014</x:v>
      </x:c>
    </x:row>
    <x:row r="4426" ht="46" customHeight="1">
      <x:c r="A4426" s="2" t="str">
        <x:v>TEN-C34DF63CE5F2</x:v>
      </x:c>
      <x:c r="B4426" s="12" t="str">
        <x:v>BlueJeans Networks Pvt Ltd</x:v>
      </x:c>
      <x:c r="C4426" s="12" t="str">
        <x:v>CORP-0438</x:v>
      </x:c>
      <x:c r="D4426" s="12" t="str">
        <x:v>Bengaluru</x:v>
      </x:c>
      <x:c r="E4426" s="12" t="str">
        <x:v>Prestige Tech Park</x:v>
      </x:c>
      <x:c r="F4426" s="12" t="str">
        <x:v>55 inch</x:v>
      </x:c>
      <x:c r="G4426" s="20" t="n">
        <x:v>1</x:v>
      </x:c>
      <x:c r="H4426" s="12" t="str">
        <x:v>Campus/portfolio roster; individual building occupancy unverified</x:v>
      </x:c>
      <x:c r="I4426" s="12" t="str">
        <x:v>Mixed business audience</x:v>
      </x:c>
      <x:c r="J4426" s="12" t="str">
        <x:v>IT &amp; digital</x:v>
      </x:c>
      <x:c r="K4426" s="2" t="str">
        <x:v>PARTNER-M014</x:v>
      </x:c>
    </x:row>
    <x:row r="4427" ht="46" customHeight="1">
      <x:c r="A4427" s="2" t="str">
        <x:v>TEN-C47675D3BD0C</x:v>
      </x:c>
      <x:c r="B4427" s="12" t="str">
        <x:v>Money View</x:v>
      </x:c>
      <x:c r="C4427" s="12" t="str">
        <x:v>CORP-0438</x:v>
      </x:c>
      <x:c r="D4427" s="12" t="str">
        <x:v>Bengaluru</x:v>
      </x:c>
      <x:c r="E4427" s="12" t="str">
        <x:v>Prestige Tech Park</x:v>
      </x:c>
      <x:c r="F4427" s="12" t="str">
        <x:v>55 inch</x:v>
      </x:c>
      <x:c r="G4427" s="20" t="n">
        <x:v>1</x:v>
      </x:c>
      <x:c r="H4427" s="12" t="str">
        <x:v>Campus/portfolio roster; individual building occupancy unverified</x:v>
      </x:c>
      <x:c r="I4427" s="12" t="str">
        <x:v>Medium-scale prospects</x:v>
      </x:c>
      <x:c r="J4427" s="12" t="str">
        <x:v>Finance &amp; insurance</x:v>
      </x:c>
      <x:c r="K4427" s="2" t="str">
        <x:v>PARTNER-M014</x:v>
      </x:c>
    </x:row>
    <x:row r="4428" ht="46" customHeight="1">
      <x:c r="A4428" s="2" t="str">
        <x:v>TEN-D886B2C883A6</x:v>
      </x:c>
      <x:c r="B4428" s="12" t="str">
        <x:v>Citi Bank</x:v>
      </x:c>
      <x:c r="C4428" s="12" t="str">
        <x:v>CORP-0438</x:v>
      </x:c>
      <x:c r="D4428" s="12" t="str">
        <x:v>Bengaluru</x:v>
      </x:c>
      <x:c r="E4428" s="12" t="str">
        <x:v>Prestige Tech Park</x:v>
      </x:c>
      <x:c r="F4428" s="12" t="str">
        <x:v>55 inch</x:v>
      </x:c>
      <x:c r="G4428" s="20" t="n">
        <x:v>1</x:v>
      </x:c>
      <x:c r="H4428" s="12" t="str">
        <x:v>Campus/portfolio roster; individual building occupancy unverified</x:v>
      </x:c>
      <x:c r="I4428" s="12" t="str">
        <x:v>Large enterprise</x:v>
      </x:c>
      <x:c r="J4428" s="12" t="str">
        <x:v>Finance &amp; insurance</x:v>
      </x:c>
      <x:c r="K4428" s="2" t="str">
        <x:v>PARTNER-M014</x:v>
      </x:c>
    </x:row>
    <x:row r="4429" ht="46" customHeight="1">
      <x:c r="A4429" s="2" t="str">
        <x:v>TEN-D9364FD0A5DE</x:v>
      </x:c>
      <x:c r="B4429" s="12" t="str">
        <x:v>Walmart Labs</x:v>
      </x:c>
      <x:c r="C4429" s="12" t="str">
        <x:v>CORP-0438</x:v>
      </x:c>
      <x:c r="D4429" s="12" t="str">
        <x:v>Bengaluru</x:v>
      </x:c>
      <x:c r="E4429" s="12" t="str">
        <x:v>Prestige Tech Park</x:v>
      </x:c>
      <x:c r="F4429" s="12" t="str">
        <x:v>55 inch</x:v>
      </x:c>
      <x:c r="G4429" s="20" t="n">
        <x:v>1</x:v>
      </x:c>
      <x:c r="H4429" s="12" t="str">
        <x:v>Campus/portfolio roster; individual building occupancy unverified</x:v>
      </x:c>
      <x:c r="I4429" s="12" t="str">
        <x:v>Large enterprise</x:v>
      </x:c>
      <x:c r="J4429" s="12" t="str">
        <x:v>Trade, consumer &amp; logistics</x:v>
      </x:c>
      <x:c r="K4429" s="2" t="str">
        <x:v>PARTNER-M014</x:v>
      </x:c>
    </x:row>
    <x:row r="4430" ht="46" customHeight="1">
      <x:c r="A4430" s="2" t="str">
        <x:v>TEN-F55A85B2F2EB</x:v>
      </x:c>
      <x:c r="B4430" s="12" t="str">
        <x:v>Capgemini</x:v>
      </x:c>
      <x:c r="C4430" s="12" t="str">
        <x:v>CORP-0438</x:v>
      </x:c>
      <x:c r="D4430" s="12" t="str">
        <x:v>Bengaluru</x:v>
      </x:c>
      <x:c r="E4430" s="12" t="str">
        <x:v>Prestige Tech Park</x:v>
      </x:c>
      <x:c r="F4430" s="12" t="str">
        <x:v>55 inch</x:v>
      </x:c>
      <x:c r="G4430" s="20" t="n">
        <x:v>1</x:v>
      </x:c>
      <x:c r="H4430" s="12" t="str">
        <x:v>Campus/portfolio roster; individual building occupancy unverified</x:v>
      </x:c>
      <x:c r="I4430" s="12" t="str">
        <x:v>Large enterprise</x:v>
      </x:c>
      <x:c r="J4430" s="12" t="str">
        <x:v>IT &amp; digital</x:v>
      </x:c>
      <x:c r="K4430" s="2" t="str">
        <x:v>PARTNER-M014</x:v>
      </x:c>
    </x:row>
    <x:row r="4431" ht="46" customHeight="1">
      <x:c r="A4431" s="2" t="str">
        <x:v>TEN-04A7BF588AF8</x:v>
      </x:c>
      <x:c r="B4431" s="12" t="str">
        <x:v>DSM Nutritional Products India PVT</x:v>
      </x:c>
      <x:c r="C4431" s="12" t="str">
        <x:v>CORP-0645</x:v>
      </x:c>
      <x:c r="D4431" s="12" t="str">
        <x:v>Mumbai</x:v>
      </x:c>
      <x:c r="E4431" s="12" t="str">
        <x:v>Windsor House</x:v>
      </x:c>
      <x:c r="F4431" s="12" t="str">
        <x:v>55 inch</x:v>
      </x:c>
      <x:c r="G4431" s="20" t="n">
        <x:v>1</x:v>
      </x:c>
      <x:c r="H4431" s="12" t="str">
        <x:v>Campus/portfolio roster; individual building occupancy unverified</x:v>
      </x:c>
      <x:c r="I4431" s="12" t="str">
        <x:v>Mixed business audience</x:v>
      </x:c>
      <x:c r="J4431" s="12" t="str">
        <x:v>Engineering &amp; manufacturing</x:v>
      </x:c>
      <x:c r="K4431" s="2" t="str">
        <x:v>PARTNER-M227</x:v>
      </x:c>
    </x:row>
    <x:row r="4432" ht="46" customHeight="1">
      <x:c r="A4432" s="2" t="str">
        <x:v>TEN-09DD085FC8CC</x:v>
      </x:c>
      <x:c r="B4432" s="12" t="str">
        <x:v>The Crescent Group</x:v>
      </x:c>
      <x:c r="C4432" s="12" t="str">
        <x:v>CORP-0645</x:v>
      </x:c>
      <x:c r="D4432" s="12" t="str">
        <x:v>Mumbai</x:v>
      </x:c>
      <x:c r="E4432" s="12" t="str">
        <x:v>Windsor House</x:v>
      </x:c>
      <x:c r="F4432" s="12" t="str">
        <x:v>55 inch</x:v>
      </x:c>
      <x:c r="G4432" s="20" t="n">
        <x:v>1</x:v>
      </x:c>
      <x:c r="H4432" s="12" t="str">
        <x:v>Campus/portfolio roster; individual building occupancy unverified</x:v>
      </x:c>
      <x:c r="I4432" s="12" t="str">
        <x:v>Mixed business audience</x:v>
      </x:c>
      <x:c r="J4432" s="12" t="str">
        <x:v>Unresolved</x:v>
      </x:c>
      <x:c r="K4432" s="2" t="str">
        <x:v>PARTNER-M227</x:v>
      </x:c>
    </x:row>
    <x:row r="4433" ht="46" customHeight="1">
      <x:c r="A4433" s="2" t="str">
        <x:v>TEN-12FFE3FCB38E</x:v>
      </x:c>
      <x:c r="B4433" s="12" t="str">
        <x:v>AK Group</x:v>
      </x:c>
      <x:c r="C4433" s="12" t="str">
        <x:v>CORP-0645</x:v>
      </x:c>
      <x:c r="D4433" s="12" t="str">
        <x:v>Mumbai</x:v>
      </x:c>
      <x:c r="E4433" s="12" t="str">
        <x:v>Windsor House</x:v>
      </x:c>
      <x:c r="F4433" s="12" t="str">
        <x:v>55 inch</x:v>
      </x:c>
      <x:c r="G4433" s="20" t="n">
        <x:v>1</x:v>
      </x:c>
      <x:c r="H4433" s="12" t="str">
        <x:v>Campus/portfolio roster; individual building occupancy unverified</x:v>
      </x:c>
      <x:c r="I4433" s="12" t="str">
        <x:v>Mixed business audience</x:v>
      </x:c>
      <x:c r="J4433" s="12" t="str">
        <x:v>Unresolved</x:v>
      </x:c>
      <x:c r="K4433" s="2" t="str">
        <x:v>PARTNER-M227</x:v>
      </x:c>
    </x:row>
    <x:row r="4434" ht="46" customHeight="1">
      <x:c r="A4434" s="2" t="str">
        <x:v>TEN-3DAF16CAD05F</x:v>
      </x:c>
      <x:c r="B4434" s="12" t="str">
        <x:v>BTV</x:v>
      </x:c>
      <x:c r="C4434" s="12" t="str">
        <x:v>CORP-0645</x:v>
      </x:c>
      <x:c r="D4434" s="12" t="str">
        <x:v>Mumbai</x:v>
      </x:c>
      <x:c r="E4434" s="12" t="str">
        <x:v>Windsor House</x:v>
      </x:c>
      <x:c r="F4434" s="12" t="str">
        <x:v>55 inch</x:v>
      </x:c>
      <x:c r="G4434" s="20" t="n">
        <x:v>1</x:v>
      </x:c>
      <x:c r="H4434" s="12" t="str">
        <x:v>Campus/portfolio roster; individual building occupancy unverified</x:v>
      </x:c>
      <x:c r="I4434" s="12" t="str">
        <x:v>Mixed business audience</x:v>
      </x:c>
      <x:c r="J4434" s="12" t="str">
        <x:v>Unresolved</x:v>
      </x:c>
      <x:c r="K4434" s="2" t="str">
        <x:v>PARTNER-M227</x:v>
      </x:c>
    </x:row>
    <x:row r="4435" ht="46" customHeight="1">
      <x:c r="A4435" s="2" t="str">
        <x:v>TEN-5BA92BB8BE69</x:v>
      </x:c>
      <x:c r="B4435" s="12" t="str">
        <x:v>Hathway head office</x:v>
      </x:c>
      <x:c r="C4435" s="12" t="str">
        <x:v>CORP-0645</x:v>
      </x:c>
      <x:c r="D4435" s="12" t="str">
        <x:v>Mumbai</x:v>
      </x:c>
      <x:c r="E4435" s="12" t="str">
        <x:v>Windsor House</x:v>
      </x:c>
      <x:c r="F4435" s="12" t="str">
        <x:v>55 inch</x:v>
      </x:c>
      <x:c r="G4435" s="20" t="n">
        <x:v>1</x:v>
      </x:c>
      <x:c r="H4435" s="12" t="str">
        <x:v>Campus/portfolio roster; individual building occupancy unverified</x:v>
      </x:c>
      <x:c r="I4435" s="12" t="str">
        <x:v>Mixed business audience</x:v>
      </x:c>
      <x:c r="J4435" s="12" t="str">
        <x:v>IT &amp; digital</x:v>
      </x:c>
      <x:c r="K4435" s="2" t="str">
        <x:v>PARTNER-M227</x:v>
      </x:c>
    </x:row>
    <x:row r="4436" ht="46" customHeight="1">
      <x:c r="A4436" s="2" t="str">
        <x:v>TEN-6AABB2EDC69D</x:v>
      </x:c>
      <x:c r="B4436" s="12" t="str">
        <x:v>Microsoft Corporation India Private Limited</x:v>
      </x:c>
      <x:c r="C4436" s="12" t="str">
        <x:v>CORP-0645</x:v>
      </x:c>
      <x:c r="D4436" s="12" t="str">
        <x:v>Mumbai</x:v>
      </x:c>
      <x:c r="E4436" s="12" t="str">
        <x:v>Windsor House</x:v>
      </x:c>
      <x:c r="F4436" s="12" t="str">
        <x:v>55 inch</x:v>
      </x:c>
      <x:c r="G4436" s="20" t="n">
        <x:v>1</x:v>
      </x:c>
      <x:c r="H4436" s="12" t="str">
        <x:v>Campus/portfolio roster; individual building occupancy unverified</x:v>
      </x:c>
      <x:c r="I4436" s="12" t="str">
        <x:v>Large enterprise</x:v>
      </x:c>
      <x:c r="J4436" s="12" t="str">
        <x:v>IT &amp; digital</x:v>
      </x:c>
      <x:c r="K4436" s="2" t="str">
        <x:v>PARTNER-M227</x:v>
      </x:c>
    </x:row>
    <x:row r="4437" ht="46" customHeight="1">
      <x:c r="A4437" s="2" t="str">
        <x:v>TEN-9E587843CD26</x:v>
      </x:c>
      <x:c r="B4437" s="12" t="str">
        <x:v>Windsor Realty Private Ltd</x:v>
      </x:c>
      <x:c r="C4437" s="12" t="str">
        <x:v>CORP-0645</x:v>
      </x:c>
      <x:c r="D4437" s="12" t="str">
        <x:v>Mumbai</x:v>
      </x:c>
      <x:c r="E4437" s="12" t="str">
        <x:v>Windsor House</x:v>
      </x:c>
      <x:c r="F4437" s="12" t="str">
        <x:v>55 inch</x:v>
      </x:c>
      <x:c r="G4437" s="20" t="n">
        <x:v>1</x:v>
      </x:c>
      <x:c r="H4437" s="12" t="str">
        <x:v>Campus/portfolio roster; individual building occupancy unverified</x:v>
      </x:c>
      <x:c r="I4437" s="12" t="str">
        <x:v>Small-scale prospects</x:v>
      </x:c>
      <x:c r="J4437" s="12" t="str">
        <x:v>Trade, consumer &amp; logistics</x:v>
      </x:c>
      <x:c r="K4437" s="2" t="str">
        <x:v>PARTNER-M227</x:v>
      </x:c>
    </x:row>
    <x:row r="4438" ht="46" customHeight="1">
      <x:c r="A4438" s="2" t="str">
        <x:v>TEN-A518E4150708</x:v>
      </x:c>
      <x:c r="B4438" s="12" t="str">
        <x:v>Credilia Financial Services Limited</x:v>
      </x:c>
      <x:c r="C4438" s="12" t="str">
        <x:v>CORP-0645</x:v>
      </x:c>
      <x:c r="D4438" s="12" t="str">
        <x:v>Mumbai</x:v>
      </x:c>
      <x:c r="E4438" s="12" t="str">
        <x:v>Windsor House</x:v>
      </x:c>
      <x:c r="F4438" s="12" t="str">
        <x:v>55 inch</x:v>
      </x:c>
      <x:c r="G4438" s="20" t="n">
        <x:v>1</x:v>
      </x:c>
      <x:c r="H4438" s="12" t="str">
        <x:v>Campus/portfolio roster; individual building occupancy unverified</x:v>
      </x:c>
      <x:c r="I4438" s="12" t="str">
        <x:v>Mixed business audience</x:v>
      </x:c>
      <x:c r="J4438" s="12" t="str">
        <x:v>Finance &amp; insurance</x:v>
      </x:c>
      <x:c r="K4438" s="2" t="str">
        <x:v>PARTNER-M227</x:v>
      </x:c>
    </x:row>
    <x:row r="4439" ht="46" customHeight="1">
      <x:c r="A4439" s="2" t="str">
        <x:v>TEN-AA16486DD980</x:v>
      </x:c>
      <x:c r="B4439" s="12" t="str">
        <x:v>Mirae Asset Global investments (India) pvt</x:v>
      </x:c>
      <x:c r="C4439" s="12" t="str">
        <x:v>CORP-0645</x:v>
      </x:c>
      <x:c r="D4439" s="12" t="str">
        <x:v>Mumbai</x:v>
      </x:c>
      <x:c r="E4439" s="12" t="str">
        <x:v>Windsor House</x:v>
      </x:c>
      <x:c r="F4439" s="12" t="str">
        <x:v>55 inch</x:v>
      </x:c>
      <x:c r="G4439" s="20" t="n">
        <x:v>1</x:v>
      </x:c>
      <x:c r="H4439" s="12" t="str">
        <x:v>Campus/portfolio roster; individual building occupancy unverified</x:v>
      </x:c>
      <x:c r="I4439" s="12" t="str">
        <x:v>Mixed business audience</x:v>
      </x:c>
      <x:c r="J4439" s="12" t="str">
        <x:v>Finance &amp; insurance</x:v>
      </x:c>
      <x:c r="K4439" s="2" t="str">
        <x:v>PARTNER-M227</x:v>
      </x:c>
    </x:row>
    <x:row r="4440" ht="46" customHeight="1">
      <x:c r="A4440" s="2" t="str">
        <x:v>TEN-B500F96CF69E</x:v>
      </x:c>
      <x:c r="B4440" s="12" t="str">
        <x:v>Sekura Energy Private Limited</x:v>
      </x:c>
      <x:c r="C4440" s="12" t="str">
        <x:v>CORP-0645</x:v>
      </x:c>
      <x:c r="D4440" s="12" t="str">
        <x:v>Mumbai</x:v>
      </x:c>
      <x:c r="E4440" s="12" t="str">
        <x:v>Windsor House</x:v>
      </x:c>
      <x:c r="F4440" s="12" t="str">
        <x:v>55 inch</x:v>
      </x:c>
      <x:c r="G4440" s="20" t="n">
        <x:v>1</x:v>
      </x:c>
      <x:c r="H4440" s="12" t="str">
        <x:v>Campus/portfolio roster; individual building occupancy unverified</x:v>
      </x:c>
      <x:c r="I4440" s="12" t="str">
        <x:v>Medium-scale prospects</x:v>
      </x:c>
      <x:c r="J4440" s="12" t="str">
        <x:v>Engineering &amp; manufacturing</x:v>
      </x:c>
      <x:c r="K4440" s="2" t="str">
        <x:v>PARTNER-M227</x:v>
      </x:c>
    </x:row>
    <x:row r="4441" ht="46" customHeight="1">
      <x:c r="A4441" s="2" t="str">
        <x:v>TEN-CA95A5D8C4D9</x:v>
      </x:c>
      <x:c r="B4441" s="12" t="str">
        <x:v>Outlook India Publishig PVT</x:v>
      </x:c>
      <x:c r="C4441" s="12" t="str">
        <x:v>CORP-0645</x:v>
      </x:c>
      <x:c r="D4441" s="12" t="str">
        <x:v>Mumbai</x:v>
      </x:c>
      <x:c r="E4441" s="12" t="str">
        <x:v>Windsor House</x:v>
      </x:c>
      <x:c r="F4441" s="12" t="str">
        <x:v>55 inch</x:v>
      </x:c>
      <x:c r="G4441" s="20" t="n">
        <x:v>1</x:v>
      </x:c>
      <x:c r="H4441" s="12" t="str">
        <x:v>Campus/portfolio roster; individual building occupancy unverified</x:v>
      </x:c>
      <x:c r="I4441" s="12" t="str">
        <x:v>Mixed business audience</x:v>
      </x:c>
      <x:c r="J4441" s="12" t="str">
        <x:v>Trade, consumer &amp; logistics</x:v>
      </x:c>
      <x:c r="K4441" s="2" t="str">
        <x:v>PARTNER-M227</x:v>
      </x:c>
    </x:row>
    <x:row r="4442" ht="46" customHeight="1">
      <x:c r="A4442" s="2" t="str">
        <x:v>TEN-E1C13B3EF2E0</x:v>
      </x:c>
      <x:c r="B4442" s="12" t="str">
        <x:v>India Bonds</x:v>
      </x:c>
      <x:c r="C4442" s="12" t="str">
        <x:v>CORP-0645</x:v>
      </x:c>
      <x:c r="D4442" s="12" t="str">
        <x:v>Mumbai</x:v>
      </x:c>
      <x:c r="E4442" s="12" t="str">
        <x:v>Windsor House</x:v>
      </x:c>
      <x:c r="F4442" s="12" t="str">
        <x:v>55 inch</x:v>
      </x:c>
      <x:c r="G4442" s="20" t="n">
        <x:v>1</x:v>
      </x:c>
      <x:c r="H4442" s="12" t="str">
        <x:v>Campus/portfolio roster; individual building occupancy unverified</x:v>
      </x:c>
      <x:c r="I4442" s="12" t="str">
        <x:v>Medium-scale prospects</x:v>
      </x:c>
      <x:c r="J4442" s="12" t="str">
        <x:v>Finance &amp; insurance</x:v>
      </x:c>
      <x:c r="K4442" s="2" t="str">
        <x:v>PARTNER-M227</x:v>
      </x:c>
    </x:row>
    <x:row r="4443" ht="46" customHeight="1">
      <x:c r="A4443" s="2" t="str">
        <x:v>TEN-E6CED8408C37</x:v>
      </x:c>
      <x:c r="B4443" s="12" t="str">
        <x:v>H&amp;R Johnson</x:v>
      </x:c>
      <x:c r="C4443" s="12" t="str">
        <x:v>CORP-0645</x:v>
      </x:c>
      <x:c r="D4443" s="12" t="str">
        <x:v>Mumbai</x:v>
      </x:c>
      <x:c r="E4443" s="12" t="str">
        <x:v>Windsor House</x:v>
      </x:c>
      <x:c r="F4443" s="12" t="str">
        <x:v>55 inch</x:v>
      </x:c>
      <x:c r="G4443" s="20" t="n">
        <x:v>1</x:v>
      </x:c>
      <x:c r="H4443" s="12" t="str">
        <x:v>Campus/portfolio roster; individual building occupancy unverified</x:v>
      </x:c>
      <x:c r="I4443" s="12" t="str">
        <x:v>Mixed business audience</x:v>
      </x:c>
      <x:c r="J4443" s="12" t="str">
        <x:v>Engineering &amp; manufacturing</x:v>
      </x:c>
      <x:c r="K4443" s="2" t="str">
        <x:v>PARTNER-M227</x:v>
      </x:c>
    </x:row>
    <x:row r="4444" ht="46" customHeight="1">
      <x:c r="A4444" s="2" t="str">
        <x:v>TEN-F9306C38D687</x:v>
      </x:c>
      <x:c r="B4444" s="12" t="str">
        <x:v>BBC studios India pvt</x:v>
      </x:c>
      <x:c r="C4444" s="12" t="str">
        <x:v>CORP-0645</x:v>
      </x:c>
      <x:c r="D4444" s="12" t="str">
        <x:v>Mumbai</x:v>
      </x:c>
      <x:c r="E4444" s="12" t="str">
        <x:v>Windsor House</x:v>
      </x:c>
      <x:c r="F4444" s="12" t="str">
        <x:v>55 inch</x:v>
      </x:c>
      <x:c r="G4444" s="20" t="n">
        <x:v>1</x:v>
      </x:c>
      <x:c r="H4444" s="12" t="str">
        <x:v>Campus/portfolio roster; individual building occupancy unverified</x:v>
      </x:c>
      <x:c r="I4444" s="12" t="str">
        <x:v>Mixed business audience</x:v>
      </x:c>
      <x:c r="J4444" s="12" t="str">
        <x:v>Trade, consumer &amp; logistics</x:v>
      </x:c>
      <x:c r="K4444" s="2" t="str">
        <x:v>PARTNER-M227</x:v>
      </x:c>
    </x:row>
    <x:row r="4445" ht="46" customHeight="1">
      <x:c r="A4445" s="2" t="str">
        <x:v>TEN-04A7BF588AF8</x:v>
      </x:c>
      <x:c r="B4445" s="12" t="str">
        <x:v>DSM Nutritional Products India PVT</x:v>
      </x:c>
      <x:c r="C4445" s="12" t="str">
        <x:v>CORP-0646</x:v>
      </x:c>
      <x:c r="D4445" s="12" t="str">
        <x:v>Mumbai</x:v>
      </x:c>
      <x:c r="E4445" s="12" t="str">
        <x:v>Windsor House</x:v>
      </x:c>
      <x:c r="F4445" s="12" t="str">
        <x:v>55 inch</x:v>
      </x:c>
      <x:c r="G4445" s="20" t="n">
        <x:v>1</x:v>
      </x:c>
      <x:c r="H4445" s="12" t="str">
        <x:v>Campus/portfolio roster; individual building occupancy unverified</x:v>
      </x:c>
      <x:c r="I4445" s="12" t="str">
        <x:v>Mixed business audience</x:v>
      </x:c>
      <x:c r="J4445" s="12" t="str">
        <x:v>Engineering &amp; manufacturing</x:v>
      </x:c>
      <x:c r="K4445" s="2" t="str">
        <x:v>PARTNER-M227</x:v>
      </x:c>
    </x:row>
    <x:row r="4446" ht="46" customHeight="1">
      <x:c r="A4446" s="2" t="str">
        <x:v>TEN-09DD085FC8CC</x:v>
      </x:c>
      <x:c r="B4446" s="12" t="str">
        <x:v>The Crescent Group</x:v>
      </x:c>
      <x:c r="C4446" s="12" t="str">
        <x:v>CORP-0646</x:v>
      </x:c>
      <x:c r="D4446" s="12" t="str">
        <x:v>Mumbai</x:v>
      </x:c>
      <x:c r="E4446" s="12" t="str">
        <x:v>Windsor House</x:v>
      </x:c>
      <x:c r="F4446" s="12" t="str">
        <x:v>55 inch</x:v>
      </x:c>
      <x:c r="G4446" s="20" t="n">
        <x:v>1</x:v>
      </x:c>
      <x:c r="H4446" s="12" t="str">
        <x:v>Campus/portfolio roster; individual building occupancy unverified</x:v>
      </x:c>
      <x:c r="I4446" s="12" t="str">
        <x:v>Mixed business audience</x:v>
      </x:c>
      <x:c r="J4446" s="12" t="str">
        <x:v>Unresolved</x:v>
      </x:c>
      <x:c r="K4446" s="2" t="str">
        <x:v>PARTNER-M227</x:v>
      </x:c>
    </x:row>
    <x:row r="4447" ht="46" customHeight="1">
      <x:c r="A4447" s="2" t="str">
        <x:v>TEN-12FFE3FCB38E</x:v>
      </x:c>
      <x:c r="B4447" s="12" t="str">
        <x:v>AK Group</x:v>
      </x:c>
      <x:c r="C4447" s="12" t="str">
        <x:v>CORP-0646</x:v>
      </x:c>
      <x:c r="D4447" s="12" t="str">
        <x:v>Mumbai</x:v>
      </x:c>
      <x:c r="E4447" s="12" t="str">
        <x:v>Windsor House</x:v>
      </x:c>
      <x:c r="F4447" s="12" t="str">
        <x:v>55 inch</x:v>
      </x:c>
      <x:c r="G4447" s="20" t="n">
        <x:v>1</x:v>
      </x:c>
      <x:c r="H4447" s="12" t="str">
        <x:v>Campus/portfolio roster; individual building occupancy unverified</x:v>
      </x:c>
      <x:c r="I4447" s="12" t="str">
        <x:v>Mixed business audience</x:v>
      </x:c>
      <x:c r="J4447" s="12" t="str">
        <x:v>Unresolved</x:v>
      </x:c>
      <x:c r="K4447" s="2" t="str">
        <x:v>PARTNER-M227</x:v>
      </x:c>
    </x:row>
    <x:row r="4448" ht="46" customHeight="1">
      <x:c r="A4448" s="2" t="str">
        <x:v>TEN-3DAF16CAD05F</x:v>
      </x:c>
      <x:c r="B4448" s="12" t="str">
        <x:v>BTV</x:v>
      </x:c>
      <x:c r="C4448" s="12" t="str">
        <x:v>CORP-0646</x:v>
      </x:c>
      <x:c r="D4448" s="12" t="str">
        <x:v>Mumbai</x:v>
      </x:c>
      <x:c r="E4448" s="12" t="str">
        <x:v>Windsor House</x:v>
      </x:c>
      <x:c r="F4448" s="12" t="str">
        <x:v>55 inch</x:v>
      </x:c>
      <x:c r="G4448" s="20" t="n">
        <x:v>1</x:v>
      </x:c>
      <x:c r="H4448" s="12" t="str">
        <x:v>Campus/portfolio roster; individual building occupancy unverified</x:v>
      </x:c>
      <x:c r="I4448" s="12" t="str">
        <x:v>Mixed business audience</x:v>
      </x:c>
      <x:c r="J4448" s="12" t="str">
        <x:v>Unresolved</x:v>
      </x:c>
      <x:c r="K4448" s="2" t="str">
        <x:v>PARTNER-M227</x:v>
      </x:c>
    </x:row>
    <x:row r="4449" ht="46" customHeight="1">
      <x:c r="A4449" s="2" t="str">
        <x:v>TEN-5BA92BB8BE69</x:v>
      </x:c>
      <x:c r="B4449" s="12" t="str">
        <x:v>Hathway head office</x:v>
      </x:c>
      <x:c r="C4449" s="12" t="str">
        <x:v>CORP-0646</x:v>
      </x:c>
      <x:c r="D4449" s="12" t="str">
        <x:v>Mumbai</x:v>
      </x:c>
      <x:c r="E4449" s="12" t="str">
        <x:v>Windsor House</x:v>
      </x:c>
      <x:c r="F4449" s="12" t="str">
        <x:v>55 inch</x:v>
      </x:c>
      <x:c r="G4449" s="20" t="n">
        <x:v>1</x:v>
      </x:c>
      <x:c r="H4449" s="12" t="str">
        <x:v>Campus/portfolio roster; individual building occupancy unverified</x:v>
      </x:c>
      <x:c r="I4449" s="12" t="str">
        <x:v>Mixed business audience</x:v>
      </x:c>
      <x:c r="J4449" s="12" t="str">
        <x:v>IT &amp; digital</x:v>
      </x:c>
      <x:c r="K4449" s="2" t="str">
        <x:v>PARTNER-M227</x:v>
      </x:c>
    </x:row>
    <x:row r="4450" ht="46" customHeight="1">
      <x:c r="A4450" s="2" t="str">
        <x:v>TEN-6AABB2EDC69D</x:v>
      </x:c>
      <x:c r="B4450" s="12" t="str">
        <x:v>Microsoft Corporation India Private Limited</x:v>
      </x:c>
      <x:c r="C4450" s="12" t="str">
        <x:v>CORP-0646</x:v>
      </x:c>
      <x:c r="D4450" s="12" t="str">
        <x:v>Mumbai</x:v>
      </x:c>
      <x:c r="E4450" s="12" t="str">
        <x:v>Windsor House</x:v>
      </x:c>
      <x:c r="F4450" s="12" t="str">
        <x:v>55 inch</x:v>
      </x:c>
      <x:c r="G4450" s="20" t="n">
        <x:v>1</x:v>
      </x:c>
      <x:c r="H4450" s="12" t="str">
        <x:v>Campus/portfolio roster; individual building occupancy unverified</x:v>
      </x:c>
      <x:c r="I4450" s="12" t="str">
        <x:v>Large enterprise</x:v>
      </x:c>
      <x:c r="J4450" s="12" t="str">
        <x:v>IT &amp; digital</x:v>
      </x:c>
      <x:c r="K4450" s="2" t="str">
        <x:v>PARTNER-M227</x:v>
      </x:c>
    </x:row>
    <x:row r="4451" ht="46" customHeight="1">
      <x:c r="A4451" s="2" t="str">
        <x:v>TEN-9E587843CD26</x:v>
      </x:c>
      <x:c r="B4451" s="12" t="str">
        <x:v>Windsor Realty Private Ltd</x:v>
      </x:c>
      <x:c r="C4451" s="12" t="str">
        <x:v>CORP-0646</x:v>
      </x:c>
      <x:c r="D4451" s="12" t="str">
        <x:v>Mumbai</x:v>
      </x:c>
      <x:c r="E4451" s="12" t="str">
        <x:v>Windsor House</x:v>
      </x:c>
      <x:c r="F4451" s="12" t="str">
        <x:v>55 inch</x:v>
      </x:c>
      <x:c r="G4451" s="20" t="n">
        <x:v>1</x:v>
      </x:c>
      <x:c r="H4451" s="12" t="str">
        <x:v>Campus/portfolio roster; individual building occupancy unverified</x:v>
      </x:c>
      <x:c r="I4451" s="12" t="str">
        <x:v>Small-scale prospects</x:v>
      </x:c>
      <x:c r="J4451" s="12" t="str">
        <x:v>Trade, consumer &amp; logistics</x:v>
      </x:c>
      <x:c r="K4451" s="2" t="str">
        <x:v>PARTNER-M227</x:v>
      </x:c>
    </x:row>
    <x:row r="4452" ht="46" customHeight="1">
      <x:c r="A4452" s="2" t="str">
        <x:v>TEN-A518E4150708</x:v>
      </x:c>
      <x:c r="B4452" s="12" t="str">
        <x:v>Credilia Financial Services Limited</x:v>
      </x:c>
      <x:c r="C4452" s="12" t="str">
        <x:v>CORP-0646</x:v>
      </x:c>
      <x:c r="D4452" s="12" t="str">
        <x:v>Mumbai</x:v>
      </x:c>
      <x:c r="E4452" s="12" t="str">
        <x:v>Windsor House</x:v>
      </x:c>
      <x:c r="F4452" s="12" t="str">
        <x:v>55 inch</x:v>
      </x:c>
      <x:c r="G4452" s="20" t="n">
        <x:v>1</x:v>
      </x:c>
      <x:c r="H4452" s="12" t="str">
        <x:v>Campus/portfolio roster; individual building occupancy unverified</x:v>
      </x:c>
      <x:c r="I4452" s="12" t="str">
        <x:v>Mixed business audience</x:v>
      </x:c>
      <x:c r="J4452" s="12" t="str">
        <x:v>Finance &amp; insurance</x:v>
      </x:c>
      <x:c r="K4452" s="2" t="str">
        <x:v>PARTNER-M227</x:v>
      </x:c>
    </x:row>
    <x:row r="4453" ht="46" customHeight="1">
      <x:c r="A4453" s="2" t="str">
        <x:v>TEN-AA16486DD980</x:v>
      </x:c>
      <x:c r="B4453" s="12" t="str">
        <x:v>Mirae Asset Global investments (India) pvt</x:v>
      </x:c>
      <x:c r="C4453" s="12" t="str">
        <x:v>CORP-0646</x:v>
      </x:c>
      <x:c r="D4453" s="12" t="str">
        <x:v>Mumbai</x:v>
      </x:c>
      <x:c r="E4453" s="12" t="str">
        <x:v>Windsor House</x:v>
      </x:c>
      <x:c r="F4453" s="12" t="str">
        <x:v>55 inch</x:v>
      </x:c>
      <x:c r="G4453" s="20" t="n">
        <x:v>1</x:v>
      </x:c>
      <x:c r="H4453" s="12" t="str">
        <x:v>Campus/portfolio roster; individual building occupancy unverified</x:v>
      </x:c>
      <x:c r="I4453" s="12" t="str">
        <x:v>Mixed business audience</x:v>
      </x:c>
      <x:c r="J4453" s="12" t="str">
        <x:v>Finance &amp; insurance</x:v>
      </x:c>
      <x:c r="K4453" s="2" t="str">
        <x:v>PARTNER-M227</x:v>
      </x:c>
    </x:row>
    <x:row r="4454" ht="46" customHeight="1">
      <x:c r="A4454" s="2" t="str">
        <x:v>TEN-B500F96CF69E</x:v>
      </x:c>
      <x:c r="B4454" s="12" t="str">
        <x:v>Sekura Energy Private Limited</x:v>
      </x:c>
      <x:c r="C4454" s="12" t="str">
        <x:v>CORP-0646</x:v>
      </x:c>
      <x:c r="D4454" s="12" t="str">
        <x:v>Mumbai</x:v>
      </x:c>
      <x:c r="E4454" s="12" t="str">
        <x:v>Windsor House</x:v>
      </x:c>
      <x:c r="F4454" s="12" t="str">
        <x:v>55 inch</x:v>
      </x:c>
      <x:c r="G4454" s="20" t="n">
        <x:v>1</x:v>
      </x:c>
      <x:c r="H4454" s="12" t="str">
        <x:v>Campus/portfolio roster; individual building occupancy unverified</x:v>
      </x:c>
      <x:c r="I4454" s="12" t="str">
        <x:v>Medium-scale prospects</x:v>
      </x:c>
      <x:c r="J4454" s="12" t="str">
        <x:v>Engineering &amp; manufacturing</x:v>
      </x:c>
      <x:c r="K4454" s="2" t="str">
        <x:v>PARTNER-M227</x:v>
      </x:c>
    </x:row>
    <x:row r="4455" ht="46" customHeight="1">
      <x:c r="A4455" s="2" t="str">
        <x:v>TEN-CA95A5D8C4D9</x:v>
      </x:c>
      <x:c r="B4455" s="12" t="str">
        <x:v>Outlook India Publishig PVT</x:v>
      </x:c>
      <x:c r="C4455" s="12" t="str">
        <x:v>CORP-0646</x:v>
      </x:c>
      <x:c r="D4455" s="12" t="str">
        <x:v>Mumbai</x:v>
      </x:c>
      <x:c r="E4455" s="12" t="str">
        <x:v>Windsor House</x:v>
      </x:c>
      <x:c r="F4455" s="12" t="str">
        <x:v>55 inch</x:v>
      </x:c>
      <x:c r="G4455" s="20" t="n">
        <x:v>1</x:v>
      </x:c>
      <x:c r="H4455" s="12" t="str">
        <x:v>Campus/portfolio roster; individual building occupancy unverified</x:v>
      </x:c>
      <x:c r="I4455" s="12" t="str">
        <x:v>Mixed business audience</x:v>
      </x:c>
      <x:c r="J4455" s="12" t="str">
        <x:v>Trade, consumer &amp; logistics</x:v>
      </x:c>
      <x:c r="K4455" s="2" t="str">
        <x:v>PARTNER-M227</x:v>
      </x:c>
    </x:row>
    <x:row r="4456" ht="46" customHeight="1">
      <x:c r="A4456" s="2" t="str">
        <x:v>TEN-E1C13B3EF2E0</x:v>
      </x:c>
      <x:c r="B4456" s="12" t="str">
        <x:v>India Bonds</x:v>
      </x:c>
      <x:c r="C4456" s="12" t="str">
        <x:v>CORP-0646</x:v>
      </x:c>
      <x:c r="D4456" s="12" t="str">
        <x:v>Mumbai</x:v>
      </x:c>
      <x:c r="E4456" s="12" t="str">
        <x:v>Windsor House</x:v>
      </x:c>
      <x:c r="F4456" s="12" t="str">
        <x:v>55 inch</x:v>
      </x:c>
      <x:c r="G4456" s="20" t="n">
        <x:v>1</x:v>
      </x:c>
      <x:c r="H4456" s="12" t="str">
        <x:v>Campus/portfolio roster; individual building occupancy unverified</x:v>
      </x:c>
      <x:c r="I4456" s="12" t="str">
        <x:v>Medium-scale prospects</x:v>
      </x:c>
      <x:c r="J4456" s="12" t="str">
        <x:v>Finance &amp; insurance</x:v>
      </x:c>
      <x:c r="K4456" s="2" t="str">
        <x:v>PARTNER-M227</x:v>
      </x:c>
    </x:row>
    <x:row r="4457" ht="46" customHeight="1">
      <x:c r="A4457" s="2" t="str">
        <x:v>TEN-E6CED8408C37</x:v>
      </x:c>
      <x:c r="B4457" s="12" t="str">
        <x:v>H&amp;R Johnson</x:v>
      </x:c>
      <x:c r="C4457" s="12" t="str">
        <x:v>CORP-0646</x:v>
      </x:c>
      <x:c r="D4457" s="12" t="str">
        <x:v>Mumbai</x:v>
      </x:c>
      <x:c r="E4457" s="12" t="str">
        <x:v>Windsor House</x:v>
      </x:c>
      <x:c r="F4457" s="12" t="str">
        <x:v>55 inch</x:v>
      </x:c>
      <x:c r="G4457" s="20" t="n">
        <x:v>1</x:v>
      </x:c>
      <x:c r="H4457" s="12" t="str">
        <x:v>Campus/portfolio roster; individual building occupancy unverified</x:v>
      </x:c>
      <x:c r="I4457" s="12" t="str">
        <x:v>Mixed business audience</x:v>
      </x:c>
      <x:c r="J4457" s="12" t="str">
        <x:v>Engineering &amp; manufacturing</x:v>
      </x:c>
      <x:c r="K4457" s="2" t="str">
        <x:v>PARTNER-M227</x:v>
      </x:c>
    </x:row>
    <x:row r="4458" ht="46" customHeight="1">
      <x:c r="A4458" s="2" t="str">
        <x:v>TEN-F9306C38D687</x:v>
      </x:c>
      <x:c r="B4458" s="12" t="str">
        <x:v>BBC studios India pvt</x:v>
      </x:c>
      <x:c r="C4458" s="12" t="str">
        <x:v>CORP-0646</x:v>
      </x:c>
      <x:c r="D4458" s="12" t="str">
        <x:v>Mumbai</x:v>
      </x:c>
      <x:c r="E4458" s="12" t="str">
        <x:v>Windsor House</x:v>
      </x:c>
      <x:c r="F4458" s="12" t="str">
        <x:v>55 inch</x:v>
      </x:c>
      <x:c r="G4458" s="20" t="n">
        <x:v>1</x:v>
      </x:c>
      <x:c r="H4458" s="12" t="str">
        <x:v>Campus/portfolio roster; individual building occupancy unverified</x:v>
      </x:c>
      <x:c r="I4458" s="12" t="str">
        <x:v>Mixed business audience</x:v>
      </x:c>
      <x:c r="J4458" s="12" t="str">
        <x:v>Trade, consumer &amp; logistics</x:v>
      </x:c>
      <x:c r="K4458" s="2" t="str">
        <x:v>PARTNER-M227</x:v>
      </x:c>
    </x:row>
    <x:row r="4459" ht="46" customHeight="1">
      <x:c r="A4459" s="2" t="str">
        <x:v>TEN-04A7BF588AF8</x:v>
      </x:c>
      <x:c r="B4459" s="12" t="str">
        <x:v>DSM Nutritional Products India PVT</x:v>
      </x:c>
      <x:c r="C4459" s="12" t="str">
        <x:v>CORP-0647</x:v>
      </x:c>
      <x:c r="D4459" s="12" t="str">
        <x:v>Mumbai</x:v>
      </x:c>
      <x:c r="E4459" s="12" t="str">
        <x:v>Windsor House</x:v>
      </x:c>
      <x:c r="F4459" s="12" t="str">
        <x:v>55 inch</x:v>
      </x:c>
      <x:c r="G4459" s="20" t="n">
        <x:v>1</x:v>
      </x:c>
      <x:c r="H4459" s="12" t="str">
        <x:v>Campus/portfolio roster; individual building occupancy unverified</x:v>
      </x:c>
      <x:c r="I4459" s="12" t="str">
        <x:v>Mixed business audience</x:v>
      </x:c>
      <x:c r="J4459" s="12" t="str">
        <x:v>Engineering &amp; manufacturing</x:v>
      </x:c>
      <x:c r="K4459" s="2" t="str">
        <x:v>PARTNER-M227</x:v>
      </x:c>
    </x:row>
    <x:row r="4460" ht="46" customHeight="1">
      <x:c r="A4460" s="2" t="str">
        <x:v>TEN-09DD085FC8CC</x:v>
      </x:c>
      <x:c r="B4460" s="12" t="str">
        <x:v>The Crescent Group</x:v>
      </x:c>
      <x:c r="C4460" s="12" t="str">
        <x:v>CORP-0647</x:v>
      </x:c>
      <x:c r="D4460" s="12" t="str">
        <x:v>Mumbai</x:v>
      </x:c>
      <x:c r="E4460" s="12" t="str">
        <x:v>Windsor House</x:v>
      </x:c>
      <x:c r="F4460" s="12" t="str">
        <x:v>55 inch</x:v>
      </x:c>
      <x:c r="G4460" s="20" t="n">
        <x:v>1</x:v>
      </x:c>
      <x:c r="H4460" s="12" t="str">
        <x:v>Campus/portfolio roster; individual building occupancy unverified</x:v>
      </x:c>
      <x:c r="I4460" s="12" t="str">
        <x:v>Mixed business audience</x:v>
      </x:c>
      <x:c r="J4460" s="12" t="str">
        <x:v>Unresolved</x:v>
      </x:c>
      <x:c r="K4460" s="2" t="str">
        <x:v>PARTNER-M227</x:v>
      </x:c>
    </x:row>
    <x:row r="4461" ht="46" customHeight="1">
      <x:c r="A4461" s="2" t="str">
        <x:v>TEN-12FFE3FCB38E</x:v>
      </x:c>
      <x:c r="B4461" s="12" t="str">
        <x:v>AK Group</x:v>
      </x:c>
      <x:c r="C4461" s="12" t="str">
        <x:v>CORP-0647</x:v>
      </x:c>
      <x:c r="D4461" s="12" t="str">
        <x:v>Mumbai</x:v>
      </x:c>
      <x:c r="E4461" s="12" t="str">
        <x:v>Windsor House</x:v>
      </x:c>
      <x:c r="F4461" s="12" t="str">
        <x:v>55 inch</x:v>
      </x:c>
      <x:c r="G4461" s="20" t="n">
        <x:v>1</x:v>
      </x:c>
      <x:c r="H4461" s="12" t="str">
        <x:v>Campus/portfolio roster; individual building occupancy unverified</x:v>
      </x:c>
      <x:c r="I4461" s="12" t="str">
        <x:v>Mixed business audience</x:v>
      </x:c>
      <x:c r="J4461" s="12" t="str">
        <x:v>Unresolved</x:v>
      </x:c>
      <x:c r="K4461" s="2" t="str">
        <x:v>PARTNER-M227</x:v>
      </x:c>
    </x:row>
    <x:row r="4462" ht="46" customHeight="1">
      <x:c r="A4462" s="2" t="str">
        <x:v>TEN-3DAF16CAD05F</x:v>
      </x:c>
      <x:c r="B4462" s="12" t="str">
        <x:v>BTV</x:v>
      </x:c>
      <x:c r="C4462" s="12" t="str">
        <x:v>CORP-0647</x:v>
      </x:c>
      <x:c r="D4462" s="12" t="str">
        <x:v>Mumbai</x:v>
      </x:c>
      <x:c r="E4462" s="12" t="str">
        <x:v>Windsor House</x:v>
      </x:c>
      <x:c r="F4462" s="12" t="str">
        <x:v>55 inch</x:v>
      </x:c>
      <x:c r="G4462" s="20" t="n">
        <x:v>1</x:v>
      </x:c>
      <x:c r="H4462" s="12" t="str">
        <x:v>Campus/portfolio roster; individual building occupancy unverified</x:v>
      </x:c>
      <x:c r="I4462" s="12" t="str">
        <x:v>Mixed business audience</x:v>
      </x:c>
      <x:c r="J4462" s="12" t="str">
        <x:v>Unresolved</x:v>
      </x:c>
      <x:c r="K4462" s="2" t="str">
        <x:v>PARTNER-M227</x:v>
      </x:c>
    </x:row>
    <x:row r="4463" ht="46" customHeight="1">
      <x:c r="A4463" s="2" t="str">
        <x:v>TEN-5BA92BB8BE69</x:v>
      </x:c>
      <x:c r="B4463" s="12" t="str">
        <x:v>Hathway head office</x:v>
      </x:c>
      <x:c r="C4463" s="12" t="str">
        <x:v>CORP-0647</x:v>
      </x:c>
      <x:c r="D4463" s="12" t="str">
        <x:v>Mumbai</x:v>
      </x:c>
      <x:c r="E4463" s="12" t="str">
        <x:v>Windsor House</x:v>
      </x:c>
      <x:c r="F4463" s="12" t="str">
        <x:v>55 inch</x:v>
      </x:c>
      <x:c r="G4463" s="20" t="n">
        <x:v>1</x:v>
      </x:c>
      <x:c r="H4463" s="12" t="str">
        <x:v>Campus/portfolio roster; individual building occupancy unverified</x:v>
      </x:c>
      <x:c r="I4463" s="12" t="str">
        <x:v>Mixed business audience</x:v>
      </x:c>
      <x:c r="J4463" s="12" t="str">
        <x:v>IT &amp; digital</x:v>
      </x:c>
      <x:c r="K4463" s="2" t="str">
        <x:v>PARTNER-M227</x:v>
      </x:c>
    </x:row>
    <x:row r="4464" ht="46" customHeight="1">
      <x:c r="A4464" s="2" t="str">
        <x:v>TEN-6AABB2EDC69D</x:v>
      </x:c>
      <x:c r="B4464" s="12" t="str">
        <x:v>Microsoft Corporation India Private Limited</x:v>
      </x:c>
      <x:c r="C4464" s="12" t="str">
        <x:v>CORP-0647</x:v>
      </x:c>
      <x:c r="D4464" s="12" t="str">
        <x:v>Mumbai</x:v>
      </x:c>
      <x:c r="E4464" s="12" t="str">
        <x:v>Windsor House</x:v>
      </x:c>
      <x:c r="F4464" s="12" t="str">
        <x:v>55 inch</x:v>
      </x:c>
      <x:c r="G4464" s="20" t="n">
        <x:v>1</x:v>
      </x:c>
      <x:c r="H4464" s="12" t="str">
        <x:v>Campus/portfolio roster; individual building occupancy unverified</x:v>
      </x:c>
      <x:c r="I4464" s="12" t="str">
        <x:v>Large enterprise</x:v>
      </x:c>
      <x:c r="J4464" s="12" t="str">
        <x:v>IT &amp; digital</x:v>
      </x:c>
      <x:c r="K4464" s="2" t="str">
        <x:v>PARTNER-M227</x:v>
      </x:c>
    </x:row>
    <x:row r="4465" ht="46" customHeight="1">
      <x:c r="A4465" s="2" t="str">
        <x:v>TEN-9E587843CD26</x:v>
      </x:c>
      <x:c r="B4465" s="12" t="str">
        <x:v>Windsor Realty Private Ltd</x:v>
      </x:c>
      <x:c r="C4465" s="12" t="str">
        <x:v>CORP-0647</x:v>
      </x:c>
      <x:c r="D4465" s="12" t="str">
        <x:v>Mumbai</x:v>
      </x:c>
      <x:c r="E4465" s="12" t="str">
        <x:v>Windsor House</x:v>
      </x:c>
      <x:c r="F4465" s="12" t="str">
        <x:v>55 inch</x:v>
      </x:c>
      <x:c r="G4465" s="20" t="n">
        <x:v>1</x:v>
      </x:c>
      <x:c r="H4465" s="12" t="str">
        <x:v>Campus/portfolio roster; individual building occupancy unverified</x:v>
      </x:c>
      <x:c r="I4465" s="12" t="str">
        <x:v>Small-scale prospects</x:v>
      </x:c>
      <x:c r="J4465" s="12" t="str">
        <x:v>Trade, consumer &amp; logistics</x:v>
      </x:c>
      <x:c r="K4465" s="2" t="str">
        <x:v>PARTNER-M227</x:v>
      </x:c>
    </x:row>
    <x:row r="4466" ht="46" customHeight="1">
      <x:c r="A4466" s="2" t="str">
        <x:v>TEN-A518E4150708</x:v>
      </x:c>
      <x:c r="B4466" s="12" t="str">
        <x:v>Credilia Financial Services Limited</x:v>
      </x:c>
      <x:c r="C4466" s="12" t="str">
        <x:v>CORP-0647</x:v>
      </x:c>
      <x:c r="D4466" s="12" t="str">
        <x:v>Mumbai</x:v>
      </x:c>
      <x:c r="E4466" s="12" t="str">
        <x:v>Windsor House</x:v>
      </x:c>
      <x:c r="F4466" s="12" t="str">
        <x:v>55 inch</x:v>
      </x:c>
      <x:c r="G4466" s="20" t="n">
        <x:v>1</x:v>
      </x:c>
      <x:c r="H4466" s="12" t="str">
        <x:v>Campus/portfolio roster; individual building occupancy unverified</x:v>
      </x:c>
      <x:c r="I4466" s="12" t="str">
        <x:v>Mixed business audience</x:v>
      </x:c>
      <x:c r="J4466" s="12" t="str">
        <x:v>Finance &amp; insurance</x:v>
      </x:c>
      <x:c r="K4466" s="2" t="str">
        <x:v>PARTNER-M227</x:v>
      </x:c>
    </x:row>
    <x:row r="4467" ht="46" customHeight="1">
      <x:c r="A4467" s="2" t="str">
        <x:v>TEN-AA16486DD980</x:v>
      </x:c>
      <x:c r="B4467" s="12" t="str">
        <x:v>Mirae Asset Global investments (India) pvt</x:v>
      </x:c>
      <x:c r="C4467" s="12" t="str">
        <x:v>CORP-0647</x:v>
      </x:c>
      <x:c r="D4467" s="12" t="str">
        <x:v>Mumbai</x:v>
      </x:c>
      <x:c r="E4467" s="12" t="str">
        <x:v>Windsor House</x:v>
      </x:c>
      <x:c r="F4467" s="12" t="str">
        <x:v>55 inch</x:v>
      </x:c>
      <x:c r="G4467" s="20" t="n">
        <x:v>1</x:v>
      </x:c>
      <x:c r="H4467" s="12" t="str">
        <x:v>Campus/portfolio roster; individual building occupancy unverified</x:v>
      </x:c>
      <x:c r="I4467" s="12" t="str">
        <x:v>Mixed business audience</x:v>
      </x:c>
      <x:c r="J4467" s="12" t="str">
        <x:v>Finance &amp; insurance</x:v>
      </x:c>
      <x:c r="K4467" s="2" t="str">
        <x:v>PARTNER-M227</x:v>
      </x:c>
    </x:row>
    <x:row r="4468" ht="46" customHeight="1">
      <x:c r="A4468" s="2" t="str">
        <x:v>TEN-B500F96CF69E</x:v>
      </x:c>
      <x:c r="B4468" s="12" t="str">
        <x:v>Sekura Energy Private Limited</x:v>
      </x:c>
      <x:c r="C4468" s="12" t="str">
        <x:v>CORP-0647</x:v>
      </x:c>
      <x:c r="D4468" s="12" t="str">
        <x:v>Mumbai</x:v>
      </x:c>
      <x:c r="E4468" s="12" t="str">
        <x:v>Windsor House</x:v>
      </x:c>
      <x:c r="F4468" s="12" t="str">
        <x:v>55 inch</x:v>
      </x:c>
      <x:c r="G4468" s="20" t="n">
        <x:v>1</x:v>
      </x:c>
      <x:c r="H4468" s="12" t="str">
        <x:v>Campus/portfolio roster; individual building occupancy unverified</x:v>
      </x:c>
      <x:c r="I4468" s="12" t="str">
        <x:v>Medium-scale prospects</x:v>
      </x:c>
      <x:c r="J4468" s="12" t="str">
        <x:v>Engineering &amp; manufacturing</x:v>
      </x:c>
      <x:c r="K4468" s="2" t="str">
        <x:v>PARTNER-M227</x:v>
      </x:c>
    </x:row>
    <x:row r="4469" ht="46" customHeight="1">
      <x:c r="A4469" s="2" t="str">
        <x:v>TEN-CA95A5D8C4D9</x:v>
      </x:c>
      <x:c r="B4469" s="12" t="str">
        <x:v>Outlook India Publishig PVT</x:v>
      </x:c>
      <x:c r="C4469" s="12" t="str">
        <x:v>CORP-0647</x:v>
      </x:c>
      <x:c r="D4469" s="12" t="str">
        <x:v>Mumbai</x:v>
      </x:c>
      <x:c r="E4469" s="12" t="str">
        <x:v>Windsor House</x:v>
      </x:c>
      <x:c r="F4469" s="12" t="str">
        <x:v>55 inch</x:v>
      </x:c>
      <x:c r="G4469" s="20" t="n">
        <x:v>1</x:v>
      </x:c>
      <x:c r="H4469" s="12" t="str">
        <x:v>Campus/portfolio roster; individual building occupancy unverified</x:v>
      </x:c>
      <x:c r="I4469" s="12" t="str">
        <x:v>Mixed business audience</x:v>
      </x:c>
      <x:c r="J4469" s="12" t="str">
        <x:v>Trade, consumer &amp; logistics</x:v>
      </x:c>
      <x:c r="K4469" s="2" t="str">
        <x:v>PARTNER-M227</x:v>
      </x:c>
    </x:row>
    <x:row r="4470" ht="46" customHeight="1">
      <x:c r="A4470" s="2" t="str">
        <x:v>TEN-E1C13B3EF2E0</x:v>
      </x:c>
      <x:c r="B4470" s="12" t="str">
        <x:v>India Bonds</x:v>
      </x:c>
      <x:c r="C4470" s="12" t="str">
        <x:v>CORP-0647</x:v>
      </x:c>
      <x:c r="D4470" s="12" t="str">
        <x:v>Mumbai</x:v>
      </x:c>
      <x:c r="E4470" s="12" t="str">
        <x:v>Windsor House</x:v>
      </x:c>
      <x:c r="F4470" s="12" t="str">
        <x:v>55 inch</x:v>
      </x:c>
      <x:c r="G4470" s="20" t="n">
        <x:v>1</x:v>
      </x:c>
      <x:c r="H4470" s="12" t="str">
        <x:v>Campus/portfolio roster; individual building occupancy unverified</x:v>
      </x:c>
      <x:c r="I4470" s="12" t="str">
        <x:v>Medium-scale prospects</x:v>
      </x:c>
      <x:c r="J4470" s="12" t="str">
        <x:v>Finance &amp; insurance</x:v>
      </x:c>
      <x:c r="K4470" s="2" t="str">
        <x:v>PARTNER-M227</x:v>
      </x:c>
    </x:row>
    <x:row r="4471" ht="46" customHeight="1">
      <x:c r="A4471" s="2" t="str">
        <x:v>TEN-E6CED8408C37</x:v>
      </x:c>
      <x:c r="B4471" s="12" t="str">
        <x:v>H&amp;R Johnson</x:v>
      </x:c>
      <x:c r="C4471" s="12" t="str">
        <x:v>CORP-0647</x:v>
      </x:c>
      <x:c r="D4471" s="12" t="str">
        <x:v>Mumbai</x:v>
      </x:c>
      <x:c r="E4471" s="12" t="str">
        <x:v>Windsor House</x:v>
      </x:c>
      <x:c r="F4471" s="12" t="str">
        <x:v>55 inch</x:v>
      </x:c>
      <x:c r="G4471" s="20" t="n">
        <x:v>1</x:v>
      </x:c>
      <x:c r="H4471" s="12" t="str">
        <x:v>Campus/portfolio roster; individual building occupancy unverified</x:v>
      </x:c>
      <x:c r="I4471" s="12" t="str">
        <x:v>Mixed business audience</x:v>
      </x:c>
      <x:c r="J4471" s="12" t="str">
        <x:v>Engineering &amp; manufacturing</x:v>
      </x:c>
      <x:c r="K4471" s="2" t="str">
        <x:v>PARTNER-M227</x:v>
      </x:c>
    </x:row>
    <x:row r="4472" ht="46" customHeight="1">
      <x:c r="A4472" s="2" t="str">
        <x:v>TEN-F9306C38D687</x:v>
      </x:c>
      <x:c r="B4472" s="12" t="str">
        <x:v>BBC studios India pvt</x:v>
      </x:c>
      <x:c r="C4472" s="12" t="str">
        <x:v>CORP-0647</x:v>
      </x:c>
      <x:c r="D4472" s="12" t="str">
        <x:v>Mumbai</x:v>
      </x:c>
      <x:c r="E4472" s="12" t="str">
        <x:v>Windsor House</x:v>
      </x:c>
      <x:c r="F4472" s="12" t="str">
        <x:v>55 inch</x:v>
      </x:c>
      <x:c r="G4472" s="20" t="n">
        <x:v>1</x:v>
      </x:c>
      <x:c r="H4472" s="12" t="str">
        <x:v>Campus/portfolio roster; individual building occupancy unverified</x:v>
      </x:c>
      <x:c r="I4472" s="12" t="str">
        <x:v>Mixed business audience</x:v>
      </x:c>
      <x:c r="J4472" s="12" t="str">
        <x:v>Trade, consumer &amp; logistics</x:v>
      </x:c>
      <x:c r="K4472" s="2" t="str">
        <x:v>PARTNER-M227</x:v>
      </x:c>
    </x:row>
    <x:row r="4473" ht="46" customHeight="1">
      <x:c r="A4473" s="2" t="str">
        <x:v>TEN-04A7BF588AF8</x:v>
      </x:c>
      <x:c r="B4473" s="12" t="str">
        <x:v>DSM Nutritional Products India PVT</x:v>
      </x:c>
      <x:c r="C4473" s="12" t="str">
        <x:v>CORP-0648</x:v>
      </x:c>
      <x:c r="D4473" s="12" t="str">
        <x:v>Mumbai</x:v>
      </x:c>
      <x:c r="E4473" s="12" t="str">
        <x:v>Windsor House</x:v>
      </x:c>
      <x:c r="F4473" s="12" t="str">
        <x:v>55 inch</x:v>
      </x:c>
      <x:c r="G4473" s="20" t="n">
        <x:v>1</x:v>
      </x:c>
      <x:c r="H4473" s="12" t="str">
        <x:v>Campus/portfolio roster; individual building occupancy unverified</x:v>
      </x:c>
      <x:c r="I4473" s="12" t="str">
        <x:v>Mixed business audience</x:v>
      </x:c>
      <x:c r="J4473" s="12" t="str">
        <x:v>Engineering &amp; manufacturing</x:v>
      </x:c>
      <x:c r="K4473" s="2" t="str">
        <x:v>PARTNER-M227</x:v>
      </x:c>
    </x:row>
    <x:row r="4474" ht="46" customHeight="1">
      <x:c r="A4474" s="2" t="str">
        <x:v>TEN-09DD085FC8CC</x:v>
      </x:c>
      <x:c r="B4474" s="12" t="str">
        <x:v>The Crescent Group</x:v>
      </x:c>
      <x:c r="C4474" s="12" t="str">
        <x:v>CORP-0648</x:v>
      </x:c>
      <x:c r="D4474" s="12" t="str">
        <x:v>Mumbai</x:v>
      </x:c>
      <x:c r="E4474" s="12" t="str">
        <x:v>Windsor House</x:v>
      </x:c>
      <x:c r="F4474" s="12" t="str">
        <x:v>55 inch</x:v>
      </x:c>
      <x:c r="G4474" s="20" t="n">
        <x:v>1</x:v>
      </x:c>
      <x:c r="H4474" s="12" t="str">
        <x:v>Campus/portfolio roster; individual building occupancy unverified</x:v>
      </x:c>
      <x:c r="I4474" s="12" t="str">
        <x:v>Mixed business audience</x:v>
      </x:c>
      <x:c r="J4474" s="12" t="str">
        <x:v>Unresolved</x:v>
      </x:c>
      <x:c r="K4474" s="2" t="str">
        <x:v>PARTNER-M227</x:v>
      </x:c>
    </x:row>
    <x:row r="4475" ht="46" customHeight="1">
      <x:c r="A4475" s="2" t="str">
        <x:v>TEN-12FFE3FCB38E</x:v>
      </x:c>
      <x:c r="B4475" s="12" t="str">
        <x:v>AK Group</x:v>
      </x:c>
      <x:c r="C4475" s="12" t="str">
        <x:v>CORP-0648</x:v>
      </x:c>
      <x:c r="D4475" s="12" t="str">
        <x:v>Mumbai</x:v>
      </x:c>
      <x:c r="E4475" s="12" t="str">
        <x:v>Windsor House</x:v>
      </x:c>
      <x:c r="F4475" s="12" t="str">
        <x:v>55 inch</x:v>
      </x:c>
      <x:c r="G4475" s="20" t="n">
        <x:v>1</x:v>
      </x:c>
      <x:c r="H4475" s="12" t="str">
        <x:v>Campus/portfolio roster; individual building occupancy unverified</x:v>
      </x:c>
      <x:c r="I4475" s="12" t="str">
        <x:v>Mixed business audience</x:v>
      </x:c>
      <x:c r="J4475" s="12" t="str">
        <x:v>Unresolved</x:v>
      </x:c>
      <x:c r="K4475" s="2" t="str">
        <x:v>PARTNER-M227</x:v>
      </x:c>
    </x:row>
    <x:row r="4476" ht="46" customHeight="1">
      <x:c r="A4476" s="2" t="str">
        <x:v>TEN-3DAF16CAD05F</x:v>
      </x:c>
      <x:c r="B4476" s="12" t="str">
        <x:v>BTV</x:v>
      </x:c>
      <x:c r="C4476" s="12" t="str">
        <x:v>CORP-0648</x:v>
      </x:c>
      <x:c r="D4476" s="12" t="str">
        <x:v>Mumbai</x:v>
      </x:c>
      <x:c r="E4476" s="12" t="str">
        <x:v>Windsor House</x:v>
      </x:c>
      <x:c r="F4476" s="12" t="str">
        <x:v>55 inch</x:v>
      </x:c>
      <x:c r="G4476" s="20" t="n">
        <x:v>1</x:v>
      </x:c>
      <x:c r="H4476" s="12" t="str">
        <x:v>Campus/portfolio roster; individual building occupancy unverified</x:v>
      </x:c>
      <x:c r="I4476" s="12" t="str">
        <x:v>Mixed business audience</x:v>
      </x:c>
      <x:c r="J4476" s="12" t="str">
        <x:v>Unresolved</x:v>
      </x:c>
      <x:c r="K4476" s="2" t="str">
        <x:v>PARTNER-M227</x:v>
      </x:c>
    </x:row>
    <x:row r="4477" ht="46" customHeight="1">
      <x:c r="A4477" s="2" t="str">
        <x:v>TEN-5BA92BB8BE69</x:v>
      </x:c>
      <x:c r="B4477" s="12" t="str">
        <x:v>Hathway head office</x:v>
      </x:c>
      <x:c r="C4477" s="12" t="str">
        <x:v>CORP-0648</x:v>
      </x:c>
      <x:c r="D4477" s="12" t="str">
        <x:v>Mumbai</x:v>
      </x:c>
      <x:c r="E4477" s="12" t="str">
        <x:v>Windsor House</x:v>
      </x:c>
      <x:c r="F4477" s="12" t="str">
        <x:v>55 inch</x:v>
      </x:c>
      <x:c r="G4477" s="20" t="n">
        <x:v>1</x:v>
      </x:c>
      <x:c r="H4477" s="12" t="str">
        <x:v>Campus/portfolio roster; individual building occupancy unverified</x:v>
      </x:c>
      <x:c r="I4477" s="12" t="str">
        <x:v>Mixed business audience</x:v>
      </x:c>
      <x:c r="J4477" s="12" t="str">
        <x:v>IT &amp; digital</x:v>
      </x:c>
      <x:c r="K4477" s="2" t="str">
        <x:v>PARTNER-M227</x:v>
      </x:c>
    </x:row>
    <x:row r="4478" ht="46" customHeight="1">
      <x:c r="A4478" s="2" t="str">
        <x:v>TEN-6AABB2EDC69D</x:v>
      </x:c>
      <x:c r="B4478" s="12" t="str">
        <x:v>Microsoft Corporation India Private Limited</x:v>
      </x:c>
      <x:c r="C4478" s="12" t="str">
        <x:v>CORP-0648</x:v>
      </x:c>
      <x:c r="D4478" s="12" t="str">
        <x:v>Mumbai</x:v>
      </x:c>
      <x:c r="E4478" s="12" t="str">
        <x:v>Windsor House</x:v>
      </x:c>
      <x:c r="F4478" s="12" t="str">
        <x:v>55 inch</x:v>
      </x:c>
      <x:c r="G4478" s="20" t="n">
        <x:v>1</x:v>
      </x:c>
      <x:c r="H4478" s="12" t="str">
        <x:v>Campus/portfolio roster; individual building occupancy unverified</x:v>
      </x:c>
      <x:c r="I4478" s="12" t="str">
        <x:v>Large enterprise</x:v>
      </x:c>
      <x:c r="J4478" s="12" t="str">
        <x:v>IT &amp; digital</x:v>
      </x:c>
      <x:c r="K4478" s="2" t="str">
        <x:v>PARTNER-M227</x:v>
      </x:c>
    </x:row>
    <x:row r="4479" ht="46" customHeight="1">
      <x:c r="A4479" s="2" t="str">
        <x:v>TEN-9E587843CD26</x:v>
      </x:c>
      <x:c r="B4479" s="12" t="str">
        <x:v>Windsor Realty Private Ltd</x:v>
      </x:c>
      <x:c r="C4479" s="12" t="str">
        <x:v>CORP-0648</x:v>
      </x:c>
      <x:c r="D4479" s="12" t="str">
        <x:v>Mumbai</x:v>
      </x:c>
      <x:c r="E4479" s="12" t="str">
        <x:v>Windsor House</x:v>
      </x:c>
      <x:c r="F4479" s="12" t="str">
        <x:v>55 inch</x:v>
      </x:c>
      <x:c r="G4479" s="20" t="n">
        <x:v>1</x:v>
      </x:c>
      <x:c r="H4479" s="12" t="str">
        <x:v>Campus/portfolio roster; individual building occupancy unverified</x:v>
      </x:c>
      <x:c r="I4479" s="12" t="str">
        <x:v>Small-scale prospects</x:v>
      </x:c>
      <x:c r="J4479" s="12" t="str">
        <x:v>Trade, consumer &amp; logistics</x:v>
      </x:c>
      <x:c r="K4479" s="2" t="str">
        <x:v>PARTNER-M227</x:v>
      </x:c>
    </x:row>
    <x:row r="4480" ht="46" customHeight="1">
      <x:c r="A4480" s="2" t="str">
        <x:v>TEN-A518E4150708</x:v>
      </x:c>
      <x:c r="B4480" s="12" t="str">
        <x:v>Credilia Financial Services Limited</x:v>
      </x:c>
      <x:c r="C4480" s="12" t="str">
        <x:v>CORP-0648</x:v>
      </x:c>
      <x:c r="D4480" s="12" t="str">
        <x:v>Mumbai</x:v>
      </x:c>
      <x:c r="E4480" s="12" t="str">
        <x:v>Windsor House</x:v>
      </x:c>
      <x:c r="F4480" s="12" t="str">
        <x:v>55 inch</x:v>
      </x:c>
      <x:c r="G4480" s="20" t="n">
        <x:v>1</x:v>
      </x:c>
      <x:c r="H4480" s="12" t="str">
        <x:v>Campus/portfolio roster; individual building occupancy unverified</x:v>
      </x:c>
      <x:c r="I4480" s="12" t="str">
        <x:v>Mixed business audience</x:v>
      </x:c>
      <x:c r="J4480" s="12" t="str">
        <x:v>Finance &amp; insurance</x:v>
      </x:c>
      <x:c r="K4480" s="2" t="str">
        <x:v>PARTNER-M227</x:v>
      </x:c>
    </x:row>
    <x:row r="4481" ht="46" customHeight="1">
      <x:c r="A4481" s="2" t="str">
        <x:v>TEN-AA16486DD980</x:v>
      </x:c>
      <x:c r="B4481" s="12" t="str">
        <x:v>Mirae Asset Global investments (India) pvt</x:v>
      </x:c>
      <x:c r="C4481" s="12" t="str">
        <x:v>CORP-0648</x:v>
      </x:c>
      <x:c r="D4481" s="12" t="str">
        <x:v>Mumbai</x:v>
      </x:c>
      <x:c r="E4481" s="12" t="str">
        <x:v>Windsor House</x:v>
      </x:c>
      <x:c r="F4481" s="12" t="str">
        <x:v>55 inch</x:v>
      </x:c>
      <x:c r="G4481" s="20" t="n">
        <x:v>1</x:v>
      </x:c>
      <x:c r="H4481" s="12" t="str">
        <x:v>Campus/portfolio roster; individual building occupancy unverified</x:v>
      </x:c>
      <x:c r="I4481" s="12" t="str">
        <x:v>Mixed business audience</x:v>
      </x:c>
      <x:c r="J4481" s="12" t="str">
        <x:v>Finance &amp; insurance</x:v>
      </x:c>
      <x:c r="K4481" s="2" t="str">
        <x:v>PARTNER-M227</x:v>
      </x:c>
    </x:row>
    <x:row r="4482" ht="46" customHeight="1">
      <x:c r="A4482" s="2" t="str">
        <x:v>TEN-B500F96CF69E</x:v>
      </x:c>
      <x:c r="B4482" s="12" t="str">
        <x:v>Sekura Energy Private Limited</x:v>
      </x:c>
      <x:c r="C4482" s="12" t="str">
        <x:v>CORP-0648</x:v>
      </x:c>
      <x:c r="D4482" s="12" t="str">
        <x:v>Mumbai</x:v>
      </x:c>
      <x:c r="E4482" s="12" t="str">
        <x:v>Windsor House</x:v>
      </x:c>
      <x:c r="F4482" s="12" t="str">
        <x:v>55 inch</x:v>
      </x:c>
      <x:c r="G4482" s="20" t="n">
        <x:v>1</x:v>
      </x:c>
      <x:c r="H4482" s="12" t="str">
        <x:v>Campus/portfolio roster; individual building occupancy unverified</x:v>
      </x:c>
      <x:c r="I4482" s="12" t="str">
        <x:v>Medium-scale prospects</x:v>
      </x:c>
      <x:c r="J4482" s="12" t="str">
        <x:v>Engineering &amp; manufacturing</x:v>
      </x:c>
      <x:c r="K4482" s="2" t="str">
        <x:v>PARTNER-M227</x:v>
      </x:c>
    </x:row>
    <x:row r="4483" ht="46" customHeight="1">
      <x:c r="A4483" s="2" t="str">
        <x:v>TEN-CA95A5D8C4D9</x:v>
      </x:c>
      <x:c r="B4483" s="12" t="str">
        <x:v>Outlook India Publishig PVT</x:v>
      </x:c>
      <x:c r="C4483" s="12" t="str">
        <x:v>CORP-0648</x:v>
      </x:c>
      <x:c r="D4483" s="12" t="str">
        <x:v>Mumbai</x:v>
      </x:c>
      <x:c r="E4483" s="12" t="str">
        <x:v>Windsor House</x:v>
      </x:c>
      <x:c r="F4483" s="12" t="str">
        <x:v>55 inch</x:v>
      </x:c>
      <x:c r="G4483" s="20" t="n">
        <x:v>1</x:v>
      </x:c>
      <x:c r="H4483" s="12" t="str">
        <x:v>Campus/portfolio roster; individual building occupancy unverified</x:v>
      </x:c>
      <x:c r="I4483" s="12" t="str">
        <x:v>Mixed business audience</x:v>
      </x:c>
      <x:c r="J4483" s="12" t="str">
        <x:v>Trade, consumer &amp; logistics</x:v>
      </x:c>
      <x:c r="K4483" s="2" t="str">
        <x:v>PARTNER-M227</x:v>
      </x:c>
    </x:row>
    <x:row r="4484" ht="46" customHeight="1">
      <x:c r="A4484" s="2" t="str">
        <x:v>TEN-E1C13B3EF2E0</x:v>
      </x:c>
      <x:c r="B4484" s="12" t="str">
        <x:v>India Bonds</x:v>
      </x:c>
      <x:c r="C4484" s="12" t="str">
        <x:v>CORP-0648</x:v>
      </x:c>
      <x:c r="D4484" s="12" t="str">
        <x:v>Mumbai</x:v>
      </x:c>
      <x:c r="E4484" s="12" t="str">
        <x:v>Windsor House</x:v>
      </x:c>
      <x:c r="F4484" s="12" t="str">
        <x:v>55 inch</x:v>
      </x:c>
      <x:c r="G4484" s="20" t="n">
        <x:v>1</x:v>
      </x:c>
      <x:c r="H4484" s="12" t="str">
        <x:v>Campus/portfolio roster; individual building occupancy unverified</x:v>
      </x:c>
      <x:c r="I4484" s="12" t="str">
        <x:v>Medium-scale prospects</x:v>
      </x:c>
      <x:c r="J4484" s="12" t="str">
        <x:v>Finance &amp; insurance</x:v>
      </x:c>
      <x:c r="K4484" s="2" t="str">
        <x:v>PARTNER-M227</x:v>
      </x:c>
    </x:row>
    <x:row r="4485" ht="46" customHeight="1">
      <x:c r="A4485" s="2" t="str">
        <x:v>TEN-E6CED8408C37</x:v>
      </x:c>
      <x:c r="B4485" s="12" t="str">
        <x:v>H&amp;R Johnson</x:v>
      </x:c>
      <x:c r="C4485" s="12" t="str">
        <x:v>CORP-0648</x:v>
      </x:c>
      <x:c r="D4485" s="12" t="str">
        <x:v>Mumbai</x:v>
      </x:c>
      <x:c r="E4485" s="12" t="str">
        <x:v>Windsor House</x:v>
      </x:c>
      <x:c r="F4485" s="12" t="str">
        <x:v>55 inch</x:v>
      </x:c>
      <x:c r="G4485" s="20" t="n">
        <x:v>1</x:v>
      </x:c>
      <x:c r="H4485" s="12" t="str">
        <x:v>Campus/portfolio roster; individual building occupancy unverified</x:v>
      </x:c>
      <x:c r="I4485" s="12" t="str">
        <x:v>Mixed business audience</x:v>
      </x:c>
      <x:c r="J4485" s="12" t="str">
        <x:v>Engineering &amp; manufacturing</x:v>
      </x:c>
      <x:c r="K4485" s="2" t="str">
        <x:v>PARTNER-M227</x:v>
      </x:c>
    </x:row>
    <x:row r="4486" ht="46" customHeight="1">
      <x:c r="A4486" s="2" t="str">
        <x:v>TEN-F9306C38D687</x:v>
      </x:c>
      <x:c r="B4486" s="12" t="str">
        <x:v>BBC studios India pvt</x:v>
      </x:c>
      <x:c r="C4486" s="12" t="str">
        <x:v>CORP-0648</x:v>
      </x:c>
      <x:c r="D4486" s="12" t="str">
        <x:v>Mumbai</x:v>
      </x:c>
      <x:c r="E4486" s="12" t="str">
        <x:v>Windsor House</x:v>
      </x:c>
      <x:c r="F4486" s="12" t="str">
        <x:v>55 inch</x:v>
      </x:c>
      <x:c r="G4486" s="20" t="n">
        <x:v>1</x:v>
      </x:c>
      <x:c r="H4486" s="12" t="str">
        <x:v>Campus/portfolio roster; individual building occupancy unverified</x:v>
      </x:c>
      <x:c r="I4486" s="12" t="str">
        <x:v>Mixed business audience</x:v>
      </x:c>
      <x:c r="J4486" s="12" t="str">
        <x:v>Trade, consumer &amp; logistics</x:v>
      </x:c>
      <x:c r="K4486" s="2" t="str">
        <x:v>PARTNER-M227</x:v>
      </x:c>
    </x:row>
    <x:row r="4487" ht="46" customHeight="1">
      <x:c r="A4487" s="2" t="str">
        <x:v>TEN-04A7BF588AF8</x:v>
      </x:c>
      <x:c r="B4487" s="12" t="str">
        <x:v>DSM Nutritional Products India PVT</x:v>
      </x:c>
      <x:c r="C4487" s="12" t="str">
        <x:v>CORP-0649</x:v>
      </x:c>
      <x:c r="D4487" s="12" t="str">
        <x:v>Mumbai</x:v>
      </x:c>
      <x:c r="E4487" s="12" t="str">
        <x:v>Windsor House</x:v>
      </x:c>
      <x:c r="F4487" s="12" t="str">
        <x:v>55 inch</x:v>
      </x:c>
      <x:c r="G4487" s="20" t="n">
        <x:v>1</x:v>
      </x:c>
      <x:c r="H4487" s="12" t="str">
        <x:v>Campus/portfolio roster; individual building occupancy unverified</x:v>
      </x:c>
      <x:c r="I4487" s="12" t="str">
        <x:v>Mixed business audience</x:v>
      </x:c>
      <x:c r="J4487" s="12" t="str">
        <x:v>Engineering &amp; manufacturing</x:v>
      </x:c>
      <x:c r="K4487" s="2" t="str">
        <x:v>PARTNER-M227</x:v>
      </x:c>
    </x:row>
    <x:row r="4488" ht="46" customHeight="1">
      <x:c r="A4488" s="2" t="str">
        <x:v>TEN-09DD085FC8CC</x:v>
      </x:c>
      <x:c r="B4488" s="12" t="str">
        <x:v>The Crescent Group</x:v>
      </x:c>
      <x:c r="C4488" s="12" t="str">
        <x:v>CORP-0649</x:v>
      </x:c>
      <x:c r="D4488" s="12" t="str">
        <x:v>Mumbai</x:v>
      </x:c>
      <x:c r="E4488" s="12" t="str">
        <x:v>Windsor House</x:v>
      </x:c>
      <x:c r="F4488" s="12" t="str">
        <x:v>55 inch</x:v>
      </x:c>
      <x:c r="G4488" s="20" t="n">
        <x:v>1</x:v>
      </x:c>
      <x:c r="H4488" s="12" t="str">
        <x:v>Campus/portfolio roster; individual building occupancy unverified</x:v>
      </x:c>
      <x:c r="I4488" s="12" t="str">
        <x:v>Mixed business audience</x:v>
      </x:c>
      <x:c r="J4488" s="12" t="str">
        <x:v>Unresolved</x:v>
      </x:c>
      <x:c r="K4488" s="2" t="str">
        <x:v>PARTNER-M227</x:v>
      </x:c>
    </x:row>
    <x:row r="4489" ht="46" customHeight="1">
      <x:c r="A4489" s="2" t="str">
        <x:v>TEN-12FFE3FCB38E</x:v>
      </x:c>
      <x:c r="B4489" s="12" t="str">
        <x:v>AK Group</x:v>
      </x:c>
      <x:c r="C4489" s="12" t="str">
        <x:v>CORP-0649</x:v>
      </x:c>
      <x:c r="D4489" s="12" t="str">
        <x:v>Mumbai</x:v>
      </x:c>
      <x:c r="E4489" s="12" t="str">
        <x:v>Windsor House</x:v>
      </x:c>
      <x:c r="F4489" s="12" t="str">
        <x:v>55 inch</x:v>
      </x:c>
      <x:c r="G4489" s="20" t="n">
        <x:v>1</x:v>
      </x:c>
      <x:c r="H4489" s="12" t="str">
        <x:v>Campus/portfolio roster; individual building occupancy unverified</x:v>
      </x:c>
      <x:c r="I4489" s="12" t="str">
        <x:v>Mixed business audience</x:v>
      </x:c>
      <x:c r="J4489" s="12" t="str">
        <x:v>Unresolved</x:v>
      </x:c>
      <x:c r="K4489" s="2" t="str">
        <x:v>PARTNER-M227</x:v>
      </x:c>
    </x:row>
    <x:row r="4490" ht="46" customHeight="1">
      <x:c r="A4490" s="2" t="str">
        <x:v>TEN-3DAF16CAD05F</x:v>
      </x:c>
      <x:c r="B4490" s="12" t="str">
        <x:v>BTV</x:v>
      </x:c>
      <x:c r="C4490" s="12" t="str">
        <x:v>CORP-0649</x:v>
      </x:c>
      <x:c r="D4490" s="12" t="str">
        <x:v>Mumbai</x:v>
      </x:c>
      <x:c r="E4490" s="12" t="str">
        <x:v>Windsor House</x:v>
      </x:c>
      <x:c r="F4490" s="12" t="str">
        <x:v>55 inch</x:v>
      </x:c>
      <x:c r="G4490" s="20" t="n">
        <x:v>1</x:v>
      </x:c>
      <x:c r="H4490" s="12" t="str">
        <x:v>Campus/portfolio roster; individual building occupancy unverified</x:v>
      </x:c>
      <x:c r="I4490" s="12" t="str">
        <x:v>Mixed business audience</x:v>
      </x:c>
      <x:c r="J4490" s="12" t="str">
        <x:v>Unresolved</x:v>
      </x:c>
      <x:c r="K4490" s="2" t="str">
        <x:v>PARTNER-M227</x:v>
      </x:c>
    </x:row>
    <x:row r="4491" ht="46" customHeight="1">
      <x:c r="A4491" s="2" t="str">
        <x:v>TEN-5BA92BB8BE69</x:v>
      </x:c>
      <x:c r="B4491" s="12" t="str">
        <x:v>Hathway head office</x:v>
      </x:c>
      <x:c r="C4491" s="12" t="str">
        <x:v>CORP-0649</x:v>
      </x:c>
      <x:c r="D4491" s="12" t="str">
        <x:v>Mumbai</x:v>
      </x:c>
      <x:c r="E4491" s="12" t="str">
        <x:v>Windsor House</x:v>
      </x:c>
      <x:c r="F4491" s="12" t="str">
        <x:v>55 inch</x:v>
      </x:c>
      <x:c r="G4491" s="20" t="n">
        <x:v>1</x:v>
      </x:c>
      <x:c r="H4491" s="12" t="str">
        <x:v>Campus/portfolio roster; individual building occupancy unverified</x:v>
      </x:c>
      <x:c r="I4491" s="12" t="str">
        <x:v>Mixed business audience</x:v>
      </x:c>
      <x:c r="J4491" s="12" t="str">
        <x:v>IT &amp; digital</x:v>
      </x:c>
      <x:c r="K4491" s="2" t="str">
        <x:v>PARTNER-M227</x:v>
      </x:c>
    </x:row>
    <x:row r="4492" ht="46" customHeight="1">
      <x:c r="A4492" s="2" t="str">
        <x:v>TEN-6AABB2EDC69D</x:v>
      </x:c>
      <x:c r="B4492" s="12" t="str">
        <x:v>Microsoft Corporation India Private Limited</x:v>
      </x:c>
      <x:c r="C4492" s="12" t="str">
        <x:v>CORP-0649</x:v>
      </x:c>
      <x:c r="D4492" s="12" t="str">
        <x:v>Mumbai</x:v>
      </x:c>
      <x:c r="E4492" s="12" t="str">
        <x:v>Windsor House</x:v>
      </x:c>
      <x:c r="F4492" s="12" t="str">
        <x:v>55 inch</x:v>
      </x:c>
      <x:c r="G4492" s="20" t="n">
        <x:v>1</x:v>
      </x:c>
      <x:c r="H4492" s="12" t="str">
        <x:v>Campus/portfolio roster; individual building occupancy unverified</x:v>
      </x:c>
      <x:c r="I4492" s="12" t="str">
        <x:v>Large enterprise</x:v>
      </x:c>
      <x:c r="J4492" s="12" t="str">
        <x:v>IT &amp; digital</x:v>
      </x:c>
      <x:c r="K4492" s="2" t="str">
        <x:v>PARTNER-M227</x:v>
      </x:c>
    </x:row>
    <x:row r="4493" ht="46" customHeight="1">
      <x:c r="A4493" s="2" t="str">
        <x:v>TEN-9E587843CD26</x:v>
      </x:c>
      <x:c r="B4493" s="12" t="str">
        <x:v>Windsor Realty Private Ltd</x:v>
      </x:c>
      <x:c r="C4493" s="12" t="str">
        <x:v>CORP-0649</x:v>
      </x:c>
      <x:c r="D4493" s="12" t="str">
        <x:v>Mumbai</x:v>
      </x:c>
      <x:c r="E4493" s="12" t="str">
        <x:v>Windsor House</x:v>
      </x:c>
      <x:c r="F4493" s="12" t="str">
        <x:v>55 inch</x:v>
      </x:c>
      <x:c r="G4493" s="20" t="n">
        <x:v>1</x:v>
      </x:c>
      <x:c r="H4493" s="12" t="str">
        <x:v>Campus/portfolio roster; individual building occupancy unverified</x:v>
      </x:c>
      <x:c r="I4493" s="12" t="str">
        <x:v>Small-scale prospects</x:v>
      </x:c>
      <x:c r="J4493" s="12" t="str">
        <x:v>Trade, consumer &amp; logistics</x:v>
      </x:c>
      <x:c r="K4493" s="2" t="str">
        <x:v>PARTNER-M227</x:v>
      </x:c>
    </x:row>
    <x:row r="4494" ht="46" customHeight="1">
      <x:c r="A4494" s="2" t="str">
        <x:v>TEN-A518E4150708</x:v>
      </x:c>
      <x:c r="B4494" s="12" t="str">
        <x:v>Credilia Financial Services Limited</x:v>
      </x:c>
      <x:c r="C4494" s="12" t="str">
        <x:v>CORP-0649</x:v>
      </x:c>
      <x:c r="D4494" s="12" t="str">
        <x:v>Mumbai</x:v>
      </x:c>
      <x:c r="E4494" s="12" t="str">
        <x:v>Windsor House</x:v>
      </x:c>
      <x:c r="F4494" s="12" t="str">
        <x:v>55 inch</x:v>
      </x:c>
      <x:c r="G4494" s="20" t="n">
        <x:v>1</x:v>
      </x:c>
      <x:c r="H4494" s="12" t="str">
        <x:v>Campus/portfolio roster; individual building occupancy unverified</x:v>
      </x:c>
      <x:c r="I4494" s="12" t="str">
        <x:v>Mixed business audience</x:v>
      </x:c>
      <x:c r="J4494" s="12" t="str">
        <x:v>Finance &amp; insurance</x:v>
      </x:c>
      <x:c r="K4494" s="2" t="str">
        <x:v>PARTNER-M227</x:v>
      </x:c>
    </x:row>
    <x:row r="4495" ht="46" customHeight="1">
      <x:c r="A4495" s="2" t="str">
        <x:v>TEN-AA16486DD980</x:v>
      </x:c>
      <x:c r="B4495" s="12" t="str">
        <x:v>Mirae Asset Global investments (India) pvt</x:v>
      </x:c>
      <x:c r="C4495" s="12" t="str">
        <x:v>CORP-0649</x:v>
      </x:c>
      <x:c r="D4495" s="12" t="str">
        <x:v>Mumbai</x:v>
      </x:c>
      <x:c r="E4495" s="12" t="str">
        <x:v>Windsor House</x:v>
      </x:c>
      <x:c r="F4495" s="12" t="str">
        <x:v>55 inch</x:v>
      </x:c>
      <x:c r="G4495" s="20" t="n">
        <x:v>1</x:v>
      </x:c>
      <x:c r="H4495" s="12" t="str">
        <x:v>Campus/portfolio roster; individual building occupancy unverified</x:v>
      </x:c>
      <x:c r="I4495" s="12" t="str">
        <x:v>Mixed business audience</x:v>
      </x:c>
      <x:c r="J4495" s="12" t="str">
        <x:v>Finance &amp; insurance</x:v>
      </x:c>
      <x:c r="K4495" s="2" t="str">
        <x:v>PARTNER-M227</x:v>
      </x:c>
    </x:row>
    <x:row r="4496" ht="46" customHeight="1">
      <x:c r="A4496" s="2" t="str">
        <x:v>TEN-B500F96CF69E</x:v>
      </x:c>
      <x:c r="B4496" s="12" t="str">
        <x:v>Sekura Energy Private Limited</x:v>
      </x:c>
      <x:c r="C4496" s="12" t="str">
        <x:v>CORP-0649</x:v>
      </x:c>
      <x:c r="D4496" s="12" t="str">
        <x:v>Mumbai</x:v>
      </x:c>
      <x:c r="E4496" s="12" t="str">
        <x:v>Windsor House</x:v>
      </x:c>
      <x:c r="F4496" s="12" t="str">
        <x:v>55 inch</x:v>
      </x:c>
      <x:c r="G4496" s="20" t="n">
        <x:v>1</x:v>
      </x:c>
      <x:c r="H4496" s="12" t="str">
        <x:v>Campus/portfolio roster; individual building occupancy unverified</x:v>
      </x:c>
      <x:c r="I4496" s="12" t="str">
        <x:v>Medium-scale prospects</x:v>
      </x:c>
      <x:c r="J4496" s="12" t="str">
        <x:v>Engineering &amp; manufacturing</x:v>
      </x:c>
      <x:c r="K4496" s="2" t="str">
        <x:v>PARTNER-M227</x:v>
      </x:c>
    </x:row>
    <x:row r="4497" ht="46" customHeight="1">
      <x:c r="A4497" s="2" t="str">
        <x:v>TEN-CA95A5D8C4D9</x:v>
      </x:c>
      <x:c r="B4497" s="12" t="str">
        <x:v>Outlook India Publishig PVT</x:v>
      </x:c>
      <x:c r="C4497" s="12" t="str">
        <x:v>CORP-0649</x:v>
      </x:c>
      <x:c r="D4497" s="12" t="str">
        <x:v>Mumbai</x:v>
      </x:c>
      <x:c r="E4497" s="12" t="str">
        <x:v>Windsor House</x:v>
      </x:c>
      <x:c r="F4497" s="12" t="str">
        <x:v>55 inch</x:v>
      </x:c>
      <x:c r="G4497" s="20" t="n">
        <x:v>1</x:v>
      </x:c>
      <x:c r="H4497" s="12" t="str">
        <x:v>Campus/portfolio roster; individual building occupancy unverified</x:v>
      </x:c>
      <x:c r="I4497" s="12" t="str">
        <x:v>Mixed business audience</x:v>
      </x:c>
      <x:c r="J4497" s="12" t="str">
        <x:v>Trade, consumer &amp; logistics</x:v>
      </x:c>
      <x:c r="K4497" s="2" t="str">
        <x:v>PARTNER-M227</x:v>
      </x:c>
    </x:row>
    <x:row r="4498" ht="46" customHeight="1">
      <x:c r="A4498" s="2" t="str">
        <x:v>TEN-E1C13B3EF2E0</x:v>
      </x:c>
      <x:c r="B4498" s="12" t="str">
        <x:v>India Bonds</x:v>
      </x:c>
      <x:c r="C4498" s="12" t="str">
        <x:v>CORP-0649</x:v>
      </x:c>
      <x:c r="D4498" s="12" t="str">
        <x:v>Mumbai</x:v>
      </x:c>
      <x:c r="E4498" s="12" t="str">
        <x:v>Windsor House</x:v>
      </x:c>
      <x:c r="F4498" s="12" t="str">
        <x:v>55 inch</x:v>
      </x:c>
      <x:c r="G4498" s="20" t="n">
        <x:v>1</x:v>
      </x:c>
      <x:c r="H4498" s="12" t="str">
        <x:v>Campus/portfolio roster; individual building occupancy unverified</x:v>
      </x:c>
      <x:c r="I4498" s="12" t="str">
        <x:v>Medium-scale prospects</x:v>
      </x:c>
      <x:c r="J4498" s="12" t="str">
        <x:v>Finance &amp; insurance</x:v>
      </x:c>
      <x:c r="K4498" s="2" t="str">
        <x:v>PARTNER-M227</x:v>
      </x:c>
    </x:row>
    <x:row r="4499" ht="46" customHeight="1">
      <x:c r="A4499" s="2" t="str">
        <x:v>TEN-E6CED8408C37</x:v>
      </x:c>
      <x:c r="B4499" s="12" t="str">
        <x:v>H&amp;R Johnson</x:v>
      </x:c>
      <x:c r="C4499" s="12" t="str">
        <x:v>CORP-0649</x:v>
      </x:c>
      <x:c r="D4499" s="12" t="str">
        <x:v>Mumbai</x:v>
      </x:c>
      <x:c r="E4499" s="12" t="str">
        <x:v>Windsor House</x:v>
      </x:c>
      <x:c r="F4499" s="12" t="str">
        <x:v>55 inch</x:v>
      </x:c>
      <x:c r="G4499" s="20" t="n">
        <x:v>1</x:v>
      </x:c>
      <x:c r="H4499" s="12" t="str">
        <x:v>Campus/portfolio roster; individual building occupancy unverified</x:v>
      </x:c>
      <x:c r="I4499" s="12" t="str">
        <x:v>Mixed business audience</x:v>
      </x:c>
      <x:c r="J4499" s="12" t="str">
        <x:v>Engineering &amp; manufacturing</x:v>
      </x:c>
      <x:c r="K4499" s="2" t="str">
        <x:v>PARTNER-M227</x:v>
      </x:c>
    </x:row>
    <x:row r="4500" ht="46" customHeight="1">
      <x:c r="A4500" s="2" t="str">
        <x:v>TEN-F9306C38D687</x:v>
      </x:c>
      <x:c r="B4500" s="12" t="str">
        <x:v>BBC studios India pvt</x:v>
      </x:c>
      <x:c r="C4500" s="12" t="str">
        <x:v>CORP-0649</x:v>
      </x:c>
      <x:c r="D4500" s="12" t="str">
        <x:v>Mumbai</x:v>
      </x:c>
      <x:c r="E4500" s="12" t="str">
        <x:v>Windsor House</x:v>
      </x:c>
      <x:c r="F4500" s="12" t="str">
        <x:v>55 inch</x:v>
      </x:c>
      <x:c r="G4500" s="20" t="n">
        <x:v>1</x:v>
      </x:c>
      <x:c r="H4500" s="12" t="str">
        <x:v>Campus/portfolio roster; individual building occupancy unverified</x:v>
      </x:c>
      <x:c r="I4500" s="12" t="str">
        <x:v>Mixed business audience</x:v>
      </x:c>
      <x:c r="J4500" s="12" t="str">
        <x:v>Trade, consumer &amp; logistics</x:v>
      </x:c>
      <x:c r="K4500" s="2" t="str">
        <x:v>PARTNER-M227</x:v>
      </x:c>
    </x:row>
    <x:row r="4501" ht="46" customHeight="1">
      <x:c r="A4501" s="2" t="str">
        <x:v>TEN-0C7FB88C4308</x:v>
      </x:c>
      <x:c r="B4501" s="12" t="str">
        <x:v>Raymond</x:v>
      </x:c>
      <x:c r="C4501" s="12" t="str">
        <x:v>CORP-0650</x:v>
      </x:c>
      <x:c r="D4501" s="12" t="str">
        <x:v>Mumbai</x:v>
      </x:c>
      <x:c r="E4501" s="12" t="str">
        <x:v>Lodha Supremus</x:v>
      </x:c>
      <x:c r="F4501" s="12" t="str">
        <x:v>55 inch</x:v>
      </x:c>
      <x:c r="G4501" s="20" t="n">
        <x:v>1</x:v>
      </x:c>
      <x:c r="H4501" s="12" t="str">
        <x:v>Campus/portfolio roster; individual building occupancy unverified</x:v>
      </x:c>
      <x:c r="I4501" s="12" t="str">
        <x:v>Mixed business audience</x:v>
      </x:c>
      <x:c r="J4501" s="12" t="str">
        <x:v>Trade, consumer &amp; logistics</x:v>
      </x:c>
      <x:c r="K4501" s="2" t="str">
        <x:v>PARTNER-M233</x:v>
      </x:c>
    </x:row>
    <x:row r="4502" ht="46" customHeight="1">
      <x:c r="A4502" s="2" t="str">
        <x:v>TEN-C8796D894F18</x:v>
      </x:c>
      <x:c r="B4502" s="12" t="str">
        <x:v>Glaxo Smith Kline Limited</x:v>
      </x:c>
      <x:c r="C4502" s="12" t="str">
        <x:v>CORP-0650</x:v>
      </x:c>
      <x:c r="D4502" s="12" t="str">
        <x:v>Mumbai</x:v>
      </x:c>
      <x:c r="E4502" s="12" t="str">
        <x:v>Lodha Supremus</x:v>
      </x:c>
      <x:c r="F4502" s="12" t="str">
        <x:v>55 inch</x:v>
      </x:c>
      <x:c r="G4502" s="20" t="n">
        <x:v>1</x:v>
      </x:c>
      <x:c r="H4502" s="12" t="str">
        <x:v>Campus/portfolio roster; individual building occupancy unverified</x:v>
      </x:c>
      <x:c r="I4502" s="12" t="str">
        <x:v>Mixed business audience</x:v>
      </x:c>
      <x:c r="J4502" s="12" t="str">
        <x:v>Healthcare &amp; life sciences</x:v>
      </x:c>
      <x:c r="K4502" s="2" t="str">
        <x:v>PARTNER-M233</x:v>
      </x:c>
    </x:row>
    <x:row r="4503" ht="46" customHeight="1">
      <x:c r="A4503" s="2" t="str">
        <x:v>TEN-0C7FB88C4308</x:v>
      </x:c>
      <x:c r="B4503" s="12" t="str">
        <x:v>Raymond</x:v>
      </x:c>
      <x:c r="C4503" s="12" t="str">
        <x:v>CORP-0651</x:v>
      </x:c>
      <x:c r="D4503" s="12" t="str">
        <x:v>Mumbai</x:v>
      </x:c>
      <x:c r="E4503" s="12" t="str">
        <x:v>Lodha Supremus</x:v>
      </x:c>
      <x:c r="F4503" s="12" t="str">
        <x:v>55 inch</x:v>
      </x:c>
      <x:c r="G4503" s="20" t="n">
        <x:v>1</x:v>
      </x:c>
      <x:c r="H4503" s="12" t="str">
        <x:v>Campus/portfolio roster; individual building occupancy unverified</x:v>
      </x:c>
      <x:c r="I4503" s="12" t="str">
        <x:v>Mixed business audience</x:v>
      </x:c>
      <x:c r="J4503" s="12" t="str">
        <x:v>Trade, consumer &amp; logistics</x:v>
      </x:c>
      <x:c r="K4503" s="2" t="str">
        <x:v>PARTNER-M233</x:v>
      </x:c>
    </x:row>
    <x:row r="4504" ht="46" customHeight="1">
      <x:c r="A4504" s="2" t="str">
        <x:v>TEN-C8796D894F18</x:v>
      </x:c>
      <x:c r="B4504" s="12" t="str">
        <x:v>Glaxo Smith Kline Limited</x:v>
      </x:c>
      <x:c r="C4504" s="12" t="str">
        <x:v>CORP-0651</x:v>
      </x:c>
      <x:c r="D4504" s="12" t="str">
        <x:v>Mumbai</x:v>
      </x:c>
      <x:c r="E4504" s="12" t="str">
        <x:v>Lodha Supremus</x:v>
      </x:c>
      <x:c r="F4504" s="12" t="str">
        <x:v>55 inch</x:v>
      </x:c>
      <x:c r="G4504" s="20" t="n">
        <x:v>1</x:v>
      </x:c>
      <x:c r="H4504" s="12" t="str">
        <x:v>Campus/portfolio roster; individual building occupancy unverified</x:v>
      </x:c>
      <x:c r="I4504" s="12" t="str">
        <x:v>Mixed business audience</x:v>
      </x:c>
      <x:c r="J4504" s="12" t="str">
        <x:v>Healthcare &amp; life sciences</x:v>
      </x:c>
      <x:c r="K4504" s="2" t="str">
        <x:v>PARTNER-M233</x:v>
      </x:c>
    </x:row>
    <x:row r="4505" ht="46" customHeight="1">
      <x:c r="A4505" s="2" t="str">
        <x:v>TEN-2DF4390BE20B</x:v>
      </x:c>
      <x:c r="B4505" s="12" t="str">
        <x:v>Toyota Tsusho India Pvt. Ltd</x:v>
      </x:c>
      <x:c r="C4505" s="12" t="str">
        <x:v>CORP-0652</x:v>
      </x:c>
      <x:c r="D4505" s="12" t="str">
        <x:v>Mumbai</x:v>
      </x:c>
      <x:c r="E4505" s="12" t="str">
        <x:v>Kanakia 215 Atrium</x:v>
      </x:c>
      <x:c r="F4505" s="12" t="str">
        <x:v>55 inch</x:v>
      </x:c>
      <x:c r="G4505" s="20" t="n">
        <x:v>1</x:v>
      </x:c>
      <x:c r="H4505" s="12" t="str">
        <x:v>Campus/portfolio roster; individual building occupancy unverified</x:v>
      </x:c>
      <x:c r="I4505" s="12" t="str">
        <x:v>Mixed business audience</x:v>
      </x:c>
      <x:c r="J4505" s="12" t="str">
        <x:v>Engineering &amp; manufacturing</x:v>
      </x:c>
      <x:c r="K4505" s="2" t="str">
        <x:v>PARTNER-M235</x:v>
      </x:c>
    </x:row>
    <x:row r="4506" ht="46" customHeight="1">
      <x:c r="A4506" s="2" t="str">
        <x:v>TEN-57FA1C55CCF8</x:v>
      </x:c>
      <x:c r="B4506" s="12" t="str">
        <x:v>International Asset Reconstruction Company</x:v>
      </x:c>
      <x:c r="C4506" s="12" t="str">
        <x:v>CORP-0652</x:v>
      </x:c>
      <x:c r="D4506" s="12" t="str">
        <x:v>Mumbai</x:v>
      </x:c>
      <x:c r="E4506" s="12" t="str">
        <x:v>Kanakia 215 Atrium</x:v>
      </x:c>
      <x:c r="F4506" s="12" t="str">
        <x:v>55 inch</x:v>
      </x:c>
      <x:c r="G4506" s="20" t="n">
        <x:v>1</x:v>
      </x:c>
      <x:c r="H4506" s="12" t="str">
        <x:v>Campus/portfolio roster; individual building occupancy unverified</x:v>
      </x:c>
      <x:c r="I4506" s="12" t="str">
        <x:v>Medium-scale prospects</x:v>
      </x:c>
      <x:c r="J4506" s="12" t="str">
        <x:v>Finance &amp; insurance</x:v>
      </x:c>
      <x:c r="K4506" s="2" t="str">
        <x:v>PARTNER-M235</x:v>
      </x:c>
    </x:row>
    <x:row r="4507" ht="46" customHeight="1">
      <x:c r="A4507" s="2" t="str">
        <x:v>TEN-584343DF6352</x:v>
      </x:c>
      <x:c r="B4507" s="12" t="str">
        <x:v>Sahajanand Medical Technologies Pvt Ltd</x:v>
      </x:c>
      <x:c r="C4507" s="12" t="str">
        <x:v>CORP-0652</x:v>
      </x:c>
      <x:c r="D4507" s="12" t="str">
        <x:v>Mumbai</x:v>
      </x:c>
      <x:c r="E4507" s="12" t="str">
        <x:v>Kanakia 215 Atrium</x:v>
      </x:c>
      <x:c r="F4507" s="12" t="str">
        <x:v>55 inch</x:v>
      </x:c>
      <x:c r="G4507" s="20" t="n">
        <x:v>1</x:v>
      </x:c>
      <x:c r="H4507" s="12" t="str">
        <x:v>Campus/portfolio roster; individual building occupancy unverified</x:v>
      </x:c>
      <x:c r="I4507" s="12" t="str">
        <x:v>Mixed business audience</x:v>
      </x:c>
      <x:c r="J4507" s="12" t="str">
        <x:v>Healthcare &amp; life sciences</x:v>
      </x:c>
      <x:c r="K4507" s="2" t="str">
        <x:v>PARTNER-M235</x:v>
      </x:c>
    </x:row>
    <x:row r="4508" ht="46" customHeight="1">
      <x:c r="A4508" s="2" t="str">
        <x:v>TEN-5CAEBC2A73C0</x:v>
      </x:c>
      <x:c r="B4508" s="12" t="str">
        <x:v>Hind Terminals Private Limited</x:v>
      </x:c>
      <x:c r="C4508" s="12" t="str">
        <x:v>CORP-0652</x:v>
      </x:c>
      <x:c r="D4508" s="12" t="str">
        <x:v>Mumbai</x:v>
      </x:c>
      <x:c r="E4508" s="12" t="str">
        <x:v>Kanakia 215 Atrium</x:v>
      </x:c>
      <x:c r="F4508" s="12" t="str">
        <x:v>55 inch</x:v>
      </x:c>
      <x:c r="G4508" s="20" t="n">
        <x:v>1</x:v>
      </x:c>
      <x:c r="H4508" s="12" t="str">
        <x:v>Campus/portfolio roster; individual building occupancy unverified</x:v>
      </x:c>
      <x:c r="I4508" s="12" t="str">
        <x:v>Mixed business audience</x:v>
      </x:c>
      <x:c r="J4508" s="12" t="str">
        <x:v>Trade, consumer &amp; logistics</x:v>
      </x:c>
      <x:c r="K4508" s="2" t="str">
        <x:v>PARTNER-M235</x:v>
      </x:c>
    </x:row>
    <x:row r="4509" ht="46" customHeight="1">
      <x:c r="A4509" s="2" t="str">
        <x:v>TEN-629323F9C9BA</x:v>
      </x:c>
      <x:c r="B4509" s="12" t="str">
        <x:v>Julius Baer</x:v>
      </x:c>
      <x:c r="C4509" s="12" t="str">
        <x:v>CORP-0652</x:v>
      </x:c>
      <x:c r="D4509" s="12" t="str">
        <x:v>Mumbai</x:v>
      </x:c>
      <x:c r="E4509" s="12" t="str">
        <x:v>Kanakia 215 Atrium</x:v>
      </x:c>
      <x:c r="F4509" s="12" t="str">
        <x:v>55 inch</x:v>
      </x:c>
      <x:c r="G4509" s="20" t="n">
        <x:v>1</x:v>
      </x:c>
      <x:c r="H4509" s="12" t="str">
        <x:v>Campus/portfolio roster; individual building occupancy unverified</x:v>
      </x:c>
      <x:c r="I4509" s="12" t="str">
        <x:v>Mixed business audience</x:v>
      </x:c>
      <x:c r="J4509" s="12" t="str">
        <x:v>Finance &amp; insurance</x:v>
      </x:c>
      <x:c r="K4509" s="2" t="str">
        <x:v>PARTNER-M235</x:v>
      </x:c>
    </x:row>
    <x:row r="4510" ht="46" customHeight="1">
      <x:c r="A4510" s="2" t="str">
        <x:v>TEN-73D4224ED59C</x:v>
      </x:c>
      <x:c r="B4510" s="12" t="str">
        <x:v>Societyfor Mumbai Incubation Lab</x:v>
      </x:c>
      <x:c r="C4510" s="12" t="str">
        <x:v>CORP-0652</x:v>
      </x:c>
      <x:c r="D4510" s="12" t="str">
        <x:v>Mumbai</x:v>
      </x:c>
      <x:c r="E4510" s="12" t="str">
        <x:v>Kanakia 215 Atrium</x:v>
      </x:c>
      <x:c r="F4510" s="12" t="str">
        <x:v>55 inch</x:v>
      </x:c>
      <x:c r="G4510" s="20" t="n">
        <x:v>1</x:v>
      </x:c>
      <x:c r="H4510" s="12" t="str">
        <x:v>Campus/portfolio roster; individual building occupancy unverified</x:v>
      </x:c>
      <x:c r="I4510" s="12" t="str">
        <x:v>Institutional</x:v>
      </x:c>
      <x:c r="J4510" s="12" t="str">
        <x:v>Government &amp; nonprofit</x:v>
      </x:c>
      <x:c r="K4510" s="2" t="str">
        <x:v>PARTNER-M235</x:v>
      </x:c>
    </x:row>
    <x:row r="4511" ht="46" customHeight="1">
      <x:c r="A4511" s="2" t="str">
        <x:v>TEN-9F6FEAE43949</x:v>
      </x:c>
      <x:c r="B4511" s="12" t="str">
        <x:v>Fossil India Pvt Ltd</x:v>
      </x:c>
      <x:c r="C4511" s="12" t="str">
        <x:v>CORP-0652</x:v>
      </x:c>
      <x:c r="D4511" s="12" t="str">
        <x:v>Mumbai</x:v>
      </x:c>
      <x:c r="E4511" s="12" t="str">
        <x:v>Kanakia 215 Atrium</x:v>
      </x:c>
      <x:c r="F4511" s="12" t="str">
        <x:v>55 inch</x:v>
      </x:c>
      <x:c r="G4511" s="20" t="n">
        <x:v>1</x:v>
      </x:c>
      <x:c r="H4511" s="12" t="str">
        <x:v>Campus/portfolio roster; individual building occupancy unverified</x:v>
      </x:c>
      <x:c r="I4511" s="12" t="str">
        <x:v>Mixed business audience</x:v>
      </x:c>
      <x:c r="J4511" s="12" t="str">
        <x:v>Trade, consumer &amp; logistics</x:v>
      </x:c>
      <x:c r="K4511" s="2" t="str">
        <x:v>PARTNER-M235</x:v>
      </x:c>
    </x:row>
    <x:row r="4512" ht="46" customHeight="1">
      <x:c r="A4512" s="2" t="str">
        <x:v>TEN-A9A905D2D15D</x:v>
      </x:c>
      <x:c r="B4512" s="12" t="str">
        <x:v>Inframax Engineers</x:v>
      </x:c>
      <x:c r="C4512" s="12" t="str">
        <x:v>CORP-0652</x:v>
      </x:c>
      <x:c r="D4512" s="12" t="str">
        <x:v>Mumbai</x:v>
      </x:c>
      <x:c r="E4512" s="12" t="str">
        <x:v>Kanakia 215 Atrium</x:v>
      </x:c>
      <x:c r="F4512" s="12" t="str">
        <x:v>55 inch</x:v>
      </x:c>
      <x:c r="G4512" s="20" t="n">
        <x:v>1</x:v>
      </x:c>
      <x:c r="H4512" s="12" t="str">
        <x:v>Campus/portfolio roster; individual building occupancy unverified</x:v>
      </x:c>
      <x:c r="I4512" s="12" t="str">
        <x:v>Medium-scale prospects</x:v>
      </x:c>
      <x:c r="J4512" s="12" t="str">
        <x:v>Engineering &amp; manufacturing</x:v>
      </x:c>
      <x:c r="K4512" s="2" t="str">
        <x:v>PARTNER-M235</x:v>
      </x:c>
    </x:row>
    <x:row r="4513" ht="46" customHeight="1">
      <x:c r="A4513" s="2" t="str">
        <x:v>TEN-ABA4CECB91B9</x:v>
      </x:c>
      <x:c r="B4513" s="12" t="str">
        <x:v>CSGT Trading India Pvt Ltd</x:v>
      </x:c>
      <x:c r="C4513" s="12" t="str">
        <x:v>CORP-0652</x:v>
      </x:c>
      <x:c r="D4513" s="12" t="str">
        <x:v>Mumbai</x:v>
      </x:c>
      <x:c r="E4513" s="12" t="str">
        <x:v>Kanakia 215 Atrium</x:v>
      </x:c>
      <x:c r="F4513" s="12" t="str">
        <x:v>55 inch</x:v>
      </x:c>
      <x:c r="G4513" s="20" t="n">
        <x:v>1</x:v>
      </x:c>
      <x:c r="H4513" s="12" t="str">
        <x:v>Campus/portfolio roster; individual building occupancy unverified</x:v>
      </x:c>
      <x:c r="I4513" s="12" t="str">
        <x:v>Small-scale prospects</x:v>
      </x:c>
      <x:c r="J4513" s="12" t="str">
        <x:v>Trade, consumer &amp; logistics</x:v>
      </x:c>
      <x:c r="K4513" s="2" t="str">
        <x:v>PARTNER-M235</x:v>
      </x:c>
    </x:row>
    <x:row r="4514" ht="46" customHeight="1">
      <x:c r="A4514" s="2" t="str">
        <x:v>TEN-C15D33DD1E40</x:v>
      </x:c>
      <x:c r="B4514" s="12" t="str">
        <x:v>Hal Offshore Ltd</x:v>
      </x:c>
      <x:c r="C4514" s="12" t="str">
        <x:v>CORP-0652</x:v>
      </x:c>
      <x:c r="D4514" s="12" t="str">
        <x:v>Mumbai</x:v>
      </x:c>
      <x:c r="E4514" s="12" t="str">
        <x:v>Kanakia 215 Atrium</x:v>
      </x:c>
      <x:c r="F4514" s="12" t="str">
        <x:v>55 inch</x:v>
      </x:c>
      <x:c r="G4514" s="20" t="n">
        <x:v>1</x:v>
      </x:c>
      <x:c r="H4514" s="12" t="str">
        <x:v>Campus/portfolio roster; individual building occupancy unverified</x:v>
      </x:c>
      <x:c r="I4514" s="12" t="str">
        <x:v>Mixed business audience</x:v>
      </x:c>
      <x:c r="J4514" s="12" t="str">
        <x:v>Trade, consumer &amp; logistics</x:v>
      </x:c>
      <x:c r="K4514" s="2" t="str">
        <x:v>PARTNER-M235</x:v>
      </x:c>
    </x:row>
    <x:row r="4515" ht="46" customHeight="1">
      <x:c r="A4515" s="2" t="str">
        <x:v>TEN-DB7C8ADDD504</x:v>
      </x:c>
      <x:c r="B4515" s="12" t="str">
        <x:v>Indian Energy Exchange</x:v>
      </x:c>
      <x:c r="C4515" s="12" t="str">
        <x:v>CORP-0652</x:v>
      </x:c>
      <x:c r="D4515" s="12" t="str">
        <x:v>Mumbai</x:v>
      </x:c>
      <x:c r="E4515" s="12" t="str">
        <x:v>Kanakia 215 Atrium</x:v>
      </x:c>
      <x:c r="F4515" s="12" t="str">
        <x:v>55 inch</x:v>
      </x:c>
      <x:c r="G4515" s="20" t="n">
        <x:v>1</x:v>
      </x:c>
      <x:c r="H4515" s="12" t="str">
        <x:v>Campus/portfolio roster; individual building occupancy unverified</x:v>
      </x:c>
      <x:c r="I4515" s="12" t="str">
        <x:v>Mixed business audience</x:v>
      </x:c>
      <x:c r="J4515" s="12" t="str">
        <x:v>Finance &amp; insurance</x:v>
      </x:c>
      <x:c r="K4515" s="2" t="str">
        <x:v>PARTNER-M235</x:v>
      </x:c>
    </x:row>
    <x:row r="4516" ht="46" customHeight="1">
      <x:c r="A4516" s="2" t="str">
        <x:v>TEN-DFC9AF331452</x:v>
      </x:c>
      <x:c r="B4516" s="12" t="str">
        <x:v>Infokrafts Data Consultancy Services</x:v>
      </x:c>
      <x:c r="C4516" s="12" t="str">
        <x:v>CORP-0652</x:v>
      </x:c>
      <x:c r="D4516" s="12" t="str">
        <x:v>Mumbai</x:v>
      </x:c>
      <x:c r="E4516" s="12" t="str">
        <x:v>Kanakia 215 Atrium</x:v>
      </x:c>
      <x:c r="F4516" s="12" t="str">
        <x:v>55 inch</x:v>
      </x:c>
      <x:c r="G4516" s="20" t="n">
        <x:v>1</x:v>
      </x:c>
      <x:c r="H4516" s="12" t="str">
        <x:v>Campus/portfolio roster; individual building occupancy unverified</x:v>
      </x:c>
      <x:c r="I4516" s="12" t="str">
        <x:v>Small-scale prospects</x:v>
      </x:c>
      <x:c r="J4516" s="12" t="str">
        <x:v>Professional services</x:v>
      </x:c>
      <x:c r="K4516" s="2" t="str">
        <x:v>PARTNER-M235</x:v>
      </x:c>
    </x:row>
    <x:row r="4517" ht="46" customHeight="1">
      <x:c r="A4517" s="2" t="str">
        <x:v>TEN-E357B05EB429</x:v>
      </x:c>
      <x:c r="B4517" s="12" t="str">
        <x:v>GlobeSecure Technologies Ltd</x:v>
      </x:c>
      <x:c r="C4517" s="12" t="str">
        <x:v>CORP-0652</x:v>
      </x:c>
      <x:c r="D4517" s="12" t="str">
        <x:v>Mumbai</x:v>
      </x:c>
      <x:c r="E4517" s="12" t="str">
        <x:v>Kanakia 215 Atrium</x:v>
      </x:c>
      <x:c r="F4517" s="12" t="str">
        <x:v>55 inch</x:v>
      </x:c>
      <x:c r="G4517" s="20" t="n">
        <x:v>1</x:v>
      </x:c>
      <x:c r="H4517" s="12" t="str">
        <x:v>Campus/portfolio roster; individual building occupancy unverified</x:v>
      </x:c>
      <x:c r="I4517" s="12" t="str">
        <x:v>Mixed business audience</x:v>
      </x:c>
      <x:c r="J4517" s="12" t="str">
        <x:v>Unresolved</x:v>
      </x:c>
      <x:c r="K4517" s="2" t="str">
        <x:v>PARTNER-M235</x:v>
      </x:c>
    </x:row>
    <x:row r="4518" ht="46" customHeight="1">
      <x:c r="A4518" s="2" t="str">
        <x:v>TEN-2DF4390BE20B</x:v>
      </x:c>
      <x:c r="B4518" s="12" t="str">
        <x:v>Toyota Tsusho India Pvt. Ltd</x:v>
      </x:c>
      <x:c r="C4518" s="12" t="str">
        <x:v>CORP-0653</x:v>
      </x:c>
      <x:c r="D4518" s="12" t="str">
        <x:v>Mumbai</x:v>
      </x:c>
      <x:c r="E4518" s="12" t="str">
        <x:v>Kanakia 215 Atrium</x:v>
      </x:c>
      <x:c r="F4518" s="12" t="str">
        <x:v>55 inch</x:v>
      </x:c>
      <x:c r="G4518" s="20" t="n">
        <x:v>1</x:v>
      </x:c>
      <x:c r="H4518" s="12" t="str">
        <x:v>Campus/portfolio roster; individual building occupancy unverified</x:v>
      </x:c>
      <x:c r="I4518" s="12" t="str">
        <x:v>Mixed business audience</x:v>
      </x:c>
      <x:c r="J4518" s="12" t="str">
        <x:v>Engineering &amp; manufacturing</x:v>
      </x:c>
      <x:c r="K4518" s="2" t="str">
        <x:v>PARTNER-M235</x:v>
      </x:c>
    </x:row>
    <x:row r="4519" ht="46" customHeight="1">
      <x:c r="A4519" s="2" t="str">
        <x:v>TEN-57FA1C55CCF8</x:v>
      </x:c>
      <x:c r="B4519" s="12" t="str">
        <x:v>International Asset Reconstruction Company</x:v>
      </x:c>
      <x:c r="C4519" s="12" t="str">
        <x:v>CORP-0653</x:v>
      </x:c>
      <x:c r="D4519" s="12" t="str">
        <x:v>Mumbai</x:v>
      </x:c>
      <x:c r="E4519" s="12" t="str">
        <x:v>Kanakia 215 Atrium</x:v>
      </x:c>
      <x:c r="F4519" s="12" t="str">
        <x:v>55 inch</x:v>
      </x:c>
      <x:c r="G4519" s="20" t="n">
        <x:v>1</x:v>
      </x:c>
      <x:c r="H4519" s="12" t="str">
        <x:v>Campus/portfolio roster; individual building occupancy unverified</x:v>
      </x:c>
      <x:c r="I4519" s="12" t="str">
        <x:v>Medium-scale prospects</x:v>
      </x:c>
      <x:c r="J4519" s="12" t="str">
        <x:v>Finance &amp; insurance</x:v>
      </x:c>
      <x:c r="K4519" s="2" t="str">
        <x:v>PARTNER-M235</x:v>
      </x:c>
    </x:row>
    <x:row r="4520" ht="46" customHeight="1">
      <x:c r="A4520" s="2" t="str">
        <x:v>TEN-584343DF6352</x:v>
      </x:c>
      <x:c r="B4520" s="12" t="str">
        <x:v>Sahajanand Medical Technologies Pvt Ltd</x:v>
      </x:c>
      <x:c r="C4520" s="12" t="str">
        <x:v>CORP-0653</x:v>
      </x:c>
      <x:c r="D4520" s="12" t="str">
        <x:v>Mumbai</x:v>
      </x:c>
      <x:c r="E4520" s="12" t="str">
        <x:v>Kanakia 215 Atrium</x:v>
      </x:c>
      <x:c r="F4520" s="12" t="str">
        <x:v>55 inch</x:v>
      </x:c>
      <x:c r="G4520" s="20" t="n">
        <x:v>1</x:v>
      </x:c>
      <x:c r="H4520" s="12" t="str">
        <x:v>Campus/portfolio roster; individual building occupancy unverified</x:v>
      </x:c>
      <x:c r="I4520" s="12" t="str">
        <x:v>Mixed business audience</x:v>
      </x:c>
      <x:c r="J4520" s="12" t="str">
        <x:v>Healthcare &amp; life sciences</x:v>
      </x:c>
      <x:c r="K4520" s="2" t="str">
        <x:v>PARTNER-M235</x:v>
      </x:c>
    </x:row>
    <x:row r="4521" ht="46" customHeight="1">
      <x:c r="A4521" s="2" t="str">
        <x:v>TEN-5CAEBC2A73C0</x:v>
      </x:c>
      <x:c r="B4521" s="12" t="str">
        <x:v>Hind Terminals Private Limited</x:v>
      </x:c>
      <x:c r="C4521" s="12" t="str">
        <x:v>CORP-0653</x:v>
      </x:c>
      <x:c r="D4521" s="12" t="str">
        <x:v>Mumbai</x:v>
      </x:c>
      <x:c r="E4521" s="12" t="str">
        <x:v>Kanakia 215 Atrium</x:v>
      </x:c>
      <x:c r="F4521" s="12" t="str">
        <x:v>55 inch</x:v>
      </x:c>
      <x:c r="G4521" s="20" t="n">
        <x:v>1</x:v>
      </x:c>
      <x:c r="H4521" s="12" t="str">
        <x:v>Campus/portfolio roster; individual building occupancy unverified</x:v>
      </x:c>
      <x:c r="I4521" s="12" t="str">
        <x:v>Mixed business audience</x:v>
      </x:c>
      <x:c r="J4521" s="12" t="str">
        <x:v>Trade, consumer &amp; logistics</x:v>
      </x:c>
      <x:c r="K4521" s="2" t="str">
        <x:v>PARTNER-M235</x:v>
      </x:c>
    </x:row>
    <x:row r="4522" ht="46" customHeight="1">
      <x:c r="A4522" s="2" t="str">
        <x:v>TEN-629323F9C9BA</x:v>
      </x:c>
      <x:c r="B4522" s="12" t="str">
        <x:v>Julius Baer</x:v>
      </x:c>
      <x:c r="C4522" s="12" t="str">
        <x:v>CORP-0653</x:v>
      </x:c>
      <x:c r="D4522" s="12" t="str">
        <x:v>Mumbai</x:v>
      </x:c>
      <x:c r="E4522" s="12" t="str">
        <x:v>Kanakia 215 Atrium</x:v>
      </x:c>
      <x:c r="F4522" s="12" t="str">
        <x:v>55 inch</x:v>
      </x:c>
      <x:c r="G4522" s="20" t="n">
        <x:v>1</x:v>
      </x:c>
      <x:c r="H4522" s="12" t="str">
        <x:v>Campus/portfolio roster; individual building occupancy unverified</x:v>
      </x:c>
      <x:c r="I4522" s="12" t="str">
        <x:v>Mixed business audience</x:v>
      </x:c>
      <x:c r="J4522" s="12" t="str">
        <x:v>Finance &amp; insurance</x:v>
      </x:c>
      <x:c r="K4522" s="2" t="str">
        <x:v>PARTNER-M235</x:v>
      </x:c>
    </x:row>
    <x:row r="4523" ht="46" customHeight="1">
      <x:c r="A4523" s="2" t="str">
        <x:v>TEN-73D4224ED59C</x:v>
      </x:c>
      <x:c r="B4523" s="12" t="str">
        <x:v>Societyfor Mumbai Incubation Lab</x:v>
      </x:c>
      <x:c r="C4523" s="12" t="str">
        <x:v>CORP-0653</x:v>
      </x:c>
      <x:c r="D4523" s="12" t="str">
        <x:v>Mumbai</x:v>
      </x:c>
      <x:c r="E4523" s="12" t="str">
        <x:v>Kanakia 215 Atrium</x:v>
      </x:c>
      <x:c r="F4523" s="12" t="str">
        <x:v>55 inch</x:v>
      </x:c>
      <x:c r="G4523" s="20" t="n">
        <x:v>1</x:v>
      </x:c>
      <x:c r="H4523" s="12" t="str">
        <x:v>Campus/portfolio roster; individual building occupancy unverified</x:v>
      </x:c>
      <x:c r="I4523" s="12" t="str">
        <x:v>Institutional</x:v>
      </x:c>
      <x:c r="J4523" s="12" t="str">
        <x:v>Government &amp; nonprofit</x:v>
      </x:c>
      <x:c r="K4523" s="2" t="str">
        <x:v>PARTNER-M235</x:v>
      </x:c>
    </x:row>
    <x:row r="4524" ht="46" customHeight="1">
      <x:c r="A4524" s="2" t="str">
        <x:v>TEN-9F6FEAE43949</x:v>
      </x:c>
      <x:c r="B4524" s="12" t="str">
        <x:v>Fossil India Pvt Ltd</x:v>
      </x:c>
      <x:c r="C4524" s="12" t="str">
        <x:v>CORP-0653</x:v>
      </x:c>
      <x:c r="D4524" s="12" t="str">
        <x:v>Mumbai</x:v>
      </x:c>
      <x:c r="E4524" s="12" t="str">
        <x:v>Kanakia 215 Atrium</x:v>
      </x:c>
      <x:c r="F4524" s="12" t="str">
        <x:v>55 inch</x:v>
      </x:c>
      <x:c r="G4524" s="20" t="n">
        <x:v>1</x:v>
      </x:c>
      <x:c r="H4524" s="12" t="str">
        <x:v>Campus/portfolio roster; individual building occupancy unverified</x:v>
      </x:c>
      <x:c r="I4524" s="12" t="str">
        <x:v>Mixed business audience</x:v>
      </x:c>
      <x:c r="J4524" s="12" t="str">
        <x:v>Trade, consumer &amp; logistics</x:v>
      </x:c>
      <x:c r="K4524" s="2" t="str">
        <x:v>PARTNER-M235</x:v>
      </x:c>
    </x:row>
    <x:row r="4525" ht="46" customHeight="1">
      <x:c r="A4525" s="2" t="str">
        <x:v>TEN-A9A905D2D15D</x:v>
      </x:c>
      <x:c r="B4525" s="12" t="str">
        <x:v>Inframax Engineers</x:v>
      </x:c>
      <x:c r="C4525" s="12" t="str">
        <x:v>CORP-0653</x:v>
      </x:c>
      <x:c r="D4525" s="12" t="str">
        <x:v>Mumbai</x:v>
      </x:c>
      <x:c r="E4525" s="12" t="str">
        <x:v>Kanakia 215 Atrium</x:v>
      </x:c>
      <x:c r="F4525" s="12" t="str">
        <x:v>55 inch</x:v>
      </x:c>
      <x:c r="G4525" s="20" t="n">
        <x:v>1</x:v>
      </x:c>
      <x:c r="H4525" s="12" t="str">
        <x:v>Campus/portfolio roster; individual building occupancy unverified</x:v>
      </x:c>
      <x:c r="I4525" s="12" t="str">
        <x:v>Medium-scale prospects</x:v>
      </x:c>
      <x:c r="J4525" s="12" t="str">
        <x:v>Engineering &amp; manufacturing</x:v>
      </x:c>
      <x:c r="K4525" s="2" t="str">
        <x:v>PARTNER-M235</x:v>
      </x:c>
    </x:row>
    <x:row r="4526" ht="46" customHeight="1">
      <x:c r="A4526" s="2" t="str">
        <x:v>TEN-ABA4CECB91B9</x:v>
      </x:c>
      <x:c r="B4526" s="12" t="str">
        <x:v>CSGT Trading India Pvt Ltd</x:v>
      </x:c>
      <x:c r="C4526" s="12" t="str">
        <x:v>CORP-0653</x:v>
      </x:c>
      <x:c r="D4526" s="12" t="str">
        <x:v>Mumbai</x:v>
      </x:c>
      <x:c r="E4526" s="12" t="str">
        <x:v>Kanakia 215 Atrium</x:v>
      </x:c>
      <x:c r="F4526" s="12" t="str">
        <x:v>55 inch</x:v>
      </x:c>
      <x:c r="G4526" s="20" t="n">
        <x:v>1</x:v>
      </x:c>
      <x:c r="H4526" s="12" t="str">
        <x:v>Campus/portfolio roster; individual building occupancy unverified</x:v>
      </x:c>
      <x:c r="I4526" s="12" t="str">
        <x:v>Small-scale prospects</x:v>
      </x:c>
      <x:c r="J4526" s="12" t="str">
        <x:v>Trade, consumer &amp; logistics</x:v>
      </x:c>
      <x:c r="K4526" s="2" t="str">
        <x:v>PARTNER-M235</x:v>
      </x:c>
    </x:row>
    <x:row r="4527" ht="46" customHeight="1">
      <x:c r="A4527" s="2" t="str">
        <x:v>TEN-C15D33DD1E40</x:v>
      </x:c>
      <x:c r="B4527" s="12" t="str">
        <x:v>Hal Offshore Ltd</x:v>
      </x:c>
      <x:c r="C4527" s="12" t="str">
        <x:v>CORP-0653</x:v>
      </x:c>
      <x:c r="D4527" s="12" t="str">
        <x:v>Mumbai</x:v>
      </x:c>
      <x:c r="E4527" s="12" t="str">
        <x:v>Kanakia 215 Atrium</x:v>
      </x:c>
      <x:c r="F4527" s="12" t="str">
        <x:v>55 inch</x:v>
      </x:c>
      <x:c r="G4527" s="20" t="n">
        <x:v>1</x:v>
      </x:c>
      <x:c r="H4527" s="12" t="str">
        <x:v>Campus/portfolio roster; individual building occupancy unverified</x:v>
      </x:c>
      <x:c r="I4527" s="12" t="str">
        <x:v>Mixed business audience</x:v>
      </x:c>
      <x:c r="J4527" s="12" t="str">
        <x:v>Trade, consumer &amp; logistics</x:v>
      </x:c>
      <x:c r="K4527" s="2" t="str">
        <x:v>PARTNER-M235</x:v>
      </x:c>
    </x:row>
    <x:row r="4528" ht="46" customHeight="1">
      <x:c r="A4528" s="2" t="str">
        <x:v>TEN-DB7C8ADDD504</x:v>
      </x:c>
      <x:c r="B4528" s="12" t="str">
        <x:v>Indian Energy Exchange</x:v>
      </x:c>
      <x:c r="C4528" s="12" t="str">
        <x:v>CORP-0653</x:v>
      </x:c>
      <x:c r="D4528" s="12" t="str">
        <x:v>Mumbai</x:v>
      </x:c>
      <x:c r="E4528" s="12" t="str">
        <x:v>Kanakia 215 Atrium</x:v>
      </x:c>
      <x:c r="F4528" s="12" t="str">
        <x:v>55 inch</x:v>
      </x:c>
      <x:c r="G4528" s="20" t="n">
        <x:v>1</x:v>
      </x:c>
      <x:c r="H4528" s="12" t="str">
        <x:v>Campus/portfolio roster; individual building occupancy unverified</x:v>
      </x:c>
      <x:c r="I4528" s="12" t="str">
        <x:v>Mixed business audience</x:v>
      </x:c>
      <x:c r="J4528" s="12" t="str">
        <x:v>Finance &amp; insurance</x:v>
      </x:c>
      <x:c r="K4528" s="2" t="str">
        <x:v>PARTNER-M235</x:v>
      </x:c>
    </x:row>
    <x:row r="4529" ht="46" customHeight="1">
      <x:c r="A4529" s="2" t="str">
        <x:v>TEN-DFC9AF331452</x:v>
      </x:c>
      <x:c r="B4529" s="12" t="str">
        <x:v>Infokrafts Data Consultancy Services</x:v>
      </x:c>
      <x:c r="C4529" s="12" t="str">
        <x:v>CORP-0653</x:v>
      </x:c>
      <x:c r="D4529" s="12" t="str">
        <x:v>Mumbai</x:v>
      </x:c>
      <x:c r="E4529" s="12" t="str">
        <x:v>Kanakia 215 Atrium</x:v>
      </x:c>
      <x:c r="F4529" s="12" t="str">
        <x:v>55 inch</x:v>
      </x:c>
      <x:c r="G4529" s="20" t="n">
        <x:v>1</x:v>
      </x:c>
      <x:c r="H4529" s="12" t="str">
        <x:v>Campus/portfolio roster; individual building occupancy unverified</x:v>
      </x:c>
      <x:c r="I4529" s="12" t="str">
        <x:v>Small-scale prospects</x:v>
      </x:c>
      <x:c r="J4529" s="12" t="str">
        <x:v>Professional services</x:v>
      </x:c>
      <x:c r="K4529" s="2" t="str">
        <x:v>PARTNER-M235</x:v>
      </x:c>
    </x:row>
    <x:row r="4530" ht="46" customHeight="1">
      <x:c r="A4530" s="2" t="str">
        <x:v>TEN-E357B05EB429</x:v>
      </x:c>
      <x:c r="B4530" s="12" t="str">
        <x:v>GlobeSecure Technologies Ltd</x:v>
      </x:c>
      <x:c r="C4530" s="12" t="str">
        <x:v>CORP-0653</x:v>
      </x:c>
      <x:c r="D4530" s="12" t="str">
        <x:v>Mumbai</x:v>
      </x:c>
      <x:c r="E4530" s="12" t="str">
        <x:v>Kanakia 215 Atrium</x:v>
      </x:c>
      <x:c r="F4530" s="12" t="str">
        <x:v>55 inch</x:v>
      </x:c>
      <x:c r="G4530" s="20" t="n">
        <x:v>1</x:v>
      </x:c>
      <x:c r="H4530" s="12" t="str">
        <x:v>Campus/portfolio roster; individual building occupancy unverified</x:v>
      </x:c>
      <x:c r="I4530" s="12" t="str">
        <x:v>Mixed business audience</x:v>
      </x:c>
      <x:c r="J4530" s="12" t="str">
        <x:v>Unresolved</x:v>
      </x:c>
      <x:c r="K4530" s="2" t="str">
        <x:v>PARTNER-M235</x:v>
      </x:c>
    </x:row>
    <x:row r="4531" ht="46" customHeight="1">
      <x:c r="A4531" s="2" t="str">
        <x:v>TEN-2DF4390BE20B</x:v>
      </x:c>
      <x:c r="B4531" s="12" t="str">
        <x:v>Toyota Tsusho India Pvt. Ltd</x:v>
      </x:c>
      <x:c r="C4531" s="12" t="str">
        <x:v>CORP-0654</x:v>
      </x:c>
      <x:c r="D4531" s="12" t="str">
        <x:v>Mumbai</x:v>
      </x:c>
      <x:c r="E4531" s="12" t="str">
        <x:v>Kanakia 215 Atrium</x:v>
      </x:c>
      <x:c r="F4531" s="12" t="str">
        <x:v>55 inch</x:v>
      </x:c>
      <x:c r="G4531" s="20" t="n">
        <x:v>1</x:v>
      </x:c>
      <x:c r="H4531" s="12" t="str">
        <x:v>Campus/portfolio roster; individual building occupancy unverified</x:v>
      </x:c>
      <x:c r="I4531" s="12" t="str">
        <x:v>Mixed business audience</x:v>
      </x:c>
      <x:c r="J4531" s="12" t="str">
        <x:v>Engineering &amp; manufacturing</x:v>
      </x:c>
      <x:c r="K4531" s="2" t="str">
        <x:v>PARTNER-M235</x:v>
      </x:c>
    </x:row>
    <x:row r="4532" ht="46" customHeight="1">
      <x:c r="A4532" s="2" t="str">
        <x:v>TEN-57FA1C55CCF8</x:v>
      </x:c>
      <x:c r="B4532" s="12" t="str">
        <x:v>International Asset Reconstruction Company</x:v>
      </x:c>
      <x:c r="C4532" s="12" t="str">
        <x:v>CORP-0654</x:v>
      </x:c>
      <x:c r="D4532" s="12" t="str">
        <x:v>Mumbai</x:v>
      </x:c>
      <x:c r="E4532" s="12" t="str">
        <x:v>Kanakia 215 Atrium</x:v>
      </x:c>
      <x:c r="F4532" s="12" t="str">
        <x:v>55 inch</x:v>
      </x:c>
      <x:c r="G4532" s="20" t="n">
        <x:v>1</x:v>
      </x:c>
      <x:c r="H4532" s="12" t="str">
        <x:v>Campus/portfolio roster; individual building occupancy unverified</x:v>
      </x:c>
      <x:c r="I4532" s="12" t="str">
        <x:v>Medium-scale prospects</x:v>
      </x:c>
      <x:c r="J4532" s="12" t="str">
        <x:v>Finance &amp; insurance</x:v>
      </x:c>
      <x:c r="K4532" s="2" t="str">
        <x:v>PARTNER-M235</x:v>
      </x:c>
    </x:row>
    <x:row r="4533" ht="46" customHeight="1">
      <x:c r="A4533" s="2" t="str">
        <x:v>TEN-584343DF6352</x:v>
      </x:c>
      <x:c r="B4533" s="12" t="str">
        <x:v>Sahajanand Medical Technologies Pvt Ltd</x:v>
      </x:c>
      <x:c r="C4533" s="12" t="str">
        <x:v>CORP-0654</x:v>
      </x:c>
      <x:c r="D4533" s="12" t="str">
        <x:v>Mumbai</x:v>
      </x:c>
      <x:c r="E4533" s="12" t="str">
        <x:v>Kanakia 215 Atrium</x:v>
      </x:c>
      <x:c r="F4533" s="12" t="str">
        <x:v>55 inch</x:v>
      </x:c>
      <x:c r="G4533" s="20" t="n">
        <x:v>1</x:v>
      </x:c>
      <x:c r="H4533" s="12" t="str">
        <x:v>Campus/portfolio roster; individual building occupancy unverified</x:v>
      </x:c>
      <x:c r="I4533" s="12" t="str">
        <x:v>Mixed business audience</x:v>
      </x:c>
      <x:c r="J4533" s="12" t="str">
        <x:v>Healthcare &amp; life sciences</x:v>
      </x:c>
      <x:c r="K4533" s="2" t="str">
        <x:v>PARTNER-M235</x:v>
      </x:c>
    </x:row>
    <x:row r="4534" ht="46" customHeight="1">
      <x:c r="A4534" s="2" t="str">
        <x:v>TEN-5CAEBC2A73C0</x:v>
      </x:c>
      <x:c r="B4534" s="12" t="str">
        <x:v>Hind Terminals Private Limited</x:v>
      </x:c>
      <x:c r="C4534" s="12" t="str">
        <x:v>CORP-0654</x:v>
      </x:c>
      <x:c r="D4534" s="12" t="str">
        <x:v>Mumbai</x:v>
      </x:c>
      <x:c r="E4534" s="12" t="str">
        <x:v>Kanakia 215 Atrium</x:v>
      </x:c>
      <x:c r="F4534" s="12" t="str">
        <x:v>55 inch</x:v>
      </x:c>
      <x:c r="G4534" s="20" t="n">
        <x:v>1</x:v>
      </x:c>
      <x:c r="H4534" s="12" t="str">
        <x:v>Campus/portfolio roster; individual building occupancy unverified</x:v>
      </x:c>
      <x:c r="I4534" s="12" t="str">
        <x:v>Mixed business audience</x:v>
      </x:c>
      <x:c r="J4534" s="12" t="str">
        <x:v>Trade, consumer &amp; logistics</x:v>
      </x:c>
      <x:c r="K4534" s="2" t="str">
        <x:v>PARTNER-M235</x:v>
      </x:c>
    </x:row>
    <x:row r="4535" ht="46" customHeight="1">
      <x:c r="A4535" s="2" t="str">
        <x:v>TEN-629323F9C9BA</x:v>
      </x:c>
      <x:c r="B4535" s="12" t="str">
        <x:v>Julius Baer</x:v>
      </x:c>
      <x:c r="C4535" s="12" t="str">
        <x:v>CORP-0654</x:v>
      </x:c>
      <x:c r="D4535" s="12" t="str">
        <x:v>Mumbai</x:v>
      </x:c>
      <x:c r="E4535" s="12" t="str">
        <x:v>Kanakia 215 Atrium</x:v>
      </x:c>
      <x:c r="F4535" s="12" t="str">
        <x:v>55 inch</x:v>
      </x:c>
      <x:c r="G4535" s="20" t="n">
        <x:v>1</x:v>
      </x:c>
      <x:c r="H4535" s="12" t="str">
        <x:v>Campus/portfolio roster; individual building occupancy unverified</x:v>
      </x:c>
      <x:c r="I4535" s="12" t="str">
        <x:v>Mixed business audience</x:v>
      </x:c>
      <x:c r="J4535" s="12" t="str">
        <x:v>Finance &amp; insurance</x:v>
      </x:c>
      <x:c r="K4535" s="2" t="str">
        <x:v>PARTNER-M235</x:v>
      </x:c>
    </x:row>
    <x:row r="4536" ht="46" customHeight="1">
      <x:c r="A4536" s="2" t="str">
        <x:v>TEN-73D4224ED59C</x:v>
      </x:c>
      <x:c r="B4536" s="12" t="str">
        <x:v>Societyfor Mumbai Incubation Lab</x:v>
      </x:c>
      <x:c r="C4536" s="12" t="str">
        <x:v>CORP-0654</x:v>
      </x:c>
      <x:c r="D4536" s="12" t="str">
        <x:v>Mumbai</x:v>
      </x:c>
      <x:c r="E4536" s="12" t="str">
        <x:v>Kanakia 215 Atrium</x:v>
      </x:c>
      <x:c r="F4536" s="12" t="str">
        <x:v>55 inch</x:v>
      </x:c>
      <x:c r="G4536" s="20" t="n">
        <x:v>1</x:v>
      </x:c>
      <x:c r="H4536" s="12" t="str">
        <x:v>Campus/portfolio roster; individual building occupancy unverified</x:v>
      </x:c>
      <x:c r="I4536" s="12" t="str">
        <x:v>Institutional</x:v>
      </x:c>
      <x:c r="J4536" s="12" t="str">
        <x:v>Government &amp; nonprofit</x:v>
      </x:c>
      <x:c r="K4536" s="2" t="str">
        <x:v>PARTNER-M235</x:v>
      </x:c>
    </x:row>
    <x:row r="4537" ht="46" customHeight="1">
      <x:c r="A4537" s="2" t="str">
        <x:v>TEN-9F6FEAE43949</x:v>
      </x:c>
      <x:c r="B4537" s="12" t="str">
        <x:v>Fossil India Pvt Ltd</x:v>
      </x:c>
      <x:c r="C4537" s="12" t="str">
        <x:v>CORP-0654</x:v>
      </x:c>
      <x:c r="D4537" s="12" t="str">
        <x:v>Mumbai</x:v>
      </x:c>
      <x:c r="E4537" s="12" t="str">
        <x:v>Kanakia 215 Atrium</x:v>
      </x:c>
      <x:c r="F4537" s="12" t="str">
        <x:v>55 inch</x:v>
      </x:c>
      <x:c r="G4537" s="20" t="n">
        <x:v>1</x:v>
      </x:c>
      <x:c r="H4537" s="12" t="str">
        <x:v>Campus/portfolio roster; individual building occupancy unverified</x:v>
      </x:c>
      <x:c r="I4537" s="12" t="str">
        <x:v>Mixed business audience</x:v>
      </x:c>
      <x:c r="J4537" s="12" t="str">
        <x:v>Trade, consumer &amp; logistics</x:v>
      </x:c>
      <x:c r="K4537" s="2" t="str">
        <x:v>PARTNER-M235</x:v>
      </x:c>
    </x:row>
    <x:row r="4538" ht="46" customHeight="1">
      <x:c r="A4538" s="2" t="str">
        <x:v>TEN-A9A905D2D15D</x:v>
      </x:c>
      <x:c r="B4538" s="12" t="str">
        <x:v>Inframax Engineers</x:v>
      </x:c>
      <x:c r="C4538" s="12" t="str">
        <x:v>CORP-0654</x:v>
      </x:c>
      <x:c r="D4538" s="12" t="str">
        <x:v>Mumbai</x:v>
      </x:c>
      <x:c r="E4538" s="12" t="str">
        <x:v>Kanakia 215 Atrium</x:v>
      </x:c>
      <x:c r="F4538" s="12" t="str">
        <x:v>55 inch</x:v>
      </x:c>
      <x:c r="G4538" s="20" t="n">
        <x:v>1</x:v>
      </x:c>
      <x:c r="H4538" s="12" t="str">
        <x:v>Campus/portfolio roster; individual building occupancy unverified</x:v>
      </x:c>
      <x:c r="I4538" s="12" t="str">
        <x:v>Medium-scale prospects</x:v>
      </x:c>
      <x:c r="J4538" s="12" t="str">
        <x:v>Engineering &amp; manufacturing</x:v>
      </x:c>
      <x:c r="K4538" s="2" t="str">
        <x:v>PARTNER-M235</x:v>
      </x:c>
    </x:row>
    <x:row r="4539" ht="46" customHeight="1">
      <x:c r="A4539" s="2" t="str">
        <x:v>TEN-ABA4CECB91B9</x:v>
      </x:c>
      <x:c r="B4539" s="12" t="str">
        <x:v>CSGT Trading India Pvt Ltd</x:v>
      </x:c>
      <x:c r="C4539" s="12" t="str">
        <x:v>CORP-0654</x:v>
      </x:c>
      <x:c r="D4539" s="12" t="str">
        <x:v>Mumbai</x:v>
      </x:c>
      <x:c r="E4539" s="12" t="str">
        <x:v>Kanakia 215 Atrium</x:v>
      </x:c>
      <x:c r="F4539" s="12" t="str">
        <x:v>55 inch</x:v>
      </x:c>
      <x:c r="G4539" s="20" t="n">
        <x:v>1</x:v>
      </x:c>
      <x:c r="H4539" s="12" t="str">
        <x:v>Campus/portfolio roster; individual building occupancy unverified</x:v>
      </x:c>
      <x:c r="I4539" s="12" t="str">
        <x:v>Small-scale prospects</x:v>
      </x:c>
      <x:c r="J4539" s="12" t="str">
        <x:v>Trade, consumer &amp; logistics</x:v>
      </x:c>
      <x:c r="K4539" s="2" t="str">
        <x:v>PARTNER-M235</x:v>
      </x:c>
    </x:row>
    <x:row r="4540" ht="46" customHeight="1">
      <x:c r="A4540" s="2" t="str">
        <x:v>TEN-C15D33DD1E40</x:v>
      </x:c>
      <x:c r="B4540" s="12" t="str">
        <x:v>Hal Offshore Ltd</x:v>
      </x:c>
      <x:c r="C4540" s="12" t="str">
        <x:v>CORP-0654</x:v>
      </x:c>
      <x:c r="D4540" s="12" t="str">
        <x:v>Mumbai</x:v>
      </x:c>
      <x:c r="E4540" s="12" t="str">
        <x:v>Kanakia 215 Atrium</x:v>
      </x:c>
      <x:c r="F4540" s="12" t="str">
        <x:v>55 inch</x:v>
      </x:c>
      <x:c r="G4540" s="20" t="n">
        <x:v>1</x:v>
      </x:c>
      <x:c r="H4540" s="12" t="str">
        <x:v>Campus/portfolio roster; individual building occupancy unverified</x:v>
      </x:c>
      <x:c r="I4540" s="12" t="str">
        <x:v>Mixed business audience</x:v>
      </x:c>
      <x:c r="J4540" s="12" t="str">
        <x:v>Trade, consumer &amp; logistics</x:v>
      </x:c>
      <x:c r="K4540" s="2" t="str">
        <x:v>PARTNER-M235</x:v>
      </x:c>
    </x:row>
    <x:row r="4541" ht="46" customHeight="1">
      <x:c r="A4541" s="2" t="str">
        <x:v>TEN-DB7C8ADDD504</x:v>
      </x:c>
      <x:c r="B4541" s="12" t="str">
        <x:v>Indian Energy Exchange</x:v>
      </x:c>
      <x:c r="C4541" s="12" t="str">
        <x:v>CORP-0654</x:v>
      </x:c>
      <x:c r="D4541" s="12" t="str">
        <x:v>Mumbai</x:v>
      </x:c>
      <x:c r="E4541" s="12" t="str">
        <x:v>Kanakia 215 Atrium</x:v>
      </x:c>
      <x:c r="F4541" s="12" t="str">
        <x:v>55 inch</x:v>
      </x:c>
      <x:c r="G4541" s="20" t="n">
        <x:v>1</x:v>
      </x:c>
      <x:c r="H4541" s="12" t="str">
        <x:v>Campus/portfolio roster; individual building occupancy unverified</x:v>
      </x:c>
      <x:c r="I4541" s="12" t="str">
        <x:v>Mixed business audience</x:v>
      </x:c>
      <x:c r="J4541" s="12" t="str">
        <x:v>Finance &amp; insurance</x:v>
      </x:c>
      <x:c r="K4541" s="2" t="str">
        <x:v>PARTNER-M235</x:v>
      </x:c>
    </x:row>
    <x:row r="4542" ht="46" customHeight="1">
      <x:c r="A4542" s="2" t="str">
        <x:v>TEN-DFC9AF331452</x:v>
      </x:c>
      <x:c r="B4542" s="12" t="str">
        <x:v>Infokrafts Data Consultancy Services</x:v>
      </x:c>
      <x:c r="C4542" s="12" t="str">
        <x:v>CORP-0654</x:v>
      </x:c>
      <x:c r="D4542" s="12" t="str">
        <x:v>Mumbai</x:v>
      </x:c>
      <x:c r="E4542" s="12" t="str">
        <x:v>Kanakia 215 Atrium</x:v>
      </x:c>
      <x:c r="F4542" s="12" t="str">
        <x:v>55 inch</x:v>
      </x:c>
      <x:c r="G4542" s="20" t="n">
        <x:v>1</x:v>
      </x:c>
      <x:c r="H4542" s="12" t="str">
        <x:v>Campus/portfolio roster; individual building occupancy unverified</x:v>
      </x:c>
      <x:c r="I4542" s="12" t="str">
        <x:v>Small-scale prospects</x:v>
      </x:c>
      <x:c r="J4542" s="12" t="str">
        <x:v>Professional services</x:v>
      </x:c>
      <x:c r="K4542" s="2" t="str">
        <x:v>PARTNER-M235</x:v>
      </x:c>
    </x:row>
    <x:row r="4543" ht="46" customHeight="1">
      <x:c r="A4543" s="2" t="str">
        <x:v>TEN-E357B05EB429</x:v>
      </x:c>
      <x:c r="B4543" s="12" t="str">
        <x:v>GlobeSecure Technologies Ltd</x:v>
      </x:c>
      <x:c r="C4543" s="12" t="str">
        <x:v>CORP-0654</x:v>
      </x:c>
      <x:c r="D4543" s="12" t="str">
        <x:v>Mumbai</x:v>
      </x:c>
      <x:c r="E4543" s="12" t="str">
        <x:v>Kanakia 215 Atrium</x:v>
      </x:c>
      <x:c r="F4543" s="12" t="str">
        <x:v>55 inch</x:v>
      </x:c>
      <x:c r="G4543" s="20" t="n">
        <x:v>1</x:v>
      </x:c>
      <x:c r="H4543" s="12" t="str">
        <x:v>Campus/portfolio roster; individual building occupancy unverified</x:v>
      </x:c>
      <x:c r="I4543" s="12" t="str">
        <x:v>Mixed business audience</x:v>
      </x:c>
      <x:c r="J4543" s="12" t="str">
        <x:v>Unresolved</x:v>
      </x:c>
      <x:c r="K4543" s="2" t="str">
        <x:v>PARTNER-M235</x:v>
      </x:c>
    </x:row>
    <x:row r="4544" ht="46" customHeight="1">
      <x:c r="A4544" s="2" t="str">
        <x:v>TEN-11B177B76116</x:v>
      </x:c>
      <x:c r="B4544" s="12" t="str">
        <x:v>Avaya Global Connect Ltd</x:v>
      </x:c>
      <x:c r="C4544" s="12" t="str">
        <x:v>CORP-0439</x:v>
      </x:c>
      <x:c r="D4544" s="12" t="str">
        <x:v>Bengaluru</x:v>
      </x:c>
      <x:c r="E4544" s="12" t="str">
        <x:v>Prestige Tech Park</x:v>
      </x:c>
      <x:c r="F4544" s="12" t="str">
        <x:v>55 inch</x:v>
      </x:c>
      <x:c r="G4544" s="20" t="n">
        <x:v>1</x:v>
      </x:c>
      <x:c r="H4544" s="12" t="str">
        <x:v>Campus/portfolio roster; individual building occupancy unverified</x:v>
      </x:c>
      <x:c r="I4544" s="12" t="str">
        <x:v>Mixed business audience</x:v>
      </x:c>
      <x:c r="J4544" s="12" t="str">
        <x:v>IT &amp; digital</x:v>
      </x:c>
      <x:c r="K4544" s="2" t="str">
        <x:v>PARTNER-M014</x:v>
      </x:c>
    </x:row>
    <x:row r="4545" ht="46" customHeight="1">
      <x:c r="A4545" s="2" t="str">
        <x:v>TEN-1A32A2EA27AE</x:v>
      </x:c>
      <x:c r="B4545" s="12" t="str">
        <x:v>Aptos India Private Limited</x:v>
      </x:c>
      <x:c r="C4545" s="12" t="str">
        <x:v>CORP-0439</x:v>
      </x:c>
      <x:c r="D4545" s="12" t="str">
        <x:v>Bengaluru</x:v>
      </x:c>
      <x:c r="E4545" s="12" t="str">
        <x:v>Prestige Tech Park</x:v>
      </x:c>
      <x:c r="F4545" s="12" t="str">
        <x:v>55 inch</x:v>
      </x:c>
      <x:c r="G4545" s="20" t="n">
        <x:v>1</x:v>
      </x:c>
      <x:c r="H4545" s="12" t="str">
        <x:v>Campus/portfolio roster; individual building occupancy unverified</x:v>
      </x:c>
      <x:c r="I4545" s="12" t="str">
        <x:v>Mixed business audience</x:v>
      </x:c>
      <x:c r="J4545" s="12" t="str">
        <x:v>IT &amp; digital</x:v>
      </x:c>
      <x:c r="K4545" s="2" t="str">
        <x:v>PARTNER-M014</x:v>
      </x:c>
    </x:row>
    <x:row r="4546" ht="46" customHeight="1">
      <x:c r="A4546" s="2" t="str">
        <x:v>TEN-1B8499B49BB3</x:v>
      </x:c>
      <x:c r="B4546" s="12" t="str">
        <x:v>Delliot</x:v>
      </x:c>
      <x:c r="C4546" s="12" t="str">
        <x:v>CORP-0439</x:v>
      </x:c>
      <x:c r="D4546" s="12" t="str">
        <x:v>Bengaluru</x:v>
      </x:c>
      <x:c r="E4546" s="12" t="str">
        <x:v>Prestige Tech Park</x:v>
      </x:c>
      <x:c r="F4546" s="12" t="str">
        <x:v>55 inch</x:v>
      </x:c>
      <x:c r="G4546" s="20" t="n">
        <x:v>1</x:v>
      </x:c>
      <x:c r="H4546" s="12" t="str">
        <x:v>Campus/portfolio roster; individual building occupancy unverified</x:v>
      </x:c>
      <x:c r="I4546" s="12" t="str">
        <x:v>Mixed business audience</x:v>
      </x:c>
      <x:c r="J4546" s="12" t="str">
        <x:v>Unresolved</x:v>
      </x:c>
      <x:c r="K4546" s="2" t="str">
        <x:v>PARTNER-M014</x:v>
      </x:c>
    </x:row>
    <x:row r="4547" ht="46" customHeight="1">
      <x:c r="A4547" s="2" t="str">
        <x:v>TEN-38773D0009A0</x:v>
      </x:c>
      <x:c r="B4547" s="12" t="str">
        <x:v>Frog Design Studio</x:v>
      </x:c>
      <x:c r="C4547" s="12" t="str">
        <x:v>CORP-0439</x:v>
      </x:c>
      <x:c r="D4547" s="12" t="str">
        <x:v>Bengaluru</x:v>
      </x:c>
      <x:c r="E4547" s="12" t="str">
        <x:v>Prestige Tech Park</x:v>
      </x:c>
      <x:c r="F4547" s="12" t="str">
        <x:v>55 inch</x:v>
      </x:c>
      <x:c r="G4547" s="20" t="n">
        <x:v>1</x:v>
      </x:c>
      <x:c r="H4547" s="12" t="str">
        <x:v>Campus/portfolio roster; individual building occupancy unverified</x:v>
      </x:c>
      <x:c r="I4547" s="12" t="str">
        <x:v>Mixed business audience</x:v>
      </x:c>
      <x:c r="J4547" s="12" t="str">
        <x:v>Professional services</x:v>
      </x:c>
      <x:c r="K4547" s="2" t="str">
        <x:v>PARTNER-M014</x:v>
      </x:c>
    </x:row>
    <x:row r="4548" ht="46" customHeight="1">
      <x:c r="A4548" s="2" t="str">
        <x:v>TEN-49F1F88DBFE4</x:v>
      </x:c>
      <x:c r="B4548" s="12" t="str">
        <x:v>Futures First Info Services</x:v>
      </x:c>
      <x:c r="C4548" s="12" t="str">
        <x:v>CORP-0439</x:v>
      </x:c>
      <x:c r="D4548" s="12" t="str">
        <x:v>Bengaluru</x:v>
      </x:c>
      <x:c r="E4548" s="12" t="str">
        <x:v>Prestige Tech Park</x:v>
      </x:c>
      <x:c r="F4548" s="12" t="str">
        <x:v>55 inch</x:v>
      </x:c>
      <x:c r="G4548" s="20" t="n">
        <x:v>1</x:v>
      </x:c>
      <x:c r="H4548" s="12" t="str">
        <x:v>Campus/portfolio roster; individual building occupancy unverified</x:v>
      </x:c>
      <x:c r="I4548" s="12" t="str">
        <x:v>Mixed business audience</x:v>
      </x:c>
      <x:c r="J4548" s="12" t="str">
        <x:v>IT &amp; digital</x:v>
      </x:c>
      <x:c r="K4548" s="2" t="str">
        <x:v>PARTNER-M014</x:v>
      </x:c>
    </x:row>
    <x:row r="4549" ht="46" customHeight="1">
      <x:c r="A4549" s="2" t="str">
        <x:v>TEN-53296B6A946C</x:v>
      </x:c>
      <x:c r="B4549" s="12" t="str">
        <x:v>Waif's</x:v>
      </x:c>
      <x:c r="C4549" s="12" t="str">
        <x:v>CORP-0439</x:v>
      </x:c>
      <x:c r="D4549" s="12" t="str">
        <x:v>Bengaluru</x:v>
      </x:c>
      <x:c r="E4549" s="12" t="str">
        <x:v>Prestige Tech Park</x:v>
      </x:c>
      <x:c r="F4549" s="12" t="str">
        <x:v>55 inch</x:v>
      </x:c>
      <x:c r="G4549" s="20" t="n">
        <x:v>1</x:v>
      </x:c>
      <x:c r="H4549" s="12" t="str">
        <x:v>Campus/portfolio roster; individual building occupancy unverified</x:v>
      </x:c>
      <x:c r="I4549" s="12" t="str">
        <x:v>Mixed business audience</x:v>
      </x:c>
      <x:c r="J4549" s="12" t="str">
        <x:v>Unresolved</x:v>
      </x:c>
      <x:c r="K4549" s="2" t="str">
        <x:v>PARTNER-M014</x:v>
      </x:c>
    </x:row>
    <x:row r="4550" ht="46" customHeight="1">
      <x:c r="A4550" s="2" t="str">
        <x:v>TEN-72DA9DBF0092</x:v>
      </x:c>
      <x:c r="B4550" s="12" t="str">
        <x:v>Aruba Networks</x:v>
      </x:c>
      <x:c r="C4550" s="12" t="str">
        <x:v>CORP-0439</x:v>
      </x:c>
      <x:c r="D4550" s="12" t="str">
        <x:v>Bengaluru</x:v>
      </x:c>
      <x:c r="E4550" s="12" t="str">
        <x:v>Prestige Tech Park</x:v>
      </x:c>
      <x:c r="F4550" s="12" t="str">
        <x:v>55 inch</x:v>
      </x:c>
      <x:c r="G4550" s="20" t="n">
        <x:v>1</x:v>
      </x:c>
      <x:c r="H4550" s="12" t="str">
        <x:v>Campus/portfolio roster; individual building occupancy unverified</x:v>
      </x:c>
      <x:c r="I4550" s="12" t="str">
        <x:v>Large enterprise</x:v>
      </x:c>
      <x:c r="J4550" s="12" t="str">
        <x:v>IT &amp; digital</x:v>
      </x:c>
      <x:c r="K4550" s="2" t="str">
        <x:v>PARTNER-M014</x:v>
      </x:c>
    </x:row>
    <x:row r="4551" ht="46" customHeight="1">
      <x:c r="A4551" s="2" t="str">
        <x:v>TEN-76DBEE9F2C38</x:v>
      </x:c>
      <x:c r="B4551" s="12" t="str">
        <x:v>Mobile Programming</x:v>
      </x:c>
      <x:c r="C4551" s="12" t="str">
        <x:v>CORP-0439</x:v>
      </x:c>
      <x:c r="D4551" s="12" t="str">
        <x:v>Bengaluru</x:v>
      </x:c>
      <x:c r="E4551" s="12" t="str">
        <x:v>Prestige Tech Park</x:v>
      </x:c>
      <x:c r="F4551" s="12" t="str">
        <x:v>55 inch</x:v>
      </x:c>
      <x:c r="G4551" s="20" t="n">
        <x:v>1</x:v>
      </x:c>
      <x:c r="H4551" s="12" t="str">
        <x:v>Campus/portfolio roster; individual building occupancy unverified</x:v>
      </x:c>
      <x:c r="I4551" s="12" t="str">
        <x:v>Small-scale prospects</x:v>
      </x:c>
      <x:c r="J4551" s="12" t="str">
        <x:v>IT &amp; digital</x:v>
      </x:c>
      <x:c r="K4551" s="2" t="str">
        <x:v>PARTNER-M014</x:v>
      </x:c>
    </x:row>
    <x:row r="4552" ht="46" customHeight="1">
      <x:c r="A4552" s="2" t="str">
        <x:v>TEN-775865062819</x:v>
      </x:c>
      <x:c r="B4552" s="12" t="str">
        <x:v>Nagarro Software Pvt. Ltd</x:v>
      </x:c>
      <x:c r="C4552" s="12" t="str">
        <x:v>CORP-0439</x:v>
      </x:c>
      <x:c r="D4552" s="12" t="str">
        <x:v>Bengaluru</x:v>
      </x:c>
      <x:c r="E4552" s="12" t="str">
        <x:v>Prestige Tech Park</x:v>
      </x:c>
      <x:c r="F4552" s="12" t="str">
        <x:v>55 inch</x:v>
      </x:c>
      <x:c r="G4552" s="20" t="n">
        <x:v>1</x:v>
      </x:c>
      <x:c r="H4552" s="12" t="str">
        <x:v>Campus/portfolio roster; individual building occupancy unverified</x:v>
      </x:c>
      <x:c r="I4552" s="12" t="str">
        <x:v>Large enterprise</x:v>
      </x:c>
      <x:c r="J4552" s="12" t="str">
        <x:v>IT &amp; digital</x:v>
      </x:c>
      <x:c r="K4552" s="2" t="str">
        <x:v>PARTNER-M014</x:v>
      </x:c>
    </x:row>
    <x:row r="4553" ht="46" customHeight="1">
      <x:c r="A4553" s="2" t="str">
        <x:v>TEN-78522B7571D3</x:v>
      </x:c>
      <x:c r="B4553" s="12" t="str">
        <x:v>Grab Greco LLP</x:v>
      </x:c>
      <x:c r="C4553" s="12" t="str">
        <x:v>CORP-0439</x:v>
      </x:c>
      <x:c r="D4553" s="12" t="str">
        <x:v>Bengaluru</x:v>
      </x:c>
      <x:c r="E4553" s="12" t="str">
        <x:v>Prestige Tech Park</x:v>
      </x:c>
      <x:c r="F4553" s="12" t="str">
        <x:v>55 inch</x:v>
      </x:c>
      <x:c r="G4553" s="20" t="n">
        <x:v>1</x:v>
      </x:c>
      <x:c r="H4553" s="12" t="str">
        <x:v>Campus/portfolio roster; individual building occupancy unverified</x:v>
      </x:c>
      <x:c r="I4553" s="12" t="str">
        <x:v>Mixed business audience</x:v>
      </x:c>
      <x:c r="J4553" s="12" t="str">
        <x:v>Unresolved</x:v>
      </x:c>
      <x:c r="K4553" s="2" t="str">
        <x:v>PARTNER-M014</x:v>
      </x:c>
    </x:row>
    <x:row r="4554" ht="46" customHeight="1">
      <x:c r="A4554" s="2" t="str">
        <x:v>TEN-8217BB19EBF1</x:v>
      </x:c>
      <x:c r="B4554" s="12" t="str">
        <x:v>J.P. Morgan</x:v>
      </x:c>
      <x:c r="C4554" s="12" t="str">
        <x:v>CORP-0439</x:v>
      </x:c>
      <x:c r="D4554" s="12" t="str">
        <x:v>Bengaluru</x:v>
      </x:c>
      <x:c r="E4554" s="12" t="str">
        <x:v>Prestige Tech Park</x:v>
      </x:c>
      <x:c r="F4554" s="12" t="str">
        <x:v>55 inch</x:v>
      </x:c>
      <x:c r="G4554" s="20" t="n">
        <x:v>1</x:v>
      </x:c>
      <x:c r="H4554" s="12" t="str">
        <x:v>Campus/portfolio roster; individual building occupancy unverified</x:v>
      </x:c>
      <x:c r="I4554" s="12" t="str">
        <x:v>Large enterprise</x:v>
      </x:c>
      <x:c r="J4554" s="12" t="str">
        <x:v>Finance &amp; insurance</x:v>
      </x:c>
      <x:c r="K4554" s="2" t="str">
        <x:v>PARTNER-M014</x:v>
      </x:c>
    </x:row>
    <x:row r="4555" ht="46" customHeight="1">
      <x:c r="A4555" s="2" t="str">
        <x:v>TEN-9202AF6CE925</x:v>
      </x:c>
      <x:c r="B4555" s="12" t="str">
        <x:v>Oracle</x:v>
      </x:c>
      <x:c r="C4555" s="12" t="str">
        <x:v>CORP-0439</x:v>
      </x:c>
      <x:c r="D4555" s="12" t="str">
        <x:v>Bengaluru</x:v>
      </x:c>
      <x:c r="E4555" s="12" t="str">
        <x:v>Prestige Tech Park</x:v>
      </x:c>
      <x:c r="F4555" s="12" t="str">
        <x:v>55 inch</x:v>
      </x:c>
      <x:c r="G4555" s="20" t="n">
        <x:v>1</x:v>
      </x:c>
      <x:c r="H4555" s="12" t="str">
        <x:v>Campus/portfolio roster; individual building occupancy unverified</x:v>
      </x:c>
      <x:c r="I4555" s="12" t="str">
        <x:v>Large enterprise</x:v>
      </x:c>
      <x:c r="J4555" s="12" t="str">
        <x:v>IT &amp; digital</x:v>
      </x:c>
      <x:c r="K4555" s="2" t="str">
        <x:v>PARTNER-M014</x:v>
      </x:c>
    </x:row>
    <x:row r="4556" ht="46" customHeight="1">
      <x:c r="A4556" s="2" t="str">
        <x:v>TEN-9B7F5525854D</x:v>
      </x:c>
      <x:c r="B4556" s="12" t="str">
        <x:v>AQUANTIA SEMICONDUCTOR INDIA PVT LTD</x:v>
      </x:c>
      <x:c r="C4556" s="12" t="str">
        <x:v>CORP-0439</x:v>
      </x:c>
      <x:c r="D4556" s="12" t="str">
        <x:v>Bengaluru</x:v>
      </x:c>
      <x:c r="E4556" s="12" t="str">
        <x:v>Prestige Tech Park</x:v>
      </x:c>
      <x:c r="F4556" s="12" t="str">
        <x:v>55 inch</x:v>
      </x:c>
      <x:c r="G4556" s="20" t="n">
        <x:v>1</x:v>
      </x:c>
      <x:c r="H4556" s="12" t="str">
        <x:v>Campus/portfolio roster; individual building occupancy unverified</x:v>
      </x:c>
      <x:c r="I4556" s="12" t="str">
        <x:v>Mixed business audience</x:v>
      </x:c>
      <x:c r="J4556" s="12" t="str">
        <x:v>Engineering &amp; manufacturing</x:v>
      </x:c>
      <x:c r="K4556" s="2" t="str">
        <x:v>PARTNER-M014</x:v>
      </x:c>
    </x:row>
    <x:row r="4557" ht="46" customHeight="1">
      <x:c r="A4557" s="2" t="str">
        <x:v>TEN-B909749F4464</x:v>
      </x:c>
      <x:c r="B4557" s="12" t="str">
        <x:v>Conga (Apttus) Software Pvt. Ltd</x:v>
      </x:c>
      <x:c r="C4557" s="12" t="str">
        <x:v>CORP-0439</x:v>
      </x:c>
      <x:c r="D4557" s="12" t="str">
        <x:v>Bengaluru</x:v>
      </x:c>
      <x:c r="E4557" s="12" t="str">
        <x:v>Prestige Tech Park</x:v>
      </x:c>
      <x:c r="F4557" s="12" t="str">
        <x:v>55 inch</x:v>
      </x:c>
      <x:c r="G4557" s="20" t="n">
        <x:v>1</x:v>
      </x:c>
      <x:c r="H4557" s="12" t="str">
        <x:v>Campus/portfolio roster; individual building occupancy unverified</x:v>
      </x:c>
      <x:c r="I4557" s="12" t="str">
        <x:v>Mixed business audience</x:v>
      </x:c>
      <x:c r="J4557" s="12" t="str">
        <x:v>IT &amp; digital</x:v>
      </x:c>
      <x:c r="K4557" s="2" t="str">
        <x:v>PARTNER-M014</x:v>
      </x:c>
    </x:row>
    <x:row r="4558" ht="46" customHeight="1">
      <x:c r="A4558" s="2" t="str">
        <x:v>TEN-BC3067AC45DF</x:v>
      </x:c>
      <x:c r="B4558" s="12" t="str">
        <x:v>Schneider Electric</x:v>
      </x:c>
      <x:c r="C4558" s="12" t="str">
        <x:v>CORP-0439</x:v>
      </x:c>
      <x:c r="D4558" s="12" t="str">
        <x:v>Bengaluru</x:v>
      </x:c>
      <x:c r="E4558" s="12" t="str">
        <x:v>Prestige Tech Park</x:v>
      </x:c>
      <x:c r="F4558" s="12" t="str">
        <x:v>55 inch</x:v>
      </x:c>
      <x:c r="G4558" s="20" t="n">
        <x:v>1</x:v>
      </x:c>
      <x:c r="H4558" s="12" t="str">
        <x:v>Campus/portfolio roster; individual building occupancy unverified</x:v>
      </x:c>
      <x:c r="I4558" s="12" t="str">
        <x:v>Large enterprise</x:v>
      </x:c>
      <x:c r="J4558" s="12" t="str">
        <x:v>Engineering &amp; manufacturing</x:v>
      </x:c>
      <x:c r="K4558" s="2" t="str">
        <x:v>PARTNER-M014</x:v>
      </x:c>
    </x:row>
    <x:row r="4559" ht="46" customHeight="1">
      <x:c r="A4559" s="2" t="str">
        <x:v>TEN-C34DF63CE5F2</x:v>
      </x:c>
      <x:c r="B4559" s="12" t="str">
        <x:v>BlueJeans Networks Pvt Ltd</x:v>
      </x:c>
      <x:c r="C4559" s="12" t="str">
        <x:v>CORP-0439</x:v>
      </x:c>
      <x:c r="D4559" s="12" t="str">
        <x:v>Bengaluru</x:v>
      </x:c>
      <x:c r="E4559" s="12" t="str">
        <x:v>Prestige Tech Park</x:v>
      </x:c>
      <x:c r="F4559" s="12" t="str">
        <x:v>55 inch</x:v>
      </x:c>
      <x:c r="G4559" s="20" t="n">
        <x:v>1</x:v>
      </x:c>
      <x:c r="H4559" s="12" t="str">
        <x:v>Campus/portfolio roster; individual building occupancy unverified</x:v>
      </x:c>
      <x:c r="I4559" s="12" t="str">
        <x:v>Mixed business audience</x:v>
      </x:c>
      <x:c r="J4559" s="12" t="str">
        <x:v>IT &amp; digital</x:v>
      </x:c>
      <x:c r="K4559" s="2" t="str">
        <x:v>PARTNER-M014</x:v>
      </x:c>
    </x:row>
    <x:row r="4560" ht="46" customHeight="1">
      <x:c r="A4560" s="2" t="str">
        <x:v>TEN-C47675D3BD0C</x:v>
      </x:c>
      <x:c r="B4560" s="12" t="str">
        <x:v>Money View</x:v>
      </x:c>
      <x:c r="C4560" s="12" t="str">
        <x:v>CORP-0439</x:v>
      </x:c>
      <x:c r="D4560" s="12" t="str">
        <x:v>Bengaluru</x:v>
      </x:c>
      <x:c r="E4560" s="12" t="str">
        <x:v>Prestige Tech Park</x:v>
      </x:c>
      <x:c r="F4560" s="12" t="str">
        <x:v>55 inch</x:v>
      </x:c>
      <x:c r="G4560" s="20" t="n">
        <x:v>1</x:v>
      </x:c>
      <x:c r="H4560" s="12" t="str">
        <x:v>Campus/portfolio roster; individual building occupancy unverified</x:v>
      </x:c>
      <x:c r="I4560" s="12" t="str">
        <x:v>Medium-scale prospects</x:v>
      </x:c>
      <x:c r="J4560" s="12" t="str">
        <x:v>Finance &amp; insurance</x:v>
      </x:c>
      <x:c r="K4560" s="2" t="str">
        <x:v>PARTNER-M014</x:v>
      </x:c>
    </x:row>
    <x:row r="4561" ht="46" customHeight="1">
      <x:c r="A4561" s="2" t="str">
        <x:v>TEN-D886B2C883A6</x:v>
      </x:c>
      <x:c r="B4561" s="12" t="str">
        <x:v>Citi Bank</x:v>
      </x:c>
      <x:c r="C4561" s="12" t="str">
        <x:v>CORP-0439</x:v>
      </x:c>
      <x:c r="D4561" s="12" t="str">
        <x:v>Bengaluru</x:v>
      </x:c>
      <x:c r="E4561" s="12" t="str">
        <x:v>Prestige Tech Park</x:v>
      </x:c>
      <x:c r="F4561" s="12" t="str">
        <x:v>55 inch</x:v>
      </x:c>
      <x:c r="G4561" s="20" t="n">
        <x:v>1</x:v>
      </x:c>
      <x:c r="H4561" s="12" t="str">
        <x:v>Campus/portfolio roster; individual building occupancy unverified</x:v>
      </x:c>
      <x:c r="I4561" s="12" t="str">
        <x:v>Large enterprise</x:v>
      </x:c>
      <x:c r="J4561" s="12" t="str">
        <x:v>Finance &amp; insurance</x:v>
      </x:c>
      <x:c r="K4561" s="2" t="str">
        <x:v>PARTNER-M014</x:v>
      </x:c>
    </x:row>
    <x:row r="4562" ht="46" customHeight="1">
      <x:c r="A4562" s="2" t="str">
        <x:v>TEN-D9364FD0A5DE</x:v>
      </x:c>
      <x:c r="B4562" s="12" t="str">
        <x:v>Walmart Labs</x:v>
      </x:c>
      <x:c r="C4562" s="12" t="str">
        <x:v>CORP-0439</x:v>
      </x:c>
      <x:c r="D4562" s="12" t="str">
        <x:v>Bengaluru</x:v>
      </x:c>
      <x:c r="E4562" s="12" t="str">
        <x:v>Prestige Tech Park</x:v>
      </x:c>
      <x:c r="F4562" s="12" t="str">
        <x:v>55 inch</x:v>
      </x:c>
      <x:c r="G4562" s="20" t="n">
        <x:v>1</x:v>
      </x:c>
      <x:c r="H4562" s="12" t="str">
        <x:v>Campus/portfolio roster; individual building occupancy unverified</x:v>
      </x:c>
      <x:c r="I4562" s="12" t="str">
        <x:v>Large enterprise</x:v>
      </x:c>
      <x:c r="J4562" s="12" t="str">
        <x:v>Trade, consumer &amp; logistics</x:v>
      </x:c>
      <x:c r="K4562" s="2" t="str">
        <x:v>PARTNER-M014</x:v>
      </x:c>
    </x:row>
    <x:row r="4563" ht="46" customHeight="1">
      <x:c r="A4563" s="2" t="str">
        <x:v>TEN-F55A85B2F2EB</x:v>
      </x:c>
      <x:c r="B4563" s="12" t="str">
        <x:v>Capgemini</x:v>
      </x:c>
      <x:c r="C4563" s="12" t="str">
        <x:v>CORP-0439</x:v>
      </x:c>
      <x:c r="D4563" s="12" t="str">
        <x:v>Bengaluru</x:v>
      </x:c>
      <x:c r="E4563" s="12" t="str">
        <x:v>Prestige Tech Park</x:v>
      </x:c>
      <x:c r="F4563" s="12" t="str">
        <x:v>55 inch</x:v>
      </x:c>
      <x:c r="G4563" s="20" t="n">
        <x:v>1</x:v>
      </x:c>
      <x:c r="H4563" s="12" t="str">
        <x:v>Campus/portfolio roster; individual building occupancy unverified</x:v>
      </x:c>
      <x:c r="I4563" s="12" t="str">
        <x:v>Large enterprise</x:v>
      </x:c>
      <x:c r="J4563" s="12" t="str">
        <x:v>IT &amp; digital</x:v>
      </x:c>
      <x:c r="K4563" s="2" t="str">
        <x:v>PARTNER-M014</x:v>
      </x:c>
    </x:row>
    <x:row r="4564" ht="46" customHeight="1">
      <x:c r="A4564" s="2" t="str">
        <x:v>TEN-2DF4390BE20B</x:v>
      </x:c>
      <x:c r="B4564" s="12" t="str">
        <x:v>Toyota Tsusho India Pvt. Ltd</x:v>
      </x:c>
      <x:c r="C4564" s="12" t="str">
        <x:v>CORP-0655</x:v>
      </x:c>
      <x:c r="D4564" s="12" t="str">
        <x:v>Mumbai</x:v>
      </x:c>
      <x:c r="E4564" s="12" t="str">
        <x:v>Kanakia 215 Atrium</x:v>
      </x:c>
      <x:c r="F4564" s="12" t="str">
        <x:v>55 inch</x:v>
      </x:c>
      <x:c r="G4564" s="20" t="n">
        <x:v>1</x:v>
      </x:c>
      <x:c r="H4564" s="12" t="str">
        <x:v>Campus/portfolio roster; individual building occupancy unverified</x:v>
      </x:c>
      <x:c r="I4564" s="12" t="str">
        <x:v>Mixed business audience</x:v>
      </x:c>
      <x:c r="J4564" s="12" t="str">
        <x:v>Engineering &amp; manufacturing</x:v>
      </x:c>
      <x:c r="K4564" s="2" t="str">
        <x:v>PARTNER-M235</x:v>
      </x:c>
    </x:row>
    <x:row r="4565" ht="46" customHeight="1">
      <x:c r="A4565" s="2" t="str">
        <x:v>TEN-57FA1C55CCF8</x:v>
      </x:c>
      <x:c r="B4565" s="12" t="str">
        <x:v>International Asset Reconstruction Company</x:v>
      </x:c>
      <x:c r="C4565" s="12" t="str">
        <x:v>CORP-0655</x:v>
      </x:c>
      <x:c r="D4565" s="12" t="str">
        <x:v>Mumbai</x:v>
      </x:c>
      <x:c r="E4565" s="12" t="str">
        <x:v>Kanakia 215 Atrium</x:v>
      </x:c>
      <x:c r="F4565" s="12" t="str">
        <x:v>55 inch</x:v>
      </x:c>
      <x:c r="G4565" s="20" t="n">
        <x:v>1</x:v>
      </x:c>
      <x:c r="H4565" s="12" t="str">
        <x:v>Campus/portfolio roster; individual building occupancy unverified</x:v>
      </x:c>
      <x:c r="I4565" s="12" t="str">
        <x:v>Medium-scale prospects</x:v>
      </x:c>
      <x:c r="J4565" s="12" t="str">
        <x:v>Finance &amp; insurance</x:v>
      </x:c>
      <x:c r="K4565" s="2" t="str">
        <x:v>PARTNER-M235</x:v>
      </x:c>
    </x:row>
    <x:row r="4566" ht="46" customHeight="1">
      <x:c r="A4566" s="2" t="str">
        <x:v>TEN-584343DF6352</x:v>
      </x:c>
      <x:c r="B4566" s="12" t="str">
        <x:v>Sahajanand Medical Technologies Pvt Ltd</x:v>
      </x:c>
      <x:c r="C4566" s="12" t="str">
        <x:v>CORP-0655</x:v>
      </x:c>
      <x:c r="D4566" s="12" t="str">
        <x:v>Mumbai</x:v>
      </x:c>
      <x:c r="E4566" s="12" t="str">
        <x:v>Kanakia 215 Atrium</x:v>
      </x:c>
      <x:c r="F4566" s="12" t="str">
        <x:v>55 inch</x:v>
      </x:c>
      <x:c r="G4566" s="20" t="n">
        <x:v>1</x:v>
      </x:c>
      <x:c r="H4566" s="12" t="str">
        <x:v>Campus/portfolio roster; individual building occupancy unverified</x:v>
      </x:c>
      <x:c r="I4566" s="12" t="str">
        <x:v>Mixed business audience</x:v>
      </x:c>
      <x:c r="J4566" s="12" t="str">
        <x:v>Healthcare &amp; life sciences</x:v>
      </x:c>
      <x:c r="K4566" s="2" t="str">
        <x:v>PARTNER-M235</x:v>
      </x:c>
    </x:row>
    <x:row r="4567" ht="46" customHeight="1">
      <x:c r="A4567" s="2" t="str">
        <x:v>TEN-5CAEBC2A73C0</x:v>
      </x:c>
      <x:c r="B4567" s="12" t="str">
        <x:v>Hind Terminals Private Limited</x:v>
      </x:c>
      <x:c r="C4567" s="12" t="str">
        <x:v>CORP-0655</x:v>
      </x:c>
      <x:c r="D4567" s="12" t="str">
        <x:v>Mumbai</x:v>
      </x:c>
      <x:c r="E4567" s="12" t="str">
        <x:v>Kanakia 215 Atrium</x:v>
      </x:c>
      <x:c r="F4567" s="12" t="str">
        <x:v>55 inch</x:v>
      </x:c>
      <x:c r="G4567" s="20" t="n">
        <x:v>1</x:v>
      </x:c>
      <x:c r="H4567" s="12" t="str">
        <x:v>Campus/portfolio roster; individual building occupancy unverified</x:v>
      </x:c>
      <x:c r="I4567" s="12" t="str">
        <x:v>Mixed business audience</x:v>
      </x:c>
      <x:c r="J4567" s="12" t="str">
        <x:v>Trade, consumer &amp; logistics</x:v>
      </x:c>
      <x:c r="K4567" s="2" t="str">
        <x:v>PARTNER-M235</x:v>
      </x:c>
    </x:row>
    <x:row r="4568" ht="46" customHeight="1">
      <x:c r="A4568" s="2" t="str">
        <x:v>TEN-629323F9C9BA</x:v>
      </x:c>
      <x:c r="B4568" s="12" t="str">
        <x:v>Julius Baer</x:v>
      </x:c>
      <x:c r="C4568" s="12" t="str">
        <x:v>CORP-0655</x:v>
      </x:c>
      <x:c r="D4568" s="12" t="str">
        <x:v>Mumbai</x:v>
      </x:c>
      <x:c r="E4568" s="12" t="str">
        <x:v>Kanakia 215 Atrium</x:v>
      </x:c>
      <x:c r="F4568" s="12" t="str">
        <x:v>55 inch</x:v>
      </x:c>
      <x:c r="G4568" s="20" t="n">
        <x:v>1</x:v>
      </x:c>
      <x:c r="H4568" s="12" t="str">
        <x:v>Campus/portfolio roster; individual building occupancy unverified</x:v>
      </x:c>
      <x:c r="I4568" s="12" t="str">
        <x:v>Mixed business audience</x:v>
      </x:c>
      <x:c r="J4568" s="12" t="str">
        <x:v>Finance &amp; insurance</x:v>
      </x:c>
      <x:c r="K4568" s="2" t="str">
        <x:v>PARTNER-M235</x:v>
      </x:c>
    </x:row>
    <x:row r="4569" ht="46" customHeight="1">
      <x:c r="A4569" s="2" t="str">
        <x:v>TEN-73D4224ED59C</x:v>
      </x:c>
      <x:c r="B4569" s="12" t="str">
        <x:v>Societyfor Mumbai Incubation Lab</x:v>
      </x:c>
      <x:c r="C4569" s="12" t="str">
        <x:v>CORP-0655</x:v>
      </x:c>
      <x:c r="D4569" s="12" t="str">
        <x:v>Mumbai</x:v>
      </x:c>
      <x:c r="E4569" s="12" t="str">
        <x:v>Kanakia 215 Atrium</x:v>
      </x:c>
      <x:c r="F4569" s="12" t="str">
        <x:v>55 inch</x:v>
      </x:c>
      <x:c r="G4569" s="20" t="n">
        <x:v>1</x:v>
      </x:c>
      <x:c r="H4569" s="12" t="str">
        <x:v>Campus/portfolio roster; individual building occupancy unverified</x:v>
      </x:c>
      <x:c r="I4569" s="12" t="str">
        <x:v>Institutional</x:v>
      </x:c>
      <x:c r="J4569" s="12" t="str">
        <x:v>Government &amp; nonprofit</x:v>
      </x:c>
      <x:c r="K4569" s="2" t="str">
        <x:v>PARTNER-M235</x:v>
      </x:c>
    </x:row>
    <x:row r="4570" ht="46" customHeight="1">
      <x:c r="A4570" s="2" t="str">
        <x:v>TEN-9F6FEAE43949</x:v>
      </x:c>
      <x:c r="B4570" s="12" t="str">
        <x:v>Fossil India Pvt Ltd</x:v>
      </x:c>
      <x:c r="C4570" s="12" t="str">
        <x:v>CORP-0655</x:v>
      </x:c>
      <x:c r="D4570" s="12" t="str">
        <x:v>Mumbai</x:v>
      </x:c>
      <x:c r="E4570" s="12" t="str">
        <x:v>Kanakia 215 Atrium</x:v>
      </x:c>
      <x:c r="F4570" s="12" t="str">
        <x:v>55 inch</x:v>
      </x:c>
      <x:c r="G4570" s="20" t="n">
        <x:v>1</x:v>
      </x:c>
      <x:c r="H4570" s="12" t="str">
        <x:v>Campus/portfolio roster; individual building occupancy unverified</x:v>
      </x:c>
      <x:c r="I4570" s="12" t="str">
        <x:v>Mixed business audience</x:v>
      </x:c>
      <x:c r="J4570" s="12" t="str">
        <x:v>Trade, consumer &amp; logistics</x:v>
      </x:c>
      <x:c r="K4570" s="2" t="str">
        <x:v>PARTNER-M235</x:v>
      </x:c>
    </x:row>
    <x:row r="4571" ht="46" customHeight="1">
      <x:c r="A4571" s="2" t="str">
        <x:v>TEN-A9A905D2D15D</x:v>
      </x:c>
      <x:c r="B4571" s="12" t="str">
        <x:v>Inframax Engineers</x:v>
      </x:c>
      <x:c r="C4571" s="12" t="str">
        <x:v>CORP-0655</x:v>
      </x:c>
      <x:c r="D4571" s="12" t="str">
        <x:v>Mumbai</x:v>
      </x:c>
      <x:c r="E4571" s="12" t="str">
        <x:v>Kanakia 215 Atrium</x:v>
      </x:c>
      <x:c r="F4571" s="12" t="str">
        <x:v>55 inch</x:v>
      </x:c>
      <x:c r="G4571" s="20" t="n">
        <x:v>1</x:v>
      </x:c>
      <x:c r="H4571" s="12" t="str">
        <x:v>Campus/portfolio roster; individual building occupancy unverified</x:v>
      </x:c>
      <x:c r="I4571" s="12" t="str">
        <x:v>Medium-scale prospects</x:v>
      </x:c>
      <x:c r="J4571" s="12" t="str">
        <x:v>Engineering &amp; manufacturing</x:v>
      </x:c>
      <x:c r="K4571" s="2" t="str">
        <x:v>PARTNER-M235</x:v>
      </x:c>
    </x:row>
    <x:row r="4572" ht="46" customHeight="1">
      <x:c r="A4572" s="2" t="str">
        <x:v>TEN-ABA4CECB91B9</x:v>
      </x:c>
      <x:c r="B4572" s="12" t="str">
        <x:v>CSGT Trading India Pvt Ltd</x:v>
      </x:c>
      <x:c r="C4572" s="12" t="str">
        <x:v>CORP-0655</x:v>
      </x:c>
      <x:c r="D4572" s="12" t="str">
        <x:v>Mumbai</x:v>
      </x:c>
      <x:c r="E4572" s="12" t="str">
        <x:v>Kanakia 215 Atrium</x:v>
      </x:c>
      <x:c r="F4572" s="12" t="str">
        <x:v>55 inch</x:v>
      </x:c>
      <x:c r="G4572" s="20" t="n">
        <x:v>1</x:v>
      </x:c>
      <x:c r="H4572" s="12" t="str">
        <x:v>Campus/portfolio roster; individual building occupancy unverified</x:v>
      </x:c>
      <x:c r="I4572" s="12" t="str">
        <x:v>Small-scale prospects</x:v>
      </x:c>
      <x:c r="J4572" s="12" t="str">
        <x:v>Trade, consumer &amp; logistics</x:v>
      </x:c>
      <x:c r="K4572" s="2" t="str">
        <x:v>PARTNER-M235</x:v>
      </x:c>
    </x:row>
    <x:row r="4573" ht="46" customHeight="1">
      <x:c r="A4573" s="2" t="str">
        <x:v>TEN-C15D33DD1E40</x:v>
      </x:c>
      <x:c r="B4573" s="12" t="str">
        <x:v>Hal Offshore Ltd</x:v>
      </x:c>
      <x:c r="C4573" s="12" t="str">
        <x:v>CORP-0655</x:v>
      </x:c>
      <x:c r="D4573" s="12" t="str">
        <x:v>Mumbai</x:v>
      </x:c>
      <x:c r="E4573" s="12" t="str">
        <x:v>Kanakia 215 Atrium</x:v>
      </x:c>
      <x:c r="F4573" s="12" t="str">
        <x:v>55 inch</x:v>
      </x:c>
      <x:c r="G4573" s="20" t="n">
        <x:v>1</x:v>
      </x:c>
      <x:c r="H4573" s="12" t="str">
        <x:v>Campus/portfolio roster; individual building occupancy unverified</x:v>
      </x:c>
      <x:c r="I4573" s="12" t="str">
        <x:v>Mixed business audience</x:v>
      </x:c>
      <x:c r="J4573" s="12" t="str">
        <x:v>Trade, consumer &amp; logistics</x:v>
      </x:c>
      <x:c r="K4573" s="2" t="str">
        <x:v>PARTNER-M235</x:v>
      </x:c>
    </x:row>
    <x:row r="4574" ht="46" customHeight="1">
      <x:c r="A4574" s="2" t="str">
        <x:v>TEN-DB7C8ADDD504</x:v>
      </x:c>
      <x:c r="B4574" s="12" t="str">
        <x:v>Indian Energy Exchange</x:v>
      </x:c>
      <x:c r="C4574" s="12" t="str">
        <x:v>CORP-0655</x:v>
      </x:c>
      <x:c r="D4574" s="12" t="str">
        <x:v>Mumbai</x:v>
      </x:c>
      <x:c r="E4574" s="12" t="str">
        <x:v>Kanakia 215 Atrium</x:v>
      </x:c>
      <x:c r="F4574" s="12" t="str">
        <x:v>55 inch</x:v>
      </x:c>
      <x:c r="G4574" s="20" t="n">
        <x:v>1</x:v>
      </x:c>
      <x:c r="H4574" s="12" t="str">
        <x:v>Campus/portfolio roster; individual building occupancy unverified</x:v>
      </x:c>
      <x:c r="I4574" s="12" t="str">
        <x:v>Mixed business audience</x:v>
      </x:c>
      <x:c r="J4574" s="12" t="str">
        <x:v>Finance &amp; insurance</x:v>
      </x:c>
      <x:c r="K4574" s="2" t="str">
        <x:v>PARTNER-M235</x:v>
      </x:c>
    </x:row>
    <x:row r="4575" ht="46" customHeight="1">
      <x:c r="A4575" s="2" t="str">
        <x:v>TEN-DFC9AF331452</x:v>
      </x:c>
      <x:c r="B4575" s="12" t="str">
        <x:v>Infokrafts Data Consultancy Services</x:v>
      </x:c>
      <x:c r="C4575" s="12" t="str">
        <x:v>CORP-0655</x:v>
      </x:c>
      <x:c r="D4575" s="12" t="str">
        <x:v>Mumbai</x:v>
      </x:c>
      <x:c r="E4575" s="12" t="str">
        <x:v>Kanakia 215 Atrium</x:v>
      </x:c>
      <x:c r="F4575" s="12" t="str">
        <x:v>55 inch</x:v>
      </x:c>
      <x:c r="G4575" s="20" t="n">
        <x:v>1</x:v>
      </x:c>
      <x:c r="H4575" s="12" t="str">
        <x:v>Campus/portfolio roster; individual building occupancy unverified</x:v>
      </x:c>
      <x:c r="I4575" s="12" t="str">
        <x:v>Small-scale prospects</x:v>
      </x:c>
      <x:c r="J4575" s="12" t="str">
        <x:v>Professional services</x:v>
      </x:c>
      <x:c r="K4575" s="2" t="str">
        <x:v>PARTNER-M235</x:v>
      </x:c>
    </x:row>
    <x:row r="4576" ht="46" customHeight="1">
      <x:c r="A4576" s="2" t="str">
        <x:v>TEN-E357B05EB429</x:v>
      </x:c>
      <x:c r="B4576" s="12" t="str">
        <x:v>GlobeSecure Technologies Ltd</x:v>
      </x:c>
      <x:c r="C4576" s="12" t="str">
        <x:v>CORP-0655</x:v>
      </x:c>
      <x:c r="D4576" s="12" t="str">
        <x:v>Mumbai</x:v>
      </x:c>
      <x:c r="E4576" s="12" t="str">
        <x:v>Kanakia 215 Atrium</x:v>
      </x:c>
      <x:c r="F4576" s="12" t="str">
        <x:v>55 inch</x:v>
      </x:c>
      <x:c r="G4576" s="20" t="n">
        <x:v>1</x:v>
      </x:c>
      <x:c r="H4576" s="12" t="str">
        <x:v>Campus/portfolio roster; individual building occupancy unverified</x:v>
      </x:c>
      <x:c r="I4576" s="12" t="str">
        <x:v>Mixed business audience</x:v>
      </x:c>
      <x:c r="J4576" s="12" t="str">
        <x:v>Unresolved</x:v>
      </x:c>
      <x:c r="K4576" s="2" t="str">
        <x:v>PARTNER-M235</x:v>
      </x:c>
    </x:row>
    <x:row r="4577" ht="46" customHeight="1">
      <x:c r="A4577" s="2" t="str">
        <x:v>TEN-371295751A36</x:v>
      </x:c>
      <x:c r="B4577" s="12" t="str">
        <x:v>Fincrux Technologies</x:v>
      </x:c>
      <x:c r="C4577" s="12" t="str">
        <x:v>CORP-0656</x:v>
      </x:c>
      <x:c r="D4577" s="12" t="str">
        <x:v>Mumbai</x:v>
      </x:c>
      <x:c r="E4577" s="12" t="str">
        <x:v>Kanakia Atrium 2</x:v>
      </x:c>
      <x:c r="F4577" s="12" t="str">
        <x:v>55 inch</x:v>
      </x:c>
      <x:c r="G4577" s="20" t="n">
        <x:v>1</x:v>
      </x:c>
      <x:c r="H4577" s="12" t="str">
        <x:v>Campus/portfolio roster; individual building occupancy unverified</x:v>
      </x:c>
      <x:c r="I4577" s="12" t="str">
        <x:v>Mixed business audience</x:v>
      </x:c>
      <x:c r="J4577" s="12" t="str">
        <x:v>Unresolved</x:v>
      </x:c>
      <x:c r="K4577" s="2" t="str">
        <x:v>PARTNER-M239</x:v>
      </x:c>
    </x:row>
    <x:row r="4578" ht="46" customHeight="1">
      <x:c r="A4578" s="2" t="str">
        <x:v>TEN-39E8C5B4595F</x:v>
      </x:c>
      <x:c r="B4578" s="12" t="str">
        <x:v>Spiro Lifecare Pvt. Ltd</x:v>
      </x:c>
      <x:c r="C4578" s="12" t="str">
        <x:v>CORP-0656</x:v>
      </x:c>
      <x:c r="D4578" s="12" t="str">
        <x:v>Mumbai</x:v>
      </x:c>
      <x:c r="E4578" s="12" t="str">
        <x:v>Kanakia Atrium 2</x:v>
      </x:c>
      <x:c r="F4578" s="12" t="str">
        <x:v>55 inch</x:v>
      </x:c>
      <x:c r="G4578" s="20" t="n">
        <x:v>1</x:v>
      </x:c>
      <x:c r="H4578" s="12" t="str">
        <x:v>Campus/portfolio roster; individual building occupancy unverified</x:v>
      </x:c>
      <x:c r="I4578" s="12" t="str">
        <x:v>Medium-scale prospects</x:v>
      </x:c>
      <x:c r="J4578" s="12" t="str">
        <x:v>Healthcare &amp; life sciences</x:v>
      </x:c>
      <x:c r="K4578" s="2" t="str">
        <x:v>PARTNER-M239</x:v>
      </x:c>
    </x:row>
    <x:row r="4579" ht="46" customHeight="1">
      <x:c r="A4579" s="2" t="str">
        <x:v>TEN-5F3C456982BE</x:v>
      </x:c>
      <x:c r="B4579" s="12" t="str">
        <x:v>Dextra India Private Limited</x:v>
      </x:c>
      <x:c r="C4579" s="12" t="str">
        <x:v>CORP-0656</x:v>
      </x:c>
      <x:c r="D4579" s="12" t="str">
        <x:v>Mumbai</x:v>
      </x:c>
      <x:c r="E4579" s="12" t="str">
        <x:v>Kanakia Atrium 2</x:v>
      </x:c>
      <x:c r="F4579" s="12" t="str">
        <x:v>55 inch</x:v>
      </x:c>
      <x:c r="G4579" s="20" t="n">
        <x:v>1</x:v>
      </x:c>
      <x:c r="H4579" s="12" t="str">
        <x:v>Campus/portfolio roster; individual building occupancy unverified</x:v>
      </x:c>
      <x:c r="I4579" s="12" t="str">
        <x:v>Medium-scale prospects</x:v>
      </x:c>
      <x:c r="J4579" s="12" t="str">
        <x:v>Engineering &amp; manufacturing</x:v>
      </x:c>
      <x:c r="K4579" s="2" t="str">
        <x:v>PARTNER-M239</x:v>
      </x:c>
    </x:row>
    <x:row r="4580" ht="46" customHeight="1">
      <x:c r="A4580" s="2" t="str">
        <x:v>TEN-7FB744292917</x:v>
      </x:c>
      <x:c r="B4580" s="12" t="str">
        <x:v>Micro Mechanical Works</x:v>
      </x:c>
      <x:c r="C4580" s="12" t="str">
        <x:v>CORP-0656</x:v>
      </x:c>
      <x:c r="D4580" s="12" t="str">
        <x:v>Mumbai</x:v>
      </x:c>
      <x:c r="E4580" s="12" t="str">
        <x:v>Kanakia Atrium 2</x:v>
      </x:c>
      <x:c r="F4580" s="12" t="str">
        <x:v>55 inch</x:v>
      </x:c>
      <x:c r="G4580" s="20" t="n">
        <x:v>1</x:v>
      </x:c>
      <x:c r="H4580" s="12" t="str">
        <x:v>Campus/portfolio roster; individual building occupancy unverified</x:v>
      </x:c>
      <x:c r="I4580" s="12" t="str">
        <x:v>Medium-scale prospects</x:v>
      </x:c>
      <x:c r="J4580" s="12" t="str">
        <x:v>Engineering &amp; manufacturing</x:v>
      </x:c>
      <x:c r="K4580" s="2" t="str">
        <x:v>PARTNER-M239</x:v>
      </x:c>
    </x:row>
    <x:row r="4581" ht="46" customHeight="1">
      <x:c r="A4581" s="2" t="str">
        <x:v>TEN-9A7C16D3F193</x:v>
      </x:c>
      <x:c r="B4581" s="12" t="str">
        <x:v>Renascence Insolvency Resolution Professionals Pvt. Ltd</x:v>
      </x:c>
      <x:c r="C4581" s="12" t="str">
        <x:v>CORP-0656</x:v>
      </x:c>
      <x:c r="D4581" s="12" t="str">
        <x:v>Mumbai</x:v>
      </x:c>
      <x:c r="E4581" s="12" t="str">
        <x:v>Kanakia Atrium 2</x:v>
      </x:c>
      <x:c r="F4581" s="12" t="str">
        <x:v>55 inch</x:v>
      </x:c>
      <x:c r="G4581" s="20" t="n">
        <x:v>1</x:v>
      </x:c>
      <x:c r="H4581" s="12" t="str">
        <x:v>Campus/portfolio roster; individual building occupancy unverified</x:v>
      </x:c>
      <x:c r="I4581" s="12" t="str">
        <x:v>Small-scale prospects</x:v>
      </x:c>
      <x:c r="J4581" s="12" t="str">
        <x:v>Professional services</x:v>
      </x:c>
      <x:c r="K4581" s="2" t="str">
        <x:v>PARTNER-M239</x:v>
      </x:c>
    </x:row>
    <x:row r="4582" ht="46" customHeight="1">
      <x:c r="A4582" s="2" t="str">
        <x:v>TEN-D3004A4276FF</x:v>
      </x:c>
      <x:c r="B4582" s="12" t="str">
        <x:v>Barry Callebaut India Private Limited</x:v>
      </x:c>
      <x:c r="C4582" s="12" t="str">
        <x:v>CORP-0656</x:v>
      </x:c>
      <x:c r="D4582" s="12" t="str">
        <x:v>Mumbai</x:v>
      </x:c>
      <x:c r="E4582" s="12" t="str">
        <x:v>Kanakia Atrium 2</x:v>
      </x:c>
      <x:c r="F4582" s="12" t="str">
        <x:v>55 inch</x:v>
      </x:c>
      <x:c r="G4582" s="20" t="n">
        <x:v>1</x:v>
      </x:c>
      <x:c r="H4582" s="12" t="str">
        <x:v>Campus/portfolio roster; individual building occupancy unverified</x:v>
      </x:c>
      <x:c r="I4582" s="12" t="str">
        <x:v>Mixed business audience</x:v>
      </x:c>
      <x:c r="J4582" s="12" t="str">
        <x:v>Trade, consumer &amp; logistics</x:v>
      </x:c>
      <x:c r="K4582" s="2" t="str">
        <x:v>PARTNER-M239</x:v>
      </x:c>
    </x:row>
    <x:row r="4583" ht="46" customHeight="1">
      <x:c r="A4583" s="2" t="str">
        <x:v>TEN-E644ABB7D829</x:v>
      </x:c>
      <x:c r="B4583" s="12" t="str">
        <x:v>Sojitz India</x:v>
      </x:c>
      <x:c r="C4583" s="12" t="str">
        <x:v>CORP-0656</x:v>
      </x:c>
      <x:c r="D4583" s="12" t="str">
        <x:v>Mumbai</x:v>
      </x:c>
      <x:c r="E4583" s="12" t="str">
        <x:v>Kanakia Atrium 2</x:v>
      </x:c>
      <x:c r="F4583" s="12" t="str">
        <x:v>55 inch</x:v>
      </x:c>
      <x:c r="G4583" s="20" t="n">
        <x:v>1</x:v>
      </x:c>
      <x:c r="H4583" s="12" t="str">
        <x:v>Campus/portfolio roster; individual building occupancy unverified</x:v>
      </x:c>
      <x:c r="I4583" s="12" t="str">
        <x:v>Mixed business audience</x:v>
      </x:c>
      <x:c r="J4583" s="12" t="str">
        <x:v>Trade, consumer &amp; logistics</x:v>
      </x:c>
      <x:c r="K4583" s="2" t="str">
        <x:v>PARTNER-M239</x:v>
      </x:c>
    </x:row>
    <x:row r="4584" ht="46" customHeight="1">
      <x:c r="A4584" s="2" t="str">
        <x:v>TEN-371295751A36</x:v>
      </x:c>
      <x:c r="B4584" s="12" t="str">
        <x:v>Fincrux Technologies</x:v>
      </x:c>
      <x:c r="C4584" s="12" t="str">
        <x:v>CORP-0657</x:v>
      </x:c>
      <x:c r="D4584" s="12" t="str">
        <x:v>Mumbai</x:v>
      </x:c>
      <x:c r="E4584" s="12" t="str">
        <x:v>Kanakia Atrium 2</x:v>
      </x:c>
      <x:c r="F4584" s="12" t="str">
        <x:v>55 inch</x:v>
      </x:c>
      <x:c r="G4584" s="20" t="n">
        <x:v>1</x:v>
      </x:c>
      <x:c r="H4584" s="12" t="str">
        <x:v>Campus/portfolio roster; individual building occupancy unverified</x:v>
      </x:c>
      <x:c r="I4584" s="12" t="str">
        <x:v>Mixed business audience</x:v>
      </x:c>
      <x:c r="J4584" s="12" t="str">
        <x:v>Unresolved</x:v>
      </x:c>
      <x:c r="K4584" s="2" t="str">
        <x:v>PARTNER-M239</x:v>
      </x:c>
    </x:row>
    <x:row r="4585" ht="46" customHeight="1">
      <x:c r="A4585" s="2" t="str">
        <x:v>TEN-39E8C5B4595F</x:v>
      </x:c>
      <x:c r="B4585" s="12" t="str">
        <x:v>Spiro Lifecare Pvt. Ltd</x:v>
      </x:c>
      <x:c r="C4585" s="12" t="str">
        <x:v>CORP-0657</x:v>
      </x:c>
      <x:c r="D4585" s="12" t="str">
        <x:v>Mumbai</x:v>
      </x:c>
      <x:c r="E4585" s="12" t="str">
        <x:v>Kanakia Atrium 2</x:v>
      </x:c>
      <x:c r="F4585" s="12" t="str">
        <x:v>55 inch</x:v>
      </x:c>
      <x:c r="G4585" s="20" t="n">
        <x:v>1</x:v>
      </x:c>
      <x:c r="H4585" s="12" t="str">
        <x:v>Campus/portfolio roster; individual building occupancy unverified</x:v>
      </x:c>
      <x:c r="I4585" s="12" t="str">
        <x:v>Medium-scale prospects</x:v>
      </x:c>
      <x:c r="J4585" s="12" t="str">
        <x:v>Healthcare &amp; life sciences</x:v>
      </x:c>
      <x:c r="K4585" s="2" t="str">
        <x:v>PARTNER-M239</x:v>
      </x:c>
    </x:row>
    <x:row r="4586" ht="46" customHeight="1">
      <x:c r="A4586" s="2" t="str">
        <x:v>TEN-5F3C456982BE</x:v>
      </x:c>
      <x:c r="B4586" s="12" t="str">
        <x:v>Dextra India Private Limited</x:v>
      </x:c>
      <x:c r="C4586" s="12" t="str">
        <x:v>CORP-0657</x:v>
      </x:c>
      <x:c r="D4586" s="12" t="str">
        <x:v>Mumbai</x:v>
      </x:c>
      <x:c r="E4586" s="12" t="str">
        <x:v>Kanakia Atrium 2</x:v>
      </x:c>
      <x:c r="F4586" s="12" t="str">
        <x:v>55 inch</x:v>
      </x:c>
      <x:c r="G4586" s="20" t="n">
        <x:v>1</x:v>
      </x:c>
      <x:c r="H4586" s="12" t="str">
        <x:v>Campus/portfolio roster; individual building occupancy unverified</x:v>
      </x:c>
      <x:c r="I4586" s="12" t="str">
        <x:v>Medium-scale prospects</x:v>
      </x:c>
      <x:c r="J4586" s="12" t="str">
        <x:v>Engineering &amp; manufacturing</x:v>
      </x:c>
      <x:c r="K4586" s="2" t="str">
        <x:v>PARTNER-M239</x:v>
      </x:c>
    </x:row>
    <x:row r="4587" ht="46" customHeight="1">
      <x:c r="A4587" s="2" t="str">
        <x:v>TEN-7FB744292917</x:v>
      </x:c>
      <x:c r="B4587" s="12" t="str">
        <x:v>Micro Mechanical Works</x:v>
      </x:c>
      <x:c r="C4587" s="12" t="str">
        <x:v>CORP-0657</x:v>
      </x:c>
      <x:c r="D4587" s="12" t="str">
        <x:v>Mumbai</x:v>
      </x:c>
      <x:c r="E4587" s="12" t="str">
        <x:v>Kanakia Atrium 2</x:v>
      </x:c>
      <x:c r="F4587" s="12" t="str">
        <x:v>55 inch</x:v>
      </x:c>
      <x:c r="G4587" s="20" t="n">
        <x:v>1</x:v>
      </x:c>
      <x:c r="H4587" s="12" t="str">
        <x:v>Campus/portfolio roster; individual building occupancy unverified</x:v>
      </x:c>
      <x:c r="I4587" s="12" t="str">
        <x:v>Medium-scale prospects</x:v>
      </x:c>
      <x:c r="J4587" s="12" t="str">
        <x:v>Engineering &amp; manufacturing</x:v>
      </x:c>
      <x:c r="K4587" s="2" t="str">
        <x:v>PARTNER-M239</x:v>
      </x:c>
    </x:row>
    <x:row r="4588" ht="46" customHeight="1">
      <x:c r="A4588" s="2" t="str">
        <x:v>TEN-9A7C16D3F193</x:v>
      </x:c>
      <x:c r="B4588" s="12" t="str">
        <x:v>Renascence Insolvency Resolution Professionals Pvt. Ltd</x:v>
      </x:c>
      <x:c r="C4588" s="12" t="str">
        <x:v>CORP-0657</x:v>
      </x:c>
      <x:c r="D4588" s="12" t="str">
        <x:v>Mumbai</x:v>
      </x:c>
      <x:c r="E4588" s="12" t="str">
        <x:v>Kanakia Atrium 2</x:v>
      </x:c>
      <x:c r="F4588" s="12" t="str">
        <x:v>55 inch</x:v>
      </x:c>
      <x:c r="G4588" s="20" t="n">
        <x:v>1</x:v>
      </x:c>
      <x:c r="H4588" s="12" t="str">
        <x:v>Campus/portfolio roster; individual building occupancy unverified</x:v>
      </x:c>
      <x:c r="I4588" s="12" t="str">
        <x:v>Small-scale prospects</x:v>
      </x:c>
      <x:c r="J4588" s="12" t="str">
        <x:v>Professional services</x:v>
      </x:c>
      <x:c r="K4588" s="2" t="str">
        <x:v>PARTNER-M239</x:v>
      </x:c>
    </x:row>
    <x:row r="4589" ht="46" customHeight="1">
      <x:c r="A4589" s="2" t="str">
        <x:v>TEN-D3004A4276FF</x:v>
      </x:c>
      <x:c r="B4589" s="12" t="str">
        <x:v>Barry Callebaut India Private Limited</x:v>
      </x:c>
      <x:c r="C4589" s="12" t="str">
        <x:v>CORP-0657</x:v>
      </x:c>
      <x:c r="D4589" s="12" t="str">
        <x:v>Mumbai</x:v>
      </x:c>
      <x:c r="E4589" s="12" t="str">
        <x:v>Kanakia Atrium 2</x:v>
      </x:c>
      <x:c r="F4589" s="12" t="str">
        <x:v>55 inch</x:v>
      </x:c>
      <x:c r="G4589" s="20" t="n">
        <x:v>1</x:v>
      </x:c>
      <x:c r="H4589" s="12" t="str">
        <x:v>Campus/portfolio roster; individual building occupancy unverified</x:v>
      </x:c>
      <x:c r="I4589" s="12" t="str">
        <x:v>Mixed business audience</x:v>
      </x:c>
      <x:c r="J4589" s="12" t="str">
        <x:v>Trade, consumer &amp; logistics</x:v>
      </x:c>
      <x:c r="K4589" s="2" t="str">
        <x:v>PARTNER-M239</x:v>
      </x:c>
    </x:row>
    <x:row r="4590" ht="46" customHeight="1">
      <x:c r="A4590" s="2" t="str">
        <x:v>TEN-E644ABB7D829</x:v>
      </x:c>
      <x:c r="B4590" s="12" t="str">
        <x:v>Sojitz India</x:v>
      </x:c>
      <x:c r="C4590" s="12" t="str">
        <x:v>CORP-0657</x:v>
      </x:c>
      <x:c r="D4590" s="12" t="str">
        <x:v>Mumbai</x:v>
      </x:c>
      <x:c r="E4590" s="12" t="str">
        <x:v>Kanakia Atrium 2</x:v>
      </x:c>
      <x:c r="F4590" s="12" t="str">
        <x:v>55 inch</x:v>
      </x:c>
      <x:c r="G4590" s="20" t="n">
        <x:v>1</x:v>
      </x:c>
      <x:c r="H4590" s="12" t="str">
        <x:v>Campus/portfolio roster; individual building occupancy unverified</x:v>
      </x:c>
      <x:c r="I4590" s="12" t="str">
        <x:v>Mixed business audience</x:v>
      </x:c>
      <x:c r="J4590" s="12" t="str">
        <x:v>Trade, consumer &amp; logistics</x:v>
      </x:c>
      <x:c r="K4590" s="2" t="str">
        <x:v>PARTNER-M239</x:v>
      </x:c>
    </x:row>
    <x:row r="4591" ht="46" customHeight="1">
      <x:c r="A4591" s="2" t="str">
        <x:v>TEN-02A1EF31999B</x:v>
      </x:c>
      <x:c r="B4591" s="12" t="str">
        <x:v>Yokogawa Technology Solutions</x:v>
      </x:c>
      <x:c r="C4591" s="12" t="str">
        <x:v>CORP-0658</x:v>
      </x:c>
      <x:c r="D4591" s="12" t="str">
        <x:v>Mumbai</x:v>
      </x:c>
      <x:c r="E4591" s="12" t="str">
        <x:v>Dynasty Business Park</x:v>
      </x:c>
      <x:c r="F4591" s="12" t="str">
        <x:v>55 inch</x:v>
      </x:c>
      <x:c r="G4591" s="20" t="n">
        <x:v>1</x:v>
      </x:c>
      <x:c r="H4591" s="12" t="str">
        <x:v>Campus/portfolio roster; individual building occupancy unverified</x:v>
      </x:c>
      <x:c r="I4591" s="12" t="str">
        <x:v>Mixed business audience</x:v>
      </x:c>
      <x:c r="J4591" s="12" t="str">
        <x:v>IT &amp; digital</x:v>
      </x:c>
      <x:c r="K4591" s="2" t="str">
        <x:v>PARTNER-M241</x:v>
      </x:c>
    </x:row>
    <x:row r="4592" ht="46" customHeight="1">
      <x:c r="A4592" s="2" t="str">
        <x:v>TEN-03071EB4D70B</x:v>
      </x:c>
      <x:c r="B4592" s="12" t="str">
        <x:v>Pramukh Paper Products</x:v>
      </x:c>
      <x:c r="C4592" s="12" t="str">
        <x:v>CORP-0658</x:v>
      </x:c>
      <x:c r="D4592" s="12" t="str">
        <x:v>Mumbai</x:v>
      </x:c>
      <x:c r="E4592" s="12" t="str">
        <x:v>Dynasty Business Park</x:v>
      </x:c>
      <x:c r="F4592" s="12" t="str">
        <x:v>55 inch</x:v>
      </x:c>
      <x:c r="G4592" s="20" t="n">
        <x:v>1</x:v>
      </x:c>
      <x:c r="H4592" s="12" t="str">
        <x:v>Campus/portfolio roster; individual building occupancy unverified</x:v>
      </x:c>
      <x:c r="I4592" s="12" t="str">
        <x:v>Medium-scale prospects</x:v>
      </x:c>
      <x:c r="J4592" s="12" t="str">
        <x:v>Engineering &amp; manufacturing</x:v>
      </x:c>
      <x:c r="K4592" s="2" t="str">
        <x:v>PARTNER-M241</x:v>
      </x:c>
    </x:row>
    <x:row r="4593" ht="46" customHeight="1">
      <x:c r="A4593" s="2" t="str">
        <x:v>TEN-119294CA37A5</x:v>
      </x:c>
      <x:c r="B4593" s="12" t="str">
        <x:v>Dynamix dairy</x:v>
      </x:c>
      <x:c r="C4593" s="12" t="str">
        <x:v>CORP-0658</x:v>
      </x:c>
      <x:c r="D4593" s="12" t="str">
        <x:v>Mumbai</x:v>
      </x:c>
      <x:c r="E4593" s="12" t="str">
        <x:v>Dynasty Business Park</x:v>
      </x:c>
      <x:c r="F4593" s="12" t="str">
        <x:v>55 inch</x:v>
      </x:c>
      <x:c r="G4593" s="20" t="n">
        <x:v>1</x:v>
      </x:c>
      <x:c r="H4593" s="12" t="str">
        <x:v>Campus/portfolio roster; individual building occupancy unverified</x:v>
      </x:c>
      <x:c r="I4593" s="12" t="str">
        <x:v>Mixed business audience</x:v>
      </x:c>
      <x:c r="J4593" s="12" t="str">
        <x:v>Trade, consumer &amp; logistics</x:v>
      </x:c>
      <x:c r="K4593" s="2" t="str">
        <x:v>PARTNER-M241</x:v>
      </x:c>
    </x:row>
    <x:row r="4594" ht="46" customHeight="1">
      <x:c r="A4594" s="2" t="str">
        <x:v>TEN-11A73E8A1661</x:v>
      </x:c>
      <x:c r="B4594" s="12" t="str">
        <x:v>TPV Technology</x:v>
      </x:c>
      <x:c r="C4594" s="12" t="str">
        <x:v>CORP-0658</x:v>
      </x:c>
      <x:c r="D4594" s="12" t="str">
        <x:v>Mumbai</x:v>
      </x:c>
      <x:c r="E4594" s="12" t="str">
        <x:v>Dynasty Business Park</x:v>
      </x:c>
      <x:c r="F4594" s="12" t="str">
        <x:v>55 inch</x:v>
      </x:c>
      <x:c r="G4594" s="20" t="n">
        <x:v>1</x:v>
      </x:c>
      <x:c r="H4594" s="12" t="str">
        <x:v>Campus/portfolio roster; individual building occupancy unverified</x:v>
      </x:c>
      <x:c r="I4594" s="12" t="str">
        <x:v>Mixed business audience</x:v>
      </x:c>
      <x:c r="J4594" s="12" t="str">
        <x:v>Engineering &amp; manufacturing</x:v>
      </x:c>
      <x:c r="K4594" s="2" t="str">
        <x:v>PARTNER-M241</x:v>
      </x:c>
    </x:row>
    <x:row r="4595" ht="46" customHeight="1">
      <x:c r="A4595" s="2" t="str">
        <x:v>TEN-182A654853D9</x:v>
      </x:c>
      <x:c r="B4595" s="12" t="str">
        <x:v>Searock International</x:v>
      </x:c>
      <x:c r="C4595" s="12" t="str">
        <x:v>CORP-0658</x:v>
      </x:c>
      <x:c r="D4595" s="12" t="str">
        <x:v>Mumbai</x:v>
      </x:c>
      <x:c r="E4595" s="12" t="str">
        <x:v>Dynasty Business Park</x:v>
      </x:c>
      <x:c r="F4595" s="12" t="str">
        <x:v>55 inch</x:v>
      </x:c>
      <x:c r="G4595" s="20" t="n">
        <x:v>1</x:v>
      </x:c>
      <x:c r="H4595" s="12" t="str">
        <x:v>Campus/portfolio roster; individual building occupancy unverified</x:v>
      </x:c>
      <x:c r="I4595" s="12" t="str">
        <x:v>Medium-scale prospects</x:v>
      </x:c>
      <x:c r="J4595" s="12" t="str">
        <x:v>Trade, consumer &amp; logistics</x:v>
      </x:c>
      <x:c r="K4595" s="2" t="str">
        <x:v>PARTNER-M241</x:v>
      </x:c>
    </x:row>
    <x:row r="4596" ht="46" customHeight="1">
      <x:c r="A4596" s="2" t="str">
        <x:v>TEN-1843C84A4318</x:v>
      </x:c>
      <x:c r="B4596" s="12" t="str">
        <x:v>Anheuser Busch Inbev</x:v>
      </x:c>
      <x:c r="C4596" s="12" t="str">
        <x:v>CORP-0658</x:v>
      </x:c>
      <x:c r="D4596" s="12" t="str">
        <x:v>Mumbai</x:v>
      </x:c>
      <x:c r="E4596" s="12" t="str">
        <x:v>Dynasty Business Park</x:v>
      </x:c>
      <x:c r="F4596" s="12" t="str">
        <x:v>55 inch</x:v>
      </x:c>
      <x:c r="G4596" s="20" t="n">
        <x:v>1</x:v>
      </x:c>
      <x:c r="H4596" s="12" t="str">
        <x:v>Campus/portfolio roster; individual building occupancy unverified</x:v>
      </x:c>
      <x:c r="I4596" s="12" t="str">
        <x:v>Mixed business audience</x:v>
      </x:c>
      <x:c r="J4596" s="12" t="str">
        <x:v>Trade, consumer &amp; logistics</x:v>
      </x:c>
      <x:c r="K4596" s="2" t="str">
        <x:v>PARTNER-M241</x:v>
      </x:c>
    </x:row>
    <x:row r="4597" ht="46" customHeight="1">
      <x:c r="A4597" s="2" t="str">
        <x:v>TEN-27D7FC7285CF</x:v>
      </x:c>
      <x:c r="B4597" s="12" t="str">
        <x:v>Hindustan Times Radio Station (Radio One)</x:v>
      </x:c>
      <x:c r="C4597" s="12" t="str">
        <x:v>CORP-0658</x:v>
      </x:c>
      <x:c r="D4597" s="12" t="str">
        <x:v>Mumbai</x:v>
      </x:c>
      <x:c r="E4597" s="12" t="str">
        <x:v>Dynasty Business Park</x:v>
      </x:c>
      <x:c r="F4597" s="12" t="str">
        <x:v>55 inch</x:v>
      </x:c>
      <x:c r="G4597" s="20" t="n">
        <x:v>1</x:v>
      </x:c>
      <x:c r="H4597" s="12" t="str">
        <x:v>Campus/portfolio roster; individual building occupancy unverified</x:v>
      </x:c>
      <x:c r="I4597" s="12" t="str">
        <x:v>Mixed business audience</x:v>
      </x:c>
      <x:c r="J4597" s="12" t="str">
        <x:v>Trade, consumer &amp; logistics</x:v>
      </x:c>
      <x:c r="K4597" s="2" t="str">
        <x:v>PARTNER-M241</x:v>
      </x:c>
    </x:row>
    <x:row r="4598" ht="46" customHeight="1">
      <x:c r="A4598" s="2" t="str">
        <x:v>TEN-354BBA9D3C26</x:v>
      </x:c>
      <x:c r="B4598" s="12" t="str">
        <x:v>Greenply Industries</x:v>
      </x:c>
      <x:c r="C4598" s="12" t="str">
        <x:v>CORP-0658</x:v>
      </x:c>
      <x:c r="D4598" s="12" t="str">
        <x:v>Mumbai</x:v>
      </x:c>
      <x:c r="E4598" s="12" t="str">
        <x:v>Dynasty Business Park</x:v>
      </x:c>
      <x:c r="F4598" s="12" t="str">
        <x:v>55 inch</x:v>
      </x:c>
      <x:c r="G4598" s="20" t="n">
        <x:v>1</x:v>
      </x:c>
      <x:c r="H4598" s="12" t="str">
        <x:v>Campus/portfolio roster; individual building occupancy unverified</x:v>
      </x:c>
      <x:c r="I4598" s="12" t="str">
        <x:v>Mixed business audience</x:v>
      </x:c>
      <x:c r="J4598" s="12" t="str">
        <x:v>Engineering &amp; manufacturing</x:v>
      </x:c>
      <x:c r="K4598" s="2" t="str">
        <x:v>PARTNER-M241</x:v>
      </x:c>
    </x:row>
    <x:row r="4599" ht="46" customHeight="1">
      <x:c r="A4599" s="2" t="str">
        <x:v>TEN-4352939E2375</x:v>
      </x:c>
      <x:c r="B4599" s="12" t="str">
        <x:v>Bharat Finlease</x:v>
      </x:c>
      <x:c r="C4599" s="12" t="str">
        <x:v>CORP-0658</x:v>
      </x:c>
      <x:c r="D4599" s="12" t="str">
        <x:v>Mumbai</x:v>
      </x:c>
      <x:c r="E4599" s="12" t="str">
        <x:v>Dynasty Business Park</x:v>
      </x:c>
      <x:c r="F4599" s="12" t="str">
        <x:v>55 inch</x:v>
      </x:c>
      <x:c r="G4599" s="20" t="n">
        <x:v>1</x:v>
      </x:c>
      <x:c r="H4599" s="12" t="str">
        <x:v>Campus/portfolio roster; individual building occupancy unverified</x:v>
      </x:c>
      <x:c r="I4599" s="12" t="str">
        <x:v>Medium-scale prospects</x:v>
      </x:c>
      <x:c r="J4599" s="12" t="str">
        <x:v>Finance &amp; insurance</x:v>
      </x:c>
      <x:c r="K4599" s="2" t="str">
        <x:v>PARTNER-M241</x:v>
      </x:c>
    </x:row>
    <x:row r="4600" ht="46" customHeight="1">
      <x:c r="A4600" s="2" t="str">
        <x:v>TEN-48C0B7EF7437</x:v>
      </x:c>
      <x:c r="B4600" s="12" t="str">
        <x:v>Sovika Aviation Services</x:v>
      </x:c>
      <x:c r="C4600" s="12" t="str">
        <x:v>CORP-0658</x:v>
      </x:c>
      <x:c r="D4600" s="12" t="str">
        <x:v>Mumbai</x:v>
      </x:c>
      <x:c r="E4600" s="12" t="str">
        <x:v>Dynasty Business Park</x:v>
      </x:c>
      <x:c r="F4600" s="12" t="str">
        <x:v>55 inch</x:v>
      </x:c>
      <x:c r="G4600" s="20" t="n">
        <x:v>1</x:v>
      </x:c>
      <x:c r="H4600" s="12" t="str">
        <x:v>Campus/portfolio roster; individual building occupancy unverified</x:v>
      </x:c>
      <x:c r="I4600" s="12" t="str">
        <x:v>Small-scale prospects</x:v>
      </x:c>
      <x:c r="J4600" s="12" t="str">
        <x:v>Trade, consumer &amp; logistics</x:v>
      </x:c>
      <x:c r="K4600" s="2" t="str">
        <x:v>PARTNER-M241</x:v>
      </x:c>
    </x:row>
    <x:row r="4601" ht="46" customHeight="1">
      <x:c r="A4601" s="2" t="str">
        <x:v>TEN-59AD12AAE07D</x:v>
      </x:c>
      <x:c r="B4601" s="12" t="str">
        <x:v>HTC Global Services India (Cibersites)</x:v>
      </x:c>
      <x:c r="C4601" s="12" t="str">
        <x:v>CORP-0658</x:v>
      </x:c>
      <x:c r="D4601" s="12" t="str">
        <x:v>Mumbai</x:v>
      </x:c>
      <x:c r="E4601" s="12" t="str">
        <x:v>Dynasty Business Park</x:v>
      </x:c>
      <x:c r="F4601" s="12" t="str">
        <x:v>55 inch</x:v>
      </x:c>
      <x:c r="G4601" s="20" t="n">
        <x:v>1</x:v>
      </x:c>
      <x:c r="H4601" s="12" t="str">
        <x:v>Campus/portfolio roster; individual building occupancy unverified</x:v>
      </x:c>
      <x:c r="I4601" s="12" t="str">
        <x:v>Mixed business audience</x:v>
      </x:c>
      <x:c r="J4601" s="12" t="str">
        <x:v>IT &amp; digital</x:v>
      </x:c>
      <x:c r="K4601" s="2" t="str">
        <x:v>PARTNER-M241</x:v>
      </x:c>
    </x:row>
    <x:row r="4602" ht="46" customHeight="1">
      <x:c r="A4602" s="2" t="str">
        <x:v>TEN-5C8734A6943D</x:v>
      </x:c>
      <x:c r="B4602" s="12" t="str">
        <x:v>SabMiller India</x:v>
      </x:c>
      <x:c r="C4602" s="12" t="str">
        <x:v>CORP-0658</x:v>
      </x:c>
      <x:c r="D4602" s="12" t="str">
        <x:v>Mumbai</x:v>
      </x:c>
      <x:c r="E4602" s="12" t="str">
        <x:v>Dynasty Business Park</x:v>
      </x:c>
      <x:c r="F4602" s="12" t="str">
        <x:v>55 inch</x:v>
      </x:c>
      <x:c r="G4602" s="20" t="n">
        <x:v>1</x:v>
      </x:c>
      <x:c r="H4602" s="12" t="str">
        <x:v>Campus/portfolio roster; individual building occupancy unverified</x:v>
      </x:c>
      <x:c r="I4602" s="12" t="str">
        <x:v>Mixed business audience</x:v>
      </x:c>
      <x:c r="J4602" s="12" t="str">
        <x:v>Trade, consumer &amp; logistics</x:v>
      </x:c>
      <x:c r="K4602" s="2" t="str">
        <x:v>PARTNER-M241</x:v>
      </x:c>
    </x:row>
    <x:row r="4603" ht="46" customHeight="1">
      <x:c r="A4603" s="2" t="str">
        <x:v>TEN-5EB562386662</x:v>
      </x:c>
      <x:c r="B4603" s="12" t="str">
        <x:v>Nimbus Maritime Services</x:v>
      </x:c>
      <x:c r="C4603" s="12" t="str">
        <x:v>CORP-0658</x:v>
      </x:c>
      <x:c r="D4603" s="12" t="str">
        <x:v>Mumbai</x:v>
      </x:c>
      <x:c r="E4603" s="12" t="str">
        <x:v>Dynasty Business Park</x:v>
      </x:c>
      <x:c r="F4603" s="12" t="str">
        <x:v>55 inch</x:v>
      </x:c>
      <x:c r="G4603" s="20" t="n">
        <x:v>1</x:v>
      </x:c>
      <x:c r="H4603" s="12" t="str">
        <x:v>Campus/portfolio roster; individual building occupancy unverified</x:v>
      </x:c>
      <x:c r="I4603" s="12" t="str">
        <x:v>Medium-scale prospects</x:v>
      </x:c>
      <x:c r="J4603" s="12" t="str">
        <x:v>Trade, consumer &amp; logistics</x:v>
      </x:c>
      <x:c r="K4603" s="2" t="str">
        <x:v>PARTNER-M241</x:v>
      </x:c>
    </x:row>
    <x:row r="4604" ht="46" customHeight="1">
      <x:c r="A4604" s="2" t="str">
        <x:v>TEN-6B6EC1888B41</x:v>
      </x:c>
      <x:c r="B4604" s="12" t="str">
        <x:v>Responsys News And Media</x:v>
      </x:c>
      <x:c r="C4604" s="12" t="str">
        <x:v>CORP-0658</x:v>
      </x:c>
      <x:c r="D4604" s="12" t="str">
        <x:v>Mumbai</x:v>
      </x:c>
      <x:c r="E4604" s="12" t="str">
        <x:v>Dynasty Business Park</x:v>
      </x:c>
      <x:c r="F4604" s="12" t="str">
        <x:v>55 inch</x:v>
      </x:c>
      <x:c r="G4604" s="20" t="n">
        <x:v>1</x:v>
      </x:c>
      <x:c r="H4604" s="12" t="str">
        <x:v>Campus/portfolio roster; individual building occupancy unverified</x:v>
      </x:c>
      <x:c r="I4604" s="12" t="str">
        <x:v>Small-scale prospects</x:v>
      </x:c>
      <x:c r="J4604" s="12" t="str">
        <x:v>IT &amp; digital</x:v>
      </x:c>
      <x:c r="K4604" s="2" t="str">
        <x:v>PARTNER-M241</x:v>
      </x:c>
    </x:row>
    <x:row r="4605" ht="46" customHeight="1">
      <x:c r="A4605" s="2" t="str">
        <x:v>TEN-80C6959D554D</x:v>
      </x:c>
      <x:c r="B4605" s="12" t="str">
        <x:v>XT Ships Management</x:v>
      </x:c>
      <x:c r="C4605" s="12" t="str">
        <x:v>CORP-0658</x:v>
      </x:c>
      <x:c r="D4605" s="12" t="str">
        <x:v>Mumbai</x:v>
      </x:c>
      <x:c r="E4605" s="12" t="str">
        <x:v>Dynasty Business Park</x:v>
      </x:c>
      <x:c r="F4605" s="12" t="str">
        <x:v>55 inch</x:v>
      </x:c>
      <x:c r="G4605" s="20" t="n">
        <x:v>1</x:v>
      </x:c>
      <x:c r="H4605" s="12" t="str">
        <x:v>Campus/portfolio roster; individual building occupancy unverified</x:v>
      </x:c>
      <x:c r="I4605" s="12" t="str">
        <x:v>Medium-scale prospects</x:v>
      </x:c>
      <x:c r="J4605" s="12" t="str">
        <x:v>Trade, consumer &amp; logistics</x:v>
      </x:c>
      <x:c r="K4605" s="2" t="str">
        <x:v>PARTNER-M241</x:v>
      </x:c>
    </x:row>
    <x:row r="4606" ht="46" customHeight="1">
      <x:c r="A4606" s="2" t="str">
        <x:v>TEN-845E172C9D1B</x:v>
      </x:c>
      <x:c r="B4606" s="12" t="str">
        <x:v>regus business centre</x:v>
      </x:c>
      <x:c r="C4606" s="12" t="str">
        <x:v>CORP-0658</x:v>
      </x:c>
      <x:c r="D4606" s="12" t="str">
        <x:v>Mumbai</x:v>
      </x:c>
      <x:c r="E4606" s="12" t="str">
        <x:v>Dynasty Business Park</x:v>
      </x:c>
      <x:c r="F4606" s="12" t="str">
        <x:v>55 inch</x:v>
      </x:c>
      <x:c r="G4606" s="20" t="n">
        <x:v>1</x:v>
      </x:c>
      <x:c r="H4606" s="12" t="str">
        <x:v>Campus/portfolio roster; individual building occupancy unverified</x:v>
      </x:c>
      <x:c r="I4606" s="12" t="str">
        <x:v>Mixed business audience</x:v>
      </x:c>
      <x:c r="J4606" s="12" t="str">
        <x:v>Workspace &amp; property operations</x:v>
      </x:c>
      <x:c r="K4606" s="2" t="str">
        <x:v>PARTNER-M241</x:v>
      </x:c>
    </x:row>
    <x:row r="4607" ht="46" customHeight="1">
      <x:c r="A4607" s="2" t="str">
        <x:v>TEN-84AFE067D260</x:v>
      </x:c>
      <x:c r="B4607" s="12" t="str">
        <x:v>EasyRewardz Software Services</x:v>
      </x:c>
      <x:c r="C4607" s="12" t="str">
        <x:v>CORP-0658</x:v>
      </x:c>
      <x:c r="D4607" s="12" t="str">
        <x:v>Mumbai</x:v>
      </x:c>
      <x:c r="E4607" s="12" t="str">
        <x:v>Dynasty Business Park</x:v>
      </x:c>
      <x:c r="F4607" s="12" t="str">
        <x:v>55 inch</x:v>
      </x:c>
      <x:c r="G4607" s="20" t="n">
        <x:v>1</x:v>
      </x:c>
      <x:c r="H4607" s="12" t="str">
        <x:v>Campus/portfolio roster; individual building occupancy unverified</x:v>
      </x:c>
      <x:c r="I4607" s="12" t="str">
        <x:v>Small-scale prospects</x:v>
      </x:c>
      <x:c r="J4607" s="12" t="str">
        <x:v>IT &amp; digital</x:v>
      </x:c>
      <x:c r="K4607" s="2" t="str">
        <x:v>PARTNER-M241</x:v>
      </x:c>
    </x:row>
    <x:row r="4608" ht="46" customHeight="1">
      <x:c r="A4608" s="2" t="str">
        <x:v>TEN-912168D0ACEE</x:v>
      </x:c>
      <x:c r="B4608" s="12" t="str">
        <x:v>Margo Networks</x:v>
      </x:c>
      <x:c r="C4608" s="12" t="str">
        <x:v>CORP-0658</x:v>
      </x:c>
      <x:c r="D4608" s="12" t="str">
        <x:v>Mumbai</x:v>
      </x:c>
      <x:c r="E4608" s="12" t="str">
        <x:v>Dynasty Business Park</x:v>
      </x:c>
      <x:c r="F4608" s="12" t="str">
        <x:v>55 inch</x:v>
      </x:c>
      <x:c r="G4608" s="20" t="n">
        <x:v>1</x:v>
      </x:c>
      <x:c r="H4608" s="12" t="str">
        <x:v>Campus/portfolio roster; individual building occupancy unverified</x:v>
      </x:c>
      <x:c r="I4608" s="12" t="str">
        <x:v>Small-scale prospects</x:v>
      </x:c>
      <x:c r="J4608" s="12" t="str">
        <x:v>IT &amp; digital</x:v>
      </x:c>
      <x:c r="K4608" s="2" t="str">
        <x:v>PARTNER-M241</x:v>
      </x:c>
    </x:row>
    <x:row r="4609" ht="46" customHeight="1">
      <x:c r="A4609" s="2" t="str">
        <x:v>TEN-98A5564F2BD1</x:v>
      </x:c>
      <x:c r="B4609" s="12" t="str">
        <x:v>MindCraft Software</x:v>
      </x:c>
      <x:c r="C4609" s="12" t="str">
        <x:v>CORP-0658</x:v>
      </x:c>
      <x:c r="D4609" s="12" t="str">
        <x:v>Mumbai</x:v>
      </x:c>
      <x:c r="E4609" s="12" t="str">
        <x:v>Dynasty Business Park</x:v>
      </x:c>
      <x:c r="F4609" s="12" t="str">
        <x:v>55 inch</x:v>
      </x:c>
      <x:c r="G4609" s="20" t="n">
        <x:v>1</x:v>
      </x:c>
      <x:c r="H4609" s="12" t="str">
        <x:v>Campus/portfolio roster; individual building occupancy unverified</x:v>
      </x:c>
      <x:c r="I4609" s="12" t="str">
        <x:v>Small-scale prospects</x:v>
      </x:c>
      <x:c r="J4609" s="12" t="str">
        <x:v>IT &amp; digital</x:v>
      </x:c>
      <x:c r="K4609" s="2" t="str">
        <x:v>PARTNER-M241</x:v>
      </x:c>
    </x:row>
    <x:row r="4610" ht="46" customHeight="1">
      <x:c r="A4610" s="2" t="str">
        <x:v>TEN-9B946333183D</x:v>
      </x:c>
      <x:c r="B4610" s="12" t="str">
        <x:v>Fujitec India</x:v>
      </x:c>
      <x:c r="C4610" s="12" t="str">
        <x:v>CORP-0658</x:v>
      </x:c>
      <x:c r="D4610" s="12" t="str">
        <x:v>Mumbai</x:v>
      </x:c>
      <x:c r="E4610" s="12" t="str">
        <x:v>Dynasty Business Park</x:v>
      </x:c>
      <x:c r="F4610" s="12" t="str">
        <x:v>55 inch</x:v>
      </x:c>
      <x:c r="G4610" s="20" t="n">
        <x:v>1</x:v>
      </x:c>
      <x:c r="H4610" s="12" t="str">
        <x:v>Campus/portfolio roster; individual building occupancy unverified</x:v>
      </x:c>
      <x:c r="I4610" s="12" t="str">
        <x:v>Mixed business audience</x:v>
      </x:c>
      <x:c r="J4610" s="12" t="str">
        <x:v>Engineering &amp; manufacturing</x:v>
      </x:c>
      <x:c r="K4610" s="2" t="str">
        <x:v>PARTNER-M241</x:v>
      </x:c>
    </x:row>
    <x:row r="4611" ht="46" customHeight="1">
      <x:c r="A4611" s="2" t="str">
        <x:v>TEN-ABF9235DCBEF</x:v>
      </x:c>
      <x:c r="B4611" s="12" t="str">
        <x:v>Bo-Chem</x:v>
      </x:c>
      <x:c r="C4611" s="12" t="str">
        <x:v>CORP-0658</x:v>
      </x:c>
      <x:c r="D4611" s="12" t="str">
        <x:v>Mumbai</x:v>
      </x:c>
      <x:c r="E4611" s="12" t="str">
        <x:v>Dynasty Business Park</x:v>
      </x:c>
      <x:c r="F4611" s="12" t="str">
        <x:v>55 inch</x:v>
      </x:c>
      <x:c r="G4611" s="20" t="n">
        <x:v>1</x:v>
      </x:c>
      <x:c r="H4611" s="12" t="str">
        <x:v>Campus/portfolio roster; individual building occupancy unverified</x:v>
      </x:c>
      <x:c r="I4611" s="12" t="str">
        <x:v>Medium-scale prospects</x:v>
      </x:c>
      <x:c r="J4611" s="12" t="str">
        <x:v>Engineering &amp; manufacturing</x:v>
      </x:c>
      <x:c r="K4611" s="2" t="str">
        <x:v>PARTNER-M241</x:v>
      </x:c>
    </x:row>
    <x:row r="4612" ht="46" customHeight="1">
      <x:c r="A4612" s="2" t="str">
        <x:v>TEN-BE81391BCE95</x:v>
      </x:c>
      <x:c r="B4612" s="12" t="str">
        <x:v>Qx Global Services</x:v>
      </x:c>
      <x:c r="C4612" s="12" t="str">
        <x:v>CORP-0658</x:v>
      </x:c>
      <x:c r="D4612" s="12" t="str">
        <x:v>Mumbai</x:v>
      </x:c>
      <x:c r="E4612" s="12" t="str">
        <x:v>Dynasty Business Park</x:v>
      </x:c>
      <x:c r="F4612" s="12" t="str">
        <x:v>55 inch</x:v>
      </x:c>
      <x:c r="G4612" s="20" t="n">
        <x:v>1</x:v>
      </x:c>
      <x:c r="H4612" s="12" t="str">
        <x:v>Campus/portfolio roster; individual building occupancy unverified</x:v>
      </x:c>
      <x:c r="I4612" s="12" t="str">
        <x:v>Mixed business audience</x:v>
      </x:c>
      <x:c r="J4612" s="12" t="str">
        <x:v>IT &amp; digital</x:v>
      </x:c>
      <x:c r="K4612" s="2" t="str">
        <x:v>PARTNER-M241</x:v>
      </x:c>
    </x:row>
    <x:row r="4613" ht="46" customHeight="1">
      <x:c r="A4613" s="2" t="str">
        <x:v>TEN-D0B6359CA261</x:v>
      </x:c>
      <x:c r="B4613" s="12" t="str">
        <x:v>China Shipping</x:v>
      </x:c>
      <x:c r="C4613" s="12" t="str">
        <x:v>CORP-0658</x:v>
      </x:c>
      <x:c r="D4613" s="12" t="str">
        <x:v>Mumbai</x:v>
      </x:c>
      <x:c r="E4613" s="12" t="str">
        <x:v>Dynasty Business Park</x:v>
      </x:c>
      <x:c r="F4613" s="12" t="str">
        <x:v>55 inch</x:v>
      </x:c>
      <x:c r="G4613" s="20" t="n">
        <x:v>1</x:v>
      </x:c>
      <x:c r="H4613" s="12" t="str">
        <x:v>Campus/portfolio roster; individual building occupancy unverified</x:v>
      </x:c>
      <x:c r="I4613" s="12" t="str">
        <x:v>Mixed business audience</x:v>
      </x:c>
      <x:c r="J4613" s="12" t="str">
        <x:v>Trade, consumer &amp; logistics</x:v>
      </x:c>
      <x:c r="K4613" s="2" t="str">
        <x:v>PARTNER-M241</x:v>
      </x:c>
    </x:row>
    <x:row r="4614" ht="46" customHeight="1">
      <x:c r="A4614" s="2" t="str">
        <x:v>TEN-D3A6CAE33147</x:v>
      </x:c>
      <x:c r="B4614" s="12" t="str">
        <x:v>Sharp Business Systems</x:v>
      </x:c>
      <x:c r="C4614" s="12" t="str">
        <x:v>CORP-0658</x:v>
      </x:c>
      <x:c r="D4614" s="12" t="str">
        <x:v>Mumbai</x:v>
      </x:c>
      <x:c r="E4614" s="12" t="str">
        <x:v>Dynasty Business Park</x:v>
      </x:c>
      <x:c r="F4614" s="12" t="str">
        <x:v>55 inch</x:v>
      </x:c>
      <x:c r="G4614" s="20" t="n">
        <x:v>1</x:v>
      </x:c>
      <x:c r="H4614" s="12" t="str">
        <x:v>Campus/portfolio roster; individual building occupancy unverified</x:v>
      </x:c>
      <x:c r="I4614" s="12" t="str">
        <x:v>Mixed business audience</x:v>
      </x:c>
      <x:c r="J4614" s="12" t="str">
        <x:v>Engineering &amp; manufacturing</x:v>
      </x:c>
      <x:c r="K4614" s="2" t="str">
        <x:v>PARTNER-M241</x:v>
      </x:c>
    </x:row>
    <x:row r="4615" ht="46" customHeight="1">
      <x:c r="A4615" s="2" t="str">
        <x:v>TEN-D5F7A8ABBC60</x:v>
      </x:c>
      <x:c r="B4615" s="12" t="str">
        <x:v>Continental Carriers</x:v>
      </x:c>
      <x:c r="C4615" s="12" t="str">
        <x:v>CORP-0658</x:v>
      </x:c>
      <x:c r="D4615" s="12" t="str">
        <x:v>Mumbai</x:v>
      </x:c>
      <x:c r="E4615" s="12" t="str">
        <x:v>Dynasty Business Park</x:v>
      </x:c>
      <x:c r="F4615" s="12" t="str">
        <x:v>55 inch</x:v>
      </x:c>
      <x:c r="G4615" s="20" t="n">
        <x:v>1</x:v>
      </x:c>
      <x:c r="H4615" s="12" t="str">
        <x:v>Campus/portfolio roster; individual building occupancy unverified</x:v>
      </x:c>
      <x:c r="I4615" s="12" t="str">
        <x:v>Medium-scale prospects</x:v>
      </x:c>
      <x:c r="J4615" s="12" t="str">
        <x:v>Trade, consumer &amp; logistics</x:v>
      </x:c>
      <x:c r="K4615" s="2" t="str">
        <x:v>PARTNER-M241</x:v>
      </x:c>
    </x:row>
    <x:row r="4616" ht="46" customHeight="1">
      <x:c r="A4616" s="2" t="str">
        <x:v>TEN-E2020BBC5880</x:v>
      </x:c>
      <x:c r="B4616" s="12" t="str">
        <x:v>Manan Cotsyn</x:v>
      </x:c>
      <x:c r="C4616" s="12" t="str">
        <x:v>CORP-0658</x:v>
      </x:c>
      <x:c r="D4616" s="12" t="str">
        <x:v>Mumbai</x:v>
      </x:c>
      <x:c r="E4616" s="12" t="str">
        <x:v>Dynasty Business Park</x:v>
      </x:c>
      <x:c r="F4616" s="12" t="str">
        <x:v>55 inch</x:v>
      </x:c>
      <x:c r="G4616" s="20" t="n">
        <x:v>1</x:v>
      </x:c>
      <x:c r="H4616" s="12" t="str">
        <x:v>Campus/portfolio roster; individual building occupancy unverified</x:v>
      </x:c>
      <x:c r="I4616" s="12" t="str">
        <x:v>Medium-scale prospects</x:v>
      </x:c>
      <x:c r="J4616" s="12" t="str">
        <x:v>Engineering &amp; manufacturing</x:v>
      </x:c>
      <x:c r="K4616" s="2" t="str">
        <x:v>PARTNER-M241</x:v>
      </x:c>
    </x:row>
    <x:row r="4617" ht="46" customHeight="1">
      <x:c r="A4617" s="2" t="str">
        <x:v>TEN-E7BD224184BE</x:v>
      </x:c>
      <x:c r="B4617" s="12" t="str">
        <x:v>Satyam Infoway</x:v>
      </x:c>
      <x:c r="C4617" s="12" t="str">
        <x:v>CORP-0658</x:v>
      </x:c>
      <x:c r="D4617" s="12" t="str">
        <x:v>Mumbai</x:v>
      </x:c>
      <x:c r="E4617" s="12" t="str">
        <x:v>Dynasty Business Park</x:v>
      </x:c>
      <x:c r="F4617" s="12" t="str">
        <x:v>55 inch</x:v>
      </x:c>
      <x:c r="G4617" s="20" t="n">
        <x:v>1</x:v>
      </x:c>
      <x:c r="H4617" s="12" t="str">
        <x:v>Campus/portfolio roster; individual building occupancy unverified</x:v>
      </x:c>
      <x:c r="I4617" s="12" t="str">
        <x:v>Mixed business audience</x:v>
      </x:c>
      <x:c r="J4617" s="12" t="str">
        <x:v>IT &amp; digital</x:v>
      </x:c>
      <x:c r="K4617" s="2" t="str">
        <x:v>PARTNER-M241</x:v>
      </x:c>
    </x:row>
    <x:row r="4618" ht="46" customHeight="1">
      <x:c r="A4618" s="2" t="str">
        <x:v>TEN-F29BF3D48178</x:v>
      </x:c>
      <x:c r="B4618" s="12" t="str">
        <x:v>Droege Group</x:v>
      </x:c>
      <x:c r="C4618" s="12" t="str">
        <x:v>CORP-0658</x:v>
      </x:c>
      <x:c r="D4618" s="12" t="str">
        <x:v>Mumbai</x:v>
      </x:c>
      <x:c r="E4618" s="12" t="str">
        <x:v>Dynasty Business Park</x:v>
      </x:c>
      <x:c r="F4618" s="12" t="str">
        <x:v>55 inch</x:v>
      </x:c>
      <x:c r="G4618" s="20" t="n">
        <x:v>1</x:v>
      </x:c>
      <x:c r="H4618" s="12" t="str">
        <x:v>Campus/portfolio roster; individual building occupancy unverified</x:v>
      </x:c>
      <x:c r="I4618" s="12" t="str">
        <x:v>Mixed business audience</x:v>
      </x:c>
      <x:c r="J4618" s="12" t="str">
        <x:v>Unresolved</x:v>
      </x:c>
      <x:c r="K4618" s="2" t="str">
        <x:v>PARTNER-M241</x:v>
      </x:c>
    </x:row>
    <x:row r="4619" ht="46" customHeight="1">
      <x:c r="A4619" s="2" t="str">
        <x:v>TEN-FA8F7E61C064</x:v>
      </x:c>
      <x:c r="B4619" s="12" t="str">
        <x:v>Dev Accelerator</x:v>
      </x:c>
      <x:c r="C4619" s="12" t="str">
        <x:v>CORP-0658</x:v>
      </x:c>
      <x:c r="D4619" s="12" t="str">
        <x:v>Mumbai</x:v>
      </x:c>
      <x:c r="E4619" s="12" t="str">
        <x:v>Dynasty Business Park</x:v>
      </x:c>
      <x:c r="F4619" s="12" t="str">
        <x:v>55 inch</x:v>
      </x:c>
      <x:c r="G4619" s="20" t="n">
        <x:v>1</x:v>
      </x:c>
      <x:c r="H4619" s="12" t="str">
        <x:v>Campus/portfolio roster; individual building occupancy unverified</x:v>
      </x:c>
      <x:c r="I4619" s="12" t="str">
        <x:v>Mixed business audience</x:v>
      </x:c>
      <x:c r="J4619" s="12" t="str">
        <x:v>Workspace &amp; property operations</x:v>
      </x:c>
      <x:c r="K4619" s="2" t="str">
        <x:v>PARTNER-M241</x:v>
      </x:c>
    </x:row>
    <x:row r="4620" ht="46" customHeight="1">
      <x:c r="A4620" s="2" t="str">
        <x:v>TEN-02A1EF31999B</x:v>
      </x:c>
      <x:c r="B4620" s="12" t="str">
        <x:v>Yokogawa Technology Solutions</x:v>
      </x:c>
      <x:c r="C4620" s="12" t="str">
        <x:v>CORP-0659</x:v>
      </x:c>
      <x:c r="D4620" s="12" t="str">
        <x:v>Mumbai</x:v>
      </x:c>
      <x:c r="E4620" s="12" t="str">
        <x:v>Dynasty Business Park</x:v>
      </x:c>
      <x:c r="F4620" s="12" t="str">
        <x:v>55 inch</x:v>
      </x:c>
      <x:c r="G4620" s="20" t="n">
        <x:v>1</x:v>
      </x:c>
      <x:c r="H4620" s="12" t="str">
        <x:v>Campus/portfolio roster; individual building occupancy unverified</x:v>
      </x:c>
      <x:c r="I4620" s="12" t="str">
        <x:v>Mixed business audience</x:v>
      </x:c>
      <x:c r="J4620" s="12" t="str">
        <x:v>IT &amp; digital</x:v>
      </x:c>
      <x:c r="K4620" s="2" t="str">
        <x:v>PARTNER-M241</x:v>
      </x:c>
    </x:row>
    <x:row r="4621" ht="46" customHeight="1">
      <x:c r="A4621" s="2" t="str">
        <x:v>TEN-03071EB4D70B</x:v>
      </x:c>
      <x:c r="B4621" s="12" t="str">
        <x:v>Pramukh Paper Products</x:v>
      </x:c>
      <x:c r="C4621" s="12" t="str">
        <x:v>CORP-0659</x:v>
      </x:c>
      <x:c r="D4621" s="12" t="str">
        <x:v>Mumbai</x:v>
      </x:c>
      <x:c r="E4621" s="12" t="str">
        <x:v>Dynasty Business Park</x:v>
      </x:c>
      <x:c r="F4621" s="12" t="str">
        <x:v>55 inch</x:v>
      </x:c>
      <x:c r="G4621" s="20" t="n">
        <x:v>1</x:v>
      </x:c>
      <x:c r="H4621" s="12" t="str">
        <x:v>Campus/portfolio roster; individual building occupancy unverified</x:v>
      </x:c>
      <x:c r="I4621" s="12" t="str">
        <x:v>Medium-scale prospects</x:v>
      </x:c>
      <x:c r="J4621" s="12" t="str">
        <x:v>Engineering &amp; manufacturing</x:v>
      </x:c>
      <x:c r="K4621" s="2" t="str">
        <x:v>PARTNER-M241</x:v>
      </x:c>
    </x:row>
    <x:row r="4622" ht="46" customHeight="1">
      <x:c r="A4622" s="2" t="str">
        <x:v>TEN-119294CA37A5</x:v>
      </x:c>
      <x:c r="B4622" s="12" t="str">
        <x:v>Dynamix dairy</x:v>
      </x:c>
      <x:c r="C4622" s="12" t="str">
        <x:v>CORP-0659</x:v>
      </x:c>
      <x:c r="D4622" s="12" t="str">
        <x:v>Mumbai</x:v>
      </x:c>
      <x:c r="E4622" s="12" t="str">
        <x:v>Dynasty Business Park</x:v>
      </x:c>
      <x:c r="F4622" s="12" t="str">
        <x:v>55 inch</x:v>
      </x:c>
      <x:c r="G4622" s="20" t="n">
        <x:v>1</x:v>
      </x:c>
      <x:c r="H4622" s="12" t="str">
        <x:v>Campus/portfolio roster; individual building occupancy unverified</x:v>
      </x:c>
      <x:c r="I4622" s="12" t="str">
        <x:v>Mixed business audience</x:v>
      </x:c>
      <x:c r="J4622" s="12" t="str">
        <x:v>Trade, consumer &amp; logistics</x:v>
      </x:c>
      <x:c r="K4622" s="2" t="str">
        <x:v>PARTNER-M241</x:v>
      </x:c>
    </x:row>
    <x:row r="4623" ht="46" customHeight="1">
      <x:c r="A4623" s="2" t="str">
        <x:v>TEN-11A73E8A1661</x:v>
      </x:c>
      <x:c r="B4623" s="12" t="str">
        <x:v>TPV Technology</x:v>
      </x:c>
      <x:c r="C4623" s="12" t="str">
        <x:v>CORP-0659</x:v>
      </x:c>
      <x:c r="D4623" s="12" t="str">
        <x:v>Mumbai</x:v>
      </x:c>
      <x:c r="E4623" s="12" t="str">
        <x:v>Dynasty Business Park</x:v>
      </x:c>
      <x:c r="F4623" s="12" t="str">
        <x:v>55 inch</x:v>
      </x:c>
      <x:c r="G4623" s="20" t="n">
        <x:v>1</x:v>
      </x:c>
      <x:c r="H4623" s="12" t="str">
        <x:v>Campus/portfolio roster; individual building occupancy unverified</x:v>
      </x:c>
      <x:c r="I4623" s="12" t="str">
        <x:v>Mixed business audience</x:v>
      </x:c>
      <x:c r="J4623" s="12" t="str">
        <x:v>Engineering &amp; manufacturing</x:v>
      </x:c>
      <x:c r="K4623" s="2" t="str">
        <x:v>PARTNER-M241</x:v>
      </x:c>
    </x:row>
    <x:row r="4624" ht="46" customHeight="1">
      <x:c r="A4624" s="2" t="str">
        <x:v>TEN-182A654853D9</x:v>
      </x:c>
      <x:c r="B4624" s="12" t="str">
        <x:v>Searock International</x:v>
      </x:c>
      <x:c r="C4624" s="12" t="str">
        <x:v>CORP-0659</x:v>
      </x:c>
      <x:c r="D4624" s="12" t="str">
        <x:v>Mumbai</x:v>
      </x:c>
      <x:c r="E4624" s="12" t="str">
        <x:v>Dynasty Business Park</x:v>
      </x:c>
      <x:c r="F4624" s="12" t="str">
        <x:v>55 inch</x:v>
      </x:c>
      <x:c r="G4624" s="20" t="n">
        <x:v>1</x:v>
      </x:c>
      <x:c r="H4624" s="12" t="str">
        <x:v>Campus/portfolio roster; individual building occupancy unverified</x:v>
      </x:c>
      <x:c r="I4624" s="12" t="str">
        <x:v>Medium-scale prospects</x:v>
      </x:c>
      <x:c r="J4624" s="12" t="str">
        <x:v>Trade, consumer &amp; logistics</x:v>
      </x:c>
      <x:c r="K4624" s="2" t="str">
        <x:v>PARTNER-M241</x:v>
      </x:c>
    </x:row>
    <x:row r="4625" ht="46" customHeight="1">
      <x:c r="A4625" s="2" t="str">
        <x:v>TEN-1843C84A4318</x:v>
      </x:c>
      <x:c r="B4625" s="12" t="str">
        <x:v>Anheuser Busch Inbev</x:v>
      </x:c>
      <x:c r="C4625" s="12" t="str">
        <x:v>CORP-0659</x:v>
      </x:c>
      <x:c r="D4625" s="12" t="str">
        <x:v>Mumbai</x:v>
      </x:c>
      <x:c r="E4625" s="12" t="str">
        <x:v>Dynasty Business Park</x:v>
      </x:c>
      <x:c r="F4625" s="12" t="str">
        <x:v>55 inch</x:v>
      </x:c>
      <x:c r="G4625" s="20" t="n">
        <x:v>1</x:v>
      </x:c>
      <x:c r="H4625" s="12" t="str">
        <x:v>Campus/portfolio roster; individual building occupancy unverified</x:v>
      </x:c>
      <x:c r="I4625" s="12" t="str">
        <x:v>Mixed business audience</x:v>
      </x:c>
      <x:c r="J4625" s="12" t="str">
        <x:v>Trade, consumer &amp; logistics</x:v>
      </x:c>
      <x:c r="K4625" s="2" t="str">
        <x:v>PARTNER-M241</x:v>
      </x:c>
    </x:row>
    <x:row r="4626" ht="46" customHeight="1">
      <x:c r="A4626" s="2" t="str">
        <x:v>TEN-27D7FC7285CF</x:v>
      </x:c>
      <x:c r="B4626" s="12" t="str">
        <x:v>Hindustan Times Radio Station (Radio One)</x:v>
      </x:c>
      <x:c r="C4626" s="12" t="str">
        <x:v>CORP-0659</x:v>
      </x:c>
      <x:c r="D4626" s="12" t="str">
        <x:v>Mumbai</x:v>
      </x:c>
      <x:c r="E4626" s="12" t="str">
        <x:v>Dynasty Business Park</x:v>
      </x:c>
      <x:c r="F4626" s="12" t="str">
        <x:v>55 inch</x:v>
      </x:c>
      <x:c r="G4626" s="20" t="n">
        <x:v>1</x:v>
      </x:c>
      <x:c r="H4626" s="12" t="str">
        <x:v>Campus/portfolio roster; individual building occupancy unverified</x:v>
      </x:c>
      <x:c r="I4626" s="12" t="str">
        <x:v>Mixed business audience</x:v>
      </x:c>
      <x:c r="J4626" s="12" t="str">
        <x:v>Trade, consumer &amp; logistics</x:v>
      </x:c>
      <x:c r="K4626" s="2" t="str">
        <x:v>PARTNER-M241</x:v>
      </x:c>
    </x:row>
    <x:row r="4627" ht="46" customHeight="1">
      <x:c r="A4627" s="2" t="str">
        <x:v>TEN-354BBA9D3C26</x:v>
      </x:c>
      <x:c r="B4627" s="12" t="str">
        <x:v>Greenply Industries</x:v>
      </x:c>
      <x:c r="C4627" s="12" t="str">
        <x:v>CORP-0659</x:v>
      </x:c>
      <x:c r="D4627" s="12" t="str">
        <x:v>Mumbai</x:v>
      </x:c>
      <x:c r="E4627" s="12" t="str">
        <x:v>Dynasty Business Park</x:v>
      </x:c>
      <x:c r="F4627" s="12" t="str">
        <x:v>55 inch</x:v>
      </x:c>
      <x:c r="G4627" s="20" t="n">
        <x:v>1</x:v>
      </x:c>
      <x:c r="H4627" s="12" t="str">
        <x:v>Campus/portfolio roster; individual building occupancy unverified</x:v>
      </x:c>
      <x:c r="I4627" s="12" t="str">
        <x:v>Mixed business audience</x:v>
      </x:c>
      <x:c r="J4627" s="12" t="str">
        <x:v>Engineering &amp; manufacturing</x:v>
      </x:c>
      <x:c r="K4627" s="2" t="str">
        <x:v>PARTNER-M241</x:v>
      </x:c>
    </x:row>
    <x:row r="4628" ht="46" customHeight="1">
      <x:c r="A4628" s="2" t="str">
        <x:v>TEN-4352939E2375</x:v>
      </x:c>
      <x:c r="B4628" s="12" t="str">
        <x:v>Bharat Finlease</x:v>
      </x:c>
      <x:c r="C4628" s="12" t="str">
        <x:v>CORP-0659</x:v>
      </x:c>
      <x:c r="D4628" s="12" t="str">
        <x:v>Mumbai</x:v>
      </x:c>
      <x:c r="E4628" s="12" t="str">
        <x:v>Dynasty Business Park</x:v>
      </x:c>
      <x:c r="F4628" s="12" t="str">
        <x:v>55 inch</x:v>
      </x:c>
      <x:c r="G4628" s="20" t="n">
        <x:v>1</x:v>
      </x:c>
      <x:c r="H4628" s="12" t="str">
        <x:v>Campus/portfolio roster; individual building occupancy unverified</x:v>
      </x:c>
      <x:c r="I4628" s="12" t="str">
        <x:v>Medium-scale prospects</x:v>
      </x:c>
      <x:c r="J4628" s="12" t="str">
        <x:v>Finance &amp; insurance</x:v>
      </x:c>
      <x:c r="K4628" s="2" t="str">
        <x:v>PARTNER-M241</x:v>
      </x:c>
    </x:row>
    <x:row r="4629" ht="46" customHeight="1">
      <x:c r="A4629" s="2" t="str">
        <x:v>TEN-48C0B7EF7437</x:v>
      </x:c>
      <x:c r="B4629" s="12" t="str">
        <x:v>Sovika Aviation Services</x:v>
      </x:c>
      <x:c r="C4629" s="12" t="str">
        <x:v>CORP-0659</x:v>
      </x:c>
      <x:c r="D4629" s="12" t="str">
        <x:v>Mumbai</x:v>
      </x:c>
      <x:c r="E4629" s="12" t="str">
        <x:v>Dynasty Business Park</x:v>
      </x:c>
      <x:c r="F4629" s="12" t="str">
        <x:v>55 inch</x:v>
      </x:c>
      <x:c r="G4629" s="20" t="n">
        <x:v>1</x:v>
      </x:c>
      <x:c r="H4629" s="12" t="str">
        <x:v>Campus/portfolio roster; individual building occupancy unverified</x:v>
      </x:c>
      <x:c r="I4629" s="12" t="str">
        <x:v>Small-scale prospects</x:v>
      </x:c>
      <x:c r="J4629" s="12" t="str">
        <x:v>Trade, consumer &amp; logistics</x:v>
      </x:c>
      <x:c r="K4629" s="2" t="str">
        <x:v>PARTNER-M241</x:v>
      </x:c>
    </x:row>
    <x:row r="4630" ht="46" customHeight="1">
      <x:c r="A4630" s="2" t="str">
        <x:v>TEN-59AD12AAE07D</x:v>
      </x:c>
      <x:c r="B4630" s="12" t="str">
        <x:v>HTC Global Services India (Cibersites)</x:v>
      </x:c>
      <x:c r="C4630" s="12" t="str">
        <x:v>CORP-0659</x:v>
      </x:c>
      <x:c r="D4630" s="12" t="str">
        <x:v>Mumbai</x:v>
      </x:c>
      <x:c r="E4630" s="12" t="str">
        <x:v>Dynasty Business Park</x:v>
      </x:c>
      <x:c r="F4630" s="12" t="str">
        <x:v>55 inch</x:v>
      </x:c>
      <x:c r="G4630" s="20" t="n">
        <x:v>1</x:v>
      </x:c>
      <x:c r="H4630" s="12" t="str">
        <x:v>Campus/portfolio roster; individual building occupancy unverified</x:v>
      </x:c>
      <x:c r="I4630" s="12" t="str">
        <x:v>Mixed business audience</x:v>
      </x:c>
      <x:c r="J4630" s="12" t="str">
        <x:v>IT &amp; digital</x:v>
      </x:c>
      <x:c r="K4630" s="2" t="str">
        <x:v>PARTNER-M241</x:v>
      </x:c>
    </x:row>
    <x:row r="4631" ht="46" customHeight="1">
      <x:c r="A4631" s="2" t="str">
        <x:v>TEN-5C8734A6943D</x:v>
      </x:c>
      <x:c r="B4631" s="12" t="str">
        <x:v>SabMiller India</x:v>
      </x:c>
      <x:c r="C4631" s="12" t="str">
        <x:v>CORP-0659</x:v>
      </x:c>
      <x:c r="D4631" s="12" t="str">
        <x:v>Mumbai</x:v>
      </x:c>
      <x:c r="E4631" s="12" t="str">
        <x:v>Dynasty Business Park</x:v>
      </x:c>
      <x:c r="F4631" s="12" t="str">
        <x:v>55 inch</x:v>
      </x:c>
      <x:c r="G4631" s="20" t="n">
        <x:v>1</x:v>
      </x:c>
      <x:c r="H4631" s="12" t="str">
        <x:v>Campus/portfolio roster; individual building occupancy unverified</x:v>
      </x:c>
      <x:c r="I4631" s="12" t="str">
        <x:v>Mixed business audience</x:v>
      </x:c>
      <x:c r="J4631" s="12" t="str">
        <x:v>Trade, consumer &amp; logistics</x:v>
      </x:c>
      <x:c r="K4631" s="2" t="str">
        <x:v>PARTNER-M241</x:v>
      </x:c>
    </x:row>
    <x:row r="4632" ht="46" customHeight="1">
      <x:c r="A4632" s="2" t="str">
        <x:v>TEN-5EB562386662</x:v>
      </x:c>
      <x:c r="B4632" s="12" t="str">
        <x:v>Nimbus Maritime Services</x:v>
      </x:c>
      <x:c r="C4632" s="12" t="str">
        <x:v>CORP-0659</x:v>
      </x:c>
      <x:c r="D4632" s="12" t="str">
        <x:v>Mumbai</x:v>
      </x:c>
      <x:c r="E4632" s="12" t="str">
        <x:v>Dynasty Business Park</x:v>
      </x:c>
      <x:c r="F4632" s="12" t="str">
        <x:v>55 inch</x:v>
      </x:c>
      <x:c r="G4632" s="20" t="n">
        <x:v>1</x:v>
      </x:c>
      <x:c r="H4632" s="12" t="str">
        <x:v>Campus/portfolio roster; individual building occupancy unverified</x:v>
      </x:c>
      <x:c r="I4632" s="12" t="str">
        <x:v>Medium-scale prospects</x:v>
      </x:c>
      <x:c r="J4632" s="12" t="str">
        <x:v>Trade, consumer &amp; logistics</x:v>
      </x:c>
      <x:c r="K4632" s="2" t="str">
        <x:v>PARTNER-M241</x:v>
      </x:c>
    </x:row>
    <x:row r="4633" ht="46" customHeight="1">
      <x:c r="A4633" s="2" t="str">
        <x:v>TEN-6B6EC1888B41</x:v>
      </x:c>
      <x:c r="B4633" s="12" t="str">
        <x:v>Responsys News And Media</x:v>
      </x:c>
      <x:c r="C4633" s="12" t="str">
        <x:v>CORP-0659</x:v>
      </x:c>
      <x:c r="D4633" s="12" t="str">
        <x:v>Mumbai</x:v>
      </x:c>
      <x:c r="E4633" s="12" t="str">
        <x:v>Dynasty Business Park</x:v>
      </x:c>
      <x:c r="F4633" s="12" t="str">
        <x:v>55 inch</x:v>
      </x:c>
      <x:c r="G4633" s="20" t="n">
        <x:v>1</x:v>
      </x:c>
      <x:c r="H4633" s="12" t="str">
        <x:v>Campus/portfolio roster; individual building occupancy unverified</x:v>
      </x:c>
      <x:c r="I4633" s="12" t="str">
        <x:v>Small-scale prospects</x:v>
      </x:c>
      <x:c r="J4633" s="12" t="str">
        <x:v>IT &amp; digital</x:v>
      </x:c>
      <x:c r="K4633" s="2" t="str">
        <x:v>PARTNER-M241</x:v>
      </x:c>
    </x:row>
    <x:row r="4634" ht="46" customHeight="1">
      <x:c r="A4634" s="2" t="str">
        <x:v>TEN-80C6959D554D</x:v>
      </x:c>
      <x:c r="B4634" s="12" t="str">
        <x:v>XT Ships Management</x:v>
      </x:c>
      <x:c r="C4634" s="12" t="str">
        <x:v>CORP-0659</x:v>
      </x:c>
      <x:c r="D4634" s="12" t="str">
        <x:v>Mumbai</x:v>
      </x:c>
      <x:c r="E4634" s="12" t="str">
        <x:v>Dynasty Business Park</x:v>
      </x:c>
      <x:c r="F4634" s="12" t="str">
        <x:v>55 inch</x:v>
      </x:c>
      <x:c r="G4634" s="20" t="n">
        <x:v>1</x:v>
      </x:c>
      <x:c r="H4634" s="12" t="str">
        <x:v>Campus/portfolio roster; individual building occupancy unverified</x:v>
      </x:c>
      <x:c r="I4634" s="12" t="str">
        <x:v>Medium-scale prospects</x:v>
      </x:c>
      <x:c r="J4634" s="12" t="str">
        <x:v>Trade, consumer &amp; logistics</x:v>
      </x:c>
      <x:c r="K4634" s="2" t="str">
        <x:v>PARTNER-M241</x:v>
      </x:c>
    </x:row>
    <x:row r="4635" ht="46" customHeight="1">
      <x:c r="A4635" s="2" t="str">
        <x:v>TEN-845E172C9D1B</x:v>
      </x:c>
      <x:c r="B4635" s="12" t="str">
        <x:v>regus business centre</x:v>
      </x:c>
      <x:c r="C4635" s="12" t="str">
        <x:v>CORP-0659</x:v>
      </x:c>
      <x:c r="D4635" s="12" t="str">
        <x:v>Mumbai</x:v>
      </x:c>
      <x:c r="E4635" s="12" t="str">
        <x:v>Dynasty Business Park</x:v>
      </x:c>
      <x:c r="F4635" s="12" t="str">
        <x:v>55 inch</x:v>
      </x:c>
      <x:c r="G4635" s="20" t="n">
        <x:v>1</x:v>
      </x:c>
      <x:c r="H4635" s="12" t="str">
        <x:v>Campus/portfolio roster; individual building occupancy unverified</x:v>
      </x:c>
      <x:c r="I4635" s="12" t="str">
        <x:v>Mixed business audience</x:v>
      </x:c>
      <x:c r="J4635" s="12" t="str">
        <x:v>Workspace &amp; property operations</x:v>
      </x:c>
      <x:c r="K4635" s="2" t="str">
        <x:v>PARTNER-M241</x:v>
      </x:c>
    </x:row>
    <x:row r="4636" ht="46" customHeight="1">
      <x:c r="A4636" s="2" t="str">
        <x:v>TEN-84AFE067D260</x:v>
      </x:c>
      <x:c r="B4636" s="12" t="str">
        <x:v>EasyRewardz Software Services</x:v>
      </x:c>
      <x:c r="C4636" s="12" t="str">
        <x:v>CORP-0659</x:v>
      </x:c>
      <x:c r="D4636" s="12" t="str">
        <x:v>Mumbai</x:v>
      </x:c>
      <x:c r="E4636" s="12" t="str">
        <x:v>Dynasty Business Park</x:v>
      </x:c>
      <x:c r="F4636" s="12" t="str">
        <x:v>55 inch</x:v>
      </x:c>
      <x:c r="G4636" s="20" t="n">
        <x:v>1</x:v>
      </x:c>
      <x:c r="H4636" s="12" t="str">
        <x:v>Campus/portfolio roster; individual building occupancy unverified</x:v>
      </x:c>
      <x:c r="I4636" s="12" t="str">
        <x:v>Small-scale prospects</x:v>
      </x:c>
      <x:c r="J4636" s="12" t="str">
        <x:v>IT &amp; digital</x:v>
      </x:c>
      <x:c r="K4636" s="2" t="str">
        <x:v>PARTNER-M241</x:v>
      </x:c>
    </x:row>
    <x:row r="4637" ht="46" customHeight="1">
      <x:c r="A4637" s="2" t="str">
        <x:v>TEN-912168D0ACEE</x:v>
      </x:c>
      <x:c r="B4637" s="12" t="str">
        <x:v>Margo Networks</x:v>
      </x:c>
      <x:c r="C4637" s="12" t="str">
        <x:v>CORP-0659</x:v>
      </x:c>
      <x:c r="D4637" s="12" t="str">
        <x:v>Mumbai</x:v>
      </x:c>
      <x:c r="E4637" s="12" t="str">
        <x:v>Dynasty Business Park</x:v>
      </x:c>
      <x:c r="F4637" s="12" t="str">
        <x:v>55 inch</x:v>
      </x:c>
      <x:c r="G4637" s="20" t="n">
        <x:v>1</x:v>
      </x:c>
      <x:c r="H4637" s="12" t="str">
        <x:v>Campus/portfolio roster; individual building occupancy unverified</x:v>
      </x:c>
      <x:c r="I4637" s="12" t="str">
        <x:v>Small-scale prospects</x:v>
      </x:c>
      <x:c r="J4637" s="12" t="str">
        <x:v>IT &amp; digital</x:v>
      </x:c>
      <x:c r="K4637" s="2" t="str">
        <x:v>PARTNER-M241</x:v>
      </x:c>
    </x:row>
    <x:row r="4638" ht="46" customHeight="1">
      <x:c r="A4638" s="2" t="str">
        <x:v>TEN-98A5564F2BD1</x:v>
      </x:c>
      <x:c r="B4638" s="12" t="str">
        <x:v>MindCraft Software</x:v>
      </x:c>
      <x:c r="C4638" s="12" t="str">
        <x:v>CORP-0659</x:v>
      </x:c>
      <x:c r="D4638" s="12" t="str">
        <x:v>Mumbai</x:v>
      </x:c>
      <x:c r="E4638" s="12" t="str">
        <x:v>Dynasty Business Park</x:v>
      </x:c>
      <x:c r="F4638" s="12" t="str">
        <x:v>55 inch</x:v>
      </x:c>
      <x:c r="G4638" s="20" t="n">
        <x:v>1</x:v>
      </x:c>
      <x:c r="H4638" s="12" t="str">
        <x:v>Campus/portfolio roster; individual building occupancy unverified</x:v>
      </x:c>
      <x:c r="I4638" s="12" t="str">
        <x:v>Small-scale prospects</x:v>
      </x:c>
      <x:c r="J4638" s="12" t="str">
        <x:v>IT &amp; digital</x:v>
      </x:c>
      <x:c r="K4638" s="2" t="str">
        <x:v>PARTNER-M241</x:v>
      </x:c>
    </x:row>
    <x:row r="4639" ht="46" customHeight="1">
      <x:c r="A4639" s="2" t="str">
        <x:v>TEN-9B946333183D</x:v>
      </x:c>
      <x:c r="B4639" s="12" t="str">
        <x:v>Fujitec India</x:v>
      </x:c>
      <x:c r="C4639" s="12" t="str">
        <x:v>CORP-0659</x:v>
      </x:c>
      <x:c r="D4639" s="12" t="str">
        <x:v>Mumbai</x:v>
      </x:c>
      <x:c r="E4639" s="12" t="str">
        <x:v>Dynasty Business Park</x:v>
      </x:c>
      <x:c r="F4639" s="12" t="str">
        <x:v>55 inch</x:v>
      </x:c>
      <x:c r="G4639" s="20" t="n">
        <x:v>1</x:v>
      </x:c>
      <x:c r="H4639" s="12" t="str">
        <x:v>Campus/portfolio roster; individual building occupancy unverified</x:v>
      </x:c>
      <x:c r="I4639" s="12" t="str">
        <x:v>Mixed business audience</x:v>
      </x:c>
      <x:c r="J4639" s="12" t="str">
        <x:v>Engineering &amp; manufacturing</x:v>
      </x:c>
      <x:c r="K4639" s="2" t="str">
        <x:v>PARTNER-M241</x:v>
      </x:c>
    </x:row>
    <x:row r="4640" ht="46" customHeight="1">
      <x:c r="A4640" s="2" t="str">
        <x:v>TEN-ABF9235DCBEF</x:v>
      </x:c>
      <x:c r="B4640" s="12" t="str">
        <x:v>Bo-Chem</x:v>
      </x:c>
      <x:c r="C4640" s="12" t="str">
        <x:v>CORP-0659</x:v>
      </x:c>
      <x:c r="D4640" s="12" t="str">
        <x:v>Mumbai</x:v>
      </x:c>
      <x:c r="E4640" s="12" t="str">
        <x:v>Dynasty Business Park</x:v>
      </x:c>
      <x:c r="F4640" s="12" t="str">
        <x:v>55 inch</x:v>
      </x:c>
      <x:c r="G4640" s="20" t="n">
        <x:v>1</x:v>
      </x:c>
      <x:c r="H4640" s="12" t="str">
        <x:v>Campus/portfolio roster; individual building occupancy unverified</x:v>
      </x:c>
      <x:c r="I4640" s="12" t="str">
        <x:v>Medium-scale prospects</x:v>
      </x:c>
      <x:c r="J4640" s="12" t="str">
        <x:v>Engineering &amp; manufacturing</x:v>
      </x:c>
      <x:c r="K4640" s="2" t="str">
        <x:v>PARTNER-M241</x:v>
      </x:c>
    </x:row>
    <x:row r="4641" ht="46" customHeight="1">
      <x:c r="A4641" s="2" t="str">
        <x:v>TEN-BE81391BCE95</x:v>
      </x:c>
      <x:c r="B4641" s="12" t="str">
        <x:v>Qx Global Services</x:v>
      </x:c>
      <x:c r="C4641" s="12" t="str">
        <x:v>CORP-0659</x:v>
      </x:c>
      <x:c r="D4641" s="12" t="str">
        <x:v>Mumbai</x:v>
      </x:c>
      <x:c r="E4641" s="12" t="str">
        <x:v>Dynasty Business Park</x:v>
      </x:c>
      <x:c r="F4641" s="12" t="str">
        <x:v>55 inch</x:v>
      </x:c>
      <x:c r="G4641" s="20" t="n">
        <x:v>1</x:v>
      </x:c>
      <x:c r="H4641" s="12" t="str">
        <x:v>Campus/portfolio roster; individual building occupancy unverified</x:v>
      </x:c>
      <x:c r="I4641" s="12" t="str">
        <x:v>Mixed business audience</x:v>
      </x:c>
      <x:c r="J4641" s="12" t="str">
        <x:v>IT &amp; digital</x:v>
      </x:c>
      <x:c r="K4641" s="2" t="str">
        <x:v>PARTNER-M241</x:v>
      </x:c>
    </x:row>
    <x:row r="4642" ht="46" customHeight="1">
      <x:c r="A4642" s="2" t="str">
        <x:v>TEN-D0B6359CA261</x:v>
      </x:c>
      <x:c r="B4642" s="12" t="str">
        <x:v>China Shipping</x:v>
      </x:c>
      <x:c r="C4642" s="12" t="str">
        <x:v>CORP-0659</x:v>
      </x:c>
      <x:c r="D4642" s="12" t="str">
        <x:v>Mumbai</x:v>
      </x:c>
      <x:c r="E4642" s="12" t="str">
        <x:v>Dynasty Business Park</x:v>
      </x:c>
      <x:c r="F4642" s="12" t="str">
        <x:v>55 inch</x:v>
      </x:c>
      <x:c r="G4642" s="20" t="n">
        <x:v>1</x:v>
      </x:c>
      <x:c r="H4642" s="12" t="str">
        <x:v>Campus/portfolio roster; individual building occupancy unverified</x:v>
      </x:c>
      <x:c r="I4642" s="12" t="str">
        <x:v>Mixed business audience</x:v>
      </x:c>
      <x:c r="J4642" s="12" t="str">
        <x:v>Trade, consumer &amp; logistics</x:v>
      </x:c>
      <x:c r="K4642" s="2" t="str">
        <x:v>PARTNER-M241</x:v>
      </x:c>
    </x:row>
    <x:row r="4643" ht="46" customHeight="1">
      <x:c r="A4643" s="2" t="str">
        <x:v>TEN-D3A6CAE33147</x:v>
      </x:c>
      <x:c r="B4643" s="12" t="str">
        <x:v>Sharp Business Systems</x:v>
      </x:c>
      <x:c r="C4643" s="12" t="str">
        <x:v>CORP-0659</x:v>
      </x:c>
      <x:c r="D4643" s="12" t="str">
        <x:v>Mumbai</x:v>
      </x:c>
      <x:c r="E4643" s="12" t="str">
        <x:v>Dynasty Business Park</x:v>
      </x:c>
      <x:c r="F4643" s="12" t="str">
        <x:v>55 inch</x:v>
      </x:c>
      <x:c r="G4643" s="20" t="n">
        <x:v>1</x:v>
      </x:c>
      <x:c r="H4643" s="12" t="str">
        <x:v>Campus/portfolio roster; individual building occupancy unverified</x:v>
      </x:c>
      <x:c r="I4643" s="12" t="str">
        <x:v>Mixed business audience</x:v>
      </x:c>
      <x:c r="J4643" s="12" t="str">
        <x:v>Engineering &amp; manufacturing</x:v>
      </x:c>
      <x:c r="K4643" s="2" t="str">
        <x:v>PARTNER-M241</x:v>
      </x:c>
    </x:row>
    <x:row r="4644" ht="46" customHeight="1">
      <x:c r="A4644" s="2" t="str">
        <x:v>TEN-D5F7A8ABBC60</x:v>
      </x:c>
      <x:c r="B4644" s="12" t="str">
        <x:v>Continental Carriers</x:v>
      </x:c>
      <x:c r="C4644" s="12" t="str">
        <x:v>CORP-0659</x:v>
      </x:c>
      <x:c r="D4644" s="12" t="str">
        <x:v>Mumbai</x:v>
      </x:c>
      <x:c r="E4644" s="12" t="str">
        <x:v>Dynasty Business Park</x:v>
      </x:c>
      <x:c r="F4644" s="12" t="str">
        <x:v>55 inch</x:v>
      </x:c>
      <x:c r="G4644" s="20" t="n">
        <x:v>1</x:v>
      </x:c>
      <x:c r="H4644" s="12" t="str">
        <x:v>Campus/portfolio roster; individual building occupancy unverified</x:v>
      </x:c>
      <x:c r="I4644" s="12" t="str">
        <x:v>Medium-scale prospects</x:v>
      </x:c>
      <x:c r="J4644" s="12" t="str">
        <x:v>Trade, consumer &amp; logistics</x:v>
      </x:c>
      <x:c r="K4644" s="2" t="str">
        <x:v>PARTNER-M241</x:v>
      </x:c>
    </x:row>
    <x:row r="4645" ht="46" customHeight="1">
      <x:c r="A4645" s="2" t="str">
        <x:v>TEN-E2020BBC5880</x:v>
      </x:c>
      <x:c r="B4645" s="12" t="str">
        <x:v>Manan Cotsyn</x:v>
      </x:c>
      <x:c r="C4645" s="12" t="str">
        <x:v>CORP-0659</x:v>
      </x:c>
      <x:c r="D4645" s="12" t="str">
        <x:v>Mumbai</x:v>
      </x:c>
      <x:c r="E4645" s="12" t="str">
        <x:v>Dynasty Business Park</x:v>
      </x:c>
      <x:c r="F4645" s="12" t="str">
        <x:v>55 inch</x:v>
      </x:c>
      <x:c r="G4645" s="20" t="n">
        <x:v>1</x:v>
      </x:c>
      <x:c r="H4645" s="12" t="str">
        <x:v>Campus/portfolio roster; individual building occupancy unverified</x:v>
      </x:c>
      <x:c r="I4645" s="12" t="str">
        <x:v>Medium-scale prospects</x:v>
      </x:c>
      <x:c r="J4645" s="12" t="str">
        <x:v>Engineering &amp; manufacturing</x:v>
      </x:c>
      <x:c r="K4645" s="2" t="str">
        <x:v>PARTNER-M241</x:v>
      </x:c>
    </x:row>
    <x:row r="4646" ht="46" customHeight="1">
      <x:c r="A4646" s="2" t="str">
        <x:v>TEN-E7BD224184BE</x:v>
      </x:c>
      <x:c r="B4646" s="12" t="str">
        <x:v>Satyam Infoway</x:v>
      </x:c>
      <x:c r="C4646" s="12" t="str">
        <x:v>CORP-0659</x:v>
      </x:c>
      <x:c r="D4646" s="12" t="str">
        <x:v>Mumbai</x:v>
      </x:c>
      <x:c r="E4646" s="12" t="str">
        <x:v>Dynasty Business Park</x:v>
      </x:c>
      <x:c r="F4646" s="12" t="str">
        <x:v>55 inch</x:v>
      </x:c>
      <x:c r="G4646" s="20" t="n">
        <x:v>1</x:v>
      </x:c>
      <x:c r="H4646" s="12" t="str">
        <x:v>Campus/portfolio roster; individual building occupancy unverified</x:v>
      </x:c>
      <x:c r="I4646" s="12" t="str">
        <x:v>Mixed business audience</x:v>
      </x:c>
      <x:c r="J4646" s="12" t="str">
        <x:v>IT &amp; digital</x:v>
      </x:c>
      <x:c r="K4646" s="2" t="str">
        <x:v>PARTNER-M241</x:v>
      </x:c>
    </x:row>
    <x:row r="4647" ht="46" customHeight="1">
      <x:c r="A4647" s="2" t="str">
        <x:v>TEN-F29BF3D48178</x:v>
      </x:c>
      <x:c r="B4647" s="12" t="str">
        <x:v>Droege Group</x:v>
      </x:c>
      <x:c r="C4647" s="12" t="str">
        <x:v>CORP-0659</x:v>
      </x:c>
      <x:c r="D4647" s="12" t="str">
        <x:v>Mumbai</x:v>
      </x:c>
      <x:c r="E4647" s="12" t="str">
        <x:v>Dynasty Business Park</x:v>
      </x:c>
      <x:c r="F4647" s="12" t="str">
        <x:v>55 inch</x:v>
      </x:c>
      <x:c r="G4647" s="20" t="n">
        <x:v>1</x:v>
      </x:c>
      <x:c r="H4647" s="12" t="str">
        <x:v>Campus/portfolio roster; individual building occupancy unverified</x:v>
      </x:c>
      <x:c r="I4647" s="12" t="str">
        <x:v>Mixed business audience</x:v>
      </x:c>
      <x:c r="J4647" s="12" t="str">
        <x:v>Unresolved</x:v>
      </x:c>
      <x:c r="K4647" s="2" t="str">
        <x:v>PARTNER-M241</x:v>
      </x:c>
    </x:row>
    <x:row r="4648" ht="46" customHeight="1">
      <x:c r="A4648" s="2" t="str">
        <x:v>TEN-FA8F7E61C064</x:v>
      </x:c>
      <x:c r="B4648" s="12" t="str">
        <x:v>Dev Accelerator</x:v>
      </x:c>
      <x:c r="C4648" s="12" t="str">
        <x:v>CORP-0659</x:v>
      </x:c>
      <x:c r="D4648" s="12" t="str">
        <x:v>Mumbai</x:v>
      </x:c>
      <x:c r="E4648" s="12" t="str">
        <x:v>Dynasty Business Park</x:v>
      </x:c>
      <x:c r="F4648" s="12" t="str">
        <x:v>55 inch</x:v>
      </x:c>
      <x:c r="G4648" s="20" t="n">
        <x:v>1</x:v>
      </x:c>
      <x:c r="H4648" s="12" t="str">
        <x:v>Campus/portfolio roster; individual building occupancy unverified</x:v>
      </x:c>
      <x:c r="I4648" s="12" t="str">
        <x:v>Mixed business audience</x:v>
      </x:c>
      <x:c r="J4648" s="12" t="str">
        <x:v>Workspace &amp; property operations</x:v>
      </x:c>
      <x:c r="K4648" s="2" t="str">
        <x:v>PARTNER-M241</x:v>
      </x:c>
    </x:row>
    <x:row r="4649" ht="46" customHeight="1">
      <x:c r="A4649" s="2" t="str">
        <x:v>TEN-2ACB1A36E6C1</x:v>
      </x:c>
      <x:c r="B4649" s="12" t="str">
        <x:v>Softcell Technologies Global Pvt Ltd</x:v>
      </x:c>
      <x:c r="C4649" s="12" t="str">
        <x:v>CORP-0660</x:v>
      </x:c>
      <x:c r="D4649" s="12" t="str">
        <x:v>Mumbai</x:v>
      </x:c>
      <x:c r="E4649" s="12" t="str">
        <x:v>Kohinoor City</x:v>
      </x:c>
      <x:c r="F4649" s="12" t="str">
        <x:v>55 inch</x:v>
      </x:c>
      <x:c r="G4649" s="20" t="n">
        <x:v>1</x:v>
      </x:c>
      <x:c r="H4649" s="12" t="str">
        <x:v>Campus/portfolio roster; individual building occupancy unverified</x:v>
      </x:c>
      <x:c r="I4649" s="12" t="str">
        <x:v>Mixed business audience</x:v>
      </x:c>
      <x:c r="J4649" s="12" t="str">
        <x:v>IT &amp; digital</x:v>
      </x:c>
      <x:c r="K4649" s="2" t="str">
        <x:v>PARTNER-M243</x:v>
      </x:c>
    </x:row>
    <x:row r="4650" ht="46" customHeight="1">
      <x:c r="A4650" s="2" t="str">
        <x:v>TEN-43712282FE68</x:v>
      </x:c>
      <x:c r="B4650" s="12" t="str">
        <x:v>Viavi Solutions</x:v>
      </x:c>
      <x:c r="C4650" s="12" t="str">
        <x:v>CORP-0660</x:v>
      </x:c>
      <x:c r="D4650" s="12" t="str">
        <x:v>Mumbai</x:v>
      </x:c>
      <x:c r="E4650" s="12" t="str">
        <x:v>Kohinoor City</x:v>
      </x:c>
      <x:c r="F4650" s="12" t="str">
        <x:v>55 inch</x:v>
      </x:c>
      <x:c r="G4650" s="20" t="n">
        <x:v>1</x:v>
      </x:c>
      <x:c r="H4650" s="12" t="str">
        <x:v>Campus/portfolio roster; individual building occupancy unverified</x:v>
      </x:c>
      <x:c r="I4650" s="12" t="str">
        <x:v>Mixed business audience</x:v>
      </x:c>
      <x:c r="J4650" s="12" t="str">
        <x:v>IT &amp; digital</x:v>
      </x:c>
      <x:c r="K4650" s="2" t="str">
        <x:v>PARTNER-M243</x:v>
      </x:c>
    </x:row>
    <x:row r="4651" ht="46" customHeight="1">
      <x:c r="A4651" s="2" t="str">
        <x:v>TEN-46B4959BDEE0</x:v>
      </x:c>
      <x:c r="B4651" s="12" t="str">
        <x:v>Hansa Cequity</x:v>
      </x:c>
      <x:c r="C4651" s="12" t="str">
        <x:v>CORP-0660</x:v>
      </x:c>
      <x:c r="D4651" s="12" t="str">
        <x:v>Mumbai</x:v>
      </x:c>
      <x:c r="E4651" s="12" t="str">
        <x:v>Kohinoor City</x:v>
      </x:c>
      <x:c r="F4651" s="12" t="str">
        <x:v>55 inch</x:v>
      </x:c>
      <x:c r="G4651" s="20" t="n">
        <x:v>1</x:v>
      </x:c>
      <x:c r="H4651" s="12" t="str">
        <x:v>Campus/portfolio roster; individual building occupancy unverified</x:v>
      </x:c>
      <x:c r="I4651" s="12" t="str">
        <x:v>Mixed business audience</x:v>
      </x:c>
      <x:c r="J4651" s="12" t="str">
        <x:v>Professional services</x:v>
      </x:c>
      <x:c r="K4651" s="2" t="str">
        <x:v>PARTNER-M243</x:v>
      </x:c>
    </x:row>
    <x:row r="4652" ht="46" customHeight="1">
      <x:c r="A4652" s="2" t="str">
        <x:v>TEN-47FF8E27F353</x:v>
      </x:c>
      <x:c r="B4652" s="12" t="str">
        <x:v>NSE-WRO</x:v>
      </x:c>
      <x:c r="C4652" s="12" t="str">
        <x:v>CORP-0660</x:v>
      </x:c>
      <x:c r="D4652" s="12" t="str">
        <x:v>Mumbai</x:v>
      </x:c>
      <x:c r="E4652" s="12" t="str">
        <x:v>Kohinoor City</x:v>
      </x:c>
      <x:c r="F4652" s="12" t="str">
        <x:v>55 inch</x:v>
      </x:c>
      <x:c r="G4652" s="20" t="n">
        <x:v>1</x:v>
      </x:c>
      <x:c r="H4652" s="12" t="str">
        <x:v>Campus/portfolio roster; individual building occupancy unverified</x:v>
      </x:c>
      <x:c r="I4652" s="12" t="str">
        <x:v>Institutional</x:v>
      </x:c>
      <x:c r="J4652" s="12" t="str">
        <x:v>Government &amp; nonprofit</x:v>
      </x:c>
      <x:c r="K4652" s="2" t="str">
        <x:v>PARTNER-M243</x:v>
      </x:c>
    </x:row>
    <x:row r="4653" ht="46" customHeight="1">
      <x:c r="A4653" s="2" t="str">
        <x:v>TEN-8473394D087E</x:v>
      </x:c>
      <x:c r="B4653" s="12" t="str">
        <x:v>American School of Bombay</x:v>
      </x:c>
      <x:c r="C4653" s="12" t="str">
        <x:v>CORP-0660</x:v>
      </x:c>
      <x:c r="D4653" s="12" t="str">
        <x:v>Mumbai</x:v>
      </x:c>
      <x:c r="E4653" s="12" t="str">
        <x:v>Kohinoor City</x:v>
      </x:c>
      <x:c r="F4653" s="12" t="str">
        <x:v>55 inch</x:v>
      </x:c>
      <x:c r="G4653" s="20" t="n">
        <x:v>1</x:v>
      </x:c>
      <x:c r="H4653" s="12" t="str">
        <x:v>Campus/portfolio roster; individual building occupancy unverified</x:v>
      </x:c>
      <x:c r="I4653" s="12" t="str">
        <x:v>Mixed business audience</x:v>
      </x:c>
      <x:c r="J4653" s="12" t="str">
        <x:v>Education</x:v>
      </x:c>
      <x:c r="K4653" s="2" t="str">
        <x:v>PARTNER-M243</x:v>
      </x:c>
    </x:row>
    <x:row r="4654" ht="46" customHeight="1">
      <x:c r="A4654" s="2" t="str">
        <x:v>TEN-AE772C20AADD</x:v>
      </x:c>
      <x:c r="B4654" s="12" t="str">
        <x:v>Ehtesham &amp; Co. Chartered Accountants</x:v>
      </x:c>
      <x:c r="C4654" s="12" t="str">
        <x:v>CORP-0660</x:v>
      </x:c>
      <x:c r="D4654" s="12" t="str">
        <x:v>Mumbai</x:v>
      </x:c>
      <x:c r="E4654" s="12" t="str">
        <x:v>Kohinoor City</x:v>
      </x:c>
      <x:c r="F4654" s="12" t="str">
        <x:v>55 inch</x:v>
      </x:c>
      <x:c r="G4654" s="20" t="n">
        <x:v>1</x:v>
      </x:c>
      <x:c r="H4654" s="12" t="str">
        <x:v>Campus/portfolio roster; individual building occupancy unverified</x:v>
      </x:c>
      <x:c r="I4654" s="12" t="str">
        <x:v>Micro-scale prospects</x:v>
      </x:c>
      <x:c r="J4654" s="12" t="str">
        <x:v>Professional services</x:v>
      </x:c>
      <x:c r="K4654" s="2" t="str">
        <x:v>PARTNER-M243</x:v>
      </x:c>
    </x:row>
    <x:row r="4655" ht="46" customHeight="1">
      <x:c r="A4655" s="2" t="str">
        <x:v>TEN-B0BB02FFCE1D</x:v>
      </x:c>
      <x:c r="B4655" s="12" t="str">
        <x:v>Lis Silver Streak Salon</x:v>
      </x:c>
      <x:c r="C4655" s="12" t="str">
        <x:v>CORP-0660</x:v>
      </x:c>
      <x:c r="D4655" s="12" t="str">
        <x:v>Mumbai</x:v>
      </x:c>
      <x:c r="E4655" s="12" t="str">
        <x:v>Kohinoor City</x:v>
      </x:c>
      <x:c r="F4655" s="12" t="str">
        <x:v>55 inch</x:v>
      </x:c>
      <x:c r="G4655" s="20" t="n">
        <x:v>1</x:v>
      </x:c>
      <x:c r="H4655" s="12" t="str">
        <x:v>Campus/portfolio roster; individual building occupancy unverified</x:v>
      </x:c>
      <x:c r="I4655" s="12" t="str">
        <x:v>Small-scale prospects</x:v>
      </x:c>
      <x:c r="J4655" s="12" t="str">
        <x:v>Trade, consumer &amp; logistics</x:v>
      </x:c>
      <x:c r="K4655" s="2" t="str">
        <x:v>PARTNER-M243</x:v>
      </x:c>
    </x:row>
    <x:row r="4656" ht="46" customHeight="1">
      <x:c r="A4656" s="2" t="str">
        <x:v>TEN-D3EFC991FD82</x:v>
      </x:c>
      <x:c r="B4656" s="12" t="str">
        <x:v>MOAZZAM OVERSEAS CONSULTANT</x:v>
      </x:c>
      <x:c r="C4656" s="12" t="str">
        <x:v>CORP-0660</x:v>
      </x:c>
      <x:c r="D4656" s="12" t="str">
        <x:v>Mumbai</x:v>
      </x:c>
      <x:c r="E4656" s="12" t="str">
        <x:v>Kohinoor City</x:v>
      </x:c>
      <x:c r="F4656" s="12" t="str">
        <x:v>55 inch</x:v>
      </x:c>
      <x:c r="G4656" s="20" t="n">
        <x:v>1</x:v>
      </x:c>
      <x:c r="H4656" s="12" t="str">
        <x:v>Campus/portfolio roster; individual building occupancy unverified</x:v>
      </x:c>
      <x:c r="I4656" s="12" t="str">
        <x:v>Small-scale prospects</x:v>
      </x:c>
      <x:c r="J4656" s="12" t="str">
        <x:v>Professional services</x:v>
      </x:c>
      <x:c r="K4656" s="2" t="str">
        <x:v>PARTNER-M243</x:v>
      </x:c>
    </x:row>
    <x:row r="4657" ht="46" customHeight="1">
      <x:c r="A4657" s="2" t="str">
        <x:v>TEN-D6ED1EEBDEED</x:v>
      </x:c>
      <x:c r="B4657" s="12" t="str">
        <x:v>Carnival Support Services India Pvt. Ltd</x:v>
      </x:c>
      <x:c r="C4657" s="12" t="str">
        <x:v>CORP-0660</x:v>
      </x:c>
      <x:c r="D4657" s="12" t="str">
        <x:v>Mumbai</x:v>
      </x:c>
      <x:c r="E4657" s="12" t="str">
        <x:v>Kohinoor City</x:v>
      </x:c>
      <x:c r="F4657" s="12" t="str">
        <x:v>55 inch</x:v>
      </x:c>
      <x:c r="G4657" s="20" t="n">
        <x:v>1</x:v>
      </x:c>
      <x:c r="H4657" s="12" t="str">
        <x:v>Campus/portfolio roster; individual building occupancy unverified</x:v>
      </x:c>
      <x:c r="I4657" s="12" t="str">
        <x:v>Mixed business audience</x:v>
      </x:c>
      <x:c r="J4657" s="12" t="str">
        <x:v>Trade, consumer &amp; logistics</x:v>
      </x:c>
      <x:c r="K4657" s="2" t="str">
        <x:v>PARTNER-M243</x:v>
      </x:c>
    </x:row>
    <x:row r="4658" ht="46" customHeight="1">
      <x:c r="A4658" s="2" t="str">
        <x:v>TEN-F12B2AE1B965</x:v>
      </x:c>
      <x:c r="B4658" s="12" t="str">
        <x:v>Omega Shipping Agencies Pvt. Ltd</x:v>
      </x:c>
      <x:c r="C4658" s="12" t="str">
        <x:v>CORP-0660</x:v>
      </x:c>
      <x:c r="D4658" s="12" t="str">
        <x:v>Mumbai</x:v>
      </x:c>
      <x:c r="E4658" s="12" t="str">
        <x:v>Kohinoor City</x:v>
      </x:c>
      <x:c r="F4658" s="12" t="str">
        <x:v>55 inch</x:v>
      </x:c>
      <x:c r="G4658" s="20" t="n">
        <x:v>1</x:v>
      </x:c>
      <x:c r="H4658" s="12" t="str">
        <x:v>Campus/portfolio roster; individual building occupancy unverified</x:v>
      </x:c>
      <x:c r="I4658" s="12" t="str">
        <x:v>Medium-scale prospects</x:v>
      </x:c>
      <x:c r="J4658" s="12" t="str">
        <x:v>Trade, consumer &amp; logistics</x:v>
      </x:c>
      <x:c r="K4658" s="2" t="str">
        <x:v>PARTNER-M243</x:v>
      </x:c>
    </x:row>
    <x:row r="4659" ht="46" customHeight="1">
      <x:c r="A4659" s="2" t="str">
        <x:v>TEN-2ACB1A36E6C1</x:v>
      </x:c>
      <x:c r="B4659" s="12" t="str">
        <x:v>Softcell Technologies Global Pvt Ltd</x:v>
      </x:c>
      <x:c r="C4659" s="12" t="str">
        <x:v>CORP-0661</x:v>
      </x:c>
      <x:c r="D4659" s="12" t="str">
        <x:v>Mumbai</x:v>
      </x:c>
      <x:c r="E4659" s="12" t="str">
        <x:v>Kohinoor City</x:v>
      </x:c>
      <x:c r="F4659" s="12" t="str">
        <x:v>55 inch</x:v>
      </x:c>
      <x:c r="G4659" s="20" t="n">
        <x:v>1</x:v>
      </x:c>
      <x:c r="H4659" s="12" t="str">
        <x:v>Campus/portfolio roster; individual building occupancy unverified</x:v>
      </x:c>
      <x:c r="I4659" s="12" t="str">
        <x:v>Mixed business audience</x:v>
      </x:c>
      <x:c r="J4659" s="12" t="str">
        <x:v>IT &amp; digital</x:v>
      </x:c>
      <x:c r="K4659" s="2" t="str">
        <x:v>PARTNER-M243</x:v>
      </x:c>
    </x:row>
    <x:row r="4660" ht="46" customHeight="1">
      <x:c r="A4660" s="2" t="str">
        <x:v>TEN-43712282FE68</x:v>
      </x:c>
      <x:c r="B4660" s="12" t="str">
        <x:v>Viavi Solutions</x:v>
      </x:c>
      <x:c r="C4660" s="12" t="str">
        <x:v>CORP-0661</x:v>
      </x:c>
      <x:c r="D4660" s="12" t="str">
        <x:v>Mumbai</x:v>
      </x:c>
      <x:c r="E4660" s="12" t="str">
        <x:v>Kohinoor City</x:v>
      </x:c>
      <x:c r="F4660" s="12" t="str">
        <x:v>55 inch</x:v>
      </x:c>
      <x:c r="G4660" s="20" t="n">
        <x:v>1</x:v>
      </x:c>
      <x:c r="H4660" s="12" t="str">
        <x:v>Campus/portfolio roster; individual building occupancy unverified</x:v>
      </x:c>
      <x:c r="I4660" s="12" t="str">
        <x:v>Mixed business audience</x:v>
      </x:c>
      <x:c r="J4660" s="12" t="str">
        <x:v>IT &amp; digital</x:v>
      </x:c>
      <x:c r="K4660" s="2" t="str">
        <x:v>PARTNER-M243</x:v>
      </x:c>
    </x:row>
    <x:row r="4661" ht="46" customHeight="1">
      <x:c r="A4661" s="2" t="str">
        <x:v>TEN-46B4959BDEE0</x:v>
      </x:c>
      <x:c r="B4661" s="12" t="str">
        <x:v>Hansa Cequity</x:v>
      </x:c>
      <x:c r="C4661" s="12" t="str">
        <x:v>CORP-0661</x:v>
      </x:c>
      <x:c r="D4661" s="12" t="str">
        <x:v>Mumbai</x:v>
      </x:c>
      <x:c r="E4661" s="12" t="str">
        <x:v>Kohinoor City</x:v>
      </x:c>
      <x:c r="F4661" s="12" t="str">
        <x:v>55 inch</x:v>
      </x:c>
      <x:c r="G4661" s="20" t="n">
        <x:v>1</x:v>
      </x:c>
      <x:c r="H4661" s="12" t="str">
        <x:v>Campus/portfolio roster; individual building occupancy unverified</x:v>
      </x:c>
      <x:c r="I4661" s="12" t="str">
        <x:v>Mixed business audience</x:v>
      </x:c>
      <x:c r="J4661" s="12" t="str">
        <x:v>Professional services</x:v>
      </x:c>
      <x:c r="K4661" s="2" t="str">
        <x:v>PARTNER-M243</x:v>
      </x:c>
    </x:row>
    <x:row r="4662" ht="46" customHeight="1">
      <x:c r="A4662" s="2" t="str">
        <x:v>TEN-47FF8E27F353</x:v>
      </x:c>
      <x:c r="B4662" s="12" t="str">
        <x:v>NSE-WRO</x:v>
      </x:c>
      <x:c r="C4662" s="12" t="str">
        <x:v>CORP-0661</x:v>
      </x:c>
      <x:c r="D4662" s="12" t="str">
        <x:v>Mumbai</x:v>
      </x:c>
      <x:c r="E4662" s="12" t="str">
        <x:v>Kohinoor City</x:v>
      </x:c>
      <x:c r="F4662" s="12" t="str">
        <x:v>55 inch</x:v>
      </x:c>
      <x:c r="G4662" s="20" t="n">
        <x:v>1</x:v>
      </x:c>
      <x:c r="H4662" s="12" t="str">
        <x:v>Campus/portfolio roster; individual building occupancy unverified</x:v>
      </x:c>
      <x:c r="I4662" s="12" t="str">
        <x:v>Institutional</x:v>
      </x:c>
      <x:c r="J4662" s="12" t="str">
        <x:v>Government &amp; nonprofit</x:v>
      </x:c>
      <x:c r="K4662" s="2" t="str">
        <x:v>PARTNER-M243</x:v>
      </x:c>
    </x:row>
    <x:row r="4663" ht="46" customHeight="1">
      <x:c r="A4663" s="2" t="str">
        <x:v>TEN-8473394D087E</x:v>
      </x:c>
      <x:c r="B4663" s="12" t="str">
        <x:v>American School of Bombay</x:v>
      </x:c>
      <x:c r="C4663" s="12" t="str">
        <x:v>CORP-0661</x:v>
      </x:c>
      <x:c r="D4663" s="12" t="str">
        <x:v>Mumbai</x:v>
      </x:c>
      <x:c r="E4663" s="12" t="str">
        <x:v>Kohinoor City</x:v>
      </x:c>
      <x:c r="F4663" s="12" t="str">
        <x:v>55 inch</x:v>
      </x:c>
      <x:c r="G4663" s="20" t="n">
        <x:v>1</x:v>
      </x:c>
      <x:c r="H4663" s="12" t="str">
        <x:v>Campus/portfolio roster; individual building occupancy unverified</x:v>
      </x:c>
      <x:c r="I4663" s="12" t="str">
        <x:v>Mixed business audience</x:v>
      </x:c>
      <x:c r="J4663" s="12" t="str">
        <x:v>Education</x:v>
      </x:c>
      <x:c r="K4663" s="2" t="str">
        <x:v>PARTNER-M243</x:v>
      </x:c>
    </x:row>
    <x:row r="4664" ht="46" customHeight="1">
      <x:c r="A4664" s="2" t="str">
        <x:v>TEN-AE772C20AADD</x:v>
      </x:c>
      <x:c r="B4664" s="12" t="str">
        <x:v>Ehtesham &amp; Co. Chartered Accountants</x:v>
      </x:c>
      <x:c r="C4664" s="12" t="str">
        <x:v>CORP-0661</x:v>
      </x:c>
      <x:c r="D4664" s="12" t="str">
        <x:v>Mumbai</x:v>
      </x:c>
      <x:c r="E4664" s="12" t="str">
        <x:v>Kohinoor City</x:v>
      </x:c>
      <x:c r="F4664" s="12" t="str">
        <x:v>55 inch</x:v>
      </x:c>
      <x:c r="G4664" s="20" t="n">
        <x:v>1</x:v>
      </x:c>
      <x:c r="H4664" s="12" t="str">
        <x:v>Campus/portfolio roster; individual building occupancy unverified</x:v>
      </x:c>
      <x:c r="I4664" s="12" t="str">
        <x:v>Micro-scale prospects</x:v>
      </x:c>
      <x:c r="J4664" s="12" t="str">
        <x:v>Professional services</x:v>
      </x:c>
      <x:c r="K4664" s="2" t="str">
        <x:v>PARTNER-M243</x:v>
      </x:c>
    </x:row>
    <x:row r="4665" ht="46" customHeight="1">
      <x:c r="A4665" s="2" t="str">
        <x:v>TEN-B0BB02FFCE1D</x:v>
      </x:c>
      <x:c r="B4665" s="12" t="str">
        <x:v>Lis Silver Streak Salon</x:v>
      </x:c>
      <x:c r="C4665" s="12" t="str">
        <x:v>CORP-0661</x:v>
      </x:c>
      <x:c r="D4665" s="12" t="str">
        <x:v>Mumbai</x:v>
      </x:c>
      <x:c r="E4665" s="12" t="str">
        <x:v>Kohinoor City</x:v>
      </x:c>
      <x:c r="F4665" s="12" t="str">
        <x:v>55 inch</x:v>
      </x:c>
      <x:c r="G4665" s="20" t="n">
        <x:v>1</x:v>
      </x:c>
      <x:c r="H4665" s="12" t="str">
        <x:v>Campus/portfolio roster; individual building occupancy unverified</x:v>
      </x:c>
      <x:c r="I4665" s="12" t="str">
        <x:v>Small-scale prospects</x:v>
      </x:c>
      <x:c r="J4665" s="12" t="str">
        <x:v>Trade, consumer &amp; logistics</x:v>
      </x:c>
      <x:c r="K4665" s="2" t="str">
        <x:v>PARTNER-M243</x:v>
      </x:c>
    </x:row>
    <x:row r="4666" ht="46" customHeight="1">
      <x:c r="A4666" s="2" t="str">
        <x:v>TEN-D3EFC991FD82</x:v>
      </x:c>
      <x:c r="B4666" s="12" t="str">
        <x:v>MOAZZAM OVERSEAS CONSULTANT</x:v>
      </x:c>
      <x:c r="C4666" s="12" t="str">
        <x:v>CORP-0661</x:v>
      </x:c>
      <x:c r="D4666" s="12" t="str">
        <x:v>Mumbai</x:v>
      </x:c>
      <x:c r="E4666" s="12" t="str">
        <x:v>Kohinoor City</x:v>
      </x:c>
      <x:c r="F4666" s="12" t="str">
        <x:v>55 inch</x:v>
      </x:c>
      <x:c r="G4666" s="20" t="n">
        <x:v>1</x:v>
      </x:c>
      <x:c r="H4666" s="12" t="str">
        <x:v>Campus/portfolio roster; individual building occupancy unverified</x:v>
      </x:c>
      <x:c r="I4666" s="12" t="str">
        <x:v>Small-scale prospects</x:v>
      </x:c>
      <x:c r="J4666" s="12" t="str">
        <x:v>Professional services</x:v>
      </x:c>
      <x:c r="K4666" s="2" t="str">
        <x:v>PARTNER-M243</x:v>
      </x:c>
    </x:row>
    <x:row r="4667" ht="46" customHeight="1">
      <x:c r="A4667" s="2" t="str">
        <x:v>TEN-D6ED1EEBDEED</x:v>
      </x:c>
      <x:c r="B4667" s="12" t="str">
        <x:v>Carnival Support Services India Pvt. Ltd</x:v>
      </x:c>
      <x:c r="C4667" s="12" t="str">
        <x:v>CORP-0661</x:v>
      </x:c>
      <x:c r="D4667" s="12" t="str">
        <x:v>Mumbai</x:v>
      </x:c>
      <x:c r="E4667" s="12" t="str">
        <x:v>Kohinoor City</x:v>
      </x:c>
      <x:c r="F4667" s="12" t="str">
        <x:v>55 inch</x:v>
      </x:c>
      <x:c r="G4667" s="20" t="n">
        <x:v>1</x:v>
      </x:c>
      <x:c r="H4667" s="12" t="str">
        <x:v>Campus/portfolio roster; individual building occupancy unverified</x:v>
      </x:c>
      <x:c r="I4667" s="12" t="str">
        <x:v>Mixed business audience</x:v>
      </x:c>
      <x:c r="J4667" s="12" t="str">
        <x:v>Trade, consumer &amp; logistics</x:v>
      </x:c>
      <x:c r="K4667" s="2" t="str">
        <x:v>PARTNER-M243</x:v>
      </x:c>
    </x:row>
    <x:row r="4668" ht="46" customHeight="1">
      <x:c r="A4668" s="2" t="str">
        <x:v>TEN-F12B2AE1B965</x:v>
      </x:c>
      <x:c r="B4668" s="12" t="str">
        <x:v>Omega Shipping Agencies Pvt. Ltd</x:v>
      </x:c>
      <x:c r="C4668" s="12" t="str">
        <x:v>CORP-0661</x:v>
      </x:c>
      <x:c r="D4668" s="12" t="str">
        <x:v>Mumbai</x:v>
      </x:c>
      <x:c r="E4668" s="12" t="str">
        <x:v>Kohinoor City</x:v>
      </x:c>
      <x:c r="F4668" s="12" t="str">
        <x:v>55 inch</x:v>
      </x:c>
      <x:c r="G4668" s="20" t="n">
        <x:v>1</x:v>
      </x:c>
      <x:c r="H4668" s="12" t="str">
        <x:v>Campus/portfolio roster; individual building occupancy unverified</x:v>
      </x:c>
      <x:c r="I4668" s="12" t="str">
        <x:v>Medium-scale prospects</x:v>
      </x:c>
      <x:c r="J4668" s="12" t="str">
        <x:v>Trade, consumer &amp; logistics</x:v>
      </x:c>
      <x:c r="K4668" s="2" t="str">
        <x:v>PARTNER-M243</x:v>
      </x:c>
    </x:row>
    <x:row r="4669" ht="46" customHeight="1">
      <x:c r="A4669" s="2" t="str">
        <x:v>TEN-4AF50FD6663E</x:v>
      </x:c>
      <x:c r="B4669" s="12" t="str">
        <x:v>Grey And White HR Consultants Private Limited</x:v>
      </x:c>
      <x:c r="C4669" s="12" t="str">
        <x:v>CORP-0662</x:v>
      </x:c>
      <x:c r="D4669" s="12" t="str">
        <x:v>Mumbai</x:v>
      </x:c>
      <x:c r="E4669" s="12" t="str">
        <x:v>Lodha iThink</x:v>
      </x:c>
      <x:c r="F4669" s="12" t="str">
        <x:v>55 inch</x:v>
      </x:c>
      <x:c r="G4669" s="20" t="n">
        <x:v>1</x:v>
      </x:c>
      <x:c r="H4669" s="12" t="str">
        <x:v>Campus/portfolio roster; individual building occupancy unverified</x:v>
      </x:c>
      <x:c r="I4669" s="12" t="str">
        <x:v>Small-scale prospects</x:v>
      </x:c>
      <x:c r="J4669" s="12" t="str">
        <x:v>Professional services</x:v>
      </x:c>
      <x:c r="K4669" s="2" t="str">
        <x:v>PARTNER-M245</x:v>
      </x:c>
    </x:row>
    <x:row r="4670" ht="46" customHeight="1">
      <x:c r="A4670" s="2" t="str">
        <x:v>TEN-558F06B9FFAD</x:v>
      </x:c>
      <x:c r="B4670" s="12" t="str">
        <x:v>Technosprout Systems Pvt. Ltd</x:v>
      </x:c>
      <x:c r="C4670" s="12" t="str">
        <x:v>CORP-0662</x:v>
      </x:c>
      <x:c r="D4670" s="12" t="str">
        <x:v>Mumbai</x:v>
      </x:c>
      <x:c r="E4670" s="12" t="str">
        <x:v>Lodha iThink</x:v>
      </x:c>
      <x:c r="F4670" s="12" t="str">
        <x:v>55 inch</x:v>
      </x:c>
      <x:c r="G4670" s="20" t="n">
        <x:v>1</x:v>
      </x:c>
      <x:c r="H4670" s="12" t="str">
        <x:v>Campus/portfolio roster; individual building occupancy unverified</x:v>
      </x:c>
      <x:c r="I4670" s="12" t="str">
        <x:v>Mixed business audience</x:v>
      </x:c>
      <x:c r="J4670" s="12" t="str">
        <x:v>Unresolved</x:v>
      </x:c>
      <x:c r="K4670" s="2" t="str">
        <x:v>PARTNER-M245</x:v>
      </x:c>
    </x:row>
    <x:row r="4671" ht="46" customHeight="1">
      <x:c r="A4671" s="2" t="str">
        <x:v>TEN-780337EBA367</x:v>
      </x:c>
      <x:c r="B4671" s="12" t="str">
        <x:v>EVERSTAR OPTOELECTRONICS PVT. LTD</x:v>
      </x:c>
      <x:c r="C4671" s="12" t="str">
        <x:v>CORP-0662</x:v>
      </x:c>
      <x:c r="D4671" s="12" t="str">
        <x:v>Mumbai</x:v>
      </x:c>
      <x:c r="E4671" s="12" t="str">
        <x:v>Lodha iThink</x:v>
      </x:c>
      <x:c r="F4671" s="12" t="str">
        <x:v>55 inch</x:v>
      </x:c>
      <x:c r="G4671" s="20" t="n">
        <x:v>1</x:v>
      </x:c>
      <x:c r="H4671" s="12" t="str">
        <x:v>Campus/portfolio roster; individual building occupancy unverified</x:v>
      </x:c>
      <x:c r="I4671" s="12" t="str">
        <x:v>Medium-scale prospects</x:v>
      </x:c>
      <x:c r="J4671" s="12" t="str">
        <x:v>Engineering &amp; manufacturing</x:v>
      </x:c>
      <x:c r="K4671" s="2" t="str">
        <x:v>PARTNER-M245</x:v>
      </x:c>
    </x:row>
    <x:row r="4672" ht="46" customHeight="1">
      <x:c r="A4672" s="2" t="str">
        <x:v>TEN-C4EB443BC291</x:v>
      </x:c>
      <x:c r="B4672" s="12" t="str">
        <x:v>AAJ Media Productions</x:v>
      </x:c>
      <x:c r="C4672" s="12" t="str">
        <x:v>CORP-0662</x:v>
      </x:c>
      <x:c r="D4672" s="12" t="str">
        <x:v>Mumbai</x:v>
      </x:c>
      <x:c r="E4672" s="12" t="str">
        <x:v>Lodha iThink</x:v>
      </x:c>
      <x:c r="F4672" s="12" t="str">
        <x:v>55 inch</x:v>
      </x:c>
      <x:c r="G4672" s="20" t="n">
        <x:v>1</x:v>
      </x:c>
      <x:c r="H4672" s="12" t="str">
        <x:v>Campus/portfolio roster; individual building occupancy unverified</x:v>
      </x:c>
      <x:c r="I4672" s="12" t="str">
        <x:v>Small-scale prospects</x:v>
      </x:c>
      <x:c r="J4672" s="12" t="str">
        <x:v>Trade, consumer &amp; logistics</x:v>
      </x:c>
      <x:c r="K4672" s="2" t="str">
        <x:v>PARTNER-M245</x:v>
      </x:c>
    </x:row>
    <x:row r="4673" ht="46" customHeight="1">
      <x:c r="A4673" s="2" t="str">
        <x:v>TEN-E7A6F56E3B21</x:v>
      </x:c>
      <x:c r="B4673" s="12" t="str">
        <x:v>Lumens Technologies Pvt. Ltd</x:v>
      </x:c>
      <x:c r="C4673" s="12" t="str">
        <x:v>CORP-0662</x:v>
      </x:c>
      <x:c r="D4673" s="12" t="str">
        <x:v>Mumbai</x:v>
      </x:c>
      <x:c r="E4673" s="12" t="str">
        <x:v>Lodha iThink</x:v>
      </x:c>
      <x:c r="F4673" s="12" t="str">
        <x:v>55 inch</x:v>
      </x:c>
      <x:c r="G4673" s="20" t="n">
        <x:v>1</x:v>
      </x:c>
      <x:c r="H4673" s="12" t="str">
        <x:v>Campus/portfolio roster; individual building occupancy unverified</x:v>
      </x:c>
      <x:c r="I4673" s="12" t="str">
        <x:v>Mixed business audience</x:v>
      </x:c>
      <x:c r="J4673" s="12" t="str">
        <x:v>Unresolved</x:v>
      </x:c>
      <x:c r="K4673" s="2" t="str">
        <x:v>PARTNER-M245</x:v>
      </x:c>
    </x:row>
    <x:row r="4674" ht="46" customHeight="1">
      <x:c r="A4674" s="2" t="str">
        <x:v>TEN-FE5A685BB3BA</x:v>
      </x:c>
      <x:c r="B4674" s="12" t="str">
        <x:v>S SHARMA &amp; ASSOCIATES</x:v>
      </x:c>
      <x:c r="C4674" s="12" t="str">
        <x:v>CORP-0662</x:v>
      </x:c>
      <x:c r="D4674" s="12" t="str">
        <x:v>Mumbai</x:v>
      </x:c>
      <x:c r="E4674" s="12" t="str">
        <x:v>Lodha iThink</x:v>
      </x:c>
      <x:c r="F4674" s="12" t="str">
        <x:v>55 inch</x:v>
      </x:c>
      <x:c r="G4674" s="20" t="n">
        <x:v>1</x:v>
      </x:c>
      <x:c r="H4674" s="12" t="str">
        <x:v>Campus/portfolio roster; individual building occupancy unverified</x:v>
      </x:c>
      <x:c r="I4674" s="12" t="str">
        <x:v>Mixed business audience</x:v>
      </x:c>
      <x:c r="J4674" s="12" t="str">
        <x:v>Unresolved</x:v>
      </x:c>
      <x:c r="K4674" s="2" t="str">
        <x:v>PARTNER-M245</x:v>
      </x:c>
    </x:row>
    <x:row r="4675" ht="46" customHeight="1">
      <x:c r="A4675" s="2" t="str">
        <x:v>TEN-4AF50FD6663E</x:v>
      </x:c>
      <x:c r="B4675" s="12" t="str">
        <x:v>Grey And White HR Consultants Private Limited</x:v>
      </x:c>
      <x:c r="C4675" s="12" t="str">
        <x:v>CORP-0663</x:v>
      </x:c>
      <x:c r="D4675" s="12" t="str">
        <x:v>Mumbai</x:v>
      </x:c>
      <x:c r="E4675" s="12" t="str">
        <x:v>Lodha iThink</x:v>
      </x:c>
      <x:c r="F4675" s="12" t="str">
        <x:v>55 inch</x:v>
      </x:c>
      <x:c r="G4675" s="20" t="n">
        <x:v>1</x:v>
      </x:c>
      <x:c r="H4675" s="12" t="str">
        <x:v>Campus/portfolio roster; individual building occupancy unverified</x:v>
      </x:c>
      <x:c r="I4675" s="12" t="str">
        <x:v>Small-scale prospects</x:v>
      </x:c>
      <x:c r="J4675" s="12" t="str">
        <x:v>Professional services</x:v>
      </x:c>
      <x:c r="K4675" s="2" t="str">
        <x:v>PARTNER-M245</x:v>
      </x:c>
    </x:row>
    <x:row r="4676" ht="46" customHeight="1">
      <x:c r="A4676" s="2" t="str">
        <x:v>TEN-558F06B9FFAD</x:v>
      </x:c>
      <x:c r="B4676" s="12" t="str">
        <x:v>Technosprout Systems Pvt. Ltd</x:v>
      </x:c>
      <x:c r="C4676" s="12" t="str">
        <x:v>CORP-0663</x:v>
      </x:c>
      <x:c r="D4676" s="12" t="str">
        <x:v>Mumbai</x:v>
      </x:c>
      <x:c r="E4676" s="12" t="str">
        <x:v>Lodha iThink</x:v>
      </x:c>
      <x:c r="F4676" s="12" t="str">
        <x:v>55 inch</x:v>
      </x:c>
      <x:c r="G4676" s="20" t="n">
        <x:v>1</x:v>
      </x:c>
      <x:c r="H4676" s="12" t="str">
        <x:v>Campus/portfolio roster; individual building occupancy unverified</x:v>
      </x:c>
      <x:c r="I4676" s="12" t="str">
        <x:v>Mixed business audience</x:v>
      </x:c>
      <x:c r="J4676" s="12" t="str">
        <x:v>Unresolved</x:v>
      </x:c>
      <x:c r="K4676" s="2" t="str">
        <x:v>PARTNER-M245</x:v>
      </x:c>
    </x:row>
    <x:row r="4677" ht="46" customHeight="1">
      <x:c r="A4677" s="2" t="str">
        <x:v>TEN-780337EBA367</x:v>
      </x:c>
      <x:c r="B4677" s="12" t="str">
        <x:v>EVERSTAR OPTOELECTRONICS PVT. LTD</x:v>
      </x:c>
      <x:c r="C4677" s="12" t="str">
        <x:v>CORP-0663</x:v>
      </x:c>
      <x:c r="D4677" s="12" t="str">
        <x:v>Mumbai</x:v>
      </x:c>
      <x:c r="E4677" s="12" t="str">
        <x:v>Lodha iThink</x:v>
      </x:c>
      <x:c r="F4677" s="12" t="str">
        <x:v>55 inch</x:v>
      </x:c>
      <x:c r="G4677" s="20" t="n">
        <x:v>1</x:v>
      </x:c>
      <x:c r="H4677" s="12" t="str">
        <x:v>Campus/portfolio roster; individual building occupancy unverified</x:v>
      </x:c>
      <x:c r="I4677" s="12" t="str">
        <x:v>Medium-scale prospects</x:v>
      </x:c>
      <x:c r="J4677" s="12" t="str">
        <x:v>Engineering &amp; manufacturing</x:v>
      </x:c>
      <x:c r="K4677" s="2" t="str">
        <x:v>PARTNER-M245</x:v>
      </x:c>
    </x:row>
    <x:row r="4678" ht="46" customHeight="1">
      <x:c r="A4678" s="2" t="str">
        <x:v>TEN-C4EB443BC291</x:v>
      </x:c>
      <x:c r="B4678" s="12" t="str">
        <x:v>AAJ Media Productions</x:v>
      </x:c>
      <x:c r="C4678" s="12" t="str">
        <x:v>CORP-0663</x:v>
      </x:c>
      <x:c r="D4678" s="12" t="str">
        <x:v>Mumbai</x:v>
      </x:c>
      <x:c r="E4678" s="12" t="str">
        <x:v>Lodha iThink</x:v>
      </x:c>
      <x:c r="F4678" s="12" t="str">
        <x:v>55 inch</x:v>
      </x:c>
      <x:c r="G4678" s="20" t="n">
        <x:v>1</x:v>
      </x:c>
      <x:c r="H4678" s="12" t="str">
        <x:v>Campus/portfolio roster; individual building occupancy unverified</x:v>
      </x:c>
      <x:c r="I4678" s="12" t="str">
        <x:v>Small-scale prospects</x:v>
      </x:c>
      <x:c r="J4678" s="12" t="str">
        <x:v>Trade, consumer &amp; logistics</x:v>
      </x:c>
      <x:c r="K4678" s="2" t="str">
        <x:v>PARTNER-M245</x:v>
      </x:c>
    </x:row>
    <x:row r="4679" ht="46" customHeight="1">
      <x:c r="A4679" s="2" t="str">
        <x:v>TEN-E7A6F56E3B21</x:v>
      </x:c>
      <x:c r="B4679" s="12" t="str">
        <x:v>Lumens Technologies Pvt. Ltd</x:v>
      </x:c>
      <x:c r="C4679" s="12" t="str">
        <x:v>CORP-0663</x:v>
      </x:c>
      <x:c r="D4679" s="12" t="str">
        <x:v>Mumbai</x:v>
      </x:c>
      <x:c r="E4679" s="12" t="str">
        <x:v>Lodha iThink</x:v>
      </x:c>
      <x:c r="F4679" s="12" t="str">
        <x:v>55 inch</x:v>
      </x:c>
      <x:c r="G4679" s="20" t="n">
        <x:v>1</x:v>
      </x:c>
      <x:c r="H4679" s="12" t="str">
        <x:v>Campus/portfolio roster; individual building occupancy unverified</x:v>
      </x:c>
      <x:c r="I4679" s="12" t="str">
        <x:v>Mixed business audience</x:v>
      </x:c>
      <x:c r="J4679" s="12" t="str">
        <x:v>Unresolved</x:v>
      </x:c>
      <x:c r="K4679" s="2" t="str">
        <x:v>PARTNER-M245</x:v>
      </x:c>
    </x:row>
    <x:row r="4680" ht="46" customHeight="1">
      <x:c r="A4680" s="2" t="str">
        <x:v>TEN-FE5A685BB3BA</x:v>
      </x:c>
      <x:c r="B4680" s="12" t="str">
        <x:v>S SHARMA &amp; ASSOCIATES</x:v>
      </x:c>
      <x:c r="C4680" s="12" t="str">
        <x:v>CORP-0663</x:v>
      </x:c>
      <x:c r="D4680" s="12" t="str">
        <x:v>Mumbai</x:v>
      </x:c>
      <x:c r="E4680" s="12" t="str">
        <x:v>Lodha iThink</x:v>
      </x:c>
      <x:c r="F4680" s="12" t="str">
        <x:v>55 inch</x:v>
      </x:c>
      <x:c r="G4680" s="20" t="n">
        <x:v>1</x:v>
      </x:c>
      <x:c r="H4680" s="12" t="str">
        <x:v>Campus/portfolio roster; individual building occupancy unverified</x:v>
      </x:c>
      <x:c r="I4680" s="12" t="str">
        <x:v>Mixed business audience</x:v>
      </x:c>
      <x:c r="J4680" s="12" t="str">
        <x:v>Unresolved</x:v>
      </x:c>
      <x:c r="K4680" s="2" t="str">
        <x:v>PARTNER-M245</x:v>
      </x:c>
    </x:row>
    <x:row r="4681" ht="46" customHeight="1">
      <x:c r="A4681" s="2" t="str">
        <x:v>TEN-047B5C39429C</x:v>
      </x:c>
      <x:c r="B4681" s="12" t="str">
        <x:v>Anish Financial Services</x:v>
      </x:c>
      <x:c r="C4681" s="12" t="str">
        <x:v>CORP-0664</x:v>
      </x:c>
      <x:c r="D4681" s="12" t="str">
        <x:v>Mumbai</x:v>
      </x:c>
      <x:c r="E4681" s="12" t="str">
        <x:v>Lodha Supremus</x:v>
      </x:c>
      <x:c r="F4681" s="12" t="str">
        <x:v>55 inch</x:v>
      </x:c>
      <x:c r="G4681" s="20" t="n">
        <x:v>1</x:v>
      </x:c>
      <x:c r="H4681" s="12" t="str">
        <x:v>Campus/portfolio roster; individual building occupancy unverified</x:v>
      </x:c>
      <x:c r="I4681" s="12" t="str">
        <x:v>Medium-scale prospects</x:v>
      </x:c>
      <x:c r="J4681" s="12" t="str">
        <x:v>Finance &amp; insurance</x:v>
      </x:c>
      <x:c r="K4681" s="2" t="str">
        <x:v>PARTNER-M247</x:v>
      </x:c>
    </x:row>
    <x:row r="4682" ht="46" customHeight="1">
      <x:c r="A4682" s="2" t="str">
        <x:v>TEN-195AFC7F05A0</x:v>
      </x:c>
      <x:c r="B4682" s="12" t="str">
        <x:v>Peora Fashions</x:v>
      </x:c>
      <x:c r="C4682" s="12" t="str">
        <x:v>CORP-0664</x:v>
      </x:c>
      <x:c r="D4682" s="12" t="str">
        <x:v>Mumbai</x:v>
      </x:c>
      <x:c r="E4682" s="12" t="str">
        <x:v>Lodha Supremus</x:v>
      </x:c>
      <x:c r="F4682" s="12" t="str">
        <x:v>55 inch</x:v>
      </x:c>
      <x:c r="G4682" s="20" t="n">
        <x:v>1</x:v>
      </x:c>
      <x:c r="H4682" s="12" t="str">
        <x:v>Campus/portfolio roster; individual building occupancy unverified</x:v>
      </x:c>
      <x:c r="I4682" s="12" t="str">
        <x:v>Small-scale prospects</x:v>
      </x:c>
      <x:c r="J4682" s="12" t="str">
        <x:v>Trade, consumer &amp; logistics</x:v>
      </x:c>
      <x:c r="K4682" s="2" t="str">
        <x:v>PARTNER-M247</x:v>
      </x:c>
    </x:row>
    <x:row r="4683" ht="46" customHeight="1">
      <x:c r="A4683" s="2" t="str">
        <x:v>TEN-2DCEAF99E136</x:v>
      </x:c>
      <x:c r="B4683" s="12" t="str">
        <x:v>OneAssist Consumer Solutions</x:v>
      </x:c>
      <x:c r="C4683" s="12" t="str">
        <x:v>CORP-0664</x:v>
      </x:c>
      <x:c r="D4683" s="12" t="str">
        <x:v>Mumbai</x:v>
      </x:c>
      <x:c r="E4683" s="12" t="str">
        <x:v>Lodha Supremus</x:v>
      </x:c>
      <x:c r="F4683" s="12" t="str">
        <x:v>55 inch</x:v>
      </x:c>
      <x:c r="G4683" s="20" t="n">
        <x:v>1</x:v>
      </x:c>
      <x:c r="H4683" s="12" t="str">
        <x:v>Campus/portfolio roster; individual building occupancy unverified</x:v>
      </x:c>
      <x:c r="I4683" s="12" t="str">
        <x:v>Small-scale prospects</x:v>
      </x:c>
      <x:c r="J4683" s="12" t="str">
        <x:v>Trade, consumer &amp; logistics</x:v>
      </x:c>
      <x:c r="K4683" s="2" t="str">
        <x:v>PARTNER-M247</x:v>
      </x:c>
    </x:row>
    <x:row r="4684" ht="46" customHeight="1">
      <x:c r="A4684" s="2" t="str">
        <x:v>TEN-2E7AAE5DD17C</x:v>
      </x:c>
      <x:c r="B4684" s="12" t="str">
        <x:v>Ascent Consulting Services</x:v>
      </x:c>
      <x:c r="C4684" s="12" t="str">
        <x:v>CORP-0664</x:v>
      </x:c>
      <x:c r="D4684" s="12" t="str">
        <x:v>Mumbai</x:v>
      </x:c>
      <x:c r="E4684" s="12" t="str">
        <x:v>Lodha Supremus</x:v>
      </x:c>
      <x:c r="F4684" s="12" t="str">
        <x:v>55 inch</x:v>
      </x:c>
      <x:c r="G4684" s="20" t="n">
        <x:v>1</x:v>
      </x:c>
      <x:c r="H4684" s="12" t="str">
        <x:v>Campus/portfolio roster; individual building occupancy unverified</x:v>
      </x:c>
      <x:c r="I4684" s="12" t="str">
        <x:v>Small-scale prospects</x:v>
      </x:c>
      <x:c r="J4684" s="12" t="str">
        <x:v>Professional services</x:v>
      </x:c>
      <x:c r="K4684" s="2" t="str">
        <x:v>PARTNER-M247</x:v>
      </x:c>
    </x:row>
    <x:row r="4685" ht="46" customHeight="1">
      <x:c r="A4685" s="2" t="str">
        <x:v>TEN-34FA47A413A3</x:v>
      </x:c>
      <x:c r="B4685" s="12" t="str">
        <x:v>Whizzmark Business Solutions</x:v>
      </x:c>
      <x:c r="C4685" s="12" t="str">
        <x:v>CORP-0664</x:v>
      </x:c>
      <x:c r="D4685" s="12" t="str">
        <x:v>Mumbai</x:v>
      </x:c>
      <x:c r="E4685" s="12" t="str">
        <x:v>Lodha Supremus</x:v>
      </x:c>
      <x:c r="F4685" s="12" t="str">
        <x:v>55 inch</x:v>
      </x:c>
      <x:c r="G4685" s="20" t="n">
        <x:v>1</x:v>
      </x:c>
      <x:c r="H4685" s="12" t="str">
        <x:v>Campus/portfolio roster; individual building occupancy unverified</x:v>
      </x:c>
      <x:c r="I4685" s="12" t="str">
        <x:v>Mixed business audience</x:v>
      </x:c>
      <x:c r="J4685" s="12" t="str">
        <x:v>Unresolved</x:v>
      </x:c>
      <x:c r="K4685" s="2" t="str">
        <x:v>PARTNER-M247</x:v>
      </x:c>
    </x:row>
    <x:row r="4686" ht="46" customHeight="1">
      <x:c r="A4686" s="2" t="str">
        <x:v>TEN-5B49D3958B92</x:v>
      </x:c>
      <x:c r="B4686" s="12" t="str">
        <x:v>Bisleri International</x:v>
      </x:c>
      <x:c r="C4686" s="12" t="str">
        <x:v>CORP-0664</x:v>
      </x:c>
      <x:c r="D4686" s="12" t="str">
        <x:v>Mumbai</x:v>
      </x:c>
      <x:c r="E4686" s="12" t="str">
        <x:v>Lodha Supremus</x:v>
      </x:c>
      <x:c r="F4686" s="12" t="str">
        <x:v>55 inch</x:v>
      </x:c>
      <x:c r="G4686" s="20" t="n">
        <x:v>1</x:v>
      </x:c>
      <x:c r="H4686" s="12" t="str">
        <x:v>Campus/portfolio roster; individual building occupancy unverified</x:v>
      </x:c>
      <x:c r="I4686" s="12" t="str">
        <x:v>Mixed business audience</x:v>
      </x:c>
      <x:c r="J4686" s="12" t="str">
        <x:v>Trade, consumer &amp; logistics</x:v>
      </x:c>
      <x:c r="K4686" s="2" t="str">
        <x:v>PARTNER-M247</x:v>
      </x:c>
    </x:row>
    <x:row r="4687" ht="46" customHeight="1">
      <x:c r="A4687" s="2" t="str">
        <x:v>TEN-6BCAF693F975</x:v>
      </x:c>
      <x:c r="B4687" s="12" t="str">
        <x:v>Indana Hotels &amp; Resorts</x:v>
      </x:c>
      <x:c r="C4687" s="12" t="str">
        <x:v>CORP-0664</x:v>
      </x:c>
      <x:c r="D4687" s="12" t="str">
        <x:v>Mumbai</x:v>
      </x:c>
      <x:c r="E4687" s="12" t="str">
        <x:v>Lodha Supremus</x:v>
      </x:c>
      <x:c r="F4687" s="12" t="str">
        <x:v>55 inch</x:v>
      </x:c>
      <x:c r="G4687" s="20" t="n">
        <x:v>1</x:v>
      </x:c>
      <x:c r="H4687" s="12" t="str">
        <x:v>Campus/portfolio roster; individual building occupancy unverified</x:v>
      </x:c>
      <x:c r="I4687" s="12" t="str">
        <x:v>Small-scale prospects</x:v>
      </x:c>
      <x:c r="J4687" s="12" t="str">
        <x:v>Trade, consumer &amp; logistics</x:v>
      </x:c>
      <x:c r="K4687" s="2" t="str">
        <x:v>PARTNER-M247</x:v>
      </x:c>
    </x:row>
    <x:row r="4688" ht="46" customHeight="1">
      <x:c r="A4688" s="2" t="str">
        <x:v>TEN-80ABA2BC6E03</x:v>
      </x:c>
      <x:c r="B4688" s="12" t="str">
        <x:v>Mirc Electronics Ltd (Onida)</x:v>
      </x:c>
      <x:c r="C4688" s="12" t="str">
        <x:v>CORP-0664</x:v>
      </x:c>
      <x:c r="D4688" s="12" t="str">
        <x:v>Mumbai</x:v>
      </x:c>
      <x:c r="E4688" s="12" t="str">
        <x:v>Lodha Supremus</x:v>
      </x:c>
      <x:c r="F4688" s="12" t="str">
        <x:v>55 inch</x:v>
      </x:c>
      <x:c r="G4688" s="20" t="n">
        <x:v>1</x:v>
      </x:c>
      <x:c r="H4688" s="12" t="str">
        <x:v>Campus/portfolio roster; individual building occupancy unverified</x:v>
      </x:c>
      <x:c r="I4688" s="12" t="str">
        <x:v>Mixed business audience</x:v>
      </x:c>
      <x:c r="J4688" s="12" t="str">
        <x:v>Engineering &amp; manufacturing</x:v>
      </x:c>
      <x:c r="K4688" s="2" t="str">
        <x:v>PARTNER-M247</x:v>
      </x:c>
    </x:row>
    <x:row r="4689" ht="46" customHeight="1">
      <x:c r="A4689" s="2" t="str">
        <x:v>TEN-A04AEB75F5F5</x:v>
      </x:c>
      <x:c r="B4689" s="12" t="str">
        <x:v>Tessuti Industries</x:v>
      </x:c>
      <x:c r="C4689" s="12" t="str">
        <x:v>CORP-0664</x:v>
      </x:c>
      <x:c r="D4689" s="12" t="str">
        <x:v>Mumbai</x:v>
      </x:c>
      <x:c r="E4689" s="12" t="str">
        <x:v>Lodha Supremus</x:v>
      </x:c>
      <x:c r="F4689" s="12" t="str">
        <x:v>55 inch</x:v>
      </x:c>
      <x:c r="G4689" s="20" t="n">
        <x:v>1</x:v>
      </x:c>
      <x:c r="H4689" s="12" t="str">
        <x:v>Campus/portfolio roster; individual building occupancy unverified</x:v>
      </x:c>
      <x:c r="I4689" s="12" t="str">
        <x:v>Medium-scale prospects</x:v>
      </x:c>
      <x:c r="J4689" s="12" t="str">
        <x:v>Engineering &amp; manufacturing</x:v>
      </x:c>
      <x:c r="K4689" s="2" t="str">
        <x:v>PARTNER-M247</x:v>
      </x:c>
    </x:row>
    <x:row r="4690" ht="46" customHeight="1">
      <x:c r="A4690" s="2" t="str">
        <x:v>TEN-A6A145176095</x:v>
      </x:c>
      <x:c r="B4690" s="12" t="str">
        <x:v>D B Consultants</x:v>
      </x:c>
      <x:c r="C4690" s="12" t="str">
        <x:v>CORP-0664</x:v>
      </x:c>
      <x:c r="D4690" s="12" t="str">
        <x:v>Mumbai</x:v>
      </x:c>
      <x:c r="E4690" s="12" t="str">
        <x:v>Lodha Supremus</x:v>
      </x:c>
      <x:c r="F4690" s="12" t="str">
        <x:v>55 inch</x:v>
      </x:c>
      <x:c r="G4690" s="20" t="n">
        <x:v>1</x:v>
      </x:c>
      <x:c r="H4690" s="12" t="str">
        <x:v>Campus/portfolio roster; individual building occupancy unverified</x:v>
      </x:c>
      <x:c r="I4690" s="12" t="str">
        <x:v>Small-scale prospects</x:v>
      </x:c>
      <x:c r="J4690" s="12" t="str">
        <x:v>Professional services</x:v>
      </x:c>
      <x:c r="K4690" s="2" t="str">
        <x:v>PARTNER-M247</x:v>
      </x:c>
    </x:row>
    <x:row r="4691" ht="46" customHeight="1">
      <x:c r="A4691" s="2" t="str">
        <x:v>TEN-BEBC85511125</x:v>
      </x:c>
      <x:c r="B4691" s="12" t="str">
        <x:v>Trinity Insurance Services</x:v>
      </x:c>
      <x:c r="C4691" s="12" t="str">
        <x:v>CORP-0664</x:v>
      </x:c>
      <x:c r="D4691" s="12" t="str">
        <x:v>Mumbai</x:v>
      </x:c>
      <x:c r="E4691" s="12" t="str">
        <x:v>Lodha Supremus</x:v>
      </x:c>
      <x:c r="F4691" s="12" t="str">
        <x:v>55 inch</x:v>
      </x:c>
      <x:c r="G4691" s="20" t="n">
        <x:v>1</x:v>
      </x:c>
      <x:c r="H4691" s="12" t="str">
        <x:v>Campus/portfolio roster; individual building occupancy unverified</x:v>
      </x:c>
      <x:c r="I4691" s="12" t="str">
        <x:v>Medium-scale prospects</x:v>
      </x:c>
      <x:c r="J4691" s="12" t="str">
        <x:v>Finance &amp; insurance</x:v>
      </x:c>
      <x:c r="K4691" s="2" t="str">
        <x:v>PARTNER-M247</x:v>
      </x:c>
    </x:row>
    <x:row r="4692" ht="46" customHeight="1">
      <x:c r="A4692" s="2" t="str">
        <x:v>TEN-BEE4F75D30E5</x:v>
      </x:c>
      <x:c r="B4692" s="12" t="str">
        <x:v>ICICI Bank</x:v>
      </x:c>
      <x:c r="C4692" s="12" t="str">
        <x:v>CORP-0664</x:v>
      </x:c>
      <x:c r="D4692" s="12" t="str">
        <x:v>Mumbai</x:v>
      </x:c>
      <x:c r="E4692" s="12" t="str">
        <x:v>Lodha Supremus</x:v>
      </x:c>
      <x:c r="F4692" s="12" t="str">
        <x:v>55 inch</x:v>
      </x:c>
      <x:c r="G4692" s="20" t="n">
        <x:v>1</x:v>
      </x:c>
      <x:c r="H4692" s="12" t="str">
        <x:v>Campus/portfolio roster; individual building occupancy unverified</x:v>
      </x:c>
      <x:c r="I4692" s="12" t="str">
        <x:v>Large enterprise</x:v>
      </x:c>
      <x:c r="J4692" s="12" t="str">
        <x:v>Finance &amp; insurance</x:v>
      </x:c>
      <x:c r="K4692" s="2" t="str">
        <x:v>PARTNER-M247</x:v>
      </x:c>
    </x:row>
    <x:row r="4693" ht="46" customHeight="1">
      <x:c r="A4693" s="2" t="str">
        <x:v>TEN-C93E32AC59F9</x:v>
      </x:c>
      <x:c r="B4693" s="12" t="str">
        <x:v>VITS Hotels(Corporate Office)</x:v>
      </x:c>
      <x:c r="C4693" s="12" t="str">
        <x:v>CORP-0664</x:v>
      </x:c>
      <x:c r="D4693" s="12" t="str">
        <x:v>Mumbai</x:v>
      </x:c>
      <x:c r="E4693" s="12" t="str">
        <x:v>Lodha Supremus</x:v>
      </x:c>
      <x:c r="F4693" s="12" t="str">
        <x:v>55 inch</x:v>
      </x:c>
      <x:c r="G4693" s="20" t="n">
        <x:v>1</x:v>
      </x:c>
      <x:c r="H4693" s="12" t="str">
        <x:v>Campus/portfolio roster; individual building occupancy unverified</x:v>
      </x:c>
      <x:c r="I4693" s="12" t="str">
        <x:v>Mixed business audience</x:v>
      </x:c>
      <x:c r="J4693" s="12" t="str">
        <x:v>Trade, consumer &amp; logistics</x:v>
      </x:c>
      <x:c r="K4693" s="2" t="str">
        <x:v>PARTNER-M247</x:v>
      </x:c>
    </x:row>
    <x:row r="4694" ht="46" customHeight="1">
      <x:c r="A4694" s="2" t="str">
        <x:v>TEN-D580AF912CAD</x:v>
      </x:c>
      <x:c r="B4694" s="12" t="str">
        <x:v>Samarth Finance Consultant</x:v>
      </x:c>
      <x:c r="C4694" s="12" t="str">
        <x:v>CORP-0664</x:v>
      </x:c>
      <x:c r="D4694" s="12" t="str">
        <x:v>Mumbai</x:v>
      </x:c>
      <x:c r="E4694" s="12" t="str">
        <x:v>Lodha Supremus</x:v>
      </x:c>
      <x:c r="F4694" s="12" t="str">
        <x:v>55 inch</x:v>
      </x:c>
      <x:c r="G4694" s="20" t="n">
        <x:v>1</x:v>
      </x:c>
      <x:c r="H4694" s="12" t="str">
        <x:v>Campus/portfolio roster; individual building occupancy unverified</x:v>
      </x:c>
      <x:c r="I4694" s="12" t="str">
        <x:v>Small-scale prospects</x:v>
      </x:c>
      <x:c r="J4694" s="12" t="str">
        <x:v>Professional services</x:v>
      </x:c>
      <x:c r="K4694" s="2" t="str">
        <x:v>PARTNER-M247</x:v>
      </x:c>
    </x:row>
    <x:row r="4695" ht="46" customHeight="1">
      <x:c r="A4695" s="2" t="str">
        <x:v>TEN-E36A8E484C91</x:v>
      </x:c>
      <x:c r="B4695" s="12" t="str">
        <x:v>Digirealty Technologies</x:v>
      </x:c>
      <x:c r="C4695" s="12" t="str">
        <x:v>CORP-0664</x:v>
      </x:c>
      <x:c r="D4695" s="12" t="str">
        <x:v>Mumbai</x:v>
      </x:c>
      <x:c r="E4695" s="12" t="str">
        <x:v>Lodha Supremus</x:v>
      </x:c>
      <x:c r="F4695" s="12" t="str">
        <x:v>55 inch</x:v>
      </x:c>
      <x:c r="G4695" s="20" t="n">
        <x:v>1</x:v>
      </x:c>
      <x:c r="H4695" s="12" t="str">
        <x:v>Campus/portfolio roster; individual building occupancy unverified</x:v>
      </x:c>
      <x:c r="I4695" s="12" t="str">
        <x:v>Small-scale prospects</x:v>
      </x:c>
      <x:c r="J4695" s="12" t="str">
        <x:v>Trade, consumer &amp; logistics</x:v>
      </x:c>
      <x:c r="K4695" s="2" t="str">
        <x:v>PARTNER-M247</x:v>
      </x:c>
    </x:row>
    <x:row r="4696" ht="46" customHeight="1">
      <x:c r="A4696" s="2" t="str">
        <x:v>TEN-11B177B76116</x:v>
      </x:c>
      <x:c r="B4696" s="12" t="str">
        <x:v>Avaya Global Connect Ltd</x:v>
      </x:c>
      <x:c r="C4696" s="12" t="str">
        <x:v>CORP-0440</x:v>
      </x:c>
      <x:c r="D4696" s="12" t="str">
        <x:v>Bengaluru</x:v>
      </x:c>
      <x:c r="E4696" s="12" t="str">
        <x:v>Prestige Tech Park</x:v>
      </x:c>
      <x:c r="F4696" s="12" t="str">
        <x:v>55 inch</x:v>
      </x:c>
      <x:c r="G4696" s="20" t="n">
        <x:v>1</x:v>
      </x:c>
      <x:c r="H4696" s="12" t="str">
        <x:v>Campus/portfolio roster; individual building occupancy unverified</x:v>
      </x:c>
      <x:c r="I4696" s="12" t="str">
        <x:v>Mixed business audience</x:v>
      </x:c>
      <x:c r="J4696" s="12" t="str">
        <x:v>IT &amp; digital</x:v>
      </x:c>
      <x:c r="K4696" s="2" t="str">
        <x:v>PARTNER-M014</x:v>
      </x:c>
    </x:row>
    <x:row r="4697" ht="46" customHeight="1">
      <x:c r="A4697" s="2" t="str">
        <x:v>TEN-1A32A2EA27AE</x:v>
      </x:c>
      <x:c r="B4697" s="12" t="str">
        <x:v>Aptos India Private Limited</x:v>
      </x:c>
      <x:c r="C4697" s="12" t="str">
        <x:v>CORP-0440</x:v>
      </x:c>
      <x:c r="D4697" s="12" t="str">
        <x:v>Bengaluru</x:v>
      </x:c>
      <x:c r="E4697" s="12" t="str">
        <x:v>Prestige Tech Park</x:v>
      </x:c>
      <x:c r="F4697" s="12" t="str">
        <x:v>55 inch</x:v>
      </x:c>
      <x:c r="G4697" s="20" t="n">
        <x:v>1</x:v>
      </x:c>
      <x:c r="H4697" s="12" t="str">
        <x:v>Campus/portfolio roster; individual building occupancy unverified</x:v>
      </x:c>
      <x:c r="I4697" s="12" t="str">
        <x:v>Mixed business audience</x:v>
      </x:c>
      <x:c r="J4697" s="12" t="str">
        <x:v>IT &amp; digital</x:v>
      </x:c>
      <x:c r="K4697" s="2" t="str">
        <x:v>PARTNER-M014</x:v>
      </x:c>
    </x:row>
    <x:row r="4698" ht="46" customHeight="1">
      <x:c r="A4698" s="2" t="str">
        <x:v>TEN-1B8499B49BB3</x:v>
      </x:c>
      <x:c r="B4698" s="12" t="str">
        <x:v>Delliot</x:v>
      </x:c>
      <x:c r="C4698" s="12" t="str">
        <x:v>CORP-0440</x:v>
      </x:c>
      <x:c r="D4698" s="12" t="str">
        <x:v>Bengaluru</x:v>
      </x:c>
      <x:c r="E4698" s="12" t="str">
        <x:v>Prestige Tech Park</x:v>
      </x:c>
      <x:c r="F4698" s="12" t="str">
        <x:v>55 inch</x:v>
      </x:c>
      <x:c r="G4698" s="20" t="n">
        <x:v>1</x:v>
      </x:c>
      <x:c r="H4698" s="12" t="str">
        <x:v>Campus/portfolio roster; individual building occupancy unverified</x:v>
      </x:c>
      <x:c r="I4698" s="12" t="str">
        <x:v>Mixed business audience</x:v>
      </x:c>
      <x:c r="J4698" s="12" t="str">
        <x:v>Unresolved</x:v>
      </x:c>
      <x:c r="K4698" s="2" t="str">
        <x:v>PARTNER-M014</x:v>
      </x:c>
    </x:row>
    <x:row r="4699" ht="46" customHeight="1">
      <x:c r="A4699" s="2" t="str">
        <x:v>TEN-38773D0009A0</x:v>
      </x:c>
      <x:c r="B4699" s="12" t="str">
        <x:v>Frog Design Studio</x:v>
      </x:c>
      <x:c r="C4699" s="12" t="str">
        <x:v>CORP-0440</x:v>
      </x:c>
      <x:c r="D4699" s="12" t="str">
        <x:v>Bengaluru</x:v>
      </x:c>
      <x:c r="E4699" s="12" t="str">
        <x:v>Prestige Tech Park</x:v>
      </x:c>
      <x:c r="F4699" s="12" t="str">
        <x:v>55 inch</x:v>
      </x:c>
      <x:c r="G4699" s="20" t="n">
        <x:v>1</x:v>
      </x:c>
      <x:c r="H4699" s="12" t="str">
        <x:v>Campus/portfolio roster; individual building occupancy unverified</x:v>
      </x:c>
      <x:c r="I4699" s="12" t="str">
        <x:v>Mixed business audience</x:v>
      </x:c>
      <x:c r="J4699" s="12" t="str">
        <x:v>Professional services</x:v>
      </x:c>
      <x:c r="K4699" s="2" t="str">
        <x:v>PARTNER-M014</x:v>
      </x:c>
    </x:row>
    <x:row r="4700" ht="46" customHeight="1">
      <x:c r="A4700" s="2" t="str">
        <x:v>TEN-49F1F88DBFE4</x:v>
      </x:c>
      <x:c r="B4700" s="12" t="str">
        <x:v>Futures First Info Services</x:v>
      </x:c>
      <x:c r="C4700" s="12" t="str">
        <x:v>CORP-0440</x:v>
      </x:c>
      <x:c r="D4700" s="12" t="str">
        <x:v>Bengaluru</x:v>
      </x:c>
      <x:c r="E4700" s="12" t="str">
        <x:v>Prestige Tech Park</x:v>
      </x:c>
      <x:c r="F4700" s="12" t="str">
        <x:v>55 inch</x:v>
      </x:c>
      <x:c r="G4700" s="20" t="n">
        <x:v>1</x:v>
      </x:c>
      <x:c r="H4700" s="12" t="str">
        <x:v>Campus/portfolio roster; individual building occupancy unverified</x:v>
      </x:c>
      <x:c r="I4700" s="12" t="str">
        <x:v>Mixed business audience</x:v>
      </x:c>
      <x:c r="J4700" s="12" t="str">
        <x:v>IT &amp; digital</x:v>
      </x:c>
      <x:c r="K4700" s="2" t="str">
        <x:v>PARTNER-M014</x:v>
      </x:c>
    </x:row>
    <x:row r="4701" ht="46" customHeight="1">
      <x:c r="A4701" s="2" t="str">
        <x:v>TEN-53296B6A946C</x:v>
      </x:c>
      <x:c r="B4701" s="12" t="str">
        <x:v>Waif's</x:v>
      </x:c>
      <x:c r="C4701" s="12" t="str">
        <x:v>CORP-0440</x:v>
      </x:c>
      <x:c r="D4701" s="12" t="str">
        <x:v>Bengaluru</x:v>
      </x:c>
      <x:c r="E4701" s="12" t="str">
        <x:v>Prestige Tech Park</x:v>
      </x:c>
      <x:c r="F4701" s="12" t="str">
        <x:v>55 inch</x:v>
      </x:c>
      <x:c r="G4701" s="20" t="n">
        <x:v>1</x:v>
      </x:c>
      <x:c r="H4701" s="12" t="str">
        <x:v>Campus/portfolio roster; individual building occupancy unverified</x:v>
      </x:c>
      <x:c r="I4701" s="12" t="str">
        <x:v>Mixed business audience</x:v>
      </x:c>
      <x:c r="J4701" s="12" t="str">
        <x:v>Unresolved</x:v>
      </x:c>
      <x:c r="K4701" s="2" t="str">
        <x:v>PARTNER-M014</x:v>
      </x:c>
    </x:row>
    <x:row r="4702" ht="46" customHeight="1">
      <x:c r="A4702" s="2" t="str">
        <x:v>TEN-72DA9DBF0092</x:v>
      </x:c>
      <x:c r="B4702" s="12" t="str">
        <x:v>Aruba Networks</x:v>
      </x:c>
      <x:c r="C4702" s="12" t="str">
        <x:v>CORP-0440</x:v>
      </x:c>
      <x:c r="D4702" s="12" t="str">
        <x:v>Bengaluru</x:v>
      </x:c>
      <x:c r="E4702" s="12" t="str">
        <x:v>Prestige Tech Park</x:v>
      </x:c>
      <x:c r="F4702" s="12" t="str">
        <x:v>55 inch</x:v>
      </x:c>
      <x:c r="G4702" s="20" t="n">
        <x:v>1</x:v>
      </x:c>
      <x:c r="H4702" s="12" t="str">
        <x:v>Campus/portfolio roster; individual building occupancy unverified</x:v>
      </x:c>
      <x:c r="I4702" s="12" t="str">
        <x:v>Large enterprise</x:v>
      </x:c>
      <x:c r="J4702" s="12" t="str">
        <x:v>IT &amp; digital</x:v>
      </x:c>
      <x:c r="K4702" s="2" t="str">
        <x:v>PARTNER-M014</x:v>
      </x:c>
    </x:row>
    <x:row r="4703" ht="46" customHeight="1">
      <x:c r="A4703" s="2" t="str">
        <x:v>TEN-76DBEE9F2C38</x:v>
      </x:c>
      <x:c r="B4703" s="12" t="str">
        <x:v>Mobile Programming</x:v>
      </x:c>
      <x:c r="C4703" s="12" t="str">
        <x:v>CORP-0440</x:v>
      </x:c>
      <x:c r="D4703" s="12" t="str">
        <x:v>Bengaluru</x:v>
      </x:c>
      <x:c r="E4703" s="12" t="str">
        <x:v>Prestige Tech Park</x:v>
      </x:c>
      <x:c r="F4703" s="12" t="str">
        <x:v>55 inch</x:v>
      </x:c>
      <x:c r="G4703" s="20" t="n">
        <x:v>1</x:v>
      </x:c>
      <x:c r="H4703" s="12" t="str">
        <x:v>Campus/portfolio roster; individual building occupancy unverified</x:v>
      </x:c>
      <x:c r="I4703" s="12" t="str">
        <x:v>Small-scale prospects</x:v>
      </x:c>
      <x:c r="J4703" s="12" t="str">
        <x:v>IT &amp; digital</x:v>
      </x:c>
      <x:c r="K4703" s="2" t="str">
        <x:v>PARTNER-M014</x:v>
      </x:c>
    </x:row>
    <x:row r="4704" ht="46" customHeight="1">
      <x:c r="A4704" s="2" t="str">
        <x:v>TEN-775865062819</x:v>
      </x:c>
      <x:c r="B4704" s="12" t="str">
        <x:v>Nagarro Software Pvt. Ltd</x:v>
      </x:c>
      <x:c r="C4704" s="12" t="str">
        <x:v>CORP-0440</x:v>
      </x:c>
      <x:c r="D4704" s="12" t="str">
        <x:v>Bengaluru</x:v>
      </x:c>
      <x:c r="E4704" s="12" t="str">
        <x:v>Prestige Tech Park</x:v>
      </x:c>
      <x:c r="F4704" s="12" t="str">
        <x:v>55 inch</x:v>
      </x:c>
      <x:c r="G4704" s="20" t="n">
        <x:v>1</x:v>
      </x:c>
      <x:c r="H4704" s="12" t="str">
        <x:v>Campus/portfolio roster; individual building occupancy unverified</x:v>
      </x:c>
      <x:c r="I4704" s="12" t="str">
        <x:v>Large enterprise</x:v>
      </x:c>
      <x:c r="J4704" s="12" t="str">
        <x:v>IT &amp; digital</x:v>
      </x:c>
      <x:c r="K4704" s="2" t="str">
        <x:v>PARTNER-M014</x:v>
      </x:c>
    </x:row>
    <x:row r="4705" ht="46" customHeight="1">
      <x:c r="A4705" s="2" t="str">
        <x:v>TEN-78522B7571D3</x:v>
      </x:c>
      <x:c r="B4705" s="12" t="str">
        <x:v>Grab Greco LLP</x:v>
      </x:c>
      <x:c r="C4705" s="12" t="str">
        <x:v>CORP-0440</x:v>
      </x:c>
      <x:c r="D4705" s="12" t="str">
        <x:v>Bengaluru</x:v>
      </x:c>
      <x:c r="E4705" s="12" t="str">
        <x:v>Prestige Tech Park</x:v>
      </x:c>
      <x:c r="F4705" s="12" t="str">
        <x:v>55 inch</x:v>
      </x:c>
      <x:c r="G4705" s="20" t="n">
        <x:v>1</x:v>
      </x:c>
      <x:c r="H4705" s="12" t="str">
        <x:v>Campus/portfolio roster; individual building occupancy unverified</x:v>
      </x:c>
      <x:c r="I4705" s="12" t="str">
        <x:v>Mixed business audience</x:v>
      </x:c>
      <x:c r="J4705" s="12" t="str">
        <x:v>Unresolved</x:v>
      </x:c>
      <x:c r="K4705" s="2" t="str">
        <x:v>PARTNER-M014</x:v>
      </x:c>
    </x:row>
    <x:row r="4706" ht="46" customHeight="1">
      <x:c r="A4706" s="2" t="str">
        <x:v>TEN-8217BB19EBF1</x:v>
      </x:c>
      <x:c r="B4706" s="12" t="str">
        <x:v>J.P. Morgan</x:v>
      </x:c>
      <x:c r="C4706" s="12" t="str">
        <x:v>CORP-0440</x:v>
      </x:c>
      <x:c r="D4706" s="12" t="str">
        <x:v>Bengaluru</x:v>
      </x:c>
      <x:c r="E4706" s="12" t="str">
        <x:v>Prestige Tech Park</x:v>
      </x:c>
      <x:c r="F4706" s="12" t="str">
        <x:v>55 inch</x:v>
      </x:c>
      <x:c r="G4706" s="20" t="n">
        <x:v>1</x:v>
      </x:c>
      <x:c r="H4706" s="12" t="str">
        <x:v>Campus/portfolio roster; individual building occupancy unverified</x:v>
      </x:c>
      <x:c r="I4706" s="12" t="str">
        <x:v>Large enterprise</x:v>
      </x:c>
      <x:c r="J4706" s="12" t="str">
        <x:v>Finance &amp; insurance</x:v>
      </x:c>
      <x:c r="K4706" s="2" t="str">
        <x:v>PARTNER-M014</x:v>
      </x:c>
    </x:row>
    <x:row r="4707" ht="46" customHeight="1">
      <x:c r="A4707" s="2" t="str">
        <x:v>TEN-9202AF6CE925</x:v>
      </x:c>
      <x:c r="B4707" s="12" t="str">
        <x:v>Oracle</x:v>
      </x:c>
      <x:c r="C4707" s="12" t="str">
        <x:v>CORP-0440</x:v>
      </x:c>
      <x:c r="D4707" s="12" t="str">
        <x:v>Bengaluru</x:v>
      </x:c>
      <x:c r="E4707" s="12" t="str">
        <x:v>Prestige Tech Park</x:v>
      </x:c>
      <x:c r="F4707" s="12" t="str">
        <x:v>55 inch</x:v>
      </x:c>
      <x:c r="G4707" s="20" t="n">
        <x:v>1</x:v>
      </x:c>
      <x:c r="H4707" s="12" t="str">
        <x:v>Campus/portfolio roster; individual building occupancy unverified</x:v>
      </x:c>
      <x:c r="I4707" s="12" t="str">
        <x:v>Large enterprise</x:v>
      </x:c>
      <x:c r="J4707" s="12" t="str">
        <x:v>IT &amp; digital</x:v>
      </x:c>
      <x:c r="K4707" s="2" t="str">
        <x:v>PARTNER-M014</x:v>
      </x:c>
    </x:row>
    <x:row r="4708" ht="46" customHeight="1">
      <x:c r="A4708" s="2" t="str">
        <x:v>TEN-9B7F5525854D</x:v>
      </x:c>
      <x:c r="B4708" s="12" t="str">
        <x:v>AQUANTIA SEMICONDUCTOR INDIA PVT LTD</x:v>
      </x:c>
      <x:c r="C4708" s="12" t="str">
        <x:v>CORP-0440</x:v>
      </x:c>
      <x:c r="D4708" s="12" t="str">
        <x:v>Bengaluru</x:v>
      </x:c>
      <x:c r="E4708" s="12" t="str">
        <x:v>Prestige Tech Park</x:v>
      </x:c>
      <x:c r="F4708" s="12" t="str">
        <x:v>55 inch</x:v>
      </x:c>
      <x:c r="G4708" s="20" t="n">
        <x:v>1</x:v>
      </x:c>
      <x:c r="H4708" s="12" t="str">
        <x:v>Campus/portfolio roster; individual building occupancy unverified</x:v>
      </x:c>
      <x:c r="I4708" s="12" t="str">
        <x:v>Mixed business audience</x:v>
      </x:c>
      <x:c r="J4708" s="12" t="str">
        <x:v>Engineering &amp; manufacturing</x:v>
      </x:c>
      <x:c r="K4708" s="2" t="str">
        <x:v>PARTNER-M014</x:v>
      </x:c>
    </x:row>
    <x:row r="4709" ht="46" customHeight="1">
      <x:c r="A4709" s="2" t="str">
        <x:v>TEN-B909749F4464</x:v>
      </x:c>
      <x:c r="B4709" s="12" t="str">
        <x:v>Conga (Apttus) Software Pvt. Ltd</x:v>
      </x:c>
      <x:c r="C4709" s="12" t="str">
        <x:v>CORP-0440</x:v>
      </x:c>
      <x:c r="D4709" s="12" t="str">
        <x:v>Bengaluru</x:v>
      </x:c>
      <x:c r="E4709" s="12" t="str">
        <x:v>Prestige Tech Park</x:v>
      </x:c>
      <x:c r="F4709" s="12" t="str">
        <x:v>55 inch</x:v>
      </x:c>
      <x:c r="G4709" s="20" t="n">
        <x:v>1</x:v>
      </x:c>
      <x:c r="H4709" s="12" t="str">
        <x:v>Campus/portfolio roster; individual building occupancy unverified</x:v>
      </x:c>
      <x:c r="I4709" s="12" t="str">
        <x:v>Mixed business audience</x:v>
      </x:c>
      <x:c r="J4709" s="12" t="str">
        <x:v>IT &amp; digital</x:v>
      </x:c>
      <x:c r="K4709" s="2" t="str">
        <x:v>PARTNER-M014</x:v>
      </x:c>
    </x:row>
    <x:row r="4710" ht="46" customHeight="1">
      <x:c r="A4710" s="2" t="str">
        <x:v>TEN-BC3067AC45DF</x:v>
      </x:c>
      <x:c r="B4710" s="12" t="str">
        <x:v>Schneider Electric</x:v>
      </x:c>
      <x:c r="C4710" s="12" t="str">
        <x:v>CORP-0440</x:v>
      </x:c>
      <x:c r="D4710" s="12" t="str">
        <x:v>Bengaluru</x:v>
      </x:c>
      <x:c r="E4710" s="12" t="str">
        <x:v>Prestige Tech Park</x:v>
      </x:c>
      <x:c r="F4710" s="12" t="str">
        <x:v>55 inch</x:v>
      </x:c>
      <x:c r="G4710" s="20" t="n">
        <x:v>1</x:v>
      </x:c>
      <x:c r="H4710" s="12" t="str">
        <x:v>Campus/portfolio roster; individual building occupancy unverified</x:v>
      </x:c>
      <x:c r="I4710" s="12" t="str">
        <x:v>Large enterprise</x:v>
      </x:c>
      <x:c r="J4710" s="12" t="str">
        <x:v>Engineering &amp; manufacturing</x:v>
      </x:c>
      <x:c r="K4710" s="2" t="str">
        <x:v>PARTNER-M014</x:v>
      </x:c>
    </x:row>
    <x:row r="4711" ht="46" customHeight="1">
      <x:c r="A4711" s="2" t="str">
        <x:v>TEN-C34DF63CE5F2</x:v>
      </x:c>
      <x:c r="B4711" s="12" t="str">
        <x:v>BlueJeans Networks Pvt Ltd</x:v>
      </x:c>
      <x:c r="C4711" s="12" t="str">
        <x:v>CORP-0440</x:v>
      </x:c>
      <x:c r="D4711" s="12" t="str">
        <x:v>Bengaluru</x:v>
      </x:c>
      <x:c r="E4711" s="12" t="str">
        <x:v>Prestige Tech Park</x:v>
      </x:c>
      <x:c r="F4711" s="12" t="str">
        <x:v>55 inch</x:v>
      </x:c>
      <x:c r="G4711" s="20" t="n">
        <x:v>1</x:v>
      </x:c>
      <x:c r="H4711" s="12" t="str">
        <x:v>Campus/portfolio roster; individual building occupancy unverified</x:v>
      </x:c>
      <x:c r="I4711" s="12" t="str">
        <x:v>Mixed business audience</x:v>
      </x:c>
      <x:c r="J4711" s="12" t="str">
        <x:v>IT &amp; digital</x:v>
      </x:c>
      <x:c r="K4711" s="2" t="str">
        <x:v>PARTNER-M014</x:v>
      </x:c>
    </x:row>
    <x:row r="4712" ht="46" customHeight="1">
      <x:c r="A4712" s="2" t="str">
        <x:v>TEN-C47675D3BD0C</x:v>
      </x:c>
      <x:c r="B4712" s="12" t="str">
        <x:v>Money View</x:v>
      </x:c>
      <x:c r="C4712" s="12" t="str">
        <x:v>CORP-0440</x:v>
      </x:c>
      <x:c r="D4712" s="12" t="str">
        <x:v>Bengaluru</x:v>
      </x:c>
      <x:c r="E4712" s="12" t="str">
        <x:v>Prestige Tech Park</x:v>
      </x:c>
      <x:c r="F4712" s="12" t="str">
        <x:v>55 inch</x:v>
      </x:c>
      <x:c r="G4712" s="20" t="n">
        <x:v>1</x:v>
      </x:c>
      <x:c r="H4712" s="12" t="str">
        <x:v>Campus/portfolio roster; individual building occupancy unverified</x:v>
      </x:c>
      <x:c r="I4712" s="12" t="str">
        <x:v>Medium-scale prospects</x:v>
      </x:c>
      <x:c r="J4712" s="12" t="str">
        <x:v>Finance &amp; insurance</x:v>
      </x:c>
      <x:c r="K4712" s="2" t="str">
        <x:v>PARTNER-M014</x:v>
      </x:c>
    </x:row>
    <x:row r="4713" ht="46" customHeight="1">
      <x:c r="A4713" s="2" t="str">
        <x:v>TEN-D886B2C883A6</x:v>
      </x:c>
      <x:c r="B4713" s="12" t="str">
        <x:v>Citi Bank</x:v>
      </x:c>
      <x:c r="C4713" s="12" t="str">
        <x:v>CORP-0440</x:v>
      </x:c>
      <x:c r="D4713" s="12" t="str">
        <x:v>Bengaluru</x:v>
      </x:c>
      <x:c r="E4713" s="12" t="str">
        <x:v>Prestige Tech Park</x:v>
      </x:c>
      <x:c r="F4713" s="12" t="str">
        <x:v>55 inch</x:v>
      </x:c>
      <x:c r="G4713" s="20" t="n">
        <x:v>1</x:v>
      </x:c>
      <x:c r="H4713" s="12" t="str">
        <x:v>Campus/portfolio roster; individual building occupancy unverified</x:v>
      </x:c>
      <x:c r="I4713" s="12" t="str">
        <x:v>Large enterprise</x:v>
      </x:c>
      <x:c r="J4713" s="12" t="str">
        <x:v>Finance &amp; insurance</x:v>
      </x:c>
      <x:c r="K4713" s="2" t="str">
        <x:v>PARTNER-M014</x:v>
      </x:c>
    </x:row>
    <x:row r="4714" ht="46" customHeight="1">
      <x:c r="A4714" s="2" t="str">
        <x:v>TEN-D9364FD0A5DE</x:v>
      </x:c>
      <x:c r="B4714" s="12" t="str">
        <x:v>Walmart Labs</x:v>
      </x:c>
      <x:c r="C4714" s="12" t="str">
        <x:v>CORP-0440</x:v>
      </x:c>
      <x:c r="D4714" s="12" t="str">
        <x:v>Bengaluru</x:v>
      </x:c>
      <x:c r="E4714" s="12" t="str">
        <x:v>Prestige Tech Park</x:v>
      </x:c>
      <x:c r="F4714" s="12" t="str">
        <x:v>55 inch</x:v>
      </x:c>
      <x:c r="G4714" s="20" t="n">
        <x:v>1</x:v>
      </x:c>
      <x:c r="H4714" s="12" t="str">
        <x:v>Campus/portfolio roster; individual building occupancy unverified</x:v>
      </x:c>
      <x:c r="I4714" s="12" t="str">
        <x:v>Large enterprise</x:v>
      </x:c>
      <x:c r="J4714" s="12" t="str">
        <x:v>Trade, consumer &amp; logistics</x:v>
      </x:c>
      <x:c r="K4714" s="2" t="str">
        <x:v>PARTNER-M014</x:v>
      </x:c>
    </x:row>
    <x:row r="4715" ht="46" customHeight="1">
      <x:c r="A4715" s="2" t="str">
        <x:v>TEN-F55A85B2F2EB</x:v>
      </x:c>
      <x:c r="B4715" s="12" t="str">
        <x:v>Capgemini</x:v>
      </x:c>
      <x:c r="C4715" s="12" t="str">
        <x:v>CORP-0440</x:v>
      </x:c>
      <x:c r="D4715" s="12" t="str">
        <x:v>Bengaluru</x:v>
      </x:c>
      <x:c r="E4715" s="12" t="str">
        <x:v>Prestige Tech Park</x:v>
      </x:c>
      <x:c r="F4715" s="12" t="str">
        <x:v>55 inch</x:v>
      </x:c>
      <x:c r="G4715" s="20" t="n">
        <x:v>1</x:v>
      </x:c>
      <x:c r="H4715" s="12" t="str">
        <x:v>Campus/portfolio roster; individual building occupancy unverified</x:v>
      </x:c>
      <x:c r="I4715" s="12" t="str">
        <x:v>Large enterprise</x:v>
      </x:c>
      <x:c r="J4715" s="12" t="str">
        <x:v>IT &amp; digital</x:v>
      </x:c>
      <x:c r="K4715" s="2" t="str">
        <x:v>PARTNER-M014</x:v>
      </x:c>
    </x:row>
    <x:row r="4716" ht="46" customHeight="1">
      <x:c r="A4716" s="2" t="str">
        <x:v>TEN-047B5C39429C</x:v>
      </x:c>
      <x:c r="B4716" s="12" t="str">
        <x:v>Anish Financial Services</x:v>
      </x:c>
      <x:c r="C4716" s="12" t="str">
        <x:v>CORP-0665</x:v>
      </x:c>
      <x:c r="D4716" s="12" t="str">
        <x:v>Mumbai</x:v>
      </x:c>
      <x:c r="E4716" s="12" t="str">
        <x:v>Lodha Supremus</x:v>
      </x:c>
      <x:c r="F4716" s="12" t="str">
        <x:v>55 inch</x:v>
      </x:c>
      <x:c r="G4716" s="20" t="n">
        <x:v>1</x:v>
      </x:c>
      <x:c r="H4716" s="12" t="str">
        <x:v>Campus/portfolio roster; individual building occupancy unverified</x:v>
      </x:c>
      <x:c r="I4716" s="12" t="str">
        <x:v>Medium-scale prospects</x:v>
      </x:c>
      <x:c r="J4716" s="12" t="str">
        <x:v>Finance &amp; insurance</x:v>
      </x:c>
      <x:c r="K4716" s="2" t="str">
        <x:v>PARTNER-M247</x:v>
      </x:c>
    </x:row>
    <x:row r="4717" ht="46" customHeight="1">
      <x:c r="A4717" s="2" t="str">
        <x:v>TEN-195AFC7F05A0</x:v>
      </x:c>
      <x:c r="B4717" s="12" t="str">
        <x:v>Peora Fashions</x:v>
      </x:c>
      <x:c r="C4717" s="12" t="str">
        <x:v>CORP-0665</x:v>
      </x:c>
      <x:c r="D4717" s="12" t="str">
        <x:v>Mumbai</x:v>
      </x:c>
      <x:c r="E4717" s="12" t="str">
        <x:v>Lodha Supremus</x:v>
      </x:c>
      <x:c r="F4717" s="12" t="str">
        <x:v>55 inch</x:v>
      </x:c>
      <x:c r="G4717" s="20" t="n">
        <x:v>1</x:v>
      </x:c>
      <x:c r="H4717" s="12" t="str">
        <x:v>Campus/portfolio roster; individual building occupancy unverified</x:v>
      </x:c>
      <x:c r="I4717" s="12" t="str">
        <x:v>Small-scale prospects</x:v>
      </x:c>
      <x:c r="J4717" s="12" t="str">
        <x:v>Trade, consumer &amp; logistics</x:v>
      </x:c>
      <x:c r="K4717" s="2" t="str">
        <x:v>PARTNER-M247</x:v>
      </x:c>
    </x:row>
    <x:row r="4718" ht="46" customHeight="1">
      <x:c r="A4718" s="2" t="str">
        <x:v>TEN-2DCEAF99E136</x:v>
      </x:c>
      <x:c r="B4718" s="12" t="str">
        <x:v>OneAssist Consumer Solutions</x:v>
      </x:c>
      <x:c r="C4718" s="12" t="str">
        <x:v>CORP-0665</x:v>
      </x:c>
      <x:c r="D4718" s="12" t="str">
        <x:v>Mumbai</x:v>
      </x:c>
      <x:c r="E4718" s="12" t="str">
        <x:v>Lodha Supremus</x:v>
      </x:c>
      <x:c r="F4718" s="12" t="str">
        <x:v>55 inch</x:v>
      </x:c>
      <x:c r="G4718" s="20" t="n">
        <x:v>1</x:v>
      </x:c>
      <x:c r="H4718" s="12" t="str">
        <x:v>Campus/portfolio roster; individual building occupancy unverified</x:v>
      </x:c>
      <x:c r="I4718" s="12" t="str">
        <x:v>Small-scale prospects</x:v>
      </x:c>
      <x:c r="J4718" s="12" t="str">
        <x:v>Trade, consumer &amp; logistics</x:v>
      </x:c>
      <x:c r="K4718" s="2" t="str">
        <x:v>PARTNER-M247</x:v>
      </x:c>
    </x:row>
    <x:row r="4719" ht="46" customHeight="1">
      <x:c r="A4719" s="2" t="str">
        <x:v>TEN-2E7AAE5DD17C</x:v>
      </x:c>
      <x:c r="B4719" s="12" t="str">
        <x:v>Ascent Consulting Services</x:v>
      </x:c>
      <x:c r="C4719" s="12" t="str">
        <x:v>CORP-0665</x:v>
      </x:c>
      <x:c r="D4719" s="12" t="str">
        <x:v>Mumbai</x:v>
      </x:c>
      <x:c r="E4719" s="12" t="str">
        <x:v>Lodha Supremus</x:v>
      </x:c>
      <x:c r="F4719" s="12" t="str">
        <x:v>55 inch</x:v>
      </x:c>
      <x:c r="G4719" s="20" t="n">
        <x:v>1</x:v>
      </x:c>
      <x:c r="H4719" s="12" t="str">
        <x:v>Campus/portfolio roster; individual building occupancy unverified</x:v>
      </x:c>
      <x:c r="I4719" s="12" t="str">
        <x:v>Small-scale prospects</x:v>
      </x:c>
      <x:c r="J4719" s="12" t="str">
        <x:v>Professional services</x:v>
      </x:c>
      <x:c r="K4719" s="2" t="str">
        <x:v>PARTNER-M247</x:v>
      </x:c>
    </x:row>
    <x:row r="4720" ht="46" customHeight="1">
      <x:c r="A4720" s="2" t="str">
        <x:v>TEN-34FA47A413A3</x:v>
      </x:c>
      <x:c r="B4720" s="12" t="str">
        <x:v>Whizzmark Business Solutions</x:v>
      </x:c>
      <x:c r="C4720" s="12" t="str">
        <x:v>CORP-0665</x:v>
      </x:c>
      <x:c r="D4720" s="12" t="str">
        <x:v>Mumbai</x:v>
      </x:c>
      <x:c r="E4720" s="12" t="str">
        <x:v>Lodha Supremus</x:v>
      </x:c>
      <x:c r="F4720" s="12" t="str">
        <x:v>55 inch</x:v>
      </x:c>
      <x:c r="G4720" s="20" t="n">
        <x:v>1</x:v>
      </x:c>
      <x:c r="H4720" s="12" t="str">
        <x:v>Campus/portfolio roster; individual building occupancy unverified</x:v>
      </x:c>
      <x:c r="I4720" s="12" t="str">
        <x:v>Mixed business audience</x:v>
      </x:c>
      <x:c r="J4720" s="12" t="str">
        <x:v>Unresolved</x:v>
      </x:c>
      <x:c r="K4720" s="2" t="str">
        <x:v>PARTNER-M247</x:v>
      </x:c>
    </x:row>
    <x:row r="4721" ht="46" customHeight="1">
      <x:c r="A4721" s="2" t="str">
        <x:v>TEN-5B49D3958B92</x:v>
      </x:c>
      <x:c r="B4721" s="12" t="str">
        <x:v>Bisleri International</x:v>
      </x:c>
      <x:c r="C4721" s="12" t="str">
        <x:v>CORP-0665</x:v>
      </x:c>
      <x:c r="D4721" s="12" t="str">
        <x:v>Mumbai</x:v>
      </x:c>
      <x:c r="E4721" s="12" t="str">
        <x:v>Lodha Supremus</x:v>
      </x:c>
      <x:c r="F4721" s="12" t="str">
        <x:v>55 inch</x:v>
      </x:c>
      <x:c r="G4721" s="20" t="n">
        <x:v>1</x:v>
      </x:c>
      <x:c r="H4721" s="12" t="str">
        <x:v>Campus/portfolio roster; individual building occupancy unverified</x:v>
      </x:c>
      <x:c r="I4721" s="12" t="str">
        <x:v>Mixed business audience</x:v>
      </x:c>
      <x:c r="J4721" s="12" t="str">
        <x:v>Trade, consumer &amp; logistics</x:v>
      </x:c>
      <x:c r="K4721" s="2" t="str">
        <x:v>PARTNER-M247</x:v>
      </x:c>
    </x:row>
    <x:row r="4722" ht="46" customHeight="1">
      <x:c r="A4722" s="2" t="str">
        <x:v>TEN-6BCAF693F975</x:v>
      </x:c>
      <x:c r="B4722" s="12" t="str">
        <x:v>Indana Hotels &amp; Resorts</x:v>
      </x:c>
      <x:c r="C4722" s="12" t="str">
        <x:v>CORP-0665</x:v>
      </x:c>
      <x:c r="D4722" s="12" t="str">
        <x:v>Mumbai</x:v>
      </x:c>
      <x:c r="E4722" s="12" t="str">
        <x:v>Lodha Supremus</x:v>
      </x:c>
      <x:c r="F4722" s="12" t="str">
        <x:v>55 inch</x:v>
      </x:c>
      <x:c r="G4722" s="20" t="n">
        <x:v>1</x:v>
      </x:c>
      <x:c r="H4722" s="12" t="str">
        <x:v>Campus/portfolio roster; individual building occupancy unverified</x:v>
      </x:c>
      <x:c r="I4722" s="12" t="str">
        <x:v>Small-scale prospects</x:v>
      </x:c>
      <x:c r="J4722" s="12" t="str">
        <x:v>Trade, consumer &amp; logistics</x:v>
      </x:c>
      <x:c r="K4722" s="2" t="str">
        <x:v>PARTNER-M247</x:v>
      </x:c>
    </x:row>
    <x:row r="4723" ht="46" customHeight="1">
      <x:c r="A4723" s="2" t="str">
        <x:v>TEN-80ABA2BC6E03</x:v>
      </x:c>
      <x:c r="B4723" s="12" t="str">
        <x:v>Mirc Electronics Ltd (Onida)</x:v>
      </x:c>
      <x:c r="C4723" s="12" t="str">
        <x:v>CORP-0665</x:v>
      </x:c>
      <x:c r="D4723" s="12" t="str">
        <x:v>Mumbai</x:v>
      </x:c>
      <x:c r="E4723" s="12" t="str">
        <x:v>Lodha Supremus</x:v>
      </x:c>
      <x:c r="F4723" s="12" t="str">
        <x:v>55 inch</x:v>
      </x:c>
      <x:c r="G4723" s="20" t="n">
        <x:v>1</x:v>
      </x:c>
      <x:c r="H4723" s="12" t="str">
        <x:v>Campus/portfolio roster; individual building occupancy unverified</x:v>
      </x:c>
      <x:c r="I4723" s="12" t="str">
        <x:v>Mixed business audience</x:v>
      </x:c>
      <x:c r="J4723" s="12" t="str">
        <x:v>Engineering &amp; manufacturing</x:v>
      </x:c>
      <x:c r="K4723" s="2" t="str">
        <x:v>PARTNER-M247</x:v>
      </x:c>
    </x:row>
    <x:row r="4724" ht="46" customHeight="1">
      <x:c r="A4724" s="2" t="str">
        <x:v>TEN-A04AEB75F5F5</x:v>
      </x:c>
      <x:c r="B4724" s="12" t="str">
        <x:v>Tessuti Industries</x:v>
      </x:c>
      <x:c r="C4724" s="12" t="str">
        <x:v>CORP-0665</x:v>
      </x:c>
      <x:c r="D4724" s="12" t="str">
        <x:v>Mumbai</x:v>
      </x:c>
      <x:c r="E4724" s="12" t="str">
        <x:v>Lodha Supremus</x:v>
      </x:c>
      <x:c r="F4724" s="12" t="str">
        <x:v>55 inch</x:v>
      </x:c>
      <x:c r="G4724" s="20" t="n">
        <x:v>1</x:v>
      </x:c>
      <x:c r="H4724" s="12" t="str">
        <x:v>Campus/portfolio roster; individual building occupancy unverified</x:v>
      </x:c>
      <x:c r="I4724" s="12" t="str">
        <x:v>Medium-scale prospects</x:v>
      </x:c>
      <x:c r="J4724" s="12" t="str">
        <x:v>Engineering &amp; manufacturing</x:v>
      </x:c>
      <x:c r="K4724" s="2" t="str">
        <x:v>PARTNER-M247</x:v>
      </x:c>
    </x:row>
    <x:row r="4725" ht="46" customHeight="1">
      <x:c r="A4725" s="2" t="str">
        <x:v>TEN-A6A145176095</x:v>
      </x:c>
      <x:c r="B4725" s="12" t="str">
        <x:v>D B Consultants</x:v>
      </x:c>
      <x:c r="C4725" s="12" t="str">
        <x:v>CORP-0665</x:v>
      </x:c>
      <x:c r="D4725" s="12" t="str">
        <x:v>Mumbai</x:v>
      </x:c>
      <x:c r="E4725" s="12" t="str">
        <x:v>Lodha Supremus</x:v>
      </x:c>
      <x:c r="F4725" s="12" t="str">
        <x:v>55 inch</x:v>
      </x:c>
      <x:c r="G4725" s="20" t="n">
        <x:v>1</x:v>
      </x:c>
      <x:c r="H4725" s="12" t="str">
        <x:v>Campus/portfolio roster; individual building occupancy unverified</x:v>
      </x:c>
      <x:c r="I4725" s="12" t="str">
        <x:v>Small-scale prospects</x:v>
      </x:c>
      <x:c r="J4725" s="12" t="str">
        <x:v>Professional services</x:v>
      </x:c>
      <x:c r="K4725" s="2" t="str">
        <x:v>PARTNER-M247</x:v>
      </x:c>
    </x:row>
    <x:row r="4726" ht="46" customHeight="1">
      <x:c r="A4726" s="2" t="str">
        <x:v>TEN-BEBC85511125</x:v>
      </x:c>
      <x:c r="B4726" s="12" t="str">
        <x:v>Trinity Insurance Services</x:v>
      </x:c>
      <x:c r="C4726" s="12" t="str">
        <x:v>CORP-0665</x:v>
      </x:c>
      <x:c r="D4726" s="12" t="str">
        <x:v>Mumbai</x:v>
      </x:c>
      <x:c r="E4726" s="12" t="str">
        <x:v>Lodha Supremus</x:v>
      </x:c>
      <x:c r="F4726" s="12" t="str">
        <x:v>55 inch</x:v>
      </x:c>
      <x:c r="G4726" s="20" t="n">
        <x:v>1</x:v>
      </x:c>
      <x:c r="H4726" s="12" t="str">
        <x:v>Campus/portfolio roster; individual building occupancy unverified</x:v>
      </x:c>
      <x:c r="I4726" s="12" t="str">
        <x:v>Medium-scale prospects</x:v>
      </x:c>
      <x:c r="J4726" s="12" t="str">
        <x:v>Finance &amp; insurance</x:v>
      </x:c>
      <x:c r="K4726" s="2" t="str">
        <x:v>PARTNER-M247</x:v>
      </x:c>
    </x:row>
    <x:row r="4727" ht="46" customHeight="1">
      <x:c r="A4727" s="2" t="str">
        <x:v>TEN-BEE4F75D30E5</x:v>
      </x:c>
      <x:c r="B4727" s="12" t="str">
        <x:v>ICICI Bank</x:v>
      </x:c>
      <x:c r="C4727" s="12" t="str">
        <x:v>CORP-0665</x:v>
      </x:c>
      <x:c r="D4727" s="12" t="str">
        <x:v>Mumbai</x:v>
      </x:c>
      <x:c r="E4727" s="12" t="str">
        <x:v>Lodha Supremus</x:v>
      </x:c>
      <x:c r="F4727" s="12" t="str">
        <x:v>55 inch</x:v>
      </x:c>
      <x:c r="G4727" s="20" t="n">
        <x:v>1</x:v>
      </x:c>
      <x:c r="H4727" s="12" t="str">
        <x:v>Campus/portfolio roster; individual building occupancy unverified</x:v>
      </x:c>
      <x:c r="I4727" s="12" t="str">
        <x:v>Large enterprise</x:v>
      </x:c>
      <x:c r="J4727" s="12" t="str">
        <x:v>Finance &amp; insurance</x:v>
      </x:c>
      <x:c r="K4727" s="2" t="str">
        <x:v>PARTNER-M247</x:v>
      </x:c>
    </x:row>
    <x:row r="4728" ht="46" customHeight="1">
      <x:c r="A4728" s="2" t="str">
        <x:v>TEN-C93E32AC59F9</x:v>
      </x:c>
      <x:c r="B4728" s="12" t="str">
        <x:v>VITS Hotels(Corporate Office)</x:v>
      </x:c>
      <x:c r="C4728" s="12" t="str">
        <x:v>CORP-0665</x:v>
      </x:c>
      <x:c r="D4728" s="12" t="str">
        <x:v>Mumbai</x:v>
      </x:c>
      <x:c r="E4728" s="12" t="str">
        <x:v>Lodha Supremus</x:v>
      </x:c>
      <x:c r="F4728" s="12" t="str">
        <x:v>55 inch</x:v>
      </x:c>
      <x:c r="G4728" s="20" t="n">
        <x:v>1</x:v>
      </x:c>
      <x:c r="H4728" s="12" t="str">
        <x:v>Campus/portfolio roster; individual building occupancy unverified</x:v>
      </x:c>
      <x:c r="I4728" s="12" t="str">
        <x:v>Mixed business audience</x:v>
      </x:c>
      <x:c r="J4728" s="12" t="str">
        <x:v>Trade, consumer &amp; logistics</x:v>
      </x:c>
      <x:c r="K4728" s="2" t="str">
        <x:v>PARTNER-M247</x:v>
      </x:c>
    </x:row>
    <x:row r="4729" ht="46" customHeight="1">
      <x:c r="A4729" s="2" t="str">
        <x:v>TEN-D580AF912CAD</x:v>
      </x:c>
      <x:c r="B4729" s="12" t="str">
        <x:v>Samarth Finance Consultant</x:v>
      </x:c>
      <x:c r="C4729" s="12" t="str">
        <x:v>CORP-0665</x:v>
      </x:c>
      <x:c r="D4729" s="12" t="str">
        <x:v>Mumbai</x:v>
      </x:c>
      <x:c r="E4729" s="12" t="str">
        <x:v>Lodha Supremus</x:v>
      </x:c>
      <x:c r="F4729" s="12" t="str">
        <x:v>55 inch</x:v>
      </x:c>
      <x:c r="G4729" s="20" t="n">
        <x:v>1</x:v>
      </x:c>
      <x:c r="H4729" s="12" t="str">
        <x:v>Campus/portfolio roster; individual building occupancy unverified</x:v>
      </x:c>
      <x:c r="I4729" s="12" t="str">
        <x:v>Small-scale prospects</x:v>
      </x:c>
      <x:c r="J4729" s="12" t="str">
        <x:v>Professional services</x:v>
      </x:c>
      <x:c r="K4729" s="2" t="str">
        <x:v>PARTNER-M247</x:v>
      </x:c>
    </x:row>
    <x:row r="4730" ht="46" customHeight="1">
      <x:c r="A4730" s="2" t="str">
        <x:v>TEN-E36A8E484C91</x:v>
      </x:c>
      <x:c r="B4730" s="12" t="str">
        <x:v>Digirealty Technologies</x:v>
      </x:c>
      <x:c r="C4730" s="12" t="str">
        <x:v>CORP-0665</x:v>
      </x:c>
      <x:c r="D4730" s="12" t="str">
        <x:v>Mumbai</x:v>
      </x:c>
      <x:c r="E4730" s="12" t="str">
        <x:v>Lodha Supremus</x:v>
      </x:c>
      <x:c r="F4730" s="12" t="str">
        <x:v>55 inch</x:v>
      </x:c>
      <x:c r="G4730" s="20" t="n">
        <x:v>1</x:v>
      </x:c>
      <x:c r="H4730" s="12" t="str">
        <x:v>Campus/portfolio roster; individual building occupancy unverified</x:v>
      </x:c>
      <x:c r="I4730" s="12" t="str">
        <x:v>Small-scale prospects</x:v>
      </x:c>
      <x:c r="J4730" s="12" t="str">
        <x:v>Trade, consumer &amp; logistics</x:v>
      </x:c>
      <x:c r="K4730" s="2" t="str">
        <x:v>PARTNER-M247</x:v>
      </x:c>
    </x:row>
    <x:row r="4731" ht="46" customHeight="1">
      <x:c r="A4731" s="2" t="str">
        <x:v>TEN-047B5C39429C</x:v>
      </x:c>
      <x:c r="B4731" s="12" t="str">
        <x:v>Anish Financial Services</x:v>
      </x:c>
      <x:c r="C4731" s="12" t="str">
        <x:v>CORP-0666</x:v>
      </x:c>
      <x:c r="D4731" s="12" t="str">
        <x:v>Mumbai</x:v>
      </x:c>
      <x:c r="E4731" s="12" t="str">
        <x:v>Lodha Supremus</x:v>
      </x:c>
      <x:c r="F4731" s="12" t="str">
        <x:v>55 inch</x:v>
      </x:c>
      <x:c r="G4731" s="20" t="n">
        <x:v>1</x:v>
      </x:c>
      <x:c r="H4731" s="12" t="str">
        <x:v>Campus/portfolio roster; individual building occupancy unverified</x:v>
      </x:c>
      <x:c r="I4731" s="12" t="str">
        <x:v>Medium-scale prospects</x:v>
      </x:c>
      <x:c r="J4731" s="12" t="str">
        <x:v>Finance &amp; insurance</x:v>
      </x:c>
      <x:c r="K4731" s="2" t="str">
        <x:v>PARTNER-M247</x:v>
      </x:c>
    </x:row>
    <x:row r="4732" ht="46" customHeight="1">
      <x:c r="A4732" s="2" t="str">
        <x:v>TEN-195AFC7F05A0</x:v>
      </x:c>
      <x:c r="B4732" s="12" t="str">
        <x:v>Peora Fashions</x:v>
      </x:c>
      <x:c r="C4732" s="12" t="str">
        <x:v>CORP-0666</x:v>
      </x:c>
      <x:c r="D4732" s="12" t="str">
        <x:v>Mumbai</x:v>
      </x:c>
      <x:c r="E4732" s="12" t="str">
        <x:v>Lodha Supremus</x:v>
      </x:c>
      <x:c r="F4732" s="12" t="str">
        <x:v>55 inch</x:v>
      </x:c>
      <x:c r="G4732" s="20" t="n">
        <x:v>1</x:v>
      </x:c>
      <x:c r="H4732" s="12" t="str">
        <x:v>Campus/portfolio roster; individual building occupancy unverified</x:v>
      </x:c>
      <x:c r="I4732" s="12" t="str">
        <x:v>Small-scale prospects</x:v>
      </x:c>
      <x:c r="J4732" s="12" t="str">
        <x:v>Trade, consumer &amp; logistics</x:v>
      </x:c>
      <x:c r="K4732" s="2" t="str">
        <x:v>PARTNER-M247</x:v>
      </x:c>
    </x:row>
    <x:row r="4733" ht="46" customHeight="1">
      <x:c r="A4733" s="2" t="str">
        <x:v>TEN-2DCEAF99E136</x:v>
      </x:c>
      <x:c r="B4733" s="12" t="str">
        <x:v>OneAssist Consumer Solutions</x:v>
      </x:c>
      <x:c r="C4733" s="12" t="str">
        <x:v>CORP-0666</x:v>
      </x:c>
      <x:c r="D4733" s="12" t="str">
        <x:v>Mumbai</x:v>
      </x:c>
      <x:c r="E4733" s="12" t="str">
        <x:v>Lodha Supremus</x:v>
      </x:c>
      <x:c r="F4733" s="12" t="str">
        <x:v>55 inch</x:v>
      </x:c>
      <x:c r="G4733" s="20" t="n">
        <x:v>1</x:v>
      </x:c>
      <x:c r="H4733" s="12" t="str">
        <x:v>Campus/portfolio roster; individual building occupancy unverified</x:v>
      </x:c>
      <x:c r="I4733" s="12" t="str">
        <x:v>Small-scale prospects</x:v>
      </x:c>
      <x:c r="J4733" s="12" t="str">
        <x:v>Trade, consumer &amp; logistics</x:v>
      </x:c>
      <x:c r="K4733" s="2" t="str">
        <x:v>PARTNER-M247</x:v>
      </x:c>
    </x:row>
    <x:row r="4734" ht="46" customHeight="1">
      <x:c r="A4734" s="2" t="str">
        <x:v>TEN-2E7AAE5DD17C</x:v>
      </x:c>
      <x:c r="B4734" s="12" t="str">
        <x:v>Ascent Consulting Services</x:v>
      </x:c>
      <x:c r="C4734" s="12" t="str">
        <x:v>CORP-0666</x:v>
      </x:c>
      <x:c r="D4734" s="12" t="str">
        <x:v>Mumbai</x:v>
      </x:c>
      <x:c r="E4734" s="12" t="str">
        <x:v>Lodha Supremus</x:v>
      </x:c>
      <x:c r="F4734" s="12" t="str">
        <x:v>55 inch</x:v>
      </x:c>
      <x:c r="G4734" s="20" t="n">
        <x:v>1</x:v>
      </x:c>
      <x:c r="H4734" s="12" t="str">
        <x:v>Campus/portfolio roster; individual building occupancy unverified</x:v>
      </x:c>
      <x:c r="I4734" s="12" t="str">
        <x:v>Small-scale prospects</x:v>
      </x:c>
      <x:c r="J4734" s="12" t="str">
        <x:v>Professional services</x:v>
      </x:c>
      <x:c r="K4734" s="2" t="str">
        <x:v>PARTNER-M247</x:v>
      </x:c>
    </x:row>
    <x:row r="4735" ht="46" customHeight="1">
      <x:c r="A4735" s="2" t="str">
        <x:v>TEN-34FA47A413A3</x:v>
      </x:c>
      <x:c r="B4735" s="12" t="str">
        <x:v>Whizzmark Business Solutions</x:v>
      </x:c>
      <x:c r="C4735" s="12" t="str">
        <x:v>CORP-0666</x:v>
      </x:c>
      <x:c r="D4735" s="12" t="str">
        <x:v>Mumbai</x:v>
      </x:c>
      <x:c r="E4735" s="12" t="str">
        <x:v>Lodha Supremus</x:v>
      </x:c>
      <x:c r="F4735" s="12" t="str">
        <x:v>55 inch</x:v>
      </x:c>
      <x:c r="G4735" s="20" t="n">
        <x:v>1</x:v>
      </x:c>
      <x:c r="H4735" s="12" t="str">
        <x:v>Campus/portfolio roster; individual building occupancy unverified</x:v>
      </x:c>
      <x:c r="I4735" s="12" t="str">
        <x:v>Mixed business audience</x:v>
      </x:c>
      <x:c r="J4735" s="12" t="str">
        <x:v>Unresolved</x:v>
      </x:c>
      <x:c r="K4735" s="2" t="str">
        <x:v>PARTNER-M247</x:v>
      </x:c>
    </x:row>
    <x:row r="4736" ht="46" customHeight="1">
      <x:c r="A4736" s="2" t="str">
        <x:v>TEN-5B49D3958B92</x:v>
      </x:c>
      <x:c r="B4736" s="12" t="str">
        <x:v>Bisleri International</x:v>
      </x:c>
      <x:c r="C4736" s="12" t="str">
        <x:v>CORP-0666</x:v>
      </x:c>
      <x:c r="D4736" s="12" t="str">
        <x:v>Mumbai</x:v>
      </x:c>
      <x:c r="E4736" s="12" t="str">
        <x:v>Lodha Supremus</x:v>
      </x:c>
      <x:c r="F4736" s="12" t="str">
        <x:v>55 inch</x:v>
      </x:c>
      <x:c r="G4736" s="20" t="n">
        <x:v>1</x:v>
      </x:c>
      <x:c r="H4736" s="12" t="str">
        <x:v>Campus/portfolio roster; individual building occupancy unverified</x:v>
      </x:c>
      <x:c r="I4736" s="12" t="str">
        <x:v>Mixed business audience</x:v>
      </x:c>
      <x:c r="J4736" s="12" t="str">
        <x:v>Trade, consumer &amp; logistics</x:v>
      </x:c>
      <x:c r="K4736" s="2" t="str">
        <x:v>PARTNER-M247</x:v>
      </x:c>
    </x:row>
    <x:row r="4737" ht="46" customHeight="1">
      <x:c r="A4737" s="2" t="str">
        <x:v>TEN-6BCAF693F975</x:v>
      </x:c>
      <x:c r="B4737" s="12" t="str">
        <x:v>Indana Hotels &amp; Resorts</x:v>
      </x:c>
      <x:c r="C4737" s="12" t="str">
        <x:v>CORP-0666</x:v>
      </x:c>
      <x:c r="D4737" s="12" t="str">
        <x:v>Mumbai</x:v>
      </x:c>
      <x:c r="E4737" s="12" t="str">
        <x:v>Lodha Supremus</x:v>
      </x:c>
      <x:c r="F4737" s="12" t="str">
        <x:v>55 inch</x:v>
      </x:c>
      <x:c r="G4737" s="20" t="n">
        <x:v>1</x:v>
      </x:c>
      <x:c r="H4737" s="12" t="str">
        <x:v>Campus/portfolio roster; individual building occupancy unverified</x:v>
      </x:c>
      <x:c r="I4737" s="12" t="str">
        <x:v>Small-scale prospects</x:v>
      </x:c>
      <x:c r="J4737" s="12" t="str">
        <x:v>Trade, consumer &amp; logistics</x:v>
      </x:c>
      <x:c r="K4737" s="2" t="str">
        <x:v>PARTNER-M247</x:v>
      </x:c>
    </x:row>
    <x:row r="4738" ht="46" customHeight="1">
      <x:c r="A4738" s="2" t="str">
        <x:v>TEN-80ABA2BC6E03</x:v>
      </x:c>
      <x:c r="B4738" s="12" t="str">
        <x:v>Mirc Electronics Ltd (Onida)</x:v>
      </x:c>
      <x:c r="C4738" s="12" t="str">
        <x:v>CORP-0666</x:v>
      </x:c>
      <x:c r="D4738" s="12" t="str">
        <x:v>Mumbai</x:v>
      </x:c>
      <x:c r="E4738" s="12" t="str">
        <x:v>Lodha Supremus</x:v>
      </x:c>
      <x:c r="F4738" s="12" t="str">
        <x:v>55 inch</x:v>
      </x:c>
      <x:c r="G4738" s="20" t="n">
        <x:v>1</x:v>
      </x:c>
      <x:c r="H4738" s="12" t="str">
        <x:v>Campus/portfolio roster; individual building occupancy unverified</x:v>
      </x:c>
      <x:c r="I4738" s="12" t="str">
        <x:v>Mixed business audience</x:v>
      </x:c>
      <x:c r="J4738" s="12" t="str">
        <x:v>Engineering &amp; manufacturing</x:v>
      </x:c>
      <x:c r="K4738" s="2" t="str">
        <x:v>PARTNER-M247</x:v>
      </x:c>
    </x:row>
    <x:row r="4739" ht="46" customHeight="1">
      <x:c r="A4739" s="2" t="str">
        <x:v>TEN-A04AEB75F5F5</x:v>
      </x:c>
      <x:c r="B4739" s="12" t="str">
        <x:v>Tessuti Industries</x:v>
      </x:c>
      <x:c r="C4739" s="12" t="str">
        <x:v>CORP-0666</x:v>
      </x:c>
      <x:c r="D4739" s="12" t="str">
        <x:v>Mumbai</x:v>
      </x:c>
      <x:c r="E4739" s="12" t="str">
        <x:v>Lodha Supremus</x:v>
      </x:c>
      <x:c r="F4739" s="12" t="str">
        <x:v>55 inch</x:v>
      </x:c>
      <x:c r="G4739" s="20" t="n">
        <x:v>1</x:v>
      </x:c>
      <x:c r="H4739" s="12" t="str">
        <x:v>Campus/portfolio roster; individual building occupancy unverified</x:v>
      </x:c>
      <x:c r="I4739" s="12" t="str">
        <x:v>Medium-scale prospects</x:v>
      </x:c>
      <x:c r="J4739" s="12" t="str">
        <x:v>Engineering &amp; manufacturing</x:v>
      </x:c>
      <x:c r="K4739" s="2" t="str">
        <x:v>PARTNER-M247</x:v>
      </x:c>
    </x:row>
    <x:row r="4740" ht="46" customHeight="1">
      <x:c r="A4740" s="2" t="str">
        <x:v>TEN-A6A145176095</x:v>
      </x:c>
      <x:c r="B4740" s="12" t="str">
        <x:v>D B Consultants</x:v>
      </x:c>
      <x:c r="C4740" s="12" t="str">
        <x:v>CORP-0666</x:v>
      </x:c>
      <x:c r="D4740" s="12" t="str">
        <x:v>Mumbai</x:v>
      </x:c>
      <x:c r="E4740" s="12" t="str">
        <x:v>Lodha Supremus</x:v>
      </x:c>
      <x:c r="F4740" s="12" t="str">
        <x:v>55 inch</x:v>
      </x:c>
      <x:c r="G4740" s="20" t="n">
        <x:v>1</x:v>
      </x:c>
      <x:c r="H4740" s="12" t="str">
        <x:v>Campus/portfolio roster; individual building occupancy unverified</x:v>
      </x:c>
      <x:c r="I4740" s="12" t="str">
        <x:v>Small-scale prospects</x:v>
      </x:c>
      <x:c r="J4740" s="12" t="str">
        <x:v>Professional services</x:v>
      </x:c>
      <x:c r="K4740" s="2" t="str">
        <x:v>PARTNER-M247</x:v>
      </x:c>
    </x:row>
    <x:row r="4741" ht="46" customHeight="1">
      <x:c r="A4741" s="2" t="str">
        <x:v>TEN-BEBC85511125</x:v>
      </x:c>
      <x:c r="B4741" s="12" t="str">
        <x:v>Trinity Insurance Services</x:v>
      </x:c>
      <x:c r="C4741" s="12" t="str">
        <x:v>CORP-0666</x:v>
      </x:c>
      <x:c r="D4741" s="12" t="str">
        <x:v>Mumbai</x:v>
      </x:c>
      <x:c r="E4741" s="12" t="str">
        <x:v>Lodha Supremus</x:v>
      </x:c>
      <x:c r="F4741" s="12" t="str">
        <x:v>55 inch</x:v>
      </x:c>
      <x:c r="G4741" s="20" t="n">
        <x:v>1</x:v>
      </x:c>
      <x:c r="H4741" s="12" t="str">
        <x:v>Campus/portfolio roster; individual building occupancy unverified</x:v>
      </x:c>
      <x:c r="I4741" s="12" t="str">
        <x:v>Medium-scale prospects</x:v>
      </x:c>
      <x:c r="J4741" s="12" t="str">
        <x:v>Finance &amp; insurance</x:v>
      </x:c>
      <x:c r="K4741" s="2" t="str">
        <x:v>PARTNER-M247</x:v>
      </x:c>
    </x:row>
    <x:row r="4742" ht="46" customHeight="1">
      <x:c r="A4742" s="2" t="str">
        <x:v>TEN-BEE4F75D30E5</x:v>
      </x:c>
      <x:c r="B4742" s="12" t="str">
        <x:v>ICICI Bank</x:v>
      </x:c>
      <x:c r="C4742" s="12" t="str">
        <x:v>CORP-0666</x:v>
      </x:c>
      <x:c r="D4742" s="12" t="str">
        <x:v>Mumbai</x:v>
      </x:c>
      <x:c r="E4742" s="12" t="str">
        <x:v>Lodha Supremus</x:v>
      </x:c>
      <x:c r="F4742" s="12" t="str">
        <x:v>55 inch</x:v>
      </x:c>
      <x:c r="G4742" s="20" t="n">
        <x:v>1</x:v>
      </x:c>
      <x:c r="H4742" s="12" t="str">
        <x:v>Campus/portfolio roster; individual building occupancy unverified</x:v>
      </x:c>
      <x:c r="I4742" s="12" t="str">
        <x:v>Large enterprise</x:v>
      </x:c>
      <x:c r="J4742" s="12" t="str">
        <x:v>Finance &amp; insurance</x:v>
      </x:c>
      <x:c r="K4742" s="2" t="str">
        <x:v>PARTNER-M247</x:v>
      </x:c>
    </x:row>
    <x:row r="4743" ht="46" customHeight="1">
      <x:c r="A4743" s="2" t="str">
        <x:v>TEN-C93E32AC59F9</x:v>
      </x:c>
      <x:c r="B4743" s="12" t="str">
        <x:v>VITS Hotels(Corporate Office)</x:v>
      </x:c>
      <x:c r="C4743" s="12" t="str">
        <x:v>CORP-0666</x:v>
      </x:c>
      <x:c r="D4743" s="12" t="str">
        <x:v>Mumbai</x:v>
      </x:c>
      <x:c r="E4743" s="12" t="str">
        <x:v>Lodha Supremus</x:v>
      </x:c>
      <x:c r="F4743" s="12" t="str">
        <x:v>55 inch</x:v>
      </x:c>
      <x:c r="G4743" s="20" t="n">
        <x:v>1</x:v>
      </x:c>
      <x:c r="H4743" s="12" t="str">
        <x:v>Campus/portfolio roster; individual building occupancy unverified</x:v>
      </x:c>
      <x:c r="I4743" s="12" t="str">
        <x:v>Mixed business audience</x:v>
      </x:c>
      <x:c r="J4743" s="12" t="str">
        <x:v>Trade, consumer &amp; logistics</x:v>
      </x:c>
      <x:c r="K4743" s="2" t="str">
        <x:v>PARTNER-M247</x:v>
      </x:c>
    </x:row>
    <x:row r="4744" ht="46" customHeight="1">
      <x:c r="A4744" s="2" t="str">
        <x:v>TEN-D580AF912CAD</x:v>
      </x:c>
      <x:c r="B4744" s="12" t="str">
        <x:v>Samarth Finance Consultant</x:v>
      </x:c>
      <x:c r="C4744" s="12" t="str">
        <x:v>CORP-0666</x:v>
      </x:c>
      <x:c r="D4744" s="12" t="str">
        <x:v>Mumbai</x:v>
      </x:c>
      <x:c r="E4744" s="12" t="str">
        <x:v>Lodha Supremus</x:v>
      </x:c>
      <x:c r="F4744" s="12" t="str">
        <x:v>55 inch</x:v>
      </x:c>
      <x:c r="G4744" s="20" t="n">
        <x:v>1</x:v>
      </x:c>
      <x:c r="H4744" s="12" t="str">
        <x:v>Campus/portfolio roster; individual building occupancy unverified</x:v>
      </x:c>
      <x:c r="I4744" s="12" t="str">
        <x:v>Small-scale prospects</x:v>
      </x:c>
      <x:c r="J4744" s="12" t="str">
        <x:v>Professional services</x:v>
      </x:c>
      <x:c r="K4744" s="2" t="str">
        <x:v>PARTNER-M247</x:v>
      </x:c>
    </x:row>
    <x:row r="4745" ht="46" customHeight="1">
      <x:c r="A4745" s="2" t="str">
        <x:v>TEN-E36A8E484C91</x:v>
      </x:c>
      <x:c r="B4745" s="12" t="str">
        <x:v>Digirealty Technologies</x:v>
      </x:c>
      <x:c r="C4745" s="12" t="str">
        <x:v>CORP-0666</x:v>
      </x:c>
      <x:c r="D4745" s="12" t="str">
        <x:v>Mumbai</x:v>
      </x:c>
      <x:c r="E4745" s="12" t="str">
        <x:v>Lodha Supremus</x:v>
      </x:c>
      <x:c r="F4745" s="12" t="str">
        <x:v>55 inch</x:v>
      </x:c>
      <x:c r="G4745" s="20" t="n">
        <x:v>1</x:v>
      </x:c>
      <x:c r="H4745" s="12" t="str">
        <x:v>Campus/portfolio roster; individual building occupancy unverified</x:v>
      </x:c>
      <x:c r="I4745" s="12" t="str">
        <x:v>Small-scale prospects</x:v>
      </x:c>
      <x:c r="J4745" s="12" t="str">
        <x:v>Trade, consumer &amp; logistics</x:v>
      </x:c>
      <x:c r="K4745" s="2" t="str">
        <x:v>PARTNER-M247</x:v>
      </x:c>
    </x:row>
    <x:row r="4746" ht="46" customHeight="1">
      <x:c r="A4746" s="2" t="str">
        <x:v>TEN-047B5C39429C</x:v>
      </x:c>
      <x:c r="B4746" s="12" t="str">
        <x:v>Anish Financial Services</x:v>
      </x:c>
      <x:c r="C4746" s="12" t="str">
        <x:v>CORP-0667</x:v>
      </x:c>
      <x:c r="D4746" s="12" t="str">
        <x:v>Mumbai</x:v>
      </x:c>
      <x:c r="E4746" s="12" t="str">
        <x:v>Lodha Supremus</x:v>
      </x:c>
      <x:c r="F4746" s="12" t="str">
        <x:v>55 inch</x:v>
      </x:c>
      <x:c r="G4746" s="20" t="n">
        <x:v>1</x:v>
      </x:c>
      <x:c r="H4746" s="12" t="str">
        <x:v>Campus/portfolio roster; individual building occupancy unverified</x:v>
      </x:c>
      <x:c r="I4746" s="12" t="str">
        <x:v>Medium-scale prospects</x:v>
      </x:c>
      <x:c r="J4746" s="12" t="str">
        <x:v>Finance &amp; insurance</x:v>
      </x:c>
      <x:c r="K4746" s="2" t="str">
        <x:v>PARTNER-M247</x:v>
      </x:c>
    </x:row>
    <x:row r="4747" ht="46" customHeight="1">
      <x:c r="A4747" s="2" t="str">
        <x:v>TEN-195AFC7F05A0</x:v>
      </x:c>
      <x:c r="B4747" s="12" t="str">
        <x:v>Peora Fashions</x:v>
      </x:c>
      <x:c r="C4747" s="12" t="str">
        <x:v>CORP-0667</x:v>
      </x:c>
      <x:c r="D4747" s="12" t="str">
        <x:v>Mumbai</x:v>
      </x:c>
      <x:c r="E4747" s="12" t="str">
        <x:v>Lodha Supremus</x:v>
      </x:c>
      <x:c r="F4747" s="12" t="str">
        <x:v>55 inch</x:v>
      </x:c>
      <x:c r="G4747" s="20" t="n">
        <x:v>1</x:v>
      </x:c>
      <x:c r="H4747" s="12" t="str">
        <x:v>Campus/portfolio roster; individual building occupancy unverified</x:v>
      </x:c>
      <x:c r="I4747" s="12" t="str">
        <x:v>Small-scale prospects</x:v>
      </x:c>
      <x:c r="J4747" s="12" t="str">
        <x:v>Trade, consumer &amp; logistics</x:v>
      </x:c>
      <x:c r="K4747" s="2" t="str">
        <x:v>PARTNER-M247</x:v>
      </x:c>
    </x:row>
    <x:row r="4748" ht="46" customHeight="1">
      <x:c r="A4748" s="2" t="str">
        <x:v>TEN-2DCEAF99E136</x:v>
      </x:c>
      <x:c r="B4748" s="12" t="str">
        <x:v>OneAssist Consumer Solutions</x:v>
      </x:c>
      <x:c r="C4748" s="12" t="str">
        <x:v>CORP-0667</x:v>
      </x:c>
      <x:c r="D4748" s="12" t="str">
        <x:v>Mumbai</x:v>
      </x:c>
      <x:c r="E4748" s="12" t="str">
        <x:v>Lodha Supremus</x:v>
      </x:c>
      <x:c r="F4748" s="12" t="str">
        <x:v>55 inch</x:v>
      </x:c>
      <x:c r="G4748" s="20" t="n">
        <x:v>1</x:v>
      </x:c>
      <x:c r="H4748" s="12" t="str">
        <x:v>Campus/portfolio roster; individual building occupancy unverified</x:v>
      </x:c>
      <x:c r="I4748" s="12" t="str">
        <x:v>Small-scale prospects</x:v>
      </x:c>
      <x:c r="J4748" s="12" t="str">
        <x:v>Trade, consumer &amp; logistics</x:v>
      </x:c>
      <x:c r="K4748" s="2" t="str">
        <x:v>PARTNER-M247</x:v>
      </x:c>
    </x:row>
    <x:row r="4749" ht="46" customHeight="1">
      <x:c r="A4749" s="2" t="str">
        <x:v>TEN-2E7AAE5DD17C</x:v>
      </x:c>
      <x:c r="B4749" s="12" t="str">
        <x:v>Ascent Consulting Services</x:v>
      </x:c>
      <x:c r="C4749" s="12" t="str">
        <x:v>CORP-0667</x:v>
      </x:c>
      <x:c r="D4749" s="12" t="str">
        <x:v>Mumbai</x:v>
      </x:c>
      <x:c r="E4749" s="12" t="str">
        <x:v>Lodha Supremus</x:v>
      </x:c>
      <x:c r="F4749" s="12" t="str">
        <x:v>55 inch</x:v>
      </x:c>
      <x:c r="G4749" s="20" t="n">
        <x:v>1</x:v>
      </x:c>
      <x:c r="H4749" s="12" t="str">
        <x:v>Campus/portfolio roster; individual building occupancy unverified</x:v>
      </x:c>
      <x:c r="I4749" s="12" t="str">
        <x:v>Small-scale prospects</x:v>
      </x:c>
      <x:c r="J4749" s="12" t="str">
        <x:v>Professional services</x:v>
      </x:c>
      <x:c r="K4749" s="2" t="str">
        <x:v>PARTNER-M247</x:v>
      </x:c>
    </x:row>
    <x:row r="4750" ht="46" customHeight="1">
      <x:c r="A4750" s="2" t="str">
        <x:v>TEN-34FA47A413A3</x:v>
      </x:c>
      <x:c r="B4750" s="12" t="str">
        <x:v>Whizzmark Business Solutions</x:v>
      </x:c>
      <x:c r="C4750" s="12" t="str">
        <x:v>CORP-0667</x:v>
      </x:c>
      <x:c r="D4750" s="12" t="str">
        <x:v>Mumbai</x:v>
      </x:c>
      <x:c r="E4750" s="12" t="str">
        <x:v>Lodha Supremus</x:v>
      </x:c>
      <x:c r="F4750" s="12" t="str">
        <x:v>55 inch</x:v>
      </x:c>
      <x:c r="G4750" s="20" t="n">
        <x:v>1</x:v>
      </x:c>
      <x:c r="H4750" s="12" t="str">
        <x:v>Campus/portfolio roster; individual building occupancy unverified</x:v>
      </x:c>
      <x:c r="I4750" s="12" t="str">
        <x:v>Mixed business audience</x:v>
      </x:c>
      <x:c r="J4750" s="12" t="str">
        <x:v>Unresolved</x:v>
      </x:c>
      <x:c r="K4750" s="2" t="str">
        <x:v>PARTNER-M247</x:v>
      </x:c>
    </x:row>
    <x:row r="4751" ht="46" customHeight="1">
      <x:c r="A4751" s="2" t="str">
        <x:v>TEN-5B49D3958B92</x:v>
      </x:c>
      <x:c r="B4751" s="12" t="str">
        <x:v>Bisleri International</x:v>
      </x:c>
      <x:c r="C4751" s="12" t="str">
        <x:v>CORP-0667</x:v>
      </x:c>
      <x:c r="D4751" s="12" t="str">
        <x:v>Mumbai</x:v>
      </x:c>
      <x:c r="E4751" s="12" t="str">
        <x:v>Lodha Supremus</x:v>
      </x:c>
      <x:c r="F4751" s="12" t="str">
        <x:v>55 inch</x:v>
      </x:c>
      <x:c r="G4751" s="20" t="n">
        <x:v>1</x:v>
      </x:c>
      <x:c r="H4751" s="12" t="str">
        <x:v>Campus/portfolio roster; individual building occupancy unverified</x:v>
      </x:c>
      <x:c r="I4751" s="12" t="str">
        <x:v>Mixed business audience</x:v>
      </x:c>
      <x:c r="J4751" s="12" t="str">
        <x:v>Trade, consumer &amp; logistics</x:v>
      </x:c>
      <x:c r="K4751" s="2" t="str">
        <x:v>PARTNER-M247</x:v>
      </x:c>
    </x:row>
    <x:row r="4752" ht="46" customHeight="1">
      <x:c r="A4752" s="2" t="str">
        <x:v>TEN-6BCAF693F975</x:v>
      </x:c>
      <x:c r="B4752" s="12" t="str">
        <x:v>Indana Hotels &amp; Resorts</x:v>
      </x:c>
      <x:c r="C4752" s="12" t="str">
        <x:v>CORP-0667</x:v>
      </x:c>
      <x:c r="D4752" s="12" t="str">
        <x:v>Mumbai</x:v>
      </x:c>
      <x:c r="E4752" s="12" t="str">
        <x:v>Lodha Supremus</x:v>
      </x:c>
      <x:c r="F4752" s="12" t="str">
        <x:v>55 inch</x:v>
      </x:c>
      <x:c r="G4752" s="20" t="n">
        <x:v>1</x:v>
      </x:c>
      <x:c r="H4752" s="12" t="str">
        <x:v>Campus/portfolio roster; individual building occupancy unverified</x:v>
      </x:c>
      <x:c r="I4752" s="12" t="str">
        <x:v>Small-scale prospects</x:v>
      </x:c>
      <x:c r="J4752" s="12" t="str">
        <x:v>Trade, consumer &amp; logistics</x:v>
      </x:c>
      <x:c r="K4752" s="2" t="str">
        <x:v>PARTNER-M247</x:v>
      </x:c>
    </x:row>
    <x:row r="4753" ht="46" customHeight="1">
      <x:c r="A4753" s="2" t="str">
        <x:v>TEN-80ABA2BC6E03</x:v>
      </x:c>
      <x:c r="B4753" s="12" t="str">
        <x:v>Mirc Electronics Ltd (Onida)</x:v>
      </x:c>
      <x:c r="C4753" s="12" t="str">
        <x:v>CORP-0667</x:v>
      </x:c>
      <x:c r="D4753" s="12" t="str">
        <x:v>Mumbai</x:v>
      </x:c>
      <x:c r="E4753" s="12" t="str">
        <x:v>Lodha Supremus</x:v>
      </x:c>
      <x:c r="F4753" s="12" t="str">
        <x:v>55 inch</x:v>
      </x:c>
      <x:c r="G4753" s="20" t="n">
        <x:v>1</x:v>
      </x:c>
      <x:c r="H4753" s="12" t="str">
        <x:v>Campus/portfolio roster; individual building occupancy unverified</x:v>
      </x:c>
      <x:c r="I4753" s="12" t="str">
        <x:v>Mixed business audience</x:v>
      </x:c>
      <x:c r="J4753" s="12" t="str">
        <x:v>Engineering &amp; manufacturing</x:v>
      </x:c>
      <x:c r="K4753" s="2" t="str">
        <x:v>PARTNER-M247</x:v>
      </x:c>
    </x:row>
    <x:row r="4754" ht="46" customHeight="1">
      <x:c r="A4754" s="2" t="str">
        <x:v>TEN-A04AEB75F5F5</x:v>
      </x:c>
      <x:c r="B4754" s="12" t="str">
        <x:v>Tessuti Industries</x:v>
      </x:c>
      <x:c r="C4754" s="12" t="str">
        <x:v>CORP-0667</x:v>
      </x:c>
      <x:c r="D4754" s="12" t="str">
        <x:v>Mumbai</x:v>
      </x:c>
      <x:c r="E4754" s="12" t="str">
        <x:v>Lodha Supremus</x:v>
      </x:c>
      <x:c r="F4754" s="12" t="str">
        <x:v>55 inch</x:v>
      </x:c>
      <x:c r="G4754" s="20" t="n">
        <x:v>1</x:v>
      </x:c>
      <x:c r="H4754" s="12" t="str">
        <x:v>Campus/portfolio roster; individual building occupancy unverified</x:v>
      </x:c>
      <x:c r="I4754" s="12" t="str">
        <x:v>Medium-scale prospects</x:v>
      </x:c>
      <x:c r="J4754" s="12" t="str">
        <x:v>Engineering &amp; manufacturing</x:v>
      </x:c>
      <x:c r="K4754" s="2" t="str">
        <x:v>PARTNER-M247</x:v>
      </x:c>
    </x:row>
    <x:row r="4755" ht="46" customHeight="1">
      <x:c r="A4755" s="2" t="str">
        <x:v>TEN-A6A145176095</x:v>
      </x:c>
      <x:c r="B4755" s="12" t="str">
        <x:v>D B Consultants</x:v>
      </x:c>
      <x:c r="C4755" s="12" t="str">
        <x:v>CORP-0667</x:v>
      </x:c>
      <x:c r="D4755" s="12" t="str">
        <x:v>Mumbai</x:v>
      </x:c>
      <x:c r="E4755" s="12" t="str">
        <x:v>Lodha Supremus</x:v>
      </x:c>
      <x:c r="F4755" s="12" t="str">
        <x:v>55 inch</x:v>
      </x:c>
      <x:c r="G4755" s="20" t="n">
        <x:v>1</x:v>
      </x:c>
      <x:c r="H4755" s="12" t="str">
        <x:v>Campus/portfolio roster; individual building occupancy unverified</x:v>
      </x:c>
      <x:c r="I4755" s="12" t="str">
        <x:v>Small-scale prospects</x:v>
      </x:c>
      <x:c r="J4755" s="12" t="str">
        <x:v>Professional services</x:v>
      </x:c>
      <x:c r="K4755" s="2" t="str">
        <x:v>PARTNER-M247</x:v>
      </x:c>
    </x:row>
    <x:row r="4756" ht="46" customHeight="1">
      <x:c r="A4756" s="2" t="str">
        <x:v>TEN-BEBC85511125</x:v>
      </x:c>
      <x:c r="B4756" s="12" t="str">
        <x:v>Trinity Insurance Services</x:v>
      </x:c>
      <x:c r="C4756" s="12" t="str">
        <x:v>CORP-0667</x:v>
      </x:c>
      <x:c r="D4756" s="12" t="str">
        <x:v>Mumbai</x:v>
      </x:c>
      <x:c r="E4756" s="12" t="str">
        <x:v>Lodha Supremus</x:v>
      </x:c>
      <x:c r="F4756" s="12" t="str">
        <x:v>55 inch</x:v>
      </x:c>
      <x:c r="G4756" s="20" t="n">
        <x:v>1</x:v>
      </x:c>
      <x:c r="H4756" s="12" t="str">
        <x:v>Campus/portfolio roster; individual building occupancy unverified</x:v>
      </x:c>
      <x:c r="I4756" s="12" t="str">
        <x:v>Medium-scale prospects</x:v>
      </x:c>
      <x:c r="J4756" s="12" t="str">
        <x:v>Finance &amp; insurance</x:v>
      </x:c>
      <x:c r="K4756" s="2" t="str">
        <x:v>PARTNER-M247</x:v>
      </x:c>
    </x:row>
    <x:row r="4757" ht="46" customHeight="1">
      <x:c r="A4757" s="2" t="str">
        <x:v>TEN-BEE4F75D30E5</x:v>
      </x:c>
      <x:c r="B4757" s="12" t="str">
        <x:v>ICICI Bank</x:v>
      </x:c>
      <x:c r="C4757" s="12" t="str">
        <x:v>CORP-0667</x:v>
      </x:c>
      <x:c r="D4757" s="12" t="str">
        <x:v>Mumbai</x:v>
      </x:c>
      <x:c r="E4757" s="12" t="str">
        <x:v>Lodha Supremus</x:v>
      </x:c>
      <x:c r="F4757" s="12" t="str">
        <x:v>55 inch</x:v>
      </x:c>
      <x:c r="G4757" s="20" t="n">
        <x:v>1</x:v>
      </x:c>
      <x:c r="H4757" s="12" t="str">
        <x:v>Campus/portfolio roster; individual building occupancy unverified</x:v>
      </x:c>
      <x:c r="I4757" s="12" t="str">
        <x:v>Large enterprise</x:v>
      </x:c>
      <x:c r="J4757" s="12" t="str">
        <x:v>Finance &amp; insurance</x:v>
      </x:c>
      <x:c r="K4757" s="2" t="str">
        <x:v>PARTNER-M247</x:v>
      </x:c>
    </x:row>
    <x:row r="4758" ht="46" customHeight="1">
      <x:c r="A4758" s="2" t="str">
        <x:v>TEN-C93E32AC59F9</x:v>
      </x:c>
      <x:c r="B4758" s="12" t="str">
        <x:v>VITS Hotels(Corporate Office)</x:v>
      </x:c>
      <x:c r="C4758" s="12" t="str">
        <x:v>CORP-0667</x:v>
      </x:c>
      <x:c r="D4758" s="12" t="str">
        <x:v>Mumbai</x:v>
      </x:c>
      <x:c r="E4758" s="12" t="str">
        <x:v>Lodha Supremus</x:v>
      </x:c>
      <x:c r="F4758" s="12" t="str">
        <x:v>55 inch</x:v>
      </x:c>
      <x:c r="G4758" s="20" t="n">
        <x:v>1</x:v>
      </x:c>
      <x:c r="H4758" s="12" t="str">
        <x:v>Campus/portfolio roster; individual building occupancy unverified</x:v>
      </x:c>
      <x:c r="I4758" s="12" t="str">
        <x:v>Mixed business audience</x:v>
      </x:c>
      <x:c r="J4758" s="12" t="str">
        <x:v>Trade, consumer &amp; logistics</x:v>
      </x:c>
      <x:c r="K4758" s="2" t="str">
        <x:v>PARTNER-M247</x:v>
      </x:c>
    </x:row>
    <x:row r="4759" ht="46" customHeight="1">
      <x:c r="A4759" s="2" t="str">
        <x:v>TEN-D580AF912CAD</x:v>
      </x:c>
      <x:c r="B4759" s="12" t="str">
        <x:v>Samarth Finance Consultant</x:v>
      </x:c>
      <x:c r="C4759" s="12" t="str">
        <x:v>CORP-0667</x:v>
      </x:c>
      <x:c r="D4759" s="12" t="str">
        <x:v>Mumbai</x:v>
      </x:c>
      <x:c r="E4759" s="12" t="str">
        <x:v>Lodha Supremus</x:v>
      </x:c>
      <x:c r="F4759" s="12" t="str">
        <x:v>55 inch</x:v>
      </x:c>
      <x:c r="G4759" s="20" t="n">
        <x:v>1</x:v>
      </x:c>
      <x:c r="H4759" s="12" t="str">
        <x:v>Campus/portfolio roster; individual building occupancy unverified</x:v>
      </x:c>
      <x:c r="I4759" s="12" t="str">
        <x:v>Small-scale prospects</x:v>
      </x:c>
      <x:c r="J4759" s="12" t="str">
        <x:v>Professional services</x:v>
      </x:c>
      <x:c r="K4759" s="2" t="str">
        <x:v>PARTNER-M247</x:v>
      </x:c>
    </x:row>
    <x:row r="4760" ht="46" customHeight="1">
      <x:c r="A4760" s="2" t="str">
        <x:v>TEN-E36A8E484C91</x:v>
      </x:c>
      <x:c r="B4760" s="12" t="str">
        <x:v>Digirealty Technologies</x:v>
      </x:c>
      <x:c r="C4760" s="12" t="str">
        <x:v>CORP-0667</x:v>
      </x:c>
      <x:c r="D4760" s="12" t="str">
        <x:v>Mumbai</x:v>
      </x:c>
      <x:c r="E4760" s="12" t="str">
        <x:v>Lodha Supremus</x:v>
      </x:c>
      <x:c r="F4760" s="12" t="str">
        <x:v>55 inch</x:v>
      </x:c>
      <x:c r="G4760" s="20" t="n">
        <x:v>1</x:v>
      </x:c>
      <x:c r="H4760" s="12" t="str">
        <x:v>Campus/portfolio roster; individual building occupancy unverified</x:v>
      </x:c>
      <x:c r="I4760" s="12" t="str">
        <x:v>Small-scale prospects</x:v>
      </x:c>
      <x:c r="J4760" s="12" t="str">
        <x:v>Trade, consumer &amp; logistics</x:v>
      </x:c>
      <x:c r="K4760" s="2" t="str">
        <x:v>PARTNER-M247</x:v>
      </x:c>
    </x:row>
    <x:row r="4761" ht="46" customHeight="1">
      <x:c r="A4761" s="2" t="str">
        <x:v>TEN-028810317654</x:v>
      </x:c>
      <x:c r="B4761" s="12" t="str">
        <x:v>Hitachi Consulting</x:v>
      </x:c>
      <x:c r="C4761" s="12" t="str">
        <x:v>CORP-0668</x:v>
      </x:c>
      <x:c r="D4761" s="12" t="str">
        <x:v>Pune</x:v>
      </x:c>
      <x:c r="E4761" s="12" t="str">
        <x:v>Magarpatta Cyberpark</x:v>
      </x:c>
      <x:c r="F4761" s="12" t="str">
        <x:v>55 inch</x:v>
      </x:c>
      <x:c r="G4761" s="20" t="n">
        <x:v>1</x:v>
      </x:c>
      <x:c r="H4761" s="12" t="str">
        <x:v>Campus/portfolio roster; individual building occupancy unverified</x:v>
      </x:c>
      <x:c r="I4761" s="12" t="str">
        <x:v>Mixed business audience</x:v>
      </x:c>
      <x:c r="J4761" s="12" t="str">
        <x:v>IT &amp; digital</x:v>
      </x:c>
      <x:c r="K4761" s="2" t="str">
        <x:v>PARTNER-M252</x:v>
      </x:c>
    </x:row>
    <x:row r="4762" ht="46" customHeight="1">
      <x:c r="A4762" s="2" t="str">
        <x:v>TEN-0392C3B9EE62</x:v>
      </x:c>
      <x:c r="B4762" s="12" t="str">
        <x:v>Konecranes</x:v>
      </x:c>
      <x:c r="C4762" s="12" t="str">
        <x:v>CORP-0668</x:v>
      </x:c>
      <x:c r="D4762" s="12" t="str">
        <x:v>Pune</x:v>
      </x:c>
      <x:c r="E4762" s="12" t="str">
        <x:v>Magarpatta Cyberpark</x:v>
      </x:c>
      <x:c r="F4762" s="12" t="str">
        <x:v>55 inch</x:v>
      </x:c>
      <x:c r="G4762" s="20" t="n">
        <x:v>1</x:v>
      </x:c>
      <x:c r="H4762" s="12" t="str">
        <x:v>Campus/portfolio roster; individual building occupancy unverified</x:v>
      </x:c>
      <x:c r="I4762" s="12" t="str">
        <x:v>Mixed business audience</x:v>
      </x:c>
      <x:c r="J4762" s="12" t="str">
        <x:v>Engineering &amp; manufacturing</x:v>
      </x:c>
      <x:c r="K4762" s="2" t="str">
        <x:v>PARTNER-M252</x:v>
      </x:c>
    </x:row>
    <x:row r="4763" ht="46" customHeight="1">
      <x:c r="A4763" s="2" t="str">
        <x:v>TEN-0C4F9F7327E1</x:v>
      </x:c>
      <x:c r="B4763" s="12" t="str">
        <x:v>Ocwen</x:v>
      </x:c>
      <x:c r="C4763" s="12" t="str">
        <x:v>CORP-0668</x:v>
      </x:c>
      <x:c r="D4763" s="12" t="str">
        <x:v>Pune</x:v>
      </x:c>
      <x:c r="E4763" s="12" t="str">
        <x:v>Magarpatta Cyberpark</x:v>
      </x:c>
      <x:c r="F4763" s="12" t="str">
        <x:v>55 inch</x:v>
      </x:c>
      <x:c r="G4763" s="20" t="n">
        <x:v>1</x:v>
      </x:c>
      <x:c r="H4763" s="12" t="str">
        <x:v>Campus/portfolio roster; individual building occupancy unverified</x:v>
      </x:c>
      <x:c r="I4763" s="12" t="str">
        <x:v>Mixed business audience</x:v>
      </x:c>
      <x:c r="J4763" s="12" t="str">
        <x:v>Finance &amp; insurance</x:v>
      </x:c>
      <x:c r="K4763" s="2" t="str">
        <x:v>PARTNER-M252</x:v>
      </x:c>
    </x:row>
    <x:row r="4764" ht="46" customHeight="1">
      <x:c r="A4764" s="2" t="str">
        <x:v>TEN-37A9A152C42F</x:v>
      </x:c>
      <x:c r="B4764" s="12" t="str">
        <x:v>AppDirect</x:v>
      </x:c>
      <x:c r="C4764" s="12" t="str">
        <x:v>CORP-0668</x:v>
      </x:c>
      <x:c r="D4764" s="12" t="str">
        <x:v>Pune</x:v>
      </x:c>
      <x:c r="E4764" s="12" t="str">
        <x:v>Magarpatta Cyberpark</x:v>
      </x:c>
      <x:c r="F4764" s="12" t="str">
        <x:v>55 inch</x:v>
      </x:c>
      <x:c r="G4764" s="20" t="n">
        <x:v>1</x:v>
      </x:c>
      <x:c r="H4764" s="12" t="str">
        <x:v>Campus/portfolio roster; individual building occupancy unverified</x:v>
      </x:c>
      <x:c r="I4764" s="12" t="str">
        <x:v>Mixed business audience</x:v>
      </x:c>
      <x:c r="J4764" s="12" t="str">
        <x:v>IT &amp; digital</x:v>
      </x:c>
      <x:c r="K4764" s="2" t="str">
        <x:v>PARTNER-M252</x:v>
      </x:c>
    </x:row>
    <x:row r="4765" ht="46" customHeight="1">
      <x:c r="A4765" s="2" t="str">
        <x:v>TEN-45D9225952C7</x:v>
      </x:c>
      <x:c r="B4765" s="12" t="str">
        <x:v>TATA elxsi</x:v>
      </x:c>
      <x:c r="C4765" s="12" t="str">
        <x:v>CORP-0668</x:v>
      </x:c>
      <x:c r="D4765" s="12" t="str">
        <x:v>Pune</x:v>
      </x:c>
      <x:c r="E4765" s="12" t="str">
        <x:v>Magarpatta Cyberpark</x:v>
      </x:c>
      <x:c r="F4765" s="12" t="str">
        <x:v>55 inch</x:v>
      </x:c>
      <x:c r="G4765" s="20" t="n">
        <x:v>1</x:v>
      </x:c>
      <x:c r="H4765" s="12" t="str">
        <x:v>Campus/portfolio roster; individual building occupancy unverified</x:v>
      </x:c>
      <x:c r="I4765" s="12" t="str">
        <x:v>Large enterprise</x:v>
      </x:c>
      <x:c r="J4765" s="12" t="str">
        <x:v>IT &amp; digital</x:v>
      </x:c>
      <x:c r="K4765" s="2" t="str">
        <x:v>PARTNER-M252</x:v>
      </x:c>
    </x:row>
    <x:row r="4766" ht="46" customHeight="1">
      <x:c r="A4766" s="2" t="str">
        <x:v>TEN-6CA190D5260C</x:v>
      </x:c>
      <x:c r="B4766" s="12" t="str">
        <x:v>WNS</x:v>
      </x:c>
      <x:c r="C4766" s="12" t="str">
        <x:v>CORP-0668</x:v>
      </x:c>
      <x:c r="D4766" s="12" t="str">
        <x:v>Pune</x:v>
      </x:c>
      <x:c r="E4766" s="12" t="str">
        <x:v>Magarpatta Cyberpark</x:v>
      </x:c>
      <x:c r="F4766" s="12" t="str">
        <x:v>55 inch</x:v>
      </x:c>
      <x:c r="G4766" s="20" t="n">
        <x:v>1</x:v>
      </x:c>
      <x:c r="H4766" s="12" t="str">
        <x:v>Campus/portfolio roster; individual building occupancy unverified</x:v>
      </x:c>
      <x:c r="I4766" s="12" t="str">
        <x:v>Mixed business audience</x:v>
      </x:c>
      <x:c r="J4766" s="12" t="str">
        <x:v>IT &amp; digital</x:v>
      </x:c>
      <x:c r="K4766" s="2" t="str">
        <x:v>PARTNER-M252</x:v>
      </x:c>
    </x:row>
    <x:row r="4767" ht="46" customHeight="1">
      <x:c r="A4767" s="2" t="str">
        <x:v>TEN-6CE8BB6DCAD7</x:v>
      </x:c>
      <x:c r="B4767" s="12" t="str">
        <x:v>Systems Plus</x:v>
      </x:c>
      <x:c r="C4767" s="12" t="str">
        <x:v>CORP-0668</x:v>
      </x:c>
      <x:c r="D4767" s="12" t="str">
        <x:v>Pune</x:v>
      </x:c>
      <x:c r="E4767" s="12" t="str">
        <x:v>Magarpatta Cyberpark</x:v>
      </x:c>
      <x:c r="F4767" s="12" t="str">
        <x:v>55 inch</x:v>
      </x:c>
      <x:c r="G4767" s="20" t="n">
        <x:v>1</x:v>
      </x:c>
      <x:c r="H4767" s="12" t="str">
        <x:v>Campus/portfolio roster; individual building occupancy unverified</x:v>
      </x:c>
      <x:c r="I4767" s="12" t="str">
        <x:v>Small-scale prospects</x:v>
      </x:c>
      <x:c r="J4767" s="12" t="str">
        <x:v>IT &amp; digital</x:v>
      </x:c>
      <x:c r="K4767" s="2" t="str">
        <x:v>PARTNER-M252</x:v>
      </x:c>
    </x:row>
    <x:row r="4768" ht="46" customHeight="1">
      <x:c r="A4768" s="2" t="str">
        <x:v>TEN-7DE355F41161</x:v>
      </x:c>
      <x:c r="B4768" s="12" t="str">
        <x:v>Avaya</x:v>
      </x:c>
      <x:c r="C4768" s="12" t="str">
        <x:v>CORP-0668</x:v>
      </x:c>
      <x:c r="D4768" s="12" t="str">
        <x:v>Pune</x:v>
      </x:c>
      <x:c r="E4768" s="12" t="str">
        <x:v>Magarpatta Cyberpark</x:v>
      </x:c>
      <x:c r="F4768" s="12" t="str">
        <x:v>55 inch</x:v>
      </x:c>
      <x:c r="G4768" s="20" t="n">
        <x:v>1</x:v>
      </x:c>
      <x:c r="H4768" s="12" t="str">
        <x:v>Campus/portfolio roster; individual building occupancy unverified</x:v>
      </x:c>
      <x:c r="I4768" s="12" t="str">
        <x:v>Mixed business audience</x:v>
      </x:c>
      <x:c r="J4768" s="12" t="str">
        <x:v>IT &amp; digital</x:v>
      </x:c>
      <x:c r="K4768" s="2" t="str">
        <x:v>PARTNER-M252</x:v>
      </x:c>
    </x:row>
    <x:row r="4769" ht="46" customHeight="1">
      <x:c r="A4769" s="2" t="str">
        <x:v>TEN-866F70D2D0FF</x:v>
      </x:c>
      <x:c r="B4769" s="12" t="str">
        <x:v>CompuCom</x:v>
      </x:c>
      <x:c r="C4769" s="12" t="str">
        <x:v>CORP-0668</x:v>
      </x:c>
      <x:c r="D4769" s="12" t="str">
        <x:v>Pune</x:v>
      </x:c>
      <x:c r="E4769" s="12" t="str">
        <x:v>Magarpatta Cyberpark</x:v>
      </x:c>
      <x:c r="F4769" s="12" t="str">
        <x:v>55 inch</x:v>
      </x:c>
      <x:c r="G4769" s="20" t="n">
        <x:v>1</x:v>
      </x:c>
      <x:c r="H4769" s="12" t="str">
        <x:v>Campus/portfolio roster; individual building occupancy unverified</x:v>
      </x:c>
      <x:c r="I4769" s="12" t="str">
        <x:v>Mixed business audience</x:v>
      </x:c>
      <x:c r="J4769" s="12" t="str">
        <x:v>IT &amp; digital</x:v>
      </x:c>
      <x:c r="K4769" s="2" t="str">
        <x:v>PARTNER-M252</x:v>
      </x:c>
    </x:row>
    <x:row r="4770" ht="46" customHeight="1">
      <x:c r="A4770" s="2" t="str">
        <x:v>TEN-8DFE5E6CF73B</x:v>
      </x:c>
      <x:c r="B4770" s="12" t="str">
        <x:v>Red Hat</x:v>
      </x:c>
      <x:c r="C4770" s="12" t="str">
        <x:v>CORP-0668</x:v>
      </x:c>
      <x:c r="D4770" s="12" t="str">
        <x:v>Pune</x:v>
      </x:c>
      <x:c r="E4770" s="12" t="str">
        <x:v>Magarpatta Cyberpark</x:v>
      </x:c>
      <x:c r="F4770" s="12" t="str">
        <x:v>55 inch</x:v>
      </x:c>
      <x:c r="G4770" s="20" t="n">
        <x:v>1</x:v>
      </x:c>
      <x:c r="H4770" s="12" t="str">
        <x:v>Campus/portfolio roster; individual building occupancy unverified</x:v>
      </x:c>
      <x:c r="I4770" s="12" t="str">
        <x:v>Large enterprise</x:v>
      </x:c>
      <x:c r="J4770" s="12" t="str">
        <x:v>IT &amp; digital</x:v>
      </x:c>
      <x:c r="K4770" s="2" t="str">
        <x:v>PARTNER-M252</x:v>
      </x:c>
    </x:row>
    <x:row r="4771" ht="46" customHeight="1">
      <x:c r="A4771" s="2" t="str">
        <x:v>TEN-97ED95A681B4</x:v>
      </x:c>
      <x:c r="B4771" s="12" t="str">
        <x:v>Sutherland</x:v>
      </x:c>
      <x:c r="C4771" s="12" t="str">
        <x:v>CORP-0668</x:v>
      </x:c>
      <x:c r="D4771" s="12" t="str">
        <x:v>Pune</x:v>
      </x:c>
      <x:c r="E4771" s="12" t="str">
        <x:v>Magarpatta Cyberpark</x:v>
      </x:c>
      <x:c r="F4771" s="12" t="str">
        <x:v>55 inch</x:v>
      </x:c>
      <x:c r="G4771" s="20" t="n">
        <x:v>1</x:v>
      </x:c>
      <x:c r="H4771" s="12" t="str">
        <x:v>Campus/portfolio roster; individual building occupancy unverified</x:v>
      </x:c>
      <x:c r="I4771" s="12" t="str">
        <x:v>Mixed business audience</x:v>
      </x:c>
      <x:c r="J4771" s="12" t="str">
        <x:v>IT &amp; digital</x:v>
      </x:c>
      <x:c r="K4771" s="2" t="str">
        <x:v>PARTNER-M252</x:v>
      </x:c>
    </x:row>
    <x:row r="4772" ht="46" customHeight="1">
      <x:c r="A4772" s="2" t="str">
        <x:v>TEN-9CF1F6CEECDE</x:v>
      </x:c>
      <x:c r="B4772" s="12" t="str">
        <x:v>Springer Nature</x:v>
      </x:c>
      <x:c r="C4772" s="12" t="str">
        <x:v>CORP-0668</x:v>
      </x:c>
      <x:c r="D4772" s="12" t="str">
        <x:v>Pune</x:v>
      </x:c>
      <x:c r="E4772" s="12" t="str">
        <x:v>Magarpatta Cyberpark</x:v>
      </x:c>
      <x:c r="F4772" s="12" t="str">
        <x:v>55 inch</x:v>
      </x:c>
      <x:c r="G4772" s="20" t="n">
        <x:v>1</x:v>
      </x:c>
      <x:c r="H4772" s="12" t="str">
        <x:v>Campus/portfolio roster; individual building occupancy unverified</x:v>
      </x:c>
      <x:c r="I4772" s="12" t="str">
        <x:v>Mixed business audience</x:v>
      </x:c>
      <x:c r="J4772" s="12" t="str">
        <x:v>Education</x:v>
      </x:c>
      <x:c r="K4772" s="2" t="str">
        <x:v>PARTNER-M252</x:v>
      </x:c>
    </x:row>
    <x:row r="4773" ht="46" customHeight="1">
      <x:c r="A4773" s="2" t="str">
        <x:v>TEN-9CF8C9635F36</x:v>
      </x:c>
      <x:c r="B4773" s="12" t="str">
        <x:v>Teradata</x:v>
      </x:c>
      <x:c r="C4773" s="12" t="str">
        <x:v>CORP-0668</x:v>
      </x:c>
      <x:c r="D4773" s="12" t="str">
        <x:v>Pune</x:v>
      </x:c>
      <x:c r="E4773" s="12" t="str">
        <x:v>Magarpatta Cyberpark</x:v>
      </x:c>
      <x:c r="F4773" s="12" t="str">
        <x:v>55 inch</x:v>
      </x:c>
      <x:c r="G4773" s="20" t="n">
        <x:v>1</x:v>
      </x:c>
      <x:c r="H4773" s="12" t="str">
        <x:v>Campus/portfolio roster; individual building occupancy unverified</x:v>
      </x:c>
      <x:c r="I4773" s="12" t="str">
        <x:v>Mixed business audience</x:v>
      </x:c>
      <x:c r="J4773" s="12" t="str">
        <x:v>IT &amp; digital</x:v>
      </x:c>
      <x:c r="K4773" s="2" t="str">
        <x:v>PARTNER-M252</x:v>
      </x:c>
    </x:row>
    <x:row r="4774" ht="46" customHeight="1">
      <x:c r="A4774" s="2" t="str">
        <x:v>TEN-AAF6BBA77E60</x:v>
      </x:c>
      <x:c r="B4774" s="12" t="str">
        <x:v>Capita</x:v>
      </x:c>
      <x:c r="C4774" s="12" t="str">
        <x:v>CORP-0668</x:v>
      </x:c>
      <x:c r="D4774" s="12" t="str">
        <x:v>Pune</x:v>
      </x:c>
      <x:c r="E4774" s="12" t="str">
        <x:v>Magarpatta Cyberpark</x:v>
      </x:c>
      <x:c r="F4774" s="12" t="str">
        <x:v>55 inch</x:v>
      </x:c>
      <x:c r="G4774" s="20" t="n">
        <x:v>1</x:v>
      </x:c>
      <x:c r="H4774" s="12" t="str">
        <x:v>Campus/portfolio roster; individual building occupancy unverified</x:v>
      </x:c>
      <x:c r="I4774" s="12" t="str">
        <x:v>Mixed business audience</x:v>
      </x:c>
      <x:c r="J4774" s="12" t="str">
        <x:v>IT &amp; digital</x:v>
      </x:c>
      <x:c r="K4774" s="2" t="str">
        <x:v>PARTNER-M252</x:v>
      </x:c>
    </x:row>
    <x:row r="4775" ht="46" customHeight="1">
      <x:c r="A4775" s="2" t="str">
        <x:v>TEN-AB768939C131</x:v>
      </x:c>
      <x:c r="B4775" s="12" t="str">
        <x:v>UPS Logistics</x:v>
      </x:c>
      <x:c r="C4775" s="12" t="str">
        <x:v>CORP-0668</x:v>
      </x:c>
      <x:c r="D4775" s="12" t="str">
        <x:v>Pune</x:v>
      </x:c>
      <x:c r="E4775" s="12" t="str">
        <x:v>Magarpatta Cyberpark</x:v>
      </x:c>
      <x:c r="F4775" s="12" t="str">
        <x:v>55 inch</x:v>
      </x:c>
      <x:c r="G4775" s="20" t="n">
        <x:v>1</x:v>
      </x:c>
      <x:c r="H4775" s="12" t="str">
        <x:v>Campus/portfolio roster; individual building occupancy unverified</x:v>
      </x:c>
      <x:c r="I4775" s="12" t="str">
        <x:v>Mixed business audience</x:v>
      </x:c>
      <x:c r="J4775" s="12" t="str">
        <x:v>Trade, consumer &amp; logistics</x:v>
      </x:c>
      <x:c r="K4775" s="2" t="str">
        <x:v>PARTNER-M252</x:v>
      </x:c>
    </x:row>
    <x:row r="4776" ht="46" customHeight="1">
      <x:c r="A4776" s="2" t="str">
        <x:v>TEN-ACFE8450840B</x:v>
      </x:c>
      <x:c r="B4776" s="12" t="str">
        <x:v>HCL</x:v>
      </x:c>
      <x:c r="C4776" s="12" t="str">
        <x:v>CORP-0668</x:v>
      </x:c>
      <x:c r="D4776" s="12" t="str">
        <x:v>Pune</x:v>
      </x:c>
      <x:c r="E4776" s="12" t="str">
        <x:v>Magarpatta Cyberpark</x:v>
      </x:c>
      <x:c r="F4776" s="12" t="str">
        <x:v>55 inch</x:v>
      </x:c>
      <x:c r="G4776" s="20" t="n">
        <x:v>1</x:v>
      </x:c>
      <x:c r="H4776" s="12" t="str">
        <x:v>Campus/portfolio roster; individual building occupancy unverified</x:v>
      </x:c>
      <x:c r="I4776" s="12" t="str">
        <x:v>Large enterprise</x:v>
      </x:c>
      <x:c r="J4776" s="12" t="str">
        <x:v>IT &amp; digital</x:v>
      </x:c>
      <x:c r="K4776" s="2" t="str">
        <x:v>PARTNER-M252</x:v>
      </x:c>
    </x:row>
    <x:row r="4777" ht="46" customHeight="1">
      <x:c r="A4777" s="2" t="str">
        <x:v>TEN-B2036C6D16F6</x:v>
      </x:c>
      <x:c r="B4777" s="12" t="str">
        <x:v>Principal Global Services</x:v>
      </x:c>
      <x:c r="C4777" s="12" t="str">
        <x:v>CORP-0668</x:v>
      </x:c>
      <x:c r="D4777" s="12" t="str">
        <x:v>Pune</x:v>
      </x:c>
      <x:c r="E4777" s="12" t="str">
        <x:v>Magarpatta Cyberpark</x:v>
      </x:c>
      <x:c r="F4777" s="12" t="str">
        <x:v>55 inch</x:v>
      </x:c>
      <x:c r="G4777" s="20" t="n">
        <x:v>1</x:v>
      </x:c>
      <x:c r="H4777" s="12" t="str">
        <x:v>Campus/portfolio roster; individual building occupancy unverified</x:v>
      </x:c>
      <x:c r="I4777" s="12" t="str">
        <x:v>Mixed business audience</x:v>
      </x:c>
      <x:c r="J4777" s="12" t="str">
        <x:v>Finance &amp; insurance</x:v>
      </x:c>
      <x:c r="K4777" s="2" t="str">
        <x:v>PARTNER-M252</x:v>
      </x:c>
    </x:row>
    <x:row r="4778" ht="46" customHeight="1">
      <x:c r="A4778" s="2" t="str">
        <x:v>TEN-B5F5468E9428</x:v>
      </x:c>
      <x:c r="B4778" s="12" t="str">
        <x:v>Amdocs</x:v>
      </x:c>
      <x:c r="C4778" s="12" t="str">
        <x:v>CORP-0668</x:v>
      </x:c>
      <x:c r="D4778" s="12" t="str">
        <x:v>Pune</x:v>
      </x:c>
      <x:c r="E4778" s="12" t="str">
        <x:v>Magarpatta Cyberpark</x:v>
      </x:c>
      <x:c r="F4778" s="12" t="str">
        <x:v>55 inch</x:v>
      </x:c>
      <x:c r="G4778" s="20" t="n">
        <x:v>1</x:v>
      </x:c>
      <x:c r="H4778" s="12" t="str">
        <x:v>Campus/portfolio roster; individual building occupancy unverified</x:v>
      </x:c>
      <x:c r="I4778" s="12" t="str">
        <x:v>Mixed business audience</x:v>
      </x:c>
      <x:c r="J4778" s="12" t="str">
        <x:v>IT &amp; digital</x:v>
      </x:c>
      <x:c r="K4778" s="2" t="str">
        <x:v>PARTNER-M252</x:v>
      </x:c>
    </x:row>
    <x:row r="4779" ht="46" customHeight="1">
      <x:c r="A4779" s="2" t="str">
        <x:v>TEN-B7BEA343B08C</x:v>
      </x:c>
      <x:c r="B4779" s="12" t="str">
        <x:v>EXL</x:v>
      </x:c>
      <x:c r="C4779" s="12" t="str">
        <x:v>CORP-0668</x:v>
      </x:c>
      <x:c r="D4779" s="12" t="str">
        <x:v>Pune</x:v>
      </x:c>
      <x:c r="E4779" s="12" t="str">
        <x:v>Magarpatta Cyberpark</x:v>
      </x:c>
      <x:c r="F4779" s="12" t="str">
        <x:v>55 inch</x:v>
      </x:c>
      <x:c r="G4779" s="20" t="n">
        <x:v>1</x:v>
      </x:c>
      <x:c r="H4779" s="12" t="str">
        <x:v>Campus/portfolio roster; individual building occupancy unverified</x:v>
      </x:c>
      <x:c r="I4779" s="12" t="str">
        <x:v>Mixed business audience</x:v>
      </x:c>
      <x:c r="J4779" s="12" t="str">
        <x:v>IT &amp; digital</x:v>
      </x:c>
      <x:c r="K4779" s="2" t="str">
        <x:v>PARTNER-M252</x:v>
      </x:c>
    </x:row>
    <x:row r="4780" ht="46" customHeight="1">
      <x:c r="A4780" s="2" t="str">
        <x:v>TEN-BD31900BEB43</x:v>
      </x:c>
      <x:c r="B4780" s="12" t="str">
        <x:v>Reflexis</x:v>
      </x:c>
      <x:c r="C4780" s="12" t="str">
        <x:v>CORP-0668</x:v>
      </x:c>
      <x:c r="D4780" s="12" t="str">
        <x:v>Pune</x:v>
      </x:c>
      <x:c r="E4780" s="12" t="str">
        <x:v>Magarpatta Cyberpark</x:v>
      </x:c>
      <x:c r="F4780" s="12" t="str">
        <x:v>55 inch</x:v>
      </x:c>
      <x:c r="G4780" s="20" t="n">
        <x:v>1</x:v>
      </x:c>
      <x:c r="H4780" s="12" t="str">
        <x:v>Campus/portfolio roster; individual building occupancy unverified</x:v>
      </x:c>
      <x:c r="I4780" s="12" t="str">
        <x:v>Mixed business audience</x:v>
      </x:c>
      <x:c r="J4780" s="12" t="str">
        <x:v>IT &amp; digital</x:v>
      </x:c>
      <x:c r="K4780" s="2" t="str">
        <x:v>PARTNER-M252</x:v>
      </x:c>
    </x:row>
    <x:row r="4781" ht="46" customHeight="1">
      <x:c r="A4781" s="2" t="str">
        <x:v>TEN-BE37BBF098BB</x:v>
      </x:c>
      <x:c r="B4781" s="12" t="str">
        <x:v>Fico</x:v>
      </x:c>
      <x:c r="C4781" s="12" t="str">
        <x:v>CORP-0668</x:v>
      </x:c>
      <x:c r="D4781" s="12" t="str">
        <x:v>Pune</x:v>
      </x:c>
      <x:c r="E4781" s="12" t="str">
        <x:v>Magarpatta Cyberpark</x:v>
      </x:c>
      <x:c r="F4781" s="12" t="str">
        <x:v>55 inch</x:v>
      </x:c>
      <x:c r="G4781" s="20" t="n">
        <x:v>1</x:v>
      </x:c>
      <x:c r="H4781" s="12" t="str">
        <x:v>Campus/portfolio roster; individual building occupancy unverified</x:v>
      </x:c>
      <x:c r="I4781" s="12" t="str">
        <x:v>Mixed business audience</x:v>
      </x:c>
      <x:c r="J4781" s="12" t="str">
        <x:v>IT &amp; digital</x:v>
      </x:c>
      <x:c r="K4781" s="2" t="str">
        <x:v>PARTNER-M252</x:v>
      </x:c>
    </x:row>
    <x:row r="4782" ht="46" customHeight="1">
      <x:c r="A4782" s="2" t="str">
        <x:v>TEN-C63AC00C4D11</x:v>
      </x:c>
      <x:c r="B4782" s="12" t="str">
        <x:v>Mphasis</x:v>
      </x:c>
      <x:c r="C4782" s="12" t="str">
        <x:v>CORP-0668</x:v>
      </x:c>
      <x:c r="D4782" s="12" t="str">
        <x:v>Pune</x:v>
      </x:c>
      <x:c r="E4782" s="12" t="str">
        <x:v>Magarpatta Cyberpark</x:v>
      </x:c>
      <x:c r="F4782" s="12" t="str">
        <x:v>55 inch</x:v>
      </x:c>
      <x:c r="G4782" s="20" t="n">
        <x:v>1</x:v>
      </x:c>
      <x:c r="H4782" s="12" t="str">
        <x:v>Campus/portfolio roster; individual building occupancy unverified</x:v>
      </x:c>
      <x:c r="I4782" s="12" t="str">
        <x:v>Large enterprise</x:v>
      </x:c>
      <x:c r="J4782" s="12" t="str">
        <x:v>IT &amp; digital</x:v>
      </x:c>
      <x:c r="K4782" s="2" t="str">
        <x:v>PARTNER-M252</x:v>
      </x:c>
    </x:row>
    <x:row r="4783" ht="46" customHeight="1">
      <x:c r="A4783" s="2" t="str">
        <x:v>TEN-C7CD4D8C8E32</x:v>
      </x:c>
      <x:c r="B4783" s="12" t="str">
        <x:v>Varian</x:v>
      </x:c>
      <x:c r="C4783" s="12" t="str">
        <x:v>CORP-0668</x:v>
      </x:c>
      <x:c r="D4783" s="12" t="str">
        <x:v>Pune</x:v>
      </x:c>
      <x:c r="E4783" s="12" t="str">
        <x:v>Magarpatta Cyberpark</x:v>
      </x:c>
      <x:c r="F4783" s="12" t="str">
        <x:v>55 inch</x:v>
      </x:c>
      <x:c r="G4783" s="20" t="n">
        <x:v>1</x:v>
      </x:c>
      <x:c r="H4783" s="12" t="str">
        <x:v>Campus/portfolio roster; individual building occupancy unverified</x:v>
      </x:c>
      <x:c r="I4783" s="12" t="str">
        <x:v>Mixed business audience</x:v>
      </x:c>
      <x:c r="J4783" s="12" t="str">
        <x:v>Healthcare &amp; life sciences</x:v>
      </x:c>
      <x:c r="K4783" s="2" t="str">
        <x:v>PARTNER-M252</x:v>
      </x:c>
    </x:row>
    <x:row r="4784" ht="46" customHeight="1">
      <x:c r="A4784" s="2" t="str">
        <x:v>TEN-E57E81EFDBB1</x:v>
      </x:c>
      <x:c r="B4784" s="12" t="str">
        <x:v>Deutsche Bank Group</x:v>
      </x:c>
      <x:c r="C4784" s="12" t="str">
        <x:v>CORP-0668</x:v>
      </x:c>
      <x:c r="D4784" s="12" t="str">
        <x:v>Pune</x:v>
      </x:c>
      <x:c r="E4784" s="12" t="str">
        <x:v>Magarpatta Cyberpark</x:v>
      </x:c>
      <x:c r="F4784" s="12" t="str">
        <x:v>55 inch</x:v>
      </x:c>
      <x:c r="G4784" s="20" t="n">
        <x:v>1</x:v>
      </x:c>
      <x:c r="H4784" s="12" t="str">
        <x:v>Campus/portfolio roster; individual building occupancy unverified</x:v>
      </x:c>
      <x:c r="I4784" s="12" t="str">
        <x:v>Large enterprise</x:v>
      </x:c>
      <x:c r="J4784" s="12" t="str">
        <x:v>Finance &amp; insurance</x:v>
      </x:c>
      <x:c r="K4784" s="2" t="str">
        <x:v>PARTNER-M252</x:v>
      </x:c>
    </x:row>
    <x:row r="4785" ht="46" customHeight="1">
      <x:c r="A4785" s="2" t="str">
        <x:v>TEN-E58C9634BF3A</x:v>
      </x:c>
      <x:c r="B4785" s="12" t="str">
        <x:v>John Deere</x:v>
      </x:c>
      <x:c r="C4785" s="12" t="str">
        <x:v>CORP-0668</x:v>
      </x:c>
      <x:c r="D4785" s="12" t="str">
        <x:v>Pune</x:v>
      </x:c>
      <x:c r="E4785" s="12" t="str">
        <x:v>Magarpatta Cyberpark</x:v>
      </x:c>
      <x:c r="F4785" s="12" t="str">
        <x:v>55 inch</x:v>
      </x:c>
      <x:c r="G4785" s="20" t="n">
        <x:v>1</x:v>
      </x:c>
      <x:c r="H4785" s="12" t="str">
        <x:v>Campus/portfolio roster; individual building occupancy unverified</x:v>
      </x:c>
      <x:c r="I4785" s="12" t="str">
        <x:v>Mixed business audience</x:v>
      </x:c>
      <x:c r="J4785" s="12" t="str">
        <x:v>Engineering &amp; manufacturing</x:v>
      </x:c>
      <x:c r="K4785" s="2" t="str">
        <x:v>PARTNER-M252</x:v>
      </x:c>
    </x:row>
    <x:row r="4786" ht="46" customHeight="1">
      <x:c r="A4786" s="2" t="str">
        <x:v>TEN-E73C14AD497C</x:v>
      </x:c>
      <x:c r="B4786" s="12" t="str">
        <x:v>Sybase</x:v>
      </x:c>
      <x:c r="C4786" s="12" t="str">
        <x:v>CORP-0668</x:v>
      </x:c>
      <x:c r="D4786" s="12" t="str">
        <x:v>Pune</x:v>
      </x:c>
      <x:c r="E4786" s="12" t="str">
        <x:v>Magarpatta Cyberpark</x:v>
      </x:c>
      <x:c r="F4786" s="12" t="str">
        <x:v>55 inch</x:v>
      </x:c>
      <x:c r="G4786" s="20" t="n">
        <x:v>1</x:v>
      </x:c>
      <x:c r="H4786" s="12" t="str">
        <x:v>Campus/portfolio roster; individual building occupancy unverified</x:v>
      </x:c>
      <x:c r="I4786" s="12" t="str">
        <x:v>Large enterprise</x:v>
      </x:c>
      <x:c r="J4786" s="12" t="str">
        <x:v>IT &amp; digital</x:v>
      </x:c>
      <x:c r="K4786" s="2" t="str">
        <x:v>PARTNER-M252</x:v>
      </x:c>
    </x:row>
    <x:row r="4787" ht="46" customHeight="1">
      <x:c r="A4787" s="2" t="str">
        <x:v>TEN-E9992F5DAD60</x:v>
      </x:c>
      <x:c r="B4787" s="12" t="str">
        <x:v>BNY Mellon</x:v>
      </x:c>
      <x:c r="C4787" s="12" t="str">
        <x:v>CORP-0668</x:v>
      </x:c>
      <x:c r="D4787" s="12" t="str">
        <x:v>Pune</x:v>
      </x:c>
      <x:c r="E4787" s="12" t="str">
        <x:v>Magarpatta Cyberpark</x:v>
      </x:c>
      <x:c r="F4787" s="12" t="str">
        <x:v>55 inch</x:v>
      </x:c>
      <x:c r="G4787" s="20" t="n">
        <x:v>1</x:v>
      </x:c>
      <x:c r="H4787" s="12" t="str">
        <x:v>Campus/portfolio roster; individual building occupancy unverified</x:v>
      </x:c>
      <x:c r="I4787" s="12" t="str">
        <x:v>Mixed business audience</x:v>
      </x:c>
      <x:c r="J4787" s="12" t="str">
        <x:v>Finance &amp; insurance</x:v>
      </x:c>
      <x:c r="K4787" s="2" t="str">
        <x:v>PARTNER-M252</x:v>
      </x:c>
    </x:row>
    <x:row r="4788" ht="46" customHeight="1">
      <x:c r="A4788" s="2" t="str">
        <x:v>TEN-EA6BCE5F47CF</x:v>
      </x:c>
      <x:c r="B4788" s="12" t="str">
        <x:v>Dresser Rand</x:v>
      </x:c>
      <x:c r="C4788" s="12" t="str">
        <x:v>CORP-0668</x:v>
      </x:c>
      <x:c r="D4788" s="12" t="str">
        <x:v>Pune</x:v>
      </x:c>
      <x:c r="E4788" s="12" t="str">
        <x:v>Magarpatta Cyberpark</x:v>
      </x:c>
      <x:c r="F4788" s="12" t="str">
        <x:v>55 inch</x:v>
      </x:c>
      <x:c r="G4788" s="20" t="n">
        <x:v>1</x:v>
      </x:c>
      <x:c r="H4788" s="12" t="str">
        <x:v>Campus/portfolio roster; individual building occupancy unverified</x:v>
      </x:c>
      <x:c r="I4788" s="12" t="str">
        <x:v>Mixed business audience</x:v>
      </x:c>
      <x:c r="J4788" s="12" t="str">
        <x:v>Engineering &amp; manufacturing</x:v>
      </x:c>
      <x:c r="K4788" s="2" t="str">
        <x:v>PARTNER-M252</x:v>
      </x:c>
    </x:row>
    <x:row r="4789" ht="46" customHeight="1">
      <x:c r="A4789" s="2" t="str">
        <x:v>TEN-EAF4D7735EC1</x:v>
      </x:c>
      <x:c r="B4789" s="12" t="str">
        <x:v>einfochips</x:v>
      </x:c>
      <x:c r="C4789" s="12" t="str">
        <x:v>CORP-0668</x:v>
      </x:c>
      <x:c r="D4789" s="12" t="str">
        <x:v>Pune</x:v>
      </x:c>
      <x:c r="E4789" s="12" t="str">
        <x:v>Magarpatta Cyberpark</x:v>
      </x:c>
      <x:c r="F4789" s="12" t="str">
        <x:v>55 inch</x:v>
      </x:c>
      <x:c r="G4789" s="20" t="n">
        <x:v>1</x:v>
      </x:c>
      <x:c r="H4789" s="12" t="str">
        <x:v>Campus/portfolio roster; individual building occupancy unverified</x:v>
      </x:c>
      <x:c r="I4789" s="12" t="str">
        <x:v>Large enterprise</x:v>
      </x:c>
      <x:c r="J4789" s="12" t="str">
        <x:v>Engineering &amp; manufacturing</x:v>
      </x:c>
      <x:c r="K4789" s="2" t="str">
        <x:v>PARTNER-M252</x:v>
      </x:c>
    </x:row>
    <x:row r="4790" ht="46" customHeight="1">
      <x:c r="A4790" s="2" t="str">
        <x:v>TEN-ED7BECFECA72</x:v>
      </x:c>
      <x:c r="B4790" s="12" t="str">
        <x:v>Xento</x:v>
      </x:c>
      <x:c r="C4790" s="12" t="str">
        <x:v>CORP-0668</x:v>
      </x:c>
      <x:c r="D4790" s="12" t="str">
        <x:v>Pune</x:v>
      </x:c>
      <x:c r="E4790" s="12" t="str">
        <x:v>Magarpatta Cyberpark</x:v>
      </x:c>
      <x:c r="F4790" s="12" t="str">
        <x:v>55 inch</x:v>
      </x:c>
      <x:c r="G4790" s="20" t="n">
        <x:v>1</x:v>
      </x:c>
      <x:c r="H4790" s="12" t="str">
        <x:v>Campus/portfolio roster; individual building occupancy unverified</x:v>
      </x:c>
      <x:c r="I4790" s="12" t="str">
        <x:v>Small-scale prospects</x:v>
      </x:c>
      <x:c r="J4790" s="12" t="str">
        <x:v>IT &amp; digital</x:v>
      </x:c>
      <x:c r="K4790" s="2" t="str">
        <x:v>PARTNER-M252</x:v>
      </x:c>
    </x:row>
    <x:row r="4791" ht="46" customHeight="1">
      <x:c r="A4791" s="2" t="str">
        <x:v>TEN-F55A85B2F2EB</x:v>
      </x:c>
      <x:c r="B4791" s="12" t="str">
        <x:v>Capgemini</x:v>
      </x:c>
      <x:c r="C4791" s="12" t="str">
        <x:v>CORP-0668</x:v>
      </x:c>
      <x:c r="D4791" s="12" t="str">
        <x:v>Pune</x:v>
      </x:c>
      <x:c r="E4791" s="12" t="str">
        <x:v>Magarpatta Cyberpark</x:v>
      </x:c>
      <x:c r="F4791" s="12" t="str">
        <x:v>55 inch</x:v>
      </x:c>
      <x:c r="G4791" s="20" t="n">
        <x:v>1</x:v>
      </x:c>
      <x:c r="H4791" s="12" t="str">
        <x:v>Campus/portfolio roster; individual building occupancy unverified</x:v>
      </x:c>
      <x:c r="I4791" s="12" t="str">
        <x:v>Large enterprise</x:v>
      </x:c>
      <x:c r="J4791" s="12" t="str">
        <x:v>IT &amp; digital</x:v>
      </x:c>
      <x:c r="K4791" s="2" t="str">
        <x:v>PARTNER-M252</x:v>
      </x:c>
    </x:row>
    <x:row r="4792" ht="46" customHeight="1">
      <x:c r="A4792" s="2" t="str">
        <x:v>TEN-028810317654</x:v>
      </x:c>
      <x:c r="B4792" s="12" t="str">
        <x:v>Hitachi Consulting</x:v>
      </x:c>
      <x:c r="C4792" s="12" t="str">
        <x:v>CORP-0669</x:v>
      </x:c>
      <x:c r="D4792" s="12" t="str">
        <x:v>Pune</x:v>
      </x:c>
      <x:c r="E4792" s="12" t="str">
        <x:v>Magarpatta Cyberpark</x:v>
      </x:c>
      <x:c r="F4792" s="12" t="str">
        <x:v>55 inch</x:v>
      </x:c>
      <x:c r="G4792" s="20" t="n">
        <x:v>1</x:v>
      </x:c>
      <x:c r="H4792" s="12" t="str">
        <x:v>Campus/portfolio roster; individual building occupancy unverified</x:v>
      </x:c>
      <x:c r="I4792" s="12" t="str">
        <x:v>Mixed business audience</x:v>
      </x:c>
      <x:c r="J4792" s="12" t="str">
        <x:v>IT &amp; digital</x:v>
      </x:c>
      <x:c r="K4792" s="2" t="str">
        <x:v>PARTNER-M252</x:v>
      </x:c>
    </x:row>
    <x:row r="4793" ht="46" customHeight="1">
      <x:c r="A4793" s="2" t="str">
        <x:v>TEN-0392C3B9EE62</x:v>
      </x:c>
      <x:c r="B4793" s="12" t="str">
        <x:v>Konecranes</x:v>
      </x:c>
      <x:c r="C4793" s="12" t="str">
        <x:v>CORP-0669</x:v>
      </x:c>
      <x:c r="D4793" s="12" t="str">
        <x:v>Pune</x:v>
      </x:c>
      <x:c r="E4793" s="12" t="str">
        <x:v>Magarpatta Cyberpark</x:v>
      </x:c>
      <x:c r="F4793" s="12" t="str">
        <x:v>55 inch</x:v>
      </x:c>
      <x:c r="G4793" s="20" t="n">
        <x:v>1</x:v>
      </x:c>
      <x:c r="H4793" s="12" t="str">
        <x:v>Campus/portfolio roster; individual building occupancy unverified</x:v>
      </x:c>
      <x:c r="I4793" s="12" t="str">
        <x:v>Mixed business audience</x:v>
      </x:c>
      <x:c r="J4793" s="12" t="str">
        <x:v>Engineering &amp; manufacturing</x:v>
      </x:c>
      <x:c r="K4793" s="2" t="str">
        <x:v>PARTNER-M252</x:v>
      </x:c>
    </x:row>
    <x:row r="4794" ht="46" customHeight="1">
      <x:c r="A4794" s="2" t="str">
        <x:v>TEN-0C4F9F7327E1</x:v>
      </x:c>
      <x:c r="B4794" s="12" t="str">
        <x:v>Ocwen</x:v>
      </x:c>
      <x:c r="C4794" s="12" t="str">
        <x:v>CORP-0669</x:v>
      </x:c>
      <x:c r="D4794" s="12" t="str">
        <x:v>Pune</x:v>
      </x:c>
      <x:c r="E4794" s="12" t="str">
        <x:v>Magarpatta Cyberpark</x:v>
      </x:c>
      <x:c r="F4794" s="12" t="str">
        <x:v>55 inch</x:v>
      </x:c>
      <x:c r="G4794" s="20" t="n">
        <x:v>1</x:v>
      </x:c>
      <x:c r="H4794" s="12" t="str">
        <x:v>Campus/portfolio roster; individual building occupancy unverified</x:v>
      </x:c>
      <x:c r="I4794" s="12" t="str">
        <x:v>Mixed business audience</x:v>
      </x:c>
      <x:c r="J4794" s="12" t="str">
        <x:v>Finance &amp; insurance</x:v>
      </x:c>
      <x:c r="K4794" s="2" t="str">
        <x:v>PARTNER-M252</x:v>
      </x:c>
    </x:row>
    <x:row r="4795" ht="46" customHeight="1">
      <x:c r="A4795" s="2" t="str">
        <x:v>TEN-37A9A152C42F</x:v>
      </x:c>
      <x:c r="B4795" s="12" t="str">
        <x:v>AppDirect</x:v>
      </x:c>
      <x:c r="C4795" s="12" t="str">
        <x:v>CORP-0669</x:v>
      </x:c>
      <x:c r="D4795" s="12" t="str">
        <x:v>Pune</x:v>
      </x:c>
      <x:c r="E4795" s="12" t="str">
        <x:v>Magarpatta Cyberpark</x:v>
      </x:c>
      <x:c r="F4795" s="12" t="str">
        <x:v>55 inch</x:v>
      </x:c>
      <x:c r="G4795" s="20" t="n">
        <x:v>1</x:v>
      </x:c>
      <x:c r="H4795" s="12" t="str">
        <x:v>Campus/portfolio roster; individual building occupancy unverified</x:v>
      </x:c>
      <x:c r="I4795" s="12" t="str">
        <x:v>Mixed business audience</x:v>
      </x:c>
      <x:c r="J4795" s="12" t="str">
        <x:v>IT &amp; digital</x:v>
      </x:c>
      <x:c r="K4795" s="2" t="str">
        <x:v>PARTNER-M252</x:v>
      </x:c>
    </x:row>
    <x:row r="4796" ht="46" customHeight="1">
      <x:c r="A4796" s="2" t="str">
        <x:v>TEN-45D9225952C7</x:v>
      </x:c>
      <x:c r="B4796" s="12" t="str">
        <x:v>TATA elxsi</x:v>
      </x:c>
      <x:c r="C4796" s="12" t="str">
        <x:v>CORP-0669</x:v>
      </x:c>
      <x:c r="D4796" s="12" t="str">
        <x:v>Pune</x:v>
      </x:c>
      <x:c r="E4796" s="12" t="str">
        <x:v>Magarpatta Cyberpark</x:v>
      </x:c>
      <x:c r="F4796" s="12" t="str">
        <x:v>55 inch</x:v>
      </x:c>
      <x:c r="G4796" s="20" t="n">
        <x:v>1</x:v>
      </x:c>
      <x:c r="H4796" s="12" t="str">
        <x:v>Campus/portfolio roster; individual building occupancy unverified</x:v>
      </x:c>
      <x:c r="I4796" s="12" t="str">
        <x:v>Large enterprise</x:v>
      </x:c>
      <x:c r="J4796" s="12" t="str">
        <x:v>IT &amp; digital</x:v>
      </x:c>
      <x:c r="K4796" s="2" t="str">
        <x:v>PARTNER-M252</x:v>
      </x:c>
    </x:row>
    <x:row r="4797" ht="46" customHeight="1">
      <x:c r="A4797" s="2" t="str">
        <x:v>TEN-6CA190D5260C</x:v>
      </x:c>
      <x:c r="B4797" s="12" t="str">
        <x:v>WNS</x:v>
      </x:c>
      <x:c r="C4797" s="12" t="str">
        <x:v>CORP-0669</x:v>
      </x:c>
      <x:c r="D4797" s="12" t="str">
        <x:v>Pune</x:v>
      </x:c>
      <x:c r="E4797" s="12" t="str">
        <x:v>Magarpatta Cyberpark</x:v>
      </x:c>
      <x:c r="F4797" s="12" t="str">
        <x:v>55 inch</x:v>
      </x:c>
      <x:c r="G4797" s="20" t="n">
        <x:v>1</x:v>
      </x:c>
      <x:c r="H4797" s="12" t="str">
        <x:v>Campus/portfolio roster; individual building occupancy unverified</x:v>
      </x:c>
      <x:c r="I4797" s="12" t="str">
        <x:v>Mixed business audience</x:v>
      </x:c>
      <x:c r="J4797" s="12" t="str">
        <x:v>IT &amp; digital</x:v>
      </x:c>
      <x:c r="K4797" s="2" t="str">
        <x:v>PARTNER-M252</x:v>
      </x:c>
    </x:row>
    <x:row r="4798" ht="46" customHeight="1">
      <x:c r="A4798" s="2" t="str">
        <x:v>TEN-6CE8BB6DCAD7</x:v>
      </x:c>
      <x:c r="B4798" s="12" t="str">
        <x:v>Systems Plus</x:v>
      </x:c>
      <x:c r="C4798" s="12" t="str">
        <x:v>CORP-0669</x:v>
      </x:c>
      <x:c r="D4798" s="12" t="str">
        <x:v>Pune</x:v>
      </x:c>
      <x:c r="E4798" s="12" t="str">
        <x:v>Magarpatta Cyberpark</x:v>
      </x:c>
      <x:c r="F4798" s="12" t="str">
        <x:v>55 inch</x:v>
      </x:c>
      <x:c r="G4798" s="20" t="n">
        <x:v>1</x:v>
      </x:c>
      <x:c r="H4798" s="12" t="str">
        <x:v>Campus/portfolio roster; individual building occupancy unverified</x:v>
      </x:c>
      <x:c r="I4798" s="12" t="str">
        <x:v>Small-scale prospects</x:v>
      </x:c>
      <x:c r="J4798" s="12" t="str">
        <x:v>IT &amp; digital</x:v>
      </x:c>
      <x:c r="K4798" s="2" t="str">
        <x:v>PARTNER-M252</x:v>
      </x:c>
    </x:row>
    <x:row r="4799" ht="46" customHeight="1">
      <x:c r="A4799" s="2" t="str">
        <x:v>TEN-7DE355F41161</x:v>
      </x:c>
      <x:c r="B4799" s="12" t="str">
        <x:v>Avaya</x:v>
      </x:c>
      <x:c r="C4799" s="12" t="str">
        <x:v>CORP-0669</x:v>
      </x:c>
      <x:c r="D4799" s="12" t="str">
        <x:v>Pune</x:v>
      </x:c>
      <x:c r="E4799" s="12" t="str">
        <x:v>Magarpatta Cyberpark</x:v>
      </x:c>
      <x:c r="F4799" s="12" t="str">
        <x:v>55 inch</x:v>
      </x:c>
      <x:c r="G4799" s="20" t="n">
        <x:v>1</x:v>
      </x:c>
      <x:c r="H4799" s="12" t="str">
        <x:v>Campus/portfolio roster; individual building occupancy unverified</x:v>
      </x:c>
      <x:c r="I4799" s="12" t="str">
        <x:v>Mixed business audience</x:v>
      </x:c>
      <x:c r="J4799" s="12" t="str">
        <x:v>IT &amp; digital</x:v>
      </x:c>
      <x:c r="K4799" s="2" t="str">
        <x:v>PARTNER-M252</x:v>
      </x:c>
    </x:row>
    <x:row r="4800" ht="46" customHeight="1">
      <x:c r="A4800" s="2" t="str">
        <x:v>TEN-866F70D2D0FF</x:v>
      </x:c>
      <x:c r="B4800" s="12" t="str">
        <x:v>CompuCom</x:v>
      </x:c>
      <x:c r="C4800" s="12" t="str">
        <x:v>CORP-0669</x:v>
      </x:c>
      <x:c r="D4800" s="12" t="str">
        <x:v>Pune</x:v>
      </x:c>
      <x:c r="E4800" s="12" t="str">
        <x:v>Magarpatta Cyberpark</x:v>
      </x:c>
      <x:c r="F4800" s="12" t="str">
        <x:v>55 inch</x:v>
      </x:c>
      <x:c r="G4800" s="20" t="n">
        <x:v>1</x:v>
      </x:c>
      <x:c r="H4800" s="12" t="str">
        <x:v>Campus/portfolio roster; individual building occupancy unverified</x:v>
      </x:c>
      <x:c r="I4800" s="12" t="str">
        <x:v>Mixed business audience</x:v>
      </x:c>
      <x:c r="J4800" s="12" t="str">
        <x:v>IT &amp; digital</x:v>
      </x:c>
      <x:c r="K4800" s="2" t="str">
        <x:v>PARTNER-M252</x:v>
      </x:c>
    </x:row>
    <x:row r="4801" ht="46" customHeight="1">
      <x:c r="A4801" s="2" t="str">
        <x:v>TEN-8DFE5E6CF73B</x:v>
      </x:c>
      <x:c r="B4801" s="12" t="str">
        <x:v>Red Hat</x:v>
      </x:c>
      <x:c r="C4801" s="12" t="str">
        <x:v>CORP-0669</x:v>
      </x:c>
      <x:c r="D4801" s="12" t="str">
        <x:v>Pune</x:v>
      </x:c>
      <x:c r="E4801" s="12" t="str">
        <x:v>Magarpatta Cyberpark</x:v>
      </x:c>
      <x:c r="F4801" s="12" t="str">
        <x:v>55 inch</x:v>
      </x:c>
      <x:c r="G4801" s="20" t="n">
        <x:v>1</x:v>
      </x:c>
      <x:c r="H4801" s="12" t="str">
        <x:v>Campus/portfolio roster; individual building occupancy unverified</x:v>
      </x:c>
      <x:c r="I4801" s="12" t="str">
        <x:v>Large enterprise</x:v>
      </x:c>
      <x:c r="J4801" s="12" t="str">
        <x:v>IT &amp; digital</x:v>
      </x:c>
      <x:c r="K4801" s="2" t="str">
        <x:v>PARTNER-M252</x:v>
      </x:c>
    </x:row>
    <x:row r="4802" ht="46" customHeight="1">
      <x:c r="A4802" s="2" t="str">
        <x:v>TEN-97ED95A681B4</x:v>
      </x:c>
      <x:c r="B4802" s="12" t="str">
        <x:v>Sutherland</x:v>
      </x:c>
      <x:c r="C4802" s="12" t="str">
        <x:v>CORP-0669</x:v>
      </x:c>
      <x:c r="D4802" s="12" t="str">
        <x:v>Pune</x:v>
      </x:c>
      <x:c r="E4802" s="12" t="str">
        <x:v>Magarpatta Cyberpark</x:v>
      </x:c>
      <x:c r="F4802" s="12" t="str">
        <x:v>55 inch</x:v>
      </x:c>
      <x:c r="G4802" s="20" t="n">
        <x:v>1</x:v>
      </x:c>
      <x:c r="H4802" s="12" t="str">
        <x:v>Campus/portfolio roster; individual building occupancy unverified</x:v>
      </x:c>
      <x:c r="I4802" s="12" t="str">
        <x:v>Mixed business audience</x:v>
      </x:c>
      <x:c r="J4802" s="12" t="str">
        <x:v>IT &amp; digital</x:v>
      </x:c>
      <x:c r="K4802" s="2" t="str">
        <x:v>PARTNER-M252</x:v>
      </x:c>
    </x:row>
    <x:row r="4803" ht="46" customHeight="1">
      <x:c r="A4803" s="2" t="str">
        <x:v>TEN-9CF1F6CEECDE</x:v>
      </x:c>
      <x:c r="B4803" s="12" t="str">
        <x:v>Springer Nature</x:v>
      </x:c>
      <x:c r="C4803" s="12" t="str">
        <x:v>CORP-0669</x:v>
      </x:c>
      <x:c r="D4803" s="12" t="str">
        <x:v>Pune</x:v>
      </x:c>
      <x:c r="E4803" s="12" t="str">
        <x:v>Magarpatta Cyberpark</x:v>
      </x:c>
      <x:c r="F4803" s="12" t="str">
        <x:v>55 inch</x:v>
      </x:c>
      <x:c r="G4803" s="20" t="n">
        <x:v>1</x:v>
      </x:c>
      <x:c r="H4803" s="12" t="str">
        <x:v>Campus/portfolio roster; individual building occupancy unverified</x:v>
      </x:c>
      <x:c r="I4803" s="12" t="str">
        <x:v>Mixed business audience</x:v>
      </x:c>
      <x:c r="J4803" s="12" t="str">
        <x:v>Education</x:v>
      </x:c>
      <x:c r="K4803" s="2" t="str">
        <x:v>PARTNER-M252</x:v>
      </x:c>
    </x:row>
    <x:row r="4804" ht="46" customHeight="1">
      <x:c r="A4804" s="2" t="str">
        <x:v>TEN-9CF8C9635F36</x:v>
      </x:c>
      <x:c r="B4804" s="12" t="str">
        <x:v>Teradata</x:v>
      </x:c>
      <x:c r="C4804" s="12" t="str">
        <x:v>CORP-0669</x:v>
      </x:c>
      <x:c r="D4804" s="12" t="str">
        <x:v>Pune</x:v>
      </x:c>
      <x:c r="E4804" s="12" t="str">
        <x:v>Magarpatta Cyberpark</x:v>
      </x:c>
      <x:c r="F4804" s="12" t="str">
        <x:v>55 inch</x:v>
      </x:c>
      <x:c r="G4804" s="20" t="n">
        <x:v>1</x:v>
      </x:c>
      <x:c r="H4804" s="12" t="str">
        <x:v>Campus/portfolio roster; individual building occupancy unverified</x:v>
      </x:c>
      <x:c r="I4804" s="12" t="str">
        <x:v>Mixed business audience</x:v>
      </x:c>
      <x:c r="J4804" s="12" t="str">
        <x:v>IT &amp; digital</x:v>
      </x:c>
      <x:c r="K4804" s="2" t="str">
        <x:v>PARTNER-M252</x:v>
      </x:c>
    </x:row>
    <x:row r="4805" ht="46" customHeight="1">
      <x:c r="A4805" s="2" t="str">
        <x:v>TEN-AAF6BBA77E60</x:v>
      </x:c>
      <x:c r="B4805" s="12" t="str">
        <x:v>Capita</x:v>
      </x:c>
      <x:c r="C4805" s="12" t="str">
        <x:v>CORP-0669</x:v>
      </x:c>
      <x:c r="D4805" s="12" t="str">
        <x:v>Pune</x:v>
      </x:c>
      <x:c r="E4805" s="12" t="str">
        <x:v>Magarpatta Cyberpark</x:v>
      </x:c>
      <x:c r="F4805" s="12" t="str">
        <x:v>55 inch</x:v>
      </x:c>
      <x:c r="G4805" s="20" t="n">
        <x:v>1</x:v>
      </x:c>
      <x:c r="H4805" s="12" t="str">
        <x:v>Campus/portfolio roster; individual building occupancy unverified</x:v>
      </x:c>
      <x:c r="I4805" s="12" t="str">
        <x:v>Mixed business audience</x:v>
      </x:c>
      <x:c r="J4805" s="12" t="str">
        <x:v>IT &amp; digital</x:v>
      </x:c>
      <x:c r="K4805" s="2" t="str">
        <x:v>PARTNER-M252</x:v>
      </x:c>
    </x:row>
    <x:row r="4806" ht="46" customHeight="1">
      <x:c r="A4806" s="2" t="str">
        <x:v>TEN-AB768939C131</x:v>
      </x:c>
      <x:c r="B4806" s="12" t="str">
        <x:v>UPS Logistics</x:v>
      </x:c>
      <x:c r="C4806" s="12" t="str">
        <x:v>CORP-0669</x:v>
      </x:c>
      <x:c r="D4806" s="12" t="str">
        <x:v>Pune</x:v>
      </x:c>
      <x:c r="E4806" s="12" t="str">
        <x:v>Magarpatta Cyberpark</x:v>
      </x:c>
      <x:c r="F4806" s="12" t="str">
        <x:v>55 inch</x:v>
      </x:c>
      <x:c r="G4806" s="20" t="n">
        <x:v>1</x:v>
      </x:c>
      <x:c r="H4806" s="12" t="str">
        <x:v>Campus/portfolio roster; individual building occupancy unverified</x:v>
      </x:c>
      <x:c r="I4806" s="12" t="str">
        <x:v>Mixed business audience</x:v>
      </x:c>
      <x:c r="J4806" s="12" t="str">
        <x:v>Trade, consumer &amp; logistics</x:v>
      </x:c>
      <x:c r="K4806" s="2" t="str">
        <x:v>PARTNER-M252</x:v>
      </x:c>
    </x:row>
    <x:row r="4807" ht="46" customHeight="1">
      <x:c r="A4807" s="2" t="str">
        <x:v>TEN-ACFE8450840B</x:v>
      </x:c>
      <x:c r="B4807" s="12" t="str">
        <x:v>HCL</x:v>
      </x:c>
      <x:c r="C4807" s="12" t="str">
        <x:v>CORP-0669</x:v>
      </x:c>
      <x:c r="D4807" s="12" t="str">
        <x:v>Pune</x:v>
      </x:c>
      <x:c r="E4807" s="12" t="str">
        <x:v>Magarpatta Cyberpark</x:v>
      </x:c>
      <x:c r="F4807" s="12" t="str">
        <x:v>55 inch</x:v>
      </x:c>
      <x:c r="G4807" s="20" t="n">
        <x:v>1</x:v>
      </x:c>
      <x:c r="H4807" s="12" t="str">
        <x:v>Campus/portfolio roster; individual building occupancy unverified</x:v>
      </x:c>
      <x:c r="I4807" s="12" t="str">
        <x:v>Large enterprise</x:v>
      </x:c>
      <x:c r="J4807" s="12" t="str">
        <x:v>IT &amp; digital</x:v>
      </x:c>
      <x:c r="K4807" s="2" t="str">
        <x:v>PARTNER-M252</x:v>
      </x:c>
    </x:row>
    <x:row r="4808" ht="46" customHeight="1">
      <x:c r="A4808" s="2" t="str">
        <x:v>TEN-B2036C6D16F6</x:v>
      </x:c>
      <x:c r="B4808" s="12" t="str">
        <x:v>Principal Global Services</x:v>
      </x:c>
      <x:c r="C4808" s="12" t="str">
        <x:v>CORP-0669</x:v>
      </x:c>
      <x:c r="D4808" s="12" t="str">
        <x:v>Pune</x:v>
      </x:c>
      <x:c r="E4808" s="12" t="str">
        <x:v>Magarpatta Cyberpark</x:v>
      </x:c>
      <x:c r="F4808" s="12" t="str">
        <x:v>55 inch</x:v>
      </x:c>
      <x:c r="G4808" s="20" t="n">
        <x:v>1</x:v>
      </x:c>
      <x:c r="H4808" s="12" t="str">
        <x:v>Campus/portfolio roster; individual building occupancy unverified</x:v>
      </x:c>
      <x:c r="I4808" s="12" t="str">
        <x:v>Mixed business audience</x:v>
      </x:c>
      <x:c r="J4808" s="12" t="str">
        <x:v>Finance &amp; insurance</x:v>
      </x:c>
      <x:c r="K4808" s="2" t="str">
        <x:v>PARTNER-M252</x:v>
      </x:c>
    </x:row>
    <x:row r="4809" ht="46" customHeight="1">
      <x:c r="A4809" s="2" t="str">
        <x:v>TEN-B5F5468E9428</x:v>
      </x:c>
      <x:c r="B4809" s="12" t="str">
        <x:v>Amdocs</x:v>
      </x:c>
      <x:c r="C4809" s="12" t="str">
        <x:v>CORP-0669</x:v>
      </x:c>
      <x:c r="D4809" s="12" t="str">
        <x:v>Pune</x:v>
      </x:c>
      <x:c r="E4809" s="12" t="str">
        <x:v>Magarpatta Cyberpark</x:v>
      </x:c>
      <x:c r="F4809" s="12" t="str">
        <x:v>55 inch</x:v>
      </x:c>
      <x:c r="G4809" s="20" t="n">
        <x:v>1</x:v>
      </x:c>
      <x:c r="H4809" s="12" t="str">
        <x:v>Campus/portfolio roster; individual building occupancy unverified</x:v>
      </x:c>
      <x:c r="I4809" s="12" t="str">
        <x:v>Mixed business audience</x:v>
      </x:c>
      <x:c r="J4809" s="12" t="str">
        <x:v>IT &amp; digital</x:v>
      </x:c>
      <x:c r="K4809" s="2" t="str">
        <x:v>PARTNER-M252</x:v>
      </x:c>
    </x:row>
    <x:row r="4810" ht="46" customHeight="1">
      <x:c r="A4810" s="2" t="str">
        <x:v>TEN-B7BEA343B08C</x:v>
      </x:c>
      <x:c r="B4810" s="12" t="str">
        <x:v>EXL</x:v>
      </x:c>
      <x:c r="C4810" s="12" t="str">
        <x:v>CORP-0669</x:v>
      </x:c>
      <x:c r="D4810" s="12" t="str">
        <x:v>Pune</x:v>
      </x:c>
      <x:c r="E4810" s="12" t="str">
        <x:v>Magarpatta Cyberpark</x:v>
      </x:c>
      <x:c r="F4810" s="12" t="str">
        <x:v>55 inch</x:v>
      </x:c>
      <x:c r="G4810" s="20" t="n">
        <x:v>1</x:v>
      </x:c>
      <x:c r="H4810" s="12" t="str">
        <x:v>Campus/portfolio roster; individual building occupancy unverified</x:v>
      </x:c>
      <x:c r="I4810" s="12" t="str">
        <x:v>Mixed business audience</x:v>
      </x:c>
      <x:c r="J4810" s="12" t="str">
        <x:v>IT &amp; digital</x:v>
      </x:c>
      <x:c r="K4810" s="2" t="str">
        <x:v>PARTNER-M252</x:v>
      </x:c>
    </x:row>
    <x:row r="4811" ht="46" customHeight="1">
      <x:c r="A4811" s="2" t="str">
        <x:v>TEN-BD31900BEB43</x:v>
      </x:c>
      <x:c r="B4811" s="12" t="str">
        <x:v>Reflexis</x:v>
      </x:c>
      <x:c r="C4811" s="12" t="str">
        <x:v>CORP-0669</x:v>
      </x:c>
      <x:c r="D4811" s="12" t="str">
        <x:v>Pune</x:v>
      </x:c>
      <x:c r="E4811" s="12" t="str">
        <x:v>Magarpatta Cyberpark</x:v>
      </x:c>
      <x:c r="F4811" s="12" t="str">
        <x:v>55 inch</x:v>
      </x:c>
      <x:c r="G4811" s="20" t="n">
        <x:v>1</x:v>
      </x:c>
      <x:c r="H4811" s="12" t="str">
        <x:v>Campus/portfolio roster; individual building occupancy unverified</x:v>
      </x:c>
      <x:c r="I4811" s="12" t="str">
        <x:v>Mixed business audience</x:v>
      </x:c>
      <x:c r="J4811" s="12" t="str">
        <x:v>IT &amp; digital</x:v>
      </x:c>
      <x:c r="K4811" s="2" t="str">
        <x:v>PARTNER-M252</x:v>
      </x:c>
    </x:row>
    <x:row r="4812" ht="46" customHeight="1">
      <x:c r="A4812" s="2" t="str">
        <x:v>TEN-BE37BBF098BB</x:v>
      </x:c>
      <x:c r="B4812" s="12" t="str">
        <x:v>Fico</x:v>
      </x:c>
      <x:c r="C4812" s="12" t="str">
        <x:v>CORP-0669</x:v>
      </x:c>
      <x:c r="D4812" s="12" t="str">
        <x:v>Pune</x:v>
      </x:c>
      <x:c r="E4812" s="12" t="str">
        <x:v>Magarpatta Cyberpark</x:v>
      </x:c>
      <x:c r="F4812" s="12" t="str">
        <x:v>55 inch</x:v>
      </x:c>
      <x:c r="G4812" s="20" t="n">
        <x:v>1</x:v>
      </x:c>
      <x:c r="H4812" s="12" t="str">
        <x:v>Campus/portfolio roster; individual building occupancy unverified</x:v>
      </x:c>
      <x:c r="I4812" s="12" t="str">
        <x:v>Mixed business audience</x:v>
      </x:c>
      <x:c r="J4812" s="12" t="str">
        <x:v>IT &amp; digital</x:v>
      </x:c>
      <x:c r="K4812" s="2" t="str">
        <x:v>PARTNER-M252</x:v>
      </x:c>
    </x:row>
    <x:row r="4813" ht="46" customHeight="1">
      <x:c r="A4813" s="2" t="str">
        <x:v>TEN-C63AC00C4D11</x:v>
      </x:c>
      <x:c r="B4813" s="12" t="str">
        <x:v>Mphasis</x:v>
      </x:c>
      <x:c r="C4813" s="12" t="str">
        <x:v>CORP-0669</x:v>
      </x:c>
      <x:c r="D4813" s="12" t="str">
        <x:v>Pune</x:v>
      </x:c>
      <x:c r="E4813" s="12" t="str">
        <x:v>Magarpatta Cyberpark</x:v>
      </x:c>
      <x:c r="F4813" s="12" t="str">
        <x:v>55 inch</x:v>
      </x:c>
      <x:c r="G4813" s="20" t="n">
        <x:v>1</x:v>
      </x:c>
      <x:c r="H4813" s="12" t="str">
        <x:v>Campus/portfolio roster; individual building occupancy unverified</x:v>
      </x:c>
      <x:c r="I4813" s="12" t="str">
        <x:v>Large enterprise</x:v>
      </x:c>
      <x:c r="J4813" s="12" t="str">
        <x:v>IT &amp; digital</x:v>
      </x:c>
      <x:c r="K4813" s="2" t="str">
        <x:v>PARTNER-M252</x:v>
      </x:c>
    </x:row>
    <x:row r="4814" ht="46" customHeight="1">
      <x:c r="A4814" s="2" t="str">
        <x:v>TEN-C7CD4D8C8E32</x:v>
      </x:c>
      <x:c r="B4814" s="12" t="str">
        <x:v>Varian</x:v>
      </x:c>
      <x:c r="C4814" s="12" t="str">
        <x:v>CORP-0669</x:v>
      </x:c>
      <x:c r="D4814" s="12" t="str">
        <x:v>Pune</x:v>
      </x:c>
      <x:c r="E4814" s="12" t="str">
        <x:v>Magarpatta Cyberpark</x:v>
      </x:c>
      <x:c r="F4814" s="12" t="str">
        <x:v>55 inch</x:v>
      </x:c>
      <x:c r="G4814" s="20" t="n">
        <x:v>1</x:v>
      </x:c>
      <x:c r="H4814" s="12" t="str">
        <x:v>Campus/portfolio roster; individual building occupancy unverified</x:v>
      </x:c>
      <x:c r="I4814" s="12" t="str">
        <x:v>Mixed business audience</x:v>
      </x:c>
      <x:c r="J4814" s="12" t="str">
        <x:v>Healthcare &amp; life sciences</x:v>
      </x:c>
      <x:c r="K4814" s="2" t="str">
        <x:v>PARTNER-M252</x:v>
      </x:c>
    </x:row>
    <x:row r="4815" ht="46" customHeight="1">
      <x:c r="A4815" s="2" t="str">
        <x:v>TEN-E57E81EFDBB1</x:v>
      </x:c>
      <x:c r="B4815" s="12" t="str">
        <x:v>Deutsche Bank Group</x:v>
      </x:c>
      <x:c r="C4815" s="12" t="str">
        <x:v>CORP-0669</x:v>
      </x:c>
      <x:c r="D4815" s="12" t="str">
        <x:v>Pune</x:v>
      </x:c>
      <x:c r="E4815" s="12" t="str">
        <x:v>Magarpatta Cyberpark</x:v>
      </x:c>
      <x:c r="F4815" s="12" t="str">
        <x:v>55 inch</x:v>
      </x:c>
      <x:c r="G4815" s="20" t="n">
        <x:v>1</x:v>
      </x:c>
      <x:c r="H4815" s="12" t="str">
        <x:v>Campus/portfolio roster; individual building occupancy unverified</x:v>
      </x:c>
      <x:c r="I4815" s="12" t="str">
        <x:v>Large enterprise</x:v>
      </x:c>
      <x:c r="J4815" s="12" t="str">
        <x:v>Finance &amp; insurance</x:v>
      </x:c>
      <x:c r="K4815" s="2" t="str">
        <x:v>PARTNER-M252</x:v>
      </x:c>
    </x:row>
    <x:row r="4816" ht="46" customHeight="1">
      <x:c r="A4816" s="2" t="str">
        <x:v>TEN-E58C9634BF3A</x:v>
      </x:c>
      <x:c r="B4816" s="12" t="str">
        <x:v>John Deere</x:v>
      </x:c>
      <x:c r="C4816" s="12" t="str">
        <x:v>CORP-0669</x:v>
      </x:c>
      <x:c r="D4816" s="12" t="str">
        <x:v>Pune</x:v>
      </x:c>
      <x:c r="E4816" s="12" t="str">
        <x:v>Magarpatta Cyberpark</x:v>
      </x:c>
      <x:c r="F4816" s="12" t="str">
        <x:v>55 inch</x:v>
      </x:c>
      <x:c r="G4816" s="20" t="n">
        <x:v>1</x:v>
      </x:c>
      <x:c r="H4816" s="12" t="str">
        <x:v>Campus/portfolio roster; individual building occupancy unverified</x:v>
      </x:c>
      <x:c r="I4816" s="12" t="str">
        <x:v>Mixed business audience</x:v>
      </x:c>
      <x:c r="J4816" s="12" t="str">
        <x:v>Engineering &amp; manufacturing</x:v>
      </x:c>
      <x:c r="K4816" s="2" t="str">
        <x:v>PARTNER-M252</x:v>
      </x:c>
    </x:row>
    <x:row r="4817" ht="46" customHeight="1">
      <x:c r="A4817" s="2" t="str">
        <x:v>TEN-E73C14AD497C</x:v>
      </x:c>
      <x:c r="B4817" s="12" t="str">
        <x:v>Sybase</x:v>
      </x:c>
      <x:c r="C4817" s="12" t="str">
        <x:v>CORP-0669</x:v>
      </x:c>
      <x:c r="D4817" s="12" t="str">
        <x:v>Pune</x:v>
      </x:c>
      <x:c r="E4817" s="12" t="str">
        <x:v>Magarpatta Cyberpark</x:v>
      </x:c>
      <x:c r="F4817" s="12" t="str">
        <x:v>55 inch</x:v>
      </x:c>
      <x:c r="G4817" s="20" t="n">
        <x:v>1</x:v>
      </x:c>
      <x:c r="H4817" s="12" t="str">
        <x:v>Campus/portfolio roster; individual building occupancy unverified</x:v>
      </x:c>
      <x:c r="I4817" s="12" t="str">
        <x:v>Large enterprise</x:v>
      </x:c>
      <x:c r="J4817" s="12" t="str">
        <x:v>IT &amp; digital</x:v>
      </x:c>
      <x:c r="K4817" s="2" t="str">
        <x:v>PARTNER-M252</x:v>
      </x:c>
    </x:row>
    <x:row r="4818" ht="46" customHeight="1">
      <x:c r="A4818" s="2" t="str">
        <x:v>TEN-E9992F5DAD60</x:v>
      </x:c>
      <x:c r="B4818" s="12" t="str">
        <x:v>BNY Mellon</x:v>
      </x:c>
      <x:c r="C4818" s="12" t="str">
        <x:v>CORP-0669</x:v>
      </x:c>
      <x:c r="D4818" s="12" t="str">
        <x:v>Pune</x:v>
      </x:c>
      <x:c r="E4818" s="12" t="str">
        <x:v>Magarpatta Cyberpark</x:v>
      </x:c>
      <x:c r="F4818" s="12" t="str">
        <x:v>55 inch</x:v>
      </x:c>
      <x:c r="G4818" s="20" t="n">
        <x:v>1</x:v>
      </x:c>
      <x:c r="H4818" s="12" t="str">
        <x:v>Campus/portfolio roster; individual building occupancy unverified</x:v>
      </x:c>
      <x:c r="I4818" s="12" t="str">
        <x:v>Mixed business audience</x:v>
      </x:c>
      <x:c r="J4818" s="12" t="str">
        <x:v>Finance &amp; insurance</x:v>
      </x:c>
      <x:c r="K4818" s="2" t="str">
        <x:v>PARTNER-M252</x:v>
      </x:c>
    </x:row>
    <x:row r="4819" ht="46" customHeight="1">
      <x:c r="A4819" s="2" t="str">
        <x:v>TEN-EA6BCE5F47CF</x:v>
      </x:c>
      <x:c r="B4819" s="12" t="str">
        <x:v>Dresser Rand</x:v>
      </x:c>
      <x:c r="C4819" s="12" t="str">
        <x:v>CORP-0669</x:v>
      </x:c>
      <x:c r="D4819" s="12" t="str">
        <x:v>Pune</x:v>
      </x:c>
      <x:c r="E4819" s="12" t="str">
        <x:v>Magarpatta Cyberpark</x:v>
      </x:c>
      <x:c r="F4819" s="12" t="str">
        <x:v>55 inch</x:v>
      </x:c>
      <x:c r="G4819" s="20" t="n">
        <x:v>1</x:v>
      </x:c>
      <x:c r="H4819" s="12" t="str">
        <x:v>Campus/portfolio roster; individual building occupancy unverified</x:v>
      </x:c>
      <x:c r="I4819" s="12" t="str">
        <x:v>Mixed business audience</x:v>
      </x:c>
      <x:c r="J4819" s="12" t="str">
        <x:v>Engineering &amp; manufacturing</x:v>
      </x:c>
      <x:c r="K4819" s="2" t="str">
        <x:v>PARTNER-M252</x:v>
      </x:c>
    </x:row>
    <x:row r="4820" ht="46" customHeight="1">
      <x:c r="A4820" s="2" t="str">
        <x:v>TEN-EAF4D7735EC1</x:v>
      </x:c>
      <x:c r="B4820" s="12" t="str">
        <x:v>einfochips</x:v>
      </x:c>
      <x:c r="C4820" s="12" t="str">
        <x:v>CORP-0669</x:v>
      </x:c>
      <x:c r="D4820" s="12" t="str">
        <x:v>Pune</x:v>
      </x:c>
      <x:c r="E4820" s="12" t="str">
        <x:v>Magarpatta Cyberpark</x:v>
      </x:c>
      <x:c r="F4820" s="12" t="str">
        <x:v>55 inch</x:v>
      </x:c>
      <x:c r="G4820" s="20" t="n">
        <x:v>1</x:v>
      </x:c>
      <x:c r="H4820" s="12" t="str">
        <x:v>Campus/portfolio roster; individual building occupancy unverified</x:v>
      </x:c>
      <x:c r="I4820" s="12" t="str">
        <x:v>Large enterprise</x:v>
      </x:c>
      <x:c r="J4820" s="12" t="str">
        <x:v>Engineering &amp; manufacturing</x:v>
      </x:c>
      <x:c r="K4820" s="2" t="str">
        <x:v>PARTNER-M252</x:v>
      </x:c>
    </x:row>
    <x:row r="4821" ht="46" customHeight="1">
      <x:c r="A4821" s="2" t="str">
        <x:v>TEN-ED7BECFECA72</x:v>
      </x:c>
      <x:c r="B4821" s="12" t="str">
        <x:v>Xento</x:v>
      </x:c>
      <x:c r="C4821" s="12" t="str">
        <x:v>CORP-0669</x:v>
      </x:c>
      <x:c r="D4821" s="12" t="str">
        <x:v>Pune</x:v>
      </x:c>
      <x:c r="E4821" s="12" t="str">
        <x:v>Magarpatta Cyberpark</x:v>
      </x:c>
      <x:c r="F4821" s="12" t="str">
        <x:v>55 inch</x:v>
      </x:c>
      <x:c r="G4821" s="20" t="n">
        <x:v>1</x:v>
      </x:c>
      <x:c r="H4821" s="12" t="str">
        <x:v>Campus/portfolio roster; individual building occupancy unverified</x:v>
      </x:c>
      <x:c r="I4821" s="12" t="str">
        <x:v>Small-scale prospects</x:v>
      </x:c>
      <x:c r="J4821" s="12" t="str">
        <x:v>IT &amp; digital</x:v>
      </x:c>
      <x:c r="K4821" s="2" t="str">
        <x:v>PARTNER-M252</x:v>
      </x:c>
    </x:row>
    <x:row r="4822" ht="46" customHeight="1">
      <x:c r="A4822" s="2" t="str">
        <x:v>TEN-F55A85B2F2EB</x:v>
      </x:c>
      <x:c r="B4822" s="12" t="str">
        <x:v>Capgemini</x:v>
      </x:c>
      <x:c r="C4822" s="12" t="str">
        <x:v>CORP-0669</x:v>
      </x:c>
      <x:c r="D4822" s="12" t="str">
        <x:v>Pune</x:v>
      </x:c>
      <x:c r="E4822" s="12" t="str">
        <x:v>Magarpatta Cyberpark</x:v>
      </x:c>
      <x:c r="F4822" s="12" t="str">
        <x:v>55 inch</x:v>
      </x:c>
      <x:c r="G4822" s="20" t="n">
        <x:v>1</x:v>
      </x:c>
      <x:c r="H4822" s="12" t="str">
        <x:v>Campus/portfolio roster; individual building occupancy unverified</x:v>
      </x:c>
      <x:c r="I4822" s="12" t="str">
        <x:v>Large enterprise</x:v>
      </x:c>
      <x:c r="J4822" s="12" t="str">
        <x:v>IT &amp; digital</x:v>
      </x:c>
      <x:c r="K4822" s="2" t="str">
        <x:v>PARTNER-M252</x:v>
      </x:c>
    </x:row>
    <x:row r="4823" ht="46" customHeight="1">
      <x:c r="A4823" s="2" t="str">
        <x:v>TEN-028810317654</x:v>
      </x:c>
      <x:c r="B4823" s="12" t="str">
        <x:v>Hitachi Consulting</x:v>
      </x:c>
      <x:c r="C4823" s="12" t="str">
        <x:v>CORP-0670</x:v>
      </x:c>
      <x:c r="D4823" s="12" t="str">
        <x:v>Pune</x:v>
      </x:c>
      <x:c r="E4823" s="12" t="str">
        <x:v>Magarpatta Cyberpark</x:v>
      </x:c>
      <x:c r="F4823" s="12" t="str">
        <x:v>55 inch</x:v>
      </x:c>
      <x:c r="G4823" s="20" t="n">
        <x:v>1</x:v>
      </x:c>
      <x:c r="H4823" s="12" t="str">
        <x:v>Campus/portfolio roster; individual building occupancy unverified</x:v>
      </x:c>
      <x:c r="I4823" s="12" t="str">
        <x:v>Mixed business audience</x:v>
      </x:c>
      <x:c r="J4823" s="12" t="str">
        <x:v>IT &amp; digital</x:v>
      </x:c>
      <x:c r="K4823" s="2" t="str">
        <x:v>PARTNER-M252</x:v>
      </x:c>
    </x:row>
    <x:row r="4824" ht="46" customHeight="1">
      <x:c r="A4824" s="2" t="str">
        <x:v>TEN-0392C3B9EE62</x:v>
      </x:c>
      <x:c r="B4824" s="12" t="str">
        <x:v>Konecranes</x:v>
      </x:c>
      <x:c r="C4824" s="12" t="str">
        <x:v>CORP-0670</x:v>
      </x:c>
      <x:c r="D4824" s="12" t="str">
        <x:v>Pune</x:v>
      </x:c>
      <x:c r="E4824" s="12" t="str">
        <x:v>Magarpatta Cyberpark</x:v>
      </x:c>
      <x:c r="F4824" s="12" t="str">
        <x:v>55 inch</x:v>
      </x:c>
      <x:c r="G4824" s="20" t="n">
        <x:v>1</x:v>
      </x:c>
      <x:c r="H4824" s="12" t="str">
        <x:v>Campus/portfolio roster; individual building occupancy unverified</x:v>
      </x:c>
      <x:c r="I4824" s="12" t="str">
        <x:v>Mixed business audience</x:v>
      </x:c>
      <x:c r="J4824" s="12" t="str">
        <x:v>Engineering &amp; manufacturing</x:v>
      </x:c>
      <x:c r="K4824" s="2" t="str">
        <x:v>PARTNER-M252</x:v>
      </x:c>
    </x:row>
    <x:row r="4825" ht="46" customHeight="1">
      <x:c r="A4825" s="2" t="str">
        <x:v>TEN-0C4F9F7327E1</x:v>
      </x:c>
      <x:c r="B4825" s="12" t="str">
        <x:v>Ocwen</x:v>
      </x:c>
      <x:c r="C4825" s="12" t="str">
        <x:v>CORP-0670</x:v>
      </x:c>
      <x:c r="D4825" s="12" t="str">
        <x:v>Pune</x:v>
      </x:c>
      <x:c r="E4825" s="12" t="str">
        <x:v>Magarpatta Cyberpark</x:v>
      </x:c>
      <x:c r="F4825" s="12" t="str">
        <x:v>55 inch</x:v>
      </x:c>
      <x:c r="G4825" s="20" t="n">
        <x:v>1</x:v>
      </x:c>
      <x:c r="H4825" s="12" t="str">
        <x:v>Campus/portfolio roster; individual building occupancy unverified</x:v>
      </x:c>
      <x:c r="I4825" s="12" t="str">
        <x:v>Mixed business audience</x:v>
      </x:c>
      <x:c r="J4825" s="12" t="str">
        <x:v>Finance &amp; insurance</x:v>
      </x:c>
      <x:c r="K4825" s="2" t="str">
        <x:v>PARTNER-M252</x:v>
      </x:c>
    </x:row>
    <x:row r="4826" ht="46" customHeight="1">
      <x:c r="A4826" s="2" t="str">
        <x:v>TEN-37A9A152C42F</x:v>
      </x:c>
      <x:c r="B4826" s="12" t="str">
        <x:v>AppDirect</x:v>
      </x:c>
      <x:c r="C4826" s="12" t="str">
        <x:v>CORP-0670</x:v>
      </x:c>
      <x:c r="D4826" s="12" t="str">
        <x:v>Pune</x:v>
      </x:c>
      <x:c r="E4826" s="12" t="str">
        <x:v>Magarpatta Cyberpark</x:v>
      </x:c>
      <x:c r="F4826" s="12" t="str">
        <x:v>55 inch</x:v>
      </x:c>
      <x:c r="G4826" s="20" t="n">
        <x:v>1</x:v>
      </x:c>
      <x:c r="H4826" s="12" t="str">
        <x:v>Campus/portfolio roster; individual building occupancy unverified</x:v>
      </x:c>
      <x:c r="I4826" s="12" t="str">
        <x:v>Mixed business audience</x:v>
      </x:c>
      <x:c r="J4826" s="12" t="str">
        <x:v>IT &amp; digital</x:v>
      </x:c>
      <x:c r="K4826" s="2" t="str">
        <x:v>PARTNER-M252</x:v>
      </x:c>
    </x:row>
    <x:row r="4827" ht="46" customHeight="1">
      <x:c r="A4827" s="2" t="str">
        <x:v>TEN-45D9225952C7</x:v>
      </x:c>
      <x:c r="B4827" s="12" t="str">
        <x:v>TATA elxsi</x:v>
      </x:c>
      <x:c r="C4827" s="12" t="str">
        <x:v>CORP-0670</x:v>
      </x:c>
      <x:c r="D4827" s="12" t="str">
        <x:v>Pune</x:v>
      </x:c>
      <x:c r="E4827" s="12" t="str">
        <x:v>Magarpatta Cyberpark</x:v>
      </x:c>
      <x:c r="F4827" s="12" t="str">
        <x:v>55 inch</x:v>
      </x:c>
      <x:c r="G4827" s="20" t="n">
        <x:v>1</x:v>
      </x:c>
      <x:c r="H4827" s="12" t="str">
        <x:v>Campus/portfolio roster; individual building occupancy unverified</x:v>
      </x:c>
      <x:c r="I4827" s="12" t="str">
        <x:v>Large enterprise</x:v>
      </x:c>
      <x:c r="J4827" s="12" t="str">
        <x:v>IT &amp; digital</x:v>
      </x:c>
      <x:c r="K4827" s="2" t="str">
        <x:v>PARTNER-M252</x:v>
      </x:c>
    </x:row>
    <x:row r="4828" ht="46" customHeight="1">
      <x:c r="A4828" s="2" t="str">
        <x:v>TEN-6CA190D5260C</x:v>
      </x:c>
      <x:c r="B4828" s="12" t="str">
        <x:v>WNS</x:v>
      </x:c>
      <x:c r="C4828" s="12" t="str">
        <x:v>CORP-0670</x:v>
      </x:c>
      <x:c r="D4828" s="12" t="str">
        <x:v>Pune</x:v>
      </x:c>
      <x:c r="E4828" s="12" t="str">
        <x:v>Magarpatta Cyberpark</x:v>
      </x:c>
      <x:c r="F4828" s="12" t="str">
        <x:v>55 inch</x:v>
      </x:c>
      <x:c r="G4828" s="20" t="n">
        <x:v>1</x:v>
      </x:c>
      <x:c r="H4828" s="12" t="str">
        <x:v>Campus/portfolio roster; individual building occupancy unverified</x:v>
      </x:c>
      <x:c r="I4828" s="12" t="str">
        <x:v>Mixed business audience</x:v>
      </x:c>
      <x:c r="J4828" s="12" t="str">
        <x:v>IT &amp; digital</x:v>
      </x:c>
      <x:c r="K4828" s="2" t="str">
        <x:v>PARTNER-M252</x:v>
      </x:c>
    </x:row>
    <x:row r="4829" ht="46" customHeight="1">
      <x:c r="A4829" s="2" t="str">
        <x:v>TEN-6CE8BB6DCAD7</x:v>
      </x:c>
      <x:c r="B4829" s="12" t="str">
        <x:v>Systems Plus</x:v>
      </x:c>
      <x:c r="C4829" s="12" t="str">
        <x:v>CORP-0670</x:v>
      </x:c>
      <x:c r="D4829" s="12" t="str">
        <x:v>Pune</x:v>
      </x:c>
      <x:c r="E4829" s="12" t="str">
        <x:v>Magarpatta Cyberpark</x:v>
      </x:c>
      <x:c r="F4829" s="12" t="str">
        <x:v>55 inch</x:v>
      </x:c>
      <x:c r="G4829" s="20" t="n">
        <x:v>1</x:v>
      </x:c>
      <x:c r="H4829" s="12" t="str">
        <x:v>Campus/portfolio roster; individual building occupancy unverified</x:v>
      </x:c>
      <x:c r="I4829" s="12" t="str">
        <x:v>Small-scale prospects</x:v>
      </x:c>
      <x:c r="J4829" s="12" t="str">
        <x:v>IT &amp; digital</x:v>
      </x:c>
      <x:c r="K4829" s="2" t="str">
        <x:v>PARTNER-M252</x:v>
      </x:c>
    </x:row>
    <x:row r="4830" ht="46" customHeight="1">
      <x:c r="A4830" s="2" t="str">
        <x:v>TEN-7DE355F41161</x:v>
      </x:c>
      <x:c r="B4830" s="12" t="str">
        <x:v>Avaya</x:v>
      </x:c>
      <x:c r="C4830" s="12" t="str">
        <x:v>CORP-0670</x:v>
      </x:c>
      <x:c r="D4830" s="12" t="str">
        <x:v>Pune</x:v>
      </x:c>
      <x:c r="E4830" s="12" t="str">
        <x:v>Magarpatta Cyberpark</x:v>
      </x:c>
      <x:c r="F4830" s="12" t="str">
        <x:v>55 inch</x:v>
      </x:c>
      <x:c r="G4830" s="20" t="n">
        <x:v>1</x:v>
      </x:c>
      <x:c r="H4830" s="12" t="str">
        <x:v>Campus/portfolio roster; individual building occupancy unverified</x:v>
      </x:c>
      <x:c r="I4830" s="12" t="str">
        <x:v>Mixed business audience</x:v>
      </x:c>
      <x:c r="J4830" s="12" t="str">
        <x:v>IT &amp; digital</x:v>
      </x:c>
      <x:c r="K4830" s="2" t="str">
        <x:v>PARTNER-M252</x:v>
      </x:c>
    </x:row>
    <x:row r="4831" ht="46" customHeight="1">
      <x:c r="A4831" s="2" t="str">
        <x:v>TEN-866F70D2D0FF</x:v>
      </x:c>
      <x:c r="B4831" s="12" t="str">
        <x:v>CompuCom</x:v>
      </x:c>
      <x:c r="C4831" s="12" t="str">
        <x:v>CORP-0670</x:v>
      </x:c>
      <x:c r="D4831" s="12" t="str">
        <x:v>Pune</x:v>
      </x:c>
      <x:c r="E4831" s="12" t="str">
        <x:v>Magarpatta Cyberpark</x:v>
      </x:c>
      <x:c r="F4831" s="12" t="str">
        <x:v>55 inch</x:v>
      </x:c>
      <x:c r="G4831" s="20" t="n">
        <x:v>1</x:v>
      </x:c>
      <x:c r="H4831" s="12" t="str">
        <x:v>Campus/portfolio roster; individual building occupancy unverified</x:v>
      </x:c>
      <x:c r="I4831" s="12" t="str">
        <x:v>Mixed business audience</x:v>
      </x:c>
      <x:c r="J4831" s="12" t="str">
        <x:v>IT &amp; digital</x:v>
      </x:c>
      <x:c r="K4831" s="2" t="str">
        <x:v>PARTNER-M252</x:v>
      </x:c>
    </x:row>
    <x:row r="4832" ht="46" customHeight="1">
      <x:c r="A4832" s="2" t="str">
        <x:v>TEN-8DFE5E6CF73B</x:v>
      </x:c>
      <x:c r="B4832" s="12" t="str">
        <x:v>Red Hat</x:v>
      </x:c>
      <x:c r="C4832" s="12" t="str">
        <x:v>CORP-0670</x:v>
      </x:c>
      <x:c r="D4832" s="12" t="str">
        <x:v>Pune</x:v>
      </x:c>
      <x:c r="E4832" s="12" t="str">
        <x:v>Magarpatta Cyberpark</x:v>
      </x:c>
      <x:c r="F4832" s="12" t="str">
        <x:v>55 inch</x:v>
      </x:c>
      <x:c r="G4832" s="20" t="n">
        <x:v>1</x:v>
      </x:c>
      <x:c r="H4832" s="12" t="str">
        <x:v>Campus/portfolio roster; individual building occupancy unverified</x:v>
      </x:c>
      <x:c r="I4832" s="12" t="str">
        <x:v>Large enterprise</x:v>
      </x:c>
      <x:c r="J4832" s="12" t="str">
        <x:v>IT &amp; digital</x:v>
      </x:c>
      <x:c r="K4832" s="2" t="str">
        <x:v>PARTNER-M252</x:v>
      </x:c>
    </x:row>
    <x:row r="4833" ht="46" customHeight="1">
      <x:c r="A4833" s="2" t="str">
        <x:v>TEN-97ED95A681B4</x:v>
      </x:c>
      <x:c r="B4833" s="12" t="str">
        <x:v>Sutherland</x:v>
      </x:c>
      <x:c r="C4833" s="12" t="str">
        <x:v>CORP-0670</x:v>
      </x:c>
      <x:c r="D4833" s="12" t="str">
        <x:v>Pune</x:v>
      </x:c>
      <x:c r="E4833" s="12" t="str">
        <x:v>Magarpatta Cyberpark</x:v>
      </x:c>
      <x:c r="F4833" s="12" t="str">
        <x:v>55 inch</x:v>
      </x:c>
      <x:c r="G4833" s="20" t="n">
        <x:v>1</x:v>
      </x:c>
      <x:c r="H4833" s="12" t="str">
        <x:v>Campus/portfolio roster; individual building occupancy unverified</x:v>
      </x:c>
      <x:c r="I4833" s="12" t="str">
        <x:v>Mixed business audience</x:v>
      </x:c>
      <x:c r="J4833" s="12" t="str">
        <x:v>IT &amp; digital</x:v>
      </x:c>
      <x:c r="K4833" s="2" t="str">
        <x:v>PARTNER-M252</x:v>
      </x:c>
    </x:row>
    <x:row r="4834" ht="46" customHeight="1">
      <x:c r="A4834" s="2" t="str">
        <x:v>TEN-9CF1F6CEECDE</x:v>
      </x:c>
      <x:c r="B4834" s="12" t="str">
        <x:v>Springer Nature</x:v>
      </x:c>
      <x:c r="C4834" s="12" t="str">
        <x:v>CORP-0670</x:v>
      </x:c>
      <x:c r="D4834" s="12" t="str">
        <x:v>Pune</x:v>
      </x:c>
      <x:c r="E4834" s="12" t="str">
        <x:v>Magarpatta Cyberpark</x:v>
      </x:c>
      <x:c r="F4834" s="12" t="str">
        <x:v>55 inch</x:v>
      </x:c>
      <x:c r="G4834" s="20" t="n">
        <x:v>1</x:v>
      </x:c>
      <x:c r="H4834" s="12" t="str">
        <x:v>Campus/portfolio roster; individual building occupancy unverified</x:v>
      </x:c>
      <x:c r="I4834" s="12" t="str">
        <x:v>Mixed business audience</x:v>
      </x:c>
      <x:c r="J4834" s="12" t="str">
        <x:v>Education</x:v>
      </x:c>
      <x:c r="K4834" s="2" t="str">
        <x:v>PARTNER-M252</x:v>
      </x:c>
    </x:row>
    <x:row r="4835" ht="46" customHeight="1">
      <x:c r="A4835" s="2" t="str">
        <x:v>TEN-9CF8C9635F36</x:v>
      </x:c>
      <x:c r="B4835" s="12" t="str">
        <x:v>Teradata</x:v>
      </x:c>
      <x:c r="C4835" s="12" t="str">
        <x:v>CORP-0670</x:v>
      </x:c>
      <x:c r="D4835" s="12" t="str">
        <x:v>Pune</x:v>
      </x:c>
      <x:c r="E4835" s="12" t="str">
        <x:v>Magarpatta Cyberpark</x:v>
      </x:c>
      <x:c r="F4835" s="12" t="str">
        <x:v>55 inch</x:v>
      </x:c>
      <x:c r="G4835" s="20" t="n">
        <x:v>1</x:v>
      </x:c>
      <x:c r="H4835" s="12" t="str">
        <x:v>Campus/portfolio roster; individual building occupancy unverified</x:v>
      </x:c>
      <x:c r="I4835" s="12" t="str">
        <x:v>Mixed business audience</x:v>
      </x:c>
      <x:c r="J4835" s="12" t="str">
        <x:v>IT &amp; digital</x:v>
      </x:c>
      <x:c r="K4835" s="2" t="str">
        <x:v>PARTNER-M252</x:v>
      </x:c>
    </x:row>
    <x:row r="4836" ht="46" customHeight="1">
      <x:c r="A4836" s="2" t="str">
        <x:v>TEN-AAF6BBA77E60</x:v>
      </x:c>
      <x:c r="B4836" s="12" t="str">
        <x:v>Capita</x:v>
      </x:c>
      <x:c r="C4836" s="12" t="str">
        <x:v>CORP-0670</x:v>
      </x:c>
      <x:c r="D4836" s="12" t="str">
        <x:v>Pune</x:v>
      </x:c>
      <x:c r="E4836" s="12" t="str">
        <x:v>Magarpatta Cyberpark</x:v>
      </x:c>
      <x:c r="F4836" s="12" t="str">
        <x:v>55 inch</x:v>
      </x:c>
      <x:c r="G4836" s="20" t="n">
        <x:v>1</x:v>
      </x:c>
      <x:c r="H4836" s="12" t="str">
        <x:v>Campus/portfolio roster; individual building occupancy unverified</x:v>
      </x:c>
      <x:c r="I4836" s="12" t="str">
        <x:v>Mixed business audience</x:v>
      </x:c>
      <x:c r="J4836" s="12" t="str">
        <x:v>IT &amp; digital</x:v>
      </x:c>
      <x:c r="K4836" s="2" t="str">
        <x:v>PARTNER-M252</x:v>
      </x:c>
    </x:row>
    <x:row r="4837" ht="46" customHeight="1">
      <x:c r="A4837" s="2" t="str">
        <x:v>TEN-AB768939C131</x:v>
      </x:c>
      <x:c r="B4837" s="12" t="str">
        <x:v>UPS Logistics</x:v>
      </x:c>
      <x:c r="C4837" s="12" t="str">
        <x:v>CORP-0670</x:v>
      </x:c>
      <x:c r="D4837" s="12" t="str">
        <x:v>Pune</x:v>
      </x:c>
      <x:c r="E4837" s="12" t="str">
        <x:v>Magarpatta Cyberpark</x:v>
      </x:c>
      <x:c r="F4837" s="12" t="str">
        <x:v>55 inch</x:v>
      </x:c>
      <x:c r="G4837" s="20" t="n">
        <x:v>1</x:v>
      </x:c>
      <x:c r="H4837" s="12" t="str">
        <x:v>Campus/portfolio roster; individual building occupancy unverified</x:v>
      </x:c>
      <x:c r="I4837" s="12" t="str">
        <x:v>Mixed business audience</x:v>
      </x:c>
      <x:c r="J4837" s="12" t="str">
        <x:v>Trade, consumer &amp; logistics</x:v>
      </x:c>
      <x:c r="K4837" s="2" t="str">
        <x:v>PARTNER-M252</x:v>
      </x:c>
    </x:row>
    <x:row r="4838" ht="46" customHeight="1">
      <x:c r="A4838" s="2" t="str">
        <x:v>TEN-ACFE8450840B</x:v>
      </x:c>
      <x:c r="B4838" s="12" t="str">
        <x:v>HCL</x:v>
      </x:c>
      <x:c r="C4838" s="12" t="str">
        <x:v>CORP-0670</x:v>
      </x:c>
      <x:c r="D4838" s="12" t="str">
        <x:v>Pune</x:v>
      </x:c>
      <x:c r="E4838" s="12" t="str">
        <x:v>Magarpatta Cyberpark</x:v>
      </x:c>
      <x:c r="F4838" s="12" t="str">
        <x:v>55 inch</x:v>
      </x:c>
      <x:c r="G4838" s="20" t="n">
        <x:v>1</x:v>
      </x:c>
      <x:c r="H4838" s="12" t="str">
        <x:v>Campus/portfolio roster; individual building occupancy unverified</x:v>
      </x:c>
      <x:c r="I4838" s="12" t="str">
        <x:v>Large enterprise</x:v>
      </x:c>
      <x:c r="J4838" s="12" t="str">
        <x:v>IT &amp; digital</x:v>
      </x:c>
      <x:c r="K4838" s="2" t="str">
        <x:v>PARTNER-M252</x:v>
      </x:c>
    </x:row>
    <x:row r="4839" ht="46" customHeight="1">
      <x:c r="A4839" s="2" t="str">
        <x:v>TEN-B2036C6D16F6</x:v>
      </x:c>
      <x:c r="B4839" s="12" t="str">
        <x:v>Principal Global Services</x:v>
      </x:c>
      <x:c r="C4839" s="12" t="str">
        <x:v>CORP-0670</x:v>
      </x:c>
      <x:c r="D4839" s="12" t="str">
        <x:v>Pune</x:v>
      </x:c>
      <x:c r="E4839" s="12" t="str">
        <x:v>Magarpatta Cyberpark</x:v>
      </x:c>
      <x:c r="F4839" s="12" t="str">
        <x:v>55 inch</x:v>
      </x:c>
      <x:c r="G4839" s="20" t="n">
        <x:v>1</x:v>
      </x:c>
      <x:c r="H4839" s="12" t="str">
        <x:v>Campus/portfolio roster; individual building occupancy unverified</x:v>
      </x:c>
      <x:c r="I4839" s="12" t="str">
        <x:v>Mixed business audience</x:v>
      </x:c>
      <x:c r="J4839" s="12" t="str">
        <x:v>Finance &amp; insurance</x:v>
      </x:c>
      <x:c r="K4839" s="2" t="str">
        <x:v>PARTNER-M252</x:v>
      </x:c>
    </x:row>
    <x:row r="4840" ht="46" customHeight="1">
      <x:c r="A4840" s="2" t="str">
        <x:v>TEN-B5F5468E9428</x:v>
      </x:c>
      <x:c r="B4840" s="12" t="str">
        <x:v>Amdocs</x:v>
      </x:c>
      <x:c r="C4840" s="12" t="str">
        <x:v>CORP-0670</x:v>
      </x:c>
      <x:c r="D4840" s="12" t="str">
        <x:v>Pune</x:v>
      </x:c>
      <x:c r="E4840" s="12" t="str">
        <x:v>Magarpatta Cyberpark</x:v>
      </x:c>
      <x:c r="F4840" s="12" t="str">
        <x:v>55 inch</x:v>
      </x:c>
      <x:c r="G4840" s="20" t="n">
        <x:v>1</x:v>
      </x:c>
      <x:c r="H4840" s="12" t="str">
        <x:v>Campus/portfolio roster; individual building occupancy unverified</x:v>
      </x:c>
      <x:c r="I4840" s="12" t="str">
        <x:v>Mixed business audience</x:v>
      </x:c>
      <x:c r="J4840" s="12" t="str">
        <x:v>IT &amp; digital</x:v>
      </x:c>
      <x:c r="K4840" s="2" t="str">
        <x:v>PARTNER-M252</x:v>
      </x:c>
    </x:row>
    <x:row r="4841" ht="46" customHeight="1">
      <x:c r="A4841" s="2" t="str">
        <x:v>TEN-B7BEA343B08C</x:v>
      </x:c>
      <x:c r="B4841" s="12" t="str">
        <x:v>EXL</x:v>
      </x:c>
      <x:c r="C4841" s="12" t="str">
        <x:v>CORP-0670</x:v>
      </x:c>
      <x:c r="D4841" s="12" t="str">
        <x:v>Pune</x:v>
      </x:c>
      <x:c r="E4841" s="12" t="str">
        <x:v>Magarpatta Cyberpark</x:v>
      </x:c>
      <x:c r="F4841" s="12" t="str">
        <x:v>55 inch</x:v>
      </x:c>
      <x:c r="G4841" s="20" t="n">
        <x:v>1</x:v>
      </x:c>
      <x:c r="H4841" s="12" t="str">
        <x:v>Campus/portfolio roster; individual building occupancy unverified</x:v>
      </x:c>
      <x:c r="I4841" s="12" t="str">
        <x:v>Mixed business audience</x:v>
      </x:c>
      <x:c r="J4841" s="12" t="str">
        <x:v>IT &amp; digital</x:v>
      </x:c>
      <x:c r="K4841" s="2" t="str">
        <x:v>PARTNER-M252</x:v>
      </x:c>
    </x:row>
    <x:row r="4842" ht="46" customHeight="1">
      <x:c r="A4842" s="2" t="str">
        <x:v>TEN-BD31900BEB43</x:v>
      </x:c>
      <x:c r="B4842" s="12" t="str">
        <x:v>Reflexis</x:v>
      </x:c>
      <x:c r="C4842" s="12" t="str">
        <x:v>CORP-0670</x:v>
      </x:c>
      <x:c r="D4842" s="12" t="str">
        <x:v>Pune</x:v>
      </x:c>
      <x:c r="E4842" s="12" t="str">
        <x:v>Magarpatta Cyberpark</x:v>
      </x:c>
      <x:c r="F4842" s="12" t="str">
        <x:v>55 inch</x:v>
      </x:c>
      <x:c r="G4842" s="20" t="n">
        <x:v>1</x:v>
      </x:c>
      <x:c r="H4842" s="12" t="str">
        <x:v>Campus/portfolio roster; individual building occupancy unverified</x:v>
      </x:c>
      <x:c r="I4842" s="12" t="str">
        <x:v>Mixed business audience</x:v>
      </x:c>
      <x:c r="J4842" s="12" t="str">
        <x:v>IT &amp; digital</x:v>
      </x:c>
      <x:c r="K4842" s="2" t="str">
        <x:v>PARTNER-M252</x:v>
      </x:c>
    </x:row>
    <x:row r="4843" ht="46" customHeight="1">
      <x:c r="A4843" s="2" t="str">
        <x:v>TEN-BE37BBF098BB</x:v>
      </x:c>
      <x:c r="B4843" s="12" t="str">
        <x:v>Fico</x:v>
      </x:c>
      <x:c r="C4843" s="12" t="str">
        <x:v>CORP-0670</x:v>
      </x:c>
      <x:c r="D4843" s="12" t="str">
        <x:v>Pune</x:v>
      </x:c>
      <x:c r="E4843" s="12" t="str">
        <x:v>Magarpatta Cyberpark</x:v>
      </x:c>
      <x:c r="F4843" s="12" t="str">
        <x:v>55 inch</x:v>
      </x:c>
      <x:c r="G4843" s="20" t="n">
        <x:v>1</x:v>
      </x:c>
      <x:c r="H4843" s="12" t="str">
        <x:v>Campus/portfolio roster; individual building occupancy unverified</x:v>
      </x:c>
      <x:c r="I4843" s="12" t="str">
        <x:v>Mixed business audience</x:v>
      </x:c>
      <x:c r="J4843" s="12" t="str">
        <x:v>IT &amp; digital</x:v>
      </x:c>
      <x:c r="K4843" s="2" t="str">
        <x:v>PARTNER-M252</x:v>
      </x:c>
    </x:row>
    <x:row r="4844" ht="46" customHeight="1">
      <x:c r="A4844" s="2" t="str">
        <x:v>TEN-C63AC00C4D11</x:v>
      </x:c>
      <x:c r="B4844" s="12" t="str">
        <x:v>Mphasis</x:v>
      </x:c>
      <x:c r="C4844" s="12" t="str">
        <x:v>CORP-0670</x:v>
      </x:c>
      <x:c r="D4844" s="12" t="str">
        <x:v>Pune</x:v>
      </x:c>
      <x:c r="E4844" s="12" t="str">
        <x:v>Magarpatta Cyberpark</x:v>
      </x:c>
      <x:c r="F4844" s="12" t="str">
        <x:v>55 inch</x:v>
      </x:c>
      <x:c r="G4844" s="20" t="n">
        <x:v>1</x:v>
      </x:c>
      <x:c r="H4844" s="12" t="str">
        <x:v>Campus/portfolio roster; individual building occupancy unverified</x:v>
      </x:c>
      <x:c r="I4844" s="12" t="str">
        <x:v>Large enterprise</x:v>
      </x:c>
      <x:c r="J4844" s="12" t="str">
        <x:v>IT &amp; digital</x:v>
      </x:c>
      <x:c r="K4844" s="2" t="str">
        <x:v>PARTNER-M252</x:v>
      </x:c>
    </x:row>
    <x:row r="4845" ht="46" customHeight="1">
      <x:c r="A4845" s="2" t="str">
        <x:v>TEN-C7CD4D8C8E32</x:v>
      </x:c>
      <x:c r="B4845" s="12" t="str">
        <x:v>Varian</x:v>
      </x:c>
      <x:c r="C4845" s="12" t="str">
        <x:v>CORP-0670</x:v>
      </x:c>
      <x:c r="D4845" s="12" t="str">
        <x:v>Pune</x:v>
      </x:c>
      <x:c r="E4845" s="12" t="str">
        <x:v>Magarpatta Cyberpark</x:v>
      </x:c>
      <x:c r="F4845" s="12" t="str">
        <x:v>55 inch</x:v>
      </x:c>
      <x:c r="G4845" s="20" t="n">
        <x:v>1</x:v>
      </x:c>
      <x:c r="H4845" s="12" t="str">
        <x:v>Campus/portfolio roster; individual building occupancy unverified</x:v>
      </x:c>
      <x:c r="I4845" s="12" t="str">
        <x:v>Mixed business audience</x:v>
      </x:c>
      <x:c r="J4845" s="12" t="str">
        <x:v>Healthcare &amp; life sciences</x:v>
      </x:c>
      <x:c r="K4845" s="2" t="str">
        <x:v>PARTNER-M252</x:v>
      </x:c>
    </x:row>
    <x:row r="4846" ht="46" customHeight="1">
      <x:c r="A4846" s="2" t="str">
        <x:v>TEN-E57E81EFDBB1</x:v>
      </x:c>
      <x:c r="B4846" s="12" t="str">
        <x:v>Deutsche Bank Group</x:v>
      </x:c>
      <x:c r="C4846" s="12" t="str">
        <x:v>CORP-0670</x:v>
      </x:c>
      <x:c r="D4846" s="12" t="str">
        <x:v>Pune</x:v>
      </x:c>
      <x:c r="E4846" s="12" t="str">
        <x:v>Magarpatta Cyberpark</x:v>
      </x:c>
      <x:c r="F4846" s="12" t="str">
        <x:v>55 inch</x:v>
      </x:c>
      <x:c r="G4846" s="20" t="n">
        <x:v>1</x:v>
      </x:c>
      <x:c r="H4846" s="12" t="str">
        <x:v>Campus/portfolio roster; individual building occupancy unverified</x:v>
      </x:c>
      <x:c r="I4846" s="12" t="str">
        <x:v>Large enterprise</x:v>
      </x:c>
      <x:c r="J4846" s="12" t="str">
        <x:v>Finance &amp; insurance</x:v>
      </x:c>
      <x:c r="K4846" s="2" t="str">
        <x:v>PARTNER-M252</x:v>
      </x:c>
    </x:row>
    <x:row r="4847" ht="46" customHeight="1">
      <x:c r="A4847" s="2" t="str">
        <x:v>TEN-E58C9634BF3A</x:v>
      </x:c>
      <x:c r="B4847" s="12" t="str">
        <x:v>John Deere</x:v>
      </x:c>
      <x:c r="C4847" s="12" t="str">
        <x:v>CORP-0670</x:v>
      </x:c>
      <x:c r="D4847" s="12" t="str">
        <x:v>Pune</x:v>
      </x:c>
      <x:c r="E4847" s="12" t="str">
        <x:v>Magarpatta Cyberpark</x:v>
      </x:c>
      <x:c r="F4847" s="12" t="str">
        <x:v>55 inch</x:v>
      </x:c>
      <x:c r="G4847" s="20" t="n">
        <x:v>1</x:v>
      </x:c>
      <x:c r="H4847" s="12" t="str">
        <x:v>Campus/portfolio roster; individual building occupancy unverified</x:v>
      </x:c>
      <x:c r="I4847" s="12" t="str">
        <x:v>Mixed business audience</x:v>
      </x:c>
      <x:c r="J4847" s="12" t="str">
        <x:v>Engineering &amp; manufacturing</x:v>
      </x:c>
      <x:c r="K4847" s="2" t="str">
        <x:v>PARTNER-M252</x:v>
      </x:c>
    </x:row>
    <x:row r="4848" ht="46" customHeight="1">
      <x:c r="A4848" s="2" t="str">
        <x:v>TEN-E73C14AD497C</x:v>
      </x:c>
      <x:c r="B4848" s="12" t="str">
        <x:v>Sybase</x:v>
      </x:c>
      <x:c r="C4848" s="12" t="str">
        <x:v>CORP-0670</x:v>
      </x:c>
      <x:c r="D4848" s="12" t="str">
        <x:v>Pune</x:v>
      </x:c>
      <x:c r="E4848" s="12" t="str">
        <x:v>Magarpatta Cyberpark</x:v>
      </x:c>
      <x:c r="F4848" s="12" t="str">
        <x:v>55 inch</x:v>
      </x:c>
      <x:c r="G4848" s="20" t="n">
        <x:v>1</x:v>
      </x:c>
      <x:c r="H4848" s="12" t="str">
        <x:v>Campus/portfolio roster; individual building occupancy unverified</x:v>
      </x:c>
      <x:c r="I4848" s="12" t="str">
        <x:v>Large enterprise</x:v>
      </x:c>
      <x:c r="J4848" s="12" t="str">
        <x:v>IT &amp; digital</x:v>
      </x:c>
      <x:c r="K4848" s="2" t="str">
        <x:v>PARTNER-M252</x:v>
      </x:c>
    </x:row>
    <x:row r="4849" ht="46" customHeight="1">
      <x:c r="A4849" s="2" t="str">
        <x:v>TEN-E9992F5DAD60</x:v>
      </x:c>
      <x:c r="B4849" s="12" t="str">
        <x:v>BNY Mellon</x:v>
      </x:c>
      <x:c r="C4849" s="12" t="str">
        <x:v>CORP-0670</x:v>
      </x:c>
      <x:c r="D4849" s="12" t="str">
        <x:v>Pune</x:v>
      </x:c>
      <x:c r="E4849" s="12" t="str">
        <x:v>Magarpatta Cyberpark</x:v>
      </x:c>
      <x:c r="F4849" s="12" t="str">
        <x:v>55 inch</x:v>
      </x:c>
      <x:c r="G4849" s="20" t="n">
        <x:v>1</x:v>
      </x:c>
      <x:c r="H4849" s="12" t="str">
        <x:v>Campus/portfolio roster; individual building occupancy unverified</x:v>
      </x:c>
      <x:c r="I4849" s="12" t="str">
        <x:v>Mixed business audience</x:v>
      </x:c>
      <x:c r="J4849" s="12" t="str">
        <x:v>Finance &amp; insurance</x:v>
      </x:c>
      <x:c r="K4849" s="2" t="str">
        <x:v>PARTNER-M252</x:v>
      </x:c>
    </x:row>
    <x:row r="4850" ht="46" customHeight="1">
      <x:c r="A4850" s="2" t="str">
        <x:v>TEN-EA6BCE5F47CF</x:v>
      </x:c>
      <x:c r="B4850" s="12" t="str">
        <x:v>Dresser Rand</x:v>
      </x:c>
      <x:c r="C4850" s="12" t="str">
        <x:v>CORP-0670</x:v>
      </x:c>
      <x:c r="D4850" s="12" t="str">
        <x:v>Pune</x:v>
      </x:c>
      <x:c r="E4850" s="12" t="str">
        <x:v>Magarpatta Cyberpark</x:v>
      </x:c>
      <x:c r="F4850" s="12" t="str">
        <x:v>55 inch</x:v>
      </x:c>
      <x:c r="G4850" s="20" t="n">
        <x:v>1</x:v>
      </x:c>
      <x:c r="H4850" s="12" t="str">
        <x:v>Campus/portfolio roster; individual building occupancy unverified</x:v>
      </x:c>
      <x:c r="I4850" s="12" t="str">
        <x:v>Mixed business audience</x:v>
      </x:c>
      <x:c r="J4850" s="12" t="str">
        <x:v>Engineering &amp; manufacturing</x:v>
      </x:c>
      <x:c r="K4850" s="2" t="str">
        <x:v>PARTNER-M252</x:v>
      </x:c>
    </x:row>
    <x:row r="4851" ht="46" customHeight="1">
      <x:c r="A4851" s="2" t="str">
        <x:v>TEN-EAF4D7735EC1</x:v>
      </x:c>
      <x:c r="B4851" s="12" t="str">
        <x:v>einfochips</x:v>
      </x:c>
      <x:c r="C4851" s="12" t="str">
        <x:v>CORP-0670</x:v>
      </x:c>
      <x:c r="D4851" s="12" t="str">
        <x:v>Pune</x:v>
      </x:c>
      <x:c r="E4851" s="12" t="str">
        <x:v>Magarpatta Cyberpark</x:v>
      </x:c>
      <x:c r="F4851" s="12" t="str">
        <x:v>55 inch</x:v>
      </x:c>
      <x:c r="G4851" s="20" t="n">
        <x:v>1</x:v>
      </x:c>
      <x:c r="H4851" s="12" t="str">
        <x:v>Campus/portfolio roster; individual building occupancy unverified</x:v>
      </x:c>
      <x:c r="I4851" s="12" t="str">
        <x:v>Large enterprise</x:v>
      </x:c>
      <x:c r="J4851" s="12" t="str">
        <x:v>Engineering &amp; manufacturing</x:v>
      </x:c>
      <x:c r="K4851" s="2" t="str">
        <x:v>PARTNER-M252</x:v>
      </x:c>
    </x:row>
    <x:row r="4852" ht="46" customHeight="1">
      <x:c r="A4852" s="2" t="str">
        <x:v>TEN-ED7BECFECA72</x:v>
      </x:c>
      <x:c r="B4852" s="12" t="str">
        <x:v>Xento</x:v>
      </x:c>
      <x:c r="C4852" s="12" t="str">
        <x:v>CORP-0670</x:v>
      </x:c>
      <x:c r="D4852" s="12" t="str">
        <x:v>Pune</x:v>
      </x:c>
      <x:c r="E4852" s="12" t="str">
        <x:v>Magarpatta Cyberpark</x:v>
      </x:c>
      <x:c r="F4852" s="12" t="str">
        <x:v>55 inch</x:v>
      </x:c>
      <x:c r="G4852" s="20" t="n">
        <x:v>1</x:v>
      </x:c>
      <x:c r="H4852" s="12" t="str">
        <x:v>Campus/portfolio roster; individual building occupancy unverified</x:v>
      </x:c>
      <x:c r="I4852" s="12" t="str">
        <x:v>Small-scale prospects</x:v>
      </x:c>
      <x:c r="J4852" s="12" t="str">
        <x:v>IT &amp; digital</x:v>
      </x:c>
      <x:c r="K4852" s="2" t="str">
        <x:v>PARTNER-M252</x:v>
      </x:c>
    </x:row>
    <x:row r="4853" ht="46" customHeight="1">
      <x:c r="A4853" s="2" t="str">
        <x:v>TEN-F55A85B2F2EB</x:v>
      </x:c>
      <x:c r="B4853" s="12" t="str">
        <x:v>Capgemini</x:v>
      </x:c>
      <x:c r="C4853" s="12" t="str">
        <x:v>CORP-0670</x:v>
      </x:c>
      <x:c r="D4853" s="12" t="str">
        <x:v>Pune</x:v>
      </x:c>
      <x:c r="E4853" s="12" t="str">
        <x:v>Magarpatta Cyberpark</x:v>
      </x:c>
      <x:c r="F4853" s="12" t="str">
        <x:v>55 inch</x:v>
      </x:c>
      <x:c r="G4853" s="20" t="n">
        <x:v>1</x:v>
      </x:c>
      <x:c r="H4853" s="12" t="str">
        <x:v>Campus/portfolio roster; individual building occupancy unverified</x:v>
      </x:c>
      <x:c r="I4853" s="12" t="str">
        <x:v>Large enterprise</x:v>
      </x:c>
      <x:c r="J4853" s="12" t="str">
        <x:v>IT &amp; digital</x:v>
      </x:c>
      <x:c r="K4853" s="2" t="str">
        <x:v>PARTNER-M252</x:v>
      </x:c>
    </x:row>
    <x:row r="4854" ht="46" customHeight="1">
      <x:c r="A4854" s="2" t="str">
        <x:v>TEN-028810317654</x:v>
      </x:c>
      <x:c r="B4854" s="12" t="str">
        <x:v>Hitachi Consulting</x:v>
      </x:c>
      <x:c r="C4854" s="12" t="str">
        <x:v>CORP-0671</x:v>
      </x:c>
      <x:c r="D4854" s="12" t="str">
        <x:v>Pune</x:v>
      </x:c>
      <x:c r="E4854" s="12" t="str">
        <x:v>Magarpatta Cyberpark</x:v>
      </x:c>
      <x:c r="F4854" s="12" t="str">
        <x:v>55 inch</x:v>
      </x:c>
      <x:c r="G4854" s="20" t="n">
        <x:v>1</x:v>
      </x:c>
      <x:c r="H4854" s="12" t="str">
        <x:v>Campus/portfolio roster; individual building occupancy unverified</x:v>
      </x:c>
      <x:c r="I4854" s="12" t="str">
        <x:v>Mixed business audience</x:v>
      </x:c>
      <x:c r="J4854" s="12" t="str">
        <x:v>IT &amp; digital</x:v>
      </x:c>
      <x:c r="K4854" s="2" t="str">
        <x:v>PARTNER-M252</x:v>
      </x:c>
    </x:row>
    <x:row r="4855" ht="46" customHeight="1">
      <x:c r="A4855" s="2" t="str">
        <x:v>TEN-0392C3B9EE62</x:v>
      </x:c>
      <x:c r="B4855" s="12" t="str">
        <x:v>Konecranes</x:v>
      </x:c>
      <x:c r="C4855" s="12" t="str">
        <x:v>CORP-0671</x:v>
      </x:c>
      <x:c r="D4855" s="12" t="str">
        <x:v>Pune</x:v>
      </x:c>
      <x:c r="E4855" s="12" t="str">
        <x:v>Magarpatta Cyberpark</x:v>
      </x:c>
      <x:c r="F4855" s="12" t="str">
        <x:v>55 inch</x:v>
      </x:c>
      <x:c r="G4855" s="20" t="n">
        <x:v>1</x:v>
      </x:c>
      <x:c r="H4855" s="12" t="str">
        <x:v>Campus/portfolio roster; individual building occupancy unverified</x:v>
      </x:c>
      <x:c r="I4855" s="12" t="str">
        <x:v>Mixed business audience</x:v>
      </x:c>
      <x:c r="J4855" s="12" t="str">
        <x:v>Engineering &amp; manufacturing</x:v>
      </x:c>
      <x:c r="K4855" s="2" t="str">
        <x:v>PARTNER-M252</x:v>
      </x:c>
    </x:row>
    <x:row r="4856" ht="46" customHeight="1">
      <x:c r="A4856" s="2" t="str">
        <x:v>TEN-0C4F9F7327E1</x:v>
      </x:c>
      <x:c r="B4856" s="12" t="str">
        <x:v>Ocwen</x:v>
      </x:c>
      <x:c r="C4856" s="12" t="str">
        <x:v>CORP-0671</x:v>
      </x:c>
      <x:c r="D4856" s="12" t="str">
        <x:v>Pune</x:v>
      </x:c>
      <x:c r="E4856" s="12" t="str">
        <x:v>Magarpatta Cyberpark</x:v>
      </x:c>
      <x:c r="F4856" s="12" t="str">
        <x:v>55 inch</x:v>
      </x:c>
      <x:c r="G4856" s="20" t="n">
        <x:v>1</x:v>
      </x:c>
      <x:c r="H4856" s="12" t="str">
        <x:v>Campus/portfolio roster; individual building occupancy unverified</x:v>
      </x:c>
      <x:c r="I4856" s="12" t="str">
        <x:v>Mixed business audience</x:v>
      </x:c>
      <x:c r="J4856" s="12" t="str">
        <x:v>Finance &amp; insurance</x:v>
      </x:c>
      <x:c r="K4856" s="2" t="str">
        <x:v>PARTNER-M252</x:v>
      </x:c>
    </x:row>
    <x:row r="4857" ht="46" customHeight="1">
      <x:c r="A4857" s="2" t="str">
        <x:v>TEN-37A9A152C42F</x:v>
      </x:c>
      <x:c r="B4857" s="12" t="str">
        <x:v>AppDirect</x:v>
      </x:c>
      <x:c r="C4857" s="12" t="str">
        <x:v>CORP-0671</x:v>
      </x:c>
      <x:c r="D4857" s="12" t="str">
        <x:v>Pune</x:v>
      </x:c>
      <x:c r="E4857" s="12" t="str">
        <x:v>Magarpatta Cyberpark</x:v>
      </x:c>
      <x:c r="F4857" s="12" t="str">
        <x:v>55 inch</x:v>
      </x:c>
      <x:c r="G4857" s="20" t="n">
        <x:v>1</x:v>
      </x:c>
      <x:c r="H4857" s="12" t="str">
        <x:v>Campus/portfolio roster; individual building occupancy unverified</x:v>
      </x:c>
      <x:c r="I4857" s="12" t="str">
        <x:v>Mixed business audience</x:v>
      </x:c>
      <x:c r="J4857" s="12" t="str">
        <x:v>IT &amp; digital</x:v>
      </x:c>
      <x:c r="K4857" s="2" t="str">
        <x:v>PARTNER-M252</x:v>
      </x:c>
    </x:row>
    <x:row r="4858" ht="46" customHeight="1">
      <x:c r="A4858" s="2" t="str">
        <x:v>TEN-45D9225952C7</x:v>
      </x:c>
      <x:c r="B4858" s="12" t="str">
        <x:v>TATA elxsi</x:v>
      </x:c>
      <x:c r="C4858" s="12" t="str">
        <x:v>CORP-0671</x:v>
      </x:c>
      <x:c r="D4858" s="12" t="str">
        <x:v>Pune</x:v>
      </x:c>
      <x:c r="E4858" s="12" t="str">
        <x:v>Magarpatta Cyberpark</x:v>
      </x:c>
      <x:c r="F4858" s="12" t="str">
        <x:v>55 inch</x:v>
      </x:c>
      <x:c r="G4858" s="20" t="n">
        <x:v>1</x:v>
      </x:c>
      <x:c r="H4858" s="12" t="str">
        <x:v>Campus/portfolio roster; individual building occupancy unverified</x:v>
      </x:c>
      <x:c r="I4858" s="12" t="str">
        <x:v>Large enterprise</x:v>
      </x:c>
      <x:c r="J4858" s="12" t="str">
        <x:v>IT &amp; digital</x:v>
      </x:c>
      <x:c r="K4858" s="2" t="str">
        <x:v>PARTNER-M252</x:v>
      </x:c>
    </x:row>
    <x:row r="4859" ht="46" customHeight="1">
      <x:c r="A4859" s="2" t="str">
        <x:v>TEN-6CA190D5260C</x:v>
      </x:c>
      <x:c r="B4859" s="12" t="str">
        <x:v>WNS</x:v>
      </x:c>
      <x:c r="C4859" s="12" t="str">
        <x:v>CORP-0671</x:v>
      </x:c>
      <x:c r="D4859" s="12" t="str">
        <x:v>Pune</x:v>
      </x:c>
      <x:c r="E4859" s="12" t="str">
        <x:v>Magarpatta Cyberpark</x:v>
      </x:c>
      <x:c r="F4859" s="12" t="str">
        <x:v>55 inch</x:v>
      </x:c>
      <x:c r="G4859" s="20" t="n">
        <x:v>1</x:v>
      </x:c>
      <x:c r="H4859" s="12" t="str">
        <x:v>Campus/portfolio roster; individual building occupancy unverified</x:v>
      </x:c>
      <x:c r="I4859" s="12" t="str">
        <x:v>Mixed business audience</x:v>
      </x:c>
      <x:c r="J4859" s="12" t="str">
        <x:v>IT &amp; digital</x:v>
      </x:c>
      <x:c r="K4859" s="2" t="str">
        <x:v>PARTNER-M252</x:v>
      </x:c>
    </x:row>
    <x:row r="4860" ht="46" customHeight="1">
      <x:c r="A4860" s="2" t="str">
        <x:v>TEN-6CE8BB6DCAD7</x:v>
      </x:c>
      <x:c r="B4860" s="12" t="str">
        <x:v>Systems Plus</x:v>
      </x:c>
      <x:c r="C4860" s="12" t="str">
        <x:v>CORP-0671</x:v>
      </x:c>
      <x:c r="D4860" s="12" t="str">
        <x:v>Pune</x:v>
      </x:c>
      <x:c r="E4860" s="12" t="str">
        <x:v>Magarpatta Cyberpark</x:v>
      </x:c>
      <x:c r="F4860" s="12" t="str">
        <x:v>55 inch</x:v>
      </x:c>
      <x:c r="G4860" s="20" t="n">
        <x:v>1</x:v>
      </x:c>
      <x:c r="H4860" s="12" t="str">
        <x:v>Campus/portfolio roster; individual building occupancy unverified</x:v>
      </x:c>
      <x:c r="I4860" s="12" t="str">
        <x:v>Small-scale prospects</x:v>
      </x:c>
      <x:c r="J4860" s="12" t="str">
        <x:v>IT &amp; digital</x:v>
      </x:c>
      <x:c r="K4860" s="2" t="str">
        <x:v>PARTNER-M252</x:v>
      </x:c>
    </x:row>
    <x:row r="4861" ht="46" customHeight="1">
      <x:c r="A4861" s="2" t="str">
        <x:v>TEN-7DE355F41161</x:v>
      </x:c>
      <x:c r="B4861" s="12" t="str">
        <x:v>Avaya</x:v>
      </x:c>
      <x:c r="C4861" s="12" t="str">
        <x:v>CORP-0671</x:v>
      </x:c>
      <x:c r="D4861" s="12" t="str">
        <x:v>Pune</x:v>
      </x:c>
      <x:c r="E4861" s="12" t="str">
        <x:v>Magarpatta Cyberpark</x:v>
      </x:c>
      <x:c r="F4861" s="12" t="str">
        <x:v>55 inch</x:v>
      </x:c>
      <x:c r="G4861" s="20" t="n">
        <x:v>1</x:v>
      </x:c>
      <x:c r="H4861" s="12" t="str">
        <x:v>Campus/portfolio roster; individual building occupancy unverified</x:v>
      </x:c>
      <x:c r="I4861" s="12" t="str">
        <x:v>Mixed business audience</x:v>
      </x:c>
      <x:c r="J4861" s="12" t="str">
        <x:v>IT &amp; digital</x:v>
      </x:c>
      <x:c r="K4861" s="2" t="str">
        <x:v>PARTNER-M252</x:v>
      </x:c>
    </x:row>
    <x:row r="4862" ht="46" customHeight="1">
      <x:c r="A4862" s="2" t="str">
        <x:v>TEN-866F70D2D0FF</x:v>
      </x:c>
      <x:c r="B4862" s="12" t="str">
        <x:v>CompuCom</x:v>
      </x:c>
      <x:c r="C4862" s="12" t="str">
        <x:v>CORP-0671</x:v>
      </x:c>
      <x:c r="D4862" s="12" t="str">
        <x:v>Pune</x:v>
      </x:c>
      <x:c r="E4862" s="12" t="str">
        <x:v>Magarpatta Cyberpark</x:v>
      </x:c>
      <x:c r="F4862" s="12" t="str">
        <x:v>55 inch</x:v>
      </x:c>
      <x:c r="G4862" s="20" t="n">
        <x:v>1</x:v>
      </x:c>
      <x:c r="H4862" s="12" t="str">
        <x:v>Campus/portfolio roster; individual building occupancy unverified</x:v>
      </x:c>
      <x:c r="I4862" s="12" t="str">
        <x:v>Mixed business audience</x:v>
      </x:c>
      <x:c r="J4862" s="12" t="str">
        <x:v>IT &amp; digital</x:v>
      </x:c>
      <x:c r="K4862" s="2" t="str">
        <x:v>PARTNER-M252</x:v>
      </x:c>
    </x:row>
    <x:row r="4863" ht="46" customHeight="1">
      <x:c r="A4863" s="2" t="str">
        <x:v>TEN-8DFE5E6CF73B</x:v>
      </x:c>
      <x:c r="B4863" s="12" t="str">
        <x:v>Red Hat</x:v>
      </x:c>
      <x:c r="C4863" s="12" t="str">
        <x:v>CORP-0671</x:v>
      </x:c>
      <x:c r="D4863" s="12" t="str">
        <x:v>Pune</x:v>
      </x:c>
      <x:c r="E4863" s="12" t="str">
        <x:v>Magarpatta Cyberpark</x:v>
      </x:c>
      <x:c r="F4863" s="12" t="str">
        <x:v>55 inch</x:v>
      </x:c>
      <x:c r="G4863" s="20" t="n">
        <x:v>1</x:v>
      </x:c>
      <x:c r="H4863" s="12" t="str">
        <x:v>Campus/portfolio roster; individual building occupancy unverified</x:v>
      </x:c>
      <x:c r="I4863" s="12" t="str">
        <x:v>Large enterprise</x:v>
      </x:c>
      <x:c r="J4863" s="12" t="str">
        <x:v>IT &amp; digital</x:v>
      </x:c>
      <x:c r="K4863" s="2" t="str">
        <x:v>PARTNER-M252</x:v>
      </x:c>
    </x:row>
    <x:row r="4864" ht="46" customHeight="1">
      <x:c r="A4864" s="2" t="str">
        <x:v>TEN-97ED95A681B4</x:v>
      </x:c>
      <x:c r="B4864" s="12" t="str">
        <x:v>Sutherland</x:v>
      </x:c>
      <x:c r="C4864" s="12" t="str">
        <x:v>CORP-0671</x:v>
      </x:c>
      <x:c r="D4864" s="12" t="str">
        <x:v>Pune</x:v>
      </x:c>
      <x:c r="E4864" s="12" t="str">
        <x:v>Magarpatta Cyberpark</x:v>
      </x:c>
      <x:c r="F4864" s="12" t="str">
        <x:v>55 inch</x:v>
      </x:c>
      <x:c r="G4864" s="20" t="n">
        <x:v>1</x:v>
      </x:c>
      <x:c r="H4864" s="12" t="str">
        <x:v>Campus/portfolio roster; individual building occupancy unverified</x:v>
      </x:c>
      <x:c r="I4864" s="12" t="str">
        <x:v>Mixed business audience</x:v>
      </x:c>
      <x:c r="J4864" s="12" t="str">
        <x:v>IT &amp; digital</x:v>
      </x:c>
      <x:c r="K4864" s="2" t="str">
        <x:v>PARTNER-M252</x:v>
      </x:c>
    </x:row>
    <x:row r="4865" ht="46" customHeight="1">
      <x:c r="A4865" s="2" t="str">
        <x:v>TEN-9CF1F6CEECDE</x:v>
      </x:c>
      <x:c r="B4865" s="12" t="str">
        <x:v>Springer Nature</x:v>
      </x:c>
      <x:c r="C4865" s="12" t="str">
        <x:v>CORP-0671</x:v>
      </x:c>
      <x:c r="D4865" s="12" t="str">
        <x:v>Pune</x:v>
      </x:c>
      <x:c r="E4865" s="12" t="str">
        <x:v>Magarpatta Cyberpark</x:v>
      </x:c>
      <x:c r="F4865" s="12" t="str">
        <x:v>55 inch</x:v>
      </x:c>
      <x:c r="G4865" s="20" t="n">
        <x:v>1</x:v>
      </x:c>
      <x:c r="H4865" s="12" t="str">
        <x:v>Campus/portfolio roster; individual building occupancy unverified</x:v>
      </x:c>
      <x:c r="I4865" s="12" t="str">
        <x:v>Mixed business audience</x:v>
      </x:c>
      <x:c r="J4865" s="12" t="str">
        <x:v>Education</x:v>
      </x:c>
      <x:c r="K4865" s="2" t="str">
        <x:v>PARTNER-M252</x:v>
      </x:c>
    </x:row>
    <x:row r="4866" ht="46" customHeight="1">
      <x:c r="A4866" s="2" t="str">
        <x:v>TEN-9CF8C9635F36</x:v>
      </x:c>
      <x:c r="B4866" s="12" t="str">
        <x:v>Teradata</x:v>
      </x:c>
      <x:c r="C4866" s="12" t="str">
        <x:v>CORP-0671</x:v>
      </x:c>
      <x:c r="D4866" s="12" t="str">
        <x:v>Pune</x:v>
      </x:c>
      <x:c r="E4866" s="12" t="str">
        <x:v>Magarpatta Cyberpark</x:v>
      </x:c>
      <x:c r="F4866" s="12" t="str">
        <x:v>55 inch</x:v>
      </x:c>
      <x:c r="G4866" s="20" t="n">
        <x:v>1</x:v>
      </x:c>
      <x:c r="H4866" s="12" t="str">
        <x:v>Campus/portfolio roster; individual building occupancy unverified</x:v>
      </x:c>
      <x:c r="I4866" s="12" t="str">
        <x:v>Mixed business audience</x:v>
      </x:c>
      <x:c r="J4866" s="12" t="str">
        <x:v>IT &amp; digital</x:v>
      </x:c>
      <x:c r="K4866" s="2" t="str">
        <x:v>PARTNER-M252</x:v>
      </x:c>
    </x:row>
    <x:row r="4867" ht="46" customHeight="1">
      <x:c r="A4867" s="2" t="str">
        <x:v>TEN-AAF6BBA77E60</x:v>
      </x:c>
      <x:c r="B4867" s="12" t="str">
        <x:v>Capita</x:v>
      </x:c>
      <x:c r="C4867" s="12" t="str">
        <x:v>CORP-0671</x:v>
      </x:c>
      <x:c r="D4867" s="12" t="str">
        <x:v>Pune</x:v>
      </x:c>
      <x:c r="E4867" s="12" t="str">
        <x:v>Magarpatta Cyberpark</x:v>
      </x:c>
      <x:c r="F4867" s="12" t="str">
        <x:v>55 inch</x:v>
      </x:c>
      <x:c r="G4867" s="20" t="n">
        <x:v>1</x:v>
      </x:c>
      <x:c r="H4867" s="12" t="str">
        <x:v>Campus/portfolio roster; individual building occupancy unverified</x:v>
      </x:c>
      <x:c r="I4867" s="12" t="str">
        <x:v>Mixed business audience</x:v>
      </x:c>
      <x:c r="J4867" s="12" t="str">
        <x:v>IT &amp; digital</x:v>
      </x:c>
      <x:c r="K4867" s="2" t="str">
        <x:v>PARTNER-M252</x:v>
      </x:c>
    </x:row>
    <x:row r="4868" ht="46" customHeight="1">
      <x:c r="A4868" s="2" t="str">
        <x:v>TEN-AB768939C131</x:v>
      </x:c>
      <x:c r="B4868" s="12" t="str">
        <x:v>UPS Logistics</x:v>
      </x:c>
      <x:c r="C4868" s="12" t="str">
        <x:v>CORP-0671</x:v>
      </x:c>
      <x:c r="D4868" s="12" t="str">
        <x:v>Pune</x:v>
      </x:c>
      <x:c r="E4868" s="12" t="str">
        <x:v>Magarpatta Cyberpark</x:v>
      </x:c>
      <x:c r="F4868" s="12" t="str">
        <x:v>55 inch</x:v>
      </x:c>
      <x:c r="G4868" s="20" t="n">
        <x:v>1</x:v>
      </x:c>
      <x:c r="H4868" s="12" t="str">
        <x:v>Campus/portfolio roster; individual building occupancy unverified</x:v>
      </x:c>
      <x:c r="I4868" s="12" t="str">
        <x:v>Mixed business audience</x:v>
      </x:c>
      <x:c r="J4868" s="12" t="str">
        <x:v>Trade, consumer &amp; logistics</x:v>
      </x:c>
      <x:c r="K4868" s="2" t="str">
        <x:v>PARTNER-M252</x:v>
      </x:c>
    </x:row>
    <x:row r="4869" ht="46" customHeight="1">
      <x:c r="A4869" s="2" t="str">
        <x:v>TEN-ACFE8450840B</x:v>
      </x:c>
      <x:c r="B4869" s="12" t="str">
        <x:v>HCL</x:v>
      </x:c>
      <x:c r="C4869" s="12" t="str">
        <x:v>CORP-0671</x:v>
      </x:c>
      <x:c r="D4869" s="12" t="str">
        <x:v>Pune</x:v>
      </x:c>
      <x:c r="E4869" s="12" t="str">
        <x:v>Magarpatta Cyberpark</x:v>
      </x:c>
      <x:c r="F4869" s="12" t="str">
        <x:v>55 inch</x:v>
      </x:c>
      <x:c r="G4869" s="20" t="n">
        <x:v>1</x:v>
      </x:c>
      <x:c r="H4869" s="12" t="str">
        <x:v>Campus/portfolio roster; individual building occupancy unverified</x:v>
      </x:c>
      <x:c r="I4869" s="12" t="str">
        <x:v>Large enterprise</x:v>
      </x:c>
      <x:c r="J4869" s="12" t="str">
        <x:v>IT &amp; digital</x:v>
      </x:c>
      <x:c r="K4869" s="2" t="str">
        <x:v>PARTNER-M252</x:v>
      </x:c>
    </x:row>
    <x:row r="4870" ht="46" customHeight="1">
      <x:c r="A4870" s="2" t="str">
        <x:v>TEN-B2036C6D16F6</x:v>
      </x:c>
      <x:c r="B4870" s="12" t="str">
        <x:v>Principal Global Services</x:v>
      </x:c>
      <x:c r="C4870" s="12" t="str">
        <x:v>CORP-0671</x:v>
      </x:c>
      <x:c r="D4870" s="12" t="str">
        <x:v>Pune</x:v>
      </x:c>
      <x:c r="E4870" s="12" t="str">
        <x:v>Magarpatta Cyberpark</x:v>
      </x:c>
      <x:c r="F4870" s="12" t="str">
        <x:v>55 inch</x:v>
      </x:c>
      <x:c r="G4870" s="20" t="n">
        <x:v>1</x:v>
      </x:c>
      <x:c r="H4870" s="12" t="str">
        <x:v>Campus/portfolio roster; individual building occupancy unverified</x:v>
      </x:c>
      <x:c r="I4870" s="12" t="str">
        <x:v>Mixed business audience</x:v>
      </x:c>
      <x:c r="J4870" s="12" t="str">
        <x:v>Finance &amp; insurance</x:v>
      </x:c>
      <x:c r="K4870" s="2" t="str">
        <x:v>PARTNER-M252</x:v>
      </x:c>
    </x:row>
    <x:row r="4871" ht="46" customHeight="1">
      <x:c r="A4871" s="2" t="str">
        <x:v>TEN-B5F5468E9428</x:v>
      </x:c>
      <x:c r="B4871" s="12" t="str">
        <x:v>Amdocs</x:v>
      </x:c>
      <x:c r="C4871" s="12" t="str">
        <x:v>CORP-0671</x:v>
      </x:c>
      <x:c r="D4871" s="12" t="str">
        <x:v>Pune</x:v>
      </x:c>
      <x:c r="E4871" s="12" t="str">
        <x:v>Magarpatta Cyberpark</x:v>
      </x:c>
      <x:c r="F4871" s="12" t="str">
        <x:v>55 inch</x:v>
      </x:c>
      <x:c r="G4871" s="20" t="n">
        <x:v>1</x:v>
      </x:c>
      <x:c r="H4871" s="12" t="str">
        <x:v>Campus/portfolio roster; individual building occupancy unverified</x:v>
      </x:c>
      <x:c r="I4871" s="12" t="str">
        <x:v>Mixed business audience</x:v>
      </x:c>
      <x:c r="J4871" s="12" t="str">
        <x:v>IT &amp; digital</x:v>
      </x:c>
      <x:c r="K4871" s="2" t="str">
        <x:v>PARTNER-M252</x:v>
      </x:c>
    </x:row>
    <x:row r="4872" ht="46" customHeight="1">
      <x:c r="A4872" s="2" t="str">
        <x:v>TEN-B7BEA343B08C</x:v>
      </x:c>
      <x:c r="B4872" s="12" t="str">
        <x:v>EXL</x:v>
      </x:c>
      <x:c r="C4872" s="12" t="str">
        <x:v>CORP-0671</x:v>
      </x:c>
      <x:c r="D4872" s="12" t="str">
        <x:v>Pune</x:v>
      </x:c>
      <x:c r="E4872" s="12" t="str">
        <x:v>Magarpatta Cyberpark</x:v>
      </x:c>
      <x:c r="F4872" s="12" t="str">
        <x:v>55 inch</x:v>
      </x:c>
      <x:c r="G4872" s="20" t="n">
        <x:v>1</x:v>
      </x:c>
      <x:c r="H4872" s="12" t="str">
        <x:v>Campus/portfolio roster; individual building occupancy unverified</x:v>
      </x:c>
      <x:c r="I4872" s="12" t="str">
        <x:v>Mixed business audience</x:v>
      </x:c>
      <x:c r="J4872" s="12" t="str">
        <x:v>IT &amp; digital</x:v>
      </x:c>
      <x:c r="K4872" s="2" t="str">
        <x:v>PARTNER-M252</x:v>
      </x:c>
    </x:row>
    <x:row r="4873" ht="46" customHeight="1">
      <x:c r="A4873" s="2" t="str">
        <x:v>TEN-BD31900BEB43</x:v>
      </x:c>
      <x:c r="B4873" s="12" t="str">
        <x:v>Reflexis</x:v>
      </x:c>
      <x:c r="C4873" s="12" t="str">
        <x:v>CORP-0671</x:v>
      </x:c>
      <x:c r="D4873" s="12" t="str">
        <x:v>Pune</x:v>
      </x:c>
      <x:c r="E4873" s="12" t="str">
        <x:v>Magarpatta Cyberpark</x:v>
      </x:c>
      <x:c r="F4873" s="12" t="str">
        <x:v>55 inch</x:v>
      </x:c>
      <x:c r="G4873" s="20" t="n">
        <x:v>1</x:v>
      </x:c>
      <x:c r="H4873" s="12" t="str">
        <x:v>Campus/portfolio roster; individual building occupancy unverified</x:v>
      </x:c>
      <x:c r="I4873" s="12" t="str">
        <x:v>Mixed business audience</x:v>
      </x:c>
      <x:c r="J4873" s="12" t="str">
        <x:v>IT &amp; digital</x:v>
      </x:c>
      <x:c r="K4873" s="2" t="str">
        <x:v>PARTNER-M252</x:v>
      </x:c>
    </x:row>
    <x:row r="4874" ht="46" customHeight="1">
      <x:c r="A4874" s="2" t="str">
        <x:v>TEN-BE37BBF098BB</x:v>
      </x:c>
      <x:c r="B4874" s="12" t="str">
        <x:v>Fico</x:v>
      </x:c>
      <x:c r="C4874" s="12" t="str">
        <x:v>CORP-0671</x:v>
      </x:c>
      <x:c r="D4874" s="12" t="str">
        <x:v>Pune</x:v>
      </x:c>
      <x:c r="E4874" s="12" t="str">
        <x:v>Magarpatta Cyberpark</x:v>
      </x:c>
      <x:c r="F4874" s="12" t="str">
        <x:v>55 inch</x:v>
      </x:c>
      <x:c r="G4874" s="20" t="n">
        <x:v>1</x:v>
      </x:c>
      <x:c r="H4874" s="12" t="str">
        <x:v>Campus/portfolio roster; individual building occupancy unverified</x:v>
      </x:c>
      <x:c r="I4874" s="12" t="str">
        <x:v>Mixed business audience</x:v>
      </x:c>
      <x:c r="J4874" s="12" t="str">
        <x:v>IT &amp; digital</x:v>
      </x:c>
      <x:c r="K4874" s="2" t="str">
        <x:v>PARTNER-M252</x:v>
      </x:c>
    </x:row>
    <x:row r="4875" ht="46" customHeight="1">
      <x:c r="A4875" s="2" t="str">
        <x:v>TEN-C63AC00C4D11</x:v>
      </x:c>
      <x:c r="B4875" s="12" t="str">
        <x:v>Mphasis</x:v>
      </x:c>
      <x:c r="C4875" s="12" t="str">
        <x:v>CORP-0671</x:v>
      </x:c>
      <x:c r="D4875" s="12" t="str">
        <x:v>Pune</x:v>
      </x:c>
      <x:c r="E4875" s="12" t="str">
        <x:v>Magarpatta Cyberpark</x:v>
      </x:c>
      <x:c r="F4875" s="12" t="str">
        <x:v>55 inch</x:v>
      </x:c>
      <x:c r="G4875" s="20" t="n">
        <x:v>1</x:v>
      </x:c>
      <x:c r="H4875" s="12" t="str">
        <x:v>Campus/portfolio roster; individual building occupancy unverified</x:v>
      </x:c>
      <x:c r="I4875" s="12" t="str">
        <x:v>Large enterprise</x:v>
      </x:c>
      <x:c r="J4875" s="12" t="str">
        <x:v>IT &amp; digital</x:v>
      </x:c>
      <x:c r="K4875" s="2" t="str">
        <x:v>PARTNER-M252</x:v>
      </x:c>
    </x:row>
    <x:row r="4876" ht="46" customHeight="1">
      <x:c r="A4876" s="2" t="str">
        <x:v>TEN-C7CD4D8C8E32</x:v>
      </x:c>
      <x:c r="B4876" s="12" t="str">
        <x:v>Varian</x:v>
      </x:c>
      <x:c r="C4876" s="12" t="str">
        <x:v>CORP-0671</x:v>
      </x:c>
      <x:c r="D4876" s="12" t="str">
        <x:v>Pune</x:v>
      </x:c>
      <x:c r="E4876" s="12" t="str">
        <x:v>Magarpatta Cyberpark</x:v>
      </x:c>
      <x:c r="F4876" s="12" t="str">
        <x:v>55 inch</x:v>
      </x:c>
      <x:c r="G4876" s="20" t="n">
        <x:v>1</x:v>
      </x:c>
      <x:c r="H4876" s="12" t="str">
        <x:v>Campus/portfolio roster; individual building occupancy unverified</x:v>
      </x:c>
      <x:c r="I4876" s="12" t="str">
        <x:v>Mixed business audience</x:v>
      </x:c>
      <x:c r="J4876" s="12" t="str">
        <x:v>Healthcare &amp; life sciences</x:v>
      </x:c>
      <x:c r="K4876" s="2" t="str">
        <x:v>PARTNER-M252</x:v>
      </x:c>
    </x:row>
    <x:row r="4877" ht="46" customHeight="1">
      <x:c r="A4877" s="2" t="str">
        <x:v>TEN-E57E81EFDBB1</x:v>
      </x:c>
      <x:c r="B4877" s="12" t="str">
        <x:v>Deutsche Bank Group</x:v>
      </x:c>
      <x:c r="C4877" s="12" t="str">
        <x:v>CORP-0671</x:v>
      </x:c>
      <x:c r="D4877" s="12" t="str">
        <x:v>Pune</x:v>
      </x:c>
      <x:c r="E4877" s="12" t="str">
        <x:v>Magarpatta Cyberpark</x:v>
      </x:c>
      <x:c r="F4877" s="12" t="str">
        <x:v>55 inch</x:v>
      </x:c>
      <x:c r="G4877" s="20" t="n">
        <x:v>1</x:v>
      </x:c>
      <x:c r="H4877" s="12" t="str">
        <x:v>Campus/portfolio roster; individual building occupancy unverified</x:v>
      </x:c>
      <x:c r="I4877" s="12" t="str">
        <x:v>Large enterprise</x:v>
      </x:c>
      <x:c r="J4877" s="12" t="str">
        <x:v>Finance &amp; insurance</x:v>
      </x:c>
      <x:c r="K4877" s="2" t="str">
        <x:v>PARTNER-M252</x:v>
      </x:c>
    </x:row>
    <x:row r="4878" ht="46" customHeight="1">
      <x:c r="A4878" s="2" t="str">
        <x:v>TEN-E58C9634BF3A</x:v>
      </x:c>
      <x:c r="B4878" s="12" t="str">
        <x:v>John Deere</x:v>
      </x:c>
      <x:c r="C4878" s="12" t="str">
        <x:v>CORP-0671</x:v>
      </x:c>
      <x:c r="D4878" s="12" t="str">
        <x:v>Pune</x:v>
      </x:c>
      <x:c r="E4878" s="12" t="str">
        <x:v>Magarpatta Cyberpark</x:v>
      </x:c>
      <x:c r="F4878" s="12" t="str">
        <x:v>55 inch</x:v>
      </x:c>
      <x:c r="G4878" s="20" t="n">
        <x:v>1</x:v>
      </x:c>
      <x:c r="H4878" s="12" t="str">
        <x:v>Campus/portfolio roster; individual building occupancy unverified</x:v>
      </x:c>
      <x:c r="I4878" s="12" t="str">
        <x:v>Mixed business audience</x:v>
      </x:c>
      <x:c r="J4878" s="12" t="str">
        <x:v>Engineering &amp; manufacturing</x:v>
      </x:c>
      <x:c r="K4878" s="2" t="str">
        <x:v>PARTNER-M252</x:v>
      </x:c>
    </x:row>
    <x:row r="4879" ht="46" customHeight="1">
      <x:c r="A4879" s="2" t="str">
        <x:v>TEN-E73C14AD497C</x:v>
      </x:c>
      <x:c r="B4879" s="12" t="str">
        <x:v>Sybase</x:v>
      </x:c>
      <x:c r="C4879" s="12" t="str">
        <x:v>CORP-0671</x:v>
      </x:c>
      <x:c r="D4879" s="12" t="str">
        <x:v>Pune</x:v>
      </x:c>
      <x:c r="E4879" s="12" t="str">
        <x:v>Magarpatta Cyberpark</x:v>
      </x:c>
      <x:c r="F4879" s="12" t="str">
        <x:v>55 inch</x:v>
      </x:c>
      <x:c r="G4879" s="20" t="n">
        <x:v>1</x:v>
      </x:c>
      <x:c r="H4879" s="12" t="str">
        <x:v>Campus/portfolio roster; individual building occupancy unverified</x:v>
      </x:c>
      <x:c r="I4879" s="12" t="str">
        <x:v>Large enterprise</x:v>
      </x:c>
      <x:c r="J4879" s="12" t="str">
        <x:v>IT &amp; digital</x:v>
      </x:c>
      <x:c r="K4879" s="2" t="str">
        <x:v>PARTNER-M252</x:v>
      </x:c>
    </x:row>
    <x:row r="4880" ht="46" customHeight="1">
      <x:c r="A4880" s="2" t="str">
        <x:v>TEN-E9992F5DAD60</x:v>
      </x:c>
      <x:c r="B4880" s="12" t="str">
        <x:v>BNY Mellon</x:v>
      </x:c>
      <x:c r="C4880" s="12" t="str">
        <x:v>CORP-0671</x:v>
      </x:c>
      <x:c r="D4880" s="12" t="str">
        <x:v>Pune</x:v>
      </x:c>
      <x:c r="E4880" s="12" t="str">
        <x:v>Magarpatta Cyberpark</x:v>
      </x:c>
      <x:c r="F4880" s="12" t="str">
        <x:v>55 inch</x:v>
      </x:c>
      <x:c r="G4880" s="20" t="n">
        <x:v>1</x:v>
      </x:c>
      <x:c r="H4880" s="12" t="str">
        <x:v>Campus/portfolio roster; individual building occupancy unverified</x:v>
      </x:c>
      <x:c r="I4880" s="12" t="str">
        <x:v>Mixed business audience</x:v>
      </x:c>
      <x:c r="J4880" s="12" t="str">
        <x:v>Finance &amp; insurance</x:v>
      </x:c>
      <x:c r="K4880" s="2" t="str">
        <x:v>PARTNER-M252</x:v>
      </x:c>
    </x:row>
    <x:row r="4881" ht="46" customHeight="1">
      <x:c r="A4881" s="2" t="str">
        <x:v>TEN-EA6BCE5F47CF</x:v>
      </x:c>
      <x:c r="B4881" s="12" t="str">
        <x:v>Dresser Rand</x:v>
      </x:c>
      <x:c r="C4881" s="12" t="str">
        <x:v>CORP-0671</x:v>
      </x:c>
      <x:c r="D4881" s="12" t="str">
        <x:v>Pune</x:v>
      </x:c>
      <x:c r="E4881" s="12" t="str">
        <x:v>Magarpatta Cyberpark</x:v>
      </x:c>
      <x:c r="F4881" s="12" t="str">
        <x:v>55 inch</x:v>
      </x:c>
      <x:c r="G4881" s="20" t="n">
        <x:v>1</x:v>
      </x:c>
      <x:c r="H4881" s="12" t="str">
        <x:v>Campus/portfolio roster; individual building occupancy unverified</x:v>
      </x:c>
      <x:c r="I4881" s="12" t="str">
        <x:v>Mixed business audience</x:v>
      </x:c>
      <x:c r="J4881" s="12" t="str">
        <x:v>Engineering &amp; manufacturing</x:v>
      </x:c>
      <x:c r="K4881" s="2" t="str">
        <x:v>PARTNER-M252</x:v>
      </x:c>
    </x:row>
    <x:row r="4882" ht="46" customHeight="1">
      <x:c r="A4882" s="2" t="str">
        <x:v>TEN-EAF4D7735EC1</x:v>
      </x:c>
      <x:c r="B4882" s="12" t="str">
        <x:v>einfochips</x:v>
      </x:c>
      <x:c r="C4882" s="12" t="str">
        <x:v>CORP-0671</x:v>
      </x:c>
      <x:c r="D4882" s="12" t="str">
        <x:v>Pune</x:v>
      </x:c>
      <x:c r="E4882" s="12" t="str">
        <x:v>Magarpatta Cyberpark</x:v>
      </x:c>
      <x:c r="F4882" s="12" t="str">
        <x:v>55 inch</x:v>
      </x:c>
      <x:c r="G4882" s="20" t="n">
        <x:v>1</x:v>
      </x:c>
      <x:c r="H4882" s="12" t="str">
        <x:v>Campus/portfolio roster; individual building occupancy unverified</x:v>
      </x:c>
      <x:c r="I4882" s="12" t="str">
        <x:v>Large enterprise</x:v>
      </x:c>
      <x:c r="J4882" s="12" t="str">
        <x:v>Engineering &amp; manufacturing</x:v>
      </x:c>
      <x:c r="K4882" s="2" t="str">
        <x:v>PARTNER-M252</x:v>
      </x:c>
    </x:row>
    <x:row r="4883" ht="46" customHeight="1">
      <x:c r="A4883" s="2" t="str">
        <x:v>TEN-ED7BECFECA72</x:v>
      </x:c>
      <x:c r="B4883" s="12" t="str">
        <x:v>Xento</x:v>
      </x:c>
      <x:c r="C4883" s="12" t="str">
        <x:v>CORP-0671</x:v>
      </x:c>
      <x:c r="D4883" s="12" t="str">
        <x:v>Pune</x:v>
      </x:c>
      <x:c r="E4883" s="12" t="str">
        <x:v>Magarpatta Cyberpark</x:v>
      </x:c>
      <x:c r="F4883" s="12" t="str">
        <x:v>55 inch</x:v>
      </x:c>
      <x:c r="G4883" s="20" t="n">
        <x:v>1</x:v>
      </x:c>
      <x:c r="H4883" s="12" t="str">
        <x:v>Campus/portfolio roster; individual building occupancy unverified</x:v>
      </x:c>
      <x:c r="I4883" s="12" t="str">
        <x:v>Small-scale prospects</x:v>
      </x:c>
      <x:c r="J4883" s="12" t="str">
        <x:v>IT &amp; digital</x:v>
      </x:c>
      <x:c r="K4883" s="2" t="str">
        <x:v>PARTNER-M252</x:v>
      </x:c>
    </x:row>
    <x:row r="4884" ht="46" customHeight="1">
      <x:c r="A4884" s="2" t="str">
        <x:v>TEN-F55A85B2F2EB</x:v>
      </x:c>
      <x:c r="B4884" s="12" t="str">
        <x:v>Capgemini</x:v>
      </x:c>
      <x:c r="C4884" s="12" t="str">
        <x:v>CORP-0671</x:v>
      </x:c>
      <x:c r="D4884" s="12" t="str">
        <x:v>Pune</x:v>
      </x:c>
      <x:c r="E4884" s="12" t="str">
        <x:v>Magarpatta Cyberpark</x:v>
      </x:c>
      <x:c r="F4884" s="12" t="str">
        <x:v>55 inch</x:v>
      </x:c>
      <x:c r="G4884" s="20" t="n">
        <x:v>1</x:v>
      </x:c>
      <x:c r="H4884" s="12" t="str">
        <x:v>Campus/portfolio roster; individual building occupancy unverified</x:v>
      </x:c>
      <x:c r="I4884" s="12" t="str">
        <x:v>Large enterprise</x:v>
      </x:c>
      <x:c r="J4884" s="12" t="str">
        <x:v>IT &amp; digital</x:v>
      </x:c>
      <x:c r="K4884" s="2" t="str">
        <x:v>PARTNER-M252</x:v>
      </x:c>
    </x:row>
    <x:row r="4885" ht="46" customHeight="1">
      <x:c r="A4885" s="2" t="str">
        <x:v>TEN-028810317654</x:v>
      </x:c>
      <x:c r="B4885" s="12" t="str">
        <x:v>Hitachi Consulting</x:v>
      </x:c>
      <x:c r="C4885" s="12" t="str">
        <x:v>CORP-0672</x:v>
      </x:c>
      <x:c r="D4885" s="12" t="str">
        <x:v>Pune</x:v>
      </x:c>
      <x:c r="E4885" s="12" t="str">
        <x:v>Magarpatta Cyberpark</x:v>
      </x:c>
      <x:c r="F4885" s="12" t="str">
        <x:v>55 inch</x:v>
      </x:c>
      <x:c r="G4885" s="20" t="n">
        <x:v>1</x:v>
      </x:c>
      <x:c r="H4885" s="12" t="str">
        <x:v>Campus/portfolio roster; individual building occupancy unverified</x:v>
      </x:c>
      <x:c r="I4885" s="12" t="str">
        <x:v>Mixed business audience</x:v>
      </x:c>
      <x:c r="J4885" s="12" t="str">
        <x:v>IT &amp; digital</x:v>
      </x:c>
      <x:c r="K4885" s="2" t="str">
        <x:v>PARTNER-M252</x:v>
      </x:c>
    </x:row>
    <x:row r="4886" ht="46" customHeight="1">
      <x:c r="A4886" s="2" t="str">
        <x:v>TEN-0392C3B9EE62</x:v>
      </x:c>
      <x:c r="B4886" s="12" t="str">
        <x:v>Konecranes</x:v>
      </x:c>
      <x:c r="C4886" s="12" t="str">
        <x:v>CORP-0672</x:v>
      </x:c>
      <x:c r="D4886" s="12" t="str">
        <x:v>Pune</x:v>
      </x:c>
      <x:c r="E4886" s="12" t="str">
        <x:v>Magarpatta Cyberpark</x:v>
      </x:c>
      <x:c r="F4886" s="12" t="str">
        <x:v>55 inch</x:v>
      </x:c>
      <x:c r="G4886" s="20" t="n">
        <x:v>1</x:v>
      </x:c>
      <x:c r="H4886" s="12" t="str">
        <x:v>Campus/portfolio roster; individual building occupancy unverified</x:v>
      </x:c>
      <x:c r="I4886" s="12" t="str">
        <x:v>Mixed business audience</x:v>
      </x:c>
      <x:c r="J4886" s="12" t="str">
        <x:v>Engineering &amp; manufacturing</x:v>
      </x:c>
      <x:c r="K4886" s="2" t="str">
        <x:v>PARTNER-M252</x:v>
      </x:c>
    </x:row>
    <x:row r="4887" ht="46" customHeight="1">
      <x:c r="A4887" s="2" t="str">
        <x:v>TEN-0C4F9F7327E1</x:v>
      </x:c>
      <x:c r="B4887" s="12" t="str">
        <x:v>Ocwen</x:v>
      </x:c>
      <x:c r="C4887" s="12" t="str">
        <x:v>CORP-0672</x:v>
      </x:c>
      <x:c r="D4887" s="12" t="str">
        <x:v>Pune</x:v>
      </x:c>
      <x:c r="E4887" s="12" t="str">
        <x:v>Magarpatta Cyberpark</x:v>
      </x:c>
      <x:c r="F4887" s="12" t="str">
        <x:v>55 inch</x:v>
      </x:c>
      <x:c r="G4887" s="20" t="n">
        <x:v>1</x:v>
      </x:c>
      <x:c r="H4887" s="12" t="str">
        <x:v>Campus/portfolio roster; individual building occupancy unverified</x:v>
      </x:c>
      <x:c r="I4887" s="12" t="str">
        <x:v>Mixed business audience</x:v>
      </x:c>
      <x:c r="J4887" s="12" t="str">
        <x:v>Finance &amp; insurance</x:v>
      </x:c>
      <x:c r="K4887" s="2" t="str">
        <x:v>PARTNER-M252</x:v>
      </x:c>
    </x:row>
    <x:row r="4888" ht="46" customHeight="1">
      <x:c r="A4888" s="2" t="str">
        <x:v>TEN-37A9A152C42F</x:v>
      </x:c>
      <x:c r="B4888" s="12" t="str">
        <x:v>AppDirect</x:v>
      </x:c>
      <x:c r="C4888" s="12" t="str">
        <x:v>CORP-0672</x:v>
      </x:c>
      <x:c r="D4888" s="12" t="str">
        <x:v>Pune</x:v>
      </x:c>
      <x:c r="E4888" s="12" t="str">
        <x:v>Magarpatta Cyberpark</x:v>
      </x:c>
      <x:c r="F4888" s="12" t="str">
        <x:v>55 inch</x:v>
      </x:c>
      <x:c r="G4888" s="20" t="n">
        <x:v>1</x:v>
      </x:c>
      <x:c r="H4888" s="12" t="str">
        <x:v>Campus/portfolio roster; individual building occupancy unverified</x:v>
      </x:c>
      <x:c r="I4888" s="12" t="str">
        <x:v>Mixed business audience</x:v>
      </x:c>
      <x:c r="J4888" s="12" t="str">
        <x:v>IT &amp; digital</x:v>
      </x:c>
      <x:c r="K4888" s="2" t="str">
        <x:v>PARTNER-M252</x:v>
      </x:c>
    </x:row>
    <x:row r="4889" ht="46" customHeight="1">
      <x:c r="A4889" s="2" t="str">
        <x:v>TEN-45D9225952C7</x:v>
      </x:c>
      <x:c r="B4889" s="12" t="str">
        <x:v>TATA elxsi</x:v>
      </x:c>
      <x:c r="C4889" s="12" t="str">
        <x:v>CORP-0672</x:v>
      </x:c>
      <x:c r="D4889" s="12" t="str">
        <x:v>Pune</x:v>
      </x:c>
      <x:c r="E4889" s="12" t="str">
        <x:v>Magarpatta Cyberpark</x:v>
      </x:c>
      <x:c r="F4889" s="12" t="str">
        <x:v>55 inch</x:v>
      </x:c>
      <x:c r="G4889" s="20" t="n">
        <x:v>1</x:v>
      </x:c>
      <x:c r="H4889" s="12" t="str">
        <x:v>Campus/portfolio roster; individual building occupancy unverified</x:v>
      </x:c>
      <x:c r="I4889" s="12" t="str">
        <x:v>Large enterprise</x:v>
      </x:c>
      <x:c r="J4889" s="12" t="str">
        <x:v>IT &amp; digital</x:v>
      </x:c>
      <x:c r="K4889" s="2" t="str">
        <x:v>PARTNER-M252</x:v>
      </x:c>
    </x:row>
    <x:row r="4890" ht="46" customHeight="1">
      <x:c r="A4890" s="2" t="str">
        <x:v>TEN-6CA190D5260C</x:v>
      </x:c>
      <x:c r="B4890" s="12" t="str">
        <x:v>WNS</x:v>
      </x:c>
      <x:c r="C4890" s="12" t="str">
        <x:v>CORP-0672</x:v>
      </x:c>
      <x:c r="D4890" s="12" t="str">
        <x:v>Pune</x:v>
      </x:c>
      <x:c r="E4890" s="12" t="str">
        <x:v>Magarpatta Cyberpark</x:v>
      </x:c>
      <x:c r="F4890" s="12" t="str">
        <x:v>55 inch</x:v>
      </x:c>
      <x:c r="G4890" s="20" t="n">
        <x:v>1</x:v>
      </x:c>
      <x:c r="H4890" s="12" t="str">
        <x:v>Campus/portfolio roster; individual building occupancy unverified</x:v>
      </x:c>
      <x:c r="I4890" s="12" t="str">
        <x:v>Mixed business audience</x:v>
      </x:c>
      <x:c r="J4890" s="12" t="str">
        <x:v>IT &amp; digital</x:v>
      </x:c>
      <x:c r="K4890" s="2" t="str">
        <x:v>PARTNER-M252</x:v>
      </x:c>
    </x:row>
    <x:row r="4891" ht="46" customHeight="1">
      <x:c r="A4891" s="2" t="str">
        <x:v>TEN-6CE8BB6DCAD7</x:v>
      </x:c>
      <x:c r="B4891" s="12" t="str">
        <x:v>Systems Plus</x:v>
      </x:c>
      <x:c r="C4891" s="12" t="str">
        <x:v>CORP-0672</x:v>
      </x:c>
      <x:c r="D4891" s="12" t="str">
        <x:v>Pune</x:v>
      </x:c>
      <x:c r="E4891" s="12" t="str">
        <x:v>Magarpatta Cyberpark</x:v>
      </x:c>
      <x:c r="F4891" s="12" t="str">
        <x:v>55 inch</x:v>
      </x:c>
      <x:c r="G4891" s="20" t="n">
        <x:v>1</x:v>
      </x:c>
      <x:c r="H4891" s="12" t="str">
        <x:v>Campus/portfolio roster; individual building occupancy unverified</x:v>
      </x:c>
      <x:c r="I4891" s="12" t="str">
        <x:v>Small-scale prospects</x:v>
      </x:c>
      <x:c r="J4891" s="12" t="str">
        <x:v>IT &amp; digital</x:v>
      </x:c>
      <x:c r="K4891" s="2" t="str">
        <x:v>PARTNER-M252</x:v>
      </x:c>
    </x:row>
    <x:row r="4892" ht="46" customHeight="1">
      <x:c r="A4892" s="2" t="str">
        <x:v>TEN-7DE355F41161</x:v>
      </x:c>
      <x:c r="B4892" s="12" t="str">
        <x:v>Avaya</x:v>
      </x:c>
      <x:c r="C4892" s="12" t="str">
        <x:v>CORP-0672</x:v>
      </x:c>
      <x:c r="D4892" s="12" t="str">
        <x:v>Pune</x:v>
      </x:c>
      <x:c r="E4892" s="12" t="str">
        <x:v>Magarpatta Cyberpark</x:v>
      </x:c>
      <x:c r="F4892" s="12" t="str">
        <x:v>55 inch</x:v>
      </x:c>
      <x:c r="G4892" s="20" t="n">
        <x:v>1</x:v>
      </x:c>
      <x:c r="H4892" s="12" t="str">
        <x:v>Campus/portfolio roster; individual building occupancy unverified</x:v>
      </x:c>
      <x:c r="I4892" s="12" t="str">
        <x:v>Mixed business audience</x:v>
      </x:c>
      <x:c r="J4892" s="12" t="str">
        <x:v>IT &amp; digital</x:v>
      </x:c>
      <x:c r="K4892" s="2" t="str">
        <x:v>PARTNER-M252</x:v>
      </x:c>
    </x:row>
    <x:row r="4893" ht="46" customHeight="1">
      <x:c r="A4893" s="2" t="str">
        <x:v>TEN-866F70D2D0FF</x:v>
      </x:c>
      <x:c r="B4893" s="12" t="str">
        <x:v>CompuCom</x:v>
      </x:c>
      <x:c r="C4893" s="12" t="str">
        <x:v>CORP-0672</x:v>
      </x:c>
      <x:c r="D4893" s="12" t="str">
        <x:v>Pune</x:v>
      </x:c>
      <x:c r="E4893" s="12" t="str">
        <x:v>Magarpatta Cyberpark</x:v>
      </x:c>
      <x:c r="F4893" s="12" t="str">
        <x:v>55 inch</x:v>
      </x:c>
      <x:c r="G4893" s="20" t="n">
        <x:v>1</x:v>
      </x:c>
      <x:c r="H4893" s="12" t="str">
        <x:v>Campus/portfolio roster; individual building occupancy unverified</x:v>
      </x:c>
      <x:c r="I4893" s="12" t="str">
        <x:v>Mixed business audience</x:v>
      </x:c>
      <x:c r="J4893" s="12" t="str">
        <x:v>IT &amp; digital</x:v>
      </x:c>
      <x:c r="K4893" s="2" t="str">
        <x:v>PARTNER-M252</x:v>
      </x:c>
    </x:row>
    <x:row r="4894" ht="46" customHeight="1">
      <x:c r="A4894" s="2" t="str">
        <x:v>TEN-8DFE5E6CF73B</x:v>
      </x:c>
      <x:c r="B4894" s="12" t="str">
        <x:v>Red Hat</x:v>
      </x:c>
      <x:c r="C4894" s="12" t="str">
        <x:v>CORP-0672</x:v>
      </x:c>
      <x:c r="D4894" s="12" t="str">
        <x:v>Pune</x:v>
      </x:c>
      <x:c r="E4894" s="12" t="str">
        <x:v>Magarpatta Cyberpark</x:v>
      </x:c>
      <x:c r="F4894" s="12" t="str">
        <x:v>55 inch</x:v>
      </x:c>
      <x:c r="G4894" s="20" t="n">
        <x:v>1</x:v>
      </x:c>
      <x:c r="H4894" s="12" t="str">
        <x:v>Campus/portfolio roster; individual building occupancy unverified</x:v>
      </x:c>
      <x:c r="I4894" s="12" t="str">
        <x:v>Large enterprise</x:v>
      </x:c>
      <x:c r="J4894" s="12" t="str">
        <x:v>IT &amp; digital</x:v>
      </x:c>
      <x:c r="K4894" s="2" t="str">
        <x:v>PARTNER-M252</x:v>
      </x:c>
    </x:row>
    <x:row r="4895" ht="46" customHeight="1">
      <x:c r="A4895" s="2" t="str">
        <x:v>TEN-97ED95A681B4</x:v>
      </x:c>
      <x:c r="B4895" s="12" t="str">
        <x:v>Sutherland</x:v>
      </x:c>
      <x:c r="C4895" s="12" t="str">
        <x:v>CORP-0672</x:v>
      </x:c>
      <x:c r="D4895" s="12" t="str">
        <x:v>Pune</x:v>
      </x:c>
      <x:c r="E4895" s="12" t="str">
        <x:v>Magarpatta Cyberpark</x:v>
      </x:c>
      <x:c r="F4895" s="12" t="str">
        <x:v>55 inch</x:v>
      </x:c>
      <x:c r="G4895" s="20" t="n">
        <x:v>1</x:v>
      </x:c>
      <x:c r="H4895" s="12" t="str">
        <x:v>Campus/portfolio roster; individual building occupancy unverified</x:v>
      </x:c>
      <x:c r="I4895" s="12" t="str">
        <x:v>Mixed business audience</x:v>
      </x:c>
      <x:c r="J4895" s="12" t="str">
        <x:v>IT &amp; digital</x:v>
      </x:c>
      <x:c r="K4895" s="2" t="str">
        <x:v>PARTNER-M252</x:v>
      </x:c>
    </x:row>
    <x:row r="4896" ht="46" customHeight="1">
      <x:c r="A4896" s="2" t="str">
        <x:v>TEN-9CF1F6CEECDE</x:v>
      </x:c>
      <x:c r="B4896" s="12" t="str">
        <x:v>Springer Nature</x:v>
      </x:c>
      <x:c r="C4896" s="12" t="str">
        <x:v>CORP-0672</x:v>
      </x:c>
      <x:c r="D4896" s="12" t="str">
        <x:v>Pune</x:v>
      </x:c>
      <x:c r="E4896" s="12" t="str">
        <x:v>Magarpatta Cyberpark</x:v>
      </x:c>
      <x:c r="F4896" s="12" t="str">
        <x:v>55 inch</x:v>
      </x:c>
      <x:c r="G4896" s="20" t="n">
        <x:v>1</x:v>
      </x:c>
      <x:c r="H4896" s="12" t="str">
        <x:v>Campus/portfolio roster; individual building occupancy unverified</x:v>
      </x:c>
      <x:c r="I4896" s="12" t="str">
        <x:v>Mixed business audience</x:v>
      </x:c>
      <x:c r="J4896" s="12" t="str">
        <x:v>Education</x:v>
      </x:c>
      <x:c r="K4896" s="2" t="str">
        <x:v>PARTNER-M252</x:v>
      </x:c>
    </x:row>
    <x:row r="4897" ht="46" customHeight="1">
      <x:c r="A4897" s="2" t="str">
        <x:v>TEN-9CF8C9635F36</x:v>
      </x:c>
      <x:c r="B4897" s="12" t="str">
        <x:v>Teradata</x:v>
      </x:c>
      <x:c r="C4897" s="12" t="str">
        <x:v>CORP-0672</x:v>
      </x:c>
      <x:c r="D4897" s="12" t="str">
        <x:v>Pune</x:v>
      </x:c>
      <x:c r="E4897" s="12" t="str">
        <x:v>Magarpatta Cyberpark</x:v>
      </x:c>
      <x:c r="F4897" s="12" t="str">
        <x:v>55 inch</x:v>
      </x:c>
      <x:c r="G4897" s="20" t="n">
        <x:v>1</x:v>
      </x:c>
      <x:c r="H4897" s="12" t="str">
        <x:v>Campus/portfolio roster; individual building occupancy unverified</x:v>
      </x:c>
      <x:c r="I4897" s="12" t="str">
        <x:v>Mixed business audience</x:v>
      </x:c>
      <x:c r="J4897" s="12" t="str">
        <x:v>IT &amp; digital</x:v>
      </x:c>
      <x:c r="K4897" s="2" t="str">
        <x:v>PARTNER-M252</x:v>
      </x:c>
    </x:row>
    <x:row r="4898" ht="46" customHeight="1">
      <x:c r="A4898" s="2" t="str">
        <x:v>TEN-AAF6BBA77E60</x:v>
      </x:c>
      <x:c r="B4898" s="12" t="str">
        <x:v>Capita</x:v>
      </x:c>
      <x:c r="C4898" s="12" t="str">
        <x:v>CORP-0672</x:v>
      </x:c>
      <x:c r="D4898" s="12" t="str">
        <x:v>Pune</x:v>
      </x:c>
      <x:c r="E4898" s="12" t="str">
        <x:v>Magarpatta Cyberpark</x:v>
      </x:c>
      <x:c r="F4898" s="12" t="str">
        <x:v>55 inch</x:v>
      </x:c>
      <x:c r="G4898" s="20" t="n">
        <x:v>1</x:v>
      </x:c>
      <x:c r="H4898" s="12" t="str">
        <x:v>Campus/portfolio roster; individual building occupancy unverified</x:v>
      </x:c>
      <x:c r="I4898" s="12" t="str">
        <x:v>Mixed business audience</x:v>
      </x:c>
      <x:c r="J4898" s="12" t="str">
        <x:v>IT &amp; digital</x:v>
      </x:c>
      <x:c r="K4898" s="2" t="str">
        <x:v>PARTNER-M252</x:v>
      </x:c>
    </x:row>
    <x:row r="4899" ht="46" customHeight="1">
      <x:c r="A4899" s="2" t="str">
        <x:v>TEN-AB768939C131</x:v>
      </x:c>
      <x:c r="B4899" s="12" t="str">
        <x:v>UPS Logistics</x:v>
      </x:c>
      <x:c r="C4899" s="12" t="str">
        <x:v>CORP-0672</x:v>
      </x:c>
      <x:c r="D4899" s="12" t="str">
        <x:v>Pune</x:v>
      </x:c>
      <x:c r="E4899" s="12" t="str">
        <x:v>Magarpatta Cyberpark</x:v>
      </x:c>
      <x:c r="F4899" s="12" t="str">
        <x:v>55 inch</x:v>
      </x:c>
      <x:c r="G4899" s="20" t="n">
        <x:v>1</x:v>
      </x:c>
      <x:c r="H4899" s="12" t="str">
        <x:v>Campus/portfolio roster; individual building occupancy unverified</x:v>
      </x:c>
      <x:c r="I4899" s="12" t="str">
        <x:v>Mixed business audience</x:v>
      </x:c>
      <x:c r="J4899" s="12" t="str">
        <x:v>Trade, consumer &amp; logistics</x:v>
      </x:c>
      <x:c r="K4899" s="2" t="str">
        <x:v>PARTNER-M252</x:v>
      </x:c>
    </x:row>
    <x:row r="4900" ht="46" customHeight="1">
      <x:c r="A4900" s="2" t="str">
        <x:v>TEN-ACFE8450840B</x:v>
      </x:c>
      <x:c r="B4900" s="12" t="str">
        <x:v>HCL</x:v>
      </x:c>
      <x:c r="C4900" s="12" t="str">
        <x:v>CORP-0672</x:v>
      </x:c>
      <x:c r="D4900" s="12" t="str">
        <x:v>Pune</x:v>
      </x:c>
      <x:c r="E4900" s="12" t="str">
        <x:v>Magarpatta Cyberpark</x:v>
      </x:c>
      <x:c r="F4900" s="12" t="str">
        <x:v>55 inch</x:v>
      </x:c>
      <x:c r="G4900" s="20" t="n">
        <x:v>1</x:v>
      </x:c>
      <x:c r="H4900" s="12" t="str">
        <x:v>Campus/portfolio roster; individual building occupancy unverified</x:v>
      </x:c>
      <x:c r="I4900" s="12" t="str">
        <x:v>Large enterprise</x:v>
      </x:c>
      <x:c r="J4900" s="12" t="str">
        <x:v>IT &amp; digital</x:v>
      </x:c>
      <x:c r="K4900" s="2" t="str">
        <x:v>PARTNER-M252</x:v>
      </x:c>
    </x:row>
    <x:row r="4901" ht="46" customHeight="1">
      <x:c r="A4901" s="2" t="str">
        <x:v>TEN-B2036C6D16F6</x:v>
      </x:c>
      <x:c r="B4901" s="12" t="str">
        <x:v>Principal Global Services</x:v>
      </x:c>
      <x:c r="C4901" s="12" t="str">
        <x:v>CORP-0672</x:v>
      </x:c>
      <x:c r="D4901" s="12" t="str">
        <x:v>Pune</x:v>
      </x:c>
      <x:c r="E4901" s="12" t="str">
        <x:v>Magarpatta Cyberpark</x:v>
      </x:c>
      <x:c r="F4901" s="12" t="str">
        <x:v>55 inch</x:v>
      </x:c>
      <x:c r="G4901" s="20" t="n">
        <x:v>1</x:v>
      </x:c>
      <x:c r="H4901" s="12" t="str">
        <x:v>Campus/portfolio roster; individual building occupancy unverified</x:v>
      </x:c>
      <x:c r="I4901" s="12" t="str">
        <x:v>Mixed business audience</x:v>
      </x:c>
      <x:c r="J4901" s="12" t="str">
        <x:v>Finance &amp; insurance</x:v>
      </x:c>
      <x:c r="K4901" s="2" t="str">
        <x:v>PARTNER-M252</x:v>
      </x:c>
    </x:row>
    <x:row r="4902" ht="46" customHeight="1">
      <x:c r="A4902" s="2" t="str">
        <x:v>TEN-B5F5468E9428</x:v>
      </x:c>
      <x:c r="B4902" s="12" t="str">
        <x:v>Amdocs</x:v>
      </x:c>
      <x:c r="C4902" s="12" t="str">
        <x:v>CORP-0672</x:v>
      </x:c>
      <x:c r="D4902" s="12" t="str">
        <x:v>Pune</x:v>
      </x:c>
      <x:c r="E4902" s="12" t="str">
        <x:v>Magarpatta Cyberpark</x:v>
      </x:c>
      <x:c r="F4902" s="12" t="str">
        <x:v>55 inch</x:v>
      </x:c>
      <x:c r="G4902" s="20" t="n">
        <x:v>1</x:v>
      </x:c>
      <x:c r="H4902" s="12" t="str">
        <x:v>Campus/portfolio roster; individual building occupancy unverified</x:v>
      </x:c>
      <x:c r="I4902" s="12" t="str">
        <x:v>Mixed business audience</x:v>
      </x:c>
      <x:c r="J4902" s="12" t="str">
        <x:v>IT &amp; digital</x:v>
      </x:c>
      <x:c r="K4902" s="2" t="str">
        <x:v>PARTNER-M252</x:v>
      </x:c>
    </x:row>
    <x:row r="4903" ht="46" customHeight="1">
      <x:c r="A4903" s="2" t="str">
        <x:v>TEN-B7BEA343B08C</x:v>
      </x:c>
      <x:c r="B4903" s="12" t="str">
        <x:v>EXL</x:v>
      </x:c>
      <x:c r="C4903" s="12" t="str">
        <x:v>CORP-0672</x:v>
      </x:c>
      <x:c r="D4903" s="12" t="str">
        <x:v>Pune</x:v>
      </x:c>
      <x:c r="E4903" s="12" t="str">
        <x:v>Magarpatta Cyberpark</x:v>
      </x:c>
      <x:c r="F4903" s="12" t="str">
        <x:v>55 inch</x:v>
      </x:c>
      <x:c r="G4903" s="20" t="n">
        <x:v>1</x:v>
      </x:c>
      <x:c r="H4903" s="12" t="str">
        <x:v>Campus/portfolio roster; individual building occupancy unverified</x:v>
      </x:c>
      <x:c r="I4903" s="12" t="str">
        <x:v>Mixed business audience</x:v>
      </x:c>
      <x:c r="J4903" s="12" t="str">
        <x:v>IT &amp; digital</x:v>
      </x:c>
      <x:c r="K4903" s="2" t="str">
        <x:v>PARTNER-M252</x:v>
      </x:c>
    </x:row>
    <x:row r="4904" ht="46" customHeight="1">
      <x:c r="A4904" s="2" t="str">
        <x:v>TEN-BD31900BEB43</x:v>
      </x:c>
      <x:c r="B4904" s="12" t="str">
        <x:v>Reflexis</x:v>
      </x:c>
      <x:c r="C4904" s="12" t="str">
        <x:v>CORP-0672</x:v>
      </x:c>
      <x:c r="D4904" s="12" t="str">
        <x:v>Pune</x:v>
      </x:c>
      <x:c r="E4904" s="12" t="str">
        <x:v>Magarpatta Cyberpark</x:v>
      </x:c>
      <x:c r="F4904" s="12" t="str">
        <x:v>55 inch</x:v>
      </x:c>
      <x:c r="G4904" s="20" t="n">
        <x:v>1</x:v>
      </x:c>
      <x:c r="H4904" s="12" t="str">
        <x:v>Campus/portfolio roster; individual building occupancy unverified</x:v>
      </x:c>
      <x:c r="I4904" s="12" t="str">
        <x:v>Mixed business audience</x:v>
      </x:c>
      <x:c r="J4904" s="12" t="str">
        <x:v>IT &amp; digital</x:v>
      </x:c>
      <x:c r="K4904" s="2" t="str">
        <x:v>PARTNER-M252</x:v>
      </x:c>
    </x:row>
    <x:row r="4905" ht="46" customHeight="1">
      <x:c r="A4905" s="2" t="str">
        <x:v>TEN-BE37BBF098BB</x:v>
      </x:c>
      <x:c r="B4905" s="12" t="str">
        <x:v>Fico</x:v>
      </x:c>
      <x:c r="C4905" s="12" t="str">
        <x:v>CORP-0672</x:v>
      </x:c>
      <x:c r="D4905" s="12" t="str">
        <x:v>Pune</x:v>
      </x:c>
      <x:c r="E4905" s="12" t="str">
        <x:v>Magarpatta Cyberpark</x:v>
      </x:c>
      <x:c r="F4905" s="12" t="str">
        <x:v>55 inch</x:v>
      </x:c>
      <x:c r="G4905" s="20" t="n">
        <x:v>1</x:v>
      </x:c>
      <x:c r="H4905" s="12" t="str">
        <x:v>Campus/portfolio roster; individual building occupancy unverified</x:v>
      </x:c>
      <x:c r="I4905" s="12" t="str">
        <x:v>Mixed business audience</x:v>
      </x:c>
      <x:c r="J4905" s="12" t="str">
        <x:v>IT &amp; digital</x:v>
      </x:c>
      <x:c r="K4905" s="2" t="str">
        <x:v>PARTNER-M252</x:v>
      </x:c>
    </x:row>
    <x:row r="4906" ht="46" customHeight="1">
      <x:c r="A4906" s="2" t="str">
        <x:v>TEN-C63AC00C4D11</x:v>
      </x:c>
      <x:c r="B4906" s="12" t="str">
        <x:v>Mphasis</x:v>
      </x:c>
      <x:c r="C4906" s="12" t="str">
        <x:v>CORP-0672</x:v>
      </x:c>
      <x:c r="D4906" s="12" t="str">
        <x:v>Pune</x:v>
      </x:c>
      <x:c r="E4906" s="12" t="str">
        <x:v>Magarpatta Cyberpark</x:v>
      </x:c>
      <x:c r="F4906" s="12" t="str">
        <x:v>55 inch</x:v>
      </x:c>
      <x:c r="G4906" s="20" t="n">
        <x:v>1</x:v>
      </x:c>
      <x:c r="H4906" s="12" t="str">
        <x:v>Campus/portfolio roster; individual building occupancy unverified</x:v>
      </x:c>
      <x:c r="I4906" s="12" t="str">
        <x:v>Large enterprise</x:v>
      </x:c>
      <x:c r="J4906" s="12" t="str">
        <x:v>IT &amp; digital</x:v>
      </x:c>
      <x:c r="K4906" s="2" t="str">
        <x:v>PARTNER-M252</x:v>
      </x:c>
    </x:row>
    <x:row r="4907" ht="46" customHeight="1">
      <x:c r="A4907" s="2" t="str">
        <x:v>TEN-C7CD4D8C8E32</x:v>
      </x:c>
      <x:c r="B4907" s="12" t="str">
        <x:v>Varian</x:v>
      </x:c>
      <x:c r="C4907" s="12" t="str">
        <x:v>CORP-0672</x:v>
      </x:c>
      <x:c r="D4907" s="12" t="str">
        <x:v>Pune</x:v>
      </x:c>
      <x:c r="E4907" s="12" t="str">
        <x:v>Magarpatta Cyberpark</x:v>
      </x:c>
      <x:c r="F4907" s="12" t="str">
        <x:v>55 inch</x:v>
      </x:c>
      <x:c r="G4907" s="20" t="n">
        <x:v>1</x:v>
      </x:c>
      <x:c r="H4907" s="12" t="str">
        <x:v>Campus/portfolio roster; individual building occupancy unverified</x:v>
      </x:c>
      <x:c r="I4907" s="12" t="str">
        <x:v>Mixed business audience</x:v>
      </x:c>
      <x:c r="J4907" s="12" t="str">
        <x:v>Healthcare &amp; life sciences</x:v>
      </x:c>
      <x:c r="K4907" s="2" t="str">
        <x:v>PARTNER-M252</x:v>
      </x:c>
    </x:row>
    <x:row r="4908" ht="46" customHeight="1">
      <x:c r="A4908" s="2" t="str">
        <x:v>TEN-E57E81EFDBB1</x:v>
      </x:c>
      <x:c r="B4908" s="12" t="str">
        <x:v>Deutsche Bank Group</x:v>
      </x:c>
      <x:c r="C4908" s="12" t="str">
        <x:v>CORP-0672</x:v>
      </x:c>
      <x:c r="D4908" s="12" t="str">
        <x:v>Pune</x:v>
      </x:c>
      <x:c r="E4908" s="12" t="str">
        <x:v>Magarpatta Cyberpark</x:v>
      </x:c>
      <x:c r="F4908" s="12" t="str">
        <x:v>55 inch</x:v>
      </x:c>
      <x:c r="G4908" s="20" t="n">
        <x:v>1</x:v>
      </x:c>
      <x:c r="H4908" s="12" t="str">
        <x:v>Campus/portfolio roster; individual building occupancy unverified</x:v>
      </x:c>
      <x:c r="I4908" s="12" t="str">
        <x:v>Large enterprise</x:v>
      </x:c>
      <x:c r="J4908" s="12" t="str">
        <x:v>Finance &amp; insurance</x:v>
      </x:c>
      <x:c r="K4908" s="2" t="str">
        <x:v>PARTNER-M252</x:v>
      </x:c>
    </x:row>
    <x:row r="4909" ht="46" customHeight="1">
      <x:c r="A4909" s="2" t="str">
        <x:v>TEN-E58C9634BF3A</x:v>
      </x:c>
      <x:c r="B4909" s="12" t="str">
        <x:v>John Deere</x:v>
      </x:c>
      <x:c r="C4909" s="12" t="str">
        <x:v>CORP-0672</x:v>
      </x:c>
      <x:c r="D4909" s="12" t="str">
        <x:v>Pune</x:v>
      </x:c>
      <x:c r="E4909" s="12" t="str">
        <x:v>Magarpatta Cyberpark</x:v>
      </x:c>
      <x:c r="F4909" s="12" t="str">
        <x:v>55 inch</x:v>
      </x:c>
      <x:c r="G4909" s="20" t="n">
        <x:v>1</x:v>
      </x:c>
      <x:c r="H4909" s="12" t="str">
        <x:v>Campus/portfolio roster; individual building occupancy unverified</x:v>
      </x:c>
      <x:c r="I4909" s="12" t="str">
        <x:v>Mixed business audience</x:v>
      </x:c>
      <x:c r="J4909" s="12" t="str">
        <x:v>Engineering &amp; manufacturing</x:v>
      </x:c>
      <x:c r="K4909" s="2" t="str">
        <x:v>PARTNER-M252</x:v>
      </x:c>
    </x:row>
    <x:row r="4910" ht="46" customHeight="1">
      <x:c r="A4910" s="2" t="str">
        <x:v>TEN-E73C14AD497C</x:v>
      </x:c>
      <x:c r="B4910" s="12" t="str">
        <x:v>Sybase</x:v>
      </x:c>
      <x:c r="C4910" s="12" t="str">
        <x:v>CORP-0672</x:v>
      </x:c>
      <x:c r="D4910" s="12" t="str">
        <x:v>Pune</x:v>
      </x:c>
      <x:c r="E4910" s="12" t="str">
        <x:v>Magarpatta Cyberpark</x:v>
      </x:c>
      <x:c r="F4910" s="12" t="str">
        <x:v>55 inch</x:v>
      </x:c>
      <x:c r="G4910" s="20" t="n">
        <x:v>1</x:v>
      </x:c>
      <x:c r="H4910" s="12" t="str">
        <x:v>Campus/portfolio roster; individual building occupancy unverified</x:v>
      </x:c>
      <x:c r="I4910" s="12" t="str">
        <x:v>Large enterprise</x:v>
      </x:c>
      <x:c r="J4910" s="12" t="str">
        <x:v>IT &amp; digital</x:v>
      </x:c>
      <x:c r="K4910" s="2" t="str">
        <x:v>PARTNER-M252</x:v>
      </x:c>
    </x:row>
    <x:row r="4911" ht="46" customHeight="1">
      <x:c r="A4911" s="2" t="str">
        <x:v>TEN-E9992F5DAD60</x:v>
      </x:c>
      <x:c r="B4911" s="12" t="str">
        <x:v>BNY Mellon</x:v>
      </x:c>
      <x:c r="C4911" s="12" t="str">
        <x:v>CORP-0672</x:v>
      </x:c>
      <x:c r="D4911" s="12" t="str">
        <x:v>Pune</x:v>
      </x:c>
      <x:c r="E4911" s="12" t="str">
        <x:v>Magarpatta Cyberpark</x:v>
      </x:c>
      <x:c r="F4911" s="12" t="str">
        <x:v>55 inch</x:v>
      </x:c>
      <x:c r="G4911" s="20" t="n">
        <x:v>1</x:v>
      </x:c>
      <x:c r="H4911" s="12" t="str">
        <x:v>Campus/portfolio roster; individual building occupancy unverified</x:v>
      </x:c>
      <x:c r="I4911" s="12" t="str">
        <x:v>Mixed business audience</x:v>
      </x:c>
      <x:c r="J4911" s="12" t="str">
        <x:v>Finance &amp; insurance</x:v>
      </x:c>
      <x:c r="K4911" s="2" t="str">
        <x:v>PARTNER-M252</x:v>
      </x:c>
    </x:row>
    <x:row r="4912" ht="46" customHeight="1">
      <x:c r="A4912" s="2" t="str">
        <x:v>TEN-EA6BCE5F47CF</x:v>
      </x:c>
      <x:c r="B4912" s="12" t="str">
        <x:v>Dresser Rand</x:v>
      </x:c>
      <x:c r="C4912" s="12" t="str">
        <x:v>CORP-0672</x:v>
      </x:c>
      <x:c r="D4912" s="12" t="str">
        <x:v>Pune</x:v>
      </x:c>
      <x:c r="E4912" s="12" t="str">
        <x:v>Magarpatta Cyberpark</x:v>
      </x:c>
      <x:c r="F4912" s="12" t="str">
        <x:v>55 inch</x:v>
      </x:c>
      <x:c r="G4912" s="20" t="n">
        <x:v>1</x:v>
      </x:c>
      <x:c r="H4912" s="12" t="str">
        <x:v>Campus/portfolio roster; individual building occupancy unverified</x:v>
      </x:c>
      <x:c r="I4912" s="12" t="str">
        <x:v>Mixed business audience</x:v>
      </x:c>
      <x:c r="J4912" s="12" t="str">
        <x:v>Engineering &amp; manufacturing</x:v>
      </x:c>
      <x:c r="K4912" s="2" t="str">
        <x:v>PARTNER-M252</x:v>
      </x:c>
    </x:row>
    <x:row r="4913" ht="46" customHeight="1">
      <x:c r="A4913" s="2" t="str">
        <x:v>TEN-EAF4D7735EC1</x:v>
      </x:c>
      <x:c r="B4913" s="12" t="str">
        <x:v>einfochips</x:v>
      </x:c>
      <x:c r="C4913" s="12" t="str">
        <x:v>CORP-0672</x:v>
      </x:c>
      <x:c r="D4913" s="12" t="str">
        <x:v>Pune</x:v>
      </x:c>
      <x:c r="E4913" s="12" t="str">
        <x:v>Magarpatta Cyberpark</x:v>
      </x:c>
      <x:c r="F4913" s="12" t="str">
        <x:v>55 inch</x:v>
      </x:c>
      <x:c r="G4913" s="20" t="n">
        <x:v>1</x:v>
      </x:c>
      <x:c r="H4913" s="12" t="str">
        <x:v>Campus/portfolio roster; individual building occupancy unverified</x:v>
      </x:c>
      <x:c r="I4913" s="12" t="str">
        <x:v>Large enterprise</x:v>
      </x:c>
      <x:c r="J4913" s="12" t="str">
        <x:v>Engineering &amp; manufacturing</x:v>
      </x:c>
      <x:c r="K4913" s="2" t="str">
        <x:v>PARTNER-M252</x:v>
      </x:c>
    </x:row>
    <x:row r="4914" ht="46" customHeight="1">
      <x:c r="A4914" s="2" t="str">
        <x:v>TEN-ED7BECFECA72</x:v>
      </x:c>
      <x:c r="B4914" s="12" t="str">
        <x:v>Xento</x:v>
      </x:c>
      <x:c r="C4914" s="12" t="str">
        <x:v>CORP-0672</x:v>
      </x:c>
      <x:c r="D4914" s="12" t="str">
        <x:v>Pune</x:v>
      </x:c>
      <x:c r="E4914" s="12" t="str">
        <x:v>Magarpatta Cyberpark</x:v>
      </x:c>
      <x:c r="F4914" s="12" t="str">
        <x:v>55 inch</x:v>
      </x:c>
      <x:c r="G4914" s="20" t="n">
        <x:v>1</x:v>
      </x:c>
      <x:c r="H4914" s="12" t="str">
        <x:v>Campus/portfolio roster; individual building occupancy unverified</x:v>
      </x:c>
      <x:c r="I4914" s="12" t="str">
        <x:v>Small-scale prospects</x:v>
      </x:c>
      <x:c r="J4914" s="12" t="str">
        <x:v>IT &amp; digital</x:v>
      </x:c>
      <x:c r="K4914" s="2" t="str">
        <x:v>PARTNER-M252</x:v>
      </x:c>
    </x:row>
    <x:row r="4915" ht="46" customHeight="1">
      <x:c r="A4915" s="2" t="str">
        <x:v>TEN-F55A85B2F2EB</x:v>
      </x:c>
      <x:c r="B4915" s="12" t="str">
        <x:v>Capgemini</x:v>
      </x:c>
      <x:c r="C4915" s="12" t="str">
        <x:v>CORP-0672</x:v>
      </x:c>
      <x:c r="D4915" s="12" t="str">
        <x:v>Pune</x:v>
      </x:c>
      <x:c r="E4915" s="12" t="str">
        <x:v>Magarpatta Cyberpark</x:v>
      </x:c>
      <x:c r="F4915" s="12" t="str">
        <x:v>55 inch</x:v>
      </x:c>
      <x:c r="G4915" s="20" t="n">
        <x:v>1</x:v>
      </x:c>
      <x:c r="H4915" s="12" t="str">
        <x:v>Campus/portfolio roster; individual building occupancy unverified</x:v>
      </x:c>
      <x:c r="I4915" s="12" t="str">
        <x:v>Large enterprise</x:v>
      </x:c>
      <x:c r="J4915" s="12" t="str">
        <x:v>IT &amp; digital</x:v>
      </x:c>
      <x:c r="K4915" s="2" t="str">
        <x:v>PARTNER-M252</x:v>
      </x:c>
    </x:row>
    <x:row r="4916" ht="46" customHeight="1">
      <x:c r="A4916" s="2" t="str">
        <x:v>TEN-028810317654</x:v>
      </x:c>
      <x:c r="B4916" s="12" t="str">
        <x:v>Hitachi Consulting</x:v>
      </x:c>
      <x:c r="C4916" s="12" t="str">
        <x:v>CORP-0673</x:v>
      </x:c>
      <x:c r="D4916" s="12" t="str">
        <x:v>Pune</x:v>
      </x:c>
      <x:c r="E4916" s="12" t="str">
        <x:v>Magarpatta Cyberpark</x:v>
      </x:c>
      <x:c r="F4916" s="12" t="str">
        <x:v>55 inch</x:v>
      </x:c>
      <x:c r="G4916" s="20" t="n">
        <x:v>1</x:v>
      </x:c>
      <x:c r="H4916" s="12" t="str">
        <x:v>Campus/portfolio roster; individual building occupancy unverified</x:v>
      </x:c>
      <x:c r="I4916" s="12" t="str">
        <x:v>Mixed business audience</x:v>
      </x:c>
      <x:c r="J4916" s="12" t="str">
        <x:v>IT &amp; digital</x:v>
      </x:c>
      <x:c r="K4916" s="2" t="str">
        <x:v>PARTNER-M252</x:v>
      </x:c>
    </x:row>
    <x:row r="4917" ht="46" customHeight="1">
      <x:c r="A4917" s="2" t="str">
        <x:v>TEN-0392C3B9EE62</x:v>
      </x:c>
      <x:c r="B4917" s="12" t="str">
        <x:v>Konecranes</x:v>
      </x:c>
      <x:c r="C4917" s="12" t="str">
        <x:v>CORP-0673</x:v>
      </x:c>
      <x:c r="D4917" s="12" t="str">
        <x:v>Pune</x:v>
      </x:c>
      <x:c r="E4917" s="12" t="str">
        <x:v>Magarpatta Cyberpark</x:v>
      </x:c>
      <x:c r="F4917" s="12" t="str">
        <x:v>55 inch</x:v>
      </x:c>
      <x:c r="G4917" s="20" t="n">
        <x:v>1</x:v>
      </x:c>
      <x:c r="H4917" s="12" t="str">
        <x:v>Campus/portfolio roster; individual building occupancy unverified</x:v>
      </x:c>
      <x:c r="I4917" s="12" t="str">
        <x:v>Mixed business audience</x:v>
      </x:c>
      <x:c r="J4917" s="12" t="str">
        <x:v>Engineering &amp; manufacturing</x:v>
      </x:c>
      <x:c r="K4917" s="2" t="str">
        <x:v>PARTNER-M252</x:v>
      </x:c>
    </x:row>
    <x:row r="4918" ht="46" customHeight="1">
      <x:c r="A4918" s="2" t="str">
        <x:v>TEN-0C4F9F7327E1</x:v>
      </x:c>
      <x:c r="B4918" s="12" t="str">
        <x:v>Ocwen</x:v>
      </x:c>
      <x:c r="C4918" s="12" t="str">
        <x:v>CORP-0673</x:v>
      </x:c>
      <x:c r="D4918" s="12" t="str">
        <x:v>Pune</x:v>
      </x:c>
      <x:c r="E4918" s="12" t="str">
        <x:v>Magarpatta Cyberpark</x:v>
      </x:c>
      <x:c r="F4918" s="12" t="str">
        <x:v>55 inch</x:v>
      </x:c>
      <x:c r="G4918" s="20" t="n">
        <x:v>1</x:v>
      </x:c>
      <x:c r="H4918" s="12" t="str">
        <x:v>Campus/portfolio roster; individual building occupancy unverified</x:v>
      </x:c>
      <x:c r="I4918" s="12" t="str">
        <x:v>Mixed business audience</x:v>
      </x:c>
      <x:c r="J4918" s="12" t="str">
        <x:v>Finance &amp; insurance</x:v>
      </x:c>
      <x:c r="K4918" s="2" t="str">
        <x:v>PARTNER-M252</x:v>
      </x:c>
    </x:row>
    <x:row r="4919" ht="46" customHeight="1">
      <x:c r="A4919" s="2" t="str">
        <x:v>TEN-37A9A152C42F</x:v>
      </x:c>
      <x:c r="B4919" s="12" t="str">
        <x:v>AppDirect</x:v>
      </x:c>
      <x:c r="C4919" s="12" t="str">
        <x:v>CORP-0673</x:v>
      </x:c>
      <x:c r="D4919" s="12" t="str">
        <x:v>Pune</x:v>
      </x:c>
      <x:c r="E4919" s="12" t="str">
        <x:v>Magarpatta Cyberpark</x:v>
      </x:c>
      <x:c r="F4919" s="12" t="str">
        <x:v>55 inch</x:v>
      </x:c>
      <x:c r="G4919" s="20" t="n">
        <x:v>1</x:v>
      </x:c>
      <x:c r="H4919" s="12" t="str">
        <x:v>Campus/portfolio roster; individual building occupancy unverified</x:v>
      </x:c>
      <x:c r="I4919" s="12" t="str">
        <x:v>Mixed business audience</x:v>
      </x:c>
      <x:c r="J4919" s="12" t="str">
        <x:v>IT &amp; digital</x:v>
      </x:c>
      <x:c r="K4919" s="2" t="str">
        <x:v>PARTNER-M252</x:v>
      </x:c>
    </x:row>
    <x:row r="4920" ht="46" customHeight="1">
      <x:c r="A4920" s="2" t="str">
        <x:v>TEN-45D9225952C7</x:v>
      </x:c>
      <x:c r="B4920" s="12" t="str">
        <x:v>TATA elxsi</x:v>
      </x:c>
      <x:c r="C4920" s="12" t="str">
        <x:v>CORP-0673</x:v>
      </x:c>
      <x:c r="D4920" s="12" t="str">
        <x:v>Pune</x:v>
      </x:c>
      <x:c r="E4920" s="12" t="str">
        <x:v>Magarpatta Cyberpark</x:v>
      </x:c>
      <x:c r="F4920" s="12" t="str">
        <x:v>55 inch</x:v>
      </x:c>
      <x:c r="G4920" s="20" t="n">
        <x:v>1</x:v>
      </x:c>
      <x:c r="H4920" s="12" t="str">
        <x:v>Campus/portfolio roster; individual building occupancy unverified</x:v>
      </x:c>
      <x:c r="I4920" s="12" t="str">
        <x:v>Large enterprise</x:v>
      </x:c>
      <x:c r="J4920" s="12" t="str">
        <x:v>IT &amp; digital</x:v>
      </x:c>
      <x:c r="K4920" s="2" t="str">
        <x:v>PARTNER-M252</x:v>
      </x:c>
    </x:row>
    <x:row r="4921" ht="46" customHeight="1">
      <x:c r="A4921" s="2" t="str">
        <x:v>TEN-6CA190D5260C</x:v>
      </x:c>
      <x:c r="B4921" s="12" t="str">
        <x:v>WNS</x:v>
      </x:c>
      <x:c r="C4921" s="12" t="str">
        <x:v>CORP-0673</x:v>
      </x:c>
      <x:c r="D4921" s="12" t="str">
        <x:v>Pune</x:v>
      </x:c>
      <x:c r="E4921" s="12" t="str">
        <x:v>Magarpatta Cyberpark</x:v>
      </x:c>
      <x:c r="F4921" s="12" t="str">
        <x:v>55 inch</x:v>
      </x:c>
      <x:c r="G4921" s="20" t="n">
        <x:v>1</x:v>
      </x:c>
      <x:c r="H4921" s="12" t="str">
        <x:v>Campus/portfolio roster; individual building occupancy unverified</x:v>
      </x:c>
      <x:c r="I4921" s="12" t="str">
        <x:v>Mixed business audience</x:v>
      </x:c>
      <x:c r="J4921" s="12" t="str">
        <x:v>IT &amp; digital</x:v>
      </x:c>
      <x:c r="K4921" s="2" t="str">
        <x:v>PARTNER-M252</x:v>
      </x:c>
    </x:row>
    <x:row r="4922" ht="46" customHeight="1">
      <x:c r="A4922" s="2" t="str">
        <x:v>TEN-6CE8BB6DCAD7</x:v>
      </x:c>
      <x:c r="B4922" s="12" t="str">
        <x:v>Systems Plus</x:v>
      </x:c>
      <x:c r="C4922" s="12" t="str">
        <x:v>CORP-0673</x:v>
      </x:c>
      <x:c r="D4922" s="12" t="str">
        <x:v>Pune</x:v>
      </x:c>
      <x:c r="E4922" s="12" t="str">
        <x:v>Magarpatta Cyberpark</x:v>
      </x:c>
      <x:c r="F4922" s="12" t="str">
        <x:v>55 inch</x:v>
      </x:c>
      <x:c r="G4922" s="20" t="n">
        <x:v>1</x:v>
      </x:c>
      <x:c r="H4922" s="12" t="str">
        <x:v>Campus/portfolio roster; individual building occupancy unverified</x:v>
      </x:c>
      <x:c r="I4922" s="12" t="str">
        <x:v>Small-scale prospects</x:v>
      </x:c>
      <x:c r="J4922" s="12" t="str">
        <x:v>IT &amp; digital</x:v>
      </x:c>
      <x:c r="K4922" s="2" t="str">
        <x:v>PARTNER-M252</x:v>
      </x:c>
    </x:row>
    <x:row r="4923" ht="46" customHeight="1">
      <x:c r="A4923" s="2" t="str">
        <x:v>TEN-7DE355F41161</x:v>
      </x:c>
      <x:c r="B4923" s="12" t="str">
        <x:v>Avaya</x:v>
      </x:c>
      <x:c r="C4923" s="12" t="str">
        <x:v>CORP-0673</x:v>
      </x:c>
      <x:c r="D4923" s="12" t="str">
        <x:v>Pune</x:v>
      </x:c>
      <x:c r="E4923" s="12" t="str">
        <x:v>Magarpatta Cyberpark</x:v>
      </x:c>
      <x:c r="F4923" s="12" t="str">
        <x:v>55 inch</x:v>
      </x:c>
      <x:c r="G4923" s="20" t="n">
        <x:v>1</x:v>
      </x:c>
      <x:c r="H4923" s="12" t="str">
        <x:v>Campus/portfolio roster; individual building occupancy unverified</x:v>
      </x:c>
      <x:c r="I4923" s="12" t="str">
        <x:v>Mixed business audience</x:v>
      </x:c>
      <x:c r="J4923" s="12" t="str">
        <x:v>IT &amp; digital</x:v>
      </x:c>
      <x:c r="K4923" s="2" t="str">
        <x:v>PARTNER-M252</x:v>
      </x:c>
    </x:row>
    <x:row r="4924" ht="46" customHeight="1">
      <x:c r="A4924" s="2" t="str">
        <x:v>TEN-866F70D2D0FF</x:v>
      </x:c>
      <x:c r="B4924" s="12" t="str">
        <x:v>CompuCom</x:v>
      </x:c>
      <x:c r="C4924" s="12" t="str">
        <x:v>CORP-0673</x:v>
      </x:c>
      <x:c r="D4924" s="12" t="str">
        <x:v>Pune</x:v>
      </x:c>
      <x:c r="E4924" s="12" t="str">
        <x:v>Magarpatta Cyberpark</x:v>
      </x:c>
      <x:c r="F4924" s="12" t="str">
        <x:v>55 inch</x:v>
      </x:c>
      <x:c r="G4924" s="20" t="n">
        <x:v>1</x:v>
      </x:c>
      <x:c r="H4924" s="12" t="str">
        <x:v>Campus/portfolio roster; individual building occupancy unverified</x:v>
      </x:c>
      <x:c r="I4924" s="12" t="str">
        <x:v>Mixed business audience</x:v>
      </x:c>
      <x:c r="J4924" s="12" t="str">
        <x:v>IT &amp; digital</x:v>
      </x:c>
      <x:c r="K4924" s="2" t="str">
        <x:v>PARTNER-M252</x:v>
      </x:c>
    </x:row>
    <x:row r="4925" ht="46" customHeight="1">
      <x:c r="A4925" s="2" t="str">
        <x:v>TEN-8DFE5E6CF73B</x:v>
      </x:c>
      <x:c r="B4925" s="12" t="str">
        <x:v>Red Hat</x:v>
      </x:c>
      <x:c r="C4925" s="12" t="str">
        <x:v>CORP-0673</x:v>
      </x:c>
      <x:c r="D4925" s="12" t="str">
        <x:v>Pune</x:v>
      </x:c>
      <x:c r="E4925" s="12" t="str">
        <x:v>Magarpatta Cyberpark</x:v>
      </x:c>
      <x:c r="F4925" s="12" t="str">
        <x:v>55 inch</x:v>
      </x:c>
      <x:c r="G4925" s="20" t="n">
        <x:v>1</x:v>
      </x:c>
      <x:c r="H4925" s="12" t="str">
        <x:v>Campus/portfolio roster; individual building occupancy unverified</x:v>
      </x:c>
      <x:c r="I4925" s="12" t="str">
        <x:v>Large enterprise</x:v>
      </x:c>
      <x:c r="J4925" s="12" t="str">
        <x:v>IT &amp; digital</x:v>
      </x:c>
      <x:c r="K4925" s="2" t="str">
        <x:v>PARTNER-M252</x:v>
      </x:c>
    </x:row>
    <x:row r="4926" ht="46" customHeight="1">
      <x:c r="A4926" s="2" t="str">
        <x:v>TEN-97ED95A681B4</x:v>
      </x:c>
      <x:c r="B4926" s="12" t="str">
        <x:v>Sutherland</x:v>
      </x:c>
      <x:c r="C4926" s="12" t="str">
        <x:v>CORP-0673</x:v>
      </x:c>
      <x:c r="D4926" s="12" t="str">
        <x:v>Pune</x:v>
      </x:c>
      <x:c r="E4926" s="12" t="str">
        <x:v>Magarpatta Cyberpark</x:v>
      </x:c>
      <x:c r="F4926" s="12" t="str">
        <x:v>55 inch</x:v>
      </x:c>
      <x:c r="G4926" s="20" t="n">
        <x:v>1</x:v>
      </x:c>
      <x:c r="H4926" s="12" t="str">
        <x:v>Campus/portfolio roster; individual building occupancy unverified</x:v>
      </x:c>
      <x:c r="I4926" s="12" t="str">
        <x:v>Mixed business audience</x:v>
      </x:c>
      <x:c r="J4926" s="12" t="str">
        <x:v>IT &amp; digital</x:v>
      </x:c>
      <x:c r="K4926" s="2" t="str">
        <x:v>PARTNER-M252</x:v>
      </x:c>
    </x:row>
    <x:row r="4927" ht="46" customHeight="1">
      <x:c r="A4927" s="2" t="str">
        <x:v>TEN-9CF1F6CEECDE</x:v>
      </x:c>
      <x:c r="B4927" s="12" t="str">
        <x:v>Springer Nature</x:v>
      </x:c>
      <x:c r="C4927" s="12" t="str">
        <x:v>CORP-0673</x:v>
      </x:c>
      <x:c r="D4927" s="12" t="str">
        <x:v>Pune</x:v>
      </x:c>
      <x:c r="E4927" s="12" t="str">
        <x:v>Magarpatta Cyberpark</x:v>
      </x:c>
      <x:c r="F4927" s="12" t="str">
        <x:v>55 inch</x:v>
      </x:c>
      <x:c r="G4927" s="20" t="n">
        <x:v>1</x:v>
      </x:c>
      <x:c r="H4927" s="12" t="str">
        <x:v>Campus/portfolio roster; individual building occupancy unverified</x:v>
      </x:c>
      <x:c r="I4927" s="12" t="str">
        <x:v>Mixed business audience</x:v>
      </x:c>
      <x:c r="J4927" s="12" t="str">
        <x:v>Education</x:v>
      </x:c>
      <x:c r="K4927" s="2" t="str">
        <x:v>PARTNER-M252</x:v>
      </x:c>
    </x:row>
    <x:row r="4928" ht="46" customHeight="1">
      <x:c r="A4928" s="2" t="str">
        <x:v>TEN-9CF8C9635F36</x:v>
      </x:c>
      <x:c r="B4928" s="12" t="str">
        <x:v>Teradata</x:v>
      </x:c>
      <x:c r="C4928" s="12" t="str">
        <x:v>CORP-0673</x:v>
      </x:c>
      <x:c r="D4928" s="12" t="str">
        <x:v>Pune</x:v>
      </x:c>
      <x:c r="E4928" s="12" t="str">
        <x:v>Magarpatta Cyberpark</x:v>
      </x:c>
      <x:c r="F4928" s="12" t="str">
        <x:v>55 inch</x:v>
      </x:c>
      <x:c r="G4928" s="20" t="n">
        <x:v>1</x:v>
      </x:c>
      <x:c r="H4928" s="12" t="str">
        <x:v>Campus/portfolio roster; individual building occupancy unverified</x:v>
      </x:c>
      <x:c r="I4928" s="12" t="str">
        <x:v>Mixed business audience</x:v>
      </x:c>
      <x:c r="J4928" s="12" t="str">
        <x:v>IT &amp; digital</x:v>
      </x:c>
      <x:c r="K4928" s="2" t="str">
        <x:v>PARTNER-M252</x:v>
      </x:c>
    </x:row>
    <x:row r="4929" ht="46" customHeight="1">
      <x:c r="A4929" s="2" t="str">
        <x:v>TEN-AAF6BBA77E60</x:v>
      </x:c>
      <x:c r="B4929" s="12" t="str">
        <x:v>Capita</x:v>
      </x:c>
      <x:c r="C4929" s="12" t="str">
        <x:v>CORP-0673</x:v>
      </x:c>
      <x:c r="D4929" s="12" t="str">
        <x:v>Pune</x:v>
      </x:c>
      <x:c r="E4929" s="12" t="str">
        <x:v>Magarpatta Cyberpark</x:v>
      </x:c>
      <x:c r="F4929" s="12" t="str">
        <x:v>55 inch</x:v>
      </x:c>
      <x:c r="G4929" s="20" t="n">
        <x:v>1</x:v>
      </x:c>
      <x:c r="H4929" s="12" t="str">
        <x:v>Campus/portfolio roster; individual building occupancy unverified</x:v>
      </x:c>
      <x:c r="I4929" s="12" t="str">
        <x:v>Mixed business audience</x:v>
      </x:c>
      <x:c r="J4929" s="12" t="str">
        <x:v>IT &amp; digital</x:v>
      </x:c>
      <x:c r="K4929" s="2" t="str">
        <x:v>PARTNER-M252</x:v>
      </x:c>
    </x:row>
    <x:row r="4930" ht="46" customHeight="1">
      <x:c r="A4930" s="2" t="str">
        <x:v>TEN-AB768939C131</x:v>
      </x:c>
      <x:c r="B4930" s="12" t="str">
        <x:v>UPS Logistics</x:v>
      </x:c>
      <x:c r="C4930" s="12" t="str">
        <x:v>CORP-0673</x:v>
      </x:c>
      <x:c r="D4930" s="12" t="str">
        <x:v>Pune</x:v>
      </x:c>
      <x:c r="E4930" s="12" t="str">
        <x:v>Magarpatta Cyberpark</x:v>
      </x:c>
      <x:c r="F4930" s="12" t="str">
        <x:v>55 inch</x:v>
      </x:c>
      <x:c r="G4930" s="20" t="n">
        <x:v>1</x:v>
      </x:c>
      <x:c r="H4930" s="12" t="str">
        <x:v>Campus/portfolio roster; individual building occupancy unverified</x:v>
      </x:c>
      <x:c r="I4930" s="12" t="str">
        <x:v>Mixed business audience</x:v>
      </x:c>
      <x:c r="J4930" s="12" t="str">
        <x:v>Trade, consumer &amp; logistics</x:v>
      </x:c>
      <x:c r="K4930" s="2" t="str">
        <x:v>PARTNER-M252</x:v>
      </x:c>
    </x:row>
    <x:row r="4931" ht="46" customHeight="1">
      <x:c r="A4931" s="2" t="str">
        <x:v>TEN-ACFE8450840B</x:v>
      </x:c>
      <x:c r="B4931" s="12" t="str">
        <x:v>HCL</x:v>
      </x:c>
      <x:c r="C4931" s="12" t="str">
        <x:v>CORP-0673</x:v>
      </x:c>
      <x:c r="D4931" s="12" t="str">
        <x:v>Pune</x:v>
      </x:c>
      <x:c r="E4931" s="12" t="str">
        <x:v>Magarpatta Cyberpark</x:v>
      </x:c>
      <x:c r="F4931" s="12" t="str">
        <x:v>55 inch</x:v>
      </x:c>
      <x:c r="G4931" s="20" t="n">
        <x:v>1</x:v>
      </x:c>
      <x:c r="H4931" s="12" t="str">
        <x:v>Campus/portfolio roster; individual building occupancy unverified</x:v>
      </x:c>
      <x:c r="I4931" s="12" t="str">
        <x:v>Large enterprise</x:v>
      </x:c>
      <x:c r="J4931" s="12" t="str">
        <x:v>IT &amp; digital</x:v>
      </x:c>
      <x:c r="K4931" s="2" t="str">
        <x:v>PARTNER-M252</x:v>
      </x:c>
    </x:row>
    <x:row r="4932" ht="46" customHeight="1">
      <x:c r="A4932" s="2" t="str">
        <x:v>TEN-B2036C6D16F6</x:v>
      </x:c>
      <x:c r="B4932" s="12" t="str">
        <x:v>Principal Global Services</x:v>
      </x:c>
      <x:c r="C4932" s="12" t="str">
        <x:v>CORP-0673</x:v>
      </x:c>
      <x:c r="D4932" s="12" t="str">
        <x:v>Pune</x:v>
      </x:c>
      <x:c r="E4932" s="12" t="str">
        <x:v>Magarpatta Cyberpark</x:v>
      </x:c>
      <x:c r="F4932" s="12" t="str">
        <x:v>55 inch</x:v>
      </x:c>
      <x:c r="G4932" s="20" t="n">
        <x:v>1</x:v>
      </x:c>
      <x:c r="H4932" s="12" t="str">
        <x:v>Campus/portfolio roster; individual building occupancy unverified</x:v>
      </x:c>
      <x:c r="I4932" s="12" t="str">
        <x:v>Mixed business audience</x:v>
      </x:c>
      <x:c r="J4932" s="12" t="str">
        <x:v>Finance &amp; insurance</x:v>
      </x:c>
      <x:c r="K4932" s="2" t="str">
        <x:v>PARTNER-M252</x:v>
      </x:c>
    </x:row>
    <x:row r="4933" ht="46" customHeight="1">
      <x:c r="A4933" s="2" t="str">
        <x:v>TEN-B5F5468E9428</x:v>
      </x:c>
      <x:c r="B4933" s="12" t="str">
        <x:v>Amdocs</x:v>
      </x:c>
      <x:c r="C4933" s="12" t="str">
        <x:v>CORP-0673</x:v>
      </x:c>
      <x:c r="D4933" s="12" t="str">
        <x:v>Pune</x:v>
      </x:c>
      <x:c r="E4933" s="12" t="str">
        <x:v>Magarpatta Cyberpark</x:v>
      </x:c>
      <x:c r="F4933" s="12" t="str">
        <x:v>55 inch</x:v>
      </x:c>
      <x:c r="G4933" s="20" t="n">
        <x:v>1</x:v>
      </x:c>
      <x:c r="H4933" s="12" t="str">
        <x:v>Campus/portfolio roster; individual building occupancy unverified</x:v>
      </x:c>
      <x:c r="I4933" s="12" t="str">
        <x:v>Mixed business audience</x:v>
      </x:c>
      <x:c r="J4933" s="12" t="str">
        <x:v>IT &amp; digital</x:v>
      </x:c>
      <x:c r="K4933" s="2" t="str">
        <x:v>PARTNER-M252</x:v>
      </x:c>
    </x:row>
    <x:row r="4934" ht="46" customHeight="1">
      <x:c r="A4934" s="2" t="str">
        <x:v>TEN-B7BEA343B08C</x:v>
      </x:c>
      <x:c r="B4934" s="12" t="str">
        <x:v>EXL</x:v>
      </x:c>
      <x:c r="C4934" s="12" t="str">
        <x:v>CORP-0673</x:v>
      </x:c>
      <x:c r="D4934" s="12" t="str">
        <x:v>Pune</x:v>
      </x:c>
      <x:c r="E4934" s="12" t="str">
        <x:v>Magarpatta Cyberpark</x:v>
      </x:c>
      <x:c r="F4934" s="12" t="str">
        <x:v>55 inch</x:v>
      </x:c>
      <x:c r="G4934" s="20" t="n">
        <x:v>1</x:v>
      </x:c>
      <x:c r="H4934" s="12" t="str">
        <x:v>Campus/portfolio roster; individual building occupancy unverified</x:v>
      </x:c>
      <x:c r="I4934" s="12" t="str">
        <x:v>Mixed business audience</x:v>
      </x:c>
      <x:c r="J4934" s="12" t="str">
        <x:v>IT &amp; digital</x:v>
      </x:c>
      <x:c r="K4934" s="2" t="str">
        <x:v>PARTNER-M252</x:v>
      </x:c>
    </x:row>
    <x:row r="4935" ht="46" customHeight="1">
      <x:c r="A4935" s="2" t="str">
        <x:v>TEN-BD31900BEB43</x:v>
      </x:c>
      <x:c r="B4935" s="12" t="str">
        <x:v>Reflexis</x:v>
      </x:c>
      <x:c r="C4935" s="12" t="str">
        <x:v>CORP-0673</x:v>
      </x:c>
      <x:c r="D4935" s="12" t="str">
        <x:v>Pune</x:v>
      </x:c>
      <x:c r="E4935" s="12" t="str">
        <x:v>Magarpatta Cyberpark</x:v>
      </x:c>
      <x:c r="F4935" s="12" t="str">
        <x:v>55 inch</x:v>
      </x:c>
      <x:c r="G4935" s="20" t="n">
        <x:v>1</x:v>
      </x:c>
      <x:c r="H4935" s="12" t="str">
        <x:v>Campus/portfolio roster; individual building occupancy unverified</x:v>
      </x:c>
      <x:c r="I4935" s="12" t="str">
        <x:v>Mixed business audience</x:v>
      </x:c>
      <x:c r="J4935" s="12" t="str">
        <x:v>IT &amp; digital</x:v>
      </x:c>
      <x:c r="K4935" s="2" t="str">
        <x:v>PARTNER-M252</x:v>
      </x:c>
    </x:row>
    <x:row r="4936" ht="46" customHeight="1">
      <x:c r="A4936" s="2" t="str">
        <x:v>TEN-BE37BBF098BB</x:v>
      </x:c>
      <x:c r="B4936" s="12" t="str">
        <x:v>Fico</x:v>
      </x:c>
      <x:c r="C4936" s="12" t="str">
        <x:v>CORP-0673</x:v>
      </x:c>
      <x:c r="D4936" s="12" t="str">
        <x:v>Pune</x:v>
      </x:c>
      <x:c r="E4936" s="12" t="str">
        <x:v>Magarpatta Cyberpark</x:v>
      </x:c>
      <x:c r="F4936" s="12" t="str">
        <x:v>55 inch</x:v>
      </x:c>
      <x:c r="G4936" s="20" t="n">
        <x:v>1</x:v>
      </x:c>
      <x:c r="H4936" s="12" t="str">
        <x:v>Campus/portfolio roster; individual building occupancy unverified</x:v>
      </x:c>
      <x:c r="I4936" s="12" t="str">
        <x:v>Mixed business audience</x:v>
      </x:c>
      <x:c r="J4936" s="12" t="str">
        <x:v>IT &amp; digital</x:v>
      </x:c>
      <x:c r="K4936" s="2" t="str">
        <x:v>PARTNER-M252</x:v>
      </x:c>
    </x:row>
    <x:row r="4937" ht="46" customHeight="1">
      <x:c r="A4937" s="2" t="str">
        <x:v>TEN-C63AC00C4D11</x:v>
      </x:c>
      <x:c r="B4937" s="12" t="str">
        <x:v>Mphasis</x:v>
      </x:c>
      <x:c r="C4937" s="12" t="str">
        <x:v>CORP-0673</x:v>
      </x:c>
      <x:c r="D4937" s="12" t="str">
        <x:v>Pune</x:v>
      </x:c>
      <x:c r="E4937" s="12" t="str">
        <x:v>Magarpatta Cyberpark</x:v>
      </x:c>
      <x:c r="F4937" s="12" t="str">
        <x:v>55 inch</x:v>
      </x:c>
      <x:c r="G4937" s="20" t="n">
        <x:v>1</x:v>
      </x:c>
      <x:c r="H4937" s="12" t="str">
        <x:v>Campus/portfolio roster; individual building occupancy unverified</x:v>
      </x:c>
      <x:c r="I4937" s="12" t="str">
        <x:v>Large enterprise</x:v>
      </x:c>
      <x:c r="J4937" s="12" t="str">
        <x:v>IT &amp; digital</x:v>
      </x:c>
      <x:c r="K4937" s="2" t="str">
        <x:v>PARTNER-M252</x:v>
      </x:c>
    </x:row>
    <x:row r="4938" ht="46" customHeight="1">
      <x:c r="A4938" s="2" t="str">
        <x:v>TEN-C7CD4D8C8E32</x:v>
      </x:c>
      <x:c r="B4938" s="12" t="str">
        <x:v>Varian</x:v>
      </x:c>
      <x:c r="C4938" s="12" t="str">
        <x:v>CORP-0673</x:v>
      </x:c>
      <x:c r="D4938" s="12" t="str">
        <x:v>Pune</x:v>
      </x:c>
      <x:c r="E4938" s="12" t="str">
        <x:v>Magarpatta Cyberpark</x:v>
      </x:c>
      <x:c r="F4938" s="12" t="str">
        <x:v>55 inch</x:v>
      </x:c>
      <x:c r="G4938" s="20" t="n">
        <x:v>1</x:v>
      </x:c>
      <x:c r="H4938" s="12" t="str">
        <x:v>Campus/portfolio roster; individual building occupancy unverified</x:v>
      </x:c>
      <x:c r="I4938" s="12" t="str">
        <x:v>Mixed business audience</x:v>
      </x:c>
      <x:c r="J4938" s="12" t="str">
        <x:v>Healthcare &amp; life sciences</x:v>
      </x:c>
      <x:c r="K4938" s="2" t="str">
        <x:v>PARTNER-M252</x:v>
      </x:c>
    </x:row>
    <x:row r="4939" ht="46" customHeight="1">
      <x:c r="A4939" s="2" t="str">
        <x:v>TEN-E57E81EFDBB1</x:v>
      </x:c>
      <x:c r="B4939" s="12" t="str">
        <x:v>Deutsche Bank Group</x:v>
      </x:c>
      <x:c r="C4939" s="12" t="str">
        <x:v>CORP-0673</x:v>
      </x:c>
      <x:c r="D4939" s="12" t="str">
        <x:v>Pune</x:v>
      </x:c>
      <x:c r="E4939" s="12" t="str">
        <x:v>Magarpatta Cyberpark</x:v>
      </x:c>
      <x:c r="F4939" s="12" t="str">
        <x:v>55 inch</x:v>
      </x:c>
      <x:c r="G4939" s="20" t="n">
        <x:v>1</x:v>
      </x:c>
      <x:c r="H4939" s="12" t="str">
        <x:v>Campus/portfolio roster; individual building occupancy unverified</x:v>
      </x:c>
      <x:c r="I4939" s="12" t="str">
        <x:v>Large enterprise</x:v>
      </x:c>
      <x:c r="J4939" s="12" t="str">
        <x:v>Finance &amp; insurance</x:v>
      </x:c>
      <x:c r="K4939" s="2" t="str">
        <x:v>PARTNER-M252</x:v>
      </x:c>
    </x:row>
    <x:row r="4940" ht="46" customHeight="1">
      <x:c r="A4940" s="2" t="str">
        <x:v>TEN-E58C9634BF3A</x:v>
      </x:c>
      <x:c r="B4940" s="12" t="str">
        <x:v>John Deere</x:v>
      </x:c>
      <x:c r="C4940" s="12" t="str">
        <x:v>CORP-0673</x:v>
      </x:c>
      <x:c r="D4940" s="12" t="str">
        <x:v>Pune</x:v>
      </x:c>
      <x:c r="E4940" s="12" t="str">
        <x:v>Magarpatta Cyberpark</x:v>
      </x:c>
      <x:c r="F4940" s="12" t="str">
        <x:v>55 inch</x:v>
      </x:c>
      <x:c r="G4940" s="20" t="n">
        <x:v>1</x:v>
      </x:c>
      <x:c r="H4940" s="12" t="str">
        <x:v>Campus/portfolio roster; individual building occupancy unverified</x:v>
      </x:c>
      <x:c r="I4940" s="12" t="str">
        <x:v>Mixed business audience</x:v>
      </x:c>
      <x:c r="J4940" s="12" t="str">
        <x:v>Engineering &amp; manufacturing</x:v>
      </x:c>
      <x:c r="K4940" s="2" t="str">
        <x:v>PARTNER-M252</x:v>
      </x:c>
    </x:row>
    <x:row r="4941" ht="46" customHeight="1">
      <x:c r="A4941" s="2" t="str">
        <x:v>TEN-E73C14AD497C</x:v>
      </x:c>
      <x:c r="B4941" s="12" t="str">
        <x:v>Sybase</x:v>
      </x:c>
      <x:c r="C4941" s="12" t="str">
        <x:v>CORP-0673</x:v>
      </x:c>
      <x:c r="D4941" s="12" t="str">
        <x:v>Pune</x:v>
      </x:c>
      <x:c r="E4941" s="12" t="str">
        <x:v>Magarpatta Cyberpark</x:v>
      </x:c>
      <x:c r="F4941" s="12" t="str">
        <x:v>55 inch</x:v>
      </x:c>
      <x:c r="G4941" s="20" t="n">
        <x:v>1</x:v>
      </x:c>
      <x:c r="H4941" s="12" t="str">
        <x:v>Campus/portfolio roster; individual building occupancy unverified</x:v>
      </x:c>
      <x:c r="I4941" s="12" t="str">
        <x:v>Large enterprise</x:v>
      </x:c>
      <x:c r="J4941" s="12" t="str">
        <x:v>IT &amp; digital</x:v>
      </x:c>
      <x:c r="K4941" s="2" t="str">
        <x:v>PARTNER-M252</x:v>
      </x:c>
    </x:row>
    <x:row r="4942" ht="46" customHeight="1">
      <x:c r="A4942" s="2" t="str">
        <x:v>TEN-E9992F5DAD60</x:v>
      </x:c>
      <x:c r="B4942" s="12" t="str">
        <x:v>BNY Mellon</x:v>
      </x:c>
      <x:c r="C4942" s="12" t="str">
        <x:v>CORP-0673</x:v>
      </x:c>
      <x:c r="D4942" s="12" t="str">
        <x:v>Pune</x:v>
      </x:c>
      <x:c r="E4942" s="12" t="str">
        <x:v>Magarpatta Cyberpark</x:v>
      </x:c>
      <x:c r="F4942" s="12" t="str">
        <x:v>55 inch</x:v>
      </x:c>
      <x:c r="G4942" s="20" t="n">
        <x:v>1</x:v>
      </x:c>
      <x:c r="H4942" s="12" t="str">
        <x:v>Campus/portfolio roster; individual building occupancy unverified</x:v>
      </x:c>
      <x:c r="I4942" s="12" t="str">
        <x:v>Mixed business audience</x:v>
      </x:c>
      <x:c r="J4942" s="12" t="str">
        <x:v>Finance &amp; insurance</x:v>
      </x:c>
      <x:c r="K4942" s="2" t="str">
        <x:v>PARTNER-M252</x:v>
      </x:c>
    </x:row>
    <x:row r="4943" ht="46" customHeight="1">
      <x:c r="A4943" s="2" t="str">
        <x:v>TEN-EA6BCE5F47CF</x:v>
      </x:c>
      <x:c r="B4943" s="12" t="str">
        <x:v>Dresser Rand</x:v>
      </x:c>
      <x:c r="C4943" s="12" t="str">
        <x:v>CORP-0673</x:v>
      </x:c>
      <x:c r="D4943" s="12" t="str">
        <x:v>Pune</x:v>
      </x:c>
      <x:c r="E4943" s="12" t="str">
        <x:v>Magarpatta Cyberpark</x:v>
      </x:c>
      <x:c r="F4943" s="12" t="str">
        <x:v>55 inch</x:v>
      </x:c>
      <x:c r="G4943" s="20" t="n">
        <x:v>1</x:v>
      </x:c>
      <x:c r="H4943" s="12" t="str">
        <x:v>Campus/portfolio roster; individual building occupancy unverified</x:v>
      </x:c>
      <x:c r="I4943" s="12" t="str">
        <x:v>Mixed business audience</x:v>
      </x:c>
      <x:c r="J4943" s="12" t="str">
        <x:v>Engineering &amp; manufacturing</x:v>
      </x:c>
      <x:c r="K4943" s="2" t="str">
        <x:v>PARTNER-M252</x:v>
      </x:c>
    </x:row>
    <x:row r="4944" ht="46" customHeight="1">
      <x:c r="A4944" s="2" t="str">
        <x:v>TEN-EAF4D7735EC1</x:v>
      </x:c>
      <x:c r="B4944" s="12" t="str">
        <x:v>einfochips</x:v>
      </x:c>
      <x:c r="C4944" s="12" t="str">
        <x:v>CORP-0673</x:v>
      </x:c>
      <x:c r="D4944" s="12" t="str">
        <x:v>Pune</x:v>
      </x:c>
      <x:c r="E4944" s="12" t="str">
        <x:v>Magarpatta Cyberpark</x:v>
      </x:c>
      <x:c r="F4944" s="12" t="str">
        <x:v>55 inch</x:v>
      </x:c>
      <x:c r="G4944" s="20" t="n">
        <x:v>1</x:v>
      </x:c>
      <x:c r="H4944" s="12" t="str">
        <x:v>Campus/portfolio roster; individual building occupancy unverified</x:v>
      </x:c>
      <x:c r="I4944" s="12" t="str">
        <x:v>Large enterprise</x:v>
      </x:c>
      <x:c r="J4944" s="12" t="str">
        <x:v>Engineering &amp; manufacturing</x:v>
      </x:c>
      <x:c r="K4944" s="2" t="str">
        <x:v>PARTNER-M252</x:v>
      </x:c>
    </x:row>
    <x:row r="4945" ht="46" customHeight="1">
      <x:c r="A4945" s="2" t="str">
        <x:v>TEN-ED7BECFECA72</x:v>
      </x:c>
      <x:c r="B4945" s="12" t="str">
        <x:v>Xento</x:v>
      </x:c>
      <x:c r="C4945" s="12" t="str">
        <x:v>CORP-0673</x:v>
      </x:c>
      <x:c r="D4945" s="12" t="str">
        <x:v>Pune</x:v>
      </x:c>
      <x:c r="E4945" s="12" t="str">
        <x:v>Magarpatta Cyberpark</x:v>
      </x:c>
      <x:c r="F4945" s="12" t="str">
        <x:v>55 inch</x:v>
      </x:c>
      <x:c r="G4945" s="20" t="n">
        <x:v>1</x:v>
      </x:c>
      <x:c r="H4945" s="12" t="str">
        <x:v>Campus/portfolio roster; individual building occupancy unverified</x:v>
      </x:c>
      <x:c r="I4945" s="12" t="str">
        <x:v>Small-scale prospects</x:v>
      </x:c>
      <x:c r="J4945" s="12" t="str">
        <x:v>IT &amp; digital</x:v>
      </x:c>
      <x:c r="K4945" s="2" t="str">
        <x:v>PARTNER-M252</x:v>
      </x:c>
    </x:row>
    <x:row r="4946" ht="46" customHeight="1">
      <x:c r="A4946" s="2" t="str">
        <x:v>TEN-F55A85B2F2EB</x:v>
      </x:c>
      <x:c r="B4946" s="12" t="str">
        <x:v>Capgemini</x:v>
      </x:c>
      <x:c r="C4946" s="12" t="str">
        <x:v>CORP-0673</x:v>
      </x:c>
      <x:c r="D4946" s="12" t="str">
        <x:v>Pune</x:v>
      </x:c>
      <x:c r="E4946" s="12" t="str">
        <x:v>Magarpatta Cyberpark</x:v>
      </x:c>
      <x:c r="F4946" s="12" t="str">
        <x:v>55 inch</x:v>
      </x:c>
      <x:c r="G4946" s="20" t="n">
        <x:v>1</x:v>
      </x:c>
      <x:c r="H4946" s="12" t="str">
        <x:v>Campus/portfolio roster; individual building occupancy unverified</x:v>
      </x:c>
      <x:c r="I4946" s="12" t="str">
        <x:v>Large enterprise</x:v>
      </x:c>
      <x:c r="J4946" s="12" t="str">
        <x:v>IT &amp; digital</x:v>
      </x:c>
      <x:c r="K4946" s="2" t="str">
        <x:v>PARTNER-M252</x:v>
      </x:c>
    </x:row>
    <x:row r="4947" ht="46" customHeight="1">
      <x:c r="A4947" s="2" t="str">
        <x:v>TEN-028810317654</x:v>
      </x:c>
      <x:c r="B4947" s="12" t="str">
        <x:v>Hitachi Consulting</x:v>
      </x:c>
      <x:c r="C4947" s="12" t="str">
        <x:v>CORP-0674</x:v>
      </x:c>
      <x:c r="D4947" s="12" t="str">
        <x:v>Pune</x:v>
      </x:c>
      <x:c r="E4947" s="12" t="str">
        <x:v>Magarpatta Cyberpark</x:v>
      </x:c>
      <x:c r="F4947" s="12" t="str">
        <x:v>55 inch</x:v>
      </x:c>
      <x:c r="G4947" s="20" t="n">
        <x:v>1</x:v>
      </x:c>
      <x:c r="H4947" s="12" t="str">
        <x:v>Campus/portfolio roster; individual building occupancy unverified</x:v>
      </x:c>
      <x:c r="I4947" s="12" t="str">
        <x:v>Mixed business audience</x:v>
      </x:c>
      <x:c r="J4947" s="12" t="str">
        <x:v>IT &amp; digital</x:v>
      </x:c>
      <x:c r="K4947" s="2" t="str">
        <x:v>PARTNER-M252</x:v>
      </x:c>
    </x:row>
    <x:row r="4948" ht="46" customHeight="1">
      <x:c r="A4948" s="2" t="str">
        <x:v>TEN-0392C3B9EE62</x:v>
      </x:c>
      <x:c r="B4948" s="12" t="str">
        <x:v>Konecranes</x:v>
      </x:c>
      <x:c r="C4948" s="12" t="str">
        <x:v>CORP-0674</x:v>
      </x:c>
      <x:c r="D4948" s="12" t="str">
        <x:v>Pune</x:v>
      </x:c>
      <x:c r="E4948" s="12" t="str">
        <x:v>Magarpatta Cyberpark</x:v>
      </x:c>
      <x:c r="F4948" s="12" t="str">
        <x:v>55 inch</x:v>
      </x:c>
      <x:c r="G4948" s="20" t="n">
        <x:v>1</x:v>
      </x:c>
      <x:c r="H4948" s="12" t="str">
        <x:v>Campus/portfolio roster; individual building occupancy unverified</x:v>
      </x:c>
      <x:c r="I4948" s="12" t="str">
        <x:v>Mixed business audience</x:v>
      </x:c>
      <x:c r="J4948" s="12" t="str">
        <x:v>Engineering &amp; manufacturing</x:v>
      </x:c>
      <x:c r="K4948" s="2" t="str">
        <x:v>PARTNER-M252</x:v>
      </x:c>
    </x:row>
    <x:row r="4949" ht="46" customHeight="1">
      <x:c r="A4949" s="2" t="str">
        <x:v>TEN-0C4F9F7327E1</x:v>
      </x:c>
      <x:c r="B4949" s="12" t="str">
        <x:v>Ocwen</x:v>
      </x:c>
      <x:c r="C4949" s="12" t="str">
        <x:v>CORP-0674</x:v>
      </x:c>
      <x:c r="D4949" s="12" t="str">
        <x:v>Pune</x:v>
      </x:c>
      <x:c r="E4949" s="12" t="str">
        <x:v>Magarpatta Cyberpark</x:v>
      </x:c>
      <x:c r="F4949" s="12" t="str">
        <x:v>55 inch</x:v>
      </x:c>
      <x:c r="G4949" s="20" t="n">
        <x:v>1</x:v>
      </x:c>
      <x:c r="H4949" s="12" t="str">
        <x:v>Campus/portfolio roster; individual building occupancy unverified</x:v>
      </x:c>
      <x:c r="I4949" s="12" t="str">
        <x:v>Mixed business audience</x:v>
      </x:c>
      <x:c r="J4949" s="12" t="str">
        <x:v>Finance &amp; insurance</x:v>
      </x:c>
      <x:c r="K4949" s="2" t="str">
        <x:v>PARTNER-M252</x:v>
      </x:c>
    </x:row>
    <x:row r="4950" ht="46" customHeight="1">
      <x:c r="A4950" s="2" t="str">
        <x:v>TEN-37A9A152C42F</x:v>
      </x:c>
      <x:c r="B4950" s="12" t="str">
        <x:v>AppDirect</x:v>
      </x:c>
      <x:c r="C4950" s="12" t="str">
        <x:v>CORP-0674</x:v>
      </x:c>
      <x:c r="D4950" s="12" t="str">
        <x:v>Pune</x:v>
      </x:c>
      <x:c r="E4950" s="12" t="str">
        <x:v>Magarpatta Cyberpark</x:v>
      </x:c>
      <x:c r="F4950" s="12" t="str">
        <x:v>55 inch</x:v>
      </x:c>
      <x:c r="G4950" s="20" t="n">
        <x:v>1</x:v>
      </x:c>
      <x:c r="H4950" s="12" t="str">
        <x:v>Campus/portfolio roster; individual building occupancy unverified</x:v>
      </x:c>
      <x:c r="I4950" s="12" t="str">
        <x:v>Mixed business audience</x:v>
      </x:c>
      <x:c r="J4950" s="12" t="str">
        <x:v>IT &amp; digital</x:v>
      </x:c>
      <x:c r="K4950" s="2" t="str">
        <x:v>PARTNER-M252</x:v>
      </x:c>
    </x:row>
    <x:row r="4951" ht="46" customHeight="1">
      <x:c r="A4951" s="2" t="str">
        <x:v>TEN-45D9225952C7</x:v>
      </x:c>
      <x:c r="B4951" s="12" t="str">
        <x:v>TATA elxsi</x:v>
      </x:c>
      <x:c r="C4951" s="12" t="str">
        <x:v>CORP-0674</x:v>
      </x:c>
      <x:c r="D4951" s="12" t="str">
        <x:v>Pune</x:v>
      </x:c>
      <x:c r="E4951" s="12" t="str">
        <x:v>Magarpatta Cyberpark</x:v>
      </x:c>
      <x:c r="F4951" s="12" t="str">
        <x:v>55 inch</x:v>
      </x:c>
      <x:c r="G4951" s="20" t="n">
        <x:v>1</x:v>
      </x:c>
      <x:c r="H4951" s="12" t="str">
        <x:v>Campus/portfolio roster; individual building occupancy unverified</x:v>
      </x:c>
      <x:c r="I4951" s="12" t="str">
        <x:v>Large enterprise</x:v>
      </x:c>
      <x:c r="J4951" s="12" t="str">
        <x:v>IT &amp; digital</x:v>
      </x:c>
      <x:c r="K4951" s="2" t="str">
        <x:v>PARTNER-M252</x:v>
      </x:c>
    </x:row>
    <x:row r="4952" ht="46" customHeight="1">
      <x:c r="A4952" s="2" t="str">
        <x:v>TEN-6CA190D5260C</x:v>
      </x:c>
      <x:c r="B4952" s="12" t="str">
        <x:v>WNS</x:v>
      </x:c>
      <x:c r="C4952" s="12" t="str">
        <x:v>CORP-0674</x:v>
      </x:c>
      <x:c r="D4952" s="12" t="str">
        <x:v>Pune</x:v>
      </x:c>
      <x:c r="E4952" s="12" t="str">
        <x:v>Magarpatta Cyberpark</x:v>
      </x:c>
      <x:c r="F4952" s="12" t="str">
        <x:v>55 inch</x:v>
      </x:c>
      <x:c r="G4952" s="20" t="n">
        <x:v>1</x:v>
      </x:c>
      <x:c r="H4952" s="12" t="str">
        <x:v>Campus/portfolio roster; individual building occupancy unverified</x:v>
      </x:c>
      <x:c r="I4952" s="12" t="str">
        <x:v>Mixed business audience</x:v>
      </x:c>
      <x:c r="J4952" s="12" t="str">
        <x:v>IT &amp; digital</x:v>
      </x:c>
      <x:c r="K4952" s="2" t="str">
        <x:v>PARTNER-M252</x:v>
      </x:c>
    </x:row>
    <x:row r="4953" ht="46" customHeight="1">
      <x:c r="A4953" s="2" t="str">
        <x:v>TEN-6CE8BB6DCAD7</x:v>
      </x:c>
      <x:c r="B4953" s="12" t="str">
        <x:v>Systems Plus</x:v>
      </x:c>
      <x:c r="C4953" s="12" t="str">
        <x:v>CORP-0674</x:v>
      </x:c>
      <x:c r="D4953" s="12" t="str">
        <x:v>Pune</x:v>
      </x:c>
      <x:c r="E4953" s="12" t="str">
        <x:v>Magarpatta Cyberpark</x:v>
      </x:c>
      <x:c r="F4953" s="12" t="str">
        <x:v>55 inch</x:v>
      </x:c>
      <x:c r="G4953" s="20" t="n">
        <x:v>1</x:v>
      </x:c>
      <x:c r="H4953" s="12" t="str">
        <x:v>Campus/portfolio roster; individual building occupancy unverified</x:v>
      </x:c>
      <x:c r="I4953" s="12" t="str">
        <x:v>Small-scale prospects</x:v>
      </x:c>
      <x:c r="J4953" s="12" t="str">
        <x:v>IT &amp; digital</x:v>
      </x:c>
      <x:c r="K4953" s="2" t="str">
        <x:v>PARTNER-M252</x:v>
      </x:c>
    </x:row>
    <x:row r="4954" ht="46" customHeight="1">
      <x:c r="A4954" s="2" t="str">
        <x:v>TEN-7DE355F41161</x:v>
      </x:c>
      <x:c r="B4954" s="12" t="str">
        <x:v>Avaya</x:v>
      </x:c>
      <x:c r="C4954" s="12" t="str">
        <x:v>CORP-0674</x:v>
      </x:c>
      <x:c r="D4954" s="12" t="str">
        <x:v>Pune</x:v>
      </x:c>
      <x:c r="E4954" s="12" t="str">
        <x:v>Magarpatta Cyberpark</x:v>
      </x:c>
      <x:c r="F4954" s="12" t="str">
        <x:v>55 inch</x:v>
      </x:c>
      <x:c r="G4954" s="20" t="n">
        <x:v>1</x:v>
      </x:c>
      <x:c r="H4954" s="12" t="str">
        <x:v>Campus/portfolio roster; individual building occupancy unverified</x:v>
      </x:c>
      <x:c r="I4954" s="12" t="str">
        <x:v>Mixed business audience</x:v>
      </x:c>
      <x:c r="J4954" s="12" t="str">
        <x:v>IT &amp; digital</x:v>
      </x:c>
      <x:c r="K4954" s="2" t="str">
        <x:v>PARTNER-M252</x:v>
      </x:c>
    </x:row>
    <x:row r="4955" ht="46" customHeight="1">
      <x:c r="A4955" s="2" t="str">
        <x:v>TEN-866F70D2D0FF</x:v>
      </x:c>
      <x:c r="B4955" s="12" t="str">
        <x:v>CompuCom</x:v>
      </x:c>
      <x:c r="C4955" s="12" t="str">
        <x:v>CORP-0674</x:v>
      </x:c>
      <x:c r="D4955" s="12" t="str">
        <x:v>Pune</x:v>
      </x:c>
      <x:c r="E4955" s="12" t="str">
        <x:v>Magarpatta Cyberpark</x:v>
      </x:c>
      <x:c r="F4955" s="12" t="str">
        <x:v>55 inch</x:v>
      </x:c>
      <x:c r="G4955" s="20" t="n">
        <x:v>1</x:v>
      </x:c>
      <x:c r="H4955" s="12" t="str">
        <x:v>Campus/portfolio roster; individual building occupancy unverified</x:v>
      </x:c>
      <x:c r="I4955" s="12" t="str">
        <x:v>Mixed business audience</x:v>
      </x:c>
      <x:c r="J4955" s="12" t="str">
        <x:v>IT &amp; digital</x:v>
      </x:c>
      <x:c r="K4955" s="2" t="str">
        <x:v>PARTNER-M252</x:v>
      </x:c>
    </x:row>
    <x:row r="4956" ht="46" customHeight="1">
      <x:c r="A4956" s="2" t="str">
        <x:v>TEN-8DFE5E6CF73B</x:v>
      </x:c>
      <x:c r="B4956" s="12" t="str">
        <x:v>Red Hat</x:v>
      </x:c>
      <x:c r="C4956" s="12" t="str">
        <x:v>CORP-0674</x:v>
      </x:c>
      <x:c r="D4956" s="12" t="str">
        <x:v>Pune</x:v>
      </x:c>
      <x:c r="E4956" s="12" t="str">
        <x:v>Magarpatta Cyberpark</x:v>
      </x:c>
      <x:c r="F4956" s="12" t="str">
        <x:v>55 inch</x:v>
      </x:c>
      <x:c r="G4956" s="20" t="n">
        <x:v>1</x:v>
      </x:c>
      <x:c r="H4956" s="12" t="str">
        <x:v>Campus/portfolio roster; individual building occupancy unverified</x:v>
      </x:c>
      <x:c r="I4956" s="12" t="str">
        <x:v>Large enterprise</x:v>
      </x:c>
      <x:c r="J4956" s="12" t="str">
        <x:v>IT &amp; digital</x:v>
      </x:c>
      <x:c r="K4956" s="2" t="str">
        <x:v>PARTNER-M252</x:v>
      </x:c>
    </x:row>
    <x:row r="4957" ht="46" customHeight="1">
      <x:c r="A4957" s="2" t="str">
        <x:v>TEN-97ED95A681B4</x:v>
      </x:c>
      <x:c r="B4957" s="12" t="str">
        <x:v>Sutherland</x:v>
      </x:c>
      <x:c r="C4957" s="12" t="str">
        <x:v>CORP-0674</x:v>
      </x:c>
      <x:c r="D4957" s="12" t="str">
        <x:v>Pune</x:v>
      </x:c>
      <x:c r="E4957" s="12" t="str">
        <x:v>Magarpatta Cyberpark</x:v>
      </x:c>
      <x:c r="F4957" s="12" t="str">
        <x:v>55 inch</x:v>
      </x:c>
      <x:c r="G4957" s="20" t="n">
        <x:v>1</x:v>
      </x:c>
      <x:c r="H4957" s="12" t="str">
        <x:v>Campus/portfolio roster; individual building occupancy unverified</x:v>
      </x:c>
      <x:c r="I4957" s="12" t="str">
        <x:v>Mixed business audience</x:v>
      </x:c>
      <x:c r="J4957" s="12" t="str">
        <x:v>IT &amp; digital</x:v>
      </x:c>
      <x:c r="K4957" s="2" t="str">
        <x:v>PARTNER-M252</x:v>
      </x:c>
    </x:row>
    <x:row r="4958" ht="46" customHeight="1">
      <x:c r="A4958" s="2" t="str">
        <x:v>TEN-9CF1F6CEECDE</x:v>
      </x:c>
      <x:c r="B4958" s="12" t="str">
        <x:v>Springer Nature</x:v>
      </x:c>
      <x:c r="C4958" s="12" t="str">
        <x:v>CORP-0674</x:v>
      </x:c>
      <x:c r="D4958" s="12" t="str">
        <x:v>Pune</x:v>
      </x:c>
      <x:c r="E4958" s="12" t="str">
        <x:v>Magarpatta Cyberpark</x:v>
      </x:c>
      <x:c r="F4958" s="12" t="str">
        <x:v>55 inch</x:v>
      </x:c>
      <x:c r="G4958" s="20" t="n">
        <x:v>1</x:v>
      </x:c>
      <x:c r="H4958" s="12" t="str">
        <x:v>Campus/portfolio roster; individual building occupancy unverified</x:v>
      </x:c>
      <x:c r="I4958" s="12" t="str">
        <x:v>Mixed business audience</x:v>
      </x:c>
      <x:c r="J4958" s="12" t="str">
        <x:v>Education</x:v>
      </x:c>
      <x:c r="K4958" s="2" t="str">
        <x:v>PARTNER-M252</x:v>
      </x:c>
    </x:row>
    <x:row r="4959" ht="46" customHeight="1">
      <x:c r="A4959" s="2" t="str">
        <x:v>TEN-9CF8C9635F36</x:v>
      </x:c>
      <x:c r="B4959" s="12" t="str">
        <x:v>Teradata</x:v>
      </x:c>
      <x:c r="C4959" s="12" t="str">
        <x:v>CORP-0674</x:v>
      </x:c>
      <x:c r="D4959" s="12" t="str">
        <x:v>Pune</x:v>
      </x:c>
      <x:c r="E4959" s="12" t="str">
        <x:v>Magarpatta Cyberpark</x:v>
      </x:c>
      <x:c r="F4959" s="12" t="str">
        <x:v>55 inch</x:v>
      </x:c>
      <x:c r="G4959" s="20" t="n">
        <x:v>1</x:v>
      </x:c>
      <x:c r="H4959" s="12" t="str">
        <x:v>Campus/portfolio roster; individual building occupancy unverified</x:v>
      </x:c>
      <x:c r="I4959" s="12" t="str">
        <x:v>Mixed business audience</x:v>
      </x:c>
      <x:c r="J4959" s="12" t="str">
        <x:v>IT &amp; digital</x:v>
      </x:c>
      <x:c r="K4959" s="2" t="str">
        <x:v>PARTNER-M252</x:v>
      </x:c>
    </x:row>
    <x:row r="4960" ht="46" customHeight="1">
      <x:c r="A4960" s="2" t="str">
        <x:v>TEN-AAF6BBA77E60</x:v>
      </x:c>
      <x:c r="B4960" s="12" t="str">
        <x:v>Capita</x:v>
      </x:c>
      <x:c r="C4960" s="12" t="str">
        <x:v>CORP-0674</x:v>
      </x:c>
      <x:c r="D4960" s="12" t="str">
        <x:v>Pune</x:v>
      </x:c>
      <x:c r="E4960" s="12" t="str">
        <x:v>Magarpatta Cyberpark</x:v>
      </x:c>
      <x:c r="F4960" s="12" t="str">
        <x:v>55 inch</x:v>
      </x:c>
      <x:c r="G4960" s="20" t="n">
        <x:v>1</x:v>
      </x:c>
      <x:c r="H4960" s="12" t="str">
        <x:v>Campus/portfolio roster; individual building occupancy unverified</x:v>
      </x:c>
      <x:c r="I4960" s="12" t="str">
        <x:v>Mixed business audience</x:v>
      </x:c>
      <x:c r="J4960" s="12" t="str">
        <x:v>IT &amp; digital</x:v>
      </x:c>
      <x:c r="K4960" s="2" t="str">
        <x:v>PARTNER-M252</x:v>
      </x:c>
    </x:row>
    <x:row r="4961" ht="46" customHeight="1">
      <x:c r="A4961" s="2" t="str">
        <x:v>TEN-AB768939C131</x:v>
      </x:c>
      <x:c r="B4961" s="12" t="str">
        <x:v>UPS Logistics</x:v>
      </x:c>
      <x:c r="C4961" s="12" t="str">
        <x:v>CORP-0674</x:v>
      </x:c>
      <x:c r="D4961" s="12" t="str">
        <x:v>Pune</x:v>
      </x:c>
      <x:c r="E4961" s="12" t="str">
        <x:v>Magarpatta Cyberpark</x:v>
      </x:c>
      <x:c r="F4961" s="12" t="str">
        <x:v>55 inch</x:v>
      </x:c>
      <x:c r="G4961" s="20" t="n">
        <x:v>1</x:v>
      </x:c>
      <x:c r="H4961" s="12" t="str">
        <x:v>Campus/portfolio roster; individual building occupancy unverified</x:v>
      </x:c>
      <x:c r="I4961" s="12" t="str">
        <x:v>Mixed business audience</x:v>
      </x:c>
      <x:c r="J4961" s="12" t="str">
        <x:v>Trade, consumer &amp; logistics</x:v>
      </x:c>
      <x:c r="K4961" s="2" t="str">
        <x:v>PARTNER-M252</x:v>
      </x:c>
    </x:row>
    <x:row r="4962" ht="46" customHeight="1">
      <x:c r="A4962" s="2" t="str">
        <x:v>TEN-ACFE8450840B</x:v>
      </x:c>
      <x:c r="B4962" s="12" t="str">
        <x:v>HCL</x:v>
      </x:c>
      <x:c r="C4962" s="12" t="str">
        <x:v>CORP-0674</x:v>
      </x:c>
      <x:c r="D4962" s="12" t="str">
        <x:v>Pune</x:v>
      </x:c>
      <x:c r="E4962" s="12" t="str">
        <x:v>Magarpatta Cyberpark</x:v>
      </x:c>
      <x:c r="F4962" s="12" t="str">
        <x:v>55 inch</x:v>
      </x:c>
      <x:c r="G4962" s="20" t="n">
        <x:v>1</x:v>
      </x:c>
      <x:c r="H4962" s="12" t="str">
        <x:v>Campus/portfolio roster; individual building occupancy unverified</x:v>
      </x:c>
      <x:c r="I4962" s="12" t="str">
        <x:v>Large enterprise</x:v>
      </x:c>
      <x:c r="J4962" s="12" t="str">
        <x:v>IT &amp; digital</x:v>
      </x:c>
      <x:c r="K4962" s="2" t="str">
        <x:v>PARTNER-M252</x:v>
      </x:c>
    </x:row>
    <x:row r="4963" ht="46" customHeight="1">
      <x:c r="A4963" s="2" t="str">
        <x:v>TEN-B2036C6D16F6</x:v>
      </x:c>
      <x:c r="B4963" s="12" t="str">
        <x:v>Principal Global Services</x:v>
      </x:c>
      <x:c r="C4963" s="12" t="str">
        <x:v>CORP-0674</x:v>
      </x:c>
      <x:c r="D4963" s="12" t="str">
        <x:v>Pune</x:v>
      </x:c>
      <x:c r="E4963" s="12" t="str">
        <x:v>Magarpatta Cyberpark</x:v>
      </x:c>
      <x:c r="F4963" s="12" t="str">
        <x:v>55 inch</x:v>
      </x:c>
      <x:c r="G4963" s="20" t="n">
        <x:v>1</x:v>
      </x:c>
      <x:c r="H4963" s="12" t="str">
        <x:v>Campus/portfolio roster; individual building occupancy unverified</x:v>
      </x:c>
      <x:c r="I4963" s="12" t="str">
        <x:v>Mixed business audience</x:v>
      </x:c>
      <x:c r="J4963" s="12" t="str">
        <x:v>Finance &amp; insurance</x:v>
      </x:c>
      <x:c r="K4963" s="2" t="str">
        <x:v>PARTNER-M252</x:v>
      </x:c>
    </x:row>
    <x:row r="4964" ht="46" customHeight="1">
      <x:c r="A4964" s="2" t="str">
        <x:v>TEN-B5F5468E9428</x:v>
      </x:c>
      <x:c r="B4964" s="12" t="str">
        <x:v>Amdocs</x:v>
      </x:c>
      <x:c r="C4964" s="12" t="str">
        <x:v>CORP-0674</x:v>
      </x:c>
      <x:c r="D4964" s="12" t="str">
        <x:v>Pune</x:v>
      </x:c>
      <x:c r="E4964" s="12" t="str">
        <x:v>Magarpatta Cyberpark</x:v>
      </x:c>
      <x:c r="F4964" s="12" t="str">
        <x:v>55 inch</x:v>
      </x:c>
      <x:c r="G4964" s="20" t="n">
        <x:v>1</x:v>
      </x:c>
      <x:c r="H4964" s="12" t="str">
        <x:v>Campus/portfolio roster; individual building occupancy unverified</x:v>
      </x:c>
      <x:c r="I4964" s="12" t="str">
        <x:v>Mixed business audience</x:v>
      </x:c>
      <x:c r="J4964" s="12" t="str">
        <x:v>IT &amp; digital</x:v>
      </x:c>
      <x:c r="K4964" s="2" t="str">
        <x:v>PARTNER-M252</x:v>
      </x:c>
    </x:row>
    <x:row r="4965" ht="46" customHeight="1">
      <x:c r="A4965" s="2" t="str">
        <x:v>TEN-B7BEA343B08C</x:v>
      </x:c>
      <x:c r="B4965" s="12" t="str">
        <x:v>EXL</x:v>
      </x:c>
      <x:c r="C4965" s="12" t="str">
        <x:v>CORP-0674</x:v>
      </x:c>
      <x:c r="D4965" s="12" t="str">
        <x:v>Pune</x:v>
      </x:c>
      <x:c r="E4965" s="12" t="str">
        <x:v>Magarpatta Cyberpark</x:v>
      </x:c>
      <x:c r="F4965" s="12" t="str">
        <x:v>55 inch</x:v>
      </x:c>
      <x:c r="G4965" s="20" t="n">
        <x:v>1</x:v>
      </x:c>
      <x:c r="H4965" s="12" t="str">
        <x:v>Campus/portfolio roster; individual building occupancy unverified</x:v>
      </x:c>
      <x:c r="I4965" s="12" t="str">
        <x:v>Mixed business audience</x:v>
      </x:c>
      <x:c r="J4965" s="12" t="str">
        <x:v>IT &amp; digital</x:v>
      </x:c>
      <x:c r="K4965" s="2" t="str">
        <x:v>PARTNER-M252</x:v>
      </x:c>
    </x:row>
    <x:row r="4966" ht="46" customHeight="1">
      <x:c r="A4966" s="2" t="str">
        <x:v>TEN-BD31900BEB43</x:v>
      </x:c>
      <x:c r="B4966" s="12" t="str">
        <x:v>Reflexis</x:v>
      </x:c>
      <x:c r="C4966" s="12" t="str">
        <x:v>CORP-0674</x:v>
      </x:c>
      <x:c r="D4966" s="12" t="str">
        <x:v>Pune</x:v>
      </x:c>
      <x:c r="E4966" s="12" t="str">
        <x:v>Magarpatta Cyberpark</x:v>
      </x:c>
      <x:c r="F4966" s="12" t="str">
        <x:v>55 inch</x:v>
      </x:c>
      <x:c r="G4966" s="20" t="n">
        <x:v>1</x:v>
      </x:c>
      <x:c r="H4966" s="12" t="str">
        <x:v>Campus/portfolio roster; individual building occupancy unverified</x:v>
      </x:c>
      <x:c r="I4966" s="12" t="str">
        <x:v>Mixed business audience</x:v>
      </x:c>
      <x:c r="J4966" s="12" t="str">
        <x:v>IT &amp; digital</x:v>
      </x:c>
      <x:c r="K4966" s="2" t="str">
        <x:v>PARTNER-M252</x:v>
      </x:c>
    </x:row>
    <x:row r="4967" ht="46" customHeight="1">
      <x:c r="A4967" s="2" t="str">
        <x:v>TEN-BE37BBF098BB</x:v>
      </x:c>
      <x:c r="B4967" s="12" t="str">
        <x:v>Fico</x:v>
      </x:c>
      <x:c r="C4967" s="12" t="str">
        <x:v>CORP-0674</x:v>
      </x:c>
      <x:c r="D4967" s="12" t="str">
        <x:v>Pune</x:v>
      </x:c>
      <x:c r="E4967" s="12" t="str">
        <x:v>Magarpatta Cyberpark</x:v>
      </x:c>
      <x:c r="F4967" s="12" t="str">
        <x:v>55 inch</x:v>
      </x:c>
      <x:c r="G4967" s="20" t="n">
        <x:v>1</x:v>
      </x:c>
      <x:c r="H4967" s="12" t="str">
        <x:v>Campus/portfolio roster; individual building occupancy unverified</x:v>
      </x:c>
      <x:c r="I4967" s="12" t="str">
        <x:v>Mixed business audience</x:v>
      </x:c>
      <x:c r="J4967" s="12" t="str">
        <x:v>IT &amp; digital</x:v>
      </x:c>
      <x:c r="K4967" s="2" t="str">
        <x:v>PARTNER-M252</x:v>
      </x:c>
    </x:row>
    <x:row r="4968" ht="46" customHeight="1">
      <x:c r="A4968" s="2" t="str">
        <x:v>TEN-C63AC00C4D11</x:v>
      </x:c>
      <x:c r="B4968" s="12" t="str">
        <x:v>Mphasis</x:v>
      </x:c>
      <x:c r="C4968" s="12" t="str">
        <x:v>CORP-0674</x:v>
      </x:c>
      <x:c r="D4968" s="12" t="str">
        <x:v>Pune</x:v>
      </x:c>
      <x:c r="E4968" s="12" t="str">
        <x:v>Magarpatta Cyberpark</x:v>
      </x:c>
      <x:c r="F4968" s="12" t="str">
        <x:v>55 inch</x:v>
      </x:c>
      <x:c r="G4968" s="20" t="n">
        <x:v>1</x:v>
      </x:c>
      <x:c r="H4968" s="12" t="str">
        <x:v>Campus/portfolio roster; individual building occupancy unverified</x:v>
      </x:c>
      <x:c r="I4968" s="12" t="str">
        <x:v>Large enterprise</x:v>
      </x:c>
      <x:c r="J4968" s="12" t="str">
        <x:v>IT &amp; digital</x:v>
      </x:c>
      <x:c r="K4968" s="2" t="str">
        <x:v>PARTNER-M252</x:v>
      </x:c>
    </x:row>
    <x:row r="4969" ht="46" customHeight="1">
      <x:c r="A4969" s="2" t="str">
        <x:v>TEN-C7CD4D8C8E32</x:v>
      </x:c>
      <x:c r="B4969" s="12" t="str">
        <x:v>Varian</x:v>
      </x:c>
      <x:c r="C4969" s="12" t="str">
        <x:v>CORP-0674</x:v>
      </x:c>
      <x:c r="D4969" s="12" t="str">
        <x:v>Pune</x:v>
      </x:c>
      <x:c r="E4969" s="12" t="str">
        <x:v>Magarpatta Cyberpark</x:v>
      </x:c>
      <x:c r="F4969" s="12" t="str">
        <x:v>55 inch</x:v>
      </x:c>
      <x:c r="G4969" s="20" t="n">
        <x:v>1</x:v>
      </x:c>
      <x:c r="H4969" s="12" t="str">
        <x:v>Campus/portfolio roster; individual building occupancy unverified</x:v>
      </x:c>
      <x:c r="I4969" s="12" t="str">
        <x:v>Mixed business audience</x:v>
      </x:c>
      <x:c r="J4969" s="12" t="str">
        <x:v>Healthcare &amp; life sciences</x:v>
      </x:c>
      <x:c r="K4969" s="2" t="str">
        <x:v>PARTNER-M252</x:v>
      </x:c>
    </x:row>
    <x:row r="4970" ht="46" customHeight="1">
      <x:c r="A4970" s="2" t="str">
        <x:v>TEN-E57E81EFDBB1</x:v>
      </x:c>
      <x:c r="B4970" s="12" t="str">
        <x:v>Deutsche Bank Group</x:v>
      </x:c>
      <x:c r="C4970" s="12" t="str">
        <x:v>CORP-0674</x:v>
      </x:c>
      <x:c r="D4970" s="12" t="str">
        <x:v>Pune</x:v>
      </x:c>
      <x:c r="E4970" s="12" t="str">
        <x:v>Magarpatta Cyberpark</x:v>
      </x:c>
      <x:c r="F4970" s="12" t="str">
        <x:v>55 inch</x:v>
      </x:c>
      <x:c r="G4970" s="20" t="n">
        <x:v>1</x:v>
      </x:c>
      <x:c r="H4970" s="12" t="str">
        <x:v>Campus/portfolio roster; individual building occupancy unverified</x:v>
      </x:c>
      <x:c r="I4970" s="12" t="str">
        <x:v>Large enterprise</x:v>
      </x:c>
      <x:c r="J4970" s="12" t="str">
        <x:v>Finance &amp; insurance</x:v>
      </x:c>
      <x:c r="K4970" s="2" t="str">
        <x:v>PARTNER-M252</x:v>
      </x:c>
    </x:row>
    <x:row r="4971" ht="46" customHeight="1">
      <x:c r="A4971" s="2" t="str">
        <x:v>TEN-E58C9634BF3A</x:v>
      </x:c>
      <x:c r="B4971" s="12" t="str">
        <x:v>John Deere</x:v>
      </x:c>
      <x:c r="C4971" s="12" t="str">
        <x:v>CORP-0674</x:v>
      </x:c>
      <x:c r="D4971" s="12" t="str">
        <x:v>Pune</x:v>
      </x:c>
      <x:c r="E4971" s="12" t="str">
        <x:v>Magarpatta Cyberpark</x:v>
      </x:c>
      <x:c r="F4971" s="12" t="str">
        <x:v>55 inch</x:v>
      </x:c>
      <x:c r="G4971" s="20" t="n">
        <x:v>1</x:v>
      </x:c>
      <x:c r="H4971" s="12" t="str">
        <x:v>Campus/portfolio roster; individual building occupancy unverified</x:v>
      </x:c>
      <x:c r="I4971" s="12" t="str">
        <x:v>Mixed business audience</x:v>
      </x:c>
      <x:c r="J4971" s="12" t="str">
        <x:v>Engineering &amp; manufacturing</x:v>
      </x:c>
      <x:c r="K4971" s="2" t="str">
        <x:v>PARTNER-M252</x:v>
      </x:c>
    </x:row>
    <x:row r="4972" ht="46" customHeight="1">
      <x:c r="A4972" s="2" t="str">
        <x:v>TEN-E73C14AD497C</x:v>
      </x:c>
      <x:c r="B4972" s="12" t="str">
        <x:v>Sybase</x:v>
      </x:c>
      <x:c r="C4972" s="12" t="str">
        <x:v>CORP-0674</x:v>
      </x:c>
      <x:c r="D4972" s="12" t="str">
        <x:v>Pune</x:v>
      </x:c>
      <x:c r="E4972" s="12" t="str">
        <x:v>Magarpatta Cyberpark</x:v>
      </x:c>
      <x:c r="F4972" s="12" t="str">
        <x:v>55 inch</x:v>
      </x:c>
      <x:c r="G4972" s="20" t="n">
        <x:v>1</x:v>
      </x:c>
      <x:c r="H4972" s="12" t="str">
        <x:v>Campus/portfolio roster; individual building occupancy unverified</x:v>
      </x:c>
      <x:c r="I4972" s="12" t="str">
        <x:v>Large enterprise</x:v>
      </x:c>
      <x:c r="J4972" s="12" t="str">
        <x:v>IT &amp; digital</x:v>
      </x:c>
      <x:c r="K4972" s="2" t="str">
        <x:v>PARTNER-M252</x:v>
      </x:c>
    </x:row>
    <x:row r="4973" ht="46" customHeight="1">
      <x:c r="A4973" s="2" t="str">
        <x:v>TEN-E9992F5DAD60</x:v>
      </x:c>
      <x:c r="B4973" s="12" t="str">
        <x:v>BNY Mellon</x:v>
      </x:c>
      <x:c r="C4973" s="12" t="str">
        <x:v>CORP-0674</x:v>
      </x:c>
      <x:c r="D4973" s="12" t="str">
        <x:v>Pune</x:v>
      </x:c>
      <x:c r="E4973" s="12" t="str">
        <x:v>Magarpatta Cyberpark</x:v>
      </x:c>
      <x:c r="F4973" s="12" t="str">
        <x:v>55 inch</x:v>
      </x:c>
      <x:c r="G4973" s="20" t="n">
        <x:v>1</x:v>
      </x:c>
      <x:c r="H4973" s="12" t="str">
        <x:v>Campus/portfolio roster; individual building occupancy unverified</x:v>
      </x:c>
      <x:c r="I4973" s="12" t="str">
        <x:v>Mixed business audience</x:v>
      </x:c>
      <x:c r="J4973" s="12" t="str">
        <x:v>Finance &amp; insurance</x:v>
      </x:c>
      <x:c r="K4973" s="2" t="str">
        <x:v>PARTNER-M252</x:v>
      </x:c>
    </x:row>
    <x:row r="4974" ht="46" customHeight="1">
      <x:c r="A4974" s="2" t="str">
        <x:v>TEN-EA6BCE5F47CF</x:v>
      </x:c>
      <x:c r="B4974" s="12" t="str">
        <x:v>Dresser Rand</x:v>
      </x:c>
      <x:c r="C4974" s="12" t="str">
        <x:v>CORP-0674</x:v>
      </x:c>
      <x:c r="D4974" s="12" t="str">
        <x:v>Pune</x:v>
      </x:c>
      <x:c r="E4974" s="12" t="str">
        <x:v>Magarpatta Cyberpark</x:v>
      </x:c>
      <x:c r="F4974" s="12" t="str">
        <x:v>55 inch</x:v>
      </x:c>
      <x:c r="G4974" s="20" t="n">
        <x:v>1</x:v>
      </x:c>
      <x:c r="H4974" s="12" t="str">
        <x:v>Campus/portfolio roster; individual building occupancy unverified</x:v>
      </x:c>
      <x:c r="I4974" s="12" t="str">
        <x:v>Mixed business audience</x:v>
      </x:c>
      <x:c r="J4974" s="12" t="str">
        <x:v>Engineering &amp; manufacturing</x:v>
      </x:c>
      <x:c r="K4974" s="2" t="str">
        <x:v>PARTNER-M252</x:v>
      </x:c>
    </x:row>
    <x:row r="4975" ht="46" customHeight="1">
      <x:c r="A4975" s="2" t="str">
        <x:v>TEN-EAF4D7735EC1</x:v>
      </x:c>
      <x:c r="B4975" s="12" t="str">
        <x:v>einfochips</x:v>
      </x:c>
      <x:c r="C4975" s="12" t="str">
        <x:v>CORP-0674</x:v>
      </x:c>
      <x:c r="D4975" s="12" t="str">
        <x:v>Pune</x:v>
      </x:c>
      <x:c r="E4975" s="12" t="str">
        <x:v>Magarpatta Cyberpark</x:v>
      </x:c>
      <x:c r="F4975" s="12" t="str">
        <x:v>55 inch</x:v>
      </x:c>
      <x:c r="G4975" s="20" t="n">
        <x:v>1</x:v>
      </x:c>
      <x:c r="H4975" s="12" t="str">
        <x:v>Campus/portfolio roster; individual building occupancy unverified</x:v>
      </x:c>
      <x:c r="I4975" s="12" t="str">
        <x:v>Large enterprise</x:v>
      </x:c>
      <x:c r="J4975" s="12" t="str">
        <x:v>Engineering &amp; manufacturing</x:v>
      </x:c>
      <x:c r="K4975" s="2" t="str">
        <x:v>PARTNER-M252</x:v>
      </x:c>
    </x:row>
    <x:row r="4976" ht="46" customHeight="1">
      <x:c r="A4976" s="2" t="str">
        <x:v>TEN-ED7BECFECA72</x:v>
      </x:c>
      <x:c r="B4976" s="12" t="str">
        <x:v>Xento</x:v>
      </x:c>
      <x:c r="C4976" s="12" t="str">
        <x:v>CORP-0674</x:v>
      </x:c>
      <x:c r="D4976" s="12" t="str">
        <x:v>Pune</x:v>
      </x:c>
      <x:c r="E4976" s="12" t="str">
        <x:v>Magarpatta Cyberpark</x:v>
      </x:c>
      <x:c r="F4976" s="12" t="str">
        <x:v>55 inch</x:v>
      </x:c>
      <x:c r="G4976" s="20" t="n">
        <x:v>1</x:v>
      </x:c>
      <x:c r="H4976" s="12" t="str">
        <x:v>Campus/portfolio roster; individual building occupancy unverified</x:v>
      </x:c>
      <x:c r="I4976" s="12" t="str">
        <x:v>Small-scale prospects</x:v>
      </x:c>
      <x:c r="J4976" s="12" t="str">
        <x:v>IT &amp; digital</x:v>
      </x:c>
      <x:c r="K4976" s="2" t="str">
        <x:v>PARTNER-M252</x:v>
      </x:c>
    </x:row>
    <x:row r="4977" ht="46" customHeight="1">
      <x:c r="A4977" s="2" t="str">
        <x:v>TEN-F55A85B2F2EB</x:v>
      </x:c>
      <x:c r="B4977" s="12" t="str">
        <x:v>Capgemini</x:v>
      </x:c>
      <x:c r="C4977" s="12" t="str">
        <x:v>CORP-0674</x:v>
      </x:c>
      <x:c r="D4977" s="12" t="str">
        <x:v>Pune</x:v>
      </x:c>
      <x:c r="E4977" s="12" t="str">
        <x:v>Magarpatta Cyberpark</x:v>
      </x:c>
      <x:c r="F4977" s="12" t="str">
        <x:v>55 inch</x:v>
      </x:c>
      <x:c r="G4977" s="20" t="n">
        <x:v>1</x:v>
      </x:c>
      <x:c r="H4977" s="12" t="str">
        <x:v>Campus/portfolio roster; individual building occupancy unverified</x:v>
      </x:c>
      <x:c r="I4977" s="12" t="str">
        <x:v>Large enterprise</x:v>
      </x:c>
      <x:c r="J4977" s="12" t="str">
        <x:v>IT &amp; digital</x:v>
      </x:c>
      <x:c r="K4977" s="2" t="str">
        <x:v>PARTNER-M252</x:v>
      </x:c>
    </x:row>
    <x:row r="4978" ht="46" customHeight="1">
      <x:c r="A4978" s="2" t="str">
        <x:v>TEN-11B177B76116</x:v>
      </x:c>
      <x:c r="B4978" s="12" t="str">
        <x:v>Avaya Global Connect Ltd</x:v>
      </x:c>
      <x:c r="C4978" s="12" t="str">
        <x:v>CORP-0441</x:v>
      </x:c>
      <x:c r="D4978" s="12" t="str">
        <x:v>Bengaluru</x:v>
      </x:c>
      <x:c r="E4978" s="12" t="str">
        <x:v>Prestige Tech Park</x:v>
      </x:c>
      <x:c r="F4978" s="12" t="str">
        <x:v>55 inch</x:v>
      </x:c>
      <x:c r="G4978" s="20" t="n">
        <x:v>1</x:v>
      </x:c>
      <x:c r="H4978" s="12" t="str">
        <x:v>Campus/portfolio roster; individual building occupancy unverified</x:v>
      </x:c>
      <x:c r="I4978" s="12" t="str">
        <x:v>Mixed business audience</x:v>
      </x:c>
      <x:c r="J4978" s="12" t="str">
        <x:v>IT &amp; digital</x:v>
      </x:c>
      <x:c r="K4978" s="2" t="str">
        <x:v>PARTNER-M014</x:v>
      </x:c>
    </x:row>
    <x:row r="4979" ht="46" customHeight="1">
      <x:c r="A4979" s="2" t="str">
        <x:v>TEN-1A32A2EA27AE</x:v>
      </x:c>
      <x:c r="B4979" s="12" t="str">
        <x:v>Aptos India Private Limited</x:v>
      </x:c>
      <x:c r="C4979" s="12" t="str">
        <x:v>CORP-0441</x:v>
      </x:c>
      <x:c r="D4979" s="12" t="str">
        <x:v>Bengaluru</x:v>
      </x:c>
      <x:c r="E4979" s="12" t="str">
        <x:v>Prestige Tech Park</x:v>
      </x:c>
      <x:c r="F4979" s="12" t="str">
        <x:v>55 inch</x:v>
      </x:c>
      <x:c r="G4979" s="20" t="n">
        <x:v>1</x:v>
      </x:c>
      <x:c r="H4979" s="12" t="str">
        <x:v>Campus/portfolio roster; individual building occupancy unverified</x:v>
      </x:c>
      <x:c r="I4979" s="12" t="str">
        <x:v>Mixed business audience</x:v>
      </x:c>
      <x:c r="J4979" s="12" t="str">
        <x:v>IT &amp; digital</x:v>
      </x:c>
      <x:c r="K4979" s="2" t="str">
        <x:v>PARTNER-M014</x:v>
      </x:c>
    </x:row>
    <x:row r="4980" ht="46" customHeight="1">
      <x:c r="A4980" s="2" t="str">
        <x:v>TEN-1B8499B49BB3</x:v>
      </x:c>
      <x:c r="B4980" s="12" t="str">
        <x:v>Delliot</x:v>
      </x:c>
      <x:c r="C4980" s="12" t="str">
        <x:v>CORP-0441</x:v>
      </x:c>
      <x:c r="D4980" s="12" t="str">
        <x:v>Bengaluru</x:v>
      </x:c>
      <x:c r="E4980" s="12" t="str">
        <x:v>Prestige Tech Park</x:v>
      </x:c>
      <x:c r="F4980" s="12" t="str">
        <x:v>55 inch</x:v>
      </x:c>
      <x:c r="G4980" s="20" t="n">
        <x:v>1</x:v>
      </x:c>
      <x:c r="H4980" s="12" t="str">
        <x:v>Campus/portfolio roster; individual building occupancy unverified</x:v>
      </x:c>
      <x:c r="I4980" s="12" t="str">
        <x:v>Mixed business audience</x:v>
      </x:c>
      <x:c r="J4980" s="12" t="str">
        <x:v>Unresolved</x:v>
      </x:c>
      <x:c r="K4980" s="2" t="str">
        <x:v>PARTNER-M014</x:v>
      </x:c>
    </x:row>
    <x:row r="4981" ht="46" customHeight="1">
      <x:c r="A4981" s="2" t="str">
        <x:v>TEN-38773D0009A0</x:v>
      </x:c>
      <x:c r="B4981" s="12" t="str">
        <x:v>Frog Design Studio</x:v>
      </x:c>
      <x:c r="C4981" s="12" t="str">
        <x:v>CORP-0441</x:v>
      </x:c>
      <x:c r="D4981" s="12" t="str">
        <x:v>Bengaluru</x:v>
      </x:c>
      <x:c r="E4981" s="12" t="str">
        <x:v>Prestige Tech Park</x:v>
      </x:c>
      <x:c r="F4981" s="12" t="str">
        <x:v>55 inch</x:v>
      </x:c>
      <x:c r="G4981" s="20" t="n">
        <x:v>1</x:v>
      </x:c>
      <x:c r="H4981" s="12" t="str">
        <x:v>Campus/portfolio roster; individual building occupancy unverified</x:v>
      </x:c>
      <x:c r="I4981" s="12" t="str">
        <x:v>Mixed business audience</x:v>
      </x:c>
      <x:c r="J4981" s="12" t="str">
        <x:v>Professional services</x:v>
      </x:c>
      <x:c r="K4981" s="2" t="str">
        <x:v>PARTNER-M014</x:v>
      </x:c>
    </x:row>
    <x:row r="4982" ht="46" customHeight="1">
      <x:c r="A4982" s="2" t="str">
        <x:v>TEN-49F1F88DBFE4</x:v>
      </x:c>
      <x:c r="B4982" s="12" t="str">
        <x:v>Futures First Info Services</x:v>
      </x:c>
      <x:c r="C4982" s="12" t="str">
        <x:v>CORP-0441</x:v>
      </x:c>
      <x:c r="D4982" s="12" t="str">
        <x:v>Bengaluru</x:v>
      </x:c>
      <x:c r="E4982" s="12" t="str">
        <x:v>Prestige Tech Park</x:v>
      </x:c>
      <x:c r="F4982" s="12" t="str">
        <x:v>55 inch</x:v>
      </x:c>
      <x:c r="G4982" s="20" t="n">
        <x:v>1</x:v>
      </x:c>
      <x:c r="H4982" s="12" t="str">
        <x:v>Campus/portfolio roster; individual building occupancy unverified</x:v>
      </x:c>
      <x:c r="I4982" s="12" t="str">
        <x:v>Mixed business audience</x:v>
      </x:c>
      <x:c r="J4982" s="12" t="str">
        <x:v>IT &amp; digital</x:v>
      </x:c>
      <x:c r="K4982" s="2" t="str">
        <x:v>PARTNER-M014</x:v>
      </x:c>
    </x:row>
    <x:row r="4983" ht="46" customHeight="1">
      <x:c r="A4983" s="2" t="str">
        <x:v>TEN-53296B6A946C</x:v>
      </x:c>
      <x:c r="B4983" s="12" t="str">
        <x:v>Waif's</x:v>
      </x:c>
      <x:c r="C4983" s="12" t="str">
        <x:v>CORP-0441</x:v>
      </x:c>
      <x:c r="D4983" s="12" t="str">
        <x:v>Bengaluru</x:v>
      </x:c>
      <x:c r="E4983" s="12" t="str">
        <x:v>Prestige Tech Park</x:v>
      </x:c>
      <x:c r="F4983" s="12" t="str">
        <x:v>55 inch</x:v>
      </x:c>
      <x:c r="G4983" s="20" t="n">
        <x:v>1</x:v>
      </x:c>
      <x:c r="H4983" s="12" t="str">
        <x:v>Campus/portfolio roster; individual building occupancy unverified</x:v>
      </x:c>
      <x:c r="I4983" s="12" t="str">
        <x:v>Mixed business audience</x:v>
      </x:c>
      <x:c r="J4983" s="12" t="str">
        <x:v>Unresolved</x:v>
      </x:c>
      <x:c r="K4983" s="2" t="str">
        <x:v>PARTNER-M014</x:v>
      </x:c>
    </x:row>
    <x:row r="4984" ht="46" customHeight="1">
      <x:c r="A4984" s="2" t="str">
        <x:v>TEN-72DA9DBF0092</x:v>
      </x:c>
      <x:c r="B4984" s="12" t="str">
        <x:v>Aruba Networks</x:v>
      </x:c>
      <x:c r="C4984" s="12" t="str">
        <x:v>CORP-0441</x:v>
      </x:c>
      <x:c r="D4984" s="12" t="str">
        <x:v>Bengaluru</x:v>
      </x:c>
      <x:c r="E4984" s="12" t="str">
        <x:v>Prestige Tech Park</x:v>
      </x:c>
      <x:c r="F4984" s="12" t="str">
        <x:v>55 inch</x:v>
      </x:c>
      <x:c r="G4984" s="20" t="n">
        <x:v>1</x:v>
      </x:c>
      <x:c r="H4984" s="12" t="str">
        <x:v>Campus/portfolio roster; individual building occupancy unverified</x:v>
      </x:c>
      <x:c r="I4984" s="12" t="str">
        <x:v>Large enterprise</x:v>
      </x:c>
      <x:c r="J4984" s="12" t="str">
        <x:v>IT &amp; digital</x:v>
      </x:c>
      <x:c r="K4984" s="2" t="str">
        <x:v>PARTNER-M014</x:v>
      </x:c>
    </x:row>
    <x:row r="4985" ht="46" customHeight="1">
      <x:c r="A4985" s="2" t="str">
        <x:v>TEN-76DBEE9F2C38</x:v>
      </x:c>
      <x:c r="B4985" s="12" t="str">
        <x:v>Mobile Programming</x:v>
      </x:c>
      <x:c r="C4985" s="12" t="str">
        <x:v>CORP-0441</x:v>
      </x:c>
      <x:c r="D4985" s="12" t="str">
        <x:v>Bengaluru</x:v>
      </x:c>
      <x:c r="E4985" s="12" t="str">
        <x:v>Prestige Tech Park</x:v>
      </x:c>
      <x:c r="F4985" s="12" t="str">
        <x:v>55 inch</x:v>
      </x:c>
      <x:c r="G4985" s="20" t="n">
        <x:v>1</x:v>
      </x:c>
      <x:c r="H4985" s="12" t="str">
        <x:v>Campus/portfolio roster; individual building occupancy unverified</x:v>
      </x:c>
      <x:c r="I4985" s="12" t="str">
        <x:v>Small-scale prospects</x:v>
      </x:c>
      <x:c r="J4985" s="12" t="str">
        <x:v>IT &amp; digital</x:v>
      </x:c>
      <x:c r="K4985" s="2" t="str">
        <x:v>PARTNER-M014</x:v>
      </x:c>
    </x:row>
    <x:row r="4986" ht="46" customHeight="1">
      <x:c r="A4986" s="2" t="str">
        <x:v>TEN-775865062819</x:v>
      </x:c>
      <x:c r="B4986" s="12" t="str">
        <x:v>Nagarro Software Pvt. Ltd</x:v>
      </x:c>
      <x:c r="C4986" s="12" t="str">
        <x:v>CORP-0441</x:v>
      </x:c>
      <x:c r="D4986" s="12" t="str">
        <x:v>Bengaluru</x:v>
      </x:c>
      <x:c r="E4986" s="12" t="str">
        <x:v>Prestige Tech Park</x:v>
      </x:c>
      <x:c r="F4986" s="12" t="str">
        <x:v>55 inch</x:v>
      </x:c>
      <x:c r="G4986" s="20" t="n">
        <x:v>1</x:v>
      </x:c>
      <x:c r="H4986" s="12" t="str">
        <x:v>Campus/portfolio roster; individual building occupancy unverified</x:v>
      </x:c>
      <x:c r="I4986" s="12" t="str">
        <x:v>Large enterprise</x:v>
      </x:c>
      <x:c r="J4986" s="12" t="str">
        <x:v>IT &amp; digital</x:v>
      </x:c>
      <x:c r="K4986" s="2" t="str">
        <x:v>PARTNER-M014</x:v>
      </x:c>
    </x:row>
    <x:row r="4987" ht="46" customHeight="1">
      <x:c r="A4987" s="2" t="str">
        <x:v>TEN-78522B7571D3</x:v>
      </x:c>
      <x:c r="B4987" s="12" t="str">
        <x:v>Grab Greco LLP</x:v>
      </x:c>
      <x:c r="C4987" s="12" t="str">
        <x:v>CORP-0441</x:v>
      </x:c>
      <x:c r="D4987" s="12" t="str">
        <x:v>Bengaluru</x:v>
      </x:c>
      <x:c r="E4987" s="12" t="str">
        <x:v>Prestige Tech Park</x:v>
      </x:c>
      <x:c r="F4987" s="12" t="str">
        <x:v>55 inch</x:v>
      </x:c>
      <x:c r="G4987" s="20" t="n">
        <x:v>1</x:v>
      </x:c>
      <x:c r="H4987" s="12" t="str">
        <x:v>Campus/portfolio roster; individual building occupancy unverified</x:v>
      </x:c>
      <x:c r="I4987" s="12" t="str">
        <x:v>Mixed business audience</x:v>
      </x:c>
      <x:c r="J4987" s="12" t="str">
        <x:v>Unresolved</x:v>
      </x:c>
      <x:c r="K4987" s="2" t="str">
        <x:v>PARTNER-M014</x:v>
      </x:c>
    </x:row>
    <x:row r="4988" ht="46" customHeight="1">
      <x:c r="A4988" s="2" t="str">
        <x:v>TEN-8217BB19EBF1</x:v>
      </x:c>
      <x:c r="B4988" s="12" t="str">
        <x:v>J.P. Morgan</x:v>
      </x:c>
      <x:c r="C4988" s="12" t="str">
        <x:v>CORP-0441</x:v>
      </x:c>
      <x:c r="D4988" s="12" t="str">
        <x:v>Bengaluru</x:v>
      </x:c>
      <x:c r="E4988" s="12" t="str">
        <x:v>Prestige Tech Park</x:v>
      </x:c>
      <x:c r="F4988" s="12" t="str">
        <x:v>55 inch</x:v>
      </x:c>
      <x:c r="G4988" s="20" t="n">
        <x:v>1</x:v>
      </x:c>
      <x:c r="H4988" s="12" t="str">
        <x:v>Campus/portfolio roster; individual building occupancy unverified</x:v>
      </x:c>
      <x:c r="I4988" s="12" t="str">
        <x:v>Large enterprise</x:v>
      </x:c>
      <x:c r="J4988" s="12" t="str">
        <x:v>Finance &amp; insurance</x:v>
      </x:c>
      <x:c r="K4988" s="2" t="str">
        <x:v>PARTNER-M014</x:v>
      </x:c>
    </x:row>
    <x:row r="4989" ht="46" customHeight="1">
      <x:c r="A4989" s="2" t="str">
        <x:v>TEN-9202AF6CE925</x:v>
      </x:c>
      <x:c r="B4989" s="12" t="str">
        <x:v>Oracle</x:v>
      </x:c>
      <x:c r="C4989" s="12" t="str">
        <x:v>CORP-0441</x:v>
      </x:c>
      <x:c r="D4989" s="12" t="str">
        <x:v>Bengaluru</x:v>
      </x:c>
      <x:c r="E4989" s="12" t="str">
        <x:v>Prestige Tech Park</x:v>
      </x:c>
      <x:c r="F4989" s="12" t="str">
        <x:v>55 inch</x:v>
      </x:c>
      <x:c r="G4989" s="20" t="n">
        <x:v>1</x:v>
      </x:c>
      <x:c r="H4989" s="12" t="str">
        <x:v>Campus/portfolio roster; individual building occupancy unverified</x:v>
      </x:c>
      <x:c r="I4989" s="12" t="str">
        <x:v>Large enterprise</x:v>
      </x:c>
      <x:c r="J4989" s="12" t="str">
        <x:v>IT &amp; digital</x:v>
      </x:c>
      <x:c r="K4989" s="2" t="str">
        <x:v>PARTNER-M014</x:v>
      </x:c>
    </x:row>
    <x:row r="4990" ht="46" customHeight="1">
      <x:c r="A4990" s="2" t="str">
        <x:v>TEN-9B7F5525854D</x:v>
      </x:c>
      <x:c r="B4990" s="12" t="str">
        <x:v>AQUANTIA SEMICONDUCTOR INDIA PVT LTD</x:v>
      </x:c>
      <x:c r="C4990" s="12" t="str">
        <x:v>CORP-0441</x:v>
      </x:c>
      <x:c r="D4990" s="12" t="str">
        <x:v>Bengaluru</x:v>
      </x:c>
      <x:c r="E4990" s="12" t="str">
        <x:v>Prestige Tech Park</x:v>
      </x:c>
      <x:c r="F4990" s="12" t="str">
        <x:v>55 inch</x:v>
      </x:c>
      <x:c r="G4990" s="20" t="n">
        <x:v>1</x:v>
      </x:c>
      <x:c r="H4990" s="12" t="str">
        <x:v>Campus/portfolio roster; individual building occupancy unverified</x:v>
      </x:c>
      <x:c r="I4990" s="12" t="str">
        <x:v>Mixed business audience</x:v>
      </x:c>
      <x:c r="J4990" s="12" t="str">
        <x:v>Engineering &amp; manufacturing</x:v>
      </x:c>
      <x:c r="K4990" s="2" t="str">
        <x:v>PARTNER-M014</x:v>
      </x:c>
    </x:row>
    <x:row r="4991" ht="46" customHeight="1">
      <x:c r="A4991" s="2" t="str">
        <x:v>TEN-B909749F4464</x:v>
      </x:c>
      <x:c r="B4991" s="12" t="str">
        <x:v>Conga (Apttus) Software Pvt. Ltd</x:v>
      </x:c>
      <x:c r="C4991" s="12" t="str">
        <x:v>CORP-0441</x:v>
      </x:c>
      <x:c r="D4991" s="12" t="str">
        <x:v>Bengaluru</x:v>
      </x:c>
      <x:c r="E4991" s="12" t="str">
        <x:v>Prestige Tech Park</x:v>
      </x:c>
      <x:c r="F4991" s="12" t="str">
        <x:v>55 inch</x:v>
      </x:c>
      <x:c r="G4991" s="20" t="n">
        <x:v>1</x:v>
      </x:c>
      <x:c r="H4991" s="12" t="str">
        <x:v>Campus/portfolio roster; individual building occupancy unverified</x:v>
      </x:c>
      <x:c r="I4991" s="12" t="str">
        <x:v>Mixed business audience</x:v>
      </x:c>
      <x:c r="J4991" s="12" t="str">
        <x:v>IT &amp; digital</x:v>
      </x:c>
      <x:c r="K4991" s="2" t="str">
        <x:v>PARTNER-M014</x:v>
      </x:c>
    </x:row>
    <x:row r="4992" ht="46" customHeight="1">
      <x:c r="A4992" s="2" t="str">
        <x:v>TEN-BC3067AC45DF</x:v>
      </x:c>
      <x:c r="B4992" s="12" t="str">
        <x:v>Schneider Electric</x:v>
      </x:c>
      <x:c r="C4992" s="12" t="str">
        <x:v>CORP-0441</x:v>
      </x:c>
      <x:c r="D4992" s="12" t="str">
        <x:v>Bengaluru</x:v>
      </x:c>
      <x:c r="E4992" s="12" t="str">
        <x:v>Prestige Tech Park</x:v>
      </x:c>
      <x:c r="F4992" s="12" t="str">
        <x:v>55 inch</x:v>
      </x:c>
      <x:c r="G4992" s="20" t="n">
        <x:v>1</x:v>
      </x:c>
      <x:c r="H4992" s="12" t="str">
        <x:v>Campus/portfolio roster; individual building occupancy unverified</x:v>
      </x:c>
      <x:c r="I4992" s="12" t="str">
        <x:v>Large enterprise</x:v>
      </x:c>
      <x:c r="J4992" s="12" t="str">
        <x:v>Engineering &amp; manufacturing</x:v>
      </x:c>
      <x:c r="K4992" s="2" t="str">
        <x:v>PARTNER-M014</x:v>
      </x:c>
    </x:row>
    <x:row r="4993" ht="46" customHeight="1">
      <x:c r="A4993" s="2" t="str">
        <x:v>TEN-C34DF63CE5F2</x:v>
      </x:c>
      <x:c r="B4993" s="12" t="str">
        <x:v>BlueJeans Networks Pvt Ltd</x:v>
      </x:c>
      <x:c r="C4993" s="12" t="str">
        <x:v>CORP-0441</x:v>
      </x:c>
      <x:c r="D4993" s="12" t="str">
        <x:v>Bengaluru</x:v>
      </x:c>
      <x:c r="E4993" s="12" t="str">
        <x:v>Prestige Tech Park</x:v>
      </x:c>
      <x:c r="F4993" s="12" t="str">
        <x:v>55 inch</x:v>
      </x:c>
      <x:c r="G4993" s="20" t="n">
        <x:v>1</x:v>
      </x:c>
      <x:c r="H4993" s="12" t="str">
        <x:v>Campus/portfolio roster; individual building occupancy unverified</x:v>
      </x:c>
      <x:c r="I4993" s="12" t="str">
        <x:v>Mixed business audience</x:v>
      </x:c>
      <x:c r="J4993" s="12" t="str">
        <x:v>IT &amp; digital</x:v>
      </x:c>
      <x:c r="K4993" s="2" t="str">
        <x:v>PARTNER-M014</x:v>
      </x:c>
    </x:row>
    <x:row r="4994" ht="46" customHeight="1">
      <x:c r="A4994" s="2" t="str">
        <x:v>TEN-C47675D3BD0C</x:v>
      </x:c>
      <x:c r="B4994" s="12" t="str">
        <x:v>Money View</x:v>
      </x:c>
      <x:c r="C4994" s="12" t="str">
        <x:v>CORP-0441</x:v>
      </x:c>
      <x:c r="D4994" s="12" t="str">
        <x:v>Bengaluru</x:v>
      </x:c>
      <x:c r="E4994" s="12" t="str">
        <x:v>Prestige Tech Park</x:v>
      </x:c>
      <x:c r="F4994" s="12" t="str">
        <x:v>55 inch</x:v>
      </x:c>
      <x:c r="G4994" s="20" t="n">
        <x:v>1</x:v>
      </x:c>
      <x:c r="H4994" s="12" t="str">
        <x:v>Campus/portfolio roster; individual building occupancy unverified</x:v>
      </x:c>
      <x:c r="I4994" s="12" t="str">
        <x:v>Medium-scale prospects</x:v>
      </x:c>
      <x:c r="J4994" s="12" t="str">
        <x:v>Finance &amp; insurance</x:v>
      </x:c>
      <x:c r="K4994" s="2" t="str">
        <x:v>PARTNER-M014</x:v>
      </x:c>
    </x:row>
    <x:row r="4995" ht="46" customHeight="1">
      <x:c r="A4995" s="2" t="str">
        <x:v>TEN-D886B2C883A6</x:v>
      </x:c>
      <x:c r="B4995" s="12" t="str">
        <x:v>Citi Bank</x:v>
      </x:c>
      <x:c r="C4995" s="12" t="str">
        <x:v>CORP-0441</x:v>
      </x:c>
      <x:c r="D4995" s="12" t="str">
        <x:v>Bengaluru</x:v>
      </x:c>
      <x:c r="E4995" s="12" t="str">
        <x:v>Prestige Tech Park</x:v>
      </x:c>
      <x:c r="F4995" s="12" t="str">
        <x:v>55 inch</x:v>
      </x:c>
      <x:c r="G4995" s="20" t="n">
        <x:v>1</x:v>
      </x:c>
      <x:c r="H4995" s="12" t="str">
        <x:v>Campus/portfolio roster; individual building occupancy unverified</x:v>
      </x:c>
      <x:c r="I4995" s="12" t="str">
        <x:v>Large enterprise</x:v>
      </x:c>
      <x:c r="J4995" s="12" t="str">
        <x:v>Finance &amp; insurance</x:v>
      </x:c>
      <x:c r="K4995" s="2" t="str">
        <x:v>PARTNER-M014</x:v>
      </x:c>
    </x:row>
    <x:row r="4996" ht="46" customHeight="1">
      <x:c r="A4996" s="2" t="str">
        <x:v>TEN-D9364FD0A5DE</x:v>
      </x:c>
      <x:c r="B4996" s="12" t="str">
        <x:v>Walmart Labs</x:v>
      </x:c>
      <x:c r="C4996" s="12" t="str">
        <x:v>CORP-0441</x:v>
      </x:c>
      <x:c r="D4996" s="12" t="str">
        <x:v>Bengaluru</x:v>
      </x:c>
      <x:c r="E4996" s="12" t="str">
        <x:v>Prestige Tech Park</x:v>
      </x:c>
      <x:c r="F4996" s="12" t="str">
        <x:v>55 inch</x:v>
      </x:c>
      <x:c r="G4996" s="20" t="n">
        <x:v>1</x:v>
      </x:c>
      <x:c r="H4996" s="12" t="str">
        <x:v>Campus/portfolio roster; individual building occupancy unverified</x:v>
      </x:c>
      <x:c r="I4996" s="12" t="str">
        <x:v>Large enterprise</x:v>
      </x:c>
      <x:c r="J4996" s="12" t="str">
        <x:v>Trade, consumer &amp; logistics</x:v>
      </x:c>
      <x:c r="K4996" s="2" t="str">
        <x:v>PARTNER-M014</x:v>
      </x:c>
    </x:row>
    <x:row r="4997" ht="46" customHeight="1">
      <x:c r="A4997" s="2" t="str">
        <x:v>TEN-F55A85B2F2EB</x:v>
      </x:c>
      <x:c r="B4997" s="12" t="str">
        <x:v>Capgemini</x:v>
      </x:c>
      <x:c r="C4997" s="12" t="str">
        <x:v>CORP-0441</x:v>
      </x:c>
      <x:c r="D4997" s="12" t="str">
        <x:v>Bengaluru</x:v>
      </x:c>
      <x:c r="E4997" s="12" t="str">
        <x:v>Prestige Tech Park</x:v>
      </x:c>
      <x:c r="F4997" s="12" t="str">
        <x:v>55 inch</x:v>
      </x:c>
      <x:c r="G4997" s="20" t="n">
        <x:v>1</x:v>
      </x:c>
      <x:c r="H4997" s="12" t="str">
        <x:v>Campus/portfolio roster; individual building occupancy unverified</x:v>
      </x:c>
      <x:c r="I4997" s="12" t="str">
        <x:v>Large enterprise</x:v>
      </x:c>
      <x:c r="J4997" s="12" t="str">
        <x:v>IT &amp; digital</x:v>
      </x:c>
      <x:c r="K4997" s="2" t="str">
        <x:v>PARTNER-M014</x:v>
      </x:c>
    </x:row>
    <x:row r="4998" ht="46" customHeight="1">
      <x:c r="A4998" s="2" t="str">
        <x:v>TEN-028810317654</x:v>
      </x:c>
      <x:c r="B4998" s="12" t="str">
        <x:v>Hitachi Consulting</x:v>
      </x:c>
      <x:c r="C4998" s="12" t="str">
        <x:v>CORP-0675</x:v>
      </x:c>
      <x:c r="D4998" s="12" t="str">
        <x:v>Pune</x:v>
      </x:c>
      <x:c r="E4998" s="12" t="str">
        <x:v>Magarpatta Cyberpark</x:v>
      </x:c>
      <x:c r="F4998" s="12" t="str">
        <x:v>55 inch</x:v>
      </x:c>
      <x:c r="G4998" s="20" t="n">
        <x:v>1</x:v>
      </x:c>
      <x:c r="H4998" s="12" t="str">
        <x:v>Campus/portfolio roster; individual building occupancy unverified</x:v>
      </x:c>
      <x:c r="I4998" s="12" t="str">
        <x:v>Mixed business audience</x:v>
      </x:c>
      <x:c r="J4998" s="12" t="str">
        <x:v>IT &amp; digital</x:v>
      </x:c>
      <x:c r="K4998" s="2" t="str">
        <x:v>PARTNER-M252</x:v>
      </x:c>
    </x:row>
    <x:row r="4999" ht="46" customHeight="1">
      <x:c r="A4999" s="2" t="str">
        <x:v>TEN-0392C3B9EE62</x:v>
      </x:c>
      <x:c r="B4999" s="12" t="str">
        <x:v>Konecranes</x:v>
      </x:c>
      <x:c r="C4999" s="12" t="str">
        <x:v>CORP-0675</x:v>
      </x:c>
      <x:c r="D4999" s="12" t="str">
        <x:v>Pune</x:v>
      </x:c>
      <x:c r="E4999" s="12" t="str">
        <x:v>Magarpatta Cyberpark</x:v>
      </x:c>
      <x:c r="F4999" s="12" t="str">
        <x:v>55 inch</x:v>
      </x:c>
      <x:c r="G4999" s="20" t="n">
        <x:v>1</x:v>
      </x:c>
      <x:c r="H4999" s="12" t="str">
        <x:v>Campus/portfolio roster; individual building occupancy unverified</x:v>
      </x:c>
      <x:c r="I4999" s="12" t="str">
        <x:v>Mixed business audience</x:v>
      </x:c>
      <x:c r="J4999" s="12" t="str">
        <x:v>Engineering &amp; manufacturing</x:v>
      </x:c>
      <x:c r="K4999" s="2" t="str">
        <x:v>PARTNER-M252</x:v>
      </x:c>
    </x:row>
    <x:row r="5000" ht="46" customHeight="1">
      <x:c r="A5000" s="2" t="str">
        <x:v>TEN-0C4F9F7327E1</x:v>
      </x:c>
      <x:c r="B5000" s="12" t="str">
        <x:v>Ocwen</x:v>
      </x:c>
      <x:c r="C5000" s="12" t="str">
        <x:v>CORP-0675</x:v>
      </x:c>
      <x:c r="D5000" s="12" t="str">
        <x:v>Pune</x:v>
      </x:c>
      <x:c r="E5000" s="12" t="str">
        <x:v>Magarpatta Cyberpark</x:v>
      </x:c>
      <x:c r="F5000" s="12" t="str">
        <x:v>55 inch</x:v>
      </x:c>
      <x:c r="G5000" s="20" t="n">
        <x:v>1</x:v>
      </x:c>
      <x:c r="H5000" s="12" t="str">
        <x:v>Campus/portfolio roster; individual building occupancy unverified</x:v>
      </x:c>
      <x:c r="I5000" s="12" t="str">
        <x:v>Mixed business audience</x:v>
      </x:c>
      <x:c r="J5000" s="12" t="str">
        <x:v>Finance &amp; insurance</x:v>
      </x:c>
      <x:c r="K5000" s="2" t="str">
        <x:v>PARTNER-M252</x:v>
      </x:c>
    </x:row>
    <x:row r="5001" ht="46" customHeight="1">
      <x:c r="A5001" s="2" t="str">
        <x:v>TEN-37A9A152C42F</x:v>
      </x:c>
      <x:c r="B5001" s="12" t="str">
        <x:v>AppDirect</x:v>
      </x:c>
      <x:c r="C5001" s="12" t="str">
        <x:v>CORP-0675</x:v>
      </x:c>
      <x:c r="D5001" s="12" t="str">
        <x:v>Pune</x:v>
      </x:c>
      <x:c r="E5001" s="12" t="str">
        <x:v>Magarpatta Cyberpark</x:v>
      </x:c>
      <x:c r="F5001" s="12" t="str">
        <x:v>55 inch</x:v>
      </x:c>
      <x:c r="G5001" s="20" t="n">
        <x:v>1</x:v>
      </x:c>
      <x:c r="H5001" s="12" t="str">
        <x:v>Campus/portfolio roster; individual building occupancy unverified</x:v>
      </x:c>
      <x:c r="I5001" s="12" t="str">
        <x:v>Mixed business audience</x:v>
      </x:c>
      <x:c r="J5001" s="12" t="str">
        <x:v>IT &amp; digital</x:v>
      </x:c>
      <x:c r="K5001" s="2" t="str">
        <x:v>PARTNER-M252</x:v>
      </x:c>
    </x:row>
    <x:row r="5002" ht="46" customHeight="1">
      <x:c r="A5002" s="2" t="str">
        <x:v>TEN-45D9225952C7</x:v>
      </x:c>
      <x:c r="B5002" s="12" t="str">
        <x:v>TATA elxsi</x:v>
      </x:c>
      <x:c r="C5002" s="12" t="str">
        <x:v>CORP-0675</x:v>
      </x:c>
      <x:c r="D5002" s="12" t="str">
        <x:v>Pune</x:v>
      </x:c>
      <x:c r="E5002" s="12" t="str">
        <x:v>Magarpatta Cyberpark</x:v>
      </x:c>
      <x:c r="F5002" s="12" t="str">
        <x:v>55 inch</x:v>
      </x:c>
      <x:c r="G5002" s="20" t="n">
        <x:v>1</x:v>
      </x:c>
      <x:c r="H5002" s="12" t="str">
        <x:v>Campus/portfolio roster; individual building occupancy unverified</x:v>
      </x:c>
      <x:c r="I5002" s="12" t="str">
        <x:v>Large enterprise</x:v>
      </x:c>
      <x:c r="J5002" s="12" t="str">
        <x:v>IT &amp; digital</x:v>
      </x:c>
      <x:c r="K5002" s="2" t="str">
        <x:v>PARTNER-M252</x:v>
      </x:c>
    </x:row>
    <x:row r="5003" ht="46" customHeight="1">
      <x:c r="A5003" s="2" t="str">
        <x:v>TEN-6CA190D5260C</x:v>
      </x:c>
      <x:c r="B5003" s="12" t="str">
        <x:v>WNS</x:v>
      </x:c>
      <x:c r="C5003" s="12" t="str">
        <x:v>CORP-0675</x:v>
      </x:c>
      <x:c r="D5003" s="12" t="str">
        <x:v>Pune</x:v>
      </x:c>
      <x:c r="E5003" s="12" t="str">
        <x:v>Magarpatta Cyberpark</x:v>
      </x:c>
      <x:c r="F5003" s="12" t="str">
        <x:v>55 inch</x:v>
      </x:c>
      <x:c r="G5003" s="20" t="n">
        <x:v>1</x:v>
      </x:c>
      <x:c r="H5003" s="12" t="str">
        <x:v>Campus/portfolio roster; individual building occupancy unverified</x:v>
      </x:c>
      <x:c r="I5003" s="12" t="str">
        <x:v>Mixed business audience</x:v>
      </x:c>
      <x:c r="J5003" s="12" t="str">
        <x:v>IT &amp; digital</x:v>
      </x:c>
      <x:c r="K5003" s="2" t="str">
        <x:v>PARTNER-M252</x:v>
      </x:c>
    </x:row>
    <x:row r="5004" ht="46" customHeight="1">
      <x:c r="A5004" s="2" t="str">
        <x:v>TEN-6CE8BB6DCAD7</x:v>
      </x:c>
      <x:c r="B5004" s="12" t="str">
        <x:v>Systems Plus</x:v>
      </x:c>
      <x:c r="C5004" s="12" t="str">
        <x:v>CORP-0675</x:v>
      </x:c>
      <x:c r="D5004" s="12" t="str">
        <x:v>Pune</x:v>
      </x:c>
      <x:c r="E5004" s="12" t="str">
        <x:v>Magarpatta Cyberpark</x:v>
      </x:c>
      <x:c r="F5004" s="12" t="str">
        <x:v>55 inch</x:v>
      </x:c>
      <x:c r="G5004" s="20" t="n">
        <x:v>1</x:v>
      </x:c>
      <x:c r="H5004" s="12" t="str">
        <x:v>Campus/portfolio roster; individual building occupancy unverified</x:v>
      </x:c>
      <x:c r="I5004" s="12" t="str">
        <x:v>Small-scale prospects</x:v>
      </x:c>
      <x:c r="J5004" s="12" t="str">
        <x:v>IT &amp; digital</x:v>
      </x:c>
      <x:c r="K5004" s="2" t="str">
        <x:v>PARTNER-M252</x:v>
      </x:c>
    </x:row>
    <x:row r="5005" ht="46" customHeight="1">
      <x:c r="A5005" s="2" t="str">
        <x:v>TEN-7DE355F41161</x:v>
      </x:c>
      <x:c r="B5005" s="12" t="str">
        <x:v>Avaya</x:v>
      </x:c>
      <x:c r="C5005" s="12" t="str">
        <x:v>CORP-0675</x:v>
      </x:c>
      <x:c r="D5005" s="12" t="str">
        <x:v>Pune</x:v>
      </x:c>
      <x:c r="E5005" s="12" t="str">
        <x:v>Magarpatta Cyberpark</x:v>
      </x:c>
      <x:c r="F5005" s="12" t="str">
        <x:v>55 inch</x:v>
      </x:c>
      <x:c r="G5005" s="20" t="n">
        <x:v>1</x:v>
      </x:c>
      <x:c r="H5005" s="12" t="str">
        <x:v>Campus/portfolio roster; individual building occupancy unverified</x:v>
      </x:c>
      <x:c r="I5005" s="12" t="str">
        <x:v>Mixed business audience</x:v>
      </x:c>
      <x:c r="J5005" s="12" t="str">
        <x:v>IT &amp; digital</x:v>
      </x:c>
      <x:c r="K5005" s="2" t="str">
        <x:v>PARTNER-M252</x:v>
      </x:c>
    </x:row>
    <x:row r="5006" ht="46" customHeight="1">
      <x:c r="A5006" s="2" t="str">
        <x:v>TEN-866F70D2D0FF</x:v>
      </x:c>
      <x:c r="B5006" s="12" t="str">
        <x:v>CompuCom</x:v>
      </x:c>
      <x:c r="C5006" s="12" t="str">
        <x:v>CORP-0675</x:v>
      </x:c>
      <x:c r="D5006" s="12" t="str">
        <x:v>Pune</x:v>
      </x:c>
      <x:c r="E5006" s="12" t="str">
        <x:v>Magarpatta Cyberpark</x:v>
      </x:c>
      <x:c r="F5006" s="12" t="str">
        <x:v>55 inch</x:v>
      </x:c>
      <x:c r="G5006" s="20" t="n">
        <x:v>1</x:v>
      </x:c>
      <x:c r="H5006" s="12" t="str">
        <x:v>Campus/portfolio roster; individual building occupancy unverified</x:v>
      </x:c>
      <x:c r="I5006" s="12" t="str">
        <x:v>Mixed business audience</x:v>
      </x:c>
      <x:c r="J5006" s="12" t="str">
        <x:v>IT &amp; digital</x:v>
      </x:c>
      <x:c r="K5006" s="2" t="str">
        <x:v>PARTNER-M252</x:v>
      </x:c>
    </x:row>
    <x:row r="5007" ht="46" customHeight="1">
      <x:c r="A5007" s="2" t="str">
        <x:v>TEN-8DFE5E6CF73B</x:v>
      </x:c>
      <x:c r="B5007" s="12" t="str">
        <x:v>Red Hat</x:v>
      </x:c>
      <x:c r="C5007" s="12" t="str">
        <x:v>CORP-0675</x:v>
      </x:c>
      <x:c r="D5007" s="12" t="str">
        <x:v>Pune</x:v>
      </x:c>
      <x:c r="E5007" s="12" t="str">
        <x:v>Magarpatta Cyberpark</x:v>
      </x:c>
      <x:c r="F5007" s="12" t="str">
        <x:v>55 inch</x:v>
      </x:c>
      <x:c r="G5007" s="20" t="n">
        <x:v>1</x:v>
      </x:c>
      <x:c r="H5007" s="12" t="str">
        <x:v>Campus/portfolio roster; individual building occupancy unverified</x:v>
      </x:c>
      <x:c r="I5007" s="12" t="str">
        <x:v>Large enterprise</x:v>
      </x:c>
      <x:c r="J5007" s="12" t="str">
        <x:v>IT &amp; digital</x:v>
      </x:c>
      <x:c r="K5007" s="2" t="str">
        <x:v>PARTNER-M252</x:v>
      </x:c>
    </x:row>
    <x:row r="5008" ht="46" customHeight="1">
      <x:c r="A5008" s="2" t="str">
        <x:v>TEN-97ED95A681B4</x:v>
      </x:c>
      <x:c r="B5008" s="12" t="str">
        <x:v>Sutherland</x:v>
      </x:c>
      <x:c r="C5008" s="12" t="str">
        <x:v>CORP-0675</x:v>
      </x:c>
      <x:c r="D5008" s="12" t="str">
        <x:v>Pune</x:v>
      </x:c>
      <x:c r="E5008" s="12" t="str">
        <x:v>Magarpatta Cyberpark</x:v>
      </x:c>
      <x:c r="F5008" s="12" t="str">
        <x:v>55 inch</x:v>
      </x:c>
      <x:c r="G5008" s="20" t="n">
        <x:v>1</x:v>
      </x:c>
      <x:c r="H5008" s="12" t="str">
        <x:v>Campus/portfolio roster; individual building occupancy unverified</x:v>
      </x:c>
      <x:c r="I5008" s="12" t="str">
        <x:v>Mixed business audience</x:v>
      </x:c>
      <x:c r="J5008" s="12" t="str">
        <x:v>IT &amp; digital</x:v>
      </x:c>
      <x:c r="K5008" s="2" t="str">
        <x:v>PARTNER-M252</x:v>
      </x:c>
    </x:row>
    <x:row r="5009" ht="46" customHeight="1">
      <x:c r="A5009" s="2" t="str">
        <x:v>TEN-9CF1F6CEECDE</x:v>
      </x:c>
      <x:c r="B5009" s="12" t="str">
        <x:v>Springer Nature</x:v>
      </x:c>
      <x:c r="C5009" s="12" t="str">
        <x:v>CORP-0675</x:v>
      </x:c>
      <x:c r="D5009" s="12" t="str">
        <x:v>Pune</x:v>
      </x:c>
      <x:c r="E5009" s="12" t="str">
        <x:v>Magarpatta Cyberpark</x:v>
      </x:c>
      <x:c r="F5009" s="12" t="str">
        <x:v>55 inch</x:v>
      </x:c>
      <x:c r="G5009" s="20" t="n">
        <x:v>1</x:v>
      </x:c>
      <x:c r="H5009" s="12" t="str">
        <x:v>Campus/portfolio roster; individual building occupancy unverified</x:v>
      </x:c>
      <x:c r="I5009" s="12" t="str">
        <x:v>Mixed business audience</x:v>
      </x:c>
      <x:c r="J5009" s="12" t="str">
        <x:v>Education</x:v>
      </x:c>
      <x:c r="K5009" s="2" t="str">
        <x:v>PARTNER-M252</x:v>
      </x:c>
    </x:row>
    <x:row r="5010" ht="46" customHeight="1">
      <x:c r="A5010" s="2" t="str">
        <x:v>TEN-9CF8C9635F36</x:v>
      </x:c>
      <x:c r="B5010" s="12" t="str">
        <x:v>Teradata</x:v>
      </x:c>
      <x:c r="C5010" s="12" t="str">
        <x:v>CORP-0675</x:v>
      </x:c>
      <x:c r="D5010" s="12" t="str">
        <x:v>Pune</x:v>
      </x:c>
      <x:c r="E5010" s="12" t="str">
        <x:v>Magarpatta Cyberpark</x:v>
      </x:c>
      <x:c r="F5010" s="12" t="str">
        <x:v>55 inch</x:v>
      </x:c>
      <x:c r="G5010" s="20" t="n">
        <x:v>1</x:v>
      </x:c>
      <x:c r="H5010" s="12" t="str">
        <x:v>Campus/portfolio roster; individual building occupancy unverified</x:v>
      </x:c>
      <x:c r="I5010" s="12" t="str">
        <x:v>Mixed business audience</x:v>
      </x:c>
      <x:c r="J5010" s="12" t="str">
        <x:v>IT &amp; digital</x:v>
      </x:c>
      <x:c r="K5010" s="2" t="str">
        <x:v>PARTNER-M252</x:v>
      </x:c>
    </x:row>
    <x:row r="5011" ht="46" customHeight="1">
      <x:c r="A5011" s="2" t="str">
        <x:v>TEN-AAF6BBA77E60</x:v>
      </x:c>
      <x:c r="B5011" s="12" t="str">
        <x:v>Capita</x:v>
      </x:c>
      <x:c r="C5011" s="12" t="str">
        <x:v>CORP-0675</x:v>
      </x:c>
      <x:c r="D5011" s="12" t="str">
        <x:v>Pune</x:v>
      </x:c>
      <x:c r="E5011" s="12" t="str">
        <x:v>Magarpatta Cyberpark</x:v>
      </x:c>
      <x:c r="F5011" s="12" t="str">
        <x:v>55 inch</x:v>
      </x:c>
      <x:c r="G5011" s="20" t="n">
        <x:v>1</x:v>
      </x:c>
      <x:c r="H5011" s="12" t="str">
        <x:v>Campus/portfolio roster; individual building occupancy unverified</x:v>
      </x:c>
      <x:c r="I5011" s="12" t="str">
        <x:v>Mixed business audience</x:v>
      </x:c>
      <x:c r="J5011" s="12" t="str">
        <x:v>IT &amp; digital</x:v>
      </x:c>
      <x:c r="K5011" s="2" t="str">
        <x:v>PARTNER-M252</x:v>
      </x:c>
    </x:row>
    <x:row r="5012" ht="46" customHeight="1">
      <x:c r="A5012" s="2" t="str">
        <x:v>TEN-AB768939C131</x:v>
      </x:c>
      <x:c r="B5012" s="12" t="str">
        <x:v>UPS Logistics</x:v>
      </x:c>
      <x:c r="C5012" s="12" t="str">
        <x:v>CORP-0675</x:v>
      </x:c>
      <x:c r="D5012" s="12" t="str">
        <x:v>Pune</x:v>
      </x:c>
      <x:c r="E5012" s="12" t="str">
        <x:v>Magarpatta Cyberpark</x:v>
      </x:c>
      <x:c r="F5012" s="12" t="str">
        <x:v>55 inch</x:v>
      </x:c>
      <x:c r="G5012" s="20" t="n">
        <x:v>1</x:v>
      </x:c>
      <x:c r="H5012" s="12" t="str">
        <x:v>Campus/portfolio roster; individual building occupancy unverified</x:v>
      </x:c>
      <x:c r="I5012" s="12" t="str">
        <x:v>Mixed business audience</x:v>
      </x:c>
      <x:c r="J5012" s="12" t="str">
        <x:v>Trade, consumer &amp; logistics</x:v>
      </x:c>
      <x:c r="K5012" s="2" t="str">
        <x:v>PARTNER-M252</x:v>
      </x:c>
    </x:row>
    <x:row r="5013" ht="46" customHeight="1">
      <x:c r="A5013" s="2" t="str">
        <x:v>TEN-ACFE8450840B</x:v>
      </x:c>
      <x:c r="B5013" s="12" t="str">
        <x:v>HCL</x:v>
      </x:c>
      <x:c r="C5013" s="12" t="str">
        <x:v>CORP-0675</x:v>
      </x:c>
      <x:c r="D5013" s="12" t="str">
        <x:v>Pune</x:v>
      </x:c>
      <x:c r="E5013" s="12" t="str">
        <x:v>Magarpatta Cyberpark</x:v>
      </x:c>
      <x:c r="F5013" s="12" t="str">
        <x:v>55 inch</x:v>
      </x:c>
      <x:c r="G5013" s="20" t="n">
        <x:v>1</x:v>
      </x:c>
      <x:c r="H5013" s="12" t="str">
        <x:v>Campus/portfolio roster; individual building occupancy unverified</x:v>
      </x:c>
      <x:c r="I5013" s="12" t="str">
        <x:v>Large enterprise</x:v>
      </x:c>
      <x:c r="J5013" s="12" t="str">
        <x:v>IT &amp; digital</x:v>
      </x:c>
      <x:c r="K5013" s="2" t="str">
        <x:v>PARTNER-M252</x:v>
      </x:c>
    </x:row>
    <x:row r="5014" ht="46" customHeight="1">
      <x:c r="A5014" s="2" t="str">
        <x:v>TEN-B2036C6D16F6</x:v>
      </x:c>
      <x:c r="B5014" s="12" t="str">
        <x:v>Principal Global Services</x:v>
      </x:c>
      <x:c r="C5014" s="12" t="str">
        <x:v>CORP-0675</x:v>
      </x:c>
      <x:c r="D5014" s="12" t="str">
        <x:v>Pune</x:v>
      </x:c>
      <x:c r="E5014" s="12" t="str">
        <x:v>Magarpatta Cyberpark</x:v>
      </x:c>
      <x:c r="F5014" s="12" t="str">
        <x:v>55 inch</x:v>
      </x:c>
      <x:c r="G5014" s="20" t="n">
        <x:v>1</x:v>
      </x:c>
      <x:c r="H5014" s="12" t="str">
        <x:v>Campus/portfolio roster; individual building occupancy unverified</x:v>
      </x:c>
      <x:c r="I5014" s="12" t="str">
        <x:v>Mixed business audience</x:v>
      </x:c>
      <x:c r="J5014" s="12" t="str">
        <x:v>Finance &amp; insurance</x:v>
      </x:c>
      <x:c r="K5014" s="2" t="str">
        <x:v>PARTNER-M252</x:v>
      </x:c>
    </x:row>
    <x:row r="5015" ht="46" customHeight="1">
      <x:c r="A5015" s="2" t="str">
        <x:v>TEN-B5F5468E9428</x:v>
      </x:c>
      <x:c r="B5015" s="12" t="str">
        <x:v>Amdocs</x:v>
      </x:c>
      <x:c r="C5015" s="12" t="str">
        <x:v>CORP-0675</x:v>
      </x:c>
      <x:c r="D5015" s="12" t="str">
        <x:v>Pune</x:v>
      </x:c>
      <x:c r="E5015" s="12" t="str">
        <x:v>Magarpatta Cyberpark</x:v>
      </x:c>
      <x:c r="F5015" s="12" t="str">
        <x:v>55 inch</x:v>
      </x:c>
      <x:c r="G5015" s="20" t="n">
        <x:v>1</x:v>
      </x:c>
      <x:c r="H5015" s="12" t="str">
        <x:v>Campus/portfolio roster; individual building occupancy unverified</x:v>
      </x:c>
      <x:c r="I5015" s="12" t="str">
        <x:v>Mixed business audience</x:v>
      </x:c>
      <x:c r="J5015" s="12" t="str">
        <x:v>IT &amp; digital</x:v>
      </x:c>
      <x:c r="K5015" s="2" t="str">
        <x:v>PARTNER-M252</x:v>
      </x:c>
    </x:row>
    <x:row r="5016" ht="46" customHeight="1">
      <x:c r="A5016" s="2" t="str">
        <x:v>TEN-B7BEA343B08C</x:v>
      </x:c>
      <x:c r="B5016" s="12" t="str">
        <x:v>EXL</x:v>
      </x:c>
      <x:c r="C5016" s="12" t="str">
        <x:v>CORP-0675</x:v>
      </x:c>
      <x:c r="D5016" s="12" t="str">
        <x:v>Pune</x:v>
      </x:c>
      <x:c r="E5016" s="12" t="str">
        <x:v>Magarpatta Cyberpark</x:v>
      </x:c>
      <x:c r="F5016" s="12" t="str">
        <x:v>55 inch</x:v>
      </x:c>
      <x:c r="G5016" s="20" t="n">
        <x:v>1</x:v>
      </x:c>
      <x:c r="H5016" s="12" t="str">
        <x:v>Campus/portfolio roster; individual building occupancy unverified</x:v>
      </x:c>
      <x:c r="I5016" s="12" t="str">
        <x:v>Mixed business audience</x:v>
      </x:c>
      <x:c r="J5016" s="12" t="str">
        <x:v>IT &amp; digital</x:v>
      </x:c>
      <x:c r="K5016" s="2" t="str">
        <x:v>PARTNER-M252</x:v>
      </x:c>
    </x:row>
    <x:row r="5017" ht="46" customHeight="1">
      <x:c r="A5017" s="2" t="str">
        <x:v>TEN-BD31900BEB43</x:v>
      </x:c>
      <x:c r="B5017" s="12" t="str">
        <x:v>Reflexis</x:v>
      </x:c>
      <x:c r="C5017" s="12" t="str">
        <x:v>CORP-0675</x:v>
      </x:c>
      <x:c r="D5017" s="12" t="str">
        <x:v>Pune</x:v>
      </x:c>
      <x:c r="E5017" s="12" t="str">
        <x:v>Magarpatta Cyberpark</x:v>
      </x:c>
      <x:c r="F5017" s="12" t="str">
        <x:v>55 inch</x:v>
      </x:c>
      <x:c r="G5017" s="20" t="n">
        <x:v>1</x:v>
      </x:c>
      <x:c r="H5017" s="12" t="str">
        <x:v>Campus/portfolio roster; individual building occupancy unverified</x:v>
      </x:c>
      <x:c r="I5017" s="12" t="str">
        <x:v>Mixed business audience</x:v>
      </x:c>
      <x:c r="J5017" s="12" t="str">
        <x:v>IT &amp; digital</x:v>
      </x:c>
      <x:c r="K5017" s="2" t="str">
        <x:v>PARTNER-M252</x:v>
      </x:c>
    </x:row>
    <x:row r="5018" ht="46" customHeight="1">
      <x:c r="A5018" s="2" t="str">
        <x:v>TEN-BE37BBF098BB</x:v>
      </x:c>
      <x:c r="B5018" s="12" t="str">
        <x:v>Fico</x:v>
      </x:c>
      <x:c r="C5018" s="12" t="str">
        <x:v>CORP-0675</x:v>
      </x:c>
      <x:c r="D5018" s="12" t="str">
        <x:v>Pune</x:v>
      </x:c>
      <x:c r="E5018" s="12" t="str">
        <x:v>Magarpatta Cyberpark</x:v>
      </x:c>
      <x:c r="F5018" s="12" t="str">
        <x:v>55 inch</x:v>
      </x:c>
      <x:c r="G5018" s="20" t="n">
        <x:v>1</x:v>
      </x:c>
      <x:c r="H5018" s="12" t="str">
        <x:v>Campus/portfolio roster; individual building occupancy unverified</x:v>
      </x:c>
      <x:c r="I5018" s="12" t="str">
        <x:v>Mixed business audience</x:v>
      </x:c>
      <x:c r="J5018" s="12" t="str">
        <x:v>IT &amp; digital</x:v>
      </x:c>
      <x:c r="K5018" s="2" t="str">
        <x:v>PARTNER-M252</x:v>
      </x:c>
    </x:row>
    <x:row r="5019" ht="46" customHeight="1">
      <x:c r="A5019" s="2" t="str">
        <x:v>TEN-C63AC00C4D11</x:v>
      </x:c>
      <x:c r="B5019" s="12" t="str">
        <x:v>Mphasis</x:v>
      </x:c>
      <x:c r="C5019" s="12" t="str">
        <x:v>CORP-0675</x:v>
      </x:c>
      <x:c r="D5019" s="12" t="str">
        <x:v>Pune</x:v>
      </x:c>
      <x:c r="E5019" s="12" t="str">
        <x:v>Magarpatta Cyberpark</x:v>
      </x:c>
      <x:c r="F5019" s="12" t="str">
        <x:v>55 inch</x:v>
      </x:c>
      <x:c r="G5019" s="20" t="n">
        <x:v>1</x:v>
      </x:c>
      <x:c r="H5019" s="12" t="str">
        <x:v>Campus/portfolio roster; individual building occupancy unverified</x:v>
      </x:c>
      <x:c r="I5019" s="12" t="str">
        <x:v>Large enterprise</x:v>
      </x:c>
      <x:c r="J5019" s="12" t="str">
        <x:v>IT &amp; digital</x:v>
      </x:c>
      <x:c r="K5019" s="2" t="str">
        <x:v>PARTNER-M252</x:v>
      </x:c>
    </x:row>
    <x:row r="5020" ht="46" customHeight="1">
      <x:c r="A5020" s="2" t="str">
        <x:v>TEN-C7CD4D8C8E32</x:v>
      </x:c>
      <x:c r="B5020" s="12" t="str">
        <x:v>Varian</x:v>
      </x:c>
      <x:c r="C5020" s="12" t="str">
        <x:v>CORP-0675</x:v>
      </x:c>
      <x:c r="D5020" s="12" t="str">
        <x:v>Pune</x:v>
      </x:c>
      <x:c r="E5020" s="12" t="str">
        <x:v>Magarpatta Cyberpark</x:v>
      </x:c>
      <x:c r="F5020" s="12" t="str">
        <x:v>55 inch</x:v>
      </x:c>
      <x:c r="G5020" s="20" t="n">
        <x:v>1</x:v>
      </x:c>
      <x:c r="H5020" s="12" t="str">
        <x:v>Campus/portfolio roster; individual building occupancy unverified</x:v>
      </x:c>
      <x:c r="I5020" s="12" t="str">
        <x:v>Mixed business audience</x:v>
      </x:c>
      <x:c r="J5020" s="12" t="str">
        <x:v>Healthcare &amp; life sciences</x:v>
      </x:c>
      <x:c r="K5020" s="2" t="str">
        <x:v>PARTNER-M252</x:v>
      </x:c>
    </x:row>
    <x:row r="5021" ht="46" customHeight="1">
      <x:c r="A5021" s="2" t="str">
        <x:v>TEN-E57E81EFDBB1</x:v>
      </x:c>
      <x:c r="B5021" s="12" t="str">
        <x:v>Deutsche Bank Group</x:v>
      </x:c>
      <x:c r="C5021" s="12" t="str">
        <x:v>CORP-0675</x:v>
      </x:c>
      <x:c r="D5021" s="12" t="str">
        <x:v>Pune</x:v>
      </x:c>
      <x:c r="E5021" s="12" t="str">
        <x:v>Magarpatta Cyberpark</x:v>
      </x:c>
      <x:c r="F5021" s="12" t="str">
        <x:v>55 inch</x:v>
      </x:c>
      <x:c r="G5021" s="20" t="n">
        <x:v>1</x:v>
      </x:c>
      <x:c r="H5021" s="12" t="str">
        <x:v>Campus/portfolio roster; individual building occupancy unverified</x:v>
      </x:c>
      <x:c r="I5021" s="12" t="str">
        <x:v>Large enterprise</x:v>
      </x:c>
      <x:c r="J5021" s="12" t="str">
        <x:v>Finance &amp; insurance</x:v>
      </x:c>
      <x:c r="K5021" s="2" t="str">
        <x:v>PARTNER-M252</x:v>
      </x:c>
    </x:row>
    <x:row r="5022" ht="46" customHeight="1">
      <x:c r="A5022" s="2" t="str">
        <x:v>TEN-E58C9634BF3A</x:v>
      </x:c>
      <x:c r="B5022" s="12" t="str">
        <x:v>John Deere</x:v>
      </x:c>
      <x:c r="C5022" s="12" t="str">
        <x:v>CORP-0675</x:v>
      </x:c>
      <x:c r="D5022" s="12" t="str">
        <x:v>Pune</x:v>
      </x:c>
      <x:c r="E5022" s="12" t="str">
        <x:v>Magarpatta Cyberpark</x:v>
      </x:c>
      <x:c r="F5022" s="12" t="str">
        <x:v>55 inch</x:v>
      </x:c>
      <x:c r="G5022" s="20" t="n">
        <x:v>1</x:v>
      </x:c>
      <x:c r="H5022" s="12" t="str">
        <x:v>Campus/portfolio roster; individual building occupancy unverified</x:v>
      </x:c>
      <x:c r="I5022" s="12" t="str">
        <x:v>Mixed business audience</x:v>
      </x:c>
      <x:c r="J5022" s="12" t="str">
        <x:v>Engineering &amp; manufacturing</x:v>
      </x:c>
      <x:c r="K5022" s="2" t="str">
        <x:v>PARTNER-M252</x:v>
      </x:c>
    </x:row>
    <x:row r="5023" ht="46" customHeight="1">
      <x:c r="A5023" s="2" t="str">
        <x:v>TEN-E73C14AD497C</x:v>
      </x:c>
      <x:c r="B5023" s="12" t="str">
        <x:v>Sybase</x:v>
      </x:c>
      <x:c r="C5023" s="12" t="str">
        <x:v>CORP-0675</x:v>
      </x:c>
      <x:c r="D5023" s="12" t="str">
        <x:v>Pune</x:v>
      </x:c>
      <x:c r="E5023" s="12" t="str">
        <x:v>Magarpatta Cyberpark</x:v>
      </x:c>
      <x:c r="F5023" s="12" t="str">
        <x:v>55 inch</x:v>
      </x:c>
      <x:c r="G5023" s="20" t="n">
        <x:v>1</x:v>
      </x:c>
      <x:c r="H5023" s="12" t="str">
        <x:v>Campus/portfolio roster; individual building occupancy unverified</x:v>
      </x:c>
      <x:c r="I5023" s="12" t="str">
        <x:v>Large enterprise</x:v>
      </x:c>
      <x:c r="J5023" s="12" t="str">
        <x:v>IT &amp; digital</x:v>
      </x:c>
      <x:c r="K5023" s="2" t="str">
        <x:v>PARTNER-M252</x:v>
      </x:c>
    </x:row>
    <x:row r="5024" ht="46" customHeight="1">
      <x:c r="A5024" s="2" t="str">
        <x:v>TEN-E9992F5DAD60</x:v>
      </x:c>
      <x:c r="B5024" s="12" t="str">
        <x:v>BNY Mellon</x:v>
      </x:c>
      <x:c r="C5024" s="12" t="str">
        <x:v>CORP-0675</x:v>
      </x:c>
      <x:c r="D5024" s="12" t="str">
        <x:v>Pune</x:v>
      </x:c>
      <x:c r="E5024" s="12" t="str">
        <x:v>Magarpatta Cyberpark</x:v>
      </x:c>
      <x:c r="F5024" s="12" t="str">
        <x:v>55 inch</x:v>
      </x:c>
      <x:c r="G5024" s="20" t="n">
        <x:v>1</x:v>
      </x:c>
      <x:c r="H5024" s="12" t="str">
        <x:v>Campus/portfolio roster; individual building occupancy unverified</x:v>
      </x:c>
      <x:c r="I5024" s="12" t="str">
        <x:v>Mixed business audience</x:v>
      </x:c>
      <x:c r="J5024" s="12" t="str">
        <x:v>Finance &amp; insurance</x:v>
      </x:c>
      <x:c r="K5024" s="2" t="str">
        <x:v>PARTNER-M252</x:v>
      </x:c>
    </x:row>
    <x:row r="5025" ht="46" customHeight="1">
      <x:c r="A5025" s="2" t="str">
        <x:v>TEN-EA6BCE5F47CF</x:v>
      </x:c>
      <x:c r="B5025" s="12" t="str">
        <x:v>Dresser Rand</x:v>
      </x:c>
      <x:c r="C5025" s="12" t="str">
        <x:v>CORP-0675</x:v>
      </x:c>
      <x:c r="D5025" s="12" t="str">
        <x:v>Pune</x:v>
      </x:c>
      <x:c r="E5025" s="12" t="str">
        <x:v>Magarpatta Cyberpark</x:v>
      </x:c>
      <x:c r="F5025" s="12" t="str">
        <x:v>55 inch</x:v>
      </x:c>
      <x:c r="G5025" s="20" t="n">
        <x:v>1</x:v>
      </x:c>
      <x:c r="H5025" s="12" t="str">
        <x:v>Campus/portfolio roster; individual building occupancy unverified</x:v>
      </x:c>
      <x:c r="I5025" s="12" t="str">
        <x:v>Mixed business audience</x:v>
      </x:c>
      <x:c r="J5025" s="12" t="str">
        <x:v>Engineering &amp; manufacturing</x:v>
      </x:c>
      <x:c r="K5025" s="2" t="str">
        <x:v>PARTNER-M252</x:v>
      </x:c>
    </x:row>
    <x:row r="5026" ht="46" customHeight="1">
      <x:c r="A5026" s="2" t="str">
        <x:v>TEN-EAF4D7735EC1</x:v>
      </x:c>
      <x:c r="B5026" s="12" t="str">
        <x:v>einfochips</x:v>
      </x:c>
      <x:c r="C5026" s="12" t="str">
        <x:v>CORP-0675</x:v>
      </x:c>
      <x:c r="D5026" s="12" t="str">
        <x:v>Pune</x:v>
      </x:c>
      <x:c r="E5026" s="12" t="str">
        <x:v>Magarpatta Cyberpark</x:v>
      </x:c>
      <x:c r="F5026" s="12" t="str">
        <x:v>55 inch</x:v>
      </x:c>
      <x:c r="G5026" s="20" t="n">
        <x:v>1</x:v>
      </x:c>
      <x:c r="H5026" s="12" t="str">
        <x:v>Campus/portfolio roster; individual building occupancy unverified</x:v>
      </x:c>
      <x:c r="I5026" s="12" t="str">
        <x:v>Large enterprise</x:v>
      </x:c>
      <x:c r="J5026" s="12" t="str">
        <x:v>Engineering &amp; manufacturing</x:v>
      </x:c>
      <x:c r="K5026" s="2" t="str">
        <x:v>PARTNER-M252</x:v>
      </x:c>
    </x:row>
    <x:row r="5027" ht="46" customHeight="1">
      <x:c r="A5027" s="2" t="str">
        <x:v>TEN-ED7BECFECA72</x:v>
      </x:c>
      <x:c r="B5027" s="12" t="str">
        <x:v>Xento</x:v>
      </x:c>
      <x:c r="C5027" s="12" t="str">
        <x:v>CORP-0675</x:v>
      </x:c>
      <x:c r="D5027" s="12" t="str">
        <x:v>Pune</x:v>
      </x:c>
      <x:c r="E5027" s="12" t="str">
        <x:v>Magarpatta Cyberpark</x:v>
      </x:c>
      <x:c r="F5027" s="12" t="str">
        <x:v>55 inch</x:v>
      </x:c>
      <x:c r="G5027" s="20" t="n">
        <x:v>1</x:v>
      </x:c>
      <x:c r="H5027" s="12" t="str">
        <x:v>Campus/portfolio roster; individual building occupancy unverified</x:v>
      </x:c>
      <x:c r="I5027" s="12" t="str">
        <x:v>Small-scale prospects</x:v>
      </x:c>
      <x:c r="J5027" s="12" t="str">
        <x:v>IT &amp; digital</x:v>
      </x:c>
      <x:c r="K5027" s="2" t="str">
        <x:v>PARTNER-M252</x:v>
      </x:c>
    </x:row>
    <x:row r="5028" ht="46" customHeight="1">
      <x:c r="A5028" s="2" t="str">
        <x:v>TEN-F55A85B2F2EB</x:v>
      </x:c>
      <x:c r="B5028" s="12" t="str">
        <x:v>Capgemini</x:v>
      </x:c>
      <x:c r="C5028" s="12" t="str">
        <x:v>CORP-0675</x:v>
      </x:c>
      <x:c r="D5028" s="12" t="str">
        <x:v>Pune</x:v>
      </x:c>
      <x:c r="E5028" s="12" t="str">
        <x:v>Magarpatta Cyberpark</x:v>
      </x:c>
      <x:c r="F5028" s="12" t="str">
        <x:v>55 inch</x:v>
      </x:c>
      <x:c r="G5028" s="20" t="n">
        <x:v>1</x:v>
      </x:c>
      <x:c r="H5028" s="12" t="str">
        <x:v>Campus/portfolio roster; individual building occupancy unverified</x:v>
      </x:c>
      <x:c r="I5028" s="12" t="str">
        <x:v>Large enterprise</x:v>
      </x:c>
      <x:c r="J5028" s="12" t="str">
        <x:v>IT &amp; digital</x:v>
      </x:c>
      <x:c r="K5028" s="2" t="str">
        <x:v>PARTNER-M252</x:v>
      </x:c>
    </x:row>
    <x:row r="5029" ht="46" customHeight="1">
      <x:c r="A5029" s="2" t="str">
        <x:v>TEN-028810317654</x:v>
      </x:c>
      <x:c r="B5029" s="12" t="str">
        <x:v>Hitachi Consulting</x:v>
      </x:c>
      <x:c r="C5029" s="12" t="str">
        <x:v>CORP-0676</x:v>
      </x:c>
      <x:c r="D5029" s="12" t="str">
        <x:v>Pune</x:v>
      </x:c>
      <x:c r="E5029" s="12" t="str">
        <x:v>Magarpatta Cyberpark</x:v>
      </x:c>
      <x:c r="F5029" s="12" t="str">
        <x:v>55 inch</x:v>
      </x:c>
      <x:c r="G5029" s="20" t="n">
        <x:v>1</x:v>
      </x:c>
      <x:c r="H5029" s="12" t="str">
        <x:v>Campus/portfolio roster; individual building occupancy unverified</x:v>
      </x:c>
      <x:c r="I5029" s="12" t="str">
        <x:v>Mixed business audience</x:v>
      </x:c>
      <x:c r="J5029" s="12" t="str">
        <x:v>IT &amp; digital</x:v>
      </x:c>
      <x:c r="K5029" s="2" t="str">
        <x:v>PARTNER-M252</x:v>
      </x:c>
    </x:row>
    <x:row r="5030" ht="46" customHeight="1">
      <x:c r="A5030" s="2" t="str">
        <x:v>TEN-0392C3B9EE62</x:v>
      </x:c>
      <x:c r="B5030" s="12" t="str">
        <x:v>Konecranes</x:v>
      </x:c>
      <x:c r="C5030" s="12" t="str">
        <x:v>CORP-0676</x:v>
      </x:c>
      <x:c r="D5030" s="12" t="str">
        <x:v>Pune</x:v>
      </x:c>
      <x:c r="E5030" s="12" t="str">
        <x:v>Magarpatta Cyberpark</x:v>
      </x:c>
      <x:c r="F5030" s="12" t="str">
        <x:v>55 inch</x:v>
      </x:c>
      <x:c r="G5030" s="20" t="n">
        <x:v>1</x:v>
      </x:c>
      <x:c r="H5030" s="12" t="str">
        <x:v>Campus/portfolio roster; individual building occupancy unverified</x:v>
      </x:c>
      <x:c r="I5030" s="12" t="str">
        <x:v>Mixed business audience</x:v>
      </x:c>
      <x:c r="J5030" s="12" t="str">
        <x:v>Engineering &amp; manufacturing</x:v>
      </x:c>
      <x:c r="K5030" s="2" t="str">
        <x:v>PARTNER-M252</x:v>
      </x:c>
    </x:row>
    <x:row r="5031" ht="46" customHeight="1">
      <x:c r="A5031" s="2" t="str">
        <x:v>TEN-0C4F9F7327E1</x:v>
      </x:c>
      <x:c r="B5031" s="12" t="str">
        <x:v>Ocwen</x:v>
      </x:c>
      <x:c r="C5031" s="12" t="str">
        <x:v>CORP-0676</x:v>
      </x:c>
      <x:c r="D5031" s="12" t="str">
        <x:v>Pune</x:v>
      </x:c>
      <x:c r="E5031" s="12" t="str">
        <x:v>Magarpatta Cyberpark</x:v>
      </x:c>
      <x:c r="F5031" s="12" t="str">
        <x:v>55 inch</x:v>
      </x:c>
      <x:c r="G5031" s="20" t="n">
        <x:v>1</x:v>
      </x:c>
      <x:c r="H5031" s="12" t="str">
        <x:v>Campus/portfolio roster; individual building occupancy unverified</x:v>
      </x:c>
      <x:c r="I5031" s="12" t="str">
        <x:v>Mixed business audience</x:v>
      </x:c>
      <x:c r="J5031" s="12" t="str">
        <x:v>Finance &amp; insurance</x:v>
      </x:c>
      <x:c r="K5031" s="2" t="str">
        <x:v>PARTNER-M252</x:v>
      </x:c>
    </x:row>
    <x:row r="5032" ht="46" customHeight="1">
      <x:c r="A5032" s="2" t="str">
        <x:v>TEN-37A9A152C42F</x:v>
      </x:c>
      <x:c r="B5032" s="12" t="str">
        <x:v>AppDirect</x:v>
      </x:c>
      <x:c r="C5032" s="12" t="str">
        <x:v>CORP-0676</x:v>
      </x:c>
      <x:c r="D5032" s="12" t="str">
        <x:v>Pune</x:v>
      </x:c>
      <x:c r="E5032" s="12" t="str">
        <x:v>Magarpatta Cyberpark</x:v>
      </x:c>
      <x:c r="F5032" s="12" t="str">
        <x:v>55 inch</x:v>
      </x:c>
      <x:c r="G5032" s="20" t="n">
        <x:v>1</x:v>
      </x:c>
      <x:c r="H5032" s="12" t="str">
        <x:v>Campus/portfolio roster; individual building occupancy unverified</x:v>
      </x:c>
      <x:c r="I5032" s="12" t="str">
        <x:v>Mixed business audience</x:v>
      </x:c>
      <x:c r="J5032" s="12" t="str">
        <x:v>IT &amp; digital</x:v>
      </x:c>
      <x:c r="K5032" s="2" t="str">
        <x:v>PARTNER-M252</x:v>
      </x:c>
    </x:row>
    <x:row r="5033" ht="46" customHeight="1">
      <x:c r="A5033" s="2" t="str">
        <x:v>TEN-45D9225952C7</x:v>
      </x:c>
      <x:c r="B5033" s="12" t="str">
        <x:v>TATA elxsi</x:v>
      </x:c>
      <x:c r="C5033" s="12" t="str">
        <x:v>CORP-0676</x:v>
      </x:c>
      <x:c r="D5033" s="12" t="str">
        <x:v>Pune</x:v>
      </x:c>
      <x:c r="E5033" s="12" t="str">
        <x:v>Magarpatta Cyberpark</x:v>
      </x:c>
      <x:c r="F5033" s="12" t="str">
        <x:v>55 inch</x:v>
      </x:c>
      <x:c r="G5033" s="20" t="n">
        <x:v>1</x:v>
      </x:c>
      <x:c r="H5033" s="12" t="str">
        <x:v>Campus/portfolio roster; individual building occupancy unverified</x:v>
      </x:c>
      <x:c r="I5033" s="12" t="str">
        <x:v>Large enterprise</x:v>
      </x:c>
      <x:c r="J5033" s="12" t="str">
        <x:v>IT &amp; digital</x:v>
      </x:c>
      <x:c r="K5033" s="2" t="str">
        <x:v>PARTNER-M252</x:v>
      </x:c>
    </x:row>
    <x:row r="5034" ht="46" customHeight="1">
      <x:c r="A5034" s="2" t="str">
        <x:v>TEN-6CA190D5260C</x:v>
      </x:c>
      <x:c r="B5034" s="12" t="str">
        <x:v>WNS</x:v>
      </x:c>
      <x:c r="C5034" s="12" t="str">
        <x:v>CORP-0676</x:v>
      </x:c>
      <x:c r="D5034" s="12" t="str">
        <x:v>Pune</x:v>
      </x:c>
      <x:c r="E5034" s="12" t="str">
        <x:v>Magarpatta Cyberpark</x:v>
      </x:c>
      <x:c r="F5034" s="12" t="str">
        <x:v>55 inch</x:v>
      </x:c>
      <x:c r="G5034" s="20" t="n">
        <x:v>1</x:v>
      </x:c>
      <x:c r="H5034" s="12" t="str">
        <x:v>Campus/portfolio roster; individual building occupancy unverified</x:v>
      </x:c>
      <x:c r="I5034" s="12" t="str">
        <x:v>Mixed business audience</x:v>
      </x:c>
      <x:c r="J5034" s="12" t="str">
        <x:v>IT &amp; digital</x:v>
      </x:c>
      <x:c r="K5034" s="2" t="str">
        <x:v>PARTNER-M252</x:v>
      </x:c>
    </x:row>
    <x:row r="5035" ht="46" customHeight="1">
      <x:c r="A5035" s="2" t="str">
        <x:v>TEN-6CE8BB6DCAD7</x:v>
      </x:c>
      <x:c r="B5035" s="12" t="str">
        <x:v>Systems Plus</x:v>
      </x:c>
      <x:c r="C5035" s="12" t="str">
        <x:v>CORP-0676</x:v>
      </x:c>
      <x:c r="D5035" s="12" t="str">
        <x:v>Pune</x:v>
      </x:c>
      <x:c r="E5035" s="12" t="str">
        <x:v>Magarpatta Cyberpark</x:v>
      </x:c>
      <x:c r="F5035" s="12" t="str">
        <x:v>55 inch</x:v>
      </x:c>
      <x:c r="G5035" s="20" t="n">
        <x:v>1</x:v>
      </x:c>
      <x:c r="H5035" s="12" t="str">
        <x:v>Campus/portfolio roster; individual building occupancy unverified</x:v>
      </x:c>
      <x:c r="I5035" s="12" t="str">
        <x:v>Small-scale prospects</x:v>
      </x:c>
      <x:c r="J5035" s="12" t="str">
        <x:v>IT &amp; digital</x:v>
      </x:c>
      <x:c r="K5035" s="2" t="str">
        <x:v>PARTNER-M252</x:v>
      </x:c>
    </x:row>
    <x:row r="5036" ht="46" customHeight="1">
      <x:c r="A5036" s="2" t="str">
        <x:v>TEN-7DE355F41161</x:v>
      </x:c>
      <x:c r="B5036" s="12" t="str">
        <x:v>Avaya</x:v>
      </x:c>
      <x:c r="C5036" s="12" t="str">
        <x:v>CORP-0676</x:v>
      </x:c>
      <x:c r="D5036" s="12" t="str">
        <x:v>Pune</x:v>
      </x:c>
      <x:c r="E5036" s="12" t="str">
        <x:v>Magarpatta Cyberpark</x:v>
      </x:c>
      <x:c r="F5036" s="12" t="str">
        <x:v>55 inch</x:v>
      </x:c>
      <x:c r="G5036" s="20" t="n">
        <x:v>1</x:v>
      </x:c>
      <x:c r="H5036" s="12" t="str">
        <x:v>Campus/portfolio roster; individual building occupancy unverified</x:v>
      </x:c>
      <x:c r="I5036" s="12" t="str">
        <x:v>Mixed business audience</x:v>
      </x:c>
      <x:c r="J5036" s="12" t="str">
        <x:v>IT &amp; digital</x:v>
      </x:c>
      <x:c r="K5036" s="2" t="str">
        <x:v>PARTNER-M252</x:v>
      </x:c>
    </x:row>
    <x:row r="5037" ht="46" customHeight="1">
      <x:c r="A5037" s="2" t="str">
        <x:v>TEN-866F70D2D0FF</x:v>
      </x:c>
      <x:c r="B5037" s="12" t="str">
        <x:v>CompuCom</x:v>
      </x:c>
      <x:c r="C5037" s="12" t="str">
        <x:v>CORP-0676</x:v>
      </x:c>
      <x:c r="D5037" s="12" t="str">
        <x:v>Pune</x:v>
      </x:c>
      <x:c r="E5037" s="12" t="str">
        <x:v>Magarpatta Cyberpark</x:v>
      </x:c>
      <x:c r="F5037" s="12" t="str">
        <x:v>55 inch</x:v>
      </x:c>
      <x:c r="G5037" s="20" t="n">
        <x:v>1</x:v>
      </x:c>
      <x:c r="H5037" s="12" t="str">
        <x:v>Campus/portfolio roster; individual building occupancy unverified</x:v>
      </x:c>
      <x:c r="I5037" s="12" t="str">
        <x:v>Mixed business audience</x:v>
      </x:c>
      <x:c r="J5037" s="12" t="str">
        <x:v>IT &amp; digital</x:v>
      </x:c>
      <x:c r="K5037" s="2" t="str">
        <x:v>PARTNER-M252</x:v>
      </x:c>
    </x:row>
    <x:row r="5038" ht="46" customHeight="1">
      <x:c r="A5038" s="2" t="str">
        <x:v>TEN-8DFE5E6CF73B</x:v>
      </x:c>
      <x:c r="B5038" s="12" t="str">
        <x:v>Red Hat</x:v>
      </x:c>
      <x:c r="C5038" s="12" t="str">
        <x:v>CORP-0676</x:v>
      </x:c>
      <x:c r="D5038" s="12" t="str">
        <x:v>Pune</x:v>
      </x:c>
      <x:c r="E5038" s="12" t="str">
        <x:v>Magarpatta Cyberpark</x:v>
      </x:c>
      <x:c r="F5038" s="12" t="str">
        <x:v>55 inch</x:v>
      </x:c>
      <x:c r="G5038" s="20" t="n">
        <x:v>1</x:v>
      </x:c>
      <x:c r="H5038" s="12" t="str">
        <x:v>Campus/portfolio roster; individual building occupancy unverified</x:v>
      </x:c>
      <x:c r="I5038" s="12" t="str">
        <x:v>Large enterprise</x:v>
      </x:c>
      <x:c r="J5038" s="12" t="str">
        <x:v>IT &amp; digital</x:v>
      </x:c>
      <x:c r="K5038" s="2" t="str">
        <x:v>PARTNER-M252</x:v>
      </x:c>
    </x:row>
    <x:row r="5039" ht="46" customHeight="1">
      <x:c r="A5039" s="2" t="str">
        <x:v>TEN-97ED95A681B4</x:v>
      </x:c>
      <x:c r="B5039" s="12" t="str">
        <x:v>Sutherland</x:v>
      </x:c>
      <x:c r="C5039" s="12" t="str">
        <x:v>CORP-0676</x:v>
      </x:c>
      <x:c r="D5039" s="12" t="str">
        <x:v>Pune</x:v>
      </x:c>
      <x:c r="E5039" s="12" t="str">
        <x:v>Magarpatta Cyberpark</x:v>
      </x:c>
      <x:c r="F5039" s="12" t="str">
        <x:v>55 inch</x:v>
      </x:c>
      <x:c r="G5039" s="20" t="n">
        <x:v>1</x:v>
      </x:c>
      <x:c r="H5039" s="12" t="str">
        <x:v>Campus/portfolio roster; individual building occupancy unverified</x:v>
      </x:c>
      <x:c r="I5039" s="12" t="str">
        <x:v>Mixed business audience</x:v>
      </x:c>
      <x:c r="J5039" s="12" t="str">
        <x:v>IT &amp; digital</x:v>
      </x:c>
      <x:c r="K5039" s="2" t="str">
        <x:v>PARTNER-M252</x:v>
      </x:c>
    </x:row>
    <x:row r="5040" ht="46" customHeight="1">
      <x:c r="A5040" s="2" t="str">
        <x:v>TEN-9CF1F6CEECDE</x:v>
      </x:c>
      <x:c r="B5040" s="12" t="str">
        <x:v>Springer Nature</x:v>
      </x:c>
      <x:c r="C5040" s="12" t="str">
        <x:v>CORP-0676</x:v>
      </x:c>
      <x:c r="D5040" s="12" t="str">
        <x:v>Pune</x:v>
      </x:c>
      <x:c r="E5040" s="12" t="str">
        <x:v>Magarpatta Cyberpark</x:v>
      </x:c>
      <x:c r="F5040" s="12" t="str">
        <x:v>55 inch</x:v>
      </x:c>
      <x:c r="G5040" s="20" t="n">
        <x:v>1</x:v>
      </x:c>
      <x:c r="H5040" s="12" t="str">
        <x:v>Campus/portfolio roster; individual building occupancy unverified</x:v>
      </x:c>
      <x:c r="I5040" s="12" t="str">
        <x:v>Mixed business audience</x:v>
      </x:c>
      <x:c r="J5040" s="12" t="str">
        <x:v>Education</x:v>
      </x:c>
      <x:c r="K5040" s="2" t="str">
        <x:v>PARTNER-M252</x:v>
      </x:c>
    </x:row>
    <x:row r="5041" ht="46" customHeight="1">
      <x:c r="A5041" s="2" t="str">
        <x:v>TEN-9CF8C9635F36</x:v>
      </x:c>
      <x:c r="B5041" s="12" t="str">
        <x:v>Teradata</x:v>
      </x:c>
      <x:c r="C5041" s="12" t="str">
        <x:v>CORP-0676</x:v>
      </x:c>
      <x:c r="D5041" s="12" t="str">
        <x:v>Pune</x:v>
      </x:c>
      <x:c r="E5041" s="12" t="str">
        <x:v>Magarpatta Cyberpark</x:v>
      </x:c>
      <x:c r="F5041" s="12" t="str">
        <x:v>55 inch</x:v>
      </x:c>
      <x:c r="G5041" s="20" t="n">
        <x:v>1</x:v>
      </x:c>
      <x:c r="H5041" s="12" t="str">
        <x:v>Campus/portfolio roster; individual building occupancy unverified</x:v>
      </x:c>
      <x:c r="I5041" s="12" t="str">
        <x:v>Mixed business audience</x:v>
      </x:c>
      <x:c r="J5041" s="12" t="str">
        <x:v>IT &amp; digital</x:v>
      </x:c>
      <x:c r="K5041" s="2" t="str">
        <x:v>PARTNER-M252</x:v>
      </x:c>
    </x:row>
    <x:row r="5042" ht="46" customHeight="1">
      <x:c r="A5042" s="2" t="str">
        <x:v>TEN-AAF6BBA77E60</x:v>
      </x:c>
      <x:c r="B5042" s="12" t="str">
        <x:v>Capita</x:v>
      </x:c>
      <x:c r="C5042" s="12" t="str">
        <x:v>CORP-0676</x:v>
      </x:c>
      <x:c r="D5042" s="12" t="str">
        <x:v>Pune</x:v>
      </x:c>
      <x:c r="E5042" s="12" t="str">
        <x:v>Magarpatta Cyberpark</x:v>
      </x:c>
      <x:c r="F5042" s="12" t="str">
        <x:v>55 inch</x:v>
      </x:c>
      <x:c r="G5042" s="20" t="n">
        <x:v>1</x:v>
      </x:c>
      <x:c r="H5042" s="12" t="str">
        <x:v>Campus/portfolio roster; individual building occupancy unverified</x:v>
      </x:c>
      <x:c r="I5042" s="12" t="str">
        <x:v>Mixed business audience</x:v>
      </x:c>
      <x:c r="J5042" s="12" t="str">
        <x:v>IT &amp; digital</x:v>
      </x:c>
      <x:c r="K5042" s="2" t="str">
        <x:v>PARTNER-M252</x:v>
      </x:c>
    </x:row>
    <x:row r="5043" ht="46" customHeight="1">
      <x:c r="A5043" s="2" t="str">
        <x:v>TEN-AB768939C131</x:v>
      </x:c>
      <x:c r="B5043" s="12" t="str">
        <x:v>UPS Logistics</x:v>
      </x:c>
      <x:c r="C5043" s="12" t="str">
        <x:v>CORP-0676</x:v>
      </x:c>
      <x:c r="D5043" s="12" t="str">
        <x:v>Pune</x:v>
      </x:c>
      <x:c r="E5043" s="12" t="str">
        <x:v>Magarpatta Cyberpark</x:v>
      </x:c>
      <x:c r="F5043" s="12" t="str">
        <x:v>55 inch</x:v>
      </x:c>
      <x:c r="G5043" s="20" t="n">
        <x:v>1</x:v>
      </x:c>
      <x:c r="H5043" s="12" t="str">
        <x:v>Campus/portfolio roster; individual building occupancy unverified</x:v>
      </x:c>
      <x:c r="I5043" s="12" t="str">
        <x:v>Mixed business audience</x:v>
      </x:c>
      <x:c r="J5043" s="12" t="str">
        <x:v>Trade, consumer &amp; logistics</x:v>
      </x:c>
      <x:c r="K5043" s="2" t="str">
        <x:v>PARTNER-M252</x:v>
      </x:c>
    </x:row>
    <x:row r="5044" ht="46" customHeight="1">
      <x:c r="A5044" s="2" t="str">
        <x:v>TEN-ACFE8450840B</x:v>
      </x:c>
      <x:c r="B5044" s="12" t="str">
        <x:v>HCL</x:v>
      </x:c>
      <x:c r="C5044" s="12" t="str">
        <x:v>CORP-0676</x:v>
      </x:c>
      <x:c r="D5044" s="12" t="str">
        <x:v>Pune</x:v>
      </x:c>
      <x:c r="E5044" s="12" t="str">
        <x:v>Magarpatta Cyberpark</x:v>
      </x:c>
      <x:c r="F5044" s="12" t="str">
        <x:v>55 inch</x:v>
      </x:c>
      <x:c r="G5044" s="20" t="n">
        <x:v>1</x:v>
      </x:c>
      <x:c r="H5044" s="12" t="str">
        <x:v>Campus/portfolio roster; individual building occupancy unverified</x:v>
      </x:c>
      <x:c r="I5044" s="12" t="str">
        <x:v>Large enterprise</x:v>
      </x:c>
      <x:c r="J5044" s="12" t="str">
        <x:v>IT &amp; digital</x:v>
      </x:c>
      <x:c r="K5044" s="2" t="str">
        <x:v>PARTNER-M252</x:v>
      </x:c>
    </x:row>
    <x:row r="5045" ht="46" customHeight="1">
      <x:c r="A5045" s="2" t="str">
        <x:v>TEN-B2036C6D16F6</x:v>
      </x:c>
      <x:c r="B5045" s="12" t="str">
        <x:v>Principal Global Services</x:v>
      </x:c>
      <x:c r="C5045" s="12" t="str">
        <x:v>CORP-0676</x:v>
      </x:c>
      <x:c r="D5045" s="12" t="str">
        <x:v>Pune</x:v>
      </x:c>
      <x:c r="E5045" s="12" t="str">
        <x:v>Magarpatta Cyberpark</x:v>
      </x:c>
      <x:c r="F5045" s="12" t="str">
        <x:v>55 inch</x:v>
      </x:c>
      <x:c r="G5045" s="20" t="n">
        <x:v>1</x:v>
      </x:c>
      <x:c r="H5045" s="12" t="str">
        <x:v>Campus/portfolio roster; individual building occupancy unverified</x:v>
      </x:c>
      <x:c r="I5045" s="12" t="str">
        <x:v>Mixed business audience</x:v>
      </x:c>
      <x:c r="J5045" s="12" t="str">
        <x:v>Finance &amp; insurance</x:v>
      </x:c>
      <x:c r="K5045" s="2" t="str">
        <x:v>PARTNER-M252</x:v>
      </x:c>
    </x:row>
    <x:row r="5046" ht="46" customHeight="1">
      <x:c r="A5046" s="2" t="str">
        <x:v>TEN-B5F5468E9428</x:v>
      </x:c>
      <x:c r="B5046" s="12" t="str">
        <x:v>Amdocs</x:v>
      </x:c>
      <x:c r="C5046" s="12" t="str">
        <x:v>CORP-0676</x:v>
      </x:c>
      <x:c r="D5046" s="12" t="str">
        <x:v>Pune</x:v>
      </x:c>
      <x:c r="E5046" s="12" t="str">
        <x:v>Magarpatta Cyberpark</x:v>
      </x:c>
      <x:c r="F5046" s="12" t="str">
        <x:v>55 inch</x:v>
      </x:c>
      <x:c r="G5046" s="20" t="n">
        <x:v>1</x:v>
      </x:c>
      <x:c r="H5046" s="12" t="str">
        <x:v>Campus/portfolio roster; individual building occupancy unverified</x:v>
      </x:c>
      <x:c r="I5046" s="12" t="str">
        <x:v>Mixed business audience</x:v>
      </x:c>
      <x:c r="J5046" s="12" t="str">
        <x:v>IT &amp; digital</x:v>
      </x:c>
      <x:c r="K5046" s="2" t="str">
        <x:v>PARTNER-M252</x:v>
      </x:c>
    </x:row>
    <x:row r="5047" ht="46" customHeight="1">
      <x:c r="A5047" s="2" t="str">
        <x:v>TEN-B7BEA343B08C</x:v>
      </x:c>
      <x:c r="B5047" s="12" t="str">
        <x:v>EXL</x:v>
      </x:c>
      <x:c r="C5047" s="12" t="str">
        <x:v>CORP-0676</x:v>
      </x:c>
      <x:c r="D5047" s="12" t="str">
        <x:v>Pune</x:v>
      </x:c>
      <x:c r="E5047" s="12" t="str">
        <x:v>Magarpatta Cyberpark</x:v>
      </x:c>
      <x:c r="F5047" s="12" t="str">
        <x:v>55 inch</x:v>
      </x:c>
      <x:c r="G5047" s="20" t="n">
        <x:v>1</x:v>
      </x:c>
      <x:c r="H5047" s="12" t="str">
        <x:v>Campus/portfolio roster; individual building occupancy unverified</x:v>
      </x:c>
      <x:c r="I5047" s="12" t="str">
        <x:v>Mixed business audience</x:v>
      </x:c>
      <x:c r="J5047" s="12" t="str">
        <x:v>IT &amp; digital</x:v>
      </x:c>
      <x:c r="K5047" s="2" t="str">
        <x:v>PARTNER-M252</x:v>
      </x:c>
    </x:row>
    <x:row r="5048" ht="46" customHeight="1">
      <x:c r="A5048" s="2" t="str">
        <x:v>TEN-BD31900BEB43</x:v>
      </x:c>
      <x:c r="B5048" s="12" t="str">
        <x:v>Reflexis</x:v>
      </x:c>
      <x:c r="C5048" s="12" t="str">
        <x:v>CORP-0676</x:v>
      </x:c>
      <x:c r="D5048" s="12" t="str">
        <x:v>Pune</x:v>
      </x:c>
      <x:c r="E5048" s="12" t="str">
        <x:v>Magarpatta Cyberpark</x:v>
      </x:c>
      <x:c r="F5048" s="12" t="str">
        <x:v>55 inch</x:v>
      </x:c>
      <x:c r="G5048" s="20" t="n">
        <x:v>1</x:v>
      </x:c>
      <x:c r="H5048" s="12" t="str">
        <x:v>Campus/portfolio roster; individual building occupancy unverified</x:v>
      </x:c>
      <x:c r="I5048" s="12" t="str">
        <x:v>Mixed business audience</x:v>
      </x:c>
      <x:c r="J5048" s="12" t="str">
        <x:v>IT &amp; digital</x:v>
      </x:c>
      <x:c r="K5048" s="2" t="str">
        <x:v>PARTNER-M252</x:v>
      </x:c>
    </x:row>
    <x:row r="5049" ht="46" customHeight="1">
      <x:c r="A5049" s="2" t="str">
        <x:v>TEN-BE37BBF098BB</x:v>
      </x:c>
      <x:c r="B5049" s="12" t="str">
        <x:v>Fico</x:v>
      </x:c>
      <x:c r="C5049" s="12" t="str">
        <x:v>CORP-0676</x:v>
      </x:c>
      <x:c r="D5049" s="12" t="str">
        <x:v>Pune</x:v>
      </x:c>
      <x:c r="E5049" s="12" t="str">
        <x:v>Magarpatta Cyberpark</x:v>
      </x:c>
      <x:c r="F5049" s="12" t="str">
        <x:v>55 inch</x:v>
      </x:c>
      <x:c r="G5049" s="20" t="n">
        <x:v>1</x:v>
      </x:c>
      <x:c r="H5049" s="12" t="str">
        <x:v>Campus/portfolio roster; individual building occupancy unverified</x:v>
      </x:c>
      <x:c r="I5049" s="12" t="str">
        <x:v>Mixed business audience</x:v>
      </x:c>
      <x:c r="J5049" s="12" t="str">
        <x:v>IT &amp; digital</x:v>
      </x:c>
      <x:c r="K5049" s="2" t="str">
        <x:v>PARTNER-M252</x:v>
      </x:c>
    </x:row>
    <x:row r="5050" ht="46" customHeight="1">
      <x:c r="A5050" s="2" t="str">
        <x:v>TEN-C63AC00C4D11</x:v>
      </x:c>
      <x:c r="B5050" s="12" t="str">
        <x:v>Mphasis</x:v>
      </x:c>
      <x:c r="C5050" s="12" t="str">
        <x:v>CORP-0676</x:v>
      </x:c>
      <x:c r="D5050" s="12" t="str">
        <x:v>Pune</x:v>
      </x:c>
      <x:c r="E5050" s="12" t="str">
        <x:v>Magarpatta Cyberpark</x:v>
      </x:c>
      <x:c r="F5050" s="12" t="str">
        <x:v>55 inch</x:v>
      </x:c>
      <x:c r="G5050" s="20" t="n">
        <x:v>1</x:v>
      </x:c>
      <x:c r="H5050" s="12" t="str">
        <x:v>Campus/portfolio roster; individual building occupancy unverified</x:v>
      </x:c>
      <x:c r="I5050" s="12" t="str">
        <x:v>Large enterprise</x:v>
      </x:c>
      <x:c r="J5050" s="12" t="str">
        <x:v>IT &amp; digital</x:v>
      </x:c>
      <x:c r="K5050" s="2" t="str">
        <x:v>PARTNER-M252</x:v>
      </x:c>
    </x:row>
    <x:row r="5051" ht="46" customHeight="1">
      <x:c r="A5051" s="2" t="str">
        <x:v>TEN-C7CD4D8C8E32</x:v>
      </x:c>
      <x:c r="B5051" s="12" t="str">
        <x:v>Varian</x:v>
      </x:c>
      <x:c r="C5051" s="12" t="str">
        <x:v>CORP-0676</x:v>
      </x:c>
      <x:c r="D5051" s="12" t="str">
        <x:v>Pune</x:v>
      </x:c>
      <x:c r="E5051" s="12" t="str">
        <x:v>Magarpatta Cyberpark</x:v>
      </x:c>
      <x:c r="F5051" s="12" t="str">
        <x:v>55 inch</x:v>
      </x:c>
      <x:c r="G5051" s="20" t="n">
        <x:v>1</x:v>
      </x:c>
      <x:c r="H5051" s="12" t="str">
        <x:v>Campus/portfolio roster; individual building occupancy unverified</x:v>
      </x:c>
      <x:c r="I5051" s="12" t="str">
        <x:v>Mixed business audience</x:v>
      </x:c>
      <x:c r="J5051" s="12" t="str">
        <x:v>Healthcare &amp; life sciences</x:v>
      </x:c>
      <x:c r="K5051" s="2" t="str">
        <x:v>PARTNER-M252</x:v>
      </x:c>
    </x:row>
    <x:row r="5052" ht="46" customHeight="1">
      <x:c r="A5052" s="2" t="str">
        <x:v>TEN-E57E81EFDBB1</x:v>
      </x:c>
      <x:c r="B5052" s="12" t="str">
        <x:v>Deutsche Bank Group</x:v>
      </x:c>
      <x:c r="C5052" s="12" t="str">
        <x:v>CORP-0676</x:v>
      </x:c>
      <x:c r="D5052" s="12" t="str">
        <x:v>Pune</x:v>
      </x:c>
      <x:c r="E5052" s="12" t="str">
        <x:v>Magarpatta Cyberpark</x:v>
      </x:c>
      <x:c r="F5052" s="12" t="str">
        <x:v>55 inch</x:v>
      </x:c>
      <x:c r="G5052" s="20" t="n">
        <x:v>1</x:v>
      </x:c>
      <x:c r="H5052" s="12" t="str">
        <x:v>Campus/portfolio roster; individual building occupancy unverified</x:v>
      </x:c>
      <x:c r="I5052" s="12" t="str">
        <x:v>Large enterprise</x:v>
      </x:c>
      <x:c r="J5052" s="12" t="str">
        <x:v>Finance &amp; insurance</x:v>
      </x:c>
      <x:c r="K5052" s="2" t="str">
        <x:v>PARTNER-M252</x:v>
      </x:c>
    </x:row>
    <x:row r="5053" ht="46" customHeight="1">
      <x:c r="A5053" s="2" t="str">
        <x:v>TEN-E58C9634BF3A</x:v>
      </x:c>
      <x:c r="B5053" s="12" t="str">
        <x:v>John Deere</x:v>
      </x:c>
      <x:c r="C5053" s="12" t="str">
        <x:v>CORP-0676</x:v>
      </x:c>
      <x:c r="D5053" s="12" t="str">
        <x:v>Pune</x:v>
      </x:c>
      <x:c r="E5053" s="12" t="str">
        <x:v>Magarpatta Cyberpark</x:v>
      </x:c>
      <x:c r="F5053" s="12" t="str">
        <x:v>55 inch</x:v>
      </x:c>
      <x:c r="G5053" s="20" t="n">
        <x:v>1</x:v>
      </x:c>
      <x:c r="H5053" s="12" t="str">
        <x:v>Campus/portfolio roster; individual building occupancy unverified</x:v>
      </x:c>
      <x:c r="I5053" s="12" t="str">
        <x:v>Mixed business audience</x:v>
      </x:c>
      <x:c r="J5053" s="12" t="str">
        <x:v>Engineering &amp; manufacturing</x:v>
      </x:c>
      <x:c r="K5053" s="2" t="str">
        <x:v>PARTNER-M252</x:v>
      </x:c>
    </x:row>
    <x:row r="5054" ht="46" customHeight="1">
      <x:c r="A5054" s="2" t="str">
        <x:v>TEN-E73C14AD497C</x:v>
      </x:c>
      <x:c r="B5054" s="12" t="str">
        <x:v>Sybase</x:v>
      </x:c>
      <x:c r="C5054" s="12" t="str">
        <x:v>CORP-0676</x:v>
      </x:c>
      <x:c r="D5054" s="12" t="str">
        <x:v>Pune</x:v>
      </x:c>
      <x:c r="E5054" s="12" t="str">
        <x:v>Magarpatta Cyberpark</x:v>
      </x:c>
      <x:c r="F5054" s="12" t="str">
        <x:v>55 inch</x:v>
      </x:c>
      <x:c r="G5054" s="20" t="n">
        <x:v>1</x:v>
      </x:c>
      <x:c r="H5054" s="12" t="str">
        <x:v>Campus/portfolio roster; individual building occupancy unverified</x:v>
      </x:c>
      <x:c r="I5054" s="12" t="str">
        <x:v>Large enterprise</x:v>
      </x:c>
      <x:c r="J5054" s="12" t="str">
        <x:v>IT &amp; digital</x:v>
      </x:c>
      <x:c r="K5054" s="2" t="str">
        <x:v>PARTNER-M252</x:v>
      </x:c>
    </x:row>
    <x:row r="5055" ht="46" customHeight="1">
      <x:c r="A5055" s="2" t="str">
        <x:v>TEN-E9992F5DAD60</x:v>
      </x:c>
      <x:c r="B5055" s="12" t="str">
        <x:v>BNY Mellon</x:v>
      </x:c>
      <x:c r="C5055" s="12" t="str">
        <x:v>CORP-0676</x:v>
      </x:c>
      <x:c r="D5055" s="12" t="str">
        <x:v>Pune</x:v>
      </x:c>
      <x:c r="E5055" s="12" t="str">
        <x:v>Magarpatta Cyberpark</x:v>
      </x:c>
      <x:c r="F5055" s="12" t="str">
        <x:v>55 inch</x:v>
      </x:c>
      <x:c r="G5055" s="20" t="n">
        <x:v>1</x:v>
      </x:c>
      <x:c r="H5055" s="12" t="str">
        <x:v>Campus/portfolio roster; individual building occupancy unverified</x:v>
      </x:c>
      <x:c r="I5055" s="12" t="str">
        <x:v>Mixed business audience</x:v>
      </x:c>
      <x:c r="J5055" s="12" t="str">
        <x:v>Finance &amp; insurance</x:v>
      </x:c>
      <x:c r="K5055" s="2" t="str">
        <x:v>PARTNER-M252</x:v>
      </x:c>
    </x:row>
    <x:row r="5056" ht="46" customHeight="1">
      <x:c r="A5056" s="2" t="str">
        <x:v>TEN-EA6BCE5F47CF</x:v>
      </x:c>
      <x:c r="B5056" s="12" t="str">
        <x:v>Dresser Rand</x:v>
      </x:c>
      <x:c r="C5056" s="12" t="str">
        <x:v>CORP-0676</x:v>
      </x:c>
      <x:c r="D5056" s="12" t="str">
        <x:v>Pune</x:v>
      </x:c>
      <x:c r="E5056" s="12" t="str">
        <x:v>Magarpatta Cyberpark</x:v>
      </x:c>
      <x:c r="F5056" s="12" t="str">
        <x:v>55 inch</x:v>
      </x:c>
      <x:c r="G5056" s="20" t="n">
        <x:v>1</x:v>
      </x:c>
      <x:c r="H5056" s="12" t="str">
        <x:v>Campus/portfolio roster; individual building occupancy unverified</x:v>
      </x:c>
      <x:c r="I5056" s="12" t="str">
        <x:v>Mixed business audience</x:v>
      </x:c>
      <x:c r="J5056" s="12" t="str">
        <x:v>Engineering &amp; manufacturing</x:v>
      </x:c>
      <x:c r="K5056" s="2" t="str">
        <x:v>PARTNER-M252</x:v>
      </x:c>
    </x:row>
    <x:row r="5057" ht="46" customHeight="1">
      <x:c r="A5057" s="2" t="str">
        <x:v>TEN-EAF4D7735EC1</x:v>
      </x:c>
      <x:c r="B5057" s="12" t="str">
        <x:v>einfochips</x:v>
      </x:c>
      <x:c r="C5057" s="12" t="str">
        <x:v>CORP-0676</x:v>
      </x:c>
      <x:c r="D5057" s="12" t="str">
        <x:v>Pune</x:v>
      </x:c>
      <x:c r="E5057" s="12" t="str">
        <x:v>Magarpatta Cyberpark</x:v>
      </x:c>
      <x:c r="F5057" s="12" t="str">
        <x:v>55 inch</x:v>
      </x:c>
      <x:c r="G5057" s="20" t="n">
        <x:v>1</x:v>
      </x:c>
      <x:c r="H5057" s="12" t="str">
        <x:v>Campus/portfolio roster; individual building occupancy unverified</x:v>
      </x:c>
      <x:c r="I5057" s="12" t="str">
        <x:v>Large enterprise</x:v>
      </x:c>
      <x:c r="J5057" s="12" t="str">
        <x:v>Engineering &amp; manufacturing</x:v>
      </x:c>
      <x:c r="K5057" s="2" t="str">
        <x:v>PARTNER-M252</x:v>
      </x:c>
    </x:row>
    <x:row r="5058" ht="46" customHeight="1">
      <x:c r="A5058" s="2" t="str">
        <x:v>TEN-ED7BECFECA72</x:v>
      </x:c>
      <x:c r="B5058" s="12" t="str">
        <x:v>Xento</x:v>
      </x:c>
      <x:c r="C5058" s="12" t="str">
        <x:v>CORP-0676</x:v>
      </x:c>
      <x:c r="D5058" s="12" t="str">
        <x:v>Pune</x:v>
      </x:c>
      <x:c r="E5058" s="12" t="str">
        <x:v>Magarpatta Cyberpark</x:v>
      </x:c>
      <x:c r="F5058" s="12" t="str">
        <x:v>55 inch</x:v>
      </x:c>
      <x:c r="G5058" s="20" t="n">
        <x:v>1</x:v>
      </x:c>
      <x:c r="H5058" s="12" t="str">
        <x:v>Campus/portfolio roster; individual building occupancy unverified</x:v>
      </x:c>
      <x:c r="I5058" s="12" t="str">
        <x:v>Small-scale prospects</x:v>
      </x:c>
      <x:c r="J5058" s="12" t="str">
        <x:v>IT &amp; digital</x:v>
      </x:c>
      <x:c r="K5058" s="2" t="str">
        <x:v>PARTNER-M252</x:v>
      </x:c>
    </x:row>
    <x:row r="5059" ht="46" customHeight="1">
      <x:c r="A5059" s="2" t="str">
        <x:v>TEN-F55A85B2F2EB</x:v>
      </x:c>
      <x:c r="B5059" s="12" t="str">
        <x:v>Capgemini</x:v>
      </x:c>
      <x:c r="C5059" s="12" t="str">
        <x:v>CORP-0676</x:v>
      </x:c>
      <x:c r="D5059" s="12" t="str">
        <x:v>Pune</x:v>
      </x:c>
      <x:c r="E5059" s="12" t="str">
        <x:v>Magarpatta Cyberpark</x:v>
      </x:c>
      <x:c r="F5059" s="12" t="str">
        <x:v>55 inch</x:v>
      </x:c>
      <x:c r="G5059" s="20" t="n">
        <x:v>1</x:v>
      </x:c>
      <x:c r="H5059" s="12" t="str">
        <x:v>Campus/portfolio roster; individual building occupancy unverified</x:v>
      </x:c>
      <x:c r="I5059" s="12" t="str">
        <x:v>Large enterprise</x:v>
      </x:c>
      <x:c r="J5059" s="12" t="str">
        <x:v>IT &amp; digital</x:v>
      </x:c>
      <x:c r="K5059" s="2" t="str">
        <x:v>PARTNER-M252</x:v>
      </x:c>
    </x:row>
    <x:row r="5060" ht="46" customHeight="1">
      <x:c r="A5060" s="2" t="str">
        <x:v>TEN-00C591B91416</x:v>
      </x:c>
      <x:c r="B5060" s="12" t="str">
        <x:v>PCS IT Solutions Private Limited</x:v>
      </x:c>
      <x:c r="C5060" s="12" t="str">
        <x:v>CORP-0677</x:v>
      </x:c>
      <x:c r="D5060" s="12" t="str">
        <x:v>Pune</x:v>
      </x:c>
      <x:c r="E5060" s="12" t="str">
        <x:v>Pentagon Towers</x:v>
      </x:c>
      <x:c r="F5060" s="12" t="str">
        <x:v>55 inch</x:v>
      </x:c>
      <x:c r="G5060" s="20" t="n">
        <x:v>1</x:v>
      </x:c>
      <x:c r="H5060" s="12" t="str">
        <x:v>Campus/portfolio roster; individual building occupancy unverified</x:v>
      </x:c>
      <x:c r="I5060" s="12" t="str">
        <x:v>Small-scale prospects</x:v>
      </x:c>
      <x:c r="J5060" s="12" t="str">
        <x:v>IT &amp; digital</x:v>
      </x:c>
      <x:c r="K5060" s="2" t="str">
        <x:v>PARTNER-M261</x:v>
      </x:c>
    </x:row>
    <x:row r="5061" ht="46" customHeight="1">
      <x:c r="A5061" s="2" t="str">
        <x:v>TEN-039E9F1061C0</x:v>
      </x:c>
      <x:c r="B5061" s="12" t="str">
        <x:v>Sanganaky Technology</x:v>
      </x:c>
      <x:c r="C5061" s="12" t="str">
        <x:v>CORP-0677</x:v>
      </x:c>
      <x:c r="D5061" s="12" t="str">
        <x:v>Pune</x:v>
      </x:c>
      <x:c r="E5061" s="12" t="str">
        <x:v>Pentagon Towers</x:v>
      </x:c>
      <x:c r="F5061" s="12" t="str">
        <x:v>55 inch</x:v>
      </x:c>
      <x:c r="G5061" s="20" t="n">
        <x:v>1</x:v>
      </x:c>
      <x:c r="H5061" s="12" t="str">
        <x:v>Campus/portfolio roster; individual building occupancy unverified</x:v>
      </x:c>
      <x:c r="I5061" s="12" t="str">
        <x:v>Mixed business audience</x:v>
      </x:c>
      <x:c r="J5061" s="12" t="str">
        <x:v>Unresolved</x:v>
      </x:c>
      <x:c r="K5061" s="2" t="str">
        <x:v>PARTNER-M261</x:v>
      </x:c>
    </x:row>
    <x:row r="5062" ht="46" customHeight="1">
      <x:c r="A5062" s="2" t="str">
        <x:v>TEN-054BC589EE9E</x:v>
      </x:c>
      <x:c r="B5062" s="12" t="str">
        <x:v>Spectraforce Technologies (India) Pvt. Ltd</x:v>
      </x:c>
      <x:c r="C5062" s="12" t="str">
        <x:v>CORP-0677</x:v>
      </x:c>
      <x:c r="D5062" s="12" t="str">
        <x:v>Pune</x:v>
      </x:c>
      <x:c r="E5062" s="12" t="str">
        <x:v>Pentagon Towers</x:v>
      </x:c>
      <x:c r="F5062" s="12" t="str">
        <x:v>55 inch</x:v>
      </x:c>
      <x:c r="G5062" s="20" t="n">
        <x:v>1</x:v>
      </x:c>
      <x:c r="H5062" s="12" t="str">
        <x:v>Campus/portfolio roster; individual building occupancy unverified</x:v>
      </x:c>
      <x:c r="I5062" s="12" t="str">
        <x:v>Mixed business audience</x:v>
      </x:c>
      <x:c r="J5062" s="12" t="str">
        <x:v>Professional services</x:v>
      </x:c>
      <x:c r="K5062" s="2" t="str">
        <x:v>PARTNER-M261</x:v>
      </x:c>
    </x:row>
    <x:row r="5063" ht="46" customHeight="1">
      <x:c r="A5063" s="2" t="str">
        <x:v>TEN-06B74412C407</x:v>
      </x:c>
      <x:c r="B5063" s="12" t="str">
        <x:v>Datafortune Software Solutions Pvt. Ltd</x:v>
      </x:c>
      <x:c r="C5063" s="12" t="str">
        <x:v>CORP-0677</x:v>
      </x:c>
      <x:c r="D5063" s="12" t="str">
        <x:v>Pune</x:v>
      </x:c>
      <x:c r="E5063" s="12" t="str">
        <x:v>Pentagon Towers</x:v>
      </x:c>
      <x:c r="F5063" s="12" t="str">
        <x:v>55 inch</x:v>
      </x:c>
      <x:c r="G5063" s="20" t="n">
        <x:v>1</x:v>
      </x:c>
      <x:c r="H5063" s="12" t="str">
        <x:v>Campus/portfolio roster; individual building occupancy unverified</x:v>
      </x:c>
      <x:c r="I5063" s="12" t="str">
        <x:v>Small-scale prospects</x:v>
      </x:c>
      <x:c r="J5063" s="12" t="str">
        <x:v>IT &amp; digital</x:v>
      </x:c>
      <x:c r="K5063" s="2" t="str">
        <x:v>PARTNER-M261</x:v>
      </x:c>
    </x:row>
    <x:row r="5064" ht="46" customHeight="1">
      <x:c r="A5064" s="2" t="str">
        <x:v>TEN-2CD498D73600</x:v>
      </x:c>
      <x:c r="B5064" s="12" t="str">
        <x:v>Neova Solutions</x:v>
      </x:c>
      <x:c r="C5064" s="12" t="str">
        <x:v>CORP-0677</x:v>
      </x:c>
      <x:c r="D5064" s="12" t="str">
        <x:v>Pune</x:v>
      </x:c>
      <x:c r="E5064" s="12" t="str">
        <x:v>Pentagon Towers</x:v>
      </x:c>
      <x:c r="F5064" s="12" t="str">
        <x:v>55 inch</x:v>
      </x:c>
      <x:c r="G5064" s="20" t="n">
        <x:v>1</x:v>
      </x:c>
      <x:c r="H5064" s="12" t="str">
        <x:v>Campus/portfolio roster; individual building occupancy unverified</x:v>
      </x:c>
      <x:c r="I5064" s="12" t="str">
        <x:v>Small-scale prospects</x:v>
      </x:c>
      <x:c r="J5064" s="12" t="str">
        <x:v>IT &amp; digital</x:v>
      </x:c>
      <x:c r="K5064" s="2" t="str">
        <x:v>PARTNER-M261</x:v>
      </x:c>
    </x:row>
    <x:row r="5065" ht="46" customHeight="1">
      <x:c r="A5065" s="2" t="str">
        <x:v>TEN-383935C4C9A2</x:v>
      </x:c>
      <x:c r="B5065" s="12" t="str">
        <x:v>Schreiber Dynamix Dairies Pvt Ltd</x:v>
      </x:c>
      <x:c r="C5065" s="12" t="str">
        <x:v>CORP-0677</x:v>
      </x:c>
      <x:c r="D5065" s="12" t="str">
        <x:v>Pune</x:v>
      </x:c>
      <x:c r="E5065" s="12" t="str">
        <x:v>Pentagon Towers</x:v>
      </x:c>
      <x:c r="F5065" s="12" t="str">
        <x:v>55 inch</x:v>
      </x:c>
      <x:c r="G5065" s="20" t="n">
        <x:v>1</x:v>
      </x:c>
      <x:c r="H5065" s="12" t="str">
        <x:v>Campus/portfolio roster; individual building occupancy unverified</x:v>
      </x:c>
      <x:c r="I5065" s="12" t="str">
        <x:v>Mixed business audience</x:v>
      </x:c>
      <x:c r="J5065" s="12" t="str">
        <x:v>Trade, consumer &amp; logistics</x:v>
      </x:c>
      <x:c r="K5065" s="2" t="str">
        <x:v>PARTNER-M261</x:v>
      </x:c>
    </x:row>
    <x:row r="5066" ht="46" customHeight="1">
      <x:c r="A5066" s="2" t="str">
        <x:v>TEN-52E2D5DE0876</x:v>
      </x:c>
      <x:c r="B5066" s="12" t="str">
        <x:v>Mobikode Software Private Limited</x:v>
      </x:c>
      <x:c r="C5066" s="12" t="str">
        <x:v>CORP-0677</x:v>
      </x:c>
      <x:c r="D5066" s="12" t="str">
        <x:v>Pune</x:v>
      </x:c>
      <x:c r="E5066" s="12" t="str">
        <x:v>Pentagon Towers</x:v>
      </x:c>
      <x:c r="F5066" s="12" t="str">
        <x:v>55 inch</x:v>
      </x:c>
      <x:c r="G5066" s="20" t="n">
        <x:v>1</x:v>
      </x:c>
      <x:c r="H5066" s="12" t="str">
        <x:v>Campus/portfolio roster; individual building occupancy unverified</x:v>
      </x:c>
      <x:c r="I5066" s="12" t="str">
        <x:v>Small-scale prospects</x:v>
      </x:c>
      <x:c r="J5066" s="12" t="str">
        <x:v>IT &amp; digital</x:v>
      </x:c>
      <x:c r="K5066" s="2" t="str">
        <x:v>PARTNER-M261</x:v>
      </x:c>
    </x:row>
    <x:row r="5067" ht="46" customHeight="1">
      <x:c r="A5067" s="2" t="str">
        <x:v>TEN-58530B1CAB5C</x:v>
      </x:c>
      <x:c r="B5067" s="12" t="str">
        <x:v>Datart Infotech LLP</x:v>
      </x:c>
      <x:c r="C5067" s="12" t="str">
        <x:v>CORP-0677</x:v>
      </x:c>
      <x:c r="D5067" s="12" t="str">
        <x:v>Pune</x:v>
      </x:c>
      <x:c r="E5067" s="12" t="str">
        <x:v>Pentagon Towers</x:v>
      </x:c>
      <x:c r="F5067" s="12" t="str">
        <x:v>55 inch</x:v>
      </x:c>
      <x:c r="G5067" s="20" t="n">
        <x:v>1</x:v>
      </x:c>
      <x:c r="H5067" s="12" t="str">
        <x:v>Campus/portfolio roster; individual building occupancy unverified</x:v>
      </x:c>
      <x:c r="I5067" s="12" t="str">
        <x:v>Small-scale prospects</x:v>
      </x:c>
      <x:c r="J5067" s="12" t="str">
        <x:v>IT &amp; digital</x:v>
      </x:c>
      <x:c r="K5067" s="2" t="str">
        <x:v>PARTNER-M261</x:v>
      </x:c>
    </x:row>
    <x:row r="5068" ht="46" customHeight="1">
      <x:c r="A5068" s="2" t="str">
        <x:v>TEN-7AA45DEA8180</x:v>
      </x:c>
      <x:c r="B5068" s="12" t="str">
        <x:v>Honeywell Automation India Ltd</x:v>
      </x:c>
      <x:c r="C5068" s="12" t="str">
        <x:v>CORP-0677</x:v>
      </x:c>
      <x:c r="D5068" s="12" t="str">
        <x:v>Pune</x:v>
      </x:c>
      <x:c r="E5068" s="12" t="str">
        <x:v>Pentagon Towers</x:v>
      </x:c>
      <x:c r="F5068" s="12" t="str">
        <x:v>55 inch</x:v>
      </x:c>
      <x:c r="G5068" s="20" t="n">
        <x:v>1</x:v>
      </x:c>
      <x:c r="H5068" s="12" t="str">
        <x:v>Campus/portfolio roster; individual building occupancy unverified</x:v>
      </x:c>
      <x:c r="I5068" s="12" t="str">
        <x:v>Large enterprise</x:v>
      </x:c>
      <x:c r="J5068" s="12" t="str">
        <x:v>Engineering &amp; manufacturing</x:v>
      </x:c>
      <x:c r="K5068" s="2" t="str">
        <x:v>PARTNER-M261</x:v>
      </x:c>
    </x:row>
    <x:row r="5069" ht="46" customHeight="1">
      <x:c r="A5069" s="2" t="str">
        <x:v>TEN-8C7EAEEF1D2A</x:v>
      </x:c>
      <x:c r="B5069" s="12" t="str">
        <x:v>ITC Ltd</x:v>
      </x:c>
      <x:c r="C5069" s="12" t="str">
        <x:v>CORP-0677</x:v>
      </x:c>
      <x:c r="D5069" s="12" t="str">
        <x:v>Pune</x:v>
      </x:c>
      <x:c r="E5069" s="12" t="str">
        <x:v>Pentagon Towers</x:v>
      </x:c>
      <x:c r="F5069" s="12" t="str">
        <x:v>55 inch</x:v>
      </x:c>
      <x:c r="G5069" s="20" t="n">
        <x:v>1</x:v>
      </x:c>
      <x:c r="H5069" s="12" t="str">
        <x:v>Campus/portfolio roster; individual building occupancy unverified</x:v>
      </x:c>
      <x:c r="I5069" s="12" t="str">
        <x:v>Mixed business audience</x:v>
      </x:c>
      <x:c r="J5069" s="12" t="str">
        <x:v>Trade, consumer &amp; logistics</x:v>
      </x:c>
      <x:c r="K5069" s="2" t="str">
        <x:v>PARTNER-M261</x:v>
      </x:c>
    </x:row>
    <x:row r="5070" ht="46" customHeight="1">
      <x:c r="A5070" s="2" t="str">
        <x:v>TEN-943DC3AC657A</x:v>
      </x:c>
      <x:c r="B5070" s="12" t="str">
        <x:v>Collabera Technologies Pvt. Ltd</x:v>
      </x:c>
      <x:c r="C5070" s="12" t="str">
        <x:v>CORP-0677</x:v>
      </x:c>
      <x:c r="D5070" s="12" t="str">
        <x:v>Pune</x:v>
      </x:c>
      <x:c r="E5070" s="12" t="str">
        <x:v>Pentagon Towers</x:v>
      </x:c>
      <x:c r="F5070" s="12" t="str">
        <x:v>55 inch</x:v>
      </x:c>
      <x:c r="G5070" s="20" t="n">
        <x:v>1</x:v>
      </x:c>
      <x:c r="H5070" s="12" t="str">
        <x:v>Campus/portfolio roster; individual building occupancy unverified</x:v>
      </x:c>
      <x:c r="I5070" s="12" t="str">
        <x:v>Mixed business audience</x:v>
      </x:c>
      <x:c r="J5070" s="12" t="str">
        <x:v>Professional services</x:v>
      </x:c>
      <x:c r="K5070" s="2" t="str">
        <x:v>PARTNER-M261</x:v>
      </x:c>
    </x:row>
    <x:row r="5071" ht="46" customHeight="1">
      <x:c r="A5071" s="2" t="str">
        <x:v>TEN-B261335C03A3</x:v>
      </x:c>
      <x:c r="B5071" s="12" t="str">
        <x:v>Simplify Healthcare</x:v>
      </x:c>
      <x:c r="C5071" s="12" t="str">
        <x:v>CORP-0677</x:v>
      </x:c>
      <x:c r="D5071" s="12" t="str">
        <x:v>Pune</x:v>
      </x:c>
      <x:c r="E5071" s="12" t="str">
        <x:v>Pentagon Towers</x:v>
      </x:c>
      <x:c r="F5071" s="12" t="str">
        <x:v>55 inch</x:v>
      </x:c>
      <x:c r="G5071" s="20" t="n">
        <x:v>1</x:v>
      </x:c>
      <x:c r="H5071" s="12" t="str">
        <x:v>Campus/portfolio roster; individual building occupancy unverified</x:v>
      </x:c>
      <x:c r="I5071" s="12" t="str">
        <x:v>Small-scale prospects</x:v>
      </x:c>
      <x:c r="J5071" s="12" t="str">
        <x:v>Healthcare &amp; life sciences</x:v>
      </x:c>
      <x:c r="K5071" s="2" t="str">
        <x:v>PARTNER-M261</x:v>
      </x:c>
    </x:row>
    <x:row r="5072" ht="46" customHeight="1">
      <x:c r="A5072" s="2" t="str">
        <x:v>TEN-BC0E58C3E04D</x:v>
      </x:c>
      <x:c r="B5072" s="12" t="str">
        <x:v>Katalyst Technologies Inc</x:v>
      </x:c>
      <x:c r="C5072" s="12" t="str">
        <x:v>CORP-0677</x:v>
      </x:c>
      <x:c r="D5072" s="12" t="str">
        <x:v>Pune</x:v>
      </x:c>
      <x:c r="E5072" s="12" t="str">
        <x:v>Pentagon Towers</x:v>
      </x:c>
      <x:c r="F5072" s="12" t="str">
        <x:v>55 inch</x:v>
      </x:c>
      <x:c r="G5072" s="20" t="n">
        <x:v>1</x:v>
      </x:c>
      <x:c r="H5072" s="12" t="str">
        <x:v>Campus/portfolio roster; individual building occupancy unverified</x:v>
      </x:c>
      <x:c r="I5072" s="12" t="str">
        <x:v>Small-scale prospects</x:v>
      </x:c>
      <x:c r="J5072" s="12" t="str">
        <x:v>IT &amp; digital</x:v>
      </x:c>
      <x:c r="K5072" s="2" t="str">
        <x:v>PARTNER-M261</x:v>
      </x:c>
    </x:row>
    <x:row r="5073" ht="46" customHeight="1">
      <x:c r="A5073" s="2" t="str">
        <x:v>TEN-D9B515FBCE89</x:v>
      </x:c>
      <x:c r="B5073" s="12" t="str">
        <x:v>Testrig Technologies</x:v>
      </x:c>
      <x:c r="C5073" s="12" t="str">
        <x:v>CORP-0677</x:v>
      </x:c>
      <x:c r="D5073" s="12" t="str">
        <x:v>Pune</x:v>
      </x:c>
      <x:c r="E5073" s="12" t="str">
        <x:v>Pentagon Towers</x:v>
      </x:c>
      <x:c r="F5073" s="12" t="str">
        <x:v>55 inch</x:v>
      </x:c>
      <x:c r="G5073" s="20" t="n">
        <x:v>1</x:v>
      </x:c>
      <x:c r="H5073" s="12" t="str">
        <x:v>Campus/portfolio roster; individual building occupancy unverified</x:v>
      </x:c>
      <x:c r="I5073" s="12" t="str">
        <x:v>Small-scale prospects</x:v>
      </x:c>
      <x:c r="J5073" s="12" t="str">
        <x:v>IT &amp; digital</x:v>
      </x:c>
      <x:c r="K5073" s="2" t="str">
        <x:v>PARTNER-M261</x:v>
      </x:c>
    </x:row>
    <x:row r="5074" ht="46" customHeight="1">
      <x:c r="A5074" s="2" t="str">
        <x:v>TEN-EA1A932C99A1</x:v>
      </x:c>
      <x:c r="B5074" s="12" t="str">
        <x:v>Gagstek Solutions Private Limited</x:v>
      </x:c>
      <x:c r="C5074" s="12" t="str">
        <x:v>CORP-0677</x:v>
      </x:c>
      <x:c r="D5074" s="12" t="str">
        <x:v>Pune</x:v>
      </x:c>
      <x:c r="E5074" s="12" t="str">
        <x:v>Pentagon Towers</x:v>
      </x:c>
      <x:c r="F5074" s="12" t="str">
        <x:v>55 inch</x:v>
      </x:c>
      <x:c r="G5074" s="20" t="n">
        <x:v>1</x:v>
      </x:c>
      <x:c r="H5074" s="12" t="str">
        <x:v>Campus/portfolio roster; individual building occupancy unverified</x:v>
      </x:c>
      <x:c r="I5074" s="12" t="str">
        <x:v>Mixed business audience</x:v>
      </x:c>
      <x:c r="J5074" s="12" t="str">
        <x:v>Unresolved</x:v>
      </x:c>
      <x:c r="K5074" s="2" t="str">
        <x:v>PARTNER-M261</x:v>
      </x:c>
    </x:row>
    <x:row r="5075" ht="46" customHeight="1">
      <x:c r="A5075" s="2" t="str">
        <x:v>TEN-EB22DF2431C9</x:v>
      </x:c>
      <x:c r="B5075" s="12" t="str">
        <x:v>Knight Frank India Pvt Ltd</x:v>
      </x:c>
      <x:c r="C5075" s="12" t="str">
        <x:v>CORP-0677</x:v>
      </x:c>
      <x:c r="D5075" s="12" t="str">
        <x:v>Pune</x:v>
      </x:c>
      <x:c r="E5075" s="12" t="str">
        <x:v>Pentagon Towers</x:v>
      </x:c>
      <x:c r="F5075" s="12" t="str">
        <x:v>55 inch</x:v>
      </x:c>
      <x:c r="G5075" s="20" t="n">
        <x:v>1</x:v>
      </x:c>
      <x:c r="H5075" s="12" t="str">
        <x:v>Campus/portfolio roster; individual building occupancy unverified</x:v>
      </x:c>
      <x:c r="I5075" s="12" t="str">
        <x:v>Mixed business audience</x:v>
      </x:c>
      <x:c r="J5075" s="12" t="str">
        <x:v>Trade, consumer &amp; logistics</x:v>
      </x:c>
      <x:c r="K5075" s="2" t="str">
        <x:v>PARTNER-M261</x:v>
      </x:c>
    </x:row>
    <x:row r="5076" ht="46" customHeight="1">
      <x:c r="A5076" s="2" t="str">
        <x:v>TEN-FB0329803647</x:v>
      </x:c>
      <x:c r="B5076" s="12" t="str">
        <x:v>ALKYL AMINES CHEMICALS LTD MAGARPATTA</x:v>
      </x:c>
      <x:c r="C5076" s="12" t="str">
        <x:v>CORP-0677</x:v>
      </x:c>
      <x:c r="D5076" s="12" t="str">
        <x:v>Pune</x:v>
      </x:c>
      <x:c r="E5076" s="12" t="str">
        <x:v>Pentagon Towers</x:v>
      </x:c>
      <x:c r="F5076" s="12" t="str">
        <x:v>55 inch</x:v>
      </x:c>
      <x:c r="G5076" s="20" t="n">
        <x:v>1</x:v>
      </x:c>
      <x:c r="H5076" s="12" t="str">
        <x:v>Campus/portfolio roster; individual building occupancy unverified</x:v>
      </x:c>
      <x:c r="I5076" s="12" t="str">
        <x:v>Mixed business audience</x:v>
      </x:c>
      <x:c r="J5076" s="12" t="str">
        <x:v>Engineering &amp; manufacturing</x:v>
      </x:c>
      <x:c r="K5076" s="2" t="str">
        <x:v>PARTNER-M261</x:v>
      </x:c>
    </x:row>
    <x:row r="5077" ht="46" customHeight="1">
      <x:c r="A5077" s="2" t="str">
        <x:v>TEN-00C591B91416</x:v>
      </x:c>
      <x:c r="B5077" s="12" t="str">
        <x:v>PCS IT Solutions Private Limited</x:v>
      </x:c>
      <x:c r="C5077" s="12" t="str">
        <x:v>CORP-0678</x:v>
      </x:c>
      <x:c r="D5077" s="12" t="str">
        <x:v>Pune</x:v>
      </x:c>
      <x:c r="E5077" s="12" t="str">
        <x:v>Pentagon Towers</x:v>
      </x:c>
      <x:c r="F5077" s="12" t="str">
        <x:v>55 inch</x:v>
      </x:c>
      <x:c r="G5077" s="20" t="n">
        <x:v>1</x:v>
      </x:c>
      <x:c r="H5077" s="12" t="str">
        <x:v>Campus/portfolio roster; individual building occupancy unverified</x:v>
      </x:c>
      <x:c r="I5077" s="12" t="str">
        <x:v>Small-scale prospects</x:v>
      </x:c>
      <x:c r="J5077" s="12" t="str">
        <x:v>IT &amp; digital</x:v>
      </x:c>
      <x:c r="K5077" s="2" t="str">
        <x:v>PARTNER-M261</x:v>
      </x:c>
    </x:row>
    <x:row r="5078" ht="46" customHeight="1">
      <x:c r="A5078" s="2" t="str">
        <x:v>TEN-039E9F1061C0</x:v>
      </x:c>
      <x:c r="B5078" s="12" t="str">
        <x:v>Sanganaky Technology</x:v>
      </x:c>
      <x:c r="C5078" s="12" t="str">
        <x:v>CORP-0678</x:v>
      </x:c>
      <x:c r="D5078" s="12" t="str">
        <x:v>Pune</x:v>
      </x:c>
      <x:c r="E5078" s="12" t="str">
        <x:v>Pentagon Towers</x:v>
      </x:c>
      <x:c r="F5078" s="12" t="str">
        <x:v>55 inch</x:v>
      </x:c>
      <x:c r="G5078" s="20" t="n">
        <x:v>1</x:v>
      </x:c>
      <x:c r="H5078" s="12" t="str">
        <x:v>Campus/portfolio roster; individual building occupancy unverified</x:v>
      </x:c>
      <x:c r="I5078" s="12" t="str">
        <x:v>Mixed business audience</x:v>
      </x:c>
      <x:c r="J5078" s="12" t="str">
        <x:v>Unresolved</x:v>
      </x:c>
      <x:c r="K5078" s="2" t="str">
        <x:v>PARTNER-M261</x:v>
      </x:c>
    </x:row>
    <x:row r="5079" ht="46" customHeight="1">
      <x:c r="A5079" s="2" t="str">
        <x:v>TEN-054BC589EE9E</x:v>
      </x:c>
      <x:c r="B5079" s="12" t="str">
        <x:v>Spectraforce Technologies (India) Pvt. Ltd</x:v>
      </x:c>
      <x:c r="C5079" s="12" t="str">
        <x:v>CORP-0678</x:v>
      </x:c>
      <x:c r="D5079" s="12" t="str">
        <x:v>Pune</x:v>
      </x:c>
      <x:c r="E5079" s="12" t="str">
        <x:v>Pentagon Towers</x:v>
      </x:c>
      <x:c r="F5079" s="12" t="str">
        <x:v>55 inch</x:v>
      </x:c>
      <x:c r="G5079" s="20" t="n">
        <x:v>1</x:v>
      </x:c>
      <x:c r="H5079" s="12" t="str">
        <x:v>Campus/portfolio roster; individual building occupancy unverified</x:v>
      </x:c>
      <x:c r="I5079" s="12" t="str">
        <x:v>Mixed business audience</x:v>
      </x:c>
      <x:c r="J5079" s="12" t="str">
        <x:v>Professional services</x:v>
      </x:c>
      <x:c r="K5079" s="2" t="str">
        <x:v>PARTNER-M261</x:v>
      </x:c>
    </x:row>
    <x:row r="5080" ht="46" customHeight="1">
      <x:c r="A5080" s="2" t="str">
        <x:v>TEN-06B74412C407</x:v>
      </x:c>
      <x:c r="B5080" s="12" t="str">
        <x:v>Datafortune Software Solutions Pvt. Ltd</x:v>
      </x:c>
      <x:c r="C5080" s="12" t="str">
        <x:v>CORP-0678</x:v>
      </x:c>
      <x:c r="D5080" s="12" t="str">
        <x:v>Pune</x:v>
      </x:c>
      <x:c r="E5080" s="12" t="str">
        <x:v>Pentagon Towers</x:v>
      </x:c>
      <x:c r="F5080" s="12" t="str">
        <x:v>55 inch</x:v>
      </x:c>
      <x:c r="G5080" s="20" t="n">
        <x:v>1</x:v>
      </x:c>
      <x:c r="H5080" s="12" t="str">
        <x:v>Campus/portfolio roster; individual building occupancy unverified</x:v>
      </x:c>
      <x:c r="I5080" s="12" t="str">
        <x:v>Small-scale prospects</x:v>
      </x:c>
      <x:c r="J5080" s="12" t="str">
        <x:v>IT &amp; digital</x:v>
      </x:c>
      <x:c r="K5080" s="2" t="str">
        <x:v>PARTNER-M261</x:v>
      </x:c>
    </x:row>
    <x:row r="5081" ht="46" customHeight="1">
      <x:c r="A5081" s="2" t="str">
        <x:v>TEN-2CD498D73600</x:v>
      </x:c>
      <x:c r="B5081" s="12" t="str">
        <x:v>Neova Solutions</x:v>
      </x:c>
      <x:c r="C5081" s="12" t="str">
        <x:v>CORP-0678</x:v>
      </x:c>
      <x:c r="D5081" s="12" t="str">
        <x:v>Pune</x:v>
      </x:c>
      <x:c r="E5081" s="12" t="str">
        <x:v>Pentagon Towers</x:v>
      </x:c>
      <x:c r="F5081" s="12" t="str">
        <x:v>55 inch</x:v>
      </x:c>
      <x:c r="G5081" s="20" t="n">
        <x:v>1</x:v>
      </x:c>
      <x:c r="H5081" s="12" t="str">
        <x:v>Campus/portfolio roster; individual building occupancy unverified</x:v>
      </x:c>
      <x:c r="I5081" s="12" t="str">
        <x:v>Small-scale prospects</x:v>
      </x:c>
      <x:c r="J5081" s="12" t="str">
        <x:v>IT &amp; digital</x:v>
      </x:c>
      <x:c r="K5081" s="2" t="str">
        <x:v>PARTNER-M261</x:v>
      </x:c>
    </x:row>
    <x:row r="5082" ht="46" customHeight="1">
      <x:c r="A5082" s="2" t="str">
        <x:v>TEN-383935C4C9A2</x:v>
      </x:c>
      <x:c r="B5082" s="12" t="str">
        <x:v>Schreiber Dynamix Dairies Pvt Ltd</x:v>
      </x:c>
      <x:c r="C5082" s="12" t="str">
        <x:v>CORP-0678</x:v>
      </x:c>
      <x:c r="D5082" s="12" t="str">
        <x:v>Pune</x:v>
      </x:c>
      <x:c r="E5082" s="12" t="str">
        <x:v>Pentagon Towers</x:v>
      </x:c>
      <x:c r="F5082" s="12" t="str">
        <x:v>55 inch</x:v>
      </x:c>
      <x:c r="G5082" s="20" t="n">
        <x:v>1</x:v>
      </x:c>
      <x:c r="H5082" s="12" t="str">
        <x:v>Campus/portfolio roster; individual building occupancy unverified</x:v>
      </x:c>
      <x:c r="I5082" s="12" t="str">
        <x:v>Mixed business audience</x:v>
      </x:c>
      <x:c r="J5082" s="12" t="str">
        <x:v>Trade, consumer &amp; logistics</x:v>
      </x:c>
      <x:c r="K5082" s="2" t="str">
        <x:v>PARTNER-M261</x:v>
      </x:c>
    </x:row>
    <x:row r="5083" ht="46" customHeight="1">
      <x:c r="A5083" s="2" t="str">
        <x:v>TEN-52E2D5DE0876</x:v>
      </x:c>
      <x:c r="B5083" s="12" t="str">
        <x:v>Mobikode Software Private Limited</x:v>
      </x:c>
      <x:c r="C5083" s="12" t="str">
        <x:v>CORP-0678</x:v>
      </x:c>
      <x:c r="D5083" s="12" t="str">
        <x:v>Pune</x:v>
      </x:c>
      <x:c r="E5083" s="12" t="str">
        <x:v>Pentagon Towers</x:v>
      </x:c>
      <x:c r="F5083" s="12" t="str">
        <x:v>55 inch</x:v>
      </x:c>
      <x:c r="G5083" s="20" t="n">
        <x:v>1</x:v>
      </x:c>
      <x:c r="H5083" s="12" t="str">
        <x:v>Campus/portfolio roster; individual building occupancy unverified</x:v>
      </x:c>
      <x:c r="I5083" s="12" t="str">
        <x:v>Small-scale prospects</x:v>
      </x:c>
      <x:c r="J5083" s="12" t="str">
        <x:v>IT &amp; digital</x:v>
      </x:c>
      <x:c r="K5083" s="2" t="str">
        <x:v>PARTNER-M261</x:v>
      </x:c>
    </x:row>
    <x:row r="5084" ht="46" customHeight="1">
      <x:c r="A5084" s="2" t="str">
        <x:v>TEN-58530B1CAB5C</x:v>
      </x:c>
      <x:c r="B5084" s="12" t="str">
        <x:v>Datart Infotech LLP</x:v>
      </x:c>
      <x:c r="C5084" s="12" t="str">
        <x:v>CORP-0678</x:v>
      </x:c>
      <x:c r="D5084" s="12" t="str">
        <x:v>Pune</x:v>
      </x:c>
      <x:c r="E5084" s="12" t="str">
        <x:v>Pentagon Towers</x:v>
      </x:c>
      <x:c r="F5084" s="12" t="str">
        <x:v>55 inch</x:v>
      </x:c>
      <x:c r="G5084" s="20" t="n">
        <x:v>1</x:v>
      </x:c>
      <x:c r="H5084" s="12" t="str">
        <x:v>Campus/portfolio roster; individual building occupancy unverified</x:v>
      </x:c>
      <x:c r="I5084" s="12" t="str">
        <x:v>Small-scale prospects</x:v>
      </x:c>
      <x:c r="J5084" s="12" t="str">
        <x:v>IT &amp; digital</x:v>
      </x:c>
      <x:c r="K5084" s="2" t="str">
        <x:v>PARTNER-M261</x:v>
      </x:c>
    </x:row>
    <x:row r="5085" ht="46" customHeight="1">
      <x:c r="A5085" s="2" t="str">
        <x:v>TEN-7AA45DEA8180</x:v>
      </x:c>
      <x:c r="B5085" s="12" t="str">
        <x:v>Honeywell Automation India Ltd</x:v>
      </x:c>
      <x:c r="C5085" s="12" t="str">
        <x:v>CORP-0678</x:v>
      </x:c>
      <x:c r="D5085" s="12" t="str">
        <x:v>Pune</x:v>
      </x:c>
      <x:c r="E5085" s="12" t="str">
        <x:v>Pentagon Towers</x:v>
      </x:c>
      <x:c r="F5085" s="12" t="str">
        <x:v>55 inch</x:v>
      </x:c>
      <x:c r="G5085" s="20" t="n">
        <x:v>1</x:v>
      </x:c>
      <x:c r="H5085" s="12" t="str">
        <x:v>Campus/portfolio roster; individual building occupancy unverified</x:v>
      </x:c>
      <x:c r="I5085" s="12" t="str">
        <x:v>Large enterprise</x:v>
      </x:c>
      <x:c r="J5085" s="12" t="str">
        <x:v>Engineering &amp; manufacturing</x:v>
      </x:c>
      <x:c r="K5085" s="2" t="str">
        <x:v>PARTNER-M261</x:v>
      </x:c>
    </x:row>
    <x:row r="5086" ht="46" customHeight="1">
      <x:c r="A5086" s="2" t="str">
        <x:v>TEN-8C7EAEEF1D2A</x:v>
      </x:c>
      <x:c r="B5086" s="12" t="str">
        <x:v>ITC Ltd</x:v>
      </x:c>
      <x:c r="C5086" s="12" t="str">
        <x:v>CORP-0678</x:v>
      </x:c>
      <x:c r="D5086" s="12" t="str">
        <x:v>Pune</x:v>
      </x:c>
      <x:c r="E5086" s="12" t="str">
        <x:v>Pentagon Towers</x:v>
      </x:c>
      <x:c r="F5086" s="12" t="str">
        <x:v>55 inch</x:v>
      </x:c>
      <x:c r="G5086" s="20" t="n">
        <x:v>1</x:v>
      </x:c>
      <x:c r="H5086" s="12" t="str">
        <x:v>Campus/portfolio roster; individual building occupancy unverified</x:v>
      </x:c>
      <x:c r="I5086" s="12" t="str">
        <x:v>Mixed business audience</x:v>
      </x:c>
      <x:c r="J5086" s="12" t="str">
        <x:v>Trade, consumer &amp; logistics</x:v>
      </x:c>
      <x:c r="K5086" s="2" t="str">
        <x:v>PARTNER-M261</x:v>
      </x:c>
    </x:row>
    <x:row r="5087" ht="46" customHeight="1">
      <x:c r="A5087" s="2" t="str">
        <x:v>TEN-943DC3AC657A</x:v>
      </x:c>
      <x:c r="B5087" s="12" t="str">
        <x:v>Collabera Technologies Pvt. Ltd</x:v>
      </x:c>
      <x:c r="C5087" s="12" t="str">
        <x:v>CORP-0678</x:v>
      </x:c>
      <x:c r="D5087" s="12" t="str">
        <x:v>Pune</x:v>
      </x:c>
      <x:c r="E5087" s="12" t="str">
        <x:v>Pentagon Towers</x:v>
      </x:c>
      <x:c r="F5087" s="12" t="str">
        <x:v>55 inch</x:v>
      </x:c>
      <x:c r="G5087" s="20" t="n">
        <x:v>1</x:v>
      </x:c>
      <x:c r="H5087" s="12" t="str">
        <x:v>Campus/portfolio roster; individual building occupancy unverified</x:v>
      </x:c>
      <x:c r="I5087" s="12" t="str">
        <x:v>Mixed business audience</x:v>
      </x:c>
      <x:c r="J5087" s="12" t="str">
        <x:v>Professional services</x:v>
      </x:c>
      <x:c r="K5087" s="2" t="str">
        <x:v>PARTNER-M261</x:v>
      </x:c>
    </x:row>
    <x:row r="5088" ht="46" customHeight="1">
      <x:c r="A5088" s="2" t="str">
        <x:v>TEN-B261335C03A3</x:v>
      </x:c>
      <x:c r="B5088" s="12" t="str">
        <x:v>Simplify Healthcare</x:v>
      </x:c>
      <x:c r="C5088" s="12" t="str">
        <x:v>CORP-0678</x:v>
      </x:c>
      <x:c r="D5088" s="12" t="str">
        <x:v>Pune</x:v>
      </x:c>
      <x:c r="E5088" s="12" t="str">
        <x:v>Pentagon Towers</x:v>
      </x:c>
      <x:c r="F5088" s="12" t="str">
        <x:v>55 inch</x:v>
      </x:c>
      <x:c r="G5088" s="20" t="n">
        <x:v>1</x:v>
      </x:c>
      <x:c r="H5088" s="12" t="str">
        <x:v>Campus/portfolio roster; individual building occupancy unverified</x:v>
      </x:c>
      <x:c r="I5088" s="12" t="str">
        <x:v>Small-scale prospects</x:v>
      </x:c>
      <x:c r="J5088" s="12" t="str">
        <x:v>Healthcare &amp; life sciences</x:v>
      </x:c>
      <x:c r="K5088" s="2" t="str">
        <x:v>PARTNER-M261</x:v>
      </x:c>
    </x:row>
    <x:row r="5089" ht="46" customHeight="1">
      <x:c r="A5089" s="2" t="str">
        <x:v>TEN-BC0E58C3E04D</x:v>
      </x:c>
      <x:c r="B5089" s="12" t="str">
        <x:v>Katalyst Technologies Inc</x:v>
      </x:c>
      <x:c r="C5089" s="12" t="str">
        <x:v>CORP-0678</x:v>
      </x:c>
      <x:c r="D5089" s="12" t="str">
        <x:v>Pune</x:v>
      </x:c>
      <x:c r="E5089" s="12" t="str">
        <x:v>Pentagon Towers</x:v>
      </x:c>
      <x:c r="F5089" s="12" t="str">
        <x:v>55 inch</x:v>
      </x:c>
      <x:c r="G5089" s="20" t="n">
        <x:v>1</x:v>
      </x:c>
      <x:c r="H5089" s="12" t="str">
        <x:v>Campus/portfolio roster; individual building occupancy unverified</x:v>
      </x:c>
      <x:c r="I5089" s="12" t="str">
        <x:v>Small-scale prospects</x:v>
      </x:c>
      <x:c r="J5089" s="12" t="str">
        <x:v>IT &amp; digital</x:v>
      </x:c>
      <x:c r="K5089" s="2" t="str">
        <x:v>PARTNER-M261</x:v>
      </x:c>
    </x:row>
    <x:row r="5090" ht="46" customHeight="1">
      <x:c r="A5090" s="2" t="str">
        <x:v>TEN-D9B515FBCE89</x:v>
      </x:c>
      <x:c r="B5090" s="12" t="str">
        <x:v>Testrig Technologies</x:v>
      </x:c>
      <x:c r="C5090" s="12" t="str">
        <x:v>CORP-0678</x:v>
      </x:c>
      <x:c r="D5090" s="12" t="str">
        <x:v>Pune</x:v>
      </x:c>
      <x:c r="E5090" s="12" t="str">
        <x:v>Pentagon Towers</x:v>
      </x:c>
      <x:c r="F5090" s="12" t="str">
        <x:v>55 inch</x:v>
      </x:c>
      <x:c r="G5090" s="20" t="n">
        <x:v>1</x:v>
      </x:c>
      <x:c r="H5090" s="12" t="str">
        <x:v>Campus/portfolio roster; individual building occupancy unverified</x:v>
      </x:c>
      <x:c r="I5090" s="12" t="str">
        <x:v>Small-scale prospects</x:v>
      </x:c>
      <x:c r="J5090" s="12" t="str">
        <x:v>IT &amp; digital</x:v>
      </x:c>
      <x:c r="K5090" s="2" t="str">
        <x:v>PARTNER-M261</x:v>
      </x:c>
    </x:row>
    <x:row r="5091" ht="46" customHeight="1">
      <x:c r="A5091" s="2" t="str">
        <x:v>TEN-EA1A932C99A1</x:v>
      </x:c>
      <x:c r="B5091" s="12" t="str">
        <x:v>Gagstek Solutions Private Limited</x:v>
      </x:c>
      <x:c r="C5091" s="12" t="str">
        <x:v>CORP-0678</x:v>
      </x:c>
      <x:c r="D5091" s="12" t="str">
        <x:v>Pune</x:v>
      </x:c>
      <x:c r="E5091" s="12" t="str">
        <x:v>Pentagon Towers</x:v>
      </x:c>
      <x:c r="F5091" s="12" t="str">
        <x:v>55 inch</x:v>
      </x:c>
      <x:c r="G5091" s="20" t="n">
        <x:v>1</x:v>
      </x:c>
      <x:c r="H5091" s="12" t="str">
        <x:v>Campus/portfolio roster; individual building occupancy unverified</x:v>
      </x:c>
      <x:c r="I5091" s="12" t="str">
        <x:v>Mixed business audience</x:v>
      </x:c>
      <x:c r="J5091" s="12" t="str">
        <x:v>Unresolved</x:v>
      </x:c>
      <x:c r="K5091" s="2" t="str">
        <x:v>PARTNER-M261</x:v>
      </x:c>
    </x:row>
    <x:row r="5092" ht="46" customHeight="1">
      <x:c r="A5092" s="2" t="str">
        <x:v>TEN-EB22DF2431C9</x:v>
      </x:c>
      <x:c r="B5092" s="12" t="str">
        <x:v>Knight Frank India Pvt Ltd</x:v>
      </x:c>
      <x:c r="C5092" s="12" t="str">
        <x:v>CORP-0678</x:v>
      </x:c>
      <x:c r="D5092" s="12" t="str">
        <x:v>Pune</x:v>
      </x:c>
      <x:c r="E5092" s="12" t="str">
        <x:v>Pentagon Towers</x:v>
      </x:c>
      <x:c r="F5092" s="12" t="str">
        <x:v>55 inch</x:v>
      </x:c>
      <x:c r="G5092" s="20" t="n">
        <x:v>1</x:v>
      </x:c>
      <x:c r="H5092" s="12" t="str">
        <x:v>Campus/portfolio roster; individual building occupancy unverified</x:v>
      </x:c>
      <x:c r="I5092" s="12" t="str">
        <x:v>Mixed business audience</x:v>
      </x:c>
      <x:c r="J5092" s="12" t="str">
        <x:v>Trade, consumer &amp; logistics</x:v>
      </x:c>
      <x:c r="K5092" s="2" t="str">
        <x:v>PARTNER-M261</x:v>
      </x:c>
    </x:row>
    <x:row r="5093" ht="46" customHeight="1">
      <x:c r="A5093" s="2" t="str">
        <x:v>TEN-FB0329803647</x:v>
      </x:c>
      <x:c r="B5093" s="12" t="str">
        <x:v>ALKYL AMINES CHEMICALS LTD MAGARPATTA</x:v>
      </x:c>
      <x:c r="C5093" s="12" t="str">
        <x:v>CORP-0678</x:v>
      </x:c>
      <x:c r="D5093" s="12" t="str">
        <x:v>Pune</x:v>
      </x:c>
      <x:c r="E5093" s="12" t="str">
        <x:v>Pentagon Towers</x:v>
      </x:c>
      <x:c r="F5093" s="12" t="str">
        <x:v>55 inch</x:v>
      </x:c>
      <x:c r="G5093" s="20" t="n">
        <x:v>1</x:v>
      </x:c>
      <x:c r="H5093" s="12" t="str">
        <x:v>Campus/portfolio roster; individual building occupancy unverified</x:v>
      </x:c>
      <x:c r="I5093" s="12" t="str">
        <x:v>Mixed business audience</x:v>
      </x:c>
      <x:c r="J5093" s="12" t="str">
        <x:v>Engineering &amp; manufacturing</x:v>
      </x:c>
      <x:c r="K5093" s="2" t="str">
        <x:v>PARTNER-M261</x:v>
      </x:c>
    </x:row>
    <x:row r="5094" ht="46" customHeight="1">
      <x:c r="A5094" s="2" t="str">
        <x:v>TEN-00C591B91416</x:v>
      </x:c>
      <x:c r="B5094" s="12" t="str">
        <x:v>PCS IT Solutions Private Limited</x:v>
      </x:c>
      <x:c r="C5094" s="12" t="str">
        <x:v>CORP-0679</x:v>
      </x:c>
      <x:c r="D5094" s="12" t="str">
        <x:v>Pune</x:v>
      </x:c>
      <x:c r="E5094" s="12" t="str">
        <x:v>Pentagon Towers</x:v>
      </x:c>
      <x:c r="F5094" s="12" t="str">
        <x:v>55 inch</x:v>
      </x:c>
      <x:c r="G5094" s="20" t="n">
        <x:v>1</x:v>
      </x:c>
      <x:c r="H5094" s="12" t="str">
        <x:v>Campus/portfolio roster; individual building occupancy unverified</x:v>
      </x:c>
      <x:c r="I5094" s="12" t="str">
        <x:v>Small-scale prospects</x:v>
      </x:c>
      <x:c r="J5094" s="12" t="str">
        <x:v>IT &amp; digital</x:v>
      </x:c>
      <x:c r="K5094" s="2" t="str">
        <x:v>PARTNER-M261</x:v>
      </x:c>
    </x:row>
    <x:row r="5095" ht="46" customHeight="1">
      <x:c r="A5095" s="2" t="str">
        <x:v>TEN-039E9F1061C0</x:v>
      </x:c>
      <x:c r="B5095" s="12" t="str">
        <x:v>Sanganaky Technology</x:v>
      </x:c>
      <x:c r="C5095" s="12" t="str">
        <x:v>CORP-0679</x:v>
      </x:c>
      <x:c r="D5095" s="12" t="str">
        <x:v>Pune</x:v>
      </x:c>
      <x:c r="E5095" s="12" t="str">
        <x:v>Pentagon Towers</x:v>
      </x:c>
      <x:c r="F5095" s="12" t="str">
        <x:v>55 inch</x:v>
      </x:c>
      <x:c r="G5095" s="20" t="n">
        <x:v>1</x:v>
      </x:c>
      <x:c r="H5095" s="12" t="str">
        <x:v>Campus/portfolio roster; individual building occupancy unverified</x:v>
      </x:c>
      <x:c r="I5095" s="12" t="str">
        <x:v>Mixed business audience</x:v>
      </x:c>
      <x:c r="J5095" s="12" t="str">
        <x:v>Unresolved</x:v>
      </x:c>
      <x:c r="K5095" s="2" t="str">
        <x:v>PARTNER-M261</x:v>
      </x:c>
    </x:row>
    <x:row r="5096" ht="46" customHeight="1">
      <x:c r="A5096" s="2" t="str">
        <x:v>TEN-054BC589EE9E</x:v>
      </x:c>
      <x:c r="B5096" s="12" t="str">
        <x:v>Spectraforce Technologies (India) Pvt. Ltd</x:v>
      </x:c>
      <x:c r="C5096" s="12" t="str">
        <x:v>CORP-0679</x:v>
      </x:c>
      <x:c r="D5096" s="12" t="str">
        <x:v>Pune</x:v>
      </x:c>
      <x:c r="E5096" s="12" t="str">
        <x:v>Pentagon Towers</x:v>
      </x:c>
      <x:c r="F5096" s="12" t="str">
        <x:v>55 inch</x:v>
      </x:c>
      <x:c r="G5096" s="20" t="n">
        <x:v>1</x:v>
      </x:c>
      <x:c r="H5096" s="12" t="str">
        <x:v>Campus/portfolio roster; individual building occupancy unverified</x:v>
      </x:c>
      <x:c r="I5096" s="12" t="str">
        <x:v>Mixed business audience</x:v>
      </x:c>
      <x:c r="J5096" s="12" t="str">
        <x:v>Professional services</x:v>
      </x:c>
      <x:c r="K5096" s="2" t="str">
        <x:v>PARTNER-M261</x:v>
      </x:c>
    </x:row>
    <x:row r="5097" ht="46" customHeight="1">
      <x:c r="A5097" s="2" t="str">
        <x:v>TEN-06B74412C407</x:v>
      </x:c>
      <x:c r="B5097" s="12" t="str">
        <x:v>Datafortune Software Solutions Pvt. Ltd</x:v>
      </x:c>
      <x:c r="C5097" s="12" t="str">
        <x:v>CORP-0679</x:v>
      </x:c>
      <x:c r="D5097" s="12" t="str">
        <x:v>Pune</x:v>
      </x:c>
      <x:c r="E5097" s="12" t="str">
        <x:v>Pentagon Towers</x:v>
      </x:c>
      <x:c r="F5097" s="12" t="str">
        <x:v>55 inch</x:v>
      </x:c>
      <x:c r="G5097" s="20" t="n">
        <x:v>1</x:v>
      </x:c>
      <x:c r="H5097" s="12" t="str">
        <x:v>Campus/portfolio roster; individual building occupancy unverified</x:v>
      </x:c>
      <x:c r="I5097" s="12" t="str">
        <x:v>Small-scale prospects</x:v>
      </x:c>
      <x:c r="J5097" s="12" t="str">
        <x:v>IT &amp; digital</x:v>
      </x:c>
      <x:c r="K5097" s="2" t="str">
        <x:v>PARTNER-M261</x:v>
      </x:c>
    </x:row>
    <x:row r="5098" ht="46" customHeight="1">
      <x:c r="A5098" s="2" t="str">
        <x:v>TEN-2CD498D73600</x:v>
      </x:c>
      <x:c r="B5098" s="12" t="str">
        <x:v>Neova Solutions</x:v>
      </x:c>
      <x:c r="C5098" s="12" t="str">
        <x:v>CORP-0679</x:v>
      </x:c>
      <x:c r="D5098" s="12" t="str">
        <x:v>Pune</x:v>
      </x:c>
      <x:c r="E5098" s="12" t="str">
        <x:v>Pentagon Towers</x:v>
      </x:c>
      <x:c r="F5098" s="12" t="str">
        <x:v>55 inch</x:v>
      </x:c>
      <x:c r="G5098" s="20" t="n">
        <x:v>1</x:v>
      </x:c>
      <x:c r="H5098" s="12" t="str">
        <x:v>Campus/portfolio roster; individual building occupancy unverified</x:v>
      </x:c>
      <x:c r="I5098" s="12" t="str">
        <x:v>Small-scale prospects</x:v>
      </x:c>
      <x:c r="J5098" s="12" t="str">
        <x:v>IT &amp; digital</x:v>
      </x:c>
      <x:c r="K5098" s="2" t="str">
        <x:v>PARTNER-M261</x:v>
      </x:c>
    </x:row>
    <x:row r="5099" ht="46" customHeight="1">
      <x:c r="A5099" s="2" t="str">
        <x:v>TEN-383935C4C9A2</x:v>
      </x:c>
      <x:c r="B5099" s="12" t="str">
        <x:v>Schreiber Dynamix Dairies Pvt Ltd</x:v>
      </x:c>
      <x:c r="C5099" s="12" t="str">
        <x:v>CORP-0679</x:v>
      </x:c>
      <x:c r="D5099" s="12" t="str">
        <x:v>Pune</x:v>
      </x:c>
      <x:c r="E5099" s="12" t="str">
        <x:v>Pentagon Towers</x:v>
      </x:c>
      <x:c r="F5099" s="12" t="str">
        <x:v>55 inch</x:v>
      </x:c>
      <x:c r="G5099" s="20" t="n">
        <x:v>1</x:v>
      </x:c>
      <x:c r="H5099" s="12" t="str">
        <x:v>Campus/portfolio roster; individual building occupancy unverified</x:v>
      </x:c>
      <x:c r="I5099" s="12" t="str">
        <x:v>Mixed business audience</x:v>
      </x:c>
      <x:c r="J5099" s="12" t="str">
        <x:v>Trade, consumer &amp; logistics</x:v>
      </x:c>
      <x:c r="K5099" s="2" t="str">
        <x:v>PARTNER-M261</x:v>
      </x:c>
    </x:row>
    <x:row r="5100" ht="46" customHeight="1">
      <x:c r="A5100" s="2" t="str">
        <x:v>TEN-52E2D5DE0876</x:v>
      </x:c>
      <x:c r="B5100" s="12" t="str">
        <x:v>Mobikode Software Private Limited</x:v>
      </x:c>
      <x:c r="C5100" s="12" t="str">
        <x:v>CORP-0679</x:v>
      </x:c>
      <x:c r="D5100" s="12" t="str">
        <x:v>Pune</x:v>
      </x:c>
      <x:c r="E5100" s="12" t="str">
        <x:v>Pentagon Towers</x:v>
      </x:c>
      <x:c r="F5100" s="12" t="str">
        <x:v>55 inch</x:v>
      </x:c>
      <x:c r="G5100" s="20" t="n">
        <x:v>1</x:v>
      </x:c>
      <x:c r="H5100" s="12" t="str">
        <x:v>Campus/portfolio roster; individual building occupancy unverified</x:v>
      </x:c>
      <x:c r="I5100" s="12" t="str">
        <x:v>Small-scale prospects</x:v>
      </x:c>
      <x:c r="J5100" s="12" t="str">
        <x:v>IT &amp; digital</x:v>
      </x:c>
      <x:c r="K5100" s="2" t="str">
        <x:v>PARTNER-M261</x:v>
      </x:c>
    </x:row>
    <x:row r="5101" ht="46" customHeight="1">
      <x:c r="A5101" s="2" t="str">
        <x:v>TEN-58530B1CAB5C</x:v>
      </x:c>
      <x:c r="B5101" s="12" t="str">
        <x:v>Datart Infotech LLP</x:v>
      </x:c>
      <x:c r="C5101" s="12" t="str">
        <x:v>CORP-0679</x:v>
      </x:c>
      <x:c r="D5101" s="12" t="str">
        <x:v>Pune</x:v>
      </x:c>
      <x:c r="E5101" s="12" t="str">
        <x:v>Pentagon Towers</x:v>
      </x:c>
      <x:c r="F5101" s="12" t="str">
        <x:v>55 inch</x:v>
      </x:c>
      <x:c r="G5101" s="20" t="n">
        <x:v>1</x:v>
      </x:c>
      <x:c r="H5101" s="12" t="str">
        <x:v>Campus/portfolio roster; individual building occupancy unverified</x:v>
      </x:c>
      <x:c r="I5101" s="12" t="str">
        <x:v>Small-scale prospects</x:v>
      </x:c>
      <x:c r="J5101" s="12" t="str">
        <x:v>IT &amp; digital</x:v>
      </x:c>
      <x:c r="K5101" s="2" t="str">
        <x:v>PARTNER-M261</x:v>
      </x:c>
    </x:row>
    <x:row r="5102" ht="46" customHeight="1">
      <x:c r="A5102" s="2" t="str">
        <x:v>TEN-7AA45DEA8180</x:v>
      </x:c>
      <x:c r="B5102" s="12" t="str">
        <x:v>Honeywell Automation India Ltd</x:v>
      </x:c>
      <x:c r="C5102" s="12" t="str">
        <x:v>CORP-0679</x:v>
      </x:c>
      <x:c r="D5102" s="12" t="str">
        <x:v>Pune</x:v>
      </x:c>
      <x:c r="E5102" s="12" t="str">
        <x:v>Pentagon Towers</x:v>
      </x:c>
      <x:c r="F5102" s="12" t="str">
        <x:v>55 inch</x:v>
      </x:c>
      <x:c r="G5102" s="20" t="n">
        <x:v>1</x:v>
      </x:c>
      <x:c r="H5102" s="12" t="str">
        <x:v>Campus/portfolio roster; individual building occupancy unverified</x:v>
      </x:c>
      <x:c r="I5102" s="12" t="str">
        <x:v>Large enterprise</x:v>
      </x:c>
      <x:c r="J5102" s="12" t="str">
        <x:v>Engineering &amp; manufacturing</x:v>
      </x:c>
      <x:c r="K5102" s="2" t="str">
        <x:v>PARTNER-M261</x:v>
      </x:c>
    </x:row>
    <x:row r="5103" ht="46" customHeight="1">
      <x:c r="A5103" s="2" t="str">
        <x:v>TEN-8C7EAEEF1D2A</x:v>
      </x:c>
      <x:c r="B5103" s="12" t="str">
        <x:v>ITC Ltd</x:v>
      </x:c>
      <x:c r="C5103" s="12" t="str">
        <x:v>CORP-0679</x:v>
      </x:c>
      <x:c r="D5103" s="12" t="str">
        <x:v>Pune</x:v>
      </x:c>
      <x:c r="E5103" s="12" t="str">
        <x:v>Pentagon Towers</x:v>
      </x:c>
      <x:c r="F5103" s="12" t="str">
        <x:v>55 inch</x:v>
      </x:c>
      <x:c r="G5103" s="20" t="n">
        <x:v>1</x:v>
      </x:c>
      <x:c r="H5103" s="12" t="str">
        <x:v>Campus/portfolio roster; individual building occupancy unverified</x:v>
      </x:c>
      <x:c r="I5103" s="12" t="str">
        <x:v>Mixed business audience</x:v>
      </x:c>
      <x:c r="J5103" s="12" t="str">
        <x:v>Trade, consumer &amp; logistics</x:v>
      </x:c>
      <x:c r="K5103" s="2" t="str">
        <x:v>PARTNER-M261</x:v>
      </x:c>
    </x:row>
    <x:row r="5104" ht="46" customHeight="1">
      <x:c r="A5104" s="2" t="str">
        <x:v>TEN-943DC3AC657A</x:v>
      </x:c>
      <x:c r="B5104" s="12" t="str">
        <x:v>Collabera Technologies Pvt. Ltd</x:v>
      </x:c>
      <x:c r="C5104" s="12" t="str">
        <x:v>CORP-0679</x:v>
      </x:c>
      <x:c r="D5104" s="12" t="str">
        <x:v>Pune</x:v>
      </x:c>
      <x:c r="E5104" s="12" t="str">
        <x:v>Pentagon Towers</x:v>
      </x:c>
      <x:c r="F5104" s="12" t="str">
        <x:v>55 inch</x:v>
      </x:c>
      <x:c r="G5104" s="20" t="n">
        <x:v>1</x:v>
      </x:c>
      <x:c r="H5104" s="12" t="str">
        <x:v>Campus/portfolio roster; individual building occupancy unverified</x:v>
      </x:c>
      <x:c r="I5104" s="12" t="str">
        <x:v>Mixed business audience</x:v>
      </x:c>
      <x:c r="J5104" s="12" t="str">
        <x:v>Professional services</x:v>
      </x:c>
      <x:c r="K5104" s="2" t="str">
        <x:v>PARTNER-M261</x:v>
      </x:c>
    </x:row>
    <x:row r="5105" ht="46" customHeight="1">
      <x:c r="A5105" s="2" t="str">
        <x:v>TEN-B261335C03A3</x:v>
      </x:c>
      <x:c r="B5105" s="12" t="str">
        <x:v>Simplify Healthcare</x:v>
      </x:c>
      <x:c r="C5105" s="12" t="str">
        <x:v>CORP-0679</x:v>
      </x:c>
      <x:c r="D5105" s="12" t="str">
        <x:v>Pune</x:v>
      </x:c>
      <x:c r="E5105" s="12" t="str">
        <x:v>Pentagon Towers</x:v>
      </x:c>
      <x:c r="F5105" s="12" t="str">
        <x:v>55 inch</x:v>
      </x:c>
      <x:c r="G5105" s="20" t="n">
        <x:v>1</x:v>
      </x:c>
      <x:c r="H5105" s="12" t="str">
        <x:v>Campus/portfolio roster; individual building occupancy unverified</x:v>
      </x:c>
      <x:c r="I5105" s="12" t="str">
        <x:v>Small-scale prospects</x:v>
      </x:c>
      <x:c r="J5105" s="12" t="str">
        <x:v>Healthcare &amp; life sciences</x:v>
      </x:c>
      <x:c r="K5105" s="2" t="str">
        <x:v>PARTNER-M261</x:v>
      </x:c>
    </x:row>
    <x:row r="5106" ht="46" customHeight="1">
      <x:c r="A5106" s="2" t="str">
        <x:v>TEN-BC0E58C3E04D</x:v>
      </x:c>
      <x:c r="B5106" s="12" t="str">
        <x:v>Katalyst Technologies Inc</x:v>
      </x:c>
      <x:c r="C5106" s="12" t="str">
        <x:v>CORP-0679</x:v>
      </x:c>
      <x:c r="D5106" s="12" t="str">
        <x:v>Pune</x:v>
      </x:c>
      <x:c r="E5106" s="12" t="str">
        <x:v>Pentagon Towers</x:v>
      </x:c>
      <x:c r="F5106" s="12" t="str">
        <x:v>55 inch</x:v>
      </x:c>
      <x:c r="G5106" s="20" t="n">
        <x:v>1</x:v>
      </x:c>
      <x:c r="H5106" s="12" t="str">
        <x:v>Campus/portfolio roster; individual building occupancy unverified</x:v>
      </x:c>
      <x:c r="I5106" s="12" t="str">
        <x:v>Small-scale prospects</x:v>
      </x:c>
      <x:c r="J5106" s="12" t="str">
        <x:v>IT &amp; digital</x:v>
      </x:c>
      <x:c r="K5106" s="2" t="str">
        <x:v>PARTNER-M261</x:v>
      </x:c>
    </x:row>
    <x:row r="5107" ht="46" customHeight="1">
      <x:c r="A5107" s="2" t="str">
        <x:v>TEN-D9B515FBCE89</x:v>
      </x:c>
      <x:c r="B5107" s="12" t="str">
        <x:v>Testrig Technologies</x:v>
      </x:c>
      <x:c r="C5107" s="12" t="str">
        <x:v>CORP-0679</x:v>
      </x:c>
      <x:c r="D5107" s="12" t="str">
        <x:v>Pune</x:v>
      </x:c>
      <x:c r="E5107" s="12" t="str">
        <x:v>Pentagon Towers</x:v>
      </x:c>
      <x:c r="F5107" s="12" t="str">
        <x:v>55 inch</x:v>
      </x:c>
      <x:c r="G5107" s="20" t="n">
        <x:v>1</x:v>
      </x:c>
      <x:c r="H5107" s="12" t="str">
        <x:v>Campus/portfolio roster; individual building occupancy unverified</x:v>
      </x:c>
      <x:c r="I5107" s="12" t="str">
        <x:v>Small-scale prospects</x:v>
      </x:c>
      <x:c r="J5107" s="12" t="str">
        <x:v>IT &amp; digital</x:v>
      </x:c>
      <x:c r="K5107" s="2" t="str">
        <x:v>PARTNER-M261</x:v>
      </x:c>
    </x:row>
    <x:row r="5108" ht="46" customHeight="1">
      <x:c r="A5108" s="2" t="str">
        <x:v>TEN-EA1A932C99A1</x:v>
      </x:c>
      <x:c r="B5108" s="12" t="str">
        <x:v>Gagstek Solutions Private Limited</x:v>
      </x:c>
      <x:c r="C5108" s="12" t="str">
        <x:v>CORP-0679</x:v>
      </x:c>
      <x:c r="D5108" s="12" t="str">
        <x:v>Pune</x:v>
      </x:c>
      <x:c r="E5108" s="12" t="str">
        <x:v>Pentagon Towers</x:v>
      </x:c>
      <x:c r="F5108" s="12" t="str">
        <x:v>55 inch</x:v>
      </x:c>
      <x:c r="G5108" s="20" t="n">
        <x:v>1</x:v>
      </x:c>
      <x:c r="H5108" s="12" t="str">
        <x:v>Campus/portfolio roster; individual building occupancy unverified</x:v>
      </x:c>
      <x:c r="I5108" s="12" t="str">
        <x:v>Mixed business audience</x:v>
      </x:c>
      <x:c r="J5108" s="12" t="str">
        <x:v>Unresolved</x:v>
      </x:c>
      <x:c r="K5108" s="2" t="str">
        <x:v>PARTNER-M261</x:v>
      </x:c>
    </x:row>
    <x:row r="5109" ht="46" customHeight="1">
      <x:c r="A5109" s="2" t="str">
        <x:v>TEN-EB22DF2431C9</x:v>
      </x:c>
      <x:c r="B5109" s="12" t="str">
        <x:v>Knight Frank India Pvt Ltd</x:v>
      </x:c>
      <x:c r="C5109" s="12" t="str">
        <x:v>CORP-0679</x:v>
      </x:c>
      <x:c r="D5109" s="12" t="str">
        <x:v>Pune</x:v>
      </x:c>
      <x:c r="E5109" s="12" t="str">
        <x:v>Pentagon Towers</x:v>
      </x:c>
      <x:c r="F5109" s="12" t="str">
        <x:v>55 inch</x:v>
      </x:c>
      <x:c r="G5109" s="20" t="n">
        <x:v>1</x:v>
      </x:c>
      <x:c r="H5109" s="12" t="str">
        <x:v>Campus/portfolio roster; individual building occupancy unverified</x:v>
      </x:c>
      <x:c r="I5109" s="12" t="str">
        <x:v>Mixed business audience</x:v>
      </x:c>
      <x:c r="J5109" s="12" t="str">
        <x:v>Trade, consumer &amp; logistics</x:v>
      </x:c>
      <x:c r="K5109" s="2" t="str">
        <x:v>PARTNER-M261</x:v>
      </x:c>
    </x:row>
    <x:row r="5110" ht="46" customHeight="1">
      <x:c r="A5110" s="2" t="str">
        <x:v>TEN-FB0329803647</x:v>
      </x:c>
      <x:c r="B5110" s="12" t="str">
        <x:v>ALKYL AMINES CHEMICALS LTD MAGARPATTA</x:v>
      </x:c>
      <x:c r="C5110" s="12" t="str">
        <x:v>CORP-0679</x:v>
      </x:c>
      <x:c r="D5110" s="12" t="str">
        <x:v>Pune</x:v>
      </x:c>
      <x:c r="E5110" s="12" t="str">
        <x:v>Pentagon Towers</x:v>
      </x:c>
      <x:c r="F5110" s="12" t="str">
        <x:v>55 inch</x:v>
      </x:c>
      <x:c r="G5110" s="20" t="n">
        <x:v>1</x:v>
      </x:c>
      <x:c r="H5110" s="12" t="str">
        <x:v>Campus/portfolio roster; individual building occupancy unverified</x:v>
      </x:c>
      <x:c r="I5110" s="12" t="str">
        <x:v>Mixed business audience</x:v>
      </x:c>
      <x:c r="J5110" s="12" t="str">
        <x:v>Engineering &amp; manufacturing</x:v>
      </x:c>
      <x:c r="K5110" s="2" t="str">
        <x:v>PARTNER-M261</x:v>
      </x:c>
    </x:row>
    <x:row r="5111" ht="46" customHeight="1">
      <x:c r="A5111" s="2" t="str">
        <x:v>TEN-00C591B91416</x:v>
      </x:c>
      <x:c r="B5111" s="12" t="str">
        <x:v>PCS IT Solutions Private Limited</x:v>
      </x:c>
      <x:c r="C5111" s="12" t="str">
        <x:v>CORP-0680</x:v>
      </x:c>
      <x:c r="D5111" s="12" t="str">
        <x:v>Pune</x:v>
      </x:c>
      <x:c r="E5111" s="12" t="str">
        <x:v>Pentagon Towers</x:v>
      </x:c>
      <x:c r="F5111" s="12" t="str">
        <x:v>55 inch</x:v>
      </x:c>
      <x:c r="G5111" s="20" t="n">
        <x:v>1</x:v>
      </x:c>
      <x:c r="H5111" s="12" t="str">
        <x:v>Campus/portfolio roster; individual building occupancy unverified</x:v>
      </x:c>
      <x:c r="I5111" s="12" t="str">
        <x:v>Small-scale prospects</x:v>
      </x:c>
      <x:c r="J5111" s="12" t="str">
        <x:v>IT &amp; digital</x:v>
      </x:c>
      <x:c r="K5111" s="2" t="str">
        <x:v>PARTNER-M261</x:v>
      </x:c>
    </x:row>
    <x:row r="5112" ht="46" customHeight="1">
      <x:c r="A5112" s="2" t="str">
        <x:v>TEN-039E9F1061C0</x:v>
      </x:c>
      <x:c r="B5112" s="12" t="str">
        <x:v>Sanganaky Technology</x:v>
      </x:c>
      <x:c r="C5112" s="12" t="str">
        <x:v>CORP-0680</x:v>
      </x:c>
      <x:c r="D5112" s="12" t="str">
        <x:v>Pune</x:v>
      </x:c>
      <x:c r="E5112" s="12" t="str">
        <x:v>Pentagon Towers</x:v>
      </x:c>
      <x:c r="F5112" s="12" t="str">
        <x:v>55 inch</x:v>
      </x:c>
      <x:c r="G5112" s="20" t="n">
        <x:v>1</x:v>
      </x:c>
      <x:c r="H5112" s="12" t="str">
        <x:v>Campus/portfolio roster; individual building occupancy unverified</x:v>
      </x:c>
      <x:c r="I5112" s="12" t="str">
        <x:v>Mixed business audience</x:v>
      </x:c>
      <x:c r="J5112" s="12" t="str">
        <x:v>Unresolved</x:v>
      </x:c>
      <x:c r="K5112" s="2" t="str">
        <x:v>PARTNER-M261</x:v>
      </x:c>
    </x:row>
    <x:row r="5113" ht="46" customHeight="1">
      <x:c r="A5113" s="2" t="str">
        <x:v>TEN-054BC589EE9E</x:v>
      </x:c>
      <x:c r="B5113" s="12" t="str">
        <x:v>Spectraforce Technologies (India) Pvt. Ltd</x:v>
      </x:c>
      <x:c r="C5113" s="12" t="str">
        <x:v>CORP-0680</x:v>
      </x:c>
      <x:c r="D5113" s="12" t="str">
        <x:v>Pune</x:v>
      </x:c>
      <x:c r="E5113" s="12" t="str">
        <x:v>Pentagon Towers</x:v>
      </x:c>
      <x:c r="F5113" s="12" t="str">
        <x:v>55 inch</x:v>
      </x:c>
      <x:c r="G5113" s="20" t="n">
        <x:v>1</x:v>
      </x:c>
      <x:c r="H5113" s="12" t="str">
        <x:v>Campus/portfolio roster; individual building occupancy unverified</x:v>
      </x:c>
      <x:c r="I5113" s="12" t="str">
        <x:v>Mixed business audience</x:v>
      </x:c>
      <x:c r="J5113" s="12" t="str">
        <x:v>Professional services</x:v>
      </x:c>
      <x:c r="K5113" s="2" t="str">
        <x:v>PARTNER-M261</x:v>
      </x:c>
    </x:row>
    <x:row r="5114" ht="46" customHeight="1">
      <x:c r="A5114" s="2" t="str">
        <x:v>TEN-06B74412C407</x:v>
      </x:c>
      <x:c r="B5114" s="12" t="str">
        <x:v>Datafortune Software Solutions Pvt. Ltd</x:v>
      </x:c>
      <x:c r="C5114" s="12" t="str">
        <x:v>CORP-0680</x:v>
      </x:c>
      <x:c r="D5114" s="12" t="str">
        <x:v>Pune</x:v>
      </x:c>
      <x:c r="E5114" s="12" t="str">
        <x:v>Pentagon Towers</x:v>
      </x:c>
      <x:c r="F5114" s="12" t="str">
        <x:v>55 inch</x:v>
      </x:c>
      <x:c r="G5114" s="20" t="n">
        <x:v>1</x:v>
      </x:c>
      <x:c r="H5114" s="12" t="str">
        <x:v>Campus/portfolio roster; individual building occupancy unverified</x:v>
      </x:c>
      <x:c r="I5114" s="12" t="str">
        <x:v>Small-scale prospects</x:v>
      </x:c>
      <x:c r="J5114" s="12" t="str">
        <x:v>IT &amp; digital</x:v>
      </x:c>
      <x:c r="K5114" s="2" t="str">
        <x:v>PARTNER-M261</x:v>
      </x:c>
    </x:row>
    <x:row r="5115" ht="46" customHeight="1">
      <x:c r="A5115" s="2" t="str">
        <x:v>TEN-2CD498D73600</x:v>
      </x:c>
      <x:c r="B5115" s="12" t="str">
        <x:v>Neova Solutions</x:v>
      </x:c>
      <x:c r="C5115" s="12" t="str">
        <x:v>CORP-0680</x:v>
      </x:c>
      <x:c r="D5115" s="12" t="str">
        <x:v>Pune</x:v>
      </x:c>
      <x:c r="E5115" s="12" t="str">
        <x:v>Pentagon Towers</x:v>
      </x:c>
      <x:c r="F5115" s="12" t="str">
        <x:v>55 inch</x:v>
      </x:c>
      <x:c r="G5115" s="20" t="n">
        <x:v>1</x:v>
      </x:c>
      <x:c r="H5115" s="12" t="str">
        <x:v>Campus/portfolio roster; individual building occupancy unverified</x:v>
      </x:c>
      <x:c r="I5115" s="12" t="str">
        <x:v>Small-scale prospects</x:v>
      </x:c>
      <x:c r="J5115" s="12" t="str">
        <x:v>IT &amp; digital</x:v>
      </x:c>
      <x:c r="K5115" s="2" t="str">
        <x:v>PARTNER-M261</x:v>
      </x:c>
    </x:row>
    <x:row r="5116" ht="46" customHeight="1">
      <x:c r="A5116" s="2" t="str">
        <x:v>TEN-383935C4C9A2</x:v>
      </x:c>
      <x:c r="B5116" s="12" t="str">
        <x:v>Schreiber Dynamix Dairies Pvt Ltd</x:v>
      </x:c>
      <x:c r="C5116" s="12" t="str">
        <x:v>CORP-0680</x:v>
      </x:c>
      <x:c r="D5116" s="12" t="str">
        <x:v>Pune</x:v>
      </x:c>
      <x:c r="E5116" s="12" t="str">
        <x:v>Pentagon Towers</x:v>
      </x:c>
      <x:c r="F5116" s="12" t="str">
        <x:v>55 inch</x:v>
      </x:c>
      <x:c r="G5116" s="20" t="n">
        <x:v>1</x:v>
      </x:c>
      <x:c r="H5116" s="12" t="str">
        <x:v>Campus/portfolio roster; individual building occupancy unverified</x:v>
      </x:c>
      <x:c r="I5116" s="12" t="str">
        <x:v>Mixed business audience</x:v>
      </x:c>
      <x:c r="J5116" s="12" t="str">
        <x:v>Trade, consumer &amp; logistics</x:v>
      </x:c>
      <x:c r="K5116" s="2" t="str">
        <x:v>PARTNER-M261</x:v>
      </x:c>
    </x:row>
    <x:row r="5117" ht="46" customHeight="1">
      <x:c r="A5117" s="2" t="str">
        <x:v>TEN-52E2D5DE0876</x:v>
      </x:c>
      <x:c r="B5117" s="12" t="str">
        <x:v>Mobikode Software Private Limited</x:v>
      </x:c>
      <x:c r="C5117" s="12" t="str">
        <x:v>CORP-0680</x:v>
      </x:c>
      <x:c r="D5117" s="12" t="str">
        <x:v>Pune</x:v>
      </x:c>
      <x:c r="E5117" s="12" t="str">
        <x:v>Pentagon Towers</x:v>
      </x:c>
      <x:c r="F5117" s="12" t="str">
        <x:v>55 inch</x:v>
      </x:c>
      <x:c r="G5117" s="20" t="n">
        <x:v>1</x:v>
      </x:c>
      <x:c r="H5117" s="12" t="str">
        <x:v>Campus/portfolio roster; individual building occupancy unverified</x:v>
      </x:c>
      <x:c r="I5117" s="12" t="str">
        <x:v>Small-scale prospects</x:v>
      </x:c>
      <x:c r="J5117" s="12" t="str">
        <x:v>IT &amp; digital</x:v>
      </x:c>
      <x:c r="K5117" s="2" t="str">
        <x:v>PARTNER-M261</x:v>
      </x:c>
    </x:row>
    <x:row r="5118" ht="46" customHeight="1">
      <x:c r="A5118" s="2" t="str">
        <x:v>TEN-58530B1CAB5C</x:v>
      </x:c>
      <x:c r="B5118" s="12" t="str">
        <x:v>Datart Infotech LLP</x:v>
      </x:c>
      <x:c r="C5118" s="12" t="str">
        <x:v>CORP-0680</x:v>
      </x:c>
      <x:c r="D5118" s="12" t="str">
        <x:v>Pune</x:v>
      </x:c>
      <x:c r="E5118" s="12" t="str">
        <x:v>Pentagon Towers</x:v>
      </x:c>
      <x:c r="F5118" s="12" t="str">
        <x:v>55 inch</x:v>
      </x:c>
      <x:c r="G5118" s="20" t="n">
        <x:v>1</x:v>
      </x:c>
      <x:c r="H5118" s="12" t="str">
        <x:v>Campus/portfolio roster; individual building occupancy unverified</x:v>
      </x:c>
      <x:c r="I5118" s="12" t="str">
        <x:v>Small-scale prospects</x:v>
      </x:c>
      <x:c r="J5118" s="12" t="str">
        <x:v>IT &amp; digital</x:v>
      </x:c>
      <x:c r="K5118" s="2" t="str">
        <x:v>PARTNER-M261</x:v>
      </x:c>
    </x:row>
    <x:row r="5119" ht="46" customHeight="1">
      <x:c r="A5119" s="2" t="str">
        <x:v>TEN-7AA45DEA8180</x:v>
      </x:c>
      <x:c r="B5119" s="12" t="str">
        <x:v>Honeywell Automation India Ltd</x:v>
      </x:c>
      <x:c r="C5119" s="12" t="str">
        <x:v>CORP-0680</x:v>
      </x:c>
      <x:c r="D5119" s="12" t="str">
        <x:v>Pune</x:v>
      </x:c>
      <x:c r="E5119" s="12" t="str">
        <x:v>Pentagon Towers</x:v>
      </x:c>
      <x:c r="F5119" s="12" t="str">
        <x:v>55 inch</x:v>
      </x:c>
      <x:c r="G5119" s="20" t="n">
        <x:v>1</x:v>
      </x:c>
      <x:c r="H5119" s="12" t="str">
        <x:v>Campus/portfolio roster; individual building occupancy unverified</x:v>
      </x:c>
      <x:c r="I5119" s="12" t="str">
        <x:v>Large enterprise</x:v>
      </x:c>
      <x:c r="J5119" s="12" t="str">
        <x:v>Engineering &amp; manufacturing</x:v>
      </x:c>
      <x:c r="K5119" s="2" t="str">
        <x:v>PARTNER-M261</x:v>
      </x:c>
    </x:row>
    <x:row r="5120" ht="46" customHeight="1">
      <x:c r="A5120" s="2" t="str">
        <x:v>TEN-8C7EAEEF1D2A</x:v>
      </x:c>
      <x:c r="B5120" s="12" t="str">
        <x:v>ITC Ltd</x:v>
      </x:c>
      <x:c r="C5120" s="12" t="str">
        <x:v>CORP-0680</x:v>
      </x:c>
      <x:c r="D5120" s="12" t="str">
        <x:v>Pune</x:v>
      </x:c>
      <x:c r="E5120" s="12" t="str">
        <x:v>Pentagon Towers</x:v>
      </x:c>
      <x:c r="F5120" s="12" t="str">
        <x:v>55 inch</x:v>
      </x:c>
      <x:c r="G5120" s="20" t="n">
        <x:v>1</x:v>
      </x:c>
      <x:c r="H5120" s="12" t="str">
        <x:v>Campus/portfolio roster; individual building occupancy unverified</x:v>
      </x:c>
      <x:c r="I5120" s="12" t="str">
        <x:v>Mixed business audience</x:v>
      </x:c>
      <x:c r="J5120" s="12" t="str">
        <x:v>Trade, consumer &amp; logistics</x:v>
      </x:c>
      <x:c r="K5120" s="2" t="str">
        <x:v>PARTNER-M261</x:v>
      </x:c>
    </x:row>
    <x:row r="5121" ht="46" customHeight="1">
      <x:c r="A5121" s="2" t="str">
        <x:v>TEN-943DC3AC657A</x:v>
      </x:c>
      <x:c r="B5121" s="12" t="str">
        <x:v>Collabera Technologies Pvt. Ltd</x:v>
      </x:c>
      <x:c r="C5121" s="12" t="str">
        <x:v>CORP-0680</x:v>
      </x:c>
      <x:c r="D5121" s="12" t="str">
        <x:v>Pune</x:v>
      </x:c>
      <x:c r="E5121" s="12" t="str">
        <x:v>Pentagon Towers</x:v>
      </x:c>
      <x:c r="F5121" s="12" t="str">
        <x:v>55 inch</x:v>
      </x:c>
      <x:c r="G5121" s="20" t="n">
        <x:v>1</x:v>
      </x:c>
      <x:c r="H5121" s="12" t="str">
        <x:v>Campus/portfolio roster; individual building occupancy unverified</x:v>
      </x:c>
      <x:c r="I5121" s="12" t="str">
        <x:v>Mixed business audience</x:v>
      </x:c>
      <x:c r="J5121" s="12" t="str">
        <x:v>Professional services</x:v>
      </x:c>
      <x:c r="K5121" s="2" t="str">
        <x:v>PARTNER-M261</x:v>
      </x:c>
    </x:row>
    <x:row r="5122" ht="46" customHeight="1">
      <x:c r="A5122" s="2" t="str">
        <x:v>TEN-B261335C03A3</x:v>
      </x:c>
      <x:c r="B5122" s="12" t="str">
        <x:v>Simplify Healthcare</x:v>
      </x:c>
      <x:c r="C5122" s="12" t="str">
        <x:v>CORP-0680</x:v>
      </x:c>
      <x:c r="D5122" s="12" t="str">
        <x:v>Pune</x:v>
      </x:c>
      <x:c r="E5122" s="12" t="str">
        <x:v>Pentagon Towers</x:v>
      </x:c>
      <x:c r="F5122" s="12" t="str">
        <x:v>55 inch</x:v>
      </x:c>
      <x:c r="G5122" s="20" t="n">
        <x:v>1</x:v>
      </x:c>
      <x:c r="H5122" s="12" t="str">
        <x:v>Campus/portfolio roster; individual building occupancy unverified</x:v>
      </x:c>
      <x:c r="I5122" s="12" t="str">
        <x:v>Small-scale prospects</x:v>
      </x:c>
      <x:c r="J5122" s="12" t="str">
        <x:v>Healthcare &amp; life sciences</x:v>
      </x:c>
      <x:c r="K5122" s="2" t="str">
        <x:v>PARTNER-M261</x:v>
      </x:c>
    </x:row>
    <x:row r="5123" ht="46" customHeight="1">
      <x:c r="A5123" s="2" t="str">
        <x:v>TEN-BC0E58C3E04D</x:v>
      </x:c>
      <x:c r="B5123" s="12" t="str">
        <x:v>Katalyst Technologies Inc</x:v>
      </x:c>
      <x:c r="C5123" s="12" t="str">
        <x:v>CORP-0680</x:v>
      </x:c>
      <x:c r="D5123" s="12" t="str">
        <x:v>Pune</x:v>
      </x:c>
      <x:c r="E5123" s="12" t="str">
        <x:v>Pentagon Towers</x:v>
      </x:c>
      <x:c r="F5123" s="12" t="str">
        <x:v>55 inch</x:v>
      </x:c>
      <x:c r="G5123" s="20" t="n">
        <x:v>1</x:v>
      </x:c>
      <x:c r="H5123" s="12" t="str">
        <x:v>Campus/portfolio roster; individual building occupancy unverified</x:v>
      </x:c>
      <x:c r="I5123" s="12" t="str">
        <x:v>Small-scale prospects</x:v>
      </x:c>
      <x:c r="J5123" s="12" t="str">
        <x:v>IT &amp; digital</x:v>
      </x:c>
      <x:c r="K5123" s="2" t="str">
        <x:v>PARTNER-M261</x:v>
      </x:c>
    </x:row>
    <x:row r="5124" ht="46" customHeight="1">
      <x:c r="A5124" s="2" t="str">
        <x:v>TEN-D9B515FBCE89</x:v>
      </x:c>
      <x:c r="B5124" s="12" t="str">
        <x:v>Testrig Technologies</x:v>
      </x:c>
      <x:c r="C5124" s="12" t="str">
        <x:v>CORP-0680</x:v>
      </x:c>
      <x:c r="D5124" s="12" t="str">
        <x:v>Pune</x:v>
      </x:c>
      <x:c r="E5124" s="12" t="str">
        <x:v>Pentagon Towers</x:v>
      </x:c>
      <x:c r="F5124" s="12" t="str">
        <x:v>55 inch</x:v>
      </x:c>
      <x:c r="G5124" s="20" t="n">
        <x:v>1</x:v>
      </x:c>
      <x:c r="H5124" s="12" t="str">
        <x:v>Campus/portfolio roster; individual building occupancy unverified</x:v>
      </x:c>
      <x:c r="I5124" s="12" t="str">
        <x:v>Small-scale prospects</x:v>
      </x:c>
      <x:c r="J5124" s="12" t="str">
        <x:v>IT &amp; digital</x:v>
      </x:c>
      <x:c r="K5124" s="2" t="str">
        <x:v>PARTNER-M261</x:v>
      </x:c>
    </x:row>
    <x:row r="5125" ht="46" customHeight="1">
      <x:c r="A5125" s="2" t="str">
        <x:v>TEN-EA1A932C99A1</x:v>
      </x:c>
      <x:c r="B5125" s="12" t="str">
        <x:v>Gagstek Solutions Private Limited</x:v>
      </x:c>
      <x:c r="C5125" s="12" t="str">
        <x:v>CORP-0680</x:v>
      </x:c>
      <x:c r="D5125" s="12" t="str">
        <x:v>Pune</x:v>
      </x:c>
      <x:c r="E5125" s="12" t="str">
        <x:v>Pentagon Towers</x:v>
      </x:c>
      <x:c r="F5125" s="12" t="str">
        <x:v>55 inch</x:v>
      </x:c>
      <x:c r="G5125" s="20" t="n">
        <x:v>1</x:v>
      </x:c>
      <x:c r="H5125" s="12" t="str">
        <x:v>Campus/portfolio roster; individual building occupancy unverified</x:v>
      </x:c>
      <x:c r="I5125" s="12" t="str">
        <x:v>Mixed business audience</x:v>
      </x:c>
      <x:c r="J5125" s="12" t="str">
        <x:v>Unresolved</x:v>
      </x:c>
      <x:c r="K5125" s="2" t="str">
        <x:v>PARTNER-M261</x:v>
      </x:c>
    </x:row>
    <x:row r="5126" ht="46" customHeight="1">
      <x:c r="A5126" s="2" t="str">
        <x:v>TEN-EB22DF2431C9</x:v>
      </x:c>
      <x:c r="B5126" s="12" t="str">
        <x:v>Knight Frank India Pvt Ltd</x:v>
      </x:c>
      <x:c r="C5126" s="12" t="str">
        <x:v>CORP-0680</x:v>
      </x:c>
      <x:c r="D5126" s="12" t="str">
        <x:v>Pune</x:v>
      </x:c>
      <x:c r="E5126" s="12" t="str">
        <x:v>Pentagon Towers</x:v>
      </x:c>
      <x:c r="F5126" s="12" t="str">
        <x:v>55 inch</x:v>
      </x:c>
      <x:c r="G5126" s="20" t="n">
        <x:v>1</x:v>
      </x:c>
      <x:c r="H5126" s="12" t="str">
        <x:v>Campus/portfolio roster; individual building occupancy unverified</x:v>
      </x:c>
      <x:c r="I5126" s="12" t="str">
        <x:v>Mixed business audience</x:v>
      </x:c>
      <x:c r="J5126" s="12" t="str">
        <x:v>Trade, consumer &amp; logistics</x:v>
      </x:c>
      <x:c r="K5126" s="2" t="str">
        <x:v>PARTNER-M261</x:v>
      </x:c>
    </x:row>
    <x:row r="5127" ht="46" customHeight="1">
      <x:c r="A5127" s="2" t="str">
        <x:v>TEN-FB0329803647</x:v>
      </x:c>
      <x:c r="B5127" s="12" t="str">
        <x:v>ALKYL AMINES CHEMICALS LTD MAGARPATTA</x:v>
      </x:c>
      <x:c r="C5127" s="12" t="str">
        <x:v>CORP-0680</x:v>
      </x:c>
      <x:c r="D5127" s="12" t="str">
        <x:v>Pune</x:v>
      </x:c>
      <x:c r="E5127" s="12" t="str">
        <x:v>Pentagon Towers</x:v>
      </x:c>
      <x:c r="F5127" s="12" t="str">
        <x:v>55 inch</x:v>
      </x:c>
      <x:c r="G5127" s="20" t="n">
        <x:v>1</x:v>
      </x:c>
      <x:c r="H5127" s="12" t="str">
        <x:v>Campus/portfolio roster; individual building occupancy unverified</x:v>
      </x:c>
      <x:c r="I5127" s="12" t="str">
        <x:v>Mixed business audience</x:v>
      </x:c>
      <x:c r="J5127" s="12" t="str">
        <x:v>Engineering &amp; manufacturing</x:v>
      </x:c>
      <x:c r="K5127" s="2" t="str">
        <x:v>PARTNER-M261</x:v>
      </x:c>
    </x:row>
    <x:row r="5128" ht="46" customHeight="1">
      <x:c r="A5128" s="2" t="str">
        <x:v>TEN-098B8FDAE5BB</x:v>
      </x:c>
      <x:c r="B5128" s="12" t="str">
        <x:v>Impexsoft Solutions</x:v>
      </x:c>
      <x:c r="C5128" s="12" t="str">
        <x:v>CORP-0681</x:v>
      </x:c>
      <x:c r="D5128" s="12" t="str">
        <x:v>Pune</x:v>
      </x:c>
      <x:c r="E5128" s="12" t="str">
        <x:v>Symphony IT Park</x:v>
      </x:c>
      <x:c r="F5128" s="12" t="str">
        <x:v>55 inch</x:v>
      </x:c>
      <x:c r="G5128" s="20" t="n">
        <x:v>1</x:v>
      </x:c>
      <x:c r="H5128" s="12" t="str">
        <x:v>Campus/portfolio roster; individual building occupancy unverified</x:v>
      </x:c>
      <x:c r="I5128" s="12" t="str">
        <x:v>Small-scale prospects</x:v>
      </x:c>
      <x:c r="J5128" s="12" t="str">
        <x:v>IT &amp; digital</x:v>
      </x:c>
      <x:c r="K5128" s="2" t="str">
        <x:v>PARTNER-M265</x:v>
      </x:c>
    </x:row>
    <x:row r="5129" ht="46" customHeight="1">
      <x:c r="A5129" s="2" t="str">
        <x:v>TEN-126A3A0D11EC</x:v>
      </x:c>
      <x:c r="B5129" s="12" t="str">
        <x:v>TopMentor</x:v>
      </x:c>
      <x:c r="C5129" s="12" t="str">
        <x:v>CORP-0681</x:v>
      </x:c>
      <x:c r="D5129" s="12" t="str">
        <x:v>Pune</x:v>
      </x:c>
      <x:c r="E5129" s="12" t="str">
        <x:v>Symphony IT Park</x:v>
      </x:c>
      <x:c r="F5129" s="12" t="str">
        <x:v>55 inch</x:v>
      </x:c>
      <x:c r="G5129" s="20" t="n">
        <x:v>1</x:v>
      </x:c>
      <x:c r="H5129" s="12" t="str">
        <x:v>Campus/portfolio roster; individual building occupancy unverified</x:v>
      </x:c>
      <x:c r="I5129" s="12" t="str">
        <x:v>Small-scale prospects</x:v>
      </x:c>
      <x:c r="J5129" s="12" t="str">
        <x:v>Education</x:v>
      </x:c>
      <x:c r="K5129" s="2" t="str">
        <x:v>PARTNER-M265</x:v>
      </x:c>
    </x:row>
    <x:row r="5130" ht="46" customHeight="1">
      <x:c r="A5130" s="2" t="str">
        <x:v>TEN-519CA13DFB10</x:v>
      </x:c>
      <x:c r="B5130" s="12" t="str">
        <x:v>PTD Cleantech Solutions Pvt. Ltd</x:v>
      </x:c>
      <x:c r="C5130" s="12" t="str">
        <x:v>CORP-0681</x:v>
      </x:c>
      <x:c r="D5130" s="12" t="str">
        <x:v>Pune</x:v>
      </x:c>
      <x:c r="E5130" s="12" t="str">
        <x:v>Symphony IT Park</x:v>
      </x:c>
      <x:c r="F5130" s="12" t="str">
        <x:v>55 inch</x:v>
      </x:c>
      <x:c r="G5130" s="20" t="n">
        <x:v>1</x:v>
      </x:c>
      <x:c r="H5130" s="12" t="str">
        <x:v>Campus/portfolio roster; individual building occupancy unverified</x:v>
      </x:c>
      <x:c r="I5130" s="12" t="str">
        <x:v>Medium-scale prospects</x:v>
      </x:c>
      <x:c r="J5130" s="12" t="str">
        <x:v>Engineering &amp; manufacturing</x:v>
      </x:c>
      <x:c r="K5130" s="2" t="str">
        <x:v>PARTNER-M265</x:v>
      </x:c>
    </x:row>
    <x:row r="5131" ht="46" customHeight="1">
      <x:c r="A5131" s="2" t="str">
        <x:v>TEN-6BE3112897E4</x:v>
      </x:c>
      <x:c r="B5131" s="12" t="str">
        <x:v>Edel Tech Pvt. Ltd (SAP descriptor)</x:v>
      </x:c>
      <x:c r="C5131" s="12" t="str">
        <x:v>CORP-0681</x:v>
      </x:c>
      <x:c r="D5131" s="12" t="str">
        <x:v>Pune</x:v>
      </x:c>
      <x:c r="E5131" s="12" t="str">
        <x:v>Symphony IT Park</x:v>
      </x:c>
      <x:c r="F5131" s="12" t="str">
        <x:v>55 inch</x:v>
      </x:c>
      <x:c r="G5131" s="20" t="n">
        <x:v>1</x:v>
      </x:c>
      <x:c r="H5131" s="12" t="str">
        <x:v>Campus/portfolio roster; individual building occupancy unverified</x:v>
      </x:c>
      <x:c r="I5131" s="12" t="str">
        <x:v>Small-scale prospects</x:v>
      </x:c>
      <x:c r="J5131" s="12" t="str">
        <x:v>IT &amp; digital</x:v>
      </x:c>
      <x:c r="K5131" s="2" t="str">
        <x:v>PARTNER-M265</x:v>
      </x:c>
    </x:row>
    <x:row r="5132" ht="46" customHeight="1">
      <x:c r="A5132" s="2" t="str">
        <x:v>TEN-77F50C34503B</x:v>
      </x:c>
      <x:c r="B5132" s="12" t="str">
        <x:v>Investstocks</x:v>
      </x:c>
      <x:c r="C5132" s="12" t="str">
        <x:v>CORP-0681</x:v>
      </x:c>
      <x:c r="D5132" s="12" t="str">
        <x:v>Pune</x:v>
      </x:c>
      <x:c r="E5132" s="12" t="str">
        <x:v>Symphony IT Park</x:v>
      </x:c>
      <x:c r="F5132" s="12" t="str">
        <x:v>55 inch</x:v>
      </x:c>
      <x:c r="G5132" s="20" t="n">
        <x:v>1</x:v>
      </x:c>
      <x:c r="H5132" s="12" t="str">
        <x:v>Campus/portfolio roster; individual building occupancy unverified</x:v>
      </x:c>
      <x:c r="I5132" s="12" t="str">
        <x:v>Medium-scale prospects</x:v>
      </x:c>
      <x:c r="J5132" s="12" t="str">
        <x:v>Finance &amp; insurance</x:v>
      </x:c>
      <x:c r="K5132" s="2" t="str">
        <x:v>PARTNER-M265</x:v>
      </x:c>
    </x:row>
    <x:row r="5133" ht="46" customHeight="1">
      <x:c r="A5133" s="2" t="str">
        <x:v>TEN-888DA7433392</x:v>
      </x:c>
      <x:c r="B5133" s="12" t="str">
        <x:v>Toll Technology Centre</x:v>
      </x:c>
      <x:c r="C5133" s="12" t="str">
        <x:v>CORP-0681</x:v>
      </x:c>
      <x:c r="D5133" s="12" t="str">
        <x:v>Pune</x:v>
      </x:c>
      <x:c r="E5133" s="12" t="str">
        <x:v>Symphony IT Park</x:v>
      </x:c>
      <x:c r="F5133" s="12" t="str">
        <x:v>55 inch</x:v>
      </x:c>
      <x:c r="G5133" s="20" t="n">
        <x:v>1</x:v>
      </x:c>
      <x:c r="H5133" s="12" t="str">
        <x:v>Campus/portfolio roster; individual building occupancy unverified</x:v>
      </x:c>
      <x:c r="I5133" s="12" t="str">
        <x:v>Mixed business audience</x:v>
      </x:c>
      <x:c r="J5133" s="12" t="str">
        <x:v>IT &amp; digital</x:v>
      </x:c>
      <x:c r="K5133" s="2" t="str">
        <x:v>PARTNER-M265</x:v>
      </x:c>
    </x:row>
    <x:row r="5134" ht="46" customHeight="1">
      <x:c r="A5134" s="2" t="str">
        <x:v>TEN-BE5131973D4C</x:v>
      </x:c>
      <x:c r="B5134" s="12" t="str">
        <x:v>FIGmd (India) Pvt. Ltd</x:v>
      </x:c>
      <x:c r="C5134" s="12" t="str">
        <x:v>CORP-0681</x:v>
      </x:c>
      <x:c r="D5134" s="12" t="str">
        <x:v>Pune</x:v>
      </x:c>
      <x:c r="E5134" s="12" t="str">
        <x:v>Symphony IT Park</x:v>
      </x:c>
      <x:c r="F5134" s="12" t="str">
        <x:v>55 inch</x:v>
      </x:c>
      <x:c r="G5134" s="20" t="n">
        <x:v>1</x:v>
      </x:c>
      <x:c r="H5134" s="12" t="str">
        <x:v>Campus/portfolio roster; individual building occupancy unverified</x:v>
      </x:c>
      <x:c r="I5134" s="12" t="str">
        <x:v>Mixed business audience</x:v>
      </x:c>
      <x:c r="J5134" s="12" t="str">
        <x:v>IT &amp; digital</x:v>
      </x:c>
      <x:c r="K5134" s="2" t="str">
        <x:v>PARTNER-M265</x:v>
      </x:c>
    </x:row>
    <x:row r="5135" ht="46" customHeight="1">
      <x:c r="A5135" s="2" t="str">
        <x:v>TEN-DE58C1C49DEE</x:v>
      </x:c>
      <x:c r="B5135" s="12" t="str">
        <x:v>Infinite Science Technologies</x:v>
      </x:c>
      <x:c r="C5135" s="12" t="str">
        <x:v>CORP-0681</x:v>
      </x:c>
      <x:c r="D5135" s="12" t="str">
        <x:v>Pune</x:v>
      </x:c>
      <x:c r="E5135" s="12" t="str">
        <x:v>Symphony IT Park</x:v>
      </x:c>
      <x:c r="F5135" s="12" t="str">
        <x:v>55 inch</x:v>
      </x:c>
      <x:c r="G5135" s="20" t="n">
        <x:v>1</x:v>
      </x:c>
      <x:c r="H5135" s="12" t="str">
        <x:v>Campus/portfolio roster; individual building occupancy unverified</x:v>
      </x:c>
      <x:c r="I5135" s="12" t="str">
        <x:v>Mixed business audience</x:v>
      </x:c>
      <x:c r="J5135" s="12" t="str">
        <x:v>Unresolved</x:v>
      </x:c>
      <x:c r="K5135" s="2" t="str">
        <x:v>PARTNER-M265</x:v>
      </x:c>
    </x:row>
    <x:row r="5136" ht="46" customHeight="1">
      <x:c r="A5136" s="2" t="str">
        <x:v>TEN-F2DEC5F8736B</x:v>
      </x:c>
      <x:c r="B5136" s="12" t="str">
        <x:v>PrimaVerse IDC LLP</x:v>
      </x:c>
      <x:c r="C5136" s="12" t="str">
        <x:v>CORP-0681</x:v>
      </x:c>
      <x:c r="D5136" s="12" t="str">
        <x:v>Pune</x:v>
      </x:c>
      <x:c r="E5136" s="12" t="str">
        <x:v>Symphony IT Park</x:v>
      </x:c>
      <x:c r="F5136" s="12" t="str">
        <x:v>55 inch</x:v>
      </x:c>
      <x:c r="G5136" s="20" t="n">
        <x:v>1</x:v>
      </x:c>
      <x:c r="H5136" s="12" t="str">
        <x:v>Campus/portfolio roster; individual building occupancy unverified</x:v>
      </x:c>
      <x:c r="I5136" s="12" t="str">
        <x:v>Mixed business audience</x:v>
      </x:c>
      <x:c r="J5136" s="12" t="str">
        <x:v>Unresolved</x:v>
      </x:c>
      <x:c r="K5136" s="2" t="str">
        <x:v>PARTNER-M265</x:v>
      </x:c>
    </x:row>
    <x:row r="5137" ht="46" customHeight="1">
      <x:c r="A5137" s="2" t="str">
        <x:v>TEN-098B8FDAE5BB</x:v>
      </x:c>
      <x:c r="B5137" s="12" t="str">
        <x:v>Impexsoft Solutions</x:v>
      </x:c>
      <x:c r="C5137" s="12" t="str">
        <x:v>CORP-0682</x:v>
      </x:c>
      <x:c r="D5137" s="12" t="str">
        <x:v>Pune</x:v>
      </x:c>
      <x:c r="E5137" s="12" t="str">
        <x:v>Symphony IT Park</x:v>
      </x:c>
      <x:c r="F5137" s="12" t="str">
        <x:v>55 inch</x:v>
      </x:c>
      <x:c r="G5137" s="20" t="n">
        <x:v>1</x:v>
      </x:c>
      <x:c r="H5137" s="12" t="str">
        <x:v>Campus/portfolio roster; individual building occupancy unverified</x:v>
      </x:c>
      <x:c r="I5137" s="12" t="str">
        <x:v>Small-scale prospects</x:v>
      </x:c>
      <x:c r="J5137" s="12" t="str">
        <x:v>IT &amp; digital</x:v>
      </x:c>
      <x:c r="K5137" s="2" t="str">
        <x:v>PARTNER-M265</x:v>
      </x:c>
    </x:row>
    <x:row r="5138" ht="46" customHeight="1">
      <x:c r="A5138" s="2" t="str">
        <x:v>TEN-126A3A0D11EC</x:v>
      </x:c>
      <x:c r="B5138" s="12" t="str">
        <x:v>TopMentor</x:v>
      </x:c>
      <x:c r="C5138" s="12" t="str">
        <x:v>CORP-0682</x:v>
      </x:c>
      <x:c r="D5138" s="12" t="str">
        <x:v>Pune</x:v>
      </x:c>
      <x:c r="E5138" s="12" t="str">
        <x:v>Symphony IT Park</x:v>
      </x:c>
      <x:c r="F5138" s="12" t="str">
        <x:v>55 inch</x:v>
      </x:c>
      <x:c r="G5138" s="20" t="n">
        <x:v>1</x:v>
      </x:c>
      <x:c r="H5138" s="12" t="str">
        <x:v>Campus/portfolio roster; individual building occupancy unverified</x:v>
      </x:c>
      <x:c r="I5138" s="12" t="str">
        <x:v>Small-scale prospects</x:v>
      </x:c>
      <x:c r="J5138" s="12" t="str">
        <x:v>Education</x:v>
      </x:c>
      <x:c r="K5138" s="2" t="str">
        <x:v>PARTNER-M265</x:v>
      </x:c>
    </x:row>
    <x:row r="5139" ht="46" customHeight="1">
      <x:c r="A5139" s="2" t="str">
        <x:v>TEN-519CA13DFB10</x:v>
      </x:c>
      <x:c r="B5139" s="12" t="str">
        <x:v>PTD Cleantech Solutions Pvt. Ltd</x:v>
      </x:c>
      <x:c r="C5139" s="12" t="str">
        <x:v>CORP-0682</x:v>
      </x:c>
      <x:c r="D5139" s="12" t="str">
        <x:v>Pune</x:v>
      </x:c>
      <x:c r="E5139" s="12" t="str">
        <x:v>Symphony IT Park</x:v>
      </x:c>
      <x:c r="F5139" s="12" t="str">
        <x:v>55 inch</x:v>
      </x:c>
      <x:c r="G5139" s="20" t="n">
        <x:v>1</x:v>
      </x:c>
      <x:c r="H5139" s="12" t="str">
        <x:v>Campus/portfolio roster; individual building occupancy unverified</x:v>
      </x:c>
      <x:c r="I5139" s="12" t="str">
        <x:v>Medium-scale prospects</x:v>
      </x:c>
      <x:c r="J5139" s="12" t="str">
        <x:v>Engineering &amp; manufacturing</x:v>
      </x:c>
      <x:c r="K5139" s="2" t="str">
        <x:v>PARTNER-M265</x:v>
      </x:c>
    </x:row>
    <x:row r="5140" ht="46" customHeight="1">
      <x:c r="A5140" s="2" t="str">
        <x:v>TEN-6BE3112897E4</x:v>
      </x:c>
      <x:c r="B5140" s="12" t="str">
        <x:v>Edel Tech Pvt. Ltd (SAP descriptor)</x:v>
      </x:c>
      <x:c r="C5140" s="12" t="str">
        <x:v>CORP-0682</x:v>
      </x:c>
      <x:c r="D5140" s="12" t="str">
        <x:v>Pune</x:v>
      </x:c>
      <x:c r="E5140" s="12" t="str">
        <x:v>Symphony IT Park</x:v>
      </x:c>
      <x:c r="F5140" s="12" t="str">
        <x:v>55 inch</x:v>
      </x:c>
      <x:c r="G5140" s="20" t="n">
        <x:v>1</x:v>
      </x:c>
      <x:c r="H5140" s="12" t="str">
        <x:v>Campus/portfolio roster; individual building occupancy unverified</x:v>
      </x:c>
      <x:c r="I5140" s="12" t="str">
        <x:v>Small-scale prospects</x:v>
      </x:c>
      <x:c r="J5140" s="12" t="str">
        <x:v>IT &amp; digital</x:v>
      </x:c>
      <x:c r="K5140" s="2" t="str">
        <x:v>PARTNER-M265</x:v>
      </x:c>
    </x:row>
    <x:row r="5141" ht="46" customHeight="1">
      <x:c r="A5141" s="2" t="str">
        <x:v>TEN-77F50C34503B</x:v>
      </x:c>
      <x:c r="B5141" s="12" t="str">
        <x:v>Investstocks</x:v>
      </x:c>
      <x:c r="C5141" s="12" t="str">
        <x:v>CORP-0682</x:v>
      </x:c>
      <x:c r="D5141" s="12" t="str">
        <x:v>Pune</x:v>
      </x:c>
      <x:c r="E5141" s="12" t="str">
        <x:v>Symphony IT Park</x:v>
      </x:c>
      <x:c r="F5141" s="12" t="str">
        <x:v>55 inch</x:v>
      </x:c>
      <x:c r="G5141" s="20" t="n">
        <x:v>1</x:v>
      </x:c>
      <x:c r="H5141" s="12" t="str">
        <x:v>Campus/portfolio roster; individual building occupancy unverified</x:v>
      </x:c>
      <x:c r="I5141" s="12" t="str">
        <x:v>Medium-scale prospects</x:v>
      </x:c>
      <x:c r="J5141" s="12" t="str">
        <x:v>Finance &amp; insurance</x:v>
      </x:c>
      <x:c r="K5141" s="2" t="str">
        <x:v>PARTNER-M265</x:v>
      </x:c>
    </x:row>
    <x:row r="5142" ht="46" customHeight="1">
      <x:c r="A5142" s="2" t="str">
        <x:v>TEN-888DA7433392</x:v>
      </x:c>
      <x:c r="B5142" s="12" t="str">
        <x:v>Toll Technology Centre</x:v>
      </x:c>
      <x:c r="C5142" s="12" t="str">
        <x:v>CORP-0682</x:v>
      </x:c>
      <x:c r="D5142" s="12" t="str">
        <x:v>Pune</x:v>
      </x:c>
      <x:c r="E5142" s="12" t="str">
        <x:v>Symphony IT Park</x:v>
      </x:c>
      <x:c r="F5142" s="12" t="str">
        <x:v>55 inch</x:v>
      </x:c>
      <x:c r="G5142" s="20" t="n">
        <x:v>1</x:v>
      </x:c>
      <x:c r="H5142" s="12" t="str">
        <x:v>Campus/portfolio roster; individual building occupancy unverified</x:v>
      </x:c>
      <x:c r="I5142" s="12" t="str">
        <x:v>Mixed business audience</x:v>
      </x:c>
      <x:c r="J5142" s="12" t="str">
        <x:v>IT &amp; digital</x:v>
      </x:c>
      <x:c r="K5142" s="2" t="str">
        <x:v>PARTNER-M265</x:v>
      </x:c>
    </x:row>
    <x:row r="5143" ht="46" customHeight="1">
      <x:c r="A5143" s="2" t="str">
        <x:v>TEN-BE5131973D4C</x:v>
      </x:c>
      <x:c r="B5143" s="12" t="str">
        <x:v>FIGmd (India) Pvt. Ltd</x:v>
      </x:c>
      <x:c r="C5143" s="12" t="str">
        <x:v>CORP-0682</x:v>
      </x:c>
      <x:c r="D5143" s="12" t="str">
        <x:v>Pune</x:v>
      </x:c>
      <x:c r="E5143" s="12" t="str">
        <x:v>Symphony IT Park</x:v>
      </x:c>
      <x:c r="F5143" s="12" t="str">
        <x:v>55 inch</x:v>
      </x:c>
      <x:c r="G5143" s="20" t="n">
        <x:v>1</x:v>
      </x:c>
      <x:c r="H5143" s="12" t="str">
        <x:v>Campus/portfolio roster; individual building occupancy unverified</x:v>
      </x:c>
      <x:c r="I5143" s="12" t="str">
        <x:v>Mixed business audience</x:v>
      </x:c>
      <x:c r="J5143" s="12" t="str">
        <x:v>IT &amp; digital</x:v>
      </x:c>
      <x:c r="K5143" s="2" t="str">
        <x:v>PARTNER-M265</x:v>
      </x:c>
    </x:row>
    <x:row r="5144" ht="46" customHeight="1">
      <x:c r="A5144" s="2" t="str">
        <x:v>TEN-DE58C1C49DEE</x:v>
      </x:c>
      <x:c r="B5144" s="12" t="str">
        <x:v>Infinite Science Technologies</x:v>
      </x:c>
      <x:c r="C5144" s="12" t="str">
        <x:v>CORP-0682</x:v>
      </x:c>
      <x:c r="D5144" s="12" t="str">
        <x:v>Pune</x:v>
      </x:c>
      <x:c r="E5144" s="12" t="str">
        <x:v>Symphony IT Park</x:v>
      </x:c>
      <x:c r="F5144" s="12" t="str">
        <x:v>55 inch</x:v>
      </x:c>
      <x:c r="G5144" s="20" t="n">
        <x:v>1</x:v>
      </x:c>
      <x:c r="H5144" s="12" t="str">
        <x:v>Campus/portfolio roster; individual building occupancy unverified</x:v>
      </x:c>
      <x:c r="I5144" s="12" t="str">
        <x:v>Mixed business audience</x:v>
      </x:c>
      <x:c r="J5144" s="12" t="str">
        <x:v>Unresolved</x:v>
      </x:c>
      <x:c r="K5144" s="2" t="str">
        <x:v>PARTNER-M265</x:v>
      </x:c>
    </x:row>
    <x:row r="5145" ht="46" customHeight="1">
      <x:c r="A5145" s="2" t="str">
        <x:v>TEN-F2DEC5F8736B</x:v>
      </x:c>
      <x:c r="B5145" s="12" t="str">
        <x:v>PrimaVerse IDC LLP</x:v>
      </x:c>
      <x:c r="C5145" s="12" t="str">
        <x:v>CORP-0682</x:v>
      </x:c>
      <x:c r="D5145" s="12" t="str">
        <x:v>Pune</x:v>
      </x:c>
      <x:c r="E5145" s="12" t="str">
        <x:v>Symphony IT Park</x:v>
      </x:c>
      <x:c r="F5145" s="12" t="str">
        <x:v>55 inch</x:v>
      </x:c>
      <x:c r="G5145" s="20" t="n">
        <x:v>1</x:v>
      </x:c>
      <x:c r="H5145" s="12" t="str">
        <x:v>Campus/portfolio roster; individual building occupancy unverified</x:v>
      </x:c>
      <x:c r="I5145" s="12" t="str">
        <x:v>Mixed business audience</x:v>
      </x:c>
      <x:c r="J5145" s="12" t="str">
        <x:v>Unresolved</x:v>
      </x:c>
      <x:c r="K5145" s="2" t="str">
        <x:v>PARTNER-M265</x:v>
      </x:c>
    </x:row>
    <x:row r="5146" ht="46" customHeight="1">
      <x:c r="A5146" s="2" t="str">
        <x:v>TEN-098B8FDAE5BB</x:v>
      </x:c>
      <x:c r="B5146" s="12" t="str">
        <x:v>Impexsoft Solutions</x:v>
      </x:c>
      <x:c r="C5146" s="12" t="str">
        <x:v>CORP-0683</x:v>
      </x:c>
      <x:c r="D5146" s="12" t="str">
        <x:v>Pune</x:v>
      </x:c>
      <x:c r="E5146" s="12" t="str">
        <x:v>Symphony IT Park</x:v>
      </x:c>
      <x:c r="F5146" s="12" t="str">
        <x:v>55 inch</x:v>
      </x:c>
      <x:c r="G5146" s="20" t="n">
        <x:v>1</x:v>
      </x:c>
      <x:c r="H5146" s="12" t="str">
        <x:v>Campus/portfolio roster; individual building occupancy unverified</x:v>
      </x:c>
      <x:c r="I5146" s="12" t="str">
        <x:v>Small-scale prospects</x:v>
      </x:c>
      <x:c r="J5146" s="12" t="str">
        <x:v>IT &amp; digital</x:v>
      </x:c>
      <x:c r="K5146" s="2" t="str">
        <x:v>PARTNER-M265</x:v>
      </x:c>
    </x:row>
    <x:row r="5147" ht="46" customHeight="1">
      <x:c r="A5147" s="2" t="str">
        <x:v>TEN-126A3A0D11EC</x:v>
      </x:c>
      <x:c r="B5147" s="12" t="str">
        <x:v>TopMentor</x:v>
      </x:c>
      <x:c r="C5147" s="12" t="str">
        <x:v>CORP-0683</x:v>
      </x:c>
      <x:c r="D5147" s="12" t="str">
        <x:v>Pune</x:v>
      </x:c>
      <x:c r="E5147" s="12" t="str">
        <x:v>Symphony IT Park</x:v>
      </x:c>
      <x:c r="F5147" s="12" t="str">
        <x:v>55 inch</x:v>
      </x:c>
      <x:c r="G5147" s="20" t="n">
        <x:v>1</x:v>
      </x:c>
      <x:c r="H5147" s="12" t="str">
        <x:v>Campus/portfolio roster; individual building occupancy unverified</x:v>
      </x:c>
      <x:c r="I5147" s="12" t="str">
        <x:v>Small-scale prospects</x:v>
      </x:c>
      <x:c r="J5147" s="12" t="str">
        <x:v>Education</x:v>
      </x:c>
      <x:c r="K5147" s="2" t="str">
        <x:v>PARTNER-M265</x:v>
      </x:c>
    </x:row>
    <x:row r="5148" ht="46" customHeight="1">
      <x:c r="A5148" s="2" t="str">
        <x:v>TEN-519CA13DFB10</x:v>
      </x:c>
      <x:c r="B5148" s="12" t="str">
        <x:v>PTD Cleantech Solutions Pvt. Ltd</x:v>
      </x:c>
      <x:c r="C5148" s="12" t="str">
        <x:v>CORP-0683</x:v>
      </x:c>
      <x:c r="D5148" s="12" t="str">
        <x:v>Pune</x:v>
      </x:c>
      <x:c r="E5148" s="12" t="str">
        <x:v>Symphony IT Park</x:v>
      </x:c>
      <x:c r="F5148" s="12" t="str">
        <x:v>55 inch</x:v>
      </x:c>
      <x:c r="G5148" s="20" t="n">
        <x:v>1</x:v>
      </x:c>
      <x:c r="H5148" s="12" t="str">
        <x:v>Campus/portfolio roster; individual building occupancy unverified</x:v>
      </x:c>
      <x:c r="I5148" s="12" t="str">
        <x:v>Medium-scale prospects</x:v>
      </x:c>
      <x:c r="J5148" s="12" t="str">
        <x:v>Engineering &amp; manufacturing</x:v>
      </x:c>
      <x:c r="K5148" s="2" t="str">
        <x:v>PARTNER-M265</x:v>
      </x:c>
    </x:row>
    <x:row r="5149" ht="46" customHeight="1">
      <x:c r="A5149" s="2" t="str">
        <x:v>TEN-6BE3112897E4</x:v>
      </x:c>
      <x:c r="B5149" s="12" t="str">
        <x:v>Edel Tech Pvt. Ltd (SAP descriptor)</x:v>
      </x:c>
      <x:c r="C5149" s="12" t="str">
        <x:v>CORP-0683</x:v>
      </x:c>
      <x:c r="D5149" s="12" t="str">
        <x:v>Pune</x:v>
      </x:c>
      <x:c r="E5149" s="12" t="str">
        <x:v>Symphony IT Park</x:v>
      </x:c>
      <x:c r="F5149" s="12" t="str">
        <x:v>55 inch</x:v>
      </x:c>
      <x:c r="G5149" s="20" t="n">
        <x:v>1</x:v>
      </x:c>
      <x:c r="H5149" s="12" t="str">
        <x:v>Campus/portfolio roster; individual building occupancy unverified</x:v>
      </x:c>
      <x:c r="I5149" s="12" t="str">
        <x:v>Small-scale prospects</x:v>
      </x:c>
      <x:c r="J5149" s="12" t="str">
        <x:v>IT &amp; digital</x:v>
      </x:c>
      <x:c r="K5149" s="2" t="str">
        <x:v>PARTNER-M265</x:v>
      </x:c>
    </x:row>
    <x:row r="5150" ht="46" customHeight="1">
      <x:c r="A5150" s="2" t="str">
        <x:v>TEN-77F50C34503B</x:v>
      </x:c>
      <x:c r="B5150" s="12" t="str">
        <x:v>Investstocks</x:v>
      </x:c>
      <x:c r="C5150" s="12" t="str">
        <x:v>CORP-0683</x:v>
      </x:c>
      <x:c r="D5150" s="12" t="str">
        <x:v>Pune</x:v>
      </x:c>
      <x:c r="E5150" s="12" t="str">
        <x:v>Symphony IT Park</x:v>
      </x:c>
      <x:c r="F5150" s="12" t="str">
        <x:v>55 inch</x:v>
      </x:c>
      <x:c r="G5150" s="20" t="n">
        <x:v>1</x:v>
      </x:c>
      <x:c r="H5150" s="12" t="str">
        <x:v>Campus/portfolio roster; individual building occupancy unverified</x:v>
      </x:c>
      <x:c r="I5150" s="12" t="str">
        <x:v>Medium-scale prospects</x:v>
      </x:c>
      <x:c r="J5150" s="12" t="str">
        <x:v>Finance &amp; insurance</x:v>
      </x:c>
      <x:c r="K5150" s="2" t="str">
        <x:v>PARTNER-M265</x:v>
      </x:c>
    </x:row>
    <x:row r="5151" ht="46" customHeight="1">
      <x:c r="A5151" s="2" t="str">
        <x:v>TEN-888DA7433392</x:v>
      </x:c>
      <x:c r="B5151" s="12" t="str">
        <x:v>Toll Technology Centre</x:v>
      </x:c>
      <x:c r="C5151" s="12" t="str">
        <x:v>CORP-0683</x:v>
      </x:c>
      <x:c r="D5151" s="12" t="str">
        <x:v>Pune</x:v>
      </x:c>
      <x:c r="E5151" s="12" t="str">
        <x:v>Symphony IT Park</x:v>
      </x:c>
      <x:c r="F5151" s="12" t="str">
        <x:v>55 inch</x:v>
      </x:c>
      <x:c r="G5151" s="20" t="n">
        <x:v>1</x:v>
      </x:c>
      <x:c r="H5151" s="12" t="str">
        <x:v>Campus/portfolio roster; individual building occupancy unverified</x:v>
      </x:c>
      <x:c r="I5151" s="12" t="str">
        <x:v>Mixed business audience</x:v>
      </x:c>
      <x:c r="J5151" s="12" t="str">
        <x:v>IT &amp; digital</x:v>
      </x:c>
      <x:c r="K5151" s="2" t="str">
        <x:v>PARTNER-M265</x:v>
      </x:c>
    </x:row>
    <x:row r="5152" ht="46" customHeight="1">
      <x:c r="A5152" s="2" t="str">
        <x:v>TEN-BE5131973D4C</x:v>
      </x:c>
      <x:c r="B5152" s="12" t="str">
        <x:v>FIGmd (India) Pvt. Ltd</x:v>
      </x:c>
      <x:c r="C5152" s="12" t="str">
        <x:v>CORP-0683</x:v>
      </x:c>
      <x:c r="D5152" s="12" t="str">
        <x:v>Pune</x:v>
      </x:c>
      <x:c r="E5152" s="12" t="str">
        <x:v>Symphony IT Park</x:v>
      </x:c>
      <x:c r="F5152" s="12" t="str">
        <x:v>55 inch</x:v>
      </x:c>
      <x:c r="G5152" s="20" t="n">
        <x:v>1</x:v>
      </x:c>
      <x:c r="H5152" s="12" t="str">
        <x:v>Campus/portfolio roster; individual building occupancy unverified</x:v>
      </x:c>
      <x:c r="I5152" s="12" t="str">
        <x:v>Mixed business audience</x:v>
      </x:c>
      <x:c r="J5152" s="12" t="str">
        <x:v>IT &amp; digital</x:v>
      </x:c>
      <x:c r="K5152" s="2" t="str">
        <x:v>PARTNER-M265</x:v>
      </x:c>
    </x:row>
    <x:row r="5153" ht="46" customHeight="1">
      <x:c r="A5153" s="2" t="str">
        <x:v>TEN-DE58C1C49DEE</x:v>
      </x:c>
      <x:c r="B5153" s="12" t="str">
        <x:v>Infinite Science Technologies</x:v>
      </x:c>
      <x:c r="C5153" s="12" t="str">
        <x:v>CORP-0683</x:v>
      </x:c>
      <x:c r="D5153" s="12" t="str">
        <x:v>Pune</x:v>
      </x:c>
      <x:c r="E5153" s="12" t="str">
        <x:v>Symphony IT Park</x:v>
      </x:c>
      <x:c r="F5153" s="12" t="str">
        <x:v>55 inch</x:v>
      </x:c>
      <x:c r="G5153" s="20" t="n">
        <x:v>1</x:v>
      </x:c>
      <x:c r="H5153" s="12" t="str">
        <x:v>Campus/portfolio roster; individual building occupancy unverified</x:v>
      </x:c>
      <x:c r="I5153" s="12" t="str">
        <x:v>Mixed business audience</x:v>
      </x:c>
      <x:c r="J5153" s="12" t="str">
        <x:v>Unresolved</x:v>
      </x:c>
      <x:c r="K5153" s="2" t="str">
        <x:v>PARTNER-M265</x:v>
      </x:c>
    </x:row>
    <x:row r="5154" ht="46" customHeight="1">
      <x:c r="A5154" s="2" t="str">
        <x:v>TEN-F2DEC5F8736B</x:v>
      </x:c>
      <x:c r="B5154" s="12" t="str">
        <x:v>PrimaVerse IDC LLP</x:v>
      </x:c>
      <x:c r="C5154" s="12" t="str">
        <x:v>CORP-0683</x:v>
      </x:c>
      <x:c r="D5154" s="12" t="str">
        <x:v>Pune</x:v>
      </x:c>
      <x:c r="E5154" s="12" t="str">
        <x:v>Symphony IT Park</x:v>
      </x:c>
      <x:c r="F5154" s="12" t="str">
        <x:v>55 inch</x:v>
      </x:c>
      <x:c r="G5154" s="20" t="n">
        <x:v>1</x:v>
      </x:c>
      <x:c r="H5154" s="12" t="str">
        <x:v>Campus/portfolio roster; individual building occupancy unverified</x:v>
      </x:c>
      <x:c r="I5154" s="12" t="str">
        <x:v>Mixed business audience</x:v>
      </x:c>
      <x:c r="J5154" s="12" t="str">
        <x:v>Unresolved</x:v>
      </x:c>
      <x:c r="K5154" s="2" t="str">
        <x:v>PARTNER-M265</x:v>
      </x:c>
    </x:row>
    <x:row r="5155" ht="46" customHeight="1">
      <x:c r="A5155" s="2" t="str">
        <x:v>TEN-0F34FE7346AD</x:v>
      </x:c>
      <x:c r="B5155" s="12" t="str">
        <x:v>Digitide Solutions Limited</x:v>
      </x:c>
      <x:c r="C5155" s="12" t="str">
        <x:v>CORP-0684</x:v>
      </x:c>
      <x:c r="D5155" s="12" t="str">
        <x:v>Pune</x:v>
      </x:c>
      <x:c r="E5155" s="12" t="str">
        <x:v>ICC Tech Park</x:v>
      </x:c>
      <x:c r="F5155" s="12" t="str">
        <x:v>55 inch</x:v>
      </x:c>
      <x:c r="G5155" s="20" t="n">
        <x:v>1</x:v>
      </x:c>
      <x:c r="H5155" s="12" t="str">
        <x:v>Campus/portfolio roster; individual building occupancy unverified</x:v>
      </x:c>
      <x:c r="I5155" s="12" t="str">
        <x:v>Mixed business audience</x:v>
      </x:c>
      <x:c r="J5155" s="12" t="str">
        <x:v>IT &amp; digital</x:v>
      </x:c>
      <x:c r="K5155" s="2" t="str">
        <x:v>PARTNER-M268</x:v>
      </x:c>
    </x:row>
    <x:row r="5156" ht="46" customHeight="1">
      <x:c r="A5156" s="2" t="str">
        <x:v>TEN-25F7C5FC4BE0</x:v>
      </x:c>
      <x:c r="B5156" s="12" t="str">
        <x:v>Visteon Technical And Services Center</x:v>
      </x:c>
      <x:c r="C5156" s="12" t="str">
        <x:v>CORP-0684</x:v>
      </x:c>
      <x:c r="D5156" s="12" t="str">
        <x:v>Pune</x:v>
      </x:c>
      <x:c r="E5156" s="12" t="str">
        <x:v>ICC Tech Park</x:v>
      </x:c>
      <x:c r="F5156" s="12" t="str">
        <x:v>55 inch</x:v>
      </x:c>
      <x:c r="G5156" s="20" t="n">
        <x:v>1</x:v>
      </x:c>
      <x:c r="H5156" s="12" t="str">
        <x:v>Campus/portfolio roster; individual building occupancy unverified</x:v>
      </x:c>
      <x:c r="I5156" s="12" t="str">
        <x:v>Mixed business audience</x:v>
      </x:c>
      <x:c r="J5156" s="12" t="str">
        <x:v>Engineering &amp; manufacturing</x:v>
      </x:c>
      <x:c r="K5156" s="2" t="str">
        <x:v>PARTNER-M268</x:v>
      </x:c>
    </x:row>
    <x:row r="5157" ht="46" customHeight="1">
      <x:c r="A5157" s="2" t="str">
        <x:v>TEN-282C78C55341</x:v>
      </x:c>
      <x:c r="B5157" s="12" t="str">
        <x:v>Adient Automotive Ltd</x:v>
      </x:c>
      <x:c r="C5157" s="12" t="str">
        <x:v>CORP-0684</x:v>
      </x:c>
      <x:c r="D5157" s="12" t="str">
        <x:v>Pune</x:v>
      </x:c>
      <x:c r="E5157" s="12" t="str">
        <x:v>ICC Tech Park</x:v>
      </x:c>
      <x:c r="F5157" s="12" t="str">
        <x:v>55 inch</x:v>
      </x:c>
      <x:c r="G5157" s="20" t="n">
        <x:v>1</x:v>
      </x:c>
      <x:c r="H5157" s="12" t="str">
        <x:v>Campus/portfolio roster; individual building occupancy unverified</x:v>
      </x:c>
      <x:c r="I5157" s="12" t="str">
        <x:v>Mixed business audience</x:v>
      </x:c>
      <x:c r="J5157" s="12" t="str">
        <x:v>Engineering &amp; manufacturing</x:v>
      </x:c>
      <x:c r="K5157" s="2" t="str">
        <x:v>PARTNER-M268</x:v>
      </x:c>
    </x:row>
    <x:row r="5158" ht="46" customHeight="1">
      <x:c r="A5158" s="2" t="str">
        <x:v>TEN-5DB1442E6DC0</x:v>
      </x:c>
      <x:c r="B5158" s="12" t="str">
        <x:v>INITIA</x:v>
      </x:c>
      <x:c r="C5158" s="12" t="str">
        <x:v>CORP-0684</x:v>
      </x:c>
      <x:c r="D5158" s="12" t="str">
        <x:v>Pune</x:v>
      </x:c>
      <x:c r="E5158" s="12" t="str">
        <x:v>ICC Tech Park</x:v>
      </x:c>
      <x:c r="F5158" s="12" t="str">
        <x:v>55 inch</x:v>
      </x:c>
      <x:c r="G5158" s="20" t="n">
        <x:v>1</x:v>
      </x:c>
      <x:c r="H5158" s="12" t="str">
        <x:v>Campus/portfolio roster; individual building occupancy unverified</x:v>
      </x:c>
      <x:c r="I5158" s="12" t="str">
        <x:v>Mixed business audience</x:v>
      </x:c>
      <x:c r="J5158" s="12" t="str">
        <x:v>Unresolved</x:v>
      </x:c>
      <x:c r="K5158" s="2" t="str">
        <x:v>PARTNER-M268</x:v>
      </x:c>
    </x:row>
    <x:row r="5159" ht="46" customHeight="1">
      <x:c r="A5159" s="2" t="str">
        <x:v>TEN-6DEBCA323DCB</x:v>
      </x:c>
      <x:c r="B5159" s="12" t="str">
        <x:v>Mitsubishi Electric India Private Limited</x:v>
      </x:c>
      <x:c r="C5159" s="12" t="str">
        <x:v>CORP-0684</x:v>
      </x:c>
      <x:c r="D5159" s="12" t="str">
        <x:v>Pune</x:v>
      </x:c>
      <x:c r="E5159" s="12" t="str">
        <x:v>ICC Tech Park</x:v>
      </x:c>
      <x:c r="F5159" s="12" t="str">
        <x:v>55 inch</x:v>
      </x:c>
      <x:c r="G5159" s="20" t="n">
        <x:v>1</x:v>
      </x:c>
      <x:c r="H5159" s="12" t="str">
        <x:v>Campus/portfolio roster; individual building occupancy unverified</x:v>
      </x:c>
      <x:c r="I5159" s="12" t="str">
        <x:v>Mixed business audience</x:v>
      </x:c>
      <x:c r="J5159" s="12" t="str">
        <x:v>Engineering &amp; manufacturing</x:v>
      </x:c>
      <x:c r="K5159" s="2" t="str">
        <x:v>PARTNER-M268</x:v>
      </x:c>
    </x:row>
    <x:row r="5160" ht="46" customHeight="1">
      <x:c r="A5160" s="2" t="str">
        <x:v>TEN-8461E0C288B0</x:v>
      </x:c>
      <x:c r="B5160" s="12" t="str">
        <x:v>Philips India Limited</x:v>
      </x:c>
      <x:c r="C5160" s="12" t="str">
        <x:v>CORP-0684</x:v>
      </x:c>
      <x:c r="D5160" s="12" t="str">
        <x:v>Pune</x:v>
      </x:c>
      <x:c r="E5160" s="12" t="str">
        <x:v>ICC Tech Park</x:v>
      </x:c>
      <x:c r="F5160" s="12" t="str">
        <x:v>55 inch</x:v>
      </x:c>
      <x:c r="G5160" s="20" t="n">
        <x:v>1</x:v>
      </x:c>
      <x:c r="H5160" s="12" t="str">
        <x:v>Campus/portfolio roster; individual building occupancy unverified</x:v>
      </x:c>
      <x:c r="I5160" s="12" t="str">
        <x:v>Large enterprise</x:v>
      </x:c>
      <x:c r="J5160" s="12" t="str">
        <x:v>Engineering &amp; manufacturing</x:v>
      </x:c>
      <x:c r="K5160" s="2" t="str">
        <x:v>PARTNER-M268</x:v>
      </x:c>
    </x:row>
    <x:row r="5161" ht="46" customHeight="1">
      <x:c r="A5161" s="2" t="str">
        <x:v>TEN-8E46D37012AB</x:v>
      </x:c>
      <x:c r="B5161" s="12" t="str">
        <x:v>Yanfeng India Automotive Interiors Systems Pvt. Ltd</x:v>
      </x:c>
      <x:c r="C5161" s="12" t="str">
        <x:v>CORP-0684</x:v>
      </x:c>
      <x:c r="D5161" s="12" t="str">
        <x:v>Pune</x:v>
      </x:c>
      <x:c r="E5161" s="12" t="str">
        <x:v>ICC Tech Park</x:v>
      </x:c>
      <x:c r="F5161" s="12" t="str">
        <x:v>55 inch</x:v>
      </x:c>
      <x:c r="G5161" s="20" t="n">
        <x:v>1</x:v>
      </x:c>
      <x:c r="H5161" s="12" t="str">
        <x:v>Campus/portfolio roster; individual building occupancy unverified</x:v>
      </x:c>
      <x:c r="I5161" s="12" t="str">
        <x:v>Mixed business audience</x:v>
      </x:c>
      <x:c r="J5161" s="12" t="str">
        <x:v>Engineering &amp; manufacturing</x:v>
      </x:c>
      <x:c r="K5161" s="2" t="str">
        <x:v>PARTNER-M268</x:v>
      </x:c>
    </x:row>
    <x:row r="5162" ht="46" customHeight="1">
      <x:c r="A5162" s="2" t="str">
        <x:v>TEN-961C7963E78A</x:v>
      </x:c>
      <x:c r="B5162" s="12" t="str">
        <x:v>Hinduja Tech Limited</x:v>
      </x:c>
      <x:c r="C5162" s="12" t="str">
        <x:v>CORP-0684</x:v>
      </x:c>
      <x:c r="D5162" s="12" t="str">
        <x:v>Pune</x:v>
      </x:c>
      <x:c r="E5162" s="12" t="str">
        <x:v>ICC Tech Park</x:v>
      </x:c>
      <x:c r="F5162" s="12" t="str">
        <x:v>55 inch</x:v>
      </x:c>
      <x:c r="G5162" s="20" t="n">
        <x:v>1</x:v>
      </x:c>
      <x:c r="H5162" s="12" t="str">
        <x:v>Campus/portfolio roster; individual building occupancy unverified</x:v>
      </x:c>
      <x:c r="I5162" s="12" t="str">
        <x:v>Mixed business audience</x:v>
      </x:c>
      <x:c r="J5162" s="12" t="str">
        <x:v>Unresolved</x:v>
      </x:c>
      <x:c r="K5162" s="2" t="str">
        <x:v>PARTNER-M268</x:v>
      </x:c>
    </x:row>
    <x:row r="5163" ht="46" customHeight="1">
      <x:c r="A5163" s="2" t="str">
        <x:v>TEN-DB33228CD9A7</x:v>
      </x:c>
      <x:c r="B5163" s="12" t="str">
        <x:v>Rolls Royce Power Systems</x:v>
      </x:c>
      <x:c r="C5163" s="12" t="str">
        <x:v>CORP-0684</x:v>
      </x:c>
      <x:c r="D5163" s="12" t="str">
        <x:v>Pune</x:v>
      </x:c>
      <x:c r="E5163" s="12" t="str">
        <x:v>ICC Tech Park</x:v>
      </x:c>
      <x:c r="F5163" s="12" t="str">
        <x:v>55 inch</x:v>
      </x:c>
      <x:c r="G5163" s="20" t="n">
        <x:v>1</x:v>
      </x:c>
      <x:c r="H5163" s="12" t="str">
        <x:v>Campus/portfolio roster; individual building occupancy unverified</x:v>
      </x:c>
      <x:c r="I5163" s="12" t="str">
        <x:v>Large enterprise</x:v>
      </x:c>
      <x:c r="J5163" s="12" t="str">
        <x:v>Engineering &amp; manufacturing</x:v>
      </x:c>
      <x:c r="K5163" s="2" t="str">
        <x:v>PARTNER-M268</x:v>
      </x:c>
    </x:row>
    <x:row r="5164" ht="46" customHeight="1">
      <x:c r="A5164" s="2" t="str">
        <x:v>TEN-DD5A43C002F0</x:v>
      </x:c>
      <x:c r="B5164" s="12" t="str">
        <x:v>CREAT - UNO MINDA Enterprise</x:v>
      </x:c>
      <x:c r="C5164" s="12" t="str">
        <x:v>CORP-0684</x:v>
      </x:c>
      <x:c r="D5164" s="12" t="str">
        <x:v>Pune</x:v>
      </x:c>
      <x:c r="E5164" s="12" t="str">
        <x:v>ICC Tech Park</x:v>
      </x:c>
      <x:c r="F5164" s="12" t="str">
        <x:v>55 inch</x:v>
      </x:c>
      <x:c r="G5164" s="20" t="n">
        <x:v>1</x:v>
      </x:c>
      <x:c r="H5164" s="12" t="str">
        <x:v>Campus/portfolio roster; individual building occupancy unverified</x:v>
      </x:c>
      <x:c r="I5164" s="12" t="str">
        <x:v>Mixed business audience</x:v>
      </x:c>
      <x:c r="J5164" s="12" t="str">
        <x:v>Engineering &amp; manufacturing</x:v>
      </x:c>
      <x:c r="K5164" s="2" t="str">
        <x:v>PARTNER-M268</x:v>
      </x:c>
    </x:row>
    <x:row r="5165" ht="46" customHeight="1">
      <x:c r="A5165" s="2" t="str">
        <x:v>TEN-EA7C003B3B0A</x:v>
      </x:c>
      <x:c r="B5165" s="12" t="str">
        <x:v>Harman</x:v>
      </x:c>
      <x:c r="C5165" s="12" t="str">
        <x:v>CORP-0684</x:v>
      </x:c>
      <x:c r="D5165" s="12" t="str">
        <x:v>Pune</x:v>
      </x:c>
      <x:c r="E5165" s="12" t="str">
        <x:v>ICC Tech Park</x:v>
      </x:c>
      <x:c r="F5165" s="12" t="str">
        <x:v>55 inch</x:v>
      </x:c>
      <x:c r="G5165" s="20" t="n">
        <x:v>1</x:v>
      </x:c>
      <x:c r="H5165" s="12" t="str">
        <x:v>Campus/portfolio roster; individual building occupancy unverified</x:v>
      </x:c>
      <x:c r="I5165" s="12" t="str">
        <x:v>Mixed business audience</x:v>
      </x:c>
      <x:c r="J5165" s="12" t="str">
        <x:v>Engineering &amp; manufacturing</x:v>
      </x:c>
      <x:c r="K5165" s="2" t="str">
        <x:v>PARTNER-M268</x:v>
      </x:c>
    </x:row>
    <x:row r="5166" ht="46" customHeight="1">
      <x:c r="A5166" s="2" t="str">
        <x:v>TEN-0F34FE7346AD</x:v>
      </x:c>
      <x:c r="B5166" s="12" t="str">
        <x:v>Digitide Solutions Limited</x:v>
      </x:c>
      <x:c r="C5166" s="12" t="str">
        <x:v>CORP-0685</x:v>
      </x:c>
      <x:c r="D5166" s="12" t="str">
        <x:v>Pune</x:v>
      </x:c>
      <x:c r="E5166" s="12" t="str">
        <x:v>ICC Tech Park</x:v>
      </x:c>
      <x:c r="F5166" s="12" t="str">
        <x:v>55 inch</x:v>
      </x:c>
      <x:c r="G5166" s="20" t="n">
        <x:v>1</x:v>
      </x:c>
      <x:c r="H5166" s="12" t="str">
        <x:v>Campus/portfolio roster; individual building occupancy unverified</x:v>
      </x:c>
      <x:c r="I5166" s="12" t="str">
        <x:v>Mixed business audience</x:v>
      </x:c>
      <x:c r="J5166" s="12" t="str">
        <x:v>IT &amp; digital</x:v>
      </x:c>
      <x:c r="K5166" s="2" t="str">
        <x:v>PARTNER-M268</x:v>
      </x:c>
    </x:row>
    <x:row r="5167" ht="46" customHeight="1">
      <x:c r="A5167" s="2" t="str">
        <x:v>TEN-25F7C5FC4BE0</x:v>
      </x:c>
      <x:c r="B5167" s="12" t="str">
        <x:v>Visteon Technical And Services Center</x:v>
      </x:c>
      <x:c r="C5167" s="12" t="str">
        <x:v>CORP-0685</x:v>
      </x:c>
      <x:c r="D5167" s="12" t="str">
        <x:v>Pune</x:v>
      </x:c>
      <x:c r="E5167" s="12" t="str">
        <x:v>ICC Tech Park</x:v>
      </x:c>
      <x:c r="F5167" s="12" t="str">
        <x:v>55 inch</x:v>
      </x:c>
      <x:c r="G5167" s="20" t="n">
        <x:v>1</x:v>
      </x:c>
      <x:c r="H5167" s="12" t="str">
        <x:v>Campus/portfolio roster; individual building occupancy unverified</x:v>
      </x:c>
      <x:c r="I5167" s="12" t="str">
        <x:v>Mixed business audience</x:v>
      </x:c>
      <x:c r="J5167" s="12" t="str">
        <x:v>Engineering &amp; manufacturing</x:v>
      </x:c>
      <x:c r="K5167" s="2" t="str">
        <x:v>PARTNER-M268</x:v>
      </x:c>
    </x:row>
    <x:row r="5168" ht="46" customHeight="1">
      <x:c r="A5168" s="2" t="str">
        <x:v>TEN-282C78C55341</x:v>
      </x:c>
      <x:c r="B5168" s="12" t="str">
        <x:v>Adient Automotive Ltd</x:v>
      </x:c>
      <x:c r="C5168" s="12" t="str">
        <x:v>CORP-0685</x:v>
      </x:c>
      <x:c r="D5168" s="12" t="str">
        <x:v>Pune</x:v>
      </x:c>
      <x:c r="E5168" s="12" t="str">
        <x:v>ICC Tech Park</x:v>
      </x:c>
      <x:c r="F5168" s="12" t="str">
        <x:v>55 inch</x:v>
      </x:c>
      <x:c r="G5168" s="20" t="n">
        <x:v>1</x:v>
      </x:c>
      <x:c r="H5168" s="12" t="str">
        <x:v>Campus/portfolio roster; individual building occupancy unverified</x:v>
      </x:c>
      <x:c r="I5168" s="12" t="str">
        <x:v>Mixed business audience</x:v>
      </x:c>
      <x:c r="J5168" s="12" t="str">
        <x:v>Engineering &amp; manufacturing</x:v>
      </x:c>
      <x:c r="K5168" s="2" t="str">
        <x:v>PARTNER-M268</x:v>
      </x:c>
    </x:row>
    <x:row r="5169" ht="46" customHeight="1">
      <x:c r="A5169" s="2" t="str">
        <x:v>TEN-5DB1442E6DC0</x:v>
      </x:c>
      <x:c r="B5169" s="12" t="str">
        <x:v>INITIA</x:v>
      </x:c>
      <x:c r="C5169" s="12" t="str">
        <x:v>CORP-0685</x:v>
      </x:c>
      <x:c r="D5169" s="12" t="str">
        <x:v>Pune</x:v>
      </x:c>
      <x:c r="E5169" s="12" t="str">
        <x:v>ICC Tech Park</x:v>
      </x:c>
      <x:c r="F5169" s="12" t="str">
        <x:v>55 inch</x:v>
      </x:c>
      <x:c r="G5169" s="20" t="n">
        <x:v>1</x:v>
      </x:c>
      <x:c r="H5169" s="12" t="str">
        <x:v>Campus/portfolio roster; individual building occupancy unverified</x:v>
      </x:c>
      <x:c r="I5169" s="12" t="str">
        <x:v>Mixed business audience</x:v>
      </x:c>
      <x:c r="J5169" s="12" t="str">
        <x:v>Unresolved</x:v>
      </x:c>
      <x:c r="K5169" s="2" t="str">
        <x:v>PARTNER-M268</x:v>
      </x:c>
    </x:row>
    <x:row r="5170" ht="46" customHeight="1">
      <x:c r="A5170" s="2" t="str">
        <x:v>TEN-6DEBCA323DCB</x:v>
      </x:c>
      <x:c r="B5170" s="12" t="str">
        <x:v>Mitsubishi Electric India Private Limited</x:v>
      </x:c>
      <x:c r="C5170" s="12" t="str">
        <x:v>CORP-0685</x:v>
      </x:c>
      <x:c r="D5170" s="12" t="str">
        <x:v>Pune</x:v>
      </x:c>
      <x:c r="E5170" s="12" t="str">
        <x:v>ICC Tech Park</x:v>
      </x:c>
      <x:c r="F5170" s="12" t="str">
        <x:v>55 inch</x:v>
      </x:c>
      <x:c r="G5170" s="20" t="n">
        <x:v>1</x:v>
      </x:c>
      <x:c r="H5170" s="12" t="str">
        <x:v>Campus/portfolio roster; individual building occupancy unverified</x:v>
      </x:c>
      <x:c r="I5170" s="12" t="str">
        <x:v>Mixed business audience</x:v>
      </x:c>
      <x:c r="J5170" s="12" t="str">
        <x:v>Engineering &amp; manufacturing</x:v>
      </x:c>
      <x:c r="K5170" s="2" t="str">
        <x:v>PARTNER-M268</x:v>
      </x:c>
    </x:row>
    <x:row r="5171" ht="46" customHeight="1">
      <x:c r="A5171" s="2" t="str">
        <x:v>TEN-8461E0C288B0</x:v>
      </x:c>
      <x:c r="B5171" s="12" t="str">
        <x:v>Philips India Limited</x:v>
      </x:c>
      <x:c r="C5171" s="12" t="str">
        <x:v>CORP-0685</x:v>
      </x:c>
      <x:c r="D5171" s="12" t="str">
        <x:v>Pune</x:v>
      </x:c>
      <x:c r="E5171" s="12" t="str">
        <x:v>ICC Tech Park</x:v>
      </x:c>
      <x:c r="F5171" s="12" t="str">
        <x:v>55 inch</x:v>
      </x:c>
      <x:c r="G5171" s="20" t="n">
        <x:v>1</x:v>
      </x:c>
      <x:c r="H5171" s="12" t="str">
        <x:v>Campus/portfolio roster; individual building occupancy unverified</x:v>
      </x:c>
      <x:c r="I5171" s="12" t="str">
        <x:v>Large enterprise</x:v>
      </x:c>
      <x:c r="J5171" s="12" t="str">
        <x:v>Engineering &amp; manufacturing</x:v>
      </x:c>
      <x:c r="K5171" s="2" t="str">
        <x:v>PARTNER-M268</x:v>
      </x:c>
    </x:row>
    <x:row r="5172" ht="46" customHeight="1">
      <x:c r="A5172" s="2" t="str">
        <x:v>TEN-8E46D37012AB</x:v>
      </x:c>
      <x:c r="B5172" s="12" t="str">
        <x:v>Yanfeng India Automotive Interiors Systems Pvt. Ltd</x:v>
      </x:c>
      <x:c r="C5172" s="12" t="str">
        <x:v>CORP-0685</x:v>
      </x:c>
      <x:c r="D5172" s="12" t="str">
        <x:v>Pune</x:v>
      </x:c>
      <x:c r="E5172" s="12" t="str">
        <x:v>ICC Tech Park</x:v>
      </x:c>
      <x:c r="F5172" s="12" t="str">
        <x:v>55 inch</x:v>
      </x:c>
      <x:c r="G5172" s="20" t="n">
        <x:v>1</x:v>
      </x:c>
      <x:c r="H5172" s="12" t="str">
        <x:v>Campus/portfolio roster; individual building occupancy unverified</x:v>
      </x:c>
      <x:c r="I5172" s="12" t="str">
        <x:v>Mixed business audience</x:v>
      </x:c>
      <x:c r="J5172" s="12" t="str">
        <x:v>Engineering &amp; manufacturing</x:v>
      </x:c>
      <x:c r="K5172" s="2" t="str">
        <x:v>PARTNER-M268</x:v>
      </x:c>
    </x:row>
    <x:row r="5173" ht="46" customHeight="1">
      <x:c r="A5173" s="2" t="str">
        <x:v>TEN-961C7963E78A</x:v>
      </x:c>
      <x:c r="B5173" s="12" t="str">
        <x:v>Hinduja Tech Limited</x:v>
      </x:c>
      <x:c r="C5173" s="12" t="str">
        <x:v>CORP-0685</x:v>
      </x:c>
      <x:c r="D5173" s="12" t="str">
        <x:v>Pune</x:v>
      </x:c>
      <x:c r="E5173" s="12" t="str">
        <x:v>ICC Tech Park</x:v>
      </x:c>
      <x:c r="F5173" s="12" t="str">
        <x:v>55 inch</x:v>
      </x:c>
      <x:c r="G5173" s="20" t="n">
        <x:v>1</x:v>
      </x:c>
      <x:c r="H5173" s="12" t="str">
        <x:v>Campus/portfolio roster; individual building occupancy unverified</x:v>
      </x:c>
      <x:c r="I5173" s="12" t="str">
        <x:v>Mixed business audience</x:v>
      </x:c>
      <x:c r="J5173" s="12" t="str">
        <x:v>Unresolved</x:v>
      </x:c>
      <x:c r="K5173" s="2" t="str">
        <x:v>PARTNER-M268</x:v>
      </x:c>
    </x:row>
    <x:row r="5174" ht="46" customHeight="1">
      <x:c r="A5174" s="2" t="str">
        <x:v>TEN-DB33228CD9A7</x:v>
      </x:c>
      <x:c r="B5174" s="12" t="str">
        <x:v>Rolls Royce Power Systems</x:v>
      </x:c>
      <x:c r="C5174" s="12" t="str">
        <x:v>CORP-0685</x:v>
      </x:c>
      <x:c r="D5174" s="12" t="str">
        <x:v>Pune</x:v>
      </x:c>
      <x:c r="E5174" s="12" t="str">
        <x:v>ICC Tech Park</x:v>
      </x:c>
      <x:c r="F5174" s="12" t="str">
        <x:v>55 inch</x:v>
      </x:c>
      <x:c r="G5174" s="20" t="n">
        <x:v>1</x:v>
      </x:c>
      <x:c r="H5174" s="12" t="str">
        <x:v>Campus/portfolio roster; individual building occupancy unverified</x:v>
      </x:c>
      <x:c r="I5174" s="12" t="str">
        <x:v>Large enterprise</x:v>
      </x:c>
      <x:c r="J5174" s="12" t="str">
        <x:v>Engineering &amp; manufacturing</x:v>
      </x:c>
      <x:c r="K5174" s="2" t="str">
        <x:v>PARTNER-M268</x:v>
      </x:c>
    </x:row>
    <x:row r="5175" ht="46" customHeight="1">
      <x:c r="A5175" s="2" t="str">
        <x:v>TEN-DD5A43C002F0</x:v>
      </x:c>
      <x:c r="B5175" s="12" t="str">
        <x:v>CREAT - UNO MINDA Enterprise</x:v>
      </x:c>
      <x:c r="C5175" s="12" t="str">
        <x:v>CORP-0685</x:v>
      </x:c>
      <x:c r="D5175" s="12" t="str">
        <x:v>Pune</x:v>
      </x:c>
      <x:c r="E5175" s="12" t="str">
        <x:v>ICC Tech Park</x:v>
      </x:c>
      <x:c r="F5175" s="12" t="str">
        <x:v>55 inch</x:v>
      </x:c>
      <x:c r="G5175" s="20" t="n">
        <x:v>1</x:v>
      </x:c>
      <x:c r="H5175" s="12" t="str">
        <x:v>Campus/portfolio roster; individual building occupancy unverified</x:v>
      </x:c>
      <x:c r="I5175" s="12" t="str">
        <x:v>Mixed business audience</x:v>
      </x:c>
      <x:c r="J5175" s="12" t="str">
        <x:v>Engineering &amp; manufacturing</x:v>
      </x:c>
      <x:c r="K5175" s="2" t="str">
        <x:v>PARTNER-M268</x:v>
      </x:c>
    </x:row>
    <x:row r="5176" ht="46" customHeight="1">
      <x:c r="A5176" s="2" t="str">
        <x:v>TEN-EA7C003B3B0A</x:v>
      </x:c>
      <x:c r="B5176" s="12" t="str">
        <x:v>Harman</x:v>
      </x:c>
      <x:c r="C5176" s="12" t="str">
        <x:v>CORP-0685</x:v>
      </x:c>
      <x:c r="D5176" s="12" t="str">
        <x:v>Pune</x:v>
      </x:c>
      <x:c r="E5176" s="12" t="str">
        <x:v>ICC Tech Park</x:v>
      </x:c>
      <x:c r="F5176" s="12" t="str">
        <x:v>55 inch</x:v>
      </x:c>
      <x:c r="G5176" s="20" t="n">
        <x:v>1</x:v>
      </x:c>
      <x:c r="H5176" s="12" t="str">
        <x:v>Campus/portfolio roster; individual building occupancy unverified</x:v>
      </x:c>
      <x:c r="I5176" s="12" t="str">
        <x:v>Mixed business audience</x:v>
      </x:c>
      <x:c r="J5176" s="12" t="str">
        <x:v>Engineering &amp; manufacturing</x:v>
      </x:c>
      <x:c r="K5176" s="2" t="str">
        <x:v>PARTNER-M268</x:v>
      </x:c>
    </x:row>
    <x:row r="5177" ht="46" customHeight="1">
      <x:c r="A5177" s="2" t="str">
        <x:v>TEN-0F34FE7346AD</x:v>
      </x:c>
      <x:c r="B5177" s="12" t="str">
        <x:v>Digitide Solutions Limited</x:v>
      </x:c>
      <x:c r="C5177" s="12" t="str">
        <x:v>CORP-0686</x:v>
      </x:c>
      <x:c r="D5177" s="12" t="str">
        <x:v>Pune</x:v>
      </x:c>
      <x:c r="E5177" s="12" t="str">
        <x:v>ICC Tech Park</x:v>
      </x:c>
      <x:c r="F5177" s="12" t="str">
        <x:v>55 inch</x:v>
      </x:c>
      <x:c r="G5177" s="20" t="n">
        <x:v>1</x:v>
      </x:c>
      <x:c r="H5177" s="12" t="str">
        <x:v>Campus/portfolio roster; individual building occupancy unverified</x:v>
      </x:c>
      <x:c r="I5177" s="12" t="str">
        <x:v>Mixed business audience</x:v>
      </x:c>
      <x:c r="J5177" s="12" t="str">
        <x:v>IT &amp; digital</x:v>
      </x:c>
      <x:c r="K5177" s="2" t="str">
        <x:v>PARTNER-M268</x:v>
      </x:c>
    </x:row>
    <x:row r="5178" ht="46" customHeight="1">
      <x:c r="A5178" s="2" t="str">
        <x:v>TEN-25F7C5FC4BE0</x:v>
      </x:c>
      <x:c r="B5178" s="12" t="str">
        <x:v>Visteon Technical And Services Center</x:v>
      </x:c>
      <x:c r="C5178" s="12" t="str">
        <x:v>CORP-0686</x:v>
      </x:c>
      <x:c r="D5178" s="12" t="str">
        <x:v>Pune</x:v>
      </x:c>
      <x:c r="E5178" s="12" t="str">
        <x:v>ICC Tech Park</x:v>
      </x:c>
      <x:c r="F5178" s="12" t="str">
        <x:v>55 inch</x:v>
      </x:c>
      <x:c r="G5178" s="20" t="n">
        <x:v>1</x:v>
      </x:c>
      <x:c r="H5178" s="12" t="str">
        <x:v>Campus/portfolio roster; individual building occupancy unverified</x:v>
      </x:c>
      <x:c r="I5178" s="12" t="str">
        <x:v>Mixed business audience</x:v>
      </x:c>
      <x:c r="J5178" s="12" t="str">
        <x:v>Engineering &amp; manufacturing</x:v>
      </x:c>
      <x:c r="K5178" s="2" t="str">
        <x:v>PARTNER-M268</x:v>
      </x:c>
    </x:row>
    <x:row r="5179" ht="46" customHeight="1">
      <x:c r="A5179" s="2" t="str">
        <x:v>TEN-282C78C55341</x:v>
      </x:c>
      <x:c r="B5179" s="12" t="str">
        <x:v>Adient Automotive Ltd</x:v>
      </x:c>
      <x:c r="C5179" s="12" t="str">
        <x:v>CORP-0686</x:v>
      </x:c>
      <x:c r="D5179" s="12" t="str">
        <x:v>Pune</x:v>
      </x:c>
      <x:c r="E5179" s="12" t="str">
        <x:v>ICC Tech Park</x:v>
      </x:c>
      <x:c r="F5179" s="12" t="str">
        <x:v>55 inch</x:v>
      </x:c>
      <x:c r="G5179" s="20" t="n">
        <x:v>1</x:v>
      </x:c>
      <x:c r="H5179" s="12" t="str">
        <x:v>Campus/portfolio roster; individual building occupancy unverified</x:v>
      </x:c>
      <x:c r="I5179" s="12" t="str">
        <x:v>Mixed business audience</x:v>
      </x:c>
      <x:c r="J5179" s="12" t="str">
        <x:v>Engineering &amp; manufacturing</x:v>
      </x:c>
      <x:c r="K5179" s="2" t="str">
        <x:v>PARTNER-M268</x:v>
      </x:c>
    </x:row>
    <x:row r="5180" ht="46" customHeight="1">
      <x:c r="A5180" s="2" t="str">
        <x:v>TEN-5DB1442E6DC0</x:v>
      </x:c>
      <x:c r="B5180" s="12" t="str">
        <x:v>INITIA</x:v>
      </x:c>
      <x:c r="C5180" s="12" t="str">
        <x:v>CORP-0686</x:v>
      </x:c>
      <x:c r="D5180" s="12" t="str">
        <x:v>Pune</x:v>
      </x:c>
      <x:c r="E5180" s="12" t="str">
        <x:v>ICC Tech Park</x:v>
      </x:c>
      <x:c r="F5180" s="12" t="str">
        <x:v>55 inch</x:v>
      </x:c>
      <x:c r="G5180" s="20" t="n">
        <x:v>1</x:v>
      </x:c>
      <x:c r="H5180" s="12" t="str">
        <x:v>Campus/portfolio roster; individual building occupancy unverified</x:v>
      </x:c>
      <x:c r="I5180" s="12" t="str">
        <x:v>Mixed business audience</x:v>
      </x:c>
      <x:c r="J5180" s="12" t="str">
        <x:v>Unresolved</x:v>
      </x:c>
      <x:c r="K5180" s="2" t="str">
        <x:v>PARTNER-M268</x:v>
      </x:c>
    </x:row>
    <x:row r="5181" ht="46" customHeight="1">
      <x:c r="A5181" s="2" t="str">
        <x:v>TEN-6DEBCA323DCB</x:v>
      </x:c>
      <x:c r="B5181" s="12" t="str">
        <x:v>Mitsubishi Electric India Private Limited</x:v>
      </x:c>
      <x:c r="C5181" s="12" t="str">
        <x:v>CORP-0686</x:v>
      </x:c>
      <x:c r="D5181" s="12" t="str">
        <x:v>Pune</x:v>
      </x:c>
      <x:c r="E5181" s="12" t="str">
        <x:v>ICC Tech Park</x:v>
      </x:c>
      <x:c r="F5181" s="12" t="str">
        <x:v>55 inch</x:v>
      </x:c>
      <x:c r="G5181" s="20" t="n">
        <x:v>1</x:v>
      </x:c>
      <x:c r="H5181" s="12" t="str">
        <x:v>Campus/portfolio roster; individual building occupancy unverified</x:v>
      </x:c>
      <x:c r="I5181" s="12" t="str">
        <x:v>Mixed business audience</x:v>
      </x:c>
      <x:c r="J5181" s="12" t="str">
        <x:v>Engineering &amp; manufacturing</x:v>
      </x:c>
      <x:c r="K5181" s="2" t="str">
        <x:v>PARTNER-M268</x:v>
      </x:c>
    </x:row>
    <x:row r="5182" ht="46" customHeight="1">
      <x:c r="A5182" s="2" t="str">
        <x:v>TEN-8461E0C288B0</x:v>
      </x:c>
      <x:c r="B5182" s="12" t="str">
        <x:v>Philips India Limited</x:v>
      </x:c>
      <x:c r="C5182" s="12" t="str">
        <x:v>CORP-0686</x:v>
      </x:c>
      <x:c r="D5182" s="12" t="str">
        <x:v>Pune</x:v>
      </x:c>
      <x:c r="E5182" s="12" t="str">
        <x:v>ICC Tech Park</x:v>
      </x:c>
      <x:c r="F5182" s="12" t="str">
        <x:v>55 inch</x:v>
      </x:c>
      <x:c r="G5182" s="20" t="n">
        <x:v>1</x:v>
      </x:c>
      <x:c r="H5182" s="12" t="str">
        <x:v>Campus/portfolio roster; individual building occupancy unverified</x:v>
      </x:c>
      <x:c r="I5182" s="12" t="str">
        <x:v>Large enterprise</x:v>
      </x:c>
      <x:c r="J5182" s="12" t="str">
        <x:v>Engineering &amp; manufacturing</x:v>
      </x:c>
      <x:c r="K5182" s="2" t="str">
        <x:v>PARTNER-M268</x:v>
      </x:c>
    </x:row>
    <x:row r="5183" ht="46" customHeight="1">
      <x:c r="A5183" s="2" t="str">
        <x:v>TEN-8E46D37012AB</x:v>
      </x:c>
      <x:c r="B5183" s="12" t="str">
        <x:v>Yanfeng India Automotive Interiors Systems Pvt. Ltd</x:v>
      </x:c>
      <x:c r="C5183" s="12" t="str">
        <x:v>CORP-0686</x:v>
      </x:c>
      <x:c r="D5183" s="12" t="str">
        <x:v>Pune</x:v>
      </x:c>
      <x:c r="E5183" s="12" t="str">
        <x:v>ICC Tech Park</x:v>
      </x:c>
      <x:c r="F5183" s="12" t="str">
        <x:v>55 inch</x:v>
      </x:c>
      <x:c r="G5183" s="20" t="n">
        <x:v>1</x:v>
      </x:c>
      <x:c r="H5183" s="12" t="str">
        <x:v>Campus/portfolio roster; individual building occupancy unverified</x:v>
      </x:c>
      <x:c r="I5183" s="12" t="str">
        <x:v>Mixed business audience</x:v>
      </x:c>
      <x:c r="J5183" s="12" t="str">
        <x:v>Engineering &amp; manufacturing</x:v>
      </x:c>
      <x:c r="K5183" s="2" t="str">
        <x:v>PARTNER-M268</x:v>
      </x:c>
    </x:row>
    <x:row r="5184" ht="46" customHeight="1">
      <x:c r="A5184" s="2" t="str">
        <x:v>TEN-961C7963E78A</x:v>
      </x:c>
      <x:c r="B5184" s="12" t="str">
        <x:v>Hinduja Tech Limited</x:v>
      </x:c>
      <x:c r="C5184" s="12" t="str">
        <x:v>CORP-0686</x:v>
      </x:c>
      <x:c r="D5184" s="12" t="str">
        <x:v>Pune</x:v>
      </x:c>
      <x:c r="E5184" s="12" t="str">
        <x:v>ICC Tech Park</x:v>
      </x:c>
      <x:c r="F5184" s="12" t="str">
        <x:v>55 inch</x:v>
      </x:c>
      <x:c r="G5184" s="20" t="n">
        <x:v>1</x:v>
      </x:c>
      <x:c r="H5184" s="12" t="str">
        <x:v>Campus/portfolio roster; individual building occupancy unverified</x:v>
      </x:c>
      <x:c r="I5184" s="12" t="str">
        <x:v>Mixed business audience</x:v>
      </x:c>
      <x:c r="J5184" s="12" t="str">
        <x:v>Unresolved</x:v>
      </x:c>
      <x:c r="K5184" s="2" t="str">
        <x:v>PARTNER-M268</x:v>
      </x:c>
    </x:row>
    <x:row r="5185" ht="46" customHeight="1">
      <x:c r="A5185" s="2" t="str">
        <x:v>TEN-DB33228CD9A7</x:v>
      </x:c>
      <x:c r="B5185" s="12" t="str">
        <x:v>Rolls Royce Power Systems</x:v>
      </x:c>
      <x:c r="C5185" s="12" t="str">
        <x:v>CORP-0686</x:v>
      </x:c>
      <x:c r="D5185" s="12" t="str">
        <x:v>Pune</x:v>
      </x:c>
      <x:c r="E5185" s="12" t="str">
        <x:v>ICC Tech Park</x:v>
      </x:c>
      <x:c r="F5185" s="12" t="str">
        <x:v>55 inch</x:v>
      </x:c>
      <x:c r="G5185" s="20" t="n">
        <x:v>1</x:v>
      </x:c>
      <x:c r="H5185" s="12" t="str">
        <x:v>Campus/portfolio roster; individual building occupancy unverified</x:v>
      </x:c>
      <x:c r="I5185" s="12" t="str">
        <x:v>Large enterprise</x:v>
      </x:c>
      <x:c r="J5185" s="12" t="str">
        <x:v>Engineering &amp; manufacturing</x:v>
      </x:c>
      <x:c r="K5185" s="2" t="str">
        <x:v>PARTNER-M268</x:v>
      </x:c>
    </x:row>
    <x:row r="5186" ht="46" customHeight="1">
      <x:c r="A5186" s="2" t="str">
        <x:v>TEN-DD5A43C002F0</x:v>
      </x:c>
      <x:c r="B5186" s="12" t="str">
        <x:v>CREAT - UNO MINDA Enterprise</x:v>
      </x:c>
      <x:c r="C5186" s="12" t="str">
        <x:v>CORP-0686</x:v>
      </x:c>
      <x:c r="D5186" s="12" t="str">
        <x:v>Pune</x:v>
      </x:c>
      <x:c r="E5186" s="12" t="str">
        <x:v>ICC Tech Park</x:v>
      </x:c>
      <x:c r="F5186" s="12" t="str">
        <x:v>55 inch</x:v>
      </x:c>
      <x:c r="G5186" s="20" t="n">
        <x:v>1</x:v>
      </x:c>
      <x:c r="H5186" s="12" t="str">
        <x:v>Campus/portfolio roster; individual building occupancy unverified</x:v>
      </x:c>
      <x:c r="I5186" s="12" t="str">
        <x:v>Mixed business audience</x:v>
      </x:c>
      <x:c r="J5186" s="12" t="str">
        <x:v>Engineering &amp; manufacturing</x:v>
      </x:c>
      <x:c r="K5186" s="2" t="str">
        <x:v>PARTNER-M268</x:v>
      </x:c>
    </x:row>
    <x:row r="5187" ht="46" customHeight="1">
      <x:c r="A5187" s="2" t="str">
        <x:v>TEN-EA7C003B3B0A</x:v>
      </x:c>
      <x:c r="B5187" s="12" t="str">
        <x:v>Harman</x:v>
      </x:c>
      <x:c r="C5187" s="12" t="str">
        <x:v>CORP-0686</x:v>
      </x:c>
      <x:c r="D5187" s="12" t="str">
        <x:v>Pune</x:v>
      </x:c>
      <x:c r="E5187" s="12" t="str">
        <x:v>ICC Tech Park</x:v>
      </x:c>
      <x:c r="F5187" s="12" t="str">
        <x:v>55 inch</x:v>
      </x:c>
      <x:c r="G5187" s="20" t="n">
        <x:v>1</x:v>
      </x:c>
      <x:c r="H5187" s="12" t="str">
        <x:v>Campus/portfolio roster; individual building occupancy unverified</x:v>
      </x:c>
      <x:c r="I5187" s="12" t="str">
        <x:v>Mixed business audience</x:v>
      </x:c>
      <x:c r="J5187" s="12" t="str">
        <x:v>Engineering &amp; manufacturing</x:v>
      </x:c>
      <x:c r="K5187" s="2" t="str">
        <x:v>PARTNER-M268</x:v>
      </x:c>
    </x:row>
    <x:row r="5188" ht="46" customHeight="1">
      <x:c r="A5188" s="2" t="str">
        <x:v>TEN-0F34FE7346AD</x:v>
      </x:c>
      <x:c r="B5188" s="12" t="str">
        <x:v>Digitide Solutions Limited</x:v>
      </x:c>
      <x:c r="C5188" s="12" t="str">
        <x:v>CORP-0687</x:v>
      </x:c>
      <x:c r="D5188" s="12" t="str">
        <x:v>Pune</x:v>
      </x:c>
      <x:c r="E5188" s="12" t="str">
        <x:v>ICC Tech Park</x:v>
      </x:c>
      <x:c r="F5188" s="12" t="str">
        <x:v>55 inch</x:v>
      </x:c>
      <x:c r="G5188" s="20" t="n">
        <x:v>1</x:v>
      </x:c>
      <x:c r="H5188" s="12" t="str">
        <x:v>Campus/portfolio roster; individual building occupancy unverified</x:v>
      </x:c>
      <x:c r="I5188" s="12" t="str">
        <x:v>Mixed business audience</x:v>
      </x:c>
      <x:c r="J5188" s="12" t="str">
        <x:v>IT &amp; digital</x:v>
      </x:c>
      <x:c r="K5188" s="2" t="str">
        <x:v>PARTNER-M268</x:v>
      </x:c>
    </x:row>
    <x:row r="5189" ht="46" customHeight="1">
      <x:c r="A5189" s="2" t="str">
        <x:v>TEN-25F7C5FC4BE0</x:v>
      </x:c>
      <x:c r="B5189" s="12" t="str">
        <x:v>Visteon Technical And Services Center</x:v>
      </x:c>
      <x:c r="C5189" s="12" t="str">
        <x:v>CORP-0687</x:v>
      </x:c>
      <x:c r="D5189" s="12" t="str">
        <x:v>Pune</x:v>
      </x:c>
      <x:c r="E5189" s="12" t="str">
        <x:v>ICC Tech Park</x:v>
      </x:c>
      <x:c r="F5189" s="12" t="str">
        <x:v>55 inch</x:v>
      </x:c>
      <x:c r="G5189" s="20" t="n">
        <x:v>1</x:v>
      </x:c>
      <x:c r="H5189" s="12" t="str">
        <x:v>Campus/portfolio roster; individual building occupancy unverified</x:v>
      </x:c>
      <x:c r="I5189" s="12" t="str">
        <x:v>Mixed business audience</x:v>
      </x:c>
      <x:c r="J5189" s="12" t="str">
        <x:v>Engineering &amp; manufacturing</x:v>
      </x:c>
      <x:c r="K5189" s="2" t="str">
        <x:v>PARTNER-M268</x:v>
      </x:c>
    </x:row>
    <x:row r="5190" ht="46" customHeight="1">
      <x:c r="A5190" s="2" t="str">
        <x:v>TEN-282C78C55341</x:v>
      </x:c>
      <x:c r="B5190" s="12" t="str">
        <x:v>Adient Automotive Ltd</x:v>
      </x:c>
      <x:c r="C5190" s="12" t="str">
        <x:v>CORP-0687</x:v>
      </x:c>
      <x:c r="D5190" s="12" t="str">
        <x:v>Pune</x:v>
      </x:c>
      <x:c r="E5190" s="12" t="str">
        <x:v>ICC Tech Park</x:v>
      </x:c>
      <x:c r="F5190" s="12" t="str">
        <x:v>55 inch</x:v>
      </x:c>
      <x:c r="G5190" s="20" t="n">
        <x:v>1</x:v>
      </x:c>
      <x:c r="H5190" s="12" t="str">
        <x:v>Campus/portfolio roster; individual building occupancy unverified</x:v>
      </x:c>
      <x:c r="I5190" s="12" t="str">
        <x:v>Mixed business audience</x:v>
      </x:c>
      <x:c r="J5190" s="12" t="str">
        <x:v>Engineering &amp; manufacturing</x:v>
      </x:c>
      <x:c r="K5190" s="2" t="str">
        <x:v>PARTNER-M268</x:v>
      </x:c>
    </x:row>
    <x:row r="5191" ht="46" customHeight="1">
      <x:c r="A5191" s="2" t="str">
        <x:v>TEN-5DB1442E6DC0</x:v>
      </x:c>
      <x:c r="B5191" s="12" t="str">
        <x:v>INITIA</x:v>
      </x:c>
      <x:c r="C5191" s="12" t="str">
        <x:v>CORP-0687</x:v>
      </x:c>
      <x:c r="D5191" s="12" t="str">
        <x:v>Pune</x:v>
      </x:c>
      <x:c r="E5191" s="12" t="str">
        <x:v>ICC Tech Park</x:v>
      </x:c>
      <x:c r="F5191" s="12" t="str">
        <x:v>55 inch</x:v>
      </x:c>
      <x:c r="G5191" s="20" t="n">
        <x:v>1</x:v>
      </x:c>
      <x:c r="H5191" s="12" t="str">
        <x:v>Campus/portfolio roster; individual building occupancy unverified</x:v>
      </x:c>
      <x:c r="I5191" s="12" t="str">
        <x:v>Mixed business audience</x:v>
      </x:c>
      <x:c r="J5191" s="12" t="str">
        <x:v>Unresolved</x:v>
      </x:c>
      <x:c r="K5191" s="2" t="str">
        <x:v>PARTNER-M268</x:v>
      </x:c>
    </x:row>
    <x:row r="5192" ht="46" customHeight="1">
      <x:c r="A5192" s="2" t="str">
        <x:v>TEN-6DEBCA323DCB</x:v>
      </x:c>
      <x:c r="B5192" s="12" t="str">
        <x:v>Mitsubishi Electric India Private Limited</x:v>
      </x:c>
      <x:c r="C5192" s="12" t="str">
        <x:v>CORP-0687</x:v>
      </x:c>
      <x:c r="D5192" s="12" t="str">
        <x:v>Pune</x:v>
      </x:c>
      <x:c r="E5192" s="12" t="str">
        <x:v>ICC Tech Park</x:v>
      </x:c>
      <x:c r="F5192" s="12" t="str">
        <x:v>55 inch</x:v>
      </x:c>
      <x:c r="G5192" s="20" t="n">
        <x:v>1</x:v>
      </x:c>
      <x:c r="H5192" s="12" t="str">
        <x:v>Campus/portfolio roster; individual building occupancy unverified</x:v>
      </x:c>
      <x:c r="I5192" s="12" t="str">
        <x:v>Mixed business audience</x:v>
      </x:c>
      <x:c r="J5192" s="12" t="str">
        <x:v>Engineering &amp; manufacturing</x:v>
      </x:c>
      <x:c r="K5192" s="2" t="str">
        <x:v>PARTNER-M268</x:v>
      </x:c>
    </x:row>
    <x:row r="5193" ht="46" customHeight="1">
      <x:c r="A5193" s="2" t="str">
        <x:v>TEN-8461E0C288B0</x:v>
      </x:c>
      <x:c r="B5193" s="12" t="str">
        <x:v>Philips India Limited</x:v>
      </x:c>
      <x:c r="C5193" s="12" t="str">
        <x:v>CORP-0687</x:v>
      </x:c>
      <x:c r="D5193" s="12" t="str">
        <x:v>Pune</x:v>
      </x:c>
      <x:c r="E5193" s="12" t="str">
        <x:v>ICC Tech Park</x:v>
      </x:c>
      <x:c r="F5193" s="12" t="str">
        <x:v>55 inch</x:v>
      </x:c>
      <x:c r="G5193" s="20" t="n">
        <x:v>1</x:v>
      </x:c>
      <x:c r="H5193" s="12" t="str">
        <x:v>Campus/portfolio roster; individual building occupancy unverified</x:v>
      </x:c>
      <x:c r="I5193" s="12" t="str">
        <x:v>Large enterprise</x:v>
      </x:c>
      <x:c r="J5193" s="12" t="str">
        <x:v>Engineering &amp; manufacturing</x:v>
      </x:c>
      <x:c r="K5193" s="2" t="str">
        <x:v>PARTNER-M268</x:v>
      </x:c>
    </x:row>
    <x:row r="5194" ht="46" customHeight="1">
      <x:c r="A5194" s="2" t="str">
        <x:v>TEN-8E46D37012AB</x:v>
      </x:c>
      <x:c r="B5194" s="12" t="str">
        <x:v>Yanfeng India Automotive Interiors Systems Pvt. Ltd</x:v>
      </x:c>
      <x:c r="C5194" s="12" t="str">
        <x:v>CORP-0687</x:v>
      </x:c>
      <x:c r="D5194" s="12" t="str">
        <x:v>Pune</x:v>
      </x:c>
      <x:c r="E5194" s="12" t="str">
        <x:v>ICC Tech Park</x:v>
      </x:c>
      <x:c r="F5194" s="12" t="str">
        <x:v>55 inch</x:v>
      </x:c>
      <x:c r="G5194" s="20" t="n">
        <x:v>1</x:v>
      </x:c>
      <x:c r="H5194" s="12" t="str">
        <x:v>Campus/portfolio roster; individual building occupancy unverified</x:v>
      </x:c>
      <x:c r="I5194" s="12" t="str">
        <x:v>Mixed business audience</x:v>
      </x:c>
      <x:c r="J5194" s="12" t="str">
        <x:v>Engineering &amp; manufacturing</x:v>
      </x:c>
      <x:c r="K5194" s="2" t="str">
        <x:v>PARTNER-M268</x:v>
      </x:c>
    </x:row>
    <x:row r="5195" ht="46" customHeight="1">
      <x:c r="A5195" s="2" t="str">
        <x:v>TEN-961C7963E78A</x:v>
      </x:c>
      <x:c r="B5195" s="12" t="str">
        <x:v>Hinduja Tech Limited</x:v>
      </x:c>
      <x:c r="C5195" s="12" t="str">
        <x:v>CORP-0687</x:v>
      </x:c>
      <x:c r="D5195" s="12" t="str">
        <x:v>Pune</x:v>
      </x:c>
      <x:c r="E5195" s="12" t="str">
        <x:v>ICC Tech Park</x:v>
      </x:c>
      <x:c r="F5195" s="12" t="str">
        <x:v>55 inch</x:v>
      </x:c>
      <x:c r="G5195" s="20" t="n">
        <x:v>1</x:v>
      </x:c>
      <x:c r="H5195" s="12" t="str">
        <x:v>Campus/portfolio roster; individual building occupancy unverified</x:v>
      </x:c>
      <x:c r="I5195" s="12" t="str">
        <x:v>Mixed business audience</x:v>
      </x:c>
      <x:c r="J5195" s="12" t="str">
        <x:v>Unresolved</x:v>
      </x:c>
      <x:c r="K5195" s="2" t="str">
        <x:v>PARTNER-M268</x:v>
      </x:c>
    </x:row>
    <x:row r="5196" ht="46" customHeight="1">
      <x:c r="A5196" s="2" t="str">
        <x:v>TEN-DB33228CD9A7</x:v>
      </x:c>
      <x:c r="B5196" s="12" t="str">
        <x:v>Rolls Royce Power Systems</x:v>
      </x:c>
      <x:c r="C5196" s="12" t="str">
        <x:v>CORP-0687</x:v>
      </x:c>
      <x:c r="D5196" s="12" t="str">
        <x:v>Pune</x:v>
      </x:c>
      <x:c r="E5196" s="12" t="str">
        <x:v>ICC Tech Park</x:v>
      </x:c>
      <x:c r="F5196" s="12" t="str">
        <x:v>55 inch</x:v>
      </x:c>
      <x:c r="G5196" s="20" t="n">
        <x:v>1</x:v>
      </x:c>
      <x:c r="H5196" s="12" t="str">
        <x:v>Campus/portfolio roster; individual building occupancy unverified</x:v>
      </x:c>
      <x:c r="I5196" s="12" t="str">
        <x:v>Large enterprise</x:v>
      </x:c>
      <x:c r="J5196" s="12" t="str">
        <x:v>Engineering &amp; manufacturing</x:v>
      </x:c>
      <x:c r="K5196" s="2" t="str">
        <x:v>PARTNER-M268</x:v>
      </x:c>
    </x:row>
    <x:row r="5197" ht="46" customHeight="1">
      <x:c r="A5197" s="2" t="str">
        <x:v>TEN-DD5A43C002F0</x:v>
      </x:c>
      <x:c r="B5197" s="12" t="str">
        <x:v>CREAT - UNO MINDA Enterprise</x:v>
      </x:c>
      <x:c r="C5197" s="12" t="str">
        <x:v>CORP-0687</x:v>
      </x:c>
      <x:c r="D5197" s="12" t="str">
        <x:v>Pune</x:v>
      </x:c>
      <x:c r="E5197" s="12" t="str">
        <x:v>ICC Tech Park</x:v>
      </x:c>
      <x:c r="F5197" s="12" t="str">
        <x:v>55 inch</x:v>
      </x:c>
      <x:c r="G5197" s="20" t="n">
        <x:v>1</x:v>
      </x:c>
      <x:c r="H5197" s="12" t="str">
        <x:v>Campus/portfolio roster; individual building occupancy unverified</x:v>
      </x:c>
      <x:c r="I5197" s="12" t="str">
        <x:v>Mixed business audience</x:v>
      </x:c>
      <x:c r="J5197" s="12" t="str">
        <x:v>Engineering &amp; manufacturing</x:v>
      </x:c>
      <x:c r="K5197" s="2" t="str">
        <x:v>PARTNER-M268</x:v>
      </x:c>
    </x:row>
    <x:row r="5198" ht="46" customHeight="1">
      <x:c r="A5198" s="2" t="str">
        <x:v>TEN-EA7C003B3B0A</x:v>
      </x:c>
      <x:c r="B5198" s="12" t="str">
        <x:v>Harman</x:v>
      </x:c>
      <x:c r="C5198" s="12" t="str">
        <x:v>CORP-0687</x:v>
      </x:c>
      <x:c r="D5198" s="12" t="str">
        <x:v>Pune</x:v>
      </x:c>
      <x:c r="E5198" s="12" t="str">
        <x:v>ICC Tech Park</x:v>
      </x:c>
      <x:c r="F5198" s="12" t="str">
        <x:v>55 inch</x:v>
      </x:c>
      <x:c r="G5198" s="20" t="n">
        <x:v>1</x:v>
      </x:c>
      <x:c r="H5198" s="12" t="str">
        <x:v>Campus/portfolio roster; individual building occupancy unverified</x:v>
      </x:c>
      <x:c r="I5198" s="12" t="str">
        <x:v>Mixed business audience</x:v>
      </x:c>
      <x:c r="J5198" s="12" t="str">
        <x:v>Engineering &amp; manufacturing</x:v>
      </x:c>
      <x:c r="K5198" s="2" t="str">
        <x:v>PARTNER-M268</x:v>
      </x:c>
    </x:row>
    <x:row r="5199" ht="46" customHeight="1">
      <x:c r="A5199" s="2" t="str">
        <x:v>TEN-0F34FE7346AD</x:v>
      </x:c>
      <x:c r="B5199" s="12" t="str">
        <x:v>Digitide Solutions Limited</x:v>
      </x:c>
      <x:c r="C5199" s="12" t="str">
        <x:v>CORP-0688</x:v>
      </x:c>
      <x:c r="D5199" s="12" t="str">
        <x:v>Pune</x:v>
      </x:c>
      <x:c r="E5199" s="12" t="str">
        <x:v>ICC Tech Park</x:v>
      </x:c>
      <x:c r="F5199" s="12" t="str">
        <x:v>55 inch</x:v>
      </x:c>
      <x:c r="G5199" s="20" t="n">
        <x:v>1</x:v>
      </x:c>
      <x:c r="H5199" s="12" t="str">
        <x:v>Campus/portfolio roster; individual building occupancy unverified</x:v>
      </x:c>
      <x:c r="I5199" s="12" t="str">
        <x:v>Mixed business audience</x:v>
      </x:c>
      <x:c r="J5199" s="12" t="str">
        <x:v>IT &amp; digital</x:v>
      </x:c>
      <x:c r="K5199" s="2" t="str">
        <x:v>PARTNER-M268</x:v>
      </x:c>
    </x:row>
    <x:row r="5200" ht="46" customHeight="1">
      <x:c r="A5200" s="2" t="str">
        <x:v>TEN-25F7C5FC4BE0</x:v>
      </x:c>
      <x:c r="B5200" s="12" t="str">
        <x:v>Visteon Technical And Services Center</x:v>
      </x:c>
      <x:c r="C5200" s="12" t="str">
        <x:v>CORP-0688</x:v>
      </x:c>
      <x:c r="D5200" s="12" t="str">
        <x:v>Pune</x:v>
      </x:c>
      <x:c r="E5200" s="12" t="str">
        <x:v>ICC Tech Park</x:v>
      </x:c>
      <x:c r="F5200" s="12" t="str">
        <x:v>55 inch</x:v>
      </x:c>
      <x:c r="G5200" s="20" t="n">
        <x:v>1</x:v>
      </x:c>
      <x:c r="H5200" s="12" t="str">
        <x:v>Campus/portfolio roster; individual building occupancy unverified</x:v>
      </x:c>
      <x:c r="I5200" s="12" t="str">
        <x:v>Mixed business audience</x:v>
      </x:c>
      <x:c r="J5200" s="12" t="str">
        <x:v>Engineering &amp; manufacturing</x:v>
      </x:c>
      <x:c r="K5200" s="2" t="str">
        <x:v>PARTNER-M268</x:v>
      </x:c>
    </x:row>
    <x:row r="5201" ht="46" customHeight="1">
      <x:c r="A5201" s="2" t="str">
        <x:v>TEN-282C78C55341</x:v>
      </x:c>
      <x:c r="B5201" s="12" t="str">
        <x:v>Adient Automotive Ltd</x:v>
      </x:c>
      <x:c r="C5201" s="12" t="str">
        <x:v>CORP-0688</x:v>
      </x:c>
      <x:c r="D5201" s="12" t="str">
        <x:v>Pune</x:v>
      </x:c>
      <x:c r="E5201" s="12" t="str">
        <x:v>ICC Tech Park</x:v>
      </x:c>
      <x:c r="F5201" s="12" t="str">
        <x:v>55 inch</x:v>
      </x:c>
      <x:c r="G5201" s="20" t="n">
        <x:v>1</x:v>
      </x:c>
      <x:c r="H5201" s="12" t="str">
        <x:v>Campus/portfolio roster; individual building occupancy unverified</x:v>
      </x:c>
      <x:c r="I5201" s="12" t="str">
        <x:v>Mixed business audience</x:v>
      </x:c>
      <x:c r="J5201" s="12" t="str">
        <x:v>Engineering &amp; manufacturing</x:v>
      </x:c>
      <x:c r="K5201" s="2" t="str">
        <x:v>PARTNER-M268</x:v>
      </x:c>
    </x:row>
    <x:row r="5202" ht="46" customHeight="1">
      <x:c r="A5202" s="2" t="str">
        <x:v>TEN-5DB1442E6DC0</x:v>
      </x:c>
      <x:c r="B5202" s="12" t="str">
        <x:v>INITIA</x:v>
      </x:c>
      <x:c r="C5202" s="12" t="str">
        <x:v>CORP-0688</x:v>
      </x:c>
      <x:c r="D5202" s="12" t="str">
        <x:v>Pune</x:v>
      </x:c>
      <x:c r="E5202" s="12" t="str">
        <x:v>ICC Tech Park</x:v>
      </x:c>
      <x:c r="F5202" s="12" t="str">
        <x:v>55 inch</x:v>
      </x:c>
      <x:c r="G5202" s="20" t="n">
        <x:v>1</x:v>
      </x:c>
      <x:c r="H5202" s="12" t="str">
        <x:v>Campus/portfolio roster; individual building occupancy unverified</x:v>
      </x:c>
      <x:c r="I5202" s="12" t="str">
        <x:v>Mixed business audience</x:v>
      </x:c>
      <x:c r="J5202" s="12" t="str">
        <x:v>Unresolved</x:v>
      </x:c>
      <x:c r="K5202" s="2" t="str">
        <x:v>PARTNER-M268</x:v>
      </x:c>
    </x:row>
    <x:row r="5203" ht="46" customHeight="1">
      <x:c r="A5203" s="2" t="str">
        <x:v>TEN-6DEBCA323DCB</x:v>
      </x:c>
      <x:c r="B5203" s="12" t="str">
        <x:v>Mitsubishi Electric India Private Limited</x:v>
      </x:c>
      <x:c r="C5203" s="12" t="str">
        <x:v>CORP-0688</x:v>
      </x:c>
      <x:c r="D5203" s="12" t="str">
        <x:v>Pune</x:v>
      </x:c>
      <x:c r="E5203" s="12" t="str">
        <x:v>ICC Tech Park</x:v>
      </x:c>
      <x:c r="F5203" s="12" t="str">
        <x:v>55 inch</x:v>
      </x:c>
      <x:c r="G5203" s="20" t="n">
        <x:v>1</x:v>
      </x:c>
      <x:c r="H5203" s="12" t="str">
        <x:v>Campus/portfolio roster; individual building occupancy unverified</x:v>
      </x:c>
      <x:c r="I5203" s="12" t="str">
        <x:v>Mixed business audience</x:v>
      </x:c>
      <x:c r="J5203" s="12" t="str">
        <x:v>Engineering &amp; manufacturing</x:v>
      </x:c>
      <x:c r="K5203" s="2" t="str">
        <x:v>PARTNER-M268</x:v>
      </x:c>
    </x:row>
    <x:row r="5204" ht="46" customHeight="1">
      <x:c r="A5204" s="2" t="str">
        <x:v>TEN-8461E0C288B0</x:v>
      </x:c>
      <x:c r="B5204" s="12" t="str">
        <x:v>Philips India Limited</x:v>
      </x:c>
      <x:c r="C5204" s="12" t="str">
        <x:v>CORP-0688</x:v>
      </x:c>
      <x:c r="D5204" s="12" t="str">
        <x:v>Pune</x:v>
      </x:c>
      <x:c r="E5204" s="12" t="str">
        <x:v>ICC Tech Park</x:v>
      </x:c>
      <x:c r="F5204" s="12" t="str">
        <x:v>55 inch</x:v>
      </x:c>
      <x:c r="G5204" s="20" t="n">
        <x:v>1</x:v>
      </x:c>
      <x:c r="H5204" s="12" t="str">
        <x:v>Campus/portfolio roster; individual building occupancy unverified</x:v>
      </x:c>
      <x:c r="I5204" s="12" t="str">
        <x:v>Large enterprise</x:v>
      </x:c>
      <x:c r="J5204" s="12" t="str">
        <x:v>Engineering &amp; manufacturing</x:v>
      </x:c>
      <x:c r="K5204" s="2" t="str">
        <x:v>PARTNER-M268</x:v>
      </x:c>
    </x:row>
    <x:row r="5205" ht="46" customHeight="1">
      <x:c r="A5205" s="2" t="str">
        <x:v>TEN-8E46D37012AB</x:v>
      </x:c>
      <x:c r="B5205" s="12" t="str">
        <x:v>Yanfeng India Automotive Interiors Systems Pvt. Ltd</x:v>
      </x:c>
      <x:c r="C5205" s="12" t="str">
        <x:v>CORP-0688</x:v>
      </x:c>
      <x:c r="D5205" s="12" t="str">
        <x:v>Pune</x:v>
      </x:c>
      <x:c r="E5205" s="12" t="str">
        <x:v>ICC Tech Park</x:v>
      </x:c>
      <x:c r="F5205" s="12" t="str">
        <x:v>55 inch</x:v>
      </x:c>
      <x:c r="G5205" s="20" t="n">
        <x:v>1</x:v>
      </x:c>
      <x:c r="H5205" s="12" t="str">
        <x:v>Campus/portfolio roster; individual building occupancy unverified</x:v>
      </x:c>
      <x:c r="I5205" s="12" t="str">
        <x:v>Mixed business audience</x:v>
      </x:c>
      <x:c r="J5205" s="12" t="str">
        <x:v>Engineering &amp; manufacturing</x:v>
      </x:c>
      <x:c r="K5205" s="2" t="str">
        <x:v>PARTNER-M268</x:v>
      </x:c>
    </x:row>
    <x:row r="5206" ht="46" customHeight="1">
      <x:c r="A5206" s="2" t="str">
        <x:v>TEN-961C7963E78A</x:v>
      </x:c>
      <x:c r="B5206" s="12" t="str">
        <x:v>Hinduja Tech Limited</x:v>
      </x:c>
      <x:c r="C5206" s="12" t="str">
        <x:v>CORP-0688</x:v>
      </x:c>
      <x:c r="D5206" s="12" t="str">
        <x:v>Pune</x:v>
      </x:c>
      <x:c r="E5206" s="12" t="str">
        <x:v>ICC Tech Park</x:v>
      </x:c>
      <x:c r="F5206" s="12" t="str">
        <x:v>55 inch</x:v>
      </x:c>
      <x:c r="G5206" s="20" t="n">
        <x:v>1</x:v>
      </x:c>
      <x:c r="H5206" s="12" t="str">
        <x:v>Campus/portfolio roster; individual building occupancy unverified</x:v>
      </x:c>
      <x:c r="I5206" s="12" t="str">
        <x:v>Mixed business audience</x:v>
      </x:c>
      <x:c r="J5206" s="12" t="str">
        <x:v>Unresolved</x:v>
      </x:c>
      <x:c r="K5206" s="2" t="str">
        <x:v>PARTNER-M268</x:v>
      </x:c>
    </x:row>
    <x:row r="5207" ht="46" customHeight="1">
      <x:c r="A5207" s="2" t="str">
        <x:v>TEN-DB33228CD9A7</x:v>
      </x:c>
      <x:c r="B5207" s="12" t="str">
        <x:v>Rolls Royce Power Systems</x:v>
      </x:c>
      <x:c r="C5207" s="12" t="str">
        <x:v>CORP-0688</x:v>
      </x:c>
      <x:c r="D5207" s="12" t="str">
        <x:v>Pune</x:v>
      </x:c>
      <x:c r="E5207" s="12" t="str">
        <x:v>ICC Tech Park</x:v>
      </x:c>
      <x:c r="F5207" s="12" t="str">
        <x:v>55 inch</x:v>
      </x:c>
      <x:c r="G5207" s="20" t="n">
        <x:v>1</x:v>
      </x:c>
      <x:c r="H5207" s="12" t="str">
        <x:v>Campus/portfolio roster; individual building occupancy unverified</x:v>
      </x:c>
      <x:c r="I5207" s="12" t="str">
        <x:v>Large enterprise</x:v>
      </x:c>
      <x:c r="J5207" s="12" t="str">
        <x:v>Engineering &amp; manufacturing</x:v>
      </x:c>
      <x:c r="K5207" s="2" t="str">
        <x:v>PARTNER-M268</x:v>
      </x:c>
    </x:row>
    <x:row r="5208" ht="46" customHeight="1">
      <x:c r="A5208" s="2" t="str">
        <x:v>TEN-DD5A43C002F0</x:v>
      </x:c>
      <x:c r="B5208" s="12" t="str">
        <x:v>CREAT - UNO MINDA Enterprise</x:v>
      </x:c>
      <x:c r="C5208" s="12" t="str">
        <x:v>CORP-0688</x:v>
      </x:c>
      <x:c r="D5208" s="12" t="str">
        <x:v>Pune</x:v>
      </x:c>
      <x:c r="E5208" s="12" t="str">
        <x:v>ICC Tech Park</x:v>
      </x:c>
      <x:c r="F5208" s="12" t="str">
        <x:v>55 inch</x:v>
      </x:c>
      <x:c r="G5208" s="20" t="n">
        <x:v>1</x:v>
      </x:c>
      <x:c r="H5208" s="12" t="str">
        <x:v>Campus/portfolio roster; individual building occupancy unverified</x:v>
      </x:c>
      <x:c r="I5208" s="12" t="str">
        <x:v>Mixed business audience</x:v>
      </x:c>
      <x:c r="J5208" s="12" t="str">
        <x:v>Engineering &amp; manufacturing</x:v>
      </x:c>
      <x:c r="K5208" s="2" t="str">
        <x:v>PARTNER-M268</x:v>
      </x:c>
    </x:row>
    <x:row r="5209" ht="46" customHeight="1">
      <x:c r="A5209" s="2" t="str">
        <x:v>TEN-EA7C003B3B0A</x:v>
      </x:c>
      <x:c r="B5209" s="12" t="str">
        <x:v>Harman</x:v>
      </x:c>
      <x:c r="C5209" s="12" t="str">
        <x:v>CORP-0688</x:v>
      </x:c>
      <x:c r="D5209" s="12" t="str">
        <x:v>Pune</x:v>
      </x:c>
      <x:c r="E5209" s="12" t="str">
        <x:v>ICC Tech Park</x:v>
      </x:c>
      <x:c r="F5209" s="12" t="str">
        <x:v>55 inch</x:v>
      </x:c>
      <x:c r="G5209" s="20" t="n">
        <x:v>1</x:v>
      </x:c>
      <x:c r="H5209" s="12" t="str">
        <x:v>Campus/portfolio roster; individual building occupancy unverified</x:v>
      </x:c>
      <x:c r="I5209" s="12" t="str">
        <x:v>Mixed business audience</x:v>
      </x:c>
      <x:c r="J5209" s="12" t="str">
        <x:v>Engineering &amp; manufacturing</x:v>
      </x:c>
      <x:c r="K5209" s="2" t="str">
        <x:v>PARTNER-M268</x:v>
      </x:c>
    </x:row>
    <x:row r="5210" ht="46" customHeight="1">
      <x:c r="A5210" s="2" t="str">
        <x:v>TEN-0E1703C24DF3</x:v>
      </x:c>
      <x:c r="B5210" s="12" t="str">
        <x:v>Elmirate</x:v>
      </x:c>
      <x:c r="C5210" s="12" t="str">
        <x:v>CORP-0689</x:v>
      </x:c>
      <x:c r="D5210" s="12" t="str">
        <x:v>Pune</x:v>
      </x:c>
      <x:c r="E5210" s="12" t="str">
        <x:v>Nyati Tech Park</x:v>
      </x:c>
      <x:c r="F5210" s="12" t="str">
        <x:v>55 inch</x:v>
      </x:c>
      <x:c r="G5210" s="20" t="n">
        <x:v>1</x:v>
      </x:c>
      <x:c r="H5210" s="12" t="str">
        <x:v>Campus/portfolio roster; individual building occupancy unverified</x:v>
      </x:c>
      <x:c r="I5210" s="12" t="str">
        <x:v>Mixed business audience</x:v>
      </x:c>
      <x:c r="J5210" s="12" t="str">
        <x:v>Unresolved</x:v>
      </x:c>
      <x:c r="K5210" s="2" t="str">
        <x:v>PARTNER-M273</x:v>
      </x:c>
    </x:row>
    <x:row r="5211" ht="46" customHeight="1">
      <x:c r="A5211" s="2" t="str">
        <x:v>TEN-B94381F67943</x:v>
      </x:c>
      <x:c r="B5211" s="12" t="str">
        <x:v>Jade Global Software Pvt</x:v>
      </x:c>
      <x:c r="C5211" s="12" t="str">
        <x:v>CORP-0689</x:v>
      </x:c>
      <x:c r="D5211" s="12" t="str">
        <x:v>Pune</x:v>
      </x:c>
      <x:c r="E5211" s="12" t="str">
        <x:v>Nyati Tech Park</x:v>
      </x:c>
      <x:c r="F5211" s="12" t="str">
        <x:v>55 inch</x:v>
      </x:c>
      <x:c r="G5211" s="20" t="n">
        <x:v>1</x:v>
      </x:c>
      <x:c r="H5211" s="12" t="str">
        <x:v>Campus/portfolio roster; individual building occupancy unverified</x:v>
      </x:c>
      <x:c r="I5211" s="12" t="str">
        <x:v>Mixed business audience</x:v>
      </x:c>
      <x:c r="J5211" s="12" t="str">
        <x:v>IT &amp; digital</x:v>
      </x:c>
      <x:c r="K5211" s="2" t="str">
        <x:v>PARTNER-M273</x:v>
      </x:c>
    </x:row>
    <x:row r="5212" ht="46" customHeight="1">
      <x:c r="A5212" s="2" t="str">
        <x:v>TEN-BB34EFA42885</x:v>
      </x:c>
      <x:c r="B5212" s="12" t="str">
        <x:v>Gsource Technologies</x:v>
      </x:c>
      <x:c r="C5212" s="12" t="str">
        <x:v>CORP-0689</x:v>
      </x:c>
      <x:c r="D5212" s="12" t="str">
        <x:v>Pune</x:v>
      </x:c>
      <x:c r="E5212" s="12" t="str">
        <x:v>Nyati Tech Park</x:v>
      </x:c>
      <x:c r="F5212" s="12" t="str">
        <x:v>55 inch</x:v>
      </x:c>
      <x:c r="G5212" s="20" t="n">
        <x:v>1</x:v>
      </x:c>
      <x:c r="H5212" s="12" t="str">
        <x:v>Campus/portfolio roster; individual building occupancy unverified</x:v>
      </x:c>
      <x:c r="I5212" s="12" t="str">
        <x:v>Mixed business audience</x:v>
      </x:c>
      <x:c r="J5212" s="12" t="str">
        <x:v>Unresolved</x:v>
      </x:c>
      <x:c r="K5212" s="2" t="str">
        <x:v>PARTNER-M273</x:v>
      </x:c>
    </x:row>
    <x:row r="5213" ht="46" customHeight="1">
      <x:c r="A5213" s="2" t="str">
        <x:v>TEN-CEEB417D463A</x:v>
      </x:c>
      <x:c r="B5213" s="12" t="str">
        <x:v>ZenTrades India</x:v>
      </x:c>
      <x:c r="C5213" s="12" t="str">
        <x:v>CORP-0689</x:v>
      </x:c>
      <x:c r="D5213" s="12" t="str">
        <x:v>Pune</x:v>
      </x:c>
      <x:c r="E5213" s="12" t="str">
        <x:v>Nyati Tech Park</x:v>
      </x:c>
      <x:c r="F5213" s="12" t="str">
        <x:v>55 inch</x:v>
      </x:c>
      <x:c r="G5213" s="20" t="n">
        <x:v>1</x:v>
      </x:c>
      <x:c r="H5213" s="12" t="str">
        <x:v>Campus/portfolio roster; individual building occupancy unverified</x:v>
      </x:c>
      <x:c r="I5213" s="12" t="str">
        <x:v>Small-scale prospects</x:v>
      </x:c>
      <x:c r="J5213" s="12" t="str">
        <x:v>IT &amp; digital</x:v>
      </x:c>
      <x:c r="K5213" s="2" t="str">
        <x:v>PARTNER-M273</x:v>
      </x:c>
    </x:row>
    <x:row r="5214" ht="46" customHeight="1">
      <x:c r="A5214" s="2" t="str">
        <x:v>TEN-E3B0B0D2C88E</x:v>
      </x:c>
      <x:c r="B5214" s="12" t="str">
        <x:v>Coditas</x:v>
      </x:c>
      <x:c r="C5214" s="12" t="str">
        <x:v>CORP-0689</x:v>
      </x:c>
      <x:c r="D5214" s="12" t="str">
        <x:v>Pune</x:v>
      </x:c>
      <x:c r="E5214" s="12" t="str">
        <x:v>Nyati Tech Park</x:v>
      </x:c>
      <x:c r="F5214" s="12" t="str">
        <x:v>55 inch</x:v>
      </x:c>
      <x:c r="G5214" s="20" t="n">
        <x:v>1</x:v>
      </x:c>
      <x:c r="H5214" s="12" t="str">
        <x:v>Campus/portfolio roster; individual building occupancy unverified</x:v>
      </x:c>
      <x:c r="I5214" s="12" t="str">
        <x:v>Small-scale prospects</x:v>
      </x:c>
      <x:c r="J5214" s="12" t="str">
        <x:v>IT &amp; digital</x:v>
      </x:c>
      <x:c r="K5214" s="2" t="str">
        <x:v>PARTNER-M273</x:v>
      </x:c>
    </x:row>
    <x:row r="5215" ht="46" customHeight="1">
      <x:c r="A5215" s="2" t="str">
        <x:v>TEN-0E1703C24DF3</x:v>
      </x:c>
      <x:c r="B5215" s="12" t="str">
        <x:v>Elmirate</x:v>
      </x:c>
      <x:c r="C5215" s="12" t="str">
        <x:v>CORP-0690</x:v>
      </x:c>
      <x:c r="D5215" s="12" t="str">
        <x:v>Pune</x:v>
      </x:c>
      <x:c r="E5215" s="12" t="str">
        <x:v>Nyati Tech Park</x:v>
      </x:c>
      <x:c r="F5215" s="12" t="str">
        <x:v>55 inch</x:v>
      </x:c>
      <x:c r="G5215" s="20" t="n">
        <x:v>1</x:v>
      </x:c>
      <x:c r="H5215" s="12" t="str">
        <x:v>Campus/portfolio roster; individual building occupancy unverified</x:v>
      </x:c>
      <x:c r="I5215" s="12" t="str">
        <x:v>Mixed business audience</x:v>
      </x:c>
      <x:c r="J5215" s="12" t="str">
        <x:v>Unresolved</x:v>
      </x:c>
      <x:c r="K5215" s="2" t="str">
        <x:v>PARTNER-M273</x:v>
      </x:c>
    </x:row>
    <x:row r="5216" ht="46" customHeight="1">
      <x:c r="A5216" s="2" t="str">
        <x:v>TEN-B94381F67943</x:v>
      </x:c>
      <x:c r="B5216" s="12" t="str">
        <x:v>Jade Global Software Pvt</x:v>
      </x:c>
      <x:c r="C5216" s="12" t="str">
        <x:v>CORP-0690</x:v>
      </x:c>
      <x:c r="D5216" s="12" t="str">
        <x:v>Pune</x:v>
      </x:c>
      <x:c r="E5216" s="12" t="str">
        <x:v>Nyati Tech Park</x:v>
      </x:c>
      <x:c r="F5216" s="12" t="str">
        <x:v>55 inch</x:v>
      </x:c>
      <x:c r="G5216" s="20" t="n">
        <x:v>1</x:v>
      </x:c>
      <x:c r="H5216" s="12" t="str">
        <x:v>Campus/portfolio roster; individual building occupancy unverified</x:v>
      </x:c>
      <x:c r="I5216" s="12" t="str">
        <x:v>Mixed business audience</x:v>
      </x:c>
      <x:c r="J5216" s="12" t="str">
        <x:v>IT &amp; digital</x:v>
      </x:c>
      <x:c r="K5216" s="2" t="str">
        <x:v>PARTNER-M273</x:v>
      </x:c>
    </x:row>
    <x:row r="5217" ht="46" customHeight="1">
      <x:c r="A5217" s="2" t="str">
        <x:v>TEN-BB34EFA42885</x:v>
      </x:c>
      <x:c r="B5217" s="12" t="str">
        <x:v>Gsource Technologies</x:v>
      </x:c>
      <x:c r="C5217" s="12" t="str">
        <x:v>CORP-0690</x:v>
      </x:c>
      <x:c r="D5217" s="12" t="str">
        <x:v>Pune</x:v>
      </x:c>
      <x:c r="E5217" s="12" t="str">
        <x:v>Nyati Tech Park</x:v>
      </x:c>
      <x:c r="F5217" s="12" t="str">
        <x:v>55 inch</x:v>
      </x:c>
      <x:c r="G5217" s="20" t="n">
        <x:v>1</x:v>
      </x:c>
      <x:c r="H5217" s="12" t="str">
        <x:v>Campus/portfolio roster; individual building occupancy unverified</x:v>
      </x:c>
      <x:c r="I5217" s="12" t="str">
        <x:v>Mixed business audience</x:v>
      </x:c>
      <x:c r="J5217" s="12" t="str">
        <x:v>Unresolved</x:v>
      </x:c>
      <x:c r="K5217" s="2" t="str">
        <x:v>PARTNER-M273</x:v>
      </x:c>
    </x:row>
    <x:row r="5218" ht="46" customHeight="1">
      <x:c r="A5218" s="2" t="str">
        <x:v>TEN-CEEB417D463A</x:v>
      </x:c>
      <x:c r="B5218" s="12" t="str">
        <x:v>ZenTrades India</x:v>
      </x:c>
      <x:c r="C5218" s="12" t="str">
        <x:v>CORP-0690</x:v>
      </x:c>
      <x:c r="D5218" s="12" t="str">
        <x:v>Pune</x:v>
      </x:c>
      <x:c r="E5218" s="12" t="str">
        <x:v>Nyati Tech Park</x:v>
      </x:c>
      <x:c r="F5218" s="12" t="str">
        <x:v>55 inch</x:v>
      </x:c>
      <x:c r="G5218" s="20" t="n">
        <x:v>1</x:v>
      </x:c>
      <x:c r="H5218" s="12" t="str">
        <x:v>Campus/portfolio roster; individual building occupancy unverified</x:v>
      </x:c>
      <x:c r="I5218" s="12" t="str">
        <x:v>Small-scale prospects</x:v>
      </x:c>
      <x:c r="J5218" s="12" t="str">
        <x:v>IT &amp; digital</x:v>
      </x:c>
      <x:c r="K5218" s="2" t="str">
        <x:v>PARTNER-M273</x:v>
      </x:c>
    </x:row>
    <x:row r="5219" ht="46" customHeight="1">
      <x:c r="A5219" s="2" t="str">
        <x:v>TEN-E3B0B0D2C88E</x:v>
      </x:c>
      <x:c r="B5219" s="12" t="str">
        <x:v>Coditas</x:v>
      </x:c>
      <x:c r="C5219" s="12" t="str">
        <x:v>CORP-0690</x:v>
      </x:c>
      <x:c r="D5219" s="12" t="str">
        <x:v>Pune</x:v>
      </x:c>
      <x:c r="E5219" s="12" t="str">
        <x:v>Nyati Tech Park</x:v>
      </x:c>
      <x:c r="F5219" s="12" t="str">
        <x:v>55 inch</x:v>
      </x:c>
      <x:c r="G5219" s="20" t="n">
        <x:v>1</x:v>
      </x:c>
      <x:c r="H5219" s="12" t="str">
        <x:v>Campus/portfolio roster; individual building occupancy unverified</x:v>
      </x:c>
      <x:c r="I5219" s="12" t="str">
        <x:v>Small-scale prospects</x:v>
      </x:c>
      <x:c r="J5219" s="12" t="str">
        <x:v>IT &amp; digital</x:v>
      </x:c>
      <x:c r="K5219" s="2" t="str">
        <x:v>PARTNER-M273</x:v>
      </x:c>
    </x:row>
    <x:row r="5220" ht="46" customHeight="1">
      <x:c r="A5220" s="2" t="str">
        <x:v>TEN-0E1703C24DF3</x:v>
      </x:c>
      <x:c r="B5220" s="12" t="str">
        <x:v>Elmirate</x:v>
      </x:c>
      <x:c r="C5220" s="12" t="str">
        <x:v>CORP-0691</x:v>
      </x:c>
      <x:c r="D5220" s="12" t="str">
        <x:v>Pune</x:v>
      </x:c>
      <x:c r="E5220" s="12" t="str">
        <x:v>Nyati Tech Park</x:v>
      </x:c>
      <x:c r="F5220" s="12" t="str">
        <x:v>55 inch</x:v>
      </x:c>
      <x:c r="G5220" s="20" t="n">
        <x:v>1</x:v>
      </x:c>
      <x:c r="H5220" s="12" t="str">
        <x:v>Campus/portfolio roster; individual building occupancy unverified</x:v>
      </x:c>
      <x:c r="I5220" s="12" t="str">
        <x:v>Mixed business audience</x:v>
      </x:c>
      <x:c r="J5220" s="12" t="str">
        <x:v>Unresolved</x:v>
      </x:c>
      <x:c r="K5220" s="2" t="str">
        <x:v>PARTNER-M273</x:v>
      </x:c>
    </x:row>
    <x:row r="5221" ht="46" customHeight="1">
      <x:c r="A5221" s="2" t="str">
        <x:v>TEN-B94381F67943</x:v>
      </x:c>
      <x:c r="B5221" s="12" t="str">
        <x:v>Jade Global Software Pvt</x:v>
      </x:c>
      <x:c r="C5221" s="12" t="str">
        <x:v>CORP-0691</x:v>
      </x:c>
      <x:c r="D5221" s="12" t="str">
        <x:v>Pune</x:v>
      </x:c>
      <x:c r="E5221" s="12" t="str">
        <x:v>Nyati Tech Park</x:v>
      </x:c>
      <x:c r="F5221" s="12" t="str">
        <x:v>55 inch</x:v>
      </x:c>
      <x:c r="G5221" s="20" t="n">
        <x:v>1</x:v>
      </x:c>
      <x:c r="H5221" s="12" t="str">
        <x:v>Campus/portfolio roster; individual building occupancy unverified</x:v>
      </x:c>
      <x:c r="I5221" s="12" t="str">
        <x:v>Mixed business audience</x:v>
      </x:c>
      <x:c r="J5221" s="12" t="str">
        <x:v>IT &amp; digital</x:v>
      </x:c>
      <x:c r="K5221" s="2" t="str">
        <x:v>PARTNER-M273</x:v>
      </x:c>
    </x:row>
    <x:row r="5222" ht="46" customHeight="1">
      <x:c r="A5222" s="2" t="str">
        <x:v>TEN-BB34EFA42885</x:v>
      </x:c>
      <x:c r="B5222" s="12" t="str">
        <x:v>Gsource Technologies</x:v>
      </x:c>
      <x:c r="C5222" s="12" t="str">
        <x:v>CORP-0691</x:v>
      </x:c>
      <x:c r="D5222" s="12" t="str">
        <x:v>Pune</x:v>
      </x:c>
      <x:c r="E5222" s="12" t="str">
        <x:v>Nyati Tech Park</x:v>
      </x:c>
      <x:c r="F5222" s="12" t="str">
        <x:v>55 inch</x:v>
      </x:c>
      <x:c r="G5222" s="20" t="n">
        <x:v>1</x:v>
      </x:c>
      <x:c r="H5222" s="12" t="str">
        <x:v>Campus/portfolio roster; individual building occupancy unverified</x:v>
      </x:c>
      <x:c r="I5222" s="12" t="str">
        <x:v>Mixed business audience</x:v>
      </x:c>
      <x:c r="J5222" s="12" t="str">
        <x:v>Unresolved</x:v>
      </x:c>
      <x:c r="K5222" s="2" t="str">
        <x:v>PARTNER-M273</x:v>
      </x:c>
    </x:row>
    <x:row r="5223" ht="46" customHeight="1">
      <x:c r="A5223" s="2" t="str">
        <x:v>TEN-CEEB417D463A</x:v>
      </x:c>
      <x:c r="B5223" s="12" t="str">
        <x:v>ZenTrades India</x:v>
      </x:c>
      <x:c r="C5223" s="12" t="str">
        <x:v>CORP-0691</x:v>
      </x:c>
      <x:c r="D5223" s="12" t="str">
        <x:v>Pune</x:v>
      </x:c>
      <x:c r="E5223" s="12" t="str">
        <x:v>Nyati Tech Park</x:v>
      </x:c>
      <x:c r="F5223" s="12" t="str">
        <x:v>55 inch</x:v>
      </x:c>
      <x:c r="G5223" s="20" t="n">
        <x:v>1</x:v>
      </x:c>
      <x:c r="H5223" s="12" t="str">
        <x:v>Campus/portfolio roster; individual building occupancy unverified</x:v>
      </x:c>
      <x:c r="I5223" s="12" t="str">
        <x:v>Small-scale prospects</x:v>
      </x:c>
      <x:c r="J5223" s="12" t="str">
        <x:v>IT &amp; digital</x:v>
      </x:c>
      <x:c r="K5223" s="2" t="str">
        <x:v>PARTNER-M273</x:v>
      </x:c>
    </x:row>
    <x:row r="5224" ht="46" customHeight="1">
      <x:c r="A5224" s="2" t="str">
        <x:v>TEN-E3B0B0D2C88E</x:v>
      </x:c>
      <x:c r="B5224" s="12" t="str">
        <x:v>Coditas</x:v>
      </x:c>
      <x:c r="C5224" s="12" t="str">
        <x:v>CORP-0691</x:v>
      </x:c>
      <x:c r="D5224" s="12" t="str">
        <x:v>Pune</x:v>
      </x:c>
      <x:c r="E5224" s="12" t="str">
        <x:v>Nyati Tech Park</x:v>
      </x:c>
      <x:c r="F5224" s="12" t="str">
        <x:v>55 inch</x:v>
      </x:c>
      <x:c r="G5224" s="20" t="n">
        <x:v>1</x:v>
      </x:c>
      <x:c r="H5224" s="12" t="str">
        <x:v>Campus/portfolio roster; individual building occupancy unverified</x:v>
      </x:c>
      <x:c r="I5224" s="12" t="str">
        <x:v>Small-scale prospects</x:v>
      </x:c>
      <x:c r="J5224" s="12" t="str">
        <x:v>IT &amp; digital</x:v>
      </x:c>
      <x:c r="K5224" s="2" t="str">
        <x:v>PARTNER-M273</x:v>
      </x:c>
    </x:row>
    <x:row r="5225" ht="46" customHeight="1">
      <x:c r="A5225" s="2" t="str">
        <x:v>TEN-0E1703C24DF3</x:v>
      </x:c>
      <x:c r="B5225" s="12" t="str">
        <x:v>Elmirate</x:v>
      </x:c>
      <x:c r="C5225" s="12" t="str">
        <x:v>CORP-0692</x:v>
      </x:c>
      <x:c r="D5225" s="12" t="str">
        <x:v>Pune</x:v>
      </x:c>
      <x:c r="E5225" s="12" t="str">
        <x:v>Nyati Tech Park</x:v>
      </x:c>
      <x:c r="F5225" s="12" t="str">
        <x:v>55 inch</x:v>
      </x:c>
      <x:c r="G5225" s="20" t="n">
        <x:v>1</x:v>
      </x:c>
      <x:c r="H5225" s="12" t="str">
        <x:v>Campus/portfolio roster; individual building occupancy unverified</x:v>
      </x:c>
      <x:c r="I5225" s="12" t="str">
        <x:v>Mixed business audience</x:v>
      </x:c>
      <x:c r="J5225" s="12" t="str">
        <x:v>Unresolved</x:v>
      </x:c>
      <x:c r="K5225" s="2" t="str">
        <x:v>PARTNER-M273</x:v>
      </x:c>
    </x:row>
    <x:row r="5226" ht="46" customHeight="1">
      <x:c r="A5226" s="2" t="str">
        <x:v>TEN-B94381F67943</x:v>
      </x:c>
      <x:c r="B5226" s="12" t="str">
        <x:v>Jade Global Software Pvt</x:v>
      </x:c>
      <x:c r="C5226" s="12" t="str">
        <x:v>CORP-0692</x:v>
      </x:c>
      <x:c r="D5226" s="12" t="str">
        <x:v>Pune</x:v>
      </x:c>
      <x:c r="E5226" s="12" t="str">
        <x:v>Nyati Tech Park</x:v>
      </x:c>
      <x:c r="F5226" s="12" t="str">
        <x:v>55 inch</x:v>
      </x:c>
      <x:c r="G5226" s="20" t="n">
        <x:v>1</x:v>
      </x:c>
      <x:c r="H5226" s="12" t="str">
        <x:v>Campus/portfolio roster; individual building occupancy unverified</x:v>
      </x:c>
      <x:c r="I5226" s="12" t="str">
        <x:v>Mixed business audience</x:v>
      </x:c>
      <x:c r="J5226" s="12" t="str">
        <x:v>IT &amp; digital</x:v>
      </x:c>
      <x:c r="K5226" s="2" t="str">
        <x:v>PARTNER-M273</x:v>
      </x:c>
    </x:row>
    <x:row r="5227" ht="46" customHeight="1">
      <x:c r="A5227" s="2" t="str">
        <x:v>TEN-BB34EFA42885</x:v>
      </x:c>
      <x:c r="B5227" s="12" t="str">
        <x:v>Gsource Technologies</x:v>
      </x:c>
      <x:c r="C5227" s="12" t="str">
        <x:v>CORP-0692</x:v>
      </x:c>
      <x:c r="D5227" s="12" t="str">
        <x:v>Pune</x:v>
      </x:c>
      <x:c r="E5227" s="12" t="str">
        <x:v>Nyati Tech Park</x:v>
      </x:c>
      <x:c r="F5227" s="12" t="str">
        <x:v>55 inch</x:v>
      </x:c>
      <x:c r="G5227" s="20" t="n">
        <x:v>1</x:v>
      </x:c>
      <x:c r="H5227" s="12" t="str">
        <x:v>Campus/portfolio roster; individual building occupancy unverified</x:v>
      </x:c>
      <x:c r="I5227" s="12" t="str">
        <x:v>Mixed business audience</x:v>
      </x:c>
      <x:c r="J5227" s="12" t="str">
        <x:v>Unresolved</x:v>
      </x:c>
      <x:c r="K5227" s="2" t="str">
        <x:v>PARTNER-M273</x:v>
      </x:c>
    </x:row>
    <x:row r="5228" ht="46" customHeight="1">
      <x:c r="A5228" s="2" t="str">
        <x:v>TEN-CEEB417D463A</x:v>
      </x:c>
      <x:c r="B5228" s="12" t="str">
        <x:v>ZenTrades India</x:v>
      </x:c>
      <x:c r="C5228" s="12" t="str">
        <x:v>CORP-0692</x:v>
      </x:c>
      <x:c r="D5228" s="12" t="str">
        <x:v>Pune</x:v>
      </x:c>
      <x:c r="E5228" s="12" t="str">
        <x:v>Nyati Tech Park</x:v>
      </x:c>
      <x:c r="F5228" s="12" t="str">
        <x:v>55 inch</x:v>
      </x:c>
      <x:c r="G5228" s="20" t="n">
        <x:v>1</x:v>
      </x:c>
      <x:c r="H5228" s="12" t="str">
        <x:v>Campus/portfolio roster; individual building occupancy unverified</x:v>
      </x:c>
      <x:c r="I5228" s="12" t="str">
        <x:v>Small-scale prospects</x:v>
      </x:c>
      <x:c r="J5228" s="12" t="str">
        <x:v>IT &amp; digital</x:v>
      </x:c>
      <x:c r="K5228" s="2" t="str">
        <x:v>PARTNER-M273</x:v>
      </x:c>
    </x:row>
    <x:row r="5229" ht="46" customHeight="1">
      <x:c r="A5229" s="2" t="str">
        <x:v>TEN-E3B0B0D2C88E</x:v>
      </x:c>
      <x:c r="B5229" s="12" t="str">
        <x:v>Coditas</x:v>
      </x:c>
      <x:c r="C5229" s="12" t="str">
        <x:v>CORP-0692</x:v>
      </x:c>
      <x:c r="D5229" s="12" t="str">
        <x:v>Pune</x:v>
      </x:c>
      <x:c r="E5229" s="12" t="str">
        <x:v>Nyati Tech Park</x:v>
      </x:c>
      <x:c r="F5229" s="12" t="str">
        <x:v>55 inch</x:v>
      </x:c>
      <x:c r="G5229" s="20" t="n">
        <x:v>1</x:v>
      </x:c>
      <x:c r="H5229" s="12" t="str">
        <x:v>Campus/portfolio roster; individual building occupancy unverified</x:v>
      </x:c>
      <x:c r="I5229" s="12" t="str">
        <x:v>Small-scale prospects</x:v>
      </x:c>
      <x:c r="J5229" s="12" t="str">
        <x:v>IT &amp; digital</x:v>
      </x:c>
      <x:c r="K5229" s="2" t="str">
        <x:v>PARTNER-M273</x:v>
      </x:c>
    </x:row>
    <x:row r="5230" ht="46" customHeight="1">
      <x:c r="A5230" s="2" t="str">
        <x:v>TEN-3209262EB544</x:v>
      </x:c>
      <x:c r="B5230" s="12" t="str">
        <x:v>Pristine Market Insights</x:v>
      </x:c>
      <x:c r="C5230" s="12" t="str">
        <x:v>CORP-0693</x:v>
      </x:c>
      <x:c r="D5230" s="12" t="str">
        <x:v>Pune</x:v>
      </x:c>
      <x:c r="E5230" s="12" t="str">
        <x:v>Nyati Enthral</x:v>
      </x:c>
      <x:c r="F5230" s="12" t="str">
        <x:v>55 inch</x:v>
      </x:c>
      <x:c r="G5230" s="20" t="n">
        <x:v>1</x:v>
      </x:c>
      <x:c r="H5230" s="12" t="str">
        <x:v>Campus/portfolio roster; individual building occupancy unverified</x:v>
      </x:c>
      <x:c r="I5230" s="12" t="str">
        <x:v>Small-scale prospects</x:v>
      </x:c>
      <x:c r="J5230" s="12" t="str">
        <x:v>Professional services</x:v>
      </x:c>
      <x:c r="K5230" s="2" t="str">
        <x:v>PARTNER-M277</x:v>
      </x:c>
    </x:row>
    <x:row r="5231" ht="46" customHeight="1">
      <x:c r="A5231" s="2" t="str">
        <x:v>TEN-3BBC9DDC0771</x:v>
      </x:c>
      <x:c r="B5231" s="12" t="str">
        <x:v>Realtyroof</x:v>
      </x:c>
      <x:c r="C5231" s="12" t="str">
        <x:v>CORP-0693</x:v>
      </x:c>
      <x:c r="D5231" s="12" t="str">
        <x:v>Pune</x:v>
      </x:c>
      <x:c r="E5231" s="12" t="str">
        <x:v>Nyati Enthral</x:v>
      </x:c>
      <x:c r="F5231" s="12" t="str">
        <x:v>55 inch</x:v>
      </x:c>
      <x:c r="G5231" s="20" t="n">
        <x:v>1</x:v>
      </x:c>
      <x:c r="H5231" s="12" t="str">
        <x:v>Campus/portfolio roster; individual building occupancy unverified</x:v>
      </x:c>
      <x:c r="I5231" s="12" t="str">
        <x:v>Small-scale prospects</x:v>
      </x:c>
      <x:c r="J5231" s="12" t="str">
        <x:v>Trade, consumer &amp; logistics</x:v>
      </x:c>
      <x:c r="K5231" s="2" t="str">
        <x:v>PARTNER-M277</x:v>
      </x:c>
    </x:row>
    <x:row r="5232" ht="46" customHeight="1">
      <x:c r="A5232" s="2" t="str">
        <x:v>TEN-57D421286AA8</x:v>
      </x:c>
      <x:c r="B5232" s="12" t="str">
        <x:v>Valar Digital</x:v>
      </x:c>
      <x:c r="C5232" s="12" t="str">
        <x:v>CORP-0693</x:v>
      </x:c>
      <x:c r="D5232" s="12" t="str">
        <x:v>Pune</x:v>
      </x:c>
      <x:c r="E5232" s="12" t="str">
        <x:v>Nyati Enthral</x:v>
      </x:c>
      <x:c r="F5232" s="12" t="str">
        <x:v>55 inch</x:v>
      </x:c>
      <x:c r="G5232" s="20" t="n">
        <x:v>1</x:v>
      </x:c>
      <x:c r="H5232" s="12" t="str">
        <x:v>Campus/portfolio roster; individual building occupancy unverified</x:v>
      </x:c>
      <x:c r="I5232" s="12" t="str">
        <x:v>Small-scale prospects</x:v>
      </x:c>
      <x:c r="J5232" s="12" t="str">
        <x:v>IT &amp; digital</x:v>
      </x:c>
      <x:c r="K5232" s="2" t="str">
        <x:v>PARTNER-M277</x:v>
      </x:c>
    </x:row>
    <x:row r="5233" ht="46" customHeight="1">
      <x:c r="A5233" s="2" t="str">
        <x:v>TEN-66205FE9281A</x:v>
      </x:c>
      <x:c r="B5233" s="12" t="str">
        <x:v>Transcom</x:v>
      </x:c>
      <x:c r="C5233" s="12" t="str">
        <x:v>CORP-0693</x:v>
      </x:c>
      <x:c r="D5233" s="12" t="str">
        <x:v>Pune</x:v>
      </x:c>
      <x:c r="E5233" s="12" t="str">
        <x:v>Nyati Enthral</x:v>
      </x:c>
      <x:c r="F5233" s="12" t="str">
        <x:v>55 inch</x:v>
      </x:c>
      <x:c r="G5233" s="20" t="n">
        <x:v>1</x:v>
      </x:c>
      <x:c r="H5233" s="12" t="str">
        <x:v>Campus/portfolio roster; individual building occupancy unverified</x:v>
      </x:c>
      <x:c r="I5233" s="12" t="str">
        <x:v>Mixed business audience</x:v>
      </x:c>
      <x:c r="J5233" s="12" t="str">
        <x:v>IT &amp; digital</x:v>
      </x:c>
      <x:c r="K5233" s="2" t="str">
        <x:v>PARTNER-M277</x:v>
      </x:c>
    </x:row>
    <x:row r="5234" ht="46" customHeight="1">
      <x:c r="A5234" s="2" t="str">
        <x:v>TEN-88E49CC6261B</x:v>
      </x:c>
      <x:c r="B5234" s="12" t="str">
        <x:v>Aceis Services</x:v>
      </x:c>
      <x:c r="C5234" s="12" t="str">
        <x:v>CORP-0693</x:v>
      </x:c>
      <x:c r="D5234" s="12" t="str">
        <x:v>Pune</x:v>
      </x:c>
      <x:c r="E5234" s="12" t="str">
        <x:v>Nyati Enthral</x:v>
      </x:c>
      <x:c r="F5234" s="12" t="str">
        <x:v>55 inch</x:v>
      </x:c>
      <x:c r="G5234" s="20" t="n">
        <x:v>1</x:v>
      </x:c>
      <x:c r="H5234" s="12" t="str">
        <x:v>Campus/portfolio roster; individual building occupancy unverified</x:v>
      </x:c>
      <x:c r="I5234" s="12" t="str">
        <x:v>Mixed business audience</x:v>
      </x:c>
      <x:c r="J5234" s="12" t="str">
        <x:v>Unresolved</x:v>
      </x:c>
      <x:c r="K5234" s="2" t="str">
        <x:v>PARTNER-M277</x:v>
      </x:c>
    </x:row>
    <x:row r="5235" ht="46" customHeight="1">
      <x:c r="A5235" s="2" t="str">
        <x:v>TEN-BB47F2F86C7E</x:v>
      </x:c>
      <x:c r="B5235" s="12" t="str">
        <x:v>Autuskey Private Limited</x:v>
      </x:c>
      <x:c r="C5235" s="12" t="str">
        <x:v>CORP-0693</x:v>
      </x:c>
      <x:c r="D5235" s="12" t="str">
        <x:v>Pune</x:v>
      </x:c>
      <x:c r="E5235" s="12" t="str">
        <x:v>Nyati Enthral</x:v>
      </x:c>
      <x:c r="F5235" s="12" t="str">
        <x:v>55 inch</x:v>
      </x:c>
      <x:c r="G5235" s="20" t="n">
        <x:v>1</x:v>
      </x:c>
      <x:c r="H5235" s="12" t="str">
        <x:v>Campus/portfolio roster; individual building occupancy unverified</x:v>
      </x:c>
      <x:c r="I5235" s="12" t="str">
        <x:v>Small-scale prospects</x:v>
      </x:c>
      <x:c r="J5235" s="12" t="str">
        <x:v>IT &amp; digital</x:v>
      </x:c>
      <x:c r="K5235" s="2" t="str">
        <x:v>PARTNER-M277</x:v>
      </x:c>
    </x:row>
    <x:row r="5236" ht="46" customHeight="1">
      <x:c r="A5236" s="2" t="str">
        <x:v>TEN-F6EB468BF351</x:v>
      </x:c>
      <x:c r="B5236" s="12" t="str">
        <x:v>Aadrika Automation</x:v>
      </x:c>
      <x:c r="C5236" s="12" t="str">
        <x:v>CORP-0693</x:v>
      </x:c>
      <x:c r="D5236" s="12" t="str">
        <x:v>Pune</x:v>
      </x:c>
      <x:c r="E5236" s="12" t="str">
        <x:v>Nyati Enthral</x:v>
      </x:c>
      <x:c r="F5236" s="12" t="str">
        <x:v>55 inch</x:v>
      </x:c>
      <x:c r="G5236" s="20" t="n">
        <x:v>1</x:v>
      </x:c>
      <x:c r="H5236" s="12" t="str">
        <x:v>Campus/portfolio roster; individual building occupancy unverified</x:v>
      </x:c>
      <x:c r="I5236" s="12" t="str">
        <x:v>Medium-scale prospects</x:v>
      </x:c>
      <x:c r="J5236" s="12" t="str">
        <x:v>Engineering &amp; manufacturing</x:v>
      </x:c>
      <x:c r="K5236" s="2" t="str">
        <x:v>PARTNER-M277</x:v>
      </x:c>
    </x:row>
    <x:row r="5237" ht="46" customHeight="1">
      <x:c r="A5237" s="2" t="str">
        <x:v>TEN-3209262EB544</x:v>
      </x:c>
      <x:c r="B5237" s="12" t="str">
        <x:v>Pristine Market Insights</x:v>
      </x:c>
      <x:c r="C5237" s="12" t="str">
        <x:v>CORP-0694</x:v>
      </x:c>
      <x:c r="D5237" s="12" t="str">
        <x:v>Pune</x:v>
      </x:c>
      <x:c r="E5237" s="12" t="str">
        <x:v>Nyati Enthral</x:v>
      </x:c>
      <x:c r="F5237" s="12" t="str">
        <x:v>55 inch</x:v>
      </x:c>
      <x:c r="G5237" s="20" t="n">
        <x:v>1</x:v>
      </x:c>
      <x:c r="H5237" s="12" t="str">
        <x:v>Campus/portfolio roster; individual building occupancy unverified</x:v>
      </x:c>
      <x:c r="I5237" s="12" t="str">
        <x:v>Small-scale prospects</x:v>
      </x:c>
      <x:c r="J5237" s="12" t="str">
        <x:v>Professional services</x:v>
      </x:c>
      <x:c r="K5237" s="2" t="str">
        <x:v>PARTNER-M277</x:v>
      </x:c>
    </x:row>
    <x:row r="5238" ht="46" customHeight="1">
      <x:c r="A5238" s="2" t="str">
        <x:v>TEN-3BBC9DDC0771</x:v>
      </x:c>
      <x:c r="B5238" s="12" t="str">
        <x:v>Realtyroof</x:v>
      </x:c>
      <x:c r="C5238" s="12" t="str">
        <x:v>CORP-0694</x:v>
      </x:c>
      <x:c r="D5238" s="12" t="str">
        <x:v>Pune</x:v>
      </x:c>
      <x:c r="E5238" s="12" t="str">
        <x:v>Nyati Enthral</x:v>
      </x:c>
      <x:c r="F5238" s="12" t="str">
        <x:v>55 inch</x:v>
      </x:c>
      <x:c r="G5238" s="20" t="n">
        <x:v>1</x:v>
      </x:c>
      <x:c r="H5238" s="12" t="str">
        <x:v>Campus/portfolio roster; individual building occupancy unverified</x:v>
      </x:c>
      <x:c r="I5238" s="12" t="str">
        <x:v>Small-scale prospects</x:v>
      </x:c>
      <x:c r="J5238" s="12" t="str">
        <x:v>Trade, consumer &amp; logistics</x:v>
      </x:c>
      <x:c r="K5238" s="2" t="str">
        <x:v>PARTNER-M277</x:v>
      </x:c>
    </x:row>
    <x:row r="5239" ht="46" customHeight="1">
      <x:c r="A5239" s="2" t="str">
        <x:v>TEN-57D421286AA8</x:v>
      </x:c>
      <x:c r="B5239" s="12" t="str">
        <x:v>Valar Digital</x:v>
      </x:c>
      <x:c r="C5239" s="12" t="str">
        <x:v>CORP-0694</x:v>
      </x:c>
      <x:c r="D5239" s="12" t="str">
        <x:v>Pune</x:v>
      </x:c>
      <x:c r="E5239" s="12" t="str">
        <x:v>Nyati Enthral</x:v>
      </x:c>
      <x:c r="F5239" s="12" t="str">
        <x:v>55 inch</x:v>
      </x:c>
      <x:c r="G5239" s="20" t="n">
        <x:v>1</x:v>
      </x:c>
      <x:c r="H5239" s="12" t="str">
        <x:v>Campus/portfolio roster; individual building occupancy unverified</x:v>
      </x:c>
      <x:c r="I5239" s="12" t="str">
        <x:v>Small-scale prospects</x:v>
      </x:c>
      <x:c r="J5239" s="12" t="str">
        <x:v>IT &amp; digital</x:v>
      </x:c>
      <x:c r="K5239" s="2" t="str">
        <x:v>PARTNER-M277</x:v>
      </x:c>
    </x:row>
    <x:row r="5240" ht="46" customHeight="1">
      <x:c r="A5240" s="2" t="str">
        <x:v>TEN-66205FE9281A</x:v>
      </x:c>
      <x:c r="B5240" s="12" t="str">
        <x:v>Transcom</x:v>
      </x:c>
      <x:c r="C5240" s="12" t="str">
        <x:v>CORP-0694</x:v>
      </x:c>
      <x:c r="D5240" s="12" t="str">
        <x:v>Pune</x:v>
      </x:c>
      <x:c r="E5240" s="12" t="str">
        <x:v>Nyati Enthral</x:v>
      </x:c>
      <x:c r="F5240" s="12" t="str">
        <x:v>55 inch</x:v>
      </x:c>
      <x:c r="G5240" s="20" t="n">
        <x:v>1</x:v>
      </x:c>
      <x:c r="H5240" s="12" t="str">
        <x:v>Campus/portfolio roster; individual building occupancy unverified</x:v>
      </x:c>
      <x:c r="I5240" s="12" t="str">
        <x:v>Mixed business audience</x:v>
      </x:c>
      <x:c r="J5240" s="12" t="str">
        <x:v>IT &amp; digital</x:v>
      </x:c>
      <x:c r="K5240" s="2" t="str">
        <x:v>PARTNER-M277</x:v>
      </x:c>
    </x:row>
    <x:row r="5241" ht="46" customHeight="1">
      <x:c r="A5241" s="2" t="str">
        <x:v>TEN-88E49CC6261B</x:v>
      </x:c>
      <x:c r="B5241" s="12" t="str">
        <x:v>Aceis Services</x:v>
      </x:c>
      <x:c r="C5241" s="12" t="str">
        <x:v>CORP-0694</x:v>
      </x:c>
      <x:c r="D5241" s="12" t="str">
        <x:v>Pune</x:v>
      </x:c>
      <x:c r="E5241" s="12" t="str">
        <x:v>Nyati Enthral</x:v>
      </x:c>
      <x:c r="F5241" s="12" t="str">
        <x:v>55 inch</x:v>
      </x:c>
      <x:c r="G5241" s="20" t="n">
        <x:v>1</x:v>
      </x:c>
      <x:c r="H5241" s="12" t="str">
        <x:v>Campus/portfolio roster; individual building occupancy unverified</x:v>
      </x:c>
      <x:c r="I5241" s="12" t="str">
        <x:v>Mixed business audience</x:v>
      </x:c>
      <x:c r="J5241" s="12" t="str">
        <x:v>Unresolved</x:v>
      </x:c>
      <x:c r="K5241" s="2" t="str">
        <x:v>PARTNER-M277</x:v>
      </x:c>
    </x:row>
    <x:row r="5242" ht="46" customHeight="1">
      <x:c r="A5242" s="2" t="str">
        <x:v>TEN-BB47F2F86C7E</x:v>
      </x:c>
      <x:c r="B5242" s="12" t="str">
        <x:v>Autuskey Private Limited</x:v>
      </x:c>
      <x:c r="C5242" s="12" t="str">
        <x:v>CORP-0694</x:v>
      </x:c>
      <x:c r="D5242" s="12" t="str">
        <x:v>Pune</x:v>
      </x:c>
      <x:c r="E5242" s="12" t="str">
        <x:v>Nyati Enthral</x:v>
      </x:c>
      <x:c r="F5242" s="12" t="str">
        <x:v>55 inch</x:v>
      </x:c>
      <x:c r="G5242" s="20" t="n">
        <x:v>1</x:v>
      </x:c>
      <x:c r="H5242" s="12" t="str">
        <x:v>Campus/portfolio roster; individual building occupancy unverified</x:v>
      </x:c>
      <x:c r="I5242" s="12" t="str">
        <x:v>Small-scale prospects</x:v>
      </x:c>
      <x:c r="J5242" s="12" t="str">
        <x:v>IT &amp; digital</x:v>
      </x:c>
      <x:c r="K5242" s="2" t="str">
        <x:v>PARTNER-M277</x:v>
      </x:c>
    </x:row>
    <x:row r="5243" ht="46" customHeight="1">
      <x:c r="A5243" s="2" t="str">
        <x:v>TEN-F6EB468BF351</x:v>
      </x:c>
      <x:c r="B5243" s="12" t="str">
        <x:v>Aadrika Automation</x:v>
      </x:c>
      <x:c r="C5243" s="12" t="str">
        <x:v>CORP-0694</x:v>
      </x:c>
      <x:c r="D5243" s="12" t="str">
        <x:v>Pune</x:v>
      </x:c>
      <x:c r="E5243" s="12" t="str">
        <x:v>Nyati Enthral</x:v>
      </x:c>
      <x:c r="F5243" s="12" t="str">
        <x:v>55 inch</x:v>
      </x:c>
      <x:c r="G5243" s="20" t="n">
        <x:v>1</x:v>
      </x:c>
      <x:c r="H5243" s="12" t="str">
        <x:v>Campus/portfolio roster; individual building occupancy unverified</x:v>
      </x:c>
      <x:c r="I5243" s="12" t="str">
        <x:v>Medium-scale prospects</x:v>
      </x:c>
      <x:c r="J5243" s="12" t="str">
        <x:v>Engineering &amp; manufacturing</x:v>
      </x:c>
      <x:c r="K5243" s="2" t="str">
        <x:v>PARTNER-M277</x:v>
      </x:c>
    </x:row>
    <x:row r="5244" ht="46" customHeight="1">
      <x:c r="A5244" s="2" t="str">
        <x:v>TEN-3209262EB544</x:v>
      </x:c>
      <x:c r="B5244" s="12" t="str">
        <x:v>Pristine Market Insights</x:v>
      </x:c>
      <x:c r="C5244" s="12" t="str">
        <x:v>CORP-0695</x:v>
      </x:c>
      <x:c r="D5244" s="12" t="str">
        <x:v>Pune</x:v>
      </x:c>
      <x:c r="E5244" s="12" t="str">
        <x:v>Nyati Enthral</x:v>
      </x:c>
      <x:c r="F5244" s="12" t="str">
        <x:v>55 inch</x:v>
      </x:c>
      <x:c r="G5244" s="20" t="n">
        <x:v>1</x:v>
      </x:c>
      <x:c r="H5244" s="12" t="str">
        <x:v>Campus/portfolio roster; individual building occupancy unverified</x:v>
      </x:c>
      <x:c r="I5244" s="12" t="str">
        <x:v>Small-scale prospects</x:v>
      </x:c>
      <x:c r="J5244" s="12" t="str">
        <x:v>Professional services</x:v>
      </x:c>
      <x:c r="K5244" s="2" t="str">
        <x:v>PARTNER-M277</x:v>
      </x:c>
    </x:row>
    <x:row r="5245" ht="46" customHeight="1">
      <x:c r="A5245" s="2" t="str">
        <x:v>TEN-3BBC9DDC0771</x:v>
      </x:c>
      <x:c r="B5245" s="12" t="str">
        <x:v>Realtyroof</x:v>
      </x:c>
      <x:c r="C5245" s="12" t="str">
        <x:v>CORP-0695</x:v>
      </x:c>
      <x:c r="D5245" s="12" t="str">
        <x:v>Pune</x:v>
      </x:c>
      <x:c r="E5245" s="12" t="str">
        <x:v>Nyati Enthral</x:v>
      </x:c>
      <x:c r="F5245" s="12" t="str">
        <x:v>55 inch</x:v>
      </x:c>
      <x:c r="G5245" s="20" t="n">
        <x:v>1</x:v>
      </x:c>
      <x:c r="H5245" s="12" t="str">
        <x:v>Campus/portfolio roster; individual building occupancy unverified</x:v>
      </x:c>
      <x:c r="I5245" s="12" t="str">
        <x:v>Small-scale prospects</x:v>
      </x:c>
      <x:c r="J5245" s="12" t="str">
        <x:v>Trade, consumer &amp; logistics</x:v>
      </x:c>
      <x:c r="K5245" s="2" t="str">
        <x:v>PARTNER-M277</x:v>
      </x:c>
    </x:row>
    <x:row r="5246" ht="46" customHeight="1">
      <x:c r="A5246" s="2" t="str">
        <x:v>TEN-57D421286AA8</x:v>
      </x:c>
      <x:c r="B5246" s="12" t="str">
        <x:v>Valar Digital</x:v>
      </x:c>
      <x:c r="C5246" s="12" t="str">
        <x:v>CORP-0695</x:v>
      </x:c>
      <x:c r="D5246" s="12" t="str">
        <x:v>Pune</x:v>
      </x:c>
      <x:c r="E5246" s="12" t="str">
        <x:v>Nyati Enthral</x:v>
      </x:c>
      <x:c r="F5246" s="12" t="str">
        <x:v>55 inch</x:v>
      </x:c>
      <x:c r="G5246" s="20" t="n">
        <x:v>1</x:v>
      </x:c>
      <x:c r="H5246" s="12" t="str">
        <x:v>Campus/portfolio roster; individual building occupancy unverified</x:v>
      </x:c>
      <x:c r="I5246" s="12" t="str">
        <x:v>Small-scale prospects</x:v>
      </x:c>
      <x:c r="J5246" s="12" t="str">
        <x:v>IT &amp; digital</x:v>
      </x:c>
      <x:c r="K5246" s="2" t="str">
        <x:v>PARTNER-M277</x:v>
      </x:c>
    </x:row>
    <x:row r="5247" ht="46" customHeight="1">
      <x:c r="A5247" s="2" t="str">
        <x:v>TEN-66205FE9281A</x:v>
      </x:c>
      <x:c r="B5247" s="12" t="str">
        <x:v>Transcom</x:v>
      </x:c>
      <x:c r="C5247" s="12" t="str">
        <x:v>CORP-0695</x:v>
      </x:c>
      <x:c r="D5247" s="12" t="str">
        <x:v>Pune</x:v>
      </x:c>
      <x:c r="E5247" s="12" t="str">
        <x:v>Nyati Enthral</x:v>
      </x:c>
      <x:c r="F5247" s="12" t="str">
        <x:v>55 inch</x:v>
      </x:c>
      <x:c r="G5247" s="20" t="n">
        <x:v>1</x:v>
      </x:c>
      <x:c r="H5247" s="12" t="str">
        <x:v>Campus/portfolio roster; individual building occupancy unverified</x:v>
      </x:c>
      <x:c r="I5247" s="12" t="str">
        <x:v>Mixed business audience</x:v>
      </x:c>
      <x:c r="J5247" s="12" t="str">
        <x:v>IT &amp; digital</x:v>
      </x:c>
      <x:c r="K5247" s="2" t="str">
        <x:v>PARTNER-M277</x:v>
      </x:c>
    </x:row>
    <x:row r="5248" ht="46" customHeight="1">
      <x:c r="A5248" s="2" t="str">
        <x:v>TEN-88E49CC6261B</x:v>
      </x:c>
      <x:c r="B5248" s="12" t="str">
        <x:v>Aceis Services</x:v>
      </x:c>
      <x:c r="C5248" s="12" t="str">
        <x:v>CORP-0695</x:v>
      </x:c>
      <x:c r="D5248" s="12" t="str">
        <x:v>Pune</x:v>
      </x:c>
      <x:c r="E5248" s="12" t="str">
        <x:v>Nyati Enthral</x:v>
      </x:c>
      <x:c r="F5248" s="12" t="str">
        <x:v>55 inch</x:v>
      </x:c>
      <x:c r="G5248" s="20" t="n">
        <x:v>1</x:v>
      </x:c>
      <x:c r="H5248" s="12" t="str">
        <x:v>Campus/portfolio roster; individual building occupancy unverified</x:v>
      </x:c>
      <x:c r="I5248" s="12" t="str">
        <x:v>Mixed business audience</x:v>
      </x:c>
      <x:c r="J5248" s="12" t="str">
        <x:v>Unresolved</x:v>
      </x:c>
      <x:c r="K5248" s="2" t="str">
        <x:v>PARTNER-M277</x:v>
      </x:c>
    </x:row>
    <x:row r="5249" ht="46" customHeight="1">
      <x:c r="A5249" s="2" t="str">
        <x:v>TEN-BB47F2F86C7E</x:v>
      </x:c>
      <x:c r="B5249" s="12" t="str">
        <x:v>Autuskey Private Limited</x:v>
      </x:c>
      <x:c r="C5249" s="12" t="str">
        <x:v>CORP-0695</x:v>
      </x:c>
      <x:c r="D5249" s="12" t="str">
        <x:v>Pune</x:v>
      </x:c>
      <x:c r="E5249" s="12" t="str">
        <x:v>Nyati Enthral</x:v>
      </x:c>
      <x:c r="F5249" s="12" t="str">
        <x:v>55 inch</x:v>
      </x:c>
      <x:c r="G5249" s="20" t="n">
        <x:v>1</x:v>
      </x:c>
      <x:c r="H5249" s="12" t="str">
        <x:v>Campus/portfolio roster; individual building occupancy unverified</x:v>
      </x:c>
      <x:c r="I5249" s="12" t="str">
        <x:v>Small-scale prospects</x:v>
      </x:c>
      <x:c r="J5249" s="12" t="str">
        <x:v>IT &amp; digital</x:v>
      </x:c>
      <x:c r="K5249" s="2" t="str">
        <x:v>PARTNER-M277</x:v>
      </x:c>
    </x:row>
    <x:row r="5250" ht="46" customHeight="1">
      <x:c r="A5250" s="2" t="str">
        <x:v>TEN-F6EB468BF351</x:v>
      </x:c>
      <x:c r="B5250" s="12" t="str">
        <x:v>Aadrika Automation</x:v>
      </x:c>
      <x:c r="C5250" s="12" t="str">
        <x:v>CORP-0695</x:v>
      </x:c>
      <x:c r="D5250" s="12" t="str">
        <x:v>Pune</x:v>
      </x:c>
      <x:c r="E5250" s="12" t="str">
        <x:v>Nyati Enthral</x:v>
      </x:c>
      <x:c r="F5250" s="12" t="str">
        <x:v>55 inch</x:v>
      </x:c>
      <x:c r="G5250" s="20" t="n">
        <x:v>1</x:v>
      </x:c>
      <x:c r="H5250" s="12" t="str">
        <x:v>Campus/portfolio roster; individual building occupancy unverified</x:v>
      </x:c>
      <x:c r="I5250" s="12" t="str">
        <x:v>Medium-scale prospects</x:v>
      </x:c>
      <x:c r="J5250" s="12" t="str">
        <x:v>Engineering &amp; manufacturing</x:v>
      </x:c>
      <x:c r="K5250" s="2" t="str">
        <x:v>PARTNER-M277</x:v>
      </x:c>
    </x:row>
    <x:row r="5251" ht="46" customHeight="1">
      <x:c r="A5251" s="2" t="str">
        <x:v>TEN-3209262EB544</x:v>
      </x:c>
      <x:c r="B5251" s="12" t="str">
        <x:v>Pristine Market Insights</x:v>
      </x:c>
      <x:c r="C5251" s="12" t="str">
        <x:v>CORP-0696</x:v>
      </x:c>
      <x:c r="D5251" s="12" t="str">
        <x:v>Pune</x:v>
      </x:c>
      <x:c r="E5251" s="12" t="str">
        <x:v>Nyati Enthral</x:v>
      </x:c>
      <x:c r="F5251" s="12" t="str">
        <x:v>55 inch</x:v>
      </x:c>
      <x:c r="G5251" s="20" t="n">
        <x:v>1</x:v>
      </x:c>
      <x:c r="H5251" s="12" t="str">
        <x:v>Campus/portfolio roster; individual building occupancy unverified</x:v>
      </x:c>
      <x:c r="I5251" s="12" t="str">
        <x:v>Small-scale prospects</x:v>
      </x:c>
      <x:c r="J5251" s="12" t="str">
        <x:v>Professional services</x:v>
      </x:c>
      <x:c r="K5251" s="2" t="str">
        <x:v>PARTNER-M277</x:v>
      </x:c>
    </x:row>
    <x:row r="5252" ht="46" customHeight="1">
      <x:c r="A5252" s="2" t="str">
        <x:v>TEN-3BBC9DDC0771</x:v>
      </x:c>
      <x:c r="B5252" s="12" t="str">
        <x:v>Realtyroof</x:v>
      </x:c>
      <x:c r="C5252" s="12" t="str">
        <x:v>CORP-0696</x:v>
      </x:c>
      <x:c r="D5252" s="12" t="str">
        <x:v>Pune</x:v>
      </x:c>
      <x:c r="E5252" s="12" t="str">
        <x:v>Nyati Enthral</x:v>
      </x:c>
      <x:c r="F5252" s="12" t="str">
        <x:v>55 inch</x:v>
      </x:c>
      <x:c r="G5252" s="20" t="n">
        <x:v>1</x:v>
      </x:c>
      <x:c r="H5252" s="12" t="str">
        <x:v>Campus/portfolio roster; individual building occupancy unverified</x:v>
      </x:c>
      <x:c r="I5252" s="12" t="str">
        <x:v>Small-scale prospects</x:v>
      </x:c>
      <x:c r="J5252" s="12" t="str">
        <x:v>Trade, consumer &amp; logistics</x:v>
      </x:c>
      <x:c r="K5252" s="2" t="str">
        <x:v>PARTNER-M277</x:v>
      </x:c>
    </x:row>
    <x:row r="5253" ht="46" customHeight="1">
      <x:c r="A5253" s="2" t="str">
        <x:v>TEN-57D421286AA8</x:v>
      </x:c>
      <x:c r="B5253" s="12" t="str">
        <x:v>Valar Digital</x:v>
      </x:c>
      <x:c r="C5253" s="12" t="str">
        <x:v>CORP-0696</x:v>
      </x:c>
      <x:c r="D5253" s="12" t="str">
        <x:v>Pune</x:v>
      </x:c>
      <x:c r="E5253" s="12" t="str">
        <x:v>Nyati Enthral</x:v>
      </x:c>
      <x:c r="F5253" s="12" t="str">
        <x:v>55 inch</x:v>
      </x:c>
      <x:c r="G5253" s="20" t="n">
        <x:v>1</x:v>
      </x:c>
      <x:c r="H5253" s="12" t="str">
        <x:v>Campus/portfolio roster; individual building occupancy unverified</x:v>
      </x:c>
      <x:c r="I5253" s="12" t="str">
        <x:v>Small-scale prospects</x:v>
      </x:c>
      <x:c r="J5253" s="12" t="str">
        <x:v>IT &amp; digital</x:v>
      </x:c>
      <x:c r="K5253" s="2" t="str">
        <x:v>PARTNER-M277</x:v>
      </x:c>
    </x:row>
    <x:row r="5254" ht="46" customHeight="1">
      <x:c r="A5254" s="2" t="str">
        <x:v>TEN-66205FE9281A</x:v>
      </x:c>
      <x:c r="B5254" s="12" t="str">
        <x:v>Transcom</x:v>
      </x:c>
      <x:c r="C5254" s="12" t="str">
        <x:v>CORP-0696</x:v>
      </x:c>
      <x:c r="D5254" s="12" t="str">
        <x:v>Pune</x:v>
      </x:c>
      <x:c r="E5254" s="12" t="str">
        <x:v>Nyati Enthral</x:v>
      </x:c>
      <x:c r="F5254" s="12" t="str">
        <x:v>55 inch</x:v>
      </x:c>
      <x:c r="G5254" s="20" t="n">
        <x:v>1</x:v>
      </x:c>
      <x:c r="H5254" s="12" t="str">
        <x:v>Campus/portfolio roster; individual building occupancy unverified</x:v>
      </x:c>
      <x:c r="I5254" s="12" t="str">
        <x:v>Mixed business audience</x:v>
      </x:c>
      <x:c r="J5254" s="12" t="str">
        <x:v>IT &amp; digital</x:v>
      </x:c>
      <x:c r="K5254" s="2" t="str">
        <x:v>PARTNER-M277</x:v>
      </x:c>
    </x:row>
    <x:row r="5255" ht="46" customHeight="1">
      <x:c r="A5255" s="2" t="str">
        <x:v>TEN-88E49CC6261B</x:v>
      </x:c>
      <x:c r="B5255" s="12" t="str">
        <x:v>Aceis Services</x:v>
      </x:c>
      <x:c r="C5255" s="12" t="str">
        <x:v>CORP-0696</x:v>
      </x:c>
      <x:c r="D5255" s="12" t="str">
        <x:v>Pune</x:v>
      </x:c>
      <x:c r="E5255" s="12" t="str">
        <x:v>Nyati Enthral</x:v>
      </x:c>
      <x:c r="F5255" s="12" t="str">
        <x:v>55 inch</x:v>
      </x:c>
      <x:c r="G5255" s="20" t="n">
        <x:v>1</x:v>
      </x:c>
      <x:c r="H5255" s="12" t="str">
        <x:v>Campus/portfolio roster; individual building occupancy unverified</x:v>
      </x:c>
      <x:c r="I5255" s="12" t="str">
        <x:v>Mixed business audience</x:v>
      </x:c>
      <x:c r="J5255" s="12" t="str">
        <x:v>Unresolved</x:v>
      </x:c>
      <x:c r="K5255" s="2" t="str">
        <x:v>PARTNER-M277</x:v>
      </x:c>
    </x:row>
    <x:row r="5256" ht="46" customHeight="1">
      <x:c r="A5256" s="2" t="str">
        <x:v>TEN-BB47F2F86C7E</x:v>
      </x:c>
      <x:c r="B5256" s="12" t="str">
        <x:v>Autuskey Private Limited</x:v>
      </x:c>
      <x:c r="C5256" s="12" t="str">
        <x:v>CORP-0696</x:v>
      </x:c>
      <x:c r="D5256" s="12" t="str">
        <x:v>Pune</x:v>
      </x:c>
      <x:c r="E5256" s="12" t="str">
        <x:v>Nyati Enthral</x:v>
      </x:c>
      <x:c r="F5256" s="12" t="str">
        <x:v>55 inch</x:v>
      </x:c>
      <x:c r="G5256" s="20" t="n">
        <x:v>1</x:v>
      </x:c>
      <x:c r="H5256" s="12" t="str">
        <x:v>Campus/portfolio roster; individual building occupancy unverified</x:v>
      </x:c>
      <x:c r="I5256" s="12" t="str">
        <x:v>Small-scale prospects</x:v>
      </x:c>
      <x:c r="J5256" s="12" t="str">
        <x:v>IT &amp; digital</x:v>
      </x:c>
      <x:c r="K5256" s="2" t="str">
        <x:v>PARTNER-M277</x:v>
      </x:c>
    </x:row>
    <x:row r="5257" ht="46" customHeight="1">
      <x:c r="A5257" s="2" t="str">
        <x:v>TEN-F6EB468BF351</x:v>
      </x:c>
      <x:c r="B5257" s="12" t="str">
        <x:v>Aadrika Automation</x:v>
      </x:c>
      <x:c r="C5257" s="12" t="str">
        <x:v>CORP-0696</x:v>
      </x:c>
      <x:c r="D5257" s="12" t="str">
        <x:v>Pune</x:v>
      </x:c>
      <x:c r="E5257" s="12" t="str">
        <x:v>Nyati Enthral</x:v>
      </x:c>
      <x:c r="F5257" s="12" t="str">
        <x:v>55 inch</x:v>
      </x:c>
      <x:c r="G5257" s="20" t="n">
        <x:v>1</x:v>
      </x:c>
      <x:c r="H5257" s="12" t="str">
        <x:v>Campus/portfolio roster; individual building occupancy unverified</x:v>
      </x:c>
      <x:c r="I5257" s="12" t="str">
        <x:v>Medium-scale prospects</x:v>
      </x:c>
      <x:c r="J5257" s="12" t="str">
        <x:v>Engineering &amp; manufacturing</x:v>
      </x:c>
      <x:c r="K5257" s="2" t="str">
        <x:v>PARTNER-M277</x:v>
      </x:c>
    </x:row>
    <x:row r="5258" ht="46" customHeight="1">
      <x:c r="A5258" s="2" t="str">
        <x:v>TEN-3209262EB544</x:v>
      </x:c>
      <x:c r="B5258" s="12" t="str">
        <x:v>Pristine Market Insights</x:v>
      </x:c>
      <x:c r="C5258" s="12" t="str">
        <x:v>CORP-0697</x:v>
      </x:c>
      <x:c r="D5258" s="12" t="str">
        <x:v>Pune</x:v>
      </x:c>
      <x:c r="E5258" s="12" t="str">
        <x:v>Nyati Enthral</x:v>
      </x:c>
      <x:c r="F5258" s="12" t="str">
        <x:v>55 inch</x:v>
      </x:c>
      <x:c r="G5258" s="20" t="n">
        <x:v>1</x:v>
      </x:c>
      <x:c r="H5258" s="12" t="str">
        <x:v>Campus/portfolio roster; individual building occupancy unverified</x:v>
      </x:c>
      <x:c r="I5258" s="12" t="str">
        <x:v>Small-scale prospects</x:v>
      </x:c>
      <x:c r="J5258" s="12" t="str">
        <x:v>Professional services</x:v>
      </x:c>
      <x:c r="K5258" s="2" t="str">
        <x:v>PARTNER-M277</x:v>
      </x:c>
    </x:row>
    <x:row r="5259" ht="46" customHeight="1">
      <x:c r="A5259" s="2" t="str">
        <x:v>TEN-3BBC9DDC0771</x:v>
      </x:c>
      <x:c r="B5259" s="12" t="str">
        <x:v>Realtyroof</x:v>
      </x:c>
      <x:c r="C5259" s="12" t="str">
        <x:v>CORP-0697</x:v>
      </x:c>
      <x:c r="D5259" s="12" t="str">
        <x:v>Pune</x:v>
      </x:c>
      <x:c r="E5259" s="12" t="str">
        <x:v>Nyati Enthral</x:v>
      </x:c>
      <x:c r="F5259" s="12" t="str">
        <x:v>55 inch</x:v>
      </x:c>
      <x:c r="G5259" s="20" t="n">
        <x:v>1</x:v>
      </x:c>
      <x:c r="H5259" s="12" t="str">
        <x:v>Campus/portfolio roster; individual building occupancy unverified</x:v>
      </x:c>
      <x:c r="I5259" s="12" t="str">
        <x:v>Small-scale prospects</x:v>
      </x:c>
      <x:c r="J5259" s="12" t="str">
        <x:v>Trade, consumer &amp; logistics</x:v>
      </x:c>
      <x:c r="K5259" s="2" t="str">
        <x:v>PARTNER-M277</x:v>
      </x:c>
    </x:row>
    <x:row r="5260" ht="46" customHeight="1">
      <x:c r="A5260" s="2" t="str">
        <x:v>TEN-57D421286AA8</x:v>
      </x:c>
      <x:c r="B5260" s="12" t="str">
        <x:v>Valar Digital</x:v>
      </x:c>
      <x:c r="C5260" s="12" t="str">
        <x:v>CORP-0697</x:v>
      </x:c>
      <x:c r="D5260" s="12" t="str">
        <x:v>Pune</x:v>
      </x:c>
      <x:c r="E5260" s="12" t="str">
        <x:v>Nyati Enthral</x:v>
      </x:c>
      <x:c r="F5260" s="12" t="str">
        <x:v>55 inch</x:v>
      </x:c>
      <x:c r="G5260" s="20" t="n">
        <x:v>1</x:v>
      </x:c>
      <x:c r="H5260" s="12" t="str">
        <x:v>Campus/portfolio roster; individual building occupancy unverified</x:v>
      </x:c>
      <x:c r="I5260" s="12" t="str">
        <x:v>Small-scale prospects</x:v>
      </x:c>
      <x:c r="J5260" s="12" t="str">
        <x:v>IT &amp; digital</x:v>
      </x:c>
      <x:c r="K5260" s="2" t="str">
        <x:v>PARTNER-M277</x:v>
      </x:c>
    </x:row>
    <x:row r="5261" ht="46" customHeight="1">
      <x:c r="A5261" s="2" t="str">
        <x:v>TEN-66205FE9281A</x:v>
      </x:c>
      <x:c r="B5261" s="12" t="str">
        <x:v>Transcom</x:v>
      </x:c>
      <x:c r="C5261" s="12" t="str">
        <x:v>CORP-0697</x:v>
      </x:c>
      <x:c r="D5261" s="12" t="str">
        <x:v>Pune</x:v>
      </x:c>
      <x:c r="E5261" s="12" t="str">
        <x:v>Nyati Enthral</x:v>
      </x:c>
      <x:c r="F5261" s="12" t="str">
        <x:v>55 inch</x:v>
      </x:c>
      <x:c r="G5261" s="20" t="n">
        <x:v>1</x:v>
      </x:c>
      <x:c r="H5261" s="12" t="str">
        <x:v>Campus/portfolio roster; individual building occupancy unverified</x:v>
      </x:c>
      <x:c r="I5261" s="12" t="str">
        <x:v>Mixed business audience</x:v>
      </x:c>
      <x:c r="J5261" s="12" t="str">
        <x:v>IT &amp; digital</x:v>
      </x:c>
      <x:c r="K5261" s="2" t="str">
        <x:v>PARTNER-M277</x:v>
      </x:c>
    </x:row>
    <x:row r="5262" ht="46" customHeight="1">
      <x:c r="A5262" s="2" t="str">
        <x:v>TEN-88E49CC6261B</x:v>
      </x:c>
      <x:c r="B5262" s="12" t="str">
        <x:v>Aceis Services</x:v>
      </x:c>
      <x:c r="C5262" s="12" t="str">
        <x:v>CORP-0697</x:v>
      </x:c>
      <x:c r="D5262" s="12" t="str">
        <x:v>Pune</x:v>
      </x:c>
      <x:c r="E5262" s="12" t="str">
        <x:v>Nyati Enthral</x:v>
      </x:c>
      <x:c r="F5262" s="12" t="str">
        <x:v>55 inch</x:v>
      </x:c>
      <x:c r="G5262" s="20" t="n">
        <x:v>1</x:v>
      </x:c>
      <x:c r="H5262" s="12" t="str">
        <x:v>Campus/portfolio roster; individual building occupancy unverified</x:v>
      </x:c>
      <x:c r="I5262" s="12" t="str">
        <x:v>Mixed business audience</x:v>
      </x:c>
      <x:c r="J5262" s="12" t="str">
        <x:v>Unresolved</x:v>
      </x:c>
      <x:c r="K5262" s="2" t="str">
        <x:v>PARTNER-M277</x:v>
      </x:c>
    </x:row>
    <x:row r="5263" ht="46" customHeight="1">
      <x:c r="A5263" s="2" t="str">
        <x:v>TEN-BB47F2F86C7E</x:v>
      </x:c>
      <x:c r="B5263" s="12" t="str">
        <x:v>Autuskey Private Limited</x:v>
      </x:c>
      <x:c r="C5263" s="12" t="str">
        <x:v>CORP-0697</x:v>
      </x:c>
      <x:c r="D5263" s="12" t="str">
        <x:v>Pune</x:v>
      </x:c>
      <x:c r="E5263" s="12" t="str">
        <x:v>Nyati Enthral</x:v>
      </x:c>
      <x:c r="F5263" s="12" t="str">
        <x:v>55 inch</x:v>
      </x:c>
      <x:c r="G5263" s="20" t="n">
        <x:v>1</x:v>
      </x:c>
      <x:c r="H5263" s="12" t="str">
        <x:v>Campus/portfolio roster; individual building occupancy unverified</x:v>
      </x:c>
      <x:c r="I5263" s="12" t="str">
        <x:v>Small-scale prospects</x:v>
      </x:c>
      <x:c r="J5263" s="12" t="str">
        <x:v>IT &amp; digital</x:v>
      </x:c>
      <x:c r="K5263" s="2" t="str">
        <x:v>PARTNER-M277</x:v>
      </x:c>
    </x:row>
    <x:row r="5264" ht="46" customHeight="1">
      <x:c r="A5264" s="2" t="str">
        <x:v>TEN-F6EB468BF351</x:v>
      </x:c>
      <x:c r="B5264" s="12" t="str">
        <x:v>Aadrika Automation</x:v>
      </x:c>
      <x:c r="C5264" s="12" t="str">
        <x:v>CORP-0697</x:v>
      </x:c>
      <x:c r="D5264" s="12" t="str">
        <x:v>Pune</x:v>
      </x:c>
      <x:c r="E5264" s="12" t="str">
        <x:v>Nyati Enthral</x:v>
      </x:c>
      <x:c r="F5264" s="12" t="str">
        <x:v>55 inch</x:v>
      </x:c>
      <x:c r="G5264" s="20" t="n">
        <x:v>1</x:v>
      </x:c>
      <x:c r="H5264" s="12" t="str">
        <x:v>Campus/portfolio roster; individual building occupancy unverified</x:v>
      </x:c>
      <x:c r="I5264" s="12" t="str">
        <x:v>Medium-scale prospects</x:v>
      </x:c>
      <x:c r="J5264" s="12" t="str">
        <x:v>Engineering &amp; manufacturing</x:v>
      </x:c>
      <x:c r="K5264" s="2" t="str">
        <x:v>PARTNER-M277</x:v>
      </x:c>
    </x:row>
    <x:row r="5265" ht="46" customHeight="1">
      <x:c r="A5265" s="2" t="str">
        <x:v>TEN-059368F98DEB</x:v>
      </x:c>
      <x:c r="B5265" s="12" t="str">
        <x:v>Synchrony</x:v>
      </x:c>
      <x:c r="C5265" s="12" t="str">
        <x:v>CORP-0698</x:v>
      </x:c>
      <x:c r="D5265" s="12" t="str">
        <x:v>Hyderabad</x:v>
      </x:c>
      <x:c r="E5265" s="12" t="str">
        <x:v>iLabs Tech Park</x:v>
      </x:c>
      <x:c r="F5265" s="12" t="str">
        <x:v>55 inch</x:v>
      </x:c>
      <x:c r="G5265" s="20" t="n">
        <x:v>1</x:v>
      </x:c>
      <x:c r="H5265" s="12" t="str">
        <x:v>Campus/portfolio roster; individual building occupancy unverified</x:v>
      </x:c>
      <x:c r="I5265" s="12" t="str">
        <x:v>Mixed business audience</x:v>
      </x:c>
      <x:c r="J5265" s="12" t="str">
        <x:v>Finance &amp; insurance</x:v>
      </x:c>
      <x:c r="K5265" s="2" t="str">
        <x:v>PARTNER-M283</x:v>
      </x:c>
    </x:row>
    <x:row r="5266" ht="46" customHeight="1">
      <x:c r="A5266" s="2" t="str">
        <x:v>TEN-43BE6AC0AAE2</x:v>
      </x:c>
      <x:c r="B5266" s="12" t="str">
        <x:v>Syniverse Mobile Solution</x:v>
      </x:c>
      <x:c r="C5266" s="12" t="str">
        <x:v>CORP-0698</x:v>
      </x:c>
      <x:c r="D5266" s="12" t="str">
        <x:v>Hyderabad</x:v>
      </x:c>
      <x:c r="E5266" s="12" t="str">
        <x:v>iLabs Tech Park</x:v>
      </x:c>
      <x:c r="F5266" s="12" t="str">
        <x:v>55 inch</x:v>
      </x:c>
      <x:c r="G5266" s="20" t="n">
        <x:v>1</x:v>
      </x:c>
      <x:c r="H5266" s="12" t="str">
        <x:v>Campus/portfolio roster; individual building occupancy unverified</x:v>
      </x:c>
      <x:c r="I5266" s="12" t="str">
        <x:v>Mixed business audience</x:v>
      </x:c>
      <x:c r="J5266" s="12" t="str">
        <x:v>IT &amp; digital</x:v>
      </x:c>
      <x:c r="K5266" s="2" t="str">
        <x:v>PARTNER-M283</x:v>
      </x:c>
    </x:row>
    <x:row r="5267" ht="46" customHeight="1">
      <x:c r="A5267" s="2" t="str">
        <x:v>TEN-68BAD0BF4A37</x:v>
      </x:c>
      <x:c r="B5267" s="12" t="str">
        <x:v>NTT DATA</x:v>
      </x:c>
      <x:c r="C5267" s="12" t="str">
        <x:v>CORP-0698</x:v>
      </x:c>
      <x:c r="D5267" s="12" t="str">
        <x:v>Hyderabad</x:v>
      </x:c>
      <x:c r="E5267" s="12" t="str">
        <x:v>iLabs Tech Park</x:v>
      </x:c>
      <x:c r="F5267" s="12" t="str">
        <x:v>55 inch</x:v>
      </x:c>
      <x:c r="G5267" s="20" t="n">
        <x:v>1</x:v>
      </x:c>
      <x:c r="H5267" s="12" t="str">
        <x:v>Campus/portfolio roster; individual building occupancy unverified</x:v>
      </x:c>
      <x:c r="I5267" s="12" t="str">
        <x:v>Large enterprise</x:v>
      </x:c>
      <x:c r="J5267" s="12" t="str">
        <x:v>IT &amp; digital</x:v>
      </x:c>
      <x:c r="K5267" s="2" t="str">
        <x:v>PARTNER-M283</x:v>
      </x:c>
    </x:row>
    <x:row r="5268" ht="46" customHeight="1">
      <x:c r="A5268" s="2" t="str">
        <x:v>TEN-6FC71948C40F</x:v>
      </x:c>
      <x:c r="B5268" s="12" t="str">
        <x:v>Regus</x:v>
      </x:c>
      <x:c r="C5268" s="12" t="str">
        <x:v>CORP-0698</x:v>
      </x:c>
      <x:c r="D5268" s="12" t="str">
        <x:v>Hyderabad</x:v>
      </x:c>
      <x:c r="E5268" s="12" t="str">
        <x:v>iLabs Tech Park</x:v>
      </x:c>
      <x:c r="F5268" s="12" t="str">
        <x:v>55 inch</x:v>
      </x:c>
      <x:c r="G5268" s="20" t="n">
        <x:v>1</x:v>
      </x:c>
      <x:c r="H5268" s="12" t="str">
        <x:v>Campus/portfolio roster; individual building occupancy unverified</x:v>
      </x:c>
      <x:c r="I5268" s="12" t="str">
        <x:v>Mixed business audience</x:v>
      </x:c>
      <x:c r="J5268" s="12" t="str">
        <x:v>Workspace &amp; property operations</x:v>
      </x:c>
      <x:c r="K5268" s="2" t="str">
        <x:v>PARTNER-M283</x:v>
      </x:c>
    </x:row>
    <x:row r="5269" ht="46" customHeight="1">
      <x:c r="A5269" s="2" t="str">
        <x:v>TEN-93969D193161</x:v>
      </x:c>
      <x:c r="B5269" s="12" t="str">
        <x:v>Hp</x:v>
      </x:c>
      <x:c r="C5269" s="12" t="str">
        <x:v>CORP-0698</x:v>
      </x:c>
      <x:c r="D5269" s="12" t="str">
        <x:v>Hyderabad</x:v>
      </x:c>
      <x:c r="E5269" s="12" t="str">
        <x:v>iLabs Tech Park</x:v>
      </x:c>
      <x:c r="F5269" s="12" t="str">
        <x:v>55 inch</x:v>
      </x:c>
      <x:c r="G5269" s="20" t="n">
        <x:v>1</x:v>
      </x:c>
      <x:c r="H5269" s="12" t="str">
        <x:v>Campus/portfolio roster; individual building occupancy unverified</x:v>
      </x:c>
      <x:c r="I5269" s="12" t="str">
        <x:v>Mixed business audience</x:v>
      </x:c>
      <x:c r="J5269" s="12" t="str">
        <x:v>Engineering &amp; manufacturing</x:v>
      </x:c>
      <x:c r="K5269" s="2" t="str">
        <x:v>PARTNER-M283</x:v>
      </x:c>
    </x:row>
    <x:row r="5270" ht="46" customHeight="1">
      <x:c r="A5270" s="2" t="str">
        <x:v>TEN-9469C6F797DD</x:v>
      </x:c>
      <x:c r="B5270" s="12" t="str">
        <x:v>PASS GCA Solutions</x:v>
      </x:c>
      <x:c r="C5270" s="12" t="str">
        <x:v>CORP-0698</x:v>
      </x:c>
      <x:c r="D5270" s="12" t="str">
        <x:v>Hyderabad</x:v>
      </x:c>
      <x:c r="E5270" s="12" t="str">
        <x:v>iLabs Tech Park</x:v>
      </x:c>
      <x:c r="F5270" s="12" t="str">
        <x:v>55 inch</x:v>
      </x:c>
      <x:c r="G5270" s="20" t="n">
        <x:v>1</x:v>
      </x:c>
      <x:c r="H5270" s="12" t="str">
        <x:v>Campus/portfolio roster; individual building occupancy unverified</x:v>
      </x:c>
      <x:c r="I5270" s="12" t="str">
        <x:v>Mixed business audience</x:v>
      </x:c>
      <x:c r="J5270" s="12" t="str">
        <x:v>Unresolved</x:v>
      </x:c>
      <x:c r="K5270" s="2" t="str">
        <x:v>PARTNER-M283</x:v>
      </x:c>
    </x:row>
    <x:row r="5271" ht="46" customHeight="1">
      <x:c r="A5271" s="2" t="str">
        <x:v>TEN-98F51CB88BC4</x:v>
      </x:c>
      <x:c r="B5271" s="12" t="str">
        <x:v>Syniverse Technology</x:v>
      </x:c>
      <x:c r="C5271" s="12" t="str">
        <x:v>CORP-0698</x:v>
      </x:c>
      <x:c r="D5271" s="12" t="str">
        <x:v>Hyderabad</x:v>
      </x:c>
      <x:c r="E5271" s="12" t="str">
        <x:v>iLabs Tech Park</x:v>
      </x:c>
      <x:c r="F5271" s="12" t="str">
        <x:v>55 inch</x:v>
      </x:c>
      <x:c r="G5271" s="20" t="n">
        <x:v>1</x:v>
      </x:c>
      <x:c r="H5271" s="12" t="str">
        <x:v>Campus/portfolio roster; individual building occupancy unverified</x:v>
      </x:c>
      <x:c r="I5271" s="12" t="str">
        <x:v>Mixed business audience</x:v>
      </x:c>
      <x:c r="J5271" s="12" t="str">
        <x:v>IT &amp; digital</x:v>
      </x:c>
      <x:c r="K5271" s="2" t="str">
        <x:v>PARTNER-M283</x:v>
      </x:c>
    </x:row>
    <x:row r="5272" ht="46" customHeight="1">
      <x:c r="A5272" s="2" t="str">
        <x:v>TEN-A09CDA62FBCB</x:v>
      </x:c>
      <x:c r="B5272" s="12" t="str">
        <x:v>Wisemen</x:v>
      </x:c>
      <x:c r="C5272" s="12" t="str">
        <x:v>CORP-0698</x:v>
      </x:c>
      <x:c r="D5272" s="12" t="str">
        <x:v>Hyderabad</x:v>
      </x:c>
      <x:c r="E5272" s="12" t="str">
        <x:v>iLabs Tech Park</x:v>
      </x:c>
      <x:c r="F5272" s="12" t="str">
        <x:v>55 inch</x:v>
      </x:c>
      <x:c r="G5272" s="20" t="n">
        <x:v>1</x:v>
      </x:c>
      <x:c r="H5272" s="12" t="str">
        <x:v>Campus/portfolio roster; individual building occupancy unverified</x:v>
      </x:c>
      <x:c r="I5272" s="12" t="str">
        <x:v>Mixed business audience</x:v>
      </x:c>
      <x:c r="J5272" s="12" t="str">
        <x:v>Unresolved</x:v>
      </x:c>
      <x:c r="K5272" s="2" t="str">
        <x:v>PARTNER-M283</x:v>
      </x:c>
    </x:row>
    <x:row r="5273" ht="46" customHeight="1">
      <x:c r="A5273" s="2" t="str">
        <x:v>TEN-B6F0DAA20D8D</x:v>
      </x:c>
      <x:c r="B5273" s="12" t="str">
        <x:v>AMS Semiconductors</x:v>
      </x:c>
      <x:c r="C5273" s="12" t="str">
        <x:v>CORP-0698</x:v>
      </x:c>
      <x:c r="D5273" s="12" t="str">
        <x:v>Hyderabad</x:v>
      </x:c>
      <x:c r="E5273" s="12" t="str">
        <x:v>iLabs Tech Park</x:v>
      </x:c>
      <x:c r="F5273" s="12" t="str">
        <x:v>55 inch</x:v>
      </x:c>
      <x:c r="G5273" s="20" t="n">
        <x:v>1</x:v>
      </x:c>
      <x:c r="H5273" s="12" t="str">
        <x:v>Campus/portfolio roster; individual building occupancy unverified</x:v>
      </x:c>
      <x:c r="I5273" s="12" t="str">
        <x:v>Mixed business audience</x:v>
      </x:c>
      <x:c r="J5273" s="12" t="str">
        <x:v>Engineering &amp; manufacturing</x:v>
      </x:c>
      <x:c r="K5273" s="2" t="str">
        <x:v>PARTNER-M283</x:v>
      </x:c>
    </x:row>
    <x:row r="5274" ht="46" customHeight="1">
      <x:c r="A5274" s="2" t="str">
        <x:v>TEN-BC9765585BF0</x:v>
      </x:c>
      <x:c r="B5274" s="12" t="str">
        <x:v>CVM Solutions</x:v>
      </x:c>
      <x:c r="C5274" s="12" t="str">
        <x:v>CORP-0698</x:v>
      </x:c>
      <x:c r="D5274" s="12" t="str">
        <x:v>Hyderabad</x:v>
      </x:c>
      <x:c r="E5274" s="12" t="str">
        <x:v>iLabs Tech Park</x:v>
      </x:c>
      <x:c r="F5274" s="12" t="str">
        <x:v>55 inch</x:v>
      </x:c>
      <x:c r="G5274" s="20" t="n">
        <x:v>1</x:v>
      </x:c>
      <x:c r="H5274" s="12" t="str">
        <x:v>Campus/portfolio roster; individual building occupancy unverified</x:v>
      </x:c>
      <x:c r="I5274" s="12" t="str">
        <x:v>Mixed business audience</x:v>
      </x:c>
      <x:c r="J5274" s="12" t="str">
        <x:v>Unresolved</x:v>
      </x:c>
      <x:c r="K5274" s="2" t="str">
        <x:v>PARTNER-M283</x:v>
      </x:c>
    </x:row>
    <x:row r="5275" ht="46" customHeight="1">
      <x:c r="A5275" s="2" t="str">
        <x:v>TEN-CE371D3C6BED</x:v>
      </x:c>
      <x:c r="B5275" s="12" t="str">
        <x:v>Cubic</x:v>
      </x:c>
      <x:c r="C5275" s="12" t="str">
        <x:v>CORP-0698</x:v>
      </x:c>
      <x:c r="D5275" s="12" t="str">
        <x:v>Hyderabad</x:v>
      </x:c>
      <x:c r="E5275" s="12" t="str">
        <x:v>iLabs Tech Park</x:v>
      </x:c>
      <x:c r="F5275" s="12" t="str">
        <x:v>55 inch</x:v>
      </x:c>
      <x:c r="G5275" s="20" t="n">
        <x:v>1</x:v>
      </x:c>
      <x:c r="H5275" s="12" t="str">
        <x:v>Campus/portfolio roster; individual building occupancy unverified</x:v>
      </x:c>
      <x:c r="I5275" s="12" t="str">
        <x:v>Mixed business audience</x:v>
      </x:c>
      <x:c r="J5275" s="12" t="str">
        <x:v>Unresolved</x:v>
      </x:c>
      <x:c r="K5275" s="2" t="str">
        <x:v>PARTNER-M283</x:v>
      </x:c>
    </x:row>
    <x:row r="5276" ht="46" customHeight="1">
      <x:c r="A5276" s="2" t="str">
        <x:v>TEN-D67021B8B470</x:v>
      </x:c>
      <x:c r="B5276" s="12" t="str">
        <x:v>Host Analytics</x:v>
      </x:c>
      <x:c r="C5276" s="12" t="str">
        <x:v>CORP-0698</x:v>
      </x:c>
      <x:c r="D5276" s="12" t="str">
        <x:v>Hyderabad</x:v>
      </x:c>
      <x:c r="E5276" s="12" t="str">
        <x:v>iLabs Tech Park</x:v>
      </x:c>
      <x:c r="F5276" s="12" t="str">
        <x:v>55 inch</x:v>
      </x:c>
      <x:c r="G5276" s="20" t="n">
        <x:v>1</x:v>
      </x:c>
      <x:c r="H5276" s="12" t="str">
        <x:v>Campus/portfolio roster; individual building occupancy unverified</x:v>
      </x:c>
      <x:c r="I5276" s="12" t="str">
        <x:v>Mixed business audience</x:v>
      </x:c>
      <x:c r="J5276" s="12" t="str">
        <x:v>IT &amp; digital</x:v>
      </x:c>
      <x:c r="K5276" s="2" t="str">
        <x:v>PARTNER-M283</x:v>
      </x:c>
    </x:row>
    <x:row r="5277" ht="46" customHeight="1">
      <x:c r="A5277" s="2" t="str">
        <x:v>TEN-E8EEF6D2EC99</x:v>
      </x:c>
      <x:c r="B5277" s="12" t="str">
        <x:v>Invensys</x:v>
      </x:c>
      <x:c r="C5277" s="12" t="str">
        <x:v>CORP-0698</x:v>
      </x:c>
      <x:c r="D5277" s="12" t="str">
        <x:v>Hyderabad</x:v>
      </x:c>
      <x:c r="E5277" s="12" t="str">
        <x:v>iLabs Tech Park</x:v>
      </x:c>
      <x:c r="F5277" s="12" t="str">
        <x:v>55 inch</x:v>
      </x:c>
      <x:c r="G5277" s="20" t="n">
        <x:v>1</x:v>
      </x:c>
      <x:c r="H5277" s="12" t="str">
        <x:v>Campus/portfolio roster; individual building occupancy unverified</x:v>
      </x:c>
      <x:c r="I5277" s="12" t="str">
        <x:v>Mixed business audience</x:v>
      </x:c>
      <x:c r="J5277" s="12" t="str">
        <x:v>Engineering &amp; manufacturing</x:v>
      </x:c>
      <x:c r="K5277" s="2" t="str">
        <x:v>PARTNER-M283</x:v>
      </x:c>
    </x:row>
    <x:row r="5278" ht="46" customHeight="1">
      <x:c r="A5278" s="2" t="str">
        <x:v>TEN-059368F98DEB</x:v>
      </x:c>
      <x:c r="B5278" s="12" t="str">
        <x:v>Synchrony</x:v>
      </x:c>
      <x:c r="C5278" s="12" t="str">
        <x:v>CORP-0699</x:v>
      </x:c>
      <x:c r="D5278" s="12" t="str">
        <x:v>Hyderabad</x:v>
      </x:c>
      <x:c r="E5278" s="12" t="str">
        <x:v>iLabs Tech Park</x:v>
      </x:c>
      <x:c r="F5278" s="12" t="str">
        <x:v>55 inch</x:v>
      </x:c>
      <x:c r="G5278" s="20" t="n">
        <x:v>1</x:v>
      </x:c>
      <x:c r="H5278" s="12" t="str">
        <x:v>Campus/portfolio roster; individual building occupancy unverified</x:v>
      </x:c>
      <x:c r="I5278" s="12" t="str">
        <x:v>Mixed business audience</x:v>
      </x:c>
      <x:c r="J5278" s="12" t="str">
        <x:v>Finance &amp; insurance</x:v>
      </x:c>
      <x:c r="K5278" s="2" t="str">
        <x:v>PARTNER-M283</x:v>
      </x:c>
    </x:row>
    <x:row r="5279" ht="46" customHeight="1">
      <x:c r="A5279" s="2" t="str">
        <x:v>TEN-43BE6AC0AAE2</x:v>
      </x:c>
      <x:c r="B5279" s="12" t="str">
        <x:v>Syniverse Mobile Solution</x:v>
      </x:c>
      <x:c r="C5279" s="12" t="str">
        <x:v>CORP-0699</x:v>
      </x:c>
      <x:c r="D5279" s="12" t="str">
        <x:v>Hyderabad</x:v>
      </x:c>
      <x:c r="E5279" s="12" t="str">
        <x:v>iLabs Tech Park</x:v>
      </x:c>
      <x:c r="F5279" s="12" t="str">
        <x:v>55 inch</x:v>
      </x:c>
      <x:c r="G5279" s="20" t="n">
        <x:v>1</x:v>
      </x:c>
      <x:c r="H5279" s="12" t="str">
        <x:v>Campus/portfolio roster; individual building occupancy unverified</x:v>
      </x:c>
      <x:c r="I5279" s="12" t="str">
        <x:v>Mixed business audience</x:v>
      </x:c>
      <x:c r="J5279" s="12" t="str">
        <x:v>IT &amp; digital</x:v>
      </x:c>
      <x:c r="K5279" s="2" t="str">
        <x:v>PARTNER-M283</x:v>
      </x:c>
    </x:row>
    <x:row r="5280" ht="46" customHeight="1">
      <x:c r="A5280" s="2" t="str">
        <x:v>TEN-68BAD0BF4A37</x:v>
      </x:c>
      <x:c r="B5280" s="12" t="str">
        <x:v>NTT DATA</x:v>
      </x:c>
      <x:c r="C5280" s="12" t="str">
        <x:v>CORP-0699</x:v>
      </x:c>
      <x:c r="D5280" s="12" t="str">
        <x:v>Hyderabad</x:v>
      </x:c>
      <x:c r="E5280" s="12" t="str">
        <x:v>iLabs Tech Park</x:v>
      </x:c>
      <x:c r="F5280" s="12" t="str">
        <x:v>55 inch</x:v>
      </x:c>
      <x:c r="G5280" s="20" t="n">
        <x:v>1</x:v>
      </x:c>
      <x:c r="H5280" s="12" t="str">
        <x:v>Campus/portfolio roster; individual building occupancy unverified</x:v>
      </x:c>
      <x:c r="I5280" s="12" t="str">
        <x:v>Large enterprise</x:v>
      </x:c>
      <x:c r="J5280" s="12" t="str">
        <x:v>IT &amp; digital</x:v>
      </x:c>
      <x:c r="K5280" s="2" t="str">
        <x:v>PARTNER-M283</x:v>
      </x:c>
    </x:row>
    <x:row r="5281" ht="46" customHeight="1">
      <x:c r="A5281" s="2" t="str">
        <x:v>TEN-6FC71948C40F</x:v>
      </x:c>
      <x:c r="B5281" s="12" t="str">
        <x:v>Regus</x:v>
      </x:c>
      <x:c r="C5281" s="12" t="str">
        <x:v>CORP-0699</x:v>
      </x:c>
      <x:c r="D5281" s="12" t="str">
        <x:v>Hyderabad</x:v>
      </x:c>
      <x:c r="E5281" s="12" t="str">
        <x:v>iLabs Tech Park</x:v>
      </x:c>
      <x:c r="F5281" s="12" t="str">
        <x:v>55 inch</x:v>
      </x:c>
      <x:c r="G5281" s="20" t="n">
        <x:v>1</x:v>
      </x:c>
      <x:c r="H5281" s="12" t="str">
        <x:v>Campus/portfolio roster; individual building occupancy unverified</x:v>
      </x:c>
      <x:c r="I5281" s="12" t="str">
        <x:v>Mixed business audience</x:v>
      </x:c>
      <x:c r="J5281" s="12" t="str">
        <x:v>Workspace &amp; property operations</x:v>
      </x:c>
      <x:c r="K5281" s="2" t="str">
        <x:v>PARTNER-M283</x:v>
      </x:c>
    </x:row>
    <x:row r="5282" ht="46" customHeight="1">
      <x:c r="A5282" s="2" t="str">
        <x:v>TEN-93969D193161</x:v>
      </x:c>
      <x:c r="B5282" s="12" t="str">
        <x:v>Hp</x:v>
      </x:c>
      <x:c r="C5282" s="12" t="str">
        <x:v>CORP-0699</x:v>
      </x:c>
      <x:c r="D5282" s="12" t="str">
        <x:v>Hyderabad</x:v>
      </x:c>
      <x:c r="E5282" s="12" t="str">
        <x:v>iLabs Tech Park</x:v>
      </x:c>
      <x:c r="F5282" s="12" t="str">
        <x:v>55 inch</x:v>
      </x:c>
      <x:c r="G5282" s="20" t="n">
        <x:v>1</x:v>
      </x:c>
      <x:c r="H5282" s="12" t="str">
        <x:v>Campus/portfolio roster; individual building occupancy unverified</x:v>
      </x:c>
      <x:c r="I5282" s="12" t="str">
        <x:v>Mixed business audience</x:v>
      </x:c>
      <x:c r="J5282" s="12" t="str">
        <x:v>Engineering &amp; manufacturing</x:v>
      </x:c>
      <x:c r="K5282" s="2" t="str">
        <x:v>PARTNER-M283</x:v>
      </x:c>
    </x:row>
    <x:row r="5283" ht="46" customHeight="1">
      <x:c r="A5283" s="2" t="str">
        <x:v>TEN-9469C6F797DD</x:v>
      </x:c>
      <x:c r="B5283" s="12" t="str">
        <x:v>PASS GCA Solutions</x:v>
      </x:c>
      <x:c r="C5283" s="12" t="str">
        <x:v>CORP-0699</x:v>
      </x:c>
      <x:c r="D5283" s="12" t="str">
        <x:v>Hyderabad</x:v>
      </x:c>
      <x:c r="E5283" s="12" t="str">
        <x:v>iLabs Tech Park</x:v>
      </x:c>
      <x:c r="F5283" s="12" t="str">
        <x:v>55 inch</x:v>
      </x:c>
      <x:c r="G5283" s="20" t="n">
        <x:v>1</x:v>
      </x:c>
      <x:c r="H5283" s="12" t="str">
        <x:v>Campus/portfolio roster; individual building occupancy unverified</x:v>
      </x:c>
      <x:c r="I5283" s="12" t="str">
        <x:v>Mixed business audience</x:v>
      </x:c>
      <x:c r="J5283" s="12" t="str">
        <x:v>Unresolved</x:v>
      </x:c>
      <x:c r="K5283" s="2" t="str">
        <x:v>PARTNER-M283</x:v>
      </x:c>
    </x:row>
    <x:row r="5284" ht="46" customHeight="1">
      <x:c r="A5284" s="2" t="str">
        <x:v>TEN-98F51CB88BC4</x:v>
      </x:c>
      <x:c r="B5284" s="12" t="str">
        <x:v>Syniverse Technology</x:v>
      </x:c>
      <x:c r="C5284" s="12" t="str">
        <x:v>CORP-0699</x:v>
      </x:c>
      <x:c r="D5284" s="12" t="str">
        <x:v>Hyderabad</x:v>
      </x:c>
      <x:c r="E5284" s="12" t="str">
        <x:v>iLabs Tech Park</x:v>
      </x:c>
      <x:c r="F5284" s="12" t="str">
        <x:v>55 inch</x:v>
      </x:c>
      <x:c r="G5284" s="20" t="n">
        <x:v>1</x:v>
      </x:c>
      <x:c r="H5284" s="12" t="str">
        <x:v>Campus/portfolio roster; individual building occupancy unverified</x:v>
      </x:c>
      <x:c r="I5284" s="12" t="str">
        <x:v>Mixed business audience</x:v>
      </x:c>
      <x:c r="J5284" s="12" t="str">
        <x:v>IT &amp; digital</x:v>
      </x:c>
      <x:c r="K5284" s="2" t="str">
        <x:v>PARTNER-M283</x:v>
      </x:c>
    </x:row>
    <x:row r="5285" ht="46" customHeight="1">
      <x:c r="A5285" s="2" t="str">
        <x:v>TEN-A09CDA62FBCB</x:v>
      </x:c>
      <x:c r="B5285" s="12" t="str">
        <x:v>Wisemen</x:v>
      </x:c>
      <x:c r="C5285" s="12" t="str">
        <x:v>CORP-0699</x:v>
      </x:c>
      <x:c r="D5285" s="12" t="str">
        <x:v>Hyderabad</x:v>
      </x:c>
      <x:c r="E5285" s="12" t="str">
        <x:v>iLabs Tech Park</x:v>
      </x:c>
      <x:c r="F5285" s="12" t="str">
        <x:v>55 inch</x:v>
      </x:c>
      <x:c r="G5285" s="20" t="n">
        <x:v>1</x:v>
      </x:c>
      <x:c r="H5285" s="12" t="str">
        <x:v>Campus/portfolio roster; individual building occupancy unverified</x:v>
      </x:c>
      <x:c r="I5285" s="12" t="str">
        <x:v>Mixed business audience</x:v>
      </x:c>
      <x:c r="J5285" s="12" t="str">
        <x:v>Unresolved</x:v>
      </x:c>
      <x:c r="K5285" s="2" t="str">
        <x:v>PARTNER-M283</x:v>
      </x:c>
    </x:row>
    <x:row r="5286" ht="46" customHeight="1">
      <x:c r="A5286" s="2" t="str">
        <x:v>TEN-B6F0DAA20D8D</x:v>
      </x:c>
      <x:c r="B5286" s="12" t="str">
        <x:v>AMS Semiconductors</x:v>
      </x:c>
      <x:c r="C5286" s="12" t="str">
        <x:v>CORP-0699</x:v>
      </x:c>
      <x:c r="D5286" s="12" t="str">
        <x:v>Hyderabad</x:v>
      </x:c>
      <x:c r="E5286" s="12" t="str">
        <x:v>iLabs Tech Park</x:v>
      </x:c>
      <x:c r="F5286" s="12" t="str">
        <x:v>55 inch</x:v>
      </x:c>
      <x:c r="G5286" s="20" t="n">
        <x:v>1</x:v>
      </x:c>
      <x:c r="H5286" s="12" t="str">
        <x:v>Campus/portfolio roster; individual building occupancy unverified</x:v>
      </x:c>
      <x:c r="I5286" s="12" t="str">
        <x:v>Mixed business audience</x:v>
      </x:c>
      <x:c r="J5286" s="12" t="str">
        <x:v>Engineering &amp; manufacturing</x:v>
      </x:c>
      <x:c r="K5286" s="2" t="str">
        <x:v>PARTNER-M283</x:v>
      </x:c>
    </x:row>
    <x:row r="5287" ht="46" customHeight="1">
      <x:c r="A5287" s="2" t="str">
        <x:v>TEN-BC9765585BF0</x:v>
      </x:c>
      <x:c r="B5287" s="12" t="str">
        <x:v>CVM Solutions</x:v>
      </x:c>
      <x:c r="C5287" s="12" t="str">
        <x:v>CORP-0699</x:v>
      </x:c>
      <x:c r="D5287" s="12" t="str">
        <x:v>Hyderabad</x:v>
      </x:c>
      <x:c r="E5287" s="12" t="str">
        <x:v>iLabs Tech Park</x:v>
      </x:c>
      <x:c r="F5287" s="12" t="str">
        <x:v>55 inch</x:v>
      </x:c>
      <x:c r="G5287" s="20" t="n">
        <x:v>1</x:v>
      </x:c>
      <x:c r="H5287" s="12" t="str">
        <x:v>Campus/portfolio roster; individual building occupancy unverified</x:v>
      </x:c>
      <x:c r="I5287" s="12" t="str">
        <x:v>Mixed business audience</x:v>
      </x:c>
      <x:c r="J5287" s="12" t="str">
        <x:v>Unresolved</x:v>
      </x:c>
      <x:c r="K5287" s="2" t="str">
        <x:v>PARTNER-M283</x:v>
      </x:c>
    </x:row>
    <x:row r="5288" ht="46" customHeight="1">
      <x:c r="A5288" s="2" t="str">
        <x:v>TEN-CE371D3C6BED</x:v>
      </x:c>
      <x:c r="B5288" s="12" t="str">
        <x:v>Cubic</x:v>
      </x:c>
      <x:c r="C5288" s="12" t="str">
        <x:v>CORP-0699</x:v>
      </x:c>
      <x:c r="D5288" s="12" t="str">
        <x:v>Hyderabad</x:v>
      </x:c>
      <x:c r="E5288" s="12" t="str">
        <x:v>iLabs Tech Park</x:v>
      </x:c>
      <x:c r="F5288" s="12" t="str">
        <x:v>55 inch</x:v>
      </x:c>
      <x:c r="G5288" s="20" t="n">
        <x:v>1</x:v>
      </x:c>
      <x:c r="H5288" s="12" t="str">
        <x:v>Campus/portfolio roster; individual building occupancy unverified</x:v>
      </x:c>
      <x:c r="I5288" s="12" t="str">
        <x:v>Mixed business audience</x:v>
      </x:c>
      <x:c r="J5288" s="12" t="str">
        <x:v>Unresolved</x:v>
      </x:c>
      <x:c r="K5288" s="2" t="str">
        <x:v>PARTNER-M283</x:v>
      </x:c>
    </x:row>
    <x:row r="5289" ht="46" customHeight="1">
      <x:c r="A5289" s="2" t="str">
        <x:v>TEN-D67021B8B470</x:v>
      </x:c>
      <x:c r="B5289" s="12" t="str">
        <x:v>Host Analytics</x:v>
      </x:c>
      <x:c r="C5289" s="12" t="str">
        <x:v>CORP-0699</x:v>
      </x:c>
      <x:c r="D5289" s="12" t="str">
        <x:v>Hyderabad</x:v>
      </x:c>
      <x:c r="E5289" s="12" t="str">
        <x:v>iLabs Tech Park</x:v>
      </x:c>
      <x:c r="F5289" s="12" t="str">
        <x:v>55 inch</x:v>
      </x:c>
      <x:c r="G5289" s="20" t="n">
        <x:v>1</x:v>
      </x:c>
      <x:c r="H5289" s="12" t="str">
        <x:v>Campus/portfolio roster; individual building occupancy unverified</x:v>
      </x:c>
      <x:c r="I5289" s="12" t="str">
        <x:v>Mixed business audience</x:v>
      </x:c>
      <x:c r="J5289" s="12" t="str">
        <x:v>IT &amp; digital</x:v>
      </x:c>
      <x:c r="K5289" s="2" t="str">
        <x:v>PARTNER-M283</x:v>
      </x:c>
    </x:row>
    <x:row r="5290" ht="46" customHeight="1">
      <x:c r="A5290" s="2" t="str">
        <x:v>TEN-E8EEF6D2EC99</x:v>
      </x:c>
      <x:c r="B5290" s="12" t="str">
        <x:v>Invensys</x:v>
      </x:c>
      <x:c r="C5290" s="12" t="str">
        <x:v>CORP-0699</x:v>
      </x:c>
      <x:c r="D5290" s="12" t="str">
        <x:v>Hyderabad</x:v>
      </x:c>
      <x:c r="E5290" s="12" t="str">
        <x:v>iLabs Tech Park</x:v>
      </x:c>
      <x:c r="F5290" s="12" t="str">
        <x:v>55 inch</x:v>
      </x:c>
      <x:c r="G5290" s="20" t="n">
        <x:v>1</x:v>
      </x:c>
      <x:c r="H5290" s="12" t="str">
        <x:v>Campus/portfolio roster; individual building occupancy unverified</x:v>
      </x:c>
      <x:c r="I5290" s="12" t="str">
        <x:v>Mixed business audience</x:v>
      </x:c>
      <x:c r="J5290" s="12" t="str">
        <x:v>Engineering &amp; manufacturing</x:v>
      </x:c>
      <x:c r="K5290" s="2" t="str">
        <x:v>PARTNER-M283</x:v>
      </x:c>
    </x:row>
    <x:row r="5291" ht="46" customHeight="1">
      <x:c r="A5291" s="2" t="str">
        <x:v>TEN-059368F98DEB</x:v>
      </x:c>
      <x:c r="B5291" s="12" t="str">
        <x:v>Synchrony</x:v>
      </x:c>
      <x:c r="C5291" s="12" t="str">
        <x:v>CORP-0700</x:v>
      </x:c>
      <x:c r="D5291" s="12" t="str">
        <x:v>Hyderabad</x:v>
      </x:c>
      <x:c r="E5291" s="12" t="str">
        <x:v>iLabs Tech Park</x:v>
      </x:c>
      <x:c r="F5291" s="12" t="str">
        <x:v>55 inch</x:v>
      </x:c>
      <x:c r="G5291" s="20" t="n">
        <x:v>1</x:v>
      </x:c>
      <x:c r="H5291" s="12" t="str">
        <x:v>Campus/portfolio roster; individual building occupancy unverified</x:v>
      </x:c>
      <x:c r="I5291" s="12" t="str">
        <x:v>Mixed business audience</x:v>
      </x:c>
      <x:c r="J5291" s="12" t="str">
        <x:v>Finance &amp; insurance</x:v>
      </x:c>
      <x:c r="K5291" s="2" t="str">
        <x:v>PARTNER-M283</x:v>
      </x:c>
    </x:row>
    <x:row r="5292" ht="46" customHeight="1">
      <x:c r="A5292" s="2" t="str">
        <x:v>TEN-43BE6AC0AAE2</x:v>
      </x:c>
      <x:c r="B5292" s="12" t="str">
        <x:v>Syniverse Mobile Solution</x:v>
      </x:c>
      <x:c r="C5292" s="12" t="str">
        <x:v>CORP-0700</x:v>
      </x:c>
      <x:c r="D5292" s="12" t="str">
        <x:v>Hyderabad</x:v>
      </x:c>
      <x:c r="E5292" s="12" t="str">
        <x:v>iLabs Tech Park</x:v>
      </x:c>
      <x:c r="F5292" s="12" t="str">
        <x:v>55 inch</x:v>
      </x:c>
      <x:c r="G5292" s="20" t="n">
        <x:v>1</x:v>
      </x:c>
      <x:c r="H5292" s="12" t="str">
        <x:v>Campus/portfolio roster; individual building occupancy unverified</x:v>
      </x:c>
      <x:c r="I5292" s="12" t="str">
        <x:v>Mixed business audience</x:v>
      </x:c>
      <x:c r="J5292" s="12" t="str">
        <x:v>IT &amp; digital</x:v>
      </x:c>
      <x:c r="K5292" s="2" t="str">
        <x:v>PARTNER-M283</x:v>
      </x:c>
    </x:row>
    <x:row r="5293" ht="46" customHeight="1">
      <x:c r="A5293" s="2" t="str">
        <x:v>TEN-68BAD0BF4A37</x:v>
      </x:c>
      <x:c r="B5293" s="12" t="str">
        <x:v>NTT DATA</x:v>
      </x:c>
      <x:c r="C5293" s="12" t="str">
        <x:v>CORP-0700</x:v>
      </x:c>
      <x:c r="D5293" s="12" t="str">
        <x:v>Hyderabad</x:v>
      </x:c>
      <x:c r="E5293" s="12" t="str">
        <x:v>iLabs Tech Park</x:v>
      </x:c>
      <x:c r="F5293" s="12" t="str">
        <x:v>55 inch</x:v>
      </x:c>
      <x:c r="G5293" s="20" t="n">
        <x:v>1</x:v>
      </x:c>
      <x:c r="H5293" s="12" t="str">
        <x:v>Campus/portfolio roster; individual building occupancy unverified</x:v>
      </x:c>
      <x:c r="I5293" s="12" t="str">
        <x:v>Large enterprise</x:v>
      </x:c>
      <x:c r="J5293" s="12" t="str">
        <x:v>IT &amp; digital</x:v>
      </x:c>
      <x:c r="K5293" s="2" t="str">
        <x:v>PARTNER-M283</x:v>
      </x:c>
    </x:row>
    <x:row r="5294" ht="46" customHeight="1">
      <x:c r="A5294" s="2" t="str">
        <x:v>TEN-6FC71948C40F</x:v>
      </x:c>
      <x:c r="B5294" s="12" t="str">
        <x:v>Regus</x:v>
      </x:c>
      <x:c r="C5294" s="12" t="str">
        <x:v>CORP-0700</x:v>
      </x:c>
      <x:c r="D5294" s="12" t="str">
        <x:v>Hyderabad</x:v>
      </x:c>
      <x:c r="E5294" s="12" t="str">
        <x:v>iLabs Tech Park</x:v>
      </x:c>
      <x:c r="F5294" s="12" t="str">
        <x:v>55 inch</x:v>
      </x:c>
      <x:c r="G5294" s="20" t="n">
        <x:v>1</x:v>
      </x:c>
      <x:c r="H5294" s="12" t="str">
        <x:v>Campus/portfolio roster; individual building occupancy unverified</x:v>
      </x:c>
      <x:c r="I5294" s="12" t="str">
        <x:v>Mixed business audience</x:v>
      </x:c>
      <x:c r="J5294" s="12" t="str">
        <x:v>Workspace &amp; property operations</x:v>
      </x:c>
      <x:c r="K5294" s="2" t="str">
        <x:v>PARTNER-M283</x:v>
      </x:c>
    </x:row>
    <x:row r="5295" ht="46" customHeight="1">
      <x:c r="A5295" s="2" t="str">
        <x:v>TEN-93969D193161</x:v>
      </x:c>
      <x:c r="B5295" s="12" t="str">
        <x:v>Hp</x:v>
      </x:c>
      <x:c r="C5295" s="12" t="str">
        <x:v>CORP-0700</x:v>
      </x:c>
      <x:c r="D5295" s="12" t="str">
        <x:v>Hyderabad</x:v>
      </x:c>
      <x:c r="E5295" s="12" t="str">
        <x:v>iLabs Tech Park</x:v>
      </x:c>
      <x:c r="F5295" s="12" t="str">
        <x:v>55 inch</x:v>
      </x:c>
      <x:c r="G5295" s="20" t="n">
        <x:v>1</x:v>
      </x:c>
      <x:c r="H5295" s="12" t="str">
        <x:v>Campus/portfolio roster; individual building occupancy unverified</x:v>
      </x:c>
      <x:c r="I5295" s="12" t="str">
        <x:v>Mixed business audience</x:v>
      </x:c>
      <x:c r="J5295" s="12" t="str">
        <x:v>Engineering &amp; manufacturing</x:v>
      </x:c>
      <x:c r="K5295" s="2" t="str">
        <x:v>PARTNER-M283</x:v>
      </x:c>
    </x:row>
    <x:row r="5296" ht="46" customHeight="1">
      <x:c r="A5296" s="2" t="str">
        <x:v>TEN-9469C6F797DD</x:v>
      </x:c>
      <x:c r="B5296" s="12" t="str">
        <x:v>PASS GCA Solutions</x:v>
      </x:c>
      <x:c r="C5296" s="12" t="str">
        <x:v>CORP-0700</x:v>
      </x:c>
      <x:c r="D5296" s="12" t="str">
        <x:v>Hyderabad</x:v>
      </x:c>
      <x:c r="E5296" s="12" t="str">
        <x:v>iLabs Tech Park</x:v>
      </x:c>
      <x:c r="F5296" s="12" t="str">
        <x:v>55 inch</x:v>
      </x:c>
      <x:c r="G5296" s="20" t="n">
        <x:v>1</x:v>
      </x:c>
      <x:c r="H5296" s="12" t="str">
        <x:v>Campus/portfolio roster; individual building occupancy unverified</x:v>
      </x:c>
      <x:c r="I5296" s="12" t="str">
        <x:v>Mixed business audience</x:v>
      </x:c>
      <x:c r="J5296" s="12" t="str">
        <x:v>Unresolved</x:v>
      </x:c>
      <x:c r="K5296" s="2" t="str">
        <x:v>PARTNER-M283</x:v>
      </x:c>
    </x:row>
    <x:row r="5297" ht="46" customHeight="1">
      <x:c r="A5297" s="2" t="str">
        <x:v>TEN-98F51CB88BC4</x:v>
      </x:c>
      <x:c r="B5297" s="12" t="str">
        <x:v>Syniverse Technology</x:v>
      </x:c>
      <x:c r="C5297" s="12" t="str">
        <x:v>CORP-0700</x:v>
      </x:c>
      <x:c r="D5297" s="12" t="str">
        <x:v>Hyderabad</x:v>
      </x:c>
      <x:c r="E5297" s="12" t="str">
        <x:v>iLabs Tech Park</x:v>
      </x:c>
      <x:c r="F5297" s="12" t="str">
        <x:v>55 inch</x:v>
      </x:c>
      <x:c r="G5297" s="20" t="n">
        <x:v>1</x:v>
      </x:c>
      <x:c r="H5297" s="12" t="str">
        <x:v>Campus/portfolio roster; individual building occupancy unverified</x:v>
      </x:c>
      <x:c r="I5297" s="12" t="str">
        <x:v>Mixed business audience</x:v>
      </x:c>
      <x:c r="J5297" s="12" t="str">
        <x:v>IT &amp; digital</x:v>
      </x:c>
      <x:c r="K5297" s="2" t="str">
        <x:v>PARTNER-M283</x:v>
      </x:c>
    </x:row>
    <x:row r="5298" ht="46" customHeight="1">
      <x:c r="A5298" s="2" t="str">
        <x:v>TEN-A09CDA62FBCB</x:v>
      </x:c>
      <x:c r="B5298" s="12" t="str">
        <x:v>Wisemen</x:v>
      </x:c>
      <x:c r="C5298" s="12" t="str">
        <x:v>CORP-0700</x:v>
      </x:c>
      <x:c r="D5298" s="12" t="str">
        <x:v>Hyderabad</x:v>
      </x:c>
      <x:c r="E5298" s="12" t="str">
        <x:v>iLabs Tech Park</x:v>
      </x:c>
      <x:c r="F5298" s="12" t="str">
        <x:v>55 inch</x:v>
      </x:c>
      <x:c r="G5298" s="20" t="n">
        <x:v>1</x:v>
      </x:c>
      <x:c r="H5298" s="12" t="str">
        <x:v>Campus/portfolio roster; individual building occupancy unverified</x:v>
      </x:c>
      <x:c r="I5298" s="12" t="str">
        <x:v>Mixed business audience</x:v>
      </x:c>
      <x:c r="J5298" s="12" t="str">
        <x:v>Unresolved</x:v>
      </x:c>
      <x:c r="K5298" s="2" t="str">
        <x:v>PARTNER-M283</x:v>
      </x:c>
    </x:row>
    <x:row r="5299" ht="46" customHeight="1">
      <x:c r="A5299" s="2" t="str">
        <x:v>TEN-B6F0DAA20D8D</x:v>
      </x:c>
      <x:c r="B5299" s="12" t="str">
        <x:v>AMS Semiconductors</x:v>
      </x:c>
      <x:c r="C5299" s="12" t="str">
        <x:v>CORP-0700</x:v>
      </x:c>
      <x:c r="D5299" s="12" t="str">
        <x:v>Hyderabad</x:v>
      </x:c>
      <x:c r="E5299" s="12" t="str">
        <x:v>iLabs Tech Park</x:v>
      </x:c>
      <x:c r="F5299" s="12" t="str">
        <x:v>55 inch</x:v>
      </x:c>
      <x:c r="G5299" s="20" t="n">
        <x:v>1</x:v>
      </x:c>
      <x:c r="H5299" s="12" t="str">
        <x:v>Campus/portfolio roster; individual building occupancy unverified</x:v>
      </x:c>
      <x:c r="I5299" s="12" t="str">
        <x:v>Mixed business audience</x:v>
      </x:c>
      <x:c r="J5299" s="12" t="str">
        <x:v>Engineering &amp; manufacturing</x:v>
      </x:c>
      <x:c r="K5299" s="2" t="str">
        <x:v>PARTNER-M283</x:v>
      </x:c>
    </x:row>
    <x:row r="5300" ht="46" customHeight="1">
      <x:c r="A5300" s="2" t="str">
        <x:v>TEN-BC9765585BF0</x:v>
      </x:c>
      <x:c r="B5300" s="12" t="str">
        <x:v>CVM Solutions</x:v>
      </x:c>
      <x:c r="C5300" s="12" t="str">
        <x:v>CORP-0700</x:v>
      </x:c>
      <x:c r="D5300" s="12" t="str">
        <x:v>Hyderabad</x:v>
      </x:c>
      <x:c r="E5300" s="12" t="str">
        <x:v>iLabs Tech Park</x:v>
      </x:c>
      <x:c r="F5300" s="12" t="str">
        <x:v>55 inch</x:v>
      </x:c>
      <x:c r="G5300" s="20" t="n">
        <x:v>1</x:v>
      </x:c>
      <x:c r="H5300" s="12" t="str">
        <x:v>Campus/portfolio roster; individual building occupancy unverified</x:v>
      </x:c>
      <x:c r="I5300" s="12" t="str">
        <x:v>Mixed business audience</x:v>
      </x:c>
      <x:c r="J5300" s="12" t="str">
        <x:v>Unresolved</x:v>
      </x:c>
      <x:c r="K5300" s="2" t="str">
        <x:v>PARTNER-M283</x:v>
      </x:c>
    </x:row>
    <x:row r="5301" ht="46" customHeight="1">
      <x:c r="A5301" s="2" t="str">
        <x:v>TEN-CE371D3C6BED</x:v>
      </x:c>
      <x:c r="B5301" s="12" t="str">
        <x:v>Cubic</x:v>
      </x:c>
      <x:c r="C5301" s="12" t="str">
        <x:v>CORP-0700</x:v>
      </x:c>
      <x:c r="D5301" s="12" t="str">
        <x:v>Hyderabad</x:v>
      </x:c>
      <x:c r="E5301" s="12" t="str">
        <x:v>iLabs Tech Park</x:v>
      </x:c>
      <x:c r="F5301" s="12" t="str">
        <x:v>55 inch</x:v>
      </x:c>
      <x:c r="G5301" s="20" t="n">
        <x:v>1</x:v>
      </x:c>
      <x:c r="H5301" s="12" t="str">
        <x:v>Campus/portfolio roster; individual building occupancy unverified</x:v>
      </x:c>
      <x:c r="I5301" s="12" t="str">
        <x:v>Mixed business audience</x:v>
      </x:c>
      <x:c r="J5301" s="12" t="str">
        <x:v>Unresolved</x:v>
      </x:c>
      <x:c r="K5301" s="2" t="str">
        <x:v>PARTNER-M283</x:v>
      </x:c>
    </x:row>
    <x:row r="5302" ht="46" customHeight="1">
      <x:c r="A5302" s="2" t="str">
        <x:v>TEN-D67021B8B470</x:v>
      </x:c>
      <x:c r="B5302" s="12" t="str">
        <x:v>Host Analytics</x:v>
      </x:c>
      <x:c r="C5302" s="12" t="str">
        <x:v>CORP-0700</x:v>
      </x:c>
      <x:c r="D5302" s="12" t="str">
        <x:v>Hyderabad</x:v>
      </x:c>
      <x:c r="E5302" s="12" t="str">
        <x:v>iLabs Tech Park</x:v>
      </x:c>
      <x:c r="F5302" s="12" t="str">
        <x:v>55 inch</x:v>
      </x:c>
      <x:c r="G5302" s="20" t="n">
        <x:v>1</x:v>
      </x:c>
      <x:c r="H5302" s="12" t="str">
        <x:v>Campus/portfolio roster; individual building occupancy unverified</x:v>
      </x:c>
      <x:c r="I5302" s="12" t="str">
        <x:v>Mixed business audience</x:v>
      </x:c>
      <x:c r="J5302" s="12" t="str">
        <x:v>IT &amp; digital</x:v>
      </x:c>
      <x:c r="K5302" s="2" t="str">
        <x:v>PARTNER-M283</x:v>
      </x:c>
    </x:row>
    <x:row r="5303" ht="46" customHeight="1">
      <x:c r="A5303" s="2" t="str">
        <x:v>TEN-E8EEF6D2EC99</x:v>
      </x:c>
      <x:c r="B5303" s="12" t="str">
        <x:v>Invensys</x:v>
      </x:c>
      <x:c r="C5303" s="12" t="str">
        <x:v>CORP-0700</x:v>
      </x:c>
      <x:c r="D5303" s="12" t="str">
        <x:v>Hyderabad</x:v>
      </x:c>
      <x:c r="E5303" s="12" t="str">
        <x:v>iLabs Tech Park</x:v>
      </x:c>
      <x:c r="F5303" s="12" t="str">
        <x:v>55 inch</x:v>
      </x:c>
      <x:c r="G5303" s="20" t="n">
        <x:v>1</x:v>
      </x:c>
      <x:c r="H5303" s="12" t="str">
        <x:v>Campus/portfolio roster; individual building occupancy unverified</x:v>
      </x:c>
      <x:c r="I5303" s="12" t="str">
        <x:v>Mixed business audience</x:v>
      </x:c>
      <x:c r="J5303" s="12" t="str">
        <x:v>Engineering &amp; manufacturing</x:v>
      </x:c>
      <x:c r="K5303" s="2" t="str">
        <x:v>PARTNER-M283</x:v>
      </x:c>
    </x:row>
    <x:row r="5304" ht="46" customHeight="1">
      <x:c r="A5304" s="2" t="str">
        <x:v>TEN-059368F98DEB</x:v>
      </x:c>
      <x:c r="B5304" s="12" t="str">
        <x:v>Synchrony</x:v>
      </x:c>
      <x:c r="C5304" s="12" t="str">
        <x:v>CORP-0701</x:v>
      </x:c>
      <x:c r="D5304" s="12" t="str">
        <x:v>Hyderabad</x:v>
      </x:c>
      <x:c r="E5304" s="12" t="str">
        <x:v>iLabs Tech Park</x:v>
      </x:c>
      <x:c r="F5304" s="12" t="str">
        <x:v>55 inch</x:v>
      </x:c>
      <x:c r="G5304" s="20" t="n">
        <x:v>1</x:v>
      </x:c>
      <x:c r="H5304" s="12" t="str">
        <x:v>Campus/portfolio roster; individual building occupancy unverified</x:v>
      </x:c>
      <x:c r="I5304" s="12" t="str">
        <x:v>Mixed business audience</x:v>
      </x:c>
      <x:c r="J5304" s="12" t="str">
        <x:v>Finance &amp; insurance</x:v>
      </x:c>
      <x:c r="K5304" s="2" t="str">
        <x:v>PARTNER-M283</x:v>
      </x:c>
    </x:row>
    <x:row r="5305" ht="46" customHeight="1">
      <x:c r="A5305" s="2" t="str">
        <x:v>TEN-43BE6AC0AAE2</x:v>
      </x:c>
      <x:c r="B5305" s="12" t="str">
        <x:v>Syniverse Mobile Solution</x:v>
      </x:c>
      <x:c r="C5305" s="12" t="str">
        <x:v>CORP-0701</x:v>
      </x:c>
      <x:c r="D5305" s="12" t="str">
        <x:v>Hyderabad</x:v>
      </x:c>
      <x:c r="E5305" s="12" t="str">
        <x:v>iLabs Tech Park</x:v>
      </x:c>
      <x:c r="F5305" s="12" t="str">
        <x:v>55 inch</x:v>
      </x:c>
      <x:c r="G5305" s="20" t="n">
        <x:v>1</x:v>
      </x:c>
      <x:c r="H5305" s="12" t="str">
        <x:v>Campus/portfolio roster; individual building occupancy unverified</x:v>
      </x:c>
      <x:c r="I5305" s="12" t="str">
        <x:v>Mixed business audience</x:v>
      </x:c>
      <x:c r="J5305" s="12" t="str">
        <x:v>IT &amp; digital</x:v>
      </x:c>
      <x:c r="K5305" s="2" t="str">
        <x:v>PARTNER-M283</x:v>
      </x:c>
    </x:row>
    <x:row r="5306" ht="46" customHeight="1">
      <x:c r="A5306" s="2" t="str">
        <x:v>TEN-68BAD0BF4A37</x:v>
      </x:c>
      <x:c r="B5306" s="12" t="str">
        <x:v>NTT DATA</x:v>
      </x:c>
      <x:c r="C5306" s="12" t="str">
        <x:v>CORP-0701</x:v>
      </x:c>
      <x:c r="D5306" s="12" t="str">
        <x:v>Hyderabad</x:v>
      </x:c>
      <x:c r="E5306" s="12" t="str">
        <x:v>iLabs Tech Park</x:v>
      </x:c>
      <x:c r="F5306" s="12" t="str">
        <x:v>55 inch</x:v>
      </x:c>
      <x:c r="G5306" s="20" t="n">
        <x:v>1</x:v>
      </x:c>
      <x:c r="H5306" s="12" t="str">
        <x:v>Campus/portfolio roster; individual building occupancy unverified</x:v>
      </x:c>
      <x:c r="I5306" s="12" t="str">
        <x:v>Large enterprise</x:v>
      </x:c>
      <x:c r="J5306" s="12" t="str">
        <x:v>IT &amp; digital</x:v>
      </x:c>
      <x:c r="K5306" s="2" t="str">
        <x:v>PARTNER-M283</x:v>
      </x:c>
    </x:row>
    <x:row r="5307" ht="46" customHeight="1">
      <x:c r="A5307" s="2" t="str">
        <x:v>TEN-6FC71948C40F</x:v>
      </x:c>
      <x:c r="B5307" s="12" t="str">
        <x:v>Regus</x:v>
      </x:c>
      <x:c r="C5307" s="12" t="str">
        <x:v>CORP-0701</x:v>
      </x:c>
      <x:c r="D5307" s="12" t="str">
        <x:v>Hyderabad</x:v>
      </x:c>
      <x:c r="E5307" s="12" t="str">
        <x:v>iLabs Tech Park</x:v>
      </x:c>
      <x:c r="F5307" s="12" t="str">
        <x:v>55 inch</x:v>
      </x:c>
      <x:c r="G5307" s="20" t="n">
        <x:v>1</x:v>
      </x:c>
      <x:c r="H5307" s="12" t="str">
        <x:v>Campus/portfolio roster; individual building occupancy unverified</x:v>
      </x:c>
      <x:c r="I5307" s="12" t="str">
        <x:v>Mixed business audience</x:v>
      </x:c>
      <x:c r="J5307" s="12" t="str">
        <x:v>Workspace &amp; property operations</x:v>
      </x:c>
      <x:c r="K5307" s="2" t="str">
        <x:v>PARTNER-M283</x:v>
      </x:c>
    </x:row>
    <x:row r="5308" ht="46" customHeight="1">
      <x:c r="A5308" s="2" t="str">
        <x:v>TEN-93969D193161</x:v>
      </x:c>
      <x:c r="B5308" s="12" t="str">
        <x:v>Hp</x:v>
      </x:c>
      <x:c r="C5308" s="12" t="str">
        <x:v>CORP-0701</x:v>
      </x:c>
      <x:c r="D5308" s="12" t="str">
        <x:v>Hyderabad</x:v>
      </x:c>
      <x:c r="E5308" s="12" t="str">
        <x:v>iLabs Tech Park</x:v>
      </x:c>
      <x:c r="F5308" s="12" t="str">
        <x:v>55 inch</x:v>
      </x:c>
      <x:c r="G5308" s="20" t="n">
        <x:v>1</x:v>
      </x:c>
      <x:c r="H5308" s="12" t="str">
        <x:v>Campus/portfolio roster; individual building occupancy unverified</x:v>
      </x:c>
      <x:c r="I5308" s="12" t="str">
        <x:v>Mixed business audience</x:v>
      </x:c>
      <x:c r="J5308" s="12" t="str">
        <x:v>Engineering &amp; manufacturing</x:v>
      </x:c>
      <x:c r="K5308" s="2" t="str">
        <x:v>PARTNER-M283</x:v>
      </x:c>
    </x:row>
    <x:row r="5309" ht="46" customHeight="1">
      <x:c r="A5309" s="2" t="str">
        <x:v>TEN-9469C6F797DD</x:v>
      </x:c>
      <x:c r="B5309" s="12" t="str">
        <x:v>PASS GCA Solutions</x:v>
      </x:c>
      <x:c r="C5309" s="12" t="str">
        <x:v>CORP-0701</x:v>
      </x:c>
      <x:c r="D5309" s="12" t="str">
        <x:v>Hyderabad</x:v>
      </x:c>
      <x:c r="E5309" s="12" t="str">
        <x:v>iLabs Tech Park</x:v>
      </x:c>
      <x:c r="F5309" s="12" t="str">
        <x:v>55 inch</x:v>
      </x:c>
      <x:c r="G5309" s="20" t="n">
        <x:v>1</x:v>
      </x:c>
      <x:c r="H5309" s="12" t="str">
        <x:v>Campus/portfolio roster; individual building occupancy unverified</x:v>
      </x:c>
      <x:c r="I5309" s="12" t="str">
        <x:v>Mixed business audience</x:v>
      </x:c>
      <x:c r="J5309" s="12" t="str">
        <x:v>Unresolved</x:v>
      </x:c>
      <x:c r="K5309" s="2" t="str">
        <x:v>PARTNER-M283</x:v>
      </x:c>
    </x:row>
    <x:row r="5310" ht="46" customHeight="1">
      <x:c r="A5310" s="2" t="str">
        <x:v>TEN-98F51CB88BC4</x:v>
      </x:c>
      <x:c r="B5310" s="12" t="str">
        <x:v>Syniverse Technology</x:v>
      </x:c>
      <x:c r="C5310" s="12" t="str">
        <x:v>CORP-0701</x:v>
      </x:c>
      <x:c r="D5310" s="12" t="str">
        <x:v>Hyderabad</x:v>
      </x:c>
      <x:c r="E5310" s="12" t="str">
        <x:v>iLabs Tech Park</x:v>
      </x:c>
      <x:c r="F5310" s="12" t="str">
        <x:v>55 inch</x:v>
      </x:c>
      <x:c r="G5310" s="20" t="n">
        <x:v>1</x:v>
      </x:c>
      <x:c r="H5310" s="12" t="str">
        <x:v>Campus/portfolio roster; individual building occupancy unverified</x:v>
      </x:c>
      <x:c r="I5310" s="12" t="str">
        <x:v>Mixed business audience</x:v>
      </x:c>
      <x:c r="J5310" s="12" t="str">
        <x:v>IT &amp; digital</x:v>
      </x:c>
      <x:c r="K5310" s="2" t="str">
        <x:v>PARTNER-M283</x:v>
      </x:c>
    </x:row>
    <x:row r="5311" ht="46" customHeight="1">
      <x:c r="A5311" s="2" t="str">
        <x:v>TEN-A09CDA62FBCB</x:v>
      </x:c>
      <x:c r="B5311" s="12" t="str">
        <x:v>Wisemen</x:v>
      </x:c>
      <x:c r="C5311" s="12" t="str">
        <x:v>CORP-0701</x:v>
      </x:c>
      <x:c r="D5311" s="12" t="str">
        <x:v>Hyderabad</x:v>
      </x:c>
      <x:c r="E5311" s="12" t="str">
        <x:v>iLabs Tech Park</x:v>
      </x:c>
      <x:c r="F5311" s="12" t="str">
        <x:v>55 inch</x:v>
      </x:c>
      <x:c r="G5311" s="20" t="n">
        <x:v>1</x:v>
      </x:c>
      <x:c r="H5311" s="12" t="str">
        <x:v>Campus/portfolio roster; individual building occupancy unverified</x:v>
      </x:c>
      <x:c r="I5311" s="12" t="str">
        <x:v>Mixed business audience</x:v>
      </x:c>
      <x:c r="J5311" s="12" t="str">
        <x:v>Unresolved</x:v>
      </x:c>
      <x:c r="K5311" s="2" t="str">
        <x:v>PARTNER-M283</x:v>
      </x:c>
    </x:row>
    <x:row r="5312" ht="46" customHeight="1">
      <x:c r="A5312" s="2" t="str">
        <x:v>TEN-B6F0DAA20D8D</x:v>
      </x:c>
      <x:c r="B5312" s="12" t="str">
        <x:v>AMS Semiconductors</x:v>
      </x:c>
      <x:c r="C5312" s="12" t="str">
        <x:v>CORP-0701</x:v>
      </x:c>
      <x:c r="D5312" s="12" t="str">
        <x:v>Hyderabad</x:v>
      </x:c>
      <x:c r="E5312" s="12" t="str">
        <x:v>iLabs Tech Park</x:v>
      </x:c>
      <x:c r="F5312" s="12" t="str">
        <x:v>55 inch</x:v>
      </x:c>
      <x:c r="G5312" s="20" t="n">
        <x:v>1</x:v>
      </x:c>
      <x:c r="H5312" s="12" t="str">
        <x:v>Campus/portfolio roster; individual building occupancy unverified</x:v>
      </x:c>
      <x:c r="I5312" s="12" t="str">
        <x:v>Mixed business audience</x:v>
      </x:c>
      <x:c r="J5312" s="12" t="str">
        <x:v>Engineering &amp; manufacturing</x:v>
      </x:c>
      <x:c r="K5312" s="2" t="str">
        <x:v>PARTNER-M283</x:v>
      </x:c>
    </x:row>
    <x:row r="5313" ht="46" customHeight="1">
      <x:c r="A5313" s="2" t="str">
        <x:v>TEN-BC9765585BF0</x:v>
      </x:c>
      <x:c r="B5313" s="12" t="str">
        <x:v>CVM Solutions</x:v>
      </x:c>
      <x:c r="C5313" s="12" t="str">
        <x:v>CORP-0701</x:v>
      </x:c>
      <x:c r="D5313" s="12" t="str">
        <x:v>Hyderabad</x:v>
      </x:c>
      <x:c r="E5313" s="12" t="str">
        <x:v>iLabs Tech Park</x:v>
      </x:c>
      <x:c r="F5313" s="12" t="str">
        <x:v>55 inch</x:v>
      </x:c>
      <x:c r="G5313" s="20" t="n">
        <x:v>1</x:v>
      </x:c>
      <x:c r="H5313" s="12" t="str">
        <x:v>Campus/portfolio roster; individual building occupancy unverified</x:v>
      </x:c>
      <x:c r="I5313" s="12" t="str">
        <x:v>Mixed business audience</x:v>
      </x:c>
      <x:c r="J5313" s="12" t="str">
        <x:v>Unresolved</x:v>
      </x:c>
      <x:c r="K5313" s="2" t="str">
        <x:v>PARTNER-M283</x:v>
      </x:c>
    </x:row>
    <x:row r="5314" ht="46" customHeight="1">
      <x:c r="A5314" s="2" t="str">
        <x:v>TEN-CE371D3C6BED</x:v>
      </x:c>
      <x:c r="B5314" s="12" t="str">
        <x:v>Cubic</x:v>
      </x:c>
      <x:c r="C5314" s="12" t="str">
        <x:v>CORP-0701</x:v>
      </x:c>
      <x:c r="D5314" s="12" t="str">
        <x:v>Hyderabad</x:v>
      </x:c>
      <x:c r="E5314" s="12" t="str">
        <x:v>iLabs Tech Park</x:v>
      </x:c>
      <x:c r="F5314" s="12" t="str">
        <x:v>55 inch</x:v>
      </x:c>
      <x:c r="G5314" s="20" t="n">
        <x:v>1</x:v>
      </x:c>
      <x:c r="H5314" s="12" t="str">
        <x:v>Campus/portfolio roster; individual building occupancy unverified</x:v>
      </x:c>
      <x:c r="I5314" s="12" t="str">
        <x:v>Mixed business audience</x:v>
      </x:c>
      <x:c r="J5314" s="12" t="str">
        <x:v>Unresolved</x:v>
      </x:c>
      <x:c r="K5314" s="2" t="str">
        <x:v>PARTNER-M283</x:v>
      </x:c>
    </x:row>
    <x:row r="5315" ht="46" customHeight="1">
      <x:c r="A5315" s="2" t="str">
        <x:v>TEN-D67021B8B470</x:v>
      </x:c>
      <x:c r="B5315" s="12" t="str">
        <x:v>Host Analytics</x:v>
      </x:c>
      <x:c r="C5315" s="12" t="str">
        <x:v>CORP-0701</x:v>
      </x:c>
      <x:c r="D5315" s="12" t="str">
        <x:v>Hyderabad</x:v>
      </x:c>
      <x:c r="E5315" s="12" t="str">
        <x:v>iLabs Tech Park</x:v>
      </x:c>
      <x:c r="F5315" s="12" t="str">
        <x:v>55 inch</x:v>
      </x:c>
      <x:c r="G5315" s="20" t="n">
        <x:v>1</x:v>
      </x:c>
      <x:c r="H5315" s="12" t="str">
        <x:v>Campus/portfolio roster; individual building occupancy unverified</x:v>
      </x:c>
      <x:c r="I5315" s="12" t="str">
        <x:v>Mixed business audience</x:v>
      </x:c>
      <x:c r="J5315" s="12" t="str">
        <x:v>IT &amp; digital</x:v>
      </x:c>
      <x:c r="K5315" s="2" t="str">
        <x:v>PARTNER-M283</x:v>
      </x:c>
    </x:row>
    <x:row r="5316" ht="46" customHeight="1">
      <x:c r="A5316" s="2" t="str">
        <x:v>TEN-E8EEF6D2EC99</x:v>
      </x:c>
      <x:c r="B5316" s="12" t="str">
        <x:v>Invensys</x:v>
      </x:c>
      <x:c r="C5316" s="12" t="str">
        <x:v>CORP-0701</x:v>
      </x:c>
      <x:c r="D5316" s="12" t="str">
        <x:v>Hyderabad</x:v>
      </x:c>
      <x:c r="E5316" s="12" t="str">
        <x:v>iLabs Tech Park</x:v>
      </x:c>
      <x:c r="F5316" s="12" t="str">
        <x:v>55 inch</x:v>
      </x:c>
      <x:c r="G5316" s="20" t="n">
        <x:v>1</x:v>
      </x:c>
      <x:c r="H5316" s="12" t="str">
        <x:v>Campus/portfolio roster; individual building occupancy unverified</x:v>
      </x:c>
      <x:c r="I5316" s="12" t="str">
        <x:v>Mixed business audience</x:v>
      </x:c>
      <x:c r="J5316" s="12" t="str">
        <x:v>Engineering &amp; manufacturing</x:v>
      </x:c>
      <x:c r="K5316" s="2" t="str">
        <x:v>PARTNER-M283</x:v>
      </x:c>
    </x:row>
    <x:row r="5317" ht="46" customHeight="1">
      <x:c r="A5317" s="2" t="str">
        <x:v>TEN-059368F98DEB</x:v>
      </x:c>
      <x:c r="B5317" s="12" t="str">
        <x:v>Synchrony</x:v>
      </x:c>
      <x:c r="C5317" s="12" t="str">
        <x:v>CORP-0702</x:v>
      </x:c>
      <x:c r="D5317" s="12" t="str">
        <x:v>Hyderabad</x:v>
      </x:c>
      <x:c r="E5317" s="12" t="str">
        <x:v>iLabs Tech Park</x:v>
      </x:c>
      <x:c r="F5317" s="12" t="str">
        <x:v>55 inch</x:v>
      </x:c>
      <x:c r="G5317" s="20" t="n">
        <x:v>1</x:v>
      </x:c>
      <x:c r="H5317" s="12" t="str">
        <x:v>Campus/portfolio roster; individual building occupancy unverified</x:v>
      </x:c>
      <x:c r="I5317" s="12" t="str">
        <x:v>Mixed business audience</x:v>
      </x:c>
      <x:c r="J5317" s="12" t="str">
        <x:v>Finance &amp; insurance</x:v>
      </x:c>
      <x:c r="K5317" s="2" t="str">
        <x:v>PARTNER-M283</x:v>
      </x:c>
    </x:row>
    <x:row r="5318" ht="46" customHeight="1">
      <x:c r="A5318" s="2" t="str">
        <x:v>TEN-43BE6AC0AAE2</x:v>
      </x:c>
      <x:c r="B5318" s="12" t="str">
        <x:v>Syniverse Mobile Solution</x:v>
      </x:c>
      <x:c r="C5318" s="12" t="str">
        <x:v>CORP-0702</x:v>
      </x:c>
      <x:c r="D5318" s="12" t="str">
        <x:v>Hyderabad</x:v>
      </x:c>
      <x:c r="E5318" s="12" t="str">
        <x:v>iLabs Tech Park</x:v>
      </x:c>
      <x:c r="F5318" s="12" t="str">
        <x:v>55 inch</x:v>
      </x:c>
      <x:c r="G5318" s="20" t="n">
        <x:v>1</x:v>
      </x:c>
      <x:c r="H5318" s="12" t="str">
        <x:v>Campus/portfolio roster; individual building occupancy unverified</x:v>
      </x:c>
      <x:c r="I5318" s="12" t="str">
        <x:v>Mixed business audience</x:v>
      </x:c>
      <x:c r="J5318" s="12" t="str">
        <x:v>IT &amp; digital</x:v>
      </x:c>
      <x:c r="K5318" s="2" t="str">
        <x:v>PARTNER-M283</x:v>
      </x:c>
    </x:row>
    <x:row r="5319" ht="46" customHeight="1">
      <x:c r="A5319" s="2" t="str">
        <x:v>TEN-68BAD0BF4A37</x:v>
      </x:c>
      <x:c r="B5319" s="12" t="str">
        <x:v>NTT DATA</x:v>
      </x:c>
      <x:c r="C5319" s="12" t="str">
        <x:v>CORP-0702</x:v>
      </x:c>
      <x:c r="D5319" s="12" t="str">
        <x:v>Hyderabad</x:v>
      </x:c>
      <x:c r="E5319" s="12" t="str">
        <x:v>iLabs Tech Park</x:v>
      </x:c>
      <x:c r="F5319" s="12" t="str">
        <x:v>55 inch</x:v>
      </x:c>
      <x:c r="G5319" s="20" t="n">
        <x:v>1</x:v>
      </x:c>
      <x:c r="H5319" s="12" t="str">
        <x:v>Campus/portfolio roster; individual building occupancy unverified</x:v>
      </x:c>
      <x:c r="I5319" s="12" t="str">
        <x:v>Large enterprise</x:v>
      </x:c>
      <x:c r="J5319" s="12" t="str">
        <x:v>IT &amp; digital</x:v>
      </x:c>
      <x:c r="K5319" s="2" t="str">
        <x:v>PARTNER-M283</x:v>
      </x:c>
    </x:row>
    <x:row r="5320" ht="46" customHeight="1">
      <x:c r="A5320" s="2" t="str">
        <x:v>TEN-6FC71948C40F</x:v>
      </x:c>
      <x:c r="B5320" s="12" t="str">
        <x:v>Regus</x:v>
      </x:c>
      <x:c r="C5320" s="12" t="str">
        <x:v>CORP-0702</x:v>
      </x:c>
      <x:c r="D5320" s="12" t="str">
        <x:v>Hyderabad</x:v>
      </x:c>
      <x:c r="E5320" s="12" t="str">
        <x:v>iLabs Tech Park</x:v>
      </x:c>
      <x:c r="F5320" s="12" t="str">
        <x:v>55 inch</x:v>
      </x:c>
      <x:c r="G5320" s="20" t="n">
        <x:v>1</x:v>
      </x:c>
      <x:c r="H5320" s="12" t="str">
        <x:v>Campus/portfolio roster; individual building occupancy unverified</x:v>
      </x:c>
      <x:c r="I5320" s="12" t="str">
        <x:v>Mixed business audience</x:v>
      </x:c>
      <x:c r="J5320" s="12" t="str">
        <x:v>Workspace &amp; property operations</x:v>
      </x:c>
      <x:c r="K5320" s="2" t="str">
        <x:v>PARTNER-M283</x:v>
      </x:c>
    </x:row>
    <x:row r="5321" ht="46" customHeight="1">
      <x:c r="A5321" s="2" t="str">
        <x:v>TEN-93969D193161</x:v>
      </x:c>
      <x:c r="B5321" s="12" t="str">
        <x:v>Hp</x:v>
      </x:c>
      <x:c r="C5321" s="12" t="str">
        <x:v>CORP-0702</x:v>
      </x:c>
      <x:c r="D5321" s="12" t="str">
        <x:v>Hyderabad</x:v>
      </x:c>
      <x:c r="E5321" s="12" t="str">
        <x:v>iLabs Tech Park</x:v>
      </x:c>
      <x:c r="F5321" s="12" t="str">
        <x:v>55 inch</x:v>
      </x:c>
      <x:c r="G5321" s="20" t="n">
        <x:v>1</x:v>
      </x:c>
      <x:c r="H5321" s="12" t="str">
        <x:v>Campus/portfolio roster; individual building occupancy unverified</x:v>
      </x:c>
      <x:c r="I5321" s="12" t="str">
        <x:v>Mixed business audience</x:v>
      </x:c>
      <x:c r="J5321" s="12" t="str">
        <x:v>Engineering &amp; manufacturing</x:v>
      </x:c>
      <x:c r="K5321" s="2" t="str">
        <x:v>PARTNER-M283</x:v>
      </x:c>
    </x:row>
    <x:row r="5322" ht="46" customHeight="1">
      <x:c r="A5322" s="2" t="str">
        <x:v>TEN-9469C6F797DD</x:v>
      </x:c>
      <x:c r="B5322" s="12" t="str">
        <x:v>PASS GCA Solutions</x:v>
      </x:c>
      <x:c r="C5322" s="12" t="str">
        <x:v>CORP-0702</x:v>
      </x:c>
      <x:c r="D5322" s="12" t="str">
        <x:v>Hyderabad</x:v>
      </x:c>
      <x:c r="E5322" s="12" t="str">
        <x:v>iLabs Tech Park</x:v>
      </x:c>
      <x:c r="F5322" s="12" t="str">
        <x:v>55 inch</x:v>
      </x:c>
      <x:c r="G5322" s="20" t="n">
        <x:v>1</x:v>
      </x:c>
      <x:c r="H5322" s="12" t="str">
        <x:v>Campus/portfolio roster; individual building occupancy unverified</x:v>
      </x:c>
      <x:c r="I5322" s="12" t="str">
        <x:v>Mixed business audience</x:v>
      </x:c>
      <x:c r="J5322" s="12" t="str">
        <x:v>Unresolved</x:v>
      </x:c>
      <x:c r="K5322" s="2" t="str">
        <x:v>PARTNER-M283</x:v>
      </x:c>
    </x:row>
    <x:row r="5323" ht="46" customHeight="1">
      <x:c r="A5323" s="2" t="str">
        <x:v>TEN-98F51CB88BC4</x:v>
      </x:c>
      <x:c r="B5323" s="12" t="str">
        <x:v>Syniverse Technology</x:v>
      </x:c>
      <x:c r="C5323" s="12" t="str">
        <x:v>CORP-0702</x:v>
      </x:c>
      <x:c r="D5323" s="12" t="str">
        <x:v>Hyderabad</x:v>
      </x:c>
      <x:c r="E5323" s="12" t="str">
        <x:v>iLabs Tech Park</x:v>
      </x:c>
      <x:c r="F5323" s="12" t="str">
        <x:v>55 inch</x:v>
      </x:c>
      <x:c r="G5323" s="20" t="n">
        <x:v>1</x:v>
      </x:c>
      <x:c r="H5323" s="12" t="str">
        <x:v>Campus/portfolio roster; individual building occupancy unverified</x:v>
      </x:c>
      <x:c r="I5323" s="12" t="str">
        <x:v>Mixed business audience</x:v>
      </x:c>
      <x:c r="J5323" s="12" t="str">
        <x:v>IT &amp; digital</x:v>
      </x:c>
      <x:c r="K5323" s="2" t="str">
        <x:v>PARTNER-M283</x:v>
      </x:c>
    </x:row>
    <x:row r="5324" ht="46" customHeight="1">
      <x:c r="A5324" s="2" t="str">
        <x:v>TEN-A09CDA62FBCB</x:v>
      </x:c>
      <x:c r="B5324" s="12" t="str">
        <x:v>Wisemen</x:v>
      </x:c>
      <x:c r="C5324" s="12" t="str">
        <x:v>CORP-0702</x:v>
      </x:c>
      <x:c r="D5324" s="12" t="str">
        <x:v>Hyderabad</x:v>
      </x:c>
      <x:c r="E5324" s="12" t="str">
        <x:v>iLabs Tech Park</x:v>
      </x:c>
      <x:c r="F5324" s="12" t="str">
        <x:v>55 inch</x:v>
      </x:c>
      <x:c r="G5324" s="20" t="n">
        <x:v>1</x:v>
      </x:c>
      <x:c r="H5324" s="12" t="str">
        <x:v>Campus/portfolio roster; individual building occupancy unverified</x:v>
      </x:c>
      <x:c r="I5324" s="12" t="str">
        <x:v>Mixed business audience</x:v>
      </x:c>
      <x:c r="J5324" s="12" t="str">
        <x:v>Unresolved</x:v>
      </x:c>
      <x:c r="K5324" s="2" t="str">
        <x:v>PARTNER-M283</x:v>
      </x:c>
    </x:row>
    <x:row r="5325" ht="46" customHeight="1">
      <x:c r="A5325" s="2" t="str">
        <x:v>TEN-B6F0DAA20D8D</x:v>
      </x:c>
      <x:c r="B5325" s="12" t="str">
        <x:v>AMS Semiconductors</x:v>
      </x:c>
      <x:c r="C5325" s="12" t="str">
        <x:v>CORP-0702</x:v>
      </x:c>
      <x:c r="D5325" s="12" t="str">
        <x:v>Hyderabad</x:v>
      </x:c>
      <x:c r="E5325" s="12" t="str">
        <x:v>iLabs Tech Park</x:v>
      </x:c>
      <x:c r="F5325" s="12" t="str">
        <x:v>55 inch</x:v>
      </x:c>
      <x:c r="G5325" s="20" t="n">
        <x:v>1</x:v>
      </x:c>
      <x:c r="H5325" s="12" t="str">
        <x:v>Campus/portfolio roster; individual building occupancy unverified</x:v>
      </x:c>
      <x:c r="I5325" s="12" t="str">
        <x:v>Mixed business audience</x:v>
      </x:c>
      <x:c r="J5325" s="12" t="str">
        <x:v>Engineering &amp; manufacturing</x:v>
      </x:c>
      <x:c r="K5325" s="2" t="str">
        <x:v>PARTNER-M283</x:v>
      </x:c>
    </x:row>
    <x:row r="5326" ht="46" customHeight="1">
      <x:c r="A5326" s="2" t="str">
        <x:v>TEN-BC9765585BF0</x:v>
      </x:c>
      <x:c r="B5326" s="12" t="str">
        <x:v>CVM Solutions</x:v>
      </x:c>
      <x:c r="C5326" s="12" t="str">
        <x:v>CORP-0702</x:v>
      </x:c>
      <x:c r="D5326" s="12" t="str">
        <x:v>Hyderabad</x:v>
      </x:c>
      <x:c r="E5326" s="12" t="str">
        <x:v>iLabs Tech Park</x:v>
      </x:c>
      <x:c r="F5326" s="12" t="str">
        <x:v>55 inch</x:v>
      </x:c>
      <x:c r="G5326" s="20" t="n">
        <x:v>1</x:v>
      </x:c>
      <x:c r="H5326" s="12" t="str">
        <x:v>Campus/portfolio roster; individual building occupancy unverified</x:v>
      </x:c>
      <x:c r="I5326" s="12" t="str">
        <x:v>Mixed business audience</x:v>
      </x:c>
      <x:c r="J5326" s="12" t="str">
        <x:v>Unresolved</x:v>
      </x:c>
      <x:c r="K5326" s="2" t="str">
        <x:v>PARTNER-M283</x:v>
      </x:c>
    </x:row>
    <x:row r="5327" ht="46" customHeight="1">
      <x:c r="A5327" s="2" t="str">
        <x:v>TEN-CE371D3C6BED</x:v>
      </x:c>
      <x:c r="B5327" s="12" t="str">
        <x:v>Cubic</x:v>
      </x:c>
      <x:c r="C5327" s="12" t="str">
        <x:v>CORP-0702</x:v>
      </x:c>
      <x:c r="D5327" s="12" t="str">
        <x:v>Hyderabad</x:v>
      </x:c>
      <x:c r="E5327" s="12" t="str">
        <x:v>iLabs Tech Park</x:v>
      </x:c>
      <x:c r="F5327" s="12" t="str">
        <x:v>55 inch</x:v>
      </x:c>
      <x:c r="G5327" s="20" t="n">
        <x:v>1</x:v>
      </x:c>
      <x:c r="H5327" s="12" t="str">
        <x:v>Campus/portfolio roster; individual building occupancy unverified</x:v>
      </x:c>
      <x:c r="I5327" s="12" t="str">
        <x:v>Mixed business audience</x:v>
      </x:c>
      <x:c r="J5327" s="12" t="str">
        <x:v>Unresolved</x:v>
      </x:c>
      <x:c r="K5327" s="2" t="str">
        <x:v>PARTNER-M283</x:v>
      </x:c>
    </x:row>
    <x:row r="5328" ht="46" customHeight="1">
      <x:c r="A5328" s="2" t="str">
        <x:v>TEN-D67021B8B470</x:v>
      </x:c>
      <x:c r="B5328" s="12" t="str">
        <x:v>Host Analytics</x:v>
      </x:c>
      <x:c r="C5328" s="12" t="str">
        <x:v>CORP-0702</x:v>
      </x:c>
      <x:c r="D5328" s="12" t="str">
        <x:v>Hyderabad</x:v>
      </x:c>
      <x:c r="E5328" s="12" t="str">
        <x:v>iLabs Tech Park</x:v>
      </x:c>
      <x:c r="F5328" s="12" t="str">
        <x:v>55 inch</x:v>
      </x:c>
      <x:c r="G5328" s="20" t="n">
        <x:v>1</x:v>
      </x:c>
      <x:c r="H5328" s="12" t="str">
        <x:v>Campus/portfolio roster; individual building occupancy unverified</x:v>
      </x:c>
      <x:c r="I5328" s="12" t="str">
        <x:v>Mixed business audience</x:v>
      </x:c>
      <x:c r="J5328" s="12" t="str">
        <x:v>IT &amp; digital</x:v>
      </x:c>
      <x:c r="K5328" s="2" t="str">
        <x:v>PARTNER-M283</x:v>
      </x:c>
    </x:row>
    <x:row r="5329" ht="46" customHeight="1">
      <x:c r="A5329" s="2" t="str">
        <x:v>TEN-E8EEF6D2EC99</x:v>
      </x:c>
      <x:c r="B5329" s="12" t="str">
        <x:v>Invensys</x:v>
      </x:c>
      <x:c r="C5329" s="12" t="str">
        <x:v>CORP-0702</x:v>
      </x:c>
      <x:c r="D5329" s="12" t="str">
        <x:v>Hyderabad</x:v>
      </x:c>
      <x:c r="E5329" s="12" t="str">
        <x:v>iLabs Tech Park</x:v>
      </x:c>
      <x:c r="F5329" s="12" t="str">
        <x:v>55 inch</x:v>
      </x:c>
      <x:c r="G5329" s="20" t="n">
        <x:v>1</x:v>
      </x:c>
      <x:c r="H5329" s="12" t="str">
        <x:v>Campus/portfolio roster; individual building occupancy unverified</x:v>
      </x:c>
      <x:c r="I5329" s="12" t="str">
        <x:v>Mixed business audience</x:v>
      </x:c>
      <x:c r="J5329" s="12" t="str">
        <x:v>Engineering &amp; manufacturing</x:v>
      </x:c>
      <x:c r="K5329" s="2" t="str">
        <x:v>PARTNER-M283</x:v>
      </x:c>
    </x:row>
    <x:row r="5330" ht="46" customHeight="1">
      <x:c r="A5330" s="2" t="str">
        <x:v>TEN-059368F98DEB</x:v>
      </x:c>
      <x:c r="B5330" s="12" t="str">
        <x:v>Synchrony</x:v>
      </x:c>
      <x:c r="C5330" s="12" t="str">
        <x:v>CORP-0703</x:v>
      </x:c>
      <x:c r="D5330" s="12" t="str">
        <x:v>Hyderabad</x:v>
      </x:c>
      <x:c r="E5330" s="12" t="str">
        <x:v>iLabs Tech Park</x:v>
      </x:c>
      <x:c r="F5330" s="12" t="str">
        <x:v>55 inch</x:v>
      </x:c>
      <x:c r="G5330" s="20" t="n">
        <x:v>1</x:v>
      </x:c>
      <x:c r="H5330" s="12" t="str">
        <x:v>Campus/portfolio roster; individual building occupancy unverified</x:v>
      </x:c>
      <x:c r="I5330" s="12" t="str">
        <x:v>Mixed business audience</x:v>
      </x:c>
      <x:c r="J5330" s="12" t="str">
        <x:v>Finance &amp; insurance</x:v>
      </x:c>
      <x:c r="K5330" s="2" t="str">
        <x:v>PARTNER-M283</x:v>
      </x:c>
    </x:row>
    <x:row r="5331" ht="46" customHeight="1">
      <x:c r="A5331" s="2" t="str">
        <x:v>TEN-43BE6AC0AAE2</x:v>
      </x:c>
      <x:c r="B5331" s="12" t="str">
        <x:v>Syniverse Mobile Solution</x:v>
      </x:c>
      <x:c r="C5331" s="12" t="str">
        <x:v>CORP-0703</x:v>
      </x:c>
      <x:c r="D5331" s="12" t="str">
        <x:v>Hyderabad</x:v>
      </x:c>
      <x:c r="E5331" s="12" t="str">
        <x:v>iLabs Tech Park</x:v>
      </x:c>
      <x:c r="F5331" s="12" t="str">
        <x:v>55 inch</x:v>
      </x:c>
      <x:c r="G5331" s="20" t="n">
        <x:v>1</x:v>
      </x:c>
      <x:c r="H5331" s="12" t="str">
        <x:v>Campus/portfolio roster; individual building occupancy unverified</x:v>
      </x:c>
      <x:c r="I5331" s="12" t="str">
        <x:v>Mixed business audience</x:v>
      </x:c>
      <x:c r="J5331" s="12" t="str">
        <x:v>IT &amp; digital</x:v>
      </x:c>
      <x:c r="K5331" s="2" t="str">
        <x:v>PARTNER-M283</x:v>
      </x:c>
    </x:row>
    <x:row r="5332" ht="46" customHeight="1">
      <x:c r="A5332" s="2" t="str">
        <x:v>TEN-68BAD0BF4A37</x:v>
      </x:c>
      <x:c r="B5332" s="12" t="str">
        <x:v>NTT DATA</x:v>
      </x:c>
      <x:c r="C5332" s="12" t="str">
        <x:v>CORP-0703</x:v>
      </x:c>
      <x:c r="D5332" s="12" t="str">
        <x:v>Hyderabad</x:v>
      </x:c>
      <x:c r="E5332" s="12" t="str">
        <x:v>iLabs Tech Park</x:v>
      </x:c>
      <x:c r="F5332" s="12" t="str">
        <x:v>55 inch</x:v>
      </x:c>
      <x:c r="G5332" s="20" t="n">
        <x:v>1</x:v>
      </x:c>
      <x:c r="H5332" s="12" t="str">
        <x:v>Campus/portfolio roster; individual building occupancy unverified</x:v>
      </x:c>
      <x:c r="I5332" s="12" t="str">
        <x:v>Large enterprise</x:v>
      </x:c>
      <x:c r="J5332" s="12" t="str">
        <x:v>IT &amp; digital</x:v>
      </x:c>
      <x:c r="K5332" s="2" t="str">
        <x:v>PARTNER-M283</x:v>
      </x:c>
    </x:row>
    <x:row r="5333" ht="46" customHeight="1">
      <x:c r="A5333" s="2" t="str">
        <x:v>TEN-6FC71948C40F</x:v>
      </x:c>
      <x:c r="B5333" s="12" t="str">
        <x:v>Regus</x:v>
      </x:c>
      <x:c r="C5333" s="12" t="str">
        <x:v>CORP-0703</x:v>
      </x:c>
      <x:c r="D5333" s="12" t="str">
        <x:v>Hyderabad</x:v>
      </x:c>
      <x:c r="E5333" s="12" t="str">
        <x:v>iLabs Tech Park</x:v>
      </x:c>
      <x:c r="F5333" s="12" t="str">
        <x:v>55 inch</x:v>
      </x:c>
      <x:c r="G5333" s="20" t="n">
        <x:v>1</x:v>
      </x:c>
      <x:c r="H5333" s="12" t="str">
        <x:v>Campus/portfolio roster; individual building occupancy unverified</x:v>
      </x:c>
      <x:c r="I5333" s="12" t="str">
        <x:v>Mixed business audience</x:v>
      </x:c>
      <x:c r="J5333" s="12" t="str">
        <x:v>Workspace &amp; property operations</x:v>
      </x:c>
      <x:c r="K5333" s="2" t="str">
        <x:v>PARTNER-M283</x:v>
      </x:c>
    </x:row>
    <x:row r="5334" ht="46" customHeight="1">
      <x:c r="A5334" s="2" t="str">
        <x:v>TEN-93969D193161</x:v>
      </x:c>
      <x:c r="B5334" s="12" t="str">
        <x:v>Hp</x:v>
      </x:c>
      <x:c r="C5334" s="12" t="str">
        <x:v>CORP-0703</x:v>
      </x:c>
      <x:c r="D5334" s="12" t="str">
        <x:v>Hyderabad</x:v>
      </x:c>
      <x:c r="E5334" s="12" t="str">
        <x:v>iLabs Tech Park</x:v>
      </x:c>
      <x:c r="F5334" s="12" t="str">
        <x:v>55 inch</x:v>
      </x:c>
      <x:c r="G5334" s="20" t="n">
        <x:v>1</x:v>
      </x:c>
      <x:c r="H5334" s="12" t="str">
        <x:v>Campus/portfolio roster; individual building occupancy unverified</x:v>
      </x:c>
      <x:c r="I5334" s="12" t="str">
        <x:v>Mixed business audience</x:v>
      </x:c>
      <x:c r="J5334" s="12" t="str">
        <x:v>Engineering &amp; manufacturing</x:v>
      </x:c>
      <x:c r="K5334" s="2" t="str">
        <x:v>PARTNER-M283</x:v>
      </x:c>
    </x:row>
    <x:row r="5335" ht="46" customHeight="1">
      <x:c r="A5335" s="2" t="str">
        <x:v>TEN-9469C6F797DD</x:v>
      </x:c>
      <x:c r="B5335" s="12" t="str">
        <x:v>PASS GCA Solutions</x:v>
      </x:c>
      <x:c r="C5335" s="12" t="str">
        <x:v>CORP-0703</x:v>
      </x:c>
      <x:c r="D5335" s="12" t="str">
        <x:v>Hyderabad</x:v>
      </x:c>
      <x:c r="E5335" s="12" t="str">
        <x:v>iLabs Tech Park</x:v>
      </x:c>
      <x:c r="F5335" s="12" t="str">
        <x:v>55 inch</x:v>
      </x:c>
      <x:c r="G5335" s="20" t="n">
        <x:v>1</x:v>
      </x:c>
      <x:c r="H5335" s="12" t="str">
        <x:v>Campus/portfolio roster; individual building occupancy unverified</x:v>
      </x:c>
      <x:c r="I5335" s="12" t="str">
        <x:v>Mixed business audience</x:v>
      </x:c>
      <x:c r="J5335" s="12" t="str">
        <x:v>Unresolved</x:v>
      </x:c>
      <x:c r="K5335" s="2" t="str">
        <x:v>PARTNER-M283</x:v>
      </x:c>
    </x:row>
    <x:row r="5336" ht="46" customHeight="1">
      <x:c r="A5336" s="2" t="str">
        <x:v>TEN-98F51CB88BC4</x:v>
      </x:c>
      <x:c r="B5336" s="12" t="str">
        <x:v>Syniverse Technology</x:v>
      </x:c>
      <x:c r="C5336" s="12" t="str">
        <x:v>CORP-0703</x:v>
      </x:c>
      <x:c r="D5336" s="12" t="str">
        <x:v>Hyderabad</x:v>
      </x:c>
      <x:c r="E5336" s="12" t="str">
        <x:v>iLabs Tech Park</x:v>
      </x:c>
      <x:c r="F5336" s="12" t="str">
        <x:v>55 inch</x:v>
      </x:c>
      <x:c r="G5336" s="20" t="n">
        <x:v>1</x:v>
      </x:c>
      <x:c r="H5336" s="12" t="str">
        <x:v>Campus/portfolio roster; individual building occupancy unverified</x:v>
      </x:c>
      <x:c r="I5336" s="12" t="str">
        <x:v>Mixed business audience</x:v>
      </x:c>
      <x:c r="J5336" s="12" t="str">
        <x:v>IT &amp; digital</x:v>
      </x:c>
      <x:c r="K5336" s="2" t="str">
        <x:v>PARTNER-M283</x:v>
      </x:c>
    </x:row>
    <x:row r="5337" ht="46" customHeight="1">
      <x:c r="A5337" s="2" t="str">
        <x:v>TEN-A09CDA62FBCB</x:v>
      </x:c>
      <x:c r="B5337" s="12" t="str">
        <x:v>Wisemen</x:v>
      </x:c>
      <x:c r="C5337" s="12" t="str">
        <x:v>CORP-0703</x:v>
      </x:c>
      <x:c r="D5337" s="12" t="str">
        <x:v>Hyderabad</x:v>
      </x:c>
      <x:c r="E5337" s="12" t="str">
        <x:v>iLabs Tech Park</x:v>
      </x:c>
      <x:c r="F5337" s="12" t="str">
        <x:v>55 inch</x:v>
      </x:c>
      <x:c r="G5337" s="20" t="n">
        <x:v>1</x:v>
      </x:c>
      <x:c r="H5337" s="12" t="str">
        <x:v>Campus/portfolio roster; individual building occupancy unverified</x:v>
      </x:c>
      <x:c r="I5337" s="12" t="str">
        <x:v>Mixed business audience</x:v>
      </x:c>
      <x:c r="J5337" s="12" t="str">
        <x:v>Unresolved</x:v>
      </x:c>
      <x:c r="K5337" s="2" t="str">
        <x:v>PARTNER-M283</x:v>
      </x:c>
    </x:row>
    <x:row r="5338" ht="46" customHeight="1">
      <x:c r="A5338" s="2" t="str">
        <x:v>TEN-B6F0DAA20D8D</x:v>
      </x:c>
      <x:c r="B5338" s="12" t="str">
        <x:v>AMS Semiconductors</x:v>
      </x:c>
      <x:c r="C5338" s="12" t="str">
        <x:v>CORP-0703</x:v>
      </x:c>
      <x:c r="D5338" s="12" t="str">
        <x:v>Hyderabad</x:v>
      </x:c>
      <x:c r="E5338" s="12" t="str">
        <x:v>iLabs Tech Park</x:v>
      </x:c>
      <x:c r="F5338" s="12" t="str">
        <x:v>55 inch</x:v>
      </x:c>
      <x:c r="G5338" s="20" t="n">
        <x:v>1</x:v>
      </x:c>
      <x:c r="H5338" s="12" t="str">
        <x:v>Campus/portfolio roster; individual building occupancy unverified</x:v>
      </x:c>
      <x:c r="I5338" s="12" t="str">
        <x:v>Mixed business audience</x:v>
      </x:c>
      <x:c r="J5338" s="12" t="str">
        <x:v>Engineering &amp; manufacturing</x:v>
      </x:c>
      <x:c r="K5338" s="2" t="str">
        <x:v>PARTNER-M283</x:v>
      </x:c>
    </x:row>
    <x:row r="5339" ht="46" customHeight="1">
      <x:c r="A5339" s="2" t="str">
        <x:v>TEN-BC9765585BF0</x:v>
      </x:c>
      <x:c r="B5339" s="12" t="str">
        <x:v>CVM Solutions</x:v>
      </x:c>
      <x:c r="C5339" s="12" t="str">
        <x:v>CORP-0703</x:v>
      </x:c>
      <x:c r="D5339" s="12" t="str">
        <x:v>Hyderabad</x:v>
      </x:c>
      <x:c r="E5339" s="12" t="str">
        <x:v>iLabs Tech Park</x:v>
      </x:c>
      <x:c r="F5339" s="12" t="str">
        <x:v>55 inch</x:v>
      </x:c>
      <x:c r="G5339" s="20" t="n">
        <x:v>1</x:v>
      </x:c>
      <x:c r="H5339" s="12" t="str">
        <x:v>Campus/portfolio roster; individual building occupancy unverified</x:v>
      </x:c>
      <x:c r="I5339" s="12" t="str">
        <x:v>Mixed business audience</x:v>
      </x:c>
      <x:c r="J5339" s="12" t="str">
        <x:v>Unresolved</x:v>
      </x:c>
      <x:c r="K5339" s="2" t="str">
        <x:v>PARTNER-M283</x:v>
      </x:c>
    </x:row>
    <x:row r="5340" ht="46" customHeight="1">
      <x:c r="A5340" s="2" t="str">
        <x:v>TEN-CE371D3C6BED</x:v>
      </x:c>
      <x:c r="B5340" s="12" t="str">
        <x:v>Cubic</x:v>
      </x:c>
      <x:c r="C5340" s="12" t="str">
        <x:v>CORP-0703</x:v>
      </x:c>
      <x:c r="D5340" s="12" t="str">
        <x:v>Hyderabad</x:v>
      </x:c>
      <x:c r="E5340" s="12" t="str">
        <x:v>iLabs Tech Park</x:v>
      </x:c>
      <x:c r="F5340" s="12" t="str">
        <x:v>55 inch</x:v>
      </x:c>
      <x:c r="G5340" s="20" t="n">
        <x:v>1</x:v>
      </x:c>
      <x:c r="H5340" s="12" t="str">
        <x:v>Campus/portfolio roster; individual building occupancy unverified</x:v>
      </x:c>
      <x:c r="I5340" s="12" t="str">
        <x:v>Mixed business audience</x:v>
      </x:c>
      <x:c r="J5340" s="12" t="str">
        <x:v>Unresolved</x:v>
      </x:c>
      <x:c r="K5340" s="2" t="str">
        <x:v>PARTNER-M283</x:v>
      </x:c>
    </x:row>
    <x:row r="5341" ht="46" customHeight="1">
      <x:c r="A5341" s="2" t="str">
        <x:v>TEN-D67021B8B470</x:v>
      </x:c>
      <x:c r="B5341" s="12" t="str">
        <x:v>Host Analytics</x:v>
      </x:c>
      <x:c r="C5341" s="12" t="str">
        <x:v>CORP-0703</x:v>
      </x:c>
      <x:c r="D5341" s="12" t="str">
        <x:v>Hyderabad</x:v>
      </x:c>
      <x:c r="E5341" s="12" t="str">
        <x:v>iLabs Tech Park</x:v>
      </x:c>
      <x:c r="F5341" s="12" t="str">
        <x:v>55 inch</x:v>
      </x:c>
      <x:c r="G5341" s="20" t="n">
        <x:v>1</x:v>
      </x:c>
      <x:c r="H5341" s="12" t="str">
        <x:v>Campus/portfolio roster; individual building occupancy unverified</x:v>
      </x:c>
      <x:c r="I5341" s="12" t="str">
        <x:v>Mixed business audience</x:v>
      </x:c>
      <x:c r="J5341" s="12" t="str">
        <x:v>IT &amp; digital</x:v>
      </x:c>
      <x:c r="K5341" s="2" t="str">
        <x:v>PARTNER-M283</x:v>
      </x:c>
    </x:row>
    <x:row r="5342" ht="46" customHeight="1">
      <x:c r="A5342" s="2" t="str">
        <x:v>TEN-E8EEF6D2EC99</x:v>
      </x:c>
      <x:c r="B5342" s="12" t="str">
        <x:v>Invensys</x:v>
      </x:c>
      <x:c r="C5342" s="12" t="str">
        <x:v>CORP-0703</x:v>
      </x:c>
      <x:c r="D5342" s="12" t="str">
        <x:v>Hyderabad</x:v>
      </x:c>
      <x:c r="E5342" s="12" t="str">
        <x:v>iLabs Tech Park</x:v>
      </x:c>
      <x:c r="F5342" s="12" t="str">
        <x:v>55 inch</x:v>
      </x:c>
      <x:c r="G5342" s="20" t="n">
        <x:v>1</x:v>
      </x:c>
      <x:c r="H5342" s="12" t="str">
        <x:v>Campus/portfolio roster; individual building occupancy unverified</x:v>
      </x:c>
      <x:c r="I5342" s="12" t="str">
        <x:v>Mixed business audience</x:v>
      </x:c>
      <x:c r="J5342" s="12" t="str">
        <x:v>Engineering &amp; manufacturing</x:v>
      </x:c>
      <x:c r="K5342" s="2" t="str">
        <x:v>PARTNER-M283</x:v>
      </x:c>
    </x:row>
    <x:row r="5343" ht="46" customHeight="1">
      <x:c r="A5343" s="2" t="str">
        <x:v>TEN-01088BCB5FE4</x:v>
      </x:c>
      <x:c r="B5343" s="12" t="str">
        <x:v>Plural Technology Pvt Ltd</x:v>
      </x:c>
      <x:c r="C5343" s="12" t="str">
        <x:v>CORP-0704</x:v>
      </x:c>
      <x:c r="D5343" s="12" t="str">
        <x:v>Hyderabad</x:v>
      </x:c>
      <x:c r="E5343" s="12" t="str">
        <x:v>Cyber Gateway</x:v>
      </x:c>
      <x:c r="F5343" s="12" t="str">
        <x:v>55 inch</x:v>
      </x:c>
      <x:c r="G5343" s="20" t="n">
        <x:v>1</x:v>
      </x:c>
      <x:c r="H5343" s="12" t="str">
        <x:v>Campus/portfolio roster; individual building occupancy unverified</x:v>
      </x:c>
      <x:c r="I5343" s="12" t="str">
        <x:v>Small-scale prospects</x:v>
      </x:c>
      <x:c r="J5343" s="12" t="str">
        <x:v>IT &amp; digital</x:v>
      </x:c>
      <x:c r="K5343" s="2" t="str">
        <x:v>PARTNER-M289</x:v>
      </x:c>
    </x:row>
    <x:row r="5344" ht="46" customHeight="1">
      <x:c r="A5344" s="2" t="str">
        <x:v>TEN-147B40FF1F46</x:v>
      </x:c>
      <x:c r="B5344" s="12" t="str">
        <x:v>First Tek Services Pvt Ltd</x:v>
      </x:c>
      <x:c r="C5344" s="12" t="str">
        <x:v>CORP-0704</x:v>
      </x:c>
      <x:c r="D5344" s="12" t="str">
        <x:v>Hyderabad</x:v>
      </x:c>
      <x:c r="E5344" s="12" t="str">
        <x:v>Cyber Gateway</x:v>
      </x:c>
      <x:c r="F5344" s="12" t="str">
        <x:v>55 inch</x:v>
      </x:c>
      <x:c r="G5344" s="20" t="n">
        <x:v>1</x:v>
      </x:c>
      <x:c r="H5344" s="12" t="str">
        <x:v>Campus/portfolio roster; individual building occupancy unverified</x:v>
      </x:c>
      <x:c r="I5344" s="12" t="str">
        <x:v>Small-scale prospects</x:v>
      </x:c>
      <x:c r="J5344" s="12" t="str">
        <x:v>IT &amp; digital</x:v>
      </x:c>
      <x:c r="K5344" s="2" t="str">
        <x:v>PARTNER-M289</x:v>
      </x:c>
    </x:row>
    <x:row r="5345" ht="46" customHeight="1">
      <x:c r="A5345" s="2" t="str">
        <x:v>TEN-1C04181154C3</x:v>
      </x:c>
      <x:c r="B5345" s="12" t="str">
        <x:v>Rutakshi Technologies Private Limited</x:v>
      </x:c>
      <x:c r="C5345" s="12" t="str">
        <x:v>CORP-0704</x:v>
      </x:c>
      <x:c r="D5345" s="12" t="str">
        <x:v>Hyderabad</x:v>
      </x:c>
      <x:c r="E5345" s="12" t="str">
        <x:v>Cyber Gateway</x:v>
      </x:c>
      <x:c r="F5345" s="12" t="str">
        <x:v>55 inch</x:v>
      </x:c>
      <x:c r="G5345" s="20" t="n">
        <x:v>1</x:v>
      </x:c>
      <x:c r="H5345" s="12" t="str">
        <x:v>Campus/portfolio roster; individual building occupancy unverified</x:v>
      </x:c>
      <x:c r="I5345" s="12" t="str">
        <x:v>Mixed business audience</x:v>
      </x:c>
      <x:c r="J5345" s="12" t="str">
        <x:v>Unresolved</x:v>
      </x:c>
      <x:c r="K5345" s="2" t="str">
        <x:v>PARTNER-M289</x:v>
      </x:c>
    </x:row>
    <x:row r="5346" ht="46" customHeight="1">
      <x:c r="A5346" s="2" t="str">
        <x:v>TEN-223E0BE4600B</x:v>
      </x:c>
      <x:c r="B5346" s="12" t="str">
        <x:v>Blaze Automation</x:v>
      </x:c>
      <x:c r="C5346" s="12" t="str">
        <x:v>CORP-0704</x:v>
      </x:c>
      <x:c r="D5346" s="12" t="str">
        <x:v>Hyderabad</x:v>
      </x:c>
      <x:c r="E5346" s="12" t="str">
        <x:v>Cyber Gateway</x:v>
      </x:c>
      <x:c r="F5346" s="12" t="str">
        <x:v>55 inch</x:v>
      </x:c>
      <x:c r="G5346" s="20" t="n">
        <x:v>1</x:v>
      </x:c>
      <x:c r="H5346" s="12" t="str">
        <x:v>Campus/portfolio roster; individual building occupancy unverified</x:v>
      </x:c>
      <x:c r="I5346" s="12" t="str">
        <x:v>Medium-scale prospects</x:v>
      </x:c>
      <x:c r="J5346" s="12" t="str">
        <x:v>Engineering &amp; manufacturing</x:v>
      </x:c>
      <x:c r="K5346" s="2" t="str">
        <x:v>PARTNER-M289</x:v>
      </x:c>
    </x:row>
    <x:row r="5347" ht="46" customHeight="1">
      <x:c r="A5347" s="2" t="str">
        <x:v>TEN-2B02951507EE</x:v>
      </x:c>
      <x:c r="B5347" s="12" t="str">
        <x:v>ExcelR</x:v>
      </x:c>
      <x:c r="C5347" s="12" t="str">
        <x:v>CORP-0704</x:v>
      </x:c>
      <x:c r="D5347" s="12" t="str">
        <x:v>Hyderabad</x:v>
      </x:c>
      <x:c r="E5347" s="12" t="str">
        <x:v>Cyber Gateway</x:v>
      </x:c>
      <x:c r="F5347" s="12" t="str">
        <x:v>55 inch</x:v>
      </x:c>
      <x:c r="G5347" s="20" t="n">
        <x:v>1</x:v>
      </x:c>
      <x:c r="H5347" s="12" t="str">
        <x:v>Campus/portfolio roster; individual building occupancy unverified</x:v>
      </x:c>
      <x:c r="I5347" s="12" t="str">
        <x:v>Small-scale prospects</x:v>
      </x:c>
      <x:c r="J5347" s="12" t="str">
        <x:v>Education</x:v>
      </x:c>
      <x:c r="K5347" s="2" t="str">
        <x:v>PARTNER-M289</x:v>
      </x:c>
    </x:row>
    <x:row r="5348" ht="46" customHeight="1">
      <x:c r="A5348" s="2" t="str">
        <x:v>TEN-49A09B6192AC</x:v>
      </x:c>
      <x:c r="B5348" s="12" t="str">
        <x:v>Sonix Human Capital Solutions Pvt. Ltd</x:v>
      </x:c>
      <x:c r="C5348" s="12" t="str">
        <x:v>CORP-0704</x:v>
      </x:c>
      <x:c r="D5348" s="12" t="str">
        <x:v>Hyderabad</x:v>
      </x:c>
      <x:c r="E5348" s="12" t="str">
        <x:v>Cyber Gateway</x:v>
      </x:c>
      <x:c r="F5348" s="12" t="str">
        <x:v>55 inch</x:v>
      </x:c>
      <x:c r="G5348" s="20" t="n">
        <x:v>1</x:v>
      </x:c>
      <x:c r="H5348" s="12" t="str">
        <x:v>Campus/portfolio roster; individual building occupancy unverified</x:v>
      </x:c>
      <x:c r="I5348" s="12" t="str">
        <x:v>Small-scale prospects</x:v>
      </x:c>
      <x:c r="J5348" s="12" t="str">
        <x:v>Professional services</x:v>
      </x:c>
      <x:c r="K5348" s="2" t="str">
        <x:v>PARTNER-M289</x:v>
      </x:c>
    </x:row>
    <x:row r="5349" ht="46" customHeight="1">
      <x:c r="A5349" s="2" t="str">
        <x:v>TEN-4AE3A2A36DB1</x:v>
      </x:c>
      <x:c r="B5349" s="12" t="str">
        <x:v>Fint Solutions</x:v>
      </x:c>
      <x:c r="C5349" s="12" t="str">
        <x:v>CORP-0704</x:v>
      </x:c>
      <x:c r="D5349" s="12" t="str">
        <x:v>Hyderabad</x:v>
      </x:c>
      <x:c r="E5349" s="12" t="str">
        <x:v>Cyber Gateway</x:v>
      </x:c>
      <x:c r="F5349" s="12" t="str">
        <x:v>55 inch</x:v>
      </x:c>
      <x:c r="G5349" s="20" t="n">
        <x:v>1</x:v>
      </x:c>
      <x:c r="H5349" s="12" t="str">
        <x:v>Campus/portfolio roster; individual building occupancy unverified</x:v>
      </x:c>
      <x:c r="I5349" s="12" t="str">
        <x:v>Small-scale prospects</x:v>
      </x:c>
      <x:c r="J5349" s="12" t="str">
        <x:v>IT &amp; digital</x:v>
      </x:c>
      <x:c r="K5349" s="2" t="str">
        <x:v>PARTNER-M289</x:v>
      </x:c>
    </x:row>
    <x:row r="5350" ht="46" customHeight="1">
      <x:c r="A5350" s="2" t="str">
        <x:v>TEN-62FC778E4D9D</x:v>
      </x:c>
      <x:c r="B5350" s="12" t="str">
        <x:v>Signant Health Private Limited</x:v>
      </x:c>
      <x:c r="C5350" s="12" t="str">
        <x:v>CORP-0704</x:v>
      </x:c>
      <x:c r="D5350" s="12" t="str">
        <x:v>Hyderabad</x:v>
      </x:c>
      <x:c r="E5350" s="12" t="str">
        <x:v>Cyber Gateway</x:v>
      </x:c>
      <x:c r="F5350" s="12" t="str">
        <x:v>55 inch</x:v>
      </x:c>
      <x:c r="G5350" s="20" t="n">
        <x:v>1</x:v>
      </x:c>
      <x:c r="H5350" s="12" t="str">
        <x:v>Campus/portfolio roster; individual building occupancy unverified</x:v>
      </x:c>
      <x:c r="I5350" s="12" t="str">
        <x:v>Mixed business audience</x:v>
      </x:c>
      <x:c r="J5350" s="12" t="str">
        <x:v>Healthcare &amp; life sciences</x:v>
      </x:c>
      <x:c r="K5350" s="2" t="str">
        <x:v>PARTNER-M289</x:v>
      </x:c>
    </x:row>
    <x:row r="5351" ht="46" customHeight="1">
      <x:c r="A5351" s="2" t="str">
        <x:v>TEN-64ACC2041078</x:v>
      </x:c>
      <x:c r="B5351" s="12" t="str">
        <x:v>Andhra Bank</x:v>
      </x:c>
      <x:c r="C5351" s="12" t="str">
        <x:v>CORP-0704</x:v>
      </x:c>
      <x:c r="D5351" s="12" t="str">
        <x:v>Hyderabad</x:v>
      </x:c>
      <x:c r="E5351" s="12" t="str">
        <x:v>Cyber Gateway</x:v>
      </x:c>
      <x:c r="F5351" s="12" t="str">
        <x:v>55 inch</x:v>
      </x:c>
      <x:c r="G5351" s="20" t="n">
        <x:v>1</x:v>
      </x:c>
      <x:c r="H5351" s="12" t="str">
        <x:v>Campus/portfolio roster; individual building occupancy unverified</x:v>
      </x:c>
      <x:c r="I5351" s="12" t="str">
        <x:v>Mixed business audience</x:v>
      </x:c>
      <x:c r="J5351" s="12" t="str">
        <x:v>Finance &amp; insurance</x:v>
      </x:c>
      <x:c r="K5351" s="2" t="str">
        <x:v>PARTNER-M289</x:v>
      </x:c>
    </x:row>
    <x:row r="5352" ht="46" customHeight="1">
      <x:c r="A5352" s="2" t="str">
        <x:v>TEN-6D88C170876C</x:v>
      </x:c>
      <x:c r="B5352" s="12" t="str">
        <x:v>Tvarana Software Solution Pvt Ltd</x:v>
      </x:c>
      <x:c r="C5352" s="12" t="str">
        <x:v>CORP-0704</x:v>
      </x:c>
      <x:c r="D5352" s="12" t="str">
        <x:v>Hyderabad</x:v>
      </x:c>
      <x:c r="E5352" s="12" t="str">
        <x:v>Cyber Gateway</x:v>
      </x:c>
      <x:c r="F5352" s="12" t="str">
        <x:v>55 inch</x:v>
      </x:c>
      <x:c r="G5352" s="20" t="n">
        <x:v>1</x:v>
      </x:c>
      <x:c r="H5352" s="12" t="str">
        <x:v>Campus/portfolio roster; individual building occupancy unverified</x:v>
      </x:c>
      <x:c r="I5352" s="12" t="str">
        <x:v>Small-scale prospects</x:v>
      </x:c>
      <x:c r="J5352" s="12" t="str">
        <x:v>IT &amp; digital</x:v>
      </x:c>
      <x:c r="K5352" s="2" t="str">
        <x:v>PARTNER-M289</x:v>
      </x:c>
    </x:row>
    <x:row r="5353" ht="46" customHeight="1">
      <x:c r="A5353" s="2" t="str">
        <x:v>TEN-7539F6E6B0E4</x:v>
      </x:c>
      <x:c r="B5353" s="12" t="str">
        <x:v>Nexiilabs</x:v>
      </x:c>
      <x:c r="C5353" s="12" t="str">
        <x:v>CORP-0704</x:v>
      </x:c>
      <x:c r="D5353" s="12" t="str">
        <x:v>Hyderabad</x:v>
      </x:c>
      <x:c r="E5353" s="12" t="str">
        <x:v>Cyber Gateway</x:v>
      </x:c>
      <x:c r="F5353" s="12" t="str">
        <x:v>55 inch</x:v>
      </x:c>
      <x:c r="G5353" s="20" t="n">
        <x:v>1</x:v>
      </x:c>
      <x:c r="H5353" s="12" t="str">
        <x:v>Campus/portfolio roster; individual building occupancy unverified</x:v>
      </x:c>
      <x:c r="I5353" s="12" t="str">
        <x:v>Mixed business audience</x:v>
      </x:c>
      <x:c r="J5353" s="12" t="str">
        <x:v>Unresolved</x:v>
      </x:c>
      <x:c r="K5353" s="2" t="str">
        <x:v>PARTNER-M289</x:v>
      </x:c>
    </x:row>
    <x:row r="5354" ht="46" customHeight="1">
      <x:c r="A5354" s="2" t="str">
        <x:v>TEN-8D66D837E37C</x:v>
      </x:c>
      <x:c r="B5354" s="12" t="str">
        <x:v>Praveen Properties</x:v>
      </x:c>
      <x:c r="C5354" s="12" t="str">
        <x:v>CORP-0704</x:v>
      </x:c>
      <x:c r="D5354" s="12" t="str">
        <x:v>Hyderabad</x:v>
      </x:c>
      <x:c r="E5354" s="12" t="str">
        <x:v>Cyber Gateway</x:v>
      </x:c>
      <x:c r="F5354" s="12" t="str">
        <x:v>55 inch</x:v>
      </x:c>
      <x:c r="G5354" s="20" t="n">
        <x:v>1</x:v>
      </x:c>
      <x:c r="H5354" s="12" t="str">
        <x:v>Campus/portfolio roster; individual building occupancy unverified</x:v>
      </x:c>
      <x:c r="I5354" s="12" t="str">
        <x:v>Small-scale prospects</x:v>
      </x:c>
      <x:c r="J5354" s="12" t="str">
        <x:v>Trade, consumer &amp; logistics</x:v>
      </x:c>
      <x:c r="K5354" s="2" t="str">
        <x:v>PARTNER-M289</x:v>
      </x:c>
    </x:row>
    <x:row r="5355" ht="46" customHeight="1">
      <x:c r="A5355" s="2" t="str">
        <x:v>TEN-AAA30F61EE87</x:v>
      </x:c>
      <x:c r="B5355" s="12" t="str">
        <x:v>Infosys Technologies</x:v>
      </x:c>
      <x:c r="C5355" s="12" t="str">
        <x:v>CORP-0704</x:v>
      </x:c>
      <x:c r="D5355" s="12" t="str">
        <x:v>Hyderabad</x:v>
      </x:c>
      <x:c r="E5355" s="12" t="str">
        <x:v>Cyber Gateway</x:v>
      </x:c>
      <x:c r="F5355" s="12" t="str">
        <x:v>55 inch</x:v>
      </x:c>
      <x:c r="G5355" s="20" t="n">
        <x:v>1</x:v>
      </x:c>
      <x:c r="H5355" s="12" t="str">
        <x:v>Campus/portfolio roster; individual building occupancy unverified</x:v>
      </x:c>
      <x:c r="I5355" s="12" t="str">
        <x:v>Large enterprise</x:v>
      </x:c>
      <x:c r="J5355" s="12" t="str">
        <x:v>IT &amp; digital</x:v>
      </x:c>
      <x:c r="K5355" s="2" t="str">
        <x:v>PARTNER-M289</x:v>
      </x:c>
    </x:row>
    <x:row r="5356" ht="46" customHeight="1">
      <x:c r="A5356" s="2" t="str">
        <x:v>TEN-AF9253804CA3</x:v>
      </x:c>
      <x:c r="B5356" s="12" t="str">
        <x:v>Thomas Cook</x:v>
      </x:c>
      <x:c r="C5356" s="12" t="str">
        <x:v>CORP-0704</x:v>
      </x:c>
      <x:c r="D5356" s="12" t="str">
        <x:v>Hyderabad</x:v>
      </x:c>
      <x:c r="E5356" s="12" t="str">
        <x:v>Cyber Gateway</x:v>
      </x:c>
      <x:c r="F5356" s="12" t="str">
        <x:v>55 inch</x:v>
      </x:c>
      <x:c r="G5356" s="20" t="n">
        <x:v>1</x:v>
      </x:c>
      <x:c r="H5356" s="12" t="str">
        <x:v>Campus/portfolio roster; individual building occupancy unverified</x:v>
      </x:c>
      <x:c r="I5356" s="12" t="str">
        <x:v>Mixed business audience</x:v>
      </x:c>
      <x:c r="J5356" s="12" t="str">
        <x:v>Trade, consumer &amp; logistics</x:v>
      </x:c>
      <x:c r="K5356" s="2" t="str">
        <x:v>PARTNER-M289</x:v>
      </x:c>
    </x:row>
    <x:row r="5357" ht="46" customHeight="1">
      <x:c r="A5357" s="2" t="str">
        <x:v>TEN-B2C5EC45BFF3</x:v>
      </x:c>
      <x:c r="B5357" s="12" t="str">
        <x:v>eBizNET Solutions</x:v>
      </x:c>
      <x:c r="C5357" s="12" t="str">
        <x:v>CORP-0704</x:v>
      </x:c>
      <x:c r="D5357" s="12" t="str">
        <x:v>Hyderabad</x:v>
      </x:c>
      <x:c r="E5357" s="12" t="str">
        <x:v>Cyber Gateway</x:v>
      </x:c>
      <x:c r="F5357" s="12" t="str">
        <x:v>55 inch</x:v>
      </x:c>
      <x:c r="G5357" s="20" t="n">
        <x:v>1</x:v>
      </x:c>
      <x:c r="H5357" s="12" t="str">
        <x:v>Campus/portfolio roster; individual building occupancy unverified</x:v>
      </x:c>
      <x:c r="I5357" s="12" t="str">
        <x:v>Small-scale prospects</x:v>
      </x:c>
      <x:c r="J5357" s="12" t="str">
        <x:v>IT &amp; digital</x:v>
      </x:c>
      <x:c r="K5357" s="2" t="str">
        <x:v>PARTNER-M289</x:v>
      </x:c>
    </x:row>
    <x:row r="5358" ht="46" customHeight="1">
      <x:c r="A5358" s="2" t="str">
        <x:v>TEN-B51153A92AF3</x:v>
      </x:c>
      <x:c r="B5358" s="12" t="str">
        <x:v>Vaco Binary Semantics</x:v>
      </x:c>
      <x:c r="C5358" s="12" t="str">
        <x:v>CORP-0704</x:v>
      </x:c>
      <x:c r="D5358" s="12" t="str">
        <x:v>Hyderabad</x:v>
      </x:c>
      <x:c r="E5358" s="12" t="str">
        <x:v>Cyber Gateway</x:v>
      </x:c>
      <x:c r="F5358" s="12" t="str">
        <x:v>55 inch</x:v>
      </x:c>
      <x:c r="G5358" s="20" t="n">
        <x:v>1</x:v>
      </x:c>
      <x:c r="H5358" s="12" t="str">
        <x:v>Campus/portfolio roster; individual building occupancy unverified</x:v>
      </x:c>
      <x:c r="I5358" s="12" t="str">
        <x:v>Mixed business audience</x:v>
      </x:c>
      <x:c r="J5358" s="12" t="str">
        <x:v>IT &amp; digital</x:v>
      </x:c>
      <x:c r="K5358" s="2" t="str">
        <x:v>PARTNER-M289</x:v>
      </x:c>
    </x:row>
    <x:row r="5359" ht="46" customHeight="1">
      <x:c r="A5359" s="2" t="str">
        <x:v>TEN-C1185EEF281B</x:v>
      </x:c>
      <x:c r="B5359" s="12" t="str">
        <x:v>EverestDX India Pvt Ltd</x:v>
      </x:c>
      <x:c r="C5359" s="12" t="str">
        <x:v>CORP-0704</x:v>
      </x:c>
      <x:c r="D5359" s="12" t="str">
        <x:v>Hyderabad</x:v>
      </x:c>
      <x:c r="E5359" s="12" t="str">
        <x:v>Cyber Gateway</x:v>
      </x:c>
      <x:c r="F5359" s="12" t="str">
        <x:v>55 inch</x:v>
      </x:c>
      <x:c r="G5359" s="20" t="n">
        <x:v>1</x:v>
      </x:c>
      <x:c r="H5359" s="12" t="str">
        <x:v>Campus/portfolio roster; individual building occupancy unverified</x:v>
      </x:c>
      <x:c r="I5359" s="12" t="str">
        <x:v>Small-scale prospects</x:v>
      </x:c>
      <x:c r="J5359" s="12" t="str">
        <x:v>IT &amp; digital</x:v>
      </x:c>
      <x:c r="K5359" s="2" t="str">
        <x:v>PARTNER-M289</x:v>
      </x:c>
    </x:row>
    <x:row r="5360" ht="46" customHeight="1">
      <x:c r="A5360" s="2" t="str">
        <x:v>TEN-C40D987A6D54</x:v>
      </x:c>
      <x:c r="B5360" s="12" t="str">
        <x:v>Advansoft</x:v>
      </x:c>
      <x:c r="C5360" s="12" t="str">
        <x:v>CORP-0704</x:v>
      </x:c>
      <x:c r="D5360" s="12" t="str">
        <x:v>Hyderabad</x:v>
      </x:c>
      <x:c r="E5360" s="12" t="str">
        <x:v>Cyber Gateway</x:v>
      </x:c>
      <x:c r="F5360" s="12" t="str">
        <x:v>55 inch</x:v>
      </x:c>
      <x:c r="G5360" s="20" t="n">
        <x:v>1</x:v>
      </x:c>
      <x:c r="H5360" s="12" t="str">
        <x:v>Campus/portfolio roster; individual building occupancy unverified</x:v>
      </x:c>
      <x:c r="I5360" s="12" t="str">
        <x:v>Small-scale prospects</x:v>
      </x:c>
      <x:c r="J5360" s="12" t="str">
        <x:v>IT &amp; digital</x:v>
      </x:c>
      <x:c r="K5360" s="2" t="str">
        <x:v>PARTNER-M289</x:v>
      </x:c>
    </x:row>
    <x:row r="5361" ht="46" customHeight="1">
      <x:c r="A5361" s="2" t="str">
        <x:v>TEN-CDB24A62FB69</x:v>
      </x:c>
      <x:c r="B5361" s="12" t="str">
        <x:v>Dhruvsoft Services Private Limited</x:v>
      </x:c>
      <x:c r="C5361" s="12" t="str">
        <x:v>CORP-0704</x:v>
      </x:c>
      <x:c r="D5361" s="12" t="str">
        <x:v>Hyderabad</x:v>
      </x:c>
      <x:c r="E5361" s="12" t="str">
        <x:v>Cyber Gateway</x:v>
      </x:c>
      <x:c r="F5361" s="12" t="str">
        <x:v>55 inch</x:v>
      </x:c>
      <x:c r="G5361" s="20" t="n">
        <x:v>1</x:v>
      </x:c>
      <x:c r="H5361" s="12" t="str">
        <x:v>Campus/portfolio roster; individual building occupancy unverified</x:v>
      </x:c>
      <x:c r="I5361" s="12" t="str">
        <x:v>Small-scale prospects</x:v>
      </x:c>
      <x:c r="J5361" s="12" t="str">
        <x:v>IT &amp; digital</x:v>
      </x:c>
      <x:c r="K5361" s="2" t="str">
        <x:v>PARTNER-M289</x:v>
      </x:c>
    </x:row>
    <x:row r="5362" ht="46" customHeight="1">
      <x:c r="A5362" s="2" t="str">
        <x:v>TEN-E6B1BC8AE59D</x:v>
      </x:c>
      <x:c r="B5362" s="12" t="str">
        <x:v>MaaS ERP Solutions Pvt. Ltd</x:v>
      </x:c>
      <x:c r="C5362" s="12" t="str">
        <x:v>CORP-0704</x:v>
      </x:c>
      <x:c r="D5362" s="12" t="str">
        <x:v>Hyderabad</x:v>
      </x:c>
      <x:c r="E5362" s="12" t="str">
        <x:v>Cyber Gateway</x:v>
      </x:c>
      <x:c r="F5362" s="12" t="str">
        <x:v>55 inch</x:v>
      </x:c>
      <x:c r="G5362" s="20" t="n">
        <x:v>1</x:v>
      </x:c>
      <x:c r="H5362" s="12" t="str">
        <x:v>Campus/portfolio roster; individual building occupancy unverified</x:v>
      </x:c>
      <x:c r="I5362" s="12" t="str">
        <x:v>Small-scale prospects</x:v>
      </x:c>
      <x:c r="J5362" s="12" t="str">
        <x:v>IT &amp; digital</x:v>
      </x:c>
      <x:c r="K5362" s="2" t="str">
        <x:v>PARTNER-M289</x:v>
      </x:c>
    </x:row>
    <x:row r="5363" ht="46" customHeight="1">
      <x:c r="A5363" s="2" t="str">
        <x:v>TEN-EFE115AB0E96</x:v>
      </x:c>
      <x:c r="B5363" s="12" t="str">
        <x:v>Bhrigus Software India Pvt Ltd</x:v>
      </x:c>
      <x:c r="C5363" s="12" t="str">
        <x:v>CORP-0704</x:v>
      </x:c>
      <x:c r="D5363" s="12" t="str">
        <x:v>Hyderabad</x:v>
      </x:c>
      <x:c r="E5363" s="12" t="str">
        <x:v>Cyber Gateway</x:v>
      </x:c>
      <x:c r="F5363" s="12" t="str">
        <x:v>55 inch</x:v>
      </x:c>
      <x:c r="G5363" s="20" t="n">
        <x:v>1</x:v>
      </x:c>
      <x:c r="H5363" s="12" t="str">
        <x:v>Campus/portfolio roster; individual building occupancy unverified</x:v>
      </x:c>
      <x:c r="I5363" s="12" t="str">
        <x:v>Small-scale prospects</x:v>
      </x:c>
      <x:c r="J5363" s="12" t="str">
        <x:v>IT &amp; digital</x:v>
      </x:c>
      <x:c r="K5363" s="2" t="str">
        <x:v>PARTNER-M289</x:v>
      </x:c>
    </x:row>
    <x:row r="5364" ht="46" customHeight="1">
      <x:c r="A5364" s="2" t="str">
        <x:v>TEN-F95B60BD0C88</x:v>
      </x:c>
      <x:c r="B5364" s="12" t="str">
        <x:v>InstaVC</x:v>
      </x:c>
      <x:c r="C5364" s="12" t="str">
        <x:v>CORP-0704</x:v>
      </x:c>
      <x:c r="D5364" s="12" t="str">
        <x:v>Hyderabad</x:v>
      </x:c>
      <x:c r="E5364" s="12" t="str">
        <x:v>Cyber Gateway</x:v>
      </x:c>
      <x:c r="F5364" s="12" t="str">
        <x:v>55 inch</x:v>
      </x:c>
      <x:c r="G5364" s="20" t="n">
        <x:v>1</x:v>
      </x:c>
      <x:c r="H5364" s="12" t="str">
        <x:v>Campus/portfolio roster; individual building occupancy unverified</x:v>
      </x:c>
      <x:c r="I5364" s="12" t="str">
        <x:v>Small-scale prospects</x:v>
      </x:c>
      <x:c r="J5364" s="12" t="str">
        <x:v>IT &amp; digital</x:v>
      </x:c>
      <x:c r="K5364" s="2" t="str">
        <x:v>PARTNER-M289</x:v>
      </x:c>
    </x:row>
    <x:row r="5365" ht="46" customHeight="1">
      <x:c r="A5365" s="2" t="str">
        <x:v>TEN-01088BCB5FE4</x:v>
      </x:c>
      <x:c r="B5365" s="12" t="str">
        <x:v>Plural Technology Pvt Ltd</x:v>
      </x:c>
      <x:c r="C5365" s="12" t="str">
        <x:v>CORP-0705</x:v>
      </x:c>
      <x:c r="D5365" s="12" t="str">
        <x:v>Hyderabad</x:v>
      </x:c>
      <x:c r="E5365" s="12" t="str">
        <x:v>Cyber Gateway</x:v>
      </x:c>
      <x:c r="F5365" s="12" t="str">
        <x:v>55 inch</x:v>
      </x:c>
      <x:c r="G5365" s="20" t="n">
        <x:v>1</x:v>
      </x:c>
      <x:c r="H5365" s="12" t="str">
        <x:v>Campus/portfolio roster; individual building occupancy unverified</x:v>
      </x:c>
      <x:c r="I5365" s="12" t="str">
        <x:v>Small-scale prospects</x:v>
      </x:c>
      <x:c r="J5365" s="12" t="str">
        <x:v>IT &amp; digital</x:v>
      </x:c>
      <x:c r="K5365" s="2" t="str">
        <x:v>PARTNER-M289</x:v>
      </x:c>
    </x:row>
    <x:row r="5366" ht="46" customHeight="1">
      <x:c r="A5366" s="2" t="str">
        <x:v>TEN-147B40FF1F46</x:v>
      </x:c>
      <x:c r="B5366" s="12" t="str">
        <x:v>First Tek Services Pvt Ltd</x:v>
      </x:c>
      <x:c r="C5366" s="12" t="str">
        <x:v>CORP-0705</x:v>
      </x:c>
      <x:c r="D5366" s="12" t="str">
        <x:v>Hyderabad</x:v>
      </x:c>
      <x:c r="E5366" s="12" t="str">
        <x:v>Cyber Gateway</x:v>
      </x:c>
      <x:c r="F5366" s="12" t="str">
        <x:v>55 inch</x:v>
      </x:c>
      <x:c r="G5366" s="20" t="n">
        <x:v>1</x:v>
      </x:c>
      <x:c r="H5366" s="12" t="str">
        <x:v>Campus/portfolio roster; individual building occupancy unverified</x:v>
      </x:c>
      <x:c r="I5366" s="12" t="str">
        <x:v>Small-scale prospects</x:v>
      </x:c>
      <x:c r="J5366" s="12" t="str">
        <x:v>IT &amp; digital</x:v>
      </x:c>
      <x:c r="K5366" s="2" t="str">
        <x:v>PARTNER-M289</x:v>
      </x:c>
    </x:row>
    <x:row r="5367" ht="46" customHeight="1">
      <x:c r="A5367" s="2" t="str">
        <x:v>TEN-1C04181154C3</x:v>
      </x:c>
      <x:c r="B5367" s="12" t="str">
        <x:v>Rutakshi Technologies Private Limited</x:v>
      </x:c>
      <x:c r="C5367" s="12" t="str">
        <x:v>CORP-0705</x:v>
      </x:c>
      <x:c r="D5367" s="12" t="str">
        <x:v>Hyderabad</x:v>
      </x:c>
      <x:c r="E5367" s="12" t="str">
        <x:v>Cyber Gateway</x:v>
      </x:c>
      <x:c r="F5367" s="12" t="str">
        <x:v>55 inch</x:v>
      </x:c>
      <x:c r="G5367" s="20" t="n">
        <x:v>1</x:v>
      </x:c>
      <x:c r="H5367" s="12" t="str">
        <x:v>Campus/portfolio roster; individual building occupancy unverified</x:v>
      </x:c>
      <x:c r="I5367" s="12" t="str">
        <x:v>Mixed business audience</x:v>
      </x:c>
      <x:c r="J5367" s="12" t="str">
        <x:v>Unresolved</x:v>
      </x:c>
      <x:c r="K5367" s="2" t="str">
        <x:v>PARTNER-M289</x:v>
      </x:c>
    </x:row>
    <x:row r="5368" ht="46" customHeight="1">
      <x:c r="A5368" s="2" t="str">
        <x:v>TEN-223E0BE4600B</x:v>
      </x:c>
      <x:c r="B5368" s="12" t="str">
        <x:v>Blaze Automation</x:v>
      </x:c>
      <x:c r="C5368" s="12" t="str">
        <x:v>CORP-0705</x:v>
      </x:c>
      <x:c r="D5368" s="12" t="str">
        <x:v>Hyderabad</x:v>
      </x:c>
      <x:c r="E5368" s="12" t="str">
        <x:v>Cyber Gateway</x:v>
      </x:c>
      <x:c r="F5368" s="12" t="str">
        <x:v>55 inch</x:v>
      </x:c>
      <x:c r="G5368" s="20" t="n">
        <x:v>1</x:v>
      </x:c>
      <x:c r="H5368" s="12" t="str">
        <x:v>Campus/portfolio roster; individual building occupancy unverified</x:v>
      </x:c>
      <x:c r="I5368" s="12" t="str">
        <x:v>Medium-scale prospects</x:v>
      </x:c>
      <x:c r="J5368" s="12" t="str">
        <x:v>Engineering &amp; manufacturing</x:v>
      </x:c>
      <x:c r="K5368" s="2" t="str">
        <x:v>PARTNER-M289</x:v>
      </x:c>
    </x:row>
    <x:row r="5369" ht="46" customHeight="1">
      <x:c r="A5369" s="2" t="str">
        <x:v>TEN-2B02951507EE</x:v>
      </x:c>
      <x:c r="B5369" s="12" t="str">
        <x:v>ExcelR</x:v>
      </x:c>
      <x:c r="C5369" s="12" t="str">
        <x:v>CORP-0705</x:v>
      </x:c>
      <x:c r="D5369" s="12" t="str">
        <x:v>Hyderabad</x:v>
      </x:c>
      <x:c r="E5369" s="12" t="str">
        <x:v>Cyber Gateway</x:v>
      </x:c>
      <x:c r="F5369" s="12" t="str">
        <x:v>55 inch</x:v>
      </x:c>
      <x:c r="G5369" s="20" t="n">
        <x:v>1</x:v>
      </x:c>
      <x:c r="H5369" s="12" t="str">
        <x:v>Campus/portfolio roster; individual building occupancy unverified</x:v>
      </x:c>
      <x:c r="I5369" s="12" t="str">
        <x:v>Small-scale prospects</x:v>
      </x:c>
      <x:c r="J5369" s="12" t="str">
        <x:v>Education</x:v>
      </x:c>
      <x:c r="K5369" s="2" t="str">
        <x:v>PARTNER-M289</x:v>
      </x:c>
    </x:row>
    <x:row r="5370" ht="46" customHeight="1">
      <x:c r="A5370" s="2" t="str">
        <x:v>TEN-49A09B6192AC</x:v>
      </x:c>
      <x:c r="B5370" s="12" t="str">
        <x:v>Sonix Human Capital Solutions Pvt. Ltd</x:v>
      </x:c>
      <x:c r="C5370" s="12" t="str">
        <x:v>CORP-0705</x:v>
      </x:c>
      <x:c r="D5370" s="12" t="str">
        <x:v>Hyderabad</x:v>
      </x:c>
      <x:c r="E5370" s="12" t="str">
        <x:v>Cyber Gateway</x:v>
      </x:c>
      <x:c r="F5370" s="12" t="str">
        <x:v>55 inch</x:v>
      </x:c>
      <x:c r="G5370" s="20" t="n">
        <x:v>1</x:v>
      </x:c>
      <x:c r="H5370" s="12" t="str">
        <x:v>Campus/portfolio roster; individual building occupancy unverified</x:v>
      </x:c>
      <x:c r="I5370" s="12" t="str">
        <x:v>Small-scale prospects</x:v>
      </x:c>
      <x:c r="J5370" s="12" t="str">
        <x:v>Professional services</x:v>
      </x:c>
      <x:c r="K5370" s="2" t="str">
        <x:v>PARTNER-M289</x:v>
      </x:c>
    </x:row>
    <x:row r="5371" ht="46" customHeight="1">
      <x:c r="A5371" s="2" t="str">
        <x:v>TEN-4AE3A2A36DB1</x:v>
      </x:c>
      <x:c r="B5371" s="12" t="str">
        <x:v>Fint Solutions</x:v>
      </x:c>
      <x:c r="C5371" s="12" t="str">
        <x:v>CORP-0705</x:v>
      </x:c>
      <x:c r="D5371" s="12" t="str">
        <x:v>Hyderabad</x:v>
      </x:c>
      <x:c r="E5371" s="12" t="str">
        <x:v>Cyber Gateway</x:v>
      </x:c>
      <x:c r="F5371" s="12" t="str">
        <x:v>55 inch</x:v>
      </x:c>
      <x:c r="G5371" s="20" t="n">
        <x:v>1</x:v>
      </x:c>
      <x:c r="H5371" s="12" t="str">
        <x:v>Campus/portfolio roster; individual building occupancy unverified</x:v>
      </x:c>
      <x:c r="I5371" s="12" t="str">
        <x:v>Small-scale prospects</x:v>
      </x:c>
      <x:c r="J5371" s="12" t="str">
        <x:v>IT &amp; digital</x:v>
      </x:c>
      <x:c r="K5371" s="2" t="str">
        <x:v>PARTNER-M289</x:v>
      </x:c>
    </x:row>
    <x:row r="5372" ht="46" customHeight="1">
      <x:c r="A5372" s="2" t="str">
        <x:v>TEN-62FC778E4D9D</x:v>
      </x:c>
      <x:c r="B5372" s="12" t="str">
        <x:v>Signant Health Private Limited</x:v>
      </x:c>
      <x:c r="C5372" s="12" t="str">
        <x:v>CORP-0705</x:v>
      </x:c>
      <x:c r="D5372" s="12" t="str">
        <x:v>Hyderabad</x:v>
      </x:c>
      <x:c r="E5372" s="12" t="str">
        <x:v>Cyber Gateway</x:v>
      </x:c>
      <x:c r="F5372" s="12" t="str">
        <x:v>55 inch</x:v>
      </x:c>
      <x:c r="G5372" s="20" t="n">
        <x:v>1</x:v>
      </x:c>
      <x:c r="H5372" s="12" t="str">
        <x:v>Campus/portfolio roster; individual building occupancy unverified</x:v>
      </x:c>
      <x:c r="I5372" s="12" t="str">
        <x:v>Mixed business audience</x:v>
      </x:c>
      <x:c r="J5372" s="12" t="str">
        <x:v>Healthcare &amp; life sciences</x:v>
      </x:c>
      <x:c r="K5372" s="2" t="str">
        <x:v>PARTNER-M289</x:v>
      </x:c>
    </x:row>
    <x:row r="5373" ht="46" customHeight="1">
      <x:c r="A5373" s="2" t="str">
        <x:v>TEN-64ACC2041078</x:v>
      </x:c>
      <x:c r="B5373" s="12" t="str">
        <x:v>Andhra Bank</x:v>
      </x:c>
      <x:c r="C5373" s="12" t="str">
        <x:v>CORP-0705</x:v>
      </x:c>
      <x:c r="D5373" s="12" t="str">
        <x:v>Hyderabad</x:v>
      </x:c>
      <x:c r="E5373" s="12" t="str">
        <x:v>Cyber Gateway</x:v>
      </x:c>
      <x:c r="F5373" s="12" t="str">
        <x:v>55 inch</x:v>
      </x:c>
      <x:c r="G5373" s="20" t="n">
        <x:v>1</x:v>
      </x:c>
      <x:c r="H5373" s="12" t="str">
        <x:v>Campus/portfolio roster; individual building occupancy unverified</x:v>
      </x:c>
      <x:c r="I5373" s="12" t="str">
        <x:v>Mixed business audience</x:v>
      </x:c>
      <x:c r="J5373" s="12" t="str">
        <x:v>Finance &amp; insurance</x:v>
      </x:c>
      <x:c r="K5373" s="2" t="str">
        <x:v>PARTNER-M289</x:v>
      </x:c>
    </x:row>
    <x:row r="5374" ht="46" customHeight="1">
      <x:c r="A5374" s="2" t="str">
        <x:v>TEN-6D88C170876C</x:v>
      </x:c>
      <x:c r="B5374" s="12" t="str">
        <x:v>Tvarana Software Solution Pvt Ltd</x:v>
      </x:c>
      <x:c r="C5374" s="12" t="str">
        <x:v>CORP-0705</x:v>
      </x:c>
      <x:c r="D5374" s="12" t="str">
        <x:v>Hyderabad</x:v>
      </x:c>
      <x:c r="E5374" s="12" t="str">
        <x:v>Cyber Gateway</x:v>
      </x:c>
      <x:c r="F5374" s="12" t="str">
        <x:v>55 inch</x:v>
      </x:c>
      <x:c r="G5374" s="20" t="n">
        <x:v>1</x:v>
      </x:c>
      <x:c r="H5374" s="12" t="str">
        <x:v>Campus/portfolio roster; individual building occupancy unverified</x:v>
      </x:c>
      <x:c r="I5374" s="12" t="str">
        <x:v>Small-scale prospects</x:v>
      </x:c>
      <x:c r="J5374" s="12" t="str">
        <x:v>IT &amp; digital</x:v>
      </x:c>
      <x:c r="K5374" s="2" t="str">
        <x:v>PARTNER-M289</x:v>
      </x:c>
    </x:row>
    <x:row r="5375" ht="46" customHeight="1">
      <x:c r="A5375" s="2" t="str">
        <x:v>TEN-7539F6E6B0E4</x:v>
      </x:c>
      <x:c r="B5375" s="12" t="str">
        <x:v>Nexiilabs</x:v>
      </x:c>
      <x:c r="C5375" s="12" t="str">
        <x:v>CORP-0705</x:v>
      </x:c>
      <x:c r="D5375" s="12" t="str">
        <x:v>Hyderabad</x:v>
      </x:c>
      <x:c r="E5375" s="12" t="str">
        <x:v>Cyber Gateway</x:v>
      </x:c>
      <x:c r="F5375" s="12" t="str">
        <x:v>55 inch</x:v>
      </x:c>
      <x:c r="G5375" s="20" t="n">
        <x:v>1</x:v>
      </x:c>
      <x:c r="H5375" s="12" t="str">
        <x:v>Campus/portfolio roster; individual building occupancy unverified</x:v>
      </x:c>
      <x:c r="I5375" s="12" t="str">
        <x:v>Mixed business audience</x:v>
      </x:c>
      <x:c r="J5375" s="12" t="str">
        <x:v>Unresolved</x:v>
      </x:c>
      <x:c r="K5375" s="2" t="str">
        <x:v>PARTNER-M289</x:v>
      </x:c>
    </x:row>
    <x:row r="5376" ht="46" customHeight="1">
      <x:c r="A5376" s="2" t="str">
        <x:v>TEN-8D66D837E37C</x:v>
      </x:c>
      <x:c r="B5376" s="12" t="str">
        <x:v>Praveen Properties</x:v>
      </x:c>
      <x:c r="C5376" s="12" t="str">
        <x:v>CORP-0705</x:v>
      </x:c>
      <x:c r="D5376" s="12" t="str">
        <x:v>Hyderabad</x:v>
      </x:c>
      <x:c r="E5376" s="12" t="str">
        <x:v>Cyber Gateway</x:v>
      </x:c>
      <x:c r="F5376" s="12" t="str">
        <x:v>55 inch</x:v>
      </x:c>
      <x:c r="G5376" s="20" t="n">
        <x:v>1</x:v>
      </x:c>
      <x:c r="H5376" s="12" t="str">
        <x:v>Campus/portfolio roster; individual building occupancy unverified</x:v>
      </x:c>
      <x:c r="I5376" s="12" t="str">
        <x:v>Small-scale prospects</x:v>
      </x:c>
      <x:c r="J5376" s="12" t="str">
        <x:v>Trade, consumer &amp; logistics</x:v>
      </x:c>
      <x:c r="K5376" s="2" t="str">
        <x:v>PARTNER-M289</x:v>
      </x:c>
    </x:row>
    <x:row r="5377" ht="46" customHeight="1">
      <x:c r="A5377" s="2" t="str">
        <x:v>TEN-AAA30F61EE87</x:v>
      </x:c>
      <x:c r="B5377" s="12" t="str">
        <x:v>Infosys Technologies</x:v>
      </x:c>
      <x:c r="C5377" s="12" t="str">
        <x:v>CORP-0705</x:v>
      </x:c>
      <x:c r="D5377" s="12" t="str">
        <x:v>Hyderabad</x:v>
      </x:c>
      <x:c r="E5377" s="12" t="str">
        <x:v>Cyber Gateway</x:v>
      </x:c>
      <x:c r="F5377" s="12" t="str">
        <x:v>55 inch</x:v>
      </x:c>
      <x:c r="G5377" s="20" t="n">
        <x:v>1</x:v>
      </x:c>
      <x:c r="H5377" s="12" t="str">
        <x:v>Campus/portfolio roster; individual building occupancy unverified</x:v>
      </x:c>
      <x:c r="I5377" s="12" t="str">
        <x:v>Large enterprise</x:v>
      </x:c>
      <x:c r="J5377" s="12" t="str">
        <x:v>IT &amp; digital</x:v>
      </x:c>
      <x:c r="K5377" s="2" t="str">
        <x:v>PARTNER-M289</x:v>
      </x:c>
    </x:row>
    <x:row r="5378" ht="46" customHeight="1">
      <x:c r="A5378" s="2" t="str">
        <x:v>TEN-AF9253804CA3</x:v>
      </x:c>
      <x:c r="B5378" s="12" t="str">
        <x:v>Thomas Cook</x:v>
      </x:c>
      <x:c r="C5378" s="12" t="str">
        <x:v>CORP-0705</x:v>
      </x:c>
      <x:c r="D5378" s="12" t="str">
        <x:v>Hyderabad</x:v>
      </x:c>
      <x:c r="E5378" s="12" t="str">
        <x:v>Cyber Gateway</x:v>
      </x:c>
      <x:c r="F5378" s="12" t="str">
        <x:v>55 inch</x:v>
      </x:c>
      <x:c r="G5378" s="20" t="n">
        <x:v>1</x:v>
      </x:c>
      <x:c r="H5378" s="12" t="str">
        <x:v>Campus/portfolio roster; individual building occupancy unverified</x:v>
      </x:c>
      <x:c r="I5378" s="12" t="str">
        <x:v>Mixed business audience</x:v>
      </x:c>
      <x:c r="J5378" s="12" t="str">
        <x:v>Trade, consumer &amp; logistics</x:v>
      </x:c>
      <x:c r="K5378" s="2" t="str">
        <x:v>PARTNER-M289</x:v>
      </x:c>
    </x:row>
    <x:row r="5379" ht="46" customHeight="1">
      <x:c r="A5379" s="2" t="str">
        <x:v>TEN-B2C5EC45BFF3</x:v>
      </x:c>
      <x:c r="B5379" s="12" t="str">
        <x:v>eBizNET Solutions</x:v>
      </x:c>
      <x:c r="C5379" s="12" t="str">
        <x:v>CORP-0705</x:v>
      </x:c>
      <x:c r="D5379" s="12" t="str">
        <x:v>Hyderabad</x:v>
      </x:c>
      <x:c r="E5379" s="12" t="str">
        <x:v>Cyber Gateway</x:v>
      </x:c>
      <x:c r="F5379" s="12" t="str">
        <x:v>55 inch</x:v>
      </x:c>
      <x:c r="G5379" s="20" t="n">
        <x:v>1</x:v>
      </x:c>
      <x:c r="H5379" s="12" t="str">
        <x:v>Campus/portfolio roster; individual building occupancy unverified</x:v>
      </x:c>
      <x:c r="I5379" s="12" t="str">
        <x:v>Small-scale prospects</x:v>
      </x:c>
      <x:c r="J5379" s="12" t="str">
        <x:v>IT &amp; digital</x:v>
      </x:c>
      <x:c r="K5379" s="2" t="str">
        <x:v>PARTNER-M289</x:v>
      </x:c>
    </x:row>
    <x:row r="5380" ht="46" customHeight="1">
      <x:c r="A5380" s="2" t="str">
        <x:v>TEN-B51153A92AF3</x:v>
      </x:c>
      <x:c r="B5380" s="12" t="str">
        <x:v>Vaco Binary Semantics</x:v>
      </x:c>
      <x:c r="C5380" s="12" t="str">
        <x:v>CORP-0705</x:v>
      </x:c>
      <x:c r="D5380" s="12" t="str">
        <x:v>Hyderabad</x:v>
      </x:c>
      <x:c r="E5380" s="12" t="str">
        <x:v>Cyber Gateway</x:v>
      </x:c>
      <x:c r="F5380" s="12" t="str">
        <x:v>55 inch</x:v>
      </x:c>
      <x:c r="G5380" s="20" t="n">
        <x:v>1</x:v>
      </x:c>
      <x:c r="H5380" s="12" t="str">
        <x:v>Campus/portfolio roster; individual building occupancy unverified</x:v>
      </x:c>
      <x:c r="I5380" s="12" t="str">
        <x:v>Mixed business audience</x:v>
      </x:c>
      <x:c r="J5380" s="12" t="str">
        <x:v>IT &amp; digital</x:v>
      </x:c>
      <x:c r="K5380" s="2" t="str">
        <x:v>PARTNER-M289</x:v>
      </x:c>
    </x:row>
    <x:row r="5381" ht="46" customHeight="1">
      <x:c r="A5381" s="2" t="str">
        <x:v>TEN-C1185EEF281B</x:v>
      </x:c>
      <x:c r="B5381" s="12" t="str">
        <x:v>EverestDX India Pvt Ltd</x:v>
      </x:c>
      <x:c r="C5381" s="12" t="str">
        <x:v>CORP-0705</x:v>
      </x:c>
      <x:c r="D5381" s="12" t="str">
        <x:v>Hyderabad</x:v>
      </x:c>
      <x:c r="E5381" s="12" t="str">
        <x:v>Cyber Gateway</x:v>
      </x:c>
      <x:c r="F5381" s="12" t="str">
        <x:v>55 inch</x:v>
      </x:c>
      <x:c r="G5381" s="20" t="n">
        <x:v>1</x:v>
      </x:c>
      <x:c r="H5381" s="12" t="str">
        <x:v>Campus/portfolio roster; individual building occupancy unverified</x:v>
      </x:c>
      <x:c r="I5381" s="12" t="str">
        <x:v>Small-scale prospects</x:v>
      </x:c>
      <x:c r="J5381" s="12" t="str">
        <x:v>IT &amp; digital</x:v>
      </x:c>
      <x:c r="K5381" s="2" t="str">
        <x:v>PARTNER-M289</x:v>
      </x:c>
    </x:row>
    <x:row r="5382" ht="46" customHeight="1">
      <x:c r="A5382" s="2" t="str">
        <x:v>TEN-C40D987A6D54</x:v>
      </x:c>
      <x:c r="B5382" s="12" t="str">
        <x:v>Advansoft</x:v>
      </x:c>
      <x:c r="C5382" s="12" t="str">
        <x:v>CORP-0705</x:v>
      </x:c>
      <x:c r="D5382" s="12" t="str">
        <x:v>Hyderabad</x:v>
      </x:c>
      <x:c r="E5382" s="12" t="str">
        <x:v>Cyber Gateway</x:v>
      </x:c>
      <x:c r="F5382" s="12" t="str">
        <x:v>55 inch</x:v>
      </x:c>
      <x:c r="G5382" s="20" t="n">
        <x:v>1</x:v>
      </x:c>
      <x:c r="H5382" s="12" t="str">
        <x:v>Campus/portfolio roster; individual building occupancy unverified</x:v>
      </x:c>
      <x:c r="I5382" s="12" t="str">
        <x:v>Small-scale prospects</x:v>
      </x:c>
      <x:c r="J5382" s="12" t="str">
        <x:v>IT &amp; digital</x:v>
      </x:c>
      <x:c r="K5382" s="2" t="str">
        <x:v>PARTNER-M289</x:v>
      </x:c>
    </x:row>
    <x:row r="5383" ht="46" customHeight="1">
      <x:c r="A5383" s="2" t="str">
        <x:v>TEN-CDB24A62FB69</x:v>
      </x:c>
      <x:c r="B5383" s="12" t="str">
        <x:v>Dhruvsoft Services Private Limited</x:v>
      </x:c>
      <x:c r="C5383" s="12" t="str">
        <x:v>CORP-0705</x:v>
      </x:c>
      <x:c r="D5383" s="12" t="str">
        <x:v>Hyderabad</x:v>
      </x:c>
      <x:c r="E5383" s="12" t="str">
        <x:v>Cyber Gateway</x:v>
      </x:c>
      <x:c r="F5383" s="12" t="str">
        <x:v>55 inch</x:v>
      </x:c>
      <x:c r="G5383" s="20" t="n">
        <x:v>1</x:v>
      </x:c>
      <x:c r="H5383" s="12" t="str">
        <x:v>Campus/portfolio roster; individual building occupancy unverified</x:v>
      </x:c>
      <x:c r="I5383" s="12" t="str">
        <x:v>Small-scale prospects</x:v>
      </x:c>
      <x:c r="J5383" s="12" t="str">
        <x:v>IT &amp; digital</x:v>
      </x:c>
      <x:c r="K5383" s="2" t="str">
        <x:v>PARTNER-M289</x:v>
      </x:c>
    </x:row>
    <x:row r="5384" ht="46" customHeight="1">
      <x:c r="A5384" s="2" t="str">
        <x:v>TEN-E6B1BC8AE59D</x:v>
      </x:c>
      <x:c r="B5384" s="12" t="str">
        <x:v>MaaS ERP Solutions Pvt. Ltd</x:v>
      </x:c>
      <x:c r="C5384" s="12" t="str">
        <x:v>CORP-0705</x:v>
      </x:c>
      <x:c r="D5384" s="12" t="str">
        <x:v>Hyderabad</x:v>
      </x:c>
      <x:c r="E5384" s="12" t="str">
        <x:v>Cyber Gateway</x:v>
      </x:c>
      <x:c r="F5384" s="12" t="str">
        <x:v>55 inch</x:v>
      </x:c>
      <x:c r="G5384" s="20" t="n">
        <x:v>1</x:v>
      </x:c>
      <x:c r="H5384" s="12" t="str">
        <x:v>Campus/portfolio roster; individual building occupancy unverified</x:v>
      </x:c>
      <x:c r="I5384" s="12" t="str">
        <x:v>Small-scale prospects</x:v>
      </x:c>
      <x:c r="J5384" s="12" t="str">
        <x:v>IT &amp; digital</x:v>
      </x:c>
      <x:c r="K5384" s="2" t="str">
        <x:v>PARTNER-M289</x:v>
      </x:c>
    </x:row>
    <x:row r="5385" ht="46" customHeight="1">
      <x:c r="A5385" s="2" t="str">
        <x:v>TEN-EFE115AB0E96</x:v>
      </x:c>
      <x:c r="B5385" s="12" t="str">
        <x:v>Bhrigus Software India Pvt Ltd</x:v>
      </x:c>
      <x:c r="C5385" s="12" t="str">
        <x:v>CORP-0705</x:v>
      </x:c>
      <x:c r="D5385" s="12" t="str">
        <x:v>Hyderabad</x:v>
      </x:c>
      <x:c r="E5385" s="12" t="str">
        <x:v>Cyber Gateway</x:v>
      </x:c>
      <x:c r="F5385" s="12" t="str">
        <x:v>55 inch</x:v>
      </x:c>
      <x:c r="G5385" s="20" t="n">
        <x:v>1</x:v>
      </x:c>
      <x:c r="H5385" s="12" t="str">
        <x:v>Campus/portfolio roster; individual building occupancy unverified</x:v>
      </x:c>
      <x:c r="I5385" s="12" t="str">
        <x:v>Small-scale prospects</x:v>
      </x:c>
      <x:c r="J5385" s="12" t="str">
        <x:v>IT &amp; digital</x:v>
      </x:c>
      <x:c r="K5385" s="2" t="str">
        <x:v>PARTNER-M289</x:v>
      </x:c>
    </x:row>
    <x:row r="5386" ht="46" customHeight="1">
      <x:c r="A5386" s="2" t="str">
        <x:v>TEN-F95B60BD0C88</x:v>
      </x:c>
      <x:c r="B5386" s="12" t="str">
        <x:v>InstaVC</x:v>
      </x:c>
      <x:c r="C5386" s="12" t="str">
        <x:v>CORP-0705</x:v>
      </x:c>
      <x:c r="D5386" s="12" t="str">
        <x:v>Hyderabad</x:v>
      </x:c>
      <x:c r="E5386" s="12" t="str">
        <x:v>Cyber Gateway</x:v>
      </x:c>
      <x:c r="F5386" s="12" t="str">
        <x:v>55 inch</x:v>
      </x:c>
      <x:c r="G5386" s="20" t="n">
        <x:v>1</x:v>
      </x:c>
      <x:c r="H5386" s="12" t="str">
        <x:v>Campus/portfolio roster; individual building occupancy unverified</x:v>
      </x:c>
      <x:c r="I5386" s="12" t="str">
        <x:v>Small-scale prospects</x:v>
      </x:c>
      <x:c r="J5386" s="12" t="str">
        <x:v>IT &amp; digital</x:v>
      </x:c>
      <x:c r="K5386" s="2" t="str">
        <x:v>PARTNER-M289</x:v>
      </x:c>
    </x:row>
    <x:row r="5387" ht="46" customHeight="1">
      <x:c r="A5387" s="2" t="str">
        <x:v>TEN-01088BCB5FE4</x:v>
      </x:c>
      <x:c r="B5387" s="12" t="str">
        <x:v>Plural Technology Pvt Ltd</x:v>
      </x:c>
      <x:c r="C5387" s="12" t="str">
        <x:v>CORP-0706</x:v>
      </x:c>
      <x:c r="D5387" s="12" t="str">
        <x:v>Hyderabad</x:v>
      </x:c>
      <x:c r="E5387" s="12" t="str">
        <x:v>Cyber Gateway</x:v>
      </x:c>
      <x:c r="F5387" s="12" t="str">
        <x:v>55 inch</x:v>
      </x:c>
      <x:c r="G5387" s="20" t="n">
        <x:v>1</x:v>
      </x:c>
      <x:c r="H5387" s="12" t="str">
        <x:v>Campus/portfolio roster; individual building occupancy unverified</x:v>
      </x:c>
      <x:c r="I5387" s="12" t="str">
        <x:v>Small-scale prospects</x:v>
      </x:c>
      <x:c r="J5387" s="12" t="str">
        <x:v>IT &amp; digital</x:v>
      </x:c>
      <x:c r="K5387" s="2" t="str">
        <x:v>PARTNER-M289</x:v>
      </x:c>
    </x:row>
    <x:row r="5388" ht="46" customHeight="1">
      <x:c r="A5388" s="2" t="str">
        <x:v>TEN-147B40FF1F46</x:v>
      </x:c>
      <x:c r="B5388" s="12" t="str">
        <x:v>First Tek Services Pvt Ltd</x:v>
      </x:c>
      <x:c r="C5388" s="12" t="str">
        <x:v>CORP-0706</x:v>
      </x:c>
      <x:c r="D5388" s="12" t="str">
        <x:v>Hyderabad</x:v>
      </x:c>
      <x:c r="E5388" s="12" t="str">
        <x:v>Cyber Gateway</x:v>
      </x:c>
      <x:c r="F5388" s="12" t="str">
        <x:v>55 inch</x:v>
      </x:c>
      <x:c r="G5388" s="20" t="n">
        <x:v>1</x:v>
      </x:c>
      <x:c r="H5388" s="12" t="str">
        <x:v>Campus/portfolio roster; individual building occupancy unverified</x:v>
      </x:c>
      <x:c r="I5388" s="12" t="str">
        <x:v>Small-scale prospects</x:v>
      </x:c>
      <x:c r="J5388" s="12" t="str">
        <x:v>IT &amp; digital</x:v>
      </x:c>
      <x:c r="K5388" s="2" t="str">
        <x:v>PARTNER-M289</x:v>
      </x:c>
    </x:row>
    <x:row r="5389" ht="46" customHeight="1">
      <x:c r="A5389" s="2" t="str">
        <x:v>TEN-1C04181154C3</x:v>
      </x:c>
      <x:c r="B5389" s="12" t="str">
        <x:v>Rutakshi Technologies Private Limited</x:v>
      </x:c>
      <x:c r="C5389" s="12" t="str">
        <x:v>CORP-0706</x:v>
      </x:c>
      <x:c r="D5389" s="12" t="str">
        <x:v>Hyderabad</x:v>
      </x:c>
      <x:c r="E5389" s="12" t="str">
        <x:v>Cyber Gateway</x:v>
      </x:c>
      <x:c r="F5389" s="12" t="str">
        <x:v>55 inch</x:v>
      </x:c>
      <x:c r="G5389" s="20" t="n">
        <x:v>1</x:v>
      </x:c>
      <x:c r="H5389" s="12" t="str">
        <x:v>Campus/portfolio roster; individual building occupancy unverified</x:v>
      </x:c>
      <x:c r="I5389" s="12" t="str">
        <x:v>Mixed business audience</x:v>
      </x:c>
      <x:c r="J5389" s="12" t="str">
        <x:v>Unresolved</x:v>
      </x:c>
      <x:c r="K5389" s="2" t="str">
        <x:v>PARTNER-M289</x:v>
      </x:c>
    </x:row>
    <x:row r="5390" ht="46" customHeight="1">
      <x:c r="A5390" s="2" t="str">
        <x:v>TEN-223E0BE4600B</x:v>
      </x:c>
      <x:c r="B5390" s="12" t="str">
        <x:v>Blaze Automation</x:v>
      </x:c>
      <x:c r="C5390" s="12" t="str">
        <x:v>CORP-0706</x:v>
      </x:c>
      <x:c r="D5390" s="12" t="str">
        <x:v>Hyderabad</x:v>
      </x:c>
      <x:c r="E5390" s="12" t="str">
        <x:v>Cyber Gateway</x:v>
      </x:c>
      <x:c r="F5390" s="12" t="str">
        <x:v>55 inch</x:v>
      </x:c>
      <x:c r="G5390" s="20" t="n">
        <x:v>1</x:v>
      </x:c>
      <x:c r="H5390" s="12" t="str">
        <x:v>Campus/portfolio roster; individual building occupancy unverified</x:v>
      </x:c>
      <x:c r="I5390" s="12" t="str">
        <x:v>Medium-scale prospects</x:v>
      </x:c>
      <x:c r="J5390" s="12" t="str">
        <x:v>Engineering &amp; manufacturing</x:v>
      </x:c>
      <x:c r="K5390" s="2" t="str">
        <x:v>PARTNER-M289</x:v>
      </x:c>
    </x:row>
    <x:row r="5391" ht="46" customHeight="1">
      <x:c r="A5391" s="2" t="str">
        <x:v>TEN-2B02951507EE</x:v>
      </x:c>
      <x:c r="B5391" s="12" t="str">
        <x:v>ExcelR</x:v>
      </x:c>
      <x:c r="C5391" s="12" t="str">
        <x:v>CORP-0706</x:v>
      </x:c>
      <x:c r="D5391" s="12" t="str">
        <x:v>Hyderabad</x:v>
      </x:c>
      <x:c r="E5391" s="12" t="str">
        <x:v>Cyber Gateway</x:v>
      </x:c>
      <x:c r="F5391" s="12" t="str">
        <x:v>55 inch</x:v>
      </x:c>
      <x:c r="G5391" s="20" t="n">
        <x:v>1</x:v>
      </x:c>
      <x:c r="H5391" s="12" t="str">
        <x:v>Campus/portfolio roster; individual building occupancy unverified</x:v>
      </x:c>
      <x:c r="I5391" s="12" t="str">
        <x:v>Small-scale prospects</x:v>
      </x:c>
      <x:c r="J5391" s="12" t="str">
        <x:v>Education</x:v>
      </x:c>
      <x:c r="K5391" s="2" t="str">
        <x:v>PARTNER-M289</x:v>
      </x:c>
    </x:row>
    <x:row r="5392" ht="46" customHeight="1">
      <x:c r="A5392" s="2" t="str">
        <x:v>TEN-49A09B6192AC</x:v>
      </x:c>
      <x:c r="B5392" s="12" t="str">
        <x:v>Sonix Human Capital Solutions Pvt. Ltd</x:v>
      </x:c>
      <x:c r="C5392" s="12" t="str">
        <x:v>CORP-0706</x:v>
      </x:c>
      <x:c r="D5392" s="12" t="str">
        <x:v>Hyderabad</x:v>
      </x:c>
      <x:c r="E5392" s="12" t="str">
        <x:v>Cyber Gateway</x:v>
      </x:c>
      <x:c r="F5392" s="12" t="str">
        <x:v>55 inch</x:v>
      </x:c>
      <x:c r="G5392" s="20" t="n">
        <x:v>1</x:v>
      </x:c>
      <x:c r="H5392" s="12" t="str">
        <x:v>Campus/portfolio roster; individual building occupancy unverified</x:v>
      </x:c>
      <x:c r="I5392" s="12" t="str">
        <x:v>Small-scale prospects</x:v>
      </x:c>
      <x:c r="J5392" s="12" t="str">
        <x:v>Professional services</x:v>
      </x:c>
      <x:c r="K5392" s="2" t="str">
        <x:v>PARTNER-M289</x:v>
      </x:c>
    </x:row>
    <x:row r="5393" ht="46" customHeight="1">
      <x:c r="A5393" s="2" t="str">
        <x:v>TEN-4AE3A2A36DB1</x:v>
      </x:c>
      <x:c r="B5393" s="12" t="str">
        <x:v>Fint Solutions</x:v>
      </x:c>
      <x:c r="C5393" s="12" t="str">
        <x:v>CORP-0706</x:v>
      </x:c>
      <x:c r="D5393" s="12" t="str">
        <x:v>Hyderabad</x:v>
      </x:c>
      <x:c r="E5393" s="12" t="str">
        <x:v>Cyber Gateway</x:v>
      </x:c>
      <x:c r="F5393" s="12" t="str">
        <x:v>55 inch</x:v>
      </x:c>
      <x:c r="G5393" s="20" t="n">
        <x:v>1</x:v>
      </x:c>
      <x:c r="H5393" s="12" t="str">
        <x:v>Campus/portfolio roster; individual building occupancy unverified</x:v>
      </x:c>
      <x:c r="I5393" s="12" t="str">
        <x:v>Small-scale prospects</x:v>
      </x:c>
      <x:c r="J5393" s="12" t="str">
        <x:v>IT &amp; digital</x:v>
      </x:c>
      <x:c r="K5393" s="2" t="str">
        <x:v>PARTNER-M289</x:v>
      </x:c>
    </x:row>
    <x:row r="5394" ht="46" customHeight="1">
      <x:c r="A5394" s="2" t="str">
        <x:v>TEN-62FC778E4D9D</x:v>
      </x:c>
      <x:c r="B5394" s="12" t="str">
        <x:v>Signant Health Private Limited</x:v>
      </x:c>
      <x:c r="C5394" s="12" t="str">
        <x:v>CORP-0706</x:v>
      </x:c>
      <x:c r="D5394" s="12" t="str">
        <x:v>Hyderabad</x:v>
      </x:c>
      <x:c r="E5394" s="12" t="str">
        <x:v>Cyber Gateway</x:v>
      </x:c>
      <x:c r="F5394" s="12" t="str">
        <x:v>55 inch</x:v>
      </x:c>
      <x:c r="G5394" s="20" t="n">
        <x:v>1</x:v>
      </x:c>
      <x:c r="H5394" s="12" t="str">
        <x:v>Campus/portfolio roster; individual building occupancy unverified</x:v>
      </x:c>
      <x:c r="I5394" s="12" t="str">
        <x:v>Mixed business audience</x:v>
      </x:c>
      <x:c r="J5394" s="12" t="str">
        <x:v>Healthcare &amp; life sciences</x:v>
      </x:c>
      <x:c r="K5394" s="2" t="str">
        <x:v>PARTNER-M289</x:v>
      </x:c>
    </x:row>
    <x:row r="5395" ht="46" customHeight="1">
      <x:c r="A5395" s="2" t="str">
        <x:v>TEN-64ACC2041078</x:v>
      </x:c>
      <x:c r="B5395" s="12" t="str">
        <x:v>Andhra Bank</x:v>
      </x:c>
      <x:c r="C5395" s="12" t="str">
        <x:v>CORP-0706</x:v>
      </x:c>
      <x:c r="D5395" s="12" t="str">
        <x:v>Hyderabad</x:v>
      </x:c>
      <x:c r="E5395" s="12" t="str">
        <x:v>Cyber Gateway</x:v>
      </x:c>
      <x:c r="F5395" s="12" t="str">
        <x:v>55 inch</x:v>
      </x:c>
      <x:c r="G5395" s="20" t="n">
        <x:v>1</x:v>
      </x:c>
      <x:c r="H5395" s="12" t="str">
        <x:v>Campus/portfolio roster; individual building occupancy unverified</x:v>
      </x:c>
      <x:c r="I5395" s="12" t="str">
        <x:v>Mixed business audience</x:v>
      </x:c>
      <x:c r="J5395" s="12" t="str">
        <x:v>Finance &amp; insurance</x:v>
      </x:c>
      <x:c r="K5395" s="2" t="str">
        <x:v>PARTNER-M289</x:v>
      </x:c>
    </x:row>
    <x:row r="5396" ht="46" customHeight="1">
      <x:c r="A5396" s="2" t="str">
        <x:v>TEN-6D88C170876C</x:v>
      </x:c>
      <x:c r="B5396" s="12" t="str">
        <x:v>Tvarana Software Solution Pvt Ltd</x:v>
      </x:c>
      <x:c r="C5396" s="12" t="str">
        <x:v>CORP-0706</x:v>
      </x:c>
      <x:c r="D5396" s="12" t="str">
        <x:v>Hyderabad</x:v>
      </x:c>
      <x:c r="E5396" s="12" t="str">
        <x:v>Cyber Gateway</x:v>
      </x:c>
      <x:c r="F5396" s="12" t="str">
        <x:v>55 inch</x:v>
      </x:c>
      <x:c r="G5396" s="20" t="n">
        <x:v>1</x:v>
      </x:c>
      <x:c r="H5396" s="12" t="str">
        <x:v>Campus/portfolio roster; individual building occupancy unverified</x:v>
      </x:c>
      <x:c r="I5396" s="12" t="str">
        <x:v>Small-scale prospects</x:v>
      </x:c>
      <x:c r="J5396" s="12" t="str">
        <x:v>IT &amp; digital</x:v>
      </x:c>
      <x:c r="K5396" s="2" t="str">
        <x:v>PARTNER-M289</x:v>
      </x:c>
    </x:row>
    <x:row r="5397" ht="46" customHeight="1">
      <x:c r="A5397" s="2" t="str">
        <x:v>TEN-7539F6E6B0E4</x:v>
      </x:c>
      <x:c r="B5397" s="12" t="str">
        <x:v>Nexiilabs</x:v>
      </x:c>
      <x:c r="C5397" s="12" t="str">
        <x:v>CORP-0706</x:v>
      </x:c>
      <x:c r="D5397" s="12" t="str">
        <x:v>Hyderabad</x:v>
      </x:c>
      <x:c r="E5397" s="12" t="str">
        <x:v>Cyber Gateway</x:v>
      </x:c>
      <x:c r="F5397" s="12" t="str">
        <x:v>55 inch</x:v>
      </x:c>
      <x:c r="G5397" s="20" t="n">
        <x:v>1</x:v>
      </x:c>
      <x:c r="H5397" s="12" t="str">
        <x:v>Campus/portfolio roster; individual building occupancy unverified</x:v>
      </x:c>
      <x:c r="I5397" s="12" t="str">
        <x:v>Mixed business audience</x:v>
      </x:c>
      <x:c r="J5397" s="12" t="str">
        <x:v>Unresolved</x:v>
      </x:c>
      <x:c r="K5397" s="2" t="str">
        <x:v>PARTNER-M289</x:v>
      </x:c>
    </x:row>
    <x:row r="5398" ht="46" customHeight="1">
      <x:c r="A5398" s="2" t="str">
        <x:v>TEN-8D66D837E37C</x:v>
      </x:c>
      <x:c r="B5398" s="12" t="str">
        <x:v>Praveen Properties</x:v>
      </x:c>
      <x:c r="C5398" s="12" t="str">
        <x:v>CORP-0706</x:v>
      </x:c>
      <x:c r="D5398" s="12" t="str">
        <x:v>Hyderabad</x:v>
      </x:c>
      <x:c r="E5398" s="12" t="str">
        <x:v>Cyber Gateway</x:v>
      </x:c>
      <x:c r="F5398" s="12" t="str">
        <x:v>55 inch</x:v>
      </x:c>
      <x:c r="G5398" s="20" t="n">
        <x:v>1</x:v>
      </x:c>
      <x:c r="H5398" s="12" t="str">
        <x:v>Campus/portfolio roster; individual building occupancy unverified</x:v>
      </x:c>
      <x:c r="I5398" s="12" t="str">
        <x:v>Small-scale prospects</x:v>
      </x:c>
      <x:c r="J5398" s="12" t="str">
        <x:v>Trade, consumer &amp; logistics</x:v>
      </x:c>
      <x:c r="K5398" s="2" t="str">
        <x:v>PARTNER-M289</x:v>
      </x:c>
    </x:row>
    <x:row r="5399" ht="46" customHeight="1">
      <x:c r="A5399" s="2" t="str">
        <x:v>TEN-AAA30F61EE87</x:v>
      </x:c>
      <x:c r="B5399" s="12" t="str">
        <x:v>Infosys Technologies</x:v>
      </x:c>
      <x:c r="C5399" s="12" t="str">
        <x:v>CORP-0706</x:v>
      </x:c>
      <x:c r="D5399" s="12" t="str">
        <x:v>Hyderabad</x:v>
      </x:c>
      <x:c r="E5399" s="12" t="str">
        <x:v>Cyber Gateway</x:v>
      </x:c>
      <x:c r="F5399" s="12" t="str">
        <x:v>55 inch</x:v>
      </x:c>
      <x:c r="G5399" s="20" t="n">
        <x:v>1</x:v>
      </x:c>
      <x:c r="H5399" s="12" t="str">
        <x:v>Campus/portfolio roster; individual building occupancy unverified</x:v>
      </x:c>
      <x:c r="I5399" s="12" t="str">
        <x:v>Large enterprise</x:v>
      </x:c>
      <x:c r="J5399" s="12" t="str">
        <x:v>IT &amp; digital</x:v>
      </x:c>
      <x:c r="K5399" s="2" t="str">
        <x:v>PARTNER-M289</x:v>
      </x:c>
    </x:row>
    <x:row r="5400" ht="46" customHeight="1">
      <x:c r="A5400" s="2" t="str">
        <x:v>TEN-AF9253804CA3</x:v>
      </x:c>
      <x:c r="B5400" s="12" t="str">
        <x:v>Thomas Cook</x:v>
      </x:c>
      <x:c r="C5400" s="12" t="str">
        <x:v>CORP-0706</x:v>
      </x:c>
      <x:c r="D5400" s="12" t="str">
        <x:v>Hyderabad</x:v>
      </x:c>
      <x:c r="E5400" s="12" t="str">
        <x:v>Cyber Gateway</x:v>
      </x:c>
      <x:c r="F5400" s="12" t="str">
        <x:v>55 inch</x:v>
      </x:c>
      <x:c r="G5400" s="20" t="n">
        <x:v>1</x:v>
      </x:c>
      <x:c r="H5400" s="12" t="str">
        <x:v>Campus/portfolio roster; individual building occupancy unverified</x:v>
      </x:c>
      <x:c r="I5400" s="12" t="str">
        <x:v>Mixed business audience</x:v>
      </x:c>
      <x:c r="J5400" s="12" t="str">
        <x:v>Trade, consumer &amp; logistics</x:v>
      </x:c>
      <x:c r="K5400" s="2" t="str">
        <x:v>PARTNER-M289</x:v>
      </x:c>
    </x:row>
    <x:row r="5401" ht="46" customHeight="1">
      <x:c r="A5401" s="2" t="str">
        <x:v>TEN-B2C5EC45BFF3</x:v>
      </x:c>
      <x:c r="B5401" s="12" t="str">
        <x:v>eBizNET Solutions</x:v>
      </x:c>
      <x:c r="C5401" s="12" t="str">
        <x:v>CORP-0706</x:v>
      </x:c>
      <x:c r="D5401" s="12" t="str">
        <x:v>Hyderabad</x:v>
      </x:c>
      <x:c r="E5401" s="12" t="str">
        <x:v>Cyber Gateway</x:v>
      </x:c>
      <x:c r="F5401" s="12" t="str">
        <x:v>55 inch</x:v>
      </x:c>
      <x:c r="G5401" s="20" t="n">
        <x:v>1</x:v>
      </x:c>
      <x:c r="H5401" s="12" t="str">
        <x:v>Campus/portfolio roster; individual building occupancy unverified</x:v>
      </x:c>
      <x:c r="I5401" s="12" t="str">
        <x:v>Small-scale prospects</x:v>
      </x:c>
      <x:c r="J5401" s="12" t="str">
        <x:v>IT &amp; digital</x:v>
      </x:c>
      <x:c r="K5401" s="2" t="str">
        <x:v>PARTNER-M289</x:v>
      </x:c>
    </x:row>
    <x:row r="5402" ht="46" customHeight="1">
      <x:c r="A5402" s="2" t="str">
        <x:v>TEN-B51153A92AF3</x:v>
      </x:c>
      <x:c r="B5402" s="12" t="str">
        <x:v>Vaco Binary Semantics</x:v>
      </x:c>
      <x:c r="C5402" s="12" t="str">
        <x:v>CORP-0706</x:v>
      </x:c>
      <x:c r="D5402" s="12" t="str">
        <x:v>Hyderabad</x:v>
      </x:c>
      <x:c r="E5402" s="12" t="str">
        <x:v>Cyber Gateway</x:v>
      </x:c>
      <x:c r="F5402" s="12" t="str">
        <x:v>55 inch</x:v>
      </x:c>
      <x:c r="G5402" s="20" t="n">
        <x:v>1</x:v>
      </x:c>
      <x:c r="H5402" s="12" t="str">
        <x:v>Campus/portfolio roster; individual building occupancy unverified</x:v>
      </x:c>
      <x:c r="I5402" s="12" t="str">
        <x:v>Mixed business audience</x:v>
      </x:c>
      <x:c r="J5402" s="12" t="str">
        <x:v>IT &amp; digital</x:v>
      </x:c>
      <x:c r="K5402" s="2" t="str">
        <x:v>PARTNER-M289</x:v>
      </x:c>
    </x:row>
    <x:row r="5403" ht="46" customHeight="1">
      <x:c r="A5403" s="2" t="str">
        <x:v>TEN-C1185EEF281B</x:v>
      </x:c>
      <x:c r="B5403" s="12" t="str">
        <x:v>EverestDX India Pvt Ltd</x:v>
      </x:c>
      <x:c r="C5403" s="12" t="str">
        <x:v>CORP-0706</x:v>
      </x:c>
      <x:c r="D5403" s="12" t="str">
        <x:v>Hyderabad</x:v>
      </x:c>
      <x:c r="E5403" s="12" t="str">
        <x:v>Cyber Gateway</x:v>
      </x:c>
      <x:c r="F5403" s="12" t="str">
        <x:v>55 inch</x:v>
      </x:c>
      <x:c r="G5403" s="20" t="n">
        <x:v>1</x:v>
      </x:c>
      <x:c r="H5403" s="12" t="str">
        <x:v>Campus/portfolio roster; individual building occupancy unverified</x:v>
      </x:c>
      <x:c r="I5403" s="12" t="str">
        <x:v>Small-scale prospects</x:v>
      </x:c>
      <x:c r="J5403" s="12" t="str">
        <x:v>IT &amp; digital</x:v>
      </x:c>
      <x:c r="K5403" s="2" t="str">
        <x:v>PARTNER-M289</x:v>
      </x:c>
    </x:row>
    <x:row r="5404" ht="46" customHeight="1">
      <x:c r="A5404" s="2" t="str">
        <x:v>TEN-C40D987A6D54</x:v>
      </x:c>
      <x:c r="B5404" s="12" t="str">
        <x:v>Advansoft</x:v>
      </x:c>
      <x:c r="C5404" s="12" t="str">
        <x:v>CORP-0706</x:v>
      </x:c>
      <x:c r="D5404" s="12" t="str">
        <x:v>Hyderabad</x:v>
      </x:c>
      <x:c r="E5404" s="12" t="str">
        <x:v>Cyber Gateway</x:v>
      </x:c>
      <x:c r="F5404" s="12" t="str">
        <x:v>55 inch</x:v>
      </x:c>
      <x:c r="G5404" s="20" t="n">
        <x:v>1</x:v>
      </x:c>
      <x:c r="H5404" s="12" t="str">
        <x:v>Campus/portfolio roster; individual building occupancy unverified</x:v>
      </x:c>
      <x:c r="I5404" s="12" t="str">
        <x:v>Small-scale prospects</x:v>
      </x:c>
      <x:c r="J5404" s="12" t="str">
        <x:v>IT &amp; digital</x:v>
      </x:c>
      <x:c r="K5404" s="2" t="str">
        <x:v>PARTNER-M289</x:v>
      </x:c>
    </x:row>
    <x:row r="5405" ht="46" customHeight="1">
      <x:c r="A5405" s="2" t="str">
        <x:v>TEN-CDB24A62FB69</x:v>
      </x:c>
      <x:c r="B5405" s="12" t="str">
        <x:v>Dhruvsoft Services Private Limited</x:v>
      </x:c>
      <x:c r="C5405" s="12" t="str">
        <x:v>CORP-0706</x:v>
      </x:c>
      <x:c r="D5405" s="12" t="str">
        <x:v>Hyderabad</x:v>
      </x:c>
      <x:c r="E5405" s="12" t="str">
        <x:v>Cyber Gateway</x:v>
      </x:c>
      <x:c r="F5405" s="12" t="str">
        <x:v>55 inch</x:v>
      </x:c>
      <x:c r="G5405" s="20" t="n">
        <x:v>1</x:v>
      </x:c>
      <x:c r="H5405" s="12" t="str">
        <x:v>Campus/portfolio roster; individual building occupancy unverified</x:v>
      </x:c>
      <x:c r="I5405" s="12" t="str">
        <x:v>Small-scale prospects</x:v>
      </x:c>
      <x:c r="J5405" s="12" t="str">
        <x:v>IT &amp; digital</x:v>
      </x:c>
      <x:c r="K5405" s="2" t="str">
        <x:v>PARTNER-M289</x:v>
      </x:c>
    </x:row>
    <x:row r="5406" ht="46" customHeight="1">
      <x:c r="A5406" s="2" t="str">
        <x:v>TEN-E6B1BC8AE59D</x:v>
      </x:c>
      <x:c r="B5406" s="12" t="str">
        <x:v>MaaS ERP Solutions Pvt. Ltd</x:v>
      </x:c>
      <x:c r="C5406" s="12" t="str">
        <x:v>CORP-0706</x:v>
      </x:c>
      <x:c r="D5406" s="12" t="str">
        <x:v>Hyderabad</x:v>
      </x:c>
      <x:c r="E5406" s="12" t="str">
        <x:v>Cyber Gateway</x:v>
      </x:c>
      <x:c r="F5406" s="12" t="str">
        <x:v>55 inch</x:v>
      </x:c>
      <x:c r="G5406" s="20" t="n">
        <x:v>1</x:v>
      </x:c>
      <x:c r="H5406" s="12" t="str">
        <x:v>Campus/portfolio roster; individual building occupancy unverified</x:v>
      </x:c>
      <x:c r="I5406" s="12" t="str">
        <x:v>Small-scale prospects</x:v>
      </x:c>
      <x:c r="J5406" s="12" t="str">
        <x:v>IT &amp; digital</x:v>
      </x:c>
      <x:c r="K5406" s="2" t="str">
        <x:v>PARTNER-M289</x:v>
      </x:c>
    </x:row>
    <x:row r="5407" ht="46" customHeight="1">
      <x:c r="A5407" s="2" t="str">
        <x:v>TEN-EFE115AB0E96</x:v>
      </x:c>
      <x:c r="B5407" s="12" t="str">
        <x:v>Bhrigus Software India Pvt Ltd</x:v>
      </x:c>
      <x:c r="C5407" s="12" t="str">
        <x:v>CORP-0706</x:v>
      </x:c>
      <x:c r="D5407" s="12" t="str">
        <x:v>Hyderabad</x:v>
      </x:c>
      <x:c r="E5407" s="12" t="str">
        <x:v>Cyber Gateway</x:v>
      </x:c>
      <x:c r="F5407" s="12" t="str">
        <x:v>55 inch</x:v>
      </x:c>
      <x:c r="G5407" s="20" t="n">
        <x:v>1</x:v>
      </x:c>
      <x:c r="H5407" s="12" t="str">
        <x:v>Campus/portfolio roster; individual building occupancy unverified</x:v>
      </x:c>
      <x:c r="I5407" s="12" t="str">
        <x:v>Small-scale prospects</x:v>
      </x:c>
      <x:c r="J5407" s="12" t="str">
        <x:v>IT &amp; digital</x:v>
      </x:c>
      <x:c r="K5407" s="2" t="str">
        <x:v>PARTNER-M289</x:v>
      </x:c>
    </x:row>
    <x:row r="5408" ht="46" customHeight="1">
      <x:c r="A5408" s="2" t="str">
        <x:v>TEN-F95B60BD0C88</x:v>
      </x:c>
      <x:c r="B5408" s="12" t="str">
        <x:v>InstaVC</x:v>
      </x:c>
      <x:c r="C5408" s="12" t="str">
        <x:v>CORP-0706</x:v>
      </x:c>
      <x:c r="D5408" s="12" t="str">
        <x:v>Hyderabad</x:v>
      </x:c>
      <x:c r="E5408" s="12" t="str">
        <x:v>Cyber Gateway</x:v>
      </x:c>
      <x:c r="F5408" s="12" t="str">
        <x:v>55 inch</x:v>
      </x:c>
      <x:c r="G5408" s="20" t="n">
        <x:v>1</x:v>
      </x:c>
      <x:c r="H5408" s="12" t="str">
        <x:v>Campus/portfolio roster; individual building occupancy unverified</x:v>
      </x:c>
      <x:c r="I5408" s="12" t="str">
        <x:v>Small-scale prospects</x:v>
      </x:c>
      <x:c r="J5408" s="12" t="str">
        <x:v>IT &amp; digital</x:v>
      </x:c>
      <x:c r="K5408" s="2" t="str">
        <x:v>PARTNER-M289</x:v>
      </x:c>
    </x:row>
    <x:row r="5409" ht="46" customHeight="1">
      <x:c r="A5409" s="2" t="str">
        <x:v>TEN-01088BCB5FE4</x:v>
      </x:c>
      <x:c r="B5409" s="12" t="str">
        <x:v>Plural Technology Pvt Ltd</x:v>
      </x:c>
      <x:c r="C5409" s="12" t="str">
        <x:v>CORP-0707</x:v>
      </x:c>
      <x:c r="D5409" s="12" t="str">
        <x:v>Hyderabad</x:v>
      </x:c>
      <x:c r="E5409" s="12" t="str">
        <x:v>Cyber Gateway</x:v>
      </x:c>
      <x:c r="F5409" s="12" t="str">
        <x:v>55 inch</x:v>
      </x:c>
      <x:c r="G5409" s="20" t="n">
        <x:v>1</x:v>
      </x:c>
      <x:c r="H5409" s="12" t="str">
        <x:v>Campus/portfolio roster; individual building occupancy unverified</x:v>
      </x:c>
      <x:c r="I5409" s="12" t="str">
        <x:v>Small-scale prospects</x:v>
      </x:c>
      <x:c r="J5409" s="12" t="str">
        <x:v>IT &amp; digital</x:v>
      </x:c>
      <x:c r="K5409" s="2" t="str">
        <x:v>PARTNER-M289</x:v>
      </x:c>
    </x:row>
    <x:row r="5410" ht="46" customHeight="1">
      <x:c r="A5410" s="2" t="str">
        <x:v>TEN-147B40FF1F46</x:v>
      </x:c>
      <x:c r="B5410" s="12" t="str">
        <x:v>First Tek Services Pvt Ltd</x:v>
      </x:c>
      <x:c r="C5410" s="12" t="str">
        <x:v>CORP-0707</x:v>
      </x:c>
      <x:c r="D5410" s="12" t="str">
        <x:v>Hyderabad</x:v>
      </x:c>
      <x:c r="E5410" s="12" t="str">
        <x:v>Cyber Gateway</x:v>
      </x:c>
      <x:c r="F5410" s="12" t="str">
        <x:v>55 inch</x:v>
      </x:c>
      <x:c r="G5410" s="20" t="n">
        <x:v>1</x:v>
      </x:c>
      <x:c r="H5410" s="12" t="str">
        <x:v>Campus/portfolio roster; individual building occupancy unverified</x:v>
      </x:c>
      <x:c r="I5410" s="12" t="str">
        <x:v>Small-scale prospects</x:v>
      </x:c>
      <x:c r="J5410" s="12" t="str">
        <x:v>IT &amp; digital</x:v>
      </x:c>
      <x:c r="K5410" s="2" t="str">
        <x:v>PARTNER-M289</x:v>
      </x:c>
    </x:row>
    <x:row r="5411" ht="46" customHeight="1">
      <x:c r="A5411" s="2" t="str">
        <x:v>TEN-1C04181154C3</x:v>
      </x:c>
      <x:c r="B5411" s="12" t="str">
        <x:v>Rutakshi Technologies Private Limited</x:v>
      </x:c>
      <x:c r="C5411" s="12" t="str">
        <x:v>CORP-0707</x:v>
      </x:c>
      <x:c r="D5411" s="12" t="str">
        <x:v>Hyderabad</x:v>
      </x:c>
      <x:c r="E5411" s="12" t="str">
        <x:v>Cyber Gateway</x:v>
      </x:c>
      <x:c r="F5411" s="12" t="str">
        <x:v>55 inch</x:v>
      </x:c>
      <x:c r="G5411" s="20" t="n">
        <x:v>1</x:v>
      </x:c>
      <x:c r="H5411" s="12" t="str">
        <x:v>Campus/portfolio roster; individual building occupancy unverified</x:v>
      </x:c>
      <x:c r="I5411" s="12" t="str">
        <x:v>Mixed business audience</x:v>
      </x:c>
      <x:c r="J5411" s="12" t="str">
        <x:v>Unresolved</x:v>
      </x:c>
      <x:c r="K5411" s="2" t="str">
        <x:v>PARTNER-M289</x:v>
      </x:c>
    </x:row>
    <x:row r="5412" ht="46" customHeight="1">
      <x:c r="A5412" s="2" t="str">
        <x:v>TEN-223E0BE4600B</x:v>
      </x:c>
      <x:c r="B5412" s="12" t="str">
        <x:v>Blaze Automation</x:v>
      </x:c>
      <x:c r="C5412" s="12" t="str">
        <x:v>CORP-0707</x:v>
      </x:c>
      <x:c r="D5412" s="12" t="str">
        <x:v>Hyderabad</x:v>
      </x:c>
      <x:c r="E5412" s="12" t="str">
        <x:v>Cyber Gateway</x:v>
      </x:c>
      <x:c r="F5412" s="12" t="str">
        <x:v>55 inch</x:v>
      </x:c>
      <x:c r="G5412" s="20" t="n">
        <x:v>1</x:v>
      </x:c>
      <x:c r="H5412" s="12" t="str">
        <x:v>Campus/portfolio roster; individual building occupancy unverified</x:v>
      </x:c>
      <x:c r="I5412" s="12" t="str">
        <x:v>Medium-scale prospects</x:v>
      </x:c>
      <x:c r="J5412" s="12" t="str">
        <x:v>Engineering &amp; manufacturing</x:v>
      </x:c>
      <x:c r="K5412" s="2" t="str">
        <x:v>PARTNER-M289</x:v>
      </x:c>
    </x:row>
    <x:row r="5413" ht="46" customHeight="1">
      <x:c r="A5413" s="2" t="str">
        <x:v>TEN-2B02951507EE</x:v>
      </x:c>
      <x:c r="B5413" s="12" t="str">
        <x:v>ExcelR</x:v>
      </x:c>
      <x:c r="C5413" s="12" t="str">
        <x:v>CORP-0707</x:v>
      </x:c>
      <x:c r="D5413" s="12" t="str">
        <x:v>Hyderabad</x:v>
      </x:c>
      <x:c r="E5413" s="12" t="str">
        <x:v>Cyber Gateway</x:v>
      </x:c>
      <x:c r="F5413" s="12" t="str">
        <x:v>55 inch</x:v>
      </x:c>
      <x:c r="G5413" s="20" t="n">
        <x:v>1</x:v>
      </x:c>
      <x:c r="H5413" s="12" t="str">
        <x:v>Campus/portfolio roster; individual building occupancy unverified</x:v>
      </x:c>
      <x:c r="I5413" s="12" t="str">
        <x:v>Small-scale prospects</x:v>
      </x:c>
      <x:c r="J5413" s="12" t="str">
        <x:v>Education</x:v>
      </x:c>
      <x:c r="K5413" s="2" t="str">
        <x:v>PARTNER-M289</x:v>
      </x:c>
    </x:row>
    <x:row r="5414" ht="46" customHeight="1">
      <x:c r="A5414" s="2" t="str">
        <x:v>TEN-49A09B6192AC</x:v>
      </x:c>
      <x:c r="B5414" s="12" t="str">
        <x:v>Sonix Human Capital Solutions Pvt. Ltd</x:v>
      </x:c>
      <x:c r="C5414" s="12" t="str">
        <x:v>CORP-0707</x:v>
      </x:c>
      <x:c r="D5414" s="12" t="str">
        <x:v>Hyderabad</x:v>
      </x:c>
      <x:c r="E5414" s="12" t="str">
        <x:v>Cyber Gateway</x:v>
      </x:c>
      <x:c r="F5414" s="12" t="str">
        <x:v>55 inch</x:v>
      </x:c>
      <x:c r="G5414" s="20" t="n">
        <x:v>1</x:v>
      </x:c>
      <x:c r="H5414" s="12" t="str">
        <x:v>Campus/portfolio roster; individual building occupancy unverified</x:v>
      </x:c>
      <x:c r="I5414" s="12" t="str">
        <x:v>Small-scale prospects</x:v>
      </x:c>
      <x:c r="J5414" s="12" t="str">
        <x:v>Professional services</x:v>
      </x:c>
      <x:c r="K5414" s="2" t="str">
        <x:v>PARTNER-M289</x:v>
      </x:c>
    </x:row>
    <x:row r="5415" ht="46" customHeight="1">
      <x:c r="A5415" s="2" t="str">
        <x:v>TEN-4AE3A2A36DB1</x:v>
      </x:c>
      <x:c r="B5415" s="12" t="str">
        <x:v>Fint Solutions</x:v>
      </x:c>
      <x:c r="C5415" s="12" t="str">
        <x:v>CORP-0707</x:v>
      </x:c>
      <x:c r="D5415" s="12" t="str">
        <x:v>Hyderabad</x:v>
      </x:c>
      <x:c r="E5415" s="12" t="str">
        <x:v>Cyber Gateway</x:v>
      </x:c>
      <x:c r="F5415" s="12" t="str">
        <x:v>55 inch</x:v>
      </x:c>
      <x:c r="G5415" s="20" t="n">
        <x:v>1</x:v>
      </x:c>
      <x:c r="H5415" s="12" t="str">
        <x:v>Campus/portfolio roster; individual building occupancy unverified</x:v>
      </x:c>
      <x:c r="I5415" s="12" t="str">
        <x:v>Small-scale prospects</x:v>
      </x:c>
      <x:c r="J5415" s="12" t="str">
        <x:v>IT &amp; digital</x:v>
      </x:c>
      <x:c r="K5415" s="2" t="str">
        <x:v>PARTNER-M289</x:v>
      </x:c>
    </x:row>
    <x:row r="5416" ht="46" customHeight="1">
      <x:c r="A5416" s="2" t="str">
        <x:v>TEN-62FC778E4D9D</x:v>
      </x:c>
      <x:c r="B5416" s="12" t="str">
        <x:v>Signant Health Private Limited</x:v>
      </x:c>
      <x:c r="C5416" s="12" t="str">
        <x:v>CORP-0707</x:v>
      </x:c>
      <x:c r="D5416" s="12" t="str">
        <x:v>Hyderabad</x:v>
      </x:c>
      <x:c r="E5416" s="12" t="str">
        <x:v>Cyber Gateway</x:v>
      </x:c>
      <x:c r="F5416" s="12" t="str">
        <x:v>55 inch</x:v>
      </x:c>
      <x:c r="G5416" s="20" t="n">
        <x:v>1</x:v>
      </x:c>
      <x:c r="H5416" s="12" t="str">
        <x:v>Campus/portfolio roster; individual building occupancy unverified</x:v>
      </x:c>
      <x:c r="I5416" s="12" t="str">
        <x:v>Mixed business audience</x:v>
      </x:c>
      <x:c r="J5416" s="12" t="str">
        <x:v>Healthcare &amp; life sciences</x:v>
      </x:c>
      <x:c r="K5416" s="2" t="str">
        <x:v>PARTNER-M289</x:v>
      </x:c>
    </x:row>
    <x:row r="5417" ht="46" customHeight="1">
      <x:c r="A5417" s="2" t="str">
        <x:v>TEN-64ACC2041078</x:v>
      </x:c>
      <x:c r="B5417" s="12" t="str">
        <x:v>Andhra Bank</x:v>
      </x:c>
      <x:c r="C5417" s="12" t="str">
        <x:v>CORP-0707</x:v>
      </x:c>
      <x:c r="D5417" s="12" t="str">
        <x:v>Hyderabad</x:v>
      </x:c>
      <x:c r="E5417" s="12" t="str">
        <x:v>Cyber Gateway</x:v>
      </x:c>
      <x:c r="F5417" s="12" t="str">
        <x:v>55 inch</x:v>
      </x:c>
      <x:c r="G5417" s="20" t="n">
        <x:v>1</x:v>
      </x:c>
      <x:c r="H5417" s="12" t="str">
        <x:v>Campus/portfolio roster; individual building occupancy unverified</x:v>
      </x:c>
      <x:c r="I5417" s="12" t="str">
        <x:v>Mixed business audience</x:v>
      </x:c>
      <x:c r="J5417" s="12" t="str">
        <x:v>Finance &amp; insurance</x:v>
      </x:c>
      <x:c r="K5417" s="2" t="str">
        <x:v>PARTNER-M289</x:v>
      </x:c>
    </x:row>
    <x:row r="5418" ht="46" customHeight="1">
      <x:c r="A5418" s="2" t="str">
        <x:v>TEN-6D88C170876C</x:v>
      </x:c>
      <x:c r="B5418" s="12" t="str">
        <x:v>Tvarana Software Solution Pvt Ltd</x:v>
      </x:c>
      <x:c r="C5418" s="12" t="str">
        <x:v>CORP-0707</x:v>
      </x:c>
      <x:c r="D5418" s="12" t="str">
        <x:v>Hyderabad</x:v>
      </x:c>
      <x:c r="E5418" s="12" t="str">
        <x:v>Cyber Gateway</x:v>
      </x:c>
      <x:c r="F5418" s="12" t="str">
        <x:v>55 inch</x:v>
      </x:c>
      <x:c r="G5418" s="20" t="n">
        <x:v>1</x:v>
      </x:c>
      <x:c r="H5418" s="12" t="str">
        <x:v>Campus/portfolio roster; individual building occupancy unverified</x:v>
      </x:c>
      <x:c r="I5418" s="12" t="str">
        <x:v>Small-scale prospects</x:v>
      </x:c>
      <x:c r="J5418" s="12" t="str">
        <x:v>IT &amp; digital</x:v>
      </x:c>
      <x:c r="K5418" s="2" t="str">
        <x:v>PARTNER-M289</x:v>
      </x:c>
    </x:row>
    <x:row r="5419" ht="46" customHeight="1">
      <x:c r="A5419" s="2" t="str">
        <x:v>TEN-7539F6E6B0E4</x:v>
      </x:c>
      <x:c r="B5419" s="12" t="str">
        <x:v>Nexiilabs</x:v>
      </x:c>
      <x:c r="C5419" s="12" t="str">
        <x:v>CORP-0707</x:v>
      </x:c>
      <x:c r="D5419" s="12" t="str">
        <x:v>Hyderabad</x:v>
      </x:c>
      <x:c r="E5419" s="12" t="str">
        <x:v>Cyber Gateway</x:v>
      </x:c>
      <x:c r="F5419" s="12" t="str">
        <x:v>55 inch</x:v>
      </x:c>
      <x:c r="G5419" s="20" t="n">
        <x:v>1</x:v>
      </x:c>
      <x:c r="H5419" s="12" t="str">
        <x:v>Campus/portfolio roster; individual building occupancy unverified</x:v>
      </x:c>
      <x:c r="I5419" s="12" t="str">
        <x:v>Mixed business audience</x:v>
      </x:c>
      <x:c r="J5419" s="12" t="str">
        <x:v>Unresolved</x:v>
      </x:c>
      <x:c r="K5419" s="2" t="str">
        <x:v>PARTNER-M289</x:v>
      </x:c>
    </x:row>
    <x:row r="5420" ht="46" customHeight="1">
      <x:c r="A5420" s="2" t="str">
        <x:v>TEN-8D66D837E37C</x:v>
      </x:c>
      <x:c r="B5420" s="12" t="str">
        <x:v>Praveen Properties</x:v>
      </x:c>
      <x:c r="C5420" s="12" t="str">
        <x:v>CORP-0707</x:v>
      </x:c>
      <x:c r="D5420" s="12" t="str">
        <x:v>Hyderabad</x:v>
      </x:c>
      <x:c r="E5420" s="12" t="str">
        <x:v>Cyber Gateway</x:v>
      </x:c>
      <x:c r="F5420" s="12" t="str">
        <x:v>55 inch</x:v>
      </x:c>
      <x:c r="G5420" s="20" t="n">
        <x:v>1</x:v>
      </x:c>
      <x:c r="H5420" s="12" t="str">
        <x:v>Campus/portfolio roster; individual building occupancy unverified</x:v>
      </x:c>
      <x:c r="I5420" s="12" t="str">
        <x:v>Small-scale prospects</x:v>
      </x:c>
      <x:c r="J5420" s="12" t="str">
        <x:v>Trade, consumer &amp; logistics</x:v>
      </x:c>
      <x:c r="K5420" s="2" t="str">
        <x:v>PARTNER-M289</x:v>
      </x:c>
    </x:row>
    <x:row r="5421" ht="46" customHeight="1">
      <x:c r="A5421" s="2" t="str">
        <x:v>TEN-AAA30F61EE87</x:v>
      </x:c>
      <x:c r="B5421" s="12" t="str">
        <x:v>Infosys Technologies</x:v>
      </x:c>
      <x:c r="C5421" s="12" t="str">
        <x:v>CORP-0707</x:v>
      </x:c>
      <x:c r="D5421" s="12" t="str">
        <x:v>Hyderabad</x:v>
      </x:c>
      <x:c r="E5421" s="12" t="str">
        <x:v>Cyber Gateway</x:v>
      </x:c>
      <x:c r="F5421" s="12" t="str">
        <x:v>55 inch</x:v>
      </x:c>
      <x:c r="G5421" s="20" t="n">
        <x:v>1</x:v>
      </x:c>
      <x:c r="H5421" s="12" t="str">
        <x:v>Campus/portfolio roster; individual building occupancy unverified</x:v>
      </x:c>
      <x:c r="I5421" s="12" t="str">
        <x:v>Large enterprise</x:v>
      </x:c>
      <x:c r="J5421" s="12" t="str">
        <x:v>IT &amp; digital</x:v>
      </x:c>
      <x:c r="K5421" s="2" t="str">
        <x:v>PARTNER-M289</x:v>
      </x:c>
    </x:row>
    <x:row r="5422" ht="46" customHeight="1">
      <x:c r="A5422" s="2" t="str">
        <x:v>TEN-AF9253804CA3</x:v>
      </x:c>
      <x:c r="B5422" s="12" t="str">
        <x:v>Thomas Cook</x:v>
      </x:c>
      <x:c r="C5422" s="12" t="str">
        <x:v>CORP-0707</x:v>
      </x:c>
      <x:c r="D5422" s="12" t="str">
        <x:v>Hyderabad</x:v>
      </x:c>
      <x:c r="E5422" s="12" t="str">
        <x:v>Cyber Gateway</x:v>
      </x:c>
      <x:c r="F5422" s="12" t="str">
        <x:v>55 inch</x:v>
      </x:c>
      <x:c r="G5422" s="20" t="n">
        <x:v>1</x:v>
      </x:c>
      <x:c r="H5422" s="12" t="str">
        <x:v>Campus/portfolio roster; individual building occupancy unverified</x:v>
      </x:c>
      <x:c r="I5422" s="12" t="str">
        <x:v>Mixed business audience</x:v>
      </x:c>
      <x:c r="J5422" s="12" t="str">
        <x:v>Trade, consumer &amp; logistics</x:v>
      </x:c>
      <x:c r="K5422" s="2" t="str">
        <x:v>PARTNER-M289</x:v>
      </x:c>
    </x:row>
    <x:row r="5423" ht="46" customHeight="1">
      <x:c r="A5423" s="2" t="str">
        <x:v>TEN-B2C5EC45BFF3</x:v>
      </x:c>
      <x:c r="B5423" s="12" t="str">
        <x:v>eBizNET Solutions</x:v>
      </x:c>
      <x:c r="C5423" s="12" t="str">
        <x:v>CORP-0707</x:v>
      </x:c>
      <x:c r="D5423" s="12" t="str">
        <x:v>Hyderabad</x:v>
      </x:c>
      <x:c r="E5423" s="12" t="str">
        <x:v>Cyber Gateway</x:v>
      </x:c>
      <x:c r="F5423" s="12" t="str">
        <x:v>55 inch</x:v>
      </x:c>
      <x:c r="G5423" s="20" t="n">
        <x:v>1</x:v>
      </x:c>
      <x:c r="H5423" s="12" t="str">
        <x:v>Campus/portfolio roster; individual building occupancy unverified</x:v>
      </x:c>
      <x:c r="I5423" s="12" t="str">
        <x:v>Small-scale prospects</x:v>
      </x:c>
      <x:c r="J5423" s="12" t="str">
        <x:v>IT &amp; digital</x:v>
      </x:c>
      <x:c r="K5423" s="2" t="str">
        <x:v>PARTNER-M289</x:v>
      </x:c>
    </x:row>
    <x:row r="5424" ht="46" customHeight="1">
      <x:c r="A5424" s="2" t="str">
        <x:v>TEN-B51153A92AF3</x:v>
      </x:c>
      <x:c r="B5424" s="12" t="str">
        <x:v>Vaco Binary Semantics</x:v>
      </x:c>
      <x:c r="C5424" s="12" t="str">
        <x:v>CORP-0707</x:v>
      </x:c>
      <x:c r="D5424" s="12" t="str">
        <x:v>Hyderabad</x:v>
      </x:c>
      <x:c r="E5424" s="12" t="str">
        <x:v>Cyber Gateway</x:v>
      </x:c>
      <x:c r="F5424" s="12" t="str">
        <x:v>55 inch</x:v>
      </x:c>
      <x:c r="G5424" s="20" t="n">
        <x:v>1</x:v>
      </x:c>
      <x:c r="H5424" s="12" t="str">
        <x:v>Campus/portfolio roster; individual building occupancy unverified</x:v>
      </x:c>
      <x:c r="I5424" s="12" t="str">
        <x:v>Mixed business audience</x:v>
      </x:c>
      <x:c r="J5424" s="12" t="str">
        <x:v>IT &amp; digital</x:v>
      </x:c>
      <x:c r="K5424" s="2" t="str">
        <x:v>PARTNER-M289</x:v>
      </x:c>
    </x:row>
    <x:row r="5425" ht="46" customHeight="1">
      <x:c r="A5425" s="2" t="str">
        <x:v>TEN-C1185EEF281B</x:v>
      </x:c>
      <x:c r="B5425" s="12" t="str">
        <x:v>EverestDX India Pvt Ltd</x:v>
      </x:c>
      <x:c r="C5425" s="12" t="str">
        <x:v>CORP-0707</x:v>
      </x:c>
      <x:c r="D5425" s="12" t="str">
        <x:v>Hyderabad</x:v>
      </x:c>
      <x:c r="E5425" s="12" t="str">
        <x:v>Cyber Gateway</x:v>
      </x:c>
      <x:c r="F5425" s="12" t="str">
        <x:v>55 inch</x:v>
      </x:c>
      <x:c r="G5425" s="20" t="n">
        <x:v>1</x:v>
      </x:c>
      <x:c r="H5425" s="12" t="str">
        <x:v>Campus/portfolio roster; individual building occupancy unverified</x:v>
      </x:c>
      <x:c r="I5425" s="12" t="str">
        <x:v>Small-scale prospects</x:v>
      </x:c>
      <x:c r="J5425" s="12" t="str">
        <x:v>IT &amp; digital</x:v>
      </x:c>
      <x:c r="K5425" s="2" t="str">
        <x:v>PARTNER-M289</x:v>
      </x:c>
    </x:row>
    <x:row r="5426" ht="46" customHeight="1">
      <x:c r="A5426" s="2" t="str">
        <x:v>TEN-C40D987A6D54</x:v>
      </x:c>
      <x:c r="B5426" s="12" t="str">
        <x:v>Advansoft</x:v>
      </x:c>
      <x:c r="C5426" s="12" t="str">
        <x:v>CORP-0707</x:v>
      </x:c>
      <x:c r="D5426" s="12" t="str">
        <x:v>Hyderabad</x:v>
      </x:c>
      <x:c r="E5426" s="12" t="str">
        <x:v>Cyber Gateway</x:v>
      </x:c>
      <x:c r="F5426" s="12" t="str">
        <x:v>55 inch</x:v>
      </x:c>
      <x:c r="G5426" s="20" t="n">
        <x:v>1</x:v>
      </x:c>
      <x:c r="H5426" s="12" t="str">
        <x:v>Campus/portfolio roster; individual building occupancy unverified</x:v>
      </x:c>
      <x:c r="I5426" s="12" t="str">
        <x:v>Small-scale prospects</x:v>
      </x:c>
      <x:c r="J5426" s="12" t="str">
        <x:v>IT &amp; digital</x:v>
      </x:c>
      <x:c r="K5426" s="2" t="str">
        <x:v>PARTNER-M289</x:v>
      </x:c>
    </x:row>
    <x:row r="5427" ht="46" customHeight="1">
      <x:c r="A5427" s="2" t="str">
        <x:v>TEN-CDB24A62FB69</x:v>
      </x:c>
      <x:c r="B5427" s="12" t="str">
        <x:v>Dhruvsoft Services Private Limited</x:v>
      </x:c>
      <x:c r="C5427" s="12" t="str">
        <x:v>CORP-0707</x:v>
      </x:c>
      <x:c r="D5427" s="12" t="str">
        <x:v>Hyderabad</x:v>
      </x:c>
      <x:c r="E5427" s="12" t="str">
        <x:v>Cyber Gateway</x:v>
      </x:c>
      <x:c r="F5427" s="12" t="str">
        <x:v>55 inch</x:v>
      </x:c>
      <x:c r="G5427" s="20" t="n">
        <x:v>1</x:v>
      </x:c>
      <x:c r="H5427" s="12" t="str">
        <x:v>Campus/portfolio roster; individual building occupancy unverified</x:v>
      </x:c>
      <x:c r="I5427" s="12" t="str">
        <x:v>Small-scale prospects</x:v>
      </x:c>
      <x:c r="J5427" s="12" t="str">
        <x:v>IT &amp; digital</x:v>
      </x:c>
      <x:c r="K5427" s="2" t="str">
        <x:v>PARTNER-M289</x:v>
      </x:c>
    </x:row>
    <x:row r="5428" ht="46" customHeight="1">
      <x:c r="A5428" s="2" t="str">
        <x:v>TEN-E6B1BC8AE59D</x:v>
      </x:c>
      <x:c r="B5428" s="12" t="str">
        <x:v>MaaS ERP Solutions Pvt. Ltd</x:v>
      </x:c>
      <x:c r="C5428" s="12" t="str">
        <x:v>CORP-0707</x:v>
      </x:c>
      <x:c r="D5428" s="12" t="str">
        <x:v>Hyderabad</x:v>
      </x:c>
      <x:c r="E5428" s="12" t="str">
        <x:v>Cyber Gateway</x:v>
      </x:c>
      <x:c r="F5428" s="12" t="str">
        <x:v>55 inch</x:v>
      </x:c>
      <x:c r="G5428" s="20" t="n">
        <x:v>1</x:v>
      </x:c>
      <x:c r="H5428" s="12" t="str">
        <x:v>Campus/portfolio roster; individual building occupancy unverified</x:v>
      </x:c>
      <x:c r="I5428" s="12" t="str">
        <x:v>Small-scale prospects</x:v>
      </x:c>
      <x:c r="J5428" s="12" t="str">
        <x:v>IT &amp; digital</x:v>
      </x:c>
      <x:c r="K5428" s="2" t="str">
        <x:v>PARTNER-M289</x:v>
      </x:c>
    </x:row>
    <x:row r="5429" ht="46" customHeight="1">
      <x:c r="A5429" s="2" t="str">
        <x:v>TEN-EFE115AB0E96</x:v>
      </x:c>
      <x:c r="B5429" s="12" t="str">
        <x:v>Bhrigus Software India Pvt Ltd</x:v>
      </x:c>
      <x:c r="C5429" s="12" t="str">
        <x:v>CORP-0707</x:v>
      </x:c>
      <x:c r="D5429" s="12" t="str">
        <x:v>Hyderabad</x:v>
      </x:c>
      <x:c r="E5429" s="12" t="str">
        <x:v>Cyber Gateway</x:v>
      </x:c>
      <x:c r="F5429" s="12" t="str">
        <x:v>55 inch</x:v>
      </x:c>
      <x:c r="G5429" s="20" t="n">
        <x:v>1</x:v>
      </x:c>
      <x:c r="H5429" s="12" t="str">
        <x:v>Campus/portfolio roster; individual building occupancy unverified</x:v>
      </x:c>
      <x:c r="I5429" s="12" t="str">
        <x:v>Small-scale prospects</x:v>
      </x:c>
      <x:c r="J5429" s="12" t="str">
        <x:v>IT &amp; digital</x:v>
      </x:c>
      <x:c r="K5429" s="2" t="str">
        <x:v>PARTNER-M289</x:v>
      </x:c>
    </x:row>
    <x:row r="5430" ht="46" customHeight="1">
      <x:c r="A5430" s="2" t="str">
        <x:v>TEN-F95B60BD0C88</x:v>
      </x:c>
      <x:c r="B5430" s="12" t="str">
        <x:v>InstaVC</x:v>
      </x:c>
      <x:c r="C5430" s="12" t="str">
        <x:v>CORP-0707</x:v>
      </x:c>
      <x:c r="D5430" s="12" t="str">
        <x:v>Hyderabad</x:v>
      </x:c>
      <x:c r="E5430" s="12" t="str">
        <x:v>Cyber Gateway</x:v>
      </x:c>
      <x:c r="F5430" s="12" t="str">
        <x:v>55 inch</x:v>
      </x:c>
      <x:c r="G5430" s="20" t="n">
        <x:v>1</x:v>
      </x:c>
      <x:c r="H5430" s="12" t="str">
        <x:v>Campus/portfolio roster; individual building occupancy unverified</x:v>
      </x:c>
      <x:c r="I5430" s="12" t="str">
        <x:v>Small-scale prospects</x:v>
      </x:c>
      <x:c r="J5430" s="12" t="str">
        <x:v>IT &amp; digital</x:v>
      </x:c>
      <x:c r="K5430" s="2" t="str">
        <x:v>PARTNER-M289</x:v>
      </x:c>
    </x:row>
    <x:row r="5431" ht="46" customHeight="1">
      <x:c r="A5431" s="2" t="str">
        <x:v>TEN-01088BCB5FE4</x:v>
      </x:c>
      <x:c r="B5431" s="12" t="str">
        <x:v>Plural Technology Pvt Ltd</x:v>
      </x:c>
      <x:c r="C5431" s="12" t="str">
        <x:v>CORP-0708</x:v>
      </x:c>
      <x:c r="D5431" s="12" t="str">
        <x:v>Hyderabad</x:v>
      </x:c>
      <x:c r="E5431" s="12" t="str">
        <x:v>Cyber Gateway</x:v>
      </x:c>
      <x:c r="F5431" s="12" t="str">
        <x:v>55 inch</x:v>
      </x:c>
      <x:c r="G5431" s="20" t="n">
        <x:v>1</x:v>
      </x:c>
      <x:c r="H5431" s="12" t="str">
        <x:v>Campus/portfolio roster; individual building occupancy unverified</x:v>
      </x:c>
      <x:c r="I5431" s="12" t="str">
        <x:v>Small-scale prospects</x:v>
      </x:c>
      <x:c r="J5431" s="12" t="str">
        <x:v>IT &amp; digital</x:v>
      </x:c>
      <x:c r="K5431" s="2" t="str">
        <x:v>PARTNER-M289</x:v>
      </x:c>
    </x:row>
    <x:row r="5432" ht="46" customHeight="1">
      <x:c r="A5432" s="2" t="str">
        <x:v>TEN-147B40FF1F46</x:v>
      </x:c>
      <x:c r="B5432" s="12" t="str">
        <x:v>First Tek Services Pvt Ltd</x:v>
      </x:c>
      <x:c r="C5432" s="12" t="str">
        <x:v>CORP-0708</x:v>
      </x:c>
      <x:c r="D5432" s="12" t="str">
        <x:v>Hyderabad</x:v>
      </x:c>
      <x:c r="E5432" s="12" t="str">
        <x:v>Cyber Gateway</x:v>
      </x:c>
      <x:c r="F5432" s="12" t="str">
        <x:v>55 inch</x:v>
      </x:c>
      <x:c r="G5432" s="20" t="n">
        <x:v>1</x:v>
      </x:c>
      <x:c r="H5432" s="12" t="str">
        <x:v>Campus/portfolio roster; individual building occupancy unverified</x:v>
      </x:c>
      <x:c r="I5432" s="12" t="str">
        <x:v>Small-scale prospects</x:v>
      </x:c>
      <x:c r="J5432" s="12" t="str">
        <x:v>IT &amp; digital</x:v>
      </x:c>
      <x:c r="K5432" s="2" t="str">
        <x:v>PARTNER-M289</x:v>
      </x:c>
    </x:row>
    <x:row r="5433" ht="46" customHeight="1">
      <x:c r="A5433" s="2" t="str">
        <x:v>TEN-1C04181154C3</x:v>
      </x:c>
      <x:c r="B5433" s="12" t="str">
        <x:v>Rutakshi Technologies Private Limited</x:v>
      </x:c>
      <x:c r="C5433" s="12" t="str">
        <x:v>CORP-0708</x:v>
      </x:c>
      <x:c r="D5433" s="12" t="str">
        <x:v>Hyderabad</x:v>
      </x:c>
      <x:c r="E5433" s="12" t="str">
        <x:v>Cyber Gateway</x:v>
      </x:c>
      <x:c r="F5433" s="12" t="str">
        <x:v>55 inch</x:v>
      </x:c>
      <x:c r="G5433" s="20" t="n">
        <x:v>1</x:v>
      </x:c>
      <x:c r="H5433" s="12" t="str">
        <x:v>Campus/portfolio roster; individual building occupancy unverified</x:v>
      </x:c>
      <x:c r="I5433" s="12" t="str">
        <x:v>Mixed business audience</x:v>
      </x:c>
      <x:c r="J5433" s="12" t="str">
        <x:v>Unresolved</x:v>
      </x:c>
      <x:c r="K5433" s="2" t="str">
        <x:v>PARTNER-M289</x:v>
      </x:c>
    </x:row>
    <x:row r="5434" ht="46" customHeight="1">
      <x:c r="A5434" s="2" t="str">
        <x:v>TEN-223E0BE4600B</x:v>
      </x:c>
      <x:c r="B5434" s="12" t="str">
        <x:v>Blaze Automation</x:v>
      </x:c>
      <x:c r="C5434" s="12" t="str">
        <x:v>CORP-0708</x:v>
      </x:c>
      <x:c r="D5434" s="12" t="str">
        <x:v>Hyderabad</x:v>
      </x:c>
      <x:c r="E5434" s="12" t="str">
        <x:v>Cyber Gateway</x:v>
      </x:c>
      <x:c r="F5434" s="12" t="str">
        <x:v>55 inch</x:v>
      </x:c>
      <x:c r="G5434" s="20" t="n">
        <x:v>1</x:v>
      </x:c>
      <x:c r="H5434" s="12" t="str">
        <x:v>Campus/portfolio roster; individual building occupancy unverified</x:v>
      </x:c>
      <x:c r="I5434" s="12" t="str">
        <x:v>Medium-scale prospects</x:v>
      </x:c>
      <x:c r="J5434" s="12" t="str">
        <x:v>Engineering &amp; manufacturing</x:v>
      </x:c>
      <x:c r="K5434" s="2" t="str">
        <x:v>PARTNER-M289</x:v>
      </x:c>
    </x:row>
    <x:row r="5435" ht="46" customHeight="1">
      <x:c r="A5435" s="2" t="str">
        <x:v>TEN-2B02951507EE</x:v>
      </x:c>
      <x:c r="B5435" s="12" t="str">
        <x:v>ExcelR</x:v>
      </x:c>
      <x:c r="C5435" s="12" t="str">
        <x:v>CORP-0708</x:v>
      </x:c>
      <x:c r="D5435" s="12" t="str">
        <x:v>Hyderabad</x:v>
      </x:c>
      <x:c r="E5435" s="12" t="str">
        <x:v>Cyber Gateway</x:v>
      </x:c>
      <x:c r="F5435" s="12" t="str">
        <x:v>55 inch</x:v>
      </x:c>
      <x:c r="G5435" s="20" t="n">
        <x:v>1</x:v>
      </x:c>
      <x:c r="H5435" s="12" t="str">
        <x:v>Campus/portfolio roster; individual building occupancy unverified</x:v>
      </x:c>
      <x:c r="I5435" s="12" t="str">
        <x:v>Small-scale prospects</x:v>
      </x:c>
      <x:c r="J5435" s="12" t="str">
        <x:v>Education</x:v>
      </x:c>
      <x:c r="K5435" s="2" t="str">
        <x:v>PARTNER-M289</x:v>
      </x:c>
    </x:row>
    <x:row r="5436" ht="46" customHeight="1">
      <x:c r="A5436" s="2" t="str">
        <x:v>TEN-49A09B6192AC</x:v>
      </x:c>
      <x:c r="B5436" s="12" t="str">
        <x:v>Sonix Human Capital Solutions Pvt. Ltd</x:v>
      </x:c>
      <x:c r="C5436" s="12" t="str">
        <x:v>CORP-0708</x:v>
      </x:c>
      <x:c r="D5436" s="12" t="str">
        <x:v>Hyderabad</x:v>
      </x:c>
      <x:c r="E5436" s="12" t="str">
        <x:v>Cyber Gateway</x:v>
      </x:c>
      <x:c r="F5436" s="12" t="str">
        <x:v>55 inch</x:v>
      </x:c>
      <x:c r="G5436" s="20" t="n">
        <x:v>1</x:v>
      </x:c>
      <x:c r="H5436" s="12" t="str">
        <x:v>Campus/portfolio roster; individual building occupancy unverified</x:v>
      </x:c>
      <x:c r="I5436" s="12" t="str">
        <x:v>Small-scale prospects</x:v>
      </x:c>
      <x:c r="J5436" s="12" t="str">
        <x:v>Professional services</x:v>
      </x:c>
      <x:c r="K5436" s="2" t="str">
        <x:v>PARTNER-M289</x:v>
      </x:c>
    </x:row>
    <x:row r="5437" ht="46" customHeight="1">
      <x:c r="A5437" s="2" t="str">
        <x:v>TEN-4AE3A2A36DB1</x:v>
      </x:c>
      <x:c r="B5437" s="12" t="str">
        <x:v>Fint Solutions</x:v>
      </x:c>
      <x:c r="C5437" s="12" t="str">
        <x:v>CORP-0708</x:v>
      </x:c>
      <x:c r="D5437" s="12" t="str">
        <x:v>Hyderabad</x:v>
      </x:c>
      <x:c r="E5437" s="12" t="str">
        <x:v>Cyber Gateway</x:v>
      </x:c>
      <x:c r="F5437" s="12" t="str">
        <x:v>55 inch</x:v>
      </x:c>
      <x:c r="G5437" s="20" t="n">
        <x:v>1</x:v>
      </x:c>
      <x:c r="H5437" s="12" t="str">
        <x:v>Campus/portfolio roster; individual building occupancy unverified</x:v>
      </x:c>
      <x:c r="I5437" s="12" t="str">
        <x:v>Small-scale prospects</x:v>
      </x:c>
      <x:c r="J5437" s="12" t="str">
        <x:v>IT &amp; digital</x:v>
      </x:c>
      <x:c r="K5437" s="2" t="str">
        <x:v>PARTNER-M289</x:v>
      </x:c>
    </x:row>
    <x:row r="5438" ht="46" customHeight="1">
      <x:c r="A5438" s="2" t="str">
        <x:v>TEN-62FC778E4D9D</x:v>
      </x:c>
      <x:c r="B5438" s="12" t="str">
        <x:v>Signant Health Private Limited</x:v>
      </x:c>
      <x:c r="C5438" s="12" t="str">
        <x:v>CORP-0708</x:v>
      </x:c>
      <x:c r="D5438" s="12" t="str">
        <x:v>Hyderabad</x:v>
      </x:c>
      <x:c r="E5438" s="12" t="str">
        <x:v>Cyber Gateway</x:v>
      </x:c>
      <x:c r="F5438" s="12" t="str">
        <x:v>55 inch</x:v>
      </x:c>
      <x:c r="G5438" s="20" t="n">
        <x:v>1</x:v>
      </x:c>
      <x:c r="H5438" s="12" t="str">
        <x:v>Campus/portfolio roster; individual building occupancy unverified</x:v>
      </x:c>
      <x:c r="I5438" s="12" t="str">
        <x:v>Mixed business audience</x:v>
      </x:c>
      <x:c r="J5438" s="12" t="str">
        <x:v>Healthcare &amp; life sciences</x:v>
      </x:c>
      <x:c r="K5438" s="2" t="str">
        <x:v>PARTNER-M289</x:v>
      </x:c>
    </x:row>
    <x:row r="5439" ht="46" customHeight="1">
      <x:c r="A5439" s="2" t="str">
        <x:v>TEN-64ACC2041078</x:v>
      </x:c>
      <x:c r="B5439" s="12" t="str">
        <x:v>Andhra Bank</x:v>
      </x:c>
      <x:c r="C5439" s="12" t="str">
        <x:v>CORP-0708</x:v>
      </x:c>
      <x:c r="D5439" s="12" t="str">
        <x:v>Hyderabad</x:v>
      </x:c>
      <x:c r="E5439" s="12" t="str">
        <x:v>Cyber Gateway</x:v>
      </x:c>
      <x:c r="F5439" s="12" t="str">
        <x:v>55 inch</x:v>
      </x:c>
      <x:c r="G5439" s="20" t="n">
        <x:v>1</x:v>
      </x:c>
      <x:c r="H5439" s="12" t="str">
        <x:v>Campus/portfolio roster; individual building occupancy unverified</x:v>
      </x:c>
      <x:c r="I5439" s="12" t="str">
        <x:v>Mixed business audience</x:v>
      </x:c>
      <x:c r="J5439" s="12" t="str">
        <x:v>Finance &amp; insurance</x:v>
      </x:c>
      <x:c r="K5439" s="2" t="str">
        <x:v>PARTNER-M289</x:v>
      </x:c>
    </x:row>
    <x:row r="5440" ht="46" customHeight="1">
      <x:c r="A5440" s="2" t="str">
        <x:v>TEN-6D88C170876C</x:v>
      </x:c>
      <x:c r="B5440" s="12" t="str">
        <x:v>Tvarana Software Solution Pvt Ltd</x:v>
      </x:c>
      <x:c r="C5440" s="12" t="str">
        <x:v>CORP-0708</x:v>
      </x:c>
      <x:c r="D5440" s="12" t="str">
        <x:v>Hyderabad</x:v>
      </x:c>
      <x:c r="E5440" s="12" t="str">
        <x:v>Cyber Gateway</x:v>
      </x:c>
      <x:c r="F5440" s="12" t="str">
        <x:v>55 inch</x:v>
      </x:c>
      <x:c r="G5440" s="20" t="n">
        <x:v>1</x:v>
      </x:c>
      <x:c r="H5440" s="12" t="str">
        <x:v>Campus/portfolio roster; individual building occupancy unverified</x:v>
      </x:c>
      <x:c r="I5440" s="12" t="str">
        <x:v>Small-scale prospects</x:v>
      </x:c>
      <x:c r="J5440" s="12" t="str">
        <x:v>IT &amp; digital</x:v>
      </x:c>
      <x:c r="K5440" s="2" t="str">
        <x:v>PARTNER-M289</x:v>
      </x:c>
    </x:row>
    <x:row r="5441" ht="46" customHeight="1">
      <x:c r="A5441" s="2" t="str">
        <x:v>TEN-7539F6E6B0E4</x:v>
      </x:c>
      <x:c r="B5441" s="12" t="str">
        <x:v>Nexiilabs</x:v>
      </x:c>
      <x:c r="C5441" s="12" t="str">
        <x:v>CORP-0708</x:v>
      </x:c>
      <x:c r="D5441" s="12" t="str">
        <x:v>Hyderabad</x:v>
      </x:c>
      <x:c r="E5441" s="12" t="str">
        <x:v>Cyber Gateway</x:v>
      </x:c>
      <x:c r="F5441" s="12" t="str">
        <x:v>55 inch</x:v>
      </x:c>
      <x:c r="G5441" s="20" t="n">
        <x:v>1</x:v>
      </x:c>
      <x:c r="H5441" s="12" t="str">
        <x:v>Campus/portfolio roster; individual building occupancy unverified</x:v>
      </x:c>
      <x:c r="I5441" s="12" t="str">
        <x:v>Mixed business audience</x:v>
      </x:c>
      <x:c r="J5441" s="12" t="str">
        <x:v>Unresolved</x:v>
      </x:c>
      <x:c r="K5441" s="2" t="str">
        <x:v>PARTNER-M289</x:v>
      </x:c>
    </x:row>
    <x:row r="5442" ht="46" customHeight="1">
      <x:c r="A5442" s="2" t="str">
        <x:v>TEN-8D66D837E37C</x:v>
      </x:c>
      <x:c r="B5442" s="12" t="str">
        <x:v>Praveen Properties</x:v>
      </x:c>
      <x:c r="C5442" s="12" t="str">
        <x:v>CORP-0708</x:v>
      </x:c>
      <x:c r="D5442" s="12" t="str">
        <x:v>Hyderabad</x:v>
      </x:c>
      <x:c r="E5442" s="12" t="str">
        <x:v>Cyber Gateway</x:v>
      </x:c>
      <x:c r="F5442" s="12" t="str">
        <x:v>55 inch</x:v>
      </x:c>
      <x:c r="G5442" s="20" t="n">
        <x:v>1</x:v>
      </x:c>
      <x:c r="H5442" s="12" t="str">
        <x:v>Campus/portfolio roster; individual building occupancy unverified</x:v>
      </x:c>
      <x:c r="I5442" s="12" t="str">
        <x:v>Small-scale prospects</x:v>
      </x:c>
      <x:c r="J5442" s="12" t="str">
        <x:v>Trade, consumer &amp; logistics</x:v>
      </x:c>
      <x:c r="K5442" s="2" t="str">
        <x:v>PARTNER-M289</x:v>
      </x:c>
    </x:row>
    <x:row r="5443" ht="46" customHeight="1">
      <x:c r="A5443" s="2" t="str">
        <x:v>TEN-AAA30F61EE87</x:v>
      </x:c>
      <x:c r="B5443" s="12" t="str">
        <x:v>Infosys Technologies</x:v>
      </x:c>
      <x:c r="C5443" s="12" t="str">
        <x:v>CORP-0708</x:v>
      </x:c>
      <x:c r="D5443" s="12" t="str">
        <x:v>Hyderabad</x:v>
      </x:c>
      <x:c r="E5443" s="12" t="str">
        <x:v>Cyber Gateway</x:v>
      </x:c>
      <x:c r="F5443" s="12" t="str">
        <x:v>55 inch</x:v>
      </x:c>
      <x:c r="G5443" s="20" t="n">
        <x:v>1</x:v>
      </x:c>
      <x:c r="H5443" s="12" t="str">
        <x:v>Campus/portfolio roster; individual building occupancy unverified</x:v>
      </x:c>
      <x:c r="I5443" s="12" t="str">
        <x:v>Large enterprise</x:v>
      </x:c>
      <x:c r="J5443" s="12" t="str">
        <x:v>IT &amp; digital</x:v>
      </x:c>
      <x:c r="K5443" s="2" t="str">
        <x:v>PARTNER-M289</x:v>
      </x:c>
    </x:row>
    <x:row r="5444" ht="46" customHeight="1">
      <x:c r="A5444" s="2" t="str">
        <x:v>TEN-AF9253804CA3</x:v>
      </x:c>
      <x:c r="B5444" s="12" t="str">
        <x:v>Thomas Cook</x:v>
      </x:c>
      <x:c r="C5444" s="12" t="str">
        <x:v>CORP-0708</x:v>
      </x:c>
      <x:c r="D5444" s="12" t="str">
        <x:v>Hyderabad</x:v>
      </x:c>
      <x:c r="E5444" s="12" t="str">
        <x:v>Cyber Gateway</x:v>
      </x:c>
      <x:c r="F5444" s="12" t="str">
        <x:v>55 inch</x:v>
      </x:c>
      <x:c r="G5444" s="20" t="n">
        <x:v>1</x:v>
      </x:c>
      <x:c r="H5444" s="12" t="str">
        <x:v>Campus/portfolio roster; individual building occupancy unverified</x:v>
      </x:c>
      <x:c r="I5444" s="12" t="str">
        <x:v>Mixed business audience</x:v>
      </x:c>
      <x:c r="J5444" s="12" t="str">
        <x:v>Trade, consumer &amp; logistics</x:v>
      </x:c>
      <x:c r="K5444" s="2" t="str">
        <x:v>PARTNER-M289</x:v>
      </x:c>
    </x:row>
    <x:row r="5445" ht="46" customHeight="1">
      <x:c r="A5445" s="2" t="str">
        <x:v>TEN-B2C5EC45BFF3</x:v>
      </x:c>
      <x:c r="B5445" s="12" t="str">
        <x:v>eBizNET Solutions</x:v>
      </x:c>
      <x:c r="C5445" s="12" t="str">
        <x:v>CORP-0708</x:v>
      </x:c>
      <x:c r="D5445" s="12" t="str">
        <x:v>Hyderabad</x:v>
      </x:c>
      <x:c r="E5445" s="12" t="str">
        <x:v>Cyber Gateway</x:v>
      </x:c>
      <x:c r="F5445" s="12" t="str">
        <x:v>55 inch</x:v>
      </x:c>
      <x:c r="G5445" s="20" t="n">
        <x:v>1</x:v>
      </x:c>
      <x:c r="H5445" s="12" t="str">
        <x:v>Campus/portfolio roster; individual building occupancy unverified</x:v>
      </x:c>
      <x:c r="I5445" s="12" t="str">
        <x:v>Small-scale prospects</x:v>
      </x:c>
      <x:c r="J5445" s="12" t="str">
        <x:v>IT &amp; digital</x:v>
      </x:c>
      <x:c r="K5445" s="2" t="str">
        <x:v>PARTNER-M289</x:v>
      </x:c>
    </x:row>
    <x:row r="5446" ht="46" customHeight="1">
      <x:c r="A5446" s="2" t="str">
        <x:v>TEN-B51153A92AF3</x:v>
      </x:c>
      <x:c r="B5446" s="12" t="str">
        <x:v>Vaco Binary Semantics</x:v>
      </x:c>
      <x:c r="C5446" s="12" t="str">
        <x:v>CORP-0708</x:v>
      </x:c>
      <x:c r="D5446" s="12" t="str">
        <x:v>Hyderabad</x:v>
      </x:c>
      <x:c r="E5446" s="12" t="str">
        <x:v>Cyber Gateway</x:v>
      </x:c>
      <x:c r="F5446" s="12" t="str">
        <x:v>55 inch</x:v>
      </x:c>
      <x:c r="G5446" s="20" t="n">
        <x:v>1</x:v>
      </x:c>
      <x:c r="H5446" s="12" t="str">
        <x:v>Campus/portfolio roster; individual building occupancy unverified</x:v>
      </x:c>
      <x:c r="I5446" s="12" t="str">
        <x:v>Mixed business audience</x:v>
      </x:c>
      <x:c r="J5446" s="12" t="str">
        <x:v>IT &amp; digital</x:v>
      </x:c>
      <x:c r="K5446" s="2" t="str">
        <x:v>PARTNER-M289</x:v>
      </x:c>
    </x:row>
    <x:row r="5447" ht="46" customHeight="1">
      <x:c r="A5447" s="2" t="str">
        <x:v>TEN-C1185EEF281B</x:v>
      </x:c>
      <x:c r="B5447" s="12" t="str">
        <x:v>EverestDX India Pvt Ltd</x:v>
      </x:c>
      <x:c r="C5447" s="12" t="str">
        <x:v>CORP-0708</x:v>
      </x:c>
      <x:c r="D5447" s="12" t="str">
        <x:v>Hyderabad</x:v>
      </x:c>
      <x:c r="E5447" s="12" t="str">
        <x:v>Cyber Gateway</x:v>
      </x:c>
      <x:c r="F5447" s="12" t="str">
        <x:v>55 inch</x:v>
      </x:c>
      <x:c r="G5447" s="20" t="n">
        <x:v>1</x:v>
      </x:c>
      <x:c r="H5447" s="12" t="str">
        <x:v>Campus/portfolio roster; individual building occupancy unverified</x:v>
      </x:c>
      <x:c r="I5447" s="12" t="str">
        <x:v>Small-scale prospects</x:v>
      </x:c>
      <x:c r="J5447" s="12" t="str">
        <x:v>IT &amp; digital</x:v>
      </x:c>
      <x:c r="K5447" s="2" t="str">
        <x:v>PARTNER-M289</x:v>
      </x:c>
    </x:row>
    <x:row r="5448" ht="46" customHeight="1">
      <x:c r="A5448" s="2" t="str">
        <x:v>TEN-C40D987A6D54</x:v>
      </x:c>
      <x:c r="B5448" s="12" t="str">
        <x:v>Advansoft</x:v>
      </x:c>
      <x:c r="C5448" s="12" t="str">
        <x:v>CORP-0708</x:v>
      </x:c>
      <x:c r="D5448" s="12" t="str">
        <x:v>Hyderabad</x:v>
      </x:c>
      <x:c r="E5448" s="12" t="str">
        <x:v>Cyber Gateway</x:v>
      </x:c>
      <x:c r="F5448" s="12" t="str">
        <x:v>55 inch</x:v>
      </x:c>
      <x:c r="G5448" s="20" t="n">
        <x:v>1</x:v>
      </x:c>
      <x:c r="H5448" s="12" t="str">
        <x:v>Campus/portfolio roster; individual building occupancy unverified</x:v>
      </x:c>
      <x:c r="I5448" s="12" t="str">
        <x:v>Small-scale prospects</x:v>
      </x:c>
      <x:c r="J5448" s="12" t="str">
        <x:v>IT &amp; digital</x:v>
      </x:c>
      <x:c r="K5448" s="2" t="str">
        <x:v>PARTNER-M289</x:v>
      </x:c>
    </x:row>
    <x:row r="5449" ht="46" customHeight="1">
      <x:c r="A5449" s="2" t="str">
        <x:v>TEN-CDB24A62FB69</x:v>
      </x:c>
      <x:c r="B5449" s="12" t="str">
        <x:v>Dhruvsoft Services Private Limited</x:v>
      </x:c>
      <x:c r="C5449" s="12" t="str">
        <x:v>CORP-0708</x:v>
      </x:c>
      <x:c r="D5449" s="12" t="str">
        <x:v>Hyderabad</x:v>
      </x:c>
      <x:c r="E5449" s="12" t="str">
        <x:v>Cyber Gateway</x:v>
      </x:c>
      <x:c r="F5449" s="12" t="str">
        <x:v>55 inch</x:v>
      </x:c>
      <x:c r="G5449" s="20" t="n">
        <x:v>1</x:v>
      </x:c>
      <x:c r="H5449" s="12" t="str">
        <x:v>Campus/portfolio roster; individual building occupancy unverified</x:v>
      </x:c>
      <x:c r="I5449" s="12" t="str">
        <x:v>Small-scale prospects</x:v>
      </x:c>
      <x:c r="J5449" s="12" t="str">
        <x:v>IT &amp; digital</x:v>
      </x:c>
      <x:c r="K5449" s="2" t="str">
        <x:v>PARTNER-M289</x:v>
      </x:c>
    </x:row>
    <x:row r="5450" ht="46" customHeight="1">
      <x:c r="A5450" s="2" t="str">
        <x:v>TEN-E6B1BC8AE59D</x:v>
      </x:c>
      <x:c r="B5450" s="12" t="str">
        <x:v>MaaS ERP Solutions Pvt. Ltd</x:v>
      </x:c>
      <x:c r="C5450" s="12" t="str">
        <x:v>CORP-0708</x:v>
      </x:c>
      <x:c r="D5450" s="12" t="str">
        <x:v>Hyderabad</x:v>
      </x:c>
      <x:c r="E5450" s="12" t="str">
        <x:v>Cyber Gateway</x:v>
      </x:c>
      <x:c r="F5450" s="12" t="str">
        <x:v>55 inch</x:v>
      </x:c>
      <x:c r="G5450" s="20" t="n">
        <x:v>1</x:v>
      </x:c>
      <x:c r="H5450" s="12" t="str">
        <x:v>Campus/portfolio roster; individual building occupancy unverified</x:v>
      </x:c>
      <x:c r="I5450" s="12" t="str">
        <x:v>Small-scale prospects</x:v>
      </x:c>
      <x:c r="J5450" s="12" t="str">
        <x:v>IT &amp; digital</x:v>
      </x:c>
      <x:c r="K5450" s="2" t="str">
        <x:v>PARTNER-M289</x:v>
      </x:c>
    </x:row>
    <x:row r="5451" ht="46" customHeight="1">
      <x:c r="A5451" s="2" t="str">
        <x:v>TEN-EFE115AB0E96</x:v>
      </x:c>
      <x:c r="B5451" s="12" t="str">
        <x:v>Bhrigus Software India Pvt Ltd</x:v>
      </x:c>
      <x:c r="C5451" s="12" t="str">
        <x:v>CORP-0708</x:v>
      </x:c>
      <x:c r="D5451" s="12" t="str">
        <x:v>Hyderabad</x:v>
      </x:c>
      <x:c r="E5451" s="12" t="str">
        <x:v>Cyber Gateway</x:v>
      </x:c>
      <x:c r="F5451" s="12" t="str">
        <x:v>55 inch</x:v>
      </x:c>
      <x:c r="G5451" s="20" t="n">
        <x:v>1</x:v>
      </x:c>
      <x:c r="H5451" s="12" t="str">
        <x:v>Campus/portfolio roster; individual building occupancy unverified</x:v>
      </x:c>
      <x:c r="I5451" s="12" t="str">
        <x:v>Small-scale prospects</x:v>
      </x:c>
      <x:c r="J5451" s="12" t="str">
        <x:v>IT &amp; digital</x:v>
      </x:c>
      <x:c r="K5451" s="2" t="str">
        <x:v>PARTNER-M289</x:v>
      </x:c>
    </x:row>
    <x:row r="5452" ht="46" customHeight="1">
      <x:c r="A5452" s="2" t="str">
        <x:v>TEN-F95B60BD0C88</x:v>
      </x:c>
      <x:c r="B5452" s="12" t="str">
        <x:v>InstaVC</x:v>
      </x:c>
      <x:c r="C5452" s="12" t="str">
        <x:v>CORP-0708</x:v>
      </x:c>
      <x:c r="D5452" s="12" t="str">
        <x:v>Hyderabad</x:v>
      </x:c>
      <x:c r="E5452" s="12" t="str">
        <x:v>Cyber Gateway</x:v>
      </x:c>
      <x:c r="F5452" s="12" t="str">
        <x:v>55 inch</x:v>
      </x:c>
      <x:c r="G5452" s="20" t="n">
        <x:v>1</x:v>
      </x:c>
      <x:c r="H5452" s="12" t="str">
        <x:v>Campus/portfolio roster; individual building occupancy unverified</x:v>
      </x:c>
      <x:c r="I5452" s="12" t="str">
        <x:v>Small-scale prospects</x:v>
      </x:c>
      <x:c r="J5452" s="12" t="str">
        <x:v>IT &amp; digital</x:v>
      </x:c>
      <x:c r="K5452" s="2" t="str">
        <x:v>PARTNER-M289</x:v>
      </x:c>
    </x:row>
    <x:row r="5453" ht="46" customHeight="1">
      <x:c r="A5453" s="2" t="str">
        <x:v>TEN-01088BCB5FE4</x:v>
      </x:c>
      <x:c r="B5453" s="12" t="str">
        <x:v>Plural Technology Pvt Ltd</x:v>
      </x:c>
      <x:c r="C5453" s="12" t="str">
        <x:v>CORP-0709</x:v>
      </x:c>
      <x:c r="D5453" s="12" t="str">
        <x:v>Hyderabad</x:v>
      </x:c>
      <x:c r="E5453" s="12" t="str">
        <x:v>Cyber Gateway</x:v>
      </x:c>
      <x:c r="F5453" s="12" t="str">
        <x:v>55 inch</x:v>
      </x:c>
      <x:c r="G5453" s="20" t="n">
        <x:v>1</x:v>
      </x:c>
      <x:c r="H5453" s="12" t="str">
        <x:v>Campus/portfolio roster; individual building occupancy unverified</x:v>
      </x:c>
      <x:c r="I5453" s="12" t="str">
        <x:v>Small-scale prospects</x:v>
      </x:c>
      <x:c r="J5453" s="12" t="str">
        <x:v>IT &amp; digital</x:v>
      </x:c>
      <x:c r="K5453" s="2" t="str">
        <x:v>PARTNER-M289</x:v>
      </x:c>
    </x:row>
    <x:row r="5454" ht="46" customHeight="1">
      <x:c r="A5454" s="2" t="str">
        <x:v>TEN-147B40FF1F46</x:v>
      </x:c>
      <x:c r="B5454" s="12" t="str">
        <x:v>First Tek Services Pvt Ltd</x:v>
      </x:c>
      <x:c r="C5454" s="12" t="str">
        <x:v>CORP-0709</x:v>
      </x:c>
      <x:c r="D5454" s="12" t="str">
        <x:v>Hyderabad</x:v>
      </x:c>
      <x:c r="E5454" s="12" t="str">
        <x:v>Cyber Gateway</x:v>
      </x:c>
      <x:c r="F5454" s="12" t="str">
        <x:v>55 inch</x:v>
      </x:c>
      <x:c r="G5454" s="20" t="n">
        <x:v>1</x:v>
      </x:c>
      <x:c r="H5454" s="12" t="str">
        <x:v>Campus/portfolio roster; individual building occupancy unverified</x:v>
      </x:c>
      <x:c r="I5454" s="12" t="str">
        <x:v>Small-scale prospects</x:v>
      </x:c>
      <x:c r="J5454" s="12" t="str">
        <x:v>IT &amp; digital</x:v>
      </x:c>
      <x:c r="K5454" s="2" t="str">
        <x:v>PARTNER-M289</x:v>
      </x:c>
    </x:row>
    <x:row r="5455" ht="46" customHeight="1">
      <x:c r="A5455" s="2" t="str">
        <x:v>TEN-1C04181154C3</x:v>
      </x:c>
      <x:c r="B5455" s="12" t="str">
        <x:v>Rutakshi Technologies Private Limited</x:v>
      </x:c>
      <x:c r="C5455" s="12" t="str">
        <x:v>CORP-0709</x:v>
      </x:c>
      <x:c r="D5455" s="12" t="str">
        <x:v>Hyderabad</x:v>
      </x:c>
      <x:c r="E5455" s="12" t="str">
        <x:v>Cyber Gateway</x:v>
      </x:c>
      <x:c r="F5455" s="12" t="str">
        <x:v>55 inch</x:v>
      </x:c>
      <x:c r="G5455" s="20" t="n">
        <x:v>1</x:v>
      </x:c>
      <x:c r="H5455" s="12" t="str">
        <x:v>Campus/portfolio roster; individual building occupancy unverified</x:v>
      </x:c>
      <x:c r="I5455" s="12" t="str">
        <x:v>Mixed business audience</x:v>
      </x:c>
      <x:c r="J5455" s="12" t="str">
        <x:v>Unresolved</x:v>
      </x:c>
      <x:c r="K5455" s="2" t="str">
        <x:v>PARTNER-M289</x:v>
      </x:c>
    </x:row>
    <x:row r="5456" ht="46" customHeight="1">
      <x:c r="A5456" s="2" t="str">
        <x:v>TEN-223E0BE4600B</x:v>
      </x:c>
      <x:c r="B5456" s="12" t="str">
        <x:v>Blaze Automation</x:v>
      </x:c>
      <x:c r="C5456" s="12" t="str">
        <x:v>CORP-0709</x:v>
      </x:c>
      <x:c r="D5456" s="12" t="str">
        <x:v>Hyderabad</x:v>
      </x:c>
      <x:c r="E5456" s="12" t="str">
        <x:v>Cyber Gateway</x:v>
      </x:c>
      <x:c r="F5456" s="12" t="str">
        <x:v>55 inch</x:v>
      </x:c>
      <x:c r="G5456" s="20" t="n">
        <x:v>1</x:v>
      </x:c>
      <x:c r="H5456" s="12" t="str">
        <x:v>Campus/portfolio roster; individual building occupancy unverified</x:v>
      </x:c>
      <x:c r="I5456" s="12" t="str">
        <x:v>Medium-scale prospects</x:v>
      </x:c>
      <x:c r="J5456" s="12" t="str">
        <x:v>Engineering &amp; manufacturing</x:v>
      </x:c>
      <x:c r="K5456" s="2" t="str">
        <x:v>PARTNER-M289</x:v>
      </x:c>
    </x:row>
    <x:row r="5457" ht="46" customHeight="1">
      <x:c r="A5457" s="2" t="str">
        <x:v>TEN-2B02951507EE</x:v>
      </x:c>
      <x:c r="B5457" s="12" t="str">
        <x:v>ExcelR</x:v>
      </x:c>
      <x:c r="C5457" s="12" t="str">
        <x:v>CORP-0709</x:v>
      </x:c>
      <x:c r="D5457" s="12" t="str">
        <x:v>Hyderabad</x:v>
      </x:c>
      <x:c r="E5457" s="12" t="str">
        <x:v>Cyber Gateway</x:v>
      </x:c>
      <x:c r="F5457" s="12" t="str">
        <x:v>55 inch</x:v>
      </x:c>
      <x:c r="G5457" s="20" t="n">
        <x:v>1</x:v>
      </x:c>
      <x:c r="H5457" s="12" t="str">
        <x:v>Campus/portfolio roster; individual building occupancy unverified</x:v>
      </x:c>
      <x:c r="I5457" s="12" t="str">
        <x:v>Small-scale prospects</x:v>
      </x:c>
      <x:c r="J5457" s="12" t="str">
        <x:v>Education</x:v>
      </x:c>
      <x:c r="K5457" s="2" t="str">
        <x:v>PARTNER-M289</x:v>
      </x:c>
    </x:row>
    <x:row r="5458" ht="46" customHeight="1">
      <x:c r="A5458" s="2" t="str">
        <x:v>TEN-49A09B6192AC</x:v>
      </x:c>
      <x:c r="B5458" s="12" t="str">
        <x:v>Sonix Human Capital Solutions Pvt. Ltd</x:v>
      </x:c>
      <x:c r="C5458" s="12" t="str">
        <x:v>CORP-0709</x:v>
      </x:c>
      <x:c r="D5458" s="12" t="str">
        <x:v>Hyderabad</x:v>
      </x:c>
      <x:c r="E5458" s="12" t="str">
        <x:v>Cyber Gateway</x:v>
      </x:c>
      <x:c r="F5458" s="12" t="str">
        <x:v>55 inch</x:v>
      </x:c>
      <x:c r="G5458" s="20" t="n">
        <x:v>1</x:v>
      </x:c>
      <x:c r="H5458" s="12" t="str">
        <x:v>Campus/portfolio roster; individual building occupancy unverified</x:v>
      </x:c>
      <x:c r="I5458" s="12" t="str">
        <x:v>Small-scale prospects</x:v>
      </x:c>
      <x:c r="J5458" s="12" t="str">
        <x:v>Professional services</x:v>
      </x:c>
      <x:c r="K5458" s="2" t="str">
        <x:v>PARTNER-M289</x:v>
      </x:c>
    </x:row>
    <x:row r="5459" ht="46" customHeight="1">
      <x:c r="A5459" s="2" t="str">
        <x:v>TEN-4AE3A2A36DB1</x:v>
      </x:c>
      <x:c r="B5459" s="12" t="str">
        <x:v>Fint Solutions</x:v>
      </x:c>
      <x:c r="C5459" s="12" t="str">
        <x:v>CORP-0709</x:v>
      </x:c>
      <x:c r="D5459" s="12" t="str">
        <x:v>Hyderabad</x:v>
      </x:c>
      <x:c r="E5459" s="12" t="str">
        <x:v>Cyber Gateway</x:v>
      </x:c>
      <x:c r="F5459" s="12" t="str">
        <x:v>55 inch</x:v>
      </x:c>
      <x:c r="G5459" s="20" t="n">
        <x:v>1</x:v>
      </x:c>
      <x:c r="H5459" s="12" t="str">
        <x:v>Campus/portfolio roster; individual building occupancy unverified</x:v>
      </x:c>
      <x:c r="I5459" s="12" t="str">
        <x:v>Small-scale prospects</x:v>
      </x:c>
      <x:c r="J5459" s="12" t="str">
        <x:v>IT &amp; digital</x:v>
      </x:c>
      <x:c r="K5459" s="2" t="str">
        <x:v>PARTNER-M289</x:v>
      </x:c>
    </x:row>
    <x:row r="5460" ht="46" customHeight="1">
      <x:c r="A5460" s="2" t="str">
        <x:v>TEN-62FC778E4D9D</x:v>
      </x:c>
      <x:c r="B5460" s="12" t="str">
        <x:v>Signant Health Private Limited</x:v>
      </x:c>
      <x:c r="C5460" s="12" t="str">
        <x:v>CORP-0709</x:v>
      </x:c>
      <x:c r="D5460" s="12" t="str">
        <x:v>Hyderabad</x:v>
      </x:c>
      <x:c r="E5460" s="12" t="str">
        <x:v>Cyber Gateway</x:v>
      </x:c>
      <x:c r="F5460" s="12" t="str">
        <x:v>55 inch</x:v>
      </x:c>
      <x:c r="G5460" s="20" t="n">
        <x:v>1</x:v>
      </x:c>
      <x:c r="H5460" s="12" t="str">
        <x:v>Campus/portfolio roster; individual building occupancy unverified</x:v>
      </x:c>
      <x:c r="I5460" s="12" t="str">
        <x:v>Mixed business audience</x:v>
      </x:c>
      <x:c r="J5460" s="12" t="str">
        <x:v>Healthcare &amp; life sciences</x:v>
      </x:c>
      <x:c r="K5460" s="2" t="str">
        <x:v>PARTNER-M289</x:v>
      </x:c>
    </x:row>
    <x:row r="5461" ht="46" customHeight="1">
      <x:c r="A5461" s="2" t="str">
        <x:v>TEN-64ACC2041078</x:v>
      </x:c>
      <x:c r="B5461" s="12" t="str">
        <x:v>Andhra Bank</x:v>
      </x:c>
      <x:c r="C5461" s="12" t="str">
        <x:v>CORP-0709</x:v>
      </x:c>
      <x:c r="D5461" s="12" t="str">
        <x:v>Hyderabad</x:v>
      </x:c>
      <x:c r="E5461" s="12" t="str">
        <x:v>Cyber Gateway</x:v>
      </x:c>
      <x:c r="F5461" s="12" t="str">
        <x:v>55 inch</x:v>
      </x:c>
      <x:c r="G5461" s="20" t="n">
        <x:v>1</x:v>
      </x:c>
      <x:c r="H5461" s="12" t="str">
        <x:v>Campus/portfolio roster; individual building occupancy unverified</x:v>
      </x:c>
      <x:c r="I5461" s="12" t="str">
        <x:v>Mixed business audience</x:v>
      </x:c>
      <x:c r="J5461" s="12" t="str">
        <x:v>Finance &amp; insurance</x:v>
      </x:c>
      <x:c r="K5461" s="2" t="str">
        <x:v>PARTNER-M289</x:v>
      </x:c>
    </x:row>
    <x:row r="5462" ht="46" customHeight="1">
      <x:c r="A5462" s="2" t="str">
        <x:v>TEN-6D88C170876C</x:v>
      </x:c>
      <x:c r="B5462" s="12" t="str">
        <x:v>Tvarana Software Solution Pvt Ltd</x:v>
      </x:c>
      <x:c r="C5462" s="12" t="str">
        <x:v>CORP-0709</x:v>
      </x:c>
      <x:c r="D5462" s="12" t="str">
        <x:v>Hyderabad</x:v>
      </x:c>
      <x:c r="E5462" s="12" t="str">
        <x:v>Cyber Gateway</x:v>
      </x:c>
      <x:c r="F5462" s="12" t="str">
        <x:v>55 inch</x:v>
      </x:c>
      <x:c r="G5462" s="20" t="n">
        <x:v>1</x:v>
      </x:c>
      <x:c r="H5462" s="12" t="str">
        <x:v>Campus/portfolio roster; individual building occupancy unverified</x:v>
      </x:c>
      <x:c r="I5462" s="12" t="str">
        <x:v>Small-scale prospects</x:v>
      </x:c>
      <x:c r="J5462" s="12" t="str">
        <x:v>IT &amp; digital</x:v>
      </x:c>
      <x:c r="K5462" s="2" t="str">
        <x:v>PARTNER-M289</x:v>
      </x:c>
    </x:row>
    <x:row r="5463" ht="46" customHeight="1">
      <x:c r="A5463" s="2" t="str">
        <x:v>TEN-7539F6E6B0E4</x:v>
      </x:c>
      <x:c r="B5463" s="12" t="str">
        <x:v>Nexiilabs</x:v>
      </x:c>
      <x:c r="C5463" s="12" t="str">
        <x:v>CORP-0709</x:v>
      </x:c>
      <x:c r="D5463" s="12" t="str">
        <x:v>Hyderabad</x:v>
      </x:c>
      <x:c r="E5463" s="12" t="str">
        <x:v>Cyber Gateway</x:v>
      </x:c>
      <x:c r="F5463" s="12" t="str">
        <x:v>55 inch</x:v>
      </x:c>
      <x:c r="G5463" s="20" t="n">
        <x:v>1</x:v>
      </x:c>
      <x:c r="H5463" s="12" t="str">
        <x:v>Campus/portfolio roster; individual building occupancy unverified</x:v>
      </x:c>
      <x:c r="I5463" s="12" t="str">
        <x:v>Mixed business audience</x:v>
      </x:c>
      <x:c r="J5463" s="12" t="str">
        <x:v>Unresolved</x:v>
      </x:c>
      <x:c r="K5463" s="2" t="str">
        <x:v>PARTNER-M289</x:v>
      </x:c>
    </x:row>
    <x:row r="5464" ht="46" customHeight="1">
      <x:c r="A5464" s="2" t="str">
        <x:v>TEN-8D66D837E37C</x:v>
      </x:c>
      <x:c r="B5464" s="12" t="str">
        <x:v>Praveen Properties</x:v>
      </x:c>
      <x:c r="C5464" s="12" t="str">
        <x:v>CORP-0709</x:v>
      </x:c>
      <x:c r="D5464" s="12" t="str">
        <x:v>Hyderabad</x:v>
      </x:c>
      <x:c r="E5464" s="12" t="str">
        <x:v>Cyber Gateway</x:v>
      </x:c>
      <x:c r="F5464" s="12" t="str">
        <x:v>55 inch</x:v>
      </x:c>
      <x:c r="G5464" s="20" t="n">
        <x:v>1</x:v>
      </x:c>
      <x:c r="H5464" s="12" t="str">
        <x:v>Campus/portfolio roster; individual building occupancy unverified</x:v>
      </x:c>
      <x:c r="I5464" s="12" t="str">
        <x:v>Small-scale prospects</x:v>
      </x:c>
      <x:c r="J5464" s="12" t="str">
        <x:v>Trade, consumer &amp; logistics</x:v>
      </x:c>
      <x:c r="K5464" s="2" t="str">
        <x:v>PARTNER-M289</x:v>
      </x:c>
    </x:row>
    <x:row r="5465" ht="46" customHeight="1">
      <x:c r="A5465" s="2" t="str">
        <x:v>TEN-AAA30F61EE87</x:v>
      </x:c>
      <x:c r="B5465" s="12" t="str">
        <x:v>Infosys Technologies</x:v>
      </x:c>
      <x:c r="C5465" s="12" t="str">
        <x:v>CORP-0709</x:v>
      </x:c>
      <x:c r="D5465" s="12" t="str">
        <x:v>Hyderabad</x:v>
      </x:c>
      <x:c r="E5465" s="12" t="str">
        <x:v>Cyber Gateway</x:v>
      </x:c>
      <x:c r="F5465" s="12" t="str">
        <x:v>55 inch</x:v>
      </x:c>
      <x:c r="G5465" s="20" t="n">
        <x:v>1</x:v>
      </x:c>
      <x:c r="H5465" s="12" t="str">
        <x:v>Campus/portfolio roster; individual building occupancy unverified</x:v>
      </x:c>
      <x:c r="I5465" s="12" t="str">
        <x:v>Large enterprise</x:v>
      </x:c>
      <x:c r="J5465" s="12" t="str">
        <x:v>IT &amp; digital</x:v>
      </x:c>
      <x:c r="K5465" s="2" t="str">
        <x:v>PARTNER-M289</x:v>
      </x:c>
    </x:row>
    <x:row r="5466" ht="46" customHeight="1">
      <x:c r="A5466" s="2" t="str">
        <x:v>TEN-AF9253804CA3</x:v>
      </x:c>
      <x:c r="B5466" s="12" t="str">
        <x:v>Thomas Cook</x:v>
      </x:c>
      <x:c r="C5466" s="12" t="str">
        <x:v>CORP-0709</x:v>
      </x:c>
      <x:c r="D5466" s="12" t="str">
        <x:v>Hyderabad</x:v>
      </x:c>
      <x:c r="E5466" s="12" t="str">
        <x:v>Cyber Gateway</x:v>
      </x:c>
      <x:c r="F5466" s="12" t="str">
        <x:v>55 inch</x:v>
      </x:c>
      <x:c r="G5466" s="20" t="n">
        <x:v>1</x:v>
      </x:c>
      <x:c r="H5466" s="12" t="str">
        <x:v>Campus/portfolio roster; individual building occupancy unverified</x:v>
      </x:c>
      <x:c r="I5466" s="12" t="str">
        <x:v>Mixed business audience</x:v>
      </x:c>
      <x:c r="J5466" s="12" t="str">
        <x:v>Trade, consumer &amp; logistics</x:v>
      </x:c>
      <x:c r="K5466" s="2" t="str">
        <x:v>PARTNER-M289</x:v>
      </x:c>
    </x:row>
    <x:row r="5467" ht="46" customHeight="1">
      <x:c r="A5467" s="2" t="str">
        <x:v>TEN-B2C5EC45BFF3</x:v>
      </x:c>
      <x:c r="B5467" s="12" t="str">
        <x:v>eBizNET Solutions</x:v>
      </x:c>
      <x:c r="C5467" s="12" t="str">
        <x:v>CORP-0709</x:v>
      </x:c>
      <x:c r="D5467" s="12" t="str">
        <x:v>Hyderabad</x:v>
      </x:c>
      <x:c r="E5467" s="12" t="str">
        <x:v>Cyber Gateway</x:v>
      </x:c>
      <x:c r="F5467" s="12" t="str">
        <x:v>55 inch</x:v>
      </x:c>
      <x:c r="G5467" s="20" t="n">
        <x:v>1</x:v>
      </x:c>
      <x:c r="H5467" s="12" t="str">
        <x:v>Campus/portfolio roster; individual building occupancy unverified</x:v>
      </x:c>
      <x:c r="I5467" s="12" t="str">
        <x:v>Small-scale prospects</x:v>
      </x:c>
      <x:c r="J5467" s="12" t="str">
        <x:v>IT &amp; digital</x:v>
      </x:c>
      <x:c r="K5467" s="2" t="str">
        <x:v>PARTNER-M289</x:v>
      </x:c>
    </x:row>
    <x:row r="5468" ht="46" customHeight="1">
      <x:c r="A5468" s="2" t="str">
        <x:v>TEN-B51153A92AF3</x:v>
      </x:c>
      <x:c r="B5468" s="12" t="str">
        <x:v>Vaco Binary Semantics</x:v>
      </x:c>
      <x:c r="C5468" s="12" t="str">
        <x:v>CORP-0709</x:v>
      </x:c>
      <x:c r="D5468" s="12" t="str">
        <x:v>Hyderabad</x:v>
      </x:c>
      <x:c r="E5468" s="12" t="str">
        <x:v>Cyber Gateway</x:v>
      </x:c>
      <x:c r="F5468" s="12" t="str">
        <x:v>55 inch</x:v>
      </x:c>
      <x:c r="G5468" s="20" t="n">
        <x:v>1</x:v>
      </x:c>
      <x:c r="H5468" s="12" t="str">
        <x:v>Campus/portfolio roster; individual building occupancy unverified</x:v>
      </x:c>
      <x:c r="I5468" s="12" t="str">
        <x:v>Mixed business audience</x:v>
      </x:c>
      <x:c r="J5468" s="12" t="str">
        <x:v>IT &amp; digital</x:v>
      </x:c>
      <x:c r="K5468" s="2" t="str">
        <x:v>PARTNER-M289</x:v>
      </x:c>
    </x:row>
    <x:row r="5469" ht="46" customHeight="1">
      <x:c r="A5469" s="2" t="str">
        <x:v>TEN-C1185EEF281B</x:v>
      </x:c>
      <x:c r="B5469" s="12" t="str">
        <x:v>EverestDX India Pvt Ltd</x:v>
      </x:c>
      <x:c r="C5469" s="12" t="str">
        <x:v>CORP-0709</x:v>
      </x:c>
      <x:c r="D5469" s="12" t="str">
        <x:v>Hyderabad</x:v>
      </x:c>
      <x:c r="E5469" s="12" t="str">
        <x:v>Cyber Gateway</x:v>
      </x:c>
      <x:c r="F5469" s="12" t="str">
        <x:v>55 inch</x:v>
      </x:c>
      <x:c r="G5469" s="20" t="n">
        <x:v>1</x:v>
      </x:c>
      <x:c r="H5469" s="12" t="str">
        <x:v>Campus/portfolio roster; individual building occupancy unverified</x:v>
      </x:c>
      <x:c r="I5469" s="12" t="str">
        <x:v>Small-scale prospects</x:v>
      </x:c>
      <x:c r="J5469" s="12" t="str">
        <x:v>IT &amp; digital</x:v>
      </x:c>
      <x:c r="K5469" s="2" t="str">
        <x:v>PARTNER-M289</x:v>
      </x:c>
    </x:row>
    <x:row r="5470" ht="46" customHeight="1">
      <x:c r="A5470" s="2" t="str">
        <x:v>TEN-C40D987A6D54</x:v>
      </x:c>
      <x:c r="B5470" s="12" t="str">
        <x:v>Advansoft</x:v>
      </x:c>
      <x:c r="C5470" s="12" t="str">
        <x:v>CORP-0709</x:v>
      </x:c>
      <x:c r="D5470" s="12" t="str">
        <x:v>Hyderabad</x:v>
      </x:c>
      <x:c r="E5470" s="12" t="str">
        <x:v>Cyber Gateway</x:v>
      </x:c>
      <x:c r="F5470" s="12" t="str">
        <x:v>55 inch</x:v>
      </x:c>
      <x:c r="G5470" s="20" t="n">
        <x:v>1</x:v>
      </x:c>
      <x:c r="H5470" s="12" t="str">
        <x:v>Campus/portfolio roster; individual building occupancy unverified</x:v>
      </x:c>
      <x:c r="I5470" s="12" t="str">
        <x:v>Small-scale prospects</x:v>
      </x:c>
      <x:c r="J5470" s="12" t="str">
        <x:v>IT &amp; digital</x:v>
      </x:c>
      <x:c r="K5470" s="2" t="str">
        <x:v>PARTNER-M289</x:v>
      </x:c>
    </x:row>
    <x:row r="5471" ht="46" customHeight="1">
      <x:c r="A5471" s="2" t="str">
        <x:v>TEN-CDB24A62FB69</x:v>
      </x:c>
      <x:c r="B5471" s="12" t="str">
        <x:v>Dhruvsoft Services Private Limited</x:v>
      </x:c>
      <x:c r="C5471" s="12" t="str">
        <x:v>CORP-0709</x:v>
      </x:c>
      <x:c r="D5471" s="12" t="str">
        <x:v>Hyderabad</x:v>
      </x:c>
      <x:c r="E5471" s="12" t="str">
        <x:v>Cyber Gateway</x:v>
      </x:c>
      <x:c r="F5471" s="12" t="str">
        <x:v>55 inch</x:v>
      </x:c>
      <x:c r="G5471" s="20" t="n">
        <x:v>1</x:v>
      </x:c>
      <x:c r="H5471" s="12" t="str">
        <x:v>Campus/portfolio roster; individual building occupancy unverified</x:v>
      </x:c>
      <x:c r="I5471" s="12" t="str">
        <x:v>Small-scale prospects</x:v>
      </x:c>
      <x:c r="J5471" s="12" t="str">
        <x:v>IT &amp; digital</x:v>
      </x:c>
      <x:c r="K5471" s="2" t="str">
        <x:v>PARTNER-M289</x:v>
      </x:c>
    </x:row>
    <x:row r="5472" ht="46" customHeight="1">
      <x:c r="A5472" s="2" t="str">
        <x:v>TEN-E6B1BC8AE59D</x:v>
      </x:c>
      <x:c r="B5472" s="12" t="str">
        <x:v>MaaS ERP Solutions Pvt. Ltd</x:v>
      </x:c>
      <x:c r="C5472" s="12" t="str">
        <x:v>CORP-0709</x:v>
      </x:c>
      <x:c r="D5472" s="12" t="str">
        <x:v>Hyderabad</x:v>
      </x:c>
      <x:c r="E5472" s="12" t="str">
        <x:v>Cyber Gateway</x:v>
      </x:c>
      <x:c r="F5472" s="12" t="str">
        <x:v>55 inch</x:v>
      </x:c>
      <x:c r="G5472" s="20" t="n">
        <x:v>1</x:v>
      </x:c>
      <x:c r="H5472" s="12" t="str">
        <x:v>Campus/portfolio roster; individual building occupancy unverified</x:v>
      </x:c>
      <x:c r="I5472" s="12" t="str">
        <x:v>Small-scale prospects</x:v>
      </x:c>
      <x:c r="J5472" s="12" t="str">
        <x:v>IT &amp; digital</x:v>
      </x:c>
      <x:c r="K5472" s="2" t="str">
        <x:v>PARTNER-M289</x:v>
      </x:c>
    </x:row>
    <x:row r="5473" ht="46" customHeight="1">
      <x:c r="A5473" s="2" t="str">
        <x:v>TEN-EFE115AB0E96</x:v>
      </x:c>
      <x:c r="B5473" s="12" t="str">
        <x:v>Bhrigus Software India Pvt Ltd</x:v>
      </x:c>
      <x:c r="C5473" s="12" t="str">
        <x:v>CORP-0709</x:v>
      </x:c>
      <x:c r="D5473" s="12" t="str">
        <x:v>Hyderabad</x:v>
      </x:c>
      <x:c r="E5473" s="12" t="str">
        <x:v>Cyber Gateway</x:v>
      </x:c>
      <x:c r="F5473" s="12" t="str">
        <x:v>55 inch</x:v>
      </x:c>
      <x:c r="G5473" s="20" t="n">
        <x:v>1</x:v>
      </x:c>
      <x:c r="H5473" s="12" t="str">
        <x:v>Campus/portfolio roster; individual building occupancy unverified</x:v>
      </x:c>
      <x:c r="I5473" s="12" t="str">
        <x:v>Small-scale prospects</x:v>
      </x:c>
      <x:c r="J5473" s="12" t="str">
        <x:v>IT &amp; digital</x:v>
      </x:c>
      <x:c r="K5473" s="2" t="str">
        <x:v>PARTNER-M289</x:v>
      </x:c>
    </x:row>
    <x:row r="5474" ht="46" customHeight="1">
      <x:c r="A5474" s="2" t="str">
        <x:v>TEN-F95B60BD0C88</x:v>
      </x:c>
      <x:c r="B5474" s="12" t="str">
        <x:v>InstaVC</x:v>
      </x:c>
      <x:c r="C5474" s="12" t="str">
        <x:v>CORP-0709</x:v>
      </x:c>
      <x:c r="D5474" s="12" t="str">
        <x:v>Hyderabad</x:v>
      </x:c>
      <x:c r="E5474" s="12" t="str">
        <x:v>Cyber Gateway</x:v>
      </x:c>
      <x:c r="F5474" s="12" t="str">
        <x:v>55 inch</x:v>
      </x:c>
      <x:c r="G5474" s="20" t="n">
        <x:v>1</x:v>
      </x:c>
      <x:c r="H5474" s="12" t="str">
        <x:v>Campus/portfolio roster; individual building occupancy unverified</x:v>
      </x:c>
      <x:c r="I5474" s="12" t="str">
        <x:v>Small-scale prospects</x:v>
      </x:c>
      <x:c r="J5474" s="12" t="str">
        <x:v>IT &amp; digital</x:v>
      </x:c>
      <x:c r="K5474" s="2" t="str">
        <x:v>PARTNER-M289</x:v>
      </x:c>
    </x:row>
    <x:row r="5475" ht="46" customHeight="1">
      <x:c r="A5475" s="2" t="str">
        <x:v>TEN-0E6A5F7C73CC</x:v>
      </x:c>
      <x:c r="B5475" s="12" t="str">
        <x:v>Righyitfy Solutions</x:v>
      </x:c>
      <x:c r="C5475" s="12" t="str">
        <x:v>CORP-0710</x:v>
      </x:c>
      <x:c r="D5475" s="12" t="str">
        <x:v>Hyderabad</x:v>
      </x:c>
      <x:c r="E5475" s="12" t="str">
        <x:v>Cyber Tower</x:v>
      </x:c>
      <x:c r="F5475" s="12" t="str">
        <x:v>55 inch</x:v>
      </x:c>
      <x:c r="G5475" s="20" t="n">
        <x:v>1</x:v>
      </x:c>
      <x:c r="H5475" s="12" t="str">
        <x:v>Campus/portfolio roster; individual building occupancy unverified</x:v>
      </x:c>
      <x:c r="I5475" s="12" t="str">
        <x:v>Mixed business audience</x:v>
      </x:c>
      <x:c r="J5475" s="12" t="str">
        <x:v>Unresolved</x:v>
      </x:c>
      <x:c r="K5475" s="2" t="str">
        <x:v>PARTNER-M295</x:v>
      </x:c>
    </x:row>
    <x:row r="5476" ht="46" customHeight="1">
      <x:c r="A5476" s="2" t="str">
        <x:v>TEN-0EDD698BAD2E</x:v>
      </x:c>
      <x:c r="B5476" s="12" t="str">
        <x:v>Sierra-Cedar India Pvt. Limited</x:v>
      </x:c>
      <x:c r="C5476" s="12" t="str">
        <x:v>CORP-0710</x:v>
      </x:c>
      <x:c r="D5476" s="12" t="str">
        <x:v>Hyderabad</x:v>
      </x:c>
      <x:c r="E5476" s="12" t="str">
        <x:v>Cyber Tower</x:v>
      </x:c>
      <x:c r="F5476" s="12" t="str">
        <x:v>55 inch</x:v>
      </x:c>
      <x:c r="G5476" s="20" t="n">
        <x:v>1</x:v>
      </x:c>
      <x:c r="H5476" s="12" t="str">
        <x:v>Campus/portfolio roster; individual building occupancy unverified</x:v>
      </x:c>
      <x:c r="I5476" s="12" t="str">
        <x:v>Mixed business audience</x:v>
      </x:c>
      <x:c r="J5476" s="12" t="str">
        <x:v>IT &amp; digital</x:v>
      </x:c>
      <x:c r="K5476" s="2" t="str">
        <x:v>PARTNER-M295</x:v>
      </x:c>
    </x:row>
    <x:row r="5477" ht="46" customHeight="1">
      <x:c r="A5477" s="2" t="str">
        <x:v>TEN-172416680C0F</x:v>
      </x:c>
      <x:c r="B5477" s="12" t="str">
        <x:v>Amps And Watts</x:v>
      </x:c>
      <x:c r="C5477" s="12" t="str">
        <x:v>CORP-0710</x:v>
      </x:c>
      <x:c r="D5477" s="12" t="str">
        <x:v>Hyderabad</x:v>
      </x:c>
      <x:c r="E5477" s="12" t="str">
        <x:v>Cyber Tower</x:v>
      </x:c>
      <x:c r="F5477" s="12" t="str">
        <x:v>55 inch</x:v>
      </x:c>
      <x:c r="G5477" s="20" t="n">
        <x:v>1</x:v>
      </x:c>
      <x:c r="H5477" s="12" t="str">
        <x:v>Campus/portfolio roster; individual building occupancy unverified</x:v>
      </x:c>
      <x:c r="I5477" s="12" t="str">
        <x:v>Medium-scale prospects</x:v>
      </x:c>
      <x:c r="J5477" s="12" t="str">
        <x:v>Engineering &amp; manufacturing</x:v>
      </x:c>
      <x:c r="K5477" s="2" t="str">
        <x:v>PARTNER-M295</x:v>
      </x:c>
    </x:row>
    <x:row r="5478" ht="46" customHeight="1">
      <x:c r="A5478" s="2" t="str">
        <x:v>TEN-2043A419E121</x:v>
      </x:c>
      <x:c r="B5478" s="12" t="str">
        <x:v>Visual IT Solutions Pvt Ltd</x:v>
      </x:c>
      <x:c r="C5478" s="12" t="str">
        <x:v>CORP-0710</x:v>
      </x:c>
      <x:c r="D5478" s="12" t="str">
        <x:v>Hyderabad</x:v>
      </x:c>
      <x:c r="E5478" s="12" t="str">
        <x:v>Cyber Tower</x:v>
      </x:c>
      <x:c r="F5478" s="12" t="str">
        <x:v>55 inch</x:v>
      </x:c>
      <x:c r="G5478" s="20" t="n">
        <x:v>1</x:v>
      </x:c>
      <x:c r="H5478" s="12" t="str">
        <x:v>Campus/portfolio roster; individual building occupancy unverified</x:v>
      </x:c>
      <x:c r="I5478" s="12" t="str">
        <x:v>Small-scale prospects</x:v>
      </x:c>
      <x:c r="J5478" s="12" t="str">
        <x:v>IT &amp; digital</x:v>
      </x:c>
      <x:c r="K5478" s="2" t="str">
        <x:v>PARTNER-M295</x:v>
      </x:c>
    </x:row>
    <x:row r="5479" ht="46" customHeight="1">
      <x:c r="A5479" s="2" t="str">
        <x:v>TEN-30099B000C5C</x:v>
      </x:c>
      <x:c r="B5479" s="12" t="str">
        <x:v>Technosoft Global Solutions</x:v>
      </x:c>
      <x:c r="C5479" s="12" t="str">
        <x:v>CORP-0710</x:v>
      </x:c>
      <x:c r="D5479" s="12" t="str">
        <x:v>Hyderabad</x:v>
      </x:c>
      <x:c r="E5479" s="12" t="str">
        <x:v>Cyber Tower</x:v>
      </x:c>
      <x:c r="F5479" s="12" t="str">
        <x:v>55 inch</x:v>
      </x:c>
      <x:c r="G5479" s="20" t="n">
        <x:v>1</x:v>
      </x:c>
      <x:c r="H5479" s="12" t="str">
        <x:v>Campus/portfolio roster; individual building occupancy unverified</x:v>
      </x:c>
      <x:c r="I5479" s="12" t="str">
        <x:v>Small-scale prospects</x:v>
      </x:c>
      <x:c r="J5479" s="12" t="str">
        <x:v>IT &amp; digital</x:v>
      </x:c>
      <x:c r="K5479" s="2" t="str">
        <x:v>PARTNER-M295</x:v>
      </x:c>
    </x:row>
    <x:row r="5480" ht="46" customHeight="1">
      <x:c r="A5480" s="2" t="str">
        <x:v>TEN-30F6A61A31C7</x:v>
      </x:c>
      <x:c r="B5480" s="12" t="str">
        <x:v>Teksystems Global Services</x:v>
      </x:c>
      <x:c r="C5480" s="12" t="str">
        <x:v>CORP-0710</x:v>
      </x:c>
      <x:c r="D5480" s="12" t="str">
        <x:v>Hyderabad</x:v>
      </x:c>
      <x:c r="E5480" s="12" t="str">
        <x:v>Cyber Tower</x:v>
      </x:c>
      <x:c r="F5480" s="12" t="str">
        <x:v>55 inch</x:v>
      </x:c>
      <x:c r="G5480" s="20" t="n">
        <x:v>1</x:v>
      </x:c>
      <x:c r="H5480" s="12" t="str">
        <x:v>Campus/portfolio roster; individual building occupancy unverified</x:v>
      </x:c>
      <x:c r="I5480" s="12" t="str">
        <x:v>Mixed business audience</x:v>
      </x:c>
      <x:c r="J5480" s="12" t="str">
        <x:v>Professional services</x:v>
      </x:c>
      <x:c r="K5480" s="2" t="str">
        <x:v>PARTNER-M295</x:v>
      </x:c>
    </x:row>
    <x:row r="5481" ht="46" customHeight="1">
      <x:c r="A5481" s="2" t="str">
        <x:v>TEN-6CAB9DFC425C</x:v>
      </x:c>
      <x:c r="B5481" s="12" t="str">
        <x:v>Softility</x:v>
      </x:c>
      <x:c r="C5481" s="12" t="str">
        <x:v>CORP-0710</x:v>
      </x:c>
      <x:c r="D5481" s="12" t="str">
        <x:v>Hyderabad</x:v>
      </x:c>
      <x:c r="E5481" s="12" t="str">
        <x:v>Cyber Tower</x:v>
      </x:c>
      <x:c r="F5481" s="12" t="str">
        <x:v>55 inch</x:v>
      </x:c>
      <x:c r="G5481" s="20" t="n">
        <x:v>1</x:v>
      </x:c>
      <x:c r="H5481" s="12" t="str">
        <x:v>Campus/portfolio roster; individual building occupancy unverified</x:v>
      </x:c>
      <x:c r="I5481" s="12" t="str">
        <x:v>Small-scale prospects</x:v>
      </x:c>
      <x:c r="J5481" s="12" t="str">
        <x:v>IT &amp; digital</x:v>
      </x:c>
      <x:c r="K5481" s="2" t="str">
        <x:v>PARTNER-M295</x:v>
      </x:c>
    </x:row>
    <x:row r="5482" ht="46" customHeight="1">
      <x:c r="A5482" s="2" t="str">
        <x:v>TEN-6CBA95EE1BC0</x:v>
      </x:c>
      <x:c r="B5482" s="12" t="str">
        <x:v>iSpace Software Solutions India Pvt Ltd</x:v>
      </x:c>
      <x:c r="C5482" s="12" t="str">
        <x:v>CORP-0710</x:v>
      </x:c>
      <x:c r="D5482" s="12" t="str">
        <x:v>Hyderabad</x:v>
      </x:c>
      <x:c r="E5482" s="12" t="str">
        <x:v>Cyber Tower</x:v>
      </x:c>
      <x:c r="F5482" s="12" t="str">
        <x:v>55 inch</x:v>
      </x:c>
      <x:c r="G5482" s="20" t="n">
        <x:v>1</x:v>
      </x:c>
      <x:c r="H5482" s="12" t="str">
        <x:v>Campus/portfolio roster; individual building occupancy unverified</x:v>
      </x:c>
      <x:c r="I5482" s="12" t="str">
        <x:v>Small-scale prospects</x:v>
      </x:c>
      <x:c r="J5482" s="12" t="str">
        <x:v>IT &amp; digital</x:v>
      </x:c>
      <x:c r="K5482" s="2" t="str">
        <x:v>PARTNER-M295</x:v>
      </x:c>
    </x:row>
    <x:row r="5483" ht="46" customHeight="1">
      <x:c r="A5483" s="2" t="str">
        <x:v>TEN-6FBA7BE7F62E</x:v>
      </x:c>
      <x:c r="B5483" s="12" t="str">
        <x:v>iSource Global Solutions</x:v>
      </x:c>
      <x:c r="C5483" s="12" t="str">
        <x:v>CORP-0710</x:v>
      </x:c>
      <x:c r="D5483" s="12" t="str">
        <x:v>Hyderabad</x:v>
      </x:c>
      <x:c r="E5483" s="12" t="str">
        <x:v>Cyber Tower</x:v>
      </x:c>
      <x:c r="F5483" s="12" t="str">
        <x:v>55 inch</x:v>
      </x:c>
      <x:c r="G5483" s="20" t="n">
        <x:v>1</x:v>
      </x:c>
      <x:c r="H5483" s="12" t="str">
        <x:v>Campus/portfolio roster; individual building occupancy unverified</x:v>
      </x:c>
      <x:c r="I5483" s="12" t="str">
        <x:v>Mixed business audience</x:v>
      </x:c>
      <x:c r="J5483" s="12" t="str">
        <x:v>Unresolved</x:v>
      </x:c>
      <x:c r="K5483" s="2" t="str">
        <x:v>PARTNER-M295</x:v>
      </x:c>
    </x:row>
    <x:row r="5484" ht="46" customHeight="1">
      <x:c r="A5484" s="2" t="str">
        <x:v>TEN-738CF5E0F324</x:v>
      </x:c>
      <x:c r="B5484" s="12" t="str">
        <x:v>Jotter.ai</x:v>
      </x:c>
      <x:c r="C5484" s="12" t="str">
        <x:v>CORP-0710</x:v>
      </x:c>
      <x:c r="D5484" s="12" t="str">
        <x:v>Hyderabad</x:v>
      </x:c>
      <x:c r="E5484" s="12" t="str">
        <x:v>Cyber Tower</x:v>
      </x:c>
      <x:c r="F5484" s="12" t="str">
        <x:v>55 inch</x:v>
      </x:c>
      <x:c r="G5484" s="20" t="n">
        <x:v>1</x:v>
      </x:c>
      <x:c r="H5484" s="12" t="str">
        <x:v>Campus/portfolio roster; individual building occupancy unverified</x:v>
      </x:c>
      <x:c r="I5484" s="12" t="str">
        <x:v>Small-scale prospects</x:v>
      </x:c>
      <x:c r="J5484" s="12" t="str">
        <x:v>IT &amp; digital</x:v>
      </x:c>
      <x:c r="K5484" s="2" t="str">
        <x:v>PARTNER-M295</x:v>
      </x:c>
    </x:row>
    <x:row r="5485" ht="46" customHeight="1">
      <x:c r="A5485" s="2" t="str">
        <x:v>TEN-89C7DF9519C3</x:v>
      </x:c>
      <x:c r="B5485" s="12" t="str">
        <x:v>Nsight India</x:v>
      </x:c>
      <x:c r="C5485" s="12" t="str">
        <x:v>CORP-0710</x:v>
      </x:c>
      <x:c r="D5485" s="12" t="str">
        <x:v>Hyderabad</x:v>
      </x:c>
      <x:c r="E5485" s="12" t="str">
        <x:v>Cyber Tower</x:v>
      </x:c>
      <x:c r="F5485" s="12" t="str">
        <x:v>55 inch</x:v>
      </x:c>
      <x:c r="G5485" s="20" t="n">
        <x:v>1</x:v>
      </x:c>
      <x:c r="H5485" s="12" t="str">
        <x:v>Campus/portfolio roster; individual building occupancy unverified</x:v>
      </x:c>
      <x:c r="I5485" s="12" t="str">
        <x:v>Small-scale prospects</x:v>
      </x:c>
      <x:c r="J5485" s="12" t="str">
        <x:v>IT &amp; digital</x:v>
      </x:c>
      <x:c r="K5485" s="2" t="str">
        <x:v>PARTNER-M295</x:v>
      </x:c>
    </x:row>
    <x:row r="5486" ht="46" customHeight="1">
      <x:c r="A5486" s="2" t="str">
        <x:v>TEN-8A5EDFCA45E4</x:v>
      </x:c>
      <x:c r="B5486" s="12" t="str">
        <x:v>Pochampalli IT Labs</x:v>
      </x:c>
      <x:c r="C5486" s="12" t="str">
        <x:v>CORP-0710</x:v>
      </x:c>
      <x:c r="D5486" s="12" t="str">
        <x:v>Hyderabad</x:v>
      </x:c>
      <x:c r="E5486" s="12" t="str">
        <x:v>Cyber Tower</x:v>
      </x:c>
      <x:c r="F5486" s="12" t="str">
        <x:v>55 inch</x:v>
      </x:c>
      <x:c r="G5486" s="20" t="n">
        <x:v>1</x:v>
      </x:c>
      <x:c r="H5486" s="12" t="str">
        <x:v>Campus/portfolio roster; individual building occupancy unverified</x:v>
      </x:c>
      <x:c r="I5486" s="12" t="str">
        <x:v>Small-scale prospects</x:v>
      </x:c>
      <x:c r="J5486" s="12" t="str">
        <x:v>IT &amp; digital</x:v>
      </x:c>
      <x:c r="K5486" s="2" t="str">
        <x:v>PARTNER-M295</x:v>
      </x:c>
    </x:row>
    <x:row r="5487" ht="46" customHeight="1">
      <x:c r="A5487" s="2" t="str">
        <x:v>TEN-8F9C783063DF</x:v>
      </x:c>
      <x:c r="B5487" s="12" t="str">
        <x:v>Carbynetech India Private</x:v>
      </x:c>
      <x:c r="C5487" s="12" t="str">
        <x:v>CORP-0710</x:v>
      </x:c>
      <x:c r="D5487" s="12" t="str">
        <x:v>Hyderabad</x:v>
      </x:c>
      <x:c r="E5487" s="12" t="str">
        <x:v>Cyber Tower</x:v>
      </x:c>
      <x:c r="F5487" s="12" t="str">
        <x:v>55 inch</x:v>
      </x:c>
      <x:c r="G5487" s="20" t="n">
        <x:v>1</x:v>
      </x:c>
      <x:c r="H5487" s="12" t="str">
        <x:v>Campus/portfolio roster; individual building occupancy unverified</x:v>
      </x:c>
      <x:c r="I5487" s="12" t="str">
        <x:v>Small-scale prospects</x:v>
      </x:c>
      <x:c r="J5487" s="12" t="str">
        <x:v>IT &amp; digital</x:v>
      </x:c>
      <x:c r="K5487" s="2" t="str">
        <x:v>PARTNER-M295</x:v>
      </x:c>
    </x:row>
    <x:row r="5488" ht="46" customHeight="1">
      <x:c r="A5488" s="2" t="str">
        <x:v>TEN-954E3B0AC1F9</x:v>
      </x:c>
      <x:c r="B5488" s="12" t="str">
        <x:v>Huddl Enterprise Communication Pvt Ltd</x:v>
      </x:c>
      <x:c r="C5488" s="12" t="str">
        <x:v>CORP-0710</x:v>
      </x:c>
      <x:c r="D5488" s="12" t="str">
        <x:v>Hyderabad</x:v>
      </x:c>
      <x:c r="E5488" s="12" t="str">
        <x:v>Cyber Tower</x:v>
      </x:c>
      <x:c r="F5488" s="12" t="str">
        <x:v>55 inch</x:v>
      </x:c>
      <x:c r="G5488" s="20" t="n">
        <x:v>1</x:v>
      </x:c>
      <x:c r="H5488" s="12" t="str">
        <x:v>Campus/portfolio roster; individual building occupancy unverified</x:v>
      </x:c>
      <x:c r="I5488" s="12" t="str">
        <x:v>Small-scale prospects</x:v>
      </x:c>
      <x:c r="J5488" s="12" t="str">
        <x:v>IT &amp; digital</x:v>
      </x:c>
      <x:c r="K5488" s="2" t="str">
        <x:v>PARTNER-M295</x:v>
      </x:c>
    </x:row>
    <x:row r="5489" ht="46" customHeight="1">
      <x:c r="A5489" s="2" t="str">
        <x:v>TEN-A509A9AAC287</x:v>
      </x:c>
      <x:c r="B5489" s="12" t="str">
        <x:v>Xoriant Solutions Pvt Ltd</x:v>
      </x:c>
      <x:c r="C5489" s="12" t="str">
        <x:v>CORP-0710</x:v>
      </x:c>
      <x:c r="D5489" s="12" t="str">
        <x:v>Hyderabad</x:v>
      </x:c>
      <x:c r="E5489" s="12" t="str">
        <x:v>Cyber Tower</x:v>
      </x:c>
      <x:c r="F5489" s="12" t="str">
        <x:v>55 inch</x:v>
      </x:c>
      <x:c r="G5489" s="20" t="n">
        <x:v>1</x:v>
      </x:c>
      <x:c r="H5489" s="12" t="str">
        <x:v>Campus/portfolio roster; individual building occupancy unverified</x:v>
      </x:c>
      <x:c r="I5489" s="12" t="str">
        <x:v>Large enterprise</x:v>
      </x:c>
      <x:c r="J5489" s="12" t="str">
        <x:v>IT &amp; digital</x:v>
      </x:c>
      <x:c r="K5489" s="2" t="str">
        <x:v>PARTNER-M295</x:v>
      </x:c>
    </x:row>
    <x:row r="5490" ht="46" customHeight="1">
      <x:c r="A5490" s="2" t="str">
        <x:v>TEN-B5C691D27CD7</x:v>
      </x:c>
      <x:c r="B5490" s="12" t="str">
        <x:v>Galaxe Solutions</x:v>
      </x:c>
      <x:c r="C5490" s="12" t="str">
        <x:v>CORP-0710</x:v>
      </x:c>
      <x:c r="D5490" s="12" t="str">
        <x:v>Hyderabad</x:v>
      </x:c>
      <x:c r="E5490" s="12" t="str">
        <x:v>Cyber Tower</x:v>
      </x:c>
      <x:c r="F5490" s="12" t="str">
        <x:v>55 inch</x:v>
      </x:c>
      <x:c r="G5490" s="20" t="n">
        <x:v>1</x:v>
      </x:c>
      <x:c r="H5490" s="12" t="str">
        <x:v>Campus/portfolio roster; individual building occupancy unverified</x:v>
      </x:c>
      <x:c r="I5490" s="12" t="str">
        <x:v>Mixed business audience</x:v>
      </x:c>
      <x:c r="J5490" s="12" t="str">
        <x:v>IT &amp; digital</x:v>
      </x:c>
      <x:c r="K5490" s="2" t="str">
        <x:v>PARTNER-M295</x:v>
      </x:c>
    </x:row>
    <x:row r="5491" ht="46" customHeight="1">
      <x:c r="A5491" s="2" t="str">
        <x:v>TEN-BC3CB45E4A8C</x:v>
      </x:c>
      <x:c r="B5491" s="12" t="str">
        <x:v>Numeric Technologies</x:v>
      </x:c>
      <x:c r="C5491" s="12" t="str">
        <x:v>CORP-0710</x:v>
      </x:c>
      <x:c r="D5491" s="12" t="str">
        <x:v>Hyderabad</x:v>
      </x:c>
      <x:c r="E5491" s="12" t="str">
        <x:v>Cyber Tower</x:v>
      </x:c>
      <x:c r="F5491" s="12" t="str">
        <x:v>55 inch</x:v>
      </x:c>
      <x:c r="G5491" s="20" t="n">
        <x:v>1</x:v>
      </x:c>
      <x:c r="H5491" s="12" t="str">
        <x:v>Campus/portfolio roster; individual building occupancy unverified</x:v>
      </x:c>
      <x:c r="I5491" s="12" t="str">
        <x:v>Small-scale prospects</x:v>
      </x:c>
      <x:c r="J5491" s="12" t="str">
        <x:v>IT &amp; digital</x:v>
      </x:c>
      <x:c r="K5491" s="2" t="str">
        <x:v>PARTNER-M295</x:v>
      </x:c>
    </x:row>
    <x:row r="5492" ht="46" customHeight="1">
      <x:c r="A5492" s="2" t="str">
        <x:v>TEN-C22CCD5B65F2</x:v>
      </x:c>
      <x:c r="B5492" s="12" t="str">
        <x:v>Pennant Technologies Private Limited</x:v>
      </x:c>
      <x:c r="C5492" s="12" t="str">
        <x:v>CORP-0710</x:v>
      </x:c>
      <x:c r="D5492" s="12" t="str">
        <x:v>Hyderabad</x:v>
      </x:c>
      <x:c r="E5492" s="12" t="str">
        <x:v>Cyber Tower</x:v>
      </x:c>
      <x:c r="F5492" s="12" t="str">
        <x:v>55 inch</x:v>
      </x:c>
      <x:c r="G5492" s="20" t="n">
        <x:v>1</x:v>
      </x:c>
      <x:c r="H5492" s="12" t="str">
        <x:v>Campus/portfolio roster; individual building occupancy unverified</x:v>
      </x:c>
      <x:c r="I5492" s="12" t="str">
        <x:v>Small-scale prospects</x:v>
      </x:c>
      <x:c r="J5492" s="12" t="str">
        <x:v>IT &amp; digital</x:v>
      </x:c>
      <x:c r="K5492" s="2" t="str">
        <x:v>PARTNER-M295</x:v>
      </x:c>
    </x:row>
    <x:row r="5493" ht="46" customHeight="1">
      <x:c r="A5493" s="2" t="str">
        <x:v>TEN-C23D7DDF638C</x:v>
      </x:c>
      <x:c r="B5493" s="12" t="str">
        <x:v>Abacus Staffing and Services Pvt Ltd</x:v>
      </x:c>
      <x:c r="C5493" s="12" t="str">
        <x:v>CORP-0710</x:v>
      </x:c>
      <x:c r="D5493" s="12" t="str">
        <x:v>Hyderabad</x:v>
      </x:c>
      <x:c r="E5493" s="12" t="str">
        <x:v>Cyber Tower</x:v>
      </x:c>
      <x:c r="F5493" s="12" t="str">
        <x:v>55 inch</x:v>
      </x:c>
      <x:c r="G5493" s="20" t="n">
        <x:v>1</x:v>
      </x:c>
      <x:c r="H5493" s="12" t="str">
        <x:v>Campus/portfolio roster; individual building occupancy unverified</x:v>
      </x:c>
      <x:c r="I5493" s="12" t="str">
        <x:v>Small-scale prospects</x:v>
      </x:c>
      <x:c r="J5493" s="12" t="str">
        <x:v>Professional services</x:v>
      </x:c>
      <x:c r="K5493" s="2" t="str">
        <x:v>PARTNER-M295</x:v>
      </x:c>
    </x:row>
    <x:row r="5494" ht="46" customHeight="1">
      <x:c r="A5494" s="2" t="str">
        <x:v>TEN-CF9779F42FF3</x:v>
      </x:c>
      <x:c r="B5494" s="12" t="str">
        <x:v>Lantronix India Pvt. Ltd</x:v>
      </x:c>
      <x:c r="C5494" s="12" t="str">
        <x:v>CORP-0710</x:v>
      </x:c>
      <x:c r="D5494" s="12" t="str">
        <x:v>Hyderabad</x:v>
      </x:c>
      <x:c r="E5494" s="12" t="str">
        <x:v>Cyber Tower</x:v>
      </x:c>
      <x:c r="F5494" s="12" t="str">
        <x:v>55 inch</x:v>
      </x:c>
      <x:c r="G5494" s="20" t="n">
        <x:v>1</x:v>
      </x:c>
      <x:c r="H5494" s="12" t="str">
        <x:v>Campus/portfolio roster; individual building occupancy unverified</x:v>
      </x:c>
      <x:c r="I5494" s="12" t="str">
        <x:v>Mixed business audience</x:v>
      </x:c>
      <x:c r="J5494" s="12" t="str">
        <x:v>IT &amp; digital</x:v>
      </x:c>
      <x:c r="K5494" s="2" t="str">
        <x:v>PARTNER-M295</x:v>
      </x:c>
    </x:row>
    <x:row r="5495" ht="46" customHeight="1">
      <x:c r="A5495" s="2" t="str">
        <x:v>TEN-D26EFCBBB5D9</x:v>
      </x:c>
      <x:c r="B5495" s="12" t="str">
        <x:v>Google CGW</x:v>
      </x:c>
      <x:c r="C5495" s="12" t="str">
        <x:v>CORP-0710</x:v>
      </x:c>
      <x:c r="D5495" s="12" t="str">
        <x:v>Hyderabad</x:v>
      </x:c>
      <x:c r="E5495" s="12" t="str">
        <x:v>Cyber Tower</x:v>
      </x:c>
      <x:c r="F5495" s="12" t="str">
        <x:v>55 inch</x:v>
      </x:c>
      <x:c r="G5495" s="20" t="n">
        <x:v>1</x:v>
      </x:c>
      <x:c r="H5495" s="12" t="str">
        <x:v>Campus/portfolio roster; individual building occupancy unverified</x:v>
      </x:c>
      <x:c r="I5495" s="12" t="str">
        <x:v>Large enterprise</x:v>
      </x:c>
      <x:c r="J5495" s="12" t="str">
        <x:v>IT &amp; digital</x:v>
      </x:c>
      <x:c r="K5495" s="2" t="str">
        <x:v>PARTNER-M295</x:v>
      </x:c>
    </x:row>
    <x:row r="5496" ht="46" customHeight="1">
      <x:c r="A5496" s="2" t="str">
        <x:v>TEN-D6CB554DC303</x:v>
      </x:c>
      <x:c r="B5496" s="12" t="str">
        <x:v>Ultimate Bonding Stainless</x:v>
      </x:c>
      <x:c r="C5496" s="12" t="str">
        <x:v>CORP-0710</x:v>
      </x:c>
      <x:c r="D5496" s="12" t="str">
        <x:v>Hyderabad</x:v>
      </x:c>
      <x:c r="E5496" s="12" t="str">
        <x:v>Cyber Tower</x:v>
      </x:c>
      <x:c r="F5496" s="12" t="str">
        <x:v>55 inch</x:v>
      </x:c>
      <x:c r="G5496" s="20" t="n">
        <x:v>1</x:v>
      </x:c>
      <x:c r="H5496" s="12" t="str">
        <x:v>Campus/portfolio roster; individual building occupancy unverified</x:v>
      </x:c>
      <x:c r="I5496" s="12" t="str">
        <x:v>Medium-scale prospects</x:v>
      </x:c>
      <x:c r="J5496" s="12" t="str">
        <x:v>Engineering &amp; manufacturing</x:v>
      </x:c>
      <x:c r="K5496" s="2" t="str">
        <x:v>PARTNER-M295</x:v>
      </x:c>
    </x:row>
    <x:row r="5497" ht="46" customHeight="1">
      <x:c r="A5497" s="2" t="str">
        <x:v>TEN-D8AA87D79F26</x:v>
      </x:c>
      <x:c r="B5497" s="12" t="str">
        <x:v>ComTec IT Services</x:v>
      </x:c>
      <x:c r="C5497" s="12" t="str">
        <x:v>CORP-0710</x:v>
      </x:c>
      <x:c r="D5497" s="12" t="str">
        <x:v>Hyderabad</x:v>
      </x:c>
      <x:c r="E5497" s="12" t="str">
        <x:v>Cyber Tower</x:v>
      </x:c>
      <x:c r="F5497" s="12" t="str">
        <x:v>55 inch</x:v>
      </x:c>
      <x:c r="G5497" s="20" t="n">
        <x:v>1</x:v>
      </x:c>
      <x:c r="H5497" s="12" t="str">
        <x:v>Campus/portfolio roster; individual building occupancy unverified</x:v>
      </x:c>
      <x:c r="I5497" s="12" t="str">
        <x:v>Small-scale prospects</x:v>
      </x:c>
      <x:c r="J5497" s="12" t="str">
        <x:v>IT &amp; digital</x:v>
      </x:c>
      <x:c r="K5497" s="2" t="str">
        <x:v>PARTNER-M295</x:v>
      </x:c>
    </x:row>
    <x:row r="5498" ht="46" customHeight="1">
      <x:c r="A5498" s="2" t="str">
        <x:v>TEN-DAFF8DD90485</x:v>
      </x:c>
      <x:c r="B5498" s="12" t="str">
        <x:v>KloudGin</x:v>
      </x:c>
      <x:c r="C5498" s="12" t="str">
        <x:v>CORP-0710</x:v>
      </x:c>
      <x:c r="D5498" s="12" t="str">
        <x:v>Hyderabad</x:v>
      </x:c>
      <x:c r="E5498" s="12" t="str">
        <x:v>Cyber Tower</x:v>
      </x:c>
      <x:c r="F5498" s="12" t="str">
        <x:v>55 inch</x:v>
      </x:c>
      <x:c r="G5498" s="20" t="n">
        <x:v>1</x:v>
      </x:c>
      <x:c r="H5498" s="12" t="str">
        <x:v>Campus/portfolio roster; individual building occupancy unverified</x:v>
      </x:c>
      <x:c r="I5498" s="12" t="str">
        <x:v>Small-scale prospects</x:v>
      </x:c>
      <x:c r="J5498" s="12" t="str">
        <x:v>IT &amp; digital</x:v>
      </x:c>
      <x:c r="K5498" s="2" t="str">
        <x:v>PARTNER-M295</x:v>
      </x:c>
    </x:row>
    <x:row r="5499" ht="46" customHeight="1">
      <x:c r="A5499" s="2" t="str">
        <x:v>TEN-E8C5F0A15362</x:v>
      </x:c>
      <x:c r="B5499" s="12" t="str">
        <x:v>Infovity India Pvt. Ltd</x:v>
      </x:c>
      <x:c r="C5499" s="12" t="str">
        <x:v>CORP-0710</x:v>
      </x:c>
      <x:c r="D5499" s="12" t="str">
        <x:v>Hyderabad</x:v>
      </x:c>
      <x:c r="E5499" s="12" t="str">
        <x:v>Cyber Tower</x:v>
      </x:c>
      <x:c r="F5499" s="12" t="str">
        <x:v>55 inch</x:v>
      </x:c>
      <x:c r="G5499" s="20" t="n">
        <x:v>1</x:v>
      </x:c>
      <x:c r="H5499" s="12" t="str">
        <x:v>Campus/portfolio roster; individual building occupancy unverified</x:v>
      </x:c>
      <x:c r="I5499" s="12" t="str">
        <x:v>Small-scale prospects</x:v>
      </x:c>
      <x:c r="J5499" s="12" t="str">
        <x:v>IT &amp; digital</x:v>
      </x:c>
      <x:c r="K5499" s="2" t="str">
        <x:v>PARTNER-M295</x:v>
      </x:c>
    </x:row>
    <x:row r="5500" ht="46" customHeight="1">
      <x:c r="A5500" s="2" t="str">
        <x:v>TEN-F123D2B55E66</x:v>
      </x:c>
      <x:c r="B5500" s="12" t="str">
        <x:v>Netxcell Limited</x:v>
      </x:c>
      <x:c r="C5500" s="12" t="str">
        <x:v>CORP-0710</x:v>
      </x:c>
      <x:c r="D5500" s="12" t="str">
        <x:v>Hyderabad</x:v>
      </x:c>
      <x:c r="E5500" s="12" t="str">
        <x:v>Cyber Tower</x:v>
      </x:c>
      <x:c r="F5500" s="12" t="str">
        <x:v>55 inch</x:v>
      </x:c>
      <x:c r="G5500" s="20" t="n">
        <x:v>1</x:v>
      </x:c>
      <x:c r="H5500" s="12" t="str">
        <x:v>Campus/portfolio roster; individual building occupancy unverified</x:v>
      </x:c>
      <x:c r="I5500" s="12" t="str">
        <x:v>Small-scale prospects</x:v>
      </x:c>
      <x:c r="J5500" s="12" t="str">
        <x:v>IT &amp; digital</x:v>
      </x:c>
      <x:c r="K5500" s="2" t="str">
        <x:v>PARTNER-M295</x:v>
      </x:c>
    </x:row>
    <x:row r="5501" ht="46" customHeight="1">
      <x:c r="A5501" s="2" t="str">
        <x:v>TEN-F49BB10C12ED</x:v>
      </x:c>
      <x:c r="B5501" s="12" t="str">
        <x:v>Techmojo Solutions Pvt Ltd</x:v>
      </x:c>
      <x:c r="C5501" s="12" t="str">
        <x:v>CORP-0710</x:v>
      </x:c>
      <x:c r="D5501" s="12" t="str">
        <x:v>Hyderabad</x:v>
      </x:c>
      <x:c r="E5501" s="12" t="str">
        <x:v>Cyber Tower</x:v>
      </x:c>
      <x:c r="F5501" s="12" t="str">
        <x:v>55 inch</x:v>
      </x:c>
      <x:c r="G5501" s="20" t="n">
        <x:v>1</x:v>
      </x:c>
      <x:c r="H5501" s="12" t="str">
        <x:v>Campus/portfolio roster; individual building occupancy unverified</x:v>
      </x:c>
      <x:c r="I5501" s="12" t="str">
        <x:v>Small-scale prospects</x:v>
      </x:c>
      <x:c r="J5501" s="12" t="str">
        <x:v>IT &amp; digital</x:v>
      </x:c>
      <x:c r="K5501" s="2" t="str">
        <x:v>PARTNER-M295</x:v>
      </x:c>
    </x:row>
    <x:row r="5502" ht="46" customHeight="1">
      <x:c r="A5502" s="2" t="str">
        <x:v>TEN-F8AF322D0456</x:v>
      </x:c>
      <x:c r="B5502" s="12" t="str">
        <x:v>Pegasys Group</x:v>
      </x:c>
      <x:c r="C5502" s="12" t="str">
        <x:v>CORP-0710</x:v>
      </x:c>
      <x:c r="D5502" s="12" t="str">
        <x:v>Hyderabad</x:v>
      </x:c>
      <x:c r="E5502" s="12" t="str">
        <x:v>Cyber Tower</x:v>
      </x:c>
      <x:c r="F5502" s="12" t="str">
        <x:v>55 inch</x:v>
      </x:c>
      <x:c r="G5502" s="20" t="n">
        <x:v>1</x:v>
      </x:c>
      <x:c r="H5502" s="12" t="str">
        <x:v>Campus/portfolio roster; individual building occupancy unverified</x:v>
      </x:c>
      <x:c r="I5502" s="12" t="str">
        <x:v>Small-scale prospects</x:v>
      </x:c>
      <x:c r="J5502" s="12" t="str">
        <x:v>IT &amp; digital</x:v>
      </x:c>
      <x:c r="K5502" s="2" t="str">
        <x:v>PARTNER-M295</x:v>
      </x:c>
    </x:row>
    <x:row r="5503" ht="46" customHeight="1">
      <x:c r="A5503" s="2" t="str">
        <x:v>TEN-F9676989ACD4</x:v>
      </x:c>
      <x:c r="B5503" s="12" t="str">
        <x:v>Avineon India</x:v>
      </x:c>
      <x:c r="C5503" s="12" t="str">
        <x:v>CORP-0710</x:v>
      </x:c>
      <x:c r="D5503" s="12" t="str">
        <x:v>Hyderabad</x:v>
      </x:c>
      <x:c r="E5503" s="12" t="str">
        <x:v>Cyber Tower</x:v>
      </x:c>
      <x:c r="F5503" s="12" t="str">
        <x:v>55 inch</x:v>
      </x:c>
      <x:c r="G5503" s="20" t="n">
        <x:v>1</x:v>
      </x:c>
      <x:c r="H5503" s="12" t="str">
        <x:v>Campus/portfolio roster; individual building occupancy unverified</x:v>
      </x:c>
      <x:c r="I5503" s="12" t="str">
        <x:v>Mixed business audience</x:v>
      </x:c>
      <x:c r="J5503" s="12" t="str">
        <x:v>IT &amp; digital</x:v>
      </x:c>
      <x:c r="K5503" s="2" t="str">
        <x:v>PARTNER-M295</x:v>
      </x:c>
    </x:row>
    <x:row r="5504" ht="46" customHeight="1">
      <x:c r="A5504" s="2" t="str">
        <x:v>TEN-0E6A5F7C73CC</x:v>
      </x:c>
      <x:c r="B5504" s="12" t="str">
        <x:v>Righyitfy Solutions</x:v>
      </x:c>
      <x:c r="C5504" s="12" t="str">
        <x:v>CORP-0711</x:v>
      </x:c>
      <x:c r="D5504" s="12" t="str">
        <x:v>Hyderabad</x:v>
      </x:c>
      <x:c r="E5504" s="12" t="str">
        <x:v>Cyber Tower</x:v>
      </x:c>
      <x:c r="F5504" s="12" t="str">
        <x:v>55 inch</x:v>
      </x:c>
      <x:c r="G5504" s="20" t="n">
        <x:v>1</x:v>
      </x:c>
      <x:c r="H5504" s="12" t="str">
        <x:v>Campus/portfolio roster; individual building occupancy unverified</x:v>
      </x:c>
      <x:c r="I5504" s="12" t="str">
        <x:v>Mixed business audience</x:v>
      </x:c>
      <x:c r="J5504" s="12" t="str">
        <x:v>Unresolved</x:v>
      </x:c>
      <x:c r="K5504" s="2" t="str">
        <x:v>PARTNER-M295</x:v>
      </x:c>
    </x:row>
    <x:row r="5505" ht="46" customHeight="1">
      <x:c r="A5505" s="2" t="str">
        <x:v>TEN-0EDD698BAD2E</x:v>
      </x:c>
      <x:c r="B5505" s="12" t="str">
        <x:v>Sierra-Cedar India Pvt. Limited</x:v>
      </x:c>
      <x:c r="C5505" s="12" t="str">
        <x:v>CORP-0711</x:v>
      </x:c>
      <x:c r="D5505" s="12" t="str">
        <x:v>Hyderabad</x:v>
      </x:c>
      <x:c r="E5505" s="12" t="str">
        <x:v>Cyber Tower</x:v>
      </x:c>
      <x:c r="F5505" s="12" t="str">
        <x:v>55 inch</x:v>
      </x:c>
      <x:c r="G5505" s="20" t="n">
        <x:v>1</x:v>
      </x:c>
      <x:c r="H5505" s="12" t="str">
        <x:v>Campus/portfolio roster; individual building occupancy unverified</x:v>
      </x:c>
      <x:c r="I5505" s="12" t="str">
        <x:v>Mixed business audience</x:v>
      </x:c>
      <x:c r="J5505" s="12" t="str">
        <x:v>IT &amp; digital</x:v>
      </x:c>
      <x:c r="K5505" s="2" t="str">
        <x:v>PARTNER-M295</x:v>
      </x:c>
    </x:row>
    <x:row r="5506" ht="46" customHeight="1">
      <x:c r="A5506" s="2" t="str">
        <x:v>TEN-172416680C0F</x:v>
      </x:c>
      <x:c r="B5506" s="12" t="str">
        <x:v>Amps And Watts</x:v>
      </x:c>
      <x:c r="C5506" s="12" t="str">
        <x:v>CORP-0711</x:v>
      </x:c>
      <x:c r="D5506" s="12" t="str">
        <x:v>Hyderabad</x:v>
      </x:c>
      <x:c r="E5506" s="12" t="str">
        <x:v>Cyber Tower</x:v>
      </x:c>
      <x:c r="F5506" s="12" t="str">
        <x:v>55 inch</x:v>
      </x:c>
      <x:c r="G5506" s="20" t="n">
        <x:v>1</x:v>
      </x:c>
      <x:c r="H5506" s="12" t="str">
        <x:v>Campus/portfolio roster; individual building occupancy unverified</x:v>
      </x:c>
      <x:c r="I5506" s="12" t="str">
        <x:v>Medium-scale prospects</x:v>
      </x:c>
      <x:c r="J5506" s="12" t="str">
        <x:v>Engineering &amp; manufacturing</x:v>
      </x:c>
      <x:c r="K5506" s="2" t="str">
        <x:v>PARTNER-M295</x:v>
      </x:c>
    </x:row>
    <x:row r="5507" ht="46" customHeight="1">
      <x:c r="A5507" s="2" t="str">
        <x:v>TEN-2043A419E121</x:v>
      </x:c>
      <x:c r="B5507" s="12" t="str">
        <x:v>Visual IT Solutions Pvt Ltd</x:v>
      </x:c>
      <x:c r="C5507" s="12" t="str">
        <x:v>CORP-0711</x:v>
      </x:c>
      <x:c r="D5507" s="12" t="str">
        <x:v>Hyderabad</x:v>
      </x:c>
      <x:c r="E5507" s="12" t="str">
        <x:v>Cyber Tower</x:v>
      </x:c>
      <x:c r="F5507" s="12" t="str">
        <x:v>55 inch</x:v>
      </x:c>
      <x:c r="G5507" s="20" t="n">
        <x:v>1</x:v>
      </x:c>
      <x:c r="H5507" s="12" t="str">
        <x:v>Campus/portfolio roster; individual building occupancy unverified</x:v>
      </x:c>
      <x:c r="I5507" s="12" t="str">
        <x:v>Small-scale prospects</x:v>
      </x:c>
      <x:c r="J5507" s="12" t="str">
        <x:v>IT &amp; digital</x:v>
      </x:c>
      <x:c r="K5507" s="2" t="str">
        <x:v>PARTNER-M295</x:v>
      </x:c>
    </x:row>
    <x:row r="5508" ht="46" customHeight="1">
      <x:c r="A5508" s="2" t="str">
        <x:v>TEN-30099B000C5C</x:v>
      </x:c>
      <x:c r="B5508" s="12" t="str">
        <x:v>Technosoft Global Solutions</x:v>
      </x:c>
      <x:c r="C5508" s="12" t="str">
        <x:v>CORP-0711</x:v>
      </x:c>
      <x:c r="D5508" s="12" t="str">
        <x:v>Hyderabad</x:v>
      </x:c>
      <x:c r="E5508" s="12" t="str">
        <x:v>Cyber Tower</x:v>
      </x:c>
      <x:c r="F5508" s="12" t="str">
        <x:v>55 inch</x:v>
      </x:c>
      <x:c r="G5508" s="20" t="n">
        <x:v>1</x:v>
      </x:c>
      <x:c r="H5508" s="12" t="str">
        <x:v>Campus/portfolio roster; individual building occupancy unverified</x:v>
      </x:c>
      <x:c r="I5508" s="12" t="str">
        <x:v>Small-scale prospects</x:v>
      </x:c>
      <x:c r="J5508" s="12" t="str">
        <x:v>IT &amp; digital</x:v>
      </x:c>
      <x:c r="K5508" s="2" t="str">
        <x:v>PARTNER-M295</x:v>
      </x:c>
    </x:row>
    <x:row r="5509" ht="46" customHeight="1">
      <x:c r="A5509" s="2" t="str">
        <x:v>TEN-30F6A61A31C7</x:v>
      </x:c>
      <x:c r="B5509" s="12" t="str">
        <x:v>Teksystems Global Services</x:v>
      </x:c>
      <x:c r="C5509" s="12" t="str">
        <x:v>CORP-0711</x:v>
      </x:c>
      <x:c r="D5509" s="12" t="str">
        <x:v>Hyderabad</x:v>
      </x:c>
      <x:c r="E5509" s="12" t="str">
        <x:v>Cyber Tower</x:v>
      </x:c>
      <x:c r="F5509" s="12" t="str">
        <x:v>55 inch</x:v>
      </x:c>
      <x:c r="G5509" s="20" t="n">
        <x:v>1</x:v>
      </x:c>
      <x:c r="H5509" s="12" t="str">
        <x:v>Campus/portfolio roster; individual building occupancy unverified</x:v>
      </x:c>
      <x:c r="I5509" s="12" t="str">
        <x:v>Mixed business audience</x:v>
      </x:c>
      <x:c r="J5509" s="12" t="str">
        <x:v>Professional services</x:v>
      </x:c>
      <x:c r="K5509" s="2" t="str">
        <x:v>PARTNER-M295</x:v>
      </x:c>
    </x:row>
    <x:row r="5510" ht="46" customHeight="1">
      <x:c r="A5510" s="2" t="str">
        <x:v>TEN-6CAB9DFC425C</x:v>
      </x:c>
      <x:c r="B5510" s="12" t="str">
        <x:v>Softility</x:v>
      </x:c>
      <x:c r="C5510" s="12" t="str">
        <x:v>CORP-0711</x:v>
      </x:c>
      <x:c r="D5510" s="12" t="str">
        <x:v>Hyderabad</x:v>
      </x:c>
      <x:c r="E5510" s="12" t="str">
        <x:v>Cyber Tower</x:v>
      </x:c>
      <x:c r="F5510" s="12" t="str">
        <x:v>55 inch</x:v>
      </x:c>
      <x:c r="G5510" s="20" t="n">
        <x:v>1</x:v>
      </x:c>
      <x:c r="H5510" s="12" t="str">
        <x:v>Campus/portfolio roster; individual building occupancy unverified</x:v>
      </x:c>
      <x:c r="I5510" s="12" t="str">
        <x:v>Small-scale prospects</x:v>
      </x:c>
      <x:c r="J5510" s="12" t="str">
        <x:v>IT &amp; digital</x:v>
      </x:c>
      <x:c r="K5510" s="2" t="str">
        <x:v>PARTNER-M295</x:v>
      </x:c>
    </x:row>
    <x:row r="5511" ht="46" customHeight="1">
      <x:c r="A5511" s="2" t="str">
        <x:v>TEN-6CBA95EE1BC0</x:v>
      </x:c>
      <x:c r="B5511" s="12" t="str">
        <x:v>iSpace Software Solutions India Pvt Ltd</x:v>
      </x:c>
      <x:c r="C5511" s="12" t="str">
        <x:v>CORP-0711</x:v>
      </x:c>
      <x:c r="D5511" s="12" t="str">
        <x:v>Hyderabad</x:v>
      </x:c>
      <x:c r="E5511" s="12" t="str">
        <x:v>Cyber Tower</x:v>
      </x:c>
      <x:c r="F5511" s="12" t="str">
        <x:v>55 inch</x:v>
      </x:c>
      <x:c r="G5511" s="20" t="n">
        <x:v>1</x:v>
      </x:c>
      <x:c r="H5511" s="12" t="str">
        <x:v>Campus/portfolio roster; individual building occupancy unverified</x:v>
      </x:c>
      <x:c r="I5511" s="12" t="str">
        <x:v>Small-scale prospects</x:v>
      </x:c>
      <x:c r="J5511" s="12" t="str">
        <x:v>IT &amp; digital</x:v>
      </x:c>
      <x:c r="K5511" s="2" t="str">
        <x:v>PARTNER-M295</x:v>
      </x:c>
    </x:row>
    <x:row r="5512" ht="46" customHeight="1">
      <x:c r="A5512" s="2" t="str">
        <x:v>TEN-6FBA7BE7F62E</x:v>
      </x:c>
      <x:c r="B5512" s="12" t="str">
        <x:v>iSource Global Solutions</x:v>
      </x:c>
      <x:c r="C5512" s="12" t="str">
        <x:v>CORP-0711</x:v>
      </x:c>
      <x:c r="D5512" s="12" t="str">
        <x:v>Hyderabad</x:v>
      </x:c>
      <x:c r="E5512" s="12" t="str">
        <x:v>Cyber Tower</x:v>
      </x:c>
      <x:c r="F5512" s="12" t="str">
        <x:v>55 inch</x:v>
      </x:c>
      <x:c r="G5512" s="20" t="n">
        <x:v>1</x:v>
      </x:c>
      <x:c r="H5512" s="12" t="str">
        <x:v>Campus/portfolio roster; individual building occupancy unverified</x:v>
      </x:c>
      <x:c r="I5512" s="12" t="str">
        <x:v>Mixed business audience</x:v>
      </x:c>
      <x:c r="J5512" s="12" t="str">
        <x:v>Unresolved</x:v>
      </x:c>
      <x:c r="K5512" s="2" t="str">
        <x:v>PARTNER-M295</x:v>
      </x:c>
    </x:row>
    <x:row r="5513" ht="46" customHeight="1">
      <x:c r="A5513" s="2" t="str">
        <x:v>TEN-738CF5E0F324</x:v>
      </x:c>
      <x:c r="B5513" s="12" t="str">
        <x:v>Jotter.ai</x:v>
      </x:c>
      <x:c r="C5513" s="12" t="str">
        <x:v>CORP-0711</x:v>
      </x:c>
      <x:c r="D5513" s="12" t="str">
        <x:v>Hyderabad</x:v>
      </x:c>
      <x:c r="E5513" s="12" t="str">
        <x:v>Cyber Tower</x:v>
      </x:c>
      <x:c r="F5513" s="12" t="str">
        <x:v>55 inch</x:v>
      </x:c>
      <x:c r="G5513" s="20" t="n">
        <x:v>1</x:v>
      </x:c>
      <x:c r="H5513" s="12" t="str">
        <x:v>Campus/portfolio roster; individual building occupancy unverified</x:v>
      </x:c>
      <x:c r="I5513" s="12" t="str">
        <x:v>Small-scale prospects</x:v>
      </x:c>
      <x:c r="J5513" s="12" t="str">
        <x:v>IT &amp; digital</x:v>
      </x:c>
      <x:c r="K5513" s="2" t="str">
        <x:v>PARTNER-M295</x:v>
      </x:c>
    </x:row>
    <x:row r="5514" ht="46" customHeight="1">
      <x:c r="A5514" s="2" t="str">
        <x:v>TEN-89C7DF9519C3</x:v>
      </x:c>
      <x:c r="B5514" s="12" t="str">
        <x:v>Nsight India</x:v>
      </x:c>
      <x:c r="C5514" s="12" t="str">
        <x:v>CORP-0711</x:v>
      </x:c>
      <x:c r="D5514" s="12" t="str">
        <x:v>Hyderabad</x:v>
      </x:c>
      <x:c r="E5514" s="12" t="str">
        <x:v>Cyber Tower</x:v>
      </x:c>
      <x:c r="F5514" s="12" t="str">
        <x:v>55 inch</x:v>
      </x:c>
      <x:c r="G5514" s="20" t="n">
        <x:v>1</x:v>
      </x:c>
      <x:c r="H5514" s="12" t="str">
        <x:v>Campus/portfolio roster; individual building occupancy unverified</x:v>
      </x:c>
      <x:c r="I5514" s="12" t="str">
        <x:v>Small-scale prospects</x:v>
      </x:c>
      <x:c r="J5514" s="12" t="str">
        <x:v>IT &amp; digital</x:v>
      </x:c>
      <x:c r="K5514" s="2" t="str">
        <x:v>PARTNER-M295</x:v>
      </x:c>
    </x:row>
    <x:row r="5515" ht="46" customHeight="1">
      <x:c r="A5515" s="2" t="str">
        <x:v>TEN-8A5EDFCA45E4</x:v>
      </x:c>
      <x:c r="B5515" s="12" t="str">
        <x:v>Pochampalli IT Labs</x:v>
      </x:c>
      <x:c r="C5515" s="12" t="str">
        <x:v>CORP-0711</x:v>
      </x:c>
      <x:c r="D5515" s="12" t="str">
        <x:v>Hyderabad</x:v>
      </x:c>
      <x:c r="E5515" s="12" t="str">
        <x:v>Cyber Tower</x:v>
      </x:c>
      <x:c r="F5515" s="12" t="str">
        <x:v>55 inch</x:v>
      </x:c>
      <x:c r="G5515" s="20" t="n">
        <x:v>1</x:v>
      </x:c>
      <x:c r="H5515" s="12" t="str">
        <x:v>Campus/portfolio roster; individual building occupancy unverified</x:v>
      </x:c>
      <x:c r="I5515" s="12" t="str">
        <x:v>Small-scale prospects</x:v>
      </x:c>
      <x:c r="J5515" s="12" t="str">
        <x:v>IT &amp; digital</x:v>
      </x:c>
      <x:c r="K5515" s="2" t="str">
        <x:v>PARTNER-M295</x:v>
      </x:c>
    </x:row>
    <x:row r="5516" ht="46" customHeight="1">
      <x:c r="A5516" s="2" t="str">
        <x:v>TEN-8F9C783063DF</x:v>
      </x:c>
      <x:c r="B5516" s="12" t="str">
        <x:v>Carbynetech India Private</x:v>
      </x:c>
      <x:c r="C5516" s="12" t="str">
        <x:v>CORP-0711</x:v>
      </x:c>
      <x:c r="D5516" s="12" t="str">
        <x:v>Hyderabad</x:v>
      </x:c>
      <x:c r="E5516" s="12" t="str">
        <x:v>Cyber Tower</x:v>
      </x:c>
      <x:c r="F5516" s="12" t="str">
        <x:v>55 inch</x:v>
      </x:c>
      <x:c r="G5516" s="20" t="n">
        <x:v>1</x:v>
      </x:c>
      <x:c r="H5516" s="12" t="str">
        <x:v>Campus/portfolio roster; individual building occupancy unverified</x:v>
      </x:c>
      <x:c r="I5516" s="12" t="str">
        <x:v>Small-scale prospects</x:v>
      </x:c>
      <x:c r="J5516" s="12" t="str">
        <x:v>IT &amp; digital</x:v>
      </x:c>
      <x:c r="K5516" s="2" t="str">
        <x:v>PARTNER-M295</x:v>
      </x:c>
    </x:row>
    <x:row r="5517" ht="46" customHeight="1">
      <x:c r="A5517" s="2" t="str">
        <x:v>TEN-954E3B0AC1F9</x:v>
      </x:c>
      <x:c r="B5517" s="12" t="str">
        <x:v>Huddl Enterprise Communication Pvt Ltd</x:v>
      </x:c>
      <x:c r="C5517" s="12" t="str">
        <x:v>CORP-0711</x:v>
      </x:c>
      <x:c r="D5517" s="12" t="str">
        <x:v>Hyderabad</x:v>
      </x:c>
      <x:c r="E5517" s="12" t="str">
        <x:v>Cyber Tower</x:v>
      </x:c>
      <x:c r="F5517" s="12" t="str">
        <x:v>55 inch</x:v>
      </x:c>
      <x:c r="G5517" s="20" t="n">
        <x:v>1</x:v>
      </x:c>
      <x:c r="H5517" s="12" t="str">
        <x:v>Campus/portfolio roster; individual building occupancy unverified</x:v>
      </x:c>
      <x:c r="I5517" s="12" t="str">
        <x:v>Small-scale prospects</x:v>
      </x:c>
      <x:c r="J5517" s="12" t="str">
        <x:v>IT &amp; digital</x:v>
      </x:c>
      <x:c r="K5517" s="2" t="str">
        <x:v>PARTNER-M295</x:v>
      </x:c>
    </x:row>
    <x:row r="5518" ht="46" customHeight="1">
      <x:c r="A5518" s="2" t="str">
        <x:v>TEN-A509A9AAC287</x:v>
      </x:c>
      <x:c r="B5518" s="12" t="str">
        <x:v>Xoriant Solutions Pvt Ltd</x:v>
      </x:c>
      <x:c r="C5518" s="12" t="str">
        <x:v>CORP-0711</x:v>
      </x:c>
      <x:c r="D5518" s="12" t="str">
        <x:v>Hyderabad</x:v>
      </x:c>
      <x:c r="E5518" s="12" t="str">
        <x:v>Cyber Tower</x:v>
      </x:c>
      <x:c r="F5518" s="12" t="str">
        <x:v>55 inch</x:v>
      </x:c>
      <x:c r="G5518" s="20" t="n">
        <x:v>1</x:v>
      </x:c>
      <x:c r="H5518" s="12" t="str">
        <x:v>Campus/portfolio roster; individual building occupancy unverified</x:v>
      </x:c>
      <x:c r="I5518" s="12" t="str">
        <x:v>Large enterprise</x:v>
      </x:c>
      <x:c r="J5518" s="12" t="str">
        <x:v>IT &amp; digital</x:v>
      </x:c>
      <x:c r="K5518" s="2" t="str">
        <x:v>PARTNER-M295</x:v>
      </x:c>
    </x:row>
    <x:row r="5519" ht="46" customHeight="1">
      <x:c r="A5519" s="2" t="str">
        <x:v>TEN-B5C691D27CD7</x:v>
      </x:c>
      <x:c r="B5519" s="12" t="str">
        <x:v>Galaxe Solutions</x:v>
      </x:c>
      <x:c r="C5519" s="12" t="str">
        <x:v>CORP-0711</x:v>
      </x:c>
      <x:c r="D5519" s="12" t="str">
        <x:v>Hyderabad</x:v>
      </x:c>
      <x:c r="E5519" s="12" t="str">
        <x:v>Cyber Tower</x:v>
      </x:c>
      <x:c r="F5519" s="12" t="str">
        <x:v>55 inch</x:v>
      </x:c>
      <x:c r="G5519" s="20" t="n">
        <x:v>1</x:v>
      </x:c>
      <x:c r="H5519" s="12" t="str">
        <x:v>Campus/portfolio roster; individual building occupancy unverified</x:v>
      </x:c>
      <x:c r="I5519" s="12" t="str">
        <x:v>Mixed business audience</x:v>
      </x:c>
      <x:c r="J5519" s="12" t="str">
        <x:v>IT &amp; digital</x:v>
      </x:c>
      <x:c r="K5519" s="2" t="str">
        <x:v>PARTNER-M295</x:v>
      </x:c>
    </x:row>
    <x:row r="5520" ht="46" customHeight="1">
      <x:c r="A5520" s="2" t="str">
        <x:v>TEN-BC3CB45E4A8C</x:v>
      </x:c>
      <x:c r="B5520" s="12" t="str">
        <x:v>Numeric Technologies</x:v>
      </x:c>
      <x:c r="C5520" s="12" t="str">
        <x:v>CORP-0711</x:v>
      </x:c>
      <x:c r="D5520" s="12" t="str">
        <x:v>Hyderabad</x:v>
      </x:c>
      <x:c r="E5520" s="12" t="str">
        <x:v>Cyber Tower</x:v>
      </x:c>
      <x:c r="F5520" s="12" t="str">
        <x:v>55 inch</x:v>
      </x:c>
      <x:c r="G5520" s="20" t="n">
        <x:v>1</x:v>
      </x:c>
      <x:c r="H5520" s="12" t="str">
        <x:v>Campus/portfolio roster; individual building occupancy unverified</x:v>
      </x:c>
      <x:c r="I5520" s="12" t="str">
        <x:v>Small-scale prospects</x:v>
      </x:c>
      <x:c r="J5520" s="12" t="str">
        <x:v>IT &amp; digital</x:v>
      </x:c>
      <x:c r="K5520" s="2" t="str">
        <x:v>PARTNER-M295</x:v>
      </x:c>
    </x:row>
    <x:row r="5521" ht="46" customHeight="1">
      <x:c r="A5521" s="2" t="str">
        <x:v>TEN-C22CCD5B65F2</x:v>
      </x:c>
      <x:c r="B5521" s="12" t="str">
        <x:v>Pennant Technologies Private Limited</x:v>
      </x:c>
      <x:c r="C5521" s="12" t="str">
        <x:v>CORP-0711</x:v>
      </x:c>
      <x:c r="D5521" s="12" t="str">
        <x:v>Hyderabad</x:v>
      </x:c>
      <x:c r="E5521" s="12" t="str">
        <x:v>Cyber Tower</x:v>
      </x:c>
      <x:c r="F5521" s="12" t="str">
        <x:v>55 inch</x:v>
      </x:c>
      <x:c r="G5521" s="20" t="n">
        <x:v>1</x:v>
      </x:c>
      <x:c r="H5521" s="12" t="str">
        <x:v>Campus/portfolio roster; individual building occupancy unverified</x:v>
      </x:c>
      <x:c r="I5521" s="12" t="str">
        <x:v>Small-scale prospects</x:v>
      </x:c>
      <x:c r="J5521" s="12" t="str">
        <x:v>IT &amp; digital</x:v>
      </x:c>
      <x:c r="K5521" s="2" t="str">
        <x:v>PARTNER-M295</x:v>
      </x:c>
    </x:row>
    <x:row r="5522" ht="46" customHeight="1">
      <x:c r="A5522" s="2" t="str">
        <x:v>TEN-C23D7DDF638C</x:v>
      </x:c>
      <x:c r="B5522" s="12" t="str">
        <x:v>Abacus Staffing and Services Pvt Ltd</x:v>
      </x:c>
      <x:c r="C5522" s="12" t="str">
        <x:v>CORP-0711</x:v>
      </x:c>
      <x:c r="D5522" s="12" t="str">
        <x:v>Hyderabad</x:v>
      </x:c>
      <x:c r="E5522" s="12" t="str">
        <x:v>Cyber Tower</x:v>
      </x:c>
      <x:c r="F5522" s="12" t="str">
        <x:v>55 inch</x:v>
      </x:c>
      <x:c r="G5522" s="20" t="n">
        <x:v>1</x:v>
      </x:c>
      <x:c r="H5522" s="12" t="str">
        <x:v>Campus/portfolio roster; individual building occupancy unverified</x:v>
      </x:c>
      <x:c r="I5522" s="12" t="str">
        <x:v>Small-scale prospects</x:v>
      </x:c>
      <x:c r="J5522" s="12" t="str">
        <x:v>Professional services</x:v>
      </x:c>
      <x:c r="K5522" s="2" t="str">
        <x:v>PARTNER-M295</x:v>
      </x:c>
    </x:row>
    <x:row r="5523" ht="46" customHeight="1">
      <x:c r="A5523" s="2" t="str">
        <x:v>TEN-CF9779F42FF3</x:v>
      </x:c>
      <x:c r="B5523" s="12" t="str">
        <x:v>Lantronix India Pvt. Ltd</x:v>
      </x:c>
      <x:c r="C5523" s="12" t="str">
        <x:v>CORP-0711</x:v>
      </x:c>
      <x:c r="D5523" s="12" t="str">
        <x:v>Hyderabad</x:v>
      </x:c>
      <x:c r="E5523" s="12" t="str">
        <x:v>Cyber Tower</x:v>
      </x:c>
      <x:c r="F5523" s="12" t="str">
        <x:v>55 inch</x:v>
      </x:c>
      <x:c r="G5523" s="20" t="n">
        <x:v>1</x:v>
      </x:c>
      <x:c r="H5523" s="12" t="str">
        <x:v>Campus/portfolio roster; individual building occupancy unverified</x:v>
      </x:c>
      <x:c r="I5523" s="12" t="str">
        <x:v>Mixed business audience</x:v>
      </x:c>
      <x:c r="J5523" s="12" t="str">
        <x:v>IT &amp; digital</x:v>
      </x:c>
      <x:c r="K5523" s="2" t="str">
        <x:v>PARTNER-M295</x:v>
      </x:c>
    </x:row>
    <x:row r="5524" ht="46" customHeight="1">
      <x:c r="A5524" s="2" t="str">
        <x:v>TEN-D26EFCBBB5D9</x:v>
      </x:c>
      <x:c r="B5524" s="12" t="str">
        <x:v>Google CGW</x:v>
      </x:c>
      <x:c r="C5524" s="12" t="str">
        <x:v>CORP-0711</x:v>
      </x:c>
      <x:c r="D5524" s="12" t="str">
        <x:v>Hyderabad</x:v>
      </x:c>
      <x:c r="E5524" s="12" t="str">
        <x:v>Cyber Tower</x:v>
      </x:c>
      <x:c r="F5524" s="12" t="str">
        <x:v>55 inch</x:v>
      </x:c>
      <x:c r="G5524" s="20" t="n">
        <x:v>1</x:v>
      </x:c>
      <x:c r="H5524" s="12" t="str">
        <x:v>Campus/portfolio roster; individual building occupancy unverified</x:v>
      </x:c>
      <x:c r="I5524" s="12" t="str">
        <x:v>Large enterprise</x:v>
      </x:c>
      <x:c r="J5524" s="12" t="str">
        <x:v>IT &amp; digital</x:v>
      </x:c>
      <x:c r="K5524" s="2" t="str">
        <x:v>PARTNER-M295</x:v>
      </x:c>
    </x:row>
    <x:row r="5525" ht="46" customHeight="1">
      <x:c r="A5525" s="2" t="str">
        <x:v>TEN-D6CB554DC303</x:v>
      </x:c>
      <x:c r="B5525" s="12" t="str">
        <x:v>Ultimate Bonding Stainless</x:v>
      </x:c>
      <x:c r="C5525" s="12" t="str">
        <x:v>CORP-0711</x:v>
      </x:c>
      <x:c r="D5525" s="12" t="str">
        <x:v>Hyderabad</x:v>
      </x:c>
      <x:c r="E5525" s="12" t="str">
        <x:v>Cyber Tower</x:v>
      </x:c>
      <x:c r="F5525" s="12" t="str">
        <x:v>55 inch</x:v>
      </x:c>
      <x:c r="G5525" s="20" t="n">
        <x:v>1</x:v>
      </x:c>
      <x:c r="H5525" s="12" t="str">
        <x:v>Campus/portfolio roster; individual building occupancy unverified</x:v>
      </x:c>
      <x:c r="I5525" s="12" t="str">
        <x:v>Medium-scale prospects</x:v>
      </x:c>
      <x:c r="J5525" s="12" t="str">
        <x:v>Engineering &amp; manufacturing</x:v>
      </x:c>
      <x:c r="K5525" s="2" t="str">
        <x:v>PARTNER-M295</x:v>
      </x:c>
    </x:row>
    <x:row r="5526" ht="46" customHeight="1">
      <x:c r="A5526" s="2" t="str">
        <x:v>TEN-D8AA87D79F26</x:v>
      </x:c>
      <x:c r="B5526" s="12" t="str">
        <x:v>ComTec IT Services</x:v>
      </x:c>
      <x:c r="C5526" s="12" t="str">
        <x:v>CORP-0711</x:v>
      </x:c>
      <x:c r="D5526" s="12" t="str">
        <x:v>Hyderabad</x:v>
      </x:c>
      <x:c r="E5526" s="12" t="str">
        <x:v>Cyber Tower</x:v>
      </x:c>
      <x:c r="F5526" s="12" t="str">
        <x:v>55 inch</x:v>
      </x:c>
      <x:c r="G5526" s="20" t="n">
        <x:v>1</x:v>
      </x:c>
      <x:c r="H5526" s="12" t="str">
        <x:v>Campus/portfolio roster; individual building occupancy unverified</x:v>
      </x:c>
      <x:c r="I5526" s="12" t="str">
        <x:v>Small-scale prospects</x:v>
      </x:c>
      <x:c r="J5526" s="12" t="str">
        <x:v>IT &amp; digital</x:v>
      </x:c>
      <x:c r="K5526" s="2" t="str">
        <x:v>PARTNER-M295</x:v>
      </x:c>
    </x:row>
    <x:row r="5527" ht="46" customHeight="1">
      <x:c r="A5527" s="2" t="str">
        <x:v>TEN-DAFF8DD90485</x:v>
      </x:c>
      <x:c r="B5527" s="12" t="str">
        <x:v>KloudGin</x:v>
      </x:c>
      <x:c r="C5527" s="12" t="str">
        <x:v>CORP-0711</x:v>
      </x:c>
      <x:c r="D5527" s="12" t="str">
        <x:v>Hyderabad</x:v>
      </x:c>
      <x:c r="E5527" s="12" t="str">
        <x:v>Cyber Tower</x:v>
      </x:c>
      <x:c r="F5527" s="12" t="str">
        <x:v>55 inch</x:v>
      </x:c>
      <x:c r="G5527" s="20" t="n">
        <x:v>1</x:v>
      </x:c>
      <x:c r="H5527" s="12" t="str">
        <x:v>Campus/portfolio roster; individual building occupancy unverified</x:v>
      </x:c>
      <x:c r="I5527" s="12" t="str">
        <x:v>Small-scale prospects</x:v>
      </x:c>
      <x:c r="J5527" s="12" t="str">
        <x:v>IT &amp; digital</x:v>
      </x:c>
      <x:c r="K5527" s="2" t="str">
        <x:v>PARTNER-M295</x:v>
      </x:c>
    </x:row>
    <x:row r="5528" ht="46" customHeight="1">
      <x:c r="A5528" s="2" t="str">
        <x:v>TEN-E8C5F0A15362</x:v>
      </x:c>
      <x:c r="B5528" s="12" t="str">
        <x:v>Infovity India Pvt. Ltd</x:v>
      </x:c>
      <x:c r="C5528" s="12" t="str">
        <x:v>CORP-0711</x:v>
      </x:c>
      <x:c r="D5528" s="12" t="str">
        <x:v>Hyderabad</x:v>
      </x:c>
      <x:c r="E5528" s="12" t="str">
        <x:v>Cyber Tower</x:v>
      </x:c>
      <x:c r="F5528" s="12" t="str">
        <x:v>55 inch</x:v>
      </x:c>
      <x:c r="G5528" s="20" t="n">
        <x:v>1</x:v>
      </x:c>
      <x:c r="H5528" s="12" t="str">
        <x:v>Campus/portfolio roster; individual building occupancy unverified</x:v>
      </x:c>
      <x:c r="I5528" s="12" t="str">
        <x:v>Small-scale prospects</x:v>
      </x:c>
      <x:c r="J5528" s="12" t="str">
        <x:v>IT &amp; digital</x:v>
      </x:c>
      <x:c r="K5528" s="2" t="str">
        <x:v>PARTNER-M295</x:v>
      </x:c>
    </x:row>
    <x:row r="5529" ht="46" customHeight="1">
      <x:c r="A5529" s="2" t="str">
        <x:v>TEN-F123D2B55E66</x:v>
      </x:c>
      <x:c r="B5529" s="12" t="str">
        <x:v>Netxcell Limited</x:v>
      </x:c>
      <x:c r="C5529" s="12" t="str">
        <x:v>CORP-0711</x:v>
      </x:c>
      <x:c r="D5529" s="12" t="str">
        <x:v>Hyderabad</x:v>
      </x:c>
      <x:c r="E5529" s="12" t="str">
        <x:v>Cyber Tower</x:v>
      </x:c>
      <x:c r="F5529" s="12" t="str">
        <x:v>55 inch</x:v>
      </x:c>
      <x:c r="G5529" s="20" t="n">
        <x:v>1</x:v>
      </x:c>
      <x:c r="H5529" s="12" t="str">
        <x:v>Campus/portfolio roster; individual building occupancy unverified</x:v>
      </x:c>
      <x:c r="I5529" s="12" t="str">
        <x:v>Small-scale prospects</x:v>
      </x:c>
      <x:c r="J5529" s="12" t="str">
        <x:v>IT &amp; digital</x:v>
      </x:c>
      <x:c r="K5529" s="2" t="str">
        <x:v>PARTNER-M295</x:v>
      </x:c>
    </x:row>
    <x:row r="5530" ht="46" customHeight="1">
      <x:c r="A5530" s="2" t="str">
        <x:v>TEN-F49BB10C12ED</x:v>
      </x:c>
      <x:c r="B5530" s="12" t="str">
        <x:v>Techmojo Solutions Pvt Ltd</x:v>
      </x:c>
      <x:c r="C5530" s="12" t="str">
        <x:v>CORP-0711</x:v>
      </x:c>
      <x:c r="D5530" s="12" t="str">
        <x:v>Hyderabad</x:v>
      </x:c>
      <x:c r="E5530" s="12" t="str">
        <x:v>Cyber Tower</x:v>
      </x:c>
      <x:c r="F5530" s="12" t="str">
        <x:v>55 inch</x:v>
      </x:c>
      <x:c r="G5530" s="20" t="n">
        <x:v>1</x:v>
      </x:c>
      <x:c r="H5530" s="12" t="str">
        <x:v>Campus/portfolio roster; individual building occupancy unverified</x:v>
      </x:c>
      <x:c r="I5530" s="12" t="str">
        <x:v>Small-scale prospects</x:v>
      </x:c>
      <x:c r="J5530" s="12" t="str">
        <x:v>IT &amp; digital</x:v>
      </x:c>
      <x:c r="K5530" s="2" t="str">
        <x:v>PARTNER-M295</x:v>
      </x:c>
    </x:row>
    <x:row r="5531" ht="46" customHeight="1">
      <x:c r="A5531" s="2" t="str">
        <x:v>TEN-F8AF322D0456</x:v>
      </x:c>
      <x:c r="B5531" s="12" t="str">
        <x:v>Pegasys Group</x:v>
      </x:c>
      <x:c r="C5531" s="12" t="str">
        <x:v>CORP-0711</x:v>
      </x:c>
      <x:c r="D5531" s="12" t="str">
        <x:v>Hyderabad</x:v>
      </x:c>
      <x:c r="E5531" s="12" t="str">
        <x:v>Cyber Tower</x:v>
      </x:c>
      <x:c r="F5531" s="12" t="str">
        <x:v>55 inch</x:v>
      </x:c>
      <x:c r="G5531" s="20" t="n">
        <x:v>1</x:v>
      </x:c>
      <x:c r="H5531" s="12" t="str">
        <x:v>Campus/portfolio roster; individual building occupancy unverified</x:v>
      </x:c>
      <x:c r="I5531" s="12" t="str">
        <x:v>Small-scale prospects</x:v>
      </x:c>
      <x:c r="J5531" s="12" t="str">
        <x:v>IT &amp; digital</x:v>
      </x:c>
      <x:c r="K5531" s="2" t="str">
        <x:v>PARTNER-M295</x:v>
      </x:c>
    </x:row>
    <x:row r="5532" ht="46" customHeight="1">
      <x:c r="A5532" s="2" t="str">
        <x:v>TEN-F9676989ACD4</x:v>
      </x:c>
      <x:c r="B5532" s="12" t="str">
        <x:v>Avineon India</x:v>
      </x:c>
      <x:c r="C5532" s="12" t="str">
        <x:v>CORP-0711</x:v>
      </x:c>
      <x:c r="D5532" s="12" t="str">
        <x:v>Hyderabad</x:v>
      </x:c>
      <x:c r="E5532" s="12" t="str">
        <x:v>Cyber Tower</x:v>
      </x:c>
      <x:c r="F5532" s="12" t="str">
        <x:v>55 inch</x:v>
      </x:c>
      <x:c r="G5532" s="20" t="n">
        <x:v>1</x:v>
      </x:c>
      <x:c r="H5532" s="12" t="str">
        <x:v>Campus/portfolio roster; individual building occupancy unverified</x:v>
      </x:c>
      <x:c r="I5532" s="12" t="str">
        <x:v>Mixed business audience</x:v>
      </x:c>
      <x:c r="J5532" s="12" t="str">
        <x:v>IT &amp; digital</x:v>
      </x:c>
      <x:c r="K5532" s="2" t="str">
        <x:v>PARTNER-M295</x:v>
      </x:c>
    </x:row>
    <x:row r="5533" ht="46" customHeight="1">
      <x:c r="A5533" s="2" t="str">
        <x:v>TEN-0E6A5F7C73CC</x:v>
      </x:c>
      <x:c r="B5533" s="12" t="str">
        <x:v>Righyitfy Solutions</x:v>
      </x:c>
      <x:c r="C5533" s="12" t="str">
        <x:v>CORP-0712</x:v>
      </x:c>
      <x:c r="D5533" s="12" t="str">
        <x:v>Hyderabad</x:v>
      </x:c>
      <x:c r="E5533" s="12" t="str">
        <x:v>Cyber Tower</x:v>
      </x:c>
      <x:c r="F5533" s="12" t="str">
        <x:v>55 inch</x:v>
      </x:c>
      <x:c r="G5533" s="20" t="n">
        <x:v>1</x:v>
      </x:c>
      <x:c r="H5533" s="12" t="str">
        <x:v>Campus/portfolio roster; individual building occupancy unverified</x:v>
      </x:c>
      <x:c r="I5533" s="12" t="str">
        <x:v>Mixed business audience</x:v>
      </x:c>
      <x:c r="J5533" s="12" t="str">
        <x:v>Unresolved</x:v>
      </x:c>
      <x:c r="K5533" s="2" t="str">
        <x:v>PARTNER-M295</x:v>
      </x:c>
    </x:row>
    <x:row r="5534" ht="46" customHeight="1">
      <x:c r="A5534" s="2" t="str">
        <x:v>TEN-0EDD698BAD2E</x:v>
      </x:c>
      <x:c r="B5534" s="12" t="str">
        <x:v>Sierra-Cedar India Pvt. Limited</x:v>
      </x:c>
      <x:c r="C5534" s="12" t="str">
        <x:v>CORP-0712</x:v>
      </x:c>
      <x:c r="D5534" s="12" t="str">
        <x:v>Hyderabad</x:v>
      </x:c>
      <x:c r="E5534" s="12" t="str">
        <x:v>Cyber Tower</x:v>
      </x:c>
      <x:c r="F5534" s="12" t="str">
        <x:v>55 inch</x:v>
      </x:c>
      <x:c r="G5534" s="20" t="n">
        <x:v>1</x:v>
      </x:c>
      <x:c r="H5534" s="12" t="str">
        <x:v>Campus/portfolio roster; individual building occupancy unverified</x:v>
      </x:c>
      <x:c r="I5534" s="12" t="str">
        <x:v>Mixed business audience</x:v>
      </x:c>
      <x:c r="J5534" s="12" t="str">
        <x:v>IT &amp; digital</x:v>
      </x:c>
      <x:c r="K5534" s="2" t="str">
        <x:v>PARTNER-M295</x:v>
      </x:c>
    </x:row>
    <x:row r="5535" ht="46" customHeight="1">
      <x:c r="A5535" s="2" t="str">
        <x:v>TEN-172416680C0F</x:v>
      </x:c>
      <x:c r="B5535" s="12" t="str">
        <x:v>Amps And Watts</x:v>
      </x:c>
      <x:c r="C5535" s="12" t="str">
        <x:v>CORP-0712</x:v>
      </x:c>
      <x:c r="D5535" s="12" t="str">
        <x:v>Hyderabad</x:v>
      </x:c>
      <x:c r="E5535" s="12" t="str">
        <x:v>Cyber Tower</x:v>
      </x:c>
      <x:c r="F5535" s="12" t="str">
        <x:v>55 inch</x:v>
      </x:c>
      <x:c r="G5535" s="20" t="n">
        <x:v>1</x:v>
      </x:c>
      <x:c r="H5535" s="12" t="str">
        <x:v>Campus/portfolio roster; individual building occupancy unverified</x:v>
      </x:c>
      <x:c r="I5535" s="12" t="str">
        <x:v>Medium-scale prospects</x:v>
      </x:c>
      <x:c r="J5535" s="12" t="str">
        <x:v>Engineering &amp; manufacturing</x:v>
      </x:c>
      <x:c r="K5535" s="2" t="str">
        <x:v>PARTNER-M295</x:v>
      </x:c>
    </x:row>
    <x:row r="5536" ht="46" customHeight="1">
      <x:c r="A5536" s="2" t="str">
        <x:v>TEN-2043A419E121</x:v>
      </x:c>
      <x:c r="B5536" s="12" t="str">
        <x:v>Visual IT Solutions Pvt Ltd</x:v>
      </x:c>
      <x:c r="C5536" s="12" t="str">
        <x:v>CORP-0712</x:v>
      </x:c>
      <x:c r="D5536" s="12" t="str">
        <x:v>Hyderabad</x:v>
      </x:c>
      <x:c r="E5536" s="12" t="str">
        <x:v>Cyber Tower</x:v>
      </x:c>
      <x:c r="F5536" s="12" t="str">
        <x:v>55 inch</x:v>
      </x:c>
      <x:c r="G5536" s="20" t="n">
        <x:v>1</x:v>
      </x:c>
      <x:c r="H5536" s="12" t="str">
        <x:v>Campus/portfolio roster; individual building occupancy unverified</x:v>
      </x:c>
      <x:c r="I5536" s="12" t="str">
        <x:v>Small-scale prospects</x:v>
      </x:c>
      <x:c r="J5536" s="12" t="str">
        <x:v>IT &amp; digital</x:v>
      </x:c>
      <x:c r="K5536" s="2" t="str">
        <x:v>PARTNER-M295</x:v>
      </x:c>
    </x:row>
    <x:row r="5537" ht="46" customHeight="1">
      <x:c r="A5537" s="2" t="str">
        <x:v>TEN-30099B000C5C</x:v>
      </x:c>
      <x:c r="B5537" s="12" t="str">
        <x:v>Technosoft Global Solutions</x:v>
      </x:c>
      <x:c r="C5537" s="12" t="str">
        <x:v>CORP-0712</x:v>
      </x:c>
      <x:c r="D5537" s="12" t="str">
        <x:v>Hyderabad</x:v>
      </x:c>
      <x:c r="E5537" s="12" t="str">
        <x:v>Cyber Tower</x:v>
      </x:c>
      <x:c r="F5537" s="12" t="str">
        <x:v>55 inch</x:v>
      </x:c>
      <x:c r="G5537" s="20" t="n">
        <x:v>1</x:v>
      </x:c>
      <x:c r="H5537" s="12" t="str">
        <x:v>Campus/portfolio roster; individual building occupancy unverified</x:v>
      </x:c>
      <x:c r="I5537" s="12" t="str">
        <x:v>Small-scale prospects</x:v>
      </x:c>
      <x:c r="J5537" s="12" t="str">
        <x:v>IT &amp; digital</x:v>
      </x:c>
      <x:c r="K5537" s="2" t="str">
        <x:v>PARTNER-M295</x:v>
      </x:c>
    </x:row>
    <x:row r="5538" ht="46" customHeight="1">
      <x:c r="A5538" s="2" t="str">
        <x:v>TEN-30F6A61A31C7</x:v>
      </x:c>
      <x:c r="B5538" s="12" t="str">
        <x:v>Teksystems Global Services</x:v>
      </x:c>
      <x:c r="C5538" s="12" t="str">
        <x:v>CORP-0712</x:v>
      </x:c>
      <x:c r="D5538" s="12" t="str">
        <x:v>Hyderabad</x:v>
      </x:c>
      <x:c r="E5538" s="12" t="str">
        <x:v>Cyber Tower</x:v>
      </x:c>
      <x:c r="F5538" s="12" t="str">
        <x:v>55 inch</x:v>
      </x:c>
      <x:c r="G5538" s="20" t="n">
        <x:v>1</x:v>
      </x:c>
      <x:c r="H5538" s="12" t="str">
        <x:v>Campus/portfolio roster; individual building occupancy unverified</x:v>
      </x:c>
      <x:c r="I5538" s="12" t="str">
        <x:v>Mixed business audience</x:v>
      </x:c>
      <x:c r="J5538" s="12" t="str">
        <x:v>Professional services</x:v>
      </x:c>
      <x:c r="K5538" s="2" t="str">
        <x:v>PARTNER-M295</x:v>
      </x:c>
    </x:row>
    <x:row r="5539" ht="46" customHeight="1">
      <x:c r="A5539" s="2" t="str">
        <x:v>TEN-6CAB9DFC425C</x:v>
      </x:c>
      <x:c r="B5539" s="12" t="str">
        <x:v>Softility</x:v>
      </x:c>
      <x:c r="C5539" s="12" t="str">
        <x:v>CORP-0712</x:v>
      </x:c>
      <x:c r="D5539" s="12" t="str">
        <x:v>Hyderabad</x:v>
      </x:c>
      <x:c r="E5539" s="12" t="str">
        <x:v>Cyber Tower</x:v>
      </x:c>
      <x:c r="F5539" s="12" t="str">
        <x:v>55 inch</x:v>
      </x:c>
      <x:c r="G5539" s="20" t="n">
        <x:v>1</x:v>
      </x:c>
      <x:c r="H5539" s="12" t="str">
        <x:v>Campus/portfolio roster; individual building occupancy unverified</x:v>
      </x:c>
      <x:c r="I5539" s="12" t="str">
        <x:v>Small-scale prospects</x:v>
      </x:c>
      <x:c r="J5539" s="12" t="str">
        <x:v>IT &amp; digital</x:v>
      </x:c>
      <x:c r="K5539" s="2" t="str">
        <x:v>PARTNER-M295</x:v>
      </x:c>
    </x:row>
    <x:row r="5540" ht="46" customHeight="1">
      <x:c r="A5540" s="2" t="str">
        <x:v>TEN-6CBA95EE1BC0</x:v>
      </x:c>
      <x:c r="B5540" s="12" t="str">
        <x:v>iSpace Software Solutions India Pvt Ltd</x:v>
      </x:c>
      <x:c r="C5540" s="12" t="str">
        <x:v>CORP-0712</x:v>
      </x:c>
      <x:c r="D5540" s="12" t="str">
        <x:v>Hyderabad</x:v>
      </x:c>
      <x:c r="E5540" s="12" t="str">
        <x:v>Cyber Tower</x:v>
      </x:c>
      <x:c r="F5540" s="12" t="str">
        <x:v>55 inch</x:v>
      </x:c>
      <x:c r="G5540" s="20" t="n">
        <x:v>1</x:v>
      </x:c>
      <x:c r="H5540" s="12" t="str">
        <x:v>Campus/portfolio roster; individual building occupancy unverified</x:v>
      </x:c>
      <x:c r="I5540" s="12" t="str">
        <x:v>Small-scale prospects</x:v>
      </x:c>
      <x:c r="J5540" s="12" t="str">
        <x:v>IT &amp; digital</x:v>
      </x:c>
      <x:c r="K5540" s="2" t="str">
        <x:v>PARTNER-M295</x:v>
      </x:c>
    </x:row>
    <x:row r="5541" ht="46" customHeight="1">
      <x:c r="A5541" s="2" t="str">
        <x:v>TEN-6FBA7BE7F62E</x:v>
      </x:c>
      <x:c r="B5541" s="12" t="str">
        <x:v>iSource Global Solutions</x:v>
      </x:c>
      <x:c r="C5541" s="12" t="str">
        <x:v>CORP-0712</x:v>
      </x:c>
      <x:c r="D5541" s="12" t="str">
        <x:v>Hyderabad</x:v>
      </x:c>
      <x:c r="E5541" s="12" t="str">
        <x:v>Cyber Tower</x:v>
      </x:c>
      <x:c r="F5541" s="12" t="str">
        <x:v>55 inch</x:v>
      </x:c>
      <x:c r="G5541" s="20" t="n">
        <x:v>1</x:v>
      </x:c>
      <x:c r="H5541" s="12" t="str">
        <x:v>Campus/portfolio roster; individual building occupancy unverified</x:v>
      </x:c>
      <x:c r="I5541" s="12" t="str">
        <x:v>Mixed business audience</x:v>
      </x:c>
      <x:c r="J5541" s="12" t="str">
        <x:v>Unresolved</x:v>
      </x:c>
      <x:c r="K5541" s="2" t="str">
        <x:v>PARTNER-M295</x:v>
      </x:c>
    </x:row>
    <x:row r="5542" ht="46" customHeight="1">
      <x:c r="A5542" s="2" t="str">
        <x:v>TEN-738CF5E0F324</x:v>
      </x:c>
      <x:c r="B5542" s="12" t="str">
        <x:v>Jotter.ai</x:v>
      </x:c>
      <x:c r="C5542" s="12" t="str">
        <x:v>CORP-0712</x:v>
      </x:c>
      <x:c r="D5542" s="12" t="str">
        <x:v>Hyderabad</x:v>
      </x:c>
      <x:c r="E5542" s="12" t="str">
        <x:v>Cyber Tower</x:v>
      </x:c>
      <x:c r="F5542" s="12" t="str">
        <x:v>55 inch</x:v>
      </x:c>
      <x:c r="G5542" s="20" t="n">
        <x:v>1</x:v>
      </x:c>
      <x:c r="H5542" s="12" t="str">
        <x:v>Campus/portfolio roster; individual building occupancy unverified</x:v>
      </x:c>
      <x:c r="I5542" s="12" t="str">
        <x:v>Small-scale prospects</x:v>
      </x:c>
      <x:c r="J5542" s="12" t="str">
        <x:v>IT &amp; digital</x:v>
      </x:c>
      <x:c r="K5542" s="2" t="str">
        <x:v>PARTNER-M295</x:v>
      </x:c>
    </x:row>
    <x:row r="5543" ht="46" customHeight="1">
      <x:c r="A5543" s="2" t="str">
        <x:v>TEN-89C7DF9519C3</x:v>
      </x:c>
      <x:c r="B5543" s="12" t="str">
        <x:v>Nsight India</x:v>
      </x:c>
      <x:c r="C5543" s="12" t="str">
        <x:v>CORP-0712</x:v>
      </x:c>
      <x:c r="D5543" s="12" t="str">
        <x:v>Hyderabad</x:v>
      </x:c>
      <x:c r="E5543" s="12" t="str">
        <x:v>Cyber Tower</x:v>
      </x:c>
      <x:c r="F5543" s="12" t="str">
        <x:v>55 inch</x:v>
      </x:c>
      <x:c r="G5543" s="20" t="n">
        <x:v>1</x:v>
      </x:c>
      <x:c r="H5543" s="12" t="str">
        <x:v>Campus/portfolio roster; individual building occupancy unverified</x:v>
      </x:c>
      <x:c r="I5543" s="12" t="str">
        <x:v>Small-scale prospects</x:v>
      </x:c>
      <x:c r="J5543" s="12" t="str">
        <x:v>IT &amp; digital</x:v>
      </x:c>
      <x:c r="K5543" s="2" t="str">
        <x:v>PARTNER-M295</x:v>
      </x:c>
    </x:row>
    <x:row r="5544" ht="46" customHeight="1">
      <x:c r="A5544" s="2" t="str">
        <x:v>TEN-8A5EDFCA45E4</x:v>
      </x:c>
      <x:c r="B5544" s="12" t="str">
        <x:v>Pochampalli IT Labs</x:v>
      </x:c>
      <x:c r="C5544" s="12" t="str">
        <x:v>CORP-0712</x:v>
      </x:c>
      <x:c r="D5544" s="12" t="str">
        <x:v>Hyderabad</x:v>
      </x:c>
      <x:c r="E5544" s="12" t="str">
        <x:v>Cyber Tower</x:v>
      </x:c>
      <x:c r="F5544" s="12" t="str">
        <x:v>55 inch</x:v>
      </x:c>
      <x:c r="G5544" s="20" t="n">
        <x:v>1</x:v>
      </x:c>
      <x:c r="H5544" s="12" t="str">
        <x:v>Campus/portfolio roster; individual building occupancy unverified</x:v>
      </x:c>
      <x:c r="I5544" s="12" t="str">
        <x:v>Small-scale prospects</x:v>
      </x:c>
      <x:c r="J5544" s="12" t="str">
        <x:v>IT &amp; digital</x:v>
      </x:c>
      <x:c r="K5544" s="2" t="str">
        <x:v>PARTNER-M295</x:v>
      </x:c>
    </x:row>
    <x:row r="5545" ht="46" customHeight="1">
      <x:c r="A5545" s="2" t="str">
        <x:v>TEN-8F9C783063DF</x:v>
      </x:c>
      <x:c r="B5545" s="12" t="str">
        <x:v>Carbynetech India Private</x:v>
      </x:c>
      <x:c r="C5545" s="12" t="str">
        <x:v>CORP-0712</x:v>
      </x:c>
      <x:c r="D5545" s="12" t="str">
        <x:v>Hyderabad</x:v>
      </x:c>
      <x:c r="E5545" s="12" t="str">
        <x:v>Cyber Tower</x:v>
      </x:c>
      <x:c r="F5545" s="12" t="str">
        <x:v>55 inch</x:v>
      </x:c>
      <x:c r="G5545" s="20" t="n">
        <x:v>1</x:v>
      </x:c>
      <x:c r="H5545" s="12" t="str">
        <x:v>Campus/portfolio roster; individual building occupancy unverified</x:v>
      </x:c>
      <x:c r="I5545" s="12" t="str">
        <x:v>Small-scale prospects</x:v>
      </x:c>
      <x:c r="J5545" s="12" t="str">
        <x:v>IT &amp; digital</x:v>
      </x:c>
      <x:c r="K5545" s="2" t="str">
        <x:v>PARTNER-M295</x:v>
      </x:c>
    </x:row>
    <x:row r="5546" ht="46" customHeight="1">
      <x:c r="A5546" s="2" t="str">
        <x:v>TEN-954E3B0AC1F9</x:v>
      </x:c>
      <x:c r="B5546" s="12" t="str">
        <x:v>Huddl Enterprise Communication Pvt Ltd</x:v>
      </x:c>
      <x:c r="C5546" s="12" t="str">
        <x:v>CORP-0712</x:v>
      </x:c>
      <x:c r="D5546" s="12" t="str">
        <x:v>Hyderabad</x:v>
      </x:c>
      <x:c r="E5546" s="12" t="str">
        <x:v>Cyber Tower</x:v>
      </x:c>
      <x:c r="F5546" s="12" t="str">
        <x:v>55 inch</x:v>
      </x:c>
      <x:c r="G5546" s="20" t="n">
        <x:v>1</x:v>
      </x:c>
      <x:c r="H5546" s="12" t="str">
        <x:v>Campus/portfolio roster; individual building occupancy unverified</x:v>
      </x:c>
      <x:c r="I5546" s="12" t="str">
        <x:v>Small-scale prospects</x:v>
      </x:c>
      <x:c r="J5546" s="12" t="str">
        <x:v>IT &amp; digital</x:v>
      </x:c>
      <x:c r="K5546" s="2" t="str">
        <x:v>PARTNER-M295</x:v>
      </x:c>
    </x:row>
    <x:row r="5547" ht="46" customHeight="1">
      <x:c r="A5547" s="2" t="str">
        <x:v>TEN-A509A9AAC287</x:v>
      </x:c>
      <x:c r="B5547" s="12" t="str">
        <x:v>Xoriant Solutions Pvt Ltd</x:v>
      </x:c>
      <x:c r="C5547" s="12" t="str">
        <x:v>CORP-0712</x:v>
      </x:c>
      <x:c r="D5547" s="12" t="str">
        <x:v>Hyderabad</x:v>
      </x:c>
      <x:c r="E5547" s="12" t="str">
        <x:v>Cyber Tower</x:v>
      </x:c>
      <x:c r="F5547" s="12" t="str">
        <x:v>55 inch</x:v>
      </x:c>
      <x:c r="G5547" s="20" t="n">
        <x:v>1</x:v>
      </x:c>
      <x:c r="H5547" s="12" t="str">
        <x:v>Campus/portfolio roster; individual building occupancy unverified</x:v>
      </x:c>
      <x:c r="I5547" s="12" t="str">
        <x:v>Large enterprise</x:v>
      </x:c>
      <x:c r="J5547" s="12" t="str">
        <x:v>IT &amp; digital</x:v>
      </x:c>
      <x:c r="K5547" s="2" t="str">
        <x:v>PARTNER-M295</x:v>
      </x:c>
    </x:row>
    <x:row r="5548" ht="46" customHeight="1">
      <x:c r="A5548" s="2" t="str">
        <x:v>TEN-B5C691D27CD7</x:v>
      </x:c>
      <x:c r="B5548" s="12" t="str">
        <x:v>Galaxe Solutions</x:v>
      </x:c>
      <x:c r="C5548" s="12" t="str">
        <x:v>CORP-0712</x:v>
      </x:c>
      <x:c r="D5548" s="12" t="str">
        <x:v>Hyderabad</x:v>
      </x:c>
      <x:c r="E5548" s="12" t="str">
        <x:v>Cyber Tower</x:v>
      </x:c>
      <x:c r="F5548" s="12" t="str">
        <x:v>55 inch</x:v>
      </x:c>
      <x:c r="G5548" s="20" t="n">
        <x:v>1</x:v>
      </x:c>
      <x:c r="H5548" s="12" t="str">
        <x:v>Campus/portfolio roster; individual building occupancy unverified</x:v>
      </x:c>
      <x:c r="I5548" s="12" t="str">
        <x:v>Mixed business audience</x:v>
      </x:c>
      <x:c r="J5548" s="12" t="str">
        <x:v>IT &amp; digital</x:v>
      </x:c>
      <x:c r="K5548" s="2" t="str">
        <x:v>PARTNER-M295</x:v>
      </x:c>
    </x:row>
    <x:row r="5549" ht="46" customHeight="1">
      <x:c r="A5549" s="2" t="str">
        <x:v>TEN-BC3CB45E4A8C</x:v>
      </x:c>
      <x:c r="B5549" s="12" t="str">
        <x:v>Numeric Technologies</x:v>
      </x:c>
      <x:c r="C5549" s="12" t="str">
        <x:v>CORP-0712</x:v>
      </x:c>
      <x:c r="D5549" s="12" t="str">
        <x:v>Hyderabad</x:v>
      </x:c>
      <x:c r="E5549" s="12" t="str">
        <x:v>Cyber Tower</x:v>
      </x:c>
      <x:c r="F5549" s="12" t="str">
        <x:v>55 inch</x:v>
      </x:c>
      <x:c r="G5549" s="20" t="n">
        <x:v>1</x:v>
      </x:c>
      <x:c r="H5549" s="12" t="str">
        <x:v>Campus/portfolio roster; individual building occupancy unverified</x:v>
      </x:c>
      <x:c r="I5549" s="12" t="str">
        <x:v>Small-scale prospects</x:v>
      </x:c>
      <x:c r="J5549" s="12" t="str">
        <x:v>IT &amp; digital</x:v>
      </x:c>
      <x:c r="K5549" s="2" t="str">
        <x:v>PARTNER-M295</x:v>
      </x:c>
    </x:row>
    <x:row r="5550" ht="46" customHeight="1">
      <x:c r="A5550" s="2" t="str">
        <x:v>TEN-C22CCD5B65F2</x:v>
      </x:c>
      <x:c r="B5550" s="12" t="str">
        <x:v>Pennant Technologies Private Limited</x:v>
      </x:c>
      <x:c r="C5550" s="12" t="str">
        <x:v>CORP-0712</x:v>
      </x:c>
      <x:c r="D5550" s="12" t="str">
        <x:v>Hyderabad</x:v>
      </x:c>
      <x:c r="E5550" s="12" t="str">
        <x:v>Cyber Tower</x:v>
      </x:c>
      <x:c r="F5550" s="12" t="str">
        <x:v>55 inch</x:v>
      </x:c>
      <x:c r="G5550" s="20" t="n">
        <x:v>1</x:v>
      </x:c>
      <x:c r="H5550" s="12" t="str">
        <x:v>Campus/portfolio roster; individual building occupancy unverified</x:v>
      </x:c>
      <x:c r="I5550" s="12" t="str">
        <x:v>Small-scale prospects</x:v>
      </x:c>
      <x:c r="J5550" s="12" t="str">
        <x:v>IT &amp; digital</x:v>
      </x:c>
      <x:c r="K5550" s="2" t="str">
        <x:v>PARTNER-M295</x:v>
      </x:c>
    </x:row>
    <x:row r="5551" ht="46" customHeight="1">
      <x:c r="A5551" s="2" t="str">
        <x:v>TEN-C23D7DDF638C</x:v>
      </x:c>
      <x:c r="B5551" s="12" t="str">
        <x:v>Abacus Staffing and Services Pvt Ltd</x:v>
      </x:c>
      <x:c r="C5551" s="12" t="str">
        <x:v>CORP-0712</x:v>
      </x:c>
      <x:c r="D5551" s="12" t="str">
        <x:v>Hyderabad</x:v>
      </x:c>
      <x:c r="E5551" s="12" t="str">
        <x:v>Cyber Tower</x:v>
      </x:c>
      <x:c r="F5551" s="12" t="str">
        <x:v>55 inch</x:v>
      </x:c>
      <x:c r="G5551" s="20" t="n">
        <x:v>1</x:v>
      </x:c>
      <x:c r="H5551" s="12" t="str">
        <x:v>Campus/portfolio roster; individual building occupancy unverified</x:v>
      </x:c>
      <x:c r="I5551" s="12" t="str">
        <x:v>Small-scale prospects</x:v>
      </x:c>
      <x:c r="J5551" s="12" t="str">
        <x:v>Professional services</x:v>
      </x:c>
      <x:c r="K5551" s="2" t="str">
        <x:v>PARTNER-M295</x:v>
      </x:c>
    </x:row>
    <x:row r="5552" ht="46" customHeight="1">
      <x:c r="A5552" s="2" t="str">
        <x:v>TEN-CF9779F42FF3</x:v>
      </x:c>
      <x:c r="B5552" s="12" t="str">
        <x:v>Lantronix India Pvt. Ltd</x:v>
      </x:c>
      <x:c r="C5552" s="12" t="str">
        <x:v>CORP-0712</x:v>
      </x:c>
      <x:c r="D5552" s="12" t="str">
        <x:v>Hyderabad</x:v>
      </x:c>
      <x:c r="E5552" s="12" t="str">
        <x:v>Cyber Tower</x:v>
      </x:c>
      <x:c r="F5552" s="12" t="str">
        <x:v>55 inch</x:v>
      </x:c>
      <x:c r="G5552" s="20" t="n">
        <x:v>1</x:v>
      </x:c>
      <x:c r="H5552" s="12" t="str">
        <x:v>Campus/portfolio roster; individual building occupancy unverified</x:v>
      </x:c>
      <x:c r="I5552" s="12" t="str">
        <x:v>Mixed business audience</x:v>
      </x:c>
      <x:c r="J5552" s="12" t="str">
        <x:v>IT &amp; digital</x:v>
      </x:c>
      <x:c r="K5552" s="2" t="str">
        <x:v>PARTNER-M295</x:v>
      </x:c>
    </x:row>
    <x:row r="5553" ht="46" customHeight="1">
      <x:c r="A5553" s="2" t="str">
        <x:v>TEN-D26EFCBBB5D9</x:v>
      </x:c>
      <x:c r="B5553" s="12" t="str">
        <x:v>Google CGW</x:v>
      </x:c>
      <x:c r="C5553" s="12" t="str">
        <x:v>CORP-0712</x:v>
      </x:c>
      <x:c r="D5553" s="12" t="str">
        <x:v>Hyderabad</x:v>
      </x:c>
      <x:c r="E5553" s="12" t="str">
        <x:v>Cyber Tower</x:v>
      </x:c>
      <x:c r="F5553" s="12" t="str">
        <x:v>55 inch</x:v>
      </x:c>
      <x:c r="G5553" s="20" t="n">
        <x:v>1</x:v>
      </x:c>
      <x:c r="H5553" s="12" t="str">
        <x:v>Campus/portfolio roster; individual building occupancy unverified</x:v>
      </x:c>
      <x:c r="I5553" s="12" t="str">
        <x:v>Large enterprise</x:v>
      </x:c>
      <x:c r="J5553" s="12" t="str">
        <x:v>IT &amp; digital</x:v>
      </x:c>
      <x:c r="K5553" s="2" t="str">
        <x:v>PARTNER-M295</x:v>
      </x:c>
    </x:row>
    <x:row r="5554" ht="46" customHeight="1">
      <x:c r="A5554" s="2" t="str">
        <x:v>TEN-D6CB554DC303</x:v>
      </x:c>
      <x:c r="B5554" s="12" t="str">
        <x:v>Ultimate Bonding Stainless</x:v>
      </x:c>
      <x:c r="C5554" s="12" t="str">
        <x:v>CORP-0712</x:v>
      </x:c>
      <x:c r="D5554" s="12" t="str">
        <x:v>Hyderabad</x:v>
      </x:c>
      <x:c r="E5554" s="12" t="str">
        <x:v>Cyber Tower</x:v>
      </x:c>
      <x:c r="F5554" s="12" t="str">
        <x:v>55 inch</x:v>
      </x:c>
      <x:c r="G5554" s="20" t="n">
        <x:v>1</x:v>
      </x:c>
      <x:c r="H5554" s="12" t="str">
        <x:v>Campus/portfolio roster; individual building occupancy unverified</x:v>
      </x:c>
      <x:c r="I5554" s="12" t="str">
        <x:v>Medium-scale prospects</x:v>
      </x:c>
      <x:c r="J5554" s="12" t="str">
        <x:v>Engineering &amp; manufacturing</x:v>
      </x:c>
      <x:c r="K5554" s="2" t="str">
        <x:v>PARTNER-M295</x:v>
      </x:c>
    </x:row>
    <x:row r="5555" ht="46" customHeight="1">
      <x:c r="A5555" s="2" t="str">
        <x:v>TEN-D8AA87D79F26</x:v>
      </x:c>
      <x:c r="B5555" s="12" t="str">
        <x:v>ComTec IT Services</x:v>
      </x:c>
      <x:c r="C5555" s="12" t="str">
        <x:v>CORP-0712</x:v>
      </x:c>
      <x:c r="D5555" s="12" t="str">
        <x:v>Hyderabad</x:v>
      </x:c>
      <x:c r="E5555" s="12" t="str">
        <x:v>Cyber Tower</x:v>
      </x:c>
      <x:c r="F5555" s="12" t="str">
        <x:v>55 inch</x:v>
      </x:c>
      <x:c r="G5555" s="20" t="n">
        <x:v>1</x:v>
      </x:c>
      <x:c r="H5555" s="12" t="str">
        <x:v>Campus/portfolio roster; individual building occupancy unverified</x:v>
      </x:c>
      <x:c r="I5555" s="12" t="str">
        <x:v>Small-scale prospects</x:v>
      </x:c>
      <x:c r="J5555" s="12" t="str">
        <x:v>IT &amp; digital</x:v>
      </x:c>
      <x:c r="K5555" s="2" t="str">
        <x:v>PARTNER-M295</x:v>
      </x:c>
    </x:row>
    <x:row r="5556" ht="46" customHeight="1">
      <x:c r="A5556" s="2" t="str">
        <x:v>TEN-DAFF8DD90485</x:v>
      </x:c>
      <x:c r="B5556" s="12" t="str">
        <x:v>KloudGin</x:v>
      </x:c>
      <x:c r="C5556" s="12" t="str">
        <x:v>CORP-0712</x:v>
      </x:c>
      <x:c r="D5556" s="12" t="str">
        <x:v>Hyderabad</x:v>
      </x:c>
      <x:c r="E5556" s="12" t="str">
        <x:v>Cyber Tower</x:v>
      </x:c>
      <x:c r="F5556" s="12" t="str">
        <x:v>55 inch</x:v>
      </x:c>
      <x:c r="G5556" s="20" t="n">
        <x:v>1</x:v>
      </x:c>
      <x:c r="H5556" s="12" t="str">
        <x:v>Campus/portfolio roster; individual building occupancy unverified</x:v>
      </x:c>
      <x:c r="I5556" s="12" t="str">
        <x:v>Small-scale prospects</x:v>
      </x:c>
      <x:c r="J5556" s="12" t="str">
        <x:v>IT &amp; digital</x:v>
      </x:c>
      <x:c r="K5556" s="2" t="str">
        <x:v>PARTNER-M295</x:v>
      </x:c>
    </x:row>
    <x:row r="5557" ht="46" customHeight="1">
      <x:c r="A5557" s="2" t="str">
        <x:v>TEN-E8C5F0A15362</x:v>
      </x:c>
      <x:c r="B5557" s="12" t="str">
        <x:v>Infovity India Pvt. Ltd</x:v>
      </x:c>
      <x:c r="C5557" s="12" t="str">
        <x:v>CORP-0712</x:v>
      </x:c>
      <x:c r="D5557" s="12" t="str">
        <x:v>Hyderabad</x:v>
      </x:c>
      <x:c r="E5557" s="12" t="str">
        <x:v>Cyber Tower</x:v>
      </x:c>
      <x:c r="F5557" s="12" t="str">
        <x:v>55 inch</x:v>
      </x:c>
      <x:c r="G5557" s="20" t="n">
        <x:v>1</x:v>
      </x:c>
      <x:c r="H5557" s="12" t="str">
        <x:v>Campus/portfolio roster; individual building occupancy unverified</x:v>
      </x:c>
      <x:c r="I5557" s="12" t="str">
        <x:v>Small-scale prospects</x:v>
      </x:c>
      <x:c r="J5557" s="12" t="str">
        <x:v>IT &amp; digital</x:v>
      </x:c>
      <x:c r="K5557" s="2" t="str">
        <x:v>PARTNER-M295</x:v>
      </x:c>
    </x:row>
    <x:row r="5558" ht="46" customHeight="1">
      <x:c r="A5558" s="2" t="str">
        <x:v>TEN-F123D2B55E66</x:v>
      </x:c>
      <x:c r="B5558" s="12" t="str">
        <x:v>Netxcell Limited</x:v>
      </x:c>
      <x:c r="C5558" s="12" t="str">
        <x:v>CORP-0712</x:v>
      </x:c>
      <x:c r="D5558" s="12" t="str">
        <x:v>Hyderabad</x:v>
      </x:c>
      <x:c r="E5558" s="12" t="str">
        <x:v>Cyber Tower</x:v>
      </x:c>
      <x:c r="F5558" s="12" t="str">
        <x:v>55 inch</x:v>
      </x:c>
      <x:c r="G5558" s="20" t="n">
        <x:v>1</x:v>
      </x:c>
      <x:c r="H5558" s="12" t="str">
        <x:v>Campus/portfolio roster; individual building occupancy unverified</x:v>
      </x:c>
      <x:c r="I5558" s="12" t="str">
        <x:v>Small-scale prospects</x:v>
      </x:c>
      <x:c r="J5558" s="12" t="str">
        <x:v>IT &amp; digital</x:v>
      </x:c>
      <x:c r="K5558" s="2" t="str">
        <x:v>PARTNER-M295</x:v>
      </x:c>
    </x:row>
    <x:row r="5559" ht="46" customHeight="1">
      <x:c r="A5559" s="2" t="str">
        <x:v>TEN-F49BB10C12ED</x:v>
      </x:c>
      <x:c r="B5559" s="12" t="str">
        <x:v>Techmojo Solutions Pvt Ltd</x:v>
      </x:c>
      <x:c r="C5559" s="12" t="str">
        <x:v>CORP-0712</x:v>
      </x:c>
      <x:c r="D5559" s="12" t="str">
        <x:v>Hyderabad</x:v>
      </x:c>
      <x:c r="E5559" s="12" t="str">
        <x:v>Cyber Tower</x:v>
      </x:c>
      <x:c r="F5559" s="12" t="str">
        <x:v>55 inch</x:v>
      </x:c>
      <x:c r="G5559" s="20" t="n">
        <x:v>1</x:v>
      </x:c>
      <x:c r="H5559" s="12" t="str">
        <x:v>Campus/portfolio roster; individual building occupancy unverified</x:v>
      </x:c>
      <x:c r="I5559" s="12" t="str">
        <x:v>Small-scale prospects</x:v>
      </x:c>
      <x:c r="J5559" s="12" t="str">
        <x:v>IT &amp; digital</x:v>
      </x:c>
      <x:c r="K5559" s="2" t="str">
        <x:v>PARTNER-M295</x:v>
      </x:c>
    </x:row>
    <x:row r="5560" ht="46" customHeight="1">
      <x:c r="A5560" s="2" t="str">
        <x:v>TEN-F8AF322D0456</x:v>
      </x:c>
      <x:c r="B5560" s="12" t="str">
        <x:v>Pegasys Group</x:v>
      </x:c>
      <x:c r="C5560" s="12" t="str">
        <x:v>CORP-0712</x:v>
      </x:c>
      <x:c r="D5560" s="12" t="str">
        <x:v>Hyderabad</x:v>
      </x:c>
      <x:c r="E5560" s="12" t="str">
        <x:v>Cyber Tower</x:v>
      </x:c>
      <x:c r="F5560" s="12" t="str">
        <x:v>55 inch</x:v>
      </x:c>
      <x:c r="G5560" s="20" t="n">
        <x:v>1</x:v>
      </x:c>
      <x:c r="H5560" s="12" t="str">
        <x:v>Campus/portfolio roster; individual building occupancy unverified</x:v>
      </x:c>
      <x:c r="I5560" s="12" t="str">
        <x:v>Small-scale prospects</x:v>
      </x:c>
      <x:c r="J5560" s="12" t="str">
        <x:v>IT &amp; digital</x:v>
      </x:c>
      <x:c r="K5560" s="2" t="str">
        <x:v>PARTNER-M295</x:v>
      </x:c>
    </x:row>
    <x:row r="5561" ht="46" customHeight="1">
      <x:c r="A5561" s="2" t="str">
        <x:v>TEN-F9676989ACD4</x:v>
      </x:c>
      <x:c r="B5561" s="12" t="str">
        <x:v>Avineon India</x:v>
      </x:c>
      <x:c r="C5561" s="12" t="str">
        <x:v>CORP-0712</x:v>
      </x:c>
      <x:c r="D5561" s="12" t="str">
        <x:v>Hyderabad</x:v>
      </x:c>
      <x:c r="E5561" s="12" t="str">
        <x:v>Cyber Tower</x:v>
      </x:c>
      <x:c r="F5561" s="12" t="str">
        <x:v>55 inch</x:v>
      </x:c>
      <x:c r="G5561" s="20" t="n">
        <x:v>1</x:v>
      </x:c>
      <x:c r="H5561" s="12" t="str">
        <x:v>Campus/portfolio roster; individual building occupancy unverified</x:v>
      </x:c>
      <x:c r="I5561" s="12" t="str">
        <x:v>Mixed business audience</x:v>
      </x:c>
      <x:c r="J5561" s="12" t="str">
        <x:v>IT &amp; digital</x:v>
      </x:c>
      <x:c r="K5561" s="2" t="str">
        <x:v>PARTNER-M295</x:v>
      </x:c>
    </x:row>
    <x:row r="5562" ht="46" customHeight="1">
      <x:c r="A5562" s="2" t="str">
        <x:v>TEN-0E6A5F7C73CC</x:v>
      </x:c>
      <x:c r="B5562" s="12" t="str">
        <x:v>Righyitfy Solutions</x:v>
      </x:c>
      <x:c r="C5562" s="12" t="str">
        <x:v>CORP-0713</x:v>
      </x:c>
      <x:c r="D5562" s="12" t="str">
        <x:v>Hyderabad</x:v>
      </x:c>
      <x:c r="E5562" s="12" t="str">
        <x:v>Cyber Tower</x:v>
      </x:c>
      <x:c r="F5562" s="12" t="str">
        <x:v>55 inch</x:v>
      </x:c>
      <x:c r="G5562" s="20" t="n">
        <x:v>1</x:v>
      </x:c>
      <x:c r="H5562" s="12" t="str">
        <x:v>Campus/portfolio roster; individual building occupancy unverified</x:v>
      </x:c>
      <x:c r="I5562" s="12" t="str">
        <x:v>Mixed business audience</x:v>
      </x:c>
      <x:c r="J5562" s="12" t="str">
        <x:v>Unresolved</x:v>
      </x:c>
      <x:c r="K5562" s="2" t="str">
        <x:v>PARTNER-M295</x:v>
      </x:c>
    </x:row>
    <x:row r="5563" ht="46" customHeight="1">
      <x:c r="A5563" s="2" t="str">
        <x:v>TEN-0EDD698BAD2E</x:v>
      </x:c>
      <x:c r="B5563" s="12" t="str">
        <x:v>Sierra-Cedar India Pvt. Limited</x:v>
      </x:c>
      <x:c r="C5563" s="12" t="str">
        <x:v>CORP-0713</x:v>
      </x:c>
      <x:c r="D5563" s="12" t="str">
        <x:v>Hyderabad</x:v>
      </x:c>
      <x:c r="E5563" s="12" t="str">
        <x:v>Cyber Tower</x:v>
      </x:c>
      <x:c r="F5563" s="12" t="str">
        <x:v>55 inch</x:v>
      </x:c>
      <x:c r="G5563" s="20" t="n">
        <x:v>1</x:v>
      </x:c>
      <x:c r="H5563" s="12" t="str">
        <x:v>Campus/portfolio roster; individual building occupancy unverified</x:v>
      </x:c>
      <x:c r="I5563" s="12" t="str">
        <x:v>Mixed business audience</x:v>
      </x:c>
      <x:c r="J5563" s="12" t="str">
        <x:v>IT &amp; digital</x:v>
      </x:c>
      <x:c r="K5563" s="2" t="str">
        <x:v>PARTNER-M295</x:v>
      </x:c>
    </x:row>
    <x:row r="5564" ht="46" customHeight="1">
      <x:c r="A5564" s="2" t="str">
        <x:v>TEN-172416680C0F</x:v>
      </x:c>
      <x:c r="B5564" s="12" t="str">
        <x:v>Amps And Watts</x:v>
      </x:c>
      <x:c r="C5564" s="12" t="str">
        <x:v>CORP-0713</x:v>
      </x:c>
      <x:c r="D5564" s="12" t="str">
        <x:v>Hyderabad</x:v>
      </x:c>
      <x:c r="E5564" s="12" t="str">
        <x:v>Cyber Tower</x:v>
      </x:c>
      <x:c r="F5564" s="12" t="str">
        <x:v>55 inch</x:v>
      </x:c>
      <x:c r="G5564" s="20" t="n">
        <x:v>1</x:v>
      </x:c>
      <x:c r="H5564" s="12" t="str">
        <x:v>Campus/portfolio roster; individual building occupancy unverified</x:v>
      </x:c>
      <x:c r="I5564" s="12" t="str">
        <x:v>Medium-scale prospects</x:v>
      </x:c>
      <x:c r="J5564" s="12" t="str">
        <x:v>Engineering &amp; manufacturing</x:v>
      </x:c>
      <x:c r="K5564" s="2" t="str">
        <x:v>PARTNER-M295</x:v>
      </x:c>
    </x:row>
    <x:row r="5565" ht="46" customHeight="1">
      <x:c r="A5565" s="2" t="str">
        <x:v>TEN-2043A419E121</x:v>
      </x:c>
      <x:c r="B5565" s="12" t="str">
        <x:v>Visual IT Solutions Pvt Ltd</x:v>
      </x:c>
      <x:c r="C5565" s="12" t="str">
        <x:v>CORP-0713</x:v>
      </x:c>
      <x:c r="D5565" s="12" t="str">
        <x:v>Hyderabad</x:v>
      </x:c>
      <x:c r="E5565" s="12" t="str">
        <x:v>Cyber Tower</x:v>
      </x:c>
      <x:c r="F5565" s="12" t="str">
        <x:v>55 inch</x:v>
      </x:c>
      <x:c r="G5565" s="20" t="n">
        <x:v>1</x:v>
      </x:c>
      <x:c r="H5565" s="12" t="str">
        <x:v>Campus/portfolio roster; individual building occupancy unverified</x:v>
      </x:c>
      <x:c r="I5565" s="12" t="str">
        <x:v>Small-scale prospects</x:v>
      </x:c>
      <x:c r="J5565" s="12" t="str">
        <x:v>IT &amp; digital</x:v>
      </x:c>
      <x:c r="K5565" s="2" t="str">
        <x:v>PARTNER-M295</x:v>
      </x:c>
    </x:row>
    <x:row r="5566" ht="46" customHeight="1">
      <x:c r="A5566" s="2" t="str">
        <x:v>TEN-30099B000C5C</x:v>
      </x:c>
      <x:c r="B5566" s="12" t="str">
        <x:v>Technosoft Global Solutions</x:v>
      </x:c>
      <x:c r="C5566" s="12" t="str">
        <x:v>CORP-0713</x:v>
      </x:c>
      <x:c r="D5566" s="12" t="str">
        <x:v>Hyderabad</x:v>
      </x:c>
      <x:c r="E5566" s="12" t="str">
        <x:v>Cyber Tower</x:v>
      </x:c>
      <x:c r="F5566" s="12" t="str">
        <x:v>55 inch</x:v>
      </x:c>
      <x:c r="G5566" s="20" t="n">
        <x:v>1</x:v>
      </x:c>
      <x:c r="H5566" s="12" t="str">
        <x:v>Campus/portfolio roster; individual building occupancy unverified</x:v>
      </x:c>
      <x:c r="I5566" s="12" t="str">
        <x:v>Small-scale prospects</x:v>
      </x:c>
      <x:c r="J5566" s="12" t="str">
        <x:v>IT &amp; digital</x:v>
      </x:c>
      <x:c r="K5566" s="2" t="str">
        <x:v>PARTNER-M295</x:v>
      </x:c>
    </x:row>
    <x:row r="5567" ht="46" customHeight="1">
      <x:c r="A5567" s="2" t="str">
        <x:v>TEN-30F6A61A31C7</x:v>
      </x:c>
      <x:c r="B5567" s="12" t="str">
        <x:v>Teksystems Global Services</x:v>
      </x:c>
      <x:c r="C5567" s="12" t="str">
        <x:v>CORP-0713</x:v>
      </x:c>
      <x:c r="D5567" s="12" t="str">
        <x:v>Hyderabad</x:v>
      </x:c>
      <x:c r="E5567" s="12" t="str">
        <x:v>Cyber Tower</x:v>
      </x:c>
      <x:c r="F5567" s="12" t="str">
        <x:v>55 inch</x:v>
      </x:c>
      <x:c r="G5567" s="20" t="n">
        <x:v>1</x:v>
      </x:c>
      <x:c r="H5567" s="12" t="str">
        <x:v>Campus/portfolio roster; individual building occupancy unverified</x:v>
      </x:c>
      <x:c r="I5567" s="12" t="str">
        <x:v>Mixed business audience</x:v>
      </x:c>
      <x:c r="J5567" s="12" t="str">
        <x:v>Professional services</x:v>
      </x:c>
      <x:c r="K5567" s="2" t="str">
        <x:v>PARTNER-M295</x:v>
      </x:c>
    </x:row>
    <x:row r="5568" ht="46" customHeight="1">
      <x:c r="A5568" s="2" t="str">
        <x:v>TEN-6CAB9DFC425C</x:v>
      </x:c>
      <x:c r="B5568" s="12" t="str">
        <x:v>Softility</x:v>
      </x:c>
      <x:c r="C5568" s="12" t="str">
        <x:v>CORP-0713</x:v>
      </x:c>
      <x:c r="D5568" s="12" t="str">
        <x:v>Hyderabad</x:v>
      </x:c>
      <x:c r="E5568" s="12" t="str">
        <x:v>Cyber Tower</x:v>
      </x:c>
      <x:c r="F5568" s="12" t="str">
        <x:v>55 inch</x:v>
      </x:c>
      <x:c r="G5568" s="20" t="n">
        <x:v>1</x:v>
      </x:c>
      <x:c r="H5568" s="12" t="str">
        <x:v>Campus/portfolio roster; individual building occupancy unverified</x:v>
      </x:c>
      <x:c r="I5568" s="12" t="str">
        <x:v>Small-scale prospects</x:v>
      </x:c>
      <x:c r="J5568" s="12" t="str">
        <x:v>IT &amp; digital</x:v>
      </x:c>
      <x:c r="K5568" s="2" t="str">
        <x:v>PARTNER-M295</x:v>
      </x:c>
    </x:row>
    <x:row r="5569" ht="46" customHeight="1">
      <x:c r="A5569" s="2" t="str">
        <x:v>TEN-6CBA95EE1BC0</x:v>
      </x:c>
      <x:c r="B5569" s="12" t="str">
        <x:v>iSpace Software Solutions India Pvt Ltd</x:v>
      </x:c>
      <x:c r="C5569" s="12" t="str">
        <x:v>CORP-0713</x:v>
      </x:c>
      <x:c r="D5569" s="12" t="str">
        <x:v>Hyderabad</x:v>
      </x:c>
      <x:c r="E5569" s="12" t="str">
        <x:v>Cyber Tower</x:v>
      </x:c>
      <x:c r="F5569" s="12" t="str">
        <x:v>55 inch</x:v>
      </x:c>
      <x:c r="G5569" s="20" t="n">
        <x:v>1</x:v>
      </x:c>
      <x:c r="H5569" s="12" t="str">
        <x:v>Campus/portfolio roster; individual building occupancy unverified</x:v>
      </x:c>
      <x:c r="I5569" s="12" t="str">
        <x:v>Small-scale prospects</x:v>
      </x:c>
      <x:c r="J5569" s="12" t="str">
        <x:v>IT &amp; digital</x:v>
      </x:c>
      <x:c r="K5569" s="2" t="str">
        <x:v>PARTNER-M295</x:v>
      </x:c>
    </x:row>
    <x:row r="5570" ht="46" customHeight="1">
      <x:c r="A5570" s="2" t="str">
        <x:v>TEN-6FBA7BE7F62E</x:v>
      </x:c>
      <x:c r="B5570" s="12" t="str">
        <x:v>iSource Global Solutions</x:v>
      </x:c>
      <x:c r="C5570" s="12" t="str">
        <x:v>CORP-0713</x:v>
      </x:c>
      <x:c r="D5570" s="12" t="str">
        <x:v>Hyderabad</x:v>
      </x:c>
      <x:c r="E5570" s="12" t="str">
        <x:v>Cyber Tower</x:v>
      </x:c>
      <x:c r="F5570" s="12" t="str">
        <x:v>55 inch</x:v>
      </x:c>
      <x:c r="G5570" s="20" t="n">
        <x:v>1</x:v>
      </x:c>
      <x:c r="H5570" s="12" t="str">
        <x:v>Campus/portfolio roster; individual building occupancy unverified</x:v>
      </x:c>
      <x:c r="I5570" s="12" t="str">
        <x:v>Mixed business audience</x:v>
      </x:c>
      <x:c r="J5570" s="12" t="str">
        <x:v>Unresolved</x:v>
      </x:c>
      <x:c r="K5570" s="2" t="str">
        <x:v>PARTNER-M295</x:v>
      </x:c>
    </x:row>
    <x:row r="5571" ht="46" customHeight="1">
      <x:c r="A5571" s="2" t="str">
        <x:v>TEN-738CF5E0F324</x:v>
      </x:c>
      <x:c r="B5571" s="12" t="str">
        <x:v>Jotter.ai</x:v>
      </x:c>
      <x:c r="C5571" s="12" t="str">
        <x:v>CORP-0713</x:v>
      </x:c>
      <x:c r="D5571" s="12" t="str">
        <x:v>Hyderabad</x:v>
      </x:c>
      <x:c r="E5571" s="12" t="str">
        <x:v>Cyber Tower</x:v>
      </x:c>
      <x:c r="F5571" s="12" t="str">
        <x:v>55 inch</x:v>
      </x:c>
      <x:c r="G5571" s="20" t="n">
        <x:v>1</x:v>
      </x:c>
      <x:c r="H5571" s="12" t="str">
        <x:v>Campus/portfolio roster; individual building occupancy unverified</x:v>
      </x:c>
      <x:c r="I5571" s="12" t="str">
        <x:v>Small-scale prospects</x:v>
      </x:c>
      <x:c r="J5571" s="12" t="str">
        <x:v>IT &amp; digital</x:v>
      </x:c>
      <x:c r="K5571" s="2" t="str">
        <x:v>PARTNER-M295</x:v>
      </x:c>
    </x:row>
    <x:row r="5572" ht="46" customHeight="1">
      <x:c r="A5572" s="2" t="str">
        <x:v>TEN-89C7DF9519C3</x:v>
      </x:c>
      <x:c r="B5572" s="12" t="str">
        <x:v>Nsight India</x:v>
      </x:c>
      <x:c r="C5572" s="12" t="str">
        <x:v>CORP-0713</x:v>
      </x:c>
      <x:c r="D5572" s="12" t="str">
        <x:v>Hyderabad</x:v>
      </x:c>
      <x:c r="E5572" s="12" t="str">
        <x:v>Cyber Tower</x:v>
      </x:c>
      <x:c r="F5572" s="12" t="str">
        <x:v>55 inch</x:v>
      </x:c>
      <x:c r="G5572" s="20" t="n">
        <x:v>1</x:v>
      </x:c>
      <x:c r="H5572" s="12" t="str">
        <x:v>Campus/portfolio roster; individual building occupancy unverified</x:v>
      </x:c>
      <x:c r="I5572" s="12" t="str">
        <x:v>Small-scale prospects</x:v>
      </x:c>
      <x:c r="J5572" s="12" t="str">
        <x:v>IT &amp; digital</x:v>
      </x:c>
      <x:c r="K5572" s="2" t="str">
        <x:v>PARTNER-M295</x:v>
      </x:c>
    </x:row>
    <x:row r="5573" ht="46" customHeight="1">
      <x:c r="A5573" s="2" t="str">
        <x:v>TEN-8A5EDFCA45E4</x:v>
      </x:c>
      <x:c r="B5573" s="12" t="str">
        <x:v>Pochampalli IT Labs</x:v>
      </x:c>
      <x:c r="C5573" s="12" t="str">
        <x:v>CORP-0713</x:v>
      </x:c>
      <x:c r="D5573" s="12" t="str">
        <x:v>Hyderabad</x:v>
      </x:c>
      <x:c r="E5573" s="12" t="str">
        <x:v>Cyber Tower</x:v>
      </x:c>
      <x:c r="F5573" s="12" t="str">
        <x:v>55 inch</x:v>
      </x:c>
      <x:c r="G5573" s="20" t="n">
        <x:v>1</x:v>
      </x:c>
      <x:c r="H5573" s="12" t="str">
        <x:v>Campus/portfolio roster; individual building occupancy unverified</x:v>
      </x:c>
      <x:c r="I5573" s="12" t="str">
        <x:v>Small-scale prospects</x:v>
      </x:c>
      <x:c r="J5573" s="12" t="str">
        <x:v>IT &amp; digital</x:v>
      </x:c>
      <x:c r="K5573" s="2" t="str">
        <x:v>PARTNER-M295</x:v>
      </x:c>
    </x:row>
    <x:row r="5574" ht="46" customHeight="1">
      <x:c r="A5574" s="2" t="str">
        <x:v>TEN-8F9C783063DF</x:v>
      </x:c>
      <x:c r="B5574" s="12" t="str">
        <x:v>Carbynetech India Private</x:v>
      </x:c>
      <x:c r="C5574" s="12" t="str">
        <x:v>CORP-0713</x:v>
      </x:c>
      <x:c r="D5574" s="12" t="str">
        <x:v>Hyderabad</x:v>
      </x:c>
      <x:c r="E5574" s="12" t="str">
        <x:v>Cyber Tower</x:v>
      </x:c>
      <x:c r="F5574" s="12" t="str">
        <x:v>55 inch</x:v>
      </x:c>
      <x:c r="G5574" s="20" t="n">
        <x:v>1</x:v>
      </x:c>
      <x:c r="H5574" s="12" t="str">
        <x:v>Campus/portfolio roster; individual building occupancy unverified</x:v>
      </x:c>
      <x:c r="I5574" s="12" t="str">
        <x:v>Small-scale prospects</x:v>
      </x:c>
      <x:c r="J5574" s="12" t="str">
        <x:v>IT &amp; digital</x:v>
      </x:c>
      <x:c r="K5574" s="2" t="str">
        <x:v>PARTNER-M295</x:v>
      </x:c>
    </x:row>
    <x:row r="5575" ht="46" customHeight="1">
      <x:c r="A5575" s="2" t="str">
        <x:v>TEN-954E3B0AC1F9</x:v>
      </x:c>
      <x:c r="B5575" s="12" t="str">
        <x:v>Huddl Enterprise Communication Pvt Ltd</x:v>
      </x:c>
      <x:c r="C5575" s="12" t="str">
        <x:v>CORP-0713</x:v>
      </x:c>
      <x:c r="D5575" s="12" t="str">
        <x:v>Hyderabad</x:v>
      </x:c>
      <x:c r="E5575" s="12" t="str">
        <x:v>Cyber Tower</x:v>
      </x:c>
      <x:c r="F5575" s="12" t="str">
        <x:v>55 inch</x:v>
      </x:c>
      <x:c r="G5575" s="20" t="n">
        <x:v>1</x:v>
      </x:c>
      <x:c r="H5575" s="12" t="str">
        <x:v>Campus/portfolio roster; individual building occupancy unverified</x:v>
      </x:c>
      <x:c r="I5575" s="12" t="str">
        <x:v>Small-scale prospects</x:v>
      </x:c>
      <x:c r="J5575" s="12" t="str">
        <x:v>IT &amp; digital</x:v>
      </x:c>
      <x:c r="K5575" s="2" t="str">
        <x:v>PARTNER-M295</x:v>
      </x:c>
    </x:row>
    <x:row r="5576" ht="46" customHeight="1">
      <x:c r="A5576" s="2" t="str">
        <x:v>TEN-A509A9AAC287</x:v>
      </x:c>
      <x:c r="B5576" s="12" t="str">
        <x:v>Xoriant Solutions Pvt Ltd</x:v>
      </x:c>
      <x:c r="C5576" s="12" t="str">
        <x:v>CORP-0713</x:v>
      </x:c>
      <x:c r="D5576" s="12" t="str">
        <x:v>Hyderabad</x:v>
      </x:c>
      <x:c r="E5576" s="12" t="str">
        <x:v>Cyber Tower</x:v>
      </x:c>
      <x:c r="F5576" s="12" t="str">
        <x:v>55 inch</x:v>
      </x:c>
      <x:c r="G5576" s="20" t="n">
        <x:v>1</x:v>
      </x:c>
      <x:c r="H5576" s="12" t="str">
        <x:v>Campus/portfolio roster; individual building occupancy unverified</x:v>
      </x:c>
      <x:c r="I5576" s="12" t="str">
        <x:v>Large enterprise</x:v>
      </x:c>
      <x:c r="J5576" s="12" t="str">
        <x:v>IT &amp; digital</x:v>
      </x:c>
      <x:c r="K5576" s="2" t="str">
        <x:v>PARTNER-M295</x:v>
      </x:c>
    </x:row>
    <x:row r="5577" ht="46" customHeight="1">
      <x:c r="A5577" s="2" t="str">
        <x:v>TEN-B5C691D27CD7</x:v>
      </x:c>
      <x:c r="B5577" s="12" t="str">
        <x:v>Galaxe Solutions</x:v>
      </x:c>
      <x:c r="C5577" s="12" t="str">
        <x:v>CORP-0713</x:v>
      </x:c>
      <x:c r="D5577" s="12" t="str">
        <x:v>Hyderabad</x:v>
      </x:c>
      <x:c r="E5577" s="12" t="str">
        <x:v>Cyber Tower</x:v>
      </x:c>
      <x:c r="F5577" s="12" t="str">
        <x:v>55 inch</x:v>
      </x:c>
      <x:c r="G5577" s="20" t="n">
        <x:v>1</x:v>
      </x:c>
      <x:c r="H5577" s="12" t="str">
        <x:v>Campus/portfolio roster; individual building occupancy unverified</x:v>
      </x:c>
      <x:c r="I5577" s="12" t="str">
        <x:v>Mixed business audience</x:v>
      </x:c>
      <x:c r="J5577" s="12" t="str">
        <x:v>IT &amp; digital</x:v>
      </x:c>
      <x:c r="K5577" s="2" t="str">
        <x:v>PARTNER-M295</x:v>
      </x:c>
    </x:row>
    <x:row r="5578" ht="46" customHeight="1">
      <x:c r="A5578" s="2" t="str">
        <x:v>TEN-BC3CB45E4A8C</x:v>
      </x:c>
      <x:c r="B5578" s="12" t="str">
        <x:v>Numeric Technologies</x:v>
      </x:c>
      <x:c r="C5578" s="12" t="str">
        <x:v>CORP-0713</x:v>
      </x:c>
      <x:c r="D5578" s="12" t="str">
        <x:v>Hyderabad</x:v>
      </x:c>
      <x:c r="E5578" s="12" t="str">
        <x:v>Cyber Tower</x:v>
      </x:c>
      <x:c r="F5578" s="12" t="str">
        <x:v>55 inch</x:v>
      </x:c>
      <x:c r="G5578" s="20" t="n">
        <x:v>1</x:v>
      </x:c>
      <x:c r="H5578" s="12" t="str">
        <x:v>Campus/portfolio roster; individual building occupancy unverified</x:v>
      </x:c>
      <x:c r="I5578" s="12" t="str">
        <x:v>Small-scale prospects</x:v>
      </x:c>
      <x:c r="J5578" s="12" t="str">
        <x:v>IT &amp; digital</x:v>
      </x:c>
      <x:c r="K5578" s="2" t="str">
        <x:v>PARTNER-M295</x:v>
      </x:c>
    </x:row>
    <x:row r="5579" ht="46" customHeight="1">
      <x:c r="A5579" s="2" t="str">
        <x:v>TEN-C22CCD5B65F2</x:v>
      </x:c>
      <x:c r="B5579" s="12" t="str">
        <x:v>Pennant Technologies Private Limited</x:v>
      </x:c>
      <x:c r="C5579" s="12" t="str">
        <x:v>CORP-0713</x:v>
      </x:c>
      <x:c r="D5579" s="12" t="str">
        <x:v>Hyderabad</x:v>
      </x:c>
      <x:c r="E5579" s="12" t="str">
        <x:v>Cyber Tower</x:v>
      </x:c>
      <x:c r="F5579" s="12" t="str">
        <x:v>55 inch</x:v>
      </x:c>
      <x:c r="G5579" s="20" t="n">
        <x:v>1</x:v>
      </x:c>
      <x:c r="H5579" s="12" t="str">
        <x:v>Campus/portfolio roster; individual building occupancy unverified</x:v>
      </x:c>
      <x:c r="I5579" s="12" t="str">
        <x:v>Small-scale prospects</x:v>
      </x:c>
      <x:c r="J5579" s="12" t="str">
        <x:v>IT &amp; digital</x:v>
      </x:c>
      <x:c r="K5579" s="2" t="str">
        <x:v>PARTNER-M295</x:v>
      </x:c>
    </x:row>
    <x:row r="5580" ht="46" customHeight="1">
      <x:c r="A5580" s="2" t="str">
        <x:v>TEN-C23D7DDF638C</x:v>
      </x:c>
      <x:c r="B5580" s="12" t="str">
        <x:v>Abacus Staffing and Services Pvt Ltd</x:v>
      </x:c>
      <x:c r="C5580" s="12" t="str">
        <x:v>CORP-0713</x:v>
      </x:c>
      <x:c r="D5580" s="12" t="str">
        <x:v>Hyderabad</x:v>
      </x:c>
      <x:c r="E5580" s="12" t="str">
        <x:v>Cyber Tower</x:v>
      </x:c>
      <x:c r="F5580" s="12" t="str">
        <x:v>55 inch</x:v>
      </x:c>
      <x:c r="G5580" s="20" t="n">
        <x:v>1</x:v>
      </x:c>
      <x:c r="H5580" s="12" t="str">
        <x:v>Campus/portfolio roster; individual building occupancy unverified</x:v>
      </x:c>
      <x:c r="I5580" s="12" t="str">
        <x:v>Small-scale prospects</x:v>
      </x:c>
      <x:c r="J5580" s="12" t="str">
        <x:v>Professional services</x:v>
      </x:c>
      <x:c r="K5580" s="2" t="str">
        <x:v>PARTNER-M295</x:v>
      </x:c>
    </x:row>
    <x:row r="5581" ht="46" customHeight="1">
      <x:c r="A5581" s="2" t="str">
        <x:v>TEN-CF9779F42FF3</x:v>
      </x:c>
      <x:c r="B5581" s="12" t="str">
        <x:v>Lantronix India Pvt. Ltd</x:v>
      </x:c>
      <x:c r="C5581" s="12" t="str">
        <x:v>CORP-0713</x:v>
      </x:c>
      <x:c r="D5581" s="12" t="str">
        <x:v>Hyderabad</x:v>
      </x:c>
      <x:c r="E5581" s="12" t="str">
        <x:v>Cyber Tower</x:v>
      </x:c>
      <x:c r="F5581" s="12" t="str">
        <x:v>55 inch</x:v>
      </x:c>
      <x:c r="G5581" s="20" t="n">
        <x:v>1</x:v>
      </x:c>
      <x:c r="H5581" s="12" t="str">
        <x:v>Campus/portfolio roster; individual building occupancy unverified</x:v>
      </x:c>
      <x:c r="I5581" s="12" t="str">
        <x:v>Mixed business audience</x:v>
      </x:c>
      <x:c r="J5581" s="12" t="str">
        <x:v>IT &amp; digital</x:v>
      </x:c>
      <x:c r="K5581" s="2" t="str">
        <x:v>PARTNER-M295</x:v>
      </x:c>
    </x:row>
    <x:row r="5582" ht="46" customHeight="1">
      <x:c r="A5582" s="2" t="str">
        <x:v>TEN-D26EFCBBB5D9</x:v>
      </x:c>
      <x:c r="B5582" s="12" t="str">
        <x:v>Google CGW</x:v>
      </x:c>
      <x:c r="C5582" s="12" t="str">
        <x:v>CORP-0713</x:v>
      </x:c>
      <x:c r="D5582" s="12" t="str">
        <x:v>Hyderabad</x:v>
      </x:c>
      <x:c r="E5582" s="12" t="str">
        <x:v>Cyber Tower</x:v>
      </x:c>
      <x:c r="F5582" s="12" t="str">
        <x:v>55 inch</x:v>
      </x:c>
      <x:c r="G5582" s="20" t="n">
        <x:v>1</x:v>
      </x:c>
      <x:c r="H5582" s="12" t="str">
        <x:v>Campus/portfolio roster; individual building occupancy unverified</x:v>
      </x:c>
      <x:c r="I5582" s="12" t="str">
        <x:v>Large enterprise</x:v>
      </x:c>
      <x:c r="J5582" s="12" t="str">
        <x:v>IT &amp; digital</x:v>
      </x:c>
      <x:c r="K5582" s="2" t="str">
        <x:v>PARTNER-M295</x:v>
      </x:c>
    </x:row>
    <x:row r="5583" ht="46" customHeight="1">
      <x:c r="A5583" s="2" t="str">
        <x:v>TEN-D6CB554DC303</x:v>
      </x:c>
      <x:c r="B5583" s="12" t="str">
        <x:v>Ultimate Bonding Stainless</x:v>
      </x:c>
      <x:c r="C5583" s="12" t="str">
        <x:v>CORP-0713</x:v>
      </x:c>
      <x:c r="D5583" s="12" t="str">
        <x:v>Hyderabad</x:v>
      </x:c>
      <x:c r="E5583" s="12" t="str">
        <x:v>Cyber Tower</x:v>
      </x:c>
      <x:c r="F5583" s="12" t="str">
        <x:v>55 inch</x:v>
      </x:c>
      <x:c r="G5583" s="20" t="n">
        <x:v>1</x:v>
      </x:c>
      <x:c r="H5583" s="12" t="str">
        <x:v>Campus/portfolio roster; individual building occupancy unverified</x:v>
      </x:c>
      <x:c r="I5583" s="12" t="str">
        <x:v>Medium-scale prospects</x:v>
      </x:c>
      <x:c r="J5583" s="12" t="str">
        <x:v>Engineering &amp; manufacturing</x:v>
      </x:c>
      <x:c r="K5583" s="2" t="str">
        <x:v>PARTNER-M295</x:v>
      </x:c>
    </x:row>
    <x:row r="5584" ht="46" customHeight="1">
      <x:c r="A5584" s="2" t="str">
        <x:v>TEN-D8AA87D79F26</x:v>
      </x:c>
      <x:c r="B5584" s="12" t="str">
        <x:v>ComTec IT Services</x:v>
      </x:c>
      <x:c r="C5584" s="12" t="str">
        <x:v>CORP-0713</x:v>
      </x:c>
      <x:c r="D5584" s="12" t="str">
        <x:v>Hyderabad</x:v>
      </x:c>
      <x:c r="E5584" s="12" t="str">
        <x:v>Cyber Tower</x:v>
      </x:c>
      <x:c r="F5584" s="12" t="str">
        <x:v>55 inch</x:v>
      </x:c>
      <x:c r="G5584" s="20" t="n">
        <x:v>1</x:v>
      </x:c>
      <x:c r="H5584" s="12" t="str">
        <x:v>Campus/portfolio roster; individual building occupancy unverified</x:v>
      </x:c>
      <x:c r="I5584" s="12" t="str">
        <x:v>Small-scale prospects</x:v>
      </x:c>
      <x:c r="J5584" s="12" t="str">
        <x:v>IT &amp; digital</x:v>
      </x:c>
      <x:c r="K5584" s="2" t="str">
        <x:v>PARTNER-M295</x:v>
      </x:c>
    </x:row>
    <x:row r="5585" ht="46" customHeight="1">
      <x:c r="A5585" s="2" t="str">
        <x:v>TEN-DAFF8DD90485</x:v>
      </x:c>
      <x:c r="B5585" s="12" t="str">
        <x:v>KloudGin</x:v>
      </x:c>
      <x:c r="C5585" s="12" t="str">
        <x:v>CORP-0713</x:v>
      </x:c>
      <x:c r="D5585" s="12" t="str">
        <x:v>Hyderabad</x:v>
      </x:c>
      <x:c r="E5585" s="12" t="str">
        <x:v>Cyber Tower</x:v>
      </x:c>
      <x:c r="F5585" s="12" t="str">
        <x:v>55 inch</x:v>
      </x:c>
      <x:c r="G5585" s="20" t="n">
        <x:v>1</x:v>
      </x:c>
      <x:c r="H5585" s="12" t="str">
        <x:v>Campus/portfolio roster; individual building occupancy unverified</x:v>
      </x:c>
      <x:c r="I5585" s="12" t="str">
        <x:v>Small-scale prospects</x:v>
      </x:c>
      <x:c r="J5585" s="12" t="str">
        <x:v>IT &amp; digital</x:v>
      </x:c>
      <x:c r="K5585" s="2" t="str">
        <x:v>PARTNER-M295</x:v>
      </x:c>
    </x:row>
    <x:row r="5586" ht="46" customHeight="1">
      <x:c r="A5586" s="2" t="str">
        <x:v>TEN-E8C5F0A15362</x:v>
      </x:c>
      <x:c r="B5586" s="12" t="str">
        <x:v>Infovity India Pvt. Ltd</x:v>
      </x:c>
      <x:c r="C5586" s="12" t="str">
        <x:v>CORP-0713</x:v>
      </x:c>
      <x:c r="D5586" s="12" t="str">
        <x:v>Hyderabad</x:v>
      </x:c>
      <x:c r="E5586" s="12" t="str">
        <x:v>Cyber Tower</x:v>
      </x:c>
      <x:c r="F5586" s="12" t="str">
        <x:v>55 inch</x:v>
      </x:c>
      <x:c r="G5586" s="20" t="n">
        <x:v>1</x:v>
      </x:c>
      <x:c r="H5586" s="12" t="str">
        <x:v>Campus/portfolio roster; individual building occupancy unverified</x:v>
      </x:c>
      <x:c r="I5586" s="12" t="str">
        <x:v>Small-scale prospects</x:v>
      </x:c>
      <x:c r="J5586" s="12" t="str">
        <x:v>IT &amp; digital</x:v>
      </x:c>
      <x:c r="K5586" s="2" t="str">
        <x:v>PARTNER-M295</x:v>
      </x:c>
    </x:row>
    <x:row r="5587" ht="46" customHeight="1">
      <x:c r="A5587" s="2" t="str">
        <x:v>TEN-F123D2B55E66</x:v>
      </x:c>
      <x:c r="B5587" s="12" t="str">
        <x:v>Netxcell Limited</x:v>
      </x:c>
      <x:c r="C5587" s="12" t="str">
        <x:v>CORP-0713</x:v>
      </x:c>
      <x:c r="D5587" s="12" t="str">
        <x:v>Hyderabad</x:v>
      </x:c>
      <x:c r="E5587" s="12" t="str">
        <x:v>Cyber Tower</x:v>
      </x:c>
      <x:c r="F5587" s="12" t="str">
        <x:v>55 inch</x:v>
      </x:c>
      <x:c r="G5587" s="20" t="n">
        <x:v>1</x:v>
      </x:c>
      <x:c r="H5587" s="12" t="str">
        <x:v>Campus/portfolio roster; individual building occupancy unverified</x:v>
      </x:c>
      <x:c r="I5587" s="12" t="str">
        <x:v>Small-scale prospects</x:v>
      </x:c>
      <x:c r="J5587" s="12" t="str">
        <x:v>IT &amp; digital</x:v>
      </x:c>
      <x:c r="K5587" s="2" t="str">
        <x:v>PARTNER-M295</x:v>
      </x:c>
    </x:row>
    <x:row r="5588" ht="46" customHeight="1">
      <x:c r="A5588" s="2" t="str">
        <x:v>TEN-F49BB10C12ED</x:v>
      </x:c>
      <x:c r="B5588" s="12" t="str">
        <x:v>Techmojo Solutions Pvt Ltd</x:v>
      </x:c>
      <x:c r="C5588" s="12" t="str">
        <x:v>CORP-0713</x:v>
      </x:c>
      <x:c r="D5588" s="12" t="str">
        <x:v>Hyderabad</x:v>
      </x:c>
      <x:c r="E5588" s="12" t="str">
        <x:v>Cyber Tower</x:v>
      </x:c>
      <x:c r="F5588" s="12" t="str">
        <x:v>55 inch</x:v>
      </x:c>
      <x:c r="G5588" s="20" t="n">
        <x:v>1</x:v>
      </x:c>
      <x:c r="H5588" s="12" t="str">
        <x:v>Campus/portfolio roster; individual building occupancy unverified</x:v>
      </x:c>
      <x:c r="I5588" s="12" t="str">
        <x:v>Small-scale prospects</x:v>
      </x:c>
      <x:c r="J5588" s="12" t="str">
        <x:v>IT &amp; digital</x:v>
      </x:c>
      <x:c r="K5588" s="2" t="str">
        <x:v>PARTNER-M295</x:v>
      </x:c>
    </x:row>
    <x:row r="5589" ht="46" customHeight="1">
      <x:c r="A5589" s="2" t="str">
        <x:v>TEN-F8AF322D0456</x:v>
      </x:c>
      <x:c r="B5589" s="12" t="str">
        <x:v>Pegasys Group</x:v>
      </x:c>
      <x:c r="C5589" s="12" t="str">
        <x:v>CORP-0713</x:v>
      </x:c>
      <x:c r="D5589" s="12" t="str">
        <x:v>Hyderabad</x:v>
      </x:c>
      <x:c r="E5589" s="12" t="str">
        <x:v>Cyber Tower</x:v>
      </x:c>
      <x:c r="F5589" s="12" t="str">
        <x:v>55 inch</x:v>
      </x:c>
      <x:c r="G5589" s="20" t="n">
        <x:v>1</x:v>
      </x:c>
      <x:c r="H5589" s="12" t="str">
        <x:v>Campus/portfolio roster; individual building occupancy unverified</x:v>
      </x:c>
      <x:c r="I5589" s="12" t="str">
        <x:v>Small-scale prospects</x:v>
      </x:c>
      <x:c r="J5589" s="12" t="str">
        <x:v>IT &amp; digital</x:v>
      </x:c>
      <x:c r="K5589" s="2" t="str">
        <x:v>PARTNER-M295</x:v>
      </x:c>
    </x:row>
    <x:row r="5590" ht="46" customHeight="1">
      <x:c r="A5590" s="2" t="str">
        <x:v>TEN-F9676989ACD4</x:v>
      </x:c>
      <x:c r="B5590" s="12" t="str">
        <x:v>Avineon India</x:v>
      </x:c>
      <x:c r="C5590" s="12" t="str">
        <x:v>CORP-0713</x:v>
      </x:c>
      <x:c r="D5590" s="12" t="str">
        <x:v>Hyderabad</x:v>
      </x:c>
      <x:c r="E5590" s="12" t="str">
        <x:v>Cyber Tower</x:v>
      </x:c>
      <x:c r="F5590" s="12" t="str">
        <x:v>55 inch</x:v>
      </x:c>
      <x:c r="G5590" s="20" t="n">
        <x:v>1</x:v>
      </x:c>
      <x:c r="H5590" s="12" t="str">
        <x:v>Campus/portfolio roster; individual building occupancy unverified</x:v>
      </x:c>
      <x:c r="I5590" s="12" t="str">
        <x:v>Mixed business audience</x:v>
      </x:c>
      <x:c r="J5590" s="12" t="str">
        <x:v>IT &amp; digital</x:v>
      </x:c>
      <x:c r="K5590" s="2" t="str">
        <x:v>PARTNER-M295</x:v>
      </x:c>
    </x:row>
    <x:row r="5591" ht="46" customHeight="1">
      <x:c r="A5591" s="2" t="str">
        <x:v>TEN-0E6A5F7C73CC</x:v>
      </x:c>
      <x:c r="B5591" s="12" t="str">
        <x:v>Righyitfy Solutions</x:v>
      </x:c>
      <x:c r="C5591" s="12" t="str">
        <x:v>CORP-0714</x:v>
      </x:c>
      <x:c r="D5591" s="12" t="str">
        <x:v>Hyderabad</x:v>
      </x:c>
      <x:c r="E5591" s="12" t="str">
        <x:v>Cyber Tower</x:v>
      </x:c>
      <x:c r="F5591" s="12" t="str">
        <x:v>55 inch</x:v>
      </x:c>
      <x:c r="G5591" s="20" t="n">
        <x:v>1</x:v>
      </x:c>
      <x:c r="H5591" s="12" t="str">
        <x:v>Campus/portfolio roster; individual building occupancy unverified</x:v>
      </x:c>
      <x:c r="I5591" s="12" t="str">
        <x:v>Mixed business audience</x:v>
      </x:c>
      <x:c r="J5591" s="12" t="str">
        <x:v>Unresolved</x:v>
      </x:c>
      <x:c r="K5591" s="2" t="str">
        <x:v>PARTNER-M295</x:v>
      </x:c>
    </x:row>
    <x:row r="5592" ht="46" customHeight="1">
      <x:c r="A5592" s="2" t="str">
        <x:v>TEN-0EDD698BAD2E</x:v>
      </x:c>
      <x:c r="B5592" s="12" t="str">
        <x:v>Sierra-Cedar India Pvt. Limited</x:v>
      </x:c>
      <x:c r="C5592" s="12" t="str">
        <x:v>CORP-0714</x:v>
      </x:c>
      <x:c r="D5592" s="12" t="str">
        <x:v>Hyderabad</x:v>
      </x:c>
      <x:c r="E5592" s="12" t="str">
        <x:v>Cyber Tower</x:v>
      </x:c>
      <x:c r="F5592" s="12" t="str">
        <x:v>55 inch</x:v>
      </x:c>
      <x:c r="G5592" s="20" t="n">
        <x:v>1</x:v>
      </x:c>
      <x:c r="H5592" s="12" t="str">
        <x:v>Campus/portfolio roster; individual building occupancy unverified</x:v>
      </x:c>
      <x:c r="I5592" s="12" t="str">
        <x:v>Mixed business audience</x:v>
      </x:c>
      <x:c r="J5592" s="12" t="str">
        <x:v>IT &amp; digital</x:v>
      </x:c>
      <x:c r="K5592" s="2" t="str">
        <x:v>PARTNER-M295</x:v>
      </x:c>
    </x:row>
    <x:row r="5593" ht="46" customHeight="1">
      <x:c r="A5593" s="2" t="str">
        <x:v>TEN-172416680C0F</x:v>
      </x:c>
      <x:c r="B5593" s="12" t="str">
        <x:v>Amps And Watts</x:v>
      </x:c>
      <x:c r="C5593" s="12" t="str">
        <x:v>CORP-0714</x:v>
      </x:c>
      <x:c r="D5593" s="12" t="str">
        <x:v>Hyderabad</x:v>
      </x:c>
      <x:c r="E5593" s="12" t="str">
        <x:v>Cyber Tower</x:v>
      </x:c>
      <x:c r="F5593" s="12" t="str">
        <x:v>55 inch</x:v>
      </x:c>
      <x:c r="G5593" s="20" t="n">
        <x:v>1</x:v>
      </x:c>
      <x:c r="H5593" s="12" t="str">
        <x:v>Campus/portfolio roster; individual building occupancy unverified</x:v>
      </x:c>
      <x:c r="I5593" s="12" t="str">
        <x:v>Medium-scale prospects</x:v>
      </x:c>
      <x:c r="J5593" s="12" t="str">
        <x:v>Engineering &amp; manufacturing</x:v>
      </x:c>
      <x:c r="K5593" s="2" t="str">
        <x:v>PARTNER-M295</x:v>
      </x:c>
    </x:row>
    <x:row r="5594" ht="46" customHeight="1">
      <x:c r="A5594" s="2" t="str">
        <x:v>TEN-2043A419E121</x:v>
      </x:c>
      <x:c r="B5594" s="12" t="str">
        <x:v>Visual IT Solutions Pvt Ltd</x:v>
      </x:c>
      <x:c r="C5594" s="12" t="str">
        <x:v>CORP-0714</x:v>
      </x:c>
      <x:c r="D5594" s="12" t="str">
        <x:v>Hyderabad</x:v>
      </x:c>
      <x:c r="E5594" s="12" t="str">
        <x:v>Cyber Tower</x:v>
      </x:c>
      <x:c r="F5594" s="12" t="str">
        <x:v>55 inch</x:v>
      </x:c>
      <x:c r="G5594" s="20" t="n">
        <x:v>1</x:v>
      </x:c>
      <x:c r="H5594" s="12" t="str">
        <x:v>Campus/portfolio roster; individual building occupancy unverified</x:v>
      </x:c>
      <x:c r="I5594" s="12" t="str">
        <x:v>Small-scale prospects</x:v>
      </x:c>
      <x:c r="J5594" s="12" t="str">
        <x:v>IT &amp; digital</x:v>
      </x:c>
      <x:c r="K5594" s="2" t="str">
        <x:v>PARTNER-M295</x:v>
      </x:c>
    </x:row>
    <x:row r="5595" ht="46" customHeight="1">
      <x:c r="A5595" s="2" t="str">
        <x:v>TEN-30099B000C5C</x:v>
      </x:c>
      <x:c r="B5595" s="12" t="str">
        <x:v>Technosoft Global Solutions</x:v>
      </x:c>
      <x:c r="C5595" s="12" t="str">
        <x:v>CORP-0714</x:v>
      </x:c>
      <x:c r="D5595" s="12" t="str">
        <x:v>Hyderabad</x:v>
      </x:c>
      <x:c r="E5595" s="12" t="str">
        <x:v>Cyber Tower</x:v>
      </x:c>
      <x:c r="F5595" s="12" t="str">
        <x:v>55 inch</x:v>
      </x:c>
      <x:c r="G5595" s="20" t="n">
        <x:v>1</x:v>
      </x:c>
      <x:c r="H5595" s="12" t="str">
        <x:v>Campus/portfolio roster; individual building occupancy unverified</x:v>
      </x:c>
      <x:c r="I5595" s="12" t="str">
        <x:v>Small-scale prospects</x:v>
      </x:c>
      <x:c r="J5595" s="12" t="str">
        <x:v>IT &amp; digital</x:v>
      </x:c>
      <x:c r="K5595" s="2" t="str">
        <x:v>PARTNER-M295</x:v>
      </x:c>
    </x:row>
    <x:row r="5596" ht="46" customHeight="1">
      <x:c r="A5596" s="2" t="str">
        <x:v>TEN-30F6A61A31C7</x:v>
      </x:c>
      <x:c r="B5596" s="12" t="str">
        <x:v>Teksystems Global Services</x:v>
      </x:c>
      <x:c r="C5596" s="12" t="str">
        <x:v>CORP-0714</x:v>
      </x:c>
      <x:c r="D5596" s="12" t="str">
        <x:v>Hyderabad</x:v>
      </x:c>
      <x:c r="E5596" s="12" t="str">
        <x:v>Cyber Tower</x:v>
      </x:c>
      <x:c r="F5596" s="12" t="str">
        <x:v>55 inch</x:v>
      </x:c>
      <x:c r="G5596" s="20" t="n">
        <x:v>1</x:v>
      </x:c>
      <x:c r="H5596" s="12" t="str">
        <x:v>Campus/portfolio roster; individual building occupancy unverified</x:v>
      </x:c>
      <x:c r="I5596" s="12" t="str">
        <x:v>Mixed business audience</x:v>
      </x:c>
      <x:c r="J5596" s="12" t="str">
        <x:v>Professional services</x:v>
      </x:c>
      <x:c r="K5596" s="2" t="str">
        <x:v>PARTNER-M295</x:v>
      </x:c>
    </x:row>
    <x:row r="5597" ht="46" customHeight="1">
      <x:c r="A5597" s="2" t="str">
        <x:v>TEN-6CAB9DFC425C</x:v>
      </x:c>
      <x:c r="B5597" s="12" t="str">
        <x:v>Softility</x:v>
      </x:c>
      <x:c r="C5597" s="12" t="str">
        <x:v>CORP-0714</x:v>
      </x:c>
      <x:c r="D5597" s="12" t="str">
        <x:v>Hyderabad</x:v>
      </x:c>
      <x:c r="E5597" s="12" t="str">
        <x:v>Cyber Tower</x:v>
      </x:c>
      <x:c r="F5597" s="12" t="str">
        <x:v>55 inch</x:v>
      </x:c>
      <x:c r="G5597" s="20" t="n">
        <x:v>1</x:v>
      </x:c>
      <x:c r="H5597" s="12" t="str">
        <x:v>Campus/portfolio roster; individual building occupancy unverified</x:v>
      </x:c>
      <x:c r="I5597" s="12" t="str">
        <x:v>Small-scale prospects</x:v>
      </x:c>
      <x:c r="J5597" s="12" t="str">
        <x:v>IT &amp; digital</x:v>
      </x:c>
      <x:c r="K5597" s="2" t="str">
        <x:v>PARTNER-M295</x:v>
      </x:c>
    </x:row>
    <x:row r="5598" ht="46" customHeight="1">
      <x:c r="A5598" s="2" t="str">
        <x:v>TEN-6CBA95EE1BC0</x:v>
      </x:c>
      <x:c r="B5598" s="12" t="str">
        <x:v>iSpace Software Solutions India Pvt Ltd</x:v>
      </x:c>
      <x:c r="C5598" s="12" t="str">
        <x:v>CORP-0714</x:v>
      </x:c>
      <x:c r="D5598" s="12" t="str">
        <x:v>Hyderabad</x:v>
      </x:c>
      <x:c r="E5598" s="12" t="str">
        <x:v>Cyber Tower</x:v>
      </x:c>
      <x:c r="F5598" s="12" t="str">
        <x:v>55 inch</x:v>
      </x:c>
      <x:c r="G5598" s="20" t="n">
        <x:v>1</x:v>
      </x:c>
      <x:c r="H5598" s="12" t="str">
        <x:v>Campus/portfolio roster; individual building occupancy unverified</x:v>
      </x:c>
      <x:c r="I5598" s="12" t="str">
        <x:v>Small-scale prospects</x:v>
      </x:c>
      <x:c r="J5598" s="12" t="str">
        <x:v>IT &amp; digital</x:v>
      </x:c>
      <x:c r="K5598" s="2" t="str">
        <x:v>PARTNER-M295</x:v>
      </x:c>
    </x:row>
    <x:row r="5599" ht="46" customHeight="1">
      <x:c r="A5599" s="2" t="str">
        <x:v>TEN-6FBA7BE7F62E</x:v>
      </x:c>
      <x:c r="B5599" s="12" t="str">
        <x:v>iSource Global Solutions</x:v>
      </x:c>
      <x:c r="C5599" s="12" t="str">
        <x:v>CORP-0714</x:v>
      </x:c>
      <x:c r="D5599" s="12" t="str">
        <x:v>Hyderabad</x:v>
      </x:c>
      <x:c r="E5599" s="12" t="str">
        <x:v>Cyber Tower</x:v>
      </x:c>
      <x:c r="F5599" s="12" t="str">
        <x:v>55 inch</x:v>
      </x:c>
      <x:c r="G5599" s="20" t="n">
        <x:v>1</x:v>
      </x:c>
      <x:c r="H5599" s="12" t="str">
        <x:v>Campus/portfolio roster; individual building occupancy unverified</x:v>
      </x:c>
      <x:c r="I5599" s="12" t="str">
        <x:v>Mixed business audience</x:v>
      </x:c>
      <x:c r="J5599" s="12" t="str">
        <x:v>Unresolved</x:v>
      </x:c>
      <x:c r="K5599" s="2" t="str">
        <x:v>PARTNER-M295</x:v>
      </x:c>
    </x:row>
    <x:row r="5600" ht="46" customHeight="1">
      <x:c r="A5600" s="2" t="str">
        <x:v>TEN-738CF5E0F324</x:v>
      </x:c>
      <x:c r="B5600" s="12" t="str">
        <x:v>Jotter.ai</x:v>
      </x:c>
      <x:c r="C5600" s="12" t="str">
        <x:v>CORP-0714</x:v>
      </x:c>
      <x:c r="D5600" s="12" t="str">
        <x:v>Hyderabad</x:v>
      </x:c>
      <x:c r="E5600" s="12" t="str">
        <x:v>Cyber Tower</x:v>
      </x:c>
      <x:c r="F5600" s="12" t="str">
        <x:v>55 inch</x:v>
      </x:c>
      <x:c r="G5600" s="20" t="n">
        <x:v>1</x:v>
      </x:c>
      <x:c r="H5600" s="12" t="str">
        <x:v>Campus/portfolio roster; individual building occupancy unverified</x:v>
      </x:c>
      <x:c r="I5600" s="12" t="str">
        <x:v>Small-scale prospects</x:v>
      </x:c>
      <x:c r="J5600" s="12" t="str">
        <x:v>IT &amp; digital</x:v>
      </x:c>
      <x:c r="K5600" s="2" t="str">
        <x:v>PARTNER-M295</x:v>
      </x:c>
    </x:row>
    <x:row r="5601" ht="46" customHeight="1">
      <x:c r="A5601" s="2" t="str">
        <x:v>TEN-89C7DF9519C3</x:v>
      </x:c>
      <x:c r="B5601" s="12" t="str">
        <x:v>Nsight India</x:v>
      </x:c>
      <x:c r="C5601" s="12" t="str">
        <x:v>CORP-0714</x:v>
      </x:c>
      <x:c r="D5601" s="12" t="str">
        <x:v>Hyderabad</x:v>
      </x:c>
      <x:c r="E5601" s="12" t="str">
        <x:v>Cyber Tower</x:v>
      </x:c>
      <x:c r="F5601" s="12" t="str">
        <x:v>55 inch</x:v>
      </x:c>
      <x:c r="G5601" s="20" t="n">
        <x:v>1</x:v>
      </x:c>
      <x:c r="H5601" s="12" t="str">
        <x:v>Campus/portfolio roster; individual building occupancy unverified</x:v>
      </x:c>
      <x:c r="I5601" s="12" t="str">
        <x:v>Small-scale prospects</x:v>
      </x:c>
      <x:c r="J5601" s="12" t="str">
        <x:v>IT &amp; digital</x:v>
      </x:c>
      <x:c r="K5601" s="2" t="str">
        <x:v>PARTNER-M295</x:v>
      </x:c>
    </x:row>
    <x:row r="5602" ht="46" customHeight="1">
      <x:c r="A5602" s="2" t="str">
        <x:v>TEN-8A5EDFCA45E4</x:v>
      </x:c>
      <x:c r="B5602" s="12" t="str">
        <x:v>Pochampalli IT Labs</x:v>
      </x:c>
      <x:c r="C5602" s="12" t="str">
        <x:v>CORP-0714</x:v>
      </x:c>
      <x:c r="D5602" s="12" t="str">
        <x:v>Hyderabad</x:v>
      </x:c>
      <x:c r="E5602" s="12" t="str">
        <x:v>Cyber Tower</x:v>
      </x:c>
      <x:c r="F5602" s="12" t="str">
        <x:v>55 inch</x:v>
      </x:c>
      <x:c r="G5602" s="20" t="n">
        <x:v>1</x:v>
      </x:c>
      <x:c r="H5602" s="12" t="str">
        <x:v>Campus/portfolio roster; individual building occupancy unverified</x:v>
      </x:c>
      <x:c r="I5602" s="12" t="str">
        <x:v>Small-scale prospects</x:v>
      </x:c>
      <x:c r="J5602" s="12" t="str">
        <x:v>IT &amp; digital</x:v>
      </x:c>
      <x:c r="K5602" s="2" t="str">
        <x:v>PARTNER-M295</x:v>
      </x:c>
    </x:row>
    <x:row r="5603" ht="46" customHeight="1">
      <x:c r="A5603" s="2" t="str">
        <x:v>TEN-8F9C783063DF</x:v>
      </x:c>
      <x:c r="B5603" s="12" t="str">
        <x:v>Carbynetech India Private</x:v>
      </x:c>
      <x:c r="C5603" s="12" t="str">
        <x:v>CORP-0714</x:v>
      </x:c>
      <x:c r="D5603" s="12" t="str">
        <x:v>Hyderabad</x:v>
      </x:c>
      <x:c r="E5603" s="12" t="str">
        <x:v>Cyber Tower</x:v>
      </x:c>
      <x:c r="F5603" s="12" t="str">
        <x:v>55 inch</x:v>
      </x:c>
      <x:c r="G5603" s="20" t="n">
        <x:v>1</x:v>
      </x:c>
      <x:c r="H5603" s="12" t="str">
        <x:v>Campus/portfolio roster; individual building occupancy unverified</x:v>
      </x:c>
      <x:c r="I5603" s="12" t="str">
        <x:v>Small-scale prospects</x:v>
      </x:c>
      <x:c r="J5603" s="12" t="str">
        <x:v>IT &amp; digital</x:v>
      </x:c>
      <x:c r="K5603" s="2" t="str">
        <x:v>PARTNER-M295</x:v>
      </x:c>
    </x:row>
    <x:row r="5604" ht="46" customHeight="1">
      <x:c r="A5604" s="2" t="str">
        <x:v>TEN-954E3B0AC1F9</x:v>
      </x:c>
      <x:c r="B5604" s="12" t="str">
        <x:v>Huddl Enterprise Communication Pvt Ltd</x:v>
      </x:c>
      <x:c r="C5604" s="12" t="str">
        <x:v>CORP-0714</x:v>
      </x:c>
      <x:c r="D5604" s="12" t="str">
        <x:v>Hyderabad</x:v>
      </x:c>
      <x:c r="E5604" s="12" t="str">
        <x:v>Cyber Tower</x:v>
      </x:c>
      <x:c r="F5604" s="12" t="str">
        <x:v>55 inch</x:v>
      </x:c>
      <x:c r="G5604" s="20" t="n">
        <x:v>1</x:v>
      </x:c>
      <x:c r="H5604" s="12" t="str">
        <x:v>Campus/portfolio roster; individual building occupancy unverified</x:v>
      </x:c>
      <x:c r="I5604" s="12" t="str">
        <x:v>Small-scale prospects</x:v>
      </x:c>
      <x:c r="J5604" s="12" t="str">
        <x:v>IT &amp; digital</x:v>
      </x:c>
      <x:c r="K5604" s="2" t="str">
        <x:v>PARTNER-M295</x:v>
      </x:c>
    </x:row>
    <x:row r="5605" ht="46" customHeight="1">
      <x:c r="A5605" s="2" t="str">
        <x:v>TEN-A509A9AAC287</x:v>
      </x:c>
      <x:c r="B5605" s="12" t="str">
        <x:v>Xoriant Solutions Pvt Ltd</x:v>
      </x:c>
      <x:c r="C5605" s="12" t="str">
        <x:v>CORP-0714</x:v>
      </x:c>
      <x:c r="D5605" s="12" t="str">
        <x:v>Hyderabad</x:v>
      </x:c>
      <x:c r="E5605" s="12" t="str">
        <x:v>Cyber Tower</x:v>
      </x:c>
      <x:c r="F5605" s="12" t="str">
        <x:v>55 inch</x:v>
      </x:c>
      <x:c r="G5605" s="20" t="n">
        <x:v>1</x:v>
      </x:c>
      <x:c r="H5605" s="12" t="str">
        <x:v>Campus/portfolio roster; individual building occupancy unverified</x:v>
      </x:c>
      <x:c r="I5605" s="12" t="str">
        <x:v>Large enterprise</x:v>
      </x:c>
      <x:c r="J5605" s="12" t="str">
        <x:v>IT &amp; digital</x:v>
      </x:c>
      <x:c r="K5605" s="2" t="str">
        <x:v>PARTNER-M295</x:v>
      </x:c>
    </x:row>
    <x:row r="5606" ht="46" customHeight="1">
      <x:c r="A5606" s="2" t="str">
        <x:v>TEN-B5C691D27CD7</x:v>
      </x:c>
      <x:c r="B5606" s="12" t="str">
        <x:v>Galaxe Solutions</x:v>
      </x:c>
      <x:c r="C5606" s="12" t="str">
        <x:v>CORP-0714</x:v>
      </x:c>
      <x:c r="D5606" s="12" t="str">
        <x:v>Hyderabad</x:v>
      </x:c>
      <x:c r="E5606" s="12" t="str">
        <x:v>Cyber Tower</x:v>
      </x:c>
      <x:c r="F5606" s="12" t="str">
        <x:v>55 inch</x:v>
      </x:c>
      <x:c r="G5606" s="20" t="n">
        <x:v>1</x:v>
      </x:c>
      <x:c r="H5606" s="12" t="str">
        <x:v>Campus/portfolio roster; individual building occupancy unverified</x:v>
      </x:c>
      <x:c r="I5606" s="12" t="str">
        <x:v>Mixed business audience</x:v>
      </x:c>
      <x:c r="J5606" s="12" t="str">
        <x:v>IT &amp; digital</x:v>
      </x:c>
      <x:c r="K5606" s="2" t="str">
        <x:v>PARTNER-M295</x:v>
      </x:c>
    </x:row>
    <x:row r="5607" ht="46" customHeight="1">
      <x:c r="A5607" s="2" t="str">
        <x:v>TEN-BC3CB45E4A8C</x:v>
      </x:c>
      <x:c r="B5607" s="12" t="str">
        <x:v>Numeric Technologies</x:v>
      </x:c>
      <x:c r="C5607" s="12" t="str">
        <x:v>CORP-0714</x:v>
      </x:c>
      <x:c r="D5607" s="12" t="str">
        <x:v>Hyderabad</x:v>
      </x:c>
      <x:c r="E5607" s="12" t="str">
        <x:v>Cyber Tower</x:v>
      </x:c>
      <x:c r="F5607" s="12" t="str">
        <x:v>55 inch</x:v>
      </x:c>
      <x:c r="G5607" s="20" t="n">
        <x:v>1</x:v>
      </x:c>
      <x:c r="H5607" s="12" t="str">
        <x:v>Campus/portfolio roster; individual building occupancy unverified</x:v>
      </x:c>
      <x:c r="I5607" s="12" t="str">
        <x:v>Small-scale prospects</x:v>
      </x:c>
      <x:c r="J5607" s="12" t="str">
        <x:v>IT &amp; digital</x:v>
      </x:c>
      <x:c r="K5607" s="2" t="str">
        <x:v>PARTNER-M295</x:v>
      </x:c>
    </x:row>
    <x:row r="5608" ht="46" customHeight="1">
      <x:c r="A5608" s="2" t="str">
        <x:v>TEN-C22CCD5B65F2</x:v>
      </x:c>
      <x:c r="B5608" s="12" t="str">
        <x:v>Pennant Technologies Private Limited</x:v>
      </x:c>
      <x:c r="C5608" s="12" t="str">
        <x:v>CORP-0714</x:v>
      </x:c>
      <x:c r="D5608" s="12" t="str">
        <x:v>Hyderabad</x:v>
      </x:c>
      <x:c r="E5608" s="12" t="str">
        <x:v>Cyber Tower</x:v>
      </x:c>
      <x:c r="F5608" s="12" t="str">
        <x:v>55 inch</x:v>
      </x:c>
      <x:c r="G5608" s="20" t="n">
        <x:v>1</x:v>
      </x:c>
      <x:c r="H5608" s="12" t="str">
        <x:v>Campus/portfolio roster; individual building occupancy unverified</x:v>
      </x:c>
      <x:c r="I5608" s="12" t="str">
        <x:v>Small-scale prospects</x:v>
      </x:c>
      <x:c r="J5608" s="12" t="str">
        <x:v>IT &amp; digital</x:v>
      </x:c>
      <x:c r="K5608" s="2" t="str">
        <x:v>PARTNER-M295</x:v>
      </x:c>
    </x:row>
    <x:row r="5609" ht="46" customHeight="1">
      <x:c r="A5609" s="2" t="str">
        <x:v>TEN-C23D7DDF638C</x:v>
      </x:c>
      <x:c r="B5609" s="12" t="str">
        <x:v>Abacus Staffing and Services Pvt Ltd</x:v>
      </x:c>
      <x:c r="C5609" s="12" t="str">
        <x:v>CORP-0714</x:v>
      </x:c>
      <x:c r="D5609" s="12" t="str">
        <x:v>Hyderabad</x:v>
      </x:c>
      <x:c r="E5609" s="12" t="str">
        <x:v>Cyber Tower</x:v>
      </x:c>
      <x:c r="F5609" s="12" t="str">
        <x:v>55 inch</x:v>
      </x:c>
      <x:c r="G5609" s="20" t="n">
        <x:v>1</x:v>
      </x:c>
      <x:c r="H5609" s="12" t="str">
        <x:v>Campus/portfolio roster; individual building occupancy unverified</x:v>
      </x:c>
      <x:c r="I5609" s="12" t="str">
        <x:v>Small-scale prospects</x:v>
      </x:c>
      <x:c r="J5609" s="12" t="str">
        <x:v>Professional services</x:v>
      </x:c>
      <x:c r="K5609" s="2" t="str">
        <x:v>PARTNER-M295</x:v>
      </x:c>
    </x:row>
    <x:row r="5610" ht="46" customHeight="1">
      <x:c r="A5610" s="2" t="str">
        <x:v>TEN-CF9779F42FF3</x:v>
      </x:c>
      <x:c r="B5610" s="12" t="str">
        <x:v>Lantronix India Pvt. Ltd</x:v>
      </x:c>
      <x:c r="C5610" s="12" t="str">
        <x:v>CORP-0714</x:v>
      </x:c>
      <x:c r="D5610" s="12" t="str">
        <x:v>Hyderabad</x:v>
      </x:c>
      <x:c r="E5610" s="12" t="str">
        <x:v>Cyber Tower</x:v>
      </x:c>
      <x:c r="F5610" s="12" t="str">
        <x:v>55 inch</x:v>
      </x:c>
      <x:c r="G5610" s="20" t="n">
        <x:v>1</x:v>
      </x:c>
      <x:c r="H5610" s="12" t="str">
        <x:v>Campus/portfolio roster; individual building occupancy unverified</x:v>
      </x:c>
      <x:c r="I5610" s="12" t="str">
        <x:v>Mixed business audience</x:v>
      </x:c>
      <x:c r="J5610" s="12" t="str">
        <x:v>IT &amp; digital</x:v>
      </x:c>
      <x:c r="K5610" s="2" t="str">
        <x:v>PARTNER-M295</x:v>
      </x:c>
    </x:row>
    <x:row r="5611" ht="46" customHeight="1">
      <x:c r="A5611" s="2" t="str">
        <x:v>TEN-D26EFCBBB5D9</x:v>
      </x:c>
      <x:c r="B5611" s="12" t="str">
        <x:v>Google CGW</x:v>
      </x:c>
      <x:c r="C5611" s="12" t="str">
        <x:v>CORP-0714</x:v>
      </x:c>
      <x:c r="D5611" s="12" t="str">
        <x:v>Hyderabad</x:v>
      </x:c>
      <x:c r="E5611" s="12" t="str">
        <x:v>Cyber Tower</x:v>
      </x:c>
      <x:c r="F5611" s="12" t="str">
        <x:v>55 inch</x:v>
      </x:c>
      <x:c r="G5611" s="20" t="n">
        <x:v>1</x:v>
      </x:c>
      <x:c r="H5611" s="12" t="str">
        <x:v>Campus/portfolio roster; individual building occupancy unverified</x:v>
      </x:c>
      <x:c r="I5611" s="12" t="str">
        <x:v>Large enterprise</x:v>
      </x:c>
      <x:c r="J5611" s="12" t="str">
        <x:v>IT &amp; digital</x:v>
      </x:c>
      <x:c r="K5611" s="2" t="str">
        <x:v>PARTNER-M295</x:v>
      </x:c>
    </x:row>
    <x:row r="5612" ht="46" customHeight="1">
      <x:c r="A5612" s="2" t="str">
        <x:v>TEN-D6CB554DC303</x:v>
      </x:c>
      <x:c r="B5612" s="12" t="str">
        <x:v>Ultimate Bonding Stainless</x:v>
      </x:c>
      <x:c r="C5612" s="12" t="str">
        <x:v>CORP-0714</x:v>
      </x:c>
      <x:c r="D5612" s="12" t="str">
        <x:v>Hyderabad</x:v>
      </x:c>
      <x:c r="E5612" s="12" t="str">
        <x:v>Cyber Tower</x:v>
      </x:c>
      <x:c r="F5612" s="12" t="str">
        <x:v>55 inch</x:v>
      </x:c>
      <x:c r="G5612" s="20" t="n">
        <x:v>1</x:v>
      </x:c>
      <x:c r="H5612" s="12" t="str">
        <x:v>Campus/portfolio roster; individual building occupancy unverified</x:v>
      </x:c>
      <x:c r="I5612" s="12" t="str">
        <x:v>Medium-scale prospects</x:v>
      </x:c>
      <x:c r="J5612" s="12" t="str">
        <x:v>Engineering &amp; manufacturing</x:v>
      </x:c>
      <x:c r="K5612" s="2" t="str">
        <x:v>PARTNER-M295</x:v>
      </x:c>
    </x:row>
    <x:row r="5613" ht="46" customHeight="1">
      <x:c r="A5613" s="2" t="str">
        <x:v>TEN-D8AA87D79F26</x:v>
      </x:c>
      <x:c r="B5613" s="12" t="str">
        <x:v>ComTec IT Services</x:v>
      </x:c>
      <x:c r="C5613" s="12" t="str">
        <x:v>CORP-0714</x:v>
      </x:c>
      <x:c r="D5613" s="12" t="str">
        <x:v>Hyderabad</x:v>
      </x:c>
      <x:c r="E5613" s="12" t="str">
        <x:v>Cyber Tower</x:v>
      </x:c>
      <x:c r="F5613" s="12" t="str">
        <x:v>55 inch</x:v>
      </x:c>
      <x:c r="G5613" s="20" t="n">
        <x:v>1</x:v>
      </x:c>
      <x:c r="H5613" s="12" t="str">
        <x:v>Campus/portfolio roster; individual building occupancy unverified</x:v>
      </x:c>
      <x:c r="I5613" s="12" t="str">
        <x:v>Small-scale prospects</x:v>
      </x:c>
      <x:c r="J5613" s="12" t="str">
        <x:v>IT &amp; digital</x:v>
      </x:c>
      <x:c r="K5613" s="2" t="str">
        <x:v>PARTNER-M295</x:v>
      </x:c>
    </x:row>
    <x:row r="5614" ht="46" customHeight="1">
      <x:c r="A5614" s="2" t="str">
        <x:v>TEN-DAFF8DD90485</x:v>
      </x:c>
      <x:c r="B5614" s="12" t="str">
        <x:v>KloudGin</x:v>
      </x:c>
      <x:c r="C5614" s="12" t="str">
        <x:v>CORP-0714</x:v>
      </x:c>
      <x:c r="D5614" s="12" t="str">
        <x:v>Hyderabad</x:v>
      </x:c>
      <x:c r="E5614" s="12" t="str">
        <x:v>Cyber Tower</x:v>
      </x:c>
      <x:c r="F5614" s="12" t="str">
        <x:v>55 inch</x:v>
      </x:c>
      <x:c r="G5614" s="20" t="n">
        <x:v>1</x:v>
      </x:c>
      <x:c r="H5614" s="12" t="str">
        <x:v>Campus/portfolio roster; individual building occupancy unverified</x:v>
      </x:c>
      <x:c r="I5614" s="12" t="str">
        <x:v>Small-scale prospects</x:v>
      </x:c>
      <x:c r="J5614" s="12" t="str">
        <x:v>IT &amp; digital</x:v>
      </x:c>
      <x:c r="K5614" s="2" t="str">
        <x:v>PARTNER-M295</x:v>
      </x:c>
    </x:row>
    <x:row r="5615" ht="46" customHeight="1">
      <x:c r="A5615" s="2" t="str">
        <x:v>TEN-E8C5F0A15362</x:v>
      </x:c>
      <x:c r="B5615" s="12" t="str">
        <x:v>Infovity India Pvt. Ltd</x:v>
      </x:c>
      <x:c r="C5615" s="12" t="str">
        <x:v>CORP-0714</x:v>
      </x:c>
      <x:c r="D5615" s="12" t="str">
        <x:v>Hyderabad</x:v>
      </x:c>
      <x:c r="E5615" s="12" t="str">
        <x:v>Cyber Tower</x:v>
      </x:c>
      <x:c r="F5615" s="12" t="str">
        <x:v>55 inch</x:v>
      </x:c>
      <x:c r="G5615" s="20" t="n">
        <x:v>1</x:v>
      </x:c>
      <x:c r="H5615" s="12" t="str">
        <x:v>Campus/portfolio roster; individual building occupancy unverified</x:v>
      </x:c>
      <x:c r="I5615" s="12" t="str">
        <x:v>Small-scale prospects</x:v>
      </x:c>
      <x:c r="J5615" s="12" t="str">
        <x:v>IT &amp; digital</x:v>
      </x:c>
      <x:c r="K5615" s="2" t="str">
        <x:v>PARTNER-M295</x:v>
      </x:c>
    </x:row>
    <x:row r="5616" ht="46" customHeight="1">
      <x:c r="A5616" s="2" t="str">
        <x:v>TEN-F123D2B55E66</x:v>
      </x:c>
      <x:c r="B5616" s="12" t="str">
        <x:v>Netxcell Limited</x:v>
      </x:c>
      <x:c r="C5616" s="12" t="str">
        <x:v>CORP-0714</x:v>
      </x:c>
      <x:c r="D5616" s="12" t="str">
        <x:v>Hyderabad</x:v>
      </x:c>
      <x:c r="E5616" s="12" t="str">
        <x:v>Cyber Tower</x:v>
      </x:c>
      <x:c r="F5616" s="12" t="str">
        <x:v>55 inch</x:v>
      </x:c>
      <x:c r="G5616" s="20" t="n">
        <x:v>1</x:v>
      </x:c>
      <x:c r="H5616" s="12" t="str">
        <x:v>Campus/portfolio roster; individual building occupancy unverified</x:v>
      </x:c>
      <x:c r="I5616" s="12" t="str">
        <x:v>Small-scale prospects</x:v>
      </x:c>
      <x:c r="J5616" s="12" t="str">
        <x:v>IT &amp; digital</x:v>
      </x:c>
      <x:c r="K5616" s="2" t="str">
        <x:v>PARTNER-M295</x:v>
      </x:c>
    </x:row>
    <x:row r="5617" ht="46" customHeight="1">
      <x:c r="A5617" s="2" t="str">
        <x:v>TEN-F49BB10C12ED</x:v>
      </x:c>
      <x:c r="B5617" s="12" t="str">
        <x:v>Techmojo Solutions Pvt Ltd</x:v>
      </x:c>
      <x:c r="C5617" s="12" t="str">
        <x:v>CORP-0714</x:v>
      </x:c>
      <x:c r="D5617" s="12" t="str">
        <x:v>Hyderabad</x:v>
      </x:c>
      <x:c r="E5617" s="12" t="str">
        <x:v>Cyber Tower</x:v>
      </x:c>
      <x:c r="F5617" s="12" t="str">
        <x:v>55 inch</x:v>
      </x:c>
      <x:c r="G5617" s="20" t="n">
        <x:v>1</x:v>
      </x:c>
      <x:c r="H5617" s="12" t="str">
        <x:v>Campus/portfolio roster; individual building occupancy unverified</x:v>
      </x:c>
      <x:c r="I5617" s="12" t="str">
        <x:v>Small-scale prospects</x:v>
      </x:c>
      <x:c r="J5617" s="12" t="str">
        <x:v>IT &amp; digital</x:v>
      </x:c>
      <x:c r="K5617" s="2" t="str">
        <x:v>PARTNER-M295</x:v>
      </x:c>
    </x:row>
    <x:row r="5618" ht="46" customHeight="1">
      <x:c r="A5618" s="2" t="str">
        <x:v>TEN-F8AF322D0456</x:v>
      </x:c>
      <x:c r="B5618" s="12" t="str">
        <x:v>Pegasys Group</x:v>
      </x:c>
      <x:c r="C5618" s="12" t="str">
        <x:v>CORP-0714</x:v>
      </x:c>
      <x:c r="D5618" s="12" t="str">
        <x:v>Hyderabad</x:v>
      </x:c>
      <x:c r="E5618" s="12" t="str">
        <x:v>Cyber Tower</x:v>
      </x:c>
      <x:c r="F5618" s="12" t="str">
        <x:v>55 inch</x:v>
      </x:c>
      <x:c r="G5618" s="20" t="n">
        <x:v>1</x:v>
      </x:c>
      <x:c r="H5618" s="12" t="str">
        <x:v>Campus/portfolio roster; individual building occupancy unverified</x:v>
      </x:c>
      <x:c r="I5618" s="12" t="str">
        <x:v>Small-scale prospects</x:v>
      </x:c>
      <x:c r="J5618" s="12" t="str">
        <x:v>IT &amp; digital</x:v>
      </x:c>
      <x:c r="K5618" s="2" t="str">
        <x:v>PARTNER-M295</x:v>
      </x:c>
    </x:row>
    <x:row r="5619" ht="46" customHeight="1">
      <x:c r="A5619" s="2" t="str">
        <x:v>TEN-F9676989ACD4</x:v>
      </x:c>
      <x:c r="B5619" s="12" t="str">
        <x:v>Avineon India</x:v>
      </x:c>
      <x:c r="C5619" s="12" t="str">
        <x:v>CORP-0714</x:v>
      </x:c>
      <x:c r="D5619" s="12" t="str">
        <x:v>Hyderabad</x:v>
      </x:c>
      <x:c r="E5619" s="12" t="str">
        <x:v>Cyber Tower</x:v>
      </x:c>
      <x:c r="F5619" s="12" t="str">
        <x:v>55 inch</x:v>
      </x:c>
      <x:c r="G5619" s="20" t="n">
        <x:v>1</x:v>
      </x:c>
      <x:c r="H5619" s="12" t="str">
        <x:v>Campus/portfolio roster; individual building occupancy unverified</x:v>
      </x:c>
      <x:c r="I5619" s="12" t="str">
        <x:v>Mixed business audience</x:v>
      </x:c>
      <x:c r="J5619" s="12" t="str">
        <x:v>IT &amp; digital</x:v>
      </x:c>
      <x:c r="K5619" s="2" t="str">
        <x:v>PARTNER-M295</x:v>
      </x:c>
    </x:row>
    <x:row r="5620" ht="46" customHeight="1">
      <x:c r="A5620" s="2" t="str">
        <x:v>TEN-0C81B9564D37</x:v>
      </x:c>
      <x:c r="B5620" s="12" t="str">
        <x:v>Cogent eservices private limited PSN Bangalore</x:v>
      </x:c>
      <x:c r="C5620" s="12" t="str">
        <x:v>CORP-0445</x:v>
      </x:c>
      <x:c r="D5620" s="12" t="str">
        <x:v>Bengaluru</x:v>
      </x:c>
      <x:c r="E5620" s="12" t="str">
        <x:v>Prestige Shantiniketan</x:v>
      </x:c>
      <x:c r="F5620" s="12" t="str">
        <x:v>55 inch</x:v>
      </x:c>
      <x:c r="G5620" s="20" t="n">
        <x:v>1</x:v>
      </x:c>
      <x:c r="H5620" s="12" t="str">
        <x:v>Campus/portfolio roster; individual building occupancy unverified</x:v>
      </x:c>
      <x:c r="I5620" s="12" t="str">
        <x:v>Mixed business audience</x:v>
      </x:c>
      <x:c r="J5620" s="12" t="str">
        <x:v>IT &amp; digital</x:v>
      </x:c>
      <x:c r="K5620" s="2" t="str">
        <x:v>PARTNER-M027</x:v>
      </x:c>
    </x:row>
    <x:row r="5621" ht="46" customHeight="1">
      <x:c r="A5621" s="2" t="str">
        <x:v>TEN-1D6F21C9D1AB</x:v>
      </x:c>
      <x:c r="B5621" s="12" t="str">
        <x:v>Algorythm</x:v>
      </x:c>
      <x:c r="C5621" s="12" t="str">
        <x:v>CORP-0445</x:v>
      </x:c>
      <x:c r="D5621" s="12" t="str">
        <x:v>Bengaluru</x:v>
      </x:c>
      <x:c r="E5621" s="12" t="str">
        <x:v>Prestige Shantiniketan</x:v>
      </x:c>
      <x:c r="F5621" s="12" t="str">
        <x:v>55 inch</x:v>
      </x:c>
      <x:c r="G5621" s="20" t="n">
        <x:v>1</x:v>
      </x:c>
      <x:c r="H5621" s="12" t="str">
        <x:v>Campus/portfolio roster; individual building occupancy unverified</x:v>
      </x:c>
      <x:c r="I5621" s="12" t="str">
        <x:v>Mixed business audience</x:v>
      </x:c>
      <x:c r="J5621" s="12" t="str">
        <x:v>Unresolved</x:v>
      </x:c>
      <x:c r="K5621" s="2" t="str">
        <x:v>PARTNER-M027</x:v>
      </x:c>
    </x:row>
    <x:row r="5622" ht="46" customHeight="1">
      <x:c r="A5622" s="2" t="str">
        <x:v>TEN-31F8B6C7A65B</x:v>
      </x:c>
      <x:c r="B5622" s="12" t="str">
        <x:v>Genisys Group</x:v>
      </x:c>
      <x:c r="C5622" s="12" t="str">
        <x:v>CORP-0445</x:v>
      </x:c>
      <x:c r="D5622" s="12" t="str">
        <x:v>Bengaluru</x:v>
      </x:c>
      <x:c r="E5622" s="12" t="str">
        <x:v>Prestige Shantiniketan</x:v>
      </x:c>
      <x:c r="F5622" s="12" t="str">
        <x:v>55 inch</x:v>
      </x:c>
      <x:c r="G5622" s="20" t="n">
        <x:v>1</x:v>
      </x:c>
      <x:c r="H5622" s="12" t="str">
        <x:v>Campus/portfolio roster; individual building occupancy unverified</x:v>
      </x:c>
      <x:c r="I5622" s="12" t="str">
        <x:v>Mixed business audience</x:v>
      </x:c>
      <x:c r="J5622" s="12" t="str">
        <x:v>IT &amp; digital</x:v>
      </x:c>
      <x:c r="K5622" s="2" t="str">
        <x:v>PARTNER-M027</x:v>
      </x:c>
    </x:row>
    <x:row r="5623" ht="46" customHeight="1">
      <x:c r="A5623" s="2" t="str">
        <x:v>TEN-53B505C1CAE2</x:v>
      </x:c>
      <x:c r="B5623" s="12" t="str">
        <x:v>Herbalife International India Pvt Ltd</x:v>
      </x:c>
      <x:c r="C5623" s="12" t="str">
        <x:v>CORP-0445</x:v>
      </x:c>
      <x:c r="D5623" s="12" t="str">
        <x:v>Bengaluru</x:v>
      </x:c>
      <x:c r="E5623" s="12" t="str">
        <x:v>Prestige Shantiniketan</x:v>
      </x:c>
      <x:c r="F5623" s="12" t="str">
        <x:v>55 inch</x:v>
      </x:c>
      <x:c r="G5623" s="20" t="n">
        <x:v>1</x:v>
      </x:c>
      <x:c r="H5623" s="12" t="str">
        <x:v>Campus/portfolio roster; individual building occupancy unverified</x:v>
      </x:c>
      <x:c r="I5623" s="12" t="str">
        <x:v>Mixed business audience</x:v>
      </x:c>
      <x:c r="J5623" s="12" t="str">
        <x:v>Healthcare &amp; life sciences</x:v>
      </x:c>
      <x:c r="K5623" s="2" t="str">
        <x:v>PARTNER-M027</x:v>
      </x:c>
    </x:row>
    <x:row r="5624" ht="46" customHeight="1">
      <x:c r="A5624" s="2" t="str">
        <x:v>TEN-5FA790F3630F</x:v>
      </x:c>
      <x:c r="B5624" s="12" t="str">
        <x:v>Tata Consultancy Services</x:v>
      </x:c>
      <x:c r="C5624" s="12" t="str">
        <x:v>CORP-0445</x:v>
      </x:c>
      <x:c r="D5624" s="12" t="str">
        <x:v>Bengaluru</x:v>
      </x:c>
      <x:c r="E5624" s="12" t="str">
        <x:v>Prestige Shantiniketan</x:v>
      </x:c>
      <x:c r="F5624" s="12" t="str">
        <x:v>55 inch</x:v>
      </x:c>
      <x:c r="G5624" s="20" t="n">
        <x:v>1</x:v>
      </x:c>
      <x:c r="H5624" s="12" t="str">
        <x:v>Campus/portfolio roster; individual building occupancy unverified</x:v>
      </x:c>
      <x:c r="I5624" s="12" t="str">
        <x:v>Large enterprise</x:v>
      </x:c>
      <x:c r="J5624" s="12" t="str">
        <x:v>IT &amp; digital</x:v>
      </x:c>
      <x:c r="K5624" s="2" t="str">
        <x:v>PARTNER-M027</x:v>
      </x:c>
    </x:row>
    <x:row r="5625" ht="46" customHeight="1">
      <x:c r="A5625" s="2" t="str">
        <x:v>TEN-8409366CFBB2</x:v>
      </x:c>
      <x:c r="B5625" s="12" t="str">
        <x:v>Tata Elxsi Limited</x:v>
      </x:c>
      <x:c r="C5625" s="12" t="str">
        <x:v>CORP-0445</x:v>
      </x:c>
      <x:c r="D5625" s="12" t="str">
        <x:v>Bengaluru</x:v>
      </x:c>
      <x:c r="E5625" s="12" t="str">
        <x:v>Prestige Shantiniketan</x:v>
      </x:c>
      <x:c r="F5625" s="12" t="str">
        <x:v>55 inch</x:v>
      </x:c>
      <x:c r="G5625" s="20" t="n">
        <x:v>1</x:v>
      </x:c>
      <x:c r="H5625" s="12" t="str">
        <x:v>Campus/portfolio roster; individual building occupancy unverified</x:v>
      </x:c>
      <x:c r="I5625" s="12" t="str">
        <x:v>Large enterprise</x:v>
      </x:c>
      <x:c r="J5625" s="12" t="str">
        <x:v>IT &amp; digital</x:v>
      </x:c>
      <x:c r="K5625" s="2" t="str">
        <x:v>PARTNER-M027</x:v>
      </x:c>
    </x:row>
    <x:row r="5626" ht="46" customHeight="1">
      <x:c r="A5626" s="2" t="str">
        <x:v>TEN-849229AF9AC7</x:v>
      </x:c>
      <x:c r="B5626" s="12" t="str">
        <x:v>Hexaware Technologies Limited</x:v>
      </x:c>
      <x:c r="C5626" s="12" t="str">
        <x:v>CORP-0445</x:v>
      </x:c>
      <x:c r="D5626" s="12" t="str">
        <x:v>Bengaluru</x:v>
      </x:c>
      <x:c r="E5626" s="12" t="str">
        <x:v>Prestige Shantiniketan</x:v>
      </x:c>
      <x:c r="F5626" s="12" t="str">
        <x:v>55 inch</x:v>
      </x:c>
      <x:c r="G5626" s="20" t="n">
        <x:v>1</x:v>
      </x:c>
      <x:c r="H5626" s="12" t="str">
        <x:v>Campus/portfolio roster; individual building occupancy unverified</x:v>
      </x:c>
      <x:c r="I5626" s="12" t="str">
        <x:v>Large enterprise</x:v>
      </x:c>
      <x:c r="J5626" s="12" t="str">
        <x:v>IT &amp; digital</x:v>
      </x:c>
      <x:c r="K5626" s="2" t="str">
        <x:v>PARTNER-M027</x:v>
      </x:c>
    </x:row>
    <x:row r="5627" ht="46" customHeight="1">
      <x:c r="A5627" s="2" t="str">
        <x:v>TEN-9636D9305A9A</x:v>
      </x:c>
      <x:c r="B5627" s="12" t="str">
        <x:v>Britannia Industries Limited</x:v>
      </x:c>
      <x:c r="C5627" s="12" t="str">
        <x:v>CORP-0445</x:v>
      </x:c>
      <x:c r="D5627" s="12" t="str">
        <x:v>Bengaluru</x:v>
      </x:c>
      <x:c r="E5627" s="12" t="str">
        <x:v>Prestige Shantiniketan</x:v>
      </x:c>
      <x:c r="F5627" s="12" t="str">
        <x:v>55 inch</x:v>
      </x:c>
      <x:c r="G5627" s="20" t="n">
        <x:v>1</x:v>
      </x:c>
      <x:c r="H5627" s="12" t="str">
        <x:v>Campus/portfolio roster; individual building occupancy unverified</x:v>
      </x:c>
      <x:c r="I5627" s="12" t="str">
        <x:v>Mixed business audience</x:v>
      </x:c>
      <x:c r="J5627" s="12" t="str">
        <x:v>Trade, consumer &amp; logistics</x:v>
      </x:c>
      <x:c r="K5627" s="2" t="str">
        <x:v>PARTNER-M027</x:v>
      </x:c>
    </x:row>
    <x:row r="5628" ht="46" customHeight="1">
      <x:c r="A5628" s="2" t="str">
        <x:v>TEN-985483497785</x:v>
      </x:c>
      <x:c r="B5628" s="12" t="str">
        <x:v>GE Healthcare</x:v>
      </x:c>
      <x:c r="C5628" s="12" t="str">
        <x:v>CORP-0445</x:v>
      </x:c>
      <x:c r="D5628" s="12" t="str">
        <x:v>Bengaluru</x:v>
      </x:c>
      <x:c r="E5628" s="12" t="str">
        <x:v>Prestige Shantiniketan</x:v>
      </x:c>
      <x:c r="F5628" s="12" t="str">
        <x:v>55 inch</x:v>
      </x:c>
      <x:c r="G5628" s="20" t="n">
        <x:v>1</x:v>
      </x:c>
      <x:c r="H5628" s="12" t="str">
        <x:v>Campus/portfolio roster; individual building occupancy unverified</x:v>
      </x:c>
      <x:c r="I5628" s="12" t="str">
        <x:v>Mixed business audience</x:v>
      </x:c>
      <x:c r="J5628" s="12" t="str">
        <x:v>Healthcare &amp; life sciences</x:v>
      </x:c>
      <x:c r="K5628" s="2" t="str">
        <x:v>PARTNER-M027</x:v>
      </x:c>
    </x:row>
    <x:row r="5629" ht="46" customHeight="1">
      <x:c r="A5629" s="2" t="str">
        <x:v>TEN-9987FF0A3CAC</x:v>
      </x:c>
      <x:c r="B5629" s="12" t="str">
        <x:v>Hindustan Unilever (UniOps business unit)</x:v>
      </x:c>
      <x:c r="C5629" s="12" t="str">
        <x:v>CORP-0445</x:v>
      </x:c>
      <x:c r="D5629" s="12" t="str">
        <x:v>Bengaluru</x:v>
      </x:c>
      <x:c r="E5629" s="12" t="str">
        <x:v>Prestige Shantiniketan</x:v>
      </x:c>
      <x:c r="F5629" s="12" t="str">
        <x:v>55 inch</x:v>
      </x:c>
      <x:c r="G5629" s="20" t="n">
        <x:v>1</x:v>
      </x:c>
      <x:c r="H5629" s="12" t="str">
        <x:v>Campus/portfolio roster; individual building occupancy unverified</x:v>
      </x:c>
      <x:c r="I5629" s="12" t="str">
        <x:v>Large enterprise</x:v>
      </x:c>
      <x:c r="J5629" s="12" t="str">
        <x:v>Trade, consumer &amp; logistics</x:v>
      </x:c>
      <x:c r="K5629" s="2" t="str">
        <x:v>PARTNER-M027</x:v>
      </x:c>
    </x:row>
    <x:row r="5630" ht="46" customHeight="1">
      <x:c r="A5630" s="2" t="str">
        <x:v>TEN-9CDD1B64DEF0</x:v>
      </x:c>
      <x:c r="B5630" s="12" t="str">
        <x:v>Optym India Private Limited</x:v>
      </x:c>
      <x:c r="C5630" s="12" t="str">
        <x:v>CORP-0445</x:v>
      </x:c>
      <x:c r="D5630" s="12" t="str">
        <x:v>Bengaluru</x:v>
      </x:c>
      <x:c r="E5630" s="12" t="str">
        <x:v>Prestige Shantiniketan</x:v>
      </x:c>
      <x:c r="F5630" s="12" t="str">
        <x:v>55 inch</x:v>
      </x:c>
      <x:c r="G5630" s="20" t="n">
        <x:v>1</x:v>
      </x:c>
      <x:c r="H5630" s="12" t="str">
        <x:v>Campus/portfolio roster; individual building occupancy unverified</x:v>
      </x:c>
      <x:c r="I5630" s="12" t="str">
        <x:v>Small-scale prospects</x:v>
      </x:c>
      <x:c r="J5630" s="12" t="str">
        <x:v>IT &amp; digital</x:v>
      </x:c>
      <x:c r="K5630" s="2" t="str">
        <x:v>PARTNER-M027</x:v>
      </x:c>
    </x:row>
    <x:row r="5631" ht="46" customHeight="1">
      <x:c r="A5631" s="2" t="str">
        <x:v>TEN-A7FC7DAF4DA4</x:v>
      </x:c>
      <x:c r="B5631" s="12" t="str">
        <x:v>Thermo Fisher Scientific</x:v>
      </x:c>
      <x:c r="C5631" s="12" t="str">
        <x:v>CORP-0445</x:v>
      </x:c>
      <x:c r="D5631" s="12" t="str">
        <x:v>Bengaluru</x:v>
      </x:c>
      <x:c r="E5631" s="12" t="str">
        <x:v>Prestige Shantiniketan</x:v>
      </x:c>
      <x:c r="F5631" s="12" t="str">
        <x:v>55 inch</x:v>
      </x:c>
      <x:c r="G5631" s="20" t="n">
        <x:v>1</x:v>
      </x:c>
      <x:c r="H5631" s="12" t="str">
        <x:v>Campus/portfolio roster; individual building occupancy unverified</x:v>
      </x:c>
      <x:c r="I5631" s="12" t="str">
        <x:v>Mixed business audience</x:v>
      </x:c>
      <x:c r="J5631" s="12" t="str">
        <x:v>Healthcare &amp; life sciences</x:v>
      </x:c>
      <x:c r="K5631" s="2" t="str">
        <x:v>PARTNER-M027</x:v>
      </x:c>
    </x:row>
    <x:row r="5632" ht="46" customHeight="1">
      <x:c r="A5632" s="2" t="str">
        <x:v>TEN-B877247CA363</x:v>
      </x:c>
      <x:c r="B5632" s="12" t="str">
        <x:v>Kaseya</x:v>
      </x:c>
      <x:c r="C5632" s="12" t="str">
        <x:v>CORP-0445</x:v>
      </x:c>
      <x:c r="D5632" s="12" t="str">
        <x:v>Bengaluru</x:v>
      </x:c>
      <x:c r="E5632" s="12" t="str">
        <x:v>Prestige Shantiniketan</x:v>
      </x:c>
      <x:c r="F5632" s="12" t="str">
        <x:v>55 inch</x:v>
      </x:c>
      <x:c r="G5632" s="20" t="n">
        <x:v>1</x:v>
      </x:c>
      <x:c r="H5632" s="12" t="str">
        <x:v>Campus/portfolio roster; individual building occupancy unverified</x:v>
      </x:c>
      <x:c r="I5632" s="12" t="str">
        <x:v>Mixed business audience</x:v>
      </x:c>
      <x:c r="J5632" s="12" t="str">
        <x:v>IT &amp; digital</x:v>
      </x:c>
      <x:c r="K5632" s="2" t="str">
        <x:v>PARTNER-M027</x:v>
      </x:c>
    </x:row>
    <x:row r="5633" ht="46" customHeight="1">
      <x:c r="A5633" s="2" t="str">
        <x:v>TEN-BA6AE2780CD4</x:v>
      </x:c>
      <x:c r="B5633" s="12" t="str">
        <x:v>Concentrix</x:v>
      </x:c>
      <x:c r="C5633" s="12" t="str">
        <x:v>CORP-0445</x:v>
      </x:c>
      <x:c r="D5633" s="12" t="str">
        <x:v>Bengaluru</x:v>
      </x:c>
      <x:c r="E5633" s="12" t="str">
        <x:v>Prestige Shantiniketan</x:v>
      </x:c>
      <x:c r="F5633" s="12" t="str">
        <x:v>55 inch</x:v>
      </x:c>
      <x:c r="G5633" s="20" t="n">
        <x:v>1</x:v>
      </x:c>
      <x:c r="H5633" s="12" t="str">
        <x:v>Campus/portfolio roster; individual building occupancy unverified</x:v>
      </x:c>
      <x:c r="I5633" s="12" t="str">
        <x:v>Large enterprise</x:v>
      </x:c>
      <x:c r="J5633" s="12" t="str">
        <x:v>IT &amp; digital</x:v>
      </x:c>
      <x:c r="K5633" s="2" t="str">
        <x:v>PARTNER-M027</x:v>
      </x:c>
    </x:row>
    <x:row r="5634" ht="46" customHeight="1">
      <x:c r="A5634" s="2" t="str">
        <x:v>TEN-BEE4F75D30E5</x:v>
      </x:c>
      <x:c r="B5634" s="12" t="str">
        <x:v>ICICI Bank</x:v>
      </x:c>
      <x:c r="C5634" s="12" t="str">
        <x:v>CORP-0445</x:v>
      </x:c>
      <x:c r="D5634" s="12" t="str">
        <x:v>Bengaluru</x:v>
      </x:c>
      <x:c r="E5634" s="12" t="str">
        <x:v>Prestige Shantiniketan</x:v>
      </x:c>
      <x:c r="F5634" s="12" t="str">
        <x:v>55 inch</x:v>
      </x:c>
      <x:c r="G5634" s="20" t="n">
        <x:v>1</x:v>
      </x:c>
      <x:c r="H5634" s="12" t="str">
        <x:v>Campus/portfolio roster; individual building occupancy unverified</x:v>
      </x:c>
      <x:c r="I5634" s="12" t="str">
        <x:v>Large enterprise</x:v>
      </x:c>
      <x:c r="J5634" s="12" t="str">
        <x:v>Finance &amp; insurance</x:v>
      </x:c>
      <x:c r="K5634" s="2" t="str">
        <x:v>PARTNER-M027</x:v>
      </x:c>
    </x:row>
    <x:row r="5635" ht="46" customHeight="1">
      <x:c r="A5635" s="2" t="str">
        <x:v>TEN-CCAF93725C39</x:v>
      </x:c>
      <x:c r="B5635" s="12" t="str">
        <x:v>India Document Solutions Private Ltd</x:v>
      </x:c>
      <x:c r="C5635" s="12" t="str">
        <x:v>CORP-0445</x:v>
      </x:c>
      <x:c r="D5635" s="12" t="str">
        <x:v>Bengaluru</x:v>
      </x:c>
      <x:c r="E5635" s="12" t="str">
        <x:v>Prestige Shantiniketan</x:v>
      </x:c>
      <x:c r="F5635" s="12" t="str">
        <x:v>55 inch</x:v>
      </x:c>
      <x:c r="G5635" s="20" t="n">
        <x:v>1</x:v>
      </x:c>
      <x:c r="H5635" s="12" t="str">
        <x:v>Campus/portfolio roster; individual building occupancy unverified</x:v>
      </x:c>
      <x:c r="I5635" s="12" t="str">
        <x:v>Mixed business audience</x:v>
      </x:c>
      <x:c r="J5635" s="12" t="str">
        <x:v>Unresolved</x:v>
      </x:c>
      <x:c r="K5635" s="2" t="str">
        <x:v>PARTNER-M027</x:v>
      </x:c>
    </x:row>
    <x:row r="5636" ht="46" customHeight="1">
      <x:c r="A5636" s="2" t="str">
        <x:v>TEN-D850894DB864</x:v>
      </x:c>
      <x:c r="B5636" s="12" t="str">
        <x:v>Rockstar Games India</x:v>
      </x:c>
      <x:c r="C5636" s="12" t="str">
        <x:v>CORP-0445</x:v>
      </x:c>
      <x:c r="D5636" s="12" t="str">
        <x:v>Bengaluru</x:v>
      </x:c>
      <x:c r="E5636" s="12" t="str">
        <x:v>Prestige Shantiniketan</x:v>
      </x:c>
      <x:c r="F5636" s="12" t="str">
        <x:v>55 inch</x:v>
      </x:c>
      <x:c r="G5636" s="20" t="n">
        <x:v>1</x:v>
      </x:c>
      <x:c r="H5636" s="12" t="str">
        <x:v>Campus/portfolio roster; individual building occupancy unverified</x:v>
      </x:c>
      <x:c r="I5636" s="12" t="str">
        <x:v>Mixed business audience</x:v>
      </x:c>
      <x:c r="J5636" s="12" t="str">
        <x:v>Trade, consumer &amp; logistics</x:v>
      </x:c>
      <x:c r="K5636" s="2" t="str">
        <x:v>PARTNER-M027</x:v>
      </x:c>
    </x:row>
    <x:row r="5637" ht="46" customHeight="1">
      <x:c r="A5637" s="2" t="str">
        <x:v>TEN-D860D87EBCF5</x:v>
      </x:c>
      <x:c r="B5637" s="12" t="str">
        <x:v>Synapse Techno Design Innovations Private Limited</x:v>
      </x:c>
      <x:c r="C5637" s="12" t="str">
        <x:v>CORP-0445</x:v>
      </x:c>
      <x:c r="D5637" s="12" t="str">
        <x:v>Bengaluru</x:v>
      </x:c>
      <x:c r="E5637" s="12" t="str">
        <x:v>Prestige Shantiniketan</x:v>
      </x:c>
      <x:c r="F5637" s="12" t="str">
        <x:v>55 inch</x:v>
      </x:c>
      <x:c r="G5637" s="20" t="n">
        <x:v>1</x:v>
      </x:c>
      <x:c r="H5637" s="12" t="str">
        <x:v>Campus/portfolio roster; individual building occupancy unverified</x:v>
      </x:c>
      <x:c r="I5637" s="12" t="str">
        <x:v>Small-scale prospects</x:v>
      </x:c>
      <x:c r="J5637" s="12" t="str">
        <x:v>IT &amp; digital</x:v>
      </x:c>
      <x:c r="K5637" s="2" t="str">
        <x:v>PARTNER-M027</x:v>
      </x:c>
    </x:row>
    <x:row r="5638" ht="46" customHeight="1">
      <x:c r="A5638" s="2" t="str">
        <x:v>TEN-DF4521B8C430</x:v>
      </x:c>
      <x:c r="B5638" s="12" t="str">
        <x:v>Nielsen Sports</x:v>
      </x:c>
      <x:c r="C5638" s="12" t="str">
        <x:v>CORP-0445</x:v>
      </x:c>
      <x:c r="D5638" s="12" t="str">
        <x:v>Bengaluru</x:v>
      </x:c>
      <x:c r="E5638" s="12" t="str">
        <x:v>Prestige Shantiniketan</x:v>
      </x:c>
      <x:c r="F5638" s="12" t="str">
        <x:v>55 inch</x:v>
      </x:c>
      <x:c r="G5638" s="20" t="n">
        <x:v>1</x:v>
      </x:c>
      <x:c r="H5638" s="12" t="str">
        <x:v>Campus/portfolio roster; individual building occupancy unverified</x:v>
      </x:c>
      <x:c r="I5638" s="12" t="str">
        <x:v>Mixed business audience</x:v>
      </x:c>
      <x:c r="J5638" s="12" t="str">
        <x:v>Professional services</x:v>
      </x:c>
      <x:c r="K5638" s="2" t="str">
        <x:v>PARTNER-M027</x:v>
      </x:c>
    </x:row>
    <x:row r="5639" ht="46" customHeight="1">
      <x:c r="A5639" s="2" t="str">
        <x:v>TEN-E23305C78818</x:v>
      </x:c>
      <x:c r="B5639" s="12" t="str">
        <x:v>Baxter Innovations &amp; Business Solutions Pvt Ltd</x:v>
      </x:c>
      <x:c r="C5639" s="12" t="str">
        <x:v>CORP-0445</x:v>
      </x:c>
      <x:c r="D5639" s="12" t="str">
        <x:v>Bengaluru</x:v>
      </x:c>
      <x:c r="E5639" s="12" t="str">
        <x:v>Prestige Shantiniketan</x:v>
      </x:c>
      <x:c r="F5639" s="12" t="str">
        <x:v>55 inch</x:v>
      </x:c>
      <x:c r="G5639" s="20" t="n">
        <x:v>1</x:v>
      </x:c>
      <x:c r="H5639" s="12" t="str">
        <x:v>Campus/portfolio roster; individual building occupancy unverified</x:v>
      </x:c>
      <x:c r="I5639" s="12" t="str">
        <x:v>Mixed business audience</x:v>
      </x:c>
      <x:c r="J5639" s="12" t="str">
        <x:v>Healthcare &amp; life sciences</x:v>
      </x:c>
      <x:c r="K5639" s="2" t="str">
        <x:v>PARTNER-M027</x:v>
      </x:c>
    </x:row>
    <x:row r="5640" ht="46" customHeight="1">
      <x:c r="A5640" s="2" t="str">
        <x:v>TEN-E517F4484EEE</x:v>
      </x:c>
      <x:c r="B5640" s="12" t="str">
        <x:v>CapRelo Mobility India Private Limited</x:v>
      </x:c>
      <x:c r="C5640" s="12" t="str">
        <x:v>CORP-0445</x:v>
      </x:c>
      <x:c r="D5640" s="12" t="str">
        <x:v>Bengaluru</x:v>
      </x:c>
      <x:c r="E5640" s="12" t="str">
        <x:v>Prestige Shantiniketan</x:v>
      </x:c>
      <x:c r="F5640" s="12" t="str">
        <x:v>55 inch</x:v>
      </x:c>
      <x:c r="G5640" s="20" t="n">
        <x:v>1</x:v>
      </x:c>
      <x:c r="H5640" s="12" t="str">
        <x:v>Campus/portfolio roster; individual building occupancy unverified</x:v>
      </x:c>
      <x:c r="I5640" s="12" t="str">
        <x:v>Mixed business audience</x:v>
      </x:c>
      <x:c r="J5640" s="12" t="str">
        <x:v>Professional services</x:v>
      </x:c>
      <x:c r="K5640" s="2" t="str">
        <x:v>PARTNER-M027</x:v>
      </x:c>
    </x:row>
    <x:row r="5641" ht="46" customHeight="1">
      <x:c r="A5641" s="2" t="str">
        <x:v>TEN-E88697226669</x:v>
      </x:c>
      <x:c r="B5641" s="12" t="str">
        <x:v>Elocity Technologies India Private Limited</x:v>
      </x:c>
      <x:c r="C5641" s="12" t="str">
        <x:v>CORP-0445</x:v>
      </x:c>
      <x:c r="D5641" s="12" t="str">
        <x:v>Bengaluru</x:v>
      </x:c>
      <x:c r="E5641" s="12" t="str">
        <x:v>Prestige Shantiniketan</x:v>
      </x:c>
      <x:c r="F5641" s="12" t="str">
        <x:v>55 inch</x:v>
      </x:c>
      <x:c r="G5641" s="20" t="n">
        <x:v>1</x:v>
      </x:c>
      <x:c r="H5641" s="12" t="str">
        <x:v>Campus/portfolio roster; individual building occupancy unverified</x:v>
      </x:c>
      <x:c r="I5641" s="12" t="str">
        <x:v>Mixed business audience</x:v>
      </x:c>
      <x:c r="J5641" s="12" t="str">
        <x:v>Unresolved</x:v>
      </x:c>
      <x:c r="K5641" s="2" t="str">
        <x:v>PARTNER-M027</x:v>
      </x:c>
    </x:row>
    <x:row r="5642" ht="46" customHeight="1">
      <x:c r="A5642" s="2" t="str">
        <x:v>TEN-EE0CA20290EC</x:v>
      </x:c>
      <x:c r="B5642" s="12" t="str">
        <x:v>MEDTRONIC</x:v>
      </x:c>
      <x:c r="C5642" s="12" t="str">
        <x:v>CORP-0445</x:v>
      </x:c>
      <x:c r="D5642" s="12" t="str">
        <x:v>Bengaluru</x:v>
      </x:c>
      <x:c r="E5642" s="12" t="str">
        <x:v>Prestige Shantiniketan</x:v>
      </x:c>
      <x:c r="F5642" s="12" t="str">
        <x:v>55 inch</x:v>
      </x:c>
      <x:c r="G5642" s="20" t="n">
        <x:v>1</x:v>
      </x:c>
      <x:c r="H5642" s="12" t="str">
        <x:v>Campus/portfolio roster; individual building occupancy unverified</x:v>
      </x:c>
      <x:c r="I5642" s="12" t="str">
        <x:v>Mixed business audience</x:v>
      </x:c>
      <x:c r="J5642" s="12" t="str">
        <x:v>Healthcare &amp; life sciences</x:v>
      </x:c>
      <x:c r="K5642" s="2" t="str">
        <x:v>PARTNER-M027</x:v>
      </x:c>
    </x:row>
    <x:row r="5643" ht="46" customHeight="1">
      <x:c r="A5643" s="2" t="str">
        <x:v>TEN-FECD2DA15F6C</x:v>
      </x:c>
      <x:c r="B5643" s="12" t="str">
        <x:v>Flowserve Global Technology &amp; Engineering Center (GTEC)</x:v>
      </x:c>
      <x:c r="C5643" s="12" t="str">
        <x:v>CORP-0445</x:v>
      </x:c>
      <x:c r="D5643" s="12" t="str">
        <x:v>Bengaluru</x:v>
      </x:c>
      <x:c r="E5643" s="12" t="str">
        <x:v>Prestige Shantiniketan</x:v>
      </x:c>
      <x:c r="F5643" s="12" t="str">
        <x:v>55 inch</x:v>
      </x:c>
      <x:c r="G5643" s="20" t="n">
        <x:v>1</x:v>
      </x:c>
      <x:c r="H5643" s="12" t="str">
        <x:v>Campus/portfolio roster; individual building occupancy unverified</x:v>
      </x:c>
      <x:c r="I5643" s="12" t="str">
        <x:v>Mixed business audience</x:v>
      </x:c>
      <x:c r="J5643" s="12" t="str">
        <x:v>Engineering &amp; manufacturing</x:v>
      </x:c>
      <x:c r="K5643" s="2" t="str">
        <x:v>PARTNER-M027</x:v>
      </x:c>
    </x:row>
    <x:row r="5644" ht="46" customHeight="1">
      <x:c r="A5644" s="2" t="str">
        <x:v>TEN-0A41DF50FB75</x:v>
      </x:c>
      <x:c r="B5644" s="12" t="str">
        <x:v>APPLE INFOSYS</x:v>
      </x:c>
      <x:c r="C5644" s="12" t="str">
        <x:v>CORP-0715</x:v>
      </x:c>
      <x:c r="D5644" s="12" t="str">
        <x:v>Hyderabad</x:v>
      </x:c>
      <x:c r="E5644" s="12" t="str">
        <x:v>Waverock IT Park</x:v>
      </x:c>
      <x:c r="F5644" s="12" t="str">
        <x:v>55 inch</x:v>
      </x:c>
      <x:c r="G5644" s="20" t="n">
        <x:v>1</x:v>
      </x:c>
      <x:c r="H5644" s="12" t="str">
        <x:v>Campus/portfolio roster; individual building occupancy unverified</x:v>
      </x:c>
      <x:c r="I5644" s="12" t="str">
        <x:v>Mixed business audience</x:v>
      </x:c>
      <x:c r="J5644" s="12" t="str">
        <x:v>Unresolved</x:v>
      </x:c>
      <x:c r="K5644" s="2" t="str">
        <x:v>PARTNER-M300</x:v>
      </x:c>
    </x:row>
    <x:row r="5645" ht="46" customHeight="1">
      <x:c r="A5645" s="2" t="str">
        <x:v>TEN-102EF275BFD6</x:v>
      </x:c>
      <x:c r="B5645" s="12" t="str">
        <x:v>DBS Technology Service India</x:v>
      </x:c>
      <x:c r="C5645" s="12" t="str">
        <x:v>CORP-0715</x:v>
      </x:c>
      <x:c r="D5645" s="12" t="str">
        <x:v>Hyderabad</x:v>
      </x:c>
      <x:c r="E5645" s="12" t="str">
        <x:v>Waverock IT Park</x:v>
      </x:c>
      <x:c r="F5645" s="12" t="str">
        <x:v>55 inch</x:v>
      </x:c>
      <x:c r="G5645" s="20" t="n">
        <x:v>1</x:v>
      </x:c>
      <x:c r="H5645" s="12" t="str">
        <x:v>Campus/portfolio roster; individual building occupancy unverified</x:v>
      </x:c>
      <x:c r="I5645" s="12" t="str">
        <x:v>Large enterprise</x:v>
      </x:c>
      <x:c r="J5645" s="12" t="str">
        <x:v>IT &amp; digital</x:v>
      </x:c>
      <x:c r="K5645" s="2" t="str">
        <x:v>PARTNER-M300</x:v>
      </x:c>
    </x:row>
    <x:row r="5646" ht="46" customHeight="1">
      <x:c r="A5646" s="2" t="str">
        <x:v>TEN-13D5183E2424</x:v>
      </x:c>
      <x:c r="B5646" s="12" t="str">
        <x:v>ETG Digital</x:v>
      </x:c>
      <x:c r="C5646" s="12" t="str">
        <x:v>CORP-0715</x:v>
      </x:c>
      <x:c r="D5646" s="12" t="str">
        <x:v>Hyderabad</x:v>
      </x:c>
      <x:c r="E5646" s="12" t="str">
        <x:v>Waverock IT Park</x:v>
      </x:c>
      <x:c r="F5646" s="12" t="str">
        <x:v>55 inch</x:v>
      </x:c>
      <x:c r="G5646" s="20" t="n">
        <x:v>1</x:v>
      </x:c>
      <x:c r="H5646" s="12" t="str">
        <x:v>Campus/portfolio roster; individual building occupancy unverified</x:v>
      </x:c>
      <x:c r="I5646" s="12" t="str">
        <x:v>Small-scale prospects</x:v>
      </x:c>
      <x:c r="J5646" s="12" t="str">
        <x:v>IT &amp; digital</x:v>
      </x:c>
      <x:c r="K5646" s="2" t="str">
        <x:v>PARTNER-M300</x:v>
      </x:c>
    </x:row>
    <x:row r="5647" ht="46" customHeight="1">
      <x:c r="A5647" s="2" t="str">
        <x:v>TEN-1781916B2378</x:v>
      </x:c>
      <x:c r="B5647" s="12" t="str">
        <x:v>Attra Infotech</x:v>
      </x:c>
      <x:c r="C5647" s="12" t="str">
        <x:v>CORP-0715</x:v>
      </x:c>
      <x:c r="D5647" s="12" t="str">
        <x:v>Hyderabad</x:v>
      </x:c>
      <x:c r="E5647" s="12" t="str">
        <x:v>Waverock IT Park</x:v>
      </x:c>
      <x:c r="F5647" s="12" t="str">
        <x:v>55 inch</x:v>
      </x:c>
      <x:c r="G5647" s="20" t="n">
        <x:v>1</x:v>
      </x:c>
      <x:c r="H5647" s="12" t="str">
        <x:v>Campus/portfolio roster; individual building occupancy unverified</x:v>
      </x:c>
      <x:c r="I5647" s="12" t="str">
        <x:v>Mixed business audience</x:v>
      </x:c>
      <x:c r="J5647" s="12" t="str">
        <x:v>IT &amp; digital</x:v>
      </x:c>
      <x:c r="K5647" s="2" t="str">
        <x:v>PARTNER-M300</x:v>
      </x:c>
    </x:row>
    <x:row r="5648" ht="46" customHeight="1">
      <x:c r="A5648" s="2" t="str">
        <x:v>TEN-3EDE65EA0CF4</x:v>
      </x:c>
      <x:c r="B5648" s="12" t="str">
        <x:v>ShootOrder</x:v>
      </x:c>
      <x:c r="C5648" s="12" t="str">
        <x:v>CORP-0715</x:v>
      </x:c>
      <x:c r="D5648" s="12" t="str">
        <x:v>Hyderabad</x:v>
      </x:c>
      <x:c r="E5648" s="12" t="str">
        <x:v>Waverock IT Park</x:v>
      </x:c>
      <x:c r="F5648" s="12" t="str">
        <x:v>55 inch</x:v>
      </x:c>
      <x:c r="G5648" s="20" t="n">
        <x:v>1</x:v>
      </x:c>
      <x:c r="H5648" s="12" t="str">
        <x:v>Campus/portfolio roster; individual building occupancy unverified</x:v>
      </x:c>
      <x:c r="I5648" s="12" t="str">
        <x:v>Small-scale prospects</x:v>
      </x:c>
      <x:c r="J5648" s="12" t="str">
        <x:v>Professional services</x:v>
      </x:c>
      <x:c r="K5648" s="2" t="str">
        <x:v>PARTNER-M300</x:v>
      </x:c>
    </x:row>
    <x:row r="5649" ht="46" customHeight="1">
      <x:c r="A5649" s="2" t="str">
        <x:v>TEN-45562E981863</x:v>
      </x:c>
      <x:c r="B5649" s="12" t="str">
        <x:v>Qumu Corp</x:v>
      </x:c>
      <x:c r="C5649" s="12" t="str">
        <x:v>CORP-0715</x:v>
      </x:c>
      <x:c r="D5649" s="12" t="str">
        <x:v>Hyderabad</x:v>
      </x:c>
      <x:c r="E5649" s="12" t="str">
        <x:v>Waverock IT Park</x:v>
      </x:c>
      <x:c r="F5649" s="12" t="str">
        <x:v>55 inch</x:v>
      </x:c>
      <x:c r="G5649" s="20" t="n">
        <x:v>1</x:v>
      </x:c>
      <x:c r="H5649" s="12" t="str">
        <x:v>Campus/portfolio roster; individual building occupancy unverified</x:v>
      </x:c>
      <x:c r="I5649" s="12" t="str">
        <x:v>Mixed business audience</x:v>
      </x:c>
      <x:c r="J5649" s="12" t="str">
        <x:v>IT &amp; digital</x:v>
      </x:c>
      <x:c r="K5649" s="2" t="str">
        <x:v>PARTNER-M300</x:v>
      </x:c>
    </x:row>
    <x:row r="5650" ht="46" customHeight="1">
      <x:c r="A5650" s="2" t="str">
        <x:v>TEN-4D748EBD71AF</x:v>
      </x:c>
      <x:c r="B5650" s="12" t="str">
        <x:v>Accenture</x:v>
      </x:c>
      <x:c r="C5650" s="12" t="str">
        <x:v>CORP-0715</x:v>
      </x:c>
      <x:c r="D5650" s="12" t="str">
        <x:v>Hyderabad</x:v>
      </x:c>
      <x:c r="E5650" s="12" t="str">
        <x:v>Waverock IT Park</x:v>
      </x:c>
      <x:c r="F5650" s="12" t="str">
        <x:v>55 inch</x:v>
      </x:c>
      <x:c r="G5650" s="20" t="n">
        <x:v>1</x:v>
      </x:c>
      <x:c r="H5650" s="12" t="str">
        <x:v>Campus/portfolio roster; individual building occupancy unverified</x:v>
      </x:c>
      <x:c r="I5650" s="12" t="str">
        <x:v>Large enterprise</x:v>
      </x:c>
      <x:c r="J5650" s="12" t="str">
        <x:v>IT &amp; digital</x:v>
      </x:c>
      <x:c r="K5650" s="2" t="str">
        <x:v>PARTNER-M300</x:v>
      </x:c>
    </x:row>
    <x:row r="5651" ht="46" customHeight="1">
      <x:c r="A5651" s="2" t="str">
        <x:v>TEN-5C5CC4165124</x:v>
      </x:c>
      <x:c r="B5651" s="12" t="str">
        <x:v>Classic Design</x:v>
      </x:c>
      <x:c r="C5651" s="12" t="str">
        <x:v>CORP-0715</x:v>
      </x:c>
      <x:c r="D5651" s="12" t="str">
        <x:v>Hyderabad</x:v>
      </x:c>
      <x:c r="E5651" s="12" t="str">
        <x:v>Waverock IT Park</x:v>
      </x:c>
      <x:c r="F5651" s="12" t="str">
        <x:v>55 inch</x:v>
      </x:c>
      <x:c r="G5651" s="20" t="n">
        <x:v>1</x:v>
      </x:c>
      <x:c r="H5651" s="12" t="str">
        <x:v>Campus/portfolio roster; individual building occupancy unverified</x:v>
      </x:c>
      <x:c r="I5651" s="12" t="str">
        <x:v>Mixed business audience</x:v>
      </x:c>
      <x:c r="J5651" s="12" t="str">
        <x:v>Unresolved</x:v>
      </x:c>
      <x:c r="K5651" s="2" t="str">
        <x:v>PARTNER-M300</x:v>
      </x:c>
    </x:row>
    <x:row r="5652" ht="46" customHeight="1">
      <x:c r="A5652" s="2" t="str">
        <x:v>TEN-5C7E939E5259</x:v>
      </x:c>
      <x:c r="B5652" s="12" t="str">
        <x:v>Eze Software</x:v>
      </x:c>
      <x:c r="C5652" s="12" t="str">
        <x:v>CORP-0715</x:v>
      </x:c>
      <x:c r="D5652" s="12" t="str">
        <x:v>Hyderabad</x:v>
      </x:c>
      <x:c r="E5652" s="12" t="str">
        <x:v>Waverock IT Park</x:v>
      </x:c>
      <x:c r="F5652" s="12" t="str">
        <x:v>55 inch</x:v>
      </x:c>
      <x:c r="G5652" s="20" t="n">
        <x:v>1</x:v>
      </x:c>
      <x:c r="H5652" s="12" t="str">
        <x:v>Campus/portfolio roster; individual building occupancy unverified</x:v>
      </x:c>
      <x:c r="I5652" s="12" t="str">
        <x:v>Mixed business audience</x:v>
      </x:c>
      <x:c r="J5652" s="12" t="str">
        <x:v>IT &amp; digital</x:v>
      </x:c>
      <x:c r="K5652" s="2" t="str">
        <x:v>PARTNER-M300</x:v>
      </x:c>
    </x:row>
    <x:row r="5653" ht="46" customHeight="1">
      <x:c r="A5653" s="2" t="str">
        <x:v>TEN-5FA790F3630F</x:v>
      </x:c>
      <x:c r="B5653" s="12" t="str">
        <x:v>Tata Consultancy Services</x:v>
      </x:c>
      <x:c r="C5653" s="12" t="str">
        <x:v>CORP-0715</x:v>
      </x:c>
      <x:c r="D5653" s="12" t="str">
        <x:v>Hyderabad</x:v>
      </x:c>
      <x:c r="E5653" s="12" t="str">
        <x:v>Waverock IT Park</x:v>
      </x:c>
      <x:c r="F5653" s="12" t="str">
        <x:v>55 inch</x:v>
      </x:c>
      <x:c r="G5653" s="20" t="n">
        <x:v>1</x:v>
      </x:c>
      <x:c r="H5653" s="12" t="str">
        <x:v>Campus/portfolio roster; individual building occupancy unverified</x:v>
      </x:c>
      <x:c r="I5653" s="12" t="str">
        <x:v>Large enterprise</x:v>
      </x:c>
      <x:c r="J5653" s="12" t="str">
        <x:v>IT &amp; digital</x:v>
      </x:c>
      <x:c r="K5653" s="2" t="str">
        <x:v>PARTNER-M300</x:v>
      </x:c>
    </x:row>
    <x:row r="5654" ht="46" customHeight="1">
      <x:c r="A5654" s="2" t="str">
        <x:v>TEN-605FBFDF4C2C</x:v>
      </x:c>
      <x:c r="B5654" s="12" t="str">
        <x:v>Apple Development Center</x:v>
      </x:c>
      <x:c r="C5654" s="12" t="str">
        <x:v>CORP-0715</x:v>
      </x:c>
      <x:c r="D5654" s="12" t="str">
        <x:v>Hyderabad</x:v>
      </x:c>
      <x:c r="E5654" s="12" t="str">
        <x:v>Waverock IT Park</x:v>
      </x:c>
      <x:c r="F5654" s="12" t="str">
        <x:v>55 inch</x:v>
      </x:c>
      <x:c r="G5654" s="20" t="n">
        <x:v>1</x:v>
      </x:c>
      <x:c r="H5654" s="12" t="str">
        <x:v>Campus/portfolio roster; individual building occupancy unverified</x:v>
      </x:c>
      <x:c r="I5654" s="12" t="str">
        <x:v>Mixed business audience</x:v>
      </x:c>
      <x:c r="J5654" s="12" t="str">
        <x:v>IT &amp; digital</x:v>
      </x:c>
      <x:c r="K5654" s="2" t="str">
        <x:v>PARTNER-M300</x:v>
      </x:c>
    </x:row>
    <x:row r="5655" ht="46" customHeight="1">
      <x:c r="A5655" s="2" t="str">
        <x:v>TEN-866EA055BD61</x:v>
      </x:c>
      <x:c r="B5655" s="12" t="str">
        <x:v>GlobalLogic Technologies</x:v>
      </x:c>
      <x:c r="C5655" s="12" t="str">
        <x:v>CORP-0715</x:v>
      </x:c>
      <x:c r="D5655" s="12" t="str">
        <x:v>Hyderabad</x:v>
      </x:c>
      <x:c r="E5655" s="12" t="str">
        <x:v>Waverock IT Park</x:v>
      </x:c>
      <x:c r="F5655" s="12" t="str">
        <x:v>55 inch</x:v>
      </x:c>
      <x:c r="G5655" s="20" t="n">
        <x:v>1</x:v>
      </x:c>
      <x:c r="H5655" s="12" t="str">
        <x:v>Campus/portfolio roster; individual building occupancy unverified</x:v>
      </x:c>
      <x:c r="I5655" s="12" t="str">
        <x:v>Mixed business audience</x:v>
      </x:c>
      <x:c r="J5655" s="12" t="str">
        <x:v>IT &amp; digital</x:v>
      </x:c>
      <x:c r="K5655" s="2" t="str">
        <x:v>PARTNER-M300</x:v>
      </x:c>
    </x:row>
    <x:row r="5656" ht="46" customHeight="1">
      <x:c r="A5656" s="2" t="str">
        <x:v>TEN-956E5A41DB14</x:v>
      </x:c>
      <x:c r="B5656" s="12" t="str">
        <x:v>Persistent Systems</x:v>
      </x:c>
      <x:c r="C5656" s="12" t="str">
        <x:v>CORP-0715</x:v>
      </x:c>
      <x:c r="D5656" s="12" t="str">
        <x:v>Hyderabad</x:v>
      </x:c>
      <x:c r="E5656" s="12" t="str">
        <x:v>Waverock IT Park</x:v>
      </x:c>
      <x:c r="F5656" s="12" t="str">
        <x:v>55 inch</x:v>
      </x:c>
      <x:c r="G5656" s="20" t="n">
        <x:v>1</x:v>
      </x:c>
      <x:c r="H5656" s="12" t="str">
        <x:v>Campus/portfolio roster; individual building occupancy unverified</x:v>
      </x:c>
      <x:c r="I5656" s="12" t="str">
        <x:v>Large enterprise</x:v>
      </x:c>
      <x:c r="J5656" s="12" t="str">
        <x:v>IT &amp; digital</x:v>
      </x:c>
      <x:c r="K5656" s="2" t="str">
        <x:v>PARTNER-M300</x:v>
      </x:c>
    </x:row>
    <x:row r="5657" ht="46" customHeight="1">
      <x:c r="A5657" s="2" t="str">
        <x:v>TEN-9FE6746863D6</x:v>
      </x:c>
      <x:c r="B5657" s="12" t="str">
        <x:v>Aveva</x:v>
      </x:c>
      <x:c r="C5657" s="12" t="str">
        <x:v>CORP-0715</x:v>
      </x:c>
      <x:c r="D5657" s="12" t="str">
        <x:v>Hyderabad</x:v>
      </x:c>
      <x:c r="E5657" s="12" t="str">
        <x:v>Waverock IT Park</x:v>
      </x:c>
      <x:c r="F5657" s="12" t="str">
        <x:v>55 inch</x:v>
      </x:c>
      <x:c r="G5657" s="20" t="n">
        <x:v>1</x:v>
      </x:c>
      <x:c r="H5657" s="12" t="str">
        <x:v>Campus/portfolio roster; individual building occupancy unverified</x:v>
      </x:c>
      <x:c r="I5657" s="12" t="str">
        <x:v>Mixed business audience</x:v>
      </x:c>
      <x:c r="J5657" s="12" t="str">
        <x:v>IT &amp; digital</x:v>
      </x:c>
      <x:c r="K5657" s="2" t="str">
        <x:v>PARTNER-M300</x:v>
      </x:c>
    </x:row>
    <x:row r="5658" ht="46" customHeight="1">
      <x:c r="A5658" s="2" t="str">
        <x:v>TEN-A5721E1BABB7</x:v>
      </x:c>
      <x:c r="B5658" s="12" t="str">
        <x:v>Avva Deepak</x:v>
      </x:c>
      <x:c r="C5658" s="12" t="str">
        <x:v>CORP-0715</x:v>
      </x:c>
      <x:c r="D5658" s="12" t="str">
        <x:v>Hyderabad</x:v>
      </x:c>
      <x:c r="E5658" s="12" t="str">
        <x:v>Waverock IT Park</x:v>
      </x:c>
      <x:c r="F5658" s="12" t="str">
        <x:v>55 inch</x:v>
      </x:c>
      <x:c r="G5658" s="20" t="n">
        <x:v>1</x:v>
      </x:c>
      <x:c r="H5658" s="12" t="str">
        <x:v>Campus/portfolio roster; individual building occupancy unverified</x:v>
      </x:c>
      <x:c r="I5658" s="12" t="str">
        <x:v>Mixed business audience</x:v>
      </x:c>
      <x:c r="J5658" s="12" t="str">
        <x:v>Unresolved</x:v>
      </x:c>
      <x:c r="K5658" s="2" t="str">
        <x:v>PARTNER-M300</x:v>
      </x:c>
    </x:row>
    <x:row r="5659" ht="46" customHeight="1">
      <x:c r="A5659" s="2" t="str">
        <x:v>TEN-A7905EBB5DD3</x:v>
      </x:c>
      <x:c r="B5659" s="12" t="str">
        <x:v>M3BI India Pvt Ltd</x:v>
      </x:c>
      <x:c r="C5659" s="12" t="str">
        <x:v>CORP-0715</x:v>
      </x:c>
      <x:c r="D5659" s="12" t="str">
        <x:v>Hyderabad</x:v>
      </x:c>
      <x:c r="E5659" s="12" t="str">
        <x:v>Waverock IT Park</x:v>
      </x:c>
      <x:c r="F5659" s="12" t="str">
        <x:v>55 inch</x:v>
      </x:c>
      <x:c r="G5659" s="20" t="n">
        <x:v>1</x:v>
      </x:c>
      <x:c r="H5659" s="12" t="str">
        <x:v>Campus/portfolio roster; individual building occupancy unverified</x:v>
      </x:c>
      <x:c r="I5659" s="12" t="str">
        <x:v>Mixed business audience</x:v>
      </x:c>
      <x:c r="J5659" s="12" t="str">
        <x:v>IT &amp; digital</x:v>
      </x:c>
      <x:c r="K5659" s="2" t="str">
        <x:v>PARTNER-M300</x:v>
      </x:c>
    </x:row>
    <x:row r="5660" ht="46" customHeight="1">
      <x:c r="A5660" s="2" t="str">
        <x:v>TEN-A932AA2FF310</x:v>
      </x:c>
      <x:c r="B5660" s="12" t="str">
        <x:v>CompuGain Solutions</x:v>
      </x:c>
      <x:c r="C5660" s="12" t="str">
        <x:v>CORP-0715</x:v>
      </x:c>
      <x:c r="D5660" s="12" t="str">
        <x:v>Hyderabad</x:v>
      </x:c>
      <x:c r="E5660" s="12" t="str">
        <x:v>Waverock IT Park</x:v>
      </x:c>
      <x:c r="F5660" s="12" t="str">
        <x:v>55 inch</x:v>
      </x:c>
      <x:c r="G5660" s="20" t="n">
        <x:v>1</x:v>
      </x:c>
      <x:c r="H5660" s="12" t="str">
        <x:v>Campus/portfolio roster; individual building occupancy unverified</x:v>
      </x:c>
      <x:c r="I5660" s="12" t="str">
        <x:v>Mixed business audience</x:v>
      </x:c>
      <x:c r="J5660" s="12" t="str">
        <x:v>IT &amp; digital</x:v>
      </x:c>
      <x:c r="K5660" s="2" t="str">
        <x:v>PARTNER-M300</x:v>
      </x:c>
    </x:row>
    <x:row r="5661" ht="46" customHeight="1">
      <x:c r="A5661" s="2" t="str">
        <x:v>TEN-B043864B7FFB</x:v>
      </x:c>
      <x:c r="B5661" s="12" t="str">
        <x:v>DuPont</x:v>
      </x:c>
      <x:c r="C5661" s="12" t="str">
        <x:v>CORP-0715</x:v>
      </x:c>
      <x:c r="D5661" s="12" t="str">
        <x:v>Hyderabad</x:v>
      </x:c>
      <x:c r="E5661" s="12" t="str">
        <x:v>Waverock IT Park</x:v>
      </x:c>
      <x:c r="F5661" s="12" t="str">
        <x:v>55 inch</x:v>
      </x:c>
      <x:c r="G5661" s="20" t="n">
        <x:v>1</x:v>
      </x:c>
      <x:c r="H5661" s="12" t="str">
        <x:v>Campus/portfolio roster; individual building occupancy unverified</x:v>
      </x:c>
      <x:c r="I5661" s="12" t="str">
        <x:v>Mixed business audience</x:v>
      </x:c>
      <x:c r="J5661" s="12" t="str">
        <x:v>Engineering &amp; manufacturing</x:v>
      </x:c>
      <x:c r="K5661" s="2" t="str">
        <x:v>PARTNER-M300</x:v>
      </x:c>
    </x:row>
    <x:row r="5662" ht="46" customHeight="1">
      <x:c r="A5662" s="2" t="str">
        <x:v>TEN-C42E337B9F49</x:v>
      </x:c>
      <x:c r="B5662" s="12" t="str">
        <x:v>Helius Technologies</x:v>
      </x:c>
      <x:c r="C5662" s="12" t="str">
        <x:v>CORP-0715</x:v>
      </x:c>
      <x:c r="D5662" s="12" t="str">
        <x:v>Hyderabad</x:v>
      </x:c>
      <x:c r="E5662" s="12" t="str">
        <x:v>Waverock IT Park</x:v>
      </x:c>
      <x:c r="F5662" s="12" t="str">
        <x:v>55 inch</x:v>
      </x:c>
      <x:c r="G5662" s="20" t="n">
        <x:v>1</x:v>
      </x:c>
      <x:c r="H5662" s="12" t="str">
        <x:v>Campus/portfolio roster; individual building occupancy unverified</x:v>
      </x:c>
      <x:c r="I5662" s="12" t="str">
        <x:v>Small-scale prospects</x:v>
      </x:c>
      <x:c r="J5662" s="12" t="str">
        <x:v>IT &amp; digital</x:v>
      </x:c>
      <x:c r="K5662" s="2" t="str">
        <x:v>PARTNER-M300</x:v>
      </x:c>
    </x:row>
    <x:row r="5663" ht="46" customHeight="1">
      <x:c r="A5663" s="2" t="str">
        <x:v>TEN-CCF988B40B7F</x:v>
      </x:c>
      <x:c r="B5663" s="12" t="str">
        <x:v>Idea Entity Tech Solutions</x:v>
      </x:c>
      <x:c r="C5663" s="12" t="str">
        <x:v>CORP-0715</x:v>
      </x:c>
      <x:c r="D5663" s="12" t="str">
        <x:v>Hyderabad</x:v>
      </x:c>
      <x:c r="E5663" s="12" t="str">
        <x:v>Waverock IT Park</x:v>
      </x:c>
      <x:c r="F5663" s="12" t="str">
        <x:v>55 inch</x:v>
      </x:c>
      <x:c r="G5663" s="20" t="n">
        <x:v>1</x:v>
      </x:c>
      <x:c r="H5663" s="12" t="str">
        <x:v>Campus/portfolio roster; individual building occupancy unverified</x:v>
      </x:c>
      <x:c r="I5663" s="12" t="str">
        <x:v>Small-scale prospects</x:v>
      </x:c>
      <x:c r="J5663" s="12" t="str">
        <x:v>IT &amp; digital</x:v>
      </x:c>
      <x:c r="K5663" s="2" t="str">
        <x:v>PARTNER-M300</x:v>
      </x:c>
    </x:row>
    <x:row r="5664" ht="46" customHeight="1">
      <x:c r="A5664" s="2" t="str">
        <x:v>TEN-CFB36C1F4640</x:v>
      </x:c>
      <x:c r="B5664" s="12" t="str">
        <x:v>Research Wallet</x:v>
      </x:c>
      <x:c r="C5664" s="12" t="str">
        <x:v>CORP-0715</x:v>
      </x:c>
      <x:c r="D5664" s="12" t="str">
        <x:v>Hyderabad</x:v>
      </x:c>
      <x:c r="E5664" s="12" t="str">
        <x:v>Waverock IT Park</x:v>
      </x:c>
      <x:c r="F5664" s="12" t="str">
        <x:v>55 inch</x:v>
      </x:c>
      <x:c r="G5664" s="20" t="n">
        <x:v>1</x:v>
      </x:c>
      <x:c r="H5664" s="12" t="str">
        <x:v>Campus/portfolio roster; individual building occupancy unverified</x:v>
      </x:c>
      <x:c r="I5664" s="12" t="str">
        <x:v>Mixed business audience</x:v>
      </x:c>
      <x:c r="J5664" s="12" t="str">
        <x:v>Unresolved</x:v>
      </x:c>
      <x:c r="K5664" s="2" t="str">
        <x:v>PARTNER-M300</x:v>
      </x:c>
    </x:row>
    <x:row r="5665" ht="46" customHeight="1">
      <x:c r="A5665" s="2" t="str">
        <x:v>TEN-EAE5AC232E0F</x:v>
      </x:c>
      <x:c r="B5665" s="12" t="str">
        <x:v>Accelerite</x:v>
      </x:c>
      <x:c r="C5665" s="12" t="str">
        <x:v>CORP-0715</x:v>
      </x:c>
      <x:c r="D5665" s="12" t="str">
        <x:v>Hyderabad</x:v>
      </x:c>
      <x:c r="E5665" s="12" t="str">
        <x:v>Waverock IT Park</x:v>
      </x:c>
      <x:c r="F5665" s="12" t="str">
        <x:v>55 inch</x:v>
      </x:c>
      <x:c r="G5665" s="20" t="n">
        <x:v>1</x:v>
      </x:c>
      <x:c r="H5665" s="12" t="str">
        <x:v>Campus/portfolio roster; individual building occupancy unverified</x:v>
      </x:c>
      <x:c r="I5665" s="12" t="str">
        <x:v>Mixed business audience</x:v>
      </x:c>
      <x:c r="J5665" s="12" t="str">
        <x:v>IT &amp; digital</x:v>
      </x:c>
      <x:c r="K5665" s="2" t="str">
        <x:v>PARTNER-M300</x:v>
      </x:c>
    </x:row>
    <x:row r="5666" ht="46" customHeight="1">
      <x:c r="A5666" s="2" t="str">
        <x:v>TEN-EDE803F3F786</x:v>
      </x:c>
      <x:c r="B5666" s="12" t="str">
        <x:v>Vehicle Fitness Company</x:v>
      </x:c>
      <x:c r="C5666" s="12" t="str">
        <x:v>CORP-0715</x:v>
      </x:c>
      <x:c r="D5666" s="12" t="str">
        <x:v>Hyderabad</x:v>
      </x:c>
      <x:c r="E5666" s="12" t="str">
        <x:v>Waverock IT Park</x:v>
      </x:c>
      <x:c r="F5666" s="12" t="str">
        <x:v>55 inch</x:v>
      </x:c>
      <x:c r="G5666" s="20" t="n">
        <x:v>1</x:v>
      </x:c>
      <x:c r="H5666" s="12" t="str">
        <x:v>Campus/portfolio roster; individual building occupancy unverified</x:v>
      </x:c>
      <x:c r="I5666" s="12" t="str">
        <x:v>Medium-scale prospects</x:v>
      </x:c>
      <x:c r="J5666" s="12" t="str">
        <x:v>Engineering &amp; manufacturing</x:v>
      </x:c>
      <x:c r="K5666" s="2" t="str">
        <x:v>PARTNER-M300</x:v>
      </x:c>
    </x:row>
    <x:row r="5667" ht="46" customHeight="1">
      <x:c r="A5667" s="2" t="str">
        <x:v>TEN-EFC60595AA04</x:v>
      </x:c>
      <x:c r="B5667" s="12" t="str">
        <x:v>RMSI Pvt Limited</x:v>
      </x:c>
      <x:c r="C5667" s="12" t="str">
        <x:v>CORP-0715</x:v>
      </x:c>
      <x:c r="D5667" s="12" t="str">
        <x:v>Hyderabad</x:v>
      </x:c>
      <x:c r="E5667" s="12" t="str">
        <x:v>Waverock IT Park</x:v>
      </x:c>
      <x:c r="F5667" s="12" t="str">
        <x:v>55 inch</x:v>
      </x:c>
      <x:c r="G5667" s="20" t="n">
        <x:v>1</x:v>
      </x:c>
      <x:c r="H5667" s="12" t="str">
        <x:v>Campus/portfolio roster; individual building occupancy unverified</x:v>
      </x:c>
      <x:c r="I5667" s="12" t="str">
        <x:v>Mixed business audience</x:v>
      </x:c>
      <x:c r="J5667" s="12" t="str">
        <x:v>IT &amp; digital</x:v>
      </x:c>
      <x:c r="K5667" s="2" t="str">
        <x:v>PARTNER-M300</x:v>
      </x:c>
    </x:row>
    <x:row r="5668" ht="46" customHeight="1">
      <x:c r="A5668" s="2" t="str">
        <x:v>TEN-FCE68113EA76</x:v>
      </x:c>
      <x:c r="B5668" s="12" t="str">
        <x:v>Innominds Software</x:v>
      </x:c>
      <x:c r="C5668" s="12" t="str">
        <x:v>CORP-0715</x:v>
      </x:c>
      <x:c r="D5668" s="12" t="str">
        <x:v>Hyderabad</x:v>
      </x:c>
      <x:c r="E5668" s="12" t="str">
        <x:v>Waverock IT Park</x:v>
      </x:c>
      <x:c r="F5668" s="12" t="str">
        <x:v>55 inch</x:v>
      </x:c>
      <x:c r="G5668" s="20" t="n">
        <x:v>1</x:v>
      </x:c>
      <x:c r="H5668" s="12" t="str">
        <x:v>Campus/portfolio roster; individual building occupancy unverified</x:v>
      </x:c>
      <x:c r="I5668" s="12" t="str">
        <x:v>Mixed business audience</x:v>
      </x:c>
      <x:c r="J5668" s="12" t="str">
        <x:v>IT &amp; digital</x:v>
      </x:c>
      <x:c r="K5668" s="2" t="str">
        <x:v>PARTNER-M300</x:v>
      </x:c>
    </x:row>
    <x:row r="5669" ht="46" customHeight="1">
      <x:c r="A5669" s="2" t="str">
        <x:v>TEN-0A41DF50FB75</x:v>
      </x:c>
      <x:c r="B5669" s="12" t="str">
        <x:v>APPLE INFOSYS</x:v>
      </x:c>
      <x:c r="C5669" s="12" t="str">
        <x:v>CORP-0716</x:v>
      </x:c>
      <x:c r="D5669" s="12" t="str">
        <x:v>Hyderabad</x:v>
      </x:c>
      <x:c r="E5669" s="12" t="str">
        <x:v>Waverock IT Park</x:v>
      </x:c>
      <x:c r="F5669" s="12" t="str">
        <x:v>55 inch</x:v>
      </x:c>
      <x:c r="G5669" s="20" t="n">
        <x:v>1</x:v>
      </x:c>
      <x:c r="H5669" s="12" t="str">
        <x:v>Campus/portfolio roster; individual building occupancy unverified</x:v>
      </x:c>
      <x:c r="I5669" s="12" t="str">
        <x:v>Mixed business audience</x:v>
      </x:c>
      <x:c r="J5669" s="12" t="str">
        <x:v>Unresolved</x:v>
      </x:c>
      <x:c r="K5669" s="2" t="str">
        <x:v>PARTNER-M300</x:v>
      </x:c>
    </x:row>
    <x:row r="5670" ht="46" customHeight="1">
      <x:c r="A5670" s="2" t="str">
        <x:v>TEN-102EF275BFD6</x:v>
      </x:c>
      <x:c r="B5670" s="12" t="str">
        <x:v>DBS Technology Service India</x:v>
      </x:c>
      <x:c r="C5670" s="12" t="str">
        <x:v>CORP-0716</x:v>
      </x:c>
      <x:c r="D5670" s="12" t="str">
        <x:v>Hyderabad</x:v>
      </x:c>
      <x:c r="E5670" s="12" t="str">
        <x:v>Waverock IT Park</x:v>
      </x:c>
      <x:c r="F5670" s="12" t="str">
        <x:v>55 inch</x:v>
      </x:c>
      <x:c r="G5670" s="20" t="n">
        <x:v>1</x:v>
      </x:c>
      <x:c r="H5670" s="12" t="str">
        <x:v>Campus/portfolio roster; individual building occupancy unverified</x:v>
      </x:c>
      <x:c r="I5670" s="12" t="str">
        <x:v>Large enterprise</x:v>
      </x:c>
      <x:c r="J5670" s="12" t="str">
        <x:v>IT &amp; digital</x:v>
      </x:c>
      <x:c r="K5670" s="2" t="str">
        <x:v>PARTNER-M300</x:v>
      </x:c>
    </x:row>
    <x:row r="5671" ht="46" customHeight="1">
      <x:c r="A5671" s="2" t="str">
        <x:v>TEN-13D5183E2424</x:v>
      </x:c>
      <x:c r="B5671" s="12" t="str">
        <x:v>ETG Digital</x:v>
      </x:c>
      <x:c r="C5671" s="12" t="str">
        <x:v>CORP-0716</x:v>
      </x:c>
      <x:c r="D5671" s="12" t="str">
        <x:v>Hyderabad</x:v>
      </x:c>
      <x:c r="E5671" s="12" t="str">
        <x:v>Waverock IT Park</x:v>
      </x:c>
      <x:c r="F5671" s="12" t="str">
        <x:v>55 inch</x:v>
      </x:c>
      <x:c r="G5671" s="20" t="n">
        <x:v>1</x:v>
      </x:c>
      <x:c r="H5671" s="12" t="str">
        <x:v>Campus/portfolio roster; individual building occupancy unverified</x:v>
      </x:c>
      <x:c r="I5671" s="12" t="str">
        <x:v>Small-scale prospects</x:v>
      </x:c>
      <x:c r="J5671" s="12" t="str">
        <x:v>IT &amp; digital</x:v>
      </x:c>
      <x:c r="K5671" s="2" t="str">
        <x:v>PARTNER-M300</x:v>
      </x:c>
    </x:row>
    <x:row r="5672" ht="46" customHeight="1">
      <x:c r="A5672" s="2" t="str">
        <x:v>TEN-1781916B2378</x:v>
      </x:c>
      <x:c r="B5672" s="12" t="str">
        <x:v>Attra Infotech</x:v>
      </x:c>
      <x:c r="C5672" s="12" t="str">
        <x:v>CORP-0716</x:v>
      </x:c>
      <x:c r="D5672" s="12" t="str">
        <x:v>Hyderabad</x:v>
      </x:c>
      <x:c r="E5672" s="12" t="str">
        <x:v>Waverock IT Park</x:v>
      </x:c>
      <x:c r="F5672" s="12" t="str">
        <x:v>55 inch</x:v>
      </x:c>
      <x:c r="G5672" s="20" t="n">
        <x:v>1</x:v>
      </x:c>
      <x:c r="H5672" s="12" t="str">
        <x:v>Campus/portfolio roster; individual building occupancy unverified</x:v>
      </x:c>
      <x:c r="I5672" s="12" t="str">
        <x:v>Mixed business audience</x:v>
      </x:c>
      <x:c r="J5672" s="12" t="str">
        <x:v>IT &amp; digital</x:v>
      </x:c>
      <x:c r="K5672" s="2" t="str">
        <x:v>PARTNER-M300</x:v>
      </x:c>
    </x:row>
    <x:row r="5673" ht="46" customHeight="1">
      <x:c r="A5673" s="2" t="str">
        <x:v>TEN-3EDE65EA0CF4</x:v>
      </x:c>
      <x:c r="B5673" s="12" t="str">
        <x:v>ShootOrder</x:v>
      </x:c>
      <x:c r="C5673" s="12" t="str">
        <x:v>CORP-0716</x:v>
      </x:c>
      <x:c r="D5673" s="12" t="str">
        <x:v>Hyderabad</x:v>
      </x:c>
      <x:c r="E5673" s="12" t="str">
        <x:v>Waverock IT Park</x:v>
      </x:c>
      <x:c r="F5673" s="12" t="str">
        <x:v>55 inch</x:v>
      </x:c>
      <x:c r="G5673" s="20" t="n">
        <x:v>1</x:v>
      </x:c>
      <x:c r="H5673" s="12" t="str">
        <x:v>Campus/portfolio roster; individual building occupancy unverified</x:v>
      </x:c>
      <x:c r="I5673" s="12" t="str">
        <x:v>Small-scale prospects</x:v>
      </x:c>
      <x:c r="J5673" s="12" t="str">
        <x:v>Professional services</x:v>
      </x:c>
      <x:c r="K5673" s="2" t="str">
        <x:v>PARTNER-M300</x:v>
      </x:c>
    </x:row>
    <x:row r="5674" ht="46" customHeight="1">
      <x:c r="A5674" s="2" t="str">
        <x:v>TEN-45562E981863</x:v>
      </x:c>
      <x:c r="B5674" s="12" t="str">
        <x:v>Qumu Corp</x:v>
      </x:c>
      <x:c r="C5674" s="12" t="str">
        <x:v>CORP-0716</x:v>
      </x:c>
      <x:c r="D5674" s="12" t="str">
        <x:v>Hyderabad</x:v>
      </x:c>
      <x:c r="E5674" s="12" t="str">
        <x:v>Waverock IT Park</x:v>
      </x:c>
      <x:c r="F5674" s="12" t="str">
        <x:v>55 inch</x:v>
      </x:c>
      <x:c r="G5674" s="20" t="n">
        <x:v>1</x:v>
      </x:c>
      <x:c r="H5674" s="12" t="str">
        <x:v>Campus/portfolio roster; individual building occupancy unverified</x:v>
      </x:c>
      <x:c r="I5674" s="12" t="str">
        <x:v>Mixed business audience</x:v>
      </x:c>
      <x:c r="J5674" s="12" t="str">
        <x:v>IT &amp; digital</x:v>
      </x:c>
      <x:c r="K5674" s="2" t="str">
        <x:v>PARTNER-M300</x:v>
      </x:c>
    </x:row>
    <x:row r="5675" ht="46" customHeight="1">
      <x:c r="A5675" s="2" t="str">
        <x:v>TEN-4D748EBD71AF</x:v>
      </x:c>
      <x:c r="B5675" s="12" t="str">
        <x:v>Accenture</x:v>
      </x:c>
      <x:c r="C5675" s="12" t="str">
        <x:v>CORP-0716</x:v>
      </x:c>
      <x:c r="D5675" s="12" t="str">
        <x:v>Hyderabad</x:v>
      </x:c>
      <x:c r="E5675" s="12" t="str">
        <x:v>Waverock IT Park</x:v>
      </x:c>
      <x:c r="F5675" s="12" t="str">
        <x:v>55 inch</x:v>
      </x:c>
      <x:c r="G5675" s="20" t="n">
        <x:v>1</x:v>
      </x:c>
      <x:c r="H5675" s="12" t="str">
        <x:v>Campus/portfolio roster; individual building occupancy unverified</x:v>
      </x:c>
      <x:c r="I5675" s="12" t="str">
        <x:v>Large enterprise</x:v>
      </x:c>
      <x:c r="J5675" s="12" t="str">
        <x:v>IT &amp; digital</x:v>
      </x:c>
      <x:c r="K5675" s="2" t="str">
        <x:v>PARTNER-M300</x:v>
      </x:c>
    </x:row>
    <x:row r="5676" ht="46" customHeight="1">
      <x:c r="A5676" s="2" t="str">
        <x:v>TEN-5C5CC4165124</x:v>
      </x:c>
      <x:c r="B5676" s="12" t="str">
        <x:v>Classic Design</x:v>
      </x:c>
      <x:c r="C5676" s="12" t="str">
        <x:v>CORP-0716</x:v>
      </x:c>
      <x:c r="D5676" s="12" t="str">
        <x:v>Hyderabad</x:v>
      </x:c>
      <x:c r="E5676" s="12" t="str">
        <x:v>Waverock IT Park</x:v>
      </x:c>
      <x:c r="F5676" s="12" t="str">
        <x:v>55 inch</x:v>
      </x:c>
      <x:c r="G5676" s="20" t="n">
        <x:v>1</x:v>
      </x:c>
      <x:c r="H5676" s="12" t="str">
        <x:v>Campus/portfolio roster; individual building occupancy unverified</x:v>
      </x:c>
      <x:c r="I5676" s="12" t="str">
        <x:v>Mixed business audience</x:v>
      </x:c>
      <x:c r="J5676" s="12" t="str">
        <x:v>Unresolved</x:v>
      </x:c>
      <x:c r="K5676" s="2" t="str">
        <x:v>PARTNER-M300</x:v>
      </x:c>
    </x:row>
    <x:row r="5677" ht="46" customHeight="1">
      <x:c r="A5677" s="2" t="str">
        <x:v>TEN-5C7E939E5259</x:v>
      </x:c>
      <x:c r="B5677" s="12" t="str">
        <x:v>Eze Software</x:v>
      </x:c>
      <x:c r="C5677" s="12" t="str">
        <x:v>CORP-0716</x:v>
      </x:c>
      <x:c r="D5677" s="12" t="str">
        <x:v>Hyderabad</x:v>
      </x:c>
      <x:c r="E5677" s="12" t="str">
        <x:v>Waverock IT Park</x:v>
      </x:c>
      <x:c r="F5677" s="12" t="str">
        <x:v>55 inch</x:v>
      </x:c>
      <x:c r="G5677" s="20" t="n">
        <x:v>1</x:v>
      </x:c>
      <x:c r="H5677" s="12" t="str">
        <x:v>Campus/portfolio roster; individual building occupancy unverified</x:v>
      </x:c>
      <x:c r="I5677" s="12" t="str">
        <x:v>Mixed business audience</x:v>
      </x:c>
      <x:c r="J5677" s="12" t="str">
        <x:v>IT &amp; digital</x:v>
      </x:c>
      <x:c r="K5677" s="2" t="str">
        <x:v>PARTNER-M300</x:v>
      </x:c>
    </x:row>
    <x:row r="5678" ht="46" customHeight="1">
      <x:c r="A5678" s="2" t="str">
        <x:v>TEN-5FA790F3630F</x:v>
      </x:c>
      <x:c r="B5678" s="12" t="str">
        <x:v>Tata Consultancy Services</x:v>
      </x:c>
      <x:c r="C5678" s="12" t="str">
        <x:v>CORP-0716</x:v>
      </x:c>
      <x:c r="D5678" s="12" t="str">
        <x:v>Hyderabad</x:v>
      </x:c>
      <x:c r="E5678" s="12" t="str">
        <x:v>Waverock IT Park</x:v>
      </x:c>
      <x:c r="F5678" s="12" t="str">
        <x:v>55 inch</x:v>
      </x:c>
      <x:c r="G5678" s="20" t="n">
        <x:v>1</x:v>
      </x:c>
      <x:c r="H5678" s="12" t="str">
        <x:v>Campus/portfolio roster; individual building occupancy unverified</x:v>
      </x:c>
      <x:c r="I5678" s="12" t="str">
        <x:v>Large enterprise</x:v>
      </x:c>
      <x:c r="J5678" s="12" t="str">
        <x:v>IT &amp; digital</x:v>
      </x:c>
      <x:c r="K5678" s="2" t="str">
        <x:v>PARTNER-M300</x:v>
      </x:c>
    </x:row>
    <x:row r="5679" ht="46" customHeight="1">
      <x:c r="A5679" s="2" t="str">
        <x:v>TEN-605FBFDF4C2C</x:v>
      </x:c>
      <x:c r="B5679" s="12" t="str">
        <x:v>Apple Development Center</x:v>
      </x:c>
      <x:c r="C5679" s="12" t="str">
        <x:v>CORP-0716</x:v>
      </x:c>
      <x:c r="D5679" s="12" t="str">
        <x:v>Hyderabad</x:v>
      </x:c>
      <x:c r="E5679" s="12" t="str">
        <x:v>Waverock IT Park</x:v>
      </x:c>
      <x:c r="F5679" s="12" t="str">
        <x:v>55 inch</x:v>
      </x:c>
      <x:c r="G5679" s="20" t="n">
        <x:v>1</x:v>
      </x:c>
      <x:c r="H5679" s="12" t="str">
        <x:v>Campus/portfolio roster; individual building occupancy unverified</x:v>
      </x:c>
      <x:c r="I5679" s="12" t="str">
        <x:v>Mixed business audience</x:v>
      </x:c>
      <x:c r="J5679" s="12" t="str">
        <x:v>IT &amp; digital</x:v>
      </x:c>
      <x:c r="K5679" s="2" t="str">
        <x:v>PARTNER-M300</x:v>
      </x:c>
    </x:row>
    <x:row r="5680" ht="46" customHeight="1">
      <x:c r="A5680" s="2" t="str">
        <x:v>TEN-866EA055BD61</x:v>
      </x:c>
      <x:c r="B5680" s="12" t="str">
        <x:v>GlobalLogic Technologies</x:v>
      </x:c>
      <x:c r="C5680" s="12" t="str">
        <x:v>CORP-0716</x:v>
      </x:c>
      <x:c r="D5680" s="12" t="str">
        <x:v>Hyderabad</x:v>
      </x:c>
      <x:c r="E5680" s="12" t="str">
        <x:v>Waverock IT Park</x:v>
      </x:c>
      <x:c r="F5680" s="12" t="str">
        <x:v>55 inch</x:v>
      </x:c>
      <x:c r="G5680" s="20" t="n">
        <x:v>1</x:v>
      </x:c>
      <x:c r="H5680" s="12" t="str">
        <x:v>Campus/portfolio roster; individual building occupancy unverified</x:v>
      </x:c>
      <x:c r="I5680" s="12" t="str">
        <x:v>Mixed business audience</x:v>
      </x:c>
      <x:c r="J5680" s="12" t="str">
        <x:v>IT &amp; digital</x:v>
      </x:c>
      <x:c r="K5680" s="2" t="str">
        <x:v>PARTNER-M300</x:v>
      </x:c>
    </x:row>
    <x:row r="5681" ht="46" customHeight="1">
      <x:c r="A5681" s="2" t="str">
        <x:v>TEN-956E5A41DB14</x:v>
      </x:c>
      <x:c r="B5681" s="12" t="str">
        <x:v>Persistent Systems</x:v>
      </x:c>
      <x:c r="C5681" s="12" t="str">
        <x:v>CORP-0716</x:v>
      </x:c>
      <x:c r="D5681" s="12" t="str">
        <x:v>Hyderabad</x:v>
      </x:c>
      <x:c r="E5681" s="12" t="str">
        <x:v>Waverock IT Park</x:v>
      </x:c>
      <x:c r="F5681" s="12" t="str">
        <x:v>55 inch</x:v>
      </x:c>
      <x:c r="G5681" s="20" t="n">
        <x:v>1</x:v>
      </x:c>
      <x:c r="H5681" s="12" t="str">
        <x:v>Campus/portfolio roster; individual building occupancy unverified</x:v>
      </x:c>
      <x:c r="I5681" s="12" t="str">
        <x:v>Large enterprise</x:v>
      </x:c>
      <x:c r="J5681" s="12" t="str">
        <x:v>IT &amp; digital</x:v>
      </x:c>
      <x:c r="K5681" s="2" t="str">
        <x:v>PARTNER-M300</x:v>
      </x:c>
    </x:row>
    <x:row r="5682" ht="46" customHeight="1">
      <x:c r="A5682" s="2" t="str">
        <x:v>TEN-9FE6746863D6</x:v>
      </x:c>
      <x:c r="B5682" s="12" t="str">
        <x:v>Aveva</x:v>
      </x:c>
      <x:c r="C5682" s="12" t="str">
        <x:v>CORP-0716</x:v>
      </x:c>
      <x:c r="D5682" s="12" t="str">
        <x:v>Hyderabad</x:v>
      </x:c>
      <x:c r="E5682" s="12" t="str">
        <x:v>Waverock IT Park</x:v>
      </x:c>
      <x:c r="F5682" s="12" t="str">
        <x:v>55 inch</x:v>
      </x:c>
      <x:c r="G5682" s="20" t="n">
        <x:v>1</x:v>
      </x:c>
      <x:c r="H5682" s="12" t="str">
        <x:v>Campus/portfolio roster; individual building occupancy unverified</x:v>
      </x:c>
      <x:c r="I5682" s="12" t="str">
        <x:v>Mixed business audience</x:v>
      </x:c>
      <x:c r="J5682" s="12" t="str">
        <x:v>IT &amp; digital</x:v>
      </x:c>
      <x:c r="K5682" s="2" t="str">
        <x:v>PARTNER-M300</x:v>
      </x:c>
    </x:row>
    <x:row r="5683" ht="46" customHeight="1">
      <x:c r="A5683" s="2" t="str">
        <x:v>TEN-A5721E1BABB7</x:v>
      </x:c>
      <x:c r="B5683" s="12" t="str">
        <x:v>Avva Deepak</x:v>
      </x:c>
      <x:c r="C5683" s="12" t="str">
        <x:v>CORP-0716</x:v>
      </x:c>
      <x:c r="D5683" s="12" t="str">
        <x:v>Hyderabad</x:v>
      </x:c>
      <x:c r="E5683" s="12" t="str">
        <x:v>Waverock IT Park</x:v>
      </x:c>
      <x:c r="F5683" s="12" t="str">
        <x:v>55 inch</x:v>
      </x:c>
      <x:c r="G5683" s="20" t="n">
        <x:v>1</x:v>
      </x:c>
      <x:c r="H5683" s="12" t="str">
        <x:v>Campus/portfolio roster; individual building occupancy unverified</x:v>
      </x:c>
      <x:c r="I5683" s="12" t="str">
        <x:v>Mixed business audience</x:v>
      </x:c>
      <x:c r="J5683" s="12" t="str">
        <x:v>Unresolved</x:v>
      </x:c>
      <x:c r="K5683" s="2" t="str">
        <x:v>PARTNER-M300</x:v>
      </x:c>
    </x:row>
    <x:row r="5684" ht="46" customHeight="1">
      <x:c r="A5684" s="2" t="str">
        <x:v>TEN-A7905EBB5DD3</x:v>
      </x:c>
      <x:c r="B5684" s="12" t="str">
        <x:v>M3BI India Pvt Ltd</x:v>
      </x:c>
      <x:c r="C5684" s="12" t="str">
        <x:v>CORP-0716</x:v>
      </x:c>
      <x:c r="D5684" s="12" t="str">
        <x:v>Hyderabad</x:v>
      </x:c>
      <x:c r="E5684" s="12" t="str">
        <x:v>Waverock IT Park</x:v>
      </x:c>
      <x:c r="F5684" s="12" t="str">
        <x:v>55 inch</x:v>
      </x:c>
      <x:c r="G5684" s="20" t="n">
        <x:v>1</x:v>
      </x:c>
      <x:c r="H5684" s="12" t="str">
        <x:v>Campus/portfolio roster; individual building occupancy unverified</x:v>
      </x:c>
      <x:c r="I5684" s="12" t="str">
        <x:v>Mixed business audience</x:v>
      </x:c>
      <x:c r="J5684" s="12" t="str">
        <x:v>IT &amp; digital</x:v>
      </x:c>
      <x:c r="K5684" s="2" t="str">
        <x:v>PARTNER-M300</x:v>
      </x:c>
    </x:row>
    <x:row r="5685" ht="46" customHeight="1">
      <x:c r="A5685" s="2" t="str">
        <x:v>TEN-A932AA2FF310</x:v>
      </x:c>
      <x:c r="B5685" s="12" t="str">
        <x:v>CompuGain Solutions</x:v>
      </x:c>
      <x:c r="C5685" s="12" t="str">
        <x:v>CORP-0716</x:v>
      </x:c>
      <x:c r="D5685" s="12" t="str">
        <x:v>Hyderabad</x:v>
      </x:c>
      <x:c r="E5685" s="12" t="str">
        <x:v>Waverock IT Park</x:v>
      </x:c>
      <x:c r="F5685" s="12" t="str">
        <x:v>55 inch</x:v>
      </x:c>
      <x:c r="G5685" s="20" t="n">
        <x:v>1</x:v>
      </x:c>
      <x:c r="H5685" s="12" t="str">
        <x:v>Campus/portfolio roster; individual building occupancy unverified</x:v>
      </x:c>
      <x:c r="I5685" s="12" t="str">
        <x:v>Mixed business audience</x:v>
      </x:c>
      <x:c r="J5685" s="12" t="str">
        <x:v>IT &amp; digital</x:v>
      </x:c>
      <x:c r="K5685" s="2" t="str">
        <x:v>PARTNER-M300</x:v>
      </x:c>
    </x:row>
    <x:row r="5686" ht="46" customHeight="1">
      <x:c r="A5686" s="2" t="str">
        <x:v>TEN-B043864B7FFB</x:v>
      </x:c>
      <x:c r="B5686" s="12" t="str">
        <x:v>DuPont</x:v>
      </x:c>
      <x:c r="C5686" s="12" t="str">
        <x:v>CORP-0716</x:v>
      </x:c>
      <x:c r="D5686" s="12" t="str">
        <x:v>Hyderabad</x:v>
      </x:c>
      <x:c r="E5686" s="12" t="str">
        <x:v>Waverock IT Park</x:v>
      </x:c>
      <x:c r="F5686" s="12" t="str">
        <x:v>55 inch</x:v>
      </x:c>
      <x:c r="G5686" s="20" t="n">
        <x:v>1</x:v>
      </x:c>
      <x:c r="H5686" s="12" t="str">
        <x:v>Campus/portfolio roster; individual building occupancy unverified</x:v>
      </x:c>
      <x:c r="I5686" s="12" t="str">
        <x:v>Mixed business audience</x:v>
      </x:c>
      <x:c r="J5686" s="12" t="str">
        <x:v>Engineering &amp; manufacturing</x:v>
      </x:c>
      <x:c r="K5686" s="2" t="str">
        <x:v>PARTNER-M300</x:v>
      </x:c>
    </x:row>
    <x:row r="5687" ht="46" customHeight="1">
      <x:c r="A5687" s="2" t="str">
        <x:v>TEN-C42E337B9F49</x:v>
      </x:c>
      <x:c r="B5687" s="12" t="str">
        <x:v>Helius Technologies</x:v>
      </x:c>
      <x:c r="C5687" s="12" t="str">
        <x:v>CORP-0716</x:v>
      </x:c>
      <x:c r="D5687" s="12" t="str">
        <x:v>Hyderabad</x:v>
      </x:c>
      <x:c r="E5687" s="12" t="str">
        <x:v>Waverock IT Park</x:v>
      </x:c>
      <x:c r="F5687" s="12" t="str">
        <x:v>55 inch</x:v>
      </x:c>
      <x:c r="G5687" s="20" t="n">
        <x:v>1</x:v>
      </x:c>
      <x:c r="H5687" s="12" t="str">
        <x:v>Campus/portfolio roster; individual building occupancy unverified</x:v>
      </x:c>
      <x:c r="I5687" s="12" t="str">
        <x:v>Small-scale prospects</x:v>
      </x:c>
      <x:c r="J5687" s="12" t="str">
        <x:v>IT &amp; digital</x:v>
      </x:c>
      <x:c r="K5687" s="2" t="str">
        <x:v>PARTNER-M300</x:v>
      </x:c>
    </x:row>
    <x:row r="5688" ht="46" customHeight="1">
      <x:c r="A5688" s="2" t="str">
        <x:v>TEN-CCF988B40B7F</x:v>
      </x:c>
      <x:c r="B5688" s="12" t="str">
        <x:v>Idea Entity Tech Solutions</x:v>
      </x:c>
      <x:c r="C5688" s="12" t="str">
        <x:v>CORP-0716</x:v>
      </x:c>
      <x:c r="D5688" s="12" t="str">
        <x:v>Hyderabad</x:v>
      </x:c>
      <x:c r="E5688" s="12" t="str">
        <x:v>Waverock IT Park</x:v>
      </x:c>
      <x:c r="F5688" s="12" t="str">
        <x:v>55 inch</x:v>
      </x:c>
      <x:c r="G5688" s="20" t="n">
        <x:v>1</x:v>
      </x:c>
      <x:c r="H5688" s="12" t="str">
        <x:v>Campus/portfolio roster; individual building occupancy unverified</x:v>
      </x:c>
      <x:c r="I5688" s="12" t="str">
        <x:v>Small-scale prospects</x:v>
      </x:c>
      <x:c r="J5688" s="12" t="str">
        <x:v>IT &amp; digital</x:v>
      </x:c>
      <x:c r="K5688" s="2" t="str">
        <x:v>PARTNER-M300</x:v>
      </x:c>
    </x:row>
    <x:row r="5689" ht="46" customHeight="1">
      <x:c r="A5689" s="2" t="str">
        <x:v>TEN-CFB36C1F4640</x:v>
      </x:c>
      <x:c r="B5689" s="12" t="str">
        <x:v>Research Wallet</x:v>
      </x:c>
      <x:c r="C5689" s="12" t="str">
        <x:v>CORP-0716</x:v>
      </x:c>
      <x:c r="D5689" s="12" t="str">
        <x:v>Hyderabad</x:v>
      </x:c>
      <x:c r="E5689" s="12" t="str">
        <x:v>Waverock IT Park</x:v>
      </x:c>
      <x:c r="F5689" s="12" t="str">
        <x:v>55 inch</x:v>
      </x:c>
      <x:c r="G5689" s="20" t="n">
        <x:v>1</x:v>
      </x:c>
      <x:c r="H5689" s="12" t="str">
        <x:v>Campus/portfolio roster; individual building occupancy unverified</x:v>
      </x:c>
      <x:c r="I5689" s="12" t="str">
        <x:v>Mixed business audience</x:v>
      </x:c>
      <x:c r="J5689" s="12" t="str">
        <x:v>Unresolved</x:v>
      </x:c>
      <x:c r="K5689" s="2" t="str">
        <x:v>PARTNER-M300</x:v>
      </x:c>
    </x:row>
    <x:row r="5690" ht="46" customHeight="1">
      <x:c r="A5690" s="2" t="str">
        <x:v>TEN-EAE5AC232E0F</x:v>
      </x:c>
      <x:c r="B5690" s="12" t="str">
        <x:v>Accelerite</x:v>
      </x:c>
      <x:c r="C5690" s="12" t="str">
        <x:v>CORP-0716</x:v>
      </x:c>
      <x:c r="D5690" s="12" t="str">
        <x:v>Hyderabad</x:v>
      </x:c>
      <x:c r="E5690" s="12" t="str">
        <x:v>Waverock IT Park</x:v>
      </x:c>
      <x:c r="F5690" s="12" t="str">
        <x:v>55 inch</x:v>
      </x:c>
      <x:c r="G5690" s="20" t="n">
        <x:v>1</x:v>
      </x:c>
      <x:c r="H5690" s="12" t="str">
        <x:v>Campus/portfolio roster; individual building occupancy unverified</x:v>
      </x:c>
      <x:c r="I5690" s="12" t="str">
        <x:v>Mixed business audience</x:v>
      </x:c>
      <x:c r="J5690" s="12" t="str">
        <x:v>IT &amp; digital</x:v>
      </x:c>
      <x:c r="K5690" s="2" t="str">
        <x:v>PARTNER-M300</x:v>
      </x:c>
    </x:row>
    <x:row r="5691" ht="46" customHeight="1">
      <x:c r="A5691" s="2" t="str">
        <x:v>TEN-EDE803F3F786</x:v>
      </x:c>
      <x:c r="B5691" s="12" t="str">
        <x:v>Vehicle Fitness Company</x:v>
      </x:c>
      <x:c r="C5691" s="12" t="str">
        <x:v>CORP-0716</x:v>
      </x:c>
      <x:c r="D5691" s="12" t="str">
        <x:v>Hyderabad</x:v>
      </x:c>
      <x:c r="E5691" s="12" t="str">
        <x:v>Waverock IT Park</x:v>
      </x:c>
      <x:c r="F5691" s="12" t="str">
        <x:v>55 inch</x:v>
      </x:c>
      <x:c r="G5691" s="20" t="n">
        <x:v>1</x:v>
      </x:c>
      <x:c r="H5691" s="12" t="str">
        <x:v>Campus/portfolio roster; individual building occupancy unverified</x:v>
      </x:c>
      <x:c r="I5691" s="12" t="str">
        <x:v>Medium-scale prospects</x:v>
      </x:c>
      <x:c r="J5691" s="12" t="str">
        <x:v>Engineering &amp; manufacturing</x:v>
      </x:c>
      <x:c r="K5691" s="2" t="str">
        <x:v>PARTNER-M300</x:v>
      </x:c>
    </x:row>
    <x:row r="5692" ht="46" customHeight="1">
      <x:c r="A5692" s="2" t="str">
        <x:v>TEN-EFC60595AA04</x:v>
      </x:c>
      <x:c r="B5692" s="12" t="str">
        <x:v>RMSI Pvt Limited</x:v>
      </x:c>
      <x:c r="C5692" s="12" t="str">
        <x:v>CORP-0716</x:v>
      </x:c>
      <x:c r="D5692" s="12" t="str">
        <x:v>Hyderabad</x:v>
      </x:c>
      <x:c r="E5692" s="12" t="str">
        <x:v>Waverock IT Park</x:v>
      </x:c>
      <x:c r="F5692" s="12" t="str">
        <x:v>55 inch</x:v>
      </x:c>
      <x:c r="G5692" s="20" t="n">
        <x:v>1</x:v>
      </x:c>
      <x:c r="H5692" s="12" t="str">
        <x:v>Campus/portfolio roster; individual building occupancy unverified</x:v>
      </x:c>
      <x:c r="I5692" s="12" t="str">
        <x:v>Mixed business audience</x:v>
      </x:c>
      <x:c r="J5692" s="12" t="str">
        <x:v>IT &amp; digital</x:v>
      </x:c>
      <x:c r="K5692" s="2" t="str">
        <x:v>PARTNER-M300</x:v>
      </x:c>
    </x:row>
    <x:row r="5693" ht="46" customHeight="1">
      <x:c r="A5693" s="2" t="str">
        <x:v>TEN-FCE68113EA76</x:v>
      </x:c>
      <x:c r="B5693" s="12" t="str">
        <x:v>Innominds Software</x:v>
      </x:c>
      <x:c r="C5693" s="12" t="str">
        <x:v>CORP-0716</x:v>
      </x:c>
      <x:c r="D5693" s="12" t="str">
        <x:v>Hyderabad</x:v>
      </x:c>
      <x:c r="E5693" s="12" t="str">
        <x:v>Waverock IT Park</x:v>
      </x:c>
      <x:c r="F5693" s="12" t="str">
        <x:v>55 inch</x:v>
      </x:c>
      <x:c r="G5693" s="20" t="n">
        <x:v>1</x:v>
      </x:c>
      <x:c r="H5693" s="12" t="str">
        <x:v>Campus/portfolio roster; individual building occupancy unverified</x:v>
      </x:c>
      <x:c r="I5693" s="12" t="str">
        <x:v>Mixed business audience</x:v>
      </x:c>
      <x:c r="J5693" s="12" t="str">
        <x:v>IT &amp; digital</x:v>
      </x:c>
      <x:c r="K5693" s="2" t="str">
        <x:v>PARTNER-M300</x:v>
      </x:c>
    </x:row>
    <x:row r="5694" ht="46" customHeight="1">
      <x:c r="A5694" s="2" t="str">
        <x:v>TEN-0A41DF50FB75</x:v>
      </x:c>
      <x:c r="B5694" s="12" t="str">
        <x:v>APPLE INFOSYS</x:v>
      </x:c>
      <x:c r="C5694" s="12" t="str">
        <x:v>CORP-0717</x:v>
      </x:c>
      <x:c r="D5694" s="12" t="str">
        <x:v>Hyderabad</x:v>
      </x:c>
      <x:c r="E5694" s="12" t="str">
        <x:v>Waverock IT Park</x:v>
      </x:c>
      <x:c r="F5694" s="12" t="str">
        <x:v>55 inch</x:v>
      </x:c>
      <x:c r="G5694" s="20" t="n">
        <x:v>1</x:v>
      </x:c>
      <x:c r="H5694" s="12" t="str">
        <x:v>Campus/portfolio roster; individual building occupancy unverified</x:v>
      </x:c>
      <x:c r="I5694" s="12" t="str">
        <x:v>Mixed business audience</x:v>
      </x:c>
      <x:c r="J5694" s="12" t="str">
        <x:v>Unresolved</x:v>
      </x:c>
      <x:c r="K5694" s="2" t="str">
        <x:v>PARTNER-M300</x:v>
      </x:c>
    </x:row>
    <x:row r="5695" ht="46" customHeight="1">
      <x:c r="A5695" s="2" t="str">
        <x:v>TEN-102EF275BFD6</x:v>
      </x:c>
      <x:c r="B5695" s="12" t="str">
        <x:v>DBS Technology Service India</x:v>
      </x:c>
      <x:c r="C5695" s="12" t="str">
        <x:v>CORP-0717</x:v>
      </x:c>
      <x:c r="D5695" s="12" t="str">
        <x:v>Hyderabad</x:v>
      </x:c>
      <x:c r="E5695" s="12" t="str">
        <x:v>Waverock IT Park</x:v>
      </x:c>
      <x:c r="F5695" s="12" t="str">
        <x:v>55 inch</x:v>
      </x:c>
      <x:c r="G5695" s="20" t="n">
        <x:v>1</x:v>
      </x:c>
      <x:c r="H5695" s="12" t="str">
        <x:v>Campus/portfolio roster; individual building occupancy unverified</x:v>
      </x:c>
      <x:c r="I5695" s="12" t="str">
        <x:v>Large enterprise</x:v>
      </x:c>
      <x:c r="J5695" s="12" t="str">
        <x:v>IT &amp; digital</x:v>
      </x:c>
      <x:c r="K5695" s="2" t="str">
        <x:v>PARTNER-M300</x:v>
      </x:c>
    </x:row>
    <x:row r="5696" ht="46" customHeight="1">
      <x:c r="A5696" s="2" t="str">
        <x:v>TEN-13D5183E2424</x:v>
      </x:c>
      <x:c r="B5696" s="12" t="str">
        <x:v>ETG Digital</x:v>
      </x:c>
      <x:c r="C5696" s="12" t="str">
        <x:v>CORP-0717</x:v>
      </x:c>
      <x:c r="D5696" s="12" t="str">
        <x:v>Hyderabad</x:v>
      </x:c>
      <x:c r="E5696" s="12" t="str">
        <x:v>Waverock IT Park</x:v>
      </x:c>
      <x:c r="F5696" s="12" t="str">
        <x:v>55 inch</x:v>
      </x:c>
      <x:c r="G5696" s="20" t="n">
        <x:v>1</x:v>
      </x:c>
      <x:c r="H5696" s="12" t="str">
        <x:v>Campus/portfolio roster; individual building occupancy unverified</x:v>
      </x:c>
      <x:c r="I5696" s="12" t="str">
        <x:v>Small-scale prospects</x:v>
      </x:c>
      <x:c r="J5696" s="12" t="str">
        <x:v>IT &amp; digital</x:v>
      </x:c>
      <x:c r="K5696" s="2" t="str">
        <x:v>PARTNER-M300</x:v>
      </x:c>
    </x:row>
    <x:row r="5697" ht="46" customHeight="1">
      <x:c r="A5697" s="2" t="str">
        <x:v>TEN-1781916B2378</x:v>
      </x:c>
      <x:c r="B5697" s="12" t="str">
        <x:v>Attra Infotech</x:v>
      </x:c>
      <x:c r="C5697" s="12" t="str">
        <x:v>CORP-0717</x:v>
      </x:c>
      <x:c r="D5697" s="12" t="str">
        <x:v>Hyderabad</x:v>
      </x:c>
      <x:c r="E5697" s="12" t="str">
        <x:v>Waverock IT Park</x:v>
      </x:c>
      <x:c r="F5697" s="12" t="str">
        <x:v>55 inch</x:v>
      </x:c>
      <x:c r="G5697" s="20" t="n">
        <x:v>1</x:v>
      </x:c>
      <x:c r="H5697" s="12" t="str">
        <x:v>Campus/portfolio roster; individual building occupancy unverified</x:v>
      </x:c>
      <x:c r="I5697" s="12" t="str">
        <x:v>Mixed business audience</x:v>
      </x:c>
      <x:c r="J5697" s="12" t="str">
        <x:v>IT &amp; digital</x:v>
      </x:c>
      <x:c r="K5697" s="2" t="str">
        <x:v>PARTNER-M300</x:v>
      </x:c>
    </x:row>
    <x:row r="5698" ht="46" customHeight="1">
      <x:c r="A5698" s="2" t="str">
        <x:v>TEN-3EDE65EA0CF4</x:v>
      </x:c>
      <x:c r="B5698" s="12" t="str">
        <x:v>ShootOrder</x:v>
      </x:c>
      <x:c r="C5698" s="12" t="str">
        <x:v>CORP-0717</x:v>
      </x:c>
      <x:c r="D5698" s="12" t="str">
        <x:v>Hyderabad</x:v>
      </x:c>
      <x:c r="E5698" s="12" t="str">
        <x:v>Waverock IT Park</x:v>
      </x:c>
      <x:c r="F5698" s="12" t="str">
        <x:v>55 inch</x:v>
      </x:c>
      <x:c r="G5698" s="20" t="n">
        <x:v>1</x:v>
      </x:c>
      <x:c r="H5698" s="12" t="str">
        <x:v>Campus/portfolio roster; individual building occupancy unverified</x:v>
      </x:c>
      <x:c r="I5698" s="12" t="str">
        <x:v>Small-scale prospects</x:v>
      </x:c>
      <x:c r="J5698" s="12" t="str">
        <x:v>Professional services</x:v>
      </x:c>
      <x:c r="K5698" s="2" t="str">
        <x:v>PARTNER-M300</x:v>
      </x:c>
    </x:row>
    <x:row r="5699" ht="46" customHeight="1">
      <x:c r="A5699" s="2" t="str">
        <x:v>TEN-45562E981863</x:v>
      </x:c>
      <x:c r="B5699" s="12" t="str">
        <x:v>Qumu Corp</x:v>
      </x:c>
      <x:c r="C5699" s="12" t="str">
        <x:v>CORP-0717</x:v>
      </x:c>
      <x:c r="D5699" s="12" t="str">
        <x:v>Hyderabad</x:v>
      </x:c>
      <x:c r="E5699" s="12" t="str">
        <x:v>Waverock IT Park</x:v>
      </x:c>
      <x:c r="F5699" s="12" t="str">
        <x:v>55 inch</x:v>
      </x:c>
      <x:c r="G5699" s="20" t="n">
        <x:v>1</x:v>
      </x:c>
      <x:c r="H5699" s="12" t="str">
        <x:v>Campus/portfolio roster; individual building occupancy unverified</x:v>
      </x:c>
      <x:c r="I5699" s="12" t="str">
        <x:v>Mixed business audience</x:v>
      </x:c>
      <x:c r="J5699" s="12" t="str">
        <x:v>IT &amp; digital</x:v>
      </x:c>
      <x:c r="K5699" s="2" t="str">
        <x:v>PARTNER-M300</x:v>
      </x:c>
    </x:row>
    <x:row r="5700" ht="46" customHeight="1">
      <x:c r="A5700" s="2" t="str">
        <x:v>TEN-4D748EBD71AF</x:v>
      </x:c>
      <x:c r="B5700" s="12" t="str">
        <x:v>Accenture</x:v>
      </x:c>
      <x:c r="C5700" s="12" t="str">
        <x:v>CORP-0717</x:v>
      </x:c>
      <x:c r="D5700" s="12" t="str">
        <x:v>Hyderabad</x:v>
      </x:c>
      <x:c r="E5700" s="12" t="str">
        <x:v>Waverock IT Park</x:v>
      </x:c>
      <x:c r="F5700" s="12" t="str">
        <x:v>55 inch</x:v>
      </x:c>
      <x:c r="G5700" s="20" t="n">
        <x:v>1</x:v>
      </x:c>
      <x:c r="H5700" s="12" t="str">
        <x:v>Campus/portfolio roster; individual building occupancy unverified</x:v>
      </x:c>
      <x:c r="I5700" s="12" t="str">
        <x:v>Large enterprise</x:v>
      </x:c>
      <x:c r="J5700" s="12" t="str">
        <x:v>IT &amp; digital</x:v>
      </x:c>
      <x:c r="K5700" s="2" t="str">
        <x:v>PARTNER-M300</x:v>
      </x:c>
    </x:row>
    <x:row r="5701" ht="46" customHeight="1">
      <x:c r="A5701" s="2" t="str">
        <x:v>TEN-5C5CC4165124</x:v>
      </x:c>
      <x:c r="B5701" s="12" t="str">
        <x:v>Classic Design</x:v>
      </x:c>
      <x:c r="C5701" s="12" t="str">
        <x:v>CORP-0717</x:v>
      </x:c>
      <x:c r="D5701" s="12" t="str">
        <x:v>Hyderabad</x:v>
      </x:c>
      <x:c r="E5701" s="12" t="str">
        <x:v>Waverock IT Park</x:v>
      </x:c>
      <x:c r="F5701" s="12" t="str">
        <x:v>55 inch</x:v>
      </x:c>
      <x:c r="G5701" s="20" t="n">
        <x:v>1</x:v>
      </x:c>
      <x:c r="H5701" s="12" t="str">
        <x:v>Campus/portfolio roster; individual building occupancy unverified</x:v>
      </x:c>
      <x:c r="I5701" s="12" t="str">
        <x:v>Mixed business audience</x:v>
      </x:c>
      <x:c r="J5701" s="12" t="str">
        <x:v>Unresolved</x:v>
      </x:c>
      <x:c r="K5701" s="2" t="str">
        <x:v>PARTNER-M300</x:v>
      </x:c>
    </x:row>
    <x:row r="5702" ht="46" customHeight="1">
      <x:c r="A5702" s="2" t="str">
        <x:v>TEN-5C7E939E5259</x:v>
      </x:c>
      <x:c r="B5702" s="12" t="str">
        <x:v>Eze Software</x:v>
      </x:c>
      <x:c r="C5702" s="12" t="str">
        <x:v>CORP-0717</x:v>
      </x:c>
      <x:c r="D5702" s="12" t="str">
        <x:v>Hyderabad</x:v>
      </x:c>
      <x:c r="E5702" s="12" t="str">
        <x:v>Waverock IT Park</x:v>
      </x:c>
      <x:c r="F5702" s="12" t="str">
        <x:v>55 inch</x:v>
      </x:c>
      <x:c r="G5702" s="20" t="n">
        <x:v>1</x:v>
      </x:c>
      <x:c r="H5702" s="12" t="str">
        <x:v>Campus/portfolio roster; individual building occupancy unverified</x:v>
      </x:c>
      <x:c r="I5702" s="12" t="str">
        <x:v>Mixed business audience</x:v>
      </x:c>
      <x:c r="J5702" s="12" t="str">
        <x:v>IT &amp; digital</x:v>
      </x:c>
      <x:c r="K5702" s="2" t="str">
        <x:v>PARTNER-M300</x:v>
      </x:c>
    </x:row>
    <x:row r="5703" ht="46" customHeight="1">
      <x:c r="A5703" s="2" t="str">
        <x:v>TEN-5FA790F3630F</x:v>
      </x:c>
      <x:c r="B5703" s="12" t="str">
        <x:v>Tata Consultancy Services</x:v>
      </x:c>
      <x:c r="C5703" s="12" t="str">
        <x:v>CORP-0717</x:v>
      </x:c>
      <x:c r="D5703" s="12" t="str">
        <x:v>Hyderabad</x:v>
      </x:c>
      <x:c r="E5703" s="12" t="str">
        <x:v>Waverock IT Park</x:v>
      </x:c>
      <x:c r="F5703" s="12" t="str">
        <x:v>55 inch</x:v>
      </x:c>
      <x:c r="G5703" s="20" t="n">
        <x:v>1</x:v>
      </x:c>
      <x:c r="H5703" s="12" t="str">
        <x:v>Campus/portfolio roster; individual building occupancy unverified</x:v>
      </x:c>
      <x:c r="I5703" s="12" t="str">
        <x:v>Large enterprise</x:v>
      </x:c>
      <x:c r="J5703" s="12" t="str">
        <x:v>IT &amp; digital</x:v>
      </x:c>
      <x:c r="K5703" s="2" t="str">
        <x:v>PARTNER-M300</x:v>
      </x:c>
    </x:row>
    <x:row r="5704" ht="46" customHeight="1">
      <x:c r="A5704" s="2" t="str">
        <x:v>TEN-605FBFDF4C2C</x:v>
      </x:c>
      <x:c r="B5704" s="12" t="str">
        <x:v>Apple Development Center</x:v>
      </x:c>
      <x:c r="C5704" s="12" t="str">
        <x:v>CORP-0717</x:v>
      </x:c>
      <x:c r="D5704" s="12" t="str">
        <x:v>Hyderabad</x:v>
      </x:c>
      <x:c r="E5704" s="12" t="str">
        <x:v>Waverock IT Park</x:v>
      </x:c>
      <x:c r="F5704" s="12" t="str">
        <x:v>55 inch</x:v>
      </x:c>
      <x:c r="G5704" s="20" t="n">
        <x:v>1</x:v>
      </x:c>
      <x:c r="H5704" s="12" t="str">
        <x:v>Campus/portfolio roster; individual building occupancy unverified</x:v>
      </x:c>
      <x:c r="I5704" s="12" t="str">
        <x:v>Mixed business audience</x:v>
      </x:c>
      <x:c r="J5704" s="12" t="str">
        <x:v>IT &amp; digital</x:v>
      </x:c>
      <x:c r="K5704" s="2" t="str">
        <x:v>PARTNER-M300</x:v>
      </x:c>
    </x:row>
    <x:row r="5705" ht="46" customHeight="1">
      <x:c r="A5705" s="2" t="str">
        <x:v>TEN-866EA055BD61</x:v>
      </x:c>
      <x:c r="B5705" s="12" t="str">
        <x:v>GlobalLogic Technologies</x:v>
      </x:c>
      <x:c r="C5705" s="12" t="str">
        <x:v>CORP-0717</x:v>
      </x:c>
      <x:c r="D5705" s="12" t="str">
        <x:v>Hyderabad</x:v>
      </x:c>
      <x:c r="E5705" s="12" t="str">
        <x:v>Waverock IT Park</x:v>
      </x:c>
      <x:c r="F5705" s="12" t="str">
        <x:v>55 inch</x:v>
      </x:c>
      <x:c r="G5705" s="20" t="n">
        <x:v>1</x:v>
      </x:c>
      <x:c r="H5705" s="12" t="str">
        <x:v>Campus/portfolio roster; individual building occupancy unverified</x:v>
      </x:c>
      <x:c r="I5705" s="12" t="str">
        <x:v>Mixed business audience</x:v>
      </x:c>
      <x:c r="J5705" s="12" t="str">
        <x:v>IT &amp; digital</x:v>
      </x:c>
      <x:c r="K5705" s="2" t="str">
        <x:v>PARTNER-M300</x:v>
      </x:c>
    </x:row>
    <x:row r="5706" ht="46" customHeight="1">
      <x:c r="A5706" s="2" t="str">
        <x:v>TEN-956E5A41DB14</x:v>
      </x:c>
      <x:c r="B5706" s="12" t="str">
        <x:v>Persistent Systems</x:v>
      </x:c>
      <x:c r="C5706" s="12" t="str">
        <x:v>CORP-0717</x:v>
      </x:c>
      <x:c r="D5706" s="12" t="str">
        <x:v>Hyderabad</x:v>
      </x:c>
      <x:c r="E5706" s="12" t="str">
        <x:v>Waverock IT Park</x:v>
      </x:c>
      <x:c r="F5706" s="12" t="str">
        <x:v>55 inch</x:v>
      </x:c>
      <x:c r="G5706" s="20" t="n">
        <x:v>1</x:v>
      </x:c>
      <x:c r="H5706" s="12" t="str">
        <x:v>Campus/portfolio roster; individual building occupancy unverified</x:v>
      </x:c>
      <x:c r="I5706" s="12" t="str">
        <x:v>Large enterprise</x:v>
      </x:c>
      <x:c r="J5706" s="12" t="str">
        <x:v>IT &amp; digital</x:v>
      </x:c>
      <x:c r="K5706" s="2" t="str">
        <x:v>PARTNER-M300</x:v>
      </x:c>
    </x:row>
    <x:row r="5707" ht="46" customHeight="1">
      <x:c r="A5707" s="2" t="str">
        <x:v>TEN-9FE6746863D6</x:v>
      </x:c>
      <x:c r="B5707" s="12" t="str">
        <x:v>Aveva</x:v>
      </x:c>
      <x:c r="C5707" s="12" t="str">
        <x:v>CORP-0717</x:v>
      </x:c>
      <x:c r="D5707" s="12" t="str">
        <x:v>Hyderabad</x:v>
      </x:c>
      <x:c r="E5707" s="12" t="str">
        <x:v>Waverock IT Park</x:v>
      </x:c>
      <x:c r="F5707" s="12" t="str">
        <x:v>55 inch</x:v>
      </x:c>
      <x:c r="G5707" s="20" t="n">
        <x:v>1</x:v>
      </x:c>
      <x:c r="H5707" s="12" t="str">
        <x:v>Campus/portfolio roster; individual building occupancy unverified</x:v>
      </x:c>
      <x:c r="I5707" s="12" t="str">
        <x:v>Mixed business audience</x:v>
      </x:c>
      <x:c r="J5707" s="12" t="str">
        <x:v>IT &amp; digital</x:v>
      </x:c>
      <x:c r="K5707" s="2" t="str">
        <x:v>PARTNER-M300</x:v>
      </x:c>
    </x:row>
    <x:row r="5708" ht="46" customHeight="1">
      <x:c r="A5708" s="2" t="str">
        <x:v>TEN-A5721E1BABB7</x:v>
      </x:c>
      <x:c r="B5708" s="12" t="str">
        <x:v>Avva Deepak</x:v>
      </x:c>
      <x:c r="C5708" s="12" t="str">
        <x:v>CORP-0717</x:v>
      </x:c>
      <x:c r="D5708" s="12" t="str">
        <x:v>Hyderabad</x:v>
      </x:c>
      <x:c r="E5708" s="12" t="str">
        <x:v>Waverock IT Park</x:v>
      </x:c>
      <x:c r="F5708" s="12" t="str">
        <x:v>55 inch</x:v>
      </x:c>
      <x:c r="G5708" s="20" t="n">
        <x:v>1</x:v>
      </x:c>
      <x:c r="H5708" s="12" t="str">
        <x:v>Campus/portfolio roster; individual building occupancy unverified</x:v>
      </x:c>
      <x:c r="I5708" s="12" t="str">
        <x:v>Mixed business audience</x:v>
      </x:c>
      <x:c r="J5708" s="12" t="str">
        <x:v>Unresolved</x:v>
      </x:c>
      <x:c r="K5708" s="2" t="str">
        <x:v>PARTNER-M300</x:v>
      </x:c>
    </x:row>
    <x:row r="5709" ht="46" customHeight="1">
      <x:c r="A5709" s="2" t="str">
        <x:v>TEN-A7905EBB5DD3</x:v>
      </x:c>
      <x:c r="B5709" s="12" t="str">
        <x:v>M3BI India Pvt Ltd</x:v>
      </x:c>
      <x:c r="C5709" s="12" t="str">
        <x:v>CORP-0717</x:v>
      </x:c>
      <x:c r="D5709" s="12" t="str">
        <x:v>Hyderabad</x:v>
      </x:c>
      <x:c r="E5709" s="12" t="str">
        <x:v>Waverock IT Park</x:v>
      </x:c>
      <x:c r="F5709" s="12" t="str">
        <x:v>55 inch</x:v>
      </x:c>
      <x:c r="G5709" s="20" t="n">
        <x:v>1</x:v>
      </x:c>
      <x:c r="H5709" s="12" t="str">
        <x:v>Campus/portfolio roster; individual building occupancy unverified</x:v>
      </x:c>
      <x:c r="I5709" s="12" t="str">
        <x:v>Mixed business audience</x:v>
      </x:c>
      <x:c r="J5709" s="12" t="str">
        <x:v>IT &amp; digital</x:v>
      </x:c>
      <x:c r="K5709" s="2" t="str">
        <x:v>PARTNER-M300</x:v>
      </x:c>
    </x:row>
    <x:row r="5710" ht="46" customHeight="1">
      <x:c r="A5710" s="2" t="str">
        <x:v>TEN-A932AA2FF310</x:v>
      </x:c>
      <x:c r="B5710" s="12" t="str">
        <x:v>CompuGain Solutions</x:v>
      </x:c>
      <x:c r="C5710" s="12" t="str">
        <x:v>CORP-0717</x:v>
      </x:c>
      <x:c r="D5710" s="12" t="str">
        <x:v>Hyderabad</x:v>
      </x:c>
      <x:c r="E5710" s="12" t="str">
        <x:v>Waverock IT Park</x:v>
      </x:c>
      <x:c r="F5710" s="12" t="str">
        <x:v>55 inch</x:v>
      </x:c>
      <x:c r="G5710" s="20" t="n">
        <x:v>1</x:v>
      </x:c>
      <x:c r="H5710" s="12" t="str">
        <x:v>Campus/portfolio roster; individual building occupancy unverified</x:v>
      </x:c>
      <x:c r="I5710" s="12" t="str">
        <x:v>Mixed business audience</x:v>
      </x:c>
      <x:c r="J5710" s="12" t="str">
        <x:v>IT &amp; digital</x:v>
      </x:c>
      <x:c r="K5710" s="2" t="str">
        <x:v>PARTNER-M300</x:v>
      </x:c>
    </x:row>
    <x:row r="5711" ht="46" customHeight="1">
      <x:c r="A5711" s="2" t="str">
        <x:v>TEN-B043864B7FFB</x:v>
      </x:c>
      <x:c r="B5711" s="12" t="str">
        <x:v>DuPont</x:v>
      </x:c>
      <x:c r="C5711" s="12" t="str">
        <x:v>CORP-0717</x:v>
      </x:c>
      <x:c r="D5711" s="12" t="str">
        <x:v>Hyderabad</x:v>
      </x:c>
      <x:c r="E5711" s="12" t="str">
        <x:v>Waverock IT Park</x:v>
      </x:c>
      <x:c r="F5711" s="12" t="str">
        <x:v>55 inch</x:v>
      </x:c>
      <x:c r="G5711" s="20" t="n">
        <x:v>1</x:v>
      </x:c>
      <x:c r="H5711" s="12" t="str">
        <x:v>Campus/portfolio roster; individual building occupancy unverified</x:v>
      </x:c>
      <x:c r="I5711" s="12" t="str">
        <x:v>Mixed business audience</x:v>
      </x:c>
      <x:c r="J5711" s="12" t="str">
        <x:v>Engineering &amp; manufacturing</x:v>
      </x:c>
      <x:c r="K5711" s="2" t="str">
        <x:v>PARTNER-M300</x:v>
      </x:c>
    </x:row>
    <x:row r="5712" ht="46" customHeight="1">
      <x:c r="A5712" s="2" t="str">
        <x:v>TEN-C42E337B9F49</x:v>
      </x:c>
      <x:c r="B5712" s="12" t="str">
        <x:v>Helius Technologies</x:v>
      </x:c>
      <x:c r="C5712" s="12" t="str">
        <x:v>CORP-0717</x:v>
      </x:c>
      <x:c r="D5712" s="12" t="str">
        <x:v>Hyderabad</x:v>
      </x:c>
      <x:c r="E5712" s="12" t="str">
        <x:v>Waverock IT Park</x:v>
      </x:c>
      <x:c r="F5712" s="12" t="str">
        <x:v>55 inch</x:v>
      </x:c>
      <x:c r="G5712" s="20" t="n">
        <x:v>1</x:v>
      </x:c>
      <x:c r="H5712" s="12" t="str">
        <x:v>Campus/portfolio roster; individual building occupancy unverified</x:v>
      </x:c>
      <x:c r="I5712" s="12" t="str">
        <x:v>Small-scale prospects</x:v>
      </x:c>
      <x:c r="J5712" s="12" t="str">
        <x:v>IT &amp; digital</x:v>
      </x:c>
      <x:c r="K5712" s="2" t="str">
        <x:v>PARTNER-M300</x:v>
      </x:c>
    </x:row>
    <x:row r="5713" ht="46" customHeight="1">
      <x:c r="A5713" s="2" t="str">
        <x:v>TEN-CCF988B40B7F</x:v>
      </x:c>
      <x:c r="B5713" s="12" t="str">
        <x:v>Idea Entity Tech Solutions</x:v>
      </x:c>
      <x:c r="C5713" s="12" t="str">
        <x:v>CORP-0717</x:v>
      </x:c>
      <x:c r="D5713" s="12" t="str">
        <x:v>Hyderabad</x:v>
      </x:c>
      <x:c r="E5713" s="12" t="str">
        <x:v>Waverock IT Park</x:v>
      </x:c>
      <x:c r="F5713" s="12" t="str">
        <x:v>55 inch</x:v>
      </x:c>
      <x:c r="G5713" s="20" t="n">
        <x:v>1</x:v>
      </x:c>
      <x:c r="H5713" s="12" t="str">
        <x:v>Campus/portfolio roster; individual building occupancy unverified</x:v>
      </x:c>
      <x:c r="I5713" s="12" t="str">
        <x:v>Small-scale prospects</x:v>
      </x:c>
      <x:c r="J5713" s="12" t="str">
        <x:v>IT &amp; digital</x:v>
      </x:c>
      <x:c r="K5713" s="2" t="str">
        <x:v>PARTNER-M300</x:v>
      </x:c>
    </x:row>
    <x:row r="5714" ht="46" customHeight="1">
      <x:c r="A5714" s="2" t="str">
        <x:v>TEN-CFB36C1F4640</x:v>
      </x:c>
      <x:c r="B5714" s="12" t="str">
        <x:v>Research Wallet</x:v>
      </x:c>
      <x:c r="C5714" s="12" t="str">
        <x:v>CORP-0717</x:v>
      </x:c>
      <x:c r="D5714" s="12" t="str">
        <x:v>Hyderabad</x:v>
      </x:c>
      <x:c r="E5714" s="12" t="str">
        <x:v>Waverock IT Park</x:v>
      </x:c>
      <x:c r="F5714" s="12" t="str">
        <x:v>55 inch</x:v>
      </x:c>
      <x:c r="G5714" s="20" t="n">
        <x:v>1</x:v>
      </x:c>
      <x:c r="H5714" s="12" t="str">
        <x:v>Campus/portfolio roster; individual building occupancy unverified</x:v>
      </x:c>
      <x:c r="I5714" s="12" t="str">
        <x:v>Mixed business audience</x:v>
      </x:c>
      <x:c r="J5714" s="12" t="str">
        <x:v>Unresolved</x:v>
      </x:c>
      <x:c r="K5714" s="2" t="str">
        <x:v>PARTNER-M300</x:v>
      </x:c>
    </x:row>
    <x:row r="5715" ht="46" customHeight="1">
      <x:c r="A5715" s="2" t="str">
        <x:v>TEN-EAE5AC232E0F</x:v>
      </x:c>
      <x:c r="B5715" s="12" t="str">
        <x:v>Accelerite</x:v>
      </x:c>
      <x:c r="C5715" s="12" t="str">
        <x:v>CORP-0717</x:v>
      </x:c>
      <x:c r="D5715" s="12" t="str">
        <x:v>Hyderabad</x:v>
      </x:c>
      <x:c r="E5715" s="12" t="str">
        <x:v>Waverock IT Park</x:v>
      </x:c>
      <x:c r="F5715" s="12" t="str">
        <x:v>55 inch</x:v>
      </x:c>
      <x:c r="G5715" s="20" t="n">
        <x:v>1</x:v>
      </x:c>
      <x:c r="H5715" s="12" t="str">
        <x:v>Campus/portfolio roster; individual building occupancy unverified</x:v>
      </x:c>
      <x:c r="I5715" s="12" t="str">
        <x:v>Mixed business audience</x:v>
      </x:c>
      <x:c r="J5715" s="12" t="str">
        <x:v>IT &amp; digital</x:v>
      </x:c>
      <x:c r="K5715" s="2" t="str">
        <x:v>PARTNER-M300</x:v>
      </x:c>
    </x:row>
    <x:row r="5716" ht="46" customHeight="1">
      <x:c r="A5716" s="2" t="str">
        <x:v>TEN-EDE803F3F786</x:v>
      </x:c>
      <x:c r="B5716" s="12" t="str">
        <x:v>Vehicle Fitness Company</x:v>
      </x:c>
      <x:c r="C5716" s="12" t="str">
        <x:v>CORP-0717</x:v>
      </x:c>
      <x:c r="D5716" s="12" t="str">
        <x:v>Hyderabad</x:v>
      </x:c>
      <x:c r="E5716" s="12" t="str">
        <x:v>Waverock IT Park</x:v>
      </x:c>
      <x:c r="F5716" s="12" t="str">
        <x:v>55 inch</x:v>
      </x:c>
      <x:c r="G5716" s="20" t="n">
        <x:v>1</x:v>
      </x:c>
      <x:c r="H5716" s="12" t="str">
        <x:v>Campus/portfolio roster; individual building occupancy unverified</x:v>
      </x:c>
      <x:c r="I5716" s="12" t="str">
        <x:v>Medium-scale prospects</x:v>
      </x:c>
      <x:c r="J5716" s="12" t="str">
        <x:v>Engineering &amp; manufacturing</x:v>
      </x:c>
      <x:c r="K5716" s="2" t="str">
        <x:v>PARTNER-M300</x:v>
      </x:c>
    </x:row>
    <x:row r="5717" ht="46" customHeight="1">
      <x:c r="A5717" s="2" t="str">
        <x:v>TEN-EFC60595AA04</x:v>
      </x:c>
      <x:c r="B5717" s="12" t="str">
        <x:v>RMSI Pvt Limited</x:v>
      </x:c>
      <x:c r="C5717" s="12" t="str">
        <x:v>CORP-0717</x:v>
      </x:c>
      <x:c r="D5717" s="12" t="str">
        <x:v>Hyderabad</x:v>
      </x:c>
      <x:c r="E5717" s="12" t="str">
        <x:v>Waverock IT Park</x:v>
      </x:c>
      <x:c r="F5717" s="12" t="str">
        <x:v>55 inch</x:v>
      </x:c>
      <x:c r="G5717" s="20" t="n">
        <x:v>1</x:v>
      </x:c>
      <x:c r="H5717" s="12" t="str">
        <x:v>Campus/portfolio roster; individual building occupancy unverified</x:v>
      </x:c>
      <x:c r="I5717" s="12" t="str">
        <x:v>Mixed business audience</x:v>
      </x:c>
      <x:c r="J5717" s="12" t="str">
        <x:v>IT &amp; digital</x:v>
      </x:c>
      <x:c r="K5717" s="2" t="str">
        <x:v>PARTNER-M300</x:v>
      </x:c>
    </x:row>
    <x:row r="5718" ht="46" customHeight="1">
      <x:c r="A5718" s="2" t="str">
        <x:v>TEN-FCE68113EA76</x:v>
      </x:c>
      <x:c r="B5718" s="12" t="str">
        <x:v>Innominds Software</x:v>
      </x:c>
      <x:c r="C5718" s="12" t="str">
        <x:v>CORP-0717</x:v>
      </x:c>
      <x:c r="D5718" s="12" t="str">
        <x:v>Hyderabad</x:v>
      </x:c>
      <x:c r="E5718" s="12" t="str">
        <x:v>Waverock IT Park</x:v>
      </x:c>
      <x:c r="F5718" s="12" t="str">
        <x:v>55 inch</x:v>
      </x:c>
      <x:c r="G5718" s="20" t="n">
        <x:v>1</x:v>
      </x:c>
      <x:c r="H5718" s="12" t="str">
        <x:v>Campus/portfolio roster; individual building occupancy unverified</x:v>
      </x:c>
      <x:c r="I5718" s="12" t="str">
        <x:v>Mixed business audience</x:v>
      </x:c>
      <x:c r="J5718" s="12" t="str">
        <x:v>IT &amp; digital</x:v>
      </x:c>
      <x:c r="K5718" s="2" t="str">
        <x:v>PARTNER-M300</x:v>
      </x:c>
    </x:row>
    <x:row r="5719" ht="46" customHeight="1">
      <x:c r="A5719" s="2" t="str">
        <x:v>TEN-0A41DF50FB75</x:v>
      </x:c>
      <x:c r="B5719" s="12" t="str">
        <x:v>APPLE INFOSYS</x:v>
      </x:c>
      <x:c r="C5719" s="12" t="str">
        <x:v>CORP-0718</x:v>
      </x:c>
      <x:c r="D5719" s="12" t="str">
        <x:v>Hyderabad</x:v>
      </x:c>
      <x:c r="E5719" s="12" t="str">
        <x:v>Waverock IT Park</x:v>
      </x:c>
      <x:c r="F5719" s="12" t="str">
        <x:v>55 inch</x:v>
      </x:c>
      <x:c r="G5719" s="20" t="n">
        <x:v>1</x:v>
      </x:c>
      <x:c r="H5719" s="12" t="str">
        <x:v>Campus/portfolio roster; individual building occupancy unverified</x:v>
      </x:c>
      <x:c r="I5719" s="12" t="str">
        <x:v>Mixed business audience</x:v>
      </x:c>
      <x:c r="J5719" s="12" t="str">
        <x:v>Unresolved</x:v>
      </x:c>
      <x:c r="K5719" s="2" t="str">
        <x:v>PARTNER-M300</x:v>
      </x:c>
    </x:row>
    <x:row r="5720" ht="46" customHeight="1">
      <x:c r="A5720" s="2" t="str">
        <x:v>TEN-102EF275BFD6</x:v>
      </x:c>
      <x:c r="B5720" s="12" t="str">
        <x:v>DBS Technology Service India</x:v>
      </x:c>
      <x:c r="C5720" s="12" t="str">
        <x:v>CORP-0718</x:v>
      </x:c>
      <x:c r="D5720" s="12" t="str">
        <x:v>Hyderabad</x:v>
      </x:c>
      <x:c r="E5720" s="12" t="str">
        <x:v>Waverock IT Park</x:v>
      </x:c>
      <x:c r="F5720" s="12" t="str">
        <x:v>55 inch</x:v>
      </x:c>
      <x:c r="G5720" s="20" t="n">
        <x:v>1</x:v>
      </x:c>
      <x:c r="H5720" s="12" t="str">
        <x:v>Campus/portfolio roster; individual building occupancy unverified</x:v>
      </x:c>
      <x:c r="I5720" s="12" t="str">
        <x:v>Large enterprise</x:v>
      </x:c>
      <x:c r="J5720" s="12" t="str">
        <x:v>IT &amp; digital</x:v>
      </x:c>
      <x:c r="K5720" s="2" t="str">
        <x:v>PARTNER-M300</x:v>
      </x:c>
    </x:row>
    <x:row r="5721" ht="46" customHeight="1">
      <x:c r="A5721" s="2" t="str">
        <x:v>TEN-13D5183E2424</x:v>
      </x:c>
      <x:c r="B5721" s="12" t="str">
        <x:v>ETG Digital</x:v>
      </x:c>
      <x:c r="C5721" s="12" t="str">
        <x:v>CORP-0718</x:v>
      </x:c>
      <x:c r="D5721" s="12" t="str">
        <x:v>Hyderabad</x:v>
      </x:c>
      <x:c r="E5721" s="12" t="str">
        <x:v>Waverock IT Park</x:v>
      </x:c>
      <x:c r="F5721" s="12" t="str">
        <x:v>55 inch</x:v>
      </x:c>
      <x:c r="G5721" s="20" t="n">
        <x:v>1</x:v>
      </x:c>
      <x:c r="H5721" s="12" t="str">
        <x:v>Campus/portfolio roster; individual building occupancy unverified</x:v>
      </x:c>
      <x:c r="I5721" s="12" t="str">
        <x:v>Small-scale prospects</x:v>
      </x:c>
      <x:c r="J5721" s="12" t="str">
        <x:v>IT &amp; digital</x:v>
      </x:c>
      <x:c r="K5721" s="2" t="str">
        <x:v>PARTNER-M300</x:v>
      </x:c>
    </x:row>
    <x:row r="5722" ht="46" customHeight="1">
      <x:c r="A5722" s="2" t="str">
        <x:v>TEN-1781916B2378</x:v>
      </x:c>
      <x:c r="B5722" s="12" t="str">
        <x:v>Attra Infotech</x:v>
      </x:c>
      <x:c r="C5722" s="12" t="str">
        <x:v>CORP-0718</x:v>
      </x:c>
      <x:c r="D5722" s="12" t="str">
        <x:v>Hyderabad</x:v>
      </x:c>
      <x:c r="E5722" s="12" t="str">
        <x:v>Waverock IT Park</x:v>
      </x:c>
      <x:c r="F5722" s="12" t="str">
        <x:v>55 inch</x:v>
      </x:c>
      <x:c r="G5722" s="20" t="n">
        <x:v>1</x:v>
      </x:c>
      <x:c r="H5722" s="12" t="str">
        <x:v>Campus/portfolio roster; individual building occupancy unverified</x:v>
      </x:c>
      <x:c r="I5722" s="12" t="str">
        <x:v>Mixed business audience</x:v>
      </x:c>
      <x:c r="J5722" s="12" t="str">
        <x:v>IT &amp; digital</x:v>
      </x:c>
      <x:c r="K5722" s="2" t="str">
        <x:v>PARTNER-M300</x:v>
      </x:c>
    </x:row>
    <x:row r="5723" ht="46" customHeight="1">
      <x:c r="A5723" s="2" t="str">
        <x:v>TEN-3EDE65EA0CF4</x:v>
      </x:c>
      <x:c r="B5723" s="12" t="str">
        <x:v>ShootOrder</x:v>
      </x:c>
      <x:c r="C5723" s="12" t="str">
        <x:v>CORP-0718</x:v>
      </x:c>
      <x:c r="D5723" s="12" t="str">
        <x:v>Hyderabad</x:v>
      </x:c>
      <x:c r="E5723" s="12" t="str">
        <x:v>Waverock IT Park</x:v>
      </x:c>
      <x:c r="F5723" s="12" t="str">
        <x:v>55 inch</x:v>
      </x:c>
      <x:c r="G5723" s="20" t="n">
        <x:v>1</x:v>
      </x:c>
      <x:c r="H5723" s="12" t="str">
        <x:v>Campus/portfolio roster; individual building occupancy unverified</x:v>
      </x:c>
      <x:c r="I5723" s="12" t="str">
        <x:v>Small-scale prospects</x:v>
      </x:c>
      <x:c r="J5723" s="12" t="str">
        <x:v>Professional services</x:v>
      </x:c>
      <x:c r="K5723" s="2" t="str">
        <x:v>PARTNER-M300</x:v>
      </x:c>
    </x:row>
    <x:row r="5724" ht="46" customHeight="1">
      <x:c r="A5724" s="2" t="str">
        <x:v>TEN-45562E981863</x:v>
      </x:c>
      <x:c r="B5724" s="12" t="str">
        <x:v>Qumu Corp</x:v>
      </x:c>
      <x:c r="C5724" s="12" t="str">
        <x:v>CORP-0718</x:v>
      </x:c>
      <x:c r="D5724" s="12" t="str">
        <x:v>Hyderabad</x:v>
      </x:c>
      <x:c r="E5724" s="12" t="str">
        <x:v>Waverock IT Park</x:v>
      </x:c>
      <x:c r="F5724" s="12" t="str">
        <x:v>55 inch</x:v>
      </x:c>
      <x:c r="G5724" s="20" t="n">
        <x:v>1</x:v>
      </x:c>
      <x:c r="H5724" s="12" t="str">
        <x:v>Campus/portfolio roster; individual building occupancy unverified</x:v>
      </x:c>
      <x:c r="I5724" s="12" t="str">
        <x:v>Mixed business audience</x:v>
      </x:c>
      <x:c r="J5724" s="12" t="str">
        <x:v>IT &amp; digital</x:v>
      </x:c>
      <x:c r="K5724" s="2" t="str">
        <x:v>PARTNER-M300</x:v>
      </x:c>
    </x:row>
    <x:row r="5725" ht="46" customHeight="1">
      <x:c r="A5725" s="2" t="str">
        <x:v>TEN-4D748EBD71AF</x:v>
      </x:c>
      <x:c r="B5725" s="12" t="str">
        <x:v>Accenture</x:v>
      </x:c>
      <x:c r="C5725" s="12" t="str">
        <x:v>CORP-0718</x:v>
      </x:c>
      <x:c r="D5725" s="12" t="str">
        <x:v>Hyderabad</x:v>
      </x:c>
      <x:c r="E5725" s="12" t="str">
        <x:v>Waverock IT Park</x:v>
      </x:c>
      <x:c r="F5725" s="12" t="str">
        <x:v>55 inch</x:v>
      </x:c>
      <x:c r="G5725" s="20" t="n">
        <x:v>1</x:v>
      </x:c>
      <x:c r="H5725" s="12" t="str">
        <x:v>Campus/portfolio roster; individual building occupancy unverified</x:v>
      </x:c>
      <x:c r="I5725" s="12" t="str">
        <x:v>Large enterprise</x:v>
      </x:c>
      <x:c r="J5725" s="12" t="str">
        <x:v>IT &amp; digital</x:v>
      </x:c>
      <x:c r="K5725" s="2" t="str">
        <x:v>PARTNER-M300</x:v>
      </x:c>
    </x:row>
    <x:row r="5726" ht="46" customHeight="1">
      <x:c r="A5726" s="2" t="str">
        <x:v>TEN-5C5CC4165124</x:v>
      </x:c>
      <x:c r="B5726" s="12" t="str">
        <x:v>Classic Design</x:v>
      </x:c>
      <x:c r="C5726" s="12" t="str">
        <x:v>CORP-0718</x:v>
      </x:c>
      <x:c r="D5726" s="12" t="str">
        <x:v>Hyderabad</x:v>
      </x:c>
      <x:c r="E5726" s="12" t="str">
        <x:v>Waverock IT Park</x:v>
      </x:c>
      <x:c r="F5726" s="12" t="str">
        <x:v>55 inch</x:v>
      </x:c>
      <x:c r="G5726" s="20" t="n">
        <x:v>1</x:v>
      </x:c>
      <x:c r="H5726" s="12" t="str">
        <x:v>Campus/portfolio roster; individual building occupancy unverified</x:v>
      </x:c>
      <x:c r="I5726" s="12" t="str">
        <x:v>Mixed business audience</x:v>
      </x:c>
      <x:c r="J5726" s="12" t="str">
        <x:v>Unresolved</x:v>
      </x:c>
      <x:c r="K5726" s="2" t="str">
        <x:v>PARTNER-M300</x:v>
      </x:c>
    </x:row>
    <x:row r="5727" ht="46" customHeight="1">
      <x:c r="A5727" s="2" t="str">
        <x:v>TEN-5C7E939E5259</x:v>
      </x:c>
      <x:c r="B5727" s="12" t="str">
        <x:v>Eze Software</x:v>
      </x:c>
      <x:c r="C5727" s="12" t="str">
        <x:v>CORP-0718</x:v>
      </x:c>
      <x:c r="D5727" s="12" t="str">
        <x:v>Hyderabad</x:v>
      </x:c>
      <x:c r="E5727" s="12" t="str">
        <x:v>Waverock IT Park</x:v>
      </x:c>
      <x:c r="F5727" s="12" t="str">
        <x:v>55 inch</x:v>
      </x:c>
      <x:c r="G5727" s="20" t="n">
        <x:v>1</x:v>
      </x:c>
      <x:c r="H5727" s="12" t="str">
        <x:v>Campus/portfolio roster; individual building occupancy unverified</x:v>
      </x:c>
      <x:c r="I5727" s="12" t="str">
        <x:v>Mixed business audience</x:v>
      </x:c>
      <x:c r="J5727" s="12" t="str">
        <x:v>IT &amp; digital</x:v>
      </x:c>
      <x:c r="K5727" s="2" t="str">
        <x:v>PARTNER-M300</x:v>
      </x:c>
    </x:row>
    <x:row r="5728" ht="46" customHeight="1">
      <x:c r="A5728" s="2" t="str">
        <x:v>TEN-5FA790F3630F</x:v>
      </x:c>
      <x:c r="B5728" s="12" t="str">
        <x:v>Tata Consultancy Services</x:v>
      </x:c>
      <x:c r="C5728" s="12" t="str">
        <x:v>CORP-0718</x:v>
      </x:c>
      <x:c r="D5728" s="12" t="str">
        <x:v>Hyderabad</x:v>
      </x:c>
      <x:c r="E5728" s="12" t="str">
        <x:v>Waverock IT Park</x:v>
      </x:c>
      <x:c r="F5728" s="12" t="str">
        <x:v>55 inch</x:v>
      </x:c>
      <x:c r="G5728" s="20" t="n">
        <x:v>1</x:v>
      </x:c>
      <x:c r="H5728" s="12" t="str">
        <x:v>Campus/portfolio roster; individual building occupancy unverified</x:v>
      </x:c>
      <x:c r="I5728" s="12" t="str">
        <x:v>Large enterprise</x:v>
      </x:c>
      <x:c r="J5728" s="12" t="str">
        <x:v>IT &amp; digital</x:v>
      </x:c>
      <x:c r="K5728" s="2" t="str">
        <x:v>PARTNER-M300</x:v>
      </x:c>
    </x:row>
    <x:row r="5729" ht="46" customHeight="1">
      <x:c r="A5729" s="2" t="str">
        <x:v>TEN-605FBFDF4C2C</x:v>
      </x:c>
      <x:c r="B5729" s="12" t="str">
        <x:v>Apple Development Center</x:v>
      </x:c>
      <x:c r="C5729" s="12" t="str">
        <x:v>CORP-0718</x:v>
      </x:c>
      <x:c r="D5729" s="12" t="str">
        <x:v>Hyderabad</x:v>
      </x:c>
      <x:c r="E5729" s="12" t="str">
        <x:v>Waverock IT Park</x:v>
      </x:c>
      <x:c r="F5729" s="12" t="str">
        <x:v>55 inch</x:v>
      </x:c>
      <x:c r="G5729" s="20" t="n">
        <x:v>1</x:v>
      </x:c>
      <x:c r="H5729" s="12" t="str">
        <x:v>Campus/portfolio roster; individual building occupancy unverified</x:v>
      </x:c>
      <x:c r="I5729" s="12" t="str">
        <x:v>Mixed business audience</x:v>
      </x:c>
      <x:c r="J5729" s="12" t="str">
        <x:v>IT &amp; digital</x:v>
      </x:c>
      <x:c r="K5729" s="2" t="str">
        <x:v>PARTNER-M300</x:v>
      </x:c>
    </x:row>
    <x:row r="5730" ht="46" customHeight="1">
      <x:c r="A5730" s="2" t="str">
        <x:v>TEN-866EA055BD61</x:v>
      </x:c>
      <x:c r="B5730" s="12" t="str">
        <x:v>GlobalLogic Technologies</x:v>
      </x:c>
      <x:c r="C5730" s="12" t="str">
        <x:v>CORP-0718</x:v>
      </x:c>
      <x:c r="D5730" s="12" t="str">
        <x:v>Hyderabad</x:v>
      </x:c>
      <x:c r="E5730" s="12" t="str">
        <x:v>Waverock IT Park</x:v>
      </x:c>
      <x:c r="F5730" s="12" t="str">
        <x:v>55 inch</x:v>
      </x:c>
      <x:c r="G5730" s="20" t="n">
        <x:v>1</x:v>
      </x:c>
      <x:c r="H5730" s="12" t="str">
        <x:v>Campus/portfolio roster; individual building occupancy unverified</x:v>
      </x:c>
      <x:c r="I5730" s="12" t="str">
        <x:v>Mixed business audience</x:v>
      </x:c>
      <x:c r="J5730" s="12" t="str">
        <x:v>IT &amp; digital</x:v>
      </x:c>
      <x:c r="K5730" s="2" t="str">
        <x:v>PARTNER-M300</x:v>
      </x:c>
    </x:row>
    <x:row r="5731" ht="46" customHeight="1">
      <x:c r="A5731" s="2" t="str">
        <x:v>TEN-956E5A41DB14</x:v>
      </x:c>
      <x:c r="B5731" s="12" t="str">
        <x:v>Persistent Systems</x:v>
      </x:c>
      <x:c r="C5731" s="12" t="str">
        <x:v>CORP-0718</x:v>
      </x:c>
      <x:c r="D5731" s="12" t="str">
        <x:v>Hyderabad</x:v>
      </x:c>
      <x:c r="E5731" s="12" t="str">
        <x:v>Waverock IT Park</x:v>
      </x:c>
      <x:c r="F5731" s="12" t="str">
        <x:v>55 inch</x:v>
      </x:c>
      <x:c r="G5731" s="20" t="n">
        <x:v>1</x:v>
      </x:c>
      <x:c r="H5731" s="12" t="str">
        <x:v>Campus/portfolio roster; individual building occupancy unverified</x:v>
      </x:c>
      <x:c r="I5731" s="12" t="str">
        <x:v>Large enterprise</x:v>
      </x:c>
      <x:c r="J5731" s="12" t="str">
        <x:v>IT &amp; digital</x:v>
      </x:c>
      <x:c r="K5731" s="2" t="str">
        <x:v>PARTNER-M300</x:v>
      </x:c>
    </x:row>
    <x:row r="5732" ht="46" customHeight="1">
      <x:c r="A5732" s="2" t="str">
        <x:v>TEN-9FE6746863D6</x:v>
      </x:c>
      <x:c r="B5732" s="12" t="str">
        <x:v>Aveva</x:v>
      </x:c>
      <x:c r="C5732" s="12" t="str">
        <x:v>CORP-0718</x:v>
      </x:c>
      <x:c r="D5732" s="12" t="str">
        <x:v>Hyderabad</x:v>
      </x:c>
      <x:c r="E5732" s="12" t="str">
        <x:v>Waverock IT Park</x:v>
      </x:c>
      <x:c r="F5732" s="12" t="str">
        <x:v>55 inch</x:v>
      </x:c>
      <x:c r="G5732" s="20" t="n">
        <x:v>1</x:v>
      </x:c>
      <x:c r="H5732" s="12" t="str">
        <x:v>Campus/portfolio roster; individual building occupancy unverified</x:v>
      </x:c>
      <x:c r="I5732" s="12" t="str">
        <x:v>Mixed business audience</x:v>
      </x:c>
      <x:c r="J5732" s="12" t="str">
        <x:v>IT &amp; digital</x:v>
      </x:c>
      <x:c r="K5732" s="2" t="str">
        <x:v>PARTNER-M300</x:v>
      </x:c>
    </x:row>
    <x:row r="5733" ht="46" customHeight="1">
      <x:c r="A5733" s="2" t="str">
        <x:v>TEN-A5721E1BABB7</x:v>
      </x:c>
      <x:c r="B5733" s="12" t="str">
        <x:v>Avva Deepak</x:v>
      </x:c>
      <x:c r="C5733" s="12" t="str">
        <x:v>CORP-0718</x:v>
      </x:c>
      <x:c r="D5733" s="12" t="str">
        <x:v>Hyderabad</x:v>
      </x:c>
      <x:c r="E5733" s="12" t="str">
        <x:v>Waverock IT Park</x:v>
      </x:c>
      <x:c r="F5733" s="12" t="str">
        <x:v>55 inch</x:v>
      </x:c>
      <x:c r="G5733" s="20" t="n">
        <x:v>1</x:v>
      </x:c>
      <x:c r="H5733" s="12" t="str">
        <x:v>Campus/portfolio roster; individual building occupancy unverified</x:v>
      </x:c>
      <x:c r="I5733" s="12" t="str">
        <x:v>Mixed business audience</x:v>
      </x:c>
      <x:c r="J5733" s="12" t="str">
        <x:v>Unresolved</x:v>
      </x:c>
      <x:c r="K5733" s="2" t="str">
        <x:v>PARTNER-M300</x:v>
      </x:c>
    </x:row>
    <x:row r="5734" ht="46" customHeight="1">
      <x:c r="A5734" s="2" t="str">
        <x:v>TEN-A7905EBB5DD3</x:v>
      </x:c>
      <x:c r="B5734" s="12" t="str">
        <x:v>M3BI India Pvt Ltd</x:v>
      </x:c>
      <x:c r="C5734" s="12" t="str">
        <x:v>CORP-0718</x:v>
      </x:c>
      <x:c r="D5734" s="12" t="str">
        <x:v>Hyderabad</x:v>
      </x:c>
      <x:c r="E5734" s="12" t="str">
        <x:v>Waverock IT Park</x:v>
      </x:c>
      <x:c r="F5734" s="12" t="str">
        <x:v>55 inch</x:v>
      </x:c>
      <x:c r="G5734" s="20" t="n">
        <x:v>1</x:v>
      </x:c>
      <x:c r="H5734" s="12" t="str">
        <x:v>Campus/portfolio roster; individual building occupancy unverified</x:v>
      </x:c>
      <x:c r="I5734" s="12" t="str">
        <x:v>Mixed business audience</x:v>
      </x:c>
      <x:c r="J5734" s="12" t="str">
        <x:v>IT &amp; digital</x:v>
      </x:c>
      <x:c r="K5734" s="2" t="str">
        <x:v>PARTNER-M300</x:v>
      </x:c>
    </x:row>
    <x:row r="5735" ht="46" customHeight="1">
      <x:c r="A5735" s="2" t="str">
        <x:v>TEN-A932AA2FF310</x:v>
      </x:c>
      <x:c r="B5735" s="12" t="str">
        <x:v>CompuGain Solutions</x:v>
      </x:c>
      <x:c r="C5735" s="12" t="str">
        <x:v>CORP-0718</x:v>
      </x:c>
      <x:c r="D5735" s="12" t="str">
        <x:v>Hyderabad</x:v>
      </x:c>
      <x:c r="E5735" s="12" t="str">
        <x:v>Waverock IT Park</x:v>
      </x:c>
      <x:c r="F5735" s="12" t="str">
        <x:v>55 inch</x:v>
      </x:c>
      <x:c r="G5735" s="20" t="n">
        <x:v>1</x:v>
      </x:c>
      <x:c r="H5735" s="12" t="str">
        <x:v>Campus/portfolio roster; individual building occupancy unverified</x:v>
      </x:c>
      <x:c r="I5735" s="12" t="str">
        <x:v>Mixed business audience</x:v>
      </x:c>
      <x:c r="J5735" s="12" t="str">
        <x:v>IT &amp; digital</x:v>
      </x:c>
      <x:c r="K5735" s="2" t="str">
        <x:v>PARTNER-M300</x:v>
      </x:c>
    </x:row>
    <x:row r="5736" ht="46" customHeight="1">
      <x:c r="A5736" s="2" t="str">
        <x:v>TEN-B043864B7FFB</x:v>
      </x:c>
      <x:c r="B5736" s="12" t="str">
        <x:v>DuPont</x:v>
      </x:c>
      <x:c r="C5736" s="12" t="str">
        <x:v>CORP-0718</x:v>
      </x:c>
      <x:c r="D5736" s="12" t="str">
        <x:v>Hyderabad</x:v>
      </x:c>
      <x:c r="E5736" s="12" t="str">
        <x:v>Waverock IT Park</x:v>
      </x:c>
      <x:c r="F5736" s="12" t="str">
        <x:v>55 inch</x:v>
      </x:c>
      <x:c r="G5736" s="20" t="n">
        <x:v>1</x:v>
      </x:c>
      <x:c r="H5736" s="12" t="str">
        <x:v>Campus/portfolio roster; individual building occupancy unverified</x:v>
      </x:c>
      <x:c r="I5736" s="12" t="str">
        <x:v>Mixed business audience</x:v>
      </x:c>
      <x:c r="J5736" s="12" t="str">
        <x:v>Engineering &amp; manufacturing</x:v>
      </x:c>
      <x:c r="K5736" s="2" t="str">
        <x:v>PARTNER-M300</x:v>
      </x:c>
    </x:row>
    <x:row r="5737" ht="46" customHeight="1">
      <x:c r="A5737" s="2" t="str">
        <x:v>TEN-C42E337B9F49</x:v>
      </x:c>
      <x:c r="B5737" s="12" t="str">
        <x:v>Helius Technologies</x:v>
      </x:c>
      <x:c r="C5737" s="12" t="str">
        <x:v>CORP-0718</x:v>
      </x:c>
      <x:c r="D5737" s="12" t="str">
        <x:v>Hyderabad</x:v>
      </x:c>
      <x:c r="E5737" s="12" t="str">
        <x:v>Waverock IT Park</x:v>
      </x:c>
      <x:c r="F5737" s="12" t="str">
        <x:v>55 inch</x:v>
      </x:c>
      <x:c r="G5737" s="20" t="n">
        <x:v>1</x:v>
      </x:c>
      <x:c r="H5737" s="12" t="str">
        <x:v>Campus/portfolio roster; individual building occupancy unverified</x:v>
      </x:c>
      <x:c r="I5737" s="12" t="str">
        <x:v>Small-scale prospects</x:v>
      </x:c>
      <x:c r="J5737" s="12" t="str">
        <x:v>IT &amp; digital</x:v>
      </x:c>
      <x:c r="K5737" s="2" t="str">
        <x:v>PARTNER-M300</x:v>
      </x:c>
    </x:row>
    <x:row r="5738" ht="46" customHeight="1">
      <x:c r="A5738" s="2" t="str">
        <x:v>TEN-CCF988B40B7F</x:v>
      </x:c>
      <x:c r="B5738" s="12" t="str">
        <x:v>Idea Entity Tech Solutions</x:v>
      </x:c>
      <x:c r="C5738" s="12" t="str">
        <x:v>CORP-0718</x:v>
      </x:c>
      <x:c r="D5738" s="12" t="str">
        <x:v>Hyderabad</x:v>
      </x:c>
      <x:c r="E5738" s="12" t="str">
        <x:v>Waverock IT Park</x:v>
      </x:c>
      <x:c r="F5738" s="12" t="str">
        <x:v>55 inch</x:v>
      </x:c>
      <x:c r="G5738" s="20" t="n">
        <x:v>1</x:v>
      </x:c>
      <x:c r="H5738" s="12" t="str">
        <x:v>Campus/portfolio roster; individual building occupancy unverified</x:v>
      </x:c>
      <x:c r="I5738" s="12" t="str">
        <x:v>Small-scale prospects</x:v>
      </x:c>
      <x:c r="J5738" s="12" t="str">
        <x:v>IT &amp; digital</x:v>
      </x:c>
      <x:c r="K5738" s="2" t="str">
        <x:v>PARTNER-M300</x:v>
      </x:c>
    </x:row>
    <x:row r="5739" ht="46" customHeight="1">
      <x:c r="A5739" s="2" t="str">
        <x:v>TEN-CFB36C1F4640</x:v>
      </x:c>
      <x:c r="B5739" s="12" t="str">
        <x:v>Research Wallet</x:v>
      </x:c>
      <x:c r="C5739" s="12" t="str">
        <x:v>CORP-0718</x:v>
      </x:c>
      <x:c r="D5739" s="12" t="str">
        <x:v>Hyderabad</x:v>
      </x:c>
      <x:c r="E5739" s="12" t="str">
        <x:v>Waverock IT Park</x:v>
      </x:c>
      <x:c r="F5739" s="12" t="str">
        <x:v>55 inch</x:v>
      </x:c>
      <x:c r="G5739" s="20" t="n">
        <x:v>1</x:v>
      </x:c>
      <x:c r="H5739" s="12" t="str">
        <x:v>Campus/portfolio roster; individual building occupancy unverified</x:v>
      </x:c>
      <x:c r="I5739" s="12" t="str">
        <x:v>Mixed business audience</x:v>
      </x:c>
      <x:c r="J5739" s="12" t="str">
        <x:v>Unresolved</x:v>
      </x:c>
      <x:c r="K5739" s="2" t="str">
        <x:v>PARTNER-M300</x:v>
      </x:c>
    </x:row>
    <x:row r="5740" ht="46" customHeight="1">
      <x:c r="A5740" s="2" t="str">
        <x:v>TEN-EAE5AC232E0F</x:v>
      </x:c>
      <x:c r="B5740" s="12" t="str">
        <x:v>Accelerite</x:v>
      </x:c>
      <x:c r="C5740" s="12" t="str">
        <x:v>CORP-0718</x:v>
      </x:c>
      <x:c r="D5740" s="12" t="str">
        <x:v>Hyderabad</x:v>
      </x:c>
      <x:c r="E5740" s="12" t="str">
        <x:v>Waverock IT Park</x:v>
      </x:c>
      <x:c r="F5740" s="12" t="str">
        <x:v>55 inch</x:v>
      </x:c>
      <x:c r="G5740" s="20" t="n">
        <x:v>1</x:v>
      </x:c>
      <x:c r="H5740" s="12" t="str">
        <x:v>Campus/portfolio roster; individual building occupancy unverified</x:v>
      </x:c>
      <x:c r="I5740" s="12" t="str">
        <x:v>Mixed business audience</x:v>
      </x:c>
      <x:c r="J5740" s="12" t="str">
        <x:v>IT &amp; digital</x:v>
      </x:c>
      <x:c r="K5740" s="2" t="str">
        <x:v>PARTNER-M300</x:v>
      </x:c>
    </x:row>
    <x:row r="5741" ht="46" customHeight="1">
      <x:c r="A5741" s="2" t="str">
        <x:v>TEN-EDE803F3F786</x:v>
      </x:c>
      <x:c r="B5741" s="12" t="str">
        <x:v>Vehicle Fitness Company</x:v>
      </x:c>
      <x:c r="C5741" s="12" t="str">
        <x:v>CORP-0718</x:v>
      </x:c>
      <x:c r="D5741" s="12" t="str">
        <x:v>Hyderabad</x:v>
      </x:c>
      <x:c r="E5741" s="12" t="str">
        <x:v>Waverock IT Park</x:v>
      </x:c>
      <x:c r="F5741" s="12" t="str">
        <x:v>55 inch</x:v>
      </x:c>
      <x:c r="G5741" s="20" t="n">
        <x:v>1</x:v>
      </x:c>
      <x:c r="H5741" s="12" t="str">
        <x:v>Campus/portfolio roster; individual building occupancy unverified</x:v>
      </x:c>
      <x:c r="I5741" s="12" t="str">
        <x:v>Medium-scale prospects</x:v>
      </x:c>
      <x:c r="J5741" s="12" t="str">
        <x:v>Engineering &amp; manufacturing</x:v>
      </x:c>
      <x:c r="K5741" s="2" t="str">
        <x:v>PARTNER-M300</x:v>
      </x:c>
    </x:row>
    <x:row r="5742" ht="46" customHeight="1">
      <x:c r="A5742" s="2" t="str">
        <x:v>TEN-EFC60595AA04</x:v>
      </x:c>
      <x:c r="B5742" s="12" t="str">
        <x:v>RMSI Pvt Limited</x:v>
      </x:c>
      <x:c r="C5742" s="12" t="str">
        <x:v>CORP-0718</x:v>
      </x:c>
      <x:c r="D5742" s="12" t="str">
        <x:v>Hyderabad</x:v>
      </x:c>
      <x:c r="E5742" s="12" t="str">
        <x:v>Waverock IT Park</x:v>
      </x:c>
      <x:c r="F5742" s="12" t="str">
        <x:v>55 inch</x:v>
      </x:c>
      <x:c r="G5742" s="20" t="n">
        <x:v>1</x:v>
      </x:c>
      <x:c r="H5742" s="12" t="str">
        <x:v>Campus/portfolio roster; individual building occupancy unverified</x:v>
      </x:c>
      <x:c r="I5742" s="12" t="str">
        <x:v>Mixed business audience</x:v>
      </x:c>
      <x:c r="J5742" s="12" t="str">
        <x:v>IT &amp; digital</x:v>
      </x:c>
      <x:c r="K5742" s="2" t="str">
        <x:v>PARTNER-M300</x:v>
      </x:c>
    </x:row>
    <x:row r="5743" ht="46" customHeight="1">
      <x:c r="A5743" s="2" t="str">
        <x:v>TEN-FCE68113EA76</x:v>
      </x:c>
      <x:c r="B5743" s="12" t="str">
        <x:v>Innominds Software</x:v>
      </x:c>
      <x:c r="C5743" s="12" t="str">
        <x:v>CORP-0718</x:v>
      </x:c>
      <x:c r="D5743" s="12" t="str">
        <x:v>Hyderabad</x:v>
      </x:c>
      <x:c r="E5743" s="12" t="str">
        <x:v>Waverock IT Park</x:v>
      </x:c>
      <x:c r="F5743" s="12" t="str">
        <x:v>55 inch</x:v>
      </x:c>
      <x:c r="G5743" s="20" t="n">
        <x:v>1</x:v>
      </x:c>
      <x:c r="H5743" s="12" t="str">
        <x:v>Campus/portfolio roster; individual building occupancy unverified</x:v>
      </x:c>
      <x:c r="I5743" s="12" t="str">
        <x:v>Mixed business audience</x:v>
      </x:c>
      <x:c r="J5743" s="12" t="str">
        <x:v>IT &amp; digital</x:v>
      </x:c>
      <x:c r="K5743" s="2" t="str">
        <x:v>PARTNER-M300</x:v>
      </x:c>
    </x:row>
    <x:row r="5744" ht="46" customHeight="1">
      <x:c r="A5744" s="2" t="str">
        <x:v>TEN-0A41DF50FB75</x:v>
      </x:c>
      <x:c r="B5744" s="12" t="str">
        <x:v>APPLE INFOSYS</x:v>
      </x:c>
      <x:c r="C5744" s="12" t="str">
        <x:v>CORP-0719</x:v>
      </x:c>
      <x:c r="D5744" s="12" t="str">
        <x:v>Hyderabad</x:v>
      </x:c>
      <x:c r="E5744" s="12" t="str">
        <x:v>Waverock IT Park</x:v>
      </x:c>
      <x:c r="F5744" s="12" t="str">
        <x:v>55 inch</x:v>
      </x:c>
      <x:c r="G5744" s="20" t="n">
        <x:v>1</x:v>
      </x:c>
      <x:c r="H5744" s="12" t="str">
        <x:v>Campus/portfolio roster; individual building occupancy unverified</x:v>
      </x:c>
      <x:c r="I5744" s="12" t="str">
        <x:v>Mixed business audience</x:v>
      </x:c>
      <x:c r="J5744" s="12" t="str">
        <x:v>Unresolved</x:v>
      </x:c>
      <x:c r="K5744" s="2" t="str">
        <x:v>PARTNER-M300</x:v>
      </x:c>
    </x:row>
    <x:row r="5745" ht="46" customHeight="1">
      <x:c r="A5745" s="2" t="str">
        <x:v>TEN-102EF275BFD6</x:v>
      </x:c>
      <x:c r="B5745" s="12" t="str">
        <x:v>DBS Technology Service India</x:v>
      </x:c>
      <x:c r="C5745" s="12" t="str">
        <x:v>CORP-0719</x:v>
      </x:c>
      <x:c r="D5745" s="12" t="str">
        <x:v>Hyderabad</x:v>
      </x:c>
      <x:c r="E5745" s="12" t="str">
        <x:v>Waverock IT Park</x:v>
      </x:c>
      <x:c r="F5745" s="12" t="str">
        <x:v>55 inch</x:v>
      </x:c>
      <x:c r="G5745" s="20" t="n">
        <x:v>1</x:v>
      </x:c>
      <x:c r="H5745" s="12" t="str">
        <x:v>Campus/portfolio roster; individual building occupancy unverified</x:v>
      </x:c>
      <x:c r="I5745" s="12" t="str">
        <x:v>Large enterprise</x:v>
      </x:c>
      <x:c r="J5745" s="12" t="str">
        <x:v>IT &amp; digital</x:v>
      </x:c>
      <x:c r="K5745" s="2" t="str">
        <x:v>PARTNER-M300</x:v>
      </x:c>
    </x:row>
    <x:row r="5746" ht="46" customHeight="1">
      <x:c r="A5746" s="2" t="str">
        <x:v>TEN-13D5183E2424</x:v>
      </x:c>
      <x:c r="B5746" s="12" t="str">
        <x:v>ETG Digital</x:v>
      </x:c>
      <x:c r="C5746" s="12" t="str">
        <x:v>CORP-0719</x:v>
      </x:c>
      <x:c r="D5746" s="12" t="str">
        <x:v>Hyderabad</x:v>
      </x:c>
      <x:c r="E5746" s="12" t="str">
        <x:v>Waverock IT Park</x:v>
      </x:c>
      <x:c r="F5746" s="12" t="str">
        <x:v>55 inch</x:v>
      </x:c>
      <x:c r="G5746" s="20" t="n">
        <x:v>1</x:v>
      </x:c>
      <x:c r="H5746" s="12" t="str">
        <x:v>Campus/portfolio roster; individual building occupancy unverified</x:v>
      </x:c>
      <x:c r="I5746" s="12" t="str">
        <x:v>Small-scale prospects</x:v>
      </x:c>
      <x:c r="J5746" s="12" t="str">
        <x:v>IT &amp; digital</x:v>
      </x:c>
      <x:c r="K5746" s="2" t="str">
        <x:v>PARTNER-M300</x:v>
      </x:c>
    </x:row>
    <x:row r="5747" ht="46" customHeight="1">
      <x:c r="A5747" s="2" t="str">
        <x:v>TEN-1781916B2378</x:v>
      </x:c>
      <x:c r="B5747" s="12" t="str">
        <x:v>Attra Infotech</x:v>
      </x:c>
      <x:c r="C5747" s="12" t="str">
        <x:v>CORP-0719</x:v>
      </x:c>
      <x:c r="D5747" s="12" t="str">
        <x:v>Hyderabad</x:v>
      </x:c>
      <x:c r="E5747" s="12" t="str">
        <x:v>Waverock IT Park</x:v>
      </x:c>
      <x:c r="F5747" s="12" t="str">
        <x:v>55 inch</x:v>
      </x:c>
      <x:c r="G5747" s="20" t="n">
        <x:v>1</x:v>
      </x:c>
      <x:c r="H5747" s="12" t="str">
        <x:v>Campus/portfolio roster; individual building occupancy unverified</x:v>
      </x:c>
      <x:c r="I5747" s="12" t="str">
        <x:v>Mixed business audience</x:v>
      </x:c>
      <x:c r="J5747" s="12" t="str">
        <x:v>IT &amp; digital</x:v>
      </x:c>
      <x:c r="K5747" s="2" t="str">
        <x:v>PARTNER-M300</x:v>
      </x:c>
    </x:row>
    <x:row r="5748" ht="46" customHeight="1">
      <x:c r="A5748" s="2" t="str">
        <x:v>TEN-3EDE65EA0CF4</x:v>
      </x:c>
      <x:c r="B5748" s="12" t="str">
        <x:v>ShootOrder</x:v>
      </x:c>
      <x:c r="C5748" s="12" t="str">
        <x:v>CORP-0719</x:v>
      </x:c>
      <x:c r="D5748" s="12" t="str">
        <x:v>Hyderabad</x:v>
      </x:c>
      <x:c r="E5748" s="12" t="str">
        <x:v>Waverock IT Park</x:v>
      </x:c>
      <x:c r="F5748" s="12" t="str">
        <x:v>55 inch</x:v>
      </x:c>
      <x:c r="G5748" s="20" t="n">
        <x:v>1</x:v>
      </x:c>
      <x:c r="H5748" s="12" t="str">
        <x:v>Campus/portfolio roster; individual building occupancy unverified</x:v>
      </x:c>
      <x:c r="I5748" s="12" t="str">
        <x:v>Small-scale prospects</x:v>
      </x:c>
      <x:c r="J5748" s="12" t="str">
        <x:v>Professional services</x:v>
      </x:c>
      <x:c r="K5748" s="2" t="str">
        <x:v>PARTNER-M300</x:v>
      </x:c>
    </x:row>
    <x:row r="5749" ht="46" customHeight="1">
      <x:c r="A5749" s="2" t="str">
        <x:v>TEN-45562E981863</x:v>
      </x:c>
      <x:c r="B5749" s="12" t="str">
        <x:v>Qumu Corp</x:v>
      </x:c>
      <x:c r="C5749" s="12" t="str">
        <x:v>CORP-0719</x:v>
      </x:c>
      <x:c r="D5749" s="12" t="str">
        <x:v>Hyderabad</x:v>
      </x:c>
      <x:c r="E5749" s="12" t="str">
        <x:v>Waverock IT Park</x:v>
      </x:c>
      <x:c r="F5749" s="12" t="str">
        <x:v>55 inch</x:v>
      </x:c>
      <x:c r="G5749" s="20" t="n">
        <x:v>1</x:v>
      </x:c>
      <x:c r="H5749" s="12" t="str">
        <x:v>Campus/portfolio roster; individual building occupancy unverified</x:v>
      </x:c>
      <x:c r="I5749" s="12" t="str">
        <x:v>Mixed business audience</x:v>
      </x:c>
      <x:c r="J5749" s="12" t="str">
        <x:v>IT &amp; digital</x:v>
      </x:c>
      <x:c r="K5749" s="2" t="str">
        <x:v>PARTNER-M300</x:v>
      </x:c>
    </x:row>
    <x:row r="5750" ht="46" customHeight="1">
      <x:c r="A5750" s="2" t="str">
        <x:v>TEN-4D748EBD71AF</x:v>
      </x:c>
      <x:c r="B5750" s="12" t="str">
        <x:v>Accenture</x:v>
      </x:c>
      <x:c r="C5750" s="12" t="str">
        <x:v>CORP-0719</x:v>
      </x:c>
      <x:c r="D5750" s="12" t="str">
        <x:v>Hyderabad</x:v>
      </x:c>
      <x:c r="E5750" s="12" t="str">
        <x:v>Waverock IT Park</x:v>
      </x:c>
      <x:c r="F5750" s="12" t="str">
        <x:v>55 inch</x:v>
      </x:c>
      <x:c r="G5750" s="20" t="n">
        <x:v>1</x:v>
      </x:c>
      <x:c r="H5750" s="12" t="str">
        <x:v>Campus/portfolio roster; individual building occupancy unverified</x:v>
      </x:c>
      <x:c r="I5750" s="12" t="str">
        <x:v>Large enterprise</x:v>
      </x:c>
      <x:c r="J5750" s="12" t="str">
        <x:v>IT &amp; digital</x:v>
      </x:c>
      <x:c r="K5750" s="2" t="str">
        <x:v>PARTNER-M300</x:v>
      </x:c>
    </x:row>
    <x:row r="5751" ht="46" customHeight="1">
      <x:c r="A5751" s="2" t="str">
        <x:v>TEN-5C5CC4165124</x:v>
      </x:c>
      <x:c r="B5751" s="12" t="str">
        <x:v>Classic Design</x:v>
      </x:c>
      <x:c r="C5751" s="12" t="str">
        <x:v>CORP-0719</x:v>
      </x:c>
      <x:c r="D5751" s="12" t="str">
        <x:v>Hyderabad</x:v>
      </x:c>
      <x:c r="E5751" s="12" t="str">
        <x:v>Waverock IT Park</x:v>
      </x:c>
      <x:c r="F5751" s="12" t="str">
        <x:v>55 inch</x:v>
      </x:c>
      <x:c r="G5751" s="20" t="n">
        <x:v>1</x:v>
      </x:c>
      <x:c r="H5751" s="12" t="str">
        <x:v>Campus/portfolio roster; individual building occupancy unverified</x:v>
      </x:c>
      <x:c r="I5751" s="12" t="str">
        <x:v>Mixed business audience</x:v>
      </x:c>
      <x:c r="J5751" s="12" t="str">
        <x:v>Unresolved</x:v>
      </x:c>
      <x:c r="K5751" s="2" t="str">
        <x:v>PARTNER-M300</x:v>
      </x:c>
    </x:row>
    <x:row r="5752" ht="46" customHeight="1">
      <x:c r="A5752" s="2" t="str">
        <x:v>TEN-5C7E939E5259</x:v>
      </x:c>
      <x:c r="B5752" s="12" t="str">
        <x:v>Eze Software</x:v>
      </x:c>
      <x:c r="C5752" s="12" t="str">
        <x:v>CORP-0719</x:v>
      </x:c>
      <x:c r="D5752" s="12" t="str">
        <x:v>Hyderabad</x:v>
      </x:c>
      <x:c r="E5752" s="12" t="str">
        <x:v>Waverock IT Park</x:v>
      </x:c>
      <x:c r="F5752" s="12" t="str">
        <x:v>55 inch</x:v>
      </x:c>
      <x:c r="G5752" s="20" t="n">
        <x:v>1</x:v>
      </x:c>
      <x:c r="H5752" s="12" t="str">
        <x:v>Campus/portfolio roster; individual building occupancy unverified</x:v>
      </x:c>
      <x:c r="I5752" s="12" t="str">
        <x:v>Mixed business audience</x:v>
      </x:c>
      <x:c r="J5752" s="12" t="str">
        <x:v>IT &amp; digital</x:v>
      </x:c>
      <x:c r="K5752" s="2" t="str">
        <x:v>PARTNER-M300</x:v>
      </x:c>
    </x:row>
    <x:row r="5753" ht="46" customHeight="1">
      <x:c r="A5753" s="2" t="str">
        <x:v>TEN-5FA790F3630F</x:v>
      </x:c>
      <x:c r="B5753" s="12" t="str">
        <x:v>Tata Consultancy Services</x:v>
      </x:c>
      <x:c r="C5753" s="12" t="str">
        <x:v>CORP-0719</x:v>
      </x:c>
      <x:c r="D5753" s="12" t="str">
        <x:v>Hyderabad</x:v>
      </x:c>
      <x:c r="E5753" s="12" t="str">
        <x:v>Waverock IT Park</x:v>
      </x:c>
      <x:c r="F5753" s="12" t="str">
        <x:v>55 inch</x:v>
      </x:c>
      <x:c r="G5753" s="20" t="n">
        <x:v>1</x:v>
      </x:c>
      <x:c r="H5753" s="12" t="str">
        <x:v>Campus/portfolio roster; individual building occupancy unverified</x:v>
      </x:c>
      <x:c r="I5753" s="12" t="str">
        <x:v>Large enterprise</x:v>
      </x:c>
      <x:c r="J5753" s="12" t="str">
        <x:v>IT &amp; digital</x:v>
      </x:c>
      <x:c r="K5753" s="2" t="str">
        <x:v>PARTNER-M300</x:v>
      </x:c>
    </x:row>
    <x:row r="5754" ht="46" customHeight="1">
      <x:c r="A5754" s="2" t="str">
        <x:v>TEN-605FBFDF4C2C</x:v>
      </x:c>
      <x:c r="B5754" s="12" t="str">
        <x:v>Apple Development Center</x:v>
      </x:c>
      <x:c r="C5754" s="12" t="str">
        <x:v>CORP-0719</x:v>
      </x:c>
      <x:c r="D5754" s="12" t="str">
        <x:v>Hyderabad</x:v>
      </x:c>
      <x:c r="E5754" s="12" t="str">
        <x:v>Waverock IT Park</x:v>
      </x:c>
      <x:c r="F5754" s="12" t="str">
        <x:v>55 inch</x:v>
      </x:c>
      <x:c r="G5754" s="20" t="n">
        <x:v>1</x:v>
      </x:c>
      <x:c r="H5754" s="12" t="str">
        <x:v>Campus/portfolio roster; individual building occupancy unverified</x:v>
      </x:c>
      <x:c r="I5754" s="12" t="str">
        <x:v>Mixed business audience</x:v>
      </x:c>
      <x:c r="J5754" s="12" t="str">
        <x:v>IT &amp; digital</x:v>
      </x:c>
      <x:c r="K5754" s="2" t="str">
        <x:v>PARTNER-M300</x:v>
      </x:c>
    </x:row>
    <x:row r="5755" ht="46" customHeight="1">
      <x:c r="A5755" s="2" t="str">
        <x:v>TEN-866EA055BD61</x:v>
      </x:c>
      <x:c r="B5755" s="12" t="str">
        <x:v>GlobalLogic Technologies</x:v>
      </x:c>
      <x:c r="C5755" s="12" t="str">
        <x:v>CORP-0719</x:v>
      </x:c>
      <x:c r="D5755" s="12" t="str">
        <x:v>Hyderabad</x:v>
      </x:c>
      <x:c r="E5755" s="12" t="str">
        <x:v>Waverock IT Park</x:v>
      </x:c>
      <x:c r="F5755" s="12" t="str">
        <x:v>55 inch</x:v>
      </x:c>
      <x:c r="G5755" s="20" t="n">
        <x:v>1</x:v>
      </x:c>
      <x:c r="H5755" s="12" t="str">
        <x:v>Campus/portfolio roster; individual building occupancy unverified</x:v>
      </x:c>
      <x:c r="I5755" s="12" t="str">
        <x:v>Mixed business audience</x:v>
      </x:c>
      <x:c r="J5755" s="12" t="str">
        <x:v>IT &amp; digital</x:v>
      </x:c>
      <x:c r="K5755" s="2" t="str">
        <x:v>PARTNER-M300</x:v>
      </x:c>
    </x:row>
    <x:row r="5756" ht="46" customHeight="1">
      <x:c r="A5756" s="2" t="str">
        <x:v>TEN-956E5A41DB14</x:v>
      </x:c>
      <x:c r="B5756" s="12" t="str">
        <x:v>Persistent Systems</x:v>
      </x:c>
      <x:c r="C5756" s="12" t="str">
        <x:v>CORP-0719</x:v>
      </x:c>
      <x:c r="D5756" s="12" t="str">
        <x:v>Hyderabad</x:v>
      </x:c>
      <x:c r="E5756" s="12" t="str">
        <x:v>Waverock IT Park</x:v>
      </x:c>
      <x:c r="F5756" s="12" t="str">
        <x:v>55 inch</x:v>
      </x:c>
      <x:c r="G5756" s="20" t="n">
        <x:v>1</x:v>
      </x:c>
      <x:c r="H5756" s="12" t="str">
        <x:v>Campus/portfolio roster; individual building occupancy unverified</x:v>
      </x:c>
      <x:c r="I5756" s="12" t="str">
        <x:v>Large enterprise</x:v>
      </x:c>
      <x:c r="J5756" s="12" t="str">
        <x:v>IT &amp; digital</x:v>
      </x:c>
      <x:c r="K5756" s="2" t="str">
        <x:v>PARTNER-M300</x:v>
      </x:c>
    </x:row>
    <x:row r="5757" ht="46" customHeight="1">
      <x:c r="A5757" s="2" t="str">
        <x:v>TEN-9FE6746863D6</x:v>
      </x:c>
      <x:c r="B5757" s="12" t="str">
        <x:v>Aveva</x:v>
      </x:c>
      <x:c r="C5757" s="12" t="str">
        <x:v>CORP-0719</x:v>
      </x:c>
      <x:c r="D5757" s="12" t="str">
        <x:v>Hyderabad</x:v>
      </x:c>
      <x:c r="E5757" s="12" t="str">
        <x:v>Waverock IT Park</x:v>
      </x:c>
      <x:c r="F5757" s="12" t="str">
        <x:v>55 inch</x:v>
      </x:c>
      <x:c r="G5757" s="20" t="n">
        <x:v>1</x:v>
      </x:c>
      <x:c r="H5757" s="12" t="str">
        <x:v>Campus/portfolio roster; individual building occupancy unverified</x:v>
      </x:c>
      <x:c r="I5757" s="12" t="str">
        <x:v>Mixed business audience</x:v>
      </x:c>
      <x:c r="J5757" s="12" t="str">
        <x:v>IT &amp; digital</x:v>
      </x:c>
      <x:c r="K5757" s="2" t="str">
        <x:v>PARTNER-M300</x:v>
      </x:c>
    </x:row>
    <x:row r="5758" ht="46" customHeight="1">
      <x:c r="A5758" s="2" t="str">
        <x:v>TEN-A5721E1BABB7</x:v>
      </x:c>
      <x:c r="B5758" s="12" t="str">
        <x:v>Avva Deepak</x:v>
      </x:c>
      <x:c r="C5758" s="12" t="str">
        <x:v>CORP-0719</x:v>
      </x:c>
      <x:c r="D5758" s="12" t="str">
        <x:v>Hyderabad</x:v>
      </x:c>
      <x:c r="E5758" s="12" t="str">
        <x:v>Waverock IT Park</x:v>
      </x:c>
      <x:c r="F5758" s="12" t="str">
        <x:v>55 inch</x:v>
      </x:c>
      <x:c r="G5758" s="20" t="n">
        <x:v>1</x:v>
      </x:c>
      <x:c r="H5758" s="12" t="str">
        <x:v>Campus/portfolio roster; individual building occupancy unverified</x:v>
      </x:c>
      <x:c r="I5758" s="12" t="str">
        <x:v>Mixed business audience</x:v>
      </x:c>
      <x:c r="J5758" s="12" t="str">
        <x:v>Unresolved</x:v>
      </x:c>
      <x:c r="K5758" s="2" t="str">
        <x:v>PARTNER-M300</x:v>
      </x:c>
    </x:row>
    <x:row r="5759" ht="46" customHeight="1">
      <x:c r="A5759" s="2" t="str">
        <x:v>TEN-A7905EBB5DD3</x:v>
      </x:c>
      <x:c r="B5759" s="12" t="str">
        <x:v>M3BI India Pvt Ltd</x:v>
      </x:c>
      <x:c r="C5759" s="12" t="str">
        <x:v>CORP-0719</x:v>
      </x:c>
      <x:c r="D5759" s="12" t="str">
        <x:v>Hyderabad</x:v>
      </x:c>
      <x:c r="E5759" s="12" t="str">
        <x:v>Waverock IT Park</x:v>
      </x:c>
      <x:c r="F5759" s="12" t="str">
        <x:v>55 inch</x:v>
      </x:c>
      <x:c r="G5759" s="20" t="n">
        <x:v>1</x:v>
      </x:c>
      <x:c r="H5759" s="12" t="str">
        <x:v>Campus/portfolio roster; individual building occupancy unverified</x:v>
      </x:c>
      <x:c r="I5759" s="12" t="str">
        <x:v>Mixed business audience</x:v>
      </x:c>
      <x:c r="J5759" s="12" t="str">
        <x:v>IT &amp; digital</x:v>
      </x:c>
      <x:c r="K5759" s="2" t="str">
        <x:v>PARTNER-M300</x:v>
      </x:c>
    </x:row>
    <x:row r="5760" ht="46" customHeight="1">
      <x:c r="A5760" s="2" t="str">
        <x:v>TEN-A932AA2FF310</x:v>
      </x:c>
      <x:c r="B5760" s="12" t="str">
        <x:v>CompuGain Solutions</x:v>
      </x:c>
      <x:c r="C5760" s="12" t="str">
        <x:v>CORP-0719</x:v>
      </x:c>
      <x:c r="D5760" s="12" t="str">
        <x:v>Hyderabad</x:v>
      </x:c>
      <x:c r="E5760" s="12" t="str">
        <x:v>Waverock IT Park</x:v>
      </x:c>
      <x:c r="F5760" s="12" t="str">
        <x:v>55 inch</x:v>
      </x:c>
      <x:c r="G5760" s="20" t="n">
        <x:v>1</x:v>
      </x:c>
      <x:c r="H5760" s="12" t="str">
        <x:v>Campus/portfolio roster; individual building occupancy unverified</x:v>
      </x:c>
      <x:c r="I5760" s="12" t="str">
        <x:v>Mixed business audience</x:v>
      </x:c>
      <x:c r="J5760" s="12" t="str">
        <x:v>IT &amp; digital</x:v>
      </x:c>
      <x:c r="K5760" s="2" t="str">
        <x:v>PARTNER-M300</x:v>
      </x:c>
    </x:row>
    <x:row r="5761" ht="46" customHeight="1">
      <x:c r="A5761" s="2" t="str">
        <x:v>TEN-B043864B7FFB</x:v>
      </x:c>
      <x:c r="B5761" s="12" t="str">
        <x:v>DuPont</x:v>
      </x:c>
      <x:c r="C5761" s="12" t="str">
        <x:v>CORP-0719</x:v>
      </x:c>
      <x:c r="D5761" s="12" t="str">
        <x:v>Hyderabad</x:v>
      </x:c>
      <x:c r="E5761" s="12" t="str">
        <x:v>Waverock IT Park</x:v>
      </x:c>
      <x:c r="F5761" s="12" t="str">
        <x:v>55 inch</x:v>
      </x:c>
      <x:c r="G5761" s="20" t="n">
        <x:v>1</x:v>
      </x:c>
      <x:c r="H5761" s="12" t="str">
        <x:v>Campus/portfolio roster; individual building occupancy unverified</x:v>
      </x:c>
      <x:c r="I5761" s="12" t="str">
        <x:v>Mixed business audience</x:v>
      </x:c>
      <x:c r="J5761" s="12" t="str">
        <x:v>Engineering &amp; manufacturing</x:v>
      </x:c>
      <x:c r="K5761" s="2" t="str">
        <x:v>PARTNER-M300</x:v>
      </x:c>
    </x:row>
    <x:row r="5762" ht="46" customHeight="1">
      <x:c r="A5762" s="2" t="str">
        <x:v>TEN-C42E337B9F49</x:v>
      </x:c>
      <x:c r="B5762" s="12" t="str">
        <x:v>Helius Technologies</x:v>
      </x:c>
      <x:c r="C5762" s="12" t="str">
        <x:v>CORP-0719</x:v>
      </x:c>
      <x:c r="D5762" s="12" t="str">
        <x:v>Hyderabad</x:v>
      </x:c>
      <x:c r="E5762" s="12" t="str">
        <x:v>Waverock IT Park</x:v>
      </x:c>
      <x:c r="F5762" s="12" t="str">
        <x:v>55 inch</x:v>
      </x:c>
      <x:c r="G5762" s="20" t="n">
        <x:v>1</x:v>
      </x:c>
      <x:c r="H5762" s="12" t="str">
        <x:v>Campus/portfolio roster; individual building occupancy unverified</x:v>
      </x:c>
      <x:c r="I5762" s="12" t="str">
        <x:v>Small-scale prospects</x:v>
      </x:c>
      <x:c r="J5762" s="12" t="str">
        <x:v>IT &amp; digital</x:v>
      </x:c>
      <x:c r="K5762" s="2" t="str">
        <x:v>PARTNER-M300</x:v>
      </x:c>
    </x:row>
    <x:row r="5763" ht="46" customHeight="1">
      <x:c r="A5763" s="2" t="str">
        <x:v>TEN-CCF988B40B7F</x:v>
      </x:c>
      <x:c r="B5763" s="12" t="str">
        <x:v>Idea Entity Tech Solutions</x:v>
      </x:c>
      <x:c r="C5763" s="12" t="str">
        <x:v>CORP-0719</x:v>
      </x:c>
      <x:c r="D5763" s="12" t="str">
        <x:v>Hyderabad</x:v>
      </x:c>
      <x:c r="E5763" s="12" t="str">
        <x:v>Waverock IT Park</x:v>
      </x:c>
      <x:c r="F5763" s="12" t="str">
        <x:v>55 inch</x:v>
      </x:c>
      <x:c r="G5763" s="20" t="n">
        <x:v>1</x:v>
      </x:c>
      <x:c r="H5763" s="12" t="str">
        <x:v>Campus/portfolio roster; individual building occupancy unverified</x:v>
      </x:c>
      <x:c r="I5763" s="12" t="str">
        <x:v>Small-scale prospects</x:v>
      </x:c>
      <x:c r="J5763" s="12" t="str">
        <x:v>IT &amp; digital</x:v>
      </x:c>
      <x:c r="K5763" s="2" t="str">
        <x:v>PARTNER-M300</x:v>
      </x:c>
    </x:row>
    <x:row r="5764" ht="46" customHeight="1">
      <x:c r="A5764" s="2" t="str">
        <x:v>TEN-CFB36C1F4640</x:v>
      </x:c>
      <x:c r="B5764" s="12" t="str">
        <x:v>Research Wallet</x:v>
      </x:c>
      <x:c r="C5764" s="12" t="str">
        <x:v>CORP-0719</x:v>
      </x:c>
      <x:c r="D5764" s="12" t="str">
        <x:v>Hyderabad</x:v>
      </x:c>
      <x:c r="E5764" s="12" t="str">
        <x:v>Waverock IT Park</x:v>
      </x:c>
      <x:c r="F5764" s="12" t="str">
        <x:v>55 inch</x:v>
      </x:c>
      <x:c r="G5764" s="20" t="n">
        <x:v>1</x:v>
      </x:c>
      <x:c r="H5764" s="12" t="str">
        <x:v>Campus/portfolio roster; individual building occupancy unverified</x:v>
      </x:c>
      <x:c r="I5764" s="12" t="str">
        <x:v>Mixed business audience</x:v>
      </x:c>
      <x:c r="J5764" s="12" t="str">
        <x:v>Unresolved</x:v>
      </x:c>
      <x:c r="K5764" s="2" t="str">
        <x:v>PARTNER-M300</x:v>
      </x:c>
    </x:row>
    <x:row r="5765" ht="46" customHeight="1">
      <x:c r="A5765" s="2" t="str">
        <x:v>TEN-EAE5AC232E0F</x:v>
      </x:c>
      <x:c r="B5765" s="12" t="str">
        <x:v>Accelerite</x:v>
      </x:c>
      <x:c r="C5765" s="12" t="str">
        <x:v>CORP-0719</x:v>
      </x:c>
      <x:c r="D5765" s="12" t="str">
        <x:v>Hyderabad</x:v>
      </x:c>
      <x:c r="E5765" s="12" t="str">
        <x:v>Waverock IT Park</x:v>
      </x:c>
      <x:c r="F5765" s="12" t="str">
        <x:v>55 inch</x:v>
      </x:c>
      <x:c r="G5765" s="20" t="n">
        <x:v>1</x:v>
      </x:c>
      <x:c r="H5765" s="12" t="str">
        <x:v>Campus/portfolio roster; individual building occupancy unverified</x:v>
      </x:c>
      <x:c r="I5765" s="12" t="str">
        <x:v>Mixed business audience</x:v>
      </x:c>
      <x:c r="J5765" s="12" t="str">
        <x:v>IT &amp; digital</x:v>
      </x:c>
      <x:c r="K5765" s="2" t="str">
        <x:v>PARTNER-M300</x:v>
      </x:c>
    </x:row>
    <x:row r="5766" ht="46" customHeight="1">
      <x:c r="A5766" s="2" t="str">
        <x:v>TEN-EDE803F3F786</x:v>
      </x:c>
      <x:c r="B5766" s="12" t="str">
        <x:v>Vehicle Fitness Company</x:v>
      </x:c>
      <x:c r="C5766" s="12" t="str">
        <x:v>CORP-0719</x:v>
      </x:c>
      <x:c r="D5766" s="12" t="str">
        <x:v>Hyderabad</x:v>
      </x:c>
      <x:c r="E5766" s="12" t="str">
        <x:v>Waverock IT Park</x:v>
      </x:c>
      <x:c r="F5766" s="12" t="str">
        <x:v>55 inch</x:v>
      </x:c>
      <x:c r="G5766" s="20" t="n">
        <x:v>1</x:v>
      </x:c>
      <x:c r="H5766" s="12" t="str">
        <x:v>Campus/portfolio roster; individual building occupancy unverified</x:v>
      </x:c>
      <x:c r="I5766" s="12" t="str">
        <x:v>Medium-scale prospects</x:v>
      </x:c>
      <x:c r="J5766" s="12" t="str">
        <x:v>Engineering &amp; manufacturing</x:v>
      </x:c>
      <x:c r="K5766" s="2" t="str">
        <x:v>PARTNER-M300</x:v>
      </x:c>
    </x:row>
    <x:row r="5767" ht="46" customHeight="1">
      <x:c r="A5767" s="2" t="str">
        <x:v>TEN-EFC60595AA04</x:v>
      </x:c>
      <x:c r="B5767" s="12" t="str">
        <x:v>RMSI Pvt Limited</x:v>
      </x:c>
      <x:c r="C5767" s="12" t="str">
        <x:v>CORP-0719</x:v>
      </x:c>
      <x:c r="D5767" s="12" t="str">
        <x:v>Hyderabad</x:v>
      </x:c>
      <x:c r="E5767" s="12" t="str">
        <x:v>Waverock IT Park</x:v>
      </x:c>
      <x:c r="F5767" s="12" t="str">
        <x:v>55 inch</x:v>
      </x:c>
      <x:c r="G5767" s="20" t="n">
        <x:v>1</x:v>
      </x:c>
      <x:c r="H5767" s="12" t="str">
        <x:v>Campus/portfolio roster; individual building occupancy unverified</x:v>
      </x:c>
      <x:c r="I5767" s="12" t="str">
        <x:v>Mixed business audience</x:v>
      </x:c>
      <x:c r="J5767" s="12" t="str">
        <x:v>IT &amp; digital</x:v>
      </x:c>
      <x:c r="K5767" s="2" t="str">
        <x:v>PARTNER-M300</x:v>
      </x:c>
    </x:row>
    <x:row r="5768" ht="46" customHeight="1">
      <x:c r="A5768" s="2" t="str">
        <x:v>TEN-FCE68113EA76</x:v>
      </x:c>
      <x:c r="B5768" s="12" t="str">
        <x:v>Innominds Software</x:v>
      </x:c>
      <x:c r="C5768" s="12" t="str">
        <x:v>CORP-0719</x:v>
      </x:c>
      <x:c r="D5768" s="12" t="str">
        <x:v>Hyderabad</x:v>
      </x:c>
      <x:c r="E5768" s="12" t="str">
        <x:v>Waverock IT Park</x:v>
      </x:c>
      <x:c r="F5768" s="12" t="str">
        <x:v>55 inch</x:v>
      </x:c>
      <x:c r="G5768" s="20" t="n">
        <x:v>1</x:v>
      </x:c>
      <x:c r="H5768" s="12" t="str">
        <x:v>Campus/portfolio roster; individual building occupancy unverified</x:v>
      </x:c>
      <x:c r="I5768" s="12" t="str">
        <x:v>Mixed business audience</x:v>
      </x:c>
      <x:c r="J5768" s="12" t="str">
        <x:v>IT &amp; digital</x:v>
      </x:c>
      <x:c r="K5768" s="2" t="str">
        <x:v>PARTNER-M300</x:v>
      </x:c>
    </x:row>
    <x:row r="5769" ht="46" customHeight="1">
      <x:c r="A5769" s="2" t="str">
        <x:v>TEN-0A41DF50FB75</x:v>
      </x:c>
      <x:c r="B5769" s="12" t="str">
        <x:v>APPLE INFOSYS</x:v>
      </x:c>
      <x:c r="C5769" s="12" t="str">
        <x:v>CORP-0720</x:v>
      </x:c>
      <x:c r="D5769" s="12" t="str">
        <x:v>Hyderabad</x:v>
      </x:c>
      <x:c r="E5769" s="12" t="str">
        <x:v>Waverock IT Park</x:v>
      </x:c>
      <x:c r="F5769" s="12" t="str">
        <x:v>55 inch</x:v>
      </x:c>
      <x:c r="G5769" s="20" t="n">
        <x:v>1</x:v>
      </x:c>
      <x:c r="H5769" s="12" t="str">
        <x:v>Campus/portfolio roster; individual building occupancy unverified</x:v>
      </x:c>
      <x:c r="I5769" s="12" t="str">
        <x:v>Mixed business audience</x:v>
      </x:c>
      <x:c r="J5769" s="12" t="str">
        <x:v>Unresolved</x:v>
      </x:c>
      <x:c r="K5769" s="2" t="str">
        <x:v>PARTNER-M300</x:v>
      </x:c>
    </x:row>
    <x:row r="5770" ht="46" customHeight="1">
      <x:c r="A5770" s="2" t="str">
        <x:v>TEN-102EF275BFD6</x:v>
      </x:c>
      <x:c r="B5770" s="12" t="str">
        <x:v>DBS Technology Service India</x:v>
      </x:c>
      <x:c r="C5770" s="12" t="str">
        <x:v>CORP-0720</x:v>
      </x:c>
      <x:c r="D5770" s="12" t="str">
        <x:v>Hyderabad</x:v>
      </x:c>
      <x:c r="E5770" s="12" t="str">
        <x:v>Waverock IT Park</x:v>
      </x:c>
      <x:c r="F5770" s="12" t="str">
        <x:v>55 inch</x:v>
      </x:c>
      <x:c r="G5770" s="20" t="n">
        <x:v>1</x:v>
      </x:c>
      <x:c r="H5770" s="12" t="str">
        <x:v>Campus/portfolio roster; individual building occupancy unverified</x:v>
      </x:c>
      <x:c r="I5770" s="12" t="str">
        <x:v>Large enterprise</x:v>
      </x:c>
      <x:c r="J5770" s="12" t="str">
        <x:v>IT &amp; digital</x:v>
      </x:c>
      <x:c r="K5770" s="2" t="str">
        <x:v>PARTNER-M300</x:v>
      </x:c>
    </x:row>
    <x:row r="5771" ht="46" customHeight="1">
      <x:c r="A5771" s="2" t="str">
        <x:v>TEN-13D5183E2424</x:v>
      </x:c>
      <x:c r="B5771" s="12" t="str">
        <x:v>ETG Digital</x:v>
      </x:c>
      <x:c r="C5771" s="12" t="str">
        <x:v>CORP-0720</x:v>
      </x:c>
      <x:c r="D5771" s="12" t="str">
        <x:v>Hyderabad</x:v>
      </x:c>
      <x:c r="E5771" s="12" t="str">
        <x:v>Waverock IT Park</x:v>
      </x:c>
      <x:c r="F5771" s="12" t="str">
        <x:v>55 inch</x:v>
      </x:c>
      <x:c r="G5771" s="20" t="n">
        <x:v>1</x:v>
      </x:c>
      <x:c r="H5771" s="12" t="str">
        <x:v>Campus/portfolio roster; individual building occupancy unverified</x:v>
      </x:c>
      <x:c r="I5771" s="12" t="str">
        <x:v>Small-scale prospects</x:v>
      </x:c>
      <x:c r="J5771" s="12" t="str">
        <x:v>IT &amp; digital</x:v>
      </x:c>
      <x:c r="K5771" s="2" t="str">
        <x:v>PARTNER-M300</x:v>
      </x:c>
    </x:row>
    <x:row r="5772" ht="46" customHeight="1">
      <x:c r="A5772" s="2" t="str">
        <x:v>TEN-1781916B2378</x:v>
      </x:c>
      <x:c r="B5772" s="12" t="str">
        <x:v>Attra Infotech</x:v>
      </x:c>
      <x:c r="C5772" s="12" t="str">
        <x:v>CORP-0720</x:v>
      </x:c>
      <x:c r="D5772" s="12" t="str">
        <x:v>Hyderabad</x:v>
      </x:c>
      <x:c r="E5772" s="12" t="str">
        <x:v>Waverock IT Park</x:v>
      </x:c>
      <x:c r="F5772" s="12" t="str">
        <x:v>55 inch</x:v>
      </x:c>
      <x:c r="G5772" s="20" t="n">
        <x:v>1</x:v>
      </x:c>
      <x:c r="H5772" s="12" t="str">
        <x:v>Campus/portfolio roster; individual building occupancy unverified</x:v>
      </x:c>
      <x:c r="I5772" s="12" t="str">
        <x:v>Mixed business audience</x:v>
      </x:c>
      <x:c r="J5772" s="12" t="str">
        <x:v>IT &amp; digital</x:v>
      </x:c>
      <x:c r="K5772" s="2" t="str">
        <x:v>PARTNER-M300</x:v>
      </x:c>
    </x:row>
    <x:row r="5773" ht="46" customHeight="1">
      <x:c r="A5773" s="2" t="str">
        <x:v>TEN-3EDE65EA0CF4</x:v>
      </x:c>
      <x:c r="B5773" s="12" t="str">
        <x:v>ShootOrder</x:v>
      </x:c>
      <x:c r="C5773" s="12" t="str">
        <x:v>CORP-0720</x:v>
      </x:c>
      <x:c r="D5773" s="12" t="str">
        <x:v>Hyderabad</x:v>
      </x:c>
      <x:c r="E5773" s="12" t="str">
        <x:v>Waverock IT Park</x:v>
      </x:c>
      <x:c r="F5773" s="12" t="str">
        <x:v>55 inch</x:v>
      </x:c>
      <x:c r="G5773" s="20" t="n">
        <x:v>1</x:v>
      </x:c>
      <x:c r="H5773" s="12" t="str">
        <x:v>Campus/portfolio roster; individual building occupancy unverified</x:v>
      </x:c>
      <x:c r="I5773" s="12" t="str">
        <x:v>Small-scale prospects</x:v>
      </x:c>
      <x:c r="J5773" s="12" t="str">
        <x:v>Professional services</x:v>
      </x:c>
      <x:c r="K5773" s="2" t="str">
        <x:v>PARTNER-M300</x:v>
      </x:c>
    </x:row>
    <x:row r="5774" ht="46" customHeight="1">
      <x:c r="A5774" s="2" t="str">
        <x:v>TEN-45562E981863</x:v>
      </x:c>
      <x:c r="B5774" s="12" t="str">
        <x:v>Qumu Corp</x:v>
      </x:c>
      <x:c r="C5774" s="12" t="str">
        <x:v>CORP-0720</x:v>
      </x:c>
      <x:c r="D5774" s="12" t="str">
        <x:v>Hyderabad</x:v>
      </x:c>
      <x:c r="E5774" s="12" t="str">
        <x:v>Waverock IT Park</x:v>
      </x:c>
      <x:c r="F5774" s="12" t="str">
        <x:v>55 inch</x:v>
      </x:c>
      <x:c r="G5774" s="20" t="n">
        <x:v>1</x:v>
      </x:c>
      <x:c r="H5774" s="12" t="str">
        <x:v>Campus/portfolio roster; individual building occupancy unverified</x:v>
      </x:c>
      <x:c r="I5774" s="12" t="str">
        <x:v>Mixed business audience</x:v>
      </x:c>
      <x:c r="J5774" s="12" t="str">
        <x:v>IT &amp; digital</x:v>
      </x:c>
      <x:c r="K5774" s="2" t="str">
        <x:v>PARTNER-M300</x:v>
      </x:c>
    </x:row>
    <x:row r="5775" ht="46" customHeight="1">
      <x:c r="A5775" s="2" t="str">
        <x:v>TEN-4D748EBD71AF</x:v>
      </x:c>
      <x:c r="B5775" s="12" t="str">
        <x:v>Accenture</x:v>
      </x:c>
      <x:c r="C5775" s="12" t="str">
        <x:v>CORP-0720</x:v>
      </x:c>
      <x:c r="D5775" s="12" t="str">
        <x:v>Hyderabad</x:v>
      </x:c>
      <x:c r="E5775" s="12" t="str">
        <x:v>Waverock IT Park</x:v>
      </x:c>
      <x:c r="F5775" s="12" t="str">
        <x:v>55 inch</x:v>
      </x:c>
      <x:c r="G5775" s="20" t="n">
        <x:v>1</x:v>
      </x:c>
      <x:c r="H5775" s="12" t="str">
        <x:v>Campus/portfolio roster; individual building occupancy unverified</x:v>
      </x:c>
      <x:c r="I5775" s="12" t="str">
        <x:v>Large enterprise</x:v>
      </x:c>
      <x:c r="J5775" s="12" t="str">
        <x:v>IT &amp; digital</x:v>
      </x:c>
      <x:c r="K5775" s="2" t="str">
        <x:v>PARTNER-M300</x:v>
      </x:c>
    </x:row>
    <x:row r="5776" ht="46" customHeight="1">
      <x:c r="A5776" s="2" t="str">
        <x:v>TEN-5C5CC4165124</x:v>
      </x:c>
      <x:c r="B5776" s="12" t="str">
        <x:v>Classic Design</x:v>
      </x:c>
      <x:c r="C5776" s="12" t="str">
        <x:v>CORP-0720</x:v>
      </x:c>
      <x:c r="D5776" s="12" t="str">
        <x:v>Hyderabad</x:v>
      </x:c>
      <x:c r="E5776" s="12" t="str">
        <x:v>Waverock IT Park</x:v>
      </x:c>
      <x:c r="F5776" s="12" t="str">
        <x:v>55 inch</x:v>
      </x:c>
      <x:c r="G5776" s="20" t="n">
        <x:v>1</x:v>
      </x:c>
      <x:c r="H5776" s="12" t="str">
        <x:v>Campus/portfolio roster; individual building occupancy unverified</x:v>
      </x:c>
      <x:c r="I5776" s="12" t="str">
        <x:v>Mixed business audience</x:v>
      </x:c>
      <x:c r="J5776" s="12" t="str">
        <x:v>Unresolved</x:v>
      </x:c>
      <x:c r="K5776" s="2" t="str">
        <x:v>PARTNER-M300</x:v>
      </x:c>
    </x:row>
    <x:row r="5777" ht="46" customHeight="1">
      <x:c r="A5777" s="2" t="str">
        <x:v>TEN-5C7E939E5259</x:v>
      </x:c>
      <x:c r="B5777" s="12" t="str">
        <x:v>Eze Software</x:v>
      </x:c>
      <x:c r="C5777" s="12" t="str">
        <x:v>CORP-0720</x:v>
      </x:c>
      <x:c r="D5777" s="12" t="str">
        <x:v>Hyderabad</x:v>
      </x:c>
      <x:c r="E5777" s="12" t="str">
        <x:v>Waverock IT Park</x:v>
      </x:c>
      <x:c r="F5777" s="12" t="str">
        <x:v>55 inch</x:v>
      </x:c>
      <x:c r="G5777" s="20" t="n">
        <x:v>1</x:v>
      </x:c>
      <x:c r="H5777" s="12" t="str">
        <x:v>Campus/portfolio roster; individual building occupancy unverified</x:v>
      </x:c>
      <x:c r="I5777" s="12" t="str">
        <x:v>Mixed business audience</x:v>
      </x:c>
      <x:c r="J5777" s="12" t="str">
        <x:v>IT &amp; digital</x:v>
      </x:c>
      <x:c r="K5777" s="2" t="str">
        <x:v>PARTNER-M300</x:v>
      </x:c>
    </x:row>
    <x:row r="5778" ht="46" customHeight="1">
      <x:c r="A5778" s="2" t="str">
        <x:v>TEN-5FA790F3630F</x:v>
      </x:c>
      <x:c r="B5778" s="12" t="str">
        <x:v>Tata Consultancy Services</x:v>
      </x:c>
      <x:c r="C5778" s="12" t="str">
        <x:v>CORP-0720</x:v>
      </x:c>
      <x:c r="D5778" s="12" t="str">
        <x:v>Hyderabad</x:v>
      </x:c>
      <x:c r="E5778" s="12" t="str">
        <x:v>Waverock IT Park</x:v>
      </x:c>
      <x:c r="F5778" s="12" t="str">
        <x:v>55 inch</x:v>
      </x:c>
      <x:c r="G5778" s="20" t="n">
        <x:v>1</x:v>
      </x:c>
      <x:c r="H5778" s="12" t="str">
        <x:v>Campus/portfolio roster; individual building occupancy unverified</x:v>
      </x:c>
      <x:c r="I5778" s="12" t="str">
        <x:v>Large enterprise</x:v>
      </x:c>
      <x:c r="J5778" s="12" t="str">
        <x:v>IT &amp; digital</x:v>
      </x:c>
      <x:c r="K5778" s="2" t="str">
        <x:v>PARTNER-M300</x:v>
      </x:c>
    </x:row>
    <x:row r="5779" ht="46" customHeight="1">
      <x:c r="A5779" s="2" t="str">
        <x:v>TEN-605FBFDF4C2C</x:v>
      </x:c>
      <x:c r="B5779" s="12" t="str">
        <x:v>Apple Development Center</x:v>
      </x:c>
      <x:c r="C5779" s="12" t="str">
        <x:v>CORP-0720</x:v>
      </x:c>
      <x:c r="D5779" s="12" t="str">
        <x:v>Hyderabad</x:v>
      </x:c>
      <x:c r="E5779" s="12" t="str">
        <x:v>Waverock IT Park</x:v>
      </x:c>
      <x:c r="F5779" s="12" t="str">
        <x:v>55 inch</x:v>
      </x:c>
      <x:c r="G5779" s="20" t="n">
        <x:v>1</x:v>
      </x:c>
      <x:c r="H5779" s="12" t="str">
        <x:v>Campus/portfolio roster; individual building occupancy unverified</x:v>
      </x:c>
      <x:c r="I5779" s="12" t="str">
        <x:v>Mixed business audience</x:v>
      </x:c>
      <x:c r="J5779" s="12" t="str">
        <x:v>IT &amp; digital</x:v>
      </x:c>
      <x:c r="K5779" s="2" t="str">
        <x:v>PARTNER-M300</x:v>
      </x:c>
    </x:row>
    <x:row r="5780" ht="46" customHeight="1">
      <x:c r="A5780" s="2" t="str">
        <x:v>TEN-866EA055BD61</x:v>
      </x:c>
      <x:c r="B5780" s="12" t="str">
        <x:v>GlobalLogic Technologies</x:v>
      </x:c>
      <x:c r="C5780" s="12" t="str">
        <x:v>CORP-0720</x:v>
      </x:c>
      <x:c r="D5780" s="12" t="str">
        <x:v>Hyderabad</x:v>
      </x:c>
      <x:c r="E5780" s="12" t="str">
        <x:v>Waverock IT Park</x:v>
      </x:c>
      <x:c r="F5780" s="12" t="str">
        <x:v>55 inch</x:v>
      </x:c>
      <x:c r="G5780" s="20" t="n">
        <x:v>1</x:v>
      </x:c>
      <x:c r="H5780" s="12" t="str">
        <x:v>Campus/portfolio roster; individual building occupancy unverified</x:v>
      </x:c>
      <x:c r="I5780" s="12" t="str">
        <x:v>Mixed business audience</x:v>
      </x:c>
      <x:c r="J5780" s="12" t="str">
        <x:v>IT &amp; digital</x:v>
      </x:c>
      <x:c r="K5780" s="2" t="str">
        <x:v>PARTNER-M300</x:v>
      </x:c>
    </x:row>
    <x:row r="5781" ht="46" customHeight="1">
      <x:c r="A5781" s="2" t="str">
        <x:v>TEN-956E5A41DB14</x:v>
      </x:c>
      <x:c r="B5781" s="12" t="str">
        <x:v>Persistent Systems</x:v>
      </x:c>
      <x:c r="C5781" s="12" t="str">
        <x:v>CORP-0720</x:v>
      </x:c>
      <x:c r="D5781" s="12" t="str">
        <x:v>Hyderabad</x:v>
      </x:c>
      <x:c r="E5781" s="12" t="str">
        <x:v>Waverock IT Park</x:v>
      </x:c>
      <x:c r="F5781" s="12" t="str">
        <x:v>55 inch</x:v>
      </x:c>
      <x:c r="G5781" s="20" t="n">
        <x:v>1</x:v>
      </x:c>
      <x:c r="H5781" s="12" t="str">
        <x:v>Campus/portfolio roster; individual building occupancy unverified</x:v>
      </x:c>
      <x:c r="I5781" s="12" t="str">
        <x:v>Large enterprise</x:v>
      </x:c>
      <x:c r="J5781" s="12" t="str">
        <x:v>IT &amp; digital</x:v>
      </x:c>
      <x:c r="K5781" s="2" t="str">
        <x:v>PARTNER-M300</x:v>
      </x:c>
    </x:row>
    <x:row r="5782" ht="46" customHeight="1">
      <x:c r="A5782" s="2" t="str">
        <x:v>TEN-9FE6746863D6</x:v>
      </x:c>
      <x:c r="B5782" s="12" t="str">
        <x:v>Aveva</x:v>
      </x:c>
      <x:c r="C5782" s="12" t="str">
        <x:v>CORP-0720</x:v>
      </x:c>
      <x:c r="D5782" s="12" t="str">
        <x:v>Hyderabad</x:v>
      </x:c>
      <x:c r="E5782" s="12" t="str">
        <x:v>Waverock IT Park</x:v>
      </x:c>
      <x:c r="F5782" s="12" t="str">
        <x:v>55 inch</x:v>
      </x:c>
      <x:c r="G5782" s="20" t="n">
        <x:v>1</x:v>
      </x:c>
      <x:c r="H5782" s="12" t="str">
        <x:v>Campus/portfolio roster; individual building occupancy unverified</x:v>
      </x:c>
      <x:c r="I5782" s="12" t="str">
        <x:v>Mixed business audience</x:v>
      </x:c>
      <x:c r="J5782" s="12" t="str">
        <x:v>IT &amp; digital</x:v>
      </x:c>
      <x:c r="K5782" s="2" t="str">
        <x:v>PARTNER-M300</x:v>
      </x:c>
    </x:row>
    <x:row r="5783" ht="46" customHeight="1">
      <x:c r="A5783" s="2" t="str">
        <x:v>TEN-A5721E1BABB7</x:v>
      </x:c>
      <x:c r="B5783" s="12" t="str">
        <x:v>Avva Deepak</x:v>
      </x:c>
      <x:c r="C5783" s="12" t="str">
        <x:v>CORP-0720</x:v>
      </x:c>
      <x:c r="D5783" s="12" t="str">
        <x:v>Hyderabad</x:v>
      </x:c>
      <x:c r="E5783" s="12" t="str">
        <x:v>Waverock IT Park</x:v>
      </x:c>
      <x:c r="F5783" s="12" t="str">
        <x:v>55 inch</x:v>
      </x:c>
      <x:c r="G5783" s="20" t="n">
        <x:v>1</x:v>
      </x:c>
      <x:c r="H5783" s="12" t="str">
        <x:v>Campus/portfolio roster; individual building occupancy unverified</x:v>
      </x:c>
      <x:c r="I5783" s="12" t="str">
        <x:v>Mixed business audience</x:v>
      </x:c>
      <x:c r="J5783" s="12" t="str">
        <x:v>Unresolved</x:v>
      </x:c>
      <x:c r="K5783" s="2" t="str">
        <x:v>PARTNER-M300</x:v>
      </x:c>
    </x:row>
    <x:row r="5784" ht="46" customHeight="1">
      <x:c r="A5784" s="2" t="str">
        <x:v>TEN-A7905EBB5DD3</x:v>
      </x:c>
      <x:c r="B5784" s="12" t="str">
        <x:v>M3BI India Pvt Ltd</x:v>
      </x:c>
      <x:c r="C5784" s="12" t="str">
        <x:v>CORP-0720</x:v>
      </x:c>
      <x:c r="D5784" s="12" t="str">
        <x:v>Hyderabad</x:v>
      </x:c>
      <x:c r="E5784" s="12" t="str">
        <x:v>Waverock IT Park</x:v>
      </x:c>
      <x:c r="F5784" s="12" t="str">
        <x:v>55 inch</x:v>
      </x:c>
      <x:c r="G5784" s="20" t="n">
        <x:v>1</x:v>
      </x:c>
      <x:c r="H5784" s="12" t="str">
        <x:v>Campus/portfolio roster; individual building occupancy unverified</x:v>
      </x:c>
      <x:c r="I5784" s="12" t="str">
        <x:v>Mixed business audience</x:v>
      </x:c>
      <x:c r="J5784" s="12" t="str">
        <x:v>IT &amp; digital</x:v>
      </x:c>
      <x:c r="K5784" s="2" t="str">
        <x:v>PARTNER-M300</x:v>
      </x:c>
    </x:row>
    <x:row r="5785" ht="46" customHeight="1">
      <x:c r="A5785" s="2" t="str">
        <x:v>TEN-A932AA2FF310</x:v>
      </x:c>
      <x:c r="B5785" s="12" t="str">
        <x:v>CompuGain Solutions</x:v>
      </x:c>
      <x:c r="C5785" s="12" t="str">
        <x:v>CORP-0720</x:v>
      </x:c>
      <x:c r="D5785" s="12" t="str">
        <x:v>Hyderabad</x:v>
      </x:c>
      <x:c r="E5785" s="12" t="str">
        <x:v>Waverock IT Park</x:v>
      </x:c>
      <x:c r="F5785" s="12" t="str">
        <x:v>55 inch</x:v>
      </x:c>
      <x:c r="G5785" s="20" t="n">
        <x:v>1</x:v>
      </x:c>
      <x:c r="H5785" s="12" t="str">
        <x:v>Campus/portfolio roster; individual building occupancy unverified</x:v>
      </x:c>
      <x:c r="I5785" s="12" t="str">
        <x:v>Mixed business audience</x:v>
      </x:c>
      <x:c r="J5785" s="12" t="str">
        <x:v>IT &amp; digital</x:v>
      </x:c>
      <x:c r="K5785" s="2" t="str">
        <x:v>PARTNER-M300</x:v>
      </x:c>
    </x:row>
    <x:row r="5786" ht="46" customHeight="1">
      <x:c r="A5786" s="2" t="str">
        <x:v>TEN-B043864B7FFB</x:v>
      </x:c>
      <x:c r="B5786" s="12" t="str">
        <x:v>DuPont</x:v>
      </x:c>
      <x:c r="C5786" s="12" t="str">
        <x:v>CORP-0720</x:v>
      </x:c>
      <x:c r="D5786" s="12" t="str">
        <x:v>Hyderabad</x:v>
      </x:c>
      <x:c r="E5786" s="12" t="str">
        <x:v>Waverock IT Park</x:v>
      </x:c>
      <x:c r="F5786" s="12" t="str">
        <x:v>55 inch</x:v>
      </x:c>
      <x:c r="G5786" s="20" t="n">
        <x:v>1</x:v>
      </x:c>
      <x:c r="H5786" s="12" t="str">
        <x:v>Campus/portfolio roster; individual building occupancy unverified</x:v>
      </x:c>
      <x:c r="I5786" s="12" t="str">
        <x:v>Mixed business audience</x:v>
      </x:c>
      <x:c r="J5786" s="12" t="str">
        <x:v>Engineering &amp; manufacturing</x:v>
      </x:c>
      <x:c r="K5786" s="2" t="str">
        <x:v>PARTNER-M300</x:v>
      </x:c>
    </x:row>
    <x:row r="5787" ht="46" customHeight="1">
      <x:c r="A5787" s="2" t="str">
        <x:v>TEN-C42E337B9F49</x:v>
      </x:c>
      <x:c r="B5787" s="12" t="str">
        <x:v>Helius Technologies</x:v>
      </x:c>
      <x:c r="C5787" s="12" t="str">
        <x:v>CORP-0720</x:v>
      </x:c>
      <x:c r="D5787" s="12" t="str">
        <x:v>Hyderabad</x:v>
      </x:c>
      <x:c r="E5787" s="12" t="str">
        <x:v>Waverock IT Park</x:v>
      </x:c>
      <x:c r="F5787" s="12" t="str">
        <x:v>55 inch</x:v>
      </x:c>
      <x:c r="G5787" s="20" t="n">
        <x:v>1</x:v>
      </x:c>
      <x:c r="H5787" s="12" t="str">
        <x:v>Campus/portfolio roster; individual building occupancy unverified</x:v>
      </x:c>
      <x:c r="I5787" s="12" t="str">
        <x:v>Small-scale prospects</x:v>
      </x:c>
      <x:c r="J5787" s="12" t="str">
        <x:v>IT &amp; digital</x:v>
      </x:c>
      <x:c r="K5787" s="2" t="str">
        <x:v>PARTNER-M300</x:v>
      </x:c>
    </x:row>
    <x:row r="5788" ht="46" customHeight="1">
      <x:c r="A5788" s="2" t="str">
        <x:v>TEN-CCF988B40B7F</x:v>
      </x:c>
      <x:c r="B5788" s="12" t="str">
        <x:v>Idea Entity Tech Solutions</x:v>
      </x:c>
      <x:c r="C5788" s="12" t="str">
        <x:v>CORP-0720</x:v>
      </x:c>
      <x:c r="D5788" s="12" t="str">
        <x:v>Hyderabad</x:v>
      </x:c>
      <x:c r="E5788" s="12" t="str">
        <x:v>Waverock IT Park</x:v>
      </x:c>
      <x:c r="F5788" s="12" t="str">
        <x:v>55 inch</x:v>
      </x:c>
      <x:c r="G5788" s="20" t="n">
        <x:v>1</x:v>
      </x:c>
      <x:c r="H5788" s="12" t="str">
        <x:v>Campus/portfolio roster; individual building occupancy unverified</x:v>
      </x:c>
      <x:c r="I5788" s="12" t="str">
        <x:v>Small-scale prospects</x:v>
      </x:c>
      <x:c r="J5788" s="12" t="str">
        <x:v>IT &amp; digital</x:v>
      </x:c>
      <x:c r="K5788" s="2" t="str">
        <x:v>PARTNER-M300</x:v>
      </x:c>
    </x:row>
    <x:row r="5789" ht="46" customHeight="1">
      <x:c r="A5789" s="2" t="str">
        <x:v>TEN-CFB36C1F4640</x:v>
      </x:c>
      <x:c r="B5789" s="12" t="str">
        <x:v>Research Wallet</x:v>
      </x:c>
      <x:c r="C5789" s="12" t="str">
        <x:v>CORP-0720</x:v>
      </x:c>
      <x:c r="D5789" s="12" t="str">
        <x:v>Hyderabad</x:v>
      </x:c>
      <x:c r="E5789" s="12" t="str">
        <x:v>Waverock IT Park</x:v>
      </x:c>
      <x:c r="F5789" s="12" t="str">
        <x:v>55 inch</x:v>
      </x:c>
      <x:c r="G5789" s="20" t="n">
        <x:v>1</x:v>
      </x:c>
      <x:c r="H5789" s="12" t="str">
        <x:v>Campus/portfolio roster; individual building occupancy unverified</x:v>
      </x:c>
      <x:c r="I5789" s="12" t="str">
        <x:v>Mixed business audience</x:v>
      </x:c>
      <x:c r="J5789" s="12" t="str">
        <x:v>Unresolved</x:v>
      </x:c>
      <x:c r="K5789" s="2" t="str">
        <x:v>PARTNER-M300</x:v>
      </x:c>
    </x:row>
    <x:row r="5790" ht="46" customHeight="1">
      <x:c r="A5790" s="2" t="str">
        <x:v>TEN-EAE5AC232E0F</x:v>
      </x:c>
      <x:c r="B5790" s="12" t="str">
        <x:v>Accelerite</x:v>
      </x:c>
      <x:c r="C5790" s="12" t="str">
        <x:v>CORP-0720</x:v>
      </x:c>
      <x:c r="D5790" s="12" t="str">
        <x:v>Hyderabad</x:v>
      </x:c>
      <x:c r="E5790" s="12" t="str">
        <x:v>Waverock IT Park</x:v>
      </x:c>
      <x:c r="F5790" s="12" t="str">
        <x:v>55 inch</x:v>
      </x:c>
      <x:c r="G5790" s="20" t="n">
        <x:v>1</x:v>
      </x:c>
      <x:c r="H5790" s="12" t="str">
        <x:v>Campus/portfolio roster; individual building occupancy unverified</x:v>
      </x:c>
      <x:c r="I5790" s="12" t="str">
        <x:v>Mixed business audience</x:v>
      </x:c>
      <x:c r="J5790" s="12" t="str">
        <x:v>IT &amp; digital</x:v>
      </x:c>
      <x:c r="K5790" s="2" t="str">
        <x:v>PARTNER-M300</x:v>
      </x:c>
    </x:row>
    <x:row r="5791" ht="46" customHeight="1">
      <x:c r="A5791" s="2" t="str">
        <x:v>TEN-EDE803F3F786</x:v>
      </x:c>
      <x:c r="B5791" s="12" t="str">
        <x:v>Vehicle Fitness Company</x:v>
      </x:c>
      <x:c r="C5791" s="12" t="str">
        <x:v>CORP-0720</x:v>
      </x:c>
      <x:c r="D5791" s="12" t="str">
        <x:v>Hyderabad</x:v>
      </x:c>
      <x:c r="E5791" s="12" t="str">
        <x:v>Waverock IT Park</x:v>
      </x:c>
      <x:c r="F5791" s="12" t="str">
        <x:v>55 inch</x:v>
      </x:c>
      <x:c r="G5791" s="20" t="n">
        <x:v>1</x:v>
      </x:c>
      <x:c r="H5791" s="12" t="str">
        <x:v>Campus/portfolio roster; individual building occupancy unverified</x:v>
      </x:c>
      <x:c r="I5791" s="12" t="str">
        <x:v>Medium-scale prospects</x:v>
      </x:c>
      <x:c r="J5791" s="12" t="str">
        <x:v>Engineering &amp; manufacturing</x:v>
      </x:c>
      <x:c r="K5791" s="2" t="str">
        <x:v>PARTNER-M300</x:v>
      </x:c>
    </x:row>
    <x:row r="5792" ht="46" customHeight="1">
      <x:c r="A5792" s="2" t="str">
        <x:v>TEN-EFC60595AA04</x:v>
      </x:c>
      <x:c r="B5792" s="12" t="str">
        <x:v>RMSI Pvt Limited</x:v>
      </x:c>
      <x:c r="C5792" s="12" t="str">
        <x:v>CORP-0720</x:v>
      </x:c>
      <x:c r="D5792" s="12" t="str">
        <x:v>Hyderabad</x:v>
      </x:c>
      <x:c r="E5792" s="12" t="str">
        <x:v>Waverock IT Park</x:v>
      </x:c>
      <x:c r="F5792" s="12" t="str">
        <x:v>55 inch</x:v>
      </x:c>
      <x:c r="G5792" s="20" t="n">
        <x:v>1</x:v>
      </x:c>
      <x:c r="H5792" s="12" t="str">
        <x:v>Campus/portfolio roster; individual building occupancy unverified</x:v>
      </x:c>
      <x:c r="I5792" s="12" t="str">
        <x:v>Mixed business audience</x:v>
      </x:c>
      <x:c r="J5792" s="12" t="str">
        <x:v>IT &amp; digital</x:v>
      </x:c>
      <x:c r="K5792" s="2" t="str">
        <x:v>PARTNER-M300</x:v>
      </x:c>
    </x:row>
    <x:row r="5793" ht="46" customHeight="1">
      <x:c r="A5793" s="2" t="str">
        <x:v>TEN-FCE68113EA76</x:v>
      </x:c>
      <x:c r="B5793" s="12" t="str">
        <x:v>Innominds Software</x:v>
      </x:c>
      <x:c r="C5793" s="12" t="str">
        <x:v>CORP-0720</x:v>
      </x:c>
      <x:c r="D5793" s="12" t="str">
        <x:v>Hyderabad</x:v>
      </x:c>
      <x:c r="E5793" s="12" t="str">
        <x:v>Waverock IT Park</x:v>
      </x:c>
      <x:c r="F5793" s="12" t="str">
        <x:v>55 inch</x:v>
      </x:c>
      <x:c r="G5793" s="20" t="n">
        <x:v>1</x:v>
      </x:c>
      <x:c r="H5793" s="12" t="str">
        <x:v>Campus/portfolio roster; individual building occupancy unverified</x:v>
      </x:c>
      <x:c r="I5793" s="12" t="str">
        <x:v>Mixed business audience</x:v>
      </x:c>
      <x:c r="J5793" s="12" t="str">
        <x:v>IT &amp; digital</x:v>
      </x:c>
      <x:c r="K5793" s="2" t="str">
        <x:v>PARTNER-M300</x:v>
      </x:c>
    </x:row>
    <x:row r="5794" ht="46" customHeight="1">
      <x:c r="A5794" s="2" t="str">
        <x:v>TEN-0A41DF50FB75</x:v>
      </x:c>
      <x:c r="B5794" s="12" t="str">
        <x:v>APPLE INFOSYS</x:v>
      </x:c>
      <x:c r="C5794" s="12" t="str">
        <x:v>CORP-0721</x:v>
      </x:c>
      <x:c r="D5794" s="12" t="str">
        <x:v>Hyderabad</x:v>
      </x:c>
      <x:c r="E5794" s="12" t="str">
        <x:v>Waverock IT Park</x:v>
      </x:c>
      <x:c r="F5794" s="12" t="str">
        <x:v>55 inch</x:v>
      </x:c>
      <x:c r="G5794" s="20" t="n">
        <x:v>1</x:v>
      </x:c>
      <x:c r="H5794" s="12" t="str">
        <x:v>Campus/portfolio roster; individual building occupancy unverified</x:v>
      </x:c>
      <x:c r="I5794" s="12" t="str">
        <x:v>Mixed business audience</x:v>
      </x:c>
      <x:c r="J5794" s="12" t="str">
        <x:v>Unresolved</x:v>
      </x:c>
      <x:c r="K5794" s="2" t="str">
        <x:v>PARTNER-M300</x:v>
      </x:c>
    </x:row>
    <x:row r="5795" ht="46" customHeight="1">
      <x:c r="A5795" s="2" t="str">
        <x:v>TEN-102EF275BFD6</x:v>
      </x:c>
      <x:c r="B5795" s="12" t="str">
        <x:v>DBS Technology Service India</x:v>
      </x:c>
      <x:c r="C5795" s="12" t="str">
        <x:v>CORP-0721</x:v>
      </x:c>
      <x:c r="D5795" s="12" t="str">
        <x:v>Hyderabad</x:v>
      </x:c>
      <x:c r="E5795" s="12" t="str">
        <x:v>Waverock IT Park</x:v>
      </x:c>
      <x:c r="F5795" s="12" t="str">
        <x:v>55 inch</x:v>
      </x:c>
      <x:c r="G5795" s="20" t="n">
        <x:v>1</x:v>
      </x:c>
      <x:c r="H5795" s="12" t="str">
        <x:v>Campus/portfolio roster; individual building occupancy unverified</x:v>
      </x:c>
      <x:c r="I5795" s="12" t="str">
        <x:v>Large enterprise</x:v>
      </x:c>
      <x:c r="J5795" s="12" t="str">
        <x:v>IT &amp; digital</x:v>
      </x:c>
      <x:c r="K5795" s="2" t="str">
        <x:v>PARTNER-M300</x:v>
      </x:c>
    </x:row>
    <x:row r="5796" ht="46" customHeight="1">
      <x:c r="A5796" s="2" t="str">
        <x:v>TEN-13D5183E2424</x:v>
      </x:c>
      <x:c r="B5796" s="12" t="str">
        <x:v>ETG Digital</x:v>
      </x:c>
      <x:c r="C5796" s="12" t="str">
        <x:v>CORP-0721</x:v>
      </x:c>
      <x:c r="D5796" s="12" t="str">
        <x:v>Hyderabad</x:v>
      </x:c>
      <x:c r="E5796" s="12" t="str">
        <x:v>Waverock IT Park</x:v>
      </x:c>
      <x:c r="F5796" s="12" t="str">
        <x:v>55 inch</x:v>
      </x:c>
      <x:c r="G5796" s="20" t="n">
        <x:v>1</x:v>
      </x:c>
      <x:c r="H5796" s="12" t="str">
        <x:v>Campus/portfolio roster; individual building occupancy unverified</x:v>
      </x:c>
      <x:c r="I5796" s="12" t="str">
        <x:v>Small-scale prospects</x:v>
      </x:c>
      <x:c r="J5796" s="12" t="str">
        <x:v>IT &amp; digital</x:v>
      </x:c>
      <x:c r="K5796" s="2" t="str">
        <x:v>PARTNER-M300</x:v>
      </x:c>
    </x:row>
    <x:row r="5797" ht="46" customHeight="1">
      <x:c r="A5797" s="2" t="str">
        <x:v>TEN-1781916B2378</x:v>
      </x:c>
      <x:c r="B5797" s="12" t="str">
        <x:v>Attra Infotech</x:v>
      </x:c>
      <x:c r="C5797" s="12" t="str">
        <x:v>CORP-0721</x:v>
      </x:c>
      <x:c r="D5797" s="12" t="str">
        <x:v>Hyderabad</x:v>
      </x:c>
      <x:c r="E5797" s="12" t="str">
        <x:v>Waverock IT Park</x:v>
      </x:c>
      <x:c r="F5797" s="12" t="str">
        <x:v>55 inch</x:v>
      </x:c>
      <x:c r="G5797" s="20" t="n">
        <x:v>1</x:v>
      </x:c>
      <x:c r="H5797" s="12" t="str">
        <x:v>Campus/portfolio roster; individual building occupancy unverified</x:v>
      </x:c>
      <x:c r="I5797" s="12" t="str">
        <x:v>Mixed business audience</x:v>
      </x:c>
      <x:c r="J5797" s="12" t="str">
        <x:v>IT &amp; digital</x:v>
      </x:c>
      <x:c r="K5797" s="2" t="str">
        <x:v>PARTNER-M300</x:v>
      </x:c>
    </x:row>
    <x:row r="5798" ht="46" customHeight="1">
      <x:c r="A5798" s="2" t="str">
        <x:v>TEN-3EDE65EA0CF4</x:v>
      </x:c>
      <x:c r="B5798" s="12" t="str">
        <x:v>ShootOrder</x:v>
      </x:c>
      <x:c r="C5798" s="12" t="str">
        <x:v>CORP-0721</x:v>
      </x:c>
      <x:c r="D5798" s="12" t="str">
        <x:v>Hyderabad</x:v>
      </x:c>
      <x:c r="E5798" s="12" t="str">
        <x:v>Waverock IT Park</x:v>
      </x:c>
      <x:c r="F5798" s="12" t="str">
        <x:v>55 inch</x:v>
      </x:c>
      <x:c r="G5798" s="20" t="n">
        <x:v>1</x:v>
      </x:c>
      <x:c r="H5798" s="12" t="str">
        <x:v>Campus/portfolio roster; individual building occupancy unverified</x:v>
      </x:c>
      <x:c r="I5798" s="12" t="str">
        <x:v>Small-scale prospects</x:v>
      </x:c>
      <x:c r="J5798" s="12" t="str">
        <x:v>Professional services</x:v>
      </x:c>
      <x:c r="K5798" s="2" t="str">
        <x:v>PARTNER-M300</x:v>
      </x:c>
    </x:row>
    <x:row r="5799" ht="46" customHeight="1">
      <x:c r="A5799" s="2" t="str">
        <x:v>TEN-45562E981863</x:v>
      </x:c>
      <x:c r="B5799" s="12" t="str">
        <x:v>Qumu Corp</x:v>
      </x:c>
      <x:c r="C5799" s="12" t="str">
        <x:v>CORP-0721</x:v>
      </x:c>
      <x:c r="D5799" s="12" t="str">
        <x:v>Hyderabad</x:v>
      </x:c>
      <x:c r="E5799" s="12" t="str">
        <x:v>Waverock IT Park</x:v>
      </x:c>
      <x:c r="F5799" s="12" t="str">
        <x:v>55 inch</x:v>
      </x:c>
      <x:c r="G5799" s="20" t="n">
        <x:v>1</x:v>
      </x:c>
      <x:c r="H5799" s="12" t="str">
        <x:v>Campus/portfolio roster; individual building occupancy unverified</x:v>
      </x:c>
      <x:c r="I5799" s="12" t="str">
        <x:v>Mixed business audience</x:v>
      </x:c>
      <x:c r="J5799" s="12" t="str">
        <x:v>IT &amp; digital</x:v>
      </x:c>
      <x:c r="K5799" s="2" t="str">
        <x:v>PARTNER-M300</x:v>
      </x:c>
    </x:row>
    <x:row r="5800" ht="46" customHeight="1">
      <x:c r="A5800" s="2" t="str">
        <x:v>TEN-4D748EBD71AF</x:v>
      </x:c>
      <x:c r="B5800" s="12" t="str">
        <x:v>Accenture</x:v>
      </x:c>
      <x:c r="C5800" s="12" t="str">
        <x:v>CORP-0721</x:v>
      </x:c>
      <x:c r="D5800" s="12" t="str">
        <x:v>Hyderabad</x:v>
      </x:c>
      <x:c r="E5800" s="12" t="str">
        <x:v>Waverock IT Park</x:v>
      </x:c>
      <x:c r="F5800" s="12" t="str">
        <x:v>55 inch</x:v>
      </x:c>
      <x:c r="G5800" s="20" t="n">
        <x:v>1</x:v>
      </x:c>
      <x:c r="H5800" s="12" t="str">
        <x:v>Campus/portfolio roster; individual building occupancy unverified</x:v>
      </x:c>
      <x:c r="I5800" s="12" t="str">
        <x:v>Large enterprise</x:v>
      </x:c>
      <x:c r="J5800" s="12" t="str">
        <x:v>IT &amp; digital</x:v>
      </x:c>
      <x:c r="K5800" s="2" t="str">
        <x:v>PARTNER-M300</x:v>
      </x:c>
    </x:row>
    <x:row r="5801" ht="46" customHeight="1">
      <x:c r="A5801" s="2" t="str">
        <x:v>TEN-5C5CC4165124</x:v>
      </x:c>
      <x:c r="B5801" s="12" t="str">
        <x:v>Classic Design</x:v>
      </x:c>
      <x:c r="C5801" s="12" t="str">
        <x:v>CORP-0721</x:v>
      </x:c>
      <x:c r="D5801" s="12" t="str">
        <x:v>Hyderabad</x:v>
      </x:c>
      <x:c r="E5801" s="12" t="str">
        <x:v>Waverock IT Park</x:v>
      </x:c>
      <x:c r="F5801" s="12" t="str">
        <x:v>55 inch</x:v>
      </x:c>
      <x:c r="G5801" s="20" t="n">
        <x:v>1</x:v>
      </x:c>
      <x:c r="H5801" s="12" t="str">
        <x:v>Campus/portfolio roster; individual building occupancy unverified</x:v>
      </x:c>
      <x:c r="I5801" s="12" t="str">
        <x:v>Mixed business audience</x:v>
      </x:c>
      <x:c r="J5801" s="12" t="str">
        <x:v>Unresolved</x:v>
      </x:c>
      <x:c r="K5801" s="2" t="str">
        <x:v>PARTNER-M300</x:v>
      </x:c>
    </x:row>
    <x:row r="5802" ht="46" customHeight="1">
      <x:c r="A5802" s="2" t="str">
        <x:v>TEN-5C7E939E5259</x:v>
      </x:c>
      <x:c r="B5802" s="12" t="str">
        <x:v>Eze Software</x:v>
      </x:c>
      <x:c r="C5802" s="12" t="str">
        <x:v>CORP-0721</x:v>
      </x:c>
      <x:c r="D5802" s="12" t="str">
        <x:v>Hyderabad</x:v>
      </x:c>
      <x:c r="E5802" s="12" t="str">
        <x:v>Waverock IT Park</x:v>
      </x:c>
      <x:c r="F5802" s="12" t="str">
        <x:v>55 inch</x:v>
      </x:c>
      <x:c r="G5802" s="20" t="n">
        <x:v>1</x:v>
      </x:c>
      <x:c r="H5802" s="12" t="str">
        <x:v>Campus/portfolio roster; individual building occupancy unverified</x:v>
      </x:c>
      <x:c r="I5802" s="12" t="str">
        <x:v>Mixed business audience</x:v>
      </x:c>
      <x:c r="J5802" s="12" t="str">
        <x:v>IT &amp; digital</x:v>
      </x:c>
      <x:c r="K5802" s="2" t="str">
        <x:v>PARTNER-M300</x:v>
      </x:c>
    </x:row>
    <x:row r="5803" ht="46" customHeight="1">
      <x:c r="A5803" s="2" t="str">
        <x:v>TEN-5FA790F3630F</x:v>
      </x:c>
      <x:c r="B5803" s="12" t="str">
        <x:v>Tata Consultancy Services</x:v>
      </x:c>
      <x:c r="C5803" s="12" t="str">
        <x:v>CORP-0721</x:v>
      </x:c>
      <x:c r="D5803" s="12" t="str">
        <x:v>Hyderabad</x:v>
      </x:c>
      <x:c r="E5803" s="12" t="str">
        <x:v>Waverock IT Park</x:v>
      </x:c>
      <x:c r="F5803" s="12" t="str">
        <x:v>55 inch</x:v>
      </x:c>
      <x:c r="G5803" s="20" t="n">
        <x:v>1</x:v>
      </x:c>
      <x:c r="H5803" s="12" t="str">
        <x:v>Campus/portfolio roster; individual building occupancy unverified</x:v>
      </x:c>
      <x:c r="I5803" s="12" t="str">
        <x:v>Large enterprise</x:v>
      </x:c>
      <x:c r="J5803" s="12" t="str">
        <x:v>IT &amp; digital</x:v>
      </x:c>
      <x:c r="K5803" s="2" t="str">
        <x:v>PARTNER-M300</x:v>
      </x:c>
    </x:row>
    <x:row r="5804" ht="46" customHeight="1">
      <x:c r="A5804" s="2" t="str">
        <x:v>TEN-605FBFDF4C2C</x:v>
      </x:c>
      <x:c r="B5804" s="12" t="str">
        <x:v>Apple Development Center</x:v>
      </x:c>
      <x:c r="C5804" s="12" t="str">
        <x:v>CORP-0721</x:v>
      </x:c>
      <x:c r="D5804" s="12" t="str">
        <x:v>Hyderabad</x:v>
      </x:c>
      <x:c r="E5804" s="12" t="str">
        <x:v>Waverock IT Park</x:v>
      </x:c>
      <x:c r="F5804" s="12" t="str">
        <x:v>55 inch</x:v>
      </x:c>
      <x:c r="G5804" s="20" t="n">
        <x:v>1</x:v>
      </x:c>
      <x:c r="H5804" s="12" t="str">
        <x:v>Campus/portfolio roster; individual building occupancy unverified</x:v>
      </x:c>
      <x:c r="I5804" s="12" t="str">
        <x:v>Mixed business audience</x:v>
      </x:c>
      <x:c r="J5804" s="12" t="str">
        <x:v>IT &amp; digital</x:v>
      </x:c>
      <x:c r="K5804" s="2" t="str">
        <x:v>PARTNER-M300</x:v>
      </x:c>
    </x:row>
    <x:row r="5805" ht="46" customHeight="1">
      <x:c r="A5805" s="2" t="str">
        <x:v>TEN-866EA055BD61</x:v>
      </x:c>
      <x:c r="B5805" s="12" t="str">
        <x:v>GlobalLogic Technologies</x:v>
      </x:c>
      <x:c r="C5805" s="12" t="str">
        <x:v>CORP-0721</x:v>
      </x:c>
      <x:c r="D5805" s="12" t="str">
        <x:v>Hyderabad</x:v>
      </x:c>
      <x:c r="E5805" s="12" t="str">
        <x:v>Waverock IT Park</x:v>
      </x:c>
      <x:c r="F5805" s="12" t="str">
        <x:v>55 inch</x:v>
      </x:c>
      <x:c r="G5805" s="20" t="n">
        <x:v>1</x:v>
      </x:c>
      <x:c r="H5805" s="12" t="str">
        <x:v>Campus/portfolio roster; individual building occupancy unverified</x:v>
      </x:c>
      <x:c r="I5805" s="12" t="str">
        <x:v>Mixed business audience</x:v>
      </x:c>
      <x:c r="J5805" s="12" t="str">
        <x:v>IT &amp; digital</x:v>
      </x:c>
      <x:c r="K5805" s="2" t="str">
        <x:v>PARTNER-M300</x:v>
      </x:c>
    </x:row>
    <x:row r="5806" ht="46" customHeight="1">
      <x:c r="A5806" s="2" t="str">
        <x:v>TEN-956E5A41DB14</x:v>
      </x:c>
      <x:c r="B5806" s="12" t="str">
        <x:v>Persistent Systems</x:v>
      </x:c>
      <x:c r="C5806" s="12" t="str">
        <x:v>CORP-0721</x:v>
      </x:c>
      <x:c r="D5806" s="12" t="str">
        <x:v>Hyderabad</x:v>
      </x:c>
      <x:c r="E5806" s="12" t="str">
        <x:v>Waverock IT Park</x:v>
      </x:c>
      <x:c r="F5806" s="12" t="str">
        <x:v>55 inch</x:v>
      </x:c>
      <x:c r="G5806" s="20" t="n">
        <x:v>1</x:v>
      </x:c>
      <x:c r="H5806" s="12" t="str">
        <x:v>Campus/portfolio roster; individual building occupancy unverified</x:v>
      </x:c>
      <x:c r="I5806" s="12" t="str">
        <x:v>Large enterprise</x:v>
      </x:c>
      <x:c r="J5806" s="12" t="str">
        <x:v>IT &amp; digital</x:v>
      </x:c>
      <x:c r="K5806" s="2" t="str">
        <x:v>PARTNER-M300</x:v>
      </x:c>
    </x:row>
    <x:row r="5807" ht="46" customHeight="1">
      <x:c r="A5807" s="2" t="str">
        <x:v>TEN-9FE6746863D6</x:v>
      </x:c>
      <x:c r="B5807" s="12" t="str">
        <x:v>Aveva</x:v>
      </x:c>
      <x:c r="C5807" s="12" t="str">
        <x:v>CORP-0721</x:v>
      </x:c>
      <x:c r="D5807" s="12" t="str">
        <x:v>Hyderabad</x:v>
      </x:c>
      <x:c r="E5807" s="12" t="str">
        <x:v>Waverock IT Park</x:v>
      </x:c>
      <x:c r="F5807" s="12" t="str">
        <x:v>55 inch</x:v>
      </x:c>
      <x:c r="G5807" s="20" t="n">
        <x:v>1</x:v>
      </x:c>
      <x:c r="H5807" s="12" t="str">
        <x:v>Campus/portfolio roster; individual building occupancy unverified</x:v>
      </x:c>
      <x:c r="I5807" s="12" t="str">
        <x:v>Mixed business audience</x:v>
      </x:c>
      <x:c r="J5807" s="12" t="str">
        <x:v>IT &amp; digital</x:v>
      </x:c>
      <x:c r="K5807" s="2" t="str">
        <x:v>PARTNER-M300</x:v>
      </x:c>
    </x:row>
    <x:row r="5808" ht="46" customHeight="1">
      <x:c r="A5808" s="2" t="str">
        <x:v>TEN-A5721E1BABB7</x:v>
      </x:c>
      <x:c r="B5808" s="12" t="str">
        <x:v>Avva Deepak</x:v>
      </x:c>
      <x:c r="C5808" s="12" t="str">
        <x:v>CORP-0721</x:v>
      </x:c>
      <x:c r="D5808" s="12" t="str">
        <x:v>Hyderabad</x:v>
      </x:c>
      <x:c r="E5808" s="12" t="str">
        <x:v>Waverock IT Park</x:v>
      </x:c>
      <x:c r="F5808" s="12" t="str">
        <x:v>55 inch</x:v>
      </x:c>
      <x:c r="G5808" s="20" t="n">
        <x:v>1</x:v>
      </x:c>
      <x:c r="H5808" s="12" t="str">
        <x:v>Campus/portfolio roster; individual building occupancy unverified</x:v>
      </x:c>
      <x:c r="I5808" s="12" t="str">
        <x:v>Mixed business audience</x:v>
      </x:c>
      <x:c r="J5808" s="12" t="str">
        <x:v>Unresolved</x:v>
      </x:c>
      <x:c r="K5808" s="2" t="str">
        <x:v>PARTNER-M300</x:v>
      </x:c>
    </x:row>
    <x:row r="5809" ht="46" customHeight="1">
      <x:c r="A5809" s="2" t="str">
        <x:v>TEN-A7905EBB5DD3</x:v>
      </x:c>
      <x:c r="B5809" s="12" t="str">
        <x:v>M3BI India Pvt Ltd</x:v>
      </x:c>
      <x:c r="C5809" s="12" t="str">
        <x:v>CORP-0721</x:v>
      </x:c>
      <x:c r="D5809" s="12" t="str">
        <x:v>Hyderabad</x:v>
      </x:c>
      <x:c r="E5809" s="12" t="str">
        <x:v>Waverock IT Park</x:v>
      </x:c>
      <x:c r="F5809" s="12" t="str">
        <x:v>55 inch</x:v>
      </x:c>
      <x:c r="G5809" s="20" t="n">
        <x:v>1</x:v>
      </x:c>
      <x:c r="H5809" s="12" t="str">
        <x:v>Campus/portfolio roster; individual building occupancy unverified</x:v>
      </x:c>
      <x:c r="I5809" s="12" t="str">
        <x:v>Mixed business audience</x:v>
      </x:c>
      <x:c r="J5809" s="12" t="str">
        <x:v>IT &amp; digital</x:v>
      </x:c>
      <x:c r="K5809" s="2" t="str">
        <x:v>PARTNER-M300</x:v>
      </x:c>
    </x:row>
    <x:row r="5810" ht="46" customHeight="1">
      <x:c r="A5810" s="2" t="str">
        <x:v>TEN-A932AA2FF310</x:v>
      </x:c>
      <x:c r="B5810" s="12" t="str">
        <x:v>CompuGain Solutions</x:v>
      </x:c>
      <x:c r="C5810" s="12" t="str">
        <x:v>CORP-0721</x:v>
      </x:c>
      <x:c r="D5810" s="12" t="str">
        <x:v>Hyderabad</x:v>
      </x:c>
      <x:c r="E5810" s="12" t="str">
        <x:v>Waverock IT Park</x:v>
      </x:c>
      <x:c r="F5810" s="12" t="str">
        <x:v>55 inch</x:v>
      </x:c>
      <x:c r="G5810" s="20" t="n">
        <x:v>1</x:v>
      </x:c>
      <x:c r="H5810" s="12" t="str">
        <x:v>Campus/portfolio roster; individual building occupancy unverified</x:v>
      </x:c>
      <x:c r="I5810" s="12" t="str">
        <x:v>Mixed business audience</x:v>
      </x:c>
      <x:c r="J5810" s="12" t="str">
        <x:v>IT &amp; digital</x:v>
      </x:c>
      <x:c r="K5810" s="2" t="str">
        <x:v>PARTNER-M300</x:v>
      </x:c>
    </x:row>
    <x:row r="5811" ht="46" customHeight="1">
      <x:c r="A5811" s="2" t="str">
        <x:v>TEN-B043864B7FFB</x:v>
      </x:c>
      <x:c r="B5811" s="12" t="str">
        <x:v>DuPont</x:v>
      </x:c>
      <x:c r="C5811" s="12" t="str">
        <x:v>CORP-0721</x:v>
      </x:c>
      <x:c r="D5811" s="12" t="str">
        <x:v>Hyderabad</x:v>
      </x:c>
      <x:c r="E5811" s="12" t="str">
        <x:v>Waverock IT Park</x:v>
      </x:c>
      <x:c r="F5811" s="12" t="str">
        <x:v>55 inch</x:v>
      </x:c>
      <x:c r="G5811" s="20" t="n">
        <x:v>1</x:v>
      </x:c>
      <x:c r="H5811" s="12" t="str">
        <x:v>Campus/portfolio roster; individual building occupancy unverified</x:v>
      </x:c>
      <x:c r="I5811" s="12" t="str">
        <x:v>Mixed business audience</x:v>
      </x:c>
      <x:c r="J5811" s="12" t="str">
        <x:v>Engineering &amp; manufacturing</x:v>
      </x:c>
      <x:c r="K5811" s="2" t="str">
        <x:v>PARTNER-M300</x:v>
      </x:c>
    </x:row>
    <x:row r="5812" ht="46" customHeight="1">
      <x:c r="A5812" s="2" t="str">
        <x:v>TEN-C42E337B9F49</x:v>
      </x:c>
      <x:c r="B5812" s="12" t="str">
        <x:v>Helius Technologies</x:v>
      </x:c>
      <x:c r="C5812" s="12" t="str">
        <x:v>CORP-0721</x:v>
      </x:c>
      <x:c r="D5812" s="12" t="str">
        <x:v>Hyderabad</x:v>
      </x:c>
      <x:c r="E5812" s="12" t="str">
        <x:v>Waverock IT Park</x:v>
      </x:c>
      <x:c r="F5812" s="12" t="str">
        <x:v>55 inch</x:v>
      </x:c>
      <x:c r="G5812" s="20" t="n">
        <x:v>1</x:v>
      </x:c>
      <x:c r="H5812" s="12" t="str">
        <x:v>Campus/portfolio roster; individual building occupancy unverified</x:v>
      </x:c>
      <x:c r="I5812" s="12" t="str">
        <x:v>Small-scale prospects</x:v>
      </x:c>
      <x:c r="J5812" s="12" t="str">
        <x:v>IT &amp; digital</x:v>
      </x:c>
      <x:c r="K5812" s="2" t="str">
        <x:v>PARTNER-M300</x:v>
      </x:c>
    </x:row>
    <x:row r="5813" ht="46" customHeight="1">
      <x:c r="A5813" s="2" t="str">
        <x:v>TEN-CCF988B40B7F</x:v>
      </x:c>
      <x:c r="B5813" s="12" t="str">
        <x:v>Idea Entity Tech Solutions</x:v>
      </x:c>
      <x:c r="C5813" s="12" t="str">
        <x:v>CORP-0721</x:v>
      </x:c>
      <x:c r="D5813" s="12" t="str">
        <x:v>Hyderabad</x:v>
      </x:c>
      <x:c r="E5813" s="12" t="str">
        <x:v>Waverock IT Park</x:v>
      </x:c>
      <x:c r="F5813" s="12" t="str">
        <x:v>55 inch</x:v>
      </x:c>
      <x:c r="G5813" s="20" t="n">
        <x:v>1</x:v>
      </x:c>
      <x:c r="H5813" s="12" t="str">
        <x:v>Campus/portfolio roster; individual building occupancy unverified</x:v>
      </x:c>
      <x:c r="I5813" s="12" t="str">
        <x:v>Small-scale prospects</x:v>
      </x:c>
      <x:c r="J5813" s="12" t="str">
        <x:v>IT &amp; digital</x:v>
      </x:c>
      <x:c r="K5813" s="2" t="str">
        <x:v>PARTNER-M300</x:v>
      </x:c>
    </x:row>
    <x:row r="5814" ht="46" customHeight="1">
      <x:c r="A5814" s="2" t="str">
        <x:v>TEN-CFB36C1F4640</x:v>
      </x:c>
      <x:c r="B5814" s="12" t="str">
        <x:v>Research Wallet</x:v>
      </x:c>
      <x:c r="C5814" s="12" t="str">
        <x:v>CORP-0721</x:v>
      </x:c>
      <x:c r="D5814" s="12" t="str">
        <x:v>Hyderabad</x:v>
      </x:c>
      <x:c r="E5814" s="12" t="str">
        <x:v>Waverock IT Park</x:v>
      </x:c>
      <x:c r="F5814" s="12" t="str">
        <x:v>55 inch</x:v>
      </x:c>
      <x:c r="G5814" s="20" t="n">
        <x:v>1</x:v>
      </x:c>
      <x:c r="H5814" s="12" t="str">
        <x:v>Campus/portfolio roster; individual building occupancy unverified</x:v>
      </x:c>
      <x:c r="I5814" s="12" t="str">
        <x:v>Mixed business audience</x:v>
      </x:c>
      <x:c r="J5814" s="12" t="str">
        <x:v>Unresolved</x:v>
      </x:c>
      <x:c r="K5814" s="2" t="str">
        <x:v>PARTNER-M300</x:v>
      </x:c>
    </x:row>
    <x:row r="5815" ht="46" customHeight="1">
      <x:c r="A5815" s="2" t="str">
        <x:v>TEN-EAE5AC232E0F</x:v>
      </x:c>
      <x:c r="B5815" s="12" t="str">
        <x:v>Accelerite</x:v>
      </x:c>
      <x:c r="C5815" s="12" t="str">
        <x:v>CORP-0721</x:v>
      </x:c>
      <x:c r="D5815" s="12" t="str">
        <x:v>Hyderabad</x:v>
      </x:c>
      <x:c r="E5815" s="12" t="str">
        <x:v>Waverock IT Park</x:v>
      </x:c>
      <x:c r="F5815" s="12" t="str">
        <x:v>55 inch</x:v>
      </x:c>
      <x:c r="G5815" s="20" t="n">
        <x:v>1</x:v>
      </x:c>
      <x:c r="H5815" s="12" t="str">
        <x:v>Campus/portfolio roster; individual building occupancy unverified</x:v>
      </x:c>
      <x:c r="I5815" s="12" t="str">
        <x:v>Mixed business audience</x:v>
      </x:c>
      <x:c r="J5815" s="12" t="str">
        <x:v>IT &amp; digital</x:v>
      </x:c>
      <x:c r="K5815" s="2" t="str">
        <x:v>PARTNER-M300</x:v>
      </x:c>
    </x:row>
    <x:row r="5816" ht="46" customHeight="1">
      <x:c r="A5816" s="2" t="str">
        <x:v>TEN-EDE803F3F786</x:v>
      </x:c>
      <x:c r="B5816" s="12" t="str">
        <x:v>Vehicle Fitness Company</x:v>
      </x:c>
      <x:c r="C5816" s="12" t="str">
        <x:v>CORP-0721</x:v>
      </x:c>
      <x:c r="D5816" s="12" t="str">
        <x:v>Hyderabad</x:v>
      </x:c>
      <x:c r="E5816" s="12" t="str">
        <x:v>Waverock IT Park</x:v>
      </x:c>
      <x:c r="F5816" s="12" t="str">
        <x:v>55 inch</x:v>
      </x:c>
      <x:c r="G5816" s="20" t="n">
        <x:v>1</x:v>
      </x:c>
      <x:c r="H5816" s="12" t="str">
        <x:v>Campus/portfolio roster; individual building occupancy unverified</x:v>
      </x:c>
      <x:c r="I5816" s="12" t="str">
        <x:v>Medium-scale prospects</x:v>
      </x:c>
      <x:c r="J5816" s="12" t="str">
        <x:v>Engineering &amp; manufacturing</x:v>
      </x:c>
      <x:c r="K5816" s="2" t="str">
        <x:v>PARTNER-M300</x:v>
      </x:c>
    </x:row>
    <x:row r="5817" ht="46" customHeight="1">
      <x:c r="A5817" s="2" t="str">
        <x:v>TEN-EFC60595AA04</x:v>
      </x:c>
      <x:c r="B5817" s="12" t="str">
        <x:v>RMSI Pvt Limited</x:v>
      </x:c>
      <x:c r="C5817" s="12" t="str">
        <x:v>CORP-0721</x:v>
      </x:c>
      <x:c r="D5817" s="12" t="str">
        <x:v>Hyderabad</x:v>
      </x:c>
      <x:c r="E5817" s="12" t="str">
        <x:v>Waverock IT Park</x:v>
      </x:c>
      <x:c r="F5817" s="12" t="str">
        <x:v>55 inch</x:v>
      </x:c>
      <x:c r="G5817" s="20" t="n">
        <x:v>1</x:v>
      </x:c>
      <x:c r="H5817" s="12" t="str">
        <x:v>Campus/portfolio roster; individual building occupancy unverified</x:v>
      </x:c>
      <x:c r="I5817" s="12" t="str">
        <x:v>Mixed business audience</x:v>
      </x:c>
      <x:c r="J5817" s="12" t="str">
        <x:v>IT &amp; digital</x:v>
      </x:c>
      <x:c r="K5817" s="2" t="str">
        <x:v>PARTNER-M300</x:v>
      </x:c>
    </x:row>
    <x:row r="5818" ht="46" customHeight="1">
      <x:c r="A5818" s="2" t="str">
        <x:v>TEN-FCE68113EA76</x:v>
      </x:c>
      <x:c r="B5818" s="12" t="str">
        <x:v>Innominds Software</x:v>
      </x:c>
      <x:c r="C5818" s="12" t="str">
        <x:v>CORP-0721</x:v>
      </x:c>
      <x:c r="D5818" s="12" t="str">
        <x:v>Hyderabad</x:v>
      </x:c>
      <x:c r="E5818" s="12" t="str">
        <x:v>Waverock IT Park</x:v>
      </x:c>
      <x:c r="F5818" s="12" t="str">
        <x:v>55 inch</x:v>
      </x:c>
      <x:c r="G5818" s="20" t="n">
        <x:v>1</x:v>
      </x:c>
      <x:c r="H5818" s="12" t="str">
        <x:v>Campus/portfolio roster; individual building occupancy unverified</x:v>
      </x:c>
      <x:c r="I5818" s="12" t="str">
        <x:v>Mixed business audience</x:v>
      </x:c>
      <x:c r="J5818" s="12" t="str">
        <x:v>IT &amp; digital</x:v>
      </x:c>
      <x:c r="K5818" s="2" t="str">
        <x:v>PARTNER-M300</x:v>
      </x:c>
    </x:row>
    <x:row r="5819" ht="46" customHeight="1">
      <x:c r="A5819" s="2" t="str">
        <x:v>TEN-0A41DF50FB75</x:v>
      </x:c>
      <x:c r="B5819" s="12" t="str">
        <x:v>APPLE INFOSYS</x:v>
      </x:c>
      <x:c r="C5819" s="12" t="str">
        <x:v>CORP-0722</x:v>
      </x:c>
      <x:c r="D5819" s="12" t="str">
        <x:v>Hyderabad</x:v>
      </x:c>
      <x:c r="E5819" s="12" t="str">
        <x:v>Waverock IT Park</x:v>
      </x:c>
      <x:c r="F5819" s="12" t="str">
        <x:v>55 inch</x:v>
      </x:c>
      <x:c r="G5819" s="20" t="n">
        <x:v>1</x:v>
      </x:c>
      <x:c r="H5819" s="12" t="str">
        <x:v>Campus/portfolio roster; individual building occupancy unverified</x:v>
      </x:c>
      <x:c r="I5819" s="12" t="str">
        <x:v>Mixed business audience</x:v>
      </x:c>
      <x:c r="J5819" s="12" t="str">
        <x:v>Unresolved</x:v>
      </x:c>
      <x:c r="K5819" s="2" t="str">
        <x:v>PARTNER-M300</x:v>
      </x:c>
    </x:row>
    <x:row r="5820" ht="46" customHeight="1">
      <x:c r="A5820" s="2" t="str">
        <x:v>TEN-102EF275BFD6</x:v>
      </x:c>
      <x:c r="B5820" s="12" t="str">
        <x:v>DBS Technology Service India</x:v>
      </x:c>
      <x:c r="C5820" s="12" t="str">
        <x:v>CORP-0722</x:v>
      </x:c>
      <x:c r="D5820" s="12" t="str">
        <x:v>Hyderabad</x:v>
      </x:c>
      <x:c r="E5820" s="12" t="str">
        <x:v>Waverock IT Park</x:v>
      </x:c>
      <x:c r="F5820" s="12" t="str">
        <x:v>55 inch</x:v>
      </x:c>
      <x:c r="G5820" s="20" t="n">
        <x:v>1</x:v>
      </x:c>
      <x:c r="H5820" s="12" t="str">
        <x:v>Campus/portfolio roster; individual building occupancy unverified</x:v>
      </x:c>
      <x:c r="I5820" s="12" t="str">
        <x:v>Large enterprise</x:v>
      </x:c>
      <x:c r="J5820" s="12" t="str">
        <x:v>IT &amp; digital</x:v>
      </x:c>
      <x:c r="K5820" s="2" t="str">
        <x:v>PARTNER-M300</x:v>
      </x:c>
    </x:row>
    <x:row r="5821" ht="46" customHeight="1">
      <x:c r="A5821" s="2" t="str">
        <x:v>TEN-13D5183E2424</x:v>
      </x:c>
      <x:c r="B5821" s="12" t="str">
        <x:v>ETG Digital</x:v>
      </x:c>
      <x:c r="C5821" s="12" t="str">
        <x:v>CORP-0722</x:v>
      </x:c>
      <x:c r="D5821" s="12" t="str">
        <x:v>Hyderabad</x:v>
      </x:c>
      <x:c r="E5821" s="12" t="str">
        <x:v>Waverock IT Park</x:v>
      </x:c>
      <x:c r="F5821" s="12" t="str">
        <x:v>55 inch</x:v>
      </x:c>
      <x:c r="G5821" s="20" t="n">
        <x:v>1</x:v>
      </x:c>
      <x:c r="H5821" s="12" t="str">
        <x:v>Campus/portfolio roster; individual building occupancy unverified</x:v>
      </x:c>
      <x:c r="I5821" s="12" t="str">
        <x:v>Small-scale prospects</x:v>
      </x:c>
      <x:c r="J5821" s="12" t="str">
        <x:v>IT &amp; digital</x:v>
      </x:c>
      <x:c r="K5821" s="2" t="str">
        <x:v>PARTNER-M300</x:v>
      </x:c>
    </x:row>
    <x:row r="5822" ht="46" customHeight="1">
      <x:c r="A5822" s="2" t="str">
        <x:v>TEN-1781916B2378</x:v>
      </x:c>
      <x:c r="B5822" s="12" t="str">
        <x:v>Attra Infotech</x:v>
      </x:c>
      <x:c r="C5822" s="12" t="str">
        <x:v>CORP-0722</x:v>
      </x:c>
      <x:c r="D5822" s="12" t="str">
        <x:v>Hyderabad</x:v>
      </x:c>
      <x:c r="E5822" s="12" t="str">
        <x:v>Waverock IT Park</x:v>
      </x:c>
      <x:c r="F5822" s="12" t="str">
        <x:v>55 inch</x:v>
      </x:c>
      <x:c r="G5822" s="20" t="n">
        <x:v>1</x:v>
      </x:c>
      <x:c r="H5822" s="12" t="str">
        <x:v>Campus/portfolio roster; individual building occupancy unverified</x:v>
      </x:c>
      <x:c r="I5822" s="12" t="str">
        <x:v>Mixed business audience</x:v>
      </x:c>
      <x:c r="J5822" s="12" t="str">
        <x:v>IT &amp; digital</x:v>
      </x:c>
      <x:c r="K5822" s="2" t="str">
        <x:v>PARTNER-M300</x:v>
      </x:c>
    </x:row>
    <x:row r="5823" ht="46" customHeight="1">
      <x:c r="A5823" s="2" t="str">
        <x:v>TEN-3EDE65EA0CF4</x:v>
      </x:c>
      <x:c r="B5823" s="12" t="str">
        <x:v>ShootOrder</x:v>
      </x:c>
      <x:c r="C5823" s="12" t="str">
        <x:v>CORP-0722</x:v>
      </x:c>
      <x:c r="D5823" s="12" t="str">
        <x:v>Hyderabad</x:v>
      </x:c>
      <x:c r="E5823" s="12" t="str">
        <x:v>Waverock IT Park</x:v>
      </x:c>
      <x:c r="F5823" s="12" t="str">
        <x:v>55 inch</x:v>
      </x:c>
      <x:c r="G5823" s="20" t="n">
        <x:v>1</x:v>
      </x:c>
      <x:c r="H5823" s="12" t="str">
        <x:v>Campus/portfolio roster; individual building occupancy unverified</x:v>
      </x:c>
      <x:c r="I5823" s="12" t="str">
        <x:v>Small-scale prospects</x:v>
      </x:c>
      <x:c r="J5823" s="12" t="str">
        <x:v>Professional services</x:v>
      </x:c>
      <x:c r="K5823" s="2" t="str">
        <x:v>PARTNER-M300</x:v>
      </x:c>
    </x:row>
    <x:row r="5824" ht="46" customHeight="1">
      <x:c r="A5824" s="2" t="str">
        <x:v>TEN-45562E981863</x:v>
      </x:c>
      <x:c r="B5824" s="12" t="str">
        <x:v>Qumu Corp</x:v>
      </x:c>
      <x:c r="C5824" s="12" t="str">
        <x:v>CORP-0722</x:v>
      </x:c>
      <x:c r="D5824" s="12" t="str">
        <x:v>Hyderabad</x:v>
      </x:c>
      <x:c r="E5824" s="12" t="str">
        <x:v>Waverock IT Park</x:v>
      </x:c>
      <x:c r="F5824" s="12" t="str">
        <x:v>55 inch</x:v>
      </x:c>
      <x:c r="G5824" s="20" t="n">
        <x:v>1</x:v>
      </x:c>
      <x:c r="H5824" s="12" t="str">
        <x:v>Campus/portfolio roster; individual building occupancy unverified</x:v>
      </x:c>
      <x:c r="I5824" s="12" t="str">
        <x:v>Mixed business audience</x:v>
      </x:c>
      <x:c r="J5824" s="12" t="str">
        <x:v>IT &amp; digital</x:v>
      </x:c>
      <x:c r="K5824" s="2" t="str">
        <x:v>PARTNER-M300</x:v>
      </x:c>
    </x:row>
    <x:row r="5825" ht="46" customHeight="1">
      <x:c r="A5825" s="2" t="str">
        <x:v>TEN-4D748EBD71AF</x:v>
      </x:c>
      <x:c r="B5825" s="12" t="str">
        <x:v>Accenture</x:v>
      </x:c>
      <x:c r="C5825" s="12" t="str">
        <x:v>CORP-0722</x:v>
      </x:c>
      <x:c r="D5825" s="12" t="str">
        <x:v>Hyderabad</x:v>
      </x:c>
      <x:c r="E5825" s="12" t="str">
        <x:v>Waverock IT Park</x:v>
      </x:c>
      <x:c r="F5825" s="12" t="str">
        <x:v>55 inch</x:v>
      </x:c>
      <x:c r="G5825" s="20" t="n">
        <x:v>1</x:v>
      </x:c>
      <x:c r="H5825" s="12" t="str">
        <x:v>Campus/portfolio roster; individual building occupancy unverified</x:v>
      </x:c>
      <x:c r="I5825" s="12" t="str">
        <x:v>Large enterprise</x:v>
      </x:c>
      <x:c r="J5825" s="12" t="str">
        <x:v>IT &amp; digital</x:v>
      </x:c>
      <x:c r="K5825" s="2" t="str">
        <x:v>PARTNER-M300</x:v>
      </x:c>
    </x:row>
    <x:row r="5826" ht="46" customHeight="1">
      <x:c r="A5826" s="2" t="str">
        <x:v>TEN-5C5CC4165124</x:v>
      </x:c>
      <x:c r="B5826" s="12" t="str">
        <x:v>Classic Design</x:v>
      </x:c>
      <x:c r="C5826" s="12" t="str">
        <x:v>CORP-0722</x:v>
      </x:c>
      <x:c r="D5826" s="12" t="str">
        <x:v>Hyderabad</x:v>
      </x:c>
      <x:c r="E5826" s="12" t="str">
        <x:v>Waverock IT Park</x:v>
      </x:c>
      <x:c r="F5826" s="12" t="str">
        <x:v>55 inch</x:v>
      </x:c>
      <x:c r="G5826" s="20" t="n">
        <x:v>1</x:v>
      </x:c>
      <x:c r="H5826" s="12" t="str">
        <x:v>Campus/portfolio roster; individual building occupancy unverified</x:v>
      </x:c>
      <x:c r="I5826" s="12" t="str">
        <x:v>Mixed business audience</x:v>
      </x:c>
      <x:c r="J5826" s="12" t="str">
        <x:v>Unresolved</x:v>
      </x:c>
      <x:c r="K5826" s="2" t="str">
        <x:v>PARTNER-M300</x:v>
      </x:c>
    </x:row>
    <x:row r="5827" ht="46" customHeight="1">
      <x:c r="A5827" s="2" t="str">
        <x:v>TEN-5C7E939E5259</x:v>
      </x:c>
      <x:c r="B5827" s="12" t="str">
        <x:v>Eze Software</x:v>
      </x:c>
      <x:c r="C5827" s="12" t="str">
        <x:v>CORP-0722</x:v>
      </x:c>
      <x:c r="D5827" s="12" t="str">
        <x:v>Hyderabad</x:v>
      </x:c>
      <x:c r="E5827" s="12" t="str">
        <x:v>Waverock IT Park</x:v>
      </x:c>
      <x:c r="F5827" s="12" t="str">
        <x:v>55 inch</x:v>
      </x:c>
      <x:c r="G5827" s="20" t="n">
        <x:v>1</x:v>
      </x:c>
      <x:c r="H5827" s="12" t="str">
        <x:v>Campus/portfolio roster; individual building occupancy unverified</x:v>
      </x:c>
      <x:c r="I5827" s="12" t="str">
        <x:v>Mixed business audience</x:v>
      </x:c>
      <x:c r="J5827" s="12" t="str">
        <x:v>IT &amp; digital</x:v>
      </x:c>
      <x:c r="K5827" s="2" t="str">
        <x:v>PARTNER-M300</x:v>
      </x:c>
    </x:row>
    <x:row r="5828" ht="46" customHeight="1">
      <x:c r="A5828" s="2" t="str">
        <x:v>TEN-5FA790F3630F</x:v>
      </x:c>
      <x:c r="B5828" s="12" t="str">
        <x:v>Tata Consultancy Services</x:v>
      </x:c>
      <x:c r="C5828" s="12" t="str">
        <x:v>CORP-0722</x:v>
      </x:c>
      <x:c r="D5828" s="12" t="str">
        <x:v>Hyderabad</x:v>
      </x:c>
      <x:c r="E5828" s="12" t="str">
        <x:v>Waverock IT Park</x:v>
      </x:c>
      <x:c r="F5828" s="12" t="str">
        <x:v>55 inch</x:v>
      </x:c>
      <x:c r="G5828" s="20" t="n">
        <x:v>1</x:v>
      </x:c>
      <x:c r="H5828" s="12" t="str">
        <x:v>Campus/portfolio roster; individual building occupancy unverified</x:v>
      </x:c>
      <x:c r="I5828" s="12" t="str">
        <x:v>Large enterprise</x:v>
      </x:c>
      <x:c r="J5828" s="12" t="str">
        <x:v>IT &amp; digital</x:v>
      </x:c>
      <x:c r="K5828" s="2" t="str">
        <x:v>PARTNER-M300</x:v>
      </x:c>
    </x:row>
    <x:row r="5829" ht="46" customHeight="1">
      <x:c r="A5829" s="2" t="str">
        <x:v>TEN-605FBFDF4C2C</x:v>
      </x:c>
      <x:c r="B5829" s="12" t="str">
        <x:v>Apple Development Center</x:v>
      </x:c>
      <x:c r="C5829" s="12" t="str">
        <x:v>CORP-0722</x:v>
      </x:c>
      <x:c r="D5829" s="12" t="str">
        <x:v>Hyderabad</x:v>
      </x:c>
      <x:c r="E5829" s="12" t="str">
        <x:v>Waverock IT Park</x:v>
      </x:c>
      <x:c r="F5829" s="12" t="str">
        <x:v>55 inch</x:v>
      </x:c>
      <x:c r="G5829" s="20" t="n">
        <x:v>1</x:v>
      </x:c>
      <x:c r="H5829" s="12" t="str">
        <x:v>Campus/portfolio roster; individual building occupancy unverified</x:v>
      </x:c>
      <x:c r="I5829" s="12" t="str">
        <x:v>Mixed business audience</x:v>
      </x:c>
      <x:c r="J5829" s="12" t="str">
        <x:v>IT &amp; digital</x:v>
      </x:c>
      <x:c r="K5829" s="2" t="str">
        <x:v>PARTNER-M300</x:v>
      </x:c>
    </x:row>
    <x:row r="5830" ht="46" customHeight="1">
      <x:c r="A5830" s="2" t="str">
        <x:v>TEN-866EA055BD61</x:v>
      </x:c>
      <x:c r="B5830" s="12" t="str">
        <x:v>GlobalLogic Technologies</x:v>
      </x:c>
      <x:c r="C5830" s="12" t="str">
        <x:v>CORP-0722</x:v>
      </x:c>
      <x:c r="D5830" s="12" t="str">
        <x:v>Hyderabad</x:v>
      </x:c>
      <x:c r="E5830" s="12" t="str">
        <x:v>Waverock IT Park</x:v>
      </x:c>
      <x:c r="F5830" s="12" t="str">
        <x:v>55 inch</x:v>
      </x:c>
      <x:c r="G5830" s="20" t="n">
        <x:v>1</x:v>
      </x:c>
      <x:c r="H5830" s="12" t="str">
        <x:v>Campus/portfolio roster; individual building occupancy unverified</x:v>
      </x:c>
      <x:c r="I5830" s="12" t="str">
        <x:v>Mixed business audience</x:v>
      </x:c>
      <x:c r="J5830" s="12" t="str">
        <x:v>IT &amp; digital</x:v>
      </x:c>
      <x:c r="K5830" s="2" t="str">
        <x:v>PARTNER-M300</x:v>
      </x:c>
    </x:row>
    <x:row r="5831" ht="46" customHeight="1">
      <x:c r="A5831" s="2" t="str">
        <x:v>TEN-956E5A41DB14</x:v>
      </x:c>
      <x:c r="B5831" s="12" t="str">
        <x:v>Persistent Systems</x:v>
      </x:c>
      <x:c r="C5831" s="12" t="str">
        <x:v>CORP-0722</x:v>
      </x:c>
      <x:c r="D5831" s="12" t="str">
        <x:v>Hyderabad</x:v>
      </x:c>
      <x:c r="E5831" s="12" t="str">
        <x:v>Waverock IT Park</x:v>
      </x:c>
      <x:c r="F5831" s="12" t="str">
        <x:v>55 inch</x:v>
      </x:c>
      <x:c r="G5831" s="20" t="n">
        <x:v>1</x:v>
      </x:c>
      <x:c r="H5831" s="12" t="str">
        <x:v>Campus/portfolio roster; individual building occupancy unverified</x:v>
      </x:c>
      <x:c r="I5831" s="12" t="str">
        <x:v>Large enterprise</x:v>
      </x:c>
      <x:c r="J5831" s="12" t="str">
        <x:v>IT &amp; digital</x:v>
      </x:c>
      <x:c r="K5831" s="2" t="str">
        <x:v>PARTNER-M300</x:v>
      </x:c>
    </x:row>
    <x:row r="5832" ht="46" customHeight="1">
      <x:c r="A5832" s="2" t="str">
        <x:v>TEN-9FE6746863D6</x:v>
      </x:c>
      <x:c r="B5832" s="12" t="str">
        <x:v>Aveva</x:v>
      </x:c>
      <x:c r="C5832" s="12" t="str">
        <x:v>CORP-0722</x:v>
      </x:c>
      <x:c r="D5832" s="12" t="str">
        <x:v>Hyderabad</x:v>
      </x:c>
      <x:c r="E5832" s="12" t="str">
        <x:v>Waverock IT Park</x:v>
      </x:c>
      <x:c r="F5832" s="12" t="str">
        <x:v>55 inch</x:v>
      </x:c>
      <x:c r="G5832" s="20" t="n">
        <x:v>1</x:v>
      </x:c>
      <x:c r="H5832" s="12" t="str">
        <x:v>Campus/portfolio roster; individual building occupancy unverified</x:v>
      </x:c>
      <x:c r="I5832" s="12" t="str">
        <x:v>Mixed business audience</x:v>
      </x:c>
      <x:c r="J5832" s="12" t="str">
        <x:v>IT &amp; digital</x:v>
      </x:c>
      <x:c r="K5832" s="2" t="str">
        <x:v>PARTNER-M300</x:v>
      </x:c>
    </x:row>
    <x:row r="5833" ht="46" customHeight="1">
      <x:c r="A5833" s="2" t="str">
        <x:v>TEN-A5721E1BABB7</x:v>
      </x:c>
      <x:c r="B5833" s="12" t="str">
        <x:v>Avva Deepak</x:v>
      </x:c>
      <x:c r="C5833" s="12" t="str">
        <x:v>CORP-0722</x:v>
      </x:c>
      <x:c r="D5833" s="12" t="str">
        <x:v>Hyderabad</x:v>
      </x:c>
      <x:c r="E5833" s="12" t="str">
        <x:v>Waverock IT Park</x:v>
      </x:c>
      <x:c r="F5833" s="12" t="str">
        <x:v>55 inch</x:v>
      </x:c>
      <x:c r="G5833" s="20" t="n">
        <x:v>1</x:v>
      </x:c>
      <x:c r="H5833" s="12" t="str">
        <x:v>Campus/portfolio roster; individual building occupancy unverified</x:v>
      </x:c>
      <x:c r="I5833" s="12" t="str">
        <x:v>Mixed business audience</x:v>
      </x:c>
      <x:c r="J5833" s="12" t="str">
        <x:v>Unresolved</x:v>
      </x:c>
      <x:c r="K5833" s="2" t="str">
        <x:v>PARTNER-M300</x:v>
      </x:c>
    </x:row>
    <x:row r="5834" ht="46" customHeight="1">
      <x:c r="A5834" s="2" t="str">
        <x:v>TEN-A7905EBB5DD3</x:v>
      </x:c>
      <x:c r="B5834" s="12" t="str">
        <x:v>M3BI India Pvt Ltd</x:v>
      </x:c>
      <x:c r="C5834" s="12" t="str">
        <x:v>CORP-0722</x:v>
      </x:c>
      <x:c r="D5834" s="12" t="str">
        <x:v>Hyderabad</x:v>
      </x:c>
      <x:c r="E5834" s="12" t="str">
        <x:v>Waverock IT Park</x:v>
      </x:c>
      <x:c r="F5834" s="12" t="str">
        <x:v>55 inch</x:v>
      </x:c>
      <x:c r="G5834" s="20" t="n">
        <x:v>1</x:v>
      </x:c>
      <x:c r="H5834" s="12" t="str">
        <x:v>Campus/portfolio roster; individual building occupancy unverified</x:v>
      </x:c>
      <x:c r="I5834" s="12" t="str">
        <x:v>Mixed business audience</x:v>
      </x:c>
      <x:c r="J5834" s="12" t="str">
        <x:v>IT &amp; digital</x:v>
      </x:c>
      <x:c r="K5834" s="2" t="str">
        <x:v>PARTNER-M300</x:v>
      </x:c>
    </x:row>
    <x:row r="5835" ht="46" customHeight="1">
      <x:c r="A5835" s="2" t="str">
        <x:v>TEN-A932AA2FF310</x:v>
      </x:c>
      <x:c r="B5835" s="12" t="str">
        <x:v>CompuGain Solutions</x:v>
      </x:c>
      <x:c r="C5835" s="12" t="str">
        <x:v>CORP-0722</x:v>
      </x:c>
      <x:c r="D5835" s="12" t="str">
        <x:v>Hyderabad</x:v>
      </x:c>
      <x:c r="E5835" s="12" t="str">
        <x:v>Waverock IT Park</x:v>
      </x:c>
      <x:c r="F5835" s="12" t="str">
        <x:v>55 inch</x:v>
      </x:c>
      <x:c r="G5835" s="20" t="n">
        <x:v>1</x:v>
      </x:c>
      <x:c r="H5835" s="12" t="str">
        <x:v>Campus/portfolio roster; individual building occupancy unverified</x:v>
      </x:c>
      <x:c r="I5835" s="12" t="str">
        <x:v>Mixed business audience</x:v>
      </x:c>
      <x:c r="J5835" s="12" t="str">
        <x:v>IT &amp; digital</x:v>
      </x:c>
      <x:c r="K5835" s="2" t="str">
        <x:v>PARTNER-M300</x:v>
      </x:c>
    </x:row>
    <x:row r="5836" ht="46" customHeight="1">
      <x:c r="A5836" s="2" t="str">
        <x:v>TEN-B043864B7FFB</x:v>
      </x:c>
      <x:c r="B5836" s="12" t="str">
        <x:v>DuPont</x:v>
      </x:c>
      <x:c r="C5836" s="12" t="str">
        <x:v>CORP-0722</x:v>
      </x:c>
      <x:c r="D5836" s="12" t="str">
        <x:v>Hyderabad</x:v>
      </x:c>
      <x:c r="E5836" s="12" t="str">
        <x:v>Waverock IT Park</x:v>
      </x:c>
      <x:c r="F5836" s="12" t="str">
        <x:v>55 inch</x:v>
      </x:c>
      <x:c r="G5836" s="20" t="n">
        <x:v>1</x:v>
      </x:c>
      <x:c r="H5836" s="12" t="str">
        <x:v>Campus/portfolio roster; individual building occupancy unverified</x:v>
      </x:c>
      <x:c r="I5836" s="12" t="str">
        <x:v>Mixed business audience</x:v>
      </x:c>
      <x:c r="J5836" s="12" t="str">
        <x:v>Engineering &amp; manufacturing</x:v>
      </x:c>
      <x:c r="K5836" s="2" t="str">
        <x:v>PARTNER-M300</x:v>
      </x:c>
    </x:row>
    <x:row r="5837" ht="46" customHeight="1">
      <x:c r="A5837" s="2" t="str">
        <x:v>TEN-C42E337B9F49</x:v>
      </x:c>
      <x:c r="B5837" s="12" t="str">
        <x:v>Helius Technologies</x:v>
      </x:c>
      <x:c r="C5837" s="12" t="str">
        <x:v>CORP-0722</x:v>
      </x:c>
      <x:c r="D5837" s="12" t="str">
        <x:v>Hyderabad</x:v>
      </x:c>
      <x:c r="E5837" s="12" t="str">
        <x:v>Waverock IT Park</x:v>
      </x:c>
      <x:c r="F5837" s="12" t="str">
        <x:v>55 inch</x:v>
      </x:c>
      <x:c r="G5837" s="20" t="n">
        <x:v>1</x:v>
      </x:c>
      <x:c r="H5837" s="12" t="str">
        <x:v>Campus/portfolio roster; individual building occupancy unverified</x:v>
      </x:c>
      <x:c r="I5837" s="12" t="str">
        <x:v>Small-scale prospects</x:v>
      </x:c>
      <x:c r="J5837" s="12" t="str">
        <x:v>IT &amp; digital</x:v>
      </x:c>
      <x:c r="K5837" s="2" t="str">
        <x:v>PARTNER-M300</x:v>
      </x:c>
    </x:row>
    <x:row r="5838" ht="46" customHeight="1">
      <x:c r="A5838" s="2" t="str">
        <x:v>TEN-CCF988B40B7F</x:v>
      </x:c>
      <x:c r="B5838" s="12" t="str">
        <x:v>Idea Entity Tech Solutions</x:v>
      </x:c>
      <x:c r="C5838" s="12" t="str">
        <x:v>CORP-0722</x:v>
      </x:c>
      <x:c r="D5838" s="12" t="str">
        <x:v>Hyderabad</x:v>
      </x:c>
      <x:c r="E5838" s="12" t="str">
        <x:v>Waverock IT Park</x:v>
      </x:c>
      <x:c r="F5838" s="12" t="str">
        <x:v>55 inch</x:v>
      </x:c>
      <x:c r="G5838" s="20" t="n">
        <x:v>1</x:v>
      </x:c>
      <x:c r="H5838" s="12" t="str">
        <x:v>Campus/portfolio roster; individual building occupancy unverified</x:v>
      </x:c>
      <x:c r="I5838" s="12" t="str">
        <x:v>Small-scale prospects</x:v>
      </x:c>
      <x:c r="J5838" s="12" t="str">
        <x:v>IT &amp; digital</x:v>
      </x:c>
      <x:c r="K5838" s="2" t="str">
        <x:v>PARTNER-M300</x:v>
      </x:c>
    </x:row>
    <x:row r="5839" ht="46" customHeight="1">
      <x:c r="A5839" s="2" t="str">
        <x:v>TEN-CFB36C1F4640</x:v>
      </x:c>
      <x:c r="B5839" s="12" t="str">
        <x:v>Research Wallet</x:v>
      </x:c>
      <x:c r="C5839" s="12" t="str">
        <x:v>CORP-0722</x:v>
      </x:c>
      <x:c r="D5839" s="12" t="str">
        <x:v>Hyderabad</x:v>
      </x:c>
      <x:c r="E5839" s="12" t="str">
        <x:v>Waverock IT Park</x:v>
      </x:c>
      <x:c r="F5839" s="12" t="str">
        <x:v>55 inch</x:v>
      </x:c>
      <x:c r="G5839" s="20" t="n">
        <x:v>1</x:v>
      </x:c>
      <x:c r="H5839" s="12" t="str">
        <x:v>Campus/portfolio roster; individual building occupancy unverified</x:v>
      </x:c>
      <x:c r="I5839" s="12" t="str">
        <x:v>Mixed business audience</x:v>
      </x:c>
      <x:c r="J5839" s="12" t="str">
        <x:v>Unresolved</x:v>
      </x:c>
      <x:c r="K5839" s="2" t="str">
        <x:v>PARTNER-M300</x:v>
      </x:c>
    </x:row>
    <x:row r="5840" ht="46" customHeight="1">
      <x:c r="A5840" s="2" t="str">
        <x:v>TEN-EAE5AC232E0F</x:v>
      </x:c>
      <x:c r="B5840" s="12" t="str">
        <x:v>Accelerite</x:v>
      </x:c>
      <x:c r="C5840" s="12" t="str">
        <x:v>CORP-0722</x:v>
      </x:c>
      <x:c r="D5840" s="12" t="str">
        <x:v>Hyderabad</x:v>
      </x:c>
      <x:c r="E5840" s="12" t="str">
        <x:v>Waverock IT Park</x:v>
      </x:c>
      <x:c r="F5840" s="12" t="str">
        <x:v>55 inch</x:v>
      </x:c>
      <x:c r="G5840" s="20" t="n">
        <x:v>1</x:v>
      </x:c>
      <x:c r="H5840" s="12" t="str">
        <x:v>Campus/portfolio roster; individual building occupancy unverified</x:v>
      </x:c>
      <x:c r="I5840" s="12" t="str">
        <x:v>Mixed business audience</x:v>
      </x:c>
      <x:c r="J5840" s="12" t="str">
        <x:v>IT &amp; digital</x:v>
      </x:c>
      <x:c r="K5840" s="2" t="str">
        <x:v>PARTNER-M300</x:v>
      </x:c>
    </x:row>
    <x:row r="5841" ht="46" customHeight="1">
      <x:c r="A5841" s="2" t="str">
        <x:v>TEN-EDE803F3F786</x:v>
      </x:c>
      <x:c r="B5841" s="12" t="str">
        <x:v>Vehicle Fitness Company</x:v>
      </x:c>
      <x:c r="C5841" s="12" t="str">
        <x:v>CORP-0722</x:v>
      </x:c>
      <x:c r="D5841" s="12" t="str">
        <x:v>Hyderabad</x:v>
      </x:c>
      <x:c r="E5841" s="12" t="str">
        <x:v>Waverock IT Park</x:v>
      </x:c>
      <x:c r="F5841" s="12" t="str">
        <x:v>55 inch</x:v>
      </x:c>
      <x:c r="G5841" s="20" t="n">
        <x:v>1</x:v>
      </x:c>
      <x:c r="H5841" s="12" t="str">
        <x:v>Campus/portfolio roster; individual building occupancy unverified</x:v>
      </x:c>
      <x:c r="I5841" s="12" t="str">
        <x:v>Medium-scale prospects</x:v>
      </x:c>
      <x:c r="J5841" s="12" t="str">
        <x:v>Engineering &amp; manufacturing</x:v>
      </x:c>
      <x:c r="K5841" s="2" t="str">
        <x:v>PARTNER-M300</x:v>
      </x:c>
    </x:row>
    <x:row r="5842" ht="46" customHeight="1">
      <x:c r="A5842" s="2" t="str">
        <x:v>TEN-EFC60595AA04</x:v>
      </x:c>
      <x:c r="B5842" s="12" t="str">
        <x:v>RMSI Pvt Limited</x:v>
      </x:c>
      <x:c r="C5842" s="12" t="str">
        <x:v>CORP-0722</x:v>
      </x:c>
      <x:c r="D5842" s="12" t="str">
        <x:v>Hyderabad</x:v>
      </x:c>
      <x:c r="E5842" s="12" t="str">
        <x:v>Waverock IT Park</x:v>
      </x:c>
      <x:c r="F5842" s="12" t="str">
        <x:v>55 inch</x:v>
      </x:c>
      <x:c r="G5842" s="20" t="n">
        <x:v>1</x:v>
      </x:c>
      <x:c r="H5842" s="12" t="str">
        <x:v>Campus/portfolio roster; individual building occupancy unverified</x:v>
      </x:c>
      <x:c r="I5842" s="12" t="str">
        <x:v>Mixed business audience</x:v>
      </x:c>
      <x:c r="J5842" s="12" t="str">
        <x:v>IT &amp; digital</x:v>
      </x:c>
      <x:c r="K5842" s="2" t="str">
        <x:v>PARTNER-M300</x:v>
      </x:c>
    </x:row>
    <x:row r="5843" ht="46" customHeight="1">
      <x:c r="A5843" s="2" t="str">
        <x:v>TEN-FCE68113EA76</x:v>
      </x:c>
      <x:c r="B5843" s="12" t="str">
        <x:v>Innominds Software</x:v>
      </x:c>
      <x:c r="C5843" s="12" t="str">
        <x:v>CORP-0722</x:v>
      </x:c>
      <x:c r="D5843" s="12" t="str">
        <x:v>Hyderabad</x:v>
      </x:c>
      <x:c r="E5843" s="12" t="str">
        <x:v>Waverock IT Park</x:v>
      </x:c>
      <x:c r="F5843" s="12" t="str">
        <x:v>55 inch</x:v>
      </x:c>
      <x:c r="G5843" s="20" t="n">
        <x:v>1</x:v>
      </x:c>
      <x:c r="H5843" s="12" t="str">
        <x:v>Campus/portfolio roster; individual building occupancy unverified</x:v>
      </x:c>
      <x:c r="I5843" s="12" t="str">
        <x:v>Mixed business audience</x:v>
      </x:c>
      <x:c r="J5843" s="12" t="str">
        <x:v>IT &amp; digital</x:v>
      </x:c>
      <x:c r="K5843" s="2" t="str">
        <x:v>PARTNER-M300</x:v>
      </x:c>
    </x:row>
    <x:row r="5844" ht="46" customHeight="1">
      <x:c r="A5844" s="2" t="str">
        <x:v>TEN-285CEC965FE7</x:v>
      </x:c>
      <x:c r="B5844" s="12" t="str">
        <x:v>SenecaGlobal IT Services Private Limited</x:v>
      </x:c>
      <x:c r="C5844" s="12" t="str">
        <x:v>CORP-0723</x:v>
      </x:c>
      <x:c r="D5844" s="12" t="str">
        <x:v>Hyderabad</x:v>
      </x:c>
      <x:c r="E5844" s="12" t="str">
        <x:v>Aurobindo Galaxy</x:v>
      </x:c>
      <x:c r="F5844" s="12" t="str">
        <x:v>55 inch</x:v>
      </x:c>
      <x:c r="G5844" s="20" t="n">
        <x:v>1</x:v>
      </x:c>
      <x:c r="H5844" s="12" t="str">
        <x:v>Campus/portfolio roster; individual building occupancy unverified</x:v>
      </x:c>
      <x:c r="I5844" s="12" t="str">
        <x:v>Small-scale prospects</x:v>
      </x:c>
      <x:c r="J5844" s="12" t="str">
        <x:v>IT &amp; digital</x:v>
      </x:c>
      <x:c r="K5844" s="2" t="str">
        <x:v>PARTNER-M308</x:v>
      </x:c>
    </x:row>
    <x:row r="5845" ht="46" customHeight="1">
      <x:c r="A5845" s="2" t="str">
        <x:v>TEN-2F2EE24ED078</x:v>
      </x:c>
      <x:c r="B5845" s="12" t="str">
        <x:v>SMSCountry</x:v>
      </x:c>
      <x:c r="C5845" s="12" t="str">
        <x:v>CORP-0723</x:v>
      </x:c>
      <x:c r="D5845" s="12" t="str">
        <x:v>Hyderabad</x:v>
      </x:c>
      <x:c r="E5845" s="12" t="str">
        <x:v>Aurobindo Galaxy</x:v>
      </x:c>
      <x:c r="F5845" s="12" t="str">
        <x:v>55 inch</x:v>
      </x:c>
      <x:c r="G5845" s="20" t="n">
        <x:v>1</x:v>
      </x:c>
      <x:c r="H5845" s="12" t="str">
        <x:v>Campus/portfolio roster; individual building occupancy unverified</x:v>
      </x:c>
      <x:c r="I5845" s="12" t="str">
        <x:v>Small-scale prospects</x:v>
      </x:c>
      <x:c r="J5845" s="12" t="str">
        <x:v>IT &amp; digital</x:v>
      </x:c>
      <x:c r="K5845" s="2" t="str">
        <x:v>PARTNER-M308</x:v>
      </x:c>
    </x:row>
    <x:row r="5846" ht="46" customHeight="1">
      <x:c r="A5846" s="2" t="str">
        <x:v>TEN-52A348458B44</x:v>
      </x:c>
      <x:c r="B5846" s="12" t="str">
        <x:v>Cohance Lifesciences</x:v>
      </x:c>
      <x:c r="C5846" s="12" t="str">
        <x:v>CORP-0723</x:v>
      </x:c>
      <x:c r="D5846" s="12" t="str">
        <x:v>Hyderabad</x:v>
      </x:c>
      <x:c r="E5846" s="12" t="str">
        <x:v>Aurobindo Galaxy</x:v>
      </x:c>
      <x:c r="F5846" s="12" t="str">
        <x:v>55 inch</x:v>
      </x:c>
      <x:c r="G5846" s="20" t="n">
        <x:v>1</x:v>
      </x:c>
      <x:c r="H5846" s="12" t="str">
        <x:v>Campus/portfolio roster; individual building occupancy unverified</x:v>
      </x:c>
      <x:c r="I5846" s="12" t="str">
        <x:v>Mixed business audience</x:v>
      </x:c>
      <x:c r="J5846" s="12" t="str">
        <x:v>Healthcare &amp; life sciences</x:v>
      </x:c>
      <x:c r="K5846" s="2" t="str">
        <x:v>PARTNER-M308</x:v>
      </x:c>
    </x:row>
    <x:row r="5847" ht="46" customHeight="1">
      <x:c r="A5847" s="2" t="str">
        <x:v>TEN-564B6BFAB738</x:v>
      </x:c>
      <x:c r="B5847" s="12" t="str">
        <x:v>Renault Nissan Technology &amp; Business Center India</x:v>
      </x:c>
      <x:c r="C5847" s="12" t="str">
        <x:v>CORP-0723</x:v>
      </x:c>
      <x:c r="D5847" s="12" t="str">
        <x:v>Hyderabad</x:v>
      </x:c>
      <x:c r="E5847" s="12" t="str">
        <x:v>Aurobindo Galaxy</x:v>
      </x:c>
      <x:c r="F5847" s="12" t="str">
        <x:v>55 inch</x:v>
      </x:c>
      <x:c r="G5847" s="20" t="n">
        <x:v>1</x:v>
      </x:c>
      <x:c r="H5847" s="12" t="str">
        <x:v>Campus/portfolio roster; individual building occupancy unverified</x:v>
      </x:c>
      <x:c r="I5847" s="12" t="str">
        <x:v>Mixed business audience</x:v>
      </x:c>
      <x:c r="J5847" s="12" t="str">
        <x:v>Engineering &amp; manufacturing</x:v>
      </x:c>
      <x:c r="K5847" s="2" t="str">
        <x:v>PARTNER-M308</x:v>
      </x:c>
    </x:row>
    <x:row r="5848" ht="46" customHeight="1">
      <x:c r="A5848" s="2" t="str">
        <x:v>TEN-5F079A2B9BA5</x:v>
      </x:c>
      <x:c r="B5848" s="12" t="str">
        <x:v>Solenis GSS India Private Limited</x:v>
      </x:c>
      <x:c r="C5848" s="12" t="str">
        <x:v>CORP-0723</x:v>
      </x:c>
      <x:c r="D5848" s="12" t="str">
        <x:v>Hyderabad</x:v>
      </x:c>
      <x:c r="E5848" s="12" t="str">
        <x:v>Aurobindo Galaxy</x:v>
      </x:c>
      <x:c r="F5848" s="12" t="str">
        <x:v>55 inch</x:v>
      </x:c>
      <x:c r="G5848" s="20" t="n">
        <x:v>1</x:v>
      </x:c>
      <x:c r="H5848" s="12" t="str">
        <x:v>Campus/portfolio roster; individual building occupancy unverified</x:v>
      </x:c>
      <x:c r="I5848" s="12" t="str">
        <x:v>Mixed business audience</x:v>
      </x:c>
      <x:c r="J5848" s="12" t="str">
        <x:v>Engineering &amp; manufacturing</x:v>
      </x:c>
      <x:c r="K5848" s="2" t="str">
        <x:v>PARTNER-M308</x:v>
      </x:c>
    </x:row>
    <x:row r="5849" ht="46" customHeight="1">
      <x:c r="A5849" s="2" t="str">
        <x:v>TEN-6D3FD8E92D3B</x:v>
      </x:c>
      <x:c r="B5849" s="12" t="str">
        <x:v>Columbus Global India</x:v>
      </x:c>
      <x:c r="C5849" s="12" t="str">
        <x:v>CORP-0723</x:v>
      </x:c>
      <x:c r="D5849" s="12" t="str">
        <x:v>Hyderabad</x:v>
      </x:c>
      <x:c r="E5849" s="12" t="str">
        <x:v>Aurobindo Galaxy</x:v>
      </x:c>
      <x:c r="F5849" s="12" t="str">
        <x:v>55 inch</x:v>
      </x:c>
      <x:c r="G5849" s="20" t="n">
        <x:v>1</x:v>
      </x:c>
      <x:c r="H5849" s="12" t="str">
        <x:v>Campus/portfolio roster; individual building occupancy unverified</x:v>
      </x:c>
      <x:c r="I5849" s="12" t="str">
        <x:v>Mixed business audience</x:v>
      </x:c>
      <x:c r="J5849" s="12" t="str">
        <x:v>IT &amp; digital</x:v>
      </x:c>
      <x:c r="K5849" s="2" t="str">
        <x:v>PARTNER-M308</x:v>
      </x:c>
    </x:row>
    <x:row r="5850" ht="46" customHeight="1">
      <x:c r="A5850" s="2" t="str">
        <x:v>TEN-71B3D21F0CCC</x:v>
      </x:c>
      <x:c r="B5850" s="12" t="str">
        <x:v>DAZN SOFTWARE PRIVATE LIMITED</x:v>
      </x:c>
      <x:c r="C5850" s="12" t="str">
        <x:v>CORP-0723</x:v>
      </x:c>
      <x:c r="D5850" s="12" t="str">
        <x:v>Hyderabad</x:v>
      </x:c>
      <x:c r="E5850" s="12" t="str">
        <x:v>Aurobindo Galaxy</x:v>
      </x:c>
      <x:c r="F5850" s="12" t="str">
        <x:v>55 inch</x:v>
      </x:c>
      <x:c r="G5850" s="20" t="n">
        <x:v>1</x:v>
      </x:c>
      <x:c r="H5850" s="12" t="str">
        <x:v>Campus/portfolio roster; individual building occupancy unverified</x:v>
      </x:c>
      <x:c r="I5850" s="12" t="str">
        <x:v>Mixed business audience</x:v>
      </x:c>
      <x:c r="J5850" s="12" t="str">
        <x:v>IT &amp; digital</x:v>
      </x:c>
      <x:c r="K5850" s="2" t="str">
        <x:v>PARTNER-M308</x:v>
      </x:c>
    </x:row>
    <x:row r="5851" ht="46" customHeight="1">
      <x:c r="A5851" s="2" t="str">
        <x:v>TEN-71E01020DF68</x:v>
      </x:c>
      <x:c r="B5851" s="12" t="str">
        <x:v>coMakeIT Software Pvt Ltd</x:v>
      </x:c>
      <x:c r="C5851" s="12" t="str">
        <x:v>CORP-0723</x:v>
      </x:c>
      <x:c r="D5851" s="12" t="str">
        <x:v>Hyderabad</x:v>
      </x:c>
      <x:c r="E5851" s="12" t="str">
        <x:v>Aurobindo Galaxy</x:v>
      </x:c>
      <x:c r="F5851" s="12" t="str">
        <x:v>55 inch</x:v>
      </x:c>
      <x:c r="G5851" s="20" t="n">
        <x:v>1</x:v>
      </x:c>
      <x:c r="H5851" s="12" t="str">
        <x:v>Campus/portfolio roster; individual building occupancy unverified</x:v>
      </x:c>
      <x:c r="I5851" s="12" t="str">
        <x:v>Mixed business audience</x:v>
      </x:c>
      <x:c r="J5851" s="12" t="str">
        <x:v>IT &amp; digital</x:v>
      </x:c>
      <x:c r="K5851" s="2" t="str">
        <x:v>PARTNER-M308</x:v>
      </x:c>
    </x:row>
    <x:row r="5852" ht="46" customHeight="1">
      <x:c r="A5852" s="2" t="str">
        <x:v>TEN-92B63CC8EFA5</x:v>
      </x:c>
      <x:c r="B5852" s="12" t="str">
        <x:v>Cotiviti India</x:v>
      </x:c>
      <x:c r="C5852" s="12" t="str">
        <x:v>CORP-0723</x:v>
      </x:c>
      <x:c r="D5852" s="12" t="str">
        <x:v>Hyderabad</x:v>
      </x:c>
      <x:c r="E5852" s="12" t="str">
        <x:v>Aurobindo Galaxy</x:v>
      </x:c>
      <x:c r="F5852" s="12" t="str">
        <x:v>55 inch</x:v>
      </x:c>
      <x:c r="G5852" s="20" t="n">
        <x:v>1</x:v>
      </x:c>
      <x:c r="H5852" s="12" t="str">
        <x:v>Campus/portfolio roster; individual building occupancy unverified</x:v>
      </x:c>
      <x:c r="I5852" s="12" t="str">
        <x:v>Mixed business audience</x:v>
      </x:c>
      <x:c r="J5852" s="12" t="str">
        <x:v>IT &amp; digital</x:v>
      </x:c>
      <x:c r="K5852" s="2" t="str">
        <x:v>PARTNER-M308</x:v>
      </x:c>
    </x:row>
    <x:row r="5853" ht="46" customHeight="1">
      <x:c r="A5853" s="2" t="str">
        <x:v>TEN-9F938B95F156</x:v>
      </x:c>
      <x:c r="B5853" s="12" t="str">
        <x:v>RightData Labs Pvt Ltd</x:v>
      </x:c>
      <x:c r="C5853" s="12" t="str">
        <x:v>CORP-0723</x:v>
      </x:c>
      <x:c r="D5853" s="12" t="str">
        <x:v>Hyderabad</x:v>
      </x:c>
      <x:c r="E5853" s="12" t="str">
        <x:v>Aurobindo Galaxy</x:v>
      </x:c>
      <x:c r="F5853" s="12" t="str">
        <x:v>55 inch</x:v>
      </x:c>
      <x:c r="G5853" s="20" t="n">
        <x:v>1</x:v>
      </x:c>
      <x:c r="H5853" s="12" t="str">
        <x:v>Campus/portfolio roster; individual building occupancy unverified</x:v>
      </x:c>
      <x:c r="I5853" s="12" t="str">
        <x:v>Small-scale prospects</x:v>
      </x:c>
      <x:c r="J5853" s="12" t="str">
        <x:v>IT &amp; digital</x:v>
      </x:c>
      <x:c r="K5853" s="2" t="str">
        <x:v>PARTNER-M308</x:v>
      </x:c>
    </x:row>
    <x:row r="5854" ht="46" customHeight="1">
      <x:c r="A5854" s="2" t="str">
        <x:v>TEN-B4D82B3F4A64</x:v>
      </x:c>
      <x:c r="B5854" s="12" t="str">
        <x:v>Quantela</x:v>
      </x:c>
      <x:c r="C5854" s="12" t="str">
        <x:v>CORP-0723</x:v>
      </x:c>
      <x:c r="D5854" s="12" t="str">
        <x:v>Hyderabad</x:v>
      </x:c>
      <x:c r="E5854" s="12" t="str">
        <x:v>Aurobindo Galaxy</x:v>
      </x:c>
      <x:c r="F5854" s="12" t="str">
        <x:v>55 inch</x:v>
      </x:c>
      <x:c r="G5854" s="20" t="n">
        <x:v>1</x:v>
      </x:c>
      <x:c r="H5854" s="12" t="str">
        <x:v>Campus/portfolio roster; individual building occupancy unverified</x:v>
      </x:c>
      <x:c r="I5854" s="12" t="str">
        <x:v>Small-scale prospects</x:v>
      </x:c>
      <x:c r="J5854" s="12" t="str">
        <x:v>IT &amp; digital</x:v>
      </x:c>
      <x:c r="K5854" s="2" t="str">
        <x:v>PARTNER-M308</x:v>
      </x:c>
    </x:row>
    <x:row r="5855" ht="46" customHeight="1">
      <x:c r="A5855" s="2" t="str">
        <x:v>TEN-B68EE3D6C8CA</x:v>
      </x:c>
      <x:c r="B5855" s="12" t="str">
        <x:v>Smartworks</x:v>
      </x:c>
      <x:c r="C5855" s="12" t="str">
        <x:v>CORP-0723</x:v>
      </x:c>
      <x:c r="D5855" s="12" t="str">
        <x:v>Hyderabad</x:v>
      </x:c>
      <x:c r="E5855" s="12" t="str">
        <x:v>Aurobindo Galaxy</x:v>
      </x:c>
      <x:c r="F5855" s="12" t="str">
        <x:v>55 inch</x:v>
      </x:c>
      <x:c r="G5855" s="20" t="n">
        <x:v>1</x:v>
      </x:c>
      <x:c r="H5855" s="12" t="str">
        <x:v>Campus/portfolio roster; individual building occupancy unverified</x:v>
      </x:c>
      <x:c r="I5855" s="12" t="str">
        <x:v>Mixed business audience</x:v>
      </x:c>
      <x:c r="J5855" s="12" t="str">
        <x:v>Workspace &amp; property operations</x:v>
      </x:c>
      <x:c r="K5855" s="2" t="str">
        <x:v>PARTNER-M308</x:v>
      </x:c>
    </x:row>
    <x:row r="5856" ht="46" customHeight="1">
      <x:c r="A5856" s="2" t="str">
        <x:v>TEN-D2D88D6E7476</x:v>
      </x:c>
      <x:c r="B5856" s="12" t="str">
        <x:v>Sourcefuse</x:v>
      </x:c>
      <x:c r="C5856" s="12" t="str">
        <x:v>CORP-0723</x:v>
      </x:c>
      <x:c r="D5856" s="12" t="str">
        <x:v>Hyderabad</x:v>
      </x:c>
      <x:c r="E5856" s="12" t="str">
        <x:v>Aurobindo Galaxy</x:v>
      </x:c>
      <x:c r="F5856" s="12" t="str">
        <x:v>55 inch</x:v>
      </x:c>
      <x:c r="G5856" s="20" t="n">
        <x:v>1</x:v>
      </x:c>
      <x:c r="H5856" s="12" t="str">
        <x:v>Campus/portfolio roster; individual building occupancy unverified</x:v>
      </x:c>
      <x:c r="I5856" s="12" t="str">
        <x:v>Small-scale prospects</x:v>
      </x:c>
      <x:c r="J5856" s="12" t="str">
        <x:v>IT &amp; digital</x:v>
      </x:c>
      <x:c r="K5856" s="2" t="str">
        <x:v>PARTNER-M308</x:v>
      </x:c>
    </x:row>
    <x:row r="5857" ht="46" customHeight="1">
      <x:c r="A5857" s="2" t="str">
        <x:v>TEN-D37CD0DDC792</x:v>
      </x:c>
      <x:c r="B5857" s="12" t="str">
        <x:v>Re Sustainability Limited</x:v>
      </x:c>
      <x:c r="C5857" s="12" t="str">
        <x:v>CORP-0723</x:v>
      </x:c>
      <x:c r="D5857" s="12" t="str">
        <x:v>Hyderabad</x:v>
      </x:c>
      <x:c r="E5857" s="12" t="str">
        <x:v>Aurobindo Galaxy</x:v>
      </x:c>
      <x:c r="F5857" s="12" t="str">
        <x:v>55 inch</x:v>
      </x:c>
      <x:c r="G5857" s="20" t="n">
        <x:v>1</x:v>
      </x:c>
      <x:c r="H5857" s="12" t="str">
        <x:v>Campus/portfolio roster; individual building occupancy unverified</x:v>
      </x:c>
      <x:c r="I5857" s="12" t="str">
        <x:v>Mixed business audience</x:v>
      </x:c>
      <x:c r="J5857" s="12" t="str">
        <x:v>Engineering &amp; manufacturing</x:v>
      </x:c>
      <x:c r="K5857" s="2" t="str">
        <x:v>PARTNER-M308</x:v>
      </x:c>
    </x:row>
    <x:row r="5858" ht="46" customHeight="1">
      <x:c r="A5858" s="2" t="str">
        <x:v>TEN-285CEC965FE7</x:v>
      </x:c>
      <x:c r="B5858" s="12" t="str">
        <x:v>SenecaGlobal IT Services Private Limited</x:v>
      </x:c>
      <x:c r="C5858" s="12" t="str">
        <x:v>CORP-0724</x:v>
      </x:c>
      <x:c r="D5858" s="12" t="str">
        <x:v>Hyderabad</x:v>
      </x:c>
      <x:c r="E5858" s="12" t="str">
        <x:v>Aurobindo Galaxy</x:v>
      </x:c>
      <x:c r="F5858" s="12" t="str">
        <x:v>55 inch</x:v>
      </x:c>
      <x:c r="G5858" s="20" t="n">
        <x:v>1</x:v>
      </x:c>
      <x:c r="H5858" s="12" t="str">
        <x:v>Campus/portfolio roster; individual building occupancy unverified</x:v>
      </x:c>
      <x:c r="I5858" s="12" t="str">
        <x:v>Small-scale prospects</x:v>
      </x:c>
      <x:c r="J5858" s="12" t="str">
        <x:v>IT &amp; digital</x:v>
      </x:c>
      <x:c r="K5858" s="2" t="str">
        <x:v>PARTNER-M308</x:v>
      </x:c>
    </x:row>
    <x:row r="5859" ht="46" customHeight="1">
      <x:c r="A5859" s="2" t="str">
        <x:v>TEN-2F2EE24ED078</x:v>
      </x:c>
      <x:c r="B5859" s="12" t="str">
        <x:v>SMSCountry</x:v>
      </x:c>
      <x:c r="C5859" s="12" t="str">
        <x:v>CORP-0724</x:v>
      </x:c>
      <x:c r="D5859" s="12" t="str">
        <x:v>Hyderabad</x:v>
      </x:c>
      <x:c r="E5859" s="12" t="str">
        <x:v>Aurobindo Galaxy</x:v>
      </x:c>
      <x:c r="F5859" s="12" t="str">
        <x:v>55 inch</x:v>
      </x:c>
      <x:c r="G5859" s="20" t="n">
        <x:v>1</x:v>
      </x:c>
      <x:c r="H5859" s="12" t="str">
        <x:v>Campus/portfolio roster; individual building occupancy unverified</x:v>
      </x:c>
      <x:c r="I5859" s="12" t="str">
        <x:v>Small-scale prospects</x:v>
      </x:c>
      <x:c r="J5859" s="12" t="str">
        <x:v>IT &amp; digital</x:v>
      </x:c>
      <x:c r="K5859" s="2" t="str">
        <x:v>PARTNER-M308</x:v>
      </x:c>
    </x:row>
    <x:row r="5860" ht="46" customHeight="1">
      <x:c r="A5860" s="2" t="str">
        <x:v>TEN-52A348458B44</x:v>
      </x:c>
      <x:c r="B5860" s="12" t="str">
        <x:v>Cohance Lifesciences</x:v>
      </x:c>
      <x:c r="C5860" s="12" t="str">
        <x:v>CORP-0724</x:v>
      </x:c>
      <x:c r="D5860" s="12" t="str">
        <x:v>Hyderabad</x:v>
      </x:c>
      <x:c r="E5860" s="12" t="str">
        <x:v>Aurobindo Galaxy</x:v>
      </x:c>
      <x:c r="F5860" s="12" t="str">
        <x:v>55 inch</x:v>
      </x:c>
      <x:c r="G5860" s="20" t="n">
        <x:v>1</x:v>
      </x:c>
      <x:c r="H5860" s="12" t="str">
        <x:v>Campus/portfolio roster; individual building occupancy unverified</x:v>
      </x:c>
      <x:c r="I5860" s="12" t="str">
        <x:v>Mixed business audience</x:v>
      </x:c>
      <x:c r="J5860" s="12" t="str">
        <x:v>Healthcare &amp; life sciences</x:v>
      </x:c>
      <x:c r="K5860" s="2" t="str">
        <x:v>PARTNER-M308</x:v>
      </x:c>
    </x:row>
    <x:row r="5861" ht="46" customHeight="1">
      <x:c r="A5861" s="2" t="str">
        <x:v>TEN-564B6BFAB738</x:v>
      </x:c>
      <x:c r="B5861" s="12" t="str">
        <x:v>Renault Nissan Technology &amp; Business Center India</x:v>
      </x:c>
      <x:c r="C5861" s="12" t="str">
        <x:v>CORP-0724</x:v>
      </x:c>
      <x:c r="D5861" s="12" t="str">
        <x:v>Hyderabad</x:v>
      </x:c>
      <x:c r="E5861" s="12" t="str">
        <x:v>Aurobindo Galaxy</x:v>
      </x:c>
      <x:c r="F5861" s="12" t="str">
        <x:v>55 inch</x:v>
      </x:c>
      <x:c r="G5861" s="20" t="n">
        <x:v>1</x:v>
      </x:c>
      <x:c r="H5861" s="12" t="str">
        <x:v>Campus/portfolio roster; individual building occupancy unverified</x:v>
      </x:c>
      <x:c r="I5861" s="12" t="str">
        <x:v>Mixed business audience</x:v>
      </x:c>
      <x:c r="J5861" s="12" t="str">
        <x:v>Engineering &amp; manufacturing</x:v>
      </x:c>
      <x:c r="K5861" s="2" t="str">
        <x:v>PARTNER-M308</x:v>
      </x:c>
    </x:row>
    <x:row r="5862" ht="46" customHeight="1">
      <x:c r="A5862" s="2" t="str">
        <x:v>TEN-5F079A2B9BA5</x:v>
      </x:c>
      <x:c r="B5862" s="12" t="str">
        <x:v>Solenis GSS India Private Limited</x:v>
      </x:c>
      <x:c r="C5862" s="12" t="str">
        <x:v>CORP-0724</x:v>
      </x:c>
      <x:c r="D5862" s="12" t="str">
        <x:v>Hyderabad</x:v>
      </x:c>
      <x:c r="E5862" s="12" t="str">
        <x:v>Aurobindo Galaxy</x:v>
      </x:c>
      <x:c r="F5862" s="12" t="str">
        <x:v>55 inch</x:v>
      </x:c>
      <x:c r="G5862" s="20" t="n">
        <x:v>1</x:v>
      </x:c>
      <x:c r="H5862" s="12" t="str">
        <x:v>Campus/portfolio roster; individual building occupancy unverified</x:v>
      </x:c>
      <x:c r="I5862" s="12" t="str">
        <x:v>Mixed business audience</x:v>
      </x:c>
      <x:c r="J5862" s="12" t="str">
        <x:v>Engineering &amp; manufacturing</x:v>
      </x:c>
      <x:c r="K5862" s="2" t="str">
        <x:v>PARTNER-M308</x:v>
      </x:c>
    </x:row>
    <x:row r="5863" ht="46" customHeight="1">
      <x:c r="A5863" s="2" t="str">
        <x:v>TEN-6D3FD8E92D3B</x:v>
      </x:c>
      <x:c r="B5863" s="12" t="str">
        <x:v>Columbus Global India</x:v>
      </x:c>
      <x:c r="C5863" s="12" t="str">
        <x:v>CORP-0724</x:v>
      </x:c>
      <x:c r="D5863" s="12" t="str">
        <x:v>Hyderabad</x:v>
      </x:c>
      <x:c r="E5863" s="12" t="str">
        <x:v>Aurobindo Galaxy</x:v>
      </x:c>
      <x:c r="F5863" s="12" t="str">
        <x:v>55 inch</x:v>
      </x:c>
      <x:c r="G5863" s="20" t="n">
        <x:v>1</x:v>
      </x:c>
      <x:c r="H5863" s="12" t="str">
        <x:v>Campus/portfolio roster; individual building occupancy unverified</x:v>
      </x:c>
      <x:c r="I5863" s="12" t="str">
        <x:v>Mixed business audience</x:v>
      </x:c>
      <x:c r="J5863" s="12" t="str">
        <x:v>IT &amp; digital</x:v>
      </x:c>
      <x:c r="K5863" s="2" t="str">
        <x:v>PARTNER-M308</x:v>
      </x:c>
    </x:row>
    <x:row r="5864" ht="46" customHeight="1">
      <x:c r="A5864" s="2" t="str">
        <x:v>TEN-71B3D21F0CCC</x:v>
      </x:c>
      <x:c r="B5864" s="12" t="str">
        <x:v>DAZN SOFTWARE PRIVATE LIMITED</x:v>
      </x:c>
      <x:c r="C5864" s="12" t="str">
        <x:v>CORP-0724</x:v>
      </x:c>
      <x:c r="D5864" s="12" t="str">
        <x:v>Hyderabad</x:v>
      </x:c>
      <x:c r="E5864" s="12" t="str">
        <x:v>Aurobindo Galaxy</x:v>
      </x:c>
      <x:c r="F5864" s="12" t="str">
        <x:v>55 inch</x:v>
      </x:c>
      <x:c r="G5864" s="20" t="n">
        <x:v>1</x:v>
      </x:c>
      <x:c r="H5864" s="12" t="str">
        <x:v>Campus/portfolio roster; individual building occupancy unverified</x:v>
      </x:c>
      <x:c r="I5864" s="12" t="str">
        <x:v>Mixed business audience</x:v>
      </x:c>
      <x:c r="J5864" s="12" t="str">
        <x:v>IT &amp; digital</x:v>
      </x:c>
      <x:c r="K5864" s="2" t="str">
        <x:v>PARTNER-M308</x:v>
      </x:c>
    </x:row>
    <x:row r="5865" ht="46" customHeight="1">
      <x:c r="A5865" s="2" t="str">
        <x:v>TEN-71E01020DF68</x:v>
      </x:c>
      <x:c r="B5865" s="12" t="str">
        <x:v>coMakeIT Software Pvt Ltd</x:v>
      </x:c>
      <x:c r="C5865" s="12" t="str">
        <x:v>CORP-0724</x:v>
      </x:c>
      <x:c r="D5865" s="12" t="str">
        <x:v>Hyderabad</x:v>
      </x:c>
      <x:c r="E5865" s="12" t="str">
        <x:v>Aurobindo Galaxy</x:v>
      </x:c>
      <x:c r="F5865" s="12" t="str">
        <x:v>55 inch</x:v>
      </x:c>
      <x:c r="G5865" s="20" t="n">
        <x:v>1</x:v>
      </x:c>
      <x:c r="H5865" s="12" t="str">
        <x:v>Campus/portfolio roster; individual building occupancy unverified</x:v>
      </x:c>
      <x:c r="I5865" s="12" t="str">
        <x:v>Mixed business audience</x:v>
      </x:c>
      <x:c r="J5865" s="12" t="str">
        <x:v>IT &amp; digital</x:v>
      </x:c>
      <x:c r="K5865" s="2" t="str">
        <x:v>PARTNER-M308</x:v>
      </x:c>
    </x:row>
    <x:row r="5866" ht="46" customHeight="1">
      <x:c r="A5866" s="2" t="str">
        <x:v>TEN-92B63CC8EFA5</x:v>
      </x:c>
      <x:c r="B5866" s="12" t="str">
        <x:v>Cotiviti India</x:v>
      </x:c>
      <x:c r="C5866" s="12" t="str">
        <x:v>CORP-0724</x:v>
      </x:c>
      <x:c r="D5866" s="12" t="str">
        <x:v>Hyderabad</x:v>
      </x:c>
      <x:c r="E5866" s="12" t="str">
        <x:v>Aurobindo Galaxy</x:v>
      </x:c>
      <x:c r="F5866" s="12" t="str">
        <x:v>55 inch</x:v>
      </x:c>
      <x:c r="G5866" s="20" t="n">
        <x:v>1</x:v>
      </x:c>
      <x:c r="H5866" s="12" t="str">
        <x:v>Campus/portfolio roster; individual building occupancy unverified</x:v>
      </x:c>
      <x:c r="I5866" s="12" t="str">
        <x:v>Mixed business audience</x:v>
      </x:c>
      <x:c r="J5866" s="12" t="str">
        <x:v>IT &amp; digital</x:v>
      </x:c>
      <x:c r="K5866" s="2" t="str">
        <x:v>PARTNER-M308</x:v>
      </x:c>
    </x:row>
    <x:row r="5867" ht="46" customHeight="1">
      <x:c r="A5867" s="2" t="str">
        <x:v>TEN-9F938B95F156</x:v>
      </x:c>
      <x:c r="B5867" s="12" t="str">
        <x:v>RightData Labs Pvt Ltd</x:v>
      </x:c>
      <x:c r="C5867" s="12" t="str">
        <x:v>CORP-0724</x:v>
      </x:c>
      <x:c r="D5867" s="12" t="str">
        <x:v>Hyderabad</x:v>
      </x:c>
      <x:c r="E5867" s="12" t="str">
        <x:v>Aurobindo Galaxy</x:v>
      </x:c>
      <x:c r="F5867" s="12" t="str">
        <x:v>55 inch</x:v>
      </x:c>
      <x:c r="G5867" s="20" t="n">
        <x:v>1</x:v>
      </x:c>
      <x:c r="H5867" s="12" t="str">
        <x:v>Campus/portfolio roster; individual building occupancy unverified</x:v>
      </x:c>
      <x:c r="I5867" s="12" t="str">
        <x:v>Small-scale prospects</x:v>
      </x:c>
      <x:c r="J5867" s="12" t="str">
        <x:v>IT &amp; digital</x:v>
      </x:c>
      <x:c r="K5867" s="2" t="str">
        <x:v>PARTNER-M308</x:v>
      </x:c>
    </x:row>
    <x:row r="5868" ht="46" customHeight="1">
      <x:c r="A5868" s="2" t="str">
        <x:v>TEN-B4D82B3F4A64</x:v>
      </x:c>
      <x:c r="B5868" s="12" t="str">
        <x:v>Quantela</x:v>
      </x:c>
      <x:c r="C5868" s="12" t="str">
        <x:v>CORP-0724</x:v>
      </x:c>
      <x:c r="D5868" s="12" t="str">
        <x:v>Hyderabad</x:v>
      </x:c>
      <x:c r="E5868" s="12" t="str">
        <x:v>Aurobindo Galaxy</x:v>
      </x:c>
      <x:c r="F5868" s="12" t="str">
        <x:v>55 inch</x:v>
      </x:c>
      <x:c r="G5868" s="20" t="n">
        <x:v>1</x:v>
      </x:c>
      <x:c r="H5868" s="12" t="str">
        <x:v>Campus/portfolio roster; individual building occupancy unverified</x:v>
      </x:c>
      <x:c r="I5868" s="12" t="str">
        <x:v>Small-scale prospects</x:v>
      </x:c>
      <x:c r="J5868" s="12" t="str">
        <x:v>IT &amp; digital</x:v>
      </x:c>
      <x:c r="K5868" s="2" t="str">
        <x:v>PARTNER-M308</x:v>
      </x:c>
    </x:row>
    <x:row r="5869" ht="46" customHeight="1">
      <x:c r="A5869" s="2" t="str">
        <x:v>TEN-B68EE3D6C8CA</x:v>
      </x:c>
      <x:c r="B5869" s="12" t="str">
        <x:v>Smartworks</x:v>
      </x:c>
      <x:c r="C5869" s="12" t="str">
        <x:v>CORP-0724</x:v>
      </x:c>
      <x:c r="D5869" s="12" t="str">
        <x:v>Hyderabad</x:v>
      </x:c>
      <x:c r="E5869" s="12" t="str">
        <x:v>Aurobindo Galaxy</x:v>
      </x:c>
      <x:c r="F5869" s="12" t="str">
        <x:v>55 inch</x:v>
      </x:c>
      <x:c r="G5869" s="20" t="n">
        <x:v>1</x:v>
      </x:c>
      <x:c r="H5869" s="12" t="str">
        <x:v>Campus/portfolio roster; individual building occupancy unverified</x:v>
      </x:c>
      <x:c r="I5869" s="12" t="str">
        <x:v>Mixed business audience</x:v>
      </x:c>
      <x:c r="J5869" s="12" t="str">
        <x:v>Workspace &amp; property operations</x:v>
      </x:c>
      <x:c r="K5869" s="2" t="str">
        <x:v>PARTNER-M308</x:v>
      </x:c>
    </x:row>
    <x:row r="5870" ht="46" customHeight="1">
      <x:c r="A5870" s="2" t="str">
        <x:v>TEN-D2D88D6E7476</x:v>
      </x:c>
      <x:c r="B5870" s="12" t="str">
        <x:v>Sourcefuse</x:v>
      </x:c>
      <x:c r="C5870" s="12" t="str">
        <x:v>CORP-0724</x:v>
      </x:c>
      <x:c r="D5870" s="12" t="str">
        <x:v>Hyderabad</x:v>
      </x:c>
      <x:c r="E5870" s="12" t="str">
        <x:v>Aurobindo Galaxy</x:v>
      </x:c>
      <x:c r="F5870" s="12" t="str">
        <x:v>55 inch</x:v>
      </x:c>
      <x:c r="G5870" s="20" t="n">
        <x:v>1</x:v>
      </x:c>
      <x:c r="H5870" s="12" t="str">
        <x:v>Campus/portfolio roster; individual building occupancy unverified</x:v>
      </x:c>
      <x:c r="I5870" s="12" t="str">
        <x:v>Small-scale prospects</x:v>
      </x:c>
      <x:c r="J5870" s="12" t="str">
        <x:v>IT &amp; digital</x:v>
      </x:c>
      <x:c r="K5870" s="2" t="str">
        <x:v>PARTNER-M308</x:v>
      </x:c>
    </x:row>
    <x:row r="5871" ht="46" customHeight="1">
      <x:c r="A5871" s="2" t="str">
        <x:v>TEN-D37CD0DDC792</x:v>
      </x:c>
      <x:c r="B5871" s="12" t="str">
        <x:v>Re Sustainability Limited</x:v>
      </x:c>
      <x:c r="C5871" s="12" t="str">
        <x:v>CORP-0724</x:v>
      </x:c>
      <x:c r="D5871" s="12" t="str">
        <x:v>Hyderabad</x:v>
      </x:c>
      <x:c r="E5871" s="12" t="str">
        <x:v>Aurobindo Galaxy</x:v>
      </x:c>
      <x:c r="F5871" s="12" t="str">
        <x:v>55 inch</x:v>
      </x:c>
      <x:c r="G5871" s="20" t="n">
        <x:v>1</x:v>
      </x:c>
      <x:c r="H5871" s="12" t="str">
        <x:v>Campus/portfolio roster; individual building occupancy unverified</x:v>
      </x:c>
      <x:c r="I5871" s="12" t="str">
        <x:v>Mixed business audience</x:v>
      </x:c>
      <x:c r="J5871" s="12" t="str">
        <x:v>Engineering &amp; manufacturing</x:v>
      </x:c>
      <x:c r="K5871" s="2" t="str">
        <x:v>PARTNER-M308</x:v>
      </x:c>
    </x:row>
    <x:row r="5872" ht="46" customHeight="1">
      <x:c r="A5872" s="2" t="str">
        <x:v>TEN-0C81B9564D37</x:v>
      </x:c>
      <x:c r="B5872" s="12" t="str">
        <x:v>Cogent eservices private limited PSN Bangalore</x:v>
      </x:c>
      <x:c r="C5872" s="12" t="str">
        <x:v>CORP-0446</x:v>
      </x:c>
      <x:c r="D5872" s="12" t="str">
        <x:v>Bengaluru</x:v>
      </x:c>
      <x:c r="E5872" s="12" t="str">
        <x:v>Prestige Shantiniketan</x:v>
      </x:c>
      <x:c r="F5872" s="12" t="str">
        <x:v>55 inch</x:v>
      </x:c>
      <x:c r="G5872" s="20" t="n">
        <x:v>1</x:v>
      </x:c>
      <x:c r="H5872" s="12" t="str">
        <x:v>Campus/portfolio roster; individual building occupancy unverified</x:v>
      </x:c>
      <x:c r="I5872" s="12" t="str">
        <x:v>Mixed business audience</x:v>
      </x:c>
      <x:c r="J5872" s="12" t="str">
        <x:v>IT &amp; digital</x:v>
      </x:c>
      <x:c r="K5872" s="2" t="str">
        <x:v>PARTNER-M027</x:v>
      </x:c>
    </x:row>
    <x:row r="5873" ht="46" customHeight="1">
      <x:c r="A5873" s="2" t="str">
        <x:v>TEN-1D6F21C9D1AB</x:v>
      </x:c>
      <x:c r="B5873" s="12" t="str">
        <x:v>Algorythm</x:v>
      </x:c>
      <x:c r="C5873" s="12" t="str">
        <x:v>CORP-0446</x:v>
      </x:c>
      <x:c r="D5873" s="12" t="str">
        <x:v>Bengaluru</x:v>
      </x:c>
      <x:c r="E5873" s="12" t="str">
        <x:v>Prestige Shantiniketan</x:v>
      </x:c>
      <x:c r="F5873" s="12" t="str">
        <x:v>55 inch</x:v>
      </x:c>
      <x:c r="G5873" s="20" t="n">
        <x:v>1</x:v>
      </x:c>
      <x:c r="H5873" s="12" t="str">
        <x:v>Campus/portfolio roster; individual building occupancy unverified</x:v>
      </x:c>
      <x:c r="I5873" s="12" t="str">
        <x:v>Mixed business audience</x:v>
      </x:c>
      <x:c r="J5873" s="12" t="str">
        <x:v>Unresolved</x:v>
      </x:c>
      <x:c r="K5873" s="2" t="str">
        <x:v>PARTNER-M027</x:v>
      </x:c>
    </x:row>
    <x:row r="5874" ht="46" customHeight="1">
      <x:c r="A5874" s="2" t="str">
        <x:v>TEN-31F8B6C7A65B</x:v>
      </x:c>
      <x:c r="B5874" s="12" t="str">
        <x:v>Genisys Group</x:v>
      </x:c>
      <x:c r="C5874" s="12" t="str">
        <x:v>CORP-0446</x:v>
      </x:c>
      <x:c r="D5874" s="12" t="str">
        <x:v>Bengaluru</x:v>
      </x:c>
      <x:c r="E5874" s="12" t="str">
        <x:v>Prestige Shantiniketan</x:v>
      </x:c>
      <x:c r="F5874" s="12" t="str">
        <x:v>55 inch</x:v>
      </x:c>
      <x:c r="G5874" s="20" t="n">
        <x:v>1</x:v>
      </x:c>
      <x:c r="H5874" s="12" t="str">
        <x:v>Campus/portfolio roster; individual building occupancy unverified</x:v>
      </x:c>
      <x:c r="I5874" s="12" t="str">
        <x:v>Mixed business audience</x:v>
      </x:c>
      <x:c r="J5874" s="12" t="str">
        <x:v>IT &amp; digital</x:v>
      </x:c>
      <x:c r="K5874" s="2" t="str">
        <x:v>PARTNER-M027</x:v>
      </x:c>
    </x:row>
    <x:row r="5875" ht="46" customHeight="1">
      <x:c r="A5875" s="2" t="str">
        <x:v>TEN-53B505C1CAE2</x:v>
      </x:c>
      <x:c r="B5875" s="12" t="str">
        <x:v>Herbalife International India Pvt Ltd</x:v>
      </x:c>
      <x:c r="C5875" s="12" t="str">
        <x:v>CORP-0446</x:v>
      </x:c>
      <x:c r="D5875" s="12" t="str">
        <x:v>Bengaluru</x:v>
      </x:c>
      <x:c r="E5875" s="12" t="str">
        <x:v>Prestige Shantiniketan</x:v>
      </x:c>
      <x:c r="F5875" s="12" t="str">
        <x:v>55 inch</x:v>
      </x:c>
      <x:c r="G5875" s="20" t="n">
        <x:v>1</x:v>
      </x:c>
      <x:c r="H5875" s="12" t="str">
        <x:v>Campus/portfolio roster; individual building occupancy unverified</x:v>
      </x:c>
      <x:c r="I5875" s="12" t="str">
        <x:v>Mixed business audience</x:v>
      </x:c>
      <x:c r="J5875" s="12" t="str">
        <x:v>Healthcare &amp; life sciences</x:v>
      </x:c>
      <x:c r="K5875" s="2" t="str">
        <x:v>PARTNER-M027</x:v>
      </x:c>
    </x:row>
    <x:row r="5876" ht="46" customHeight="1">
      <x:c r="A5876" s="2" t="str">
        <x:v>TEN-5FA790F3630F</x:v>
      </x:c>
      <x:c r="B5876" s="12" t="str">
        <x:v>Tata Consultancy Services</x:v>
      </x:c>
      <x:c r="C5876" s="12" t="str">
        <x:v>CORP-0446</x:v>
      </x:c>
      <x:c r="D5876" s="12" t="str">
        <x:v>Bengaluru</x:v>
      </x:c>
      <x:c r="E5876" s="12" t="str">
        <x:v>Prestige Shantiniketan</x:v>
      </x:c>
      <x:c r="F5876" s="12" t="str">
        <x:v>55 inch</x:v>
      </x:c>
      <x:c r="G5876" s="20" t="n">
        <x:v>1</x:v>
      </x:c>
      <x:c r="H5876" s="12" t="str">
        <x:v>Campus/portfolio roster; individual building occupancy unverified</x:v>
      </x:c>
      <x:c r="I5876" s="12" t="str">
        <x:v>Large enterprise</x:v>
      </x:c>
      <x:c r="J5876" s="12" t="str">
        <x:v>IT &amp; digital</x:v>
      </x:c>
      <x:c r="K5876" s="2" t="str">
        <x:v>PARTNER-M027</x:v>
      </x:c>
    </x:row>
    <x:row r="5877" ht="46" customHeight="1">
      <x:c r="A5877" s="2" t="str">
        <x:v>TEN-8409366CFBB2</x:v>
      </x:c>
      <x:c r="B5877" s="12" t="str">
        <x:v>Tata Elxsi Limited</x:v>
      </x:c>
      <x:c r="C5877" s="12" t="str">
        <x:v>CORP-0446</x:v>
      </x:c>
      <x:c r="D5877" s="12" t="str">
        <x:v>Bengaluru</x:v>
      </x:c>
      <x:c r="E5877" s="12" t="str">
        <x:v>Prestige Shantiniketan</x:v>
      </x:c>
      <x:c r="F5877" s="12" t="str">
        <x:v>55 inch</x:v>
      </x:c>
      <x:c r="G5877" s="20" t="n">
        <x:v>1</x:v>
      </x:c>
      <x:c r="H5877" s="12" t="str">
        <x:v>Campus/portfolio roster; individual building occupancy unverified</x:v>
      </x:c>
      <x:c r="I5877" s="12" t="str">
        <x:v>Large enterprise</x:v>
      </x:c>
      <x:c r="J5877" s="12" t="str">
        <x:v>IT &amp; digital</x:v>
      </x:c>
      <x:c r="K5877" s="2" t="str">
        <x:v>PARTNER-M027</x:v>
      </x:c>
    </x:row>
    <x:row r="5878" ht="46" customHeight="1">
      <x:c r="A5878" s="2" t="str">
        <x:v>TEN-849229AF9AC7</x:v>
      </x:c>
      <x:c r="B5878" s="12" t="str">
        <x:v>Hexaware Technologies Limited</x:v>
      </x:c>
      <x:c r="C5878" s="12" t="str">
        <x:v>CORP-0446</x:v>
      </x:c>
      <x:c r="D5878" s="12" t="str">
        <x:v>Bengaluru</x:v>
      </x:c>
      <x:c r="E5878" s="12" t="str">
        <x:v>Prestige Shantiniketan</x:v>
      </x:c>
      <x:c r="F5878" s="12" t="str">
        <x:v>55 inch</x:v>
      </x:c>
      <x:c r="G5878" s="20" t="n">
        <x:v>1</x:v>
      </x:c>
      <x:c r="H5878" s="12" t="str">
        <x:v>Campus/portfolio roster; individual building occupancy unverified</x:v>
      </x:c>
      <x:c r="I5878" s="12" t="str">
        <x:v>Large enterprise</x:v>
      </x:c>
      <x:c r="J5878" s="12" t="str">
        <x:v>IT &amp; digital</x:v>
      </x:c>
      <x:c r="K5878" s="2" t="str">
        <x:v>PARTNER-M027</x:v>
      </x:c>
    </x:row>
    <x:row r="5879" ht="46" customHeight="1">
      <x:c r="A5879" s="2" t="str">
        <x:v>TEN-9636D9305A9A</x:v>
      </x:c>
      <x:c r="B5879" s="12" t="str">
        <x:v>Britannia Industries Limited</x:v>
      </x:c>
      <x:c r="C5879" s="12" t="str">
        <x:v>CORP-0446</x:v>
      </x:c>
      <x:c r="D5879" s="12" t="str">
        <x:v>Bengaluru</x:v>
      </x:c>
      <x:c r="E5879" s="12" t="str">
        <x:v>Prestige Shantiniketan</x:v>
      </x:c>
      <x:c r="F5879" s="12" t="str">
        <x:v>55 inch</x:v>
      </x:c>
      <x:c r="G5879" s="20" t="n">
        <x:v>1</x:v>
      </x:c>
      <x:c r="H5879" s="12" t="str">
        <x:v>Campus/portfolio roster; individual building occupancy unverified</x:v>
      </x:c>
      <x:c r="I5879" s="12" t="str">
        <x:v>Mixed business audience</x:v>
      </x:c>
      <x:c r="J5879" s="12" t="str">
        <x:v>Trade, consumer &amp; logistics</x:v>
      </x:c>
      <x:c r="K5879" s="2" t="str">
        <x:v>PARTNER-M027</x:v>
      </x:c>
    </x:row>
    <x:row r="5880" ht="46" customHeight="1">
      <x:c r="A5880" s="2" t="str">
        <x:v>TEN-985483497785</x:v>
      </x:c>
      <x:c r="B5880" s="12" t="str">
        <x:v>GE Healthcare</x:v>
      </x:c>
      <x:c r="C5880" s="12" t="str">
        <x:v>CORP-0446</x:v>
      </x:c>
      <x:c r="D5880" s="12" t="str">
        <x:v>Bengaluru</x:v>
      </x:c>
      <x:c r="E5880" s="12" t="str">
        <x:v>Prestige Shantiniketan</x:v>
      </x:c>
      <x:c r="F5880" s="12" t="str">
        <x:v>55 inch</x:v>
      </x:c>
      <x:c r="G5880" s="20" t="n">
        <x:v>1</x:v>
      </x:c>
      <x:c r="H5880" s="12" t="str">
        <x:v>Campus/portfolio roster; individual building occupancy unverified</x:v>
      </x:c>
      <x:c r="I5880" s="12" t="str">
        <x:v>Mixed business audience</x:v>
      </x:c>
      <x:c r="J5880" s="12" t="str">
        <x:v>Healthcare &amp; life sciences</x:v>
      </x:c>
      <x:c r="K5880" s="2" t="str">
        <x:v>PARTNER-M027</x:v>
      </x:c>
    </x:row>
    <x:row r="5881" ht="46" customHeight="1">
      <x:c r="A5881" s="2" t="str">
        <x:v>TEN-9987FF0A3CAC</x:v>
      </x:c>
      <x:c r="B5881" s="12" t="str">
        <x:v>Hindustan Unilever (UniOps business unit)</x:v>
      </x:c>
      <x:c r="C5881" s="12" t="str">
        <x:v>CORP-0446</x:v>
      </x:c>
      <x:c r="D5881" s="12" t="str">
        <x:v>Bengaluru</x:v>
      </x:c>
      <x:c r="E5881" s="12" t="str">
        <x:v>Prestige Shantiniketan</x:v>
      </x:c>
      <x:c r="F5881" s="12" t="str">
        <x:v>55 inch</x:v>
      </x:c>
      <x:c r="G5881" s="20" t="n">
        <x:v>1</x:v>
      </x:c>
      <x:c r="H5881" s="12" t="str">
        <x:v>Campus/portfolio roster; individual building occupancy unverified</x:v>
      </x:c>
      <x:c r="I5881" s="12" t="str">
        <x:v>Large enterprise</x:v>
      </x:c>
      <x:c r="J5881" s="12" t="str">
        <x:v>Trade, consumer &amp; logistics</x:v>
      </x:c>
      <x:c r="K5881" s="2" t="str">
        <x:v>PARTNER-M027</x:v>
      </x:c>
    </x:row>
    <x:row r="5882" ht="46" customHeight="1">
      <x:c r="A5882" s="2" t="str">
        <x:v>TEN-9CDD1B64DEF0</x:v>
      </x:c>
      <x:c r="B5882" s="12" t="str">
        <x:v>Optym India Private Limited</x:v>
      </x:c>
      <x:c r="C5882" s="12" t="str">
        <x:v>CORP-0446</x:v>
      </x:c>
      <x:c r="D5882" s="12" t="str">
        <x:v>Bengaluru</x:v>
      </x:c>
      <x:c r="E5882" s="12" t="str">
        <x:v>Prestige Shantiniketan</x:v>
      </x:c>
      <x:c r="F5882" s="12" t="str">
        <x:v>55 inch</x:v>
      </x:c>
      <x:c r="G5882" s="20" t="n">
        <x:v>1</x:v>
      </x:c>
      <x:c r="H5882" s="12" t="str">
        <x:v>Campus/portfolio roster; individual building occupancy unverified</x:v>
      </x:c>
      <x:c r="I5882" s="12" t="str">
        <x:v>Small-scale prospects</x:v>
      </x:c>
      <x:c r="J5882" s="12" t="str">
        <x:v>IT &amp; digital</x:v>
      </x:c>
      <x:c r="K5882" s="2" t="str">
        <x:v>PARTNER-M027</x:v>
      </x:c>
    </x:row>
    <x:row r="5883" ht="46" customHeight="1">
      <x:c r="A5883" s="2" t="str">
        <x:v>TEN-A7FC7DAF4DA4</x:v>
      </x:c>
      <x:c r="B5883" s="12" t="str">
        <x:v>Thermo Fisher Scientific</x:v>
      </x:c>
      <x:c r="C5883" s="12" t="str">
        <x:v>CORP-0446</x:v>
      </x:c>
      <x:c r="D5883" s="12" t="str">
        <x:v>Bengaluru</x:v>
      </x:c>
      <x:c r="E5883" s="12" t="str">
        <x:v>Prestige Shantiniketan</x:v>
      </x:c>
      <x:c r="F5883" s="12" t="str">
        <x:v>55 inch</x:v>
      </x:c>
      <x:c r="G5883" s="20" t="n">
        <x:v>1</x:v>
      </x:c>
      <x:c r="H5883" s="12" t="str">
        <x:v>Campus/portfolio roster; individual building occupancy unverified</x:v>
      </x:c>
      <x:c r="I5883" s="12" t="str">
        <x:v>Mixed business audience</x:v>
      </x:c>
      <x:c r="J5883" s="12" t="str">
        <x:v>Healthcare &amp; life sciences</x:v>
      </x:c>
      <x:c r="K5883" s="2" t="str">
        <x:v>PARTNER-M027</x:v>
      </x:c>
    </x:row>
    <x:row r="5884" ht="46" customHeight="1">
      <x:c r="A5884" s="2" t="str">
        <x:v>TEN-B877247CA363</x:v>
      </x:c>
      <x:c r="B5884" s="12" t="str">
        <x:v>Kaseya</x:v>
      </x:c>
      <x:c r="C5884" s="12" t="str">
        <x:v>CORP-0446</x:v>
      </x:c>
      <x:c r="D5884" s="12" t="str">
        <x:v>Bengaluru</x:v>
      </x:c>
      <x:c r="E5884" s="12" t="str">
        <x:v>Prestige Shantiniketan</x:v>
      </x:c>
      <x:c r="F5884" s="12" t="str">
        <x:v>55 inch</x:v>
      </x:c>
      <x:c r="G5884" s="20" t="n">
        <x:v>1</x:v>
      </x:c>
      <x:c r="H5884" s="12" t="str">
        <x:v>Campus/portfolio roster; individual building occupancy unverified</x:v>
      </x:c>
      <x:c r="I5884" s="12" t="str">
        <x:v>Mixed business audience</x:v>
      </x:c>
      <x:c r="J5884" s="12" t="str">
        <x:v>IT &amp; digital</x:v>
      </x:c>
      <x:c r="K5884" s="2" t="str">
        <x:v>PARTNER-M027</x:v>
      </x:c>
    </x:row>
    <x:row r="5885" ht="46" customHeight="1">
      <x:c r="A5885" s="2" t="str">
        <x:v>TEN-BA6AE2780CD4</x:v>
      </x:c>
      <x:c r="B5885" s="12" t="str">
        <x:v>Concentrix</x:v>
      </x:c>
      <x:c r="C5885" s="12" t="str">
        <x:v>CORP-0446</x:v>
      </x:c>
      <x:c r="D5885" s="12" t="str">
        <x:v>Bengaluru</x:v>
      </x:c>
      <x:c r="E5885" s="12" t="str">
        <x:v>Prestige Shantiniketan</x:v>
      </x:c>
      <x:c r="F5885" s="12" t="str">
        <x:v>55 inch</x:v>
      </x:c>
      <x:c r="G5885" s="20" t="n">
        <x:v>1</x:v>
      </x:c>
      <x:c r="H5885" s="12" t="str">
        <x:v>Campus/portfolio roster; individual building occupancy unverified</x:v>
      </x:c>
      <x:c r="I5885" s="12" t="str">
        <x:v>Large enterprise</x:v>
      </x:c>
      <x:c r="J5885" s="12" t="str">
        <x:v>IT &amp; digital</x:v>
      </x:c>
      <x:c r="K5885" s="2" t="str">
        <x:v>PARTNER-M027</x:v>
      </x:c>
    </x:row>
    <x:row r="5886" ht="46" customHeight="1">
      <x:c r="A5886" s="2" t="str">
        <x:v>TEN-BEE4F75D30E5</x:v>
      </x:c>
      <x:c r="B5886" s="12" t="str">
        <x:v>ICICI Bank</x:v>
      </x:c>
      <x:c r="C5886" s="12" t="str">
        <x:v>CORP-0446</x:v>
      </x:c>
      <x:c r="D5886" s="12" t="str">
        <x:v>Bengaluru</x:v>
      </x:c>
      <x:c r="E5886" s="12" t="str">
        <x:v>Prestige Shantiniketan</x:v>
      </x:c>
      <x:c r="F5886" s="12" t="str">
        <x:v>55 inch</x:v>
      </x:c>
      <x:c r="G5886" s="20" t="n">
        <x:v>1</x:v>
      </x:c>
      <x:c r="H5886" s="12" t="str">
        <x:v>Campus/portfolio roster; individual building occupancy unverified</x:v>
      </x:c>
      <x:c r="I5886" s="12" t="str">
        <x:v>Large enterprise</x:v>
      </x:c>
      <x:c r="J5886" s="12" t="str">
        <x:v>Finance &amp; insurance</x:v>
      </x:c>
      <x:c r="K5886" s="2" t="str">
        <x:v>PARTNER-M027</x:v>
      </x:c>
    </x:row>
    <x:row r="5887" ht="46" customHeight="1">
      <x:c r="A5887" s="2" t="str">
        <x:v>TEN-CCAF93725C39</x:v>
      </x:c>
      <x:c r="B5887" s="12" t="str">
        <x:v>India Document Solutions Private Ltd</x:v>
      </x:c>
      <x:c r="C5887" s="12" t="str">
        <x:v>CORP-0446</x:v>
      </x:c>
      <x:c r="D5887" s="12" t="str">
        <x:v>Bengaluru</x:v>
      </x:c>
      <x:c r="E5887" s="12" t="str">
        <x:v>Prestige Shantiniketan</x:v>
      </x:c>
      <x:c r="F5887" s="12" t="str">
        <x:v>55 inch</x:v>
      </x:c>
      <x:c r="G5887" s="20" t="n">
        <x:v>1</x:v>
      </x:c>
      <x:c r="H5887" s="12" t="str">
        <x:v>Campus/portfolio roster; individual building occupancy unverified</x:v>
      </x:c>
      <x:c r="I5887" s="12" t="str">
        <x:v>Mixed business audience</x:v>
      </x:c>
      <x:c r="J5887" s="12" t="str">
        <x:v>Unresolved</x:v>
      </x:c>
      <x:c r="K5887" s="2" t="str">
        <x:v>PARTNER-M027</x:v>
      </x:c>
    </x:row>
    <x:row r="5888" ht="46" customHeight="1">
      <x:c r="A5888" s="2" t="str">
        <x:v>TEN-D850894DB864</x:v>
      </x:c>
      <x:c r="B5888" s="12" t="str">
        <x:v>Rockstar Games India</x:v>
      </x:c>
      <x:c r="C5888" s="12" t="str">
        <x:v>CORP-0446</x:v>
      </x:c>
      <x:c r="D5888" s="12" t="str">
        <x:v>Bengaluru</x:v>
      </x:c>
      <x:c r="E5888" s="12" t="str">
        <x:v>Prestige Shantiniketan</x:v>
      </x:c>
      <x:c r="F5888" s="12" t="str">
        <x:v>55 inch</x:v>
      </x:c>
      <x:c r="G5888" s="20" t="n">
        <x:v>1</x:v>
      </x:c>
      <x:c r="H5888" s="12" t="str">
        <x:v>Campus/portfolio roster; individual building occupancy unverified</x:v>
      </x:c>
      <x:c r="I5888" s="12" t="str">
        <x:v>Mixed business audience</x:v>
      </x:c>
      <x:c r="J5888" s="12" t="str">
        <x:v>Trade, consumer &amp; logistics</x:v>
      </x:c>
      <x:c r="K5888" s="2" t="str">
        <x:v>PARTNER-M027</x:v>
      </x:c>
    </x:row>
    <x:row r="5889" ht="46" customHeight="1">
      <x:c r="A5889" s="2" t="str">
        <x:v>TEN-D860D87EBCF5</x:v>
      </x:c>
      <x:c r="B5889" s="12" t="str">
        <x:v>Synapse Techno Design Innovations Private Limited</x:v>
      </x:c>
      <x:c r="C5889" s="12" t="str">
        <x:v>CORP-0446</x:v>
      </x:c>
      <x:c r="D5889" s="12" t="str">
        <x:v>Bengaluru</x:v>
      </x:c>
      <x:c r="E5889" s="12" t="str">
        <x:v>Prestige Shantiniketan</x:v>
      </x:c>
      <x:c r="F5889" s="12" t="str">
        <x:v>55 inch</x:v>
      </x:c>
      <x:c r="G5889" s="20" t="n">
        <x:v>1</x:v>
      </x:c>
      <x:c r="H5889" s="12" t="str">
        <x:v>Campus/portfolio roster; individual building occupancy unverified</x:v>
      </x:c>
      <x:c r="I5889" s="12" t="str">
        <x:v>Small-scale prospects</x:v>
      </x:c>
      <x:c r="J5889" s="12" t="str">
        <x:v>IT &amp; digital</x:v>
      </x:c>
      <x:c r="K5889" s="2" t="str">
        <x:v>PARTNER-M027</x:v>
      </x:c>
    </x:row>
    <x:row r="5890" ht="46" customHeight="1">
      <x:c r="A5890" s="2" t="str">
        <x:v>TEN-DF4521B8C430</x:v>
      </x:c>
      <x:c r="B5890" s="12" t="str">
        <x:v>Nielsen Sports</x:v>
      </x:c>
      <x:c r="C5890" s="12" t="str">
        <x:v>CORP-0446</x:v>
      </x:c>
      <x:c r="D5890" s="12" t="str">
        <x:v>Bengaluru</x:v>
      </x:c>
      <x:c r="E5890" s="12" t="str">
        <x:v>Prestige Shantiniketan</x:v>
      </x:c>
      <x:c r="F5890" s="12" t="str">
        <x:v>55 inch</x:v>
      </x:c>
      <x:c r="G5890" s="20" t="n">
        <x:v>1</x:v>
      </x:c>
      <x:c r="H5890" s="12" t="str">
        <x:v>Campus/portfolio roster; individual building occupancy unverified</x:v>
      </x:c>
      <x:c r="I5890" s="12" t="str">
        <x:v>Mixed business audience</x:v>
      </x:c>
      <x:c r="J5890" s="12" t="str">
        <x:v>Professional services</x:v>
      </x:c>
      <x:c r="K5890" s="2" t="str">
        <x:v>PARTNER-M027</x:v>
      </x:c>
    </x:row>
    <x:row r="5891" ht="46" customHeight="1">
      <x:c r="A5891" s="2" t="str">
        <x:v>TEN-E23305C78818</x:v>
      </x:c>
      <x:c r="B5891" s="12" t="str">
        <x:v>Baxter Innovations &amp; Business Solutions Pvt Ltd</x:v>
      </x:c>
      <x:c r="C5891" s="12" t="str">
        <x:v>CORP-0446</x:v>
      </x:c>
      <x:c r="D5891" s="12" t="str">
        <x:v>Bengaluru</x:v>
      </x:c>
      <x:c r="E5891" s="12" t="str">
        <x:v>Prestige Shantiniketan</x:v>
      </x:c>
      <x:c r="F5891" s="12" t="str">
        <x:v>55 inch</x:v>
      </x:c>
      <x:c r="G5891" s="20" t="n">
        <x:v>1</x:v>
      </x:c>
      <x:c r="H5891" s="12" t="str">
        <x:v>Campus/portfolio roster; individual building occupancy unverified</x:v>
      </x:c>
      <x:c r="I5891" s="12" t="str">
        <x:v>Mixed business audience</x:v>
      </x:c>
      <x:c r="J5891" s="12" t="str">
        <x:v>Healthcare &amp; life sciences</x:v>
      </x:c>
      <x:c r="K5891" s="2" t="str">
        <x:v>PARTNER-M027</x:v>
      </x:c>
    </x:row>
    <x:row r="5892" ht="46" customHeight="1">
      <x:c r="A5892" s="2" t="str">
        <x:v>TEN-E517F4484EEE</x:v>
      </x:c>
      <x:c r="B5892" s="12" t="str">
        <x:v>CapRelo Mobility India Private Limited</x:v>
      </x:c>
      <x:c r="C5892" s="12" t="str">
        <x:v>CORP-0446</x:v>
      </x:c>
      <x:c r="D5892" s="12" t="str">
        <x:v>Bengaluru</x:v>
      </x:c>
      <x:c r="E5892" s="12" t="str">
        <x:v>Prestige Shantiniketan</x:v>
      </x:c>
      <x:c r="F5892" s="12" t="str">
        <x:v>55 inch</x:v>
      </x:c>
      <x:c r="G5892" s="20" t="n">
        <x:v>1</x:v>
      </x:c>
      <x:c r="H5892" s="12" t="str">
        <x:v>Campus/portfolio roster; individual building occupancy unverified</x:v>
      </x:c>
      <x:c r="I5892" s="12" t="str">
        <x:v>Mixed business audience</x:v>
      </x:c>
      <x:c r="J5892" s="12" t="str">
        <x:v>Professional services</x:v>
      </x:c>
      <x:c r="K5892" s="2" t="str">
        <x:v>PARTNER-M027</x:v>
      </x:c>
    </x:row>
    <x:row r="5893" ht="46" customHeight="1">
      <x:c r="A5893" s="2" t="str">
        <x:v>TEN-E88697226669</x:v>
      </x:c>
      <x:c r="B5893" s="12" t="str">
        <x:v>Elocity Technologies India Private Limited</x:v>
      </x:c>
      <x:c r="C5893" s="12" t="str">
        <x:v>CORP-0446</x:v>
      </x:c>
      <x:c r="D5893" s="12" t="str">
        <x:v>Bengaluru</x:v>
      </x:c>
      <x:c r="E5893" s="12" t="str">
        <x:v>Prestige Shantiniketan</x:v>
      </x:c>
      <x:c r="F5893" s="12" t="str">
        <x:v>55 inch</x:v>
      </x:c>
      <x:c r="G5893" s="20" t="n">
        <x:v>1</x:v>
      </x:c>
      <x:c r="H5893" s="12" t="str">
        <x:v>Campus/portfolio roster; individual building occupancy unverified</x:v>
      </x:c>
      <x:c r="I5893" s="12" t="str">
        <x:v>Mixed business audience</x:v>
      </x:c>
      <x:c r="J5893" s="12" t="str">
        <x:v>Unresolved</x:v>
      </x:c>
      <x:c r="K5893" s="2" t="str">
        <x:v>PARTNER-M027</x:v>
      </x:c>
    </x:row>
    <x:row r="5894" ht="46" customHeight="1">
      <x:c r="A5894" s="2" t="str">
        <x:v>TEN-EE0CA20290EC</x:v>
      </x:c>
      <x:c r="B5894" s="12" t="str">
        <x:v>MEDTRONIC</x:v>
      </x:c>
      <x:c r="C5894" s="12" t="str">
        <x:v>CORP-0446</x:v>
      </x:c>
      <x:c r="D5894" s="12" t="str">
        <x:v>Bengaluru</x:v>
      </x:c>
      <x:c r="E5894" s="12" t="str">
        <x:v>Prestige Shantiniketan</x:v>
      </x:c>
      <x:c r="F5894" s="12" t="str">
        <x:v>55 inch</x:v>
      </x:c>
      <x:c r="G5894" s="20" t="n">
        <x:v>1</x:v>
      </x:c>
      <x:c r="H5894" s="12" t="str">
        <x:v>Campus/portfolio roster; individual building occupancy unverified</x:v>
      </x:c>
      <x:c r="I5894" s="12" t="str">
        <x:v>Mixed business audience</x:v>
      </x:c>
      <x:c r="J5894" s="12" t="str">
        <x:v>Healthcare &amp; life sciences</x:v>
      </x:c>
      <x:c r="K5894" s="2" t="str">
        <x:v>PARTNER-M027</x:v>
      </x:c>
    </x:row>
    <x:row r="5895" ht="46" customHeight="1">
      <x:c r="A5895" s="2" t="str">
        <x:v>TEN-FECD2DA15F6C</x:v>
      </x:c>
      <x:c r="B5895" s="12" t="str">
        <x:v>Flowserve Global Technology &amp; Engineering Center (GTEC)</x:v>
      </x:c>
      <x:c r="C5895" s="12" t="str">
        <x:v>CORP-0446</x:v>
      </x:c>
      <x:c r="D5895" s="12" t="str">
        <x:v>Bengaluru</x:v>
      </x:c>
      <x:c r="E5895" s="12" t="str">
        <x:v>Prestige Shantiniketan</x:v>
      </x:c>
      <x:c r="F5895" s="12" t="str">
        <x:v>55 inch</x:v>
      </x:c>
      <x:c r="G5895" s="20" t="n">
        <x:v>1</x:v>
      </x:c>
      <x:c r="H5895" s="12" t="str">
        <x:v>Campus/portfolio roster; individual building occupancy unverified</x:v>
      </x:c>
      <x:c r="I5895" s="12" t="str">
        <x:v>Mixed business audience</x:v>
      </x:c>
      <x:c r="J5895" s="12" t="str">
        <x:v>Engineering &amp; manufacturing</x:v>
      </x:c>
      <x:c r="K5895" s="2" t="str">
        <x:v>PARTNER-M027</x:v>
      </x:c>
    </x:row>
    <x:row r="5896" ht="46" customHeight="1">
      <x:c r="A5896" s="2" t="str">
        <x:v>TEN-285CEC965FE7</x:v>
      </x:c>
      <x:c r="B5896" s="12" t="str">
        <x:v>SenecaGlobal IT Services Private Limited</x:v>
      </x:c>
      <x:c r="C5896" s="12" t="str">
        <x:v>CORP-0725</x:v>
      </x:c>
      <x:c r="D5896" s="12" t="str">
        <x:v>Hyderabad</x:v>
      </x:c>
      <x:c r="E5896" s="12" t="str">
        <x:v>Aurobindo Galaxy</x:v>
      </x:c>
      <x:c r="F5896" s="12" t="str">
        <x:v>55 inch</x:v>
      </x:c>
      <x:c r="G5896" s="20" t="n">
        <x:v>1</x:v>
      </x:c>
      <x:c r="H5896" s="12" t="str">
        <x:v>Campus/portfolio roster; individual building occupancy unverified</x:v>
      </x:c>
      <x:c r="I5896" s="12" t="str">
        <x:v>Small-scale prospects</x:v>
      </x:c>
      <x:c r="J5896" s="12" t="str">
        <x:v>IT &amp; digital</x:v>
      </x:c>
      <x:c r="K5896" s="2" t="str">
        <x:v>PARTNER-M308</x:v>
      </x:c>
    </x:row>
    <x:row r="5897" ht="46" customHeight="1">
      <x:c r="A5897" s="2" t="str">
        <x:v>TEN-2F2EE24ED078</x:v>
      </x:c>
      <x:c r="B5897" s="12" t="str">
        <x:v>SMSCountry</x:v>
      </x:c>
      <x:c r="C5897" s="12" t="str">
        <x:v>CORP-0725</x:v>
      </x:c>
      <x:c r="D5897" s="12" t="str">
        <x:v>Hyderabad</x:v>
      </x:c>
      <x:c r="E5897" s="12" t="str">
        <x:v>Aurobindo Galaxy</x:v>
      </x:c>
      <x:c r="F5897" s="12" t="str">
        <x:v>55 inch</x:v>
      </x:c>
      <x:c r="G5897" s="20" t="n">
        <x:v>1</x:v>
      </x:c>
      <x:c r="H5897" s="12" t="str">
        <x:v>Campus/portfolio roster; individual building occupancy unverified</x:v>
      </x:c>
      <x:c r="I5897" s="12" t="str">
        <x:v>Small-scale prospects</x:v>
      </x:c>
      <x:c r="J5897" s="12" t="str">
        <x:v>IT &amp; digital</x:v>
      </x:c>
      <x:c r="K5897" s="2" t="str">
        <x:v>PARTNER-M308</x:v>
      </x:c>
    </x:row>
    <x:row r="5898" ht="46" customHeight="1">
      <x:c r="A5898" s="2" t="str">
        <x:v>TEN-52A348458B44</x:v>
      </x:c>
      <x:c r="B5898" s="12" t="str">
        <x:v>Cohance Lifesciences</x:v>
      </x:c>
      <x:c r="C5898" s="12" t="str">
        <x:v>CORP-0725</x:v>
      </x:c>
      <x:c r="D5898" s="12" t="str">
        <x:v>Hyderabad</x:v>
      </x:c>
      <x:c r="E5898" s="12" t="str">
        <x:v>Aurobindo Galaxy</x:v>
      </x:c>
      <x:c r="F5898" s="12" t="str">
        <x:v>55 inch</x:v>
      </x:c>
      <x:c r="G5898" s="20" t="n">
        <x:v>1</x:v>
      </x:c>
      <x:c r="H5898" s="12" t="str">
        <x:v>Campus/portfolio roster; individual building occupancy unverified</x:v>
      </x:c>
      <x:c r="I5898" s="12" t="str">
        <x:v>Mixed business audience</x:v>
      </x:c>
      <x:c r="J5898" s="12" t="str">
        <x:v>Healthcare &amp; life sciences</x:v>
      </x:c>
      <x:c r="K5898" s="2" t="str">
        <x:v>PARTNER-M308</x:v>
      </x:c>
    </x:row>
    <x:row r="5899" ht="46" customHeight="1">
      <x:c r="A5899" s="2" t="str">
        <x:v>TEN-564B6BFAB738</x:v>
      </x:c>
      <x:c r="B5899" s="12" t="str">
        <x:v>Renault Nissan Technology &amp; Business Center India</x:v>
      </x:c>
      <x:c r="C5899" s="12" t="str">
        <x:v>CORP-0725</x:v>
      </x:c>
      <x:c r="D5899" s="12" t="str">
        <x:v>Hyderabad</x:v>
      </x:c>
      <x:c r="E5899" s="12" t="str">
        <x:v>Aurobindo Galaxy</x:v>
      </x:c>
      <x:c r="F5899" s="12" t="str">
        <x:v>55 inch</x:v>
      </x:c>
      <x:c r="G5899" s="20" t="n">
        <x:v>1</x:v>
      </x:c>
      <x:c r="H5899" s="12" t="str">
        <x:v>Campus/portfolio roster; individual building occupancy unverified</x:v>
      </x:c>
      <x:c r="I5899" s="12" t="str">
        <x:v>Mixed business audience</x:v>
      </x:c>
      <x:c r="J5899" s="12" t="str">
        <x:v>Engineering &amp; manufacturing</x:v>
      </x:c>
      <x:c r="K5899" s="2" t="str">
        <x:v>PARTNER-M308</x:v>
      </x:c>
    </x:row>
    <x:row r="5900" ht="46" customHeight="1">
      <x:c r="A5900" s="2" t="str">
        <x:v>TEN-5F079A2B9BA5</x:v>
      </x:c>
      <x:c r="B5900" s="12" t="str">
        <x:v>Solenis GSS India Private Limited</x:v>
      </x:c>
      <x:c r="C5900" s="12" t="str">
        <x:v>CORP-0725</x:v>
      </x:c>
      <x:c r="D5900" s="12" t="str">
        <x:v>Hyderabad</x:v>
      </x:c>
      <x:c r="E5900" s="12" t="str">
        <x:v>Aurobindo Galaxy</x:v>
      </x:c>
      <x:c r="F5900" s="12" t="str">
        <x:v>55 inch</x:v>
      </x:c>
      <x:c r="G5900" s="20" t="n">
        <x:v>1</x:v>
      </x:c>
      <x:c r="H5900" s="12" t="str">
        <x:v>Campus/portfolio roster; individual building occupancy unverified</x:v>
      </x:c>
      <x:c r="I5900" s="12" t="str">
        <x:v>Mixed business audience</x:v>
      </x:c>
      <x:c r="J5900" s="12" t="str">
        <x:v>Engineering &amp; manufacturing</x:v>
      </x:c>
      <x:c r="K5900" s="2" t="str">
        <x:v>PARTNER-M308</x:v>
      </x:c>
    </x:row>
    <x:row r="5901" ht="46" customHeight="1">
      <x:c r="A5901" s="2" t="str">
        <x:v>TEN-6D3FD8E92D3B</x:v>
      </x:c>
      <x:c r="B5901" s="12" t="str">
        <x:v>Columbus Global India</x:v>
      </x:c>
      <x:c r="C5901" s="12" t="str">
        <x:v>CORP-0725</x:v>
      </x:c>
      <x:c r="D5901" s="12" t="str">
        <x:v>Hyderabad</x:v>
      </x:c>
      <x:c r="E5901" s="12" t="str">
        <x:v>Aurobindo Galaxy</x:v>
      </x:c>
      <x:c r="F5901" s="12" t="str">
        <x:v>55 inch</x:v>
      </x:c>
      <x:c r="G5901" s="20" t="n">
        <x:v>1</x:v>
      </x:c>
      <x:c r="H5901" s="12" t="str">
        <x:v>Campus/portfolio roster; individual building occupancy unverified</x:v>
      </x:c>
      <x:c r="I5901" s="12" t="str">
        <x:v>Mixed business audience</x:v>
      </x:c>
      <x:c r="J5901" s="12" t="str">
        <x:v>IT &amp; digital</x:v>
      </x:c>
      <x:c r="K5901" s="2" t="str">
        <x:v>PARTNER-M308</x:v>
      </x:c>
    </x:row>
    <x:row r="5902" ht="46" customHeight="1">
      <x:c r="A5902" s="2" t="str">
        <x:v>TEN-71B3D21F0CCC</x:v>
      </x:c>
      <x:c r="B5902" s="12" t="str">
        <x:v>DAZN SOFTWARE PRIVATE LIMITED</x:v>
      </x:c>
      <x:c r="C5902" s="12" t="str">
        <x:v>CORP-0725</x:v>
      </x:c>
      <x:c r="D5902" s="12" t="str">
        <x:v>Hyderabad</x:v>
      </x:c>
      <x:c r="E5902" s="12" t="str">
        <x:v>Aurobindo Galaxy</x:v>
      </x:c>
      <x:c r="F5902" s="12" t="str">
        <x:v>55 inch</x:v>
      </x:c>
      <x:c r="G5902" s="20" t="n">
        <x:v>1</x:v>
      </x:c>
      <x:c r="H5902" s="12" t="str">
        <x:v>Campus/portfolio roster; individual building occupancy unverified</x:v>
      </x:c>
      <x:c r="I5902" s="12" t="str">
        <x:v>Mixed business audience</x:v>
      </x:c>
      <x:c r="J5902" s="12" t="str">
        <x:v>IT &amp; digital</x:v>
      </x:c>
      <x:c r="K5902" s="2" t="str">
        <x:v>PARTNER-M308</x:v>
      </x:c>
    </x:row>
    <x:row r="5903" ht="46" customHeight="1">
      <x:c r="A5903" s="2" t="str">
        <x:v>TEN-71E01020DF68</x:v>
      </x:c>
      <x:c r="B5903" s="12" t="str">
        <x:v>coMakeIT Software Pvt Ltd</x:v>
      </x:c>
      <x:c r="C5903" s="12" t="str">
        <x:v>CORP-0725</x:v>
      </x:c>
      <x:c r="D5903" s="12" t="str">
        <x:v>Hyderabad</x:v>
      </x:c>
      <x:c r="E5903" s="12" t="str">
        <x:v>Aurobindo Galaxy</x:v>
      </x:c>
      <x:c r="F5903" s="12" t="str">
        <x:v>55 inch</x:v>
      </x:c>
      <x:c r="G5903" s="20" t="n">
        <x:v>1</x:v>
      </x:c>
      <x:c r="H5903" s="12" t="str">
        <x:v>Campus/portfolio roster; individual building occupancy unverified</x:v>
      </x:c>
      <x:c r="I5903" s="12" t="str">
        <x:v>Mixed business audience</x:v>
      </x:c>
      <x:c r="J5903" s="12" t="str">
        <x:v>IT &amp; digital</x:v>
      </x:c>
      <x:c r="K5903" s="2" t="str">
        <x:v>PARTNER-M308</x:v>
      </x:c>
    </x:row>
    <x:row r="5904" ht="46" customHeight="1">
      <x:c r="A5904" s="2" t="str">
        <x:v>TEN-92B63CC8EFA5</x:v>
      </x:c>
      <x:c r="B5904" s="12" t="str">
        <x:v>Cotiviti India</x:v>
      </x:c>
      <x:c r="C5904" s="12" t="str">
        <x:v>CORP-0725</x:v>
      </x:c>
      <x:c r="D5904" s="12" t="str">
        <x:v>Hyderabad</x:v>
      </x:c>
      <x:c r="E5904" s="12" t="str">
        <x:v>Aurobindo Galaxy</x:v>
      </x:c>
      <x:c r="F5904" s="12" t="str">
        <x:v>55 inch</x:v>
      </x:c>
      <x:c r="G5904" s="20" t="n">
        <x:v>1</x:v>
      </x:c>
      <x:c r="H5904" s="12" t="str">
        <x:v>Campus/portfolio roster; individual building occupancy unverified</x:v>
      </x:c>
      <x:c r="I5904" s="12" t="str">
        <x:v>Mixed business audience</x:v>
      </x:c>
      <x:c r="J5904" s="12" t="str">
        <x:v>IT &amp; digital</x:v>
      </x:c>
      <x:c r="K5904" s="2" t="str">
        <x:v>PARTNER-M308</x:v>
      </x:c>
    </x:row>
    <x:row r="5905" ht="46" customHeight="1">
      <x:c r="A5905" s="2" t="str">
        <x:v>TEN-9F938B95F156</x:v>
      </x:c>
      <x:c r="B5905" s="12" t="str">
        <x:v>RightData Labs Pvt Ltd</x:v>
      </x:c>
      <x:c r="C5905" s="12" t="str">
        <x:v>CORP-0725</x:v>
      </x:c>
      <x:c r="D5905" s="12" t="str">
        <x:v>Hyderabad</x:v>
      </x:c>
      <x:c r="E5905" s="12" t="str">
        <x:v>Aurobindo Galaxy</x:v>
      </x:c>
      <x:c r="F5905" s="12" t="str">
        <x:v>55 inch</x:v>
      </x:c>
      <x:c r="G5905" s="20" t="n">
        <x:v>1</x:v>
      </x:c>
      <x:c r="H5905" s="12" t="str">
        <x:v>Campus/portfolio roster; individual building occupancy unverified</x:v>
      </x:c>
      <x:c r="I5905" s="12" t="str">
        <x:v>Small-scale prospects</x:v>
      </x:c>
      <x:c r="J5905" s="12" t="str">
        <x:v>IT &amp; digital</x:v>
      </x:c>
      <x:c r="K5905" s="2" t="str">
        <x:v>PARTNER-M308</x:v>
      </x:c>
    </x:row>
    <x:row r="5906" ht="46" customHeight="1">
      <x:c r="A5906" s="2" t="str">
        <x:v>TEN-B4D82B3F4A64</x:v>
      </x:c>
      <x:c r="B5906" s="12" t="str">
        <x:v>Quantela</x:v>
      </x:c>
      <x:c r="C5906" s="12" t="str">
        <x:v>CORP-0725</x:v>
      </x:c>
      <x:c r="D5906" s="12" t="str">
        <x:v>Hyderabad</x:v>
      </x:c>
      <x:c r="E5906" s="12" t="str">
        <x:v>Aurobindo Galaxy</x:v>
      </x:c>
      <x:c r="F5906" s="12" t="str">
        <x:v>55 inch</x:v>
      </x:c>
      <x:c r="G5906" s="20" t="n">
        <x:v>1</x:v>
      </x:c>
      <x:c r="H5906" s="12" t="str">
        <x:v>Campus/portfolio roster; individual building occupancy unverified</x:v>
      </x:c>
      <x:c r="I5906" s="12" t="str">
        <x:v>Small-scale prospects</x:v>
      </x:c>
      <x:c r="J5906" s="12" t="str">
        <x:v>IT &amp; digital</x:v>
      </x:c>
      <x:c r="K5906" s="2" t="str">
        <x:v>PARTNER-M308</x:v>
      </x:c>
    </x:row>
    <x:row r="5907" ht="46" customHeight="1">
      <x:c r="A5907" s="2" t="str">
        <x:v>TEN-B68EE3D6C8CA</x:v>
      </x:c>
      <x:c r="B5907" s="12" t="str">
        <x:v>Smartworks</x:v>
      </x:c>
      <x:c r="C5907" s="12" t="str">
        <x:v>CORP-0725</x:v>
      </x:c>
      <x:c r="D5907" s="12" t="str">
        <x:v>Hyderabad</x:v>
      </x:c>
      <x:c r="E5907" s="12" t="str">
        <x:v>Aurobindo Galaxy</x:v>
      </x:c>
      <x:c r="F5907" s="12" t="str">
        <x:v>55 inch</x:v>
      </x:c>
      <x:c r="G5907" s="20" t="n">
        <x:v>1</x:v>
      </x:c>
      <x:c r="H5907" s="12" t="str">
        <x:v>Campus/portfolio roster; individual building occupancy unverified</x:v>
      </x:c>
      <x:c r="I5907" s="12" t="str">
        <x:v>Mixed business audience</x:v>
      </x:c>
      <x:c r="J5907" s="12" t="str">
        <x:v>Workspace &amp; property operations</x:v>
      </x:c>
      <x:c r="K5907" s="2" t="str">
        <x:v>PARTNER-M308</x:v>
      </x:c>
    </x:row>
    <x:row r="5908" ht="46" customHeight="1">
      <x:c r="A5908" s="2" t="str">
        <x:v>TEN-D2D88D6E7476</x:v>
      </x:c>
      <x:c r="B5908" s="12" t="str">
        <x:v>Sourcefuse</x:v>
      </x:c>
      <x:c r="C5908" s="12" t="str">
        <x:v>CORP-0725</x:v>
      </x:c>
      <x:c r="D5908" s="12" t="str">
        <x:v>Hyderabad</x:v>
      </x:c>
      <x:c r="E5908" s="12" t="str">
        <x:v>Aurobindo Galaxy</x:v>
      </x:c>
      <x:c r="F5908" s="12" t="str">
        <x:v>55 inch</x:v>
      </x:c>
      <x:c r="G5908" s="20" t="n">
        <x:v>1</x:v>
      </x:c>
      <x:c r="H5908" s="12" t="str">
        <x:v>Campus/portfolio roster; individual building occupancy unverified</x:v>
      </x:c>
      <x:c r="I5908" s="12" t="str">
        <x:v>Small-scale prospects</x:v>
      </x:c>
      <x:c r="J5908" s="12" t="str">
        <x:v>IT &amp; digital</x:v>
      </x:c>
      <x:c r="K5908" s="2" t="str">
        <x:v>PARTNER-M308</x:v>
      </x:c>
    </x:row>
    <x:row r="5909" ht="46" customHeight="1">
      <x:c r="A5909" s="2" t="str">
        <x:v>TEN-D37CD0DDC792</x:v>
      </x:c>
      <x:c r="B5909" s="12" t="str">
        <x:v>Re Sustainability Limited</x:v>
      </x:c>
      <x:c r="C5909" s="12" t="str">
        <x:v>CORP-0725</x:v>
      </x:c>
      <x:c r="D5909" s="12" t="str">
        <x:v>Hyderabad</x:v>
      </x:c>
      <x:c r="E5909" s="12" t="str">
        <x:v>Aurobindo Galaxy</x:v>
      </x:c>
      <x:c r="F5909" s="12" t="str">
        <x:v>55 inch</x:v>
      </x:c>
      <x:c r="G5909" s="20" t="n">
        <x:v>1</x:v>
      </x:c>
      <x:c r="H5909" s="12" t="str">
        <x:v>Campus/portfolio roster; individual building occupancy unverified</x:v>
      </x:c>
      <x:c r="I5909" s="12" t="str">
        <x:v>Mixed business audience</x:v>
      </x:c>
      <x:c r="J5909" s="12" t="str">
        <x:v>Engineering &amp; manufacturing</x:v>
      </x:c>
      <x:c r="K5909" s="2" t="str">
        <x:v>PARTNER-M308</x:v>
      </x:c>
    </x:row>
    <x:row r="5910" ht="46" customHeight="1">
      <x:c r="A5910" s="2" t="str">
        <x:v>TEN-285CEC965FE7</x:v>
      </x:c>
      <x:c r="B5910" s="12" t="str">
        <x:v>SenecaGlobal IT Services Private Limited</x:v>
      </x:c>
      <x:c r="C5910" s="12" t="str">
        <x:v>CORP-0726</x:v>
      </x:c>
      <x:c r="D5910" s="12" t="str">
        <x:v>Hyderabad</x:v>
      </x:c>
      <x:c r="E5910" s="12" t="str">
        <x:v>Aurobindo Galaxy</x:v>
      </x:c>
      <x:c r="F5910" s="12" t="str">
        <x:v>55 inch</x:v>
      </x:c>
      <x:c r="G5910" s="20" t="n">
        <x:v>1</x:v>
      </x:c>
      <x:c r="H5910" s="12" t="str">
        <x:v>Campus/portfolio roster; individual building occupancy unverified</x:v>
      </x:c>
      <x:c r="I5910" s="12" t="str">
        <x:v>Small-scale prospects</x:v>
      </x:c>
      <x:c r="J5910" s="12" t="str">
        <x:v>IT &amp; digital</x:v>
      </x:c>
      <x:c r="K5910" s="2" t="str">
        <x:v>PARTNER-M308</x:v>
      </x:c>
    </x:row>
    <x:row r="5911" ht="46" customHeight="1">
      <x:c r="A5911" s="2" t="str">
        <x:v>TEN-2F2EE24ED078</x:v>
      </x:c>
      <x:c r="B5911" s="12" t="str">
        <x:v>SMSCountry</x:v>
      </x:c>
      <x:c r="C5911" s="12" t="str">
        <x:v>CORP-0726</x:v>
      </x:c>
      <x:c r="D5911" s="12" t="str">
        <x:v>Hyderabad</x:v>
      </x:c>
      <x:c r="E5911" s="12" t="str">
        <x:v>Aurobindo Galaxy</x:v>
      </x:c>
      <x:c r="F5911" s="12" t="str">
        <x:v>55 inch</x:v>
      </x:c>
      <x:c r="G5911" s="20" t="n">
        <x:v>1</x:v>
      </x:c>
      <x:c r="H5911" s="12" t="str">
        <x:v>Campus/portfolio roster; individual building occupancy unverified</x:v>
      </x:c>
      <x:c r="I5911" s="12" t="str">
        <x:v>Small-scale prospects</x:v>
      </x:c>
      <x:c r="J5911" s="12" t="str">
        <x:v>IT &amp; digital</x:v>
      </x:c>
      <x:c r="K5911" s="2" t="str">
        <x:v>PARTNER-M308</x:v>
      </x:c>
    </x:row>
    <x:row r="5912" ht="46" customHeight="1">
      <x:c r="A5912" s="2" t="str">
        <x:v>TEN-52A348458B44</x:v>
      </x:c>
      <x:c r="B5912" s="12" t="str">
        <x:v>Cohance Lifesciences</x:v>
      </x:c>
      <x:c r="C5912" s="12" t="str">
        <x:v>CORP-0726</x:v>
      </x:c>
      <x:c r="D5912" s="12" t="str">
        <x:v>Hyderabad</x:v>
      </x:c>
      <x:c r="E5912" s="12" t="str">
        <x:v>Aurobindo Galaxy</x:v>
      </x:c>
      <x:c r="F5912" s="12" t="str">
        <x:v>55 inch</x:v>
      </x:c>
      <x:c r="G5912" s="20" t="n">
        <x:v>1</x:v>
      </x:c>
      <x:c r="H5912" s="12" t="str">
        <x:v>Campus/portfolio roster; individual building occupancy unverified</x:v>
      </x:c>
      <x:c r="I5912" s="12" t="str">
        <x:v>Mixed business audience</x:v>
      </x:c>
      <x:c r="J5912" s="12" t="str">
        <x:v>Healthcare &amp; life sciences</x:v>
      </x:c>
      <x:c r="K5912" s="2" t="str">
        <x:v>PARTNER-M308</x:v>
      </x:c>
    </x:row>
    <x:row r="5913" ht="46" customHeight="1">
      <x:c r="A5913" s="2" t="str">
        <x:v>TEN-564B6BFAB738</x:v>
      </x:c>
      <x:c r="B5913" s="12" t="str">
        <x:v>Renault Nissan Technology &amp; Business Center India</x:v>
      </x:c>
      <x:c r="C5913" s="12" t="str">
        <x:v>CORP-0726</x:v>
      </x:c>
      <x:c r="D5913" s="12" t="str">
        <x:v>Hyderabad</x:v>
      </x:c>
      <x:c r="E5913" s="12" t="str">
        <x:v>Aurobindo Galaxy</x:v>
      </x:c>
      <x:c r="F5913" s="12" t="str">
        <x:v>55 inch</x:v>
      </x:c>
      <x:c r="G5913" s="20" t="n">
        <x:v>1</x:v>
      </x:c>
      <x:c r="H5913" s="12" t="str">
        <x:v>Campus/portfolio roster; individual building occupancy unverified</x:v>
      </x:c>
      <x:c r="I5913" s="12" t="str">
        <x:v>Mixed business audience</x:v>
      </x:c>
      <x:c r="J5913" s="12" t="str">
        <x:v>Engineering &amp; manufacturing</x:v>
      </x:c>
      <x:c r="K5913" s="2" t="str">
        <x:v>PARTNER-M308</x:v>
      </x:c>
    </x:row>
    <x:row r="5914" ht="46" customHeight="1">
      <x:c r="A5914" s="2" t="str">
        <x:v>TEN-5F079A2B9BA5</x:v>
      </x:c>
      <x:c r="B5914" s="12" t="str">
        <x:v>Solenis GSS India Private Limited</x:v>
      </x:c>
      <x:c r="C5914" s="12" t="str">
        <x:v>CORP-0726</x:v>
      </x:c>
      <x:c r="D5914" s="12" t="str">
        <x:v>Hyderabad</x:v>
      </x:c>
      <x:c r="E5914" s="12" t="str">
        <x:v>Aurobindo Galaxy</x:v>
      </x:c>
      <x:c r="F5914" s="12" t="str">
        <x:v>55 inch</x:v>
      </x:c>
      <x:c r="G5914" s="20" t="n">
        <x:v>1</x:v>
      </x:c>
      <x:c r="H5914" s="12" t="str">
        <x:v>Campus/portfolio roster; individual building occupancy unverified</x:v>
      </x:c>
      <x:c r="I5914" s="12" t="str">
        <x:v>Mixed business audience</x:v>
      </x:c>
      <x:c r="J5914" s="12" t="str">
        <x:v>Engineering &amp; manufacturing</x:v>
      </x:c>
      <x:c r="K5914" s="2" t="str">
        <x:v>PARTNER-M308</x:v>
      </x:c>
    </x:row>
    <x:row r="5915" ht="46" customHeight="1">
      <x:c r="A5915" s="2" t="str">
        <x:v>TEN-6D3FD8E92D3B</x:v>
      </x:c>
      <x:c r="B5915" s="12" t="str">
        <x:v>Columbus Global India</x:v>
      </x:c>
      <x:c r="C5915" s="12" t="str">
        <x:v>CORP-0726</x:v>
      </x:c>
      <x:c r="D5915" s="12" t="str">
        <x:v>Hyderabad</x:v>
      </x:c>
      <x:c r="E5915" s="12" t="str">
        <x:v>Aurobindo Galaxy</x:v>
      </x:c>
      <x:c r="F5915" s="12" t="str">
        <x:v>55 inch</x:v>
      </x:c>
      <x:c r="G5915" s="20" t="n">
        <x:v>1</x:v>
      </x:c>
      <x:c r="H5915" s="12" t="str">
        <x:v>Campus/portfolio roster; individual building occupancy unverified</x:v>
      </x:c>
      <x:c r="I5915" s="12" t="str">
        <x:v>Mixed business audience</x:v>
      </x:c>
      <x:c r="J5915" s="12" t="str">
        <x:v>IT &amp; digital</x:v>
      </x:c>
      <x:c r="K5915" s="2" t="str">
        <x:v>PARTNER-M308</x:v>
      </x:c>
    </x:row>
    <x:row r="5916" ht="46" customHeight="1">
      <x:c r="A5916" s="2" t="str">
        <x:v>TEN-71B3D21F0CCC</x:v>
      </x:c>
      <x:c r="B5916" s="12" t="str">
        <x:v>DAZN SOFTWARE PRIVATE LIMITED</x:v>
      </x:c>
      <x:c r="C5916" s="12" t="str">
        <x:v>CORP-0726</x:v>
      </x:c>
      <x:c r="D5916" s="12" t="str">
        <x:v>Hyderabad</x:v>
      </x:c>
      <x:c r="E5916" s="12" t="str">
        <x:v>Aurobindo Galaxy</x:v>
      </x:c>
      <x:c r="F5916" s="12" t="str">
        <x:v>55 inch</x:v>
      </x:c>
      <x:c r="G5916" s="20" t="n">
        <x:v>1</x:v>
      </x:c>
      <x:c r="H5916" s="12" t="str">
        <x:v>Campus/portfolio roster; individual building occupancy unverified</x:v>
      </x:c>
      <x:c r="I5916" s="12" t="str">
        <x:v>Mixed business audience</x:v>
      </x:c>
      <x:c r="J5916" s="12" t="str">
        <x:v>IT &amp; digital</x:v>
      </x:c>
      <x:c r="K5916" s="2" t="str">
        <x:v>PARTNER-M308</x:v>
      </x:c>
    </x:row>
    <x:row r="5917" ht="46" customHeight="1">
      <x:c r="A5917" s="2" t="str">
        <x:v>TEN-71E01020DF68</x:v>
      </x:c>
      <x:c r="B5917" s="12" t="str">
        <x:v>coMakeIT Software Pvt Ltd</x:v>
      </x:c>
      <x:c r="C5917" s="12" t="str">
        <x:v>CORP-0726</x:v>
      </x:c>
      <x:c r="D5917" s="12" t="str">
        <x:v>Hyderabad</x:v>
      </x:c>
      <x:c r="E5917" s="12" t="str">
        <x:v>Aurobindo Galaxy</x:v>
      </x:c>
      <x:c r="F5917" s="12" t="str">
        <x:v>55 inch</x:v>
      </x:c>
      <x:c r="G5917" s="20" t="n">
        <x:v>1</x:v>
      </x:c>
      <x:c r="H5917" s="12" t="str">
        <x:v>Campus/portfolio roster; individual building occupancy unverified</x:v>
      </x:c>
      <x:c r="I5917" s="12" t="str">
        <x:v>Mixed business audience</x:v>
      </x:c>
      <x:c r="J5917" s="12" t="str">
        <x:v>IT &amp; digital</x:v>
      </x:c>
      <x:c r="K5917" s="2" t="str">
        <x:v>PARTNER-M308</x:v>
      </x:c>
    </x:row>
    <x:row r="5918" ht="46" customHeight="1">
      <x:c r="A5918" s="2" t="str">
        <x:v>TEN-92B63CC8EFA5</x:v>
      </x:c>
      <x:c r="B5918" s="12" t="str">
        <x:v>Cotiviti India</x:v>
      </x:c>
      <x:c r="C5918" s="12" t="str">
        <x:v>CORP-0726</x:v>
      </x:c>
      <x:c r="D5918" s="12" t="str">
        <x:v>Hyderabad</x:v>
      </x:c>
      <x:c r="E5918" s="12" t="str">
        <x:v>Aurobindo Galaxy</x:v>
      </x:c>
      <x:c r="F5918" s="12" t="str">
        <x:v>55 inch</x:v>
      </x:c>
      <x:c r="G5918" s="20" t="n">
        <x:v>1</x:v>
      </x:c>
      <x:c r="H5918" s="12" t="str">
        <x:v>Campus/portfolio roster; individual building occupancy unverified</x:v>
      </x:c>
      <x:c r="I5918" s="12" t="str">
        <x:v>Mixed business audience</x:v>
      </x:c>
      <x:c r="J5918" s="12" t="str">
        <x:v>IT &amp; digital</x:v>
      </x:c>
      <x:c r="K5918" s="2" t="str">
        <x:v>PARTNER-M308</x:v>
      </x:c>
    </x:row>
    <x:row r="5919" ht="46" customHeight="1">
      <x:c r="A5919" s="2" t="str">
        <x:v>TEN-9F938B95F156</x:v>
      </x:c>
      <x:c r="B5919" s="12" t="str">
        <x:v>RightData Labs Pvt Ltd</x:v>
      </x:c>
      <x:c r="C5919" s="12" t="str">
        <x:v>CORP-0726</x:v>
      </x:c>
      <x:c r="D5919" s="12" t="str">
        <x:v>Hyderabad</x:v>
      </x:c>
      <x:c r="E5919" s="12" t="str">
        <x:v>Aurobindo Galaxy</x:v>
      </x:c>
      <x:c r="F5919" s="12" t="str">
        <x:v>55 inch</x:v>
      </x:c>
      <x:c r="G5919" s="20" t="n">
        <x:v>1</x:v>
      </x:c>
      <x:c r="H5919" s="12" t="str">
        <x:v>Campus/portfolio roster; individual building occupancy unverified</x:v>
      </x:c>
      <x:c r="I5919" s="12" t="str">
        <x:v>Small-scale prospects</x:v>
      </x:c>
      <x:c r="J5919" s="12" t="str">
        <x:v>IT &amp; digital</x:v>
      </x:c>
      <x:c r="K5919" s="2" t="str">
        <x:v>PARTNER-M308</x:v>
      </x:c>
    </x:row>
    <x:row r="5920" ht="46" customHeight="1">
      <x:c r="A5920" s="2" t="str">
        <x:v>TEN-B4D82B3F4A64</x:v>
      </x:c>
      <x:c r="B5920" s="12" t="str">
        <x:v>Quantela</x:v>
      </x:c>
      <x:c r="C5920" s="12" t="str">
        <x:v>CORP-0726</x:v>
      </x:c>
      <x:c r="D5920" s="12" t="str">
        <x:v>Hyderabad</x:v>
      </x:c>
      <x:c r="E5920" s="12" t="str">
        <x:v>Aurobindo Galaxy</x:v>
      </x:c>
      <x:c r="F5920" s="12" t="str">
        <x:v>55 inch</x:v>
      </x:c>
      <x:c r="G5920" s="20" t="n">
        <x:v>1</x:v>
      </x:c>
      <x:c r="H5920" s="12" t="str">
        <x:v>Campus/portfolio roster; individual building occupancy unverified</x:v>
      </x:c>
      <x:c r="I5920" s="12" t="str">
        <x:v>Small-scale prospects</x:v>
      </x:c>
      <x:c r="J5920" s="12" t="str">
        <x:v>IT &amp; digital</x:v>
      </x:c>
      <x:c r="K5920" s="2" t="str">
        <x:v>PARTNER-M308</x:v>
      </x:c>
    </x:row>
    <x:row r="5921" ht="46" customHeight="1">
      <x:c r="A5921" s="2" t="str">
        <x:v>TEN-B68EE3D6C8CA</x:v>
      </x:c>
      <x:c r="B5921" s="12" t="str">
        <x:v>Smartworks</x:v>
      </x:c>
      <x:c r="C5921" s="12" t="str">
        <x:v>CORP-0726</x:v>
      </x:c>
      <x:c r="D5921" s="12" t="str">
        <x:v>Hyderabad</x:v>
      </x:c>
      <x:c r="E5921" s="12" t="str">
        <x:v>Aurobindo Galaxy</x:v>
      </x:c>
      <x:c r="F5921" s="12" t="str">
        <x:v>55 inch</x:v>
      </x:c>
      <x:c r="G5921" s="20" t="n">
        <x:v>1</x:v>
      </x:c>
      <x:c r="H5921" s="12" t="str">
        <x:v>Campus/portfolio roster; individual building occupancy unverified</x:v>
      </x:c>
      <x:c r="I5921" s="12" t="str">
        <x:v>Mixed business audience</x:v>
      </x:c>
      <x:c r="J5921" s="12" t="str">
        <x:v>Workspace &amp; property operations</x:v>
      </x:c>
      <x:c r="K5921" s="2" t="str">
        <x:v>PARTNER-M308</x:v>
      </x:c>
    </x:row>
    <x:row r="5922" ht="46" customHeight="1">
      <x:c r="A5922" s="2" t="str">
        <x:v>TEN-D2D88D6E7476</x:v>
      </x:c>
      <x:c r="B5922" s="12" t="str">
        <x:v>Sourcefuse</x:v>
      </x:c>
      <x:c r="C5922" s="12" t="str">
        <x:v>CORP-0726</x:v>
      </x:c>
      <x:c r="D5922" s="12" t="str">
        <x:v>Hyderabad</x:v>
      </x:c>
      <x:c r="E5922" s="12" t="str">
        <x:v>Aurobindo Galaxy</x:v>
      </x:c>
      <x:c r="F5922" s="12" t="str">
        <x:v>55 inch</x:v>
      </x:c>
      <x:c r="G5922" s="20" t="n">
        <x:v>1</x:v>
      </x:c>
      <x:c r="H5922" s="12" t="str">
        <x:v>Campus/portfolio roster; individual building occupancy unverified</x:v>
      </x:c>
      <x:c r="I5922" s="12" t="str">
        <x:v>Small-scale prospects</x:v>
      </x:c>
      <x:c r="J5922" s="12" t="str">
        <x:v>IT &amp; digital</x:v>
      </x:c>
      <x:c r="K5922" s="2" t="str">
        <x:v>PARTNER-M308</x:v>
      </x:c>
    </x:row>
    <x:row r="5923" ht="46" customHeight="1">
      <x:c r="A5923" s="2" t="str">
        <x:v>TEN-D37CD0DDC792</x:v>
      </x:c>
      <x:c r="B5923" s="12" t="str">
        <x:v>Re Sustainability Limited</x:v>
      </x:c>
      <x:c r="C5923" s="12" t="str">
        <x:v>CORP-0726</x:v>
      </x:c>
      <x:c r="D5923" s="12" t="str">
        <x:v>Hyderabad</x:v>
      </x:c>
      <x:c r="E5923" s="12" t="str">
        <x:v>Aurobindo Galaxy</x:v>
      </x:c>
      <x:c r="F5923" s="12" t="str">
        <x:v>55 inch</x:v>
      </x:c>
      <x:c r="G5923" s="20" t="n">
        <x:v>1</x:v>
      </x:c>
      <x:c r="H5923" s="12" t="str">
        <x:v>Campus/portfolio roster; individual building occupancy unverified</x:v>
      </x:c>
      <x:c r="I5923" s="12" t="str">
        <x:v>Mixed business audience</x:v>
      </x:c>
      <x:c r="J5923" s="12" t="str">
        <x:v>Engineering &amp; manufacturing</x:v>
      </x:c>
      <x:c r="K5923" s="2" t="str">
        <x:v>PARTNER-M308</x:v>
      </x:c>
    </x:row>
    <x:row r="5924" ht="46" customHeight="1">
      <x:c r="A5924" s="2" t="str">
        <x:v>TEN-03BAC00D147B</x:v>
      </x:c>
      <x:c r="B5924" s="12" t="str">
        <x:v>Bell Techlogix India Private Limited</x:v>
      </x:c>
      <x:c r="C5924" s="12" t="str">
        <x:v>CORP-0727</x:v>
      </x:c>
      <x:c r="D5924" s="12" t="str">
        <x:v>Hyderabad</x:v>
      </x:c>
      <x:c r="E5924" s="12" t="str">
        <x:v>Prestige Skytech </x:v>
      </x:c>
      <x:c r="F5924" s="12" t="str">
        <x:v>55 inch</x:v>
      </x:c>
      <x:c r="G5924" s="20" t="n">
        <x:v>1</x:v>
      </x:c>
      <x:c r="H5924" s="12" t="str">
        <x:v>Campus/portfolio roster; individual building occupancy unverified</x:v>
      </x:c>
      <x:c r="I5924" s="12" t="str">
        <x:v>Small-scale prospects</x:v>
      </x:c>
      <x:c r="J5924" s="12" t="str">
        <x:v>IT &amp; digital</x:v>
      </x:c>
      <x:c r="K5924" s="2" t="str">
        <x:v>PARTNER-M312</x:v>
      </x:c>
    </x:row>
    <x:row r="5925" ht="46" customHeight="1">
      <x:c r="A5925" s="2" t="str">
        <x:v>TEN-071CA7784A7E</x:v>
      </x:c>
      <x:c r="B5925" s="12" t="str">
        <x:v>Win Information Technology Pvt Ltd</x:v>
      </x:c>
      <x:c r="C5925" s="12" t="str">
        <x:v>CORP-0727</x:v>
      </x:c>
      <x:c r="D5925" s="12" t="str">
        <x:v>Hyderabad</x:v>
      </x:c>
      <x:c r="E5925" s="12" t="str">
        <x:v>Prestige Skytech </x:v>
      </x:c>
      <x:c r="F5925" s="12" t="str">
        <x:v>55 inch</x:v>
      </x:c>
      <x:c r="G5925" s="20" t="n">
        <x:v>1</x:v>
      </x:c>
      <x:c r="H5925" s="12" t="str">
        <x:v>Campus/portfolio roster; individual building occupancy unverified</x:v>
      </x:c>
      <x:c r="I5925" s="12" t="str">
        <x:v>Small-scale prospects</x:v>
      </x:c>
      <x:c r="J5925" s="12" t="str">
        <x:v>IT &amp; digital</x:v>
      </x:c>
      <x:c r="K5925" s="2" t="str">
        <x:v>PARTNER-M312</x:v>
      </x:c>
    </x:row>
    <x:row r="5926" ht="46" customHeight="1">
      <x:c r="A5926" s="2" t="str">
        <x:v>TEN-2DE7A99797BE</x:v>
      </x:c>
      <x:c r="B5926" s="12" t="str">
        <x:v>Entain India</x:v>
      </x:c>
      <x:c r="C5926" s="12" t="str">
        <x:v>CORP-0727</x:v>
      </x:c>
      <x:c r="D5926" s="12" t="str">
        <x:v>Hyderabad</x:v>
      </x:c>
      <x:c r="E5926" s="12" t="str">
        <x:v>Prestige Skytech </x:v>
      </x:c>
      <x:c r="F5926" s="12" t="str">
        <x:v>55 inch</x:v>
      </x:c>
      <x:c r="G5926" s="20" t="n">
        <x:v>1</x:v>
      </x:c>
      <x:c r="H5926" s="12" t="str">
        <x:v>Campus/portfolio roster; individual building occupancy unverified</x:v>
      </x:c>
      <x:c r="I5926" s="12" t="str">
        <x:v>Mixed business audience</x:v>
      </x:c>
      <x:c r="J5926" s="12" t="str">
        <x:v>Trade, consumer &amp; logistics</x:v>
      </x:c>
      <x:c r="K5926" s="2" t="str">
        <x:v>PARTNER-M312</x:v>
      </x:c>
    </x:row>
    <x:row r="5927" ht="46" customHeight="1">
      <x:c r="A5927" s="2" t="str">
        <x:v>TEN-32D5FF7368CA</x:v>
      </x:c>
      <x:c r="B5927" s="12" t="str">
        <x:v>Jade Global Software Pvt. Ltd</x:v>
      </x:c>
      <x:c r="C5927" s="12" t="str">
        <x:v>CORP-0727</x:v>
      </x:c>
      <x:c r="D5927" s="12" t="str">
        <x:v>Hyderabad</x:v>
      </x:c>
      <x:c r="E5927" s="12" t="str">
        <x:v>Prestige Skytech </x:v>
      </x:c>
      <x:c r="F5927" s="12" t="str">
        <x:v>55 inch</x:v>
      </x:c>
      <x:c r="G5927" s="20" t="n">
        <x:v>1</x:v>
      </x:c>
      <x:c r="H5927" s="12" t="str">
        <x:v>Campus/portfolio roster; individual building occupancy unverified</x:v>
      </x:c>
      <x:c r="I5927" s="12" t="str">
        <x:v>Mixed business audience</x:v>
      </x:c>
      <x:c r="J5927" s="12" t="str">
        <x:v>IT &amp; digital</x:v>
      </x:c>
      <x:c r="K5927" s="2" t="str">
        <x:v>PARTNER-M312</x:v>
      </x:c>
    </x:row>
    <x:row r="5928" ht="46" customHeight="1">
      <x:c r="A5928" s="2" t="str">
        <x:v>TEN-413BB748AA81</x:v>
      </x:c>
      <x:c r="B5928" s="12" t="str">
        <x:v>WNS Global Services</x:v>
      </x:c>
      <x:c r="C5928" s="12" t="str">
        <x:v>CORP-0727</x:v>
      </x:c>
      <x:c r="D5928" s="12" t="str">
        <x:v>Hyderabad</x:v>
      </x:c>
      <x:c r="E5928" s="12" t="str">
        <x:v>Prestige Skytech </x:v>
      </x:c>
      <x:c r="F5928" s="12" t="str">
        <x:v>55 inch</x:v>
      </x:c>
      <x:c r="G5928" s="20" t="n">
        <x:v>1</x:v>
      </x:c>
      <x:c r="H5928" s="12" t="str">
        <x:v>Campus/portfolio roster; individual building occupancy unverified</x:v>
      </x:c>
      <x:c r="I5928" s="12" t="str">
        <x:v>Mixed business audience</x:v>
      </x:c>
      <x:c r="J5928" s="12" t="str">
        <x:v>IT &amp; digital</x:v>
      </x:c>
      <x:c r="K5928" s="2" t="str">
        <x:v>PARTNER-M312</x:v>
      </x:c>
    </x:row>
    <x:row r="5929" ht="46" customHeight="1">
      <x:c r="A5929" s="2" t="str">
        <x:v>TEN-DCFBA15B3400</x:v>
      </x:c>
      <x:c r="B5929" s="12" t="str">
        <x:v>BodyScience Pilates</x:v>
      </x:c>
      <x:c r="C5929" s="12" t="str">
        <x:v>CORP-0727</x:v>
      </x:c>
      <x:c r="D5929" s="12" t="str">
        <x:v>Hyderabad</x:v>
      </x:c>
      <x:c r="E5929" s="12" t="str">
        <x:v>Prestige Skytech </x:v>
      </x:c>
      <x:c r="F5929" s="12" t="str">
        <x:v>55 inch</x:v>
      </x:c>
      <x:c r="G5929" s="20" t="n">
        <x:v>1</x:v>
      </x:c>
      <x:c r="H5929" s="12" t="str">
        <x:v>Campus/portfolio roster; individual building occupancy unverified</x:v>
      </x:c>
      <x:c r="I5929" s="12" t="str">
        <x:v>Small-scale prospects</x:v>
      </x:c>
      <x:c r="J5929" s="12" t="str">
        <x:v>Healthcare &amp; life sciences</x:v>
      </x:c>
      <x:c r="K5929" s="2" t="str">
        <x:v>PARTNER-M312</x:v>
      </x:c>
    </x:row>
    <x:row r="5930" ht="46" customHeight="1">
      <x:c r="A5930" s="2" t="str">
        <x:v>TEN-03BAC00D147B</x:v>
      </x:c>
      <x:c r="B5930" s="12" t="str">
        <x:v>Bell Techlogix India Private Limited</x:v>
      </x:c>
      <x:c r="C5930" s="12" t="str">
        <x:v>CORP-0728</x:v>
      </x:c>
      <x:c r="D5930" s="12" t="str">
        <x:v>Hyderabad</x:v>
      </x:c>
      <x:c r="E5930" s="12" t="str">
        <x:v>Prestige Skytech </x:v>
      </x:c>
      <x:c r="F5930" s="12" t="str">
        <x:v>55 inch</x:v>
      </x:c>
      <x:c r="G5930" s="20" t="n">
        <x:v>1</x:v>
      </x:c>
      <x:c r="H5930" s="12" t="str">
        <x:v>Campus/portfolio roster; individual building occupancy unverified</x:v>
      </x:c>
      <x:c r="I5930" s="12" t="str">
        <x:v>Small-scale prospects</x:v>
      </x:c>
      <x:c r="J5930" s="12" t="str">
        <x:v>IT &amp; digital</x:v>
      </x:c>
      <x:c r="K5930" s="2" t="str">
        <x:v>PARTNER-M312</x:v>
      </x:c>
    </x:row>
    <x:row r="5931" ht="46" customHeight="1">
      <x:c r="A5931" s="2" t="str">
        <x:v>TEN-071CA7784A7E</x:v>
      </x:c>
      <x:c r="B5931" s="12" t="str">
        <x:v>Win Information Technology Pvt Ltd</x:v>
      </x:c>
      <x:c r="C5931" s="12" t="str">
        <x:v>CORP-0728</x:v>
      </x:c>
      <x:c r="D5931" s="12" t="str">
        <x:v>Hyderabad</x:v>
      </x:c>
      <x:c r="E5931" s="12" t="str">
        <x:v>Prestige Skytech </x:v>
      </x:c>
      <x:c r="F5931" s="12" t="str">
        <x:v>55 inch</x:v>
      </x:c>
      <x:c r="G5931" s="20" t="n">
        <x:v>1</x:v>
      </x:c>
      <x:c r="H5931" s="12" t="str">
        <x:v>Campus/portfolio roster; individual building occupancy unverified</x:v>
      </x:c>
      <x:c r="I5931" s="12" t="str">
        <x:v>Small-scale prospects</x:v>
      </x:c>
      <x:c r="J5931" s="12" t="str">
        <x:v>IT &amp; digital</x:v>
      </x:c>
      <x:c r="K5931" s="2" t="str">
        <x:v>PARTNER-M312</x:v>
      </x:c>
    </x:row>
    <x:row r="5932" ht="46" customHeight="1">
      <x:c r="A5932" s="2" t="str">
        <x:v>TEN-2DE7A99797BE</x:v>
      </x:c>
      <x:c r="B5932" s="12" t="str">
        <x:v>Entain India</x:v>
      </x:c>
      <x:c r="C5932" s="12" t="str">
        <x:v>CORP-0728</x:v>
      </x:c>
      <x:c r="D5932" s="12" t="str">
        <x:v>Hyderabad</x:v>
      </x:c>
      <x:c r="E5932" s="12" t="str">
        <x:v>Prestige Skytech </x:v>
      </x:c>
      <x:c r="F5932" s="12" t="str">
        <x:v>55 inch</x:v>
      </x:c>
      <x:c r="G5932" s="20" t="n">
        <x:v>1</x:v>
      </x:c>
      <x:c r="H5932" s="12" t="str">
        <x:v>Campus/portfolio roster; individual building occupancy unverified</x:v>
      </x:c>
      <x:c r="I5932" s="12" t="str">
        <x:v>Mixed business audience</x:v>
      </x:c>
      <x:c r="J5932" s="12" t="str">
        <x:v>Trade, consumer &amp; logistics</x:v>
      </x:c>
      <x:c r="K5932" s="2" t="str">
        <x:v>PARTNER-M312</x:v>
      </x:c>
    </x:row>
    <x:row r="5933" ht="46" customHeight="1">
      <x:c r="A5933" s="2" t="str">
        <x:v>TEN-32D5FF7368CA</x:v>
      </x:c>
      <x:c r="B5933" s="12" t="str">
        <x:v>Jade Global Software Pvt. Ltd</x:v>
      </x:c>
      <x:c r="C5933" s="12" t="str">
        <x:v>CORP-0728</x:v>
      </x:c>
      <x:c r="D5933" s="12" t="str">
        <x:v>Hyderabad</x:v>
      </x:c>
      <x:c r="E5933" s="12" t="str">
        <x:v>Prestige Skytech </x:v>
      </x:c>
      <x:c r="F5933" s="12" t="str">
        <x:v>55 inch</x:v>
      </x:c>
      <x:c r="G5933" s="20" t="n">
        <x:v>1</x:v>
      </x:c>
      <x:c r="H5933" s="12" t="str">
        <x:v>Campus/portfolio roster; individual building occupancy unverified</x:v>
      </x:c>
      <x:c r="I5933" s="12" t="str">
        <x:v>Mixed business audience</x:v>
      </x:c>
      <x:c r="J5933" s="12" t="str">
        <x:v>IT &amp; digital</x:v>
      </x:c>
      <x:c r="K5933" s="2" t="str">
        <x:v>PARTNER-M312</x:v>
      </x:c>
    </x:row>
    <x:row r="5934" ht="46" customHeight="1">
      <x:c r="A5934" s="2" t="str">
        <x:v>TEN-413BB748AA81</x:v>
      </x:c>
      <x:c r="B5934" s="12" t="str">
        <x:v>WNS Global Services</x:v>
      </x:c>
      <x:c r="C5934" s="12" t="str">
        <x:v>CORP-0728</x:v>
      </x:c>
      <x:c r="D5934" s="12" t="str">
        <x:v>Hyderabad</x:v>
      </x:c>
      <x:c r="E5934" s="12" t="str">
        <x:v>Prestige Skytech </x:v>
      </x:c>
      <x:c r="F5934" s="12" t="str">
        <x:v>55 inch</x:v>
      </x:c>
      <x:c r="G5934" s="20" t="n">
        <x:v>1</x:v>
      </x:c>
      <x:c r="H5934" s="12" t="str">
        <x:v>Campus/portfolio roster; individual building occupancy unverified</x:v>
      </x:c>
      <x:c r="I5934" s="12" t="str">
        <x:v>Mixed business audience</x:v>
      </x:c>
      <x:c r="J5934" s="12" t="str">
        <x:v>IT &amp; digital</x:v>
      </x:c>
      <x:c r="K5934" s="2" t="str">
        <x:v>PARTNER-M312</x:v>
      </x:c>
    </x:row>
    <x:row r="5935" ht="46" customHeight="1">
      <x:c r="A5935" s="2" t="str">
        <x:v>TEN-DCFBA15B3400</x:v>
      </x:c>
      <x:c r="B5935" s="12" t="str">
        <x:v>BodyScience Pilates</x:v>
      </x:c>
      <x:c r="C5935" s="12" t="str">
        <x:v>CORP-0728</x:v>
      </x:c>
      <x:c r="D5935" s="12" t="str">
        <x:v>Hyderabad</x:v>
      </x:c>
      <x:c r="E5935" s="12" t="str">
        <x:v>Prestige Skytech </x:v>
      </x:c>
      <x:c r="F5935" s="12" t="str">
        <x:v>55 inch</x:v>
      </x:c>
      <x:c r="G5935" s="20" t="n">
        <x:v>1</x:v>
      </x:c>
      <x:c r="H5935" s="12" t="str">
        <x:v>Campus/portfolio roster; individual building occupancy unverified</x:v>
      </x:c>
      <x:c r="I5935" s="12" t="str">
        <x:v>Small-scale prospects</x:v>
      </x:c>
      <x:c r="J5935" s="12" t="str">
        <x:v>Healthcare &amp; life sciences</x:v>
      </x:c>
      <x:c r="K5935" s="2" t="str">
        <x:v>PARTNER-M312</x:v>
      </x:c>
    </x:row>
    <x:row r="5936" ht="46" customHeight="1">
      <x:c r="A5936" s="2" t="str">
        <x:v>TEN-03BAC00D147B</x:v>
      </x:c>
      <x:c r="B5936" s="12" t="str">
        <x:v>Bell Techlogix India Private Limited</x:v>
      </x:c>
      <x:c r="C5936" s="12" t="str">
        <x:v>CORP-0729</x:v>
      </x:c>
      <x:c r="D5936" s="12" t="str">
        <x:v>Hyderabad</x:v>
      </x:c>
      <x:c r="E5936" s="12" t="str">
        <x:v>Prestige Skytech </x:v>
      </x:c>
      <x:c r="F5936" s="12" t="str">
        <x:v>55 inch</x:v>
      </x:c>
      <x:c r="G5936" s="20" t="n">
        <x:v>1</x:v>
      </x:c>
      <x:c r="H5936" s="12" t="str">
        <x:v>Campus/portfolio roster; individual building occupancy unverified</x:v>
      </x:c>
      <x:c r="I5936" s="12" t="str">
        <x:v>Small-scale prospects</x:v>
      </x:c>
      <x:c r="J5936" s="12" t="str">
        <x:v>IT &amp; digital</x:v>
      </x:c>
      <x:c r="K5936" s="2" t="str">
        <x:v>PARTNER-M312</x:v>
      </x:c>
    </x:row>
    <x:row r="5937" ht="46" customHeight="1">
      <x:c r="A5937" s="2" t="str">
        <x:v>TEN-071CA7784A7E</x:v>
      </x:c>
      <x:c r="B5937" s="12" t="str">
        <x:v>Win Information Technology Pvt Ltd</x:v>
      </x:c>
      <x:c r="C5937" s="12" t="str">
        <x:v>CORP-0729</x:v>
      </x:c>
      <x:c r="D5937" s="12" t="str">
        <x:v>Hyderabad</x:v>
      </x:c>
      <x:c r="E5937" s="12" t="str">
        <x:v>Prestige Skytech </x:v>
      </x:c>
      <x:c r="F5937" s="12" t="str">
        <x:v>55 inch</x:v>
      </x:c>
      <x:c r="G5937" s="20" t="n">
        <x:v>1</x:v>
      </x:c>
      <x:c r="H5937" s="12" t="str">
        <x:v>Campus/portfolio roster; individual building occupancy unverified</x:v>
      </x:c>
      <x:c r="I5937" s="12" t="str">
        <x:v>Small-scale prospects</x:v>
      </x:c>
      <x:c r="J5937" s="12" t="str">
        <x:v>IT &amp; digital</x:v>
      </x:c>
      <x:c r="K5937" s="2" t="str">
        <x:v>PARTNER-M312</x:v>
      </x:c>
    </x:row>
    <x:row r="5938" ht="46" customHeight="1">
      <x:c r="A5938" s="2" t="str">
        <x:v>TEN-2DE7A99797BE</x:v>
      </x:c>
      <x:c r="B5938" s="12" t="str">
        <x:v>Entain India</x:v>
      </x:c>
      <x:c r="C5938" s="12" t="str">
        <x:v>CORP-0729</x:v>
      </x:c>
      <x:c r="D5938" s="12" t="str">
        <x:v>Hyderabad</x:v>
      </x:c>
      <x:c r="E5938" s="12" t="str">
        <x:v>Prestige Skytech </x:v>
      </x:c>
      <x:c r="F5938" s="12" t="str">
        <x:v>55 inch</x:v>
      </x:c>
      <x:c r="G5938" s="20" t="n">
        <x:v>1</x:v>
      </x:c>
      <x:c r="H5938" s="12" t="str">
        <x:v>Campus/portfolio roster; individual building occupancy unverified</x:v>
      </x:c>
      <x:c r="I5938" s="12" t="str">
        <x:v>Mixed business audience</x:v>
      </x:c>
      <x:c r="J5938" s="12" t="str">
        <x:v>Trade, consumer &amp; logistics</x:v>
      </x:c>
      <x:c r="K5938" s="2" t="str">
        <x:v>PARTNER-M312</x:v>
      </x:c>
    </x:row>
    <x:row r="5939" ht="46" customHeight="1">
      <x:c r="A5939" s="2" t="str">
        <x:v>TEN-32D5FF7368CA</x:v>
      </x:c>
      <x:c r="B5939" s="12" t="str">
        <x:v>Jade Global Software Pvt. Ltd</x:v>
      </x:c>
      <x:c r="C5939" s="12" t="str">
        <x:v>CORP-0729</x:v>
      </x:c>
      <x:c r="D5939" s="12" t="str">
        <x:v>Hyderabad</x:v>
      </x:c>
      <x:c r="E5939" s="12" t="str">
        <x:v>Prestige Skytech </x:v>
      </x:c>
      <x:c r="F5939" s="12" t="str">
        <x:v>55 inch</x:v>
      </x:c>
      <x:c r="G5939" s="20" t="n">
        <x:v>1</x:v>
      </x:c>
      <x:c r="H5939" s="12" t="str">
        <x:v>Campus/portfolio roster; individual building occupancy unverified</x:v>
      </x:c>
      <x:c r="I5939" s="12" t="str">
        <x:v>Mixed business audience</x:v>
      </x:c>
      <x:c r="J5939" s="12" t="str">
        <x:v>IT &amp; digital</x:v>
      </x:c>
      <x:c r="K5939" s="2" t="str">
        <x:v>PARTNER-M312</x:v>
      </x:c>
    </x:row>
    <x:row r="5940" ht="46" customHeight="1">
      <x:c r="A5940" s="2" t="str">
        <x:v>TEN-413BB748AA81</x:v>
      </x:c>
      <x:c r="B5940" s="12" t="str">
        <x:v>WNS Global Services</x:v>
      </x:c>
      <x:c r="C5940" s="12" t="str">
        <x:v>CORP-0729</x:v>
      </x:c>
      <x:c r="D5940" s="12" t="str">
        <x:v>Hyderabad</x:v>
      </x:c>
      <x:c r="E5940" s="12" t="str">
        <x:v>Prestige Skytech </x:v>
      </x:c>
      <x:c r="F5940" s="12" t="str">
        <x:v>55 inch</x:v>
      </x:c>
      <x:c r="G5940" s="20" t="n">
        <x:v>1</x:v>
      </x:c>
      <x:c r="H5940" s="12" t="str">
        <x:v>Campus/portfolio roster; individual building occupancy unverified</x:v>
      </x:c>
      <x:c r="I5940" s="12" t="str">
        <x:v>Mixed business audience</x:v>
      </x:c>
      <x:c r="J5940" s="12" t="str">
        <x:v>IT &amp; digital</x:v>
      </x:c>
      <x:c r="K5940" s="2" t="str">
        <x:v>PARTNER-M312</x:v>
      </x:c>
    </x:row>
    <x:row r="5941" ht="46" customHeight="1">
      <x:c r="A5941" s="2" t="str">
        <x:v>TEN-DCFBA15B3400</x:v>
      </x:c>
      <x:c r="B5941" s="12" t="str">
        <x:v>BodyScience Pilates</x:v>
      </x:c>
      <x:c r="C5941" s="12" t="str">
        <x:v>CORP-0729</x:v>
      </x:c>
      <x:c r="D5941" s="12" t="str">
        <x:v>Hyderabad</x:v>
      </x:c>
      <x:c r="E5941" s="12" t="str">
        <x:v>Prestige Skytech </x:v>
      </x:c>
      <x:c r="F5941" s="12" t="str">
        <x:v>55 inch</x:v>
      </x:c>
      <x:c r="G5941" s="20" t="n">
        <x:v>1</x:v>
      </x:c>
      <x:c r="H5941" s="12" t="str">
        <x:v>Campus/portfolio roster; individual building occupancy unverified</x:v>
      </x:c>
      <x:c r="I5941" s="12" t="str">
        <x:v>Small-scale prospects</x:v>
      </x:c>
      <x:c r="J5941" s="12" t="str">
        <x:v>Healthcare &amp; life sciences</x:v>
      </x:c>
      <x:c r="K5941" s="2" t="str">
        <x:v>PARTNER-M312</x:v>
      </x:c>
    </x:row>
    <x:row r="5942" ht="46" customHeight="1">
      <x:c r="A5942" s="2" t="str">
        <x:v>TEN-03BAC00D147B</x:v>
      </x:c>
      <x:c r="B5942" s="12" t="str">
        <x:v>Bell Techlogix India Private Limited</x:v>
      </x:c>
      <x:c r="C5942" s="12" t="str">
        <x:v>CORP-0730</x:v>
      </x:c>
      <x:c r="D5942" s="12" t="str">
        <x:v>Hyderabad</x:v>
      </x:c>
      <x:c r="E5942" s="12" t="str">
        <x:v>Prestige Skytech </x:v>
      </x:c>
      <x:c r="F5942" s="12" t="str">
        <x:v>55 inch</x:v>
      </x:c>
      <x:c r="G5942" s="20" t="n">
        <x:v>1</x:v>
      </x:c>
      <x:c r="H5942" s="12" t="str">
        <x:v>Campus/portfolio roster; individual building occupancy unverified</x:v>
      </x:c>
      <x:c r="I5942" s="12" t="str">
        <x:v>Small-scale prospects</x:v>
      </x:c>
      <x:c r="J5942" s="12" t="str">
        <x:v>IT &amp; digital</x:v>
      </x:c>
      <x:c r="K5942" s="2" t="str">
        <x:v>PARTNER-M312</x:v>
      </x:c>
    </x:row>
    <x:row r="5943" ht="46" customHeight="1">
      <x:c r="A5943" s="2" t="str">
        <x:v>TEN-071CA7784A7E</x:v>
      </x:c>
      <x:c r="B5943" s="12" t="str">
        <x:v>Win Information Technology Pvt Ltd</x:v>
      </x:c>
      <x:c r="C5943" s="12" t="str">
        <x:v>CORP-0730</x:v>
      </x:c>
      <x:c r="D5943" s="12" t="str">
        <x:v>Hyderabad</x:v>
      </x:c>
      <x:c r="E5943" s="12" t="str">
        <x:v>Prestige Skytech </x:v>
      </x:c>
      <x:c r="F5943" s="12" t="str">
        <x:v>55 inch</x:v>
      </x:c>
      <x:c r="G5943" s="20" t="n">
        <x:v>1</x:v>
      </x:c>
      <x:c r="H5943" s="12" t="str">
        <x:v>Campus/portfolio roster; individual building occupancy unverified</x:v>
      </x:c>
      <x:c r="I5943" s="12" t="str">
        <x:v>Small-scale prospects</x:v>
      </x:c>
      <x:c r="J5943" s="12" t="str">
        <x:v>IT &amp; digital</x:v>
      </x:c>
      <x:c r="K5943" s="2" t="str">
        <x:v>PARTNER-M312</x:v>
      </x:c>
    </x:row>
    <x:row r="5944" ht="46" customHeight="1">
      <x:c r="A5944" s="2" t="str">
        <x:v>TEN-2DE7A99797BE</x:v>
      </x:c>
      <x:c r="B5944" s="12" t="str">
        <x:v>Entain India</x:v>
      </x:c>
      <x:c r="C5944" s="12" t="str">
        <x:v>CORP-0730</x:v>
      </x:c>
      <x:c r="D5944" s="12" t="str">
        <x:v>Hyderabad</x:v>
      </x:c>
      <x:c r="E5944" s="12" t="str">
        <x:v>Prestige Skytech </x:v>
      </x:c>
      <x:c r="F5944" s="12" t="str">
        <x:v>55 inch</x:v>
      </x:c>
      <x:c r="G5944" s="20" t="n">
        <x:v>1</x:v>
      </x:c>
      <x:c r="H5944" s="12" t="str">
        <x:v>Campus/portfolio roster; individual building occupancy unverified</x:v>
      </x:c>
      <x:c r="I5944" s="12" t="str">
        <x:v>Mixed business audience</x:v>
      </x:c>
      <x:c r="J5944" s="12" t="str">
        <x:v>Trade, consumer &amp; logistics</x:v>
      </x:c>
      <x:c r="K5944" s="2" t="str">
        <x:v>PARTNER-M312</x:v>
      </x:c>
    </x:row>
    <x:row r="5945" ht="46" customHeight="1">
      <x:c r="A5945" s="2" t="str">
        <x:v>TEN-32D5FF7368CA</x:v>
      </x:c>
      <x:c r="B5945" s="12" t="str">
        <x:v>Jade Global Software Pvt. Ltd</x:v>
      </x:c>
      <x:c r="C5945" s="12" t="str">
        <x:v>CORP-0730</x:v>
      </x:c>
      <x:c r="D5945" s="12" t="str">
        <x:v>Hyderabad</x:v>
      </x:c>
      <x:c r="E5945" s="12" t="str">
        <x:v>Prestige Skytech </x:v>
      </x:c>
      <x:c r="F5945" s="12" t="str">
        <x:v>55 inch</x:v>
      </x:c>
      <x:c r="G5945" s="20" t="n">
        <x:v>1</x:v>
      </x:c>
      <x:c r="H5945" s="12" t="str">
        <x:v>Campus/portfolio roster; individual building occupancy unverified</x:v>
      </x:c>
      <x:c r="I5945" s="12" t="str">
        <x:v>Mixed business audience</x:v>
      </x:c>
      <x:c r="J5945" s="12" t="str">
        <x:v>IT &amp; digital</x:v>
      </x:c>
      <x:c r="K5945" s="2" t="str">
        <x:v>PARTNER-M312</x:v>
      </x:c>
    </x:row>
    <x:row r="5946" ht="46" customHeight="1">
      <x:c r="A5946" s="2" t="str">
        <x:v>TEN-413BB748AA81</x:v>
      </x:c>
      <x:c r="B5946" s="12" t="str">
        <x:v>WNS Global Services</x:v>
      </x:c>
      <x:c r="C5946" s="12" t="str">
        <x:v>CORP-0730</x:v>
      </x:c>
      <x:c r="D5946" s="12" t="str">
        <x:v>Hyderabad</x:v>
      </x:c>
      <x:c r="E5946" s="12" t="str">
        <x:v>Prestige Skytech </x:v>
      </x:c>
      <x:c r="F5946" s="12" t="str">
        <x:v>55 inch</x:v>
      </x:c>
      <x:c r="G5946" s="20" t="n">
        <x:v>1</x:v>
      </x:c>
      <x:c r="H5946" s="12" t="str">
        <x:v>Campus/portfolio roster; individual building occupancy unverified</x:v>
      </x:c>
      <x:c r="I5946" s="12" t="str">
        <x:v>Mixed business audience</x:v>
      </x:c>
      <x:c r="J5946" s="12" t="str">
        <x:v>IT &amp; digital</x:v>
      </x:c>
      <x:c r="K5946" s="2" t="str">
        <x:v>PARTNER-M312</x:v>
      </x:c>
    </x:row>
    <x:row r="5947" ht="46" customHeight="1">
      <x:c r="A5947" s="2" t="str">
        <x:v>TEN-DCFBA15B3400</x:v>
      </x:c>
      <x:c r="B5947" s="12" t="str">
        <x:v>BodyScience Pilates</x:v>
      </x:c>
      <x:c r="C5947" s="12" t="str">
        <x:v>CORP-0730</x:v>
      </x:c>
      <x:c r="D5947" s="12" t="str">
        <x:v>Hyderabad</x:v>
      </x:c>
      <x:c r="E5947" s="12" t="str">
        <x:v>Prestige Skytech </x:v>
      </x:c>
      <x:c r="F5947" s="12" t="str">
        <x:v>55 inch</x:v>
      </x:c>
      <x:c r="G5947" s="20" t="n">
        <x:v>1</x:v>
      </x:c>
      <x:c r="H5947" s="12" t="str">
        <x:v>Campus/portfolio roster; individual building occupancy unverified</x:v>
      </x:c>
      <x:c r="I5947" s="12" t="str">
        <x:v>Small-scale prospects</x:v>
      </x:c>
      <x:c r="J5947" s="12" t="str">
        <x:v>Healthcare &amp; life sciences</x:v>
      </x:c>
      <x:c r="K5947" s="2" t="str">
        <x:v>PARTNER-M312</x:v>
      </x:c>
    </x:row>
    <x:row r="5948" ht="46" customHeight="1">
      <x:c r="A5948" s="2" t="str">
        <x:v>TEN-03BAC00D147B</x:v>
      </x:c>
      <x:c r="B5948" s="12" t="str">
        <x:v>Bell Techlogix India Private Limited</x:v>
      </x:c>
      <x:c r="C5948" s="12" t="str">
        <x:v>CORP-0731</x:v>
      </x:c>
      <x:c r="D5948" s="12" t="str">
        <x:v>Hyderabad</x:v>
      </x:c>
      <x:c r="E5948" s="12" t="str">
        <x:v>Prestige Skytech </x:v>
      </x:c>
      <x:c r="F5948" s="12" t="str">
        <x:v>55 inch</x:v>
      </x:c>
      <x:c r="G5948" s="20" t="n">
        <x:v>1</x:v>
      </x:c>
      <x:c r="H5948" s="12" t="str">
        <x:v>Campus/portfolio roster; individual building occupancy unverified</x:v>
      </x:c>
      <x:c r="I5948" s="12" t="str">
        <x:v>Small-scale prospects</x:v>
      </x:c>
      <x:c r="J5948" s="12" t="str">
        <x:v>IT &amp; digital</x:v>
      </x:c>
      <x:c r="K5948" s="2" t="str">
        <x:v>PARTNER-M312</x:v>
      </x:c>
    </x:row>
    <x:row r="5949" ht="46" customHeight="1">
      <x:c r="A5949" s="2" t="str">
        <x:v>TEN-071CA7784A7E</x:v>
      </x:c>
      <x:c r="B5949" s="12" t="str">
        <x:v>Win Information Technology Pvt Ltd</x:v>
      </x:c>
      <x:c r="C5949" s="12" t="str">
        <x:v>CORP-0731</x:v>
      </x:c>
      <x:c r="D5949" s="12" t="str">
        <x:v>Hyderabad</x:v>
      </x:c>
      <x:c r="E5949" s="12" t="str">
        <x:v>Prestige Skytech </x:v>
      </x:c>
      <x:c r="F5949" s="12" t="str">
        <x:v>55 inch</x:v>
      </x:c>
      <x:c r="G5949" s="20" t="n">
        <x:v>1</x:v>
      </x:c>
      <x:c r="H5949" s="12" t="str">
        <x:v>Campus/portfolio roster; individual building occupancy unverified</x:v>
      </x:c>
      <x:c r="I5949" s="12" t="str">
        <x:v>Small-scale prospects</x:v>
      </x:c>
      <x:c r="J5949" s="12" t="str">
        <x:v>IT &amp; digital</x:v>
      </x:c>
      <x:c r="K5949" s="2" t="str">
        <x:v>PARTNER-M312</x:v>
      </x:c>
    </x:row>
    <x:row r="5950" ht="46" customHeight="1">
      <x:c r="A5950" s="2" t="str">
        <x:v>TEN-2DE7A99797BE</x:v>
      </x:c>
      <x:c r="B5950" s="12" t="str">
        <x:v>Entain India</x:v>
      </x:c>
      <x:c r="C5950" s="12" t="str">
        <x:v>CORP-0731</x:v>
      </x:c>
      <x:c r="D5950" s="12" t="str">
        <x:v>Hyderabad</x:v>
      </x:c>
      <x:c r="E5950" s="12" t="str">
        <x:v>Prestige Skytech </x:v>
      </x:c>
      <x:c r="F5950" s="12" t="str">
        <x:v>55 inch</x:v>
      </x:c>
      <x:c r="G5950" s="20" t="n">
        <x:v>1</x:v>
      </x:c>
      <x:c r="H5950" s="12" t="str">
        <x:v>Campus/portfolio roster; individual building occupancy unverified</x:v>
      </x:c>
      <x:c r="I5950" s="12" t="str">
        <x:v>Mixed business audience</x:v>
      </x:c>
      <x:c r="J5950" s="12" t="str">
        <x:v>Trade, consumer &amp; logistics</x:v>
      </x:c>
      <x:c r="K5950" s="2" t="str">
        <x:v>PARTNER-M312</x:v>
      </x:c>
    </x:row>
    <x:row r="5951" ht="46" customHeight="1">
      <x:c r="A5951" s="2" t="str">
        <x:v>TEN-32D5FF7368CA</x:v>
      </x:c>
      <x:c r="B5951" s="12" t="str">
        <x:v>Jade Global Software Pvt. Ltd</x:v>
      </x:c>
      <x:c r="C5951" s="12" t="str">
        <x:v>CORP-0731</x:v>
      </x:c>
      <x:c r="D5951" s="12" t="str">
        <x:v>Hyderabad</x:v>
      </x:c>
      <x:c r="E5951" s="12" t="str">
        <x:v>Prestige Skytech </x:v>
      </x:c>
      <x:c r="F5951" s="12" t="str">
        <x:v>55 inch</x:v>
      </x:c>
      <x:c r="G5951" s="20" t="n">
        <x:v>1</x:v>
      </x:c>
      <x:c r="H5951" s="12" t="str">
        <x:v>Campus/portfolio roster; individual building occupancy unverified</x:v>
      </x:c>
      <x:c r="I5951" s="12" t="str">
        <x:v>Mixed business audience</x:v>
      </x:c>
      <x:c r="J5951" s="12" t="str">
        <x:v>IT &amp; digital</x:v>
      </x:c>
      <x:c r="K5951" s="2" t="str">
        <x:v>PARTNER-M312</x:v>
      </x:c>
    </x:row>
    <x:row r="5952" ht="46" customHeight="1">
      <x:c r="A5952" s="2" t="str">
        <x:v>TEN-413BB748AA81</x:v>
      </x:c>
      <x:c r="B5952" s="12" t="str">
        <x:v>WNS Global Services</x:v>
      </x:c>
      <x:c r="C5952" s="12" t="str">
        <x:v>CORP-0731</x:v>
      </x:c>
      <x:c r="D5952" s="12" t="str">
        <x:v>Hyderabad</x:v>
      </x:c>
      <x:c r="E5952" s="12" t="str">
        <x:v>Prestige Skytech </x:v>
      </x:c>
      <x:c r="F5952" s="12" t="str">
        <x:v>55 inch</x:v>
      </x:c>
      <x:c r="G5952" s="20" t="n">
        <x:v>1</x:v>
      </x:c>
      <x:c r="H5952" s="12" t="str">
        <x:v>Campus/portfolio roster; individual building occupancy unverified</x:v>
      </x:c>
      <x:c r="I5952" s="12" t="str">
        <x:v>Mixed business audience</x:v>
      </x:c>
      <x:c r="J5952" s="12" t="str">
        <x:v>IT &amp; digital</x:v>
      </x:c>
      <x:c r="K5952" s="2" t="str">
        <x:v>PARTNER-M312</x:v>
      </x:c>
    </x:row>
    <x:row r="5953" ht="46" customHeight="1">
      <x:c r="A5953" s="2" t="str">
        <x:v>TEN-DCFBA15B3400</x:v>
      </x:c>
      <x:c r="B5953" s="12" t="str">
        <x:v>BodyScience Pilates</x:v>
      </x:c>
      <x:c r="C5953" s="12" t="str">
        <x:v>CORP-0731</x:v>
      </x:c>
      <x:c r="D5953" s="12" t="str">
        <x:v>Hyderabad</x:v>
      </x:c>
      <x:c r="E5953" s="12" t="str">
        <x:v>Prestige Skytech </x:v>
      </x:c>
      <x:c r="F5953" s="12" t="str">
        <x:v>55 inch</x:v>
      </x:c>
      <x:c r="G5953" s="20" t="n">
        <x:v>1</x:v>
      </x:c>
      <x:c r="H5953" s="12" t="str">
        <x:v>Campus/portfolio roster; individual building occupancy unverified</x:v>
      </x:c>
      <x:c r="I5953" s="12" t="str">
        <x:v>Small-scale prospects</x:v>
      </x:c>
      <x:c r="J5953" s="12" t="str">
        <x:v>Healthcare &amp; life sciences</x:v>
      </x:c>
      <x:c r="K5953" s="2" t="str">
        <x:v>PARTNER-M312</x:v>
      </x:c>
    </x:row>
    <x:row r="5954" ht="46" customHeight="1">
      <x:c r="A5954" s="2" t="str">
        <x:v>TEN-0A5ECD30C1C6</x:v>
      </x:c>
      <x:c r="B5954" s="12" t="str">
        <x:v>Rythmos India</x:v>
      </x:c>
      <x:c r="C5954" s="12" t="str">
        <x:v>CORP-0732</x:v>
      </x:c>
      <x:c r="D5954" s="12" t="str">
        <x:v>Hyderabad</x:v>
      </x:c>
      <x:c r="E5954" s="12" t="str">
        <x:v>Kapil Towers</x:v>
      </x:c>
      <x:c r="F5954" s="12" t="str">
        <x:v>55 inch</x:v>
      </x:c>
      <x:c r="G5954" s="20" t="n">
        <x:v>1</x:v>
      </x:c>
      <x:c r="H5954" s="12" t="str">
        <x:v>Campus/portfolio roster; individual building occupancy unverified</x:v>
      </x:c>
      <x:c r="I5954" s="12" t="str">
        <x:v>Small-scale prospects</x:v>
      </x:c>
      <x:c r="J5954" s="12" t="str">
        <x:v>IT &amp; digital</x:v>
      </x:c>
      <x:c r="K5954" s="2" t="str">
        <x:v>PARTNER-M317</x:v>
      </x:c>
    </x:row>
    <x:row r="5955" ht="46" customHeight="1">
      <x:c r="A5955" s="2" t="str">
        <x:v>TEN-1A35D512D448</x:v>
      </x:c>
      <x:c r="B5955" s="12" t="str">
        <x:v>Book MyT Software Technologies</x:v>
      </x:c>
      <x:c r="C5955" s="12" t="str">
        <x:v>CORP-0732</x:v>
      </x:c>
      <x:c r="D5955" s="12" t="str">
        <x:v>Hyderabad</x:v>
      </x:c>
      <x:c r="E5955" s="12" t="str">
        <x:v>Kapil Towers</x:v>
      </x:c>
      <x:c r="F5955" s="12" t="str">
        <x:v>55 inch</x:v>
      </x:c>
      <x:c r="G5955" s="20" t="n">
        <x:v>1</x:v>
      </x:c>
      <x:c r="H5955" s="12" t="str">
        <x:v>Campus/portfolio roster; individual building occupancy unverified</x:v>
      </x:c>
      <x:c r="I5955" s="12" t="str">
        <x:v>Small-scale prospects</x:v>
      </x:c>
      <x:c r="J5955" s="12" t="str">
        <x:v>IT &amp; digital</x:v>
      </x:c>
      <x:c r="K5955" s="2" t="str">
        <x:v>PARTNER-M317</x:v>
      </x:c>
    </x:row>
    <x:row r="5956" ht="46" customHeight="1">
      <x:c r="A5956" s="2" t="str">
        <x:v>TEN-20AE44E7A981</x:v>
      </x:c>
      <x:c r="B5956" s="12" t="str">
        <x:v>Covalense Technologies</x:v>
      </x:c>
      <x:c r="C5956" s="12" t="str">
        <x:v>CORP-0732</x:v>
      </x:c>
      <x:c r="D5956" s="12" t="str">
        <x:v>Hyderabad</x:v>
      </x:c>
      <x:c r="E5956" s="12" t="str">
        <x:v>Kapil Towers</x:v>
      </x:c>
      <x:c r="F5956" s="12" t="str">
        <x:v>55 inch</x:v>
      </x:c>
      <x:c r="G5956" s="20" t="n">
        <x:v>1</x:v>
      </x:c>
      <x:c r="H5956" s="12" t="str">
        <x:v>Campus/portfolio roster; individual building occupancy unverified</x:v>
      </x:c>
      <x:c r="I5956" s="12" t="str">
        <x:v>Small-scale prospects</x:v>
      </x:c>
      <x:c r="J5956" s="12" t="str">
        <x:v>IT &amp; digital</x:v>
      </x:c>
      <x:c r="K5956" s="2" t="str">
        <x:v>PARTNER-M317</x:v>
      </x:c>
    </x:row>
    <x:row r="5957" ht="46" customHeight="1">
      <x:c r="A5957" s="2" t="str">
        <x:v>TEN-35116738549F</x:v>
      </x:c>
      <x:c r="B5957" s="12" t="str">
        <x:v>Xetadata Software</x:v>
      </x:c>
      <x:c r="C5957" s="12" t="str">
        <x:v>CORP-0732</x:v>
      </x:c>
      <x:c r="D5957" s="12" t="str">
        <x:v>Hyderabad</x:v>
      </x:c>
      <x:c r="E5957" s="12" t="str">
        <x:v>Kapil Towers</x:v>
      </x:c>
      <x:c r="F5957" s="12" t="str">
        <x:v>55 inch</x:v>
      </x:c>
      <x:c r="G5957" s="20" t="n">
        <x:v>1</x:v>
      </x:c>
      <x:c r="H5957" s="12" t="str">
        <x:v>Campus/portfolio roster; individual building occupancy unverified</x:v>
      </x:c>
      <x:c r="I5957" s="12" t="str">
        <x:v>Small-scale prospects</x:v>
      </x:c>
      <x:c r="J5957" s="12" t="str">
        <x:v>IT &amp; digital</x:v>
      </x:c>
      <x:c r="K5957" s="2" t="str">
        <x:v>PARTNER-M317</x:v>
      </x:c>
    </x:row>
    <x:row r="5958" ht="46" customHeight="1">
      <x:c r="A5958" s="2" t="str">
        <x:v>TEN-4217F70FC2FE</x:v>
      </x:c>
      <x:c r="B5958" s="12" t="str">
        <x:v>Toyaja Software India</x:v>
      </x:c>
      <x:c r="C5958" s="12" t="str">
        <x:v>CORP-0732</x:v>
      </x:c>
      <x:c r="D5958" s="12" t="str">
        <x:v>Hyderabad</x:v>
      </x:c>
      <x:c r="E5958" s="12" t="str">
        <x:v>Kapil Towers</x:v>
      </x:c>
      <x:c r="F5958" s="12" t="str">
        <x:v>55 inch</x:v>
      </x:c>
      <x:c r="G5958" s="20" t="n">
        <x:v>1</x:v>
      </x:c>
      <x:c r="H5958" s="12" t="str">
        <x:v>Campus/portfolio roster; individual building occupancy unverified</x:v>
      </x:c>
      <x:c r="I5958" s="12" t="str">
        <x:v>Small-scale prospects</x:v>
      </x:c>
      <x:c r="J5958" s="12" t="str">
        <x:v>IT &amp; digital</x:v>
      </x:c>
      <x:c r="K5958" s="2" t="str">
        <x:v>PARTNER-M317</x:v>
      </x:c>
    </x:row>
    <x:row r="5959" ht="46" customHeight="1">
      <x:c r="A5959" s="2" t="str">
        <x:v>TEN-45562E981863</x:v>
      </x:c>
      <x:c r="B5959" s="12" t="str">
        <x:v>Qumu Corp</x:v>
      </x:c>
      <x:c r="C5959" s="12" t="str">
        <x:v>CORP-0732</x:v>
      </x:c>
      <x:c r="D5959" s="12" t="str">
        <x:v>Hyderabad</x:v>
      </x:c>
      <x:c r="E5959" s="12" t="str">
        <x:v>Kapil Towers</x:v>
      </x:c>
      <x:c r="F5959" s="12" t="str">
        <x:v>55 inch</x:v>
      </x:c>
      <x:c r="G5959" s="20" t="n">
        <x:v>1</x:v>
      </x:c>
      <x:c r="H5959" s="12" t="str">
        <x:v>Campus/portfolio roster; individual building occupancy unverified</x:v>
      </x:c>
      <x:c r="I5959" s="12" t="str">
        <x:v>Mixed business audience</x:v>
      </x:c>
      <x:c r="J5959" s="12" t="str">
        <x:v>IT &amp; digital</x:v>
      </x:c>
      <x:c r="K5959" s="2" t="str">
        <x:v>PARTNER-M317</x:v>
      </x:c>
    </x:row>
    <x:row r="5960" ht="46" customHeight="1">
      <x:c r="A5960" s="2" t="str">
        <x:v>TEN-4881BA2217F0</x:v>
      </x:c>
      <x:c r="B5960" s="12" t="str">
        <x:v>Pramati Technologies</x:v>
      </x:c>
      <x:c r="C5960" s="12" t="str">
        <x:v>CORP-0732</x:v>
      </x:c>
      <x:c r="D5960" s="12" t="str">
        <x:v>Hyderabad</x:v>
      </x:c>
      <x:c r="E5960" s="12" t="str">
        <x:v>Kapil Towers</x:v>
      </x:c>
      <x:c r="F5960" s="12" t="str">
        <x:v>55 inch</x:v>
      </x:c>
      <x:c r="G5960" s="20" t="n">
        <x:v>1</x:v>
      </x:c>
      <x:c r="H5960" s="12" t="str">
        <x:v>Campus/portfolio roster; individual building occupancy unverified</x:v>
      </x:c>
      <x:c r="I5960" s="12" t="str">
        <x:v>Small-scale prospects</x:v>
      </x:c>
      <x:c r="J5960" s="12" t="str">
        <x:v>IT &amp; digital</x:v>
      </x:c>
      <x:c r="K5960" s="2" t="str">
        <x:v>PARTNER-M317</x:v>
      </x:c>
    </x:row>
    <x:row r="5961" ht="46" customHeight="1">
      <x:c r="A5961" s="2" t="str">
        <x:v>TEN-4E9F09D4C240</x:v>
      </x:c>
      <x:c r="B5961" s="12" t="str">
        <x:v>Zebi Data India</x:v>
      </x:c>
      <x:c r="C5961" s="12" t="str">
        <x:v>CORP-0732</x:v>
      </x:c>
      <x:c r="D5961" s="12" t="str">
        <x:v>Hyderabad</x:v>
      </x:c>
      <x:c r="E5961" s="12" t="str">
        <x:v>Kapil Towers</x:v>
      </x:c>
      <x:c r="F5961" s="12" t="str">
        <x:v>55 inch</x:v>
      </x:c>
      <x:c r="G5961" s="20" t="n">
        <x:v>1</x:v>
      </x:c>
      <x:c r="H5961" s="12" t="str">
        <x:v>Campus/portfolio roster; individual building occupancy unverified</x:v>
      </x:c>
      <x:c r="I5961" s="12" t="str">
        <x:v>Small-scale prospects</x:v>
      </x:c>
      <x:c r="J5961" s="12" t="str">
        <x:v>IT &amp; digital</x:v>
      </x:c>
      <x:c r="K5961" s="2" t="str">
        <x:v>PARTNER-M317</x:v>
      </x:c>
    </x:row>
    <x:row r="5962" ht="46" customHeight="1">
      <x:c r="A5962" s="2" t="str">
        <x:v>TEN-5E423FF3D952</x:v>
      </x:c>
      <x:c r="B5962" s="12" t="str">
        <x:v>Codexbox</x:v>
      </x:c>
      <x:c r="C5962" s="12" t="str">
        <x:v>CORP-0732</x:v>
      </x:c>
      <x:c r="D5962" s="12" t="str">
        <x:v>Hyderabad</x:v>
      </x:c>
      <x:c r="E5962" s="12" t="str">
        <x:v>Kapil Towers</x:v>
      </x:c>
      <x:c r="F5962" s="12" t="str">
        <x:v>55 inch</x:v>
      </x:c>
      <x:c r="G5962" s="20" t="n">
        <x:v>1</x:v>
      </x:c>
      <x:c r="H5962" s="12" t="str">
        <x:v>Campus/portfolio roster; individual building occupancy unverified</x:v>
      </x:c>
      <x:c r="I5962" s="12" t="str">
        <x:v>Mixed business audience</x:v>
      </x:c>
      <x:c r="J5962" s="12" t="str">
        <x:v>Unresolved</x:v>
      </x:c>
      <x:c r="K5962" s="2" t="str">
        <x:v>PARTNER-M317</x:v>
      </x:c>
    </x:row>
    <x:row r="5963" ht="46" customHeight="1">
      <x:c r="A5963" s="2" t="str">
        <x:v>TEN-610A92A03F91</x:v>
      </x:c>
      <x:c r="B5963" s="12" t="str">
        <x:v>Kagool Data</x:v>
      </x:c>
      <x:c r="C5963" s="12" t="str">
        <x:v>CORP-0732</x:v>
      </x:c>
      <x:c r="D5963" s="12" t="str">
        <x:v>Hyderabad</x:v>
      </x:c>
      <x:c r="E5963" s="12" t="str">
        <x:v>Kapil Towers</x:v>
      </x:c>
      <x:c r="F5963" s="12" t="str">
        <x:v>55 inch</x:v>
      </x:c>
      <x:c r="G5963" s="20" t="n">
        <x:v>1</x:v>
      </x:c>
      <x:c r="H5963" s="12" t="str">
        <x:v>Campus/portfolio roster; individual building occupancy unverified</x:v>
      </x:c>
      <x:c r="I5963" s="12" t="str">
        <x:v>Small-scale prospects</x:v>
      </x:c>
      <x:c r="J5963" s="12" t="str">
        <x:v>IT &amp; digital</x:v>
      </x:c>
      <x:c r="K5963" s="2" t="str">
        <x:v>PARTNER-M317</x:v>
      </x:c>
    </x:row>
    <x:row r="5964" ht="46" customHeight="1">
      <x:c r="A5964" s="2" t="str">
        <x:v>TEN-696EBEF1BEC8</x:v>
      </x:c>
      <x:c r="B5964" s="12" t="str">
        <x:v>AureusTech Systems</x:v>
      </x:c>
      <x:c r="C5964" s="12" t="str">
        <x:v>CORP-0732</x:v>
      </x:c>
      <x:c r="D5964" s="12" t="str">
        <x:v>Hyderabad</x:v>
      </x:c>
      <x:c r="E5964" s="12" t="str">
        <x:v>Kapil Towers</x:v>
      </x:c>
      <x:c r="F5964" s="12" t="str">
        <x:v>55 inch</x:v>
      </x:c>
      <x:c r="G5964" s="20" t="n">
        <x:v>1</x:v>
      </x:c>
      <x:c r="H5964" s="12" t="str">
        <x:v>Campus/portfolio roster; individual building occupancy unverified</x:v>
      </x:c>
      <x:c r="I5964" s="12" t="str">
        <x:v>Small-scale prospects</x:v>
      </x:c>
      <x:c r="J5964" s="12" t="str">
        <x:v>IT &amp; digital</x:v>
      </x:c>
      <x:c r="K5964" s="2" t="str">
        <x:v>PARTNER-M317</x:v>
      </x:c>
    </x:row>
    <x:row r="5965" ht="46" customHeight="1">
      <x:c r="A5965" s="2" t="str">
        <x:v>TEN-6B83683277A9</x:v>
      </x:c>
      <x:c r="B5965" s="12" t="str">
        <x:v>Houzekey Consulting</x:v>
      </x:c>
      <x:c r="C5965" s="12" t="str">
        <x:v>CORP-0732</x:v>
      </x:c>
      <x:c r="D5965" s="12" t="str">
        <x:v>Hyderabad</x:v>
      </x:c>
      <x:c r="E5965" s="12" t="str">
        <x:v>Kapil Towers</x:v>
      </x:c>
      <x:c r="F5965" s="12" t="str">
        <x:v>55 inch</x:v>
      </x:c>
      <x:c r="G5965" s="20" t="n">
        <x:v>1</x:v>
      </x:c>
      <x:c r="H5965" s="12" t="str">
        <x:v>Campus/portfolio roster; individual building occupancy unverified</x:v>
      </x:c>
      <x:c r="I5965" s="12" t="str">
        <x:v>Small-scale prospects</x:v>
      </x:c>
      <x:c r="J5965" s="12" t="str">
        <x:v>Professional services</x:v>
      </x:c>
      <x:c r="K5965" s="2" t="str">
        <x:v>PARTNER-M317</x:v>
      </x:c>
    </x:row>
    <x:row r="5966" ht="46" customHeight="1">
      <x:c r="A5966" s="2" t="str">
        <x:v>TEN-99DC3C2D940B</x:v>
      </x:c>
      <x:c r="B5966" s="12" t="str">
        <x:v>FutureTech Business Solutions</x:v>
      </x:c>
      <x:c r="C5966" s="12" t="str">
        <x:v>CORP-0732</x:v>
      </x:c>
      <x:c r="D5966" s="12" t="str">
        <x:v>Hyderabad</x:v>
      </x:c>
      <x:c r="E5966" s="12" t="str">
        <x:v>Kapil Towers</x:v>
      </x:c>
      <x:c r="F5966" s="12" t="str">
        <x:v>55 inch</x:v>
      </x:c>
      <x:c r="G5966" s="20" t="n">
        <x:v>1</x:v>
      </x:c>
      <x:c r="H5966" s="12" t="str">
        <x:v>Campus/portfolio roster; individual building occupancy unverified</x:v>
      </x:c>
      <x:c r="I5966" s="12" t="str">
        <x:v>Mixed business audience</x:v>
      </x:c>
      <x:c r="J5966" s="12" t="str">
        <x:v>Unresolved</x:v>
      </x:c>
      <x:c r="K5966" s="2" t="str">
        <x:v>PARTNER-M317</x:v>
      </x:c>
    </x:row>
    <x:row r="5967" ht="46" customHeight="1">
      <x:c r="A5967" s="2" t="str">
        <x:v>TEN-9DE4EB87E986</x:v>
      </x:c>
      <x:c r="B5967" s="12" t="str">
        <x:v>Microsemi Communications India</x:v>
      </x:c>
      <x:c r="C5967" s="12" t="str">
        <x:v>CORP-0732</x:v>
      </x:c>
      <x:c r="D5967" s="12" t="str">
        <x:v>Hyderabad</x:v>
      </x:c>
      <x:c r="E5967" s="12" t="str">
        <x:v>Kapil Towers</x:v>
      </x:c>
      <x:c r="F5967" s="12" t="str">
        <x:v>55 inch</x:v>
      </x:c>
      <x:c r="G5967" s="20" t="n">
        <x:v>1</x:v>
      </x:c>
      <x:c r="H5967" s="12" t="str">
        <x:v>Campus/portfolio roster; individual building occupancy unverified</x:v>
      </x:c>
      <x:c r="I5967" s="12" t="str">
        <x:v>Mixed business audience</x:v>
      </x:c>
      <x:c r="J5967" s="12" t="str">
        <x:v>IT &amp; digital</x:v>
      </x:c>
      <x:c r="K5967" s="2" t="str">
        <x:v>PARTNER-M317</x:v>
      </x:c>
    </x:row>
    <x:row r="5968" ht="46" customHeight="1">
      <x:c r="A5968" s="2" t="str">
        <x:v>TEN-A0B931E47192</x:v>
      </x:c>
      <x:c r="B5968" s="12" t="str">
        <x:v>Kin Lifecare Services</x:v>
      </x:c>
      <x:c r="C5968" s="12" t="str">
        <x:v>CORP-0732</x:v>
      </x:c>
      <x:c r="D5968" s="12" t="str">
        <x:v>Hyderabad</x:v>
      </x:c>
      <x:c r="E5968" s="12" t="str">
        <x:v>Kapil Towers</x:v>
      </x:c>
      <x:c r="F5968" s="12" t="str">
        <x:v>55 inch</x:v>
      </x:c>
      <x:c r="G5968" s="20" t="n">
        <x:v>1</x:v>
      </x:c>
      <x:c r="H5968" s="12" t="str">
        <x:v>Campus/portfolio roster; individual building occupancy unverified</x:v>
      </x:c>
      <x:c r="I5968" s="12" t="str">
        <x:v>Medium-scale prospects</x:v>
      </x:c>
      <x:c r="J5968" s="12" t="str">
        <x:v>Healthcare &amp; life sciences</x:v>
      </x:c>
      <x:c r="K5968" s="2" t="str">
        <x:v>PARTNER-M317</x:v>
      </x:c>
    </x:row>
    <x:row r="5969" ht="46" customHeight="1">
      <x:c r="A5969" s="2" t="str">
        <x:v>TEN-A5F3E9F1C9E5</x:v>
      </x:c>
      <x:c r="B5969" s="12" t="str">
        <x:v>InnoCore Digital</x:v>
      </x:c>
      <x:c r="C5969" s="12" t="str">
        <x:v>CORP-0732</x:v>
      </x:c>
      <x:c r="D5969" s="12" t="str">
        <x:v>Hyderabad</x:v>
      </x:c>
      <x:c r="E5969" s="12" t="str">
        <x:v>Kapil Towers</x:v>
      </x:c>
      <x:c r="F5969" s="12" t="str">
        <x:v>55 inch</x:v>
      </x:c>
      <x:c r="G5969" s="20" t="n">
        <x:v>1</x:v>
      </x:c>
      <x:c r="H5969" s="12" t="str">
        <x:v>Campus/portfolio roster; individual building occupancy unverified</x:v>
      </x:c>
      <x:c r="I5969" s="12" t="str">
        <x:v>Small-scale prospects</x:v>
      </x:c>
      <x:c r="J5969" s="12" t="str">
        <x:v>IT &amp; digital</x:v>
      </x:c>
      <x:c r="K5969" s="2" t="str">
        <x:v>PARTNER-M317</x:v>
      </x:c>
    </x:row>
    <x:row r="5970" ht="46" customHeight="1">
      <x:c r="A5970" s="2" t="str">
        <x:v>TEN-A71520DA2A6E</x:v>
      </x:c>
      <x:c r="B5970" s="12" t="str">
        <x:v>AheadRace Software Development Services</x:v>
      </x:c>
      <x:c r="C5970" s="12" t="str">
        <x:v>CORP-0732</x:v>
      </x:c>
      <x:c r="D5970" s="12" t="str">
        <x:v>Hyderabad</x:v>
      </x:c>
      <x:c r="E5970" s="12" t="str">
        <x:v>Kapil Towers</x:v>
      </x:c>
      <x:c r="F5970" s="12" t="str">
        <x:v>55 inch</x:v>
      </x:c>
      <x:c r="G5970" s="20" t="n">
        <x:v>1</x:v>
      </x:c>
      <x:c r="H5970" s="12" t="str">
        <x:v>Campus/portfolio roster; individual building occupancy unverified</x:v>
      </x:c>
      <x:c r="I5970" s="12" t="str">
        <x:v>Small-scale prospects</x:v>
      </x:c>
      <x:c r="J5970" s="12" t="str">
        <x:v>IT &amp; digital</x:v>
      </x:c>
      <x:c r="K5970" s="2" t="str">
        <x:v>PARTNER-M317</x:v>
      </x:c>
    </x:row>
    <x:row r="5971" ht="46" customHeight="1">
      <x:c r="A5971" s="2" t="str">
        <x:v>TEN-AAD0329B77D6</x:v>
      </x:c>
      <x:c r="B5971" s="12" t="str">
        <x:v>Glide Insurance Broking Services</x:v>
      </x:c>
      <x:c r="C5971" s="12" t="str">
        <x:v>CORP-0732</x:v>
      </x:c>
      <x:c r="D5971" s="12" t="str">
        <x:v>Hyderabad</x:v>
      </x:c>
      <x:c r="E5971" s="12" t="str">
        <x:v>Kapil Towers</x:v>
      </x:c>
      <x:c r="F5971" s="12" t="str">
        <x:v>55 inch</x:v>
      </x:c>
      <x:c r="G5971" s="20" t="n">
        <x:v>1</x:v>
      </x:c>
      <x:c r="H5971" s="12" t="str">
        <x:v>Campus/portfolio roster; individual building occupancy unverified</x:v>
      </x:c>
      <x:c r="I5971" s="12" t="str">
        <x:v>Small-scale prospects</x:v>
      </x:c>
      <x:c r="J5971" s="12" t="str">
        <x:v>Finance &amp; insurance</x:v>
      </x:c>
      <x:c r="K5971" s="2" t="str">
        <x:v>PARTNER-M317</x:v>
      </x:c>
    </x:row>
    <x:row r="5972" ht="46" customHeight="1">
      <x:c r="A5972" s="2" t="str">
        <x:v>TEN-ABA79A2B2DEC</x:v>
      </x:c>
      <x:c r="B5972" s="12" t="str">
        <x:v>CoreCompete</x:v>
      </x:c>
      <x:c r="C5972" s="12" t="str">
        <x:v>CORP-0732</x:v>
      </x:c>
      <x:c r="D5972" s="12" t="str">
        <x:v>Hyderabad</x:v>
      </x:c>
      <x:c r="E5972" s="12" t="str">
        <x:v>Kapil Towers</x:v>
      </x:c>
      <x:c r="F5972" s="12" t="str">
        <x:v>55 inch</x:v>
      </x:c>
      <x:c r="G5972" s="20" t="n">
        <x:v>1</x:v>
      </x:c>
      <x:c r="H5972" s="12" t="str">
        <x:v>Campus/portfolio roster; individual building occupancy unverified</x:v>
      </x:c>
      <x:c r="I5972" s="12" t="str">
        <x:v>Mixed business audience</x:v>
      </x:c>
      <x:c r="J5972" s="12" t="str">
        <x:v>IT &amp; digital</x:v>
      </x:c>
      <x:c r="K5972" s="2" t="str">
        <x:v>PARTNER-M317</x:v>
      </x:c>
    </x:row>
    <x:row r="5973" ht="46" customHeight="1">
      <x:c r="A5973" s="2" t="str">
        <x:v>TEN-B63ABE14A06F</x:v>
      </x:c>
      <x:c r="B5973" s="12" t="str">
        <x:v>Skyonn Technologies</x:v>
      </x:c>
      <x:c r="C5973" s="12" t="str">
        <x:v>CORP-0732</x:v>
      </x:c>
      <x:c r="D5973" s="12" t="str">
        <x:v>Hyderabad</x:v>
      </x:c>
      <x:c r="E5973" s="12" t="str">
        <x:v>Kapil Towers</x:v>
      </x:c>
      <x:c r="F5973" s="12" t="str">
        <x:v>55 inch</x:v>
      </x:c>
      <x:c r="G5973" s="20" t="n">
        <x:v>1</x:v>
      </x:c>
      <x:c r="H5973" s="12" t="str">
        <x:v>Campus/portfolio roster; individual building occupancy unverified</x:v>
      </x:c>
      <x:c r="I5973" s="12" t="str">
        <x:v>Mixed business audience</x:v>
      </x:c>
      <x:c r="J5973" s="12" t="str">
        <x:v>Unresolved</x:v>
      </x:c>
      <x:c r="K5973" s="2" t="str">
        <x:v>PARTNER-M317</x:v>
      </x:c>
    </x:row>
    <x:row r="5974" ht="46" customHeight="1">
      <x:c r="A5974" s="2" t="str">
        <x:v>TEN-C425191D5D06</x:v>
      </x:c>
      <x:c r="B5974" s="12" t="str">
        <x:v>Staples Office Supplies LLP</x:v>
      </x:c>
      <x:c r="C5974" s="12" t="str">
        <x:v>CORP-0732</x:v>
      </x:c>
      <x:c r="D5974" s="12" t="str">
        <x:v>Hyderabad</x:v>
      </x:c>
      <x:c r="E5974" s="12" t="str">
        <x:v>Kapil Towers</x:v>
      </x:c>
      <x:c r="F5974" s="12" t="str">
        <x:v>55 inch</x:v>
      </x:c>
      <x:c r="G5974" s="20" t="n">
        <x:v>1</x:v>
      </x:c>
      <x:c r="H5974" s="12" t="str">
        <x:v>Campus/portfolio roster; individual building occupancy unverified</x:v>
      </x:c>
      <x:c r="I5974" s="12" t="str">
        <x:v>Mixed business audience</x:v>
      </x:c>
      <x:c r="J5974" s="12" t="str">
        <x:v>Trade, consumer &amp; logistics</x:v>
      </x:c>
      <x:c r="K5974" s="2" t="str">
        <x:v>PARTNER-M317</x:v>
      </x:c>
    </x:row>
    <x:row r="5975" ht="46" customHeight="1">
      <x:c r="A5975" s="2" t="str">
        <x:v>TEN-D17B85E52ABA</x:v>
      </x:c>
      <x:c r="B5975" s="12" t="str">
        <x:v>Kapil IT Solutions</x:v>
      </x:c>
      <x:c r="C5975" s="12" t="str">
        <x:v>CORP-0732</x:v>
      </x:c>
      <x:c r="D5975" s="12" t="str">
        <x:v>Hyderabad</x:v>
      </x:c>
      <x:c r="E5975" s="12" t="str">
        <x:v>Kapil Towers</x:v>
      </x:c>
      <x:c r="F5975" s="12" t="str">
        <x:v>55 inch</x:v>
      </x:c>
      <x:c r="G5975" s="20" t="n">
        <x:v>1</x:v>
      </x:c>
      <x:c r="H5975" s="12" t="str">
        <x:v>Campus/portfolio roster; individual building occupancy unverified</x:v>
      </x:c>
      <x:c r="I5975" s="12" t="str">
        <x:v>Small-scale prospects</x:v>
      </x:c>
      <x:c r="J5975" s="12" t="str">
        <x:v>IT &amp; digital</x:v>
      </x:c>
      <x:c r="K5975" s="2" t="str">
        <x:v>PARTNER-M317</x:v>
      </x:c>
    </x:row>
    <x:row r="5976" ht="46" customHeight="1">
      <x:c r="A5976" s="2" t="str">
        <x:v>TEN-EA94B39D1C72</x:v>
      </x:c>
      <x:c r="B5976" s="12" t="str">
        <x:v>TailorTech</x:v>
      </x:c>
      <x:c r="C5976" s="12" t="str">
        <x:v>CORP-0732</x:v>
      </x:c>
      <x:c r="D5976" s="12" t="str">
        <x:v>Hyderabad</x:v>
      </x:c>
      <x:c r="E5976" s="12" t="str">
        <x:v>Kapil Towers</x:v>
      </x:c>
      <x:c r="F5976" s="12" t="str">
        <x:v>55 inch</x:v>
      </x:c>
      <x:c r="G5976" s="20" t="n">
        <x:v>1</x:v>
      </x:c>
      <x:c r="H5976" s="12" t="str">
        <x:v>Campus/portfolio roster; individual building occupancy unverified</x:v>
      </x:c>
      <x:c r="I5976" s="12" t="str">
        <x:v>Mixed business audience</x:v>
      </x:c>
      <x:c r="J5976" s="12" t="str">
        <x:v>Unresolved</x:v>
      </x:c>
      <x:c r="K5976" s="2" t="str">
        <x:v>PARTNER-M317</x:v>
      </x:c>
    </x:row>
    <x:row r="5977" ht="46" customHeight="1">
      <x:c r="A5977" s="2" t="str">
        <x:v>TEN-ED8AA4B2E058</x:v>
      </x:c>
      <x:c r="B5977" s="12" t="str">
        <x:v>Appstek Solutions</x:v>
      </x:c>
      <x:c r="C5977" s="12" t="str">
        <x:v>CORP-0732</x:v>
      </x:c>
      <x:c r="D5977" s="12" t="str">
        <x:v>Hyderabad</x:v>
      </x:c>
      <x:c r="E5977" s="12" t="str">
        <x:v>Kapil Towers</x:v>
      </x:c>
      <x:c r="F5977" s="12" t="str">
        <x:v>55 inch</x:v>
      </x:c>
      <x:c r="G5977" s="20" t="n">
        <x:v>1</x:v>
      </x:c>
      <x:c r="H5977" s="12" t="str">
        <x:v>Campus/portfolio roster; individual building occupancy unverified</x:v>
      </x:c>
      <x:c r="I5977" s="12" t="str">
        <x:v>Small-scale prospects</x:v>
      </x:c>
      <x:c r="J5977" s="12" t="str">
        <x:v>IT &amp; digital</x:v>
      </x:c>
      <x:c r="K5977" s="2" t="str">
        <x:v>PARTNER-M317</x:v>
      </x:c>
    </x:row>
    <x:row r="5978" ht="46" customHeight="1">
      <x:c r="A5978" s="2" t="str">
        <x:v>TEN-F17CDF039CA5</x:v>
      </x:c>
      <x:c r="B5978" s="12" t="str">
        <x:v>Knowledge Matrix India</x:v>
      </x:c>
      <x:c r="C5978" s="12" t="str">
        <x:v>CORP-0732</x:v>
      </x:c>
      <x:c r="D5978" s="12" t="str">
        <x:v>Hyderabad</x:v>
      </x:c>
      <x:c r="E5978" s="12" t="str">
        <x:v>Kapil Towers</x:v>
      </x:c>
      <x:c r="F5978" s="12" t="str">
        <x:v>55 inch</x:v>
      </x:c>
      <x:c r="G5978" s="20" t="n">
        <x:v>1</x:v>
      </x:c>
      <x:c r="H5978" s="12" t="str">
        <x:v>Campus/portfolio roster; individual building occupancy unverified</x:v>
      </x:c>
      <x:c r="I5978" s="12" t="str">
        <x:v>Small-scale prospects</x:v>
      </x:c>
      <x:c r="J5978" s="12" t="str">
        <x:v>IT &amp; digital</x:v>
      </x:c>
      <x:c r="K5978" s="2" t="str">
        <x:v>PARTNER-M317</x:v>
      </x:c>
    </x:row>
    <x:row r="5979" ht="46" customHeight="1">
      <x:c r="A5979" s="2" t="str">
        <x:v>TEN-F67EC79876E7</x:v>
      </x:c>
      <x:c r="B5979" s="12" t="str">
        <x:v>Prometric Testing</x:v>
      </x:c>
      <x:c r="C5979" s="12" t="str">
        <x:v>CORP-0732</x:v>
      </x:c>
      <x:c r="D5979" s="12" t="str">
        <x:v>Hyderabad</x:v>
      </x:c>
      <x:c r="E5979" s="12" t="str">
        <x:v>Kapil Towers</x:v>
      </x:c>
      <x:c r="F5979" s="12" t="str">
        <x:v>55 inch</x:v>
      </x:c>
      <x:c r="G5979" s="20" t="n">
        <x:v>1</x:v>
      </x:c>
      <x:c r="H5979" s="12" t="str">
        <x:v>Campus/portfolio roster; individual building occupancy unverified</x:v>
      </x:c>
      <x:c r="I5979" s="12" t="str">
        <x:v>Mixed business audience</x:v>
      </x:c>
      <x:c r="J5979" s="12" t="str">
        <x:v>Education</x:v>
      </x:c>
      <x:c r="K5979" s="2" t="str">
        <x:v>PARTNER-M317</x:v>
      </x:c>
    </x:row>
    <x:row r="5980" ht="46" customHeight="1">
      <x:c r="A5980" s="2" t="str">
        <x:v>TEN-0A5ECD30C1C6</x:v>
      </x:c>
      <x:c r="B5980" s="12" t="str">
        <x:v>Rythmos India</x:v>
      </x:c>
      <x:c r="C5980" s="12" t="str">
        <x:v>CORP-0733</x:v>
      </x:c>
      <x:c r="D5980" s="12" t="str">
        <x:v>Hyderabad</x:v>
      </x:c>
      <x:c r="E5980" s="12" t="str">
        <x:v>Kapil Towers</x:v>
      </x:c>
      <x:c r="F5980" s="12" t="str">
        <x:v>55 inch</x:v>
      </x:c>
      <x:c r="G5980" s="20" t="n">
        <x:v>1</x:v>
      </x:c>
      <x:c r="H5980" s="12" t="str">
        <x:v>Campus/portfolio roster; individual building occupancy unverified</x:v>
      </x:c>
      <x:c r="I5980" s="12" t="str">
        <x:v>Small-scale prospects</x:v>
      </x:c>
      <x:c r="J5980" s="12" t="str">
        <x:v>IT &amp; digital</x:v>
      </x:c>
      <x:c r="K5980" s="2" t="str">
        <x:v>PARTNER-M317</x:v>
      </x:c>
    </x:row>
    <x:row r="5981" ht="46" customHeight="1">
      <x:c r="A5981" s="2" t="str">
        <x:v>TEN-1A35D512D448</x:v>
      </x:c>
      <x:c r="B5981" s="12" t="str">
        <x:v>Book MyT Software Technologies</x:v>
      </x:c>
      <x:c r="C5981" s="12" t="str">
        <x:v>CORP-0733</x:v>
      </x:c>
      <x:c r="D5981" s="12" t="str">
        <x:v>Hyderabad</x:v>
      </x:c>
      <x:c r="E5981" s="12" t="str">
        <x:v>Kapil Towers</x:v>
      </x:c>
      <x:c r="F5981" s="12" t="str">
        <x:v>55 inch</x:v>
      </x:c>
      <x:c r="G5981" s="20" t="n">
        <x:v>1</x:v>
      </x:c>
      <x:c r="H5981" s="12" t="str">
        <x:v>Campus/portfolio roster; individual building occupancy unverified</x:v>
      </x:c>
      <x:c r="I5981" s="12" t="str">
        <x:v>Small-scale prospects</x:v>
      </x:c>
      <x:c r="J5981" s="12" t="str">
        <x:v>IT &amp; digital</x:v>
      </x:c>
      <x:c r="K5981" s="2" t="str">
        <x:v>PARTNER-M317</x:v>
      </x:c>
    </x:row>
    <x:row r="5982" ht="46" customHeight="1">
      <x:c r="A5982" s="2" t="str">
        <x:v>TEN-20AE44E7A981</x:v>
      </x:c>
      <x:c r="B5982" s="12" t="str">
        <x:v>Covalense Technologies</x:v>
      </x:c>
      <x:c r="C5982" s="12" t="str">
        <x:v>CORP-0733</x:v>
      </x:c>
      <x:c r="D5982" s="12" t="str">
        <x:v>Hyderabad</x:v>
      </x:c>
      <x:c r="E5982" s="12" t="str">
        <x:v>Kapil Towers</x:v>
      </x:c>
      <x:c r="F5982" s="12" t="str">
        <x:v>55 inch</x:v>
      </x:c>
      <x:c r="G5982" s="20" t="n">
        <x:v>1</x:v>
      </x:c>
      <x:c r="H5982" s="12" t="str">
        <x:v>Campus/portfolio roster; individual building occupancy unverified</x:v>
      </x:c>
      <x:c r="I5982" s="12" t="str">
        <x:v>Small-scale prospects</x:v>
      </x:c>
      <x:c r="J5982" s="12" t="str">
        <x:v>IT &amp; digital</x:v>
      </x:c>
      <x:c r="K5982" s="2" t="str">
        <x:v>PARTNER-M317</x:v>
      </x:c>
    </x:row>
    <x:row r="5983" ht="46" customHeight="1">
      <x:c r="A5983" s="2" t="str">
        <x:v>TEN-35116738549F</x:v>
      </x:c>
      <x:c r="B5983" s="12" t="str">
        <x:v>Xetadata Software</x:v>
      </x:c>
      <x:c r="C5983" s="12" t="str">
        <x:v>CORP-0733</x:v>
      </x:c>
      <x:c r="D5983" s="12" t="str">
        <x:v>Hyderabad</x:v>
      </x:c>
      <x:c r="E5983" s="12" t="str">
        <x:v>Kapil Towers</x:v>
      </x:c>
      <x:c r="F5983" s="12" t="str">
        <x:v>55 inch</x:v>
      </x:c>
      <x:c r="G5983" s="20" t="n">
        <x:v>1</x:v>
      </x:c>
      <x:c r="H5983" s="12" t="str">
        <x:v>Campus/portfolio roster; individual building occupancy unverified</x:v>
      </x:c>
      <x:c r="I5983" s="12" t="str">
        <x:v>Small-scale prospects</x:v>
      </x:c>
      <x:c r="J5983" s="12" t="str">
        <x:v>IT &amp; digital</x:v>
      </x:c>
      <x:c r="K5983" s="2" t="str">
        <x:v>PARTNER-M317</x:v>
      </x:c>
    </x:row>
    <x:row r="5984" ht="46" customHeight="1">
      <x:c r="A5984" s="2" t="str">
        <x:v>TEN-4217F70FC2FE</x:v>
      </x:c>
      <x:c r="B5984" s="12" t="str">
        <x:v>Toyaja Software India</x:v>
      </x:c>
      <x:c r="C5984" s="12" t="str">
        <x:v>CORP-0733</x:v>
      </x:c>
      <x:c r="D5984" s="12" t="str">
        <x:v>Hyderabad</x:v>
      </x:c>
      <x:c r="E5984" s="12" t="str">
        <x:v>Kapil Towers</x:v>
      </x:c>
      <x:c r="F5984" s="12" t="str">
        <x:v>55 inch</x:v>
      </x:c>
      <x:c r="G5984" s="20" t="n">
        <x:v>1</x:v>
      </x:c>
      <x:c r="H5984" s="12" t="str">
        <x:v>Campus/portfolio roster; individual building occupancy unverified</x:v>
      </x:c>
      <x:c r="I5984" s="12" t="str">
        <x:v>Small-scale prospects</x:v>
      </x:c>
      <x:c r="J5984" s="12" t="str">
        <x:v>IT &amp; digital</x:v>
      </x:c>
      <x:c r="K5984" s="2" t="str">
        <x:v>PARTNER-M317</x:v>
      </x:c>
    </x:row>
    <x:row r="5985" ht="46" customHeight="1">
      <x:c r="A5985" s="2" t="str">
        <x:v>TEN-45562E981863</x:v>
      </x:c>
      <x:c r="B5985" s="12" t="str">
        <x:v>Qumu Corp</x:v>
      </x:c>
      <x:c r="C5985" s="12" t="str">
        <x:v>CORP-0733</x:v>
      </x:c>
      <x:c r="D5985" s="12" t="str">
        <x:v>Hyderabad</x:v>
      </x:c>
      <x:c r="E5985" s="12" t="str">
        <x:v>Kapil Towers</x:v>
      </x:c>
      <x:c r="F5985" s="12" t="str">
        <x:v>55 inch</x:v>
      </x:c>
      <x:c r="G5985" s="20" t="n">
        <x:v>1</x:v>
      </x:c>
      <x:c r="H5985" s="12" t="str">
        <x:v>Campus/portfolio roster; individual building occupancy unverified</x:v>
      </x:c>
      <x:c r="I5985" s="12" t="str">
        <x:v>Mixed business audience</x:v>
      </x:c>
      <x:c r="J5985" s="12" t="str">
        <x:v>IT &amp; digital</x:v>
      </x:c>
      <x:c r="K5985" s="2" t="str">
        <x:v>PARTNER-M317</x:v>
      </x:c>
    </x:row>
    <x:row r="5986" ht="46" customHeight="1">
      <x:c r="A5986" s="2" t="str">
        <x:v>TEN-4881BA2217F0</x:v>
      </x:c>
      <x:c r="B5986" s="12" t="str">
        <x:v>Pramati Technologies</x:v>
      </x:c>
      <x:c r="C5986" s="12" t="str">
        <x:v>CORP-0733</x:v>
      </x:c>
      <x:c r="D5986" s="12" t="str">
        <x:v>Hyderabad</x:v>
      </x:c>
      <x:c r="E5986" s="12" t="str">
        <x:v>Kapil Towers</x:v>
      </x:c>
      <x:c r="F5986" s="12" t="str">
        <x:v>55 inch</x:v>
      </x:c>
      <x:c r="G5986" s="20" t="n">
        <x:v>1</x:v>
      </x:c>
      <x:c r="H5986" s="12" t="str">
        <x:v>Campus/portfolio roster; individual building occupancy unverified</x:v>
      </x:c>
      <x:c r="I5986" s="12" t="str">
        <x:v>Small-scale prospects</x:v>
      </x:c>
      <x:c r="J5986" s="12" t="str">
        <x:v>IT &amp; digital</x:v>
      </x:c>
      <x:c r="K5986" s="2" t="str">
        <x:v>PARTNER-M317</x:v>
      </x:c>
    </x:row>
    <x:row r="5987" ht="46" customHeight="1">
      <x:c r="A5987" s="2" t="str">
        <x:v>TEN-4E9F09D4C240</x:v>
      </x:c>
      <x:c r="B5987" s="12" t="str">
        <x:v>Zebi Data India</x:v>
      </x:c>
      <x:c r="C5987" s="12" t="str">
        <x:v>CORP-0733</x:v>
      </x:c>
      <x:c r="D5987" s="12" t="str">
        <x:v>Hyderabad</x:v>
      </x:c>
      <x:c r="E5987" s="12" t="str">
        <x:v>Kapil Towers</x:v>
      </x:c>
      <x:c r="F5987" s="12" t="str">
        <x:v>55 inch</x:v>
      </x:c>
      <x:c r="G5987" s="20" t="n">
        <x:v>1</x:v>
      </x:c>
      <x:c r="H5987" s="12" t="str">
        <x:v>Campus/portfolio roster; individual building occupancy unverified</x:v>
      </x:c>
      <x:c r="I5987" s="12" t="str">
        <x:v>Small-scale prospects</x:v>
      </x:c>
      <x:c r="J5987" s="12" t="str">
        <x:v>IT &amp; digital</x:v>
      </x:c>
      <x:c r="K5987" s="2" t="str">
        <x:v>PARTNER-M317</x:v>
      </x:c>
    </x:row>
    <x:row r="5988" ht="46" customHeight="1">
      <x:c r="A5988" s="2" t="str">
        <x:v>TEN-5E423FF3D952</x:v>
      </x:c>
      <x:c r="B5988" s="12" t="str">
        <x:v>Codexbox</x:v>
      </x:c>
      <x:c r="C5988" s="12" t="str">
        <x:v>CORP-0733</x:v>
      </x:c>
      <x:c r="D5988" s="12" t="str">
        <x:v>Hyderabad</x:v>
      </x:c>
      <x:c r="E5988" s="12" t="str">
        <x:v>Kapil Towers</x:v>
      </x:c>
      <x:c r="F5988" s="12" t="str">
        <x:v>55 inch</x:v>
      </x:c>
      <x:c r="G5988" s="20" t="n">
        <x:v>1</x:v>
      </x:c>
      <x:c r="H5988" s="12" t="str">
        <x:v>Campus/portfolio roster; individual building occupancy unverified</x:v>
      </x:c>
      <x:c r="I5988" s="12" t="str">
        <x:v>Mixed business audience</x:v>
      </x:c>
      <x:c r="J5988" s="12" t="str">
        <x:v>Unresolved</x:v>
      </x:c>
      <x:c r="K5988" s="2" t="str">
        <x:v>PARTNER-M317</x:v>
      </x:c>
    </x:row>
    <x:row r="5989" ht="46" customHeight="1">
      <x:c r="A5989" s="2" t="str">
        <x:v>TEN-610A92A03F91</x:v>
      </x:c>
      <x:c r="B5989" s="12" t="str">
        <x:v>Kagool Data</x:v>
      </x:c>
      <x:c r="C5989" s="12" t="str">
        <x:v>CORP-0733</x:v>
      </x:c>
      <x:c r="D5989" s="12" t="str">
        <x:v>Hyderabad</x:v>
      </x:c>
      <x:c r="E5989" s="12" t="str">
        <x:v>Kapil Towers</x:v>
      </x:c>
      <x:c r="F5989" s="12" t="str">
        <x:v>55 inch</x:v>
      </x:c>
      <x:c r="G5989" s="20" t="n">
        <x:v>1</x:v>
      </x:c>
      <x:c r="H5989" s="12" t="str">
        <x:v>Campus/portfolio roster; individual building occupancy unverified</x:v>
      </x:c>
      <x:c r="I5989" s="12" t="str">
        <x:v>Small-scale prospects</x:v>
      </x:c>
      <x:c r="J5989" s="12" t="str">
        <x:v>IT &amp; digital</x:v>
      </x:c>
      <x:c r="K5989" s="2" t="str">
        <x:v>PARTNER-M317</x:v>
      </x:c>
    </x:row>
    <x:row r="5990" ht="46" customHeight="1">
      <x:c r="A5990" s="2" t="str">
        <x:v>TEN-696EBEF1BEC8</x:v>
      </x:c>
      <x:c r="B5990" s="12" t="str">
        <x:v>AureusTech Systems</x:v>
      </x:c>
      <x:c r="C5990" s="12" t="str">
        <x:v>CORP-0733</x:v>
      </x:c>
      <x:c r="D5990" s="12" t="str">
        <x:v>Hyderabad</x:v>
      </x:c>
      <x:c r="E5990" s="12" t="str">
        <x:v>Kapil Towers</x:v>
      </x:c>
      <x:c r="F5990" s="12" t="str">
        <x:v>55 inch</x:v>
      </x:c>
      <x:c r="G5990" s="20" t="n">
        <x:v>1</x:v>
      </x:c>
      <x:c r="H5990" s="12" t="str">
        <x:v>Campus/portfolio roster; individual building occupancy unverified</x:v>
      </x:c>
      <x:c r="I5990" s="12" t="str">
        <x:v>Small-scale prospects</x:v>
      </x:c>
      <x:c r="J5990" s="12" t="str">
        <x:v>IT &amp; digital</x:v>
      </x:c>
      <x:c r="K5990" s="2" t="str">
        <x:v>PARTNER-M317</x:v>
      </x:c>
    </x:row>
    <x:row r="5991" ht="46" customHeight="1">
      <x:c r="A5991" s="2" t="str">
        <x:v>TEN-6B83683277A9</x:v>
      </x:c>
      <x:c r="B5991" s="12" t="str">
        <x:v>Houzekey Consulting</x:v>
      </x:c>
      <x:c r="C5991" s="12" t="str">
        <x:v>CORP-0733</x:v>
      </x:c>
      <x:c r="D5991" s="12" t="str">
        <x:v>Hyderabad</x:v>
      </x:c>
      <x:c r="E5991" s="12" t="str">
        <x:v>Kapil Towers</x:v>
      </x:c>
      <x:c r="F5991" s="12" t="str">
        <x:v>55 inch</x:v>
      </x:c>
      <x:c r="G5991" s="20" t="n">
        <x:v>1</x:v>
      </x:c>
      <x:c r="H5991" s="12" t="str">
        <x:v>Campus/portfolio roster; individual building occupancy unverified</x:v>
      </x:c>
      <x:c r="I5991" s="12" t="str">
        <x:v>Small-scale prospects</x:v>
      </x:c>
      <x:c r="J5991" s="12" t="str">
        <x:v>Professional services</x:v>
      </x:c>
      <x:c r="K5991" s="2" t="str">
        <x:v>PARTNER-M317</x:v>
      </x:c>
    </x:row>
    <x:row r="5992" ht="46" customHeight="1">
      <x:c r="A5992" s="2" t="str">
        <x:v>TEN-99DC3C2D940B</x:v>
      </x:c>
      <x:c r="B5992" s="12" t="str">
        <x:v>FutureTech Business Solutions</x:v>
      </x:c>
      <x:c r="C5992" s="12" t="str">
        <x:v>CORP-0733</x:v>
      </x:c>
      <x:c r="D5992" s="12" t="str">
        <x:v>Hyderabad</x:v>
      </x:c>
      <x:c r="E5992" s="12" t="str">
        <x:v>Kapil Towers</x:v>
      </x:c>
      <x:c r="F5992" s="12" t="str">
        <x:v>55 inch</x:v>
      </x:c>
      <x:c r="G5992" s="20" t="n">
        <x:v>1</x:v>
      </x:c>
      <x:c r="H5992" s="12" t="str">
        <x:v>Campus/portfolio roster; individual building occupancy unverified</x:v>
      </x:c>
      <x:c r="I5992" s="12" t="str">
        <x:v>Mixed business audience</x:v>
      </x:c>
      <x:c r="J5992" s="12" t="str">
        <x:v>Unresolved</x:v>
      </x:c>
      <x:c r="K5992" s="2" t="str">
        <x:v>PARTNER-M317</x:v>
      </x:c>
    </x:row>
    <x:row r="5993" ht="46" customHeight="1">
      <x:c r="A5993" s="2" t="str">
        <x:v>TEN-9DE4EB87E986</x:v>
      </x:c>
      <x:c r="B5993" s="12" t="str">
        <x:v>Microsemi Communications India</x:v>
      </x:c>
      <x:c r="C5993" s="12" t="str">
        <x:v>CORP-0733</x:v>
      </x:c>
      <x:c r="D5993" s="12" t="str">
        <x:v>Hyderabad</x:v>
      </x:c>
      <x:c r="E5993" s="12" t="str">
        <x:v>Kapil Towers</x:v>
      </x:c>
      <x:c r="F5993" s="12" t="str">
        <x:v>55 inch</x:v>
      </x:c>
      <x:c r="G5993" s="20" t="n">
        <x:v>1</x:v>
      </x:c>
      <x:c r="H5993" s="12" t="str">
        <x:v>Campus/portfolio roster; individual building occupancy unverified</x:v>
      </x:c>
      <x:c r="I5993" s="12" t="str">
        <x:v>Mixed business audience</x:v>
      </x:c>
      <x:c r="J5993" s="12" t="str">
        <x:v>IT &amp; digital</x:v>
      </x:c>
      <x:c r="K5993" s="2" t="str">
        <x:v>PARTNER-M317</x:v>
      </x:c>
    </x:row>
    <x:row r="5994" ht="46" customHeight="1">
      <x:c r="A5994" s="2" t="str">
        <x:v>TEN-A0B931E47192</x:v>
      </x:c>
      <x:c r="B5994" s="12" t="str">
        <x:v>Kin Lifecare Services</x:v>
      </x:c>
      <x:c r="C5994" s="12" t="str">
        <x:v>CORP-0733</x:v>
      </x:c>
      <x:c r="D5994" s="12" t="str">
        <x:v>Hyderabad</x:v>
      </x:c>
      <x:c r="E5994" s="12" t="str">
        <x:v>Kapil Towers</x:v>
      </x:c>
      <x:c r="F5994" s="12" t="str">
        <x:v>55 inch</x:v>
      </x:c>
      <x:c r="G5994" s="20" t="n">
        <x:v>1</x:v>
      </x:c>
      <x:c r="H5994" s="12" t="str">
        <x:v>Campus/portfolio roster; individual building occupancy unverified</x:v>
      </x:c>
      <x:c r="I5994" s="12" t="str">
        <x:v>Medium-scale prospects</x:v>
      </x:c>
      <x:c r="J5994" s="12" t="str">
        <x:v>Healthcare &amp; life sciences</x:v>
      </x:c>
      <x:c r="K5994" s="2" t="str">
        <x:v>PARTNER-M317</x:v>
      </x:c>
    </x:row>
    <x:row r="5995" ht="46" customHeight="1">
      <x:c r="A5995" s="2" t="str">
        <x:v>TEN-A5F3E9F1C9E5</x:v>
      </x:c>
      <x:c r="B5995" s="12" t="str">
        <x:v>InnoCore Digital</x:v>
      </x:c>
      <x:c r="C5995" s="12" t="str">
        <x:v>CORP-0733</x:v>
      </x:c>
      <x:c r="D5995" s="12" t="str">
        <x:v>Hyderabad</x:v>
      </x:c>
      <x:c r="E5995" s="12" t="str">
        <x:v>Kapil Towers</x:v>
      </x:c>
      <x:c r="F5995" s="12" t="str">
        <x:v>55 inch</x:v>
      </x:c>
      <x:c r="G5995" s="20" t="n">
        <x:v>1</x:v>
      </x:c>
      <x:c r="H5995" s="12" t="str">
        <x:v>Campus/portfolio roster; individual building occupancy unverified</x:v>
      </x:c>
      <x:c r="I5995" s="12" t="str">
        <x:v>Small-scale prospects</x:v>
      </x:c>
      <x:c r="J5995" s="12" t="str">
        <x:v>IT &amp; digital</x:v>
      </x:c>
      <x:c r="K5995" s="2" t="str">
        <x:v>PARTNER-M317</x:v>
      </x:c>
    </x:row>
    <x:row r="5996" ht="46" customHeight="1">
      <x:c r="A5996" s="2" t="str">
        <x:v>TEN-A71520DA2A6E</x:v>
      </x:c>
      <x:c r="B5996" s="12" t="str">
        <x:v>AheadRace Software Development Services</x:v>
      </x:c>
      <x:c r="C5996" s="12" t="str">
        <x:v>CORP-0733</x:v>
      </x:c>
      <x:c r="D5996" s="12" t="str">
        <x:v>Hyderabad</x:v>
      </x:c>
      <x:c r="E5996" s="12" t="str">
        <x:v>Kapil Towers</x:v>
      </x:c>
      <x:c r="F5996" s="12" t="str">
        <x:v>55 inch</x:v>
      </x:c>
      <x:c r="G5996" s="20" t="n">
        <x:v>1</x:v>
      </x:c>
      <x:c r="H5996" s="12" t="str">
        <x:v>Campus/portfolio roster; individual building occupancy unverified</x:v>
      </x:c>
      <x:c r="I5996" s="12" t="str">
        <x:v>Small-scale prospects</x:v>
      </x:c>
      <x:c r="J5996" s="12" t="str">
        <x:v>IT &amp; digital</x:v>
      </x:c>
      <x:c r="K5996" s="2" t="str">
        <x:v>PARTNER-M317</x:v>
      </x:c>
    </x:row>
    <x:row r="5997" ht="46" customHeight="1">
      <x:c r="A5997" s="2" t="str">
        <x:v>TEN-AAD0329B77D6</x:v>
      </x:c>
      <x:c r="B5997" s="12" t="str">
        <x:v>Glide Insurance Broking Services</x:v>
      </x:c>
      <x:c r="C5997" s="12" t="str">
        <x:v>CORP-0733</x:v>
      </x:c>
      <x:c r="D5997" s="12" t="str">
        <x:v>Hyderabad</x:v>
      </x:c>
      <x:c r="E5997" s="12" t="str">
        <x:v>Kapil Towers</x:v>
      </x:c>
      <x:c r="F5997" s="12" t="str">
        <x:v>55 inch</x:v>
      </x:c>
      <x:c r="G5997" s="20" t="n">
        <x:v>1</x:v>
      </x:c>
      <x:c r="H5997" s="12" t="str">
        <x:v>Campus/portfolio roster; individual building occupancy unverified</x:v>
      </x:c>
      <x:c r="I5997" s="12" t="str">
        <x:v>Small-scale prospects</x:v>
      </x:c>
      <x:c r="J5997" s="12" t="str">
        <x:v>Finance &amp; insurance</x:v>
      </x:c>
      <x:c r="K5997" s="2" t="str">
        <x:v>PARTNER-M317</x:v>
      </x:c>
    </x:row>
    <x:row r="5998" ht="46" customHeight="1">
      <x:c r="A5998" s="2" t="str">
        <x:v>TEN-ABA79A2B2DEC</x:v>
      </x:c>
      <x:c r="B5998" s="12" t="str">
        <x:v>CoreCompete</x:v>
      </x:c>
      <x:c r="C5998" s="12" t="str">
        <x:v>CORP-0733</x:v>
      </x:c>
      <x:c r="D5998" s="12" t="str">
        <x:v>Hyderabad</x:v>
      </x:c>
      <x:c r="E5998" s="12" t="str">
        <x:v>Kapil Towers</x:v>
      </x:c>
      <x:c r="F5998" s="12" t="str">
        <x:v>55 inch</x:v>
      </x:c>
      <x:c r="G5998" s="20" t="n">
        <x:v>1</x:v>
      </x:c>
      <x:c r="H5998" s="12" t="str">
        <x:v>Campus/portfolio roster; individual building occupancy unverified</x:v>
      </x:c>
      <x:c r="I5998" s="12" t="str">
        <x:v>Mixed business audience</x:v>
      </x:c>
      <x:c r="J5998" s="12" t="str">
        <x:v>IT &amp; digital</x:v>
      </x:c>
      <x:c r="K5998" s="2" t="str">
        <x:v>PARTNER-M317</x:v>
      </x:c>
    </x:row>
    <x:row r="5999" ht="46" customHeight="1">
      <x:c r="A5999" s="2" t="str">
        <x:v>TEN-B63ABE14A06F</x:v>
      </x:c>
      <x:c r="B5999" s="12" t="str">
        <x:v>Skyonn Technologies</x:v>
      </x:c>
      <x:c r="C5999" s="12" t="str">
        <x:v>CORP-0733</x:v>
      </x:c>
      <x:c r="D5999" s="12" t="str">
        <x:v>Hyderabad</x:v>
      </x:c>
      <x:c r="E5999" s="12" t="str">
        <x:v>Kapil Towers</x:v>
      </x:c>
      <x:c r="F5999" s="12" t="str">
        <x:v>55 inch</x:v>
      </x:c>
      <x:c r="G5999" s="20" t="n">
        <x:v>1</x:v>
      </x:c>
      <x:c r="H5999" s="12" t="str">
        <x:v>Campus/portfolio roster; individual building occupancy unverified</x:v>
      </x:c>
      <x:c r="I5999" s="12" t="str">
        <x:v>Mixed business audience</x:v>
      </x:c>
      <x:c r="J5999" s="12" t="str">
        <x:v>Unresolved</x:v>
      </x:c>
      <x:c r="K5999" s="2" t="str">
        <x:v>PARTNER-M317</x:v>
      </x:c>
    </x:row>
    <x:row r="6000" ht="46" customHeight="1">
      <x:c r="A6000" s="2" t="str">
        <x:v>TEN-C425191D5D06</x:v>
      </x:c>
      <x:c r="B6000" s="12" t="str">
        <x:v>Staples Office Supplies LLP</x:v>
      </x:c>
      <x:c r="C6000" s="12" t="str">
        <x:v>CORP-0733</x:v>
      </x:c>
      <x:c r="D6000" s="12" t="str">
        <x:v>Hyderabad</x:v>
      </x:c>
      <x:c r="E6000" s="12" t="str">
        <x:v>Kapil Towers</x:v>
      </x:c>
      <x:c r="F6000" s="12" t="str">
        <x:v>55 inch</x:v>
      </x:c>
      <x:c r="G6000" s="20" t="n">
        <x:v>1</x:v>
      </x:c>
      <x:c r="H6000" s="12" t="str">
        <x:v>Campus/portfolio roster; individual building occupancy unverified</x:v>
      </x:c>
      <x:c r="I6000" s="12" t="str">
        <x:v>Mixed business audience</x:v>
      </x:c>
      <x:c r="J6000" s="12" t="str">
        <x:v>Trade, consumer &amp; logistics</x:v>
      </x:c>
      <x:c r="K6000" s="2" t="str">
        <x:v>PARTNER-M317</x:v>
      </x:c>
    </x:row>
    <x:row r="6001" ht="46" customHeight="1">
      <x:c r="A6001" s="2" t="str">
        <x:v>TEN-D17B85E52ABA</x:v>
      </x:c>
      <x:c r="B6001" s="12" t="str">
        <x:v>Kapil IT Solutions</x:v>
      </x:c>
      <x:c r="C6001" s="12" t="str">
        <x:v>CORP-0733</x:v>
      </x:c>
      <x:c r="D6001" s="12" t="str">
        <x:v>Hyderabad</x:v>
      </x:c>
      <x:c r="E6001" s="12" t="str">
        <x:v>Kapil Towers</x:v>
      </x:c>
      <x:c r="F6001" s="12" t="str">
        <x:v>55 inch</x:v>
      </x:c>
      <x:c r="G6001" s="20" t="n">
        <x:v>1</x:v>
      </x:c>
      <x:c r="H6001" s="12" t="str">
        <x:v>Campus/portfolio roster; individual building occupancy unverified</x:v>
      </x:c>
      <x:c r="I6001" s="12" t="str">
        <x:v>Small-scale prospects</x:v>
      </x:c>
      <x:c r="J6001" s="12" t="str">
        <x:v>IT &amp; digital</x:v>
      </x:c>
      <x:c r="K6001" s="2" t="str">
        <x:v>PARTNER-M317</x:v>
      </x:c>
    </x:row>
    <x:row r="6002" ht="46" customHeight="1">
      <x:c r="A6002" s="2" t="str">
        <x:v>TEN-EA94B39D1C72</x:v>
      </x:c>
      <x:c r="B6002" s="12" t="str">
        <x:v>TailorTech</x:v>
      </x:c>
      <x:c r="C6002" s="12" t="str">
        <x:v>CORP-0733</x:v>
      </x:c>
      <x:c r="D6002" s="12" t="str">
        <x:v>Hyderabad</x:v>
      </x:c>
      <x:c r="E6002" s="12" t="str">
        <x:v>Kapil Towers</x:v>
      </x:c>
      <x:c r="F6002" s="12" t="str">
        <x:v>55 inch</x:v>
      </x:c>
      <x:c r="G6002" s="20" t="n">
        <x:v>1</x:v>
      </x:c>
      <x:c r="H6002" s="12" t="str">
        <x:v>Campus/portfolio roster; individual building occupancy unverified</x:v>
      </x:c>
      <x:c r="I6002" s="12" t="str">
        <x:v>Mixed business audience</x:v>
      </x:c>
      <x:c r="J6002" s="12" t="str">
        <x:v>Unresolved</x:v>
      </x:c>
      <x:c r="K6002" s="2" t="str">
        <x:v>PARTNER-M317</x:v>
      </x:c>
    </x:row>
    <x:row r="6003" ht="46" customHeight="1">
      <x:c r="A6003" s="2" t="str">
        <x:v>TEN-ED8AA4B2E058</x:v>
      </x:c>
      <x:c r="B6003" s="12" t="str">
        <x:v>Appstek Solutions</x:v>
      </x:c>
      <x:c r="C6003" s="12" t="str">
        <x:v>CORP-0733</x:v>
      </x:c>
      <x:c r="D6003" s="12" t="str">
        <x:v>Hyderabad</x:v>
      </x:c>
      <x:c r="E6003" s="12" t="str">
        <x:v>Kapil Towers</x:v>
      </x:c>
      <x:c r="F6003" s="12" t="str">
        <x:v>55 inch</x:v>
      </x:c>
      <x:c r="G6003" s="20" t="n">
        <x:v>1</x:v>
      </x:c>
      <x:c r="H6003" s="12" t="str">
        <x:v>Campus/portfolio roster; individual building occupancy unverified</x:v>
      </x:c>
      <x:c r="I6003" s="12" t="str">
        <x:v>Small-scale prospects</x:v>
      </x:c>
      <x:c r="J6003" s="12" t="str">
        <x:v>IT &amp; digital</x:v>
      </x:c>
      <x:c r="K6003" s="2" t="str">
        <x:v>PARTNER-M317</x:v>
      </x:c>
    </x:row>
    <x:row r="6004" ht="46" customHeight="1">
      <x:c r="A6004" s="2" t="str">
        <x:v>TEN-F17CDF039CA5</x:v>
      </x:c>
      <x:c r="B6004" s="12" t="str">
        <x:v>Knowledge Matrix India</x:v>
      </x:c>
      <x:c r="C6004" s="12" t="str">
        <x:v>CORP-0733</x:v>
      </x:c>
      <x:c r="D6004" s="12" t="str">
        <x:v>Hyderabad</x:v>
      </x:c>
      <x:c r="E6004" s="12" t="str">
        <x:v>Kapil Towers</x:v>
      </x:c>
      <x:c r="F6004" s="12" t="str">
        <x:v>55 inch</x:v>
      </x:c>
      <x:c r="G6004" s="20" t="n">
        <x:v>1</x:v>
      </x:c>
      <x:c r="H6004" s="12" t="str">
        <x:v>Campus/portfolio roster; individual building occupancy unverified</x:v>
      </x:c>
      <x:c r="I6004" s="12" t="str">
        <x:v>Small-scale prospects</x:v>
      </x:c>
      <x:c r="J6004" s="12" t="str">
        <x:v>IT &amp; digital</x:v>
      </x:c>
      <x:c r="K6004" s="2" t="str">
        <x:v>PARTNER-M317</x:v>
      </x:c>
    </x:row>
    <x:row r="6005" ht="46" customHeight="1">
      <x:c r="A6005" s="2" t="str">
        <x:v>TEN-F67EC79876E7</x:v>
      </x:c>
      <x:c r="B6005" s="12" t="str">
        <x:v>Prometric Testing</x:v>
      </x:c>
      <x:c r="C6005" s="12" t="str">
        <x:v>CORP-0733</x:v>
      </x:c>
      <x:c r="D6005" s="12" t="str">
        <x:v>Hyderabad</x:v>
      </x:c>
      <x:c r="E6005" s="12" t="str">
        <x:v>Kapil Towers</x:v>
      </x:c>
      <x:c r="F6005" s="12" t="str">
        <x:v>55 inch</x:v>
      </x:c>
      <x:c r="G6005" s="20" t="n">
        <x:v>1</x:v>
      </x:c>
      <x:c r="H6005" s="12" t="str">
        <x:v>Campus/portfolio roster; individual building occupancy unverified</x:v>
      </x:c>
      <x:c r="I6005" s="12" t="str">
        <x:v>Mixed business audience</x:v>
      </x:c>
      <x:c r="J6005" s="12" t="str">
        <x:v>Education</x:v>
      </x:c>
      <x:c r="K6005" s="2" t="str">
        <x:v>PARTNER-M317</x:v>
      </x:c>
    </x:row>
    <x:row r="6006" ht="46" customHeight="1">
      <x:c r="A6006" s="2" t="str">
        <x:v>TEN-0A5ECD30C1C6</x:v>
      </x:c>
      <x:c r="B6006" s="12" t="str">
        <x:v>Rythmos India</x:v>
      </x:c>
      <x:c r="C6006" s="12" t="str">
        <x:v>CORP-0734</x:v>
      </x:c>
      <x:c r="D6006" s="12" t="str">
        <x:v>Hyderabad</x:v>
      </x:c>
      <x:c r="E6006" s="12" t="str">
        <x:v>Kapil Towers</x:v>
      </x:c>
      <x:c r="F6006" s="12" t="str">
        <x:v>55 inch</x:v>
      </x:c>
      <x:c r="G6006" s="20" t="n">
        <x:v>1</x:v>
      </x:c>
      <x:c r="H6006" s="12" t="str">
        <x:v>Campus/portfolio roster; individual building occupancy unverified</x:v>
      </x:c>
      <x:c r="I6006" s="12" t="str">
        <x:v>Small-scale prospects</x:v>
      </x:c>
      <x:c r="J6006" s="12" t="str">
        <x:v>IT &amp; digital</x:v>
      </x:c>
      <x:c r="K6006" s="2" t="str">
        <x:v>PARTNER-M317</x:v>
      </x:c>
    </x:row>
    <x:row r="6007" ht="46" customHeight="1">
      <x:c r="A6007" s="2" t="str">
        <x:v>TEN-1A35D512D448</x:v>
      </x:c>
      <x:c r="B6007" s="12" t="str">
        <x:v>Book MyT Software Technologies</x:v>
      </x:c>
      <x:c r="C6007" s="12" t="str">
        <x:v>CORP-0734</x:v>
      </x:c>
      <x:c r="D6007" s="12" t="str">
        <x:v>Hyderabad</x:v>
      </x:c>
      <x:c r="E6007" s="12" t="str">
        <x:v>Kapil Towers</x:v>
      </x:c>
      <x:c r="F6007" s="12" t="str">
        <x:v>55 inch</x:v>
      </x:c>
      <x:c r="G6007" s="20" t="n">
        <x:v>1</x:v>
      </x:c>
      <x:c r="H6007" s="12" t="str">
        <x:v>Campus/portfolio roster; individual building occupancy unverified</x:v>
      </x:c>
      <x:c r="I6007" s="12" t="str">
        <x:v>Small-scale prospects</x:v>
      </x:c>
      <x:c r="J6007" s="12" t="str">
        <x:v>IT &amp; digital</x:v>
      </x:c>
      <x:c r="K6007" s="2" t="str">
        <x:v>PARTNER-M317</x:v>
      </x:c>
    </x:row>
    <x:row r="6008" ht="46" customHeight="1">
      <x:c r="A6008" s="2" t="str">
        <x:v>TEN-20AE44E7A981</x:v>
      </x:c>
      <x:c r="B6008" s="12" t="str">
        <x:v>Covalense Technologies</x:v>
      </x:c>
      <x:c r="C6008" s="12" t="str">
        <x:v>CORP-0734</x:v>
      </x:c>
      <x:c r="D6008" s="12" t="str">
        <x:v>Hyderabad</x:v>
      </x:c>
      <x:c r="E6008" s="12" t="str">
        <x:v>Kapil Towers</x:v>
      </x:c>
      <x:c r="F6008" s="12" t="str">
        <x:v>55 inch</x:v>
      </x:c>
      <x:c r="G6008" s="20" t="n">
        <x:v>1</x:v>
      </x:c>
      <x:c r="H6008" s="12" t="str">
        <x:v>Campus/portfolio roster; individual building occupancy unverified</x:v>
      </x:c>
      <x:c r="I6008" s="12" t="str">
        <x:v>Small-scale prospects</x:v>
      </x:c>
      <x:c r="J6008" s="12" t="str">
        <x:v>IT &amp; digital</x:v>
      </x:c>
      <x:c r="K6008" s="2" t="str">
        <x:v>PARTNER-M317</x:v>
      </x:c>
    </x:row>
    <x:row r="6009" ht="46" customHeight="1">
      <x:c r="A6009" s="2" t="str">
        <x:v>TEN-35116738549F</x:v>
      </x:c>
      <x:c r="B6009" s="12" t="str">
        <x:v>Xetadata Software</x:v>
      </x:c>
      <x:c r="C6009" s="12" t="str">
        <x:v>CORP-0734</x:v>
      </x:c>
      <x:c r="D6009" s="12" t="str">
        <x:v>Hyderabad</x:v>
      </x:c>
      <x:c r="E6009" s="12" t="str">
        <x:v>Kapil Towers</x:v>
      </x:c>
      <x:c r="F6009" s="12" t="str">
        <x:v>55 inch</x:v>
      </x:c>
      <x:c r="G6009" s="20" t="n">
        <x:v>1</x:v>
      </x:c>
      <x:c r="H6009" s="12" t="str">
        <x:v>Campus/portfolio roster; individual building occupancy unverified</x:v>
      </x:c>
      <x:c r="I6009" s="12" t="str">
        <x:v>Small-scale prospects</x:v>
      </x:c>
      <x:c r="J6009" s="12" t="str">
        <x:v>IT &amp; digital</x:v>
      </x:c>
      <x:c r="K6009" s="2" t="str">
        <x:v>PARTNER-M317</x:v>
      </x:c>
    </x:row>
    <x:row r="6010" ht="46" customHeight="1">
      <x:c r="A6010" s="2" t="str">
        <x:v>TEN-4217F70FC2FE</x:v>
      </x:c>
      <x:c r="B6010" s="12" t="str">
        <x:v>Toyaja Software India</x:v>
      </x:c>
      <x:c r="C6010" s="12" t="str">
        <x:v>CORP-0734</x:v>
      </x:c>
      <x:c r="D6010" s="12" t="str">
        <x:v>Hyderabad</x:v>
      </x:c>
      <x:c r="E6010" s="12" t="str">
        <x:v>Kapil Towers</x:v>
      </x:c>
      <x:c r="F6010" s="12" t="str">
        <x:v>55 inch</x:v>
      </x:c>
      <x:c r="G6010" s="20" t="n">
        <x:v>1</x:v>
      </x:c>
      <x:c r="H6010" s="12" t="str">
        <x:v>Campus/portfolio roster; individual building occupancy unverified</x:v>
      </x:c>
      <x:c r="I6010" s="12" t="str">
        <x:v>Small-scale prospects</x:v>
      </x:c>
      <x:c r="J6010" s="12" t="str">
        <x:v>IT &amp; digital</x:v>
      </x:c>
      <x:c r="K6010" s="2" t="str">
        <x:v>PARTNER-M317</x:v>
      </x:c>
    </x:row>
    <x:row r="6011" ht="46" customHeight="1">
      <x:c r="A6011" s="2" t="str">
        <x:v>TEN-45562E981863</x:v>
      </x:c>
      <x:c r="B6011" s="12" t="str">
        <x:v>Qumu Corp</x:v>
      </x:c>
      <x:c r="C6011" s="12" t="str">
        <x:v>CORP-0734</x:v>
      </x:c>
      <x:c r="D6011" s="12" t="str">
        <x:v>Hyderabad</x:v>
      </x:c>
      <x:c r="E6011" s="12" t="str">
        <x:v>Kapil Towers</x:v>
      </x:c>
      <x:c r="F6011" s="12" t="str">
        <x:v>55 inch</x:v>
      </x:c>
      <x:c r="G6011" s="20" t="n">
        <x:v>1</x:v>
      </x:c>
      <x:c r="H6011" s="12" t="str">
        <x:v>Campus/portfolio roster; individual building occupancy unverified</x:v>
      </x:c>
      <x:c r="I6011" s="12" t="str">
        <x:v>Mixed business audience</x:v>
      </x:c>
      <x:c r="J6011" s="12" t="str">
        <x:v>IT &amp; digital</x:v>
      </x:c>
      <x:c r="K6011" s="2" t="str">
        <x:v>PARTNER-M317</x:v>
      </x:c>
    </x:row>
    <x:row r="6012" ht="46" customHeight="1">
      <x:c r="A6012" s="2" t="str">
        <x:v>TEN-4881BA2217F0</x:v>
      </x:c>
      <x:c r="B6012" s="12" t="str">
        <x:v>Pramati Technologies</x:v>
      </x:c>
      <x:c r="C6012" s="12" t="str">
        <x:v>CORP-0734</x:v>
      </x:c>
      <x:c r="D6012" s="12" t="str">
        <x:v>Hyderabad</x:v>
      </x:c>
      <x:c r="E6012" s="12" t="str">
        <x:v>Kapil Towers</x:v>
      </x:c>
      <x:c r="F6012" s="12" t="str">
        <x:v>55 inch</x:v>
      </x:c>
      <x:c r="G6012" s="20" t="n">
        <x:v>1</x:v>
      </x:c>
      <x:c r="H6012" s="12" t="str">
        <x:v>Campus/portfolio roster; individual building occupancy unverified</x:v>
      </x:c>
      <x:c r="I6012" s="12" t="str">
        <x:v>Small-scale prospects</x:v>
      </x:c>
      <x:c r="J6012" s="12" t="str">
        <x:v>IT &amp; digital</x:v>
      </x:c>
      <x:c r="K6012" s="2" t="str">
        <x:v>PARTNER-M317</x:v>
      </x:c>
    </x:row>
    <x:row r="6013" ht="46" customHeight="1">
      <x:c r="A6013" s="2" t="str">
        <x:v>TEN-4E9F09D4C240</x:v>
      </x:c>
      <x:c r="B6013" s="12" t="str">
        <x:v>Zebi Data India</x:v>
      </x:c>
      <x:c r="C6013" s="12" t="str">
        <x:v>CORP-0734</x:v>
      </x:c>
      <x:c r="D6013" s="12" t="str">
        <x:v>Hyderabad</x:v>
      </x:c>
      <x:c r="E6013" s="12" t="str">
        <x:v>Kapil Towers</x:v>
      </x:c>
      <x:c r="F6013" s="12" t="str">
        <x:v>55 inch</x:v>
      </x:c>
      <x:c r="G6013" s="20" t="n">
        <x:v>1</x:v>
      </x:c>
      <x:c r="H6013" s="12" t="str">
        <x:v>Campus/portfolio roster; individual building occupancy unverified</x:v>
      </x:c>
      <x:c r="I6013" s="12" t="str">
        <x:v>Small-scale prospects</x:v>
      </x:c>
      <x:c r="J6013" s="12" t="str">
        <x:v>IT &amp; digital</x:v>
      </x:c>
      <x:c r="K6013" s="2" t="str">
        <x:v>PARTNER-M317</x:v>
      </x:c>
    </x:row>
    <x:row r="6014" ht="46" customHeight="1">
      <x:c r="A6014" s="2" t="str">
        <x:v>TEN-5E423FF3D952</x:v>
      </x:c>
      <x:c r="B6014" s="12" t="str">
        <x:v>Codexbox</x:v>
      </x:c>
      <x:c r="C6014" s="12" t="str">
        <x:v>CORP-0734</x:v>
      </x:c>
      <x:c r="D6014" s="12" t="str">
        <x:v>Hyderabad</x:v>
      </x:c>
      <x:c r="E6014" s="12" t="str">
        <x:v>Kapil Towers</x:v>
      </x:c>
      <x:c r="F6014" s="12" t="str">
        <x:v>55 inch</x:v>
      </x:c>
      <x:c r="G6014" s="20" t="n">
        <x:v>1</x:v>
      </x:c>
      <x:c r="H6014" s="12" t="str">
        <x:v>Campus/portfolio roster; individual building occupancy unverified</x:v>
      </x:c>
      <x:c r="I6014" s="12" t="str">
        <x:v>Mixed business audience</x:v>
      </x:c>
      <x:c r="J6014" s="12" t="str">
        <x:v>Unresolved</x:v>
      </x:c>
      <x:c r="K6014" s="2" t="str">
        <x:v>PARTNER-M317</x:v>
      </x:c>
    </x:row>
    <x:row r="6015" ht="46" customHeight="1">
      <x:c r="A6015" s="2" t="str">
        <x:v>TEN-610A92A03F91</x:v>
      </x:c>
      <x:c r="B6015" s="12" t="str">
        <x:v>Kagool Data</x:v>
      </x:c>
      <x:c r="C6015" s="12" t="str">
        <x:v>CORP-0734</x:v>
      </x:c>
      <x:c r="D6015" s="12" t="str">
        <x:v>Hyderabad</x:v>
      </x:c>
      <x:c r="E6015" s="12" t="str">
        <x:v>Kapil Towers</x:v>
      </x:c>
      <x:c r="F6015" s="12" t="str">
        <x:v>55 inch</x:v>
      </x:c>
      <x:c r="G6015" s="20" t="n">
        <x:v>1</x:v>
      </x:c>
      <x:c r="H6015" s="12" t="str">
        <x:v>Campus/portfolio roster; individual building occupancy unverified</x:v>
      </x:c>
      <x:c r="I6015" s="12" t="str">
        <x:v>Small-scale prospects</x:v>
      </x:c>
      <x:c r="J6015" s="12" t="str">
        <x:v>IT &amp; digital</x:v>
      </x:c>
      <x:c r="K6015" s="2" t="str">
        <x:v>PARTNER-M317</x:v>
      </x:c>
    </x:row>
    <x:row r="6016" ht="46" customHeight="1">
      <x:c r="A6016" s="2" t="str">
        <x:v>TEN-696EBEF1BEC8</x:v>
      </x:c>
      <x:c r="B6016" s="12" t="str">
        <x:v>AureusTech Systems</x:v>
      </x:c>
      <x:c r="C6016" s="12" t="str">
        <x:v>CORP-0734</x:v>
      </x:c>
      <x:c r="D6016" s="12" t="str">
        <x:v>Hyderabad</x:v>
      </x:c>
      <x:c r="E6016" s="12" t="str">
        <x:v>Kapil Towers</x:v>
      </x:c>
      <x:c r="F6016" s="12" t="str">
        <x:v>55 inch</x:v>
      </x:c>
      <x:c r="G6016" s="20" t="n">
        <x:v>1</x:v>
      </x:c>
      <x:c r="H6016" s="12" t="str">
        <x:v>Campus/portfolio roster; individual building occupancy unverified</x:v>
      </x:c>
      <x:c r="I6016" s="12" t="str">
        <x:v>Small-scale prospects</x:v>
      </x:c>
      <x:c r="J6016" s="12" t="str">
        <x:v>IT &amp; digital</x:v>
      </x:c>
      <x:c r="K6016" s="2" t="str">
        <x:v>PARTNER-M317</x:v>
      </x:c>
    </x:row>
    <x:row r="6017" ht="46" customHeight="1">
      <x:c r="A6017" s="2" t="str">
        <x:v>TEN-6B83683277A9</x:v>
      </x:c>
      <x:c r="B6017" s="12" t="str">
        <x:v>Houzekey Consulting</x:v>
      </x:c>
      <x:c r="C6017" s="12" t="str">
        <x:v>CORP-0734</x:v>
      </x:c>
      <x:c r="D6017" s="12" t="str">
        <x:v>Hyderabad</x:v>
      </x:c>
      <x:c r="E6017" s="12" t="str">
        <x:v>Kapil Towers</x:v>
      </x:c>
      <x:c r="F6017" s="12" t="str">
        <x:v>55 inch</x:v>
      </x:c>
      <x:c r="G6017" s="20" t="n">
        <x:v>1</x:v>
      </x:c>
      <x:c r="H6017" s="12" t="str">
        <x:v>Campus/portfolio roster; individual building occupancy unverified</x:v>
      </x:c>
      <x:c r="I6017" s="12" t="str">
        <x:v>Small-scale prospects</x:v>
      </x:c>
      <x:c r="J6017" s="12" t="str">
        <x:v>Professional services</x:v>
      </x:c>
      <x:c r="K6017" s="2" t="str">
        <x:v>PARTNER-M317</x:v>
      </x:c>
    </x:row>
    <x:row r="6018" ht="46" customHeight="1">
      <x:c r="A6018" s="2" t="str">
        <x:v>TEN-99DC3C2D940B</x:v>
      </x:c>
      <x:c r="B6018" s="12" t="str">
        <x:v>FutureTech Business Solutions</x:v>
      </x:c>
      <x:c r="C6018" s="12" t="str">
        <x:v>CORP-0734</x:v>
      </x:c>
      <x:c r="D6018" s="12" t="str">
        <x:v>Hyderabad</x:v>
      </x:c>
      <x:c r="E6018" s="12" t="str">
        <x:v>Kapil Towers</x:v>
      </x:c>
      <x:c r="F6018" s="12" t="str">
        <x:v>55 inch</x:v>
      </x:c>
      <x:c r="G6018" s="20" t="n">
        <x:v>1</x:v>
      </x:c>
      <x:c r="H6018" s="12" t="str">
        <x:v>Campus/portfolio roster; individual building occupancy unverified</x:v>
      </x:c>
      <x:c r="I6018" s="12" t="str">
        <x:v>Mixed business audience</x:v>
      </x:c>
      <x:c r="J6018" s="12" t="str">
        <x:v>Unresolved</x:v>
      </x:c>
      <x:c r="K6018" s="2" t="str">
        <x:v>PARTNER-M317</x:v>
      </x:c>
    </x:row>
    <x:row r="6019" ht="46" customHeight="1">
      <x:c r="A6019" s="2" t="str">
        <x:v>TEN-9DE4EB87E986</x:v>
      </x:c>
      <x:c r="B6019" s="12" t="str">
        <x:v>Microsemi Communications India</x:v>
      </x:c>
      <x:c r="C6019" s="12" t="str">
        <x:v>CORP-0734</x:v>
      </x:c>
      <x:c r="D6019" s="12" t="str">
        <x:v>Hyderabad</x:v>
      </x:c>
      <x:c r="E6019" s="12" t="str">
        <x:v>Kapil Towers</x:v>
      </x:c>
      <x:c r="F6019" s="12" t="str">
        <x:v>55 inch</x:v>
      </x:c>
      <x:c r="G6019" s="20" t="n">
        <x:v>1</x:v>
      </x:c>
      <x:c r="H6019" s="12" t="str">
        <x:v>Campus/portfolio roster; individual building occupancy unverified</x:v>
      </x:c>
      <x:c r="I6019" s="12" t="str">
        <x:v>Mixed business audience</x:v>
      </x:c>
      <x:c r="J6019" s="12" t="str">
        <x:v>IT &amp; digital</x:v>
      </x:c>
      <x:c r="K6019" s="2" t="str">
        <x:v>PARTNER-M317</x:v>
      </x:c>
    </x:row>
    <x:row r="6020" ht="46" customHeight="1">
      <x:c r="A6020" s="2" t="str">
        <x:v>TEN-A0B931E47192</x:v>
      </x:c>
      <x:c r="B6020" s="12" t="str">
        <x:v>Kin Lifecare Services</x:v>
      </x:c>
      <x:c r="C6020" s="12" t="str">
        <x:v>CORP-0734</x:v>
      </x:c>
      <x:c r="D6020" s="12" t="str">
        <x:v>Hyderabad</x:v>
      </x:c>
      <x:c r="E6020" s="12" t="str">
        <x:v>Kapil Towers</x:v>
      </x:c>
      <x:c r="F6020" s="12" t="str">
        <x:v>55 inch</x:v>
      </x:c>
      <x:c r="G6020" s="20" t="n">
        <x:v>1</x:v>
      </x:c>
      <x:c r="H6020" s="12" t="str">
        <x:v>Campus/portfolio roster; individual building occupancy unverified</x:v>
      </x:c>
      <x:c r="I6020" s="12" t="str">
        <x:v>Medium-scale prospects</x:v>
      </x:c>
      <x:c r="J6020" s="12" t="str">
        <x:v>Healthcare &amp; life sciences</x:v>
      </x:c>
      <x:c r="K6020" s="2" t="str">
        <x:v>PARTNER-M317</x:v>
      </x:c>
    </x:row>
    <x:row r="6021" ht="46" customHeight="1">
      <x:c r="A6021" s="2" t="str">
        <x:v>TEN-A5F3E9F1C9E5</x:v>
      </x:c>
      <x:c r="B6021" s="12" t="str">
        <x:v>InnoCore Digital</x:v>
      </x:c>
      <x:c r="C6021" s="12" t="str">
        <x:v>CORP-0734</x:v>
      </x:c>
      <x:c r="D6021" s="12" t="str">
        <x:v>Hyderabad</x:v>
      </x:c>
      <x:c r="E6021" s="12" t="str">
        <x:v>Kapil Towers</x:v>
      </x:c>
      <x:c r="F6021" s="12" t="str">
        <x:v>55 inch</x:v>
      </x:c>
      <x:c r="G6021" s="20" t="n">
        <x:v>1</x:v>
      </x:c>
      <x:c r="H6021" s="12" t="str">
        <x:v>Campus/portfolio roster; individual building occupancy unverified</x:v>
      </x:c>
      <x:c r="I6021" s="12" t="str">
        <x:v>Small-scale prospects</x:v>
      </x:c>
      <x:c r="J6021" s="12" t="str">
        <x:v>IT &amp; digital</x:v>
      </x:c>
      <x:c r="K6021" s="2" t="str">
        <x:v>PARTNER-M317</x:v>
      </x:c>
    </x:row>
    <x:row r="6022" ht="46" customHeight="1">
      <x:c r="A6022" s="2" t="str">
        <x:v>TEN-A71520DA2A6E</x:v>
      </x:c>
      <x:c r="B6022" s="12" t="str">
        <x:v>AheadRace Software Development Services</x:v>
      </x:c>
      <x:c r="C6022" s="12" t="str">
        <x:v>CORP-0734</x:v>
      </x:c>
      <x:c r="D6022" s="12" t="str">
        <x:v>Hyderabad</x:v>
      </x:c>
      <x:c r="E6022" s="12" t="str">
        <x:v>Kapil Towers</x:v>
      </x:c>
      <x:c r="F6022" s="12" t="str">
        <x:v>55 inch</x:v>
      </x:c>
      <x:c r="G6022" s="20" t="n">
        <x:v>1</x:v>
      </x:c>
      <x:c r="H6022" s="12" t="str">
        <x:v>Campus/portfolio roster; individual building occupancy unverified</x:v>
      </x:c>
      <x:c r="I6022" s="12" t="str">
        <x:v>Small-scale prospects</x:v>
      </x:c>
      <x:c r="J6022" s="12" t="str">
        <x:v>IT &amp; digital</x:v>
      </x:c>
      <x:c r="K6022" s="2" t="str">
        <x:v>PARTNER-M317</x:v>
      </x:c>
    </x:row>
    <x:row r="6023" ht="46" customHeight="1">
      <x:c r="A6023" s="2" t="str">
        <x:v>TEN-AAD0329B77D6</x:v>
      </x:c>
      <x:c r="B6023" s="12" t="str">
        <x:v>Glide Insurance Broking Services</x:v>
      </x:c>
      <x:c r="C6023" s="12" t="str">
        <x:v>CORP-0734</x:v>
      </x:c>
      <x:c r="D6023" s="12" t="str">
        <x:v>Hyderabad</x:v>
      </x:c>
      <x:c r="E6023" s="12" t="str">
        <x:v>Kapil Towers</x:v>
      </x:c>
      <x:c r="F6023" s="12" t="str">
        <x:v>55 inch</x:v>
      </x:c>
      <x:c r="G6023" s="20" t="n">
        <x:v>1</x:v>
      </x:c>
      <x:c r="H6023" s="12" t="str">
        <x:v>Campus/portfolio roster; individual building occupancy unverified</x:v>
      </x:c>
      <x:c r="I6023" s="12" t="str">
        <x:v>Small-scale prospects</x:v>
      </x:c>
      <x:c r="J6023" s="12" t="str">
        <x:v>Finance &amp; insurance</x:v>
      </x:c>
      <x:c r="K6023" s="2" t="str">
        <x:v>PARTNER-M317</x:v>
      </x:c>
    </x:row>
    <x:row r="6024" ht="46" customHeight="1">
      <x:c r="A6024" s="2" t="str">
        <x:v>TEN-ABA79A2B2DEC</x:v>
      </x:c>
      <x:c r="B6024" s="12" t="str">
        <x:v>CoreCompete</x:v>
      </x:c>
      <x:c r="C6024" s="12" t="str">
        <x:v>CORP-0734</x:v>
      </x:c>
      <x:c r="D6024" s="12" t="str">
        <x:v>Hyderabad</x:v>
      </x:c>
      <x:c r="E6024" s="12" t="str">
        <x:v>Kapil Towers</x:v>
      </x:c>
      <x:c r="F6024" s="12" t="str">
        <x:v>55 inch</x:v>
      </x:c>
      <x:c r="G6024" s="20" t="n">
        <x:v>1</x:v>
      </x:c>
      <x:c r="H6024" s="12" t="str">
        <x:v>Campus/portfolio roster; individual building occupancy unverified</x:v>
      </x:c>
      <x:c r="I6024" s="12" t="str">
        <x:v>Mixed business audience</x:v>
      </x:c>
      <x:c r="J6024" s="12" t="str">
        <x:v>IT &amp; digital</x:v>
      </x:c>
      <x:c r="K6024" s="2" t="str">
        <x:v>PARTNER-M317</x:v>
      </x:c>
    </x:row>
    <x:row r="6025" ht="46" customHeight="1">
      <x:c r="A6025" s="2" t="str">
        <x:v>TEN-B63ABE14A06F</x:v>
      </x:c>
      <x:c r="B6025" s="12" t="str">
        <x:v>Skyonn Technologies</x:v>
      </x:c>
      <x:c r="C6025" s="12" t="str">
        <x:v>CORP-0734</x:v>
      </x:c>
      <x:c r="D6025" s="12" t="str">
        <x:v>Hyderabad</x:v>
      </x:c>
      <x:c r="E6025" s="12" t="str">
        <x:v>Kapil Towers</x:v>
      </x:c>
      <x:c r="F6025" s="12" t="str">
        <x:v>55 inch</x:v>
      </x:c>
      <x:c r="G6025" s="20" t="n">
        <x:v>1</x:v>
      </x:c>
      <x:c r="H6025" s="12" t="str">
        <x:v>Campus/portfolio roster; individual building occupancy unverified</x:v>
      </x:c>
      <x:c r="I6025" s="12" t="str">
        <x:v>Mixed business audience</x:v>
      </x:c>
      <x:c r="J6025" s="12" t="str">
        <x:v>Unresolved</x:v>
      </x:c>
      <x:c r="K6025" s="2" t="str">
        <x:v>PARTNER-M317</x:v>
      </x:c>
    </x:row>
    <x:row r="6026" ht="46" customHeight="1">
      <x:c r="A6026" s="2" t="str">
        <x:v>TEN-C425191D5D06</x:v>
      </x:c>
      <x:c r="B6026" s="12" t="str">
        <x:v>Staples Office Supplies LLP</x:v>
      </x:c>
      <x:c r="C6026" s="12" t="str">
        <x:v>CORP-0734</x:v>
      </x:c>
      <x:c r="D6026" s="12" t="str">
        <x:v>Hyderabad</x:v>
      </x:c>
      <x:c r="E6026" s="12" t="str">
        <x:v>Kapil Towers</x:v>
      </x:c>
      <x:c r="F6026" s="12" t="str">
        <x:v>55 inch</x:v>
      </x:c>
      <x:c r="G6026" s="20" t="n">
        <x:v>1</x:v>
      </x:c>
      <x:c r="H6026" s="12" t="str">
        <x:v>Campus/portfolio roster; individual building occupancy unverified</x:v>
      </x:c>
      <x:c r="I6026" s="12" t="str">
        <x:v>Mixed business audience</x:v>
      </x:c>
      <x:c r="J6026" s="12" t="str">
        <x:v>Trade, consumer &amp; logistics</x:v>
      </x:c>
      <x:c r="K6026" s="2" t="str">
        <x:v>PARTNER-M317</x:v>
      </x:c>
    </x:row>
    <x:row r="6027" ht="46" customHeight="1">
      <x:c r="A6027" s="2" t="str">
        <x:v>TEN-D17B85E52ABA</x:v>
      </x:c>
      <x:c r="B6027" s="12" t="str">
        <x:v>Kapil IT Solutions</x:v>
      </x:c>
      <x:c r="C6027" s="12" t="str">
        <x:v>CORP-0734</x:v>
      </x:c>
      <x:c r="D6027" s="12" t="str">
        <x:v>Hyderabad</x:v>
      </x:c>
      <x:c r="E6027" s="12" t="str">
        <x:v>Kapil Towers</x:v>
      </x:c>
      <x:c r="F6027" s="12" t="str">
        <x:v>55 inch</x:v>
      </x:c>
      <x:c r="G6027" s="20" t="n">
        <x:v>1</x:v>
      </x:c>
      <x:c r="H6027" s="12" t="str">
        <x:v>Campus/portfolio roster; individual building occupancy unverified</x:v>
      </x:c>
      <x:c r="I6027" s="12" t="str">
        <x:v>Small-scale prospects</x:v>
      </x:c>
      <x:c r="J6027" s="12" t="str">
        <x:v>IT &amp; digital</x:v>
      </x:c>
      <x:c r="K6027" s="2" t="str">
        <x:v>PARTNER-M317</x:v>
      </x:c>
    </x:row>
    <x:row r="6028" ht="46" customHeight="1">
      <x:c r="A6028" s="2" t="str">
        <x:v>TEN-EA94B39D1C72</x:v>
      </x:c>
      <x:c r="B6028" s="12" t="str">
        <x:v>TailorTech</x:v>
      </x:c>
      <x:c r="C6028" s="12" t="str">
        <x:v>CORP-0734</x:v>
      </x:c>
      <x:c r="D6028" s="12" t="str">
        <x:v>Hyderabad</x:v>
      </x:c>
      <x:c r="E6028" s="12" t="str">
        <x:v>Kapil Towers</x:v>
      </x:c>
      <x:c r="F6028" s="12" t="str">
        <x:v>55 inch</x:v>
      </x:c>
      <x:c r="G6028" s="20" t="n">
        <x:v>1</x:v>
      </x:c>
      <x:c r="H6028" s="12" t="str">
        <x:v>Campus/portfolio roster; individual building occupancy unverified</x:v>
      </x:c>
      <x:c r="I6028" s="12" t="str">
        <x:v>Mixed business audience</x:v>
      </x:c>
      <x:c r="J6028" s="12" t="str">
        <x:v>Unresolved</x:v>
      </x:c>
      <x:c r="K6028" s="2" t="str">
        <x:v>PARTNER-M317</x:v>
      </x:c>
    </x:row>
    <x:row r="6029" ht="46" customHeight="1">
      <x:c r="A6029" s="2" t="str">
        <x:v>TEN-ED8AA4B2E058</x:v>
      </x:c>
      <x:c r="B6029" s="12" t="str">
        <x:v>Appstek Solutions</x:v>
      </x:c>
      <x:c r="C6029" s="12" t="str">
        <x:v>CORP-0734</x:v>
      </x:c>
      <x:c r="D6029" s="12" t="str">
        <x:v>Hyderabad</x:v>
      </x:c>
      <x:c r="E6029" s="12" t="str">
        <x:v>Kapil Towers</x:v>
      </x:c>
      <x:c r="F6029" s="12" t="str">
        <x:v>55 inch</x:v>
      </x:c>
      <x:c r="G6029" s="20" t="n">
        <x:v>1</x:v>
      </x:c>
      <x:c r="H6029" s="12" t="str">
        <x:v>Campus/portfolio roster; individual building occupancy unverified</x:v>
      </x:c>
      <x:c r="I6029" s="12" t="str">
        <x:v>Small-scale prospects</x:v>
      </x:c>
      <x:c r="J6029" s="12" t="str">
        <x:v>IT &amp; digital</x:v>
      </x:c>
      <x:c r="K6029" s="2" t="str">
        <x:v>PARTNER-M317</x:v>
      </x:c>
    </x:row>
    <x:row r="6030" ht="46" customHeight="1">
      <x:c r="A6030" s="2" t="str">
        <x:v>TEN-F17CDF039CA5</x:v>
      </x:c>
      <x:c r="B6030" s="12" t="str">
        <x:v>Knowledge Matrix India</x:v>
      </x:c>
      <x:c r="C6030" s="12" t="str">
        <x:v>CORP-0734</x:v>
      </x:c>
      <x:c r="D6030" s="12" t="str">
        <x:v>Hyderabad</x:v>
      </x:c>
      <x:c r="E6030" s="12" t="str">
        <x:v>Kapil Towers</x:v>
      </x:c>
      <x:c r="F6030" s="12" t="str">
        <x:v>55 inch</x:v>
      </x:c>
      <x:c r="G6030" s="20" t="n">
        <x:v>1</x:v>
      </x:c>
      <x:c r="H6030" s="12" t="str">
        <x:v>Campus/portfolio roster; individual building occupancy unverified</x:v>
      </x:c>
      <x:c r="I6030" s="12" t="str">
        <x:v>Small-scale prospects</x:v>
      </x:c>
      <x:c r="J6030" s="12" t="str">
        <x:v>IT &amp; digital</x:v>
      </x:c>
      <x:c r="K6030" s="2" t="str">
        <x:v>PARTNER-M317</x:v>
      </x:c>
    </x:row>
    <x:row r="6031" ht="46" customHeight="1">
      <x:c r="A6031" s="2" t="str">
        <x:v>TEN-F67EC79876E7</x:v>
      </x:c>
      <x:c r="B6031" s="12" t="str">
        <x:v>Prometric Testing</x:v>
      </x:c>
      <x:c r="C6031" s="12" t="str">
        <x:v>CORP-0734</x:v>
      </x:c>
      <x:c r="D6031" s="12" t="str">
        <x:v>Hyderabad</x:v>
      </x:c>
      <x:c r="E6031" s="12" t="str">
        <x:v>Kapil Towers</x:v>
      </x:c>
      <x:c r="F6031" s="12" t="str">
        <x:v>55 inch</x:v>
      </x:c>
      <x:c r="G6031" s="20" t="n">
        <x:v>1</x:v>
      </x:c>
      <x:c r="H6031" s="12" t="str">
        <x:v>Campus/portfolio roster; individual building occupancy unverified</x:v>
      </x:c>
      <x:c r="I6031" s="12" t="str">
        <x:v>Mixed business audience</x:v>
      </x:c>
      <x:c r="J6031" s="12" t="str">
        <x:v>Education</x:v>
      </x:c>
      <x:c r="K6031" s="2" t="str">
        <x:v>PARTNER-M317</x:v>
      </x:c>
    </x:row>
    <x:row r="6032" ht="46" customHeight="1">
      <x:c r="A6032" s="2" t="str">
        <x:v>TEN-0C81B9564D37</x:v>
      </x:c>
      <x:c r="B6032" s="12" t="str">
        <x:v>Cogent eservices private limited PSN Bangalore</x:v>
      </x:c>
      <x:c r="C6032" s="12" t="str">
        <x:v>CORP-0447</x:v>
      </x:c>
      <x:c r="D6032" s="12" t="str">
        <x:v>Bengaluru</x:v>
      </x:c>
      <x:c r="E6032" s="12" t="str">
        <x:v>Prestige Shantiniketan</x:v>
      </x:c>
      <x:c r="F6032" s="12" t="str">
        <x:v>55 inch</x:v>
      </x:c>
      <x:c r="G6032" s="20" t="n">
        <x:v>1</x:v>
      </x:c>
      <x:c r="H6032" s="12" t="str">
        <x:v>Campus/portfolio roster; individual building occupancy unverified</x:v>
      </x:c>
      <x:c r="I6032" s="12" t="str">
        <x:v>Mixed business audience</x:v>
      </x:c>
      <x:c r="J6032" s="12" t="str">
        <x:v>IT &amp; digital</x:v>
      </x:c>
      <x:c r="K6032" s="2" t="str">
        <x:v>PARTNER-M027</x:v>
      </x:c>
    </x:row>
    <x:row r="6033" ht="46" customHeight="1">
      <x:c r="A6033" s="2" t="str">
        <x:v>TEN-1D6F21C9D1AB</x:v>
      </x:c>
      <x:c r="B6033" s="12" t="str">
        <x:v>Algorythm</x:v>
      </x:c>
      <x:c r="C6033" s="12" t="str">
        <x:v>CORP-0447</x:v>
      </x:c>
      <x:c r="D6033" s="12" t="str">
        <x:v>Bengaluru</x:v>
      </x:c>
      <x:c r="E6033" s="12" t="str">
        <x:v>Prestige Shantiniketan</x:v>
      </x:c>
      <x:c r="F6033" s="12" t="str">
        <x:v>55 inch</x:v>
      </x:c>
      <x:c r="G6033" s="20" t="n">
        <x:v>1</x:v>
      </x:c>
      <x:c r="H6033" s="12" t="str">
        <x:v>Campus/portfolio roster; individual building occupancy unverified</x:v>
      </x:c>
      <x:c r="I6033" s="12" t="str">
        <x:v>Mixed business audience</x:v>
      </x:c>
      <x:c r="J6033" s="12" t="str">
        <x:v>Unresolved</x:v>
      </x:c>
      <x:c r="K6033" s="2" t="str">
        <x:v>PARTNER-M027</x:v>
      </x:c>
    </x:row>
    <x:row r="6034" ht="46" customHeight="1">
      <x:c r="A6034" s="2" t="str">
        <x:v>TEN-31F8B6C7A65B</x:v>
      </x:c>
      <x:c r="B6034" s="12" t="str">
        <x:v>Genisys Group</x:v>
      </x:c>
      <x:c r="C6034" s="12" t="str">
        <x:v>CORP-0447</x:v>
      </x:c>
      <x:c r="D6034" s="12" t="str">
        <x:v>Bengaluru</x:v>
      </x:c>
      <x:c r="E6034" s="12" t="str">
        <x:v>Prestige Shantiniketan</x:v>
      </x:c>
      <x:c r="F6034" s="12" t="str">
        <x:v>55 inch</x:v>
      </x:c>
      <x:c r="G6034" s="20" t="n">
        <x:v>1</x:v>
      </x:c>
      <x:c r="H6034" s="12" t="str">
        <x:v>Campus/portfolio roster; individual building occupancy unverified</x:v>
      </x:c>
      <x:c r="I6034" s="12" t="str">
        <x:v>Mixed business audience</x:v>
      </x:c>
      <x:c r="J6034" s="12" t="str">
        <x:v>IT &amp; digital</x:v>
      </x:c>
      <x:c r="K6034" s="2" t="str">
        <x:v>PARTNER-M027</x:v>
      </x:c>
    </x:row>
    <x:row r="6035" ht="46" customHeight="1">
      <x:c r="A6035" s="2" t="str">
        <x:v>TEN-53B505C1CAE2</x:v>
      </x:c>
      <x:c r="B6035" s="12" t="str">
        <x:v>Herbalife International India Pvt Ltd</x:v>
      </x:c>
      <x:c r="C6035" s="12" t="str">
        <x:v>CORP-0447</x:v>
      </x:c>
      <x:c r="D6035" s="12" t="str">
        <x:v>Bengaluru</x:v>
      </x:c>
      <x:c r="E6035" s="12" t="str">
        <x:v>Prestige Shantiniketan</x:v>
      </x:c>
      <x:c r="F6035" s="12" t="str">
        <x:v>55 inch</x:v>
      </x:c>
      <x:c r="G6035" s="20" t="n">
        <x:v>1</x:v>
      </x:c>
      <x:c r="H6035" s="12" t="str">
        <x:v>Campus/portfolio roster; individual building occupancy unverified</x:v>
      </x:c>
      <x:c r="I6035" s="12" t="str">
        <x:v>Mixed business audience</x:v>
      </x:c>
      <x:c r="J6035" s="12" t="str">
        <x:v>Healthcare &amp; life sciences</x:v>
      </x:c>
      <x:c r="K6035" s="2" t="str">
        <x:v>PARTNER-M027</x:v>
      </x:c>
    </x:row>
    <x:row r="6036" ht="46" customHeight="1">
      <x:c r="A6036" s="2" t="str">
        <x:v>TEN-5FA790F3630F</x:v>
      </x:c>
      <x:c r="B6036" s="12" t="str">
        <x:v>Tata Consultancy Services</x:v>
      </x:c>
      <x:c r="C6036" s="12" t="str">
        <x:v>CORP-0447</x:v>
      </x:c>
      <x:c r="D6036" s="12" t="str">
        <x:v>Bengaluru</x:v>
      </x:c>
      <x:c r="E6036" s="12" t="str">
        <x:v>Prestige Shantiniketan</x:v>
      </x:c>
      <x:c r="F6036" s="12" t="str">
        <x:v>55 inch</x:v>
      </x:c>
      <x:c r="G6036" s="20" t="n">
        <x:v>1</x:v>
      </x:c>
      <x:c r="H6036" s="12" t="str">
        <x:v>Campus/portfolio roster; individual building occupancy unverified</x:v>
      </x:c>
      <x:c r="I6036" s="12" t="str">
        <x:v>Large enterprise</x:v>
      </x:c>
      <x:c r="J6036" s="12" t="str">
        <x:v>IT &amp; digital</x:v>
      </x:c>
      <x:c r="K6036" s="2" t="str">
        <x:v>PARTNER-M027</x:v>
      </x:c>
    </x:row>
    <x:row r="6037" ht="46" customHeight="1">
      <x:c r="A6037" s="2" t="str">
        <x:v>TEN-8409366CFBB2</x:v>
      </x:c>
      <x:c r="B6037" s="12" t="str">
        <x:v>Tata Elxsi Limited</x:v>
      </x:c>
      <x:c r="C6037" s="12" t="str">
        <x:v>CORP-0447</x:v>
      </x:c>
      <x:c r="D6037" s="12" t="str">
        <x:v>Bengaluru</x:v>
      </x:c>
      <x:c r="E6037" s="12" t="str">
        <x:v>Prestige Shantiniketan</x:v>
      </x:c>
      <x:c r="F6037" s="12" t="str">
        <x:v>55 inch</x:v>
      </x:c>
      <x:c r="G6037" s="20" t="n">
        <x:v>1</x:v>
      </x:c>
      <x:c r="H6037" s="12" t="str">
        <x:v>Campus/portfolio roster; individual building occupancy unverified</x:v>
      </x:c>
      <x:c r="I6037" s="12" t="str">
        <x:v>Large enterprise</x:v>
      </x:c>
      <x:c r="J6037" s="12" t="str">
        <x:v>IT &amp; digital</x:v>
      </x:c>
      <x:c r="K6037" s="2" t="str">
        <x:v>PARTNER-M027</x:v>
      </x:c>
    </x:row>
    <x:row r="6038" ht="46" customHeight="1">
      <x:c r="A6038" s="2" t="str">
        <x:v>TEN-849229AF9AC7</x:v>
      </x:c>
      <x:c r="B6038" s="12" t="str">
        <x:v>Hexaware Technologies Limited</x:v>
      </x:c>
      <x:c r="C6038" s="12" t="str">
        <x:v>CORP-0447</x:v>
      </x:c>
      <x:c r="D6038" s="12" t="str">
        <x:v>Bengaluru</x:v>
      </x:c>
      <x:c r="E6038" s="12" t="str">
        <x:v>Prestige Shantiniketan</x:v>
      </x:c>
      <x:c r="F6038" s="12" t="str">
        <x:v>55 inch</x:v>
      </x:c>
      <x:c r="G6038" s="20" t="n">
        <x:v>1</x:v>
      </x:c>
      <x:c r="H6038" s="12" t="str">
        <x:v>Campus/portfolio roster; individual building occupancy unverified</x:v>
      </x:c>
      <x:c r="I6038" s="12" t="str">
        <x:v>Large enterprise</x:v>
      </x:c>
      <x:c r="J6038" s="12" t="str">
        <x:v>IT &amp; digital</x:v>
      </x:c>
      <x:c r="K6038" s="2" t="str">
        <x:v>PARTNER-M027</x:v>
      </x:c>
    </x:row>
    <x:row r="6039" ht="46" customHeight="1">
      <x:c r="A6039" s="2" t="str">
        <x:v>TEN-9636D9305A9A</x:v>
      </x:c>
      <x:c r="B6039" s="12" t="str">
        <x:v>Britannia Industries Limited</x:v>
      </x:c>
      <x:c r="C6039" s="12" t="str">
        <x:v>CORP-0447</x:v>
      </x:c>
      <x:c r="D6039" s="12" t="str">
        <x:v>Bengaluru</x:v>
      </x:c>
      <x:c r="E6039" s="12" t="str">
        <x:v>Prestige Shantiniketan</x:v>
      </x:c>
      <x:c r="F6039" s="12" t="str">
        <x:v>55 inch</x:v>
      </x:c>
      <x:c r="G6039" s="20" t="n">
        <x:v>1</x:v>
      </x:c>
      <x:c r="H6039" s="12" t="str">
        <x:v>Campus/portfolio roster; individual building occupancy unverified</x:v>
      </x:c>
      <x:c r="I6039" s="12" t="str">
        <x:v>Mixed business audience</x:v>
      </x:c>
      <x:c r="J6039" s="12" t="str">
        <x:v>Trade, consumer &amp; logistics</x:v>
      </x:c>
      <x:c r="K6039" s="2" t="str">
        <x:v>PARTNER-M027</x:v>
      </x:c>
    </x:row>
    <x:row r="6040" ht="46" customHeight="1">
      <x:c r="A6040" s="2" t="str">
        <x:v>TEN-985483497785</x:v>
      </x:c>
      <x:c r="B6040" s="12" t="str">
        <x:v>GE Healthcare</x:v>
      </x:c>
      <x:c r="C6040" s="12" t="str">
        <x:v>CORP-0447</x:v>
      </x:c>
      <x:c r="D6040" s="12" t="str">
        <x:v>Bengaluru</x:v>
      </x:c>
      <x:c r="E6040" s="12" t="str">
        <x:v>Prestige Shantiniketan</x:v>
      </x:c>
      <x:c r="F6040" s="12" t="str">
        <x:v>55 inch</x:v>
      </x:c>
      <x:c r="G6040" s="20" t="n">
        <x:v>1</x:v>
      </x:c>
      <x:c r="H6040" s="12" t="str">
        <x:v>Campus/portfolio roster; individual building occupancy unverified</x:v>
      </x:c>
      <x:c r="I6040" s="12" t="str">
        <x:v>Mixed business audience</x:v>
      </x:c>
      <x:c r="J6040" s="12" t="str">
        <x:v>Healthcare &amp; life sciences</x:v>
      </x:c>
      <x:c r="K6040" s="2" t="str">
        <x:v>PARTNER-M027</x:v>
      </x:c>
    </x:row>
    <x:row r="6041" ht="46" customHeight="1">
      <x:c r="A6041" s="2" t="str">
        <x:v>TEN-9987FF0A3CAC</x:v>
      </x:c>
      <x:c r="B6041" s="12" t="str">
        <x:v>Hindustan Unilever (UniOps business unit)</x:v>
      </x:c>
      <x:c r="C6041" s="12" t="str">
        <x:v>CORP-0447</x:v>
      </x:c>
      <x:c r="D6041" s="12" t="str">
        <x:v>Bengaluru</x:v>
      </x:c>
      <x:c r="E6041" s="12" t="str">
        <x:v>Prestige Shantiniketan</x:v>
      </x:c>
      <x:c r="F6041" s="12" t="str">
        <x:v>55 inch</x:v>
      </x:c>
      <x:c r="G6041" s="20" t="n">
        <x:v>1</x:v>
      </x:c>
      <x:c r="H6041" s="12" t="str">
        <x:v>Campus/portfolio roster; individual building occupancy unverified</x:v>
      </x:c>
      <x:c r="I6041" s="12" t="str">
        <x:v>Large enterprise</x:v>
      </x:c>
      <x:c r="J6041" s="12" t="str">
        <x:v>Trade, consumer &amp; logistics</x:v>
      </x:c>
      <x:c r="K6041" s="2" t="str">
        <x:v>PARTNER-M027</x:v>
      </x:c>
    </x:row>
    <x:row r="6042" ht="46" customHeight="1">
      <x:c r="A6042" s="2" t="str">
        <x:v>TEN-9CDD1B64DEF0</x:v>
      </x:c>
      <x:c r="B6042" s="12" t="str">
        <x:v>Optym India Private Limited</x:v>
      </x:c>
      <x:c r="C6042" s="12" t="str">
        <x:v>CORP-0447</x:v>
      </x:c>
      <x:c r="D6042" s="12" t="str">
        <x:v>Bengaluru</x:v>
      </x:c>
      <x:c r="E6042" s="12" t="str">
        <x:v>Prestige Shantiniketan</x:v>
      </x:c>
      <x:c r="F6042" s="12" t="str">
        <x:v>55 inch</x:v>
      </x:c>
      <x:c r="G6042" s="20" t="n">
        <x:v>1</x:v>
      </x:c>
      <x:c r="H6042" s="12" t="str">
        <x:v>Campus/portfolio roster; individual building occupancy unverified</x:v>
      </x:c>
      <x:c r="I6042" s="12" t="str">
        <x:v>Small-scale prospects</x:v>
      </x:c>
      <x:c r="J6042" s="12" t="str">
        <x:v>IT &amp; digital</x:v>
      </x:c>
      <x:c r="K6042" s="2" t="str">
        <x:v>PARTNER-M027</x:v>
      </x:c>
    </x:row>
    <x:row r="6043" ht="46" customHeight="1">
      <x:c r="A6043" s="2" t="str">
        <x:v>TEN-A7FC7DAF4DA4</x:v>
      </x:c>
      <x:c r="B6043" s="12" t="str">
        <x:v>Thermo Fisher Scientific</x:v>
      </x:c>
      <x:c r="C6043" s="12" t="str">
        <x:v>CORP-0447</x:v>
      </x:c>
      <x:c r="D6043" s="12" t="str">
        <x:v>Bengaluru</x:v>
      </x:c>
      <x:c r="E6043" s="12" t="str">
        <x:v>Prestige Shantiniketan</x:v>
      </x:c>
      <x:c r="F6043" s="12" t="str">
        <x:v>55 inch</x:v>
      </x:c>
      <x:c r="G6043" s="20" t="n">
        <x:v>1</x:v>
      </x:c>
      <x:c r="H6043" s="12" t="str">
        <x:v>Campus/portfolio roster; individual building occupancy unverified</x:v>
      </x:c>
      <x:c r="I6043" s="12" t="str">
        <x:v>Mixed business audience</x:v>
      </x:c>
      <x:c r="J6043" s="12" t="str">
        <x:v>Healthcare &amp; life sciences</x:v>
      </x:c>
      <x:c r="K6043" s="2" t="str">
        <x:v>PARTNER-M027</x:v>
      </x:c>
    </x:row>
    <x:row r="6044" ht="46" customHeight="1">
      <x:c r="A6044" s="2" t="str">
        <x:v>TEN-B877247CA363</x:v>
      </x:c>
      <x:c r="B6044" s="12" t="str">
        <x:v>Kaseya</x:v>
      </x:c>
      <x:c r="C6044" s="12" t="str">
        <x:v>CORP-0447</x:v>
      </x:c>
      <x:c r="D6044" s="12" t="str">
        <x:v>Bengaluru</x:v>
      </x:c>
      <x:c r="E6044" s="12" t="str">
        <x:v>Prestige Shantiniketan</x:v>
      </x:c>
      <x:c r="F6044" s="12" t="str">
        <x:v>55 inch</x:v>
      </x:c>
      <x:c r="G6044" s="20" t="n">
        <x:v>1</x:v>
      </x:c>
      <x:c r="H6044" s="12" t="str">
        <x:v>Campus/portfolio roster; individual building occupancy unverified</x:v>
      </x:c>
      <x:c r="I6044" s="12" t="str">
        <x:v>Mixed business audience</x:v>
      </x:c>
      <x:c r="J6044" s="12" t="str">
        <x:v>IT &amp; digital</x:v>
      </x:c>
      <x:c r="K6044" s="2" t="str">
        <x:v>PARTNER-M027</x:v>
      </x:c>
    </x:row>
    <x:row r="6045" ht="46" customHeight="1">
      <x:c r="A6045" s="2" t="str">
        <x:v>TEN-BA6AE2780CD4</x:v>
      </x:c>
      <x:c r="B6045" s="12" t="str">
        <x:v>Concentrix</x:v>
      </x:c>
      <x:c r="C6045" s="12" t="str">
        <x:v>CORP-0447</x:v>
      </x:c>
      <x:c r="D6045" s="12" t="str">
        <x:v>Bengaluru</x:v>
      </x:c>
      <x:c r="E6045" s="12" t="str">
        <x:v>Prestige Shantiniketan</x:v>
      </x:c>
      <x:c r="F6045" s="12" t="str">
        <x:v>55 inch</x:v>
      </x:c>
      <x:c r="G6045" s="20" t="n">
        <x:v>1</x:v>
      </x:c>
      <x:c r="H6045" s="12" t="str">
        <x:v>Campus/portfolio roster; individual building occupancy unverified</x:v>
      </x:c>
      <x:c r="I6045" s="12" t="str">
        <x:v>Large enterprise</x:v>
      </x:c>
      <x:c r="J6045" s="12" t="str">
        <x:v>IT &amp; digital</x:v>
      </x:c>
      <x:c r="K6045" s="2" t="str">
        <x:v>PARTNER-M027</x:v>
      </x:c>
    </x:row>
    <x:row r="6046" ht="46" customHeight="1">
      <x:c r="A6046" s="2" t="str">
        <x:v>TEN-BEE4F75D30E5</x:v>
      </x:c>
      <x:c r="B6046" s="12" t="str">
        <x:v>ICICI Bank</x:v>
      </x:c>
      <x:c r="C6046" s="12" t="str">
        <x:v>CORP-0447</x:v>
      </x:c>
      <x:c r="D6046" s="12" t="str">
        <x:v>Bengaluru</x:v>
      </x:c>
      <x:c r="E6046" s="12" t="str">
        <x:v>Prestige Shantiniketan</x:v>
      </x:c>
      <x:c r="F6046" s="12" t="str">
        <x:v>55 inch</x:v>
      </x:c>
      <x:c r="G6046" s="20" t="n">
        <x:v>1</x:v>
      </x:c>
      <x:c r="H6046" s="12" t="str">
        <x:v>Campus/portfolio roster; individual building occupancy unverified</x:v>
      </x:c>
      <x:c r="I6046" s="12" t="str">
        <x:v>Large enterprise</x:v>
      </x:c>
      <x:c r="J6046" s="12" t="str">
        <x:v>Finance &amp; insurance</x:v>
      </x:c>
      <x:c r="K6046" s="2" t="str">
        <x:v>PARTNER-M027</x:v>
      </x:c>
    </x:row>
    <x:row r="6047" ht="46" customHeight="1">
      <x:c r="A6047" s="2" t="str">
        <x:v>TEN-CCAF93725C39</x:v>
      </x:c>
      <x:c r="B6047" s="12" t="str">
        <x:v>India Document Solutions Private Ltd</x:v>
      </x:c>
      <x:c r="C6047" s="12" t="str">
        <x:v>CORP-0447</x:v>
      </x:c>
      <x:c r="D6047" s="12" t="str">
        <x:v>Bengaluru</x:v>
      </x:c>
      <x:c r="E6047" s="12" t="str">
        <x:v>Prestige Shantiniketan</x:v>
      </x:c>
      <x:c r="F6047" s="12" t="str">
        <x:v>55 inch</x:v>
      </x:c>
      <x:c r="G6047" s="20" t="n">
        <x:v>1</x:v>
      </x:c>
      <x:c r="H6047" s="12" t="str">
        <x:v>Campus/portfolio roster; individual building occupancy unverified</x:v>
      </x:c>
      <x:c r="I6047" s="12" t="str">
        <x:v>Mixed business audience</x:v>
      </x:c>
      <x:c r="J6047" s="12" t="str">
        <x:v>Unresolved</x:v>
      </x:c>
      <x:c r="K6047" s="2" t="str">
        <x:v>PARTNER-M027</x:v>
      </x:c>
    </x:row>
    <x:row r="6048" ht="46" customHeight="1">
      <x:c r="A6048" s="2" t="str">
        <x:v>TEN-D850894DB864</x:v>
      </x:c>
      <x:c r="B6048" s="12" t="str">
        <x:v>Rockstar Games India</x:v>
      </x:c>
      <x:c r="C6048" s="12" t="str">
        <x:v>CORP-0447</x:v>
      </x:c>
      <x:c r="D6048" s="12" t="str">
        <x:v>Bengaluru</x:v>
      </x:c>
      <x:c r="E6048" s="12" t="str">
        <x:v>Prestige Shantiniketan</x:v>
      </x:c>
      <x:c r="F6048" s="12" t="str">
        <x:v>55 inch</x:v>
      </x:c>
      <x:c r="G6048" s="20" t="n">
        <x:v>1</x:v>
      </x:c>
      <x:c r="H6048" s="12" t="str">
        <x:v>Campus/portfolio roster; individual building occupancy unverified</x:v>
      </x:c>
      <x:c r="I6048" s="12" t="str">
        <x:v>Mixed business audience</x:v>
      </x:c>
      <x:c r="J6048" s="12" t="str">
        <x:v>Trade, consumer &amp; logistics</x:v>
      </x:c>
      <x:c r="K6048" s="2" t="str">
        <x:v>PARTNER-M027</x:v>
      </x:c>
    </x:row>
    <x:row r="6049" ht="46" customHeight="1">
      <x:c r="A6049" s="2" t="str">
        <x:v>TEN-D860D87EBCF5</x:v>
      </x:c>
      <x:c r="B6049" s="12" t="str">
        <x:v>Synapse Techno Design Innovations Private Limited</x:v>
      </x:c>
      <x:c r="C6049" s="12" t="str">
        <x:v>CORP-0447</x:v>
      </x:c>
      <x:c r="D6049" s="12" t="str">
        <x:v>Bengaluru</x:v>
      </x:c>
      <x:c r="E6049" s="12" t="str">
        <x:v>Prestige Shantiniketan</x:v>
      </x:c>
      <x:c r="F6049" s="12" t="str">
        <x:v>55 inch</x:v>
      </x:c>
      <x:c r="G6049" s="20" t="n">
        <x:v>1</x:v>
      </x:c>
      <x:c r="H6049" s="12" t="str">
        <x:v>Campus/portfolio roster; individual building occupancy unverified</x:v>
      </x:c>
      <x:c r="I6049" s="12" t="str">
        <x:v>Small-scale prospects</x:v>
      </x:c>
      <x:c r="J6049" s="12" t="str">
        <x:v>IT &amp; digital</x:v>
      </x:c>
      <x:c r="K6049" s="2" t="str">
        <x:v>PARTNER-M027</x:v>
      </x:c>
    </x:row>
    <x:row r="6050" ht="46" customHeight="1">
      <x:c r="A6050" s="2" t="str">
        <x:v>TEN-DF4521B8C430</x:v>
      </x:c>
      <x:c r="B6050" s="12" t="str">
        <x:v>Nielsen Sports</x:v>
      </x:c>
      <x:c r="C6050" s="12" t="str">
        <x:v>CORP-0447</x:v>
      </x:c>
      <x:c r="D6050" s="12" t="str">
        <x:v>Bengaluru</x:v>
      </x:c>
      <x:c r="E6050" s="12" t="str">
        <x:v>Prestige Shantiniketan</x:v>
      </x:c>
      <x:c r="F6050" s="12" t="str">
        <x:v>55 inch</x:v>
      </x:c>
      <x:c r="G6050" s="20" t="n">
        <x:v>1</x:v>
      </x:c>
      <x:c r="H6050" s="12" t="str">
        <x:v>Campus/portfolio roster; individual building occupancy unverified</x:v>
      </x:c>
      <x:c r="I6050" s="12" t="str">
        <x:v>Mixed business audience</x:v>
      </x:c>
      <x:c r="J6050" s="12" t="str">
        <x:v>Professional services</x:v>
      </x:c>
      <x:c r="K6050" s="2" t="str">
        <x:v>PARTNER-M027</x:v>
      </x:c>
    </x:row>
    <x:row r="6051" ht="46" customHeight="1">
      <x:c r="A6051" s="2" t="str">
        <x:v>TEN-E23305C78818</x:v>
      </x:c>
      <x:c r="B6051" s="12" t="str">
        <x:v>Baxter Innovations &amp; Business Solutions Pvt Ltd</x:v>
      </x:c>
      <x:c r="C6051" s="12" t="str">
        <x:v>CORP-0447</x:v>
      </x:c>
      <x:c r="D6051" s="12" t="str">
        <x:v>Bengaluru</x:v>
      </x:c>
      <x:c r="E6051" s="12" t="str">
        <x:v>Prestige Shantiniketan</x:v>
      </x:c>
      <x:c r="F6051" s="12" t="str">
        <x:v>55 inch</x:v>
      </x:c>
      <x:c r="G6051" s="20" t="n">
        <x:v>1</x:v>
      </x:c>
      <x:c r="H6051" s="12" t="str">
        <x:v>Campus/portfolio roster; individual building occupancy unverified</x:v>
      </x:c>
      <x:c r="I6051" s="12" t="str">
        <x:v>Mixed business audience</x:v>
      </x:c>
      <x:c r="J6051" s="12" t="str">
        <x:v>Healthcare &amp; life sciences</x:v>
      </x:c>
      <x:c r="K6051" s="2" t="str">
        <x:v>PARTNER-M027</x:v>
      </x:c>
    </x:row>
    <x:row r="6052" ht="46" customHeight="1">
      <x:c r="A6052" s="2" t="str">
        <x:v>TEN-E517F4484EEE</x:v>
      </x:c>
      <x:c r="B6052" s="12" t="str">
        <x:v>CapRelo Mobility India Private Limited</x:v>
      </x:c>
      <x:c r="C6052" s="12" t="str">
        <x:v>CORP-0447</x:v>
      </x:c>
      <x:c r="D6052" s="12" t="str">
        <x:v>Bengaluru</x:v>
      </x:c>
      <x:c r="E6052" s="12" t="str">
        <x:v>Prestige Shantiniketan</x:v>
      </x:c>
      <x:c r="F6052" s="12" t="str">
        <x:v>55 inch</x:v>
      </x:c>
      <x:c r="G6052" s="20" t="n">
        <x:v>1</x:v>
      </x:c>
      <x:c r="H6052" s="12" t="str">
        <x:v>Campus/portfolio roster; individual building occupancy unverified</x:v>
      </x:c>
      <x:c r="I6052" s="12" t="str">
        <x:v>Mixed business audience</x:v>
      </x:c>
      <x:c r="J6052" s="12" t="str">
        <x:v>Professional services</x:v>
      </x:c>
      <x:c r="K6052" s="2" t="str">
        <x:v>PARTNER-M027</x:v>
      </x:c>
    </x:row>
    <x:row r="6053" ht="46" customHeight="1">
      <x:c r="A6053" s="2" t="str">
        <x:v>TEN-E88697226669</x:v>
      </x:c>
      <x:c r="B6053" s="12" t="str">
        <x:v>Elocity Technologies India Private Limited</x:v>
      </x:c>
      <x:c r="C6053" s="12" t="str">
        <x:v>CORP-0447</x:v>
      </x:c>
      <x:c r="D6053" s="12" t="str">
        <x:v>Bengaluru</x:v>
      </x:c>
      <x:c r="E6053" s="12" t="str">
        <x:v>Prestige Shantiniketan</x:v>
      </x:c>
      <x:c r="F6053" s="12" t="str">
        <x:v>55 inch</x:v>
      </x:c>
      <x:c r="G6053" s="20" t="n">
        <x:v>1</x:v>
      </x:c>
      <x:c r="H6053" s="12" t="str">
        <x:v>Campus/portfolio roster; individual building occupancy unverified</x:v>
      </x:c>
      <x:c r="I6053" s="12" t="str">
        <x:v>Mixed business audience</x:v>
      </x:c>
      <x:c r="J6053" s="12" t="str">
        <x:v>Unresolved</x:v>
      </x:c>
      <x:c r="K6053" s="2" t="str">
        <x:v>PARTNER-M027</x:v>
      </x:c>
    </x:row>
    <x:row r="6054" ht="46" customHeight="1">
      <x:c r="A6054" s="2" t="str">
        <x:v>TEN-EE0CA20290EC</x:v>
      </x:c>
      <x:c r="B6054" s="12" t="str">
        <x:v>MEDTRONIC</x:v>
      </x:c>
      <x:c r="C6054" s="12" t="str">
        <x:v>CORP-0447</x:v>
      </x:c>
      <x:c r="D6054" s="12" t="str">
        <x:v>Bengaluru</x:v>
      </x:c>
      <x:c r="E6054" s="12" t="str">
        <x:v>Prestige Shantiniketan</x:v>
      </x:c>
      <x:c r="F6054" s="12" t="str">
        <x:v>55 inch</x:v>
      </x:c>
      <x:c r="G6054" s="20" t="n">
        <x:v>1</x:v>
      </x:c>
      <x:c r="H6054" s="12" t="str">
        <x:v>Campus/portfolio roster; individual building occupancy unverified</x:v>
      </x:c>
      <x:c r="I6054" s="12" t="str">
        <x:v>Mixed business audience</x:v>
      </x:c>
      <x:c r="J6054" s="12" t="str">
        <x:v>Healthcare &amp; life sciences</x:v>
      </x:c>
      <x:c r="K6054" s="2" t="str">
        <x:v>PARTNER-M027</x:v>
      </x:c>
    </x:row>
    <x:row r="6055" ht="46" customHeight="1">
      <x:c r="A6055" s="2" t="str">
        <x:v>TEN-FECD2DA15F6C</x:v>
      </x:c>
      <x:c r="B6055" s="12" t="str">
        <x:v>Flowserve Global Technology &amp; Engineering Center (GTEC)</x:v>
      </x:c>
      <x:c r="C6055" s="12" t="str">
        <x:v>CORP-0447</x:v>
      </x:c>
      <x:c r="D6055" s="12" t="str">
        <x:v>Bengaluru</x:v>
      </x:c>
      <x:c r="E6055" s="12" t="str">
        <x:v>Prestige Shantiniketan</x:v>
      </x:c>
      <x:c r="F6055" s="12" t="str">
        <x:v>55 inch</x:v>
      </x:c>
      <x:c r="G6055" s="20" t="n">
        <x:v>1</x:v>
      </x:c>
      <x:c r="H6055" s="12" t="str">
        <x:v>Campus/portfolio roster; individual building occupancy unverified</x:v>
      </x:c>
      <x:c r="I6055" s="12" t="str">
        <x:v>Mixed business audience</x:v>
      </x:c>
      <x:c r="J6055" s="12" t="str">
        <x:v>Engineering &amp; manufacturing</x:v>
      </x:c>
      <x:c r="K6055" s="2" t="str">
        <x:v>PARTNER-M027</x:v>
      </x:c>
    </x:row>
    <x:row r="6056" ht="46" customHeight="1">
      <x:c r="A6056" s="2" t="str">
        <x:v>TEN-0A5ECD30C1C6</x:v>
      </x:c>
      <x:c r="B6056" s="12" t="str">
        <x:v>Rythmos India</x:v>
      </x:c>
      <x:c r="C6056" s="12" t="str">
        <x:v>CORP-0735</x:v>
      </x:c>
      <x:c r="D6056" s="12" t="str">
        <x:v>Hyderabad</x:v>
      </x:c>
      <x:c r="E6056" s="12" t="str">
        <x:v>Kapil Towers</x:v>
      </x:c>
      <x:c r="F6056" s="12" t="str">
        <x:v>55 inch</x:v>
      </x:c>
      <x:c r="G6056" s="20" t="n">
        <x:v>1</x:v>
      </x:c>
      <x:c r="H6056" s="12" t="str">
        <x:v>Campus/portfolio roster; individual building occupancy unverified</x:v>
      </x:c>
      <x:c r="I6056" s="12" t="str">
        <x:v>Small-scale prospects</x:v>
      </x:c>
      <x:c r="J6056" s="12" t="str">
        <x:v>IT &amp; digital</x:v>
      </x:c>
      <x:c r="K6056" s="2" t="str">
        <x:v>PARTNER-M317</x:v>
      </x:c>
    </x:row>
    <x:row r="6057" ht="46" customHeight="1">
      <x:c r="A6057" s="2" t="str">
        <x:v>TEN-1A35D512D448</x:v>
      </x:c>
      <x:c r="B6057" s="12" t="str">
        <x:v>Book MyT Software Technologies</x:v>
      </x:c>
      <x:c r="C6057" s="12" t="str">
        <x:v>CORP-0735</x:v>
      </x:c>
      <x:c r="D6057" s="12" t="str">
        <x:v>Hyderabad</x:v>
      </x:c>
      <x:c r="E6057" s="12" t="str">
        <x:v>Kapil Towers</x:v>
      </x:c>
      <x:c r="F6057" s="12" t="str">
        <x:v>55 inch</x:v>
      </x:c>
      <x:c r="G6057" s="20" t="n">
        <x:v>1</x:v>
      </x:c>
      <x:c r="H6057" s="12" t="str">
        <x:v>Campus/portfolio roster; individual building occupancy unverified</x:v>
      </x:c>
      <x:c r="I6057" s="12" t="str">
        <x:v>Small-scale prospects</x:v>
      </x:c>
      <x:c r="J6057" s="12" t="str">
        <x:v>IT &amp; digital</x:v>
      </x:c>
      <x:c r="K6057" s="2" t="str">
        <x:v>PARTNER-M317</x:v>
      </x:c>
    </x:row>
    <x:row r="6058" ht="46" customHeight="1">
      <x:c r="A6058" s="2" t="str">
        <x:v>TEN-20AE44E7A981</x:v>
      </x:c>
      <x:c r="B6058" s="12" t="str">
        <x:v>Covalense Technologies</x:v>
      </x:c>
      <x:c r="C6058" s="12" t="str">
        <x:v>CORP-0735</x:v>
      </x:c>
      <x:c r="D6058" s="12" t="str">
        <x:v>Hyderabad</x:v>
      </x:c>
      <x:c r="E6058" s="12" t="str">
        <x:v>Kapil Towers</x:v>
      </x:c>
      <x:c r="F6058" s="12" t="str">
        <x:v>55 inch</x:v>
      </x:c>
      <x:c r="G6058" s="20" t="n">
        <x:v>1</x:v>
      </x:c>
      <x:c r="H6058" s="12" t="str">
        <x:v>Campus/portfolio roster; individual building occupancy unverified</x:v>
      </x:c>
      <x:c r="I6058" s="12" t="str">
        <x:v>Small-scale prospects</x:v>
      </x:c>
      <x:c r="J6058" s="12" t="str">
        <x:v>IT &amp; digital</x:v>
      </x:c>
      <x:c r="K6058" s="2" t="str">
        <x:v>PARTNER-M317</x:v>
      </x:c>
    </x:row>
    <x:row r="6059" ht="46" customHeight="1">
      <x:c r="A6059" s="2" t="str">
        <x:v>TEN-35116738549F</x:v>
      </x:c>
      <x:c r="B6059" s="12" t="str">
        <x:v>Xetadata Software</x:v>
      </x:c>
      <x:c r="C6059" s="12" t="str">
        <x:v>CORP-0735</x:v>
      </x:c>
      <x:c r="D6059" s="12" t="str">
        <x:v>Hyderabad</x:v>
      </x:c>
      <x:c r="E6059" s="12" t="str">
        <x:v>Kapil Towers</x:v>
      </x:c>
      <x:c r="F6059" s="12" t="str">
        <x:v>55 inch</x:v>
      </x:c>
      <x:c r="G6059" s="20" t="n">
        <x:v>1</x:v>
      </x:c>
      <x:c r="H6059" s="12" t="str">
        <x:v>Campus/portfolio roster; individual building occupancy unverified</x:v>
      </x:c>
      <x:c r="I6059" s="12" t="str">
        <x:v>Small-scale prospects</x:v>
      </x:c>
      <x:c r="J6059" s="12" t="str">
        <x:v>IT &amp; digital</x:v>
      </x:c>
      <x:c r="K6059" s="2" t="str">
        <x:v>PARTNER-M317</x:v>
      </x:c>
    </x:row>
    <x:row r="6060" ht="46" customHeight="1">
      <x:c r="A6060" s="2" t="str">
        <x:v>TEN-4217F70FC2FE</x:v>
      </x:c>
      <x:c r="B6060" s="12" t="str">
        <x:v>Toyaja Software India</x:v>
      </x:c>
      <x:c r="C6060" s="12" t="str">
        <x:v>CORP-0735</x:v>
      </x:c>
      <x:c r="D6060" s="12" t="str">
        <x:v>Hyderabad</x:v>
      </x:c>
      <x:c r="E6060" s="12" t="str">
        <x:v>Kapil Towers</x:v>
      </x:c>
      <x:c r="F6060" s="12" t="str">
        <x:v>55 inch</x:v>
      </x:c>
      <x:c r="G6060" s="20" t="n">
        <x:v>1</x:v>
      </x:c>
      <x:c r="H6060" s="12" t="str">
        <x:v>Campus/portfolio roster; individual building occupancy unverified</x:v>
      </x:c>
      <x:c r="I6060" s="12" t="str">
        <x:v>Small-scale prospects</x:v>
      </x:c>
      <x:c r="J6060" s="12" t="str">
        <x:v>IT &amp; digital</x:v>
      </x:c>
      <x:c r="K6060" s="2" t="str">
        <x:v>PARTNER-M317</x:v>
      </x:c>
    </x:row>
    <x:row r="6061" ht="46" customHeight="1">
      <x:c r="A6061" s="2" t="str">
        <x:v>TEN-45562E981863</x:v>
      </x:c>
      <x:c r="B6061" s="12" t="str">
        <x:v>Qumu Corp</x:v>
      </x:c>
      <x:c r="C6061" s="12" t="str">
        <x:v>CORP-0735</x:v>
      </x:c>
      <x:c r="D6061" s="12" t="str">
        <x:v>Hyderabad</x:v>
      </x:c>
      <x:c r="E6061" s="12" t="str">
        <x:v>Kapil Towers</x:v>
      </x:c>
      <x:c r="F6061" s="12" t="str">
        <x:v>55 inch</x:v>
      </x:c>
      <x:c r="G6061" s="20" t="n">
        <x:v>1</x:v>
      </x:c>
      <x:c r="H6061" s="12" t="str">
        <x:v>Campus/portfolio roster; individual building occupancy unverified</x:v>
      </x:c>
      <x:c r="I6061" s="12" t="str">
        <x:v>Mixed business audience</x:v>
      </x:c>
      <x:c r="J6061" s="12" t="str">
        <x:v>IT &amp; digital</x:v>
      </x:c>
      <x:c r="K6061" s="2" t="str">
        <x:v>PARTNER-M317</x:v>
      </x:c>
    </x:row>
    <x:row r="6062" ht="46" customHeight="1">
      <x:c r="A6062" s="2" t="str">
        <x:v>TEN-4881BA2217F0</x:v>
      </x:c>
      <x:c r="B6062" s="12" t="str">
        <x:v>Pramati Technologies</x:v>
      </x:c>
      <x:c r="C6062" s="12" t="str">
        <x:v>CORP-0735</x:v>
      </x:c>
      <x:c r="D6062" s="12" t="str">
        <x:v>Hyderabad</x:v>
      </x:c>
      <x:c r="E6062" s="12" t="str">
        <x:v>Kapil Towers</x:v>
      </x:c>
      <x:c r="F6062" s="12" t="str">
        <x:v>55 inch</x:v>
      </x:c>
      <x:c r="G6062" s="20" t="n">
        <x:v>1</x:v>
      </x:c>
      <x:c r="H6062" s="12" t="str">
        <x:v>Campus/portfolio roster; individual building occupancy unverified</x:v>
      </x:c>
      <x:c r="I6062" s="12" t="str">
        <x:v>Small-scale prospects</x:v>
      </x:c>
      <x:c r="J6062" s="12" t="str">
        <x:v>IT &amp; digital</x:v>
      </x:c>
      <x:c r="K6062" s="2" t="str">
        <x:v>PARTNER-M317</x:v>
      </x:c>
    </x:row>
    <x:row r="6063" ht="46" customHeight="1">
      <x:c r="A6063" s="2" t="str">
        <x:v>TEN-4E9F09D4C240</x:v>
      </x:c>
      <x:c r="B6063" s="12" t="str">
        <x:v>Zebi Data India</x:v>
      </x:c>
      <x:c r="C6063" s="12" t="str">
        <x:v>CORP-0735</x:v>
      </x:c>
      <x:c r="D6063" s="12" t="str">
        <x:v>Hyderabad</x:v>
      </x:c>
      <x:c r="E6063" s="12" t="str">
        <x:v>Kapil Towers</x:v>
      </x:c>
      <x:c r="F6063" s="12" t="str">
        <x:v>55 inch</x:v>
      </x:c>
      <x:c r="G6063" s="20" t="n">
        <x:v>1</x:v>
      </x:c>
      <x:c r="H6063" s="12" t="str">
        <x:v>Campus/portfolio roster; individual building occupancy unverified</x:v>
      </x:c>
      <x:c r="I6063" s="12" t="str">
        <x:v>Small-scale prospects</x:v>
      </x:c>
      <x:c r="J6063" s="12" t="str">
        <x:v>IT &amp; digital</x:v>
      </x:c>
      <x:c r="K6063" s="2" t="str">
        <x:v>PARTNER-M317</x:v>
      </x:c>
    </x:row>
    <x:row r="6064" ht="46" customHeight="1">
      <x:c r="A6064" s="2" t="str">
        <x:v>TEN-5E423FF3D952</x:v>
      </x:c>
      <x:c r="B6064" s="12" t="str">
        <x:v>Codexbox</x:v>
      </x:c>
      <x:c r="C6064" s="12" t="str">
        <x:v>CORP-0735</x:v>
      </x:c>
      <x:c r="D6064" s="12" t="str">
        <x:v>Hyderabad</x:v>
      </x:c>
      <x:c r="E6064" s="12" t="str">
        <x:v>Kapil Towers</x:v>
      </x:c>
      <x:c r="F6064" s="12" t="str">
        <x:v>55 inch</x:v>
      </x:c>
      <x:c r="G6064" s="20" t="n">
        <x:v>1</x:v>
      </x:c>
      <x:c r="H6064" s="12" t="str">
        <x:v>Campus/portfolio roster; individual building occupancy unverified</x:v>
      </x:c>
      <x:c r="I6064" s="12" t="str">
        <x:v>Mixed business audience</x:v>
      </x:c>
      <x:c r="J6064" s="12" t="str">
        <x:v>Unresolved</x:v>
      </x:c>
      <x:c r="K6064" s="2" t="str">
        <x:v>PARTNER-M317</x:v>
      </x:c>
    </x:row>
    <x:row r="6065" ht="46" customHeight="1">
      <x:c r="A6065" s="2" t="str">
        <x:v>TEN-610A92A03F91</x:v>
      </x:c>
      <x:c r="B6065" s="12" t="str">
        <x:v>Kagool Data</x:v>
      </x:c>
      <x:c r="C6065" s="12" t="str">
        <x:v>CORP-0735</x:v>
      </x:c>
      <x:c r="D6065" s="12" t="str">
        <x:v>Hyderabad</x:v>
      </x:c>
      <x:c r="E6065" s="12" t="str">
        <x:v>Kapil Towers</x:v>
      </x:c>
      <x:c r="F6065" s="12" t="str">
        <x:v>55 inch</x:v>
      </x:c>
      <x:c r="G6065" s="20" t="n">
        <x:v>1</x:v>
      </x:c>
      <x:c r="H6065" s="12" t="str">
        <x:v>Campus/portfolio roster; individual building occupancy unverified</x:v>
      </x:c>
      <x:c r="I6065" s="12" t="str">
        <x:v>Small-scale prospects</x:v>
      </x:c>
      <x:c r="J6065" s="12" t="str">
        <x:v>IT &amp; digital</x:v>
      </x:c>
      <x:c r="K6065" s="2" t="str">
        <x:v>PARTNER-M317</x:v>
      </x:c>
    </x:row>
    <x:row r="6066" ht="46" customHeight="1">
      <x:c r="A6066" s="2" t="str">
        <x:v>TEN-696EBEF1BEC8</x:v>
      </x:c>
      <x:c r="B6066" s="12" t="str">
        <x:v>AureusTech Systems</x:v>
      </x:c>
      <x:c r="C6066" s="12" t="str">
        <x:v>CORP-0735</x:v>
      </x:c>
      <x:c r="D6066" s="12" t="str">
        <x:v>Hyderabad</x:v>
      </x:c>
      <x:c r="E6066" s="12" t="str">
        <x:v>Kapil Towers</x:v>
      </x:c>
      <x:c r="F6066" s="12" t="str">
        <x:v>55 inch</x:v>
      </x:c>
      <x:c r="G6066" s="20" t="n">
        <x:v>1</x:v>
      </x:c>
      <x:c r="H6066" s="12" t="str">
        <x:v>Campus/portfolio roster; individual building occupancy unverified</x:v>
      </x:c>
      <x:c r="I6066" s="12" t="str">
        <x:v>Small-scale prospects</x:v>
      </x:c>
      <x:c r="J6066" s="12" t="str">
        <x:v>IT &amp; digital</x:v>
      </x:c>
      <x:c r="K6066" s="2" t="str">
        <x:v>PARTNER-M317</x:v>
      </x:c>
    </x:row>
    <x:row r="6067" ht="46" customHeight="1">
      <x:c r="A6067" s="2" t="str">
        <x:v>TEN-6B83683277A9</x:v>
      </x:c>
      <x:c r="B6067" s="12" t="str">
        <x:v>Houzekey Consulting</x:v>
      </x:c>
      <x:c r="C6067" s="12" t="str">
        <x:v>CORP-0735</x:v>
      </x:c>
      <x:c r="D6067" s="12" t="str">
        <x:v>Hyderabad</x:v>
      </x:c>
      <x:c r="E6067" s="12" t="str">
        <x:v>Kapil Towers</x:v>
      </x:c>
      <x:c r="F6067" s="12" t="str">
        <x:v>55 inch</x:v>
      </x:c>
      <x:c r="G6067" s="20" t="n">
        <x:v>1</x:v>
      </x:c>
      <x:c r="H6067" s="12" t="str">
        <x:v>Campus/portfolio roster; individual building occupancy unverified</x:v>
      </x:c>
      <x:c r="I6067" s="12" t="str">
        <x:v>Small-scale prospects</x:v>
      </x:c>
      <x:c r="J6067" s="12" t="str">
        <x:v>Professional services</x:v>
      </x:c>
      <x:c r="K6067" s="2" t="str">
        <x:v>PARTNER-M317</x:v>
      </x:c>
    </x:row>
    <x:row r="6068" ht="46" customHeight="1">
      <x:c r="A6068" s="2" t="str">
        <x:v>TEN-99DC3C2D940B</x:v>
      </x:c>
      <x:c r="B6068" s="12" t="str">
        <x:v>FutureTech Business Solutions</x:v>
      </x:c>
      <x:c r="C6068" s="12" t="str">
        <x:v>CORP-0735</x:v>
      </x:c>
      <x:c r="D6068" s="12" t="str">
        <x:v>Hyderabad</x:v>
      </x:c>
      <x:c r="E6068" s="12" t="str">
        <x:v>Kapil Towers</x:v>
      </x:c>
      <x:c r="F6068" s="12" t="str">
        <x:v>55 inch</x:v>
      </x:c>
      <x:c r="G6068" s="20" t="n">
        <x:v>1</x:v>
      </x:c>
      <x:c r="H6068" s="12" t="str">
        <x:v>Campus/portfolio roster; individual building occupancy unverified</x:v>
      </x:c>
      <x:c r="I6068" s="12" t="str">
        <x:v>Mixed business audience</x:v>
      </x:c>
      <x:c r="J6068" s="12" t="str">
        <x:v>Unresolved</x:v>
      </x:c>
      <x:c r="K6068" s="2" t="str">
        <x:v>PARTNER-M317</x:v>
      </x:c>
    </x:row>
    <x:row r="6069" ht="46" customHeight="1">
      <x:c r="A6069" s="2" t="str">
        <x:v>TEN-9DE4EB87E986</x:v>
      </x:c>
      <x:c r="B6069" s="12" t="str">
        <x:v>Microsemi Communications India</x:v>
      </x:c>
      <x:c r="C6069" s="12" t="str">
        <x:v>CORP-0735</x:v>
      </x:c>
      <x:c r="D6069" s="12" t="str">
        <x:v>Hyderabad</x:v>
      </x:c>
      <x:c r="E6069" s="12" t="str">
        <x:v>Kapil Towers</x:v>
      </x:c>
      <x:c r="F6069" s="12" t="str">
        <x:v>55 inch</x:v>
      </x:c>
      <x:c r="G6069" s="20" t="n">
        <x:v>1</x:v>
      </x:c>
      <x:c r="H6069" s="12" t="str">
        <x:v>Campus/portfolio roster; individual building occupancy unverified</x:v>
      </x:c>
      <x:c r="I6069" s="12" t="str">
        <x:v>Mixed business audience</x:v>
      </x:c>
      <x:c r="J6069" s="12" t="str">
        <x:v>IT &amp; digital</x:v>
      </x:c>
      <x:c r="K6069" s="2" t="str">
        <x:v>PARTNER-M317</x:v>
      </x:c>
    </x:row>
    <x:row r="6070" ht="46" customHeight="1">
      <x:c r="A6070" s="2" t="str">
        <x:v>TEN-A0B931E47192</x:v>
      </x:c>
      <x:c r="B6070" s="12" t="str">
        <x:v>Kin Lifecare Services</x:v>
      </x:c>
      <x:c r="C6070" s="12" t="str">
        <x:v>CORP-0735</x:v>
      </x:c>
      <x:c r="D6070" s="12" t="str">
        <x:v>Hyderabad</x:v>
      </x:c>
      <x:c r="E6070" s="12" t="str">
        <x:v>Kapil Towers</x:v>
      </x:c>
      <x:c r="F6070" s="12" t="str">
        <x:v>55 inch</x:v>
      </x:c>
      <x:c r="G6070" s="20" t="n">
        <x:v>1</x:v>
      </x:c>
      <x:c r="H6070" s="12" t="str">
        <x:v>Campus/portfolio roster; individual building occupancy unverified</x:v>
      </x:c>
      <x:c r="I6070" s="12" t="str">
        <x:v>Medium-scale prospects</x:v>
      </x:c>
      <x:c r="J6070" s="12" t="str">
        <x:v>Healthcare &amp; life sciences</x:v>
      </x:c>
      <x:c r="K6070" s="2" t="str">
        <x:v>PARTNER-M317</x:v>
      </x:c>
    </x:row>
    <x:row r="6071" ht="46" customHeight="1">
      <x:c r="A6071" s="2" t="str">
        <x:v>TEN-A5F3E9F1C9E5</x:v>
      </x:c>
      <x:c r="B6071" s="12" t="str">
        <x:v>InnoCore Digital</x:v>
      </x:c>
      <x:c r="C6071" s="12" t="str">
        <x:v>CORP-0735</x:v>
      </x:c>
      <x:c r="D6071" s="12" t="str">
        <x:v>Hyderabad</x:v>
      </x:c>
      <x:c r="E6071" s="12" t="str">
        <x:v>Kapil Towers</x:v>
      </x:c>
      <x:c r="F6071" s="12" t="str">
        <x:v>55 inch</x:v>
      </x:c>
      <x:c r="G6071" s="20" t="n">
        <x:v>1</x:v>
      </x:c>
      <x:c r="H6071" s="12" t="str">
        <x:v>Campus/portfolio roster; individual building occupancy unverified</x:v>
      </x:c>
      <x:c r="I6071" s="12" t="str">
        <x:v>Small-scale prospects</x:v>
      </x:c>
      <x:c r="J6071" s="12" t="str">
        <x:v>IT &amp; digital</x:v>
      </x:c>
      <x:c r="K6071" s="2" t="str">
        <x:v>PARTNER-M317</x:v>
      </x:c>
    </x:row>
    <x:row r="6072" ht="46" customHeight="1">
      <x:c r="A6072" s="2" t="str">
        <x:v>TEN-A71520DA2A6E</x:v>
      </x:c>
      <x:c r="B6072" s="12" t="str">
        <x:v>AheadRace Software Development Services</x:v>
      </x:c>
      <x:c r="C6072" s="12" t="str">
        <x:v>CORP-0735</x:v>
      </x:c>
      <x:c r="D6072" s="12" t="str">
        <x:v>Hyderabad</x:v>
      </x:c>
      <x:c r="E6072" s="12" t="str">
        <x:v>Kapil Towers</x:v>
      </x:c>
      <x:c r="F6072" s="12" t="str">
        <x:v>55 inch</x:v>
      </x:c>
      <x:c r="G6072" s="20" t="n">
        <x:v>1</x:v>
      </x:c>
      <x:c r="H6072" s="12" t="str">
        <x:v>Campus/portfolio roster; individual building occupancy unverified</x:v>
      </x:c>
      <x:c r="I6072" s="12" t="str">
        <x:v>Small-scale prospects</x:v>
      </x:c>
      <x:c r="J6072" s="12" t="str">
        <x:v>IT &amp; digital</x:v>
      </x:c>
      <x:c r="K6072" s="2" t="str">
        <x:v>PARTNER-M317</x:v>
      </x:c>
    </x:row>
    <x:row r="6073" ht="46" customHeight="1">
      <x:c r="A6073" s="2" t="str">
        <x:v>TEN-AAD0329B77D6</x:v>
      </x:c>
      <x:c r="B6073" s="12" t="str">
        <x:v>Glide Insurance Broking Services</x:v>
      </x:c>
      <x:c r="C6073" s="12" t="str">
        <x:v>CORP-0735</x:v>
      </x:c>
      <x:c r="D6073" s="12" t="str">
        <x:v>Hyderabad</x:v>
      </x:c>
      <x:c r="E6073" s="12" t="str">
        <x:v>Kapil Towers</x:v>
      </x:c>
      <x:c r="F6073" s="12" t="str">
        <x:v>55 inch</x:v>
      </x:c>
      <x:c r="G6073" s="20" t="n">
        <x:v>1</x:v>
      </x:c>
      <x:c r="H6073" s="12" t="str">
        <x:v>Campus/portfolio roster; individual building occupancy unverified</x:v>
      </x:c>
      <x:c r="I6073" s="12" t="str">
        <x:v>Small-scale prospects</x:v>
      </x:c>
      <x:c r="J6073" s="12" t="str">
        <x:v>Finance &amp; insurance</x:v>
      </x:c>
      <x:c r="K6073" s="2" t="str">
        <x:v>PARTNER-M317</x:v>
      </x:c>
    </x:row>
    <x:row r="6074" ht="46" customHeight="1">
      <x:c r="A6074" s="2" t="str">
        <x:v>TEN-ABA79A2B2DEC</x:v>
      </x:c>
      <x:c r="B6074" s="12" t="str">
        <x:v>CoreCompete</x:v>
      </x:c>
      <x:c r="C6074" s="12" t="str">
        <x:v>CORP-0735</x:v>
      </x:c>
      <x:c r="D6074" s="12" t="str">
        <x:v>Hyderabad</x:v>
      </x:c>
      <x:c r="E6074" s="12" t="str">
        <x:v>Kapil Towers</x:v>
      </x:c>
      <x:c r="F6074" s="12" t="str">
        <x:v>55 inch</x:v>
      </x:c>
      <x:c r="G6074" s="20" t="n">
        <x:v>1</x:v>
      </x:c>
      <x:c r="H6074" s="12" t="str">
        <x:v>Campus/portfolio roster; individual building occupancy unverified</x:v>
      </x:c>
      <x:c r="I6074" s="12" t="str">
        <x:v>Mixed business audience</x:v>
      </x:c>
      <x:c r="J6074" s="12" t="str">
        <x:v>IT &amp; digital</x:v>
      </x:c>
      <x:c r="K6074" s="2" t="str">
        <x:v>PARTNER-M317</x:v>
      </x:c>
    </x:row>
    <x:row r="6075" ht="46" customHeight="1">
      <x:c r="A6075" s="2" t="str">
        <x:v>TEN-B63ABE14A06F</x:v>
      </x:c>
      <x:c r="B6075" s="12" t="str">
        <x:v>Skyonn Technologies</x:v>
      </x:c>
      <x:c r="C6075" s="12" t="str">
        <x:v>CORP-0735</x:v>
      </x:c>
      <x:c r="D6075" s="12" t="str">
        <x:v>Hyderabad</x:v>
      </x:c>
      <x:c r="E6075" s="12" t="str">
        <x:v>Kapil Towers</x:v>
      </x:c>
      <x:c r="F6075" s="12" t="str">
        <x:v>55 inch</x:v>
      </x:c>
      <x:c r="G6075" s="20" t="n">
        <x:v>1</x:v>
      </x:c>
      <x:c r="H6075" s="12" t="str">
        <x:v>Campus/portfolio roster; individual building occupancy unverified</x:v>
      </x:c>
      <x:c r="I6075" s="12" t="str">
        <x:v>Mixed business audience</x:v>
      </x:c>
      <x:c r="J6075" s="12" t="str">
        <x:v>Unresolved</x:v>
      </x:c>
      <x:c r="K6075" s="2" t="str">
        <x:v>PARTNER-M317</x:v>
      </x:c>
    </x:row>
    <x:row r="6076" ht="46" customHeight="1">
      <x:c r="A6076" s="2" t="str">
        <x:v>TEN-C425191D5D06</x:v>
      </x:c>
      <x:c r="B6076" s="12" t="str">
        <x:v>Staples Office Supplies LLP</x:v>
      </x:c>
      <x:c r="C6076" s="12" t="str">
        <x:v>CORP-0735</x:v>
      </x:c>
      <x:c r="D6076" s="12" t="str">
        <x:v>Hyderabad</x:v>
      </x:c>
      <x:c r="E6076" s="12" t="str">
        <x:v>Kapil Towers</x:v>
      </x:c>
      <x:c r="F6076" s="12" t="str">
        <x:v>55 inch</x:v>
      </x:c>
      <x:c r="G6076" s="20" t="n">
        <x:v>1</x:v>
      </x:c>
      <x:c r="H6076" s="12" t="str">
        <x:v>Campus/portfolio roster; individual building occupancy unverified</x:v>
      </x:c>
      <x:c r="I6076" s="12" t="str">
        <x:v>Mixed business audience</x:v>
      </x:c>
      <x:c r="J6076" s="12" t="str">
        <x:v>Trade, consumer &amp; logistics</x:v>
      </x:c>
      <x:c r="K6076" s="2" t="str">
        <x:v>PARTNER-M317</x:v>
      </x:c>
    </x:row>
    <x:row r="6077" ht="46" customHeight="1">
      <x:c r="A6077" s="2" t="str">
        <x:v>TEN-D17B85E52ABA</x:v>
      </x:c>
      <x:c r="B6077" s="12" t="str">
        <x:v>Kapil IT Solutions</x:v>
      </x:c>
      <x:c r="C6077" s="12" t="str">
        <x:v>CORP-0735</x:v>
      </x:c>
      <x:c r="D6077" s="12" t="str">
        <x:v>Hyderabad</x:v>
      </x:c>
      <x:c r="E6077" s="12" t="str">
        <x:v>Kapil Towers</x:v>
      </x:c>
      <x:c r="F6077" s="12" t="str">
        <x:v>55 inch</x:v>
      </x:c>
      <x:c r="G6077" s="20" t="n">
        <x:v>1</x:v>
      </x:c>
      <x:c r="H6077" s="12" t="str">
        <x:v>Campus/portfolio roster; individual building occupancy unverified</x:v>
      </x:c>
      <x:c r="I6077" s="12" t="str">
        <x:v>Small-scale prospects</x:v>
      </x:c>
      <x:c r="J6077" s="12" t="str">
        <x:v>IT &amp; digital</x:v>
      </x:c>
      <x:c r="K6077" s="2" t="str">
        <x:v>PARTNER-M317</x:v>
      </x:c>
    </x:row>
    <x:row r="6078" ht="46" customHeight="1">
      <x:c r="A6078" s="2" t="str">
        <x:v>TEN-EA94B39D1C72</x:v>
      </x:c>
      <x:c r="B6078" s="12" t="str">
        <x:v>TailorTech</x:v>
      </x:c>
      <x:c r="C6078" s="12" t="str">
        <x:v>CORP-0735</x:v>
      </x:c>
      <x:c r="D6078" s="12" t="str">
        <x:v>Hyderabad</x:v>
      </x:c>
      <x:c r="E6078" s="12" t="str">
        <x:v>Kapil Towers</x:v>
      </x:c>
      <x:c r="F6078" s="12" t="str">
        <x:v>55 inch</x:v>
      </x:c>
      <x:c r="G6078" s="20" t="n">
        <x:v>1</x:v>
      </x:c>
      <x:c r="H6078" s="12" t="str">
        <x:v>Campus/portfolio roster; individual building occupancy unverified</x:v>
      </x:c>
      <x:c r="I6078" s="12" t="str">
        <x:v>Mixed business audience</x:v>
      </x:c>
      <x:c r="J6078" s="12" t="str">
        <x:v>Unresolved</x:v>
      </x:c>
      <x:c r="K6078" s="2" t="str">
        <x:v>PARTNER-M317</x:v>
      </x:c>
    </x:row>
    <x:row r="6079" ht="46" customHeight="1">
      <x:c r="A6079" s="2" t="str">
        <x:v>TEN-ED8AA4B2E058</x:v>
      </x:c>
      <x:c r="B6079" s="12" t="str">
        <x:v>Appstek Solutions</x:v>
      </x:c>
      <x:c r="C6079" s="12" t="str">
        <x:v>CORP-0735</x:v>
      </x:c>
      <x:c r="D6079" s="12" t="str">
        <x:v>Hyderabad</x:v>
      </x:c>
      <x:c r="E6079" s="12" t="str">
        <x:v>Kapil Towers</x:v>
      </x:c>
      <x:c r="F6079" s="12" t="str">
        <x:v>55 inch</x:v>
      </x:c>
      <x:c r="G6079" s="20" t="n">
        <x:v>1</x:v>
      </x:c>
      <x:c r="H6079" s="12" t="str">
        <x:v>Campus/portfolio roster; individual building occupancy unverified</x:v>
      </x:c>
      <x:c r="I6079" s="12" t="str">
        <x:v>Small-scale prospects</x:v>
      </x:c>
      <x:c r="J6079" s="12" t="str">
        <x:v>IT &amp; digital</x:v>
      </x:c>
      <x:c r="K6079" s="2" t="str">
        <x:v>PARTNER-M317</x:v>
      </x:c>
    </x:row>
    <x:row r="6080" ht="46" customHeight="1">
      <x:c r="A6080" s="2" t="str">
        <x:v>TEN-F17CDF039CA5</x:v>
      </x:c>
      <x:c r="B6080" s="12" t="str">
        <x:v>Knowledge Matrix India</x:v>
      </x:c>
      <x:c r="C6080" s="12" t="str">
        <x:v>CORP-0735</x:v>
      </x:c>
      <x:c r="D6080" s="12" t="str">
        <x:v>Hyderabad</x:v>
      </x:c>
      <x:c r="E6080" s="12" t="str">
        <x:v>Kapil Towers</x:v>
      </x:c>
      <x:c r="F6080" s="12" t="str">
        <x:v>55 inch</x:v>
      </x:c>
      <x:c r="G6080" s="20" t="n">
        <x:v>1</x:v>
      </x:c>
      <x:c r="H6080" s="12" t="str">
        <x:v>Campus/portfolio roster; individual building occupancy unverified</x:v>
      </x:c>
      <x:c r="I6080" s="12" t="str">
        <x:v>Small-scale prospects</x:v>
      </x:c>
      <x:c r="J6080" s="12" t="str">
        <x:v>IT &amp; digital</x:v>
      </x:c>
      <x:c r="K6080" s="2" t="str">
        <x:v>PARTNER-M317</x:v>
      </x:c>
    </x:row>
    <x:row r="6081" ht="46" customHeight="1">
      <x:c r="A6081" s="2" t="str">
        <x:v>TEN-F67EC79876E7</x:v>
      </x:c>
      <x:c r="B6081" s="12" t="str">
        <x:v>Prometric Testing</x:v>
      </x:c>
      <x:c r="C6081" s="12" t="str">
        <x:v>CORP-0735</x:v>
      </x:c>
      <x:c r="D6081" s="12" t="str">
        <x:v>Hyderabad</x:v>
      </x:c>
      <x:c r="E6081" s="12" t="str">
        <x:v>Kapil Towers</x:v>
      </x:c>
      <x:c r="F6081" s="12" t="str">
        <x:v>55 inch</x:v>
      </x:c>
      <x:c r="G6081" s="20" t="n">
        <x:v>1</x:v>
      </x:c>
      <x:c r="H6081" s="12" t="str">
        <x:v>Campus/portfolio roster; individual building occupancy unverified</x:v>
      </x:c>
      <x:c r="I6081" s="12" t="str">
        <x:v>Mixed business audience</x:v>
      </x:c>
      <x:c r="J6081" s="12" t="str">
        <x:v>Education</x:v>
      </x:c>
      <x:c r="K6081" s="2" t="str">
        <x:v>PARTNER-M317</x:v>
      </x:c>
    </x:row>
    <x:row r="6082" ht="46" customHeight="1">
      <x:c r="A6082" s="2" t="str">
        <x:v>TEN-0A5ECD30C1C6</x:v>
      </x:c>
      <x:c r="B6082" s="12" t="str">
        <x:v>Rythmos India</x:v>
      </x:c>
      <x:c r="C6082" s="12" t="str">
        <x:v>CORP-0736</x:v>
      </x:c>
      <x:c r="D6082" s="12" t="str">
        <x:v>Hyderabad</x:v>
      </x:c>
      <x:c r="E6082" s="12" t="str">
        <x:v>Kapil Towers</x:v>
      </x:c>
      <x:c r="F6082" s="12" t="str">
        <x:v>55 inch</x:v>
      </x:c>
      <x:c r="G6082" s="20" t="n">
        <x:v>1</x:v>
      </x:c>
      <x:c r="H6082" s="12" t="str">
        <x:v>Campus/portfolio roster; individual building occupancy unverified</x:v>
      </x:c>
      <x:c r="I6082" s="12" t="str">
        <x:v>Small-scale prospects</x:v>
      </x:c>
      <x:c r="J6082" s="12" t="str">
        <x:v>IT &amp; digital</x:v>
      </x:c>
      <x:c r="K6082" s="2" t="str">
        <x:v>PARTNER-M317</x:v>
      </x:c>
    </x:row>
    <x:row r="6083" ht="46" customHeight="1">
      <x:c r="A6083" s="2" t="str">
        <x:v>TEN-1A35D512D448</x:v>
      </x:c>
      <x:c r="B6083" s="12" t="str">
        <x:v>Book MyT Software Technologies</x:v>
      </x:c>
      <x:c r="C6083" s="12" t="str">
        <x:v>CORP-0736</x:v>
      </x:c>
      <x:c r="D6083" s="12" t="str">
        <x:v>Hyderabad</x:v>
      </x:c>
      <x:c r="E6083" s="12" t="str">
        <x:v>Kapil Towers</x:v>
      </x:c>
      <x:c r="F6083" s="12" t="str">
        <x:v>55 inch</x:v>
      </x:c>
      <x:c r="G6083" s="20" t="n">
        <x:v>1</x:v>
      </x:c>
      <x:c r="H6083" s="12" t="str">
        <x:v>Campus/portfolio roster; individual building occupancy unverified</x:v>
      </x:c>
      <x:c r="I6083" s="12" t="str">
        <x:v>Small-scale prospects</x:v>
      </x:c>
      <x:c r="J6083" s="12" t="str">
        <x:v>IT &amp; digital</x:v>
      </x:c>
      <x:c r="K6083" s="2" t="str">
        <x:v>PARTNER-M317</x:v>
      </x:c>
    </x:row>
    <x:row r="6084" ht="46" customHeight="1">
      <x:c r="A6084" s="2" t="str">
        <x:v>TEN-20AE44E7A981</x:v>
      </x:c>
      <x:c r="B6084" s="12" t="str">
        <x:v>Covalense Technologies</x:v>
      </x:c>
      <x:c r="C6084" s="12" t="str">
        <x:v>CORP-0736</x:v>
      </x:c>
      <x:c r="D6084" s="12" t="str">
        <x:v>Hyderabad</x:v>
      </x:c>
      <x:c r="E6084" s="12" t="str">
        <x:v>Kapil Towers</x:v>
      </x:c>
      <x:c r="F6084" s="12" t="str">
        <x:v>55 inch</x:v>
      </x:c>
      <x:c r="G6084" s="20" t="n">
        <x:v>1</x:v>
      </x:c>
      <x:c r="H6084" s="12" t="str">
        <x:v>Campus/portfolio roster; individual building occupancy unverified</x:v>
      </x:c>
      <x:c r="I6084" s="12" t="str">
        <x:v>Small-scale prospects</x:v>
      </x:c>
      <x:c r="J6084" s="12" t="str">
        <x:v>IT &amp; digital</x:v>
      </x:c>
      <x:c r="K6084" s="2" t="str">
        <x:v>PARTNER-M317</x:v>
      </x:c>
    </x:row>
    <x:row r="6085" ht="46" customHeight="1">
      <x:c r="A6085" s="2" t="str">
        <x:v>TEN-35116738549F</x:v>
      </x:c>
      <x:c r="B6085" s="12" t="str">
        <x:v>Xetadata Software</x:v>
      </x:c>
      <x:c r="C6085" s="12" t="str">
        <x:v>CORP-0736</x:v>
      </x:c>
      <x:c r="D6085" s="12" t="str">
        <x:v>Hyderabad</x:v>
      </x:c>
      <x:c r="E6085" s="12" t="str">
        <x:v>Kapil Towers</x:v>
      </x:c>
      <x:c r="F6085" s="12" t="str">
        <x:v>55 inch</x:v>
      </x:c>
      <x:c r="G6085" s="20" t="n">
        <x:v>1</x:v>
      </x:c>
      <x:c r="H6085" s="12" t="str">
        <x:v>Campus/portfolio roster; individual building occupancy unverified</x:v>
      </x:c>
      <x:c r="I6085" s="12" t="str">
        <x:v>Small-scale prospects</x:v>
      </x:c>
      <x:c r="J6085" s="12" t="str">
        <x:v>IT &amp; digital</x:v>
      </x:c>
      <x:c r="K6085" s="2" t="str">
        <x:v>PARTNER-M317</x:v>
      </x:c>
    </x:row>
    <x:row r="6086" ht="46" customHeight="1">
      <x:c r="A6086" s="2" t="str">
        <x:v>TEN-4217F70FC2FE</x:v>
      </x:c>
      <x:c r="B6086" s="12" t="str">
        <x:v>Toyaja Software India</x:v>
      </x:c>
      <x:c r="C6086" s="12" t="str">
        <x:v>CORP-0736</x:v>
      </x:c>
      <x:c r="D6086" s="12" t="str">
        <x:v>Hyderabad</x:v>
      </x:c>
      <x:c r="E6086" s="12" t="str">
        <x:v>Kapil Towers</x:v>
      </x:c>
      <x:c r="F6086" s="12" t="str">
        <x:v>55 inch</x:v>
      </x:c>
      <x:c r="G6086" s="20" t="n">
        <x:v>1</x:v>
      </x:c>
      <x:c r="H6086" s="12" t="str">
        <x:v>Campus/portfolio roster; individual building occupancy unverified</x:v>
      </x:c>
      <x:c r="I6086" s="12" t="str">
        <x:v>Small-scale prospects</x:v>
      </x:c>
      <x:c r="J6086" s="12" t="str">
        <x:v>IT &amp; digital</x:v>
      </x:c>
      <x:c r="K6086" s="2" t="str">
        <x:v>PARTNER-M317</x:v>
      </x:c>
    </x:row>
    <x:row r="6087" ht="46" customHeight="1">
      <x:c r="A6087" s="2" t="str">
        <x:v>TEN-45562E981863</x:v>
      </x:c>
      <x:c r="B6087" s="12" t="str">
        <x:v>Qumu Corp</x:v>
      </x:c>
      <x:c r="C6087" s="12" t="str">
        <x:v>CORP-0736</x:v>
      </x:c>
      <x:c r="D6087" s="12" t="str">
        <x:v>Hyderabad</x:v>
      </x:c>
      <x:c r="E6087" s="12" t="str">
        <x:v>Kapil Towers</x:v>
      </x:c>
      <x:c r="F6087" s="12" t="str">
        <x:v>55 inch</x:v>
      </x:c>
      <x:c r="G6087" s="20" t="n">
        <x:v>1</x:v>
      </x:c>
      <x:c r="H6087" s="12" t="str">
        <x:v>Campus/portfolio roster; individual building occupancy unverified</x:v>
      </x:c>
      <x:c r="I6087" s="12" t="str">
        <x:v>Mixed business audience</x:v>
      </x:c>
      <x:c r="J6087" s="12" t="str">
        <x:v>IT &amp; digital</x:v>
      </x:c>
      <x:c r="K6087" s="2" t="str">
        <x:v>PARTNER-M317</x:v>
      </x:c>
    </x:row>
    <x:row r="6088" ht="46" customHeight="1">
      <x:c r="A6088" s="2" t="str">
        <x:v>TEN-4881BA2217F0</x:v>
      </x:c>
      <x:c r="B6088" s="12" t="str">
        <x:v>Pramati Technologies</x:v>
      </x:c>
      <x:c r="C6088" s="12" t="str">
        <x:v>CORP-0736</x:v>
      </x:c>
      <x:c r="D6088" s="12" t="str">
        <x:v>Hyderabad</x:v>
      </x:c>
      <x:c r="E6088" s="12" t="str">
        <x:v>Kapil Towers</x:v>
      </x:c>
      <x:c r="F6088" s="12" t="str">
        <x:v>55 inch</x:v>
      </x:c>
      <x:c r="G6088" s="20" t="n">
        <x:v>1</x:v>
      </x:c>
      <x:c r="H6088" s="12" t="str">
        <x:v>Campus/portfolio roster; individual building occupancy unverified</x:v>
      </x:c>
      <x:c r="I6088" s="12" t="str">
        <x:v>Small-scale prospects</x:v>
      </x:c>
      <x:c r="J6088" s="12" t="str">
        <x:v>IT &amp; digital</x:v>
      </x:c>
      <x:c r="K6088" s="2" t="str">
        <x:v>PARTNER-M317</x:v>
      </x:c>
    </x:row>
    <x:row r="6089" ht="46" customHeight="1">
      <x:c r="A6089" s="2" t="str">
        <x:v>TEN-4E9F09D4C240</x:v>
      </x:c>
      <x:c r="B6089" s="12" t="str">
        <x:v>Zebi Data India</x:v>
      </x:c>
      <x:c r="C6089" s="12" t="str">
        <x:v>CORP-0736</x:v>
      </x:c>
      <x:c r="D6089" s="12" t="str">
        <x:v>Hyderabad</x:v>
      </x:c>
      <x:c r="E6089" s="12" t="str">
        <x:v>Kapil Towers</x:v>
      </x:c>
      <x:c r="F6089" s="12" t="str">
        <x:v>55 inch</x:v>
      </x:c>
      <x:c r="G6089" s="20" t="n">
        <x:v>1</x:v>
      </x:c>
      <x:c r="H6089" s="12" t="str">
        <x:v>Campus/portfolio roster; individual building occupancy unverified</x:v>
      </x:c>
      <x:c r="I6089" s="12" t="str">
        <x:v>Small-scale prospects</x:v>
      </x:c>
      <x:c r="J6089" s="12" t="str">
        <x:v>IT &amp; digital</x:v>
      </x:c>
      <x:c r="K6089" s="2" t="str">
        <x:v>PARTNER-M317</x:v>
      </x:c>
    </x:row>
    <x:row r="6090" ht="46" customHeight="1">
      <x:c r="A6090" s="2" t="str">
        <x:v>TEN-5E423FF3D952</x:v>
      </x:c>
      <x:c r="B6090" s="12" t="str">
        <x:v>Codexbox</x:v>
      </x:c>
      <x:c r="C6090" s="12" t="str">
        <x:v>CORP-0736</x:v>
      </x:c>
      <x:c r="D6090" s="12" t="str">
        <x:v>Hyderabad</x:v>
      </x:c>
      <x:c r="E6090" s="12" t="str">
        <x:v>Kapil Towers</x:v>
      </x:c>
      <x:c r="F6090" s="12" t="str">
        <x:v>55 inch</x:v>
      </x:c>
      <x:c r="G6090" s="20" t="n">
        <x:v>1</x:v>
      </x:c>
      <x:c r="H6090" s="12" t="str">
        <x:v>Campus/portfolio roster; individual building occupancy unverified</x:v>
      </x:c>
      <x:c r="I6090" s="12" t="str">
        <x:v>Mixed business audience</x:v>
      </x:c>
      <x:c r="J6090" s="12" t="str">
        <x:v>Unresolved</x:v>
      </x:c>
      <x:c r="K6090" s="2" t="str">
        <x:v>PARTNER-M317</x:v>
      </x:c>
    </x:row>
    <x:row r="6091" ht="46" customHeight="1">
      <x:c r="A6091" s="2" t="str">
        <x:v>TEN-610A92A03F91</x:v>
      </x:c>
      <x:c r="B6091" s="12" t="str">
        <x:v>Kagool Data</x:v>
      </x:c>
      <x:c r="C6091" s="12" t="str">
        <x:v>CORP-0736</x:v>
      </x:c>
      <x:c r="D6091" s="12" t="str">
        <x:v>Hyderabad</x:v>
      </x:c>
      <x:c r="E6091" s="12" t="str">
        <x:v>Kapil Towers</x:v>
      </x:c>
      <x:c r="F6091" s="12" t="str">
        <x:v>55 inch</x:v>
      </x:c>
      <x:c r="G6091" s="20" t="n">
        <x:v>1</x:v>
      </x:c>
      <x:c r="H6091" s="12" t="str">
        <x:v>Campus/portfolio roster; individual building occupancy unverified</x:v>
      </x:c>
      <x:c r="I6091" s="12" t="str">
        <x:v>Small-scale prospects</x:v>
      </x:c>
      <x:c r="J6091" s="12" t="str">
        <x:v>IT &amp; digital</x:v>
      </x:c>
      <x:c r="K6091" s="2" t="str">
        <x:v>PARTNER-M317</x:v>
      </x:c>
    </x:row>
    <x:row r="6092" ht="46" customHeight="1">
      <x:c r="A6092" s="2" t="str">
        <x:v>TEN-696EBEF1BEC8</x:v>
      </x:c>
      <x:c r="B6092" s="12" t="str">
        <x:v>AureusTech Systems</x:v>
      </x:c>
      <x:c r="C6092" s="12" t="str">
        <x:v>CORP-0736</x:v>
      </x:c>
      <x:c r="D6092" s="12" t="str">
        <x:v>Hyderabad</x:v>
      </x:c>
      <x:c r="E6092" s="12" t="str">
        <x:v>Kapil Towers</x:v>
      </x:c>
      <x:c r="F6092" s="12" t="str">
        <x:v>55 inch</x:v>
      </x:c>
      <x:c r="G6092" s="20" t="n">
        <x:v>1</x:v>
      </x:c>
      <x:c r="H6092" s="12" t="str">
        <x:v>Campus/portfolio roster; individual building occupancy unverified</x:v>
      </x:c>
      <x:c r="I6092" s="12" t="str">
        <x:v>Small-scale prospects</x:v>
      </x:c>
      <x:c r="J6092" s="12" t="str">
        <x:v>IT &amp; digital</x:v>
      </x:c>
      <x:c r="K6092" s="2" t="str">
        <x:v>PARTNER-M317</x:v>
      </x:c>
    </x:row>
    <x:row r="6093" ht="46" customHeight="1">
      <x:c r="A6093" s="2" t="str">
        <x:v>TEN-6B83683277A9</x:v>
      </x:c>
      <x:c r="B6093" s="12" t="str">
        <x:v>Houzekey Consulting</x:v>
      </x:c>
      <x:c r="C6093" s="12" t="str">
        <x:v>CORP-0736</x:v>
      </x:c>
      <x:c r="D6093" s="12" t="str">
        <x:v>Hyderabad</x:v>
      </x:c>
      <x:c r="E6093" s="12" t="str">
        <x:v>Kapil Towers</x:v>
      </x:c>
      <x:c r="F6093" s="12" t="str">
        <x:v>55 inch</x:v>
      </x:c>
      <x:c r="G6093" s="20" t="n">
        <x:v>1</x:v>
      </x:c>
      <x:c r="H6093" s="12" t="str">
        <x:v>Campus/portfolio roster; individual building occupancy unverified</x:v>
      </x:c>
      <x:c r="I6093" s="12" t="str">
        <x:v>Small-scale prospects</x:v>
      </x:c>
      <x:c r="J6093" s="12" t="str">
        <x:v>Professional services</x:v>
      </x:c>
      <x:c r="K6093" s="2" t="str">
        <x:v>PARTNER-M317</x:v>
      </x:c>
    </x:row>
    <x:row r="6094" ht="46" customHeight="1">
      <x:c r="A6094" s="2" t="str">
        <x:v>TEN-99DC3C2D940B</x:v>
      </x:c>
      <x:c r="B6094" s="12" t="str">
        <x:v>FutureTech Business Solutions</x:v>
      </x:c>
      <x:c r="C6094" s="12" t="str">
        <x:v>CORP-0736</x:v>
      </x:c>
      <x:c r="D6094" s="12" t="str">
        <x:v>Hyderabad</x:v>
      </x:c>
      <x:c r="E6094" s="12" t="str">
        <x:v>Kapil Towers</x:v>
      </x:c>
      <x:c r="F6094" s="12" t="str">
        <x:v>55 inch</x:v>
      </x:c>
      <x:c r="G6094" s="20" t="n">
        <x:v>1</x:v>
      </x:c>
      <x:c r="H6094" s="12" t="str">
        <x:v>Campus/portfolio roster; individual building occupancy unverified</x:v>
      </x:c>
      <x:c r="I6094" s="12" t="str">
        <x:v>Mixed business audience</x:v>
      </x:c>
      <x:c r="J6094" s="12" t="str">
        <x:v>Unresolved</x:v>
      </x:c>
      <x:c r="K6094" s="2" t="str">
        <x:v>PARTNER-M317</x:v>
      </x:c>
    </x:row>
    <x:row r="6095" ht="46" customHeight="1">
      <x:c r="A6095" s="2" t="str">
        <x:v>TEN-9DE4EB87E986</x:v>
      </x:c>
      <x:c r="B6095" s="12" t="str">
        <x:v>Microsemi Communications India</x:v>
      </x:c>
      <x:c r="C6095" s="12" t="str">
        <x:v>CORP-0736</x:v>
      </x:c>
      <x:c r="D6095" s="12" t="str">
        <x:v>Hyderabad</x:v>
      </x:c>
      <x:c r="E6095" s="12" t="str">
        <x:v>Kapil Towers</x:v>
      </x:c>
      <x:c r="F6095" s="12" t="str">
        <x:v>55 inch</x:v>
      </x:c>
      <x:c r="G6095" s="20" t="n">
        <x:v>1</x:v>
      </x:c>
      <x:c r="H6095" s="12" t="str">
        <x:v>Campus/portfolio roster; individual building occupancy unverified</x:v>
      </x:c>
      <x:c r="I6095" s="12" t="str">
        <x:v>Mixed business audience</x:v>
      </x:c>
      <x:c r="J6095" s="12" t="str">
        <x:v>IT &amp; digital</x:v>
      </x:c>
      <x:c r="K6095" s="2" t="str">
        <x:v>PARTNER-M317</x:v>
      </x:c>
    </x:row>
    <x:row r="6096" ht="46" customHeight="1">
      <x:c r="A6096" s="2" t="str">
        <x:v>TEN-A0B931E47192</x:v>
      </x:c>
      <x:c r="B6096" s="12" t="str">
        <x:v>Kin Lifecare Services</x:v>
      </x:c>
      <x:c r="C6096" s="12" t="str">
        <x:v>CORP-0736</x:v>
      </x:c>
      <x:c r="D6096" s="12" t="str">
        <x:v>Hyderabad</x:v>
      </x:c>
      <x:c r="E6096" s="12" t="str">
        <x:v>Kapil Towers</x:v>
      </x:c>
      <x:c r="F6096" s="12" t="str">
        <x:v>55 inch</x:v>
      </x:c>
      <x:c r="G6096" s="20" t="n">
        <x:v>1</x:v>
      </x:c>
      <x:c r="H6096" s="12" t="str">
        <x:v>Campus/portfolio roster; individual building occupancy unverified</x:v>
      </x:c>
      <x:c r="I6096" s="12" t="str">
        <x:v>Medium-scale prospects</x:v>
      </x:c>
      <x:c r="J6096" s="12" t="str">
        <x:v>Healthcare &amp; life sciences</x:v>
      </x:c>
      <x:c r="K6096" s="2" t="str">
        <x:v>PARTNER-M317</x:v>
      </x:c>
    </x:row>
    <x:row r="6097" ht="46" customHeight="1">
      <x:c r="A6097" s="2" t="str">
        <x:v>TEN-A5F3E9F1C9E5</x:v>
      </x:c>
      <x:c r="B6097" s="12" t="str">
        <x:v>InnoCore Digital</x:v>
      </x:c>
      <x:c r="C6097" s="12" t="str">
        <x:v>CORP-0736</x:v>
      </x:c>
      <x:c r="D6097" s="12" t="str">
        <x:v>Hyderabad</x:v>
      </x:c>
      <x:c r="E6097" s="12" t="str">
        <x:v>Kapil Towers</x:v>
      </x:c>
      <x:c r="F6097" s="12" t="str">
        <x:v>55 inch</x:v>
      </x:c>
      <x:c r="G6097" s="20" t="n">
        <x:v>1</x:v>
      </x:c>
      <x:c r="H6097" s="12" t="str">
        <x:v>Campus/portfolio roster; individual building occupancy unverified</x:v>
      </x:c>
      <x:c r="I6097" s="12" t="str">
        <x:v>Small-scale prospects</x:v>
      </x:c>
      <x:c r="J6097" s="12" t="str">
        <x:v>IT &amp; digital</x:v>
      </x:c>
      <x:c r="K6097" s="2" t="str">
        <x:v>PARTNER-M317</x:v>
      </x:c>
    </x:row>
    <x:row r="6098" ht="46" customHeight="1">
      <x:c r="A6098" s="2" t="str">
        <x:v>TEN-A71520DA2A6E</x:v>
      </x:c>
      <x:c r="B6098" s="12" t="str">
        <x:v>AheadRace Software Development Services</x:v>
      </x:c>
      <x:c r="C6098" s="12" t="str">
        <x:v>CORP-0736</x:v>
      </x:c>
      <x:c r="D6098" s="12" t="str">
        <x:v>Hyderabad</x:v>
      </x:c>
      <x:c r="E6098" s="12" t="str">
        <x:v>Kapil Towers</x:v>
      </x:c>
      <x:c r="F6098" s="12" t="str">
        <x:v>55 inch</x:v>
      </x:c>
      <x:c r="G6098" s="20" t="n">
        <x:v>1</x:v>
      </x:c>
      <x:c r="H6098" s="12" t="str">
        <x:v>Campus/portfolio roster; individual building occupancy unverified</x:v>
      </x:c>
      <x:c r="I6098" s="12" t="str">
        <x:v>Small-scale prospects</x:v>
      </x:c>
      <x:c r="J6098" s="12" t="str">
        <x:v>IT &amp; digital</x:v>
      </x:c>
      <x:c r="K6098" s="2" t="str">
        <x:v>PARTNER-M317</x:v>
      </x:c>
    </x:row>
    <x:row r="6099" ht="46" customHeight="1">
      <x:c r="A6099" s="2" t="str">
        <x:v>TEN-AAD0329B77D6</x:v>
      </x:c>
      <x:c r="B6099" s="12" t="str">
        <x:v>Glide Insurance Broking Services</x:v>
      </x:c>
      <x:c r="C6099" s="12" t="str">
        <x:v>CORP-0736</x:v>
      </x:c>
      <x:c r="D6099" s="12" t="str">
        <x:v>Hyderabad</x:v>
      </x:c>
      <x:c r="E6099" s="12" t="str">
        <x:v>Kapil Towers</x:v>
      </x:c>
      <x:c r="F6099" s="12" t="str">
        <x:v>55 inch</x:v>
      </x:c>
      <x:c r="G6099" s="20" t="n">
        <x:v>1</x:v>
      </x:c>
      <x:c r="H6099" s="12" t="str">
        <x:v>Campus/portfolio roster; individual building occupancy unverified</x:v>
      </x:c>
      <x:c r="I6099" s="12" t="str">
        <x:v>Small-scale prospects</x:v>
      </x:c>
      <x:c r="J6099" s="12" t="str">
        <x:v>Finance &amp; insurance</x:v>
      </x:c>
      <x:c r="K6099" s="2" t="str">
        <x:v>PARTNER-M317</x:v>
      </x:c>
    </x:row>
    <x:row r="6100" ht="46" customHeight="1">
      <x:c r="A6100" s="2" t="str">
        <x:v>TEN-ABA79A2B2DEC</x:v>
      </x:c>
      <x:c r="B6100" s="12" t="str">
        <x:v>CoreCompete</x:v>
      </x:c>
      <x:c r="C6100" s="12" t="str">
        <x:v>CORP-0736</x:v>
      </x:c>
      <x:c r="D6100" s="12" t="str">
        <x:v>Hyderabad</x:v>
      </x:c>
      <x:c r="E6100" s="12" t="str">
        <x:v>Kapil Towers</x:v>
      </x:c>
      <x:c r="F6100" s="12" t="str">
        <x:v>55 inch</x:v>
      </x:c>
      <x:c r="G6100" s="20" t="n">
        <x:v>1</x:v>
      </x:c>
      <x:c r="H6100" s="12" t="str">
        <x:v>Campus/portfolio roster; individual building occupancy unverified</x:v>
      </x:c>
      <x:c r="I6100" s="12" t="str">
        <x:v>Mixed business audience</x:v>
      </x:c>
      <x:c r="J6100" s="12" t="str">
        <x:v>IT &amp; digital</x:v>
      </x:c>
      <x:c r="K6100" s="2" t="str">
        <x:v>PARTNER-M317</x:v>
      </x:c>
    </x:row>
    <x:row r="6101" ht="46" customHeight="1">
      <x:c r="A6101" s="2" t="str">
        <x:v>TEN-B63ABE14A06F</x:v>
      </x:c>
      <x:c r="B6101" s="12" t="str">
        <x:v>Skyonn Technologies</x:v>
      </x:c>
      <x:c r="C6101" s="12" t="str">
        <x:v>CORP-0736</x:v>
      </x:c>
      <x:c r="D6101" s="12" t="str">
        <x:v>Hyderabad</x:v>
      </x:c>
      <x:c r="E6101" s="12" t="str">
        <x:v>Kapil Towers</x:v>
      </x:c>
      <x:c r="F6101" s="12" t="str">
        <x:v>55 inch</x:v>
      </x:c>
      <x:c r="G6101" s="20" t="n">
        <x:v>1</x:v>
      </x:c>
      <x:c r="H6101" s="12" t="str">
        <x:v>Campus/portfolio roster; individual building occupancy unverified</x:v>
      </x:c>
      <x:c r="I6101" s="12" t="str">
        <x:v>Mixed business audience</x:v>
      </x:c>
      <x:c r="J6101" s="12" t="str">
        <x:v>Unresolved</x:v>
      </x:c>
      <x:c r="K6101" s="2" t="str">
        <x:v>PARTNER-M317</x:v>
      </x:c>
    </x:row>
    <x:row r="6102" ht="46" customHeight="1">
      <x:c r="A6102" s="2" t="str">
        <x:v>TEN-C425191D5D06</x:v>
      </x:c>
      <x:c r="B6102" s="12" t="str">
        <x:v>Staples Office Supplies LLP</x:v>
      </x:c>
      <x:c r="C6102" s="12" t="str">
        <x:v>CORP-0736</x:v>
      </x:c>
      <x:c r="D6102" s="12" t="str">
        <x:v>Hyderabad</x:v>
      </x:c>
      <x:c r="E6102" s="12" t="str">
        <x:v>Kapil Towers</x:v>
      </x:c>
      <x:c r="F6102" s="12" t="str">
        <x:v>55 inch</x:v>
      </x:c>
      <x:c r="G6102" s="20" t="n">
        <x:v>1</x:v>
      </x:c>
      <x:c r="H6102" s="12" t="str">
        <x:v>Campus/portfolio roster; individual building occupancy unverified</x:v>
      </x:c>
      <x:c r="I6102" s="12" t="str">
        <x:v>Mixed business audience</x:v>
      </x:c>
      <x:c r="J6102" s="12" t="str">
        <x:v>Trade, consumer &amp; logistics</x:v>
      </x:c>
      <x:c r="K6102" s="2" t="str">
        <x:v>PARTNER-M317</x:v>
      </x:c>
    </x:row>
    <x:row r="6103" ht="46" customHeight="1">
      <x:c r="A6103" s="2" t="str">
        <x:v>TEN-D17B85E52ABA</x:v>
      </x:c>
      <x:c r="B6103" s="12" t="str">
        <x:v>Kapil IT Solutions</x:v>
      </x:c>
      <x:c r="C6103" s="12" t="str">
        <x:v>CORP-0736</x:v>
      </x:c>
      <x:c r="D6103" s="12" t="str">
        <x:v>Hyderabad</x:v>
      </x:c>
      <x:c r="E6103" s="12" t="str">
        <x:v>Kapil Towers</x:v>
      </x:c>
      <x:c r="F6103" s="12" t="str">
        <x:v>55 inch</x:v>
      </x:c>
      <x:c r="G6103" s="20" t="n">
        <x:v>1</x:v>
      </x:c>
      <x:c r="H6103" s="12" t="str">
        <x:v>Campus/portfolio roster; individual building occupancy unverified</x:v>
      </x:c>
      <x:c r="I6103" s="12" t="str">
        <x:v>Small-scale prospects</x:v>
      </x:c>
      <x:c r="J6103" s="12" t="str">
        <x:v>IT &amp; digital</x:v>
      </x:c>
      <x:c r="K6103" s="2" t="str">
        <x:v>PARTNER-M317</x:v>
      </x:c>
    </x:row>
    <x:row r="6104" ht="46" customHeight="1">
      <x:c r="A6104" s="2" t="str">
        <x:v>TEN-EA94B39D1C72</x:v>
      </x:c>
      <x:c r="B6104" s="12" t="str">
        <x:v>TailorTech</x:v>
      </x:c>
      <x:c r="C6104" s="12" t="str">
        <x:v>CORP-0736</x:v>
      </x:c>
      <x:c r="D6104" s="12" t="str">
        <x:v>Hyderabad</x:v>
      </x:c>
      <x:c r="E6104" s="12" t="str">
        <x:v>Kapil Towers</x:v>
      </x:c>
      <x:c r="F6104" s="12" t="str">
        <x:v>55 inch</x:v>
      </x:c>
      <x:c r="G6104" s="20" t="n">
        <x:v>1</x:v>
      </x:c>
      <x:c r="H6104" s="12" t="str">
        <x:v>Campus/portfolio roster; individual building occupancy unverified</x:v>
      </x:c>
      <x:c r="I6104" s="12" t="str">
        <x:v>Mixed business audience</x:v>
      </x:c>
      <x:c r="J6104" s="12" t="str">
        <x:v>Unresolved</x:v>
      </x:c>
      <x:c r="K6104" s="2" t="str">
        <x:v>PARTNER-M317</x:v>
      </x:c>
    </x:row>
    <x:row r="6105" ht="46" customHeight="1">
      <x:c r="A6105" s="2" t="str">
        <x:v>TEN-ED8AA4B2E058</x:v>
      </x:c>
      <x:c r="B6105" s="12" t="str">
        <x:v>Appstek Solutions</x:v>
      </x:c>
      <x:c r="C6105" s="12" t="str">
        <x:v>CORP-0736</x:v>
      </x:c>
      <x:c r="D6105" s="12" t="str">
        <x:v>Hyderabad</x:v>
      </x:c>
      <x:c r="E6105" s="12" t="str">
        <x:v>Kapil Towers</x:v>
      </x:c>
      <x:c r="F6105" s="12" t="str">
        <x:v>55 inch</x:v>
      </x:c>
      <x:c r="G6105" s="20" t="n">
        <x:v>1</x:v>
      </x:c>
      <x:c r="H6105" s="12" t="str">
        <x:v>Campus/portfolio roster; individual building occupancy unverified</x:v>
      </x:c>
      <x:c r="I6105" s="12" t="str">
        <x:v>Small-scale prospects</x:v>
      </x:c>
      <x:c r="J6105" s="12" t="str">
        <x:v>IT &amp; digital</x:v>
      </x:c>
      <x:c r="K6105" s="2" t="str">
        <x:v>PARTNER-M317</x:v>
      </x:c>
    </x:row>
    <x:row r="6106" ht="46" customHeight="1">
      <x:c r="A6106" s="2" t="str">
        <x:v>TEN-F17CDF039CA5</x:v>
      </x:c>
      <x:c r="B6106" s="12" t="str">
        <x:v>Knowledge Matrix India</x:v>
      </x:c>
      <x:c r="C6106" s="12" t="str">
        <x:v>CORP-0736</x:v>
      </x:c>
      <x:c r="D6106" s="12" t="str">
        <x:v>Hyderabad</x:v>
      </x:c>
      <x:c r="E6106" s="12" t="str">
        <x:v>Kapil Towers</x:v>
      </x:c>
      <x:c r="F6106" s="12" t="str">
        <x:v>55 inch</x:v>
      </x:c>
      <x:c r="G6106" s="20" t="n">
        <x:v>1</x:v>
      </x:c>
      <x:c r="H6106" s="12" t="str">
        <x:v>Campus/portfolio roster; individual building occupancy unverified</x:v>
      </x:c>
      <x:c r="I6106" s="12" t="str">
        <x:v>Small-scale prospects</x:v>
      </x:c>
      <x:c r="J6106" s="12" t="str">
        <x:v>IT &amp; digital</x:v>
      </x:c>
      <x:c r="K6106" s="2" t="str">
        <x:v>PARTNER-M317</x:v>
      </x:c>
    </x:row>
    <x:row r="6107" ht="46" customHeight="1">
      <x:c r="A6107" s="2" t="str">
        <x:v>TEN-F67EC79876E7</x:v>
      </x:c>
      <x:c r="B6107" s="12" t="str">
        <x:v>Prometric Testing</x:v>
      </x:c>
      <x:c r="C6107" s="12" t="str">
        <x:v>CORP-0736</x:v>
      </x:c>
      <x:c r="D6107" s="12" t="str">
        <x:v>Hyderabad</x:v>
      </x:c>
      <x:c r="E6107" s="12" t="str">
        <x:v>Kapil Towers</x:v>
      </x:c>
      <x:c r="F6107" s="12" t="str">
        <x:v>55 inch</x:v>
      </x:c>
      <x:c r="G6107" s="20" t="n">
        <x:v>1</x:v>
      </x:c>
      <x:c r="H6107" s="12" t="str">
        <x:v>Campus/portfolio roster; individual building occupancy unverified</x:v>
      </x:c>
      <x:c r="I6107" s="12" t="str">
        <x:v>Mixed business audience</x:v>
      </x:c>
      <x:c r="J6107" s="12" t="str">
        <x:v>Education</x:v>
      </x:c>
      <x:c r="K6107" s="2" t="str">
        <x:v>PARTNER-M317</x:v>
      </x:c>
    </x:row>
    <x:row r="6108" ht="46" customHeight="1">
      <x:c r="A6108" s="2" t="str">
        <x:v>TEN-0A5ECD30C1C6</x:v>
      </x:c>
      <x:c r="B6108" s="12" t="str">
        <x:v>Rythmos India</x:v>
      </x:c>
      <x:c r="C6108" s="12" t="str">
        <x:v>CORP-0737</x:v>
      </x:c>
      <x:c r="D6108" s="12" t="str">
        <x:v>Hyderabad</x:v>
      </x:c>
      <x:c r="E6108" s="12" t="str">
        <x:v>Kapil Towers</x:v>
      </x:c>
      <x:c r="F6108" s="12" t="str">
        <x:v>55 inch</x:v>
      </x:c>
      <x:c r="G6108" s="20" t="n">
        <x:v>1</x:v>
      </x:c>
      <x:c r="H6108" s="12" t="str">
        <x:v>Campus/portfolio roster; individual building occupancy unverified</x:v>
      </x:c>
      <x:c r="I6108" s="12" t="str">
        <x:v>Small-scale prospects</x:v>
      </x:c>
      <x:c r="J6108" s="12" t="str">
        <x:v>IT &amp; digital</x:v>
      </x:c>
      <x:c r="K6108" s="2" t="str">
        <x:v>PARTNER-M317</x:v>
      </x:c>
    </x:row>
    <x:row r="6109" ht="46" customHeight="1">
      <x:c r="A6109" s="2" t="str">
        <x:v>TEN-1A35D512D448</x:v>
      </x:c>
      <x:c r="B6109" s="12" t="str">
        <x:v>Book MyT Software Technologies</x:v>
      </x:c>
      <x:c r="C6109" s="12" t="str">
        <x:v>CORP-0737</x:v>
      </x:c>
      <x:c r="D6109" s="12" t="str">
        <x:v>Hyderabad</x:v>
      </x:c>
      <x:c r="E6109" s="12" t="str">
        <x:v>Kapil Towers</x:v>
      </x:c>
      <x:c r="F6109" s="12" t="str">
        <x:v>55 inch</x:v>
      </x:c>
      <x:c r="G6109" s="20" t="n">
        <x:v>1</x:v>
      </x:c>
      <x:c r="H6109" s="12" t="str">
        <x:v>Campus/portfolio roster; individual building occupancy unverified</x:v>
      </x:c>
      <x:c r="I6109" s="12" t="str">
        <x:v>Small-scale prospects</x:v>
      </x:c>
      <x:c r="J6109" s="12" t="str">
        <x:v>IT &amp; digital</x:v>
      </x:c>
      <x:c r="K6109" s="2" t="str">
        <x:v>PARTNER-M317</x:v>
      </x:c>
    </x:row>
    <x:row r="6110" ht="46" customHeight="1">
      <x:c r="A6110" s="2" t="str">
        <x:v>TEN-20AE44E7A981</x:v>
      </x:c>
      <x:c r="B6110" s="12" t="str">
        <x:v>Covalense Technologies</x:v>
      </x:c>
      <x:c r="C6110" s="12" t="str">
        <x:v>CORP-0737</x:v>
      </x:c>
      <x:c r="D6110" s="12" t="str">
        <x:v>Hyderabad</x:v>
      </x:c>
      <x:c r="E6110" s="12" t="str">
        <x:v>Kapil Towers</x:v>
      </x:c>
      <x:c r="F6110" s="12" t="str">
        <x:v>55 inch</x:v>
      </x:c>
      <x:c r="G6110" s="20" t="n">
        <x:v>1</x:v>
      </x:c>
      <x:c r="H6110" s="12" t="str">
        <x:v>Campus/portfolio roster; individual building occupancy unverified</x:v>
      </x:c>
      <x:c r="I6110" s="12" t="str">
        <x:v>Small-scale prospects</x:v>
      </x:c>
      <x:c r="J6110" s="12" t="str">
        <x:v>IT &amp; digital</x:v>
      </x:c>
      <x:c r="K6110" s="2" t="str">
        <x:v>PARTNER-M317</x:v>
      </x:c>
    </x:row>
    <x:row r="6111" ht="46" customHeight="1">
      <x:c r="A6111" s="2" t="str">
        <x:v>TEN-35116738549F</x:v>
      </x:c>
      <x:c r="B6111" s="12" t="str">
        <x:v>Xetadata Software</x:v>
      </x:c>
      <x:c r="C6111" s="12" t="str">
        <x:v>CORP-0737</x:v>
      </x:c>
      <x:c r="D6111" s="12" t="str">
        <x:v>Hyderabad</x:v>
      </x:c>
      <x:c r="E6111" s="12" t="str">
        <x:v>Kapil Towers</x:v>
      </x:c>
      <x:c r="F6111" s="12" t="str">
        <x:v>55 inch</x:v>
      </x:c>
      <x:c r="G6111" s="20" t="n">
        <x:v>1</x:v>
      </x:c>
      <x:c r="H6111" s="12" t="str">
        <x:v>Campus/portfolio roster; individual building occupancy unverified</x:v>
      </x:c>
      <x:c r="I6111" s="12" t="str">
        <x:v>Small-scale prospects</x:v>
      </x:c>
      <x:c r="J6111" s="12" t="str">
        <x:v>IT &amp; digital</x:v>
      </x:c>
      <x:c r="K6111" s="2" t="str">
        <x:v>PARTNER-M317</x:v>
      </x:c>
    </x:row>
    <x:row r="6112" ht="46" customHeight="1">
      <x:c r="A6112" s="2" t="str">
        <x:v>TEN-4217F70FC2FE</x:v>
      </x:c>
      <x:c r="B6112" s="12" t="str">
        <x:v>Toyaja Software India</x:v>
      </x:c>
      <x:c r="C6112" s="12" t="str">
        <x:v>CORP-0737</x:v>
      </x:c>
      <x:c r="D6112" s="12" t="str">
        <x:v>Hyderabad</x:v>
      </x:c>
      <x:c r="E6112" s="12" t="str">
        <x:v>Kapil Towers</x:v>
      </x:c>
      <x:c r="F6112" s="12" t="str">
        <x:v>55 inch</x:v>
      </x:c>
      <x:c r="G6112" s="20" t="n">
        <x:v>1</x:v>
      </x:c>
      <x:c r="H6112" s="12" t="str">
        <x:v>Campus/portfolio roster; individual building occupancy unverified</x:v>
      </x:c>
      <x:c r="I6112" s="12" t="str">
        <x:v>Small-scale prospects</x:v>
      </x:c>
      <x:c r="J6112" s="12" t="str">
        <x:v>IT &amp; digital</x:v>
      </x:c>
      <x:c r="K6112" s="2" t="str">
        <x:v>PARTNER-M317</x:v>
      </x:c>
    </x:row>
    <x:row r="6113" ht="46" customHeight="1">
      <x:c r="A6113" s="2" t="str">
        <x:v>TEN-45562E981863</x:v>
      </x:c>
      <x:c r="B6113" s="12" t="str">
        <x:v>Qumu Corp</x:v>
      </x:c>
      <x:c r="C6113" s="12" t="str">
        <x:v>CORP-0737</x:v>
      </x:c>
      <x:c r="D6113" s="12" t="str">
        <x:v>Hyderabad</x:v>
      </x:c>
      <x:c r="E6113" s="12" t="str">
        <x:v>Kapil Towers</x:v>
      </x:c>
      <x:c r="F6113" s="12" t="str">
        <x:v>55 inch</x:v>
      </x:c>
      <x:c r="G6113" s="20" t="n">
        <x:v>1</x:v>
      </x:c>
      <x:c r="H6113" s="12" t="str">
        <x:v>Campus/portfolio roster; individual building occupancy unverified</x:v>
      </x:c>
      <x:c r="I6113" s="12" t="str">
        <x:v>Mixed business audience</x:v>
      </x:c>
      <x:c r="J6113" s="12" t="str">
        <x:v>IT &amp; digital</x:v>
      </x:c>
      <x:c r="K6113" s="2" t="str">
        <x:v>PARTNER-M317</x:v>
      </x:c>
    </x:row>
    <x:row r="6114" ht="46" customHeight="1">
      <x:c r="A6114" s="2" t="str">
        <x:v>TEN-4881BA2217F0</x:v>
      </x:c>
      <x:c r="B6114" s="12" t="str">
        <x:v>Pramati Technologies</x:v>
      </x:c>
      <x:c r="C6114" s="12" t="str">
        <x:v>CORP-0737</x:v>
      </x:c>
      <x:c r="D6114" s="12" t="str">
        <x:v>Hyderabad</x:v>
      </x:c>
      <x:c r="E6114" s="12" t="str">
        <x:v>Kapil Towers</x:v>
      </x:c>
      <x:c r="F6114" s="12" t="str">
        <x:v>55 inch</x:v>
      </x:c>
      <x:c r="G6114" s="20" t="n">
        <x:v>1</x:v>
      </x:c>
      <x:c r="H6114" s="12" t="str">
        <x:v>Campus/portfolio roster; individual building occupancy unverified</x:v>
      </x:c>
      <x:c r="I6114" s="12" t="str">
        <x:v>Small-scale prospects</x:v>
      </x:c>
      <x:c r="J6114" s="12" t="str">
        <x:v>IT &amp; digital</x:v>
      </x:c>
      <x:c r="K6114" s="2" t="str">
        <x:v>PARTNER-M317</x:v>
      </x:c>
    </x:row>
    <x:row r="6115" ht="46" customHeight="1">
      <x:c r="A6115" s="2" t="str">
        <x:v>TEN-4E9F09D4C240</x:v>
      </x:c>
      <x:c r="B6115" s="12" t="str">
        <x:v>Zebi Data India</x:v>
      </x:c>
      <x:c r="C6115" s="12" t="str">
        <x:v>CORP-0737</x:v>
      </x:c>
      <x:c r="D6115" s="12" t="str">
        <x:v>Hyderabad</x:v>
      </x:c>
      <x:c r="E6115" s="12" t="str">
        <x:v>Kapil Towers</x:v>
      </x:c>
      <x:c r="F6115" s="12" t="str">
        <x:v>55 inch</x:v>
      </x:c>
      <x:c r="G6115" s="20" t="n">
        <x:v>1</x:v>
      </x:c>
      <x:c r="H6115" s="12" t="str">
        <x:v>Campus/portfolio roster; individual building occupancy unverified</x:v>
      </x:c>
      <x:c r="I6115" s="12" t="str">
        <x:v>Small-scale prospects</x:v>
      </x:c>
      <x:c r="J6115" s="12" t="str">
        <x:v>IT &amp; digital</x:v>
      </x:c>
      <x:c r="K6115" s="2" t="str">
        <x:v>PARTNER-M317</x:v>
      </x:c>
    </x:row>
    <x:row r="6116" ht="46" customHeight="1">
      <x:c r="A6116" s="2" t="str">
        <x:v>TEN-5E423FF3D952</x:v>
      </x:c>
      <x:c r="B6116" s="12" t="str">
        <x:v>Codexbox</x:v>
      </x:c>
      <x:c r="C6116" s="12" t="str">
        <x:v>CORP-0737</x:v>
      </x:c>
      <x:c r="D6116" s="12" t="str">
        <x:v>Hyderabad</x:v>
      </x:c>
      <x:c r="E6116" s="12" t="str">
        <x:v>Kapil Towers</x:v>
      </x:c>
      <x:c r="F6116" s="12" t="str">
        <x:v>55 inch</x:v>
      </x:c>
      <x:c r="G6116" s="20" t="n">
        <x:v>1</x:v>
      </x:c>
      <x:c r="H6116" s="12" t="str">
        <x:v>Campus/portfolio roster; individual building occupancy unverified</x:v>
      </x:c>
      <x:c r="I6116" s="12" t="str">
        <x:v>Mixed business audience</x:v>
      </x:c>
      <x:c r="J6116" s="12" t="str">
        <x:v>Unresolved</x:v>
      </x:c>
      <x:c r="K6116" s="2" t="str">
        <x:v>PARTNER-M317</x:v>
      </x:c>
    </x:row>
    <x:row r="6117" ht="46" customHeight="1">
      <x:c r="A6117" s="2" t="str">
        <x:v>TEN-610A92A03F91</x:v>
      </x:c>
      <x:c r="B6117" s="12" t="str">
        <x:v>Kagool Data</x:v>
      </x:c>
      <x:c r="C6117" s="12" t="str">
        <x:v>CORP-0737</x:v>
      </x:c>
      <x:c r="D6117" s="12" t="str">
        <x:v>Hyderabad</x:v>
      </x:c>
      <x:c r="E6117" s="12" t="str">
        <x:v>Kapil Towers</x:v>
      </x:c>
      <x:c r="F6117" s="12" t="str">
        <x:v>55 inch</x:v>
      </x:c>
      <x:c r="G6117" s="20" t="n">
        <x:v>1</x:v>
      </x:c>
      <x:c r="H6117" s="12" t="str">
        <x:v>Campus/portfolio roster; individual building occupancy unverified</x:v>
      </x:c>
      <x:c r="I6117" s="12" t="str">
        <x:v>Small-scale prospects</x:v>
      </x:c>
      <x:c r="J6117" s="12" t="str">
        <x:v>IT &amp; digital</x:v>
      </x:c>
      <x:c r="K6117" s="2" t="str">
        <x:v>PARTNER-M317</x:v>
      </x:c>
    </x:row>
    <x:row r="6118" ht="46" customHeight="1">
      <x:c r="A6118" s="2" t="str">
        <x:v>TEN-696EBEF1BEC8</x:v>
      </x:c>
      <x:c r="B6118" s="12" t="str">
        <x:v>AureusTech Systems</x:v>
      </x:c>
      <x:c r="C6118" s="12" t="str">
        <x:v>CORP-0737</x:v>
      </x:c>
      <x:c r="D6118" s="12" t="str">
        <x:v>Hyderabad</x:v>
      </x:c>
      <x:c r="E6118" s="12" t="str">
        <x:v>Kapil Towers</x:v>
      </x:c>
      <x:c r="F6118" s="12" t="str">
        <x:v>55 inch</x:v>
      </x:c>
      <x:c r="G6118" s="20" t="n">
        <x:v>1</x:v>
      </x:c>
      <x:c r="H6118" s="12" t="str">
        <x:v>Campus/portfolio roster; individual building occupancy unverified</x:v>
      </x:c>
      <x:c r="I6118" s="12" t="str">
        <x:v>Small-scale prospects</x:v>
      </x:c>
      <x:c r="J6118" s="12" t="str">
        <x:v>IT &amp; digital</x:v>
      </x:c>
      <x:c r="K6118" s="2" t="str">
        <x:v>PARTNER-M317</x:v>
      </x:c>
    </x:row>
    <x:row r="6119" ht="46" customHeight="1">
      <x:c r="A6119" s="2" t="str">
        <x:v>TEN-6B83683277A9</x:v>
      </x:c>
      <x:c r="B6119" s="12" t="str">
        <x:v>Houzekey Consulting</x:v>
      </x:c>
      <x:c r="C6119" s="12" t="str">
        <x:v>CORP-0737</x:v>
      </x:c>
      <x:c r="D6119" s="12" t="str">
        <x:v>Hyderabad</x:v>
      </x:c>
      <x:c r="E6119" s="12" t="str">
        <x:v>Kapil Towers</x:v>
      </x:c>
      <x:c r="F6119" s="12" t="str">
        <x:v>55 inch</x:v>
      </x:c>
      <x:c r="G6119" s="20" t="n">
        <x:v>1</x:v>
      </x:c>
      <x:c r="H6119" s="12" t="str">
        <x:v>Campus/portfolio roster; individual building occupancy unverified</x:v>
      </x:c>
      <x:c r="I6119" s="12" t="str">
        <x:v>Small-scale prospects</x:v>
      </x:c>
      <x:c r="J6119" s="12" t="str">
        <x:v>Professional services</x:v>
      </x:c>
      <x:c r="K6119" s="2" t="str">
        <x:v>PARTNER-M317</x:v>
      </x:c>
    </x:row>
    <x:row r="6120" ht="46" customHeight="1">
      <x:c r="A6120" s="2" t="str">
        <x:v>TEN-99DC3C2D940B</x:v>
      </x:c>
      <x:c r="B6120" s="12" t="str">
        <x:v>FutureTech Business Solutions</x:v>
      </x:c>
      <x:c r="C6120" s="12" t="str">
        <x:v>CORP-0737</x:v>
      </x:c>
      <x:c r="D6120" s="12" t="str">
        <x:v>Hyderabad</x:v>
      </x:c>
      <x:c r="E6120" s="12" t="str">
        <x:v>Kapil Towers</x:v>
      </x:c>
      <x:c r="F6120" s="12" t="str">
        <x:v>55 inch</x:v>
      </x:c>
      <x:c r="G6120" s="20" t="n">
        <x:v>1</x:v>
      </x:c>
      <x:c r="H6120" s="12" t="str">
        <x:v>Campus/portfolio roster; individual building occupancy unverified</x:v>
      </x:c>
      <x:c r="I6120" s="12" t="str">
        <x:v>Mixed business audience</x:v>
      </x:c>
      <x:c r="J6120" s="12" t="str">
        <x:v>Unresolved</x:v>
      </x:c>
      <x:c r="K6120" s="2" t="str">
        <x:v>PARTNER-M317</x:v>
      </x:c>
    </x:row>
    <x:row r="6121" ht="46" customHeight="1">
      <x:c r="A6121" s="2" t="str">
        <x:v>TEN-9DE4EB87E986</x:v>
      </x:c>
      <x:c r="B6121" s="12" t="str">
        <x:v>Microsemi Communications India</x:v>
      </x:c>
      <x:c r="C6121" s="12" t="str">
        <x:v>CORP-0737</x:v>
      </x:c>
      <x:c r="D6121" s="12" t="str">
        <x:v>Hyderabad</x:v>
      </x:c>
      <x:c r="E6121" s="12" t="str">
        <x:v>Kapil Towers</x:v>
      </x:c>
      <x:c r="F6121" s="12" t="str">
        <x:v>55 inch</x:v>
      </x:c>
      <x:c r="G6121" s="20" t="n">
        <x:v>1</x:v>
      </x:c>
      <x:c r="H6121" s="12" t="str">
        <x:v>Campus/portfolio roster; individual building occupancy unverified</x:v>
      </x:c>
      <x:c r="I6121" s="12" t="str">
        <x:v>Mixed business audience</x:v>
      </x:c>
      <x:c r="J6121" s="12" t="str">
        <x:v>IT &amp; digital</x:v>
      </x:c>
      <x:c r="K6121" s="2" t="str">
        <x:v>PARTNER-M317</x:v>
      </x:c>
    </x:row>
    <x:row r="6122" ht="46" customHeight="1">
      <x:c r="A6122" s="2" t="str">
        <x:v>TEN-A0B931E47192</x:v>
      </x:c>
      <x:c r="B6122" s="12" t="str">
        <x:v>Kin Lifecare Services</x:v>
      </x:c>
      <x:c r="C6122" s="12" t="str">
        <x:v>CORP-0737</x:v>
      </x:c>
      <x:c r="D6122" s="12" t="str">
        <x:v>Hyderabad</x:v>
      </x:c>
      <x:c r="E6122" s="12" t="str">
        <x:v>Kapil Towers</x:v>
      </x:c>
      <x:c r="F6122" s="12" t="str">
        <x:v>55 inch</x:v>
      </x:c>
      <x:c r="G6122" s="20" t="n">
        <x:v>1</x:v>
      </x:c>
      <x:c r="H6122" s="12" t="str">
        <x:v>Campus/portfolio roster; individual building occupancy unverified</x:v>
      </x:c>
      <x:c r="I6122" s="12" t="str">
        <x:v>Medium-scale prospects</x:v>
      </x:c>
      <x:c r="J6122" s="12" t="str">
        <x:v>Healthcare &amp; life sciences</x:v>
      </x:c>
      <x:c r="K6122" s="2" t="str">
        <x:v>PARTNER-M317</x:v>
      </x:c>
    </x:row>
    <x:row r="6123" ht="46" customHeight="1">
      <x:c r="A6123" s="2" t="str">
        <x:v>TEN-A5F3E9F1C9E5</x:v>
      </x:c>
      <x:c r="B6123" s="12" t="str">
        <x:v>InnoCore Digital</x:v>
      </x:c>
      <x:c r="C6123" s="12" t="str">
        <x:v>CORP-0737</x:v>
      </x:c>
      <x:c r="D6123" s="12" t="str">
        <x:v>Hyderabad</x:v>
      </x:c>
      <x:c r="E6123" s="12" t="str">
        <x:v>Kapil Towers</x:v>
      </x:c>
      <x:c r="F6123" s="12" t="str">
        <x:v>55 inch</x:v>
      </x:c>
      <x:c r="G6123" s="20" t="n">
        <x:v>1</x:v>
      </x:c>
      <x:c r="H6123" s="12" t="str">
        <x:v>Campus/portfolio roster; individual building occupancy unverified</x:v>
      </x:c>
      <x:c r="I6123" s="12" t="str">
        <x:v>Small-scale prospects</x:v>
      </x:c>
      <x:c r="J6123" s="12" t="str">
        <x:v>IT &amp; digital</x:v>
      </x:c>
      <x:c r="K6123" s="2" t="str">
        <x:v>PARTNER-M317</x:v>
      </x:c>
    </x:row>
    <x:row r="6124" ht="46" customHeight="1">
      <x:c r="A6124" s="2" t="str">
        <x:v>TEN-A71520DA2A6E</x:v>
      </x:c>
      <x:c r="B6124" s="12" t="str">
        <x:v>AheadRace Software Development Services</x:v>
      </x:c>
      <x:c r="C6124" s="12" t="str">
        <x:v>CORP-0737</x:v>
      </x:c>
      <x:c r="D6124" s="12" t="str">
        <x:v>Hyderabad</x:v>
      </x:c>
      <x:c r="E6124" s="12" t="str">
        <x:v>Kapil Towers</x:v>
      </x:c>
      <x:c r="F6124" s="12" t="str">
        <x:v>55 inch</x:v>
      </x:c>
      <x:c r="G6124" s="20" t="n">
        <x:v>1</x:v>
      </x:c>
      <x:c r="H6124" s="12" t="str">
        <x:v>Campus/portfolio roster; individual building occupancy unverified</x:v>
      </x:c>
      <x:c r="I6124" s="12" t="str">
        <x:v>Small-scale prospects</x:v>
      </x:c>
      <x:c r="J6124" s="12" t="str">
        <x:v>IT &amp; digital</x:v>
      </x:c>
      <x:c r="K6124" s="2" t="str">
        <x:v>PARTNER-M317</x:v>
      </x:c>
    </x:row>
    <x:row r="6125" ht="46" customHeight="1">
      <x:c r="A6125" s="2" t="str">
        <x:v>TEN-AAD0329B77D6</x:v>
      </x:c>
      <x:c r="B6125" s="12" t="str">
        <x:v>Glide Insurance Broking Services</x:v>
      </x:c>
      <x:c r="C6125" s="12" t="str">
        <x:v>CORP-0737</x:v>
      </x:c>
      <x:c r="D6125" s="12" t="str">
        <x:v>Hyderabad</x:v>
      </x:c>
      <x:c r="E6125" s="12" t="str">
        <x:v>Kapil Towers</x:v>
      </x:c>
      <x:c r="F6125" s="12" t="str">
        <x:v>55 inch</x:v>
      </x:c>
      <x:c r="G6125" s="20" t="n">
        <x:v>1</x:v>
      </x:c>
      <x:c r="H6125" s="12" t="str">
        <x:v>Campus/portfolio roster; individual building occupancy unverified</x:v>
      </x:c>
      <x:c r="I6125" s="12" t="str">
        <x:v>Small-scale prospects</x:v>
      </x:c>
      <x:c r="J6125" s="12" t="str">
        <x:v>Finance &amp; insurance</x:v>
      </x:c>
      <x:c r="K6125" s="2" t="str">
        <x:v>PARTNER-M317</x:v>
      </x:c>
    </x:row>
    <x:row r="6126" ht="46" customHeight="1">
      <x:c r="A6126" s="2" t="str">
        <x:v>TEN-ABA79A2B2DEC</x:v>
      </x:c>
      <x:c r="B6126" s="12" t="str">
        <x:v>CoreCompete</x:v>
      </x:c>
      <x:c r="C6126" s="12" t="str">
        <x:v>CORP-0737</x:v>
      </x:c>
      <x:c r="D6126" s="12" t="str">
        <x:v>Hyderabad</x:v>
      </x:c>
      <x:c r="E6126" s="12" t="str">
        <x:v>Kapil Towers</x:v>
      </x:c>
      <x:c r="F6126" s="12" t="str">
        <x:v>55 inch</x:v>
      </x:c>
      <x:c r="G6126" s="20" t="n">
        <x:v>1</x:v>
      </x:c>
      <x:c r="H6126" s="12" t="str">
        <x:v>Campus/portfolio roster; individual building occupancy unverified</x:v>
      </x:c>
      <x:c r="I6126" s="12" t="str">
        <x:v>Mixed business audience</x:v>
      </x:c>
      <x:c r="J6126" s="12" t="str">
        <x:v>IT &amp; digital</x:v>
      </x:c>
      <x:c r="K6126" s="2" t="str">
        <x:v>PARTNER-M317</x:v>
      </x:c>
    </x:row>
    <x:row r="6127" ht="46" customHeight="1">
      <x:c r="A6127" s="2" t="str">
        <x:v>TEN-B63ABE14A06F</x:v>
      </x:c>
      <x:c r="B6127" s="12" t="str">
        <x:v>Skyonn Technologies</x:v>
      </x:c>
      <x:c r="C6127" s="12" t="str">
        <x:v>CORP-0737</x:v>
      </x:c>
      <x:c r="D6127" s="12" t="str">
        <x:v>Hyderabad</x:v>
      </x:c>
      <x:c r="E6127" s="12" t="str">
        <x:v>Kapil Towers</x:v>
      </x:c>
      <x:c r="F6127" s="12" t="str">
        <x:v>55 inch</x:v>
      </x:c>
      <x:c r="G6127" s="20" t="n">
        <x:v>1</x:v>
      </x:c>
      <x:c r="H6127" s="12" t="str">
        <x:v>Campus/portfolio roster; individual building occupancy unverified</x:v>
      </x:c>
      <x:c r="I6127" s="12" t="str">
        <x:v>Mixed business audience</x:v>
      </x:c>
      <x:c r="J6127" s="12" t="str">
        <x:v>Unresolved</x:v>
      </x:c>
      <x:c r="K6127" s="2" t="str">
        <x:v>PARTNER-M317</x:v>
      </x:c>
    </x:row>
    <x:row r="6128" ht="46" customHeight="1">
      <x:c r="A6128" s="2" t="str">
        <x:v>TEN-C425191D5D06</x:v>
      </x:c>
      <x:c r="B6128" s="12" t="str">
        <x:v>Staples Office Supplies LLP</x:v>
      </x:c>
      <x:c r="C6128" s="12" t="str">
        <x:v>CORP-0737</x:v>
      </x:c>
      <x:c r="D6128" s="12" t="str">
        <x:v>Hyderabad</x:v>
      </x:c>
      <x:c r="E6128" s="12" t="str">
        <x:v>Kapil Towers</x:v>
      </x:c>
      <x:c r="F6128" s="12" t="str">
        <x:v>55 inch</x:v>
      </x:c>
      <x:c r="G6128" s="20" t="n">
        <x:v>1</x:v>
      </x:c>
      <x:c r="H6128" s="12" t="str">
        <x:v>Campus/portfolio roster; individual building occupancy unverified</x:v>
      </x:c>
      <x:c r="I6128" s="12" t="str">
        <x:v>Mixed business audience</x:v>
      </x:c>
      <x:c r="J6128" s="12" t="str">
        <x:v>Trade, consumer &amp; logistics</x:v>
      </x:c>
      <x:c r="K6128" s="2" t="str">
        <x:v>PARTNER-M317</x:v>
      </x:c>
    </x:row>
    <x:row r="6129" ht="46" customHeight="1">
      <x:c r="A6129" s="2" t="str">
        <x:v>TEN-D17B85E52ABA</x:v>
      </x:c>
      <x:c r="B6129" s="12" t="str">
        <x:v>Kapil IT Solutions</x:v>
      </x:c>
      <x:c r="C6129" s="12" t="str">
        <x:v>CORP-0737</x:v>
      </x:c>
      <x:c r="D6129" s="12" t="str">
        <x:v>Hyderabad</x:v>
      </x:c>
      <x:c r="E6129" s="12" t="str">
        <x:v>Kapil Towers</x:v>
      </x:c>
      <x:c r="F6129" s="12" t="str">
        <x:v>55 inch</x:v>
      </x:c>
      <x:c r="G6129" s="20" t="n">
        <x:v>1</x:v>
      </x:c>
      <x:c r="H6129" s="12" t="str">
        <x:v>Campus/portfolio roster; individual building occupancy unverified</x:v>
      </x:c>
      <x:c r="I6129" s="12" t="str">
        <x:v>Small-scale prospects</x:v>
      </x:c>
      <x:c r="J6129" s="12" t="str">
        <x:v>IT &amp; digital</x:v>
      </x:c>
      <x:c r="K6129" s="2" t="str">
        <x:v>PARTNER-M317</x:v>
      </x:c>
    </x:row>
    <x:row r="6130" ht="46" customHeight="1">
      <x:c r="A6130" s="2" t="str">
        <x:v>TEN-EA94B39D1C72</x:v>
      </x:c>
      <x:c r="B6130" s="12" t="str">
        <x:v>TailorTech</x:v>
      </x:c>
      <x:c r="C6130" s="12" t="str">
        <x:v>CORP-0737</x:v>
      </x:c>
      <x:c r="D6130" s="12" t="str">
        <x:v>Hyderabad</x:v>
      </x:c>
      <x:c r="E6130" s="12" t="str">
        <x:v>Kapil Towers</x:v>
      </x:c>
      <x:c r="F6130" s="12" t="str">
        <x:v>55 inch</x:v>
      </x:c>
      <x:c r="G6130" s="20" t="n">
        <x:v>1</x:v>
      </x:c>
      <x:c r="H6130" s="12" t="str">
        <x:v>Campus/portfolio roster; individual building occupancy unverified</x:v>
      </x:c>
      <x:c r="I6130" s="12" t="str">
        <x:v>Mixed business audience</x:v>
      </x:c>
      <x:c r="J6130" s="12" t="str">
        <x:v>Unresolved</x:v>
      </x:c>
      <x:c r="K6130" s="2" t="str">
        <x:v>PARTNER-M317</x:v>
      </x:c>
    </x:row>
    <x:row r="6131" ht="46" customHeight="1">
      <x:c r="A6131" s="2" t="str">
        <x:v>TEN-ED8AA4B2E058</x:v>
      </x:c>
      <x:c r="B6131" s="12" t="str">
        <x:v>Appstek Solutions</x:v>
      </x:c>
      <x:c r="C6131" s="12" t="str">
        <x:v>CORP-0737</x:v>
      </x:c>
      <x:c r="D6131" s="12" t="str">
        <x:v>Hyderabad</x:v>
      </x:c>
      <x:c r="E6131" s="12" t="str">
        <x:v>Kapil Towers</x:v>
      </x:c>
      <x:c r="F6131" s="12" t="str">
        <x:v>55 inch</x:v>
      </x:c>
      <x:c r="G6131" s="20" t="n">
        <x:v>1</x:v>
      </x:c>
      <x:c r="H6131" s="12" t="str">
        <x:v>Campus/portfolio roster; individual building occupancy unverified</x:v>
      </x:c>
      <x:c r="I6131" s="12" t="str">
        <x:v>Small-scale prospects</x:v>
      </x:c>
      <x:c r="J6131" s="12" t="str">
        <x:v>IT &amp; digital</x:v>
      </x:c>
      <x:c r="K6131" s="2" t="str">
        <x:v>PARTNER-M317</x:v>
      </x:c>
    </x:row>
    <x:row r="6132" ht="46" customHeight="1">
      <x:c r="A6132" s="2" t="str">
        <x:v>TEN-F17CDF039CA5</x:v>
      </x:c>
      <x:c r="B6132" s="12" t="str">
        <x:v>Knowledge Matrix India</x:v>
      </x:c>
      <x:c r="C6132" s="12" t="str">
        <x:v>CORP-0737</x:v>
      </x:c>
      <x:c r="D6132" s="12" t="str">
        <x:v>Hyderabad</x:v>
      </x:c>
      <x:c r="E6132" s="12" t="str">
        <x:v>Kapil Towers</x:v>
      </x:c>
      <x:c r="F6132" s="12" t="str">
        <x:v>55 inch</x:v>
      </x:c>
      <x:c r="G6132" s="20" t="n">
        <x:v>1</x:v>
      </x:c>
      <x:c r="H6132" s="12" t="str">
        <x:v>Campus/portfolio roster; individual building occupancy unverified</x:v>
      </x:c>
      <x:c r="I6132" s="12" t="str">
        <x:v>Small-scale prospects</x:v>
      </x:c>
      <x:c r="J6132" s="12" t="str">
        <x:v>IT &amp; digital</x:v>
      </x:c>
      <x:c r="K6132" s="2" t="str">
        <x:v>PARTNER-M317</x:v>
      </x:c>
    </x:row>
    <x:row r="6133" ht="46" customHeight="1">
      <x:c r="A6133" s="2" t="str">
        <x:v>TEN-F67EC79876E7</x:v>
      </x:c>
      <x:c r="B6133" s="12" t="str">
        <x:v>Prometric Testing</x:v>
      </x:c>
      <x:c r="C6133" s="12" t="str">
        <x:v>CORP-0737</x:v>
      </x:c>
      <x:c r="D6133" s="12" t="str">
        <x:v>Hyderabad</x:v>
      </x:c>
      <x:c r="E6133" s="12" t="str">
        <x:v>Kapil Towers</x:v>
      </x:c>
      <x:c r="F6133" s="12" t="str">
        <x:v>55 inch</x:v>
      </x:c>
      <x:c r="G6133" s="20" t="n">
        <x:v>1</x:v>
      </x:c>
      <x:c r="H6133" s="12" t="str">
        <x:v>Campus/portfolio roster; individual building occupancy unverified</x:v>
      </x:c>
      <x:c r="I6133" s="12" t="str">
        <x:v>Mixed business audience</x:v>
      </x:c>
      <x:c r="J6133" s="12" t="str">
        <x:v>Education</x:v>
      </x:c>
      <x:c r="K6133" s="2" t="str">
        <x:v>PARTNER-M317</x:v>
      </x:c>
    </x:row>
    <x:row r="6134" ht="46" customHeight="1">
      <x:c r="A6134" s="2" t="str">
        <x:v>TEN-0A5ECD30C1C6</x:v>
      </x:c>
      <x:c r="B6134" s="12" t="str">
        <x:v>Rythmos India</x:v>
      </x:c>
      <x:c r="C6134" s="12" t="str">
        <x:v>CORP-0738</x:v>
      </x:c>
      <x:c r="D6134" s="12" t="str">
        <x:v>Hyderabad</x:v>
      </x:c>
      <x:c r="E6134" s="12" t="str">
        <x:v>Kapil Towers</x:v>
      </x:c>
      <x:c r="F6134" s="12" t="str">
        <x:v>55 inch</x:v>
      </x:c>
      <x:c r="G6134" s="20" t="n">
        <x:v>1</x:v>
      </x:c>
      <x:c r="H6134" s="12" t="str">
        <x:v>Campus/portfolio roster; individual building occupancy unverified</x:v>
      </x:c>
      <x:c r="I6134" s="12" t="str">
        <x:v>Small-scale prospects</x:v>
      </x:c>
      <x:c r="J6134" s="12" t="str">
        <x:v>IT &amp; digital</x:v>
      </x:c>
      <x:c r="K6134" s="2" t="str">
        <x:v>PARTNER-M317</x:v>
      </x:c>
    </x:row>
    <x:row r="6135" ht="46" customHeight="1">
      <x:c r="A6135" s="2" t="str">
        <x:v>TEN-1A35D512D448</x:v>
      </x:c>
      <x:c r="B6135" s="12" t="str">
        <x:v>Book MyT Software Technologies</x:v>
      </x:c>
      <x:c r="C6135" s="12" t="str">
        <x:v>CORP-0738</x:v>
      </x:c>
      <x:c r="D6135" s="12" t="str">
        <x:v>Hyderabad</x:v>
      </x:c>
      <x:c r="E6135" s="12" t="str">
        <x:v>Kapil Towers</x:v>
      </x:c>
      <x:c r="F6135" s="12" t="str">
        <x:v>55 inch</x:v>
      </x:c>
      <x:c r="G6135" s="20" t="n">
        <x:v>1</x:v>
      </x:c>
      <x:c r="H6135" s="12" t="str">
        <x:v>Campus/portfolio roster; individual building occupancy unverified</x:v>
      </x:c>
      <x:c r="I6135" s="12" t="str">
        <x:v>Small-scale prospects</x:v>
      </x:c>
      <x:c r="J6135" s="12" t="str">
        <x:v>IT &amp; digital</x:v>
      </x:c>
      <x:c r="K6135" s="2" t="str">
        <x:v>PARTNER-M317</x:v>
      </x:c>
    </x:row>
    <x:row r="6136" ht="46" customHeight="1">
      <x:c r="A6136" s="2" t="str">
        <x:v>TEN-20AE44E7A981</x:v>
      </x:c>
      <x:c r="B6136" s="12" t="str">
        <x:v>Covalense Technologies</x:v>
      </x:c>
      <x:c r="C6136" s="12" t="str">
        <x:v>CORP-0738</x:v>
      </x:c>
      <x:c r="D6136" s="12" t="str">
        <x:v>Hyderabad</x:v>
      </x:c>
      <x:c r="E6136" s="12" t="str">
        <x:v>Kapil Towers</x:v>
      </x:c>
      <x:c r="F6136" s="12" t="str">
        <x:v>55 inch</x:v>
      </x:c>
      <x:c r="G6136" s="20" t="n">
        <x:v>1</x:v>
      </x:c>
      <x:c r="H6136" s="12" t="str">
        <x:v>Campus/portfolio roster; individual building occupancy unverified</x:v>
      </x:c>
      <x:c r="I6136" s="12" t="str">
        <x:v>Small-scale prospects</x:v>
      </x:c>
      <x:c r="J6136" s="12" t="str">
        <x:v>IT &amp; digital</x:v>
      </x:c>
      <x:c r="K6136" s="2" t="str">
        <x:v>PARTNER-M317</x:v>
      </x:c>
    </x:row>
    <x:row r="6137" ht="46" customHeight="1">
      <x:c r="A6137" s="2" t="str">
        <x:v>TEN-35116738549F</x:v>
      </x:c>
      <x:c r="B6137" s="12" t="str">
        <x:v>Xetadata Software</x:v>
      </x:c>
      <x:c r="C6137" s="12" t="str">
        <x:v>CORP-0738</x:v>
      </x:c>
      <x:c r="D6137" s="12" t="str">
        <x:v>Hyderabad</x:v>
      </x:c>
      <x:c r="E6137" s="12" t="str">
        <x:v>Kapil Towers</x:v>
      </x:c>
      <x:c r="F6137" s="12" t="str">
        <x:v>55 inch</x:v>
      </x:c>
      <x:c r="G6137" s="20" t="n">
        <x:v>1</x:v>
      </x:c>
      <x:c r="H6137" s="12" t="str">
        <x:v>Campus/portfolio roster; individual building occupancy unverified</x:v>
      </x:c>
      <x:c r="I6137" s="12" t="str">
        <x:v>Small-scale prospects</x:v>
      </x:c>
      <x:c r="J6137" s="12" t="str">
        <x:v>IT &amp; digital</x:v>
      </x:c>
      <x:c r="K6137" s="2" t="str">
        <x:v>PARTNER-M317</x:v>
      </x:c>
    </x:row>
    <x:row r="6138" ht="46" customHeight="1">
      <x:c r="A6138" s="2" t="str">
        <x:v>TEN-4217F70FC2FE</x:v>
      </x:c>
      <x:c r="B6138" s="12" t="str">
        <x:v>Toyaja Software India</x:v>
      </x:c>
      <x:c r="C6138" s="12" t="str">
        <x:v>CORP-0738</x:v>
      </x:c>
      <x:c r="D6138" s="12" t="str">
        <x:v>Hyderabad</x:v>
      </x:c>
      <x:c r="E6138" s="12" t="str">
        <x:v>Kapil Towers</x:v>
      </x:c>
      <x:c r="F6138" s="12" t="str">
        <x:v>55 inch</x:v>
      </x:c>
      <x:c r="G6138" s="20" t="n">
        <x:v>1</x:v>
      </x:c>
      <x:c r="H6138" s="12" t="str">
        <x:v>Campus/portfolio roster; individual building occupancy unverified</x:v>
      </x:c>
      <x:c r="I6138" s="12" t="str">
        <x:v>Small-scale prospects</x:v>
      </x:c>
      <x:c r="J6138" s="12" t="str">
        <x:v>IT &amp; digital</x:v>
      </x:c>
      <x:c r="K6138" s="2" t="str">
        <x:v>PARTNER-M317</x:v>
      </x:c>
    </x:row>
    <x:row r="6139" ht="46" customHeight="1">
      <x:c r="A6139" s="2" t="str">
        <x:v>TEN-45562E981863</x:v>
      </x:c>
      <x:c r="B6139" s="12" t="str">
        <x:v>Qumu Corp</x:v>
      </x:c>
      <x:c r="C6139" s="12" t="str">
        <x:v>CORP-0738</x:v>
      </x:c>
      <x:c r="D6139" s="12" t="str">
        <x:v>Hyderabad</x:v>
      </x:c>
      <x:c r="E6139" s="12" t="str">
        <x:v>Kapil Towers</x:v>
      </x:c>
      <x:c r="F6139" s="12" t="str">
        <x:v>55 inch</x:v>
      </x:c>
      <x:c r="G6139" s="20" t="n">
        <x:v>1</x:v>
      </x:c>
      <x:c r="H6139" s="12" t="str">
        <x:v>Campus/portfolio roster; individual building occupancy unverified</x:v>
      </x:c>
      <x:c r="I6139" s="12" t="str">
        <x:v>Mixed business audience</x:v>
      </x:c>
      <x:c r="J6139" s="12" t="str">
        <x:v>IT &amp; digital</x:v>
      </x:c>
      <x:c r="K6139" s="2" t="str">
        <x:v>PARTNER-M317</x:v>
      </x:c>
    </x:row>
    <x:row r="6140" ht="46" customHeight="1">
      <x:c r="A6140" s="2" t="str">
        <x:v>TEN-4881BA2217F0</x:v>
      </x:c>
      <x:c r="B6140" s="12" t="str">
        <x:v>Pramati Technologies</x:v>
      </x:c>
      <x:c r="C6140" s="12" t="str">
        <x:v>CORP-0738</x:v>
      </x:c>
      <x:c r="D6140" s="12" t="str">
        <x:v>Hyderabad</x:v>
      </x:c>
      <x:c r="E6140" s="12" t="str">
        <x:v>Kapil Towers</x:v>
      </x:c>
      <x:c r="F6140" s="12" t="str">
        <x:v>55 inch</x:v>
      </x:c>
      <x:c r="G6140" s="20" t="n">
        <x:v>1</x:v>
      </x:c>
      <x:c r="H6140" s="12" t="str">
        <x:v>Campus/portfolio roster; individual building occupancy unverified</x:v>
      </x:c>
      <x:c r="I6140" s="12" t="str">
        <x:v>Small-scale prospects</x:v>
      </x:c>
      <x:c r="J6140" s="12" t="str">
        <x:v>IT &amp; digital</x:v>
      </x:c>
      <x:c r="K6140" s="2" t="str">
        <x:v>PARTNER-M317</x:v>
      </x:c>
    </x:row>
    <x:row r="6141" ht="46" customHeight="1">
      <x:c r="A6141" s="2" t="str">
        <x:v>TEN-4E9F09D4C240</x:v>
      </x:c>
      <x:c r="B6141" s="12" t="str">
        <x:v>Zebi Data India</x:v>
      </x:c>
      <x:c r="C6141" s="12" t="str">
        <x:v>CORP-0738</x:v>
      </x:c>
      <x:c r="D6141" s="12" t="str">
        <x:v>Hyderabad</x:v>
      </x:c>
      <x:c r="E6141" s="12" t="str">
        <x:v>Kapil Towers</x:v>
      </x:c>
      <x:c r="F6141" s="12" t="str">
        <x:v>55 inch</x:v>
      </x:c>
      <x:c r="G6141" s="20" t="n">
        <x:v>1</x:v>
      </x:c>
      <x:c r="H6141" s="12" t="str">
        <x:v>Campus/portfolio roster; individual building occupancy unverified</x:v>
      </x:c>
      <x:c r="I6141" s="12" t="str">
        <x:v>Small-scale prospects</x:v>
      </x:c>
      <x:c r="J6141" s="12" t="str">
        <x:v>IT &amp; digital</x:v>
      </x:c>
      <x:c r="K6141" s="2" t="str">
        <x:v>PARTNER-M317</x:v>
      </x:c>
    </x:row>
    <x:row r="6142" ht="46" customHeight="1">
      <x:c r="A6142" s="2" t="str">
        <x:v>TEN-5E423FF3D952</x:v>
      </x:c>
      <x:c r="B6142" s="12" t="str">
        <x:v>Codexbox</x:v>
      </x:c>
      <x:c r="C6142" s="12" t="str">
        <x:v>CORP-0738</x:v>
      </x:c>
      <x:c r="D6142" s="12" t="str">
        <x:v>Hyderabad</x:v>
      </x:c>
      <x:c r="E6142" s="12" t="str">
        <x:v>Kapil Towers</x:v>
      </x:c>
      <x:c r="F6142" s="12" t="str">
        <x:v>55 inch</x:v>
      </x:c>
      <x:c r="G6142" s="20" t="n">
        <x:v>1</x:v>
      </x:c>
      <x:c r="H6142" s="12" t="str">
        <x:v>Campus/portfolio roster; individual building occupancy unverified</x:v>
      </x:c>
      <x:c r="I6142" s="12" t="str">
        <x:v>Mixed business audience</x:v>
      </x:c>
      <x:c r="J6142" s="12" t="str">
        <x:v>Unresolved</x:v>
      </x:c>
      <x:c r="K6142" s="2" t="str">
        <x:v>PARTNER-M317</x:v>
      </x:c>
    </x:row>
    <x:row r="6143" ht="46" customHeight="1">
      <x:c r="A6143" s="2" t="str">
        <x:v>TEN-610A92A03F91</x:v>
      </x:c>
      <x:c r="B6143" s="12" t="str">
        <x:v>Kagool Data</x:v>
      </x:c>
      <x:c r="C6143" s="12" t="str">
        <x:v>CORP-0738</x:v>
      </x:c>
      <x:c r="D6143" s="12" t="str">
        <x:v>Hyderabad</x:v>
      </x:c>
      <x:c r="E6143" s="12" t="str">
        <x:v>Kapil Towers</x:v>
      </x:c>
      <x:c r="F6143" s="12" t="str">
        <x:v>55 inch</x:v>
      </x:c>
      <x:c r="G6143" s="20" t="n">
        <x:v>1</x:v>
      </x:c>
      <x:c r="H6143" s="12" t="str">
        <x:v>Campus/portfolio roster; individual building occupancy unverified</x:v>
      </x:c>
      <x:c r="I6143" s="12" t="str">
        <x:v>Small-scale prospects</x:v>
      </x:c>
      <x:c r="J6143" s="12" t="str">
        <x:v>IT &amp; digital</x:v>
      </x:c>
      <x:c r="K6143" s="2" t="str">
        <x:v>PARTNER-M317</x:v>
      </x:c>
    </x:row>
    <x:row r="6144" ht="46" customHeight="1">
      <x:c r="A6144" s="2" t="str">
        <x:v>TEN-696EBEF1BEC8</x:v>
      </x:c>
      <x:c r="B6144" s="12" t="str">
        <x:v>AureusTech Systems</x:v>
      </x:c>
      <x:c r="C6144" s="12" t="str">
        <x:v>CORP-0738</x:v>
      </x:c>
      <x:c r="D6144" s="12" t="str">
        <x:v>Hyderabad</x:v>
      </x:c>
      <x:c r="E6144" s="12" t="str">
        <x:v>Kapil Towers</x:v>
      </x:c>
      <x:c r="F6144" s="12" t="str">
        <x:v>55 inch</x:v>
      </x:c>
      <x:c r="G6144" s="20" t="n">
        <x:v>1</x:v>
      </x:c>
      <x:c r="H6144" s="12" t="str">
        <x:v>Campus/portfolio roster; individual building occupancy unverified</x:v>
      </x:c>
      <x:c r="I6144" s="12" t="str">
        <x:v>Small-scale prospects</x:v>
      </x:c>
      <x:c r="J6144" s="12" t="str">
        <x:v>IT &amp; digital</x:v>
      </x:c>
      <x:c r="K6144" s="2" t="str">
        <x:v>PARTNER-M317</x:v>
      </x:c>
    </x:row>
    <x:row r="6145" ht="46" customHeight="1">
      <x:c r="A6145" s="2" t="str">
        <x:v>TEN-6B83683277A9</x:v>
      </x:c>
      <x:c r="B6145" s="12" t="str">
        <x:v>Houzekey Consulting</x:v>
      </x:c>
      <x:c r="C6145" s="12" t="str">
        <x:v>CORP-0738</x:v>
      </x:c>
      <x:c r="D6145" s="12" t="str">
        <x:v>Hyderabad</x:v>
      </x:c>
      <x:c r="E6145" s="12" t="str">
        <x:v>Kapil Towers</x:v>
      </x:c>
      <x:c r="F6145" s="12" t="str">
        <x:v>55 inch</x:v>
      </x:c>
      <x:c r="G6145" s="20" t="n">
        <x:v>1</x:v>
      </x:c>
      <x:c r="H6145" s="12" t="str">
        <x:v>Campus/portfolio roster; individual building occupancy unverified</x:v>
      </x:c>
      <x:c r="I6145" s="12" t="str">
        <x:v>Small-scale prospects</x:v>
      </x:c>
      <x:c r="J6145" s="12" t="str">
        <x:v>Professional services</x:v>
      </x:c>
      <x:c r="K6145" s="2" t="str">
        <x:v>PARTNER-M317</x:v>
      </x:c>
    </x:row>
    <x:row r="6146" ht="46" customHeight="1">
      <x:c r="A6146" s="2" t="str">
        <x:v>TEN-99DC3C2D940B</x:v>
      </x:c>
      <x:c r="B6146" s="12" t="str">
        <x:v>FutureTech Business Solutions</x:v>
      </x:c>
      <x:c r="C6146" s="12" t="str">
        <x:v>CORP-0738</x:v>
      </x:c>
      <x:c r="D6146" s="12" t="str">
        <x:v>Hyderabad</x:v>
      </x:c>
      <x:c r="E6146" s="12" t="str">
        <x:v>Kapil Towers</x:v>
      </x:c>
      <x:c r="F6146" s="12" t="str">
        <x:v>55 inch</x:v>
      </x:c>
      <x:c r="G6146" s="20" t="n">
        <x:v>1</x:v>
      </x:c>
      <x:c r="H6146" s="12" t="str">
        <x:v>Campus/portfolio roster; individual building occupancy unverified</x:v>
      </x:c>
      <x:c r="I6146" s="12" t="str">
        <x:v>Mixed business audience</x:v>
      </x:c>
      <x:c r="J6146" s="12" t="str">
        <x:v>Unresolved</x:v>
      </x:c>
      <x:c r="K6146" s="2" t="str">
        <x:v>PARTNER-M317</x:v>
      </x:c>
    </x:row>
    <x:row r="6147" ht="46" customHeight="1">
      <x:c r="A6147" s="2" t="str">
        <x:v>TEN-9DE4EB87E986</x:v>
      </x:c>
      <x:c r="B6147" s="12" t="str">
        <x:v>Microsemi Communications India</x:v>
      </x:c>
      <x:c r="C6147" s="12" t="str">
        <x:v>CORP-0738</x:v>
      </x:c>
      <x:c r="D6147" s="12" t="str">
        <x:v>Hyderabad</x:v>
      </x:c>
      <x:c r="E6147" s="12" t="str">
        <x:v>Kapil Towers</x:v>
      </x:c>
      <x:c r="F6147" s="12" t="str">
        <x:v>55 inch</x:v>
      </x:c>
      <x:c r="G6147" s="20" t="n">
        <x:v>1</x:v>
      </x:c>
      <x:c r="H6147" s="12" t="str">
        <x:v>Campus/portfolio roster; individual building occupancy unverified</x:v>
      </x:c>
      <x:c r="I6147" s="12" t="str">
        <x:v>Mixed business audience</x:v>
      </x:c>
      <x:c r="J6147" s="12" t="str">
        <x:v>IT &amp; digital</x:v>
      </x:c>
      <x:c r="K6147" s="2" t="str">
        <x:v>PARTNER-M317</x:v>
      </x:c>
    </x:row>
    <x:row r="6148" ht="46" customHeight="1">
      <x:c r="A6148" s="2" t="str">
        <x:v>TEN-A0B931E47192</x:v>
      </x:c>
      <x:c r="B6148" s="12" t="str">
        <x:v>Kin Lifecare Services</x:v>
      </x:c>
      <x:c r="C6148" s="12" t="str">
        <x:v>CORP-0738</x:v>
      </x:c>
      <x:c r="D6148" s="12" t="str">
        <x:v>Hyderabad</x:v>
      </x:c>
      <x:c r="E6148" s="12" t="str">
        <x:v>Kapil Towers</x:v>
      </x:c>
      <x:c r="F6148" s="12" t="str">
        <x:v>55 inch</x:v>
      </x:c>
      <x:c r="G6148" s="20" t="n">
        <x:v>1</x:v>
      </x:c>
      <x:c r="H6148" s="12" t="str">
        <x:v>Campus/portfolio roster; individual building occupancy unverified</x:v>
      </x:c>
      <x:c r="I6148" s="12" t="str">
        <x:v>Medium-scale prospects</x:v>
      </x:c>
      <x:c r="J6148" s="12" t="str">
        <x:v>Healthcare &amp; life sciences</x:v>
      </x:c>
      <x:c r="K6148" s="2" t="str">
        <x:v>PARTNER-M317</x:v>
      </x:c>
    </x:row>
    <x:row r="6149" ht="46" customHeight="1">
      <x:c r="A6149" s="2" t="str">
        <x:v>TEN-A5F3E9F1C9E5</x:v>
      </x:c>
      <x:c r="B6149" s="12" t="str">
        <x:v>InnoCore Digital</x:v>
      </x:c>
      <x:c r="C6149" s="12" t="str">
        <x:v>CORP-0738</x:v>
      </x:c>
      <x:c r="D6149" s="12" t="str">
        <x:v>Hyderabad</x:v>
      </x:c>
      <x:c r="E6149" s="12" t="str">
        <x:v>Kapil Towers</x:v>
      </x:c>
      <x:c r="F6149" s="12" t="str">
        <x:v>55 inch</x:v>
      </x:c>
      <x:c r="G6149" s="20" t="n">
        <x:v>1</x:v>
      </x:c>
      <x:c r="H6149" s="12" t="str">
        <x:v>Campus/portfolio roster; individual building occupancy unverified</x:v>
      </x:c>
      <x:c r="I6149" s="12" t="str">
        <x:v>Small-scale prospects</x:v>
      </x:c>
      <x:c r="J6149" s="12" t="str">
        <x:v>IT &amp; digital</x:v>
      </x:c>
      <x:c r="K6149" s="2" t="str">
        <x:v>PARTNER-M317</x:v>
      </x:c>
    </x:row>
    <x:row r="6150" ht="46" customHeight="1">
      <x:c r="A6150" s="2" t="str">
        <x:v>TEN-A71520DA2A6E</x:v>
      </x:c>
      <x:c r="B6150" s="12" t="str">
        <x:v>AheadRace Software Development Services</x:v>
      </x:c>
      <x:c r="C6150" s="12" t="str">
        <x:v>CORP-0738</x:v>
      </x:c>
      <x:c r="D6150" s="12" t="str">
        <x:v>Hyderabad</x:v>
      </x:c>
      <x:c r="E6150" s="12" t="str">
        <x:v>Kapil Towers</x:v>
      </x:c>
      <x:c r="F6150" s="12" t="str">
        <x:v>55 inch</x:v>
      </x:c>
      <x:c r="G6150" s="20" t="n">
        <x:v>1</x:v>
      </x:c>
      <x:c r="H6150" s="12" t="str">
        <x:v>Campus/portfolio roster; individual building occupancy unverified</x:v>
      </x:c>
      <x:c r="I6150" s="12" t="str">
        <x:v>Small-scale prospects</x:v>
      </x:c>
      <x:c r="J6150" s="12" t="str">
        <x:v>IT &amp; digital</x:v>
      </x:c>
      <x:c r="K6150" s="2" t="str">
        <x:v>PARTNER-M317</x:v>
      </x:c>
    </x:row>
    <x:row r="6151" ht="46" customHeight="1">
      <x:c r="A6151" s="2" t="str">
        <x:v>TEN-AAD0329B77D6</x:v>
      </x:c>
      <x:c r="B6151" s="12" t="str">
        <x:v>Glide Insurance Broking Services</x:v>
      </x:c>
      <x:c r="C6151" s="12" t="str">
        <x:v>CORP-0738</x:v>
      </x:c>
      <x:c r="D6151" s="12" t="str">
        <x:v>Hyderabad</x:v>
      </x:c>
      <x:c r="E6151" s="12" t="str">
        <x:v>Kapil Towers</x:v>
      </x:c>
      <x:c r="F6151" s="12" t="str">
        <x:v>55 inch</x:v>
      </x:c>
      <x:c r="G6151" s="20" t="n">
        <x:v>1</x:v>
      </x:c>
      <x:c r="H6151" s="12" t="str">
        <x:v>Campus/portfolio roster; individual building occupancy unverified</x:v>
      </x:c>
      <x:c r="I6151" s="12" t="str">
        <x:v>Small-scale prospects</x:v>
      </x:c>
      <x:c r="J6151" s="12" t="str">
        <x:v>Finance &amp; insurance</x:v>
      </x:c>
      <x:c r="K6151" s="2" t="str">
        <x:v>PARTNER-M317</x:v>
      </x:c>
    </x:row>
    <x:row r="6152" ht="46" customHeight="1">
      <x:c r="A6152" s="2" t="str">
        <x:v>TEN-ABA79A2B2DEC</x:v>
      </x:c>
      <x:c r="B6152" s="12" t="str">
        <x:v>CoreCompete</x:v>
      </x:c>
      <x:c r="C6152" s="12" t="str">
        <x:v>CORP-0738</x:v>
      </x:c>
      <x:c r="D6152" s="12" t="str">
        <x:v>Hyderabad</x:v>
      </x:c>
      <x:c r="E6152" s="12" t="str">
        <x:v>Kapil Towers</x:v>
      </x:c>
      <x:c r="F6152" s="12" t="str">
        <x:v>55 inch</x:v>
      </x:c>
      <x:c r="G6152" s="20" t="n">
        <x:v>1</x:v>
      </x:c>
      <x:c r="H6152" s="12" t="str">
        <x:v>Campus/portfolio roster; individual building occupancy unverified</x:v>
      </x:c>
      <x:c r="I6152" s="12" t="str">
        <x:v>Mixed business audience</x:v>
      </x:c>
      <x:c r="J6152" s="12" t="str">
        <x:v>IT &amp; digital</x:v>
      </x:c>
      <x:c r="K6152" s="2" t="str">
        <x:v>PARTNER-M317</x:v>
      </x:c>
    </x:row>
    <x:row r="6153" ht="46" customHeight="1">
      <x:c r="A6153" s="2" t="str">
        <x:v>TEN-B63ABE14A06F</x:v>
      </x:c>
      <x:c r="B6153" s="12" t="str">
        <x:v>Skyonn Technologies</x:v>
      </x:c>
      <x:c r="C6153" s="12" t="str">
        <x:v>CORP-0738</x:v>
      </x:c>
      <x:c r="D6153" s="12" t="str">
        <x:v>Hyderabad</x:v>
      </x:c>
      <x:c r="E6153" s="12" t="str">
        <x:v>Kapil Towers</x:v>
      </x:c>
      <x:c r="F6153" s="12" t="str">
        <x:v>55 inch</x:v>
      </x:c>
      <x:c r="G6153" s="20" t="n">
        <x:v>1</x:v>
      </x:c>
      <x:c r="H6153" s="12" t="str">
        <x:v>Campus/portfolio roster; individual building occupancy unverified</x:v>
      </x:c>
      <x:c r="I6153" s="12" t="str">
        <x:v>Mixed business audience</x:v>
      </x:c>
      <x:c r="J6153" s="12" t="str">
        <x:v>Unresolved</x:v>
      </x:c>
      <x:c r="K6153" s="2" t="str">
        <x:v>PARTNER-M317</x:v>
      </x:c>
    </x:row>
    <x:row r="6154" ht="46" customHeight="1">
      <x:c r="A6154" s="2" t="str">
        <x:v>TEN-C425191D5D06</x:v>
      </x:c>
      <x:c r="B6154" s="12" t="str">
        <x:v>Staples Office Supplies LLP</x:v>
      </x:c>
      <x:c r="C6154" s="12" t="str">
        <x:v>CORP-0738</x:v>
      </x:c>
      <x:c r="D6154" s="12" t="str">
        <x:v>Hyderabad</x:v>
      </x:c>
      <x:c r="E6154" s="12" t="str">
        <x:v>Kapil Towers</x:v>
      </x:c>
      <x:c r="F6154" s="12" t="str">
        <x:v>55 inch</x:v>
      </x:c>
      <x:c r="G6154" s="20" t="n">
        <x:v>1</x:v>
      </x:c>
      <x:c r="H6154" s="12" t="str">
        <x:v>Campus/portfolio roster; individual building occupancy unverified</x:v>
      </x:c>
      <x:c r="I6154" s="12" t="str">
        <x:v>Mixed business audience</x:v>
      </x:c>
      <x:c r="J6154" s="12" t="str">
        <x:v>Trade, consumer &amp; logistics</x:v>
      </x:c>
      <x:c r="K6154" s="2" t="str">
        <x:v>PARTNER-M317</x:v>
      </x:c>
    </x:row>
    <x:row r="6155" ht="46" customHeight="1">
      <x:c r="A6155" s="2" t="str">
        <x:v>TEN-D17B85E52ABA</x:v>
      </x:c>
      <x:c r="B6155" s="12" t="str">
        <x:v>Kapil IT Solutions</x:v>
      </x:c>
      <x:c r="C6155" s="12" t="str">
        <x:v>CORP-0738</x:v>
      </x:c>
      <x:c r="D6155" s="12" t="str">
        <x:v>Hyderabad</x:v>
      </x:c>
      <x:c r="E6155" s="12" t="str">
        <x:v>Kapil Towers</x:v>
      </x:c>
      <x:c r="F6155" s="12" t="str">
        <x:v>55 inch</x:v>
      </x:c>
      <x:c r="G6155" s="20" t="n">
        <x:v>1</x:v>
      </x:c>
      <x:c r="H6155" s="12" t="str">
        <x:v>Campus/portfolio roster; individual building occupancy unverified</x:v>
      </x:c>
      <x:c r="I6155" s="12" t="str">
        <x:v>Small-scale prospects</x:v>
      </x:c>
      <x:c r="J6155" s="12" t="str">
        <x:v>IT &amp; digital</x:v>
      </x:c>
      <x:c r="K6155" s="2" t="str">
        <x:v>PARTNER-M317</x:v>
      </x:c>
    </x:row>
    <x:row r="6156" ht="46" customHeight="1">
      <x:c r="A6156" s="2" t="str">
        <x:v>TEN-EA94B39D1C72</x:v>
      </x:c>
      <x:c r="B6156" s="12" t="str">
        <x:v>TailorTech</x:v>
      </x:c>
      <x:c r="C6156" s="12" t="str">
        <x:v>CORP-0738</x:v>
      </x:c>
      <x:c r="D6156" s="12" t="str">
        <x:v>Hyderabad</x:v>
      </x:c>
      <x:c r="E6156" s="12" t="str">
        <x:v>Kapil Towers</x:v>
      </x:c>
      <x:c r="F6156" s="12" t="str">
        <x:v>55 inch</x:v>
      </x:c>
      <x:c r="G6156" s="20" t="n">
        <x:v>1</x:v>
      </x:c>
      <x:c r="H6156" s="12" t="str">
        <x:v>Campus/portfolio roster; individual building occupancy unverified</x:v>
      </x:c>
      <x:c r="I6156" s="12" t="str">
        <x:v>Mixed business audience</x:v>
      </x:c>
      <x:c r="J6156" s="12" t="str">
        <x:v>Unresolved</x:v>
      </x:c>
      <x:c r="K6156" s="2" t="str">
        <x:v>PARTNER-M317</x:v>
      </x:c>
    </x:row>
    <x:row r="6157" ht="46" customHeight="1">
      <x:c r="A6157" s="2" t="str">
        <x:v>TEN-ED8AA4B2E058</x:v>
      </x:c>
      <x:c r="B6157" s="12" t="str">
        <x:v>Appstek Solutions</x:v>
      </x:c>
      <x:c r="C6157" s="12" t="str">
        <x:v>CORP-0738</x:v>
      </x:c>
      <x:c r="D6157" s="12" t="str">
        <x:v>Hyderabad</x:v>
      </x:c>
      <x:c r="E6157" s="12" t="str">
        <x:v>Kapil Towers</x:v>
      </x:c>
      <x:c r="F6157" s="12" t="str">
        <x:v>55 inch</x:v>
      </x:c>
      <x:c r="G6157" s="20" t="n">
        <x:v>1</x:v>
      </x:c>
      <x:c r="H6157" s="12" t="str">
        <x:v>Campus/portfolio roster; individual building occupancy unverified</x:v>
      </x:c>
      <x:c r="I6157" s="12" t="str">
        <x:v>Small-scale prospects</x:v>
      </x:c>
      <x:c r="J6157" s="12" t="str">
        <x:v>IT &amp; digital</x:v>
      </x:c>
      <x:c r="K6157" s="2" t="str">
        <x:v>PARTNER-M317</x:v>
      </x:c>
    </x:row>
    <x:row r="6158" ht="46" customHeight="1">
      <x:c r="A6158" s="2" t="str">
        <x:v>TEN-F17CDF039CA5</x:v>
      </x:c>
      <x:c r="B6158" s="12" t="str">
        <x:v>Knowledge Matrix India</x:v>
      </x:c>
      <x:c r="C6158" s="12" t="str">
        <x:v>CORP-0738</x:v>
      </x:c>
      <x:c r="D6158" s="12" t="str">
        <x:v>Hyderabad</x:v>
      </x:c>
      <x:c r="E6158" s="12" t="str">
        <x:v>Kapil Towers</x:v>
      </x:c>
      <x:c r="F6158" s="12" t="str">
        <x:v>55 inch</x:v>
      </x:c>
      <x:c r="G6158" s="20" t="n">
        <x:v>1</x:v>
      </x:c>
      <x:c r="H6158" s="12" t="str">
        <x:v>Campus/portfolio roster; individual building occupancy unverified</x:v>
      </x:c>
      <x:c r="I6158" s="12" t="str">
        <x:v>Small-scale prospects</x:v>
      </x:c>
      <x:c r="J6158" s="12" t="str">
        <x:v>IT &amp; digital</x:v>
      </x:c>
      <x:c r="K6158" s="2" t="str">
        <x:v>PARTNER-M317</x:v>
      </x:c>
    </x:row>
    <x:row r="6159" ht="46" customHeight="1">
      <x:c r="A6159" s="2" t="str">
        <x:v>TEN-F67EC79876E7</x:v>
      </x:c>
      <x:c r="B6159" s="12" t="str">
        <x:v>Prometric Testing</x:v>
      </x:c>
      <x:c r="C6159" s="12" t="str">
        <x:v>CORP-0738</x:v>
      </x:c>
      <x:c r="D6159" s="12" t="str">
        <x:v>Hyderabad</x:v>
      </x:c>
      <x:c r="E6159" s="12" t="str">
        <x:v>Kapil Towers</x:v>
      </x:c>
      <x:c r="F6159" s="12" t="str">
        <x:v>55 inch</x:v>
      </x:c>
      <x:c r="G6159" s="20" t="n">
        <x:v>1</x:v>
      </x:c>
      <x:c r="H6159" s="12" t="str">
        <x:v>Campus/portfolio roster; individual building occupancy unverified</x:v>
      </x:c>
      <x:c r="I6159" s="12" t="str">
        <x:v>Mixed business audience</x:v>
      </x:c>
      <x:c r="J6159" s="12" t="str">
        <x:v>Education</x:v>
      </x:c>
      <x:c r="K6159" s="2" t="str">
        <x:v>PARTNER-M317</x:v>
      </x:c>
    </x:row>
    <x:row r="6160" ht="46" customHeight="1">
      <x:c r="A6160" s="2" t="str">
        <x:v>TEN-0AD26213D203</x:v>
      </x:c>
      <x:c r="B6160" s="12" t="str">
        <x:v>The Morpheus Store</x:v>
      </x:c>
      <x:c r="C6160" s="12" t="str">
        <x:v>CORP-0739</x:v>
      </x:c>
      <x:c r="D6160" s="12" t="str">
        <x:v>Chennai</x:v>
      </x:c>
      <x:c r="E6160" s="12" t="str">
        <x:v>WTC Chennai</x:v>
      </x:c>
      <x:c r="F6160" s="12" t="str">
        <x:v>55 inch</x:v>
      </x:c>
      <x:c r="G6160" s="20" t="n">
        <x:v>1</x:v>
      </x:c>
      <x:c r="H6160" s="12" t="str">
        <x:v>Campus/portfolio roster; individual building occupancy unverified</x:v>
      </x:c>
      <x:c r="I6160" s="12" t="str">
        <x:v>Small-scale prospects</x:v>
      </x:c>
      <x:c r="J6160" s="12" t="str">
        <x:v>Trade, consumer &amp; logistics</x:v>
      </x:c>
      <x:c r="K6160" s="2" t="str">
        <x:v>PARTNER-M325</x:v>
      </x:c>
    </x:row>
    <x:row r="6161" ht="46" customHeight="1">
      <x:c r="A6161" s="2" t="str">
        <x:v>TEN-2FFACCC9B784</x:v>
      </x:c>
      <x:c r="B6161" s="12" t="str">
        <x:v>Agilisium Consulting</x:v>
      </x:c>
      <x:c r="C6161" s="12" t="str">
        <x:v>CORP-0739</x:v>
      </x:c>
      <x:c r="D6161" s="12" t="str">
        <x:v>Chennai</x:v>
      </x:c>
      <x:c r="E6161" s="12" t="str">
        <x:v>WTC Chennai</x:v>
      </x:c>
      <x:c r="F6161" s="12" t="str">
        <x:v>55 inch</x:v>
      </x:c>
      <x:c r="G6161" s="20" t="n">
        <x:v>1</x:v>
      </x:c>
      <x:c r="H6161" s="12" t="str">
        <x:v>Campus/portfolio roster; individual building occupancy unverified</x:v>
      </x:c>
      <x:c r="I6161" s="12" t="str">
        <x:v>Small-scale prospects</x:v>
      </x:c>
      <x:c r="J6161" s="12" t="str">
        <x:v>IT &amp; digital</x:v>
      </x:c>
      <x:c r="K6161" s="2" t="str">
        <x:v>PARTNER-M325</x:v>
      </x:c>
    </x:row>
    <x:row r="6162" ht="46" customHeight="1">
      <x:c r="A6162" s="2" t="str">
        <x:v>TEN-6A6E8AC4729D</x:v>
      </x:c>
      <x:c r="B6162" s="12" t="str">
        <x:v>Glencore Information Services Pvt Ltd</x:v>
      </x:c>
      <x:c r="C6162" s="12" t="str">
        <x:v>CORP-0739</x:v>
      </x:c>
      <x:c r="D6162" s="12" t="str">
        <x:v>Chennai</x:v>
      </x:c>
      <x:c r="E6162" s="12" t="str">
        <x:v>WTC Chennai</x:v>
      </x:c>
      <x:c r="F6162" s="12" t="str">
        <x:v>55 inch</x:v>
      </x:c>
      <x:c r="G6162" s="20" t="n">
        <x:v>1</x:v>
      </x:c>
      <x:c r="H6162" s="12" t="str">
        <x:v>Campus/portfolio roster; individual building occupancy unverified</x:v>
      </x:c>
      <x:c r="I6162" s="12" t="str">
        <x:v>Mixed business audience</x:v>
      </x:c>
      <x:c r="J6162" s="12" t="str">
        <x:v>Unresolved</x:v>
      </x:c>
      <x:c r="K6162" s="2" t="str">
        <x:v>PARTNER-M325</x:v>
      </x:c>
    </x:row>
    <x:row r="6163" ht="46" customHeight="1">
      <x:c r="A6163" s="2" t="str">
        <x:v>TEN-9C630AB31C7F</x:v>
      </x:c>
      <x:c r="B6163" s="12" t="str">
        <x:v>Babcock Power APAC Pvt. Ltd</x:v>
      </x:c>
      <x:c r="C6163" s="12" t="str">
        <x:v>CORP-0739</x:v>
      </x:c>
      <x:c r="D6163" s="12" t="str">
        <x:v>Chennai</x:v>
      </x:c>
      <x:c r="E6163" s="12" t="str">
        <x:v>WTC Chennai</x:v>
      </x:c>
      <x:c r="F6163" s="12" t="str">
        <x:v>55 inch</x:v>
      </x:c>
      <x:c r="G6163" s="20" t="n">
        <x:v>1</x:v>
      </x:c>
      <x:c r="H6163" s="12" t="str">
        <x:v>Campus/portfolio roster; individual building occupancy unverified</x:v>
      </x:c>
      <x:c r="I6163" s="12" t="str">
        <x:v>Mixed business audience</x:v>
      </x:c>
      <x:c r="J6163" s="12" t="str">
        <x:v>Engineering &amp; manufacturing</x:v>
      </x:c>
      <x:c r="K6163" s="2" t="str">
        <x:v>PARTNER-M325</x:v>
      </x:c>
    </x:row>
    <x:row r="6164" ht="46" customHeight="1">
      <x:c r="A6164" s="2" t="str">
        <x:v>TEN-B48CAF277BCF</x:v>
      </x:c>
      <x:c r="B6164" s="12" t="str">
        <x:v>Zuora India Private Limited</x:v>
      </x:c>
      <x:c r="C6164" s="12" t="str">
        <x:v>CORP-0739</x:v>
      </x:c>
      <x:c r="D6164" s="12" t="str">
        <x:v>Chennai</x:v>
      </x:c>
      <x:c r="E6164" s="12" t="str">
        <x:v>WTC Chennai</x:v>
      </x:c>
      <x:c r="F6164" s="12" t="str">
        <x:v>55 inch</x:v>
      </x:c>
      <x:c r="G6164" s="20" t="n">
        <x:v>1</x:v>
      </x:c>
      <x:c r="H6164" s="12" t="str">
        <x:v>Campus/portfolio roster; individual building occupancy unverified</x:v>
      </x:c>
      <x:c r="I6164" s="12" t="str">
        <x:v>Mixed business audience</x:v>
      </x:c>
      <x:c r="J6164" s="12" t="str">
        <x:v>IT &amp; digital</x:v>
      </x:c>
      <x:c r="K6164" s="2" t="str">
        <x:v>PARTNER-M325</x:v>
      </x:c>
    </x:row>
    <x:row r="6165" ht="46" customHeight="1">
      <x:c r="A6165" s="2" t="str">
        <x:v>TEN-B5C4E7DB283D</x:v>
      </x:c>
      <x:c r="B6165" s="12" t="str">
        <x:v>McKinsey Global Capability Centre</x:v>
      </x:c>
      <x:c r="C6165" s="12" t="str">
        <x:v>CORP-0739</x:v>
      </x:c>
      <x:c r="D6165" s="12" t="str">
        <x:v>Chennai</x:v>
      </x:c>
      <x:c r="E6165" s="12" t="str">
        <x:v>WTC Chennai</x:v>
      </x:c>
      <x:c r="F6165" s="12" t="str">
        <x:v>55 inch</x:v>
      </x:c>
      <x:c r="G6165" s="20" t="n">
        <x:v>1</x:v>
      </x:c>
      <x:c r="H6165" s="12" t="str">
        <x:v>Campus/portfolio roster; individual building occupancy unverified</x:v>
      </x:c>
      <x:c r="I6165" s="12" t="str">
        <x:v>Mixed business audience</x:v>
      </x:c>
      <x:c r="J6165" s="12" t="str">
        <x:v>Professional services</x:v>
      </x:c>
      <x:c r="K6165" s="2" t="str">
        <x:v>PARTNER-M325</x:v>
      </x:c>
    </x:row>
    <x:row r="6166" ht="46" customHeight="1">
      <x:c r="A6166" s="2" t="str">
        <x:v>TEN-BAFFDF37AA5D</x:v>
      </x:c>
      <x:c r="B6166" s="12" t="str">
        <x:v>Caterpillar</x:v>
      </x:c>
      <x:c r="C6166" s="12" t="str">
        <x:v>CORP-0739</x:v>
      </x:c>
      <x:c r="D6166" s="12" t="str">
        <x:v>Chennai</x:v>
      </x:c>
      <x:c r="E6166" s="12" t="str">
        <x:v>WTC Chennai</x:v>
      </x:c>
      <x:c r="F6166" s="12" t="str">
        <x:v>55 inch</x:v>
      </x:c>
      <x:c r="G6166" s="20" t="n">
        <x:v>1</x:v>
      </x:c>
      <x:c r="H6166" s="12" t="str">
        <x:v>Campus/portfolio roster; individual building occupancy unverified</x:v>
      </x:c>
      <x:c r="I6166" s="12" t="str">
        <x:v>Mixed business audience</x:v>
      </x:c>
      <x:c r="J6166" s="12" t="str">
        <x:v>Engineering &amp; manufacturing</x:v>
      </x:c>
      <x:c r="K6166" s="2" t="str">
        <x:v>PARTNER-M325</x:v>
      </x:c>
    </x:row>
    <x:row r="6167" ht="46" customHeight="1">
      <x:c r="A6167" s="2" t="str">
        <x:v>TEN-CBC62794911F</x:v>
      </x:c>
      <x:c r="B6167" s="12" t="str">
        <x:v>Amazon</x:v>
      </x:c>
      <x:c r="C6167" s="12" t="str">
        <x:v>CORP-0739</x:v>
      </x:c>
      <x:c r="D6167" s="12" t="str">
        <x:v>Chennai</x:v>
      </x:c>
      <x:c r="E6167" s="12" t="str">
        <x:v>WTC Chennai</x:v>
      </x:c>
      <x:c r="F6167" s="12" t="str">
        <x:v>55 inch</x:v>
      </x:c>
      <x:c r="G6167" s="20" t="n">
        <x:v>1</x:v>
      </x:c>
      <x:c r="H6167" s="12" t="str">
        <x:v>Campus/portfolio roster; individual building occupancy unverified</x:v>
      </x:c>
      <x:c r="I6167" s="12" t="str">
        <x:v>Large enterprise</x:v>
      </x:c>
      <x:c r="J6167" s="12" t="str">
        <x:v>IT &amp; digital</x:v>
      </x:c>
      <x:c r="K6167" s="2" t="str">
        <x:v>PARTNER-M325</x:v>
      </x:c>
    </x:row>
    <x:row r="6168" ht="46" customHeight="1">
      <x:c r="A6168" s="2" t="str">
        <x:v>TEN-D77734EC8672</x:v>
      </x:c>
      <x:c r="B6168" s="12" t="str">
        <x:v>Kissflow (OrangeScape Technologies)</x:v>
      </x:c>
      <x:c r="C6168" s="12" t="str">
        <x:v>CORP-0739</x:v>
      </x:c>
      <x:c r="D6168" s="12" t="str">
        <x:v>Chennai</x:v>
      </x:c>
      <x:c r="E6168" s="12" t="str">
        <x:v>WTC Chennai</x:v>
      </x:c>
      <x:c r="F6168" s="12" t="str">
        <x:v>55 inch</x:v>
      </x:c>
      <x:c r="G6168" s="20" t="n">
        <x:v>1</x:v>
      </x:c>
      <x:c r="H6168" s="12" t="str">
        <x:v>Campus/portfolio roster; individual building occupancy unverified</x:v>
      </x:c>
      <x:c r="I6168" s="12" t="str">
        <x:v>Small-scale prospects</x:v>
      </x:c>
      <x:c r="J6168" s="12" t="str">
        <x:v>IT &amp; digital</x:v>
      </x:c>
      <x:c r="K6168" s="2" t="str">
        <x:v>PARTNER-M325</x:v>
      </x:c>
    </x:row>
    <x:row r="6169" ht="46" customHeight="1">
      <x:c r="A6169" s="2" t="str">
        <x:v>TEN-0AD26213D203</x:v>
      </x:c>
      <x:c r="B6169" s="12" t="str">
        <x:v>The Morpheus Store</x:v>
      </x:c>
      <x:c r="C6169" s="12" t="str">
        <x:v>CORP-0740</x:v>
      </x:c>
      <x:c r="D6169" s="12" t="str">
        <x:v>Chennai</x:v>
      </x:c>
      <x:c r="E6169" s="12" t="str">
        <x:v>WTC Chennai</x:v>
      </x:c>
      <x:c r="F6169" s="12" t="str">
        <x:v>55 inch</x:v>
      </x:c>
      <x:c r="G6169" s="20" t="n">
        <x:v>1</x:v>
      </x:c>
      <x:c r="H6169" s="12" t="str">
        <x:v>Campus/portfolio roster; individual building occupancy unverified</x:v>
      </x:c>
      <x:c r="I6169" s="12" t="str">
        <x:v>Small-scale prospects</x:v>
      </x:c>
      <x:c r="J6169" s="12" t="str">
        <x:v>Trade, consumer &amp; logistics</x:v>
      </x:c>
      <x:c r="K6169" s="2" t="str">
        <x:v>PARTNER-M325</x:v>
      </x:c>
    </x:row>
    <x:row r="6170" ht="46" customHeight="1">
      <x:c r="A6170" s="2" t="str">
        <x:v>TEN-2FFACCC9B784</x:v>
      </x:c>
      <x:c r="B6170" s="12" t="str">
        <x:v>Agilisium Consulting</x:v>
      </x:c>
      <x:c r="C6170" s="12" t="str">
        <x:v>CORP-0740</x:v>
      </x:c>
      <x:c r="D6170" s="12" t="str">
        <x:v>Chennai</x:v>
      </x:c>
      <x:c r="E6170" s="12" t="str">
        <x:v>WTC Chennai</x:v>
      </x:c>
      <x:c r="F6170" s="12" t="str">
        <x:v>55 inch</x:v>
      </x:c>
      <x:c r="G6170" s="20" t="n">
        <x:v>1</x:v>
      </x:c>
      <x:c r="H6170" s="12" t="str">
        <x:v>Campus/portfolio roster; individual building occupancy unverified</x:v>
      </x:c>
      <x:c r="I6170" s="12" t="str">
        <x:v>Small-scale prospects</x:v>
      </x:c>
      <x:c r="J6170" s="12" t="str">
        <x:v>IT &amp; digital</x:v>
      </x:c>
      <x:c r="K6170" s="2" t="str">
        <x:v>PARTNER-M325</x:v>
      </x:c>
    </x:row>
    <x:row r="6171" ht="46" customHeight="1">
      <x:c r="A6171" s="2" t="str">
        <x:v>TEN-6A6E8AC4729D</x:v>
      </x:c>
      <x:c r="B6171" s="12" t="str">
        <x:v>Glencore Information Services Pvt Ltd</x:v>
      </x:c>
      <x:c r="C6171" s="12" t="str">
        <x:v>CORP-0740</x:v>
      </x:c>
      <x:c r="D6171" s="12" t="str">
        <x:v>Chennai</x:v>
      </x:c>
      <x:c r="E6171" s="12" t="str">
        <x:v>WTC Chennai</x:v>
      </x:c>
      <x:c r="F6171" s="12" t="str">
        <x:v>55 inch</x:v>
      </x:c>
      <x:c r="G6171" s="20" t="n">
        <x:v>1</x:v>
      </x:c>
      <x:c r="H6171" s="12" t="str">
        <x:v>Campus/portfolio roster; individual building occupancy unverified</x:v>
      </x:c>
      <x:c r="I6171" s="12" t="str">
        <x:v>Mixed business audience</x:v>
      </x:c>
      <x:c r="J6171" s="12" t="str">
        <x:v>Unresolved</x:v>
      </x:c>
      <x:c r="K6171" s="2" t="str">
        <x:v>PARTNER-M325</x:v>
      </x:c>
    </x:row>
    <x:row r="6172" ht="46" customHeight="1">
      <x:c r="A6172" s="2" t="str">
        <x:v>TEN-9C630AB31C7F</x:v>
      </x:c>
      <x:c r="B6172" s="12" t="str">
        <x:v>Babcock Power APAC Pvt. Ltd</x:v>
      </x:c>
      <x:c r="C6172" s="12" t="str">
        <x:v>CORP-0740</x:v>
      </x:c>
      <x:c r="D6172" s="12" t="str">
        <x:v>Chennai</x:v>
      </x:c>
      <x:c r="E6172" s="12" t="str">
        <x:v>WTC Chennai</x:v>
      </x:c>
      <x:c r="F6172" s="12" t="str">
        <x:v>55 inch</x:v>
      </x:c>
      <x:c r="G6172" s="20" t="n">
        <x:v>1</x:v>
      </x:c>
      <x:c r="H6172" s="12" t="str">
        <x:v>Campus/portfolio roster; individual building occupancy unverified</x:v>
      </x:c>
      <x:c r="I6172" s="12" t="str">
        <x:v>Mixed business audience</x:v>
      </x:c>
      <x:c r="J6172" s="12" t="str">
        <x:v>Engineering &amp; manufacturing</x:v>
      </x:c>
      <x:c r="K6172" s="2" t="str">
        <x:v>PARTNER-M325</x:v>
      </x:c>
    </x:row>
    <x:row r="6173" ht="46" customHeight="1">
      <x:c r="A6173" s="2" t="str">
        <x:v>TEN-B48CAF277BCF</x:v>
      </x:c>
      <x:c r="B6173" s="12" t="str">
        <x:v>Zuora India Private Limited</x:v>
      </x:c>
      <x:c r="C6173" s="12" t="str">
        <x:v>CORP-0740</x:v>
      </x:c>
      <x:c r="D6173" s="12" t="str">
        <x:v>Chennai</x:v>
      </x:c>
      <x:c r="E6173" s="12" t="str">
        <x:v>WTC Chennai</x:v>
      </x:c>
      <x:c r="F6173" s="12" t="str">
        <x:v>55 inch</x:v>
      </x:c>
      <x:c r="G6173" s="20" t="n">
        <x:v>1</x:v>
      </x:c>
      <x:c r="H6173" s="12" t="str">
        <x:v>Campus/portfolio roster; individual building occupancy unverified</x:v>
      </x:c>
      <x:c r="I6173" s="12" t="str">
        <x:v>Mixed business audience</x:v>
      </x:c>
      <x:c r="J6173" s="12" t="str">
        <x:v>IT &amp; digital</x:v>
      </x:c>
      <x:c r="K6173" s="2" t="str">
        <x:v>PARTNER-M325</x:v>
      </x:c>
    </x:row>
    <x:row r="6174" ht="46" customHeight="1">
      <x:c r="A6174" s="2" t="str">
        <x:v>TEN-B5C4E7DB283D</x:v>
      </x:c>
      <x:c r="B6174" s="12" t="str">
        <x:v>McKinsey Global Capability Centre</x:v>
      </x:c>
      <x:c r="C6174" s="12" t="str">
        <x:v>CORP-0740</x:v>
      </x:c>
      <x:c r="D6174" s="12" t="str">
        <x:v>Chennai</x:v>
      </x:c>
      <x:c r="E6174" s="12" t="str">
        <x:v>WTC Chennai</x:v>
      </x:c>
      <x:c r="F6174" s="12" t="str">
        <x:v>55 inch</x:v>
      </x:c>
      <x:c r="G6174" s="20" t="n">
        <x:v>1</x:v>
      </x:c>
      <x:c r="H6174" s="12" t="str">
        <x:v>Campus/portfolio roster; individual building occupancy unverified</x:v>
      </x:c>
      <x:c r="I6174" s="12" t="str">
        <x:v>Mixed business audience</x:v>
      </x:c>
      <x:c r="J6174" s="12" t="str">
        <x:v>Professional services</x:v>
      </x:c>
      <x:c r="K6174" s="2" t="str">
        <x:v>PARTNER-M325</x:v>
      </x:c>
    </x:row>
    <x:row r="6175" ht="46" customHeight="1">
      <x:c r="A6175" s="2" t="str">
        <x:v>TEN-BAFFDF37AA5D</x:v>
      </x:c>
      <x:c r="B6175" s="12" t="str">
        <x:v>Caterpillar</x:v>
      </x:c>
      <x:c r="C6175" s="12" t="str">
        <x:v>CORP-0740</x:v>
      </x:c>
      <x:c r="D6175" s="12" t="str">
        <x:v>Chennai</x:v>
      </x:c>
      <x:c r="E6175" s="12" t="str">
        <x:v>WTC Chennai</x:v>
      </x:c>
      <x:c r="F6175" s="12" t="str">
        <x:v>55 inch</x:v>
      </x:c>
      <x:c r="G6175" s="20" t="n">
        <x:v>1</x:v>
      </x:c>
      <x:c r="H6175" s="12" t="str">
        <x:v>Campus/portfolio roster; individual building occupancy unverified</x:v>
      </x:c>
      <x:c r="I6175" s="12" t="str">
        <x:v>Mixed business audience</x:v>
      </x:c>
      <x:c r="J6175" s="12" t="str">
        <x:v>Engineering &amp; manufacturing</x:v>
      </x:c>
      <x:c r="K6175" s="2" t="str">
        <x:v>PARTNER-M325</x:v>
      </x:c>
    </x:row>
    <x:row r="6176" ht="46" customHeight="1">
      <x:c r="A6176" s="2" t="str">
        <x:v>TEN-CBC62794911F</x:v>
      </x:c>
      <x:c r="B6176" s="12" t="str">
        <x:v>Amazon</x:v>
      </x:c>
      <x:c r="C6176" s="12" t="str">
        <x:v>CORP-0740</x:v>
      </x:c>
      <x:c r="D6176" s="12" t="str">
        <x:v>Chennai</x:v>
      </x:c>
      <x:c r="E6176" s="12" t="str">
        <x:v>WTC Chennai</x:v>
      </x:c>
      <x:c r="F6176" s="12" t="str">
        <x:v>55 inch</x:v>
      </x:c>
      <x:c r="G6176" s="20" t="n">
        <x:v>1</x:v>
      </x:c>
      <x:c r="H6176" s="12" t="str">
        <x:v>Campus/portfolio roster; individual building occupancy unverified</x:v>
      </x:c>
      <x:c r="I6176" s="12" t="str">
        <x:v>Large enterprise</x:v>
      </x:c>
      <x:c r="J6176" s="12" t="str">
        <x:v>IT &amp; digital</x:v>
      </x:c>
      <x:c r="K6176" s="2" t="str">
        <x:v>PARTNER-M325</x:v>
      </x:c>
    </x:row>
    <x:row r="6177" ht="46" customHeight="1">
      <x:c r="A6177" s="2" t="str">
        <x:v>TEN-D77734EC8672</x:v>
      </x:c>
      <x:c r="B6177" s="12" t="str">
        <x:v>Kissflow (OrangeScape Technologies)</x:v>
      </x:c>
      <x:c r="C6177" s="12" t="str">
        <x:v>CORP-0740</x:v>
      </x:c>
      <x:c r="D6177" s="12" t="str">
        <x:v>Chennai</x:v>
      </x:c>
      <x:c r="E6177" s="12" t="str">
        <x:v>WTC Chennai</x:v>
      </x:c>
      <x:c r="F6177" s="12" t="str">
        <x:v>55 inch</x:v>
      </x:c>
      <x:c r="G6177" s="20" t="n">
        <x:v>1</x:v>
      </x:c>
      <x:c r="H6177" s="12" t="str">
        <x:v>Campus/portfolio roster; individual building occupancy unverified</x:v>
      </x:c>
      <x:c r="I6177" s="12" t="str">
        <x:v>Small-scale prospects</x:v>
      </x:c>
      <x:c r="J6177" s="12" t="str">
        <x:v>IT &amp; digital</x:v>
      </x:c>
      <x:c r="K6177" s="2" t="str">
        <x:v>PARTNER-M325</x:v>
      </x:c>
    </x:row>
    <x:row r="6178" ht="46" customHeight="1">
      <x:c r="A6178" s="2" t="str">
        <x:v>TEN-0AD26213D203</x:v>
      </x:c>
      <x:c r="B6178" s="12" t="str">
        <x:v>The Morpheus Store</x:v>
      </x:c>
      <x:c r="C6178" s="12" t="str">
        <x:v>CORP-0741</x:v>
      </x:c>
      <x:c r="D6178" s="12" t="str">
        <x:v>Chennai</x:v>
      </x:c>
      <x:c r="E6178" s="12" t="str">
        <x:v>WTC Chennai</x:v>
      </x:c>
      <x:c r="F6178" s="12" t="str">
        <x:v>55 inch</x:v>
      </x:c>
      <x:c r="G6178" s="20" t="n">
        <x:v>1</x:v>
      </x:c>
      <x:c r="H6178" s="12" t="str">
        <x:v>Campus/portfolio roster; individual building occupancy unverified</x:v>
      </x:c>
      <x:c r="I6178" s="12" t="str">
        <x:v>Small-scale prospects</x:v>
      </x:c>
      <x:c r="J6178" s="12" t="str">
        <x:v>Trade, consumer &amp; logistics</x:v>
      </x:c>
      <x:c r="K6178" s="2" t="str">
        <x:v>PARTNER-M325</x:v>
      </x:c>
    </x:row>
    <x:row r="6179" ht="46" customHeight="1">
      <x:c r="A6179" s="2" t="str">
        <x:v>TEN-2FFACCC9B784</x:v>
      </x:c>
      <x:c r="B6179" s="12" t="str">
        <x:v>Agilisium Consulting</x:v>
      </x:c>
      <x:c r="C6179" s="12" t="str">
        <x:v>CORP-0741</x:v>
      </x:c>
      <x:c r="D6179" s="12" t="str">
        <x:v>Chennai</x:v>
      </x:c>
      <x:c r="E6179" s="12" t="str">
        <x:v>WTC Chennai</x:v>
      </x:c>
      <x:c r="F6179" s="12" t="str">
        <x:v>55 inch</x:v>
      </x:c>
      <x:c r="G6179" s="20" t="n">
        <x:v>1</x:v>
      </x:c>
      <x:c r="H6179" s="12" t="str">
        <x:v>Campus/portfolio roster; individual building occupancy unverified</x:v>
      </x:c>
      <x:c r="I6179" s="12" t="str">
        <x:v>Small-scale prospects</x:v>
      </x:c>
      <x:c r="J6179" s="12" t="str">
        <x:v>IT &amp; digital</x:v>
      </x:c>
      <x:c r="K6179" s="2" t="str">
        <x:v>PARTNER-M325</x:v>
      </x:c>
    </x:row>
    <x:row r="6180" ht="46" customHeight="1">
      <x:c r="A6180" s="2" t="str">
        <x:v>TEN-6A6E8AC4729D</x:v>
      </x:c>
      <x:c r="B6180" s="12" t="str">
        <x:v>Glencore Information Services Pvt Ltd</x:v>
      </x:c>
      <x:c r="C6180" s="12" t="str">
        <x:v>CORP-0741</x:v>
      </x:c>
      <x:c r="D6180" s="12" t="str">
        <x:v>Chennai</x:v>
      </x:c>
      <x:c r="E6180" s="12" t="str">
        <x:v>WTC Chennai</x:v>
      </x:c>
      <x:c r="F6180" s="12" t="str">
        <x:v>55 inch</x:v>
      </x:c>
      <x:c r="G6180" s="20" t="n">
        <x:v>1</x:v>
      </x:c>
      <x:c r="H6180" s="12" t="str">
        <x:v>Campus/portfolio roster; individual building occupancy unverified</x:v>
      </x:c>
      <x:c r="I6180" s="12" t="str">
        <x:v>Mixed business audience</x:v>
      </x:c>
      <x:c r="J6180" s="12" t="str">
        <x:v>Unresolved</x:v>
      </x:c>
      <x:c r="K6180" s="2" t="str">
        <x:v>PARTNER-M325</x:v>
      </x:c>
    </x:row>
    <x:row r="6181" ht="46" customHeight="1">
      <x:c r="A6181" s="2" t="str">
        <x:v>TEN-9C630AB31C7F</x:v>
      </x:c>
      <x:c r="B6181" s="12" t="str">
        <x:v>Babcock Power APAC Pvt. Ltd</x:v>
      </x:c>
      <x:c r="C6181" s="12" t="str">
        <x:v>CORP-0741</x:v>
      </x:c>
      <x:c r="D6181" s="12" t="str">
        <x:v>Chennai</x:v>
      </x:c>
      <x:c r="E6181" s="12" t="str">
        <x:v>WTC Chennai</x:v>
      </x:c>
      <x:c r="F6181" s="12" t="str">
        <x:v>55 inch</x:v>
      </x:c>
      <x:c r="G6181" s="20" t="n">
        <x:v>1</x:v>
      </x:c>
      <x:c r="H6181" s="12" t="str">
        <x:v>Campus/portfolio roster; individual building occupancy unverified</x:v>
      </x:c>
      <x:c r="I6181" s="12" t="str">
        <x:v>Mixed business audience</x:v>
      </x:c>
      <x:c r="J6181" s="12" t="str">
        <x:v>Engineering &amp; manufacturing</x:v>
      </x:c>
      <x:c r="K6181" s="2" t="str">
        <x:v>PARTNER-M325</x:v>
      </x:c>
    </x:row>
    <x:row r="6182" ht="46" customHeight="1">
      <x:c r="A6182" s="2" t="str">
        <x:v>TEN-B48CAF277BCF</x:v>
      </x:c>
      <x:c r="B6182" s="12" t="str">
        <x:v>Zuora India Private Limited</x:v>
      </x:c>
      <x:c r="C6182" s="12" t="str">
        <x:v>CORP-0741</x:v>
      </x:c>
      <x:c r="D6182" s="12" t="str">
        <x:v>Chennai</x:v>
      </x:c>
      <x:c r="E6182" s="12" t="str">
        <x:v>WTC Chennai</x:v>
      </x:c>
      <x:c r="F6182" s="12" t="str">
        <x:v>55 inch</x:v>
      </x:c>
      <x:c r="G6182" s="20" t="n">
        <x:v>1</x:v>
      </x:c>
      <x:c r="H6182" s="12" t="str">
        <x:v>Campus/portfolio roster; individual building occupancy unverified</x:v>
      </x:c>
      <x:c r="I6182" s="12" t="str">
        <x:v>Mixed business audience</x:v>
      </x:c>
      <x:c r="J6182" s="12" t="str">
        <x:v>IT &amp; digital</x:v>
      </x:c>
      <x:c r="K6182" s="2" t="str">
        <x:v>PARTNER-M325</x:v>
      </x:c>
    </x:row>
    <x:row r="6183" ht="46" customHeight="1">
      <x:c r="A6183" s="2" t="str">
        <x:v>TEN-B5C4E7DB283D</x:v>
      </x:c>
      <x:c r="B6183" s="12" t="str">
        <x:v>McKinsey Global Capability Centre</x:v>
      </x:c>
      <x:c r="C6183" s="12" t="str">
        <x:v>CORP-0741</x:v>
      </x:c>
      <x:c r="D6183" s="12" t="str">
        <x:v>Chennai</x:v>
      </x:c>
      <x:c r="E6183" s="12" t="str">
        <x:v>WTC Chennai</x:v>
      </x:c>
      <x:c r="F6183" s="12" t="str">
        <x:v>55 inch</x:v>
      </x:c>
      <x:c r="G6183" s="20" t="n">
        <x:v>1</x:v>
      </x:c>
      <x:c r="H6183" s="12" t="str">
        <x:v>Campus/portfolio roster; individual building occupancy unverified</x:v>
      </x:c>
      <x:c r="I6183" s="12" t="str">
        <x:v>Mixed business audience</x:v>
      </x:c>
      <x:c r="J6183" s="12" t="str">
        <x:v>Professional services</x:v>
      </x:c>
      <x:c r="K6183" s="2" t="str">
        <x:v>PARTNER-M325</x:v>
      </x:c>
    </x:row>
    <x:row r="6184" ht="46" customHeight="1">
      <x:c r="A6184" s="2" t="str">
        <x:v>TEN-BAFFDF37AA5D</x:v>
      </x:c>
      <x:c r="B6184" s="12" t="str">
        <x:v>Caterpillar</x:v>
      </x:c>
      <x:c r="C6184" s="12" t="str">
        <x:v>CORP-0741</x:v>
      </x:c>
      <x:c r="D6184" s="12" t="str">
        <x:v>Chennai</x:v>
      </x:c>
      <x:c r="E6184" s="12" t="str">
        <x:v>WTC Chennai</x:v>
      </x:c>
      <x:c r="F6184" s="12" t="str">
        <x:v>55 inch</x:v>
      </x:c>
      <x:c r="G6184" s="20" t="n">
        <x:v>1</x:v>
      </x:c>
      <x:c r="H6184" s="12" t="str">
        <x:v>Campus/portfolio roster; individual building occupancy unverified</x:v>
      </x:c>
      <x:c r="I6184" s="12" t="str">
        <x:v>Mixed business audience</x:v>
      </x:c>
      <x:c r="J6184" s="12" t="str">
        <x:v>Engineering &amp; manufacturing</x:v>
      </x:c>
      <x:c r="K6184" s="2" t="str">
        <x:v>PARTNER-M325</x:v>
      </x:c>
    </x:row>
    <x:row r="6185" ht="46" customHeight="1">
      <x:c r="A6185" s="2" t="str">
        <x:v>TEN-CBC62794911F</x:v>
      </x:c>
      <x:c r="B6185" s="12" t="str">
        <x:v>Amazon</x:v>
      </x:c>
      <x:c r="C6185" s="12" t="str">
        <x:v>CORP-0741</x:v>
      </x:c>
      <x:c r="D6185" s="12" t="str">
        <x:v>Chennai</x:v>
      </x:c>
      <x:c r="E6185" s="12" t="str">
        <x:v>WTC Chennai</x:v>
      </x:c>
      <x:c r="F6185" s="12" t="str">
        <x:v>55 inch</x:v>
      </x:c>
      <x:c r="G6185" s="20" t="n">
        <x:v>1</x:v>
      </x:c>
      <x:c r="H6185" s="12" t="str">
        <x:v>Campus/portfolio roster; individual building occupancy unverified</x:v>
      </x:c>
      <x:c r="I6185" s="12" t="str">
        <x:v>Large enterprise</x:v>
      </x:c>
      <x:c r="J6185" s="12" t="str">
        <x:v>IT &amp; digital</x:v>
      </x:c>
      <x:c r="K6185" s="2" t="str">
        <x:v>PARTNER-M325</x:v>
      </x:c>
    </x:row>
    <x:row r="6186" ht="46" customHeight="1">
      <x:c r="A6186" s="2" t="str">
        <x:v>TEN-D77734EC8672</x:v>
      </x:c>
      <x:c r="B6186" s="12" t="str">
        <x:v>Kissflow (OrangeScape Technologies)</x:v>
      </x:c>
      <x:c r="C6186" s="12" t="str">
        <x:v>CORP-0741</x:v>
      </x:c>
      <x:c r="D6186" s="12" t="str">
        <x:v>Chennai</x:v>
      </x:c>
      <x:c r="E6186" s="12" t="str">
        <x:v>WTC Chennai</x:v>
      </x:c>
      <x:c r="F6186" s="12" t="str">
        <x:v>55 inch</x:v>
      </x:c>
      <x:c r="G6186" s="20" t="n">
        <x:v>1</x:v>
      </x:c>
      <x:c r="H6186" s="12" t="str">
        <x:v>Campus/portfolio roster; individual building occupancy unverified</x:v>
      </x:c>
      <x:c r="I6186" s="12" t="str">
        <x:v>Small-scale prospects</x:v>
      </x:c>
      <x:c r="J6186" s="12" t="str">
        <x:v>IT &amp; digital</x:v>
      </x:c>
      <x:c r="K6186" s="2" t="str">
        <x:v>PARTNER-M325</x:v>
      </x:c>
    </x:row>
    <x:row r="6187" ht="46" customHeight="1">
      <x:c r="A6187" s="2" t="str">
        <x:v>TEN-0AD26213D203</x:v>
      </x:c>
      <x:c r="B6187" s="12" t="str">
        <x:v>The Morpheus Store</x:v>
      </x:c>
      <x:c r="C6187" s="12" t="str">
        <x:v>CORP-0742</x:v>
      </x:c>
      <x:c r="D6187" s="12" t="str">
        <x:v>Chennai</x:v>
      </x:c>
      <x:c r="E6187" s="12" t="str">
        <x:v>WTC Chennai</x:v>
      </x:c>
      <x:c r="F6187" s="12" t="str">
        <x:v>55 inch</x:v>
      </x:c>
      <x:c r="G6187" s="20" t="n">
        <x:v>1</x:v>
      </x:c>
      <x:c r="H6187" s="12" t="str">
        <x:v>Campus/portfolio roster; individual building occupancy unverified</x:v>
      </x:c>
      <x:c r="I6187" s="12" t="str">
        <x:v>Small-scale prospects</x:v>
      </x:c>
      <x:c r="J6187" s="12" t="str">
        <x:v>Trade, consumer &amp; logistics</x:v>
      </x:c>
      <x:c r="K6187" s="2" t="str">
        <x:v>PARTNER-M325</x:v>
      </x:c>
    </x:row>
    <x:row r="6188" ht="46" customHeight="1">
      <x:c r="A6188" s="2" t="str">
        <x:v>TEN-2FFACCC9B784</x:v>
      </x:c>
      <x:c r="B6188" s="12" t="str">
        <x:v>Agilisium Consulting</x:v>
      </x:c>
      <x:c r="C6188" s="12" t="str">
        <x:v>CORP-0742</x:v>
      </x:c>
      <x:c r="D6188" s="12" t="str">
        <x:v>Chennai</x:v>
      </x:c>
      <x:c r="E6188" s="12" t="str">
        <x:v>WTC Chennai</x:v>
      </x:c>
      <x:c r="F6188" s="12" t="str">
        <x:v>55 inch</x:v>
      </x:c>
      <x:c r="G6188" s="20" t="n">
        <x:v>1</x:v>
      </x:c>
      <x:c r="H6188" s="12" t="str">
        <x:v>Campus/portfolio roster; individual building occupancy unverified</x:v>
      </x:c>
      <x:c r="I6188" s="12" t="str">
        <x:v>Small-scale prospects</x:v>
      </x:c>
      <x:c r="J6188" s="12" t="str">
        <x:v>IT &amp; digital</x:v>
      </x:c>
      <x:c r="K6188" s="2" t="str">
        <x:v>PARTNER-M325</x:v>
      </x:c>
    </x:row>
    <x:row r="6189" ht="46" customHeight="1">
      <x:c r="A6189" s="2" t="str">
        <x:v>TEN-6A6E8AC4729D</x:v>
      </x:c>
      <x:c r="B6189" s="12" t="str">
        <x:v>Glencore Information Services Pvt Ltd</x:v>
      </x:c>
      <x:c r="C6189" s="12" t="str">
        <x:v>CORP-0742</x:v>
      </x:c>
      <x:c r="D6189" s="12" t="str">
        <x:v>Chennai</x:v>
      </x:c>
      <x:c r="E6189" s="12" t="str">
        <x:v>WTC Chennai</x:v>
      </x:c>
      <x:c r="F6189" s="12" t="str">
        <x:v>55 inch</x:v>
      </x:c>
      <x:c r="G6189" s="20" t="n">
        <x:v>1</x:v>
      </x:c>
      <x:c r="H6189" s="12" t="str">
        <x:v>Campus/portfolio roster; individual building occupancy unverified</x:v>
      </x:c>
      <x:c r="I6189" s="12" t="str">
        <x:v>Mixed business audience</x:v>
      </x:c>
      <x:c r="J6189" s="12" t="str">
        <x:v>Unresolved</x:v>
      </x:c>
      <x:c r="K6189" s="2" t="str">
        <x:v>PARTNER-M325</x:v>
      </x:c>
    </x:row>
    <x:row r="6190" ht="46" customHeight="1">
      <x:c r="A6190" s="2" t="str">
        <x:v>TEN-9C630AB31C7F</x:v>
      </x:c>
      <x:c r="B6190" s="12" t="str">
        <x:v>Babcock Power APAC Pvt. Ltd</x:v>
      </x:c>
      <x:c r="C6190" s="12" t="str">
        <x:v>CORP-0742</x:v>
      </x:c>
      <x:c r="D6190" s="12" t="str">
        <x:v>Chennai</x:v>
      </x:c>
      <x:c r="E6190" s="12" t="str">
        <x:v>WTC Chennai</x:v>
      </x:c>
      <x:c r="F6190" s="12" t="str">
        <x:v>55 inch</x:v>
      </x:c>
      <x:c r="G6190" s="20" t="n">
        <x:v>1</x:v>
      </x:c>
      <x:c r="H6190" s="12" t="str">
        <x:v>Campus/portfolio roster; individual building occupancy unverified</x:v>
      </x:c>
      <x:c r="I6190" s="12" t="str">
        <x:v>Mixed business audience</x:v>
      </x:c>
      <x:c r="J6190" s="12" t="str">
        <x:v>Engineering &amp; manufacturing</x:v>
      </x:c>
      <x:c r="K6190" s="2" t="str">
        <x:v>PARTNER-M325</x:v>
      </x:c>
    </x:row>
    <x:row r="6191" ht="46" customHeight="1">
      <x:c r="A6191" s="2" t="str">
        <x:v>TEN-B48CAF277BCF</x:v>
      </x:c>
      <x:c r="B6191" s="12" t="str">
        <x:v>Zuora India Private Limited</x:v>
      </x:c>
      <x:c r="C6191" s="12" t="str">
        <x:v>CORP-0742</x:v>
      </x:c>
      <x:c r="D6191" s="12" t="str">
        <x:v>Chennai</x:v>
      </x:c>
      <x:c r="E6191" s="12" t="str">
        <x:v>WTC Chennai</x:v>
      </x:c>
      <x:c r="F6191" s="12" t="str">
        <x:v>55 inch</x:v>
      </x:c>
      <x:c r="G6191" s="20" t="n">
        <x:v>1</x:v>
      </x:c>
      <x:c r="H6191" s="12" t="str">
        <x:v>Campus/portfolio roster; individual building occupancy unverified</x:v>
      </x:c>
      <x:c r="I6191" s="12" t="str">
        <x:v>Mixed business audience</x:v>
      </x:c>
      <x:c r="J6191" s="12" t="str">
        <x:v>IT &amp; digital</x:v>
      </x:c>
      <x:c r="K6191" s="2" t="str">
        <x:v>PARTNER-M325</x:v>
      </x:c>
    </x:row>
    <x:row r="6192" ht="46" customHeight="1">
      <x:c r="A6192" s="2" t="str">
        <x:v>TEN-B5C4E7DB283D</x:v>
      </x:c>
      <x:c r="B6192" s="12" t="str">
        <x:v>McKinsey Global Capability Centre</x:v>
      </x:c>
      <x:c r="C6192" s="12" t="str">
        <x:v>CORP-0742</x:v>
      </x:c>
      <x:c r="D6192" s="12" t="str">
        <x:v>Chennai</x:v>
      </x:c>
      <x:c r="E6192" s="12" t="str">
        <x:v>WTC Chennai</x:v>
      </x:c>
      <x:c r="F6192" s="12" t="str">
        <x:v>55 inch</x:v>
      </x:c>
      <x:c r="G6192" s="20" t="n">
        <x:v>1</x:v>
      </x:c>
      <x:c r="H6192" s="12" t="str">
        <x:v>Campus/portfolio roster; individual building occupancy unverified</x:v>
      </x:c>
      <x:c r="I6192" s="12" t="str">
        <x:v>Mixed business audience</x:v>
      </x:c>
      <x:c r="J6192" s="12" t="str">
        <x:v>Professional services</x:v>
      </x:c>
      <x:c r="K6192" s="2" t="str">
        <x:v>PARTNER-M325</x:v>
      </x:c>
    </x:row>
    <x:row r="6193" ht="46" customHeight="1">
      <x:c r="A6193" s="2" t="str">
        <x:v>TEN-BAFFDF37AA5D</x:v>
      </x:c>
      <x:c r="B6193" s="12" t="str">
        <x:v>Caterpillar</x:v>
      </x:c>
      <x:c r="C6193" s="12" t="str">
        <x:v>CORP-0742</x:v>
      </x:c>
      <x:c r="D6193" s="12" t="str">
        <x:v>Chennai</x:v>
      </x:c>
      <x:c r="E6193" s="12" t="str">
        <x:v>WTC Chennai</x:v>
      </x:c>
      <x:c r="F6193" s="12" t="str">
        <x:v>55 inch</x:v>
      </x:c>
      <x:c r="G6193" s="20" t="n">
        <x:v>1</x:v>
      </x:c>
      <x:c r="H6193" s="12" t="str">
        <x:v>Campus/portfolio roster; individual building occupancy unverified</x:v>
      </x:c>
      <x:c r="I6193" s="12" t="str">
        <x:v>Mixed business audience</x:v>
      </x:c>
      <x:c r="J6193" s="12" t="str">
        <x:v>Engineering &amp; manufacturing</x:v>
      </x:c>
      <x:c r="K6193" s="2" t="str">
        <x:v>PARTNER-M325</x:v>
      </x:c>
    </x:row>
    <x:row r="6194" ht="46" customHeight="1">
      <x:c r="A6194" s="2" t="str">
        <x:v>TEN-CBC62794911F</x:v>
      </x:c>
      <x:c r="B6194" s="12" t="str">
        <x:v>Amazon</x:v>
      </x:c>
      <x:c r="C6194" s="12" t="str">
        <x:v>CORP-0742</x:v>
      </x:c>
      <x:c r="D6194" s="12" t="str">
        <x:v>Chennai</x:v>
      </x:c>
      <x:c r="E6194" s="12" t="str">
        <x:v>WTC Chennai</x:v>
      </x:c>
      <x:c r="F6194" s="12" t="str">
        <x:v>55 inch</x:v>
      </x:c>
      <x:c r="G6194" s="20" t="n">
        <x:v>1</x:v>
      </x:c>
      <x:c r="H6194" s="12" t="str">
        <x:v>Campus/portfolio roster; individual building occupancy unverified</x:v>
      </x:c>
      <x:c r="I6194" s="12" t="str">
        <x:v>Large enterprise</x:v>
      </x:c>
      <x:c r="J6194" s="12" t="str">
        <x:v>IT &amp; digital</x:v>
      </x:c>
      <x:c r="K6194" s="2" t="str">
        <x:v>PARTNER-M325</x:v>
      </x:c>
    </x:row>
    <x:row r="6195" ht="46" customHeight="1">
      <x:c r="A6195" s="2" t="str">
        <x:v>TEN-D77734EC8672</x:v>
      </x:c>
      <x:c r="B6195" s="12" t="str">
        <x:v>Kissflow (OrangeScape Technologies)</x:v>
      </x:c>
      <x:c r="C6195" s="12" t="str">
        <x:v>CORP-0742</x:v>
      </x:c>
      <x:c r="D6195" s="12" t="str">
        <x:v>Chennai</x:v>
      </x:c>
      <x:c r="E6195" s="12" t="str">
        <x:v>WTC Chennai</x:v>
      </x:c>
      <x:c r="F6195" s="12" t="str">
        <x:v>55 inch</x:v>
      </x:c>
      <x:c r="G6195" s="20" t="n">
        <x:v>1</x:v>
      </x:c>
      <x:c r="H6195" s="12" t="str">
        <x:v>Campus/portfolio roster; individual building occupancy unverified</x:v>
      </x:c>
      <x:c r="I6195" s="12" t="str">
        <x:v>Small-scale prospects</x:v>
      </x:c>
      <x:c r="J6195" s="12" t="str">
        <x:v>IT &amp; digital</x:v>
      </x:c>
      <x:c r="K6195" s="2" t="str">
        <x:v>PARTNER-M325</x:v>
      </x:c>
    </x:row>
    <x:row r="6196" ht="46" customHeight="1">
      <x:c r="A6196" s="2" t="str">
        <x:v>TEN-0AD26213D203</x:v>
      </x:c>
      <x:c r="B6196" s="12" t="str">
        <x:v>The Morpheus Store</x:v>
      </x:c>
      <x:c r="C6196" s="12" t="str">
        <x:v>CORP-0743</x:v>
      </x:c>
      <x:c r="D6196" s="12" t="str">
        <x:v>Chennai</x:v>
      </x:c>
      <x:c r="E6196" s="12" t="str">
        <x:v>WTC Chennai</x:v>
      </x:c>
      <x:c r="F6196" s="12" t="str">
        <x:v>55 inch</x:v>
      </x:c>
      <x:c r="G6196" s="20" t="n">
        <x:v>1</x:v>
      </x:c>
      <x:c r="H6196" s="12" t="str">
        <x:v>Campus/portfolio roster; individual building occupancy unverified</x:v>
      </x:c>
      <x:c r="I6196" s="12" t="str">
        <x:v>Small-scale prospects</x:v>
      </x:c>
      <x:c r="J6196" s="12" t="str">
        <x:v>Trade, consumer &amp; logistics</x:v>
      </x:c>
      <x:c r="K6196" s="2" t="str">
        <x:v>PARTNER-M325</x:v>
      </x:c>
    </x:row>
    <x:row r="6197" ht="46" customHeight="1">
      <x:c r="A6197" s="2" t="str">
        <x:v>TEN-2FFACCC9B784</x:v>
      </x:c>
      <x:c r="B6197" s="12" t="str">
        <x:v>Agilisium Consulting</x:v>
      </x:c>
      <x:c r="C6197" s="12" t="str">
        <x:v>CORP-0743</x:v>
      </x:c>
      <x:c r="D6197" s="12" t="str">
        <x:v>Chennai</x:v>
      </x:c>
      <x:c r="E6197" s="12" t="str">
        <x:v>WTC Chennai</x:v>
      </x:c>
      <x:c r="F6197" s="12" t="str">
        <x:v>55 inch</x:v>
      </x:c>
      <x:c r="G6197" s="20" t="n">
        <x:v>1</x:v>
      </x:c>
      <x:c r="H6197" s="12" t="str">
        <x:v>Campus/portfolio roster; individual building occupancy unverified</x:v>
      </x:c>
      <x:c r="I6197" s="12" t="str">
        <x:v>Small-scale prospects</x:v>
      </x:c>
      <x:c r="J6197" s="12" t="str">
        <x:v>IT &amp; digital</x:v>
      </x:c>
      <x:c r="K6197" s="2" t="str">
        <x:v>PARTNER-M325</x:v>
      </x:c>
    </x:row>
    <x:row r="6198" ht="46" customHeight="1">
      <x:c r="A6198" s="2" t="str">
        <x:v>TEN-6A6E8AC4729D</x:v>
      </x:c>
      <x:c r="B6198" s="12" t="str">
        <x:v>Glencore Information Services Pvt Ltd</x:v>
      </x:c>
      <x:c r="C6198" s="12" t="str">
        <x:v>CORP-0743</x:v>
      </x:c>
      <x:c r="D6198" s="12" t="str">
        <x:v>Chennai</x:v>
      </x:c>
      <x:c r="E6198" s="12" t="str">
        <x:v>WTC Chennai</x:v>
      </x:c>
      <x:c r="F6198" s="12" t="str">
        <x:v>55 inch</x:v>
      </x:c>
      <x:c r="G6198" s="20" t="n">
        <x:v>1</x:v>
      </x:c>
      <x:c r="H6198" s="12" t="str">
        <x:v>Campus/portfolio roster; individual building occupancy unverified</x:v>
      </x:c>
      <x:c r="I6198" s="12" t="str">
        <x:v>Mixed business audience</x:v>
      </x:c>
      <x:c r="J6198" s="12" t="str">
        <x:v>Unresolved</x:v>
      </x:c>
      <x:c r="K6198" s="2" t="str">
        <x:v>PARTNER-M325</x:v>
      </x:c>
    </x:row>
    <x:row r="6199" ht="46" customHeight="1">
      <x:c r="A6199" s="2" t="str">
        <x:v>TEN-9C630AB31C7F</x:v>
      </x:c>
      <x:c r="B6199" s="12" t="str">
        <x:v>Babcock Power APAC Pvt. Ltd</x:v>
      </x:c>
      <x:c r="C6199" s="12" t="str">
        <x:v>CORP-0743</x:v>
      </x:c>
      <x:c r="D6199" s="12" t="str">
        <x:v>Chennai</x:v>
      </x:c>
      <x:c r="E6199" s="12" t="str">
        <x:v>WTC Chennai</x:v>
      </x:c>
      <x:c r="F6199" s="12" t="str">
        <x:v>55 inch</x:v>
      </x:c>
      <x:c r="G6199" s="20" t="n">
        <x:v>1</x:v>
      </x:c>
      <x:c r="H6199" s="12" t="str">
        <x:v>Campus/portfolio roster; individual building occupancy unverified</x:v>
      </x:c>
      <x:c r="I6199" s="12" t="str">
        <x:v>Mixed business audience</x:v>
      </x:c>
      <x:c r="J6199" s="12" t="str">
        <x:v>Engineering &amp; manufacturing</x:v>
      </x:c>
      <x:c r="K6199" s="2" t="str">
        <x:v>PARTNER-M325</x:v>
      </x:c>
    </x:row>
    <x:row r="6200" ht="46" customHeight="1">
      <x:c r="A6200" s="2" t="str">
        <x:v>TEN-B48CAF277BCF</x:v>
      </x:c>
      <x:c r="B6200" s="12" t="str">
        <x:v>Zuora India Private Limited</x:v>
      </x:c>
      <x:c r="C6200" s="12" t="str">
        <x:v>CORP-0743</x:v>
      </x:c>
      <x:c r="D6200" s="12" t="str">
        <x:v>Chennai</x:v>
      </x:c>
      <x:c r="E6200" s="12" t="str">
        <x:v>WTC Chennai</x:v>
      </x:c>
      <x:c r="F6200" s="12" t="str">
        <x:v>55 inch</x:v>
      </x:c>
      <x:c r="G6200" s="20" t="n">
        <x:v>1</x:v>
      </x:c>
      <x:c r="H6200" s="12" t="str">
        <x:v>Campus/portfolio roster; individual building occupancy unverified</x:v>
      </x:c>
      <x:c r="I6200" s="12" t="str">
        <x:v>Mixed business audience</x:v>
      </x:c>
      <x:c r="J6200" s="12" t="str">
        <x:v>IT &amp; digital</x:v>
      </x:c>
      <x:c r="K6200" s="2" t="str">
        <x:v>PARTNER-M325</x:v>
      </x:c>
    </x:row>
    <x:row r="6201" ht="46" customHeight="1">
      <x:c r="A6201" s="2" t="str">
        <x:v>TEN-B5C4E7DB283D</x:v>
      </x:c>
      <x:c r="B6201" s="12" t="str">
        <x:v>McKinsey Global Capability Centre</x:v>
      </x:c>
      <x:c r="C6201" s="12" t="str">
        <x:v>CORP-0743</x:v>
      </x:c>
      <x:c r="D6201" s="12" t="str">
        <x:v>Chennai</x:v>
      </x:c>
      <x:c r="E6201" s="12" t="str">
        <x:v>WTC Chennai</x:v>
      </x:c>
      <x:c r="F6201" s="12" t="str">
        <x:v>55 inch</x:v>
      </x:c>
      <x:c r="G6201" s="20" t="n">
        <x:v>1</x:v>
      </x:c>
      <x:c r="H6201" s="12" t="str">
        <x:v>Campus/portfolio roster; individual building occupancy unverified</x:v>
      </x:c>
      <x:c r="I6201" s="12" t="str">
        <x:v>Mixed business audience</x:v>
      </x:c>
      <x:c r="J6201" s="12" t="str">
        <x:v>Professional services</x:v>
      </x:c>
      <x:c r="K6201" s="2" t="str">
        <x:v>PARTNER-M325</x:v>
      </x:c>
    </x:row>
    <x:row r="6202" ht="46" customHeight="1">
      <x:c r="A6202" s="2" t="str">
        <x:v>TEN-BAFFDF37AA5D</x:v>
      </x:c>
      <x:c r="B6202" s="12" t="str">
        <x:v>Caterpillar</x:v>
      </x:c>
      <x:c r="C6202" s="12" t="str">
        <x:v>CORP-0743</x:v>
      </x:c>
      <x:c r="D6202" s="12" t="str">
        <x:v>Chennai</x:v>
      </x:c>
      <x:c r="E6202" s="12" t="str">
        <x:v>WTC Chennai</x:v>
      </x:c>
      <x:c r="F6202" s="12" t="str">
        <x:v>55 inch</x:v>
      </x:c>
      <x:c r="G6202" s="20" t="n">
        <x:v>1</x:v>
      </x:c>
      <x:c r="H6202" s="12" t="str">
        <x:v>Campus/portfolio roster; individual building occupancy unverified</x:v>
      </x:c>
      <x:c r="I6202" s="12" t="str">
        <x:v>Mixed business audience</x:v>
      </x:c>
      <x:c r="J6202" s="12" t="str">
        <x:v>Engineering &amp; manufacturing</x:v>
      </x:c>
      <x:c r="K6202" s="2" t="str">
        <x:v>PARTNER-M325</x:v>
      </x:c>
    </x:row>
    <x:row r="6203" ht="46" customHeight="1">
      <x:c r="A6203" s="2" t="str">
        <x:v>TEN-CBC62794911F</x:v>
      </x:c>
      <x:c r="B6203" s="12" t="str">
        <x:v>Amazon</x:v>
      </x:c>
      <x:c r="C6203" s="12" t="str">
        <x:v>CORP-0743</x:v>
      </x:c>
      <x:c r="D6203" s="12" t="str">
        <x:v>Chennai</x:v>
      </x:c>
      <x:c r="E6203" s="12" t="str">
        <x:v>WTC Chennai</x:v>
      </x:c>
      <x:c r="F6203" s="12" t="str">
        <x:v>55 inch</x:v>
      </x:c>
      <x:c r="G6203" s="20" t="n">
        <x:v>1</x:v>
      </x:c>
      <x:c r="H6203" s="12" t="str">
        <x:v>Campus/portfolio roster; individual building occupancy unverified</x:v>
      </x:c>
      <x:c r="I6203" s="12" t="str">
        <x:v>Large enterprise</x:v>
      </x:c>
      <x:c r="J6203" s="12" t="str">
        <x:v>IT &amp; digital</x:v>
      </x:c>
      <x:c r="K6203" s="2" t="str">
        <x:v>PARTNER-M325</x:v>
      </x:c>
    </x:row>
    <x:row r="6204" ht="46" customHeight="1">
      <x:c r="A6204" s="2" t="str">
        <x:v>TEN-D77734EC8672</x:v>
      </x:c>
      <x:c r="B6204" s="12" t="str">
        <x:v>Kissflow (OrangeScape Technologies)</x:v>
      </x:c>
      <x:c r="C6204" s="12" t="str">
        <x:v>CORP-0743</x:v>
      </x:c>
      <x:c r="D6204" s="12" t="str">
        <x:v>Chennai</x:v>
      </x:c>
      <x:c r="E6204" s="12" t="str">
        <x:v>WTC Chennai</x:v>
      </x:c>
      <x:c r="F6204" s="12" t="str">
        <x:v>55 inch</x:v>
      </x:c>
      <x:c r="G6204" s="20" t="n">
        <x:v>1</x:v>
      </x:c>
      <x:c r="H6204" s="12" t="str">
        <x:v>Campus/portfolio roster; individual building occupancy unverified</x:v>
      </x:c>
      <x:c r="I6204" s="12" t="str">
        <x:v>Small-scale prospects</x:v>
      </x:c>
      <x:c r="J6204" s="12" t="str">
        <x:v>IT &amp; digital</x:v>
      </x:c>
      <x:c r="K6204" s="2" t="str">
        <x:v>PARTNER-M325</x:v>
      </x:c>
    </x:row>
    <x:row r="6205" ht="46" customHeight="1">
      <x:c r="A6205" s="2" t="str">
        <x:v>TEN-0AD26213D203</x:v>
      </x:c>
      <x:c r="B6205" s="12" t="str">
        <x:v>The Morpheus Store</x:v>
      </x:c>
      <x:c r="C6205" s="12" t="str">
        <x:v>CORP-0744</x:v>
      </x:c>
      <x:c r="D6205" s="12" t="str">
        <x:v>Chennai</x:v>
      </x:c>
      <x:c r="E6205" s="12" t="str">
        <x:v>WTC Chennai</x:v>
      </x:c>
      <x:c r="F6205" s="12" t="str">
        <x:v>55 inch</x:v>
      </x:c>
      <x:c r="G6205" s="20" t="n">
        <x:v>1</x:v>
      </x:c>
      <x:c r="H6205" s="12" t="str">
        <x:v>Campus/portfolio roster; individual building occupancy unverified</x:v>
      </x:c>
      <x:c r="I6205" s="12" t="str">
        <x:v>Small-scale prospects</x:v>
      </x:c>
      <x:c r="J6205" s="12" t="str">
        <x:v>Trade, consumer &amp; logistics</x:v>
      </x:c>
      <x:c r="K6205" s="2" t="str">
        <x:v>PARTNER-M325</x:v>
      </x:c>
    </x:row>
    <x:row r="6206" ht="46" customHeight="1">
      <x:c r="A6206" s="2" t="str">
        <x:v>TEN-2FFACCC9B784</x:v>
      </x:c>
      <x:c r="B6206" s="12" t="str">
        <x:v>Agilisium Consulting</x:v>
      </x:c>
      <x:c r="C6206" s="12" t="str">
        <x:v>CORP-0744</x:v>
      </x:c>
      <x:c r="D6206" s="12" t="str">
        <x:v>Chennai</x:v>
      </x:c>
      <x:c r="E6206" s="12" t="str">
        <x:v>WTC Chennai</x:v>
      </x:c>
      <x:c r="F6206" s="12" t="str">
        <x:v>55 inch</x:v>
      </x:c>
      <x:c r="G6206" s="20" t="n">
        <x:v>1</x:v>
      </x:c>
      <x:c r="H6206" s="12" t="str">
        <x:v>Campus/portfolio roster; individual building occupancy unverified</x:v>
      </x:c>
      <x:c r="I6206" s="12" t="str">
        <x:v>Small-scale prospects</x:v>
      </x:c>
      <x:c r="J6206" s="12" t="str">
        <x:v>IT &amp; digital</x:v>
      </x:c>
      <x:c r="K6206" s="2" t="str">
        <x:v>PARTNER-M325</x:v>
      </x:c>
    </x:row>
    <x:row r="6207" ht="46" customHeight="1">
      <x:c r="A6207" s="2" t="str">
        <x:v>TEN-6A6E8AC4729D</x:v>
      </x:c>
      <x:c r="B6207" s="12" t="str">
        <x:v>Glencore Information Services Pvt Ltd</x:v>
      </x:c>
      <x:c r="C6207" s="12" t="str">
        <x:v>CORP-0744</x:v>
      </x:c>
      <x:c r="D6207" s="12" t="str">
        <x:v>Chennai</x:v>
      </x:c>
      <x:c r="E6207" s="12" t="str">
        <x:v>WTC Chennai</x:v>
      </x:c>
      <x:c r="F6207" s="12" t="str">
        <x:v>55 inch</x:v>
      </x:c>
      <x:c r="G6207" s="20" t="n">
        <x:v>1</x:v>
      </x:c>
      <x:c r="H6207" s="12" t="str">
        <x:v>Campus/portfolio roster; individual building occupancy unverified</x:v>
      </x:c>
      <x:c r="I6207" s="12" t="str">
        <x:v>Mixed business audience</x:v>
      </x:c>
      <x:c r="J6207" s="12" t="str">
        <x:v>Unresolved</x:v>
      </x:c>
      <x:c r="K6207" s="2" t="str">
        <x:v>PARTNER-M325</x:v>
      </x:c>
    </x:row>
    <x:row r="6208" ht="46" customHeight="1">
      <x:c r="A6208" s="2" t="str">
        <x:v>TEN-9C630AB31C7F</x:v>
      </x:c>
      <x:c r="B6208" s="12" t="str">
        <x:v>Babcock Power APAC Pvt. Ltd</x:v>
      </x:c>
      <x:c r="C6208" s="12" t="str">
        <x:v>CORP-0744</x:v>
      </x:c>
      <x:c r="D6208" s="12" t="str">
        <x:v>Chennai</x:v>
      </x:c>
      <x:c r="E6208" s="12" t="str">
        <x:v>WTC Chennai</x:v>
      </x:c>
      <x:c r="F6208" s="12" t="str">
        <x:v>55 inch</x:v>
      </x:c>
      <x:c r="G6208" s="20" t="n">
        <x:v>1</x:v>
      </x:c>
      <x:c r="H6208" s="12" t="str">
        <x:v>Campus/portfolio roster; individual building occupancy unverified</x:v>
      </x:c>
      <x:c r="I6208" s="12" t="str">
        <x:v>Mixed business audience</x:v>
      </x:c>
      <x:c r="J6208" s="12" t="str">
        <x:v>Engineering &amp; manufacturing</x:v>
      </x:c>
      <x:c r="K6208" s="2" t="str">
        <x:v>PARTNER-M325</x:v>
      </x:c>
    </x:row>
    <x:row r="6209" ht="46" customHeight="1">
      <x:c r="A6209" s="2" t="str">
        <x:v>TEN-B48CAF277BCF</x:v>
      </x:c>
      <x:c r="B6209" s="12" t="str">
        <x:v>Zuora India Private Limited</x:v>
      </x:c>
      <x:c r="C6209" s="12" t="str">
        <x:v>CORP-0744</x:v>
      </x:c>
      <x:c r="D6209" s="12" t="str">
        <x:v>Chennai</x:v>
      </x:c>
      <x:c r="E6209" s="12" t="str">
        <x:v>WTC Chennai</x:v>
      </x:c>
      <x:c r="F6209" s="12" t="str">
        <x:v>55 inch</x:v>
      </x:c>
      <x:c r="G6209" s="20" t="n">
        <x:v>1</x:v>
      </x:c>
      <x:c r="H6209" s="12" t="str">
        <x:v>Campus/portfolio roster; individual building occupancy unverified</x:v>
      </x:c>
      <x:c r="I6209" s="12" t="str">
        <x:v>Mixed business audience</x:v>
      </x:c>
      <x:c r="J6209" s="12" t="str">
        <x:v>IT &amp; digital</x:v>
      </x:c>
      <x:c r="K6209" s="2" t="str">
        <x:v>PARTNER-M325</x:v>
      </x:c>
    </x:row>
    <x:row r="6210" ht="46" customHeight="1">
      <x:c r="A6210" s="2" t="str">
        <x:v>TEN-B5C4E7DB283D</x:v>
      </x:c>
      <x:c r="B6210" s="12" t="str">
        <x:v>McKinsey Global Capability Centre</x:v>
      </x:c>
      <x:c r="C6210" s="12" t="str">
        <x:v>CORP-0744</x:v>
      </x:c>
      <x:c r="D6210" s="12" t="str">
        <x:v>Chennai</x:v>
      </x:c>
      <x:c r="E6210" s="12" t="str">
        <x:v>WTC Chennai</x:v>
      </x:c>
      <x:c r="F6210" s="12" t="str">
        <x:v>55 inch</x:v>
      </x:c>
      <x:c r="G6210" s="20" t="n">
        <x:v>1</x:v>
      </x:c>
      <x:c r="H6210" s="12" t="str">
        <x:v>Campus/portfolio roster; individual building occupancy unverified</x:v>
      </x:c>
      <x:c r="I6210" s="12" t="str">
        <x:v>Mixed business audience</x:v>
      </x:c>
      <x:c r="J6210" s="12" t="str">
        <x:v>Professional services</x:v>
      </x:c>
      <x:c r="K6210" s="2" t="str">
        <x:v>PARTNER-M325</x:v>
      </x:c>
    </x:row>
    <x:row r="6211" ht="46" customHeight="1">
      <x:c r="A6211" s="2" t="str">
        <x:v>TEN-BAFFDF37AA5D</x:v>
      </x:c>
      <x:c r="B6211" s="12" t="str">
        <x:v>Caterpillar</x:v>
      </x:c>
      <x:c r="C6211" s="12" t="str">
        <x:v>CORP-0744</x:v>
      </x:c>
      <x:c r="D6211" s="12" t="str">
        <x:v>Chennai</x:v>
      </x:c>
      <x:c r="E6211" s="12" t="str">
        <x:v>WTC Chennai</x:v>
      </x:c>
      <x:c r="F6211" s="12" t="str">
        <x:v>55 inch</x:v>
      </x:c>
      <x:c r="G6211" s="20" t="n">
        <x:v>1</x:v>
      </x:c>
      <x:c r="H6211" s="12" t="str">
        <x:v>Campus/portfolio roster; individual building occupancy unverified</x:v>
      </x:c>
      <x:c r="I6211" s="12" t="str">
        <x:v>Mixed business audience</x:v>
      </x:c>
      <x:c r="J6211" s="12" t="str">
        <x:v>Engineering &amp; manufacturing</x:v>
      </x:c>
      <x:c r="K6211" s="2" t="str">
        <x:v>PARTNER-M325</x:v>
      </x:c>
    </x:row>
    <x:row r="6212" ht="46" customHeight="1">
      <x:c r="A6212" s="2" t="str">
        <x:v>TEN-CBC62794911F</x:v>
      </x:c>
      <x:c r="B6212" s="12" t="str">
        <x:v>Amazon</x:v>
      </x:c>
      <x:c r="C6212" s="12" t="str">
        <x:v>CORP-0744</x:v>
      </x:c>
      <x:c r="D6212" s="12" t="str">
        <x:v>Chennai</x:v>
      </x:c>
      <x:c r="E6212" s="12" t="str">
        <x:v>WTC Chennai</x:v>
      </x:c>
      <x:c r="F6212" s="12" t="str">
        <x:v>55 inch</x:v>
      </x:c>
      <x:c r="G6212" s="20" t="n">
        <x:v>1</x:v>
      </x:c>
      <x:c r="H6212" s="12" t="str">
        <x:v>Campus/portfolio roster; individual building occupancy unverified</x:v>
      </x:c>
      <x:c r="I6212" s="12" t="str">
        <x:v>Large enterprise</x:v>
      </x:c>
      <x:c r="J6212" s="12" t="str">
        <x:v>IT &amp; digital</x:v>
      </x:c>
      <x:c r="K6212" s="2" t="str">
        <x:v>PARTNER-M325</x:v>
      </x:c>
    </x:row>
    <x:row r="6213" ht="46" customHeight="1">
      <x:c r="A6213" s="2" t="str">
        <x:v>TEN-D77734EC8672</x:v>
      </x:c>
      <x:c r="B6213" s="12" t="str">
        <x:v>Kissflow (OrangeScape Technologies)</x:v>
      </x:c>
      <x:c r="C6213" s="12" t="str">
        <x:v>CORP-0744</x:v>
      </x:c>
      <x:c r="D6213" s="12" t="str">
        <x:v>Chennai</x:v>
      </x:c>
      <x:c r="E6213" s="12" t="str">
        <x:v>WTC Chennai</x:v>
      </x:c>
      <x:c r="F6213" s="12" t="str">
        <x:v>55 inch</x:v>
      </x:c>
      <x:c r="G6213" s="20" t="n">
        <x:v>1</x:v>
      </x:c>
      <x:c r="H6213" s="12" t="str">
        <x:v>Campus/portfolio roster; individual building occupancy unverified</x:v>
      </x:c>
      <x:c r="I6213" s="12" t="str">
        <x:v>Small-scale prospects</x:v>
      </x:c>
      <x:c r="J6213" s="12" t="str">
        <x:v>IT &amp; digital</x:v>
      </x:c>
      <x:c r="K6213" s="2" t="str">
        <x:v>PARTNER-M325</x:v>
      </x:c>
    </x:row>
    <x:row r="6214" ht="46" customHeight="1">
      <x:c r="A6214" s="2" t="str">
        <x:v>TEN-0C81B9564D37</x:v>
      </x:c>
      <x:c r="B6214" s="12" t="str">
        <x:v>Cogent eservices private limited PSN Bangalore</x:v>
      </x:c>
      <x:c r="C6214" s="12" t="str">
        <x:v>CORP-0448</x:v>
      </x:c>
      <x:c r="D6214" s="12" t="str">
        <x:v>Bengaluru</x:v>
      </x:c>
      <x:c r="E6214" s="12" t="str">
        <x:v>Prestige Shantiniketan</x:v>
      </x:c>
      <x:c r="F6214" s="12" t="str">
        <x:v>55 inch</x:v>
      </x:c>
      <x:c r="G6214" s="20" t="n">
        <x:v>1</x:v>
      </x:c>
      <x:c r="H6214" s="12" t="str">
        <x:v>Campus/portfolio roster; individual building occupancy unverified</x:v>
      </x:c>
      <x:c r="I6214" s="12" t="str">
        <x:v>Mixed business audience</x:v>
      </x:c>
      <x:c r="J6214" s="12" t="str">
        <x:v>IT &amp; digital</x:v>
      </x:c>
      <x:c r="K6214" s="2" t="str">
        <x:v>PARTNER-M027</x:v>
      </x:c>
    </x:row>
    <x:row r="6215" ht="46" customHeight="1">
      <x:c r="A6215" s="2" t="str">
        <x:v>TEN-1D6F21C9D1AB</x:v>
      </x:c>
      <x:c r="B6215" s="12" t="str">
        <x:v>Algorythm</x:v>
      </x:c>
      <x:c r="C6215" s="12" t="str">
        <x:v>CORP-0448</x:v>
      </x:c>
      <x:c r="D6215" s="12" t="str">
        <x:v>Bengaluru</x:v>
      </x:c>
      <x:c r="E6215" s="12" t="str">
        <x:v>Prestige Shantiniketan</x:v>
      </x:c>
      <x:c r="F6215" s="12" t="str">
        <x:v>55 inch</x:v>
      </x:c>
      <x:c r="G6215" s="20" t="n">
        <x:v>1</x:v>
      </x:c>
      <x:c r="H6215" s="12" t="str">
        <x:v>Campus/portfolio roster; individual building occupancy unverified</x:v>
      </x:c>
      <x:c r="I6215" s="12" t="str">
        <x:v>Mixed business audience</x:v>
      </x:c>
      <x:c r="J6215" s="12" t="str">
        <x:v>Unresolved</x:v>
      </x:c>
      <x:c r="K6215" s="2" t="str">
        <x:v>PARTNER-M027</x:v>
      </x:c>
    </x:row>
    <x:row r="6216" ht="46" customHeight="1">
      <x:c r="A6216" s="2" t="str">
        <x:v>TEN-31F8B6C7A65B</x:v>
      </x:c>
      <x:c r="B6216" s="12" t="str">
        <x:v>Genisys Group</x:v>
      </x:c>
      <x:c r="C6216" s="12" t="str">
        <x:v>CORP-0448</x:v>
      </x:c>
      <x:c r="D6216" s="12" t="str">
        <x:v>Bengaluru</x:v>
      </x:c>
      <x:c r="E6216" s="12" t="str">
        <x:v>Prestige Shantiniketan</x:v>
      </x:c>
      <x:c r="F6216" s="12" t="str">
        <x:v>55 inch</x:v>
      </x:c>
      <x:c r="G6216" s="20" t="n">
        <x:v>1</x:v>
      </x:c>
      <x:c r="H6216" s="12" t="str">
        <x:v>Campus/portfolio roster; individual building occupancy unverified</x:v>
      </x:c>
      <x:c r="I6216" s="12" t="str">
        <x:v>Mixed business audience</x:v>
      </x:c>
      <x:c r="J6216" s="12" t="str">
        <x:v>IT &amp; digital</x:v>
      </x:c>
      <x:c r="K6216" s="2" t="str">
        <x:v>PARTNER-M027</x:v>
      </x:c>
    </x:row>
    <x:row r="6217" ht="46" customHeight="1">
      <x:c r="A6217" s="2" t="str">
        <x:v>TEN-53B505C1CAE2</x:v>
      </x:c>
      <x:c r="B6217" s="12" t="str">
        <x:v>Herbalife International India Pvt Ltd</x:v>
      </x:c>
      <x:c r="C6217" s="12" t="str">
        <x:v>CORP-0448</x:v>
      </x:c>
      <x:c r="D6217" s="12" t="str">
        <x:v>Bengaluru</x:v>
      </x:c>
      <x:c r="E6217" s="12" t="str">
        <x:v>Prestige Shantiniketan</x:v>
      </x:c>
      <x:c r="F6217" s="12" t="str">
        <x:v>55 inch</x:v>
      </x:c>
      <x:c r="G6217" s="20" t="n">
        <x:v>1</x:v>
      </x:c>
      <x:c r="H6217" s="12" t="str">
        <x:v>Campus/portfolio roster; individual building occupancy unverified</x:v>
      </x:c>
      <x:c r="I6217" s="12" t="str">
        <x:v>Mixed business audience</x:v>
      </x:c>
      <x:c r="J6217" s="12" t="str">
        <x:v>Healthcare &amp; life sciences</x:v>
      </x:c>
      <x:c r="K6217" s="2" t="str">
        <x:v>PARTNER-M027</x:v>
      </x:c>
    </x:row>
    <x:row r="6218" ht="46" customHeight="1">
      <x:c r="A6218" s="2" t="str">
        <x:v>TEN-5FA790F3630F</x:v>
      </x:c>
      <x:c r="B6218" s="12" t="str">
        <x:v>Tata Consultancy Services</x:v>
      </x:c>
      <x:c r="C6218" s="12" t="str">
        <x:v>CORP-0448</x:v>
      </x:c>
      <x:c r="D6218" s="12" t="str">
        <x:v>Bengaluru</x:v>
      </x:c>
      <x:c r="E6218" s="12" t="str">
        <x:v>Prestige Shantiniketan</x:v>
      </x:c>
      <x:c r="F6218" s="12" t="str">
        <x:v>55 inch</x:v>
      </x:c>
      <x:c r="G6218" s="20" t="n">
        <x:v>1</x:v>
      </x:c>
      <x:c r="H6218" s="12" t="str">
        <x:v>Campus/portfolio roster; individual building occupancy unverified</x:v>
      </x:c>
      <x:c r="I6218" s="12" t="str">
        <x:v>Large enterprise</x:v>
      </x:c>
      <x:c r="J6218" s="12" t="str">
        <x:v>IT &amp; digital</x:v>
      </x:c>
      <x:c r="K6218" s="2" t="str">
        <x:v>PARTNER-M027</x:v>
      </x:c>
    </x:row>
    <x:row r="6219" ht="46" customHeight="1">
      <x:c r="A6219" s="2" t="str">
        <x:v>TEN-8409366CFBB2</x:v>
      </x:c>
      <x:c r="B6219" s="12" t="str">
        <x:v>Tata Elxsi Limited</x:v>
      </x:c>
      <x:c r="C6219" s="12" t="str">
        <x:v>CORP-0448</x:v>
      </x:c>
      <x:c r="D6219" s="12" t="str">
        <x:v>Bengaluru</x:v>
      </x:c>
      <x:c r="E6219" s="12" t="str">
        <x:v>Prestige Shantiniketan</x:v>
      </x:c>
      <x:c r="F6219" s="12" t="str">
        <x:v>55 inch</x:v>
      </x:c>
      <x:c r="G6219" s="20" t="n">
        <x:v>1</x:v>
      </x:c>
      <x:c r="H6219" s="12" t="str">
        <x:v>Campus/portfolio roster; individual building occupancy unverified</x:v>
      </x:c>
      <x:c r="I6219" s="12" t="str">
        <x:v>Large enterprise</x:v>
      </x:c>
      <x:c r="J6219" s="12" t="str">
        <x:v>IT &amp; digital</x:v>
      </x:c>
      <x:c r="K6219" s="2" t="str">
        <x:v>PARTNER-M027</x:v>
      </x:c>
    </x:row>
    <x:row r="6220" ht="46" customHeight="1">
      <x:c r="A6220" s="2" t="str">
        <x:v>TEN-849229AF9AC7</x:v>
      </x:c>
      <x:c r="B6220" s="12" t="str">
        <x:v>Hexaware Technologies Limited</x:v>
      </x:c>
      <x:c r="C6220" s="12" t="str">
        <x:v>CORP-0448</x:v>
      </x:c>
      <x:c r="D6220" s="12" t="str">
        <x:v>Bengaluru</x:v>
      </x:c>
      <x:c r="E6220" s="12" t="str">
        <x:v>Prestige Shantiniketan</x:v>
      </x:c>
      <x:c r="F6220" s="12" t="str">
        <x:v>55 inch</x:v>
      </x:c>
      <x:c r="G6220" s="20" t="n">
        <x:v>1</x:v>
      </x:c>
      <x:c r="H6220" s="12" t="str">
        <x:v>Campus/portfolio roster; individual building occupancy unverified</x:v>
      </x:c>
      <x:c r="I6220" s="12" t="str">
        <x:v>Large enterprise</x:v>
      </x:c>
      <x:c r="J6220" s="12" t="str">
        <x:v>IT &amp; digital</x:v>
      </x:c>
      <x:c r="K6220" s="2" t="str">
        <x:v>PARTNER-M027</x:v>
      </x:c>
    </x:row>
    <x:row r="6221" ht="46" customHeight="1">
      <x:c r="A6221" s="2" t="str">
        <x:v>TEN-9636D9305A9A</x:v>
      </x:c>
      <x:c r="B6221" s="12" t="str">
        <x:v>Britannia Industries Limited</x:v>
      </x:c>
      <x:c r="C6221" s="12" t="str">
        <x:v>CORP-0448</x:v>
      </x:c>
      <x:c r="D6221" s="12" t="str">
        <x:v>Bengaluru</x:v>
      </x:c>
      <x:c r="E6221" s="12" t="str">
        <x:v>Prestige Shantiniketan</x:v>
      </x:c>
      <x:c r="F6221" s="12" t="str">
        <x:v>55 inch</x:v>
      </x:c>
      <x:c r="G6221" s="20" t="n">
        <x:v>1</x:v>
      </x:c>
      <x:c r="H6221" s="12" t="str">
        <x:v>Campus/portfolio roster; individual building occupancy unverified</x:v>
      </x:c>
      <x:c r="I6221" s="12" t="str">
        <x:v>Mixed business audience</x:v>
      </x:c>
      <x:c r="J6221" s="12" t="str">
        <x:v>Trade, consumer &amp; logistics</x:v>
      </x:c>
      <x:c r="K6221" s="2" t="str">
        <x:v>PARTNER-M027</x:v>
      </x:c>
    </x:row>
    <x:row r="6222" ht="46" customHeight="1">
      <x:c r="A6222" s="2" t="str">
        <x:v>TEN-985483497785</x:v>
      </x:c>
      <x:c r="B6222" s="12" t="str">
        <x:v>GE Healthcare</x:v>
      </x:c>
      <x:c r="C6222" s="12" t="str">
        <x:v>CORP-0448</x:v>
      </x:c>
      <x:c r="D6222" s="12" t="str">
        <x:v>Bengaluru</x:v>
      </x:c>
      <x:c r="E6222" s="12" t="str">
        <x:v>Prestige Shantiniketan</x:v>
      </x:c>
      <x:c r="F6222" s="12" t="str">
        <x:v>55 inch</x:v>
      </x:c>
      <x:c r="G6222" s="20" t="n">
        <x:v>1</x:v>
      </x:c>
      <x:c r="H6222" s="12" t="str">
        <x:v>Campus/portfolio roster; individual building occupancy unverified</x:v>
      </x:c>
      <x:c r="I6222" s="12" t="str">
        <x:v>Mixed business audience</x:v>
      </x:c>
      <x:c r="J6222" s="12" t="str">
        <x:v>Healthcare &amp; life sciences</x:v>
      </x:c>
      <x:c r="K6222" s="2" t="str">
        <x:v>PARTNER-M027</x:v>
      </x:c>
    </x:row>
    <x:row r="6223" ht="46" customHeight="1">
      <x:c r="A6223" s="2" t="str">
        <x:v>TEN-9987FF0A3CAC</x:v>
      </x:c>
      <x:c r="B6223" s="12" t="str">
        <x:v>Hindustan Unilever (UniOps business unit)</x:v>
      </x:c>
      <x:c r="C6223" s="12" t="str">
        <x:v>CORP-0448</x:v>
      </x:c>
      <x:c r="D6223" s="12" t="str">
        <x:v>Bengaluru</x:v>
      </x:c>
      <x:c r="E6223" s="12" t="str">
        <x:v>Prestige Shantiniketan</x:v>
      </x:c>
      <x:c r="F6223" s="12" t="str">
        <x:v>55 inch</x:v>
      </x:c>
      <x:c r="G6223" s="20" t="n">
        <x:v>1</x:v>
      </x:c>
      <x:c r="H6223" s="12" t="str">
        <x:v>Campus/portfolio roster; individual building occupancy unverified</x:v>
      </x:c>
      <x:c r="I6223" s="12" t="str">
        <x:v>Large enterprise</x:v>
      </x:c>
      <x:c r="J6223" s="12" t="str">
        <x:v>Trade, consumer &amp; logistics</x:v>
      </x:c>
      <x:c r="K6223" s="2" t="str">
        <x:v>PARTNER-M027</x:v>
      </x:c>
    </x:row>
    <x:row r="6224" ht="46" customHeight="1">
      <x:c r="A6224" s="2" t="str">
        <x:v>TEN-9CDD1B64DEF0</x:v>
      </x:c>
      <x:c r="B6224" s="12" t="str">
        <x:v>Optym India Private Limited</x:v>
      </x:c>
      <x:c r="C6224" s="12" t="str">
        <x:v>CORP-0448</x:v>
      </x:c>
      <x:c r="D6224" s="12" t="str">
        <x:v>Bengaluru</x:v>
      </x:c>
      <x:c r="E6224" s="12" t="str">
        <x:v>Prestige Shantiniketan</x:v>
      </x:c>
      <x:c r="F6224" s="12" t="str">
        <x:v>55 inch</x:v>
      </x:c>
      <x:c r="G6224" s="20" t="n">
        <x:v>1</x:v>
      </x:c>
      <x:c r="H6224" s="12" t="str">
        <x:v>Campus/portfolio roster; individual building occupancy unverified</x:v>
      </x:c>
      <x:c r="I6224" s="12" t="str">
        <x:v>Small-scale prospects</x:v>
      </x:c>
      <x:c r="J6224" s="12" t="str">
        <x:v>IT &amp; digital</x:v>
      </x:c>
      <x:c r="K6224" s="2" t="str">
        <x:v>PARTNER-M027</x:v>
      </x:c>
    </x:row>
    <x:row r="6225" ht="46" customHeight="1">
      <x:c r="A6225" s="2" t="str">
        <x:v>TEN-A7FC7DAF4DA4</x:v>
      </x:c>
      <x:c r="B6225" s="12" t="str">
        <x:v>Thermo Fisher Scientific</x:v>
      </x:c>
      <x:c r="C6225" s="12" t="str">
        <x:v>CORP-0448</x:v>
      </x:c>
      <x:c r="D6225" s="12" t="str">
        <x:v>Bengaluru</x:v>
      </x:c>
      <x:c r="E6225" s="12" t="str">
        <x:v>Prestige Shantiniketan</x:v>
      </x:c>
      <x:c r="F6225" s="12" t="str">
        <x:v>55 inch</x:v>
      </x:c>
      <x:c r="G6225" s="20" t="n">
        <x:v>1</x:v>
      </x:c>
      <x:c r="H6225" s="12" t="str">
        <x:v>Campus/portfolio roster; individual building occupancy unverified</x:v>
      </x:c>
      <x:c r="I6225" s="12" t="str">
        <x:v>Mixed business audience</x:v>
      </x:c>
      <x:c r="J6225" s="12" t="str">
        <x:v>Healthcare &amp; life sciences</x:v>
      </x:c>
      <x:c r="K6225" s="2" t="str">
        <x:v>PARTNER-M027</x:v>
      </x:c>
    </x:row>
    <x:row r="6226" ht="46" customHeight="1">
      <x:c r="A6226" s="2" t="str">
        <x:v>TEN-B877247CA363</x:v>
      </x:c>
      <x:c r="B6226" s="12" t="str">
        <x:v>Kaseya</x:v>
      </x:c>
      <x:c r="C6226" s="12" t="str">
        <x:v>CORP-0448</x:v>
      </x:c>
      <x:c r="D6226" s="12" t="str">
        <x:v>Bengaluru</x:v>
      </x:c>
      <x:c r="E6226" s="12" t="str">
        <x:v>Prestige Shantiniketan</x:v>
      </x:c>
      <x:c r="F6226" s="12" t="str">
        <x:v>55 inch</x:v>
      </x:c>
      <x:c r="G6226" s="20" t="n">
        <x:v>1</x:v>
      </x:c>
      <x:c r="H6226" s="12" t="str">
        <x:v>Campus/portfolio roster; individual building occupancy unverified</x:v>
      </x:c>
      <x:c r="I6226" s="12" t="str">
        <x:v>Mixed business audience</x:v>
      </x:c>
      <x:c r="J6226" s="12" t="str">
        <x:v>IT &amp; digital</x:v>
      </x:c>
      <x:c r="K6226" s="2" t="str">
        <x:v>PARTNER-M027</x:v>
      </x:c>
    </x:row>
    <x:row r="6227" ht="46" customHeight="1">
      <x:c r="A6227" s="2" t="str">
        <x:v>TEN-BA6AE2780CD4</x:v>
      </x:c>
      <x:c r="B6227" s="12" t="str">
        <x:v>Concentrix</x:v>
      </x:c>
      <x:c r="C6227" s="12" t="str">
        <x:v>CORP-0448</x:v>
      </x:c>
      <x:c r="D6227" s="12" t="str">
        <x:v>Bengaluru</x:v>
      </x:c>
      <x:c r="E6227" s="12" t="str">
        <x:v>Prestige Shantiniketan</x:v>
      </x:c>
      <x:c r="F6227" s="12" t="str">
        <x:v>55 inch</x:v>
      </x:c>
      <x:c r="G6227" s="20" t="n">
        <x:v>1</x:v>
      </x:c>
      <x:c r="H6227" s="12" t="str">
        <x:v>Campus/portfolio roster; individual building occupancy unverified</x:v>
      </x:c>
      <x:c r="I6227" s="12" t="str">
        <x:v>Large enterprise</x:v>
      </x:c>
      <x:c r="J6227" s="12" t="str">
        <x:v>IT &amp; digital</x:v>
      </x:c>
      <x:c r="K6227" s="2" t="str">
        <x:v>PARTNER-M027</x:v>
      </x:c>
    </x:row>
    <x:row r="6228" ht="46" customHeight="1">
      <x:c r="A6228" s="2" t="str">
        <x:v>TEN-BEE4F75D30E5</x:v>
      </x:c>
      <x:c r="B6228" s="12" t="str">
        <x:v>ICICI Bank</x:v>
      </x:c>
      <x:c r="C6228" s="12" t="str">
        <x:v>CORP-0448</x:v>
      </x:c>
      <x:c r="D6228" s="12" t="str">
        <x:v>Bengaluru</x:v>
      </x:c>
      <x:c r="E6228" s="12" t="str">
        <x:v>Prestige Shantiniketan</x:v>
      </x:c>
      <x:c r="F6228" s="12" t="str">
        <x:v>55 inch</x:v>
      </x:c>
      <x:c r="G6228" s="20" t="n">
        <x:v>1</x:v>
      </x:c>
      <x:c r="H6228" s="12" t="str">
        <x:v>Campus/portfolio roster; individual building occupancy unverified</x:v>
      </x:c>
      <x:c r="I6228" s="12" t="str">
        <x:v>Large enterprise</x:v>
      </x:c>
      <x:c r="J6228" s="12" t="str">
        <x:v>Finance &amp; insurance</x:v>
      </x:c>
      <x:c r="K6228" s="2" t="str">
        <x:v>PARTNER-M027</x:v>
      </x:c>
    </x:row>
    <x:row r="6229" ht="46" customHeight="1">
      <x:c r="A6229" s="2" t="str">
        <x:v>TEN-CCAF93725C39</x:v>
      </x:c>
      <x:c r="B6229" s="12" t="str">
        <x:v>India Document Solutions Private Ltd</x:v>
      </x:c>
      <x:c r="C6229" s="12" t="str">
        <x:v>CORP-0448</x:v>
      </x:c>
      <x:c r="D6229" s="12" t="str">
        <x:v>Bengaluru</x:v>
      </x:c>
      <x:c r="E6229" s="12" t="str">
        <x:v>Prestige Shantiniketan</x:v>
      </x:c>
      <x:c r="F6229" s="12" t="str">
        <x:v>55 inch</x:v>
      </x:c>
      <x:c r="G6229" s="20" t="n">
        <x:v>1</x:v>
      </x:c>
      <x:c r="H6229" s="12" t="str">
        <x:v>Campus/portfolio roster; individual building occupancy unverified</x:v>
      </x:c>
      <x:c r="I6229" s="12" t="str">
        <x:v>Mixed business audience</x:v>
      </x:c>
      <x:c r="J6229" s="12" t="str">
        <x:v>Unresolved</x:v>
      </x:c>
      <x:c r="K6229" s="2" t="str">
        <x:v>PARTNER-M027</x:v>
      </x:c>
    </x:row>
    <x:row r="6230" ht="46" customHeight="1">
      <x:c r="A6230" s="2" t="str">
        <x:v>TEN-D850894DB864</x:v>
      </x:c>
      <x:c r="B6230" s="12" t="str">
        <x:v>Rockstar Games India</x:v>
      </x:c>
      <x:c r="C6230" s="12" t="str">
        <x:v>CORP-0448</x:v>
      </x:c>
      <x:c r="D6230" s="12" t="str">
        <x:v>Bengaluru</x:v>
      </x:c>
      <x:c r="E6230" s="12" t="str">
        <x:v>Prestige Shantiniketan</x:v>
      </x:c>
      <x:c r="F6230" s="12" t="str">
        <x:v>55 inch</x:v>
      </x:c>
      <x:c r="G6230" s="20" t="n">
        <x:v>1</x:v>
      </x:c>
      <x:c r="H6230" s="12" t="str">
        <x:v>Campus/portfolio roster; individual building occupancy unverified</x:v>
      </x:c>
      <x:c r="I6230" s="12" t="str">
        <x:v>Mixed business audience</x:v>
      </x:c>
      <x:c r="J6230" s="12" t="str">
        <x:v>Trade, consumer &amp; logistics</x:v>
      </x:c>
      <x:c r="K6230" s="2" t="str">
        <x:v>PARTNER-M027</x:v>
      </x:c>
    </x:row>
    <x:row r="6231" ht="46" customHeight="1">
      <x:c r="A6231" s="2" t="str">
        <x:v>TEN-D860D87EBCF5</x:v>
      </x:c>
      <x:c r="B6231" s="12" t="str">
        <x:v>Synapse Techno Design Innovations Private Limited</x:v>
      </x:c>
      <x:c r="C6231" s="12" t="str">
        <x:v>CORP-0448</x:v>
      </x:c>
      <x:c r="D6231" s="12" t="str">
        <x:v>Bengaluru</x:v>
      </x:c>
      <x:c r="E6231" s="12" t="str">
        <x:v>Prestige Shantiniketan</x:v>
      </x:c>
      <x:c r="F6231" s="12" t="str">
        <x:v>55 inch</x:v>
      </x:c>
      <x:c r="G6231" s="20" t="n">
        <x:v>1</x:v>
      </x:c>
      <x:c r="H6231" s="12" t="str">
        <x:v>Campus/portfolio roster; individual building occupancy unverified</x:v>
      </x:c>
      <x:c r="I6231" s="12" t="str">
        <x:v>Small-scale prospects</x:v>
      </x:c>
      <x:c r="J6231" s="12" t="str">
        <x:v>IT &amp; digital</x:v>
      </x:c>
      <x:c r="K6231" s="2" t="str">
        <x:v>PARTNER-M027</x:v>
      </x:c>
    </x:row>
    <x:row r="6232" ht="46" customHeight="1">
      <x:c r="A6232" s="2" t="str">
        <x:v>TEN-DF4521B8C430</x:v>
      </x:c>
      <x:c r="B6232" s="12" t="str">
        <x:v>Nielsen Sports</x:v>
      </x:c>
      <x:c r="C6232" s="12" t="str">
        <x:v>CORP-0448</x:v>
      </x:c>
      <x:c r="D6232" s="12" t="str">
        <x:v>Bengaluru</x:v>
      </x:c>
      <x:c r="E6232" s="12" t="str">
        <x:v>Prestige Shantiniketan</x:v>
      </x:c>
      <x:c r="F6232" s="12" t="str">
        <x:v>55 inch</x:v>
      </x:c>
      <x:c r="G6232" s="20" t="n">
        <x:v>1</x:v>
      </x:c>
      <x:c r="H6232" s="12" t="str">
        <x:v>Campus/portfolio roster; individual building occupancy unverified</x:v>
      </x:c>
      <x:c r="I6232" s="12" t="str">
        <x:v>Mixed business audience</x:v>
      </x:c>
      <x:c r="J6232" s="12" t="str">
        <x:v>Professional services</x:v>
      </x:c>
      <x:c r="K6232" s="2" t="str">
        <x:v>PARTNER-M027</x:v>
      </x:c>
    </x:row>
    <x:row r="6233" ht="46" customHeight="1">
      <x:c r="A6233" s="2" t="str">
        <x:v>TEN-E23305C78818</x:v>
      </x:c>
      <x:c r="B6233" s="12" t="str">
        <x:v>Baxter Innovations &amp; Business Solutions Pvt Ltd</x:v>
      </x:c>
      <x:c r="C6233" s="12" t="str">
        <x:v>CORP-0448</x:v>
      </x:c>
      <x:c r="D6233" s="12" t="str">
        <x:v>Bengaluru</x:v>
      </x:c>
      <x:c r="E6233" s="12" t="str">
        <x:v>Prestige Shantiniketan</x:v>
      </x:c>
      <x:c r="F6233" s="12" t="str">
        <x:v>55 inch</x:v>
      </x:c>
      <x:c r="G6233" s="20" t="n">
        <x:v>1</x:v>
      </x:c>
      <x:c r="H6233" s="12" t="str">
        <x:v>Campus/portfolio roster; individual building occupancy unverified</x:v>
      </x:c>
      <x:c r="I6233" s="12" t="str">
        <x:v>Mixed business audience</x:v>
      </x:c>
      <x:c r="J6233" s="12" t="str">
        <x:v>Healthcare &amp; life sciences</x:v>
      </x:c>
      <x:c r="K6233" s="2" t="str">
        <x:v>PARTNER-M027</x:v>
      </x:c>
    </x:row>
    <x:row r="6234" ht="46" customHeight="1">
      <x:c r="A6234" s="2" t="str">
        <x:v>TEN-E517F4484EEE</x:v>
      </x:c>
      <x:c r="B6234" s="12" t="str">
        <x:v>CapRelo Mobility India Private Limited</x:v>
      </x:c>
      <x:c r="C6234" s="12" t="str">
        <x:v>CORP-0448</x:v>
      </x:c>
      <x:c r="D6234" s="12" t="str">
        <x:v>Bengaluru</x:v>
      </x:c>
      <x:c r="E6234" s="12" t="str">
        <x:v>Prestige Shantiniketan</x:v>
      </x:c>
      <x:c r="F6234" s="12" t="str">
        <x:v>55 inch</x:v>
      </x:c>
      <x:c r="G6234" s="20" t="n">
        <x:v>1</x:v>
      </x:c>
      <x:c r="H6234" s="12" t="str">
        <x:v>Campus/portfolio roster; individual building occupancy unverified</x:v>
      </x:c>
      <x:c r="I6234" s="12" t="str">
        <x:v>Mixed business audience</x:v>
      </x:c>
      <x:c r="J6234" s="12" t="str">
        <x:v>Professional services</x:v>
      </x:c>
      <x:c r="K6234" s="2" t="str">
        <x:v>PARTNER-M027</x:v>
      </x:c>
    </x:row>
    <x:row r="6235" ht="46" customHeight="1">
      <x:c r="A6235" s="2" t="str">
        <x:v>TEN-E88697226669</x:v>
      </x:c>
      <x:c r="B6235" s="12" t="str">
        <x:v>Elocity Technologies India Private Limited</x:v>
      </x:c>
      <x:c r="C6235" s="12" t="str">
        <x:v>CORP-0448</x:v>
      </x:c>
      <x:c r="D6235" s="12" t="str">
        <x:v>Bengaluru</x:v>
      </x:c>
      <x:c r="E6235" s="12" t="str">
        <x:v>Prestige Shantiniketan</x:v>
      </x:c>
      <x:c r="F6235" s="12" t="str">
        <x:v>55 inch</x:v>
      </x:c>
      <x:c r="G6235" s="20" t="n">
        <x:v>1</x:v>
      </x:c>
      <x:c r="H6235" s="12" t="str">
        <x:v>Campus/portfolio roster; individual building occupancy unverified</x:v>
      </x:c>
      <x:c r="I6235" s="12" t="str">
        <x:v>Mixed business audience</x:v>
      </x:c>
      <x:c r="J6235" s="12" t="str">
        <x:v>Unresolved</x:v>
      </x:c>
      <x:c r="K6235" s="2" t="str">
        <x:v>PARTNER-M027</x:v>
      </x:c>
    </x:row>
    <x:row r="6236" ht="46" customHeight="1">
      <x:c r="A6236" s="2" t="str">
        <x:v>TEN-EE0CA20290EC</x:v>
      </x:c>
      <x:c r="B6236" s="12" t="str">
        <x:v>MEDTRONIC</x:v>
      </x:c>
      <x:c r="C6236" s="12" t="str">
        <x:v>CORP-0448</x:v>
      </x:c>
      <x:c r="D6236" s="12" t="str">
        <x:v>Bengaluru</x:v>
      </x:c>
      <x:c r="E6236" s="12" t="str">
        <x:v>Prestige Shantiniketan</x:v>
      </x:c>
      <x:c r="F6236" s="12" t="str">
        <x:v>55 inch</x:v>
      </x:c>
      <x:c r="G6236" s="20" t="n">
        <x:v>1</x:v>
      </x:c>
      <x:c r="H6236" s="12" t="str">
        <x:v>Campus/portfolio roster; individual building occupancy unverified</x:v>
      </x:c>
      <x:c r="I6236" s="12" t="str">
        <x:v>Mixed business audience</x:v>
      </x:c>
      <x:c r="J6236" s="12" t="str">
        <x:v>Healthcare &amp; life sciences</x:v>
      </x:c>
      <x:c r="K6236" s="2" t="str">
        <x:v>PARTNER-M027</x:v>
      </x:c>
    </x:row>
    <x:row r="6237" ht="46" customHeight="1">
      <x:c r="A6237" s="2" t="str">
        <x:v>TEN-FECD2DA15F6C</x:v>
      </x:c>
      <x:c r="B6237" s="12" t="str">
        <x:v>Flowserve Global Technology &amp; Engineering Center (GTEC)</x:v>
      </x:c>
      <x:c r="C6237" s="12" t="str">
        <x:v>CORP-0448</x:v>
      </x:c>
      <x:c r="D6237" s="12" t="str">
        <x:v>Bengaluru</x:v>
      </x:c>
      <x:c r="E6237" s="12" t="str">
        <x:v>Prestige Shantiniketan</x:v>
      </x:c>
      <x:c r="F6237" s="12" t="str">
        <x:v>55 inch</x:v>
      </x:c>
      <x:c r="G6237" s="20" t="n">
        <x:v>1</x:v>
      </x:c>
      <x:c r="H6237" s="12" t="str">
        <x:v>Campus/portfolio roster; individual building occupancy unverified</x:v>
      </x:c>
      <x:c r="I6237" s="12" t="str">
        <x:v>Mixed business audience</x:v>
      </x:c>
      <x:c r="J6237" s="12" t="str">
        <x:v>Engineering &amp; manufacturing</x:v>
      </x:c>
      <x:c r="K6237" s="2" t="str">
        <x:v>PARTNER-M027</x:v>
      </x:c>
    </x:row>
    <x:row r="6238" ht="46" customHeight="1">
      <x:c r="A6238" s="2" t="str">
        <x:v>TEN-56046651CB41</x:v>
      </x:c>
      <x:c r="B6238" s="12" t="str">
        <x:v>BNP Paribas</x:v>
      </x:c>
      <x:c r="C6238" s="12" t="str">
        <x:v>CORP-0745</x:v>
      </x:c>
      <x:c r="D6238" s="12" t="str">
        <x:v>Chennai</x:v>
      </x:c>
      <x:c r="E6238" s="12" t="str">
        <x:v>Prince Towers</x:v>
      </x:c>
      <x:c r="F6238" s="12" t="str">
        <x:v>55 inch</x:v>
      </x:c>
      <x:c r="G6238" s="20" t="n">
        <x:v>1</x:v>
      </x:c>
      <x:c r="H6238" s="12" t="str">
        <x:v>Inventory-listed building/workspace context; current occupancy and screen access unverified</x:v>
      </x:c>
      <x:c r="I6238" s="12" t="str">
        <x:v>Large enterprise</x:v>
      </x:c>
      <x:c r="J6238" s="12" t="str">
        <x:v>Finance &amp; insurance</x:v>
      </x:c>
      <x:c r="K6238" s="2" t="str">
        <x:v>PARTNER-M331</x:v>
      </x:c>
    </x:row>
    <x:row r="6239" ht="46" customHeight="1">
      <x:c r="A6239" s="2" t="str">
        <x:v>TEN-A11F5674D336</x:v>
      </x:c>
      <x:c r="B6239" s="12" t="str">
        <x:v>Faber Sindoori Management Services</x:v>
      </x:c>
      <x:c r="C6239" s="12" t="str">
        <x:v>CORP-0745</x:v>
      </x:c>
      <x:c r="D6239" s="12" t="str">
        <x:v>Chennai</x:v>
      </x:c>
      <x:c r="E6239" s="12" t="str">
        <x:v>Prince Towers</x:v>
      </x:c>
      <x:c r="F6239" s="12" t="str">
        <x:v>55 inch</x:v>
      </x:c>
      <x:c r="G6239" s="20" t="n">
        <x:v>1</x:v>
      </x:c>
      <x:c r="H6239" s="12" t="str">
        <x:v>Inventory-listed building/workspace context; current occupancy and screen access unverified</x:v>
      </x:c>
      <x:c r="I6239" s="12" t="str">
        <x:v>Mixed business audience</x:v>
      </x:c>
      <x:c r="J6239" s="12" t="str">
        <x:v>Professional services</x:v>
      </x:c>
      <x:c r="K6239" s="2" t="str">
        <x:v>PARTNER-M331</x:v>
      </x:c>
    </x:row>
    <x:row r="6240" ht="46" customHeight="1">
      <x:c r="A6240" s="2" t="str">
        <x:v>TEN-BFEF756FD7D1</x:v>
      </x:c>
      <x:c r="B6240" s="12" t="str">
        <x:v>MMM Training Solutions</x:v>
      </x:c>
      <x:c r="C6240" s="12" t="str">
        <x:v>CORP-0745</x:v>
      </x:c>
      <x:c r="D6240" s="12" t="str">
        <x:v>Chennai</x:v>
      </x:c>
      <x:c r="E6240" s="12" t="str">
        <x:v>Prince Towers</x:v>
      </x:c>
      <x:c r="F6240" s="12" t="str">
        <x:v>55 inch</x:v>
      </x:c>
      <x:c r="G6240" s="20" t="n">
        <x:v>1</x:v>
      </x:c>
      <x:c r="H6240" s="12" t="str">
        <x:v>Inventory-listed building/workspace context; current occupancy and screen access unverified</x:v>
      </x:c>
      <x:c r="I6240" s="12" t="str">
        <x:v>Small-scale prospects</x:v>
      </x:c>
      <x:c r="J6240" s="12" t="str">
        <x:v>Education</x:v>
      </x:c>
      <x:c r="K6240" s="2" t="str">
        <x:v>PARTNER-M331</x:v>
      </x:c>
    </x:row>
    <x:row r="6241" ht="46" customHeight="1">
      <x:c r="A6241" s="2" t="str">
        <x:v>TEN-C944C0646D46</x:v>
      </x:c>
      <x:c r="B6241" s="12" t="str">
        <x:v>Acara Solutions India (Formerly Superior Talent India)</x:v>
      </x:c>
      <x:c r="C6241" s="12" t="str">
        <x:v>CORP-0745</x:v>
      </x:c>
      <x:c r="D6241" s="12" t="str">
        <x:v>Chennai</x:v>
      </x:c>
      <x:c r="E6241" s="12" t="str">
        <x:v>Prince Towers</x:v>
      </x:c>
      <x:c r="F6241" s="12" t="str">
        <x:v>55 inch</x:v>
      </x:c>
      <x:c r="G6241" s="20" t="n">
        <x:v>1</x:v>
      </x:c>
      <x:c r="H6241" s="12" t="str">
        <x:v>Inventory-listed building/workspace context; current occupancy and screen access unverified</x:v>
      </x:c>
      <x:c r="I6241" s="12" t="str">
        <x:v>Mixed business audience</x:v>
      </x:c>
      <x:c r="J6241" s="12" t="str">
        <x:v>Professional services</x:v>
      </x:c>
      <x:c r="K6241" s="2" t="str">
        <x:v>PARTNER-M331</x:v>
      </x:c>
    </x:row>
    <x:row r="6242" ht="46" customHeight="1">
      <x:c r="A6242" s="2" t="str">
        <x:v>TEN-CCB62E7F914B</x:v>
      </x:c>
      <x:c r="B6242" s="12" t="str">
        <x:v>Arkay Ispat Pvt Ltd</x:v>
      </x:c>
      <x:c r="C6242" s="12" t="str">
        <x:v>CORP-0745</x:v>
      </x:c>
      <x:c r="D6242" s="12" t="str">
        <x:v>Chennai</x:v>
      </x:c>
      <x:c r="E6242" s="12" t="str">
        <x:v>Prince Towers</x:v>
      </x:c>
      <x:c r="F6242" s="12" t="str">
        <x:v>55 inch</x:v>
      </x:c>
      <x:c r="G6242" s="20" t="n">
        <x:v>1</x:v>
      </x:c>
      <x:c r="H6242" s="12" t="str">
        <x:v>Inventory-listed building/workspace context; current occupancy and screen access unverified</x:v>
      </x:c>
      <x:c r="I6242" s="12" t="str">
        <x:v>Medium-scale prospects</x:v>
      </x:c>
      <x:c r="J6242" s="12" t="str">
        <x:v>Engineering &amp; manufacturing</x:v>
      </x:c>
      <x:c r="K6242" s="2" t="str">
        <x:v>PARTNER-M331</x:v>
      </x:c>
    </x:row>
    <x:row r="6243" ht="46" customHeight="1">
      <x:c r="A6243" s="2" t="str">
        <x:v>TEN-17CA9B2CE93C</x:v>
      </x:c>
      <x:c r="B6243" s="12" t="str">
        <x:v>Cushman</x:v>
      </x:c>
      <x:c r="C6243" s="12" t="str">
        <x:v>CORP-0746</x:v>
      </x:c>
      <x:c r="D6243" s="12" t="str">
        <x:v>Chennai</x:v>
      </x:c>
      <x:c r="E6243" s="12" t="str">
        <x:v>Prestige Polygon</x:v>
      </x:c>
      <x:c r="F6243" s="12" t="str">
        <x:v>55 inch</x:v>
      </x:c>
      <x:c r="G6243" s="20" t="n">
        <x:v>1</x:v>
      </x:c>
      <x:c r="H6243" s="12" t="str">
        <x:v>Campus/portfolio roster; individual building occupancy unverified</x:v>
      </x:c>
      <x:c r="I6243" s="12" t="str">
        <x:v>Large enterprise</x:v>
      </x:c>
      <x:c r="J6243" s="12" t="str">
        <x:v>Trade, consumer &amp; logistics</x:v>
      </x:c>
      <x:c r="K6243" s="2" t="str">
        <x:v>PARTNER-M332</x:v>
      </x:c>
    </x:row>
    <x:row r="6244" ht="46" customHeight="1">
      <x:c r="A6244" s="2" t="str">
        <x:v>TEN-288E47F6ADE1</x:v>
      </x:c>
      <x:c r="B6244" s="12" t="str">
        <x:v>AppStars</x:v>
      </x:c>
      <x:c r="C6244" s="12" t="str">
        <x:v>CORP-0746</x:v>
      </x:c>
      <x:c r="D6244" s="12" t="str">
        <x:v>Chennai</x:v>
      </x:c>
      <x:c r="E6244" s="12" t="str">
        <x:v>Prestige Polygon</x:v>
      </x:c>
      <x:c r="F6244" s="12" t="str">
        <x:v>55 inch</x:v>
      </x:c>
      <x:c r="G6244" s="20" t="n">
        <x:v>1</x:v>
      </x:c>
      <x:c r="H6244" s="12" t="str">
        <x:v>Campus/portfolio roster; individual building occupancy unverified</x:v>
      </x:c>
      <x:c r="I6244" s="12" t="str">
        <x:v>Mixed business audience</x:v>
      </x:c>
      <x:c r="J6244" s="12" t="str">
        <x:v>Unresolved</x:v>
      </x:c>
      <x:c r="K6244" s="2" t="str">
        <x:v>PARTNER-M332</x:v>
      </x:c>
    </x:row>
    <x:row r="6245" ht="46" customHeight="1">
      <x:c r="A6245" s="2" t="str">
        <x:v>TEN-2E0E4384184D</x:v>
      </x:c>
      <x:c r="B6245" s="12" t="str">
        <x:v>Vatika</x:v>
      </x:c>
      <x:c r="C6245" s="12" t="str">
        <x:v>CORP-0746</x:v>
      </x:c>
      <x:c r="D6245" s="12" t="str">
        <x:v>Chennai</x:v>
      </x:c>
      <x:c r="E6245" s="12" t="str">
        <x:v>Prestige Polygon</x:v>
      </x:c>
      <x:c r="F6245" s="12" t="str">
        <x:v>55 inch</x:v>
      </x:c>
      <x:c r="G6245" s="20" t="n">
        <x:v>1</x:v>
      </x:c>
      <x:c r="H6245" s="12" t="str">
        <x:v>Campus/portfolio roster; individual building occupancy unverified</x:v>
      </x:c>
      <x:c r="I6245" s="12" t="str">
        <x:v>Mixed business audience</x:v>
      </x:c>
      <x:c r="J6245" s="12" t="str">
        <x:v>Trade, consumer &amp; logistics</x:v>
      </x:c>
      <x:c r="K6245" s="2" t="str">
        <x:v>PARTNER-M332</x:v>
      </x:c>
    </x:row>
    <x:row r="6246" ht="46" customHeight="1">
      <x:c r="A6246" s="2" t="str">
        <x:v>TEN-4C4553C8F64F</x:v>
      </x:c>
      <x:c r="B6246" s="12" t="str">
        <x:v>Ananth Rathi</x:v>
      </x:c>
      <x:c r="C6246" s="12" t="str">
        <x:v>CORP-0746</x:v>
      </x:c>
      <x:c r="D6246" s="12" t="str">
        <x:v>Chennai</x:v>
      </x:c>
      <x:c r="E6246" s="12" t="str">
        <x:v>Prestige Polygon</x:v>
      </x:c>
      <x:c r="F6246" s="12" t="str">
        <x:v>55 inch</x:v>
      </x:c>
      <x:c r="G6246" s="20" t="n">
        <x:v>1</x:v>
      </x:c>
      <x:c r="H6246" s="12" t="str">
        <x:v>Campus/portfolio roster; individual building occupancy unverified</x:v>
      </x:c>
      <x:c r="I6246" s="12" t="str">
        <x:v>Mixed business audience</x:v>
      </x:c>
      <x:c r="J6246" s="12" t="str">
        <x:v>Finance &amp; insurance</x:v>
      </x:c>
      <x:c r="K6246" s="2" t="str">
        <x:v>PARTNER-M332</x:v>
      </x:c>
    </x:row>
    <x:row r="6247" ht="46" customHeight="1">
      <x:c r="A6247" s="2" t="str">
        <x:v>TEN-4EB14676114F</x:v>
      </x:c>
      <x:c r="B6247" s="12" t="str">
        <x:v>Tamil Nadu Guidance</x:v>
      </x:c>
      <x:c r="C6247" s="12" t="str">
        <x:v>CORP-0746</x:v>
      </x:c>
      <x:c r="D6247" s="12" t="str">
        <x:v>Chennai</x:v>
      </x:c>
      <x:c r="E6247" s="12" t="str">
        <x:v>Prestige Polygon</x:v>
      </x:c>
      <x:c r="F6247" s="12" t="str">
        <x:v>55 inch</x:v>
      </x:c>
      <x:c r="G6247" s="20" t="n">
        <x:v>1</x:v>
      </x:c>
      <x:c r="H6247" s="12" t="str">
        <x:v>Campus/portfolio roster; individual building occupancy unverified</x:v>
      </x:c>
      <x:c r="I6247" s="12" t="str">
        <x:v>Institutional</x:v>
      </x:c>
      <x:c r="J6247" s="12" t="str">
        <x:v>Government &amp; nonprofit</x:v>
      </x:c>
      <x:c r="K6247" s="2" t="str">
        <x:v>PARTNER-M332</x:v>
      </x:c>
    </x:row>
    <x:row r="6248" ht="46" customHeight="1">
      <x:c r="A6248" s="2" t="str">
        <x:v>TEN-50A9D77E82BD</x:v>
      </x:c>
      <x:c r="B6248" s="12" t="str">
        <x:v>Durr</x:v>
      </x:c>
      <x:c r="C6248" s="12" t="str">
        <x:v>CORP-0746</x:v>
      </x:c>
      <x:c r="D6248" s="12" t="str">
        <x:v>Chennai</x:v>
      </x:c>
      <x:c r="E6248" s="12" t="str">
        <x:v>Prestige Polygon</x:v>
      </x:c>
      <x:c r="F6248" s="12" t="str">
        <x:v>55 inch</x:v>
      </x:c>
      <x:c r="G6248" s="20" t="n">
        <x:v>1</x:v>
      </x:c>
      <x:c r="H6248" s="12" t="str">
        <x:v>Campus/portfolio roster; individual building occupancy unverified</x:v>
      </x:c>
      <x:c r="I6248" s="12" t="str">
        <x:v>Mixed business audience</x:v>
      </x:c>
      <x:c r="J6248" s="12" t="str">
        <x:v>Engineering &amp; manufacturing</x:v>
      </x:c>
      <x:c r="K6248" s="2" t="str">
        <x:v>PARTNER-M332</x:v>
      </x:c>
    </x:row>
    <x:row r="6249" ht="46" customHeight="1">
      <x:c r="A6249" s="2" t="str">
        <x:v>TEN-5FED6F03A8D3</x:v>
      </x:c>
      <x:c r="B6249" s="12" t="str">
        <x:v>CredAvenue Securities</x:v>
      </x:c>
      <x:c r="C6249" s="12" t="str">
        <x:v>CORP-0746</x:v>
      </x:c>
      <x:c r="D6249" s="12" t="str">
        <x:v>Chennai</x:v>
      </x:c>
      <x:c r="E6249" s="12" t="str">
        <x:v>Prestige Polygon</x:v>
      </x:c>
      <x:c r="F6249" s="12" t="str">
        <x:v>55 inch</x:v>
      </x:c>
      <x:c r="G6249" s="20" t="n">
        <x:v>1</x:v>
      </x:c>
      <x:c r="H6249" s="12" t="str">
        <x:v>Campus/portfolio roster; individual building occupancy unverified</x:v>
      </x:c>
      <x:c r="I6249" s="12" t="str">
        <x:v>Mixed business audience</x:v>
      </x:c>
      <x:c r="J6249" s="12" t="str">
        <x:v>Finance &amp; insurance</x:v>
      </x:c>
      <x:c r="K6249" s="2" t="str">
        <x:v>PARTNER-M332</x:v>
      </x:c>
    </x:row>
    <x:row r="6250" ht="46" customHeight="1">
      <x:c r="A6250" s="2" t="str">
        <x:v>TEN-642BFD277E31</x:v>
      </x:c>
      <x:c r="B6250" s="12" t="str">
        <x:v>KBR</x:v>
      </x:c>
      <x:c r="C6250" s="12" t="str">
        <x:v>CORP-0746</x:v>
      </x:c>
      <x:c r="D6250" s="12" t="str">
        <x:v>Chennai</x:v>
      </x:c>
      <x:c r="E6250" s="12" t="str">
        <x:v>Prestige Polygon</x:v>
      </x:c>
      <x:c r="F6250" s="12" t="str">
        <x:v>55 inch</x:v>
      </x:c>
      <x:c r="G6250" s="20" t="n">
        <x:v>1</x:v>
      </x:c>
      <x:c r="H6250" s="12" t="str">
        <x:v>Campus/portfolio roster; individual building occupancy unverified</x:v>
      </x:c>
      <x:c r="I6250" s="12" t="str">
        <x:v>Mixed business audience</x:v>
      </x:c>
      <x:c r="J6250" s="12" t="str">
        <x:v>Engineering &amp; manufacturing</x:v>
      </x:c>
      <x:c r="K6250" s="2" t="str">
        <x:v>PARTNER-M332</x:v>
      </x:c>
    </x:row>
    <x:row r="6251" ht="46" customHeight="1">
      <x:c r="A6251" s="2" t="str">
        <x:v>TEN-8DCD18640A0A</x:v>
      </x:c>
      <x:c r="B6251" s="12" t="str">
        <x:v>Kotak</x:v>
      </x:c>
      <x:c r="C6251" s="12" t="str">
        <x:v>CORP-0746</x:v>
      </x:c>
      <x:c r="D6251" s="12" t="str">
        <x:v>Chennai</x:v>
      </x:c>
      <x:c r="E6251" s="12" t="str">
        <x:v>Prestige Polygon</x:v>
      </x:c>
      <x:c r="F6251" s="12" t="str">
        <x:v>55 inch</x:v>
      </x:c>
      <x:c r="G6251" s="20" t="n">
        <x:v>1</x:v>
      </x:c>
      <x:c r="H6251" s="12" t="str">
        <x:v>Campus/portfolio roster; individual building occupancy unverified</x:v>
      </x:c>
      <x:c r="I6251" s="12" t="str">
        <x:v>Large enterprise</x:v>
      </x:c>
      <x:c r="J6251" s="12" t="str">
        <x:v>Finance &amp; insurance</x:v>
      </x:c>
      <x:c r="K6251" s="2" t="str">
        <x:v>PARTNER-M332</x:v>
      </x:c>
    </x:row>
    <x:row r="6252" ht="46" customHeight="1">
      <x:c r="A6252" s="2" t="str">
        <x:v>TEN-9FBF261B62C1</x:v>
      </x:c>
      <x:c r="B6252" s="12" t="str">
        <x:v>Microsoft</x:v>
      </x:c>
      <x:c r="C6252" s="12" t="str">
        <x:v>CORP-0746</x:v>
      </x:c>
      <x:c r="D6252" s="12" t="str">
        <x:v>Chennai</x:v>
      </x:c>
      <x:c r="E6252" s="12" t="str">
        <x:v>Prestige Polygon</x:v>
      </x:c>
      <x:c r="F6252" s="12" t="str">
        <x:v>55 inch</x:v>
      </x:c>
      <x:c r="G6252" s="20" t="n">
        <x:v>1</x:v>
      </x:c>
      <x:c r="H6252" s="12" t="str">
        <x:v>Campus/portfolio roster; individual building occupancy unverified</x:v>
      </x:c>
      <x:c r="I6252" s="12" t="str">
        <x:v>Large enterprise</x:v>
      </x:c>
      <x:c r="J6252" s="12" t="str">
        <x:v>IT &amp; digital</x:v>
      </x:c>
      <x:c r="K6252" s="2" t="str">
        <x:v>PARTNER-M332</x:v>
      </x:c>
    </x:row>
    <x:row r="6253" ht="46" customHeight="1">
      <x:c r="A6253" s="2" t="str">
        <x:v>TEN-A82F7A1C6BEE</x:v>
      </x:c>
      <x:c r="B6253" s="12" t="str">
        <x:v>Gigamon</x:v>
      </x:c>
      <x:c r="C6253" s="12" t="str">
        <x:v>CORP-0746</x:v>
      </x:c>
      <x:c r="D6253" s="12" t="str">
        <x:v>Chennai</x:v>
      </x:c>
      <x:c r="E6253" s="12" t="str">
        <x:v>Prestige Polygon</x:v>
      </x:c>
      <x:c r="F6253" s="12" t="str">
        <x:v>55 inch</x:v>
      </x:c>
      <x:c r="G6253" s="20" t="n">
        <x:v>1</x:v>
      </x:c>
      <x:c r="H6253" s="12" t="str">
        <x:v>Campus/portfolio roster; individual building occupancy unverified</x:v>
      </x:c>
      <x:c r="I6253" s="12" t="str">
        <x:v>Mixed business audience</x:v>
      </x:c>
      <x:c r="J6253" s="12" t="str">
        <x:v>IT &amp; digital</x:v>
      </x:c>
      <x:c r="K6253" s="2" t="str">
        <x:v>PARTNER-M332</x:v>
      </x:c>
    </x:row>
    <x:row r="6254" ht="46" customHeight="1">
      <x:c r="A6254" s="2" t="str">
        <x:v>TEN-B68EE3D6C8CA</x:v>
      </x:c>
      <x:c r="B6254" s="12" t="str">
        <x:v>Smartworks</x:v>
      </x:c>
      <x:c r="C6254" s="12" t="str">
        <x:v>CORP-0746</x:v>
      </x:c>
      <x:c r="D6254" s="12" t="str">
        <x:v>Chennai</x:v>
      </x:c>
      <x:c r="E6254" s="12" t="str">
        <x:v>Prestige Polygon</x:v>
      </x:c>
      <x:c r="F6254" s="12" t="str">
        <x:v>55 inch</x:v>
      </x:c>
      <x:c r="G6254" s="20" t="n">
        <x:v>1</x:v>
      </x:c>
      <x:c r="H6254" s="12" t="str">
        <x:v>Campus/portfolio roster; individual building occupancy unverified</x:v>
      </x:c>
      <x:c r="I6254" s="12" t="str">
        <x:v>Mixed business audience</x:v>
      </x:c>
      <x:c r="J6254" s="12" t="str">
        <x:v>Workspace &amp; property operations</x:v>
      </x:c>
      <x:c r="K6254" s="2" t="str">
        <x:v>PARTNER-M332</x:v>
      </x:c>
    </x:row>
    <x:row r="6255" ht="46" customHeight="1">
      <x:c r="A6255" s="2" t="str">
        <x:v>TEN-B7D6BC892877</x:v>
      </x:c>
      <x:c r="B6255" s="12" t="str">
        <x:v>CredAvenue</x:v>
      </x:c>
      <x:c r="C6255" s="12" t="str">
        <x:v>CORP-0746</x:v>
      </x:c>
      <x:c r="D6255" s="12" t="str">
        <x:v>Chennai</x:v>
      </x:c>
      <x:c r="E6255" s="12" t="str">
        <x:v>Prestige Polygon</x:v>
      </x:c>
      <x:c r="F6255" s="12" t="str">
        <x:v>55 inch</x:v>
      </x:c>
      <x:c r="G6255" s="20" t="n">
        <x:v>1</x:v>
      </x:c>
      <x:c r="H6255" s="12" t="str">
        <x:v>Campus/portfolio roster; individual building occupancy unverified</x:v>
      </x:c>
      <x:c r="I6255" s="12" t="str">
        <x:v>Mixed business audience</x:v>
      </x:c>
      <x:c r="J6255" s="12" t="str">
        <x:v>Finance &amp; insurance</x:v>
      </x:c>
      <x:c r="K6255" s="2" t="str">
        <x:v>PARTNER-M332</x:v>
      </x:c>
    </x:row>
    <x:row r="6256" ht="46" customHeight="1">
      <x:c r="A6256" s="2" t="str">
        <x:v>TEN-C3CA7D8DCA22</x:v>
      </x:c>
      <x:c r="B6256" s="12" t="str">
        <x:v>RRD</x:v>
      </x:c>
      <x:c r="C6256" s="12" t="str">
        <x:v>CORP-0746</x:v>
      </x:c>
      <x:c r="D6256" s="12" t="str">
        <x:v>Chennai</x:v>
      </x:c>
      <x:c r="E6256" s="12" t="str">
        <x:v>Prestige Polygon</x:v>
      </x:c>
      <x:c r="F6256" s="12" t="str">
        <x:v>55 inch</x:v>
      </x:c>
      <x:c r="G6256" s="20" t="n">
        <x:v>1</x:v>
      </x:c>
      <x:c r="H6256" s="12" t="str">
        <x:v>Campus/portfolio roster; individual building occupancy unverified</x:v>
      </x:c>
      <x:c r="I6256" s="12" t="str">
        <x:v>Mixed business audience</x:v>
      </x:c>
      <x:c r="J6256" s="12" t="str">
        <x:v>Unresolved</x:v>
      </x:c>
      <x:c r="K6256" s="2" t="str">
        <x:v>PARTNER-M332</x:v>
      </x:c>
    </x:row>
    <x:row r="6257" ht="46" customHeight="1">
      <x:c r="A6257" s="2" t="str">
        <x:v>TEN-17CA9B2CE93C</x:v>
      </x:c>
      <x:c r="B6257" s="12" t="str">
        <x:v>Cushman</x:v>
      </x:c>
      <x:c r="C6257" s="12" t="str">
        <x:v>CORP-0747</x:v>
      </x:c>
      <x:c r="D6257" s="12" t="str">
        <x:v>Chennai</x:v>
      </x:c>
      <x:c r="E6257" s="12" t="str">
        <x:v>Prestige Polygon</x:v>
      </x:c>
      <x:c r="F6257" s="12" t="str">
        <x:v>55 inch</x:v>
      </x:c>
      <x:c r="G6257" s="20" t="n">
        <x:v>1</x:v>
      </x:c>
      <x:c r="H6257" s="12" t="str">
        <x:v>Campus/portfolio roster; individual building occupancy unverified</x:v>
      </x:c>
      <x:c r="I6257" s="12" t="str">
        <x:v>Large enterprise</x:v>
      </x:c>
      <x:c r="J6257" s="12" t="str">
        <x:v>Trade, consumer &amp; logistics</x:v>
      </x:c>
      <x:c r="K6257" s="2" t="str">
        <x:v>PARTNER-M332</x:v>
      </x:c>
    </x:row>
    <x:row r="6258" ht="46" customHeight="1">
      <x:c r="A6258" s="2" t="str">
        <x:v>TEN-288E47F6ADE1</x:v>
      </x:c>
      <x:c r="B6258" s="12" t="str">
        <x:v>AppStars</x:v>
      </x:c>
      <x:c r="C6258" s="12" t="str">
        <x:v>CORP-0747</x:v>
      </x:c>
      <x:c r="D6258" s="12" t="str">
        <x:v>Chennai</x:v>
      </x:c>
      <x:c r="E6258" s="12" t="str">
        <x:v>Prestige Polygon</x:v>
      </x:c>
      <x:c r="F6258" s="12" t="str">
        <x:v>55 inch</x:v>
      </x:c>
      <x:c r="G6258" s="20" t="n">
        <x:v>1</x:v>
      </x:c>
      <x:c r="H6258" s="12" t="str">
        <x:v>Campus/portfolio roster; individual building occupancy unverified</x:v>
      </x:c>
      <x:c r="I6258" s="12" t="str">
        <x:v>Mixed business audience</x:v>
      </x:c>
      <x:c r="J6258" s="12" t="str">
        <x:v>Unresolved</x:v>
      </x:c>
      <x:c r="K6258" s="2" t="str">
        <x:v>PARTNER-M332</x:v>
      </x:c>
    </x:row>
    <x:row r="6259" ht="46" customHeight="1">
      <x:c r="A6259" s="2" t="str">
        <x:v>TEN-2E0E4384184D</x:v>
      </x:c>
      <x:c r="B6259" s="12" t="str">
        <x:v>Vatika</x:v>
      </x:c>
      <x:c r="C6259" s="12" t="str">
        <x:v>CORP-0747</x:v>
      </x:c>
      <x:c r="D6259" s="12" t="str">
        <x:v>Chennai</x:v>
      </x:c>
      <x:c r="E6259" s="12" t="str">
        <x:v>Prestige Polygon</x:v>
      </x:c>
      <x:c r="F6259" s="12" t="str">
        <x:v>55 inch</x:v>
      </x:c>
      <x:c r="G6259" s="20" t="n">
        <x:v>1</x:v>
      </x:c>
      <x:c r="H6259" s="12" t="str">
        <x:v>Campus/portfolio roster; individual building occupancy unverified</x:v>
      </x:c>
      <x:c r="I6259" s="12" t="str">
        <x:v>Mixed business audience</x:v>
      </x:c>
      <x:c r="J6259" s="12" t="str">
        <x:v>Trade, consumer &amp; logistics</x:v>
      </x:c>
      <x:c r="K6259" s="2" t="str">
        <x:v>PARTNER-M332</x:v>
      </x:c>
    </x:row>
    <x:row r="6260" ht="46" customHeight="1">
      <x:c r="A6260" s="2" t="str">
        <x:v>TEN-4C4553C8F64F</x:v>
      </x:c>
      <x:c r="B6260" s="12" t="str">
        <x:v>Ananth Rathi</x:v>
      </x:c>
      <x:c r="C6260" s="12" t="str">
        <x:v>CORP-0747</x:v>
      </x:c>
      <x:c r="D6260" s="12" t="str">
        <x:v>Chennai</x:v>
      </x:c>
      <x:c r="E6260" s="12" t="str">
        <x:v>Prestige Polygon</x:v>
      </x:c>
      <x:c r="F6260" s="12" t="str">
        <x:v>55 inch</x:v>
      </x:c>
      <x:c r="G6260" s="20" t="n">
        <x:v>1</x:v>
      </x:c>
      <x:c r="H6260" s="12" t="str">
        <x:v>Campus/portfolio roster; individual building occupancy unverified</x:v>
      </x:c>
      <x:c r="I6260" s="12" t="str">
        <x:v>Mixed business audience</x:v>
      </x:c>
      <x:c r="J6260" s="12" t="str">
        <x:v>Finance &amp; insurance</x:v>
      </x:c>
      <x:c r="K6260" s="2" t="str">
        <x:v>PARTNER-M332</x:v>
      </x:c>
    </x:row>
    <x:row r="6261" ht="46" customHeight="1">
      <x:c r="A6261" s="2" t="str">
        <x:v>TEN-4EB14676114F</x:v>
      </x:c>
      <x:c r="B6261" s="12" t="str">
        <x:v>Tamil Nadu Guidance</x:v>
      </x:c>
      <x:c r="C6261" s="12" t="str">
        <x:v>CORP-0747</x:v>
      </x:c>
      <x:c r="D6261" s="12" t="str">
        <x:v>Chennai</x:v>
      </x:c>
      <x:c r="E6261" s="12" t="str">
        <x:v>Prestige Polygon</x:v>
      </x:c>
      <x:c r="F6261" s="12" t="str">
        <x:v>55 inch</x:v>
      </x:c>
      <x:c r="G6261" s="20" t="n">
        <x:v>1</x:v>
      </x:c>
      <x:c r="H6261" s="12" t="str">
        <x:v>Campus/portfolio roster; individual building occupancy unverified</x:v>
      </x:c>
      <x:c r="I6261" s="12" t="str">
        <x:v>Institutional</x:v>
      </x:c>
      <x:c r="J6261" s="12" t="str">
        <x:v>Government &amp; nonprofit</x:v>
      </x:c>
      <x:c r="K6261" s="2" t="str">
        <x:v>PARTNER-M332</x:v>
      </x:c>
    </x:row>
    <x:row r="6262" ht="46" customHeight="1">
      <x:c r="A6262" s="2" t="str">
        <x:v>TEN-50A9D77E82BD</x:v>
      </x:c>
      <x:c r="B6262" s="12" t="str">
        <x:v>Durr</x:v>
      </x:c>
      <x:c r="C6262" s="12" t="str">
        <x:v>CORP-0747</x:v>
      </x:c>
      <x:c r="D6262" s="12" t="str">
        <x:v>Chennai</x:v>
      </x:c>
      <x:c r="E6262" s="12" t="str">
        <x:v>Prestige Polygon</x:v>
      </x:c>
      <x:c r="F6262" s="12" t="str">
        <x:v>55 inch</x:v>
      </x:c>
      <x:c r="G6262" s="20" t="n">
        <x:v>1</x:v>
      </x:c>
      <x:c r="H6262" s="12" t="str">
        <x:v>Campus/portfolio roster; individual building occupancy unverified</x:v>
      </x:c>
      <x:c r="I6262" s="12" t="str">
        <x:v>Mixed business audience</x:v>
      </x:c>
      <x:c r="J6262" s="12" t="str">
        <x:v>Engineering &amp; manufacturing</x:v>
      </x:c>
      <x:c r="K6262" s="2" t="str">
        <x:v>PARTNER-M332</x:v>
      </x:c>
    </x:row>
    <x:row r="6263" ht="46" customHeight="1">
      <x:c r="A6263" s="2" t="str">
        <x:v>TEN-5FED6F03A8D3</x:v>
      </x:c>
      <x:c r="B6263" s="12" t="str">
        <x:v>CredAvenue Securities</x:v>
      </x:c>
      <x:c r="C6263" s="12" t="str">
        <x:v>CORP-0747</x:v>
      </x:c>
      <x:c r="D6263" s="12" t="str">
        <x:v>Chennai</x:v>
      </x:c>
      <x:c r="E6263" s="12" t="str">
        <x:v>Prestige Polygon</x:v>
      </x:c>
      <x:c r="F6263" s="12" t="str">
        <x:v>55 inch</x:v>
      </x:c>
      <x:c r="G6263" s="20" t="n">
        <x:v>1</x:v>
      </x:c>
      <x:c r="H6263" s="12" t="str">
        <x:v>Campus/portfolio roster; individual building occupancy unverified</x:v>
      </x:c>
      <x:c r="I6263" s="12" t="str">
        <x:v>Mixed business audience</x:v>
      </x:c>
      <x:c r="J6263" s="12" t="str">
        <x:v>Finance &amp; insurance</x:v>
      </x:c>
      <x:c r="K6263" s="2" t="str">
        <x:v>PARTNER-M332</x:v>
      </x:c>
    </x:row>
    <x:row r="6264" ht="46" customHeight="1">
      <x:c r="A6264" s="2" t="str">
        <x:v>TEN-642BFD277E31</x:v>
      </x:c>
      <x:c r="B6264" s="12" t="str">
        <x:v>KBR</x:v>
      </x:c>
      <x:c r="C6264" s="12" t="str">
        <x:v>CORP-0747</x:v>
      </x:c>
      <x:c r="D6264" s="12" t="str">
        <x:v>Chennai</x:v>
      </x:c>
      <x:c r="E6264" s="12" t="str">
        <x:v>Prestige Polygon</x:v>
      </x:c>
      <x:c r="F6264" s="12" t="str">
        <x:v>55 inch</x:v>
      </x:c>
      <x:c r="G6264" s="20" t="n">
        <x:v>1</x:v>
      </x:c>
      <x:c r="H6264" s="12" t="str">
        <x:v>Campus/portfolio roster; individual building occupancy unverified</x:v>
      </x:c>
      <x:c r="I6264" s="12" t="str">
        <x:v>Mixed business audience</x:v>
      </x:c>
      <x:c r="J6264" s="12" t="str">
        <x:v>Engineering &amp; manufacturing</x:v>
      </x:c>
      <x:c r="K6264" s="2" t="str">
        <x:v>PARTNER-M332</x:v>
      </x:c>
    </x:row>
    <x:row r="6265" ht="46" customHeight="1">
      <x:c r="A6265" s="2" t="str">
        <x:v>TEN-8DCD18640A0A</x:v>
      </x:c>
      <x:c r="B6265" s="12" t="str">
        <x:v>Kotak</x:v>
      </x:c>
      <x:c r="C6265" s="12" t="str">
        <x:v>CORP-0747</x:v>
      </x:c>
      <x:c r="D6265" s="12" t="str">
        <x:v>Chennai</x:v>
      </x:c>
      <x:c r="E6265" s="12" t="str">
        <x:v>Prestige Polygon</x:v>
      </x:c>
      <x:c r="F6265" s="12" t="str">
        <x:v>55 inch</x:v>
      </x:c>
      <x:c r="G6265" s="20" t="n">
        <x:v>1</x:v>
      </x:c>
      <x:c r="H6265" s="12" t="str">
        <x:v>Campus/portfolio roster; individual building occupancy unverified</x:v>
      </x:c>
      <x:c r="I6265" s="12" t="str">
        <x:v>Large enterprise</x:v>
      </x:c>
      <x:c r="J6265" s="12" t="str">
        <x:v>Finance &amp; insurance</x:v>
      </x:c>
      <x:c r="K6265" s="2" t="str">
        <x:v>PARTNER-M332</x:v>
      </x:c>
    </x:row>
    <x:row r="6266" ht="46" customHeight="1">
      <x:c r="A6266" s="2" t="str">
        <x:v>TEN-9FBF261B62C1</x:v>
      </x:c>
      <x:c r="B6266" s="12" t="str">
        <x:v>Microsoft</x:v>
      </x:c>
      <x:c r="C6266" s="12" t="str">
        <x:v>CORP-0747</x:v>
      </x:c>
      <x:c r="D6266" s="12" t="str">
        <x:v>Chennai</x:v>
      </x:c>
      <x:c r="E6266" s="12" t="str">
        <x:v>Prestige Polygon</x:v>
      </x:c>
      <x:c r="F6266" s="12" t="str">
        <x:v>55 inch</x:v>
      </x:c>
      <x:c r="G6266" s="20" t="n">
        <x:v>1</x:v>
      </x:c>
      <x:c r="H6266" s="12" t="str">
        <x:v>Campus/portfolio roster; individual building occupancy unverified</x:v>
      </x:c>
      <x:c r="I6266" s="12" t="str">
        <x:v>Large enterprise</x:v>
      </x:c>
      <x:c r="J6266" s="12" t="str">
        <x:v>IT &amp; digital</x:v>
      </x:c>
      <x:c r="K6266" s="2" t="str">
        <x:v>PARTNER-M332</x:v>
      </x:c>
    </x:row>
    <x:row r="6267" ht="46" customHeight="1">
      <x:c r="A6267" s="2" t="str">
        <x:v>TEN-A82F7A1C6BEE</x:v>
      </x:c>
      <x:c r="B6267" s="12" t="str">
        <x:v>Gigamon</x:v>
      </x:c>
      <x:c r="C6267" s="12" t="str">
        <x:v>CORP-0747</x:v>
      </x:c>
      <x:c r="D6267" s="12" t="str">
        <x:v>Chennai</x:v>
      </x:c>
      <x:c r="E6267" s="12" t="str">
        <x:v>Prestige Polygon</x:v>
      </x:c>
      <x:c r="F6267" s="12" t="str">
        <x:v>55 inch</x:v>
      </x:c>
      <x:c r="G6267" s="20" t="n">
        <x:v>1</x:v>
      </x:c>
      <x:c r="H6267" s="12" t="str">
        <x:v>Campus/portfolio roster; individual building occupancy unverified</x:v>
      </x:c>
      <x:c r="I6267" s="12" t="str">
        <x:v>Mixed business audience</x:v>
      </x:c>
      <x:c r="J6267" s="12" t="str">
        <x:v>IT &amp; digital</x:v>
      </x:c>
      <x:c r="K6267" s="2" t="str">
        <x:v>PARTNER-M332</x:v>
      </x:c>
    </x:row>
    <x:row r="6268" ht="46" customHeight="1">
      <x:c r="A6268" s="2" t="str">
        <x:v>TEN-B68EE3D6C8CA</x:v>
      </x:c>
      <x:c r="B6268" s="12" t="str">
        <x:v>Smartworks</x:v>
      </x:c>
      <x:c r="C6268" s="12" t="str">
        <x:v>CORP-0747</x:v>
      </x:c>
      <x:c r="D6268" s="12" t="str">
        <x:v>Chennai</x:v>
      </x:c>
      <x:c r="E6268" s="12" t="str">
        <x:v>Prestige Polygon</x:v>
      </x:c>
      <x:c r="F6268" s="12" t="str">
        <x:v>55 inch</x:v>
      </x:c>
      <x:c r="G6268" s="20" t="n">
        <x:v>1</x:v>
      </x:c>
      <x:c r="H6268" s="12" t="str">
        <x:v>Campus/portfolio roster; individual building occupancy unverified</x:v>
      </x:c>
      <x:c r="I6268" s="12" t="str">
        <x:v>Mixed business audience</x:v>
      </x:c>
      <x:c r="J6268" s="12" t="str">
        <x:v>Workspace &amp; property operations</x:v>
      </x:c>
      <x:c r="K6268" s="2" t="str">
        <x:v>PARTNER-M332</x:v>
      </x:c>
    </x:row>
    <x:row r="6269" ht="46" customHeight="1">
      <x:c r="A6269" s="2" t="str">
        <x:v>TEN-B7D6BC892877</x:v>
      </x:c>
      <x:c r="B6269" s="12" t="str">
        <x:v>CredAvenue</x:v>
      </x:c>
      <x:c r="C6269" s="12" t="str">
        <x:v>CORP-0747</x:v>
      </x:c>
      <x:c r="D6269" s="12" t="str">
        <x:v>Chennai</x:v>
      </x:c>
      <x:c r="E6269" s="12" t="str">
        <x:v>Prestige Polygon</x:v>
      </x:c>
      <x:c r="F6269" s="12" t="str">
        <x:v>55 inch</x:v>
      </x:c>
      <x:c r="G6269" s="20" t="n">
        <x:v>1</x:v>
      </x:c>
      <x:c r="H6269" s="12" t="str">
        <x:v>Campus/portfolio roster; individual building occupancy unverified</x:v>
      </x:c>
      <x:c r="I6269" s="12" t="str">
        <x:v>Mixed business audience</x:v>
      </x:c>
      <x:c r="J6269" s="12" t="str">
        <x:v>Finance &amp; insurance</x:v>
      </x:c>
      <x:c r="K6269" s="2" t="str">
        <x:v>PARTNER-M332</x:v>
      </x:c>
    </x:row>
    <x:row r="6270" ht="46" customHeight="1">
      <x:c r="A6270" s="2" t="str">
        <x:v>TEN-C3CA7D8DCA22</x:v>
      </x:c>
      <x:c r="B6270" s="12" t="str">
        <x:v>RRD</x:v>
      </x:c>
      <x:c r="C6270" s="12" t="str">
        <x:v>CORP-0747</x:v>
      </x:c>
      <x:c r="D6270" s="12" t="str">
        <x:v>Chennai</x:v>
      </x:c>
      <x:c r="E6270" s="12" t="str">
        <x:v>Prestige Polygon</x:v>
      </x:c>
      <x:c r="F6270" s="12" t="str">
        <x:v>55 inch</x:v>
      </x:c>
      <x:c r="G6270" s="20" t="n">
        <x:v>1</x:v>
      </x:c>
      <x:c r="H6270" s="12" t="str">
        <x:v>Campus/portfolio roster; individual building occupancy unverified</x:v>
      </x:c>
      <x:c r="I6270" s="12" t="str">
        <x:v>Mixed business audience</x:v>
      </x:c>
      <x:c r="J6270" s="12" t="str">
        <x:v>Unresolved</x:v>
      </x:c>
      <x:c r="K6270" s="2" t="str">
        <x:v>PARTNER-M332</x:v>
      </x:c>
    </x:row>
    <x:row r="6271" ht="46" customHeight="1">
      <x:c r="A6271" s="2" t="str">
        <x:v>TEN-11695A472FC1</x:v>
      </x:c>
      <x:c r="B6271" s="12" t="str">
        <x:v>EMIRATES NBD Bank P.J.S.C</x:v>
      </x:c>
      <x:c r="C6271" s="12" t="str">
        <x:v>CORP-0748</x:v>
      </x:c>
      <x:c r="D6271" s="12" t="str">
        <x:v>Chennai</x:v>
      </x:c>
      <x:c r="E6271" s="12" t="str">
        <x:v>Prestige Zakria Metropolitan</x:v>
      </x:c>
      <x:c r="F6271" s="12" t="str">
        <x:v>55 inch</x:v>
      </x:c>
      <x:c r="G6271" s="20" t="n">
        <x:v>1</x:v>
      </x:c>
      <x:c r="H6271" s="12" t="str">
        <x:v>Campus/portfolio roster; individual building occupancy unverified</x:v>
      </x:c>
      <x:c r="I6271" s="12" t="str">
        <x:v>Mixed business audience</x:v>
      </x:c>
      <x:c r="J6271" s="12" t="str">
        <x:v>Finance &amp; insurance</x:v>
      </x:c>
      <x:c r="K6271" s="2" t="str">
        <x:v>PARTNER-M334</x:v>
      </x:c>
    </x:row>
    <x:row r="6272" ht="46" customHeight="1">
      <x:c r="A6272" s="2" t="str">
        <x:v>TEN-34415AA2B02E</x:v>
      </x:c>
      <x:c r="B6272" s="12" t="str">
        <x:v>GM Modular Pvt Ltd</x:v>
      </x:c>
      <x:c r="C6272" s="12" t="str">
        <x:v>CORP-0748</x:v>
      </x:c>
      <x:c r="D6272" s="12" t="str">
        <x:v>Chennai</x:v>
      </x:c>
      <x:c r="E6272" s="12" t="str">
        <x:v>Prestige Zakria Metropolitan</x:v>
      </x:c>
      <x:c r="F6272" s="12" t="str">
        <x:v>55 inch</x:v>
      </x:c>
      <x:c r="G6272" s="20" t="n">
        <x:v>1</x:v>
      </x:c>
      <x:c r="H6272" s="12" t="str">
        <x:v>Campus/portfolio roster; individual building occupancy unverified</x:v>
      </x:c>
      <x:c r="I6272" s="12" t="str">
        <x:v>Mixed business audience</x:v>
      </x:c>
      <x:c r="J6272" s="12" t="str">
        <x:v>Engineering &amp; manufacturing</x:v>
      </x:c>
      <x:c r="K6272" s="2" t="str">
        <x:v>PARTNER-M334</x:v>
      </x:c>
    </x:row>
    <x:row r="6273" ht="46" customHeight="1">
      <x:c r="A6273" s="2" t="str">
        <x:v>TEN-52FBDEAF6627</x:v>
      </x:c>
      <x:c r="B6273" s="12" t="str">
        <x:v>Clarivate</x:v>
      </x:c>
      <x:c r="C6273" s="12" t="str">
        <x:v>CORP-0748</x:v>
      </x:c>
      <x:c r="D6273" s="12" t="str">
        <x:v>Chennai</x:v>
      </x:c>
      <x:c r="E6273" s="12" t="str">
        <x:v>Prestige Zakria Metropolitan</x:v>
      </x:c>
      <x:c r="F6273" s="12" t="str">
        <x:v>55 inch</x:v>
      </x:c>
      <x:c r="G6273" s="20" t="n">
        <x:v>1</x:v>
      </x:c>
      <x:c r="H6273" s="12" t="str">
        <x:v>Campus/portfolio roster; individual building occupancy unverified</x:v>
      </x:c>
      <x:c r="I6273" s="12" t="str">
        <x:v>Mixed business audience</x:v>
      </x:c>
      <x:c r="J6273" s="12" t="str">
        <x:v>IT &amp; digital</x:v>
      </x:c>
      <x:c r="K6273" s="2" t="str">
        <x:v>PARTNER-M334</x:v>
      </x:c>
    </x:row>
    <x:row r="6274" ht="46" customHeight="1">
      <x:c r="A6274" s="2" t="str">
        <x:v>TEN-80BAA3706B07</x:v>
      </x:c>
      <x:c r="B6274" s="12" t="str">
        <x:v>AWFIS Space Solutions Pvt Ltd</x:v>
      </x:c>
      <x:c r="C6274" s="12" t="str">
        <x:v>CORP-0748</x:v>
      </x:c>
      <x:c r="D6274" s="12" t="str">
        <x:v>Chennai</x:v>
      </x:c>
      <x:c r="E6274" s="12" t="str">
        <x:v>Prestige Zakria Metropolitan</x:v>
      </x:c>
      <x:c r="F6274" s="12" t="str">
        <x:v>55 inch</x:v>
      </x:c>
      <x:c r="G6274" s="20" t="n">
        <x:v>1</x:v>
      </x:c>
      <x:c r="H6274" s="12" t="str">
        <x:v>Campus/portfolio roster; individual building occupancy unverified</x:v>
      </x:c>
      <x:c r="I6274" s="12" t="str">
        <x:v>Mixed business audience</x:v>
      </x:c>
      <x:c r="J6274" s="12" t="str">
        <x:v>Workspace &amp; property operations</x:v>
      </x:c>
      <x:c r="K6274" s="2" t="str">
        <x:v>PARTNER-M334</x:v>
      </x:c>
    </x:row>
    <x:row r="6275" ht="46" customHeight="1">
      <x:c r="A6275" s="2" t="str">
        <x:v>TEN-8AF7B3748A5F</x:v>
      </x:c>
      <x:c r="B6275" s="12" t="str">
        <x:v>Vivriti Capital Pvt Ltd</x:v>
      </x:c>
      <x:c r="C6275" s="12" t="str">
        <x:v>CORP-0748</x:v>
      </x:c>
      <x:c r="D6275" s="12" t="str">
        <x:v>Chennai</x:v>
      </x:c>
      <x:c r="E6275" s="12" t="str">
        <x:v>Prestige Zakria Metropolitan</x:v>
      </x:c>
      <x:c r="F6275" s="12" t="str">
        <x:v>55 inch</x:v>
      </x:c>
      <x:c r="G6275" s="20" t="n">
        <x:v>1</x:v>
      </x:c>
      <x:c r="H6275" s="12" t="str">
        <x:v>Campus/portfolio roster; individual building occupancy unverified</x:v>
      </x:c>
      <x:c r="I6275" s="12" t="str">
        <x:v>Mixed business audience</x:v>
      </x:c>
      <x:c r="J6275" s="12" t="str">
        <x:v>Finance &amp; insurance</x:v>
      </x:c>
      <x:c r="K6275" s="2" t="str">
        <x:v>PARTNER-M334</x:v>
      </x:c>
    </x:row>
    <x:row r="6276" ht="46" customHeight="1">
      <x:c r="A6276" s="2" t="str">
        <x:v>TEN-93969D193161</x:v>
      </x:c>
      <x:c r="B6276" s="12" t="str">
        <x:v>Hp</x:v>
      </x:c>
      <x:c r="C6276" s="12" t="str">
        <x:v>CORP-0748</x:v>
      </x:c>
      <x:c r="D6276" s="12" t="str">
        <x:v>Chennai</x:v>
      </x:c>
      <x:c r="E6276" s="12" t="str">
        <x:v>Prestige Zakria Metropolitan</x:v>
      </x:c>
      <x:c r="F6276" s="12" t="str">
        <x:v>55 inch</x:v>
      </x:c>
      <x:c r="G6276" s="20" t="n">
        <x:v>1</x:v>
      </x:c>
      <x:c r="H6276" s="12" t="str">
        <x:v>Campus/portfolio roster; individual building occupancy unverified</x:v>
      </x:c>
      <x:c r="I6276" s="12" t="str">
        <x:v>Mixed business audience</x:v>
      </x:c>
      <x:c r="J6276" s="12" t="str">
        <x:v>Engineering &amp; manufacturing</x:v>
      </x:c>
      <x:c r="K6276" s="2" t="str">
        <x:v>PARTNER-M334</x:v>
      </x:c>
    </x:row>
    <x:row r="6277" ht="46" customHeight="1">
      <x:c r="A6277" s="2" t="str">
        <x:v>TEN-977F6DCD151C</x:v>
      </x:c>
      <x:c r="B6277" s="12" t="str">
        <x:v>I Software Operation Pvt Ltd</x:v>
      </x:c>
      <x:c r="C6277" s="12" t="str">
        <x:v>CORP-0748</x:v>
      </x:c>
      <x:c r="D6277" s="12" t="str">
        <x:v>Chennai</x:v>
      </x:c>
      <x:c r="E6277" s="12" t="str">
        <x:v>Prestige Zakria Metropolitan</x:v>
      </x:c>
      <x:c r="F6277" s="12" t="str">
        <x:v>55 inch</x:v>
      </x:c>
      <x:c r="G6277" s="20" t="n">
        <x:v>1</x:v>
      </x:c>
      <x:c r="H6277" s="12" t="str">
        <x:v>Campus/portfolio roster; individual building occupancy unverified</x:v>
      </x:c>
      <x:c r="I6277" s="12" t="str">
        <x:v>Small-scale prospects</x:v>
      </x:c>
      <x:c r="J6277" s="12" t="str">
        <x:v>IT &amp; digital</x:v>
      </x:c>
      <x:c r="K6277" s="2" t="str">
        <x:v>PARTNER-M334</x:v>
      </x:c>
    </x:row>
    <x:row r="6278" ht="46" customHeight="1">
      <x:c r="A6278" s="2" t="str">
        <x:v>TEN-ADAEE2D21EB8</x:v>
      </x:c>
      <x:c r="B6278" s="12" t="str">
        <x:v>Symbyont Asset Management Pvt Ltd</x:v>
      </x:c>
      <x:c r="C6278" s="12" t="str">
        <x:v>CORP-0748</x:v>
      </x:c>
      <x:c r="D6278" s="12" t="str">
        <x:v>Chennai</x:v>
      </x:c>
      <x:c r="E6278" s="12" t="str">
        <x:v>Prestige Zakria Metropolitan</x:v>
      </x:c>
      <x:c r="F6278" s="12" t="str">
        <x:v>55 inch</x:v>
      </x:c>
      <x:c r="G6278" s="20" t="n">
        <x:v>1</x:v>
      </x:c>
      <x:c r="H6278" s="12" t="str">
        <x:v>Campus/portfolio roster; individual building occupancy unverified</x:v>
      </x:c>
      <x:c r="I6278" s="12" t="str">
        <x:v>Medium-scale prospects</x:v>
      </x:c>
      <x:c r="J6278" s="12" t="str">
        <x:v>Finance &amp; insurance</x:v>
      </x:c>
      <x:c r="K6278" s="2" t="str">
        <x:v>PARTNER-M334</x:v>
      </x:c>
    </x:row>
    <x:row r="6279" ht="46" customHeight="1">
      <x:c r="A6279" s="2" t="str">
        <x:v>TEN-AF1817801D9F</x:v>
      </x:c>
      <x:c r="B6279" s="12" t="str">
        <x:v>Hewlett Packard Enterprise (Global eBusiness Operation Pvt Ltd)</x:v>
      </x:c>
      <x:c r="C6279" s="12" t="str">
        <x:v>CORP-0748</x:v>
      </x:c>
      <x:c r="D6279" s="12" t="str">
        <x:v>Chennai</x:v>
      </x:c>
      <x:c r="E6279" s="12" t="str">
        <x:v>Prestige Zakria Metropolitan</x:v>
      </x:c>
      <x:c r="F6279" s="12" t="str">
        <x:v>55 inch</x:v>
      </x:c>
      <x:c r="G6279" s="20" t="n">
        <x:v>1</x:v>
      </x:c>
      <x:c r="H6279" s="12" t="str">
        <x:v>Campus/portfolio roster; individual building occupancy unverified</x:v>
      </x:c>
      <x:c r="I6279" s="12" t="str">
        <x:v>Large enterprise</x:v>
      </x:c>
      <x:c r="J6279" s="12" t="str">
        <x:v>Engineering &amp; manufacturing</x:v>
      </x:c>
      <x:c r="K6279" s="2" t="str">
        <x:v>PARTNER-M334</x:v>
      </x:c>
    </x:row>
    <x:row r="6280" ht="46" customHeight="1">
      <x:c r="A6280" s="2" t="str">
        <x:v>TEN-E14BB6DB933C</x:v>
      </x:c>
      <x:c r="B6280" s="12" t="str">
        <x:v>Maersk Line India Pvt Ltd</x:v>
      </x:c>
      <x:c r="C6280" s="12" t="str">
        <x:v>CORP-0748</x:v>
      </x:c>
      <x:c r="D6280" s="12" t="str">
        <x:v>Chennai</x:v>
      </x:c>
      <x:c r="E6280" s="12" t="str">
        <x:v>Prestige Zakria Metropolitan</x:v>
      </x:c>
      <x:c r="F6280" s="12" t="str">
        <x:v>55 inch</x:v>
      </x:c>
      <x:c r="G6280" s="20" t="n">
        <x:v>1</x:v>
      </x:c>
      <x:c r="H6280" s="12" t="str">
        <x:v>Campus/portfolio roster; individual building occupancy unverified</x:v>
      </x:c>
      <x:c r="I6280" s="12" t="str">
        <x:v>Large enterprise</x:v>
      </x:c>
      <x:c r="J6280" s="12" t="str">
        <x:v>Trade, consumer &amp; logistics</x:v>
      </x:c>
      <x:c r="K6280" s="2" t="str">
        <x:v>PARTNER-M334</x:v>
      </x:c>
    </x:row>
    <x:row r="6281" ht="46" customHeight="1">
      <x:c r="A6281" s="2" t="str">
        <x:v>TEN-E99C8208C589</x:v>
      </x:c>
      <x:c r="B6281" s="12" t="str">
        <x:v>Vivriti Asset Management Pvt Ltd</x:v>
      </x:c>
      <x:c r="C6281" s="12" t="str">
        <x:v>CORP-0748</x:v>
      </x:c>
      <x:c r="D6281" s="12" t="str">
        <x:v>Chennai</x:v>
      </x:c>
      <x:c r="E6281" s="12" t="str">
        <x:v>Prestige Zakria Metropolitan</x:v>
      </x:c>
      <x:c r="F6281" s="12" t="str">
        <x:v>55 inch</x:v>
      </x:c>
      <x:c r="G6281" s="20" t="n">
        <x:v>1</x:v>
      </x:c>
      <x:c r="H6281" s="12" t="str">
        <x:v>Campus/portfolio roster; individual building occupancy unverified</x:v>
      </x:c>
      <x:c r="I6281" s="12" t="str">
        <x:v>Mixed business audience</x:v>
      </x:c>
      <x:c r="J6281" s="12" t="str">
        <x:v>Finance &amp; insurance</x:v>
      </x:c>
      <x:c r="K6281" s="2" t="str">
        <x:v>PARTNER-M334</x:v>
      </x:c>
    </x:row>
    <x:row r="6282" ht="46" customHeight="1">
      <x:c r="A6282" s="2" t="str">
        <x:v>TEN-F244698491CB</x:v>
      </x:c>
      <x:c r="B6282" s="12" t="str">
        <x:v>Damco India Pvt Ltd</x:v>
      </x:c>
      <x:c r="C6282" s="12" t="str">
        <x:v>CORP-0748</x:v>
      </x:c>
      <x:c r="D6282" s="12" t="str">
        <x:v>Chennai</x:v>
      </x:c>
      <x:c r="E6282" s="12" t="str">
        <x:v>Prestige Zakria Metropolitan</x:v>
      </x:c>
      <x:c r="F6282" s="12" t="str">
        <x:v>55 inch</x:v>
      </x:c>
      <x:c r="G6282" s="20" t="n">
        <x:v>1</x:v>
      </x:c>
      <x:c r="H6282" s="12" t="str">
        <x:v>Campus/portfolio roster; individual building occupancy unverified</x:v>
      </x:c>
      <x:c r="I6282" s="12" t="str">
        <x:v>Mixed business audience</x:v>
      </x:c>
      <x:c r="J6282" s="12" t="str">
        <x:v>Trade, consumer &amp; logistics</x:v>
      </x:c>
      <x:c r="K6282" s="2" t="str">
        <x:v>PARTNER-M334</x:v>
      </x:c>
    </x:row>
    <x:row r="6283" ht="46" customHeight="1">
      <x:c r="A6283" s="2" t="str">
        <x:v>TEN-11695A472FC1</x:v>
      </x:c>
      <x:c r="B6283" s="12" t="str">
        <x:v>EMIRATES NBD Bank P.J.S.C</x:v>
      </x:c>
      <x:c r="C6283" s="12" t="str">
        <x:v>CORP-0749</x:v>
      </x:c>
      <x:c r="D6283" s="12" t="str">
        <x:v>Chennai</x:v>
      </x:c>
      <x:c r="E6283" s="12" t="str">
        <x:v>Prestige Zakria Metropolitan</x:v>
      </x:c>
      <x:c r="F6283" s="12" t="str">
        <x:v>55 inch</x:v>
      </x:c>
      <x:c r="G6283" s="20" t="n">
        <x:v>1</x:v>
      </x:c>
      <x:c r="H6283" s="12" t="str">
        <x:v>Campus/portfolio roster; individual building occupancy unverified</x:v>
      </x:c>
      <x:c r="I6283" s="12" t="str">
        <x:v>Mixed business audience</x:v>
      </x:c>
      <x:c r="J6283" s="12" t="str">
        <x:v>Finance &amp; insurance</x:v>
      </x:c>
      <x:c r="K6283" s="2" t="str">
        <x:v>PARTNER-M334</x:v>
      </x:c>
    </x:row>
    <x:row r="6284" ht="46" customHeight="1">
      <x:c r="A6284" s="2" t="str">
        <x:v>TEN-34415AA2B02E</x:v>
      </x:c>
      <x:c r="B6284" s="12" t="str">
        <x:v>GM Modular Pvt Ltd</x:v>
      </x:c>
      <x:c r="C6284" s="12" t="str">
        <x:v>CORP-0749</x:v>
      </x:c>
      <x:c r="D6284" s="12" t="str">
        <x:v>Chennai</x:v>
      </x:c>
      <x:c r="E6284" s="12" t="str">
        <x:v>Prestige Zakria Metropolitan</x:v>
      </x:c>
      <x:c r="F6284" s="12" t="str">
        <x:v>55 inch</x:v>
      </x:c>
      <x:c r="G6284" s="20" t="n">
        <x:v>1</x:v>
      </x:c>
      <x:c r="H6284" s="12" t="str">
        <x:v>Campus/portfolio roster; individual building occupancy unverified</x:v>
      </x:c>
      <x:c r="I6284" s="12" t="str">
        <x:v>Mixed business audience</x:v>
      </x:c>
      <x:c r="J6284" s="12" t="str">
        <x:v>Engineering &amp; manufacturing</x:v>
      </x:c>
      <x:c r="K6284" s="2" t="str">
        <x:v>PARTNER-M334</x:v>
      </x:c>
    </x:row>
    <x:row r="6285" ht="46" customHeight="1">
      <x:c r="A6285" s="2" t="str">
        <x:v>TEN-52FBDEAF6627</x:v>
      </x:c>
      <x:c r="B6285" s="12" t="str">
        <x:v>Clarivate</x:v>
      </x:c>
      <x:c r="C6285" s="12" t="str">
        <x:v>CORP-0749</x:v>
      </x:c>
      <x:c r="D6285" s="12" t="str">
        <x:v>Chennai</x:v>
      </x:c>
      <x:c r="E6285" s="12" t="str">
        <x:v>Prestige Zakria Metropolitan</x:v>
      </x:c>
      <x:c r="F6285" s="12" t="str">
        <x:v>55 inch</x:v>
      </x:c>
      <x:c r="G6285" s="20" t="n">
        <x:v>1</x:v>
      </x:c>
      <x:c r="H6285" s="12" t="str">
        <x:v>Campus/portfolio roster; individual building occupancy unverified</x:v>
      </x:c>
      <x:c r="I6285" s="12" t="str">
        <x:v>Mixed business audience</x:v>
      </x:c>
      <x:c r="J6285" s="12" t="str">
        <x:v>IT &amp; digital</x:v>
      </x:c>
      <x:c r="K6285" s="2" t="str">
        <x:v>PARTNER-M334</x:v>
      </x:c>
    </x:row>
    <x:row r="6286" ht="46" customHeight="1">
      <x:c r="A6286" s="2" t="str">
        <x:v>TEN-80BAA3706B07</x:v>
      </x:c>
      <x:c r="B6286" s="12" t="str">
        <x:v>AWFIS Space Solutions Pvt Ltd</x:v>
      </x:c>
      <x:c r="C6286" s="12" t="str">
        <x:v>CORP-0749</x:v>
      </x:c>
      <x:c r="D6286" s="12" t="str">
        <x:v>Chennai</x:v>
      </x:c>
      <x:c r="E6286" s="12" t="str">
        <x:v>Prestige Zakria Metropolitan</x:v>
      </x:c>
      <x:c r="F6286" s="12" t="str">
        <x:v>55 inch</x:v>
      </x:c>
      <x:c r="G6286" s="20" t="n">
        <x:v>1</x:v>
      </x:c>
      <x:c r="H6286" s="12" t="str">
        <x:v>Campus/portfolio roster; individual building occupancy unverified</x:v>
      </x:c>
      <x:c r="I6286" s="12" t="str">
        <x:v>Mixed business audience</x:v>
      </x:c>
      <x:c r="J6286" s="12" t="str">
        <x:v>Workspace &amp; property operations</x:v>
      </x:c>
      <x:c r="K6286" s="2" t="str">
        <x:v>PARTNER-M334</x:v>
      </x:c>
    </x:row>
    <x:row r="6287" ht="46" customHeight="1">
      <x:c r="A6287" s="2" t="str">
        <x:v>TEN-8AF7B3748A5F</x:v>
      </x:c>
      <x:c r="B6287" s="12" t="str">
        <x:v>Vivriti Capital Pvt Ltd</x:v>
      </x:c>
      <x:c r="C6287" s="12" t="str">
        <x:v>CORP-0749</x:v>
      </x:c>
      <x:c r="D6287" s="12" t="str">
        <x:v>Chennai</x:v>
      </x:c>
      <x:c r="E6287" s="12" t="str">
        <x:v>Prestige Zakria Metropolitan</x:v>
      </x:c>
      <x:c r="F6287" s="12" t="str">
        <x:v>55 inch</x:v>
      </x:c>
      <x:c r="G6287" s="20" t="n">
        <x:v>1</x:v>
      </x:c>
      <x:c r="H6287" s="12" t="str">
        <x:v>Campus/portfolio roster; individual building occupancy unverified</x:v>
      </x:c>
      <x:c r="I6287" s="12" t="str">
        <x:v>Mixed business audience</x:v>
      </x:c>
      <x:c r="J6287" s="12" t="str">
        <x:v>Finance &amp; insurance</x:v>
      </x:c>
      <x:c r="K6287" s="2" t="str">
        <x:v>PARTNER-M334</x:v>
      </x:c>
    </x:row>
    <x:row r="6288" ht="46" customHeight="1">
      <x:c r="A6288" s="2" t="str">
        <x:v>TEN-93969D193161</x:v>
      </x:c>
      <x:c r="B6288" s="12" t="str">
        <x:v>Hp</x:v>
      </x:c>
      <x:c r="C6288" s="12" t="str">
        <x:v>CORP-0749</x:v>
      </x:c>
      <x:c r="D6288" s="12" t="str">
        <x:v>Chennai</x:v>
      </x:c>
      <x:c r="E6288" s="12" t="str">
        <x:v>Prestige Zakria Metropolitan</x:v>
      </x:c>
      <x:c r="F6288" s="12" t="str">
        <x:v>55 inch</x:v>
      </x:c>
      <x:c r="G6288" s="20" t="n">
        <x:v>1</x:v>
      </x:c>
      <x:c r="H6288" s="12" t="str">
        <x:v>Campus/portfolio roster; individual building occupancy unverified</x:v>
      </x:c>
      <x:c r="I6288" s="12" t="str">
        <x:v>Mixed business audience</x:v>
      </x:c>
      <x:c r="J6288" s="12" t="str">
        <x:v>Engineering &amp; manufacturing</x:v>
      </x:c>
      <x:c r="K6288" s="2" t="str">
        <x:v>PARTNER-M334</x:v>
      </x:c>
    </x:row>
    <x:row r="6289" ht="46" customHeight="1">
      <x:c r="A6289" s="2" t="str">
        <x:v>TEN-977F6DCD151C</x:v>
      </x:c>
      <x:c r="B6289" s="12" t="str">
        <x:v>I Software Operation Pvt Ltd</x:v>
      </x:c>
      <x:c r="C6289" s="12" t="str">
        <x:v>CORP-0749</x:v>
      </x:c>
      <x:c r="D6289" s="12" t="str">
        <x:v>Chennai</x:v>
      </x:c>
      <x:c r="E6289" s="12" t="str">
        <x:v>Prestige Zakria Metropolitan</x:v>
      </x:c>
      <x:c r="F6289" s="12" t="str">
        <x:v>55 inch</x:v>
      </x:c>
      <x:c r="G6289" s="20" t="n">
        <x:v>1</x:v>
      </x:c>
      <x:c r="H6289" s="12" t="str">
        <x:v>Campus/portfolio roster; individual building occupancy unverified</x:v>
      </x:c>
      <x:c r="I6289" s="12" t="str">
        <x:v>Small-scale prospects</x:v>
      </x:c>
      <x:c r="J6289" s="12" t="str">
        <x:v>IT &amp; digital</x:v>
      </x:c>
      <x:c r="K6289" s="2" t="str">
        <x:v>PARTNER-M334</x:v>
      </x:c>
    </x:row>
    <x:row r="6290" ht="46" customHeight="1">
      <x:c r="A6290" s="2" t="str">
        <x:v>TEN-ADAEE2D21EB8</x:v>
      </x:c>
      <x:c r="B6290" s="12" t="str">
        <x:v>Symbyont Asset Management Pvt Ltd</x:v>
      </x:c>
      <x:c r="C6290" s="12" t="str">
        <x:v>CORP-0749</x:v>
      </x:c>
      <x:c r="D6290" s="12" t="str">
        <x:v>Chennai</x:v>
      </x:c>
      <x:c r="E6290" s="12" t="str">
        <x:v>Prestige Zakria Metropolitan</x:v>
      </x:c>
      <x:c r="F6290" s="12" t="str">
        <x:v>55 inch</x:v>
      </x:c>
      <x:c r="G6290" s="20" t="n">
        <x:v>1</x:v>
      </x:c>
      <x:c r="H6290" s="12" t="str">
        <x:v>Campus/portfolio roster; individual building occupancy unverified</x:v>
      </x:c>
      <x:c r="I6290" s="12" t="str">
        <x:v>Medium-scale prospects</x:v>
      </x:c>
      <x:c r="J6290" s="12" t="str">
        <x:v>Finance &amp; insurance</x:v>
      </x:c>
      <x:c r="K6290" s="2" t="str">
        <x:v>PARTNER-M334</x:v>
      </x:c>
    </x:row>
    <x:row r="6291" ht="46" customHeight="1">
      <x:c r="A6291" s="2" t="str">
        <x:v>TEN-AF1817801D9F</x:v>
      </x:c>
      <x:c r="B6291" s="12" t="str">
        <x:v>Hewlett Packard Enterprise (Global eBusiness Operation Pvt Ltd)</x:v>
      </x:c>
      <x:c r="C6291" s="12" t="str">
        <x:v>CORP-0749</x:v>
      </x:c>
      <x:c r="D6291" s="12" t="str">
        <x:v>Chennai</x:v>
      </x:c>
      <x:c r="E6291" s="12" t="str">
        <x:v>Prestige Zakria Metropolitan</x:v>
      </x:c>
      <x:c r="F6291" s="12" t="str">
        <x:v>55 inch</x:v>
      </x:c>
      <x:c r="G6291" s="20" t="n">
        <x:v>1</x:v>
      </x:c>
      <x:c r="H6291" s="12" t="str">
        <x:v>Campus/portfolio roster; individual building occupancy unverified</x:v>
      </x:c>
      <x:c r="I6291" s="12" t="str">
        <x:v>Large enterprise</x:v>
      </x:c>
      <x:c r="J6291" s="12" t="str">
        <x:v>Engineering &amp; manufacturing</x:v>
      </x:c>
      <x:c r="K6291" s="2" t="str">
        <x:v>PARTNER-M334</x:v>
      </x:c>
    </x:row>
    <x:row r="6292" ht="46" customHeight="1">
      <x:c r="A6292" s="2" t="str">
        <x:v>TEN-E14BB6DB933C</x:v>
      </x:c>
      <x:c r="B6292" s="12" t="str">
        <x:v>Maersk Line India Pvt Ltd</x:v>
      </x:c>
      <x:c r="C6292" s="12" t="str">
        <x:v>CORP-0749</x:v>
      </x:c>
      <x:c r="D6292" s="12" t="str">
        <x:v>Chennai</x:v>
      </x:c>
      <x:c r="E6292" s="12" t="str">
        <x:v>Prestige Zakria Metropolitan</x:v>
      </x:c>
      <x:c r="F6292" s="12" t="str">
        <x:v>55 inch</x:v>
      </x:c>
      <x:c r="G6292" s="20" t="n">
        <x:v>1</x:v>
      </x:c>
      <x:c r="H6292" s="12" t="str">
        <x:v>Campus/portfolio roster; individual building occupancy unverified</x:v>
      </x:c>
      <x:c r="I6292" s="12" t="str">
        <x:v>Large enterprise</x:v>
      </x:c>
      <x:c r="J6292" s="12" t="str">
        <x:v>Trade, consumer &amp; logistics</x:v>
      </x:c>
      <x:c r="K6292" s="2" t="str">
        <x:v>PARTNER-M334</x:v>
      </x:c>
    </x:row>
    <x:row r="6293" ht="46" customHeight="1">
      <x:c r="A6293" s="2" t="str">
        <x:v>TEN-E99C8208C589</x:v>
      </x:c>
      <x:c r="B6293" s="12" t="str">
        <x:v>Vivriti Asset Management Pvt Ltd</x:v>
      </x:c>
      <x:c r="C6293" s="12" t="str">
        <x:v>CORP-0749</x:v>
      </x:c>
      <x:c r="D6293" s="12" t="str">
        <x:v>Chennai</x:v>
      </x:c>
      <x:c r="E6293" s="12" t="str">
        <x:v>Prestige Zakria Metropolitan</x:v>
      </x:c>
      <x:c r="F6293" s="12" t="str">
        <x:v>55 inch</x:v>
      </x:c>
      <x:c r="G6293" s="20" t="n">
        <x:v>1</x:v>
      </x:c>
      <x:c r="H6293" s="12" t="str">
        <x:v>Campus/portfolio roster; individual building occupancy unverified</x:v>
      </x:c>
      <x:c r="I6293" s="12" t="str">
        <x:v>Mixed business audience</x:v>
      </x:c>
      <x:c r="J6293" s="12" t="str">
        <x:v>Finance &amp; insurance</x:v>
      </x:c>
      <x:c r="K6293" s="2" t="str">
        <x:v>PARTNER-M334</x:v>
      </x:c>
    </x:row>
    <x:row r="6294" ht="46" customHeight="1">
      <x:c r="A6294" s="2" t="str">
        <x:v>TEN-F244698491CB</x:v>
      </x:c>
      <x:c r="B6294" s="12" t="str">
        <x:v>Damco India Pvt Ltd</x:v>
      </x:c>
      <x:c r="C6294" s="12" t="str">
        <x:v>CORP-0749</x:v>
      </x:c>
      <x:c r="D6294" s="12" t="str">
        <x:v>Chennai</x:v>
      </x:c>
      <x:c r="E6294" s="12" t="str">
        <x:v>Prestige Zakria Metropolitan</x:v>
      </x:c>
      <x:c r="F6294" s="12" t="str">
        <x:v>55 inch</x:v>
      </x:c>
      <x:c r="G6294" s="20" t="n">
        <x:v>1</x:v>
      </x:c>
      <x:c r="H6294" s="12" t="str">
        <x:v>Campus/portfolio roster; individual building occupancy unverified</x:v>
      </x:c>
      <x:c r="I6294" s="12" t="str">
        <x:v>Mixed business audience</x:v>
      </x:c>
      <x:c r="J6294" s="12" t="str">
        <x:v>Trade, consumer &amp; logistics</x:v>
      </x:c>
      <x:c r="K6294" s="2" t="str">
        <x:v>PARTNER-M334</x:v>
      </x:c>
    </x:row>
    <x:row r="6295" ht="46" customHeight="1">
      <x:c r="A6295" s="2" t="str">
        <x:v>TEN-3DA7A100CB6A</x:v>
      </x:c>
      <x:c r="B6295" s="12" t="str">
        <x:v>CapGemini Technologies Services Pvt Ltd</x:v>
      </x:c>
      <x:c r="C6295" s="12" t="str">
        <x:v>CORP-0750</x:v>
      </x:c>
      <x:c r="D6295" s="12" t="str">
        <x:v>Chennai</x:v>
      </x:c>
      <x:c r="E6295" s="12" t="str">
        <x:v>Prestige Cyber Tower</x:v>
      </x:c>
      <x:c r="F6295" s="12" t="str">
        <x:v>55 inch</x:v>
      </x:c>
      <x:c r="G6295" s="20" t="n">
        <x:v>1</x:v>
      </x:c>
      <x:c r="H6295" s="12" t="str">
        <x:v>Campus/portfolio roster; individual building occupancy unverified</x:v>
      </x:c>
      <x:c r="I6295" s="12" t="str">
        <x:v>Large enterprise</x:v>
      </x:c>
      <x:c r="J6295" s="12" t="str">
        <x:v>IT &amp; digital</x:v>
      </x:c>
      <x:c r="K6295" s="2" t="str">
        <x:v>PARTNER-M336</x:v>
      </x:c>
    </x:row>
    <x:row r="6296" ht="46" customHeight="1">
      <x:c r="A6296" s="2" t="str">
        <x:v>TEN-3EAEC1212261</x:v>
      </x:c>
      <x:c r="B6296" s="12" t="str">
        <x:v>WNS Global Services Pvt Ltd</x:v>
      </x:c>
      <x:c r="C6296" s="12" t="str">
        <x:v>CORP-0750</x:v>
      </x:c>
      <x:c r="D6296" s="12" t="str">
        <x:v>Chennai</x:v>
      </x:c>
      <x:c r="E6296" s="12" t="str">
        <x:v>Prestige Cyber Tower</x:v>
      </x:c>
      <x:c r="F6296" s="12" t="str">
        <x:v>55 inch</x:v>
      </x:c>
      <x:c r="G6296" s="20" t="n">
        <x:v>1</x:v>
      </x:c>
      <x:c r="H6296" s="12" t="str">
        <x:v>Campus/portfolio roster; individual building occupancy unverified</x:v>
      </x:c>
      <x:c r="I6296" s="12" t="str">
        <x:v>Mixed business audience</x:v>
      </x:c>
      <x:c r="J6296" s="12" t="str">
        <x:v>IT &amp; digital</x:v>
      </x:c>
      <x:c r="K6296" s="2" t="str">
        <x:v>PARTNER-M336</x:v>
      </x:c>
    </x:row>
    <x:row r="6297" ht="46" customHeight="1">
      <x:c r="A6297" s="2" t="str">
        <x:v>TEN-90EE7A25A1C2</x:v>
      </x:c>
      <x:c r="B6297" s="12" t="str">
        <x:v>AGP GGD India Pvt Ltd</x:v>
      </x:c>
      <x:c r="C6297" s="12" t="str">
        <x:v>CORP-0750</x:v>
      </x:c>
      <x:c r="D6297" s="12" t="str">
        <x:v>Chennai</x:v>
      </x:c>
      <x:c r="E6297" s="12" t="str">
        <x:v>Prestige Cyber Tower</x:v>
      </x:c>
      <x:c r="F6297" s="12" t="str">
        <x:v>55 inch</x:v>
      </x:c>
      <x:c r="G6297" s="20" t="n">
        <x:v>1</x:v>
      </x:c>
      <x:c r="H6297" s="12" t="str">
        <x:v>Campus/portfolio roster; individual building occupancy unverified</x:v>
      </x:c>
      <x:c r="I6297" s="12" t="str">
        <x:v>Mixed business audience</x:v>
      </x:c>
      <x:c r="J6297" s="12" t="str">
        <x:v>Unresolved</x:v>
      </x:c>
      <x:c r="K6297" s="2" t="str">
        <x:v>PARTNER-M336</x:v>
      </x:c>
    </x:row>
    <x:row r="6298" ht="46" customHeight="1">
      <x:c r="A6298" s="2" t="str">
        <x:v>TEN-3DA7A100CB6A</x:v>
      </x:c>
      <x:c r="B6298" s="12" t="str">
        <x:v>CapGemini Technologies Services Pvt Ltd</x:v>
      </x:c>
      <x:c r="C6298" s="12" t="str">
        <x:v>CORP-0751</x:v>
      </x:c>
      <x:c r="D6298" s="12" t="str">
        <x:v>Chennai</x:v>
      </x:c>
      <x:c r="E6298" s="12" t="str">
        <x:v>Prestige Cyber Tower</x:v>
      </x:c>
      <x:c r="F6298" s="12" t="str">
        <x:v>55 inch</x:v>
      </x:c>
      <x:c r="G6298" s="20" t="n">
        <x:v>1</x:v>
      </x:c>
      <x:c r="H6298" s="12" t="str">
        <x:v>Campus/portfolio roster; individual building occupancy unverified</x:v>
      </x:c>
      <x:c r="I6298" s="12" t="str">
        <x:v>Large enterprise</x:v>
      </x:c>
      <x:c r="J6298" s="12" t="str">
        <x:v>IT &amp; digital</x:v>
      </x:c>
      <x:c r="K6298" s="2" t="str">
        <x:v>PARTNER-M336</x:v>
      </x:c>
    </x:row>
    <x:row r="6299" ht="46" customHeight="1">
      <x:c r="A6299" s="2" t="str">
        <x:v>TEN-3EAEC1212261</x:v>
      </x:c>
      <x:c r="B6299" s="12" t="str">
        <x:v>WNS Global Services Pvt Ltd</x:v>
      </x:c>
      <x:c r="C6299" s="12" t="str">
        <x:v>CORP-0751</x:v>
      </x:c>
      <x:c r="D6299" s="12" t="str">
        <x:v>Chennai</x:v>
      </x:c>
      <x:c r="E6299" s="12" t="str">
        <x:v>Prestige Cyber Tower</x:v>
      </x:c>
      <x:c r="F6299" s="12" t="str">
        <x:v>55 inch</x:v>
      </x:c>
      <x:c r="G6299" s="20" t="n">
        <x:v>1</x:v>
      </x:c>
      <x:c r="H6299" s="12" t="str">
        <x:v>Campus/portfolio roster; individual building occupancy unverified</x:v>
      </x:c>
      <x:c r="I6299" s="12" t="str">
        <x:v>Mixed business audience</x:v>
      </x:c>
      <x:c r="J6299" s="12" t="str">
        <x:v>IT &amp; digital</x:v>
      </x:c>
      <x:c r="K6299" s="2" t="str">
        <x:v>PARTNER-M336</x:v>
      </x:c>
    </x:row>
    <x:row r="6300" ht="46" customHeight="1">
      <x:c r="A6300" s="2" t="str">
        <x:v>TEN-90EE7A25A1C2</x:v>
      </x:c>
      <x:c r="B6300" s="12" t="str">
        <x:v>AGP GGD India Pvt Ltd</x:v>
      </x:c>
      <x:c r="C6300" s="12" t="str">
        <x:v>CORP-0751</x:v>
      </x:c>
      <x:c r="D6300" s="12" t="str">
        <x:v>Chennai</x:v>
      </x:c>
      <x:c r="E6300" s="12" t="str">
        <x:v>Prestige Cyber Tower</x:v>
      </x:c>
      <x:c r="F6300" s="12" t="str">
        <x:v>55 inch</x:v>
      </x:c>
      <x:c r="G6300" s="20" t="n">
        <x:v>1</x:v>
      </x:c>
      <x:c r="H6300" s="12" t="str">
        <x:v>Campus/portfolio roster; individual building occupancy unverified</x:v>
      </x:c>
      <x:c r="I6300" s="12" t="str">
        <x:v>Mixed business audience</x:v>
      </x:c>
      <x:c r="J6300" s="12" t="str">
        <x:v>Unresolved</x:v>
      </x:c>
      <x:c r="K6300" s="2" t="str">
        <x:v>PARTNER-M336</x:v>
      </x:c>
    </x:row>
    <x:row r="6301" ht="46" customHeight="1">
      <x:c r="A6301" s="2" t="str">
        <x:v>TEN-247E64B2726D</x:v>
      </x:c>
      <x:c r="B6301" s="12" t="str">
        <x:v>Fuji Film</x:v>
      </x:c>
      <x:c r="C6301" s="12" t="str">
        <x:v>CORP-0752</x:v>
      </x:c>
      <x:c r="D6301" s="12" t="str">
        <x:v>Chennai</x:v>
      </x:c>
      <x:c r="E6301" s="12" t="str">
        <x:v>Prestige Palladium Bayan</x:v>
      </x:c>
      <x:c r="F6301" s="12" t="str">
        <x:v>55 inch</x:v>
      </x:c>
      <x:c r="G6301" s="20" t="n">
        <x:v>1</x:v>
      </x:c>
      <x:c r="H6301" s="12" t="str">
        <x:v>Campus/portfolio roster; individual building occupancy unverified</x:v>
      </x:c>
      <x:c r="I6301" s="12" t="str">
        <x:v>Mixed business audience</x:v>
      </x:c>
      <x:c r="J6301" s="12" t="str">
        <x:v>Trade, consumer &amp; logistics</x:v>
      </x:c>
      <x:c r="K6301" s="2" t="str">
        <x:v>PARTNER-M338</x:v>
      </x:c>
    </x:row>
    <x:row r="6302" ht="46" customHeight="1">
      <x:c r="A6302" s="2" t="str">
        <x:v>TEN-3416D44D9CA3</x:v>
      </x:c>
      <x:c r="B6302" s="12" t="str">
        <x:v>Executive Centre</x:v>
      </x:c>
      <x:c r="C6302" s="12" t="str">
        <x:v>CORP-0752</x:v>
      </x:c>
      <x:c r="D6302" s="12" t="str">
        <x:v>Chennai</x:v>
      </x:c>
      <x:c r="E6302" s="12" t="str">
        <x:v>Prestige Palladium Bayan</x:v>
      </x:c>
      <x:c r="F6302" s="12" t="str">
        <x:v>55 inch</x:v>
      </x:c>
      <x:c r="G6302" s="20" t="n">
        <x:v>1</x:v>
      </x:c>
      <x:c r="H6302" s="12" t="str">
        <x:v>Campus/portfolio roster; individual building occupancy unverified</x:v>
      </x:c>
      <x:c r="I6302" s="12" t="str">
        <x:v>Mixed business audience</x:v>
      </x:c>
      <x:c r="J6302" s="12" t="str">
        <x:v>Workspace &amp; property operations</x:v>
      </x:c>
      <x:c r="K6302" s="2" t="str">
        <x:v>PARTNER-M338</x:v>
      </x:c>
    </x:row>
    <x:row r="6303" ht="46" customHeight="1">
      <x:c r="A6303" s="2" t="str">
        <x:v>TEN-3D1C706BE54D</x:v>
      </x:c>
      <x:c r="B6303" s="12" t="str">
        <x:v>Hyosung</x:v>
      </x:c>
      <x:c r="C6303" s="12" t="str">
        <x:v>CORP-0752</x:v>
      </x:c>
      <x:c r="D6303" s="12" t="str">
        <x:v>Chennai</x:v>
      </x:c>
      <x:c r="E6303" s="12" t="str">
        <x:v>Prestige Palladium Bayan</x:v>
      </x:c>
      <x:c r="F6303" s="12" t="str">
        <x:v>55 inch</x:v>
      </x:c>
      <x:c r="G6303" s="20" t="n">
        <x:v>1</x:v>
      </x:c>
      <x:c r="H6303" s="12" t="str">
        <x:v>Campus/portfolio roster; individual building occupancy unverified</x:v>
      </x:c>
      <x:c r="I6303" s="12" t="str">
        <x:v>Mixed business audience</x:v>
      </x:c>
      <x:c r="J6303" s="12" t="str">
        <x:v>Engineering &amp; manufacturing</x:v>
      </x:c>
      <x:c r="K6303" s="2" t="str">
        <x:v>PARTNER-M338</x:v>
      </x:c>
    </x:row>
    <x:row r="6304" ht="46" customHeight="1">
      <x:c r="A6304" s="2" t="str">
        <x:v>TEN-4D13E1DBE7AB</x:v>
      </x:c>
      <x:c r="B6304" s="12" t="str">
        <x:v>Mitsubishi</x:v>
      </x:c>
      <x:c r="C6304" s="12" t="str">
        <x:v>CORP-0752</x:v>
      </x:c>
      <x:c r="D6304" s="12" t="str">
        <x:v>Chennai</x:v>
      </x:c>
      <x:c r="E6304" s="12" t="str">
        <x:v>Prestige Palladium Bayan</x:v>
      </x:c>
      <x:c r="F6304" s="12" t="str">
        <x:v>55 inch</x:v>
      </x:c>
      <x:c r="G6304" s="20" t="n">
        <x:v>1</x:v>
      </x:c>
      <x:c r="H6304" s="12" t="str">
        <x:v>Campus/portfolio roster; individual building occupancy unverified</x:v>
      </x:c>
      <x:c r="I6304" s="12" t="str">
        <x:v>Mixed business audience</x:v>
      </x:c>
      <x:c r="J6304" s="12" t="str">
        <x:v>Engineering &amp; manufacturing</x:v>
      </x:c>
      <x:c r="K6304" s="2" t="str">
        <x:v>PARTNER-M338</x:v>
      </x:c>
    </x:row>
    <x:row r="6305" ht="46" customHeight="1">
      <x:c r="A6305" s="2" t="str">
        <x:v>TEN-5F871EBEAF97</x:v>
      </x:c>
      <x:c r="B6305" s="12" t="str">
        <x:v>Pfizer Healthcare</x:v>
      </x:c>
      <x:c r="C6305" s="12" t="str">
        <x:v>CORP-0752</x:v>
      </x:c>
      <x:c r="D6305" s="12" t="str">
        <x:v>Chennai</x:v>
      </x:c>
      <x:c r="E6305" s="12" t="str">
        <x:v>Prestige Palladium Bayan</x:v>
      </x:c>
      <x:c r="F6305" s="12" t="str">
        <x:v>55 inch</x:v>
      </x:c>
      <x:c r="G6305" s="20" t="n">
        <x:v>1</x:v>
      </x:c>
      <x:c r="H6305" s="12" t="str">
        <x:v>Campus/portfolio roster; individual building occupancy unverified</x:v>
      </x:c>
      <x:c r="I6305" s="12" t="str">
        <x:v>Mixed business audience</x:v>
      </x:c>
      <x:c r="J6305" s="12" t="str">
        <x:v>Healthcare &amp; life sciences</x:v>
      </x:c>
      <x:c r="K6305" s="2" t="str">
        <x:v>PARTNER-M338</x:v>
      </x:c>
    </x:row>
    <x:row r="6306" ht="46" customHeight="1">
      <x:c r="A6306" s="2" t="str">
        <x:v>TEN-9E0C506903AA</x:v>
      </x:c>
      <x:c r="B6306" s="12" t="str">
        <x:v>Enoia Babcock Borsing Pvt Ltd</x:v>
      </x:c>
      <x:c r="C6306" s="12" t="str">
        <x:v>CORP-0752</x:v>
      </x:c>
      <x:c r="D6306" s="12" t="str">
        <x:v>Chennai</x:v>
      </x:c>
      <x:c r="E6306" s="12" t="str">
        <x:v>Prestige Palladium Bayan</x:v>
      </x:c>
      <x:c r="F6306" s="12" t="str">
        <x:v>55 inch</x:v>
      </x:c>
      <x:c r="G6306" s="20" t="n">
        <x:v>1</x:v>
      </x:c>
      <x:c r="H6306" s="12" t="str">
        <x:v>Campus/portfolio roster; individual building occupancy unverified</x:v>
      </x:c>
      <x:c r="I6306" s="12" t="str">
        <x:v>Medium-scale prospects</x:v>
      </x:c>
      <x:c r="J6306" s="12" t="str">
        <x:v>Engineering &amp; manufacturing</x:v>
      </x:c>
      <x:c r="K6306" s="2" t="str">
        <x:v>PARTNER-M338</x:v>
      </x:c>
    </x:row>
    <x:row r="6307" ht="46" customHeight="1">
      <x:c r="A6307" s="2" t="str">
        <x:v>TEN-A19002876785</x:v>
      </x:c>
      <x:c r="B6307" s="12" t="str">
        <x:v>Metal One</x:v>
      </x:c>
      <x:c r="C6307" s="12" t="str">
        <x:v>CORP-0752</x:v>
      </x:c>
      <x:c r="D6307" s="12" t="str">
        <x:v>Chennai</x:v>
      </x:c>
      <x:c r="E6307" s="12" t="str">
        <x:v>Prestige Palladium Bayan</x:v>
      </x:c>
      <x:c r="F6307" s="12" t="str">
        <x:v>55 inch</x:v>
      </x:c>
      <x:c r="G6307" s="20" t="n">
        <x:v>1</x:v>
      </x:c>
      <x:c r="H6307" s="12" t="str">
        <x:v>Campus/portfolio roster; individual building occupancy unverified</x:v>
      </x:c>
      <x:c r="I6307" s="12" t="str">
        <x:v>Mixed business audience</x:v>
      </x:c>
      <x:c r="J6307" s="12" t="str">
        <x:v>Engineering &amp; manufacturing</x:v>
      </x:c>
      <x:c r="K6307" s="2" t="str">
        <x:v>PARTNER-M338</x:v>
      </x:c>
    </x:row>
    <x:row r="6308" ht="46" customHeight="1">
      <x:c r="A6308" s="2" t="str">
        <x:v>TEN-A3B1D465525D</x:v>
      </x:c>
      <x:c r="B6308" s="12" t="str">
        <x:v>Maersk Line</x:v>
      </x:c>
      <x:c r="C6308" s="12" t="str">
        <x:v>CORP-0752</x:v>
      </x:c>
      <x:c r="D6308" s="12" t="str">
        <x:v>Chennai</x:v>
      </x:c>
      <x:c r="E6308" s="12" t="str">
        <x:v>Prestige Palladium Bayan</x:v>
      </x:c>
      <x:c r="F6308" s="12" t="str">
        <x:v>55 inch</x:v>
      </x:c>
      <x:c r="G6308" s="20" t="n">
        <x:v>1</x:v>
      </x:c>
      <x:c r="H6308" s="12" t="str">
        <x:v>Campus/portfolio roster; individual building occupancy unverified</x:v>
      </x:c>
      <x:c r="I6308" s="12" t="str">
        <x:v>Large enterprise</x:v>
      </x:c>
      <x:c r="J6308" s="12" t="str">
        <x:v>Trade, consumer &amp; logistics</x:v>
      </x:c>
      <x:c r="K6308" s="2" t="str">
        <x:v>PARTNER-M338</x:v>
      </x:c>
    </x:row>
    <x:row r="6309" ht="46" customHeight="1">
      <x:c r="A6309" s="2" t="str">
        <x:v>TEN-AC2044857CE7</x:v>
      </x:c>
      <x:c r="B6309" s="12" t="str">
        <x:v>Nippon Paint</x:v>
      </x:c>
      <x:c r="C6309" s="12" t="str">
        <x:v>CORP-0752</x:v>
      </x:c>
      <x:c r="D6309" s="12" t="str">
        <x:v>Chennai</x:v>
      </x:c>
      <x:c r="E6309" s="12" t="str">
        <x:v>Prestige Palladium Bayan</x:v>
      </x:c>
      <x:c r="F6309" s="12" t="str">
        <x:v>55 inch</x:v>
      </x:c>
      <x:c r="G6309" s="20" t="n">
        <x:v>1</x:v>
      </x:c>
      <x:c r="H6309" s="12" t="str">
        <x:v>Campus/portfolio roster; individual building occupancy unverified</x:v>
      </x:c>
      <x:c r="I6309" s="12" t="str">
        <x:v>Mixed business audience</x:v>
      </x:c>
      <x:c r="J6309" s="12" t="str">
        <x:v>Engineering &amp; manufacturing</x:v>
      </x:c>
      <x:c r="K6309" s="2" t="str">
        <x:v>PARTNER-M338</x:v>
      </x:c>
    </x:row>
    <x:row r="6310" ht="46" customHeight="1">
      <x:c r="A6310" s="2" t="str">
        <x:v>TEN-B8FB26B4E8C2</x:v>
      </x:c>
      <x:c r="B6310" s="12" t="str">
        <x:v>Reliance Jio</x:v>
      </x:c>
      <x:c r="C6310" s="12" t="str">
        <x:v>CORP-0752</x:v>
      </x:c>
      <x:c r="D6310" s="12" t="str">
        <x:v>Chennai</x:v>
      </x:c>
      <x:c r="E6310" s="12" t="str">
        <x:v>Prestige Palladium Bayan</x:v>
      </x:c>
      <x:c r="F6310" s="12" t="str">
        <x:v>55 inch</x:v>
      </x:c>
      <x:c r="G6310" s="20" t="n">
        <x:v>1</x:v>
      </x:c>
      <x:c r="H6310" s="12" t="str">
        <x:v>Campus/portfolio roster; individual building occupancy unverified</x:v>
      </x:c>
      <x:c r="I6310" s="12" t="str">
        <x:v>Large enterprise</x:v>
      </x:c>
      <x:c r="J6310" s="12" t="str">
        <x:v>IT &amp; digital</x:v>
      </x:c>
      <x:c r="K6310" s="2" t="str">
        <x:v>PARTNER-M338</x:v>
      </x:c>
    </x:row>
    <x:row r="6311" ht="46" customHeight="1">
      <x:c r="A6311" s="2" t="str">
        <x:v>TEN-BA2436BD25A0</x:v>
      </x:c>
      <x:c r="B6311" s="12" t="str">
        <x:v>Emirates</x:v>
      </x:c>
      <x:c r="C6311" s="12" t="str">
        <x:v>CORP-0752</x:v>
      </x:c>
      <x:c r="D6311" s="12" t="str">
        <x:v>Chennai</x:v>
      </x:c>
      <x:c r="E6311" s="12" t="str">
        <x:v>Prestige Palladium Bayan</x:v>
      </x:c>
      <x:c r="F6311" s="12" t="str">
        <x:v>55 inch</x:v>
      </x:c>
      <x:c r="G6311" s="20" t="n">
        <x:v>1</x:v>
      </x:c>
      <x:c r="H6311" s="12" t="str">
        <x:v>Campus/portfolio roster; individual building occupancy unverified</x:v>
      </x:c>
      <x:c r="I6311" s="12" t="str">
        <x:v>Mixed business audience</x:v>
      </x:c>
      <x:c r="J6311" s="12" t="str">
        <x:v>Trade, consumer &amp; logistics</x:v>
      </x:c>
      <x:c r="K6311" s="2" t="str">
        <x:v>PARTNER-M338</x:v>
      </x:c>
    </x:row>
    <x:row r="6312" ht="46" customHeight="1">
      <x:c r="A6312" s="2" t="str">
        <x:v>TEN-C3CF650A0210</x:v>
      </x:c>
      <x:c r="B6312" s="12" t="str">
        <x:v>CNSI</x:v>
      </x:c>
      <x:c r="C6312" s="12" t="str">
        <x:v>CORP-0752</x:v>
      </x:c>
      <x:c r="D6312" s="12" t="str">
        <x:v>Chennai</x:v>
      </x:c>
      <x:c r="E6312" s="12" t="str">
        <x:v>Prestige Palladium Bayan</x:v>
      </x:c>
      <x:c r="F6312" s="12" t="str">
        <x:v>55 inch</x:v>
      </x:c>
      <x:c r="G6312" s="20" t="n">
        <x:v>1</x:v>
      </x:c>
      <x:c r="H6312" s="12" t="str">
        <x:v>Campus/portfolio roster; individual building occupancy unverified</x:v>
      </x:c>
      <x:c r="I6312" s="12" t="str">
        <x:v>Mixed business audience</x:v>
      </x:c>
      <x:c r="J6312" s="12" t="str">
        <x:v>IT &amp; digital</x:v>
      </x:c>
      <x:c r="K6312" s="2" t="str">
        <x:v>PARTNER-M338</x:v>
      </x:c>
    </x:row>
    <x:row r="6313" ht="46" customHeight="1">
      <x:c r="A6313" s="2" t="str">
        <x:v>TEN-E2744011C895</x:v>
      </x:c>
      <x:c r="B6313" s="12" t="str">
        <x:v>Murata Electronics (I) Pvt Ltd</x:v>
      </x:c>
      <x:c r="C6313" s="12" t="str">
        <x:v>CORP-0752</x:v>
      </x:c>
      <x:c r="D6313" s="12" t="str">
        <x:v>Chennai</x:v>
      </x:c>
      <x:c r="E6313" s="12" t="str">
        <x:v>Prestige Palladium Bayan</x:v>
      </x:c>
      <x:c r="F6313" s="12" t="str">
        <x:v>55 inch</x:v>
      </x:c>
      <x:c r="G6313" s="20" t="n">
        <x:v>1</x:v>
      </x:c>
      <x:c r="H6313" s="12" t="str">
        <x:v>Campus/portfolio roster; individual building occupancy unverified</x:v>
      </x:c>
      <x:c r="I6313" s="12" t="str">
        <x:v>Mixed business audience</x:v>
      </x:c>
      <x:c r="J6313" s="12" t="str">
        <x:v>Engineering &amp; manufacturing</x:v>
      </x:c>
      <x:c r="K6313" s="2" t="str">
        <x:v>PARTNER-M338</x:v>
      </x:c>
    </x:row>
    <x:row r="6314" ht="46" customHeight="1">
      <x:c r="A6314" s="2" t="str">
        <x:v>TEN-EC0137A97749</x:v>
      </x:c>
      <x:c r="B6314" s="12" t="str">
        <x:v>Mizuho Bank</x:v>
      </x:c>
      <x:c r="C6314" s="12" t="str">
        <x:v>CORP-0752</x:v>
      </x:c>
      <x:c r="D6314" s="12" t="str">
        <x:v>Chennai</x:v>
      </x:c>
      <x:c r="E6314" s="12" t="str">
        <x:v>Prestige Palladium Bayan</x:v>
      </x:c>
      <x:c r="F6314" s="12" t="str">
        <x:v>55 inch</x:v>
      </x:c>
      <x:c r="G6314" s="20" t="n">
        <x:v>1</x:v>
      </x:c>
      <x:c r="H6314" s="12" t="str">
        <x:v>Campus/portfolio roster; individual building occupancy unverified</x:v>
      </x:c>
      <x:c r="I6314" s="12" t="str">
        <x:v>Mixed business audience</x:v>
      </x:c>
      <x:c r="J6314" s="12" t="str">
        <x:v>Finance &amp; insurance</x:v>
      </x:c>
      <x:c r="K6314" s="2" t="str">
        <x:v>PARTNER-M338</x:v>
      </x:c>
    </x:row>
    <x:row r="6315" ht="46" customHeight="1">
      <x:c r="A6315" s="2" t="str">
        <x:v>TEN-EFED65BEBA09</x:v>
      </x:c>
      <x:c r="B6315" s="12" t="str">
        <x:v>Future Pipe</x:v>
      </x:c>
      <x:c r="C6315" s="12" t="str">
        <x:v>CORP-0752</x:v>
      </x:c>
      <x:c r="D6315" s="12" t="str">
        <x:v>Chennai</x:v>
      </x:c>
      <x:c r="E6315" s="12" t="str">
        <x:v>Prestige Palladium Bayan</x:v>
      </x:c>
      <x:c r="F6315" s="12" t="str">
        <x:v>55 inch</x:v>
      </x:c>
      <x:c r="G6315" s="20" t="n">
        <x:v>1</x:v>
      </x:c>
      <x:c r="H6315" s="12" t="str">
        <x:v>Campus/portfolio roster; individual building occupancy unverified</x:v>
      </x:c>
      <x:c r="I6315" s="12" t="str">
        <x:v>Medium-scale prospects</x:v>
      </x:c>
      <x:c r="J6315" s="12" t="str">
        <x:v>Engineering &amp; manufacturing</x:v>
      </x:c>
      <x:c r="K6315" s="2" t="str">
        <x:v>PARTNER-M338</x:v>
      </x:c>
    </x:row>
    <x:row r="6316" ht="46" customHeight="1">
      <x:c r="A6316" s="2" t="str">
        <x:v>TEN-247E64B2726D</x:v>
      </x:c>
      <x:c r="B6316" s="12" t="str">
        <x:v>Fuji Film</x:v>
      </x:c>
      <x:c r="C6316" s="12" t="str">
        <x:v>CORP-0753</x:v>
      </x:c>
      <x:c r="D6316" s="12" t="str">
        <x:v>Chennai</x:v>
      </x:c>
      <x:c r="E6316" s="12" t="str">
        <x:v>Prestige Palladium Bayan</x:v>
      </x:c>
      <x:c r="F6316" s="12" t="str">
        <x:v>55 inch</x:v>
      </x:c>
      <x:c r="G6316" s="20" t="n">
        <x:v>1</x:v>
      </x:c>
      <x:c r="H6316" s="12" t="str">
        <x:v>Campus/portfolio roster; individual building occupancy unverified</x:v>
      </x:c>
      <x:c r="I6316" s="12" t="str">
        <x:v>Mixed business audience</x:v>
      </x:c>
      <x:c r="J6316" s="12" t="str">
        <x:v>Trade, consumer &amp; logistics</x:v>
      </x:c>
      <x:c r="K6316" s="2" t="str">
        <x:v>PARTNER-M338</x:v>
      </x:c>
    </x:row>
    <x:row r="6317" ht="46" customHeight="1">
      <x:c r="A6317" s="2" t="str">
        <x:v>TEN-3416D44D9CA3</x:v>
      </x:c>
      <x:c r="B6317" s="12" t="str">
        <x:v>Executive Centre</x:v>
      </x:c>
      <x:c r="C6317" s="12" t="str">
        <x:v>CORP-0753</x:v>
      </x:c>
      <x:c r="D6317" s="12" t="str">
        <x:v>Chennai</x:v>
      </x:c>
      <x:c r="E6317" s="12" t="str">
        <x:v>Prestige Palladium Bayan</x:v>
      </x:c>
      <x:c r="F6317" s="12" t="str">
        <x:v>55 inch</x:v>
      </x:c>
      <x:c r="G6317" s="20" t="n">
        <x:v>1</x:v>
      </x:c>
      <x:c r="H6317" s="12" t="str">
        <x:v>Campus/portfolio roster; individual building occupancy unverified</x:v>
      </x:c>
      <x:c r="I6317" s="12" t="str">
        <x:v>Mixed business audience</x:v>
      </x:c>
      <x:c r="J6317" s="12" t="str">
        <x:v>Workspace &amp; property operations</x:v>
      </x:c>
      <x:c r="K6317" s="2" t="str">
        <x:v>PARTNER-M338</x:v>
      </x:c>
    </x:row>
    <x:row r="6318" ht="46" customHeight="1">
      <x:c r="A6318" s="2" t="str">
        <x:v>TEN-3D1C706BE54D</x:v>
      </x:c>
      <x:c r="B6318" s="12" t="str">
        <x:v>Hyosung</x:v>
      </x:c>
      <x:c r="C6318" s="12" t="str">
        <x:v>CORP-0753</x:v>
      </x:c>
      <x:c r="D6318" s="12" t="str">
        <x:v>Chennai</x:v>
      </x:c>
      <x:c r="E6318" s="12" t="str">
        <x:v>Prestige Palladium Bayan</x:v>
      </x:c>
      <x:c r="F6318" s="12" t="str">
        <x:v>55 inch</x:v>
      </x:c>
      <x:c r="G6318" s="20" t="n">
        <x:v>1</x:v>
      </x:c>
      <x:c r="H6318" s="12" t="str">
        <x:v>Campus/portfolio roster; individual building occupancy unverified</x:v>
      </x:c>
      <x:c r="I6318" s="12" t="str">
        <x:v>Mixed business audience</x:v>
      </x:c>
      <x:c r="J6318" s="12" t="str">
        <x:v>Engineering &amp; manufacturing</x:v>
      </x:c>
      <x:c r="K6318" s="2" t="str">
        <x:v>PARTNER-M338</x:v>
      </x:c>
    </x:row>
    <x:row r="6319" ht="46" customHeight="1">
      <x:c r="A6319" s="2" t="str">
        <x:v>TEN-4D13E1DBE7AB</x:v>
      </x:c>
      <x:c r="B6319" s="12" t="str">
        <x:v>Mitsubishi</x:v>
      </x:c>
      <x:c r="C6319" s="12" t="str">
        <x:v>CORP-0753</x:v>
      </x:c>
      <x:c r="D6319" s="12" t="str">
        <x:v>Chennai</x:v>
      </x:c>
      <x:c r="E6319" s="12" t="str">
        <x:v>Prestige Palladium Bayan</x:v>
      </x:c>
      <x:c r="F6319" s="12" t="str">
        <x:v>55 inch</x:v>
      </x:c>
      <x:c r="G6319" s="20" t="n">
        <x:v>1</x:v>
      </x:c>
      <x:c r="H6319" s="12" t="str">
        <x:v>Campus/portfolio roster; individual building occupancy unverified</x:v>
      </x:c>
      <x:c r="I6319" s="12" t="str">
        <x:v>Mixed business audience</x:v>
      </x:c>
      <x:c r="J6319" s="12" t="str">
        <x:v>Engineering &amp; manufacturing</x:v>
      </x:c>
      <x:c r="K6319" s="2" t="str">
        <x:v>PARTNER-M338</x:v>
      </x:c>
    </x:row>
    <x:row r="6320" ht="46" customHeight="1">
      <x:c r="A6320" s="2" t="str">
        <x:v>TEN-5F871EBEAF97</x:v>
      </x:c>
      <x:c r="B6320" s="12" t="str">
        <x:v>Pfizer Healthcare</x:v>
      </x:c>
      <x:c r="C6320" s="12" t="str">
        <x:v>CORP-0753</x:v>
      </x:c>
      <x:c r="D6320" s="12" t="str">
        <x:v>Chennai</x:v>
      </x:c>
      <x:c r="E6320" s="12" t="str">
        <x:v>Prestige Palladium Bayan</x:v>
      </x:c>
      <x:c r="F6320" s="12" t="str">
        <x:v>55 inch</x:v>
      </x:c>
      <x:c r="G6320" s="20" t="n">
        <x:v>1</x:v>
      </x:c>
      <x:c r="H6320" s="12" t="str">
        <x:v>Campus/portfolio roster; individual building occupancy unverified</x:v>
      </x:c>
      <x:c r="I6320" s="12" t="str">
        <x:v>Mixed business audience</x:v>
      </x:c>
      <x:c r="J6320" s="12" t="str">
        <x:v>Healthcare &amp; life sciences</x:v>
      </x:c>
      <x:c r="K6320" s="2" t="str">
        <x:v>PARTNER-M338</x:v>
      </x:c>
    </x:row>
    <x:row r="6321" ht="46" customHeight="1">
      <x:c r="A6321" s="2" t="str">
        <x:v>TEN-9E0C506903AA</x:v>
      </x:c>
      <x:c r="B6321" s="12" t="str">
        <x:v>Enoia Babcock Borsing Pvt Ltd</x:v>
      </x:c>
      <x:c r="C6321" s="12" t="str">
        <x:v>CORP-0753</x:v>
      </x:c>
      <x:c r="D6321" s="12" t="str">
        <x:v>Chennai</x:v>
      </x:c>
      <x:c r="E6321" s="12" t="str">
        <x:v>Prestige Palladium Bayan</x:v>
      </x:c>
      <x:c r="F6321" s="12" t="str">
        <x:v>55 inch</x:v>
      </x:c>
      <x:c r="G6321" s="20" t="n">
        <x:v>1</x:v>
      </x:c>
      <x:c r="H6321" s="12" t="str">
        <x:v>Campus/portfolio roster; individual building occupancy unverified</x:v>
      </x:c>
      <x:c r="I6321" s="12" t="str">
        <x:v>Medium-scale prospects</x:v>
      </x:c>
      <x:c r="J6321" s="12" t="str">
        <x:v>Engineering &amp; manufacturing</x:v>
      </x:c>
      <x:c r="K6321" s="2" t="str">
        <x:v>PARTNER-M338</x:v>
      </x:c>
    </x:row>
    <x:row r="6322" ht="46" customHeight="1">
      <x:c r="A6322" s="2" t="str">
        <x:v>TEN-A19002876785</x:v>
      </x:c>
      <x:c r="B6322" s="12" t="str">
        <x:v>Metal One</x:v>
      </x:c>
      <x:c r="C6322" s="12" t="str">
        <x:v>CORP-0753</x:v>
      </x:c>
      <x:c r="D6322" s="12" t="str">
        <x:v>Chennai</x:v>
      </x:c>
      <x:c r="E6322" s="12" t="str">
        <x:v>Prestige Palladium Bayan</x:v>
      </x:c>
      <x:c r="F6322" s="12" t="str">
        <x:v>55 inch</x:v>
      </x:c>
      <x:c r="G6322" s="20" t="n">
        <x:v>1</x:v>
      </x:c>
      <x:c r="H6322" s="12" t="str">
        <x:v>Campus/portfolio roster; individual building occupancy unverified</x:v>
      </x:c>
      <x:c r="I6322" s="12" t="str">
        <x:v>Mixed business audience</x:v>
      </x:c>
      <x:c r="J6322" s="12" t="str">
        <x:v>Engineering &amp; manufacturing</x:v>
      </x:c>
      <x:c r="K6322" s="2" t="str">
        <x:v>PARTNER-M338</x:v>
      </x:c>
    </x:row>
    <x:row r="6323" ht="46" customHeight="1">
      <x:c r="A6323" s="2" t="str">
        <x:v>TEN-A3B1D465525D</x:v>
      </x:c>
      <x:c r="B6323" s="12" t="str">
        <x:v>Maersk Line</x:v>
      </x:c>
      <x:c r="C6323" s="12" t="str">
        <x:v>CORP-0753</x:v>
      </x:c>
      <x:c r="D6323" s="12" t="str">
        <x:v>Chennai</x:v>
      </x:c>
      <x:c r="E6323" s="12" t="str">
        <x:v>Prestige Palladium Bayan</x:v>
      </x:c>
      <x:c r="F6323" s="12" t="str">
        <x:v>55 inch</x:v>
      </x:c>
      <x:c r="G6323" s="20" t="n">
        <x:v>1</x:v>
      </x:c>
      <x:c r="H6323" s="12" t="str">
        <x:v>Campus/portfolio roster; individual building occupancy unverified</x:v>
      </x:c>
      <x:c r="I6323" s="12" t="str">
        <x:v>Large enterprise</x:v>
      </x:c>
      <x:c r="J6323" s="12" t="str">
        <x:v>Trade, consumer &amp; logistics</x:v>
      </x:c>
      <x:c r="K6323" s="2" t="str">
        <x:v>PARTNER-M338</x:v>
      </x:c>
    </x:row>
    <x:row r="6324" ht="46" customHeight="1">
      <x:c r="A6324" s="2" t="str">
        <x:v>TEN-AC2044857CE7</x:v>
      </x:c>
      <x:c r="B6324" s="12" t="str">
        <x:v>Nippon Paint</x:v>
      </x:c>
      <x:c r="C6324" s="12" t="str">
        <x:v>CORP-0753</x:v>
      </x:c>
      <x:c r="D6324" s="12" t="str">
        <x:v>Chennai</x:v>
      </x:c>
      <x:c r="E6324" s="12" t="str">
        <x:v>Prestige Palladium Bayan</x:v>
      </x:c>
      <x:c r="F6324" s="12" t="str">
        <x:v>55 inch</x:v>
      </x:c>
      <x:c r="G6324" s="20" t="n">
        <x:v>1</x:v>
      </x:c>
      <x:c r="H6324" s="12" t="str">
        <x:v>Campus/portfolio roster; individual building occupancy unverified</x:v>
      </x:c>
      <x:c r="I6324" s="12" t="str">
        <x:v>Mixed business audience</x:v>
      </x:c>
      <x:c r="J6324" s="12" t="str">
        <x:v>Engineering &amp; manufacturing</x:v>
      </x:c>
      <x:c r="K6324" s="2" t="str">
        <x:v>PARTNER-M338</x:v>
      </x:c>
    </x:row>
    <x:row r="6325" ht="46" customHeight="1">
      <x:c r="A6325" s="2" t="str">
        <x:v>TEN-B8FB26B4E8C2</x:v>
      </x:c>
      <x:c r="B6325" s="12" t="str">
        <x:v>Reliance Jio</x:v>
      </x:c>
      <x:c r="C6325" s="12" t="str">
        <x:v>CORP-0753</x:v>
      </x:c>
      <x:c r="D6325" s="12" t="str">
        <x:v>Chennai</x:v>
      </x:c>
      <x:c r="E6325" s="12" t="str">
        <x:v>Prestige Palladium Bayan</x:v>
      </x:c>
      <x:c r="F6325" s="12" t="str">
        <x:v>55 inch</x:v>
      </x:c>
      <x:c r="G6325" s="20" t="n">
        <x:v>1</x:v>
      </x:c>
      <x:c r="H6325" s="12" t="str">
        <x:v>Campus/portfolio roster; individual building occupancy unverified</x:v>
      </x:c>
      <x:c r="I6325" s="12" t="str">
        <x:v>Large enterprise</x:v>
      </x:c>
      <x:c r="J6325" s="12" t="str">
        <x:v>IT &amp; digital</x:v>
      </x:c>
      <x:c r="K6325" s="2" t="str">
        <x:v>PARTNER-M338</x:v>
      </x:c>
    </x:row>
    <x:row r="6326" ht="46" customHeight="1">
      <x:c r="A6326" s="2" t="str">
        <x:v>TEN-BA2436BD25A0</x:v>
      </x:c>
      <x:c r="B6326" s="12" t="str">
        <x:v>Emirates</x:v>
      </x:c>
      <x:c r="C6326" s="12" t="str">
        <x:v>CORP-0753</x:v>
      </x:c>
      <x:c r="D6326" s="12" t="str">
        <x:v>Chennai</x:v>
      </x:c>
      <x:c r="E6326" s="12" t="str">
        <x:v>Prestige Palladium Bayan</x:v>
      </x:c>
      <x:c r="F6326" s="12" t="str">
        <x:v>55 inch</x:v>
      </x:c>
      <x:c r="G6326" s="20" t="n">
        <x:v>1</x:v>
      </x:c>
      <x:c r="H6326" s="12" t="str">
        <x:v>Campus/portfolio roster; individual building occupancy unverified</x:v>
      </x:c>
      <x:c r="I6326" s="12" t="str">
        <x:v>Mixed business audience</x:v>
      </x:c>
      <x:c r="J6326" s="12" t="str">
        <x:v>Trade, consumer &amp; logistics</x:v>
      </x:c>
      <x:c r="K6326" s="2" t="str">
        <x:v>PARTNER-M338</x:v>
      </x:c>
    </x:row>
    <x:row r="6327" ht="46" customHeight="1">
      <x:c r="A6327" s="2" t="str">
        <x:v>TEN-C3CF650A0210</x:v>
      </x:c>
      <x:c r="B6327" s="12" t="str">
        <x:v>CNSI</x:v>
      </x:c>
      <x:c r="C6327" s="12" t="str">
        <x:v>CORP-0753</x:v>
      </x:c>
      <x:c r="D6327" s="12" t="str">
        <x:v>Chennai</x:v>
      </x:c>
      <x:c r="E6327" s="12" t="str">
        <x:v>Prestige Palladium Bayan</x:v>
      </x:c>
      <x:c r="F6327" s="12" t="str">
        <x:v>55 inch</x:v>
      </x:c>
      <x:c r="G6327" s="20" t="n">
        <x:v>1</x:v>
      </x:c>
      <x:c r="H6327" s="12" t="str">
        <x:v>Campus/portfolio roster; individual building occupancy unverified</x:v>
      </x:c>
      <x:c r="I6327" s="12" t="str">
        <x:v>Mixed business audience</x:v>
      </x:c>
      <x:c r="J6327" s="12" t="str">
        <x:v>IT &amp; digital</x:v>
      </x:c>
      <x:c r="K6327" s="2" t="str">
        <x:v>PARTNER-M338</x:v>
      </x:c>
    </x:row>
    <x:row r="6328" ht="46" customHeight="1">
      <x:c r="A6328" s="2" t="str">
        <x:v>TEN-E2744011C895</x:v>
      </x:c>
      <x:c r="B6328" s="12" t="str">
        <x:v>Murata Electronics (I) Pvt Ltd</x:v>
      </x:c>
      <x:c r="C6328" s="12" t="str">
        <x:v>CORP-0753</x:v>
      </x:c>
      <x:c r="D6328" s="12" t="str">
        <x:v>Chennai</x:v>
      </x:c>
      <x:c r="E6328" s="12" t="str">
        <x:v>Prestige Palladium Bayan</x:v>
      </x:c>
      <x:c r="F6328" s="12" t="str">
        <x:v>55 inch</x:v>
      </x:c>
      <x:c r="G6328" s="20" t="n">
        <x:v>1</x:v>
      </x:c>
      <x:c r="H6328" s="12" t="str">
        <x:v>Campus/portfolio roster; individual building occupancy unverified</x:v>
      </x:c>
      <x:c r="I6328" s="12" t="str">
        <x:v>Mixed business audience</x:v>
      </x:c>
      <x:c r="J6328" s="12" t="str">
        <x:v>Engineering &amp; manufacturing</x:v>
      </x:c>
      <x:c r="K6328" s="2" t="str">
        <x:v>PARTNER-M338</x:v>
      </x:c>
    </x:row>
    <x:row r="6329" ht="46" customHeight="1">
      <x:c r="A6329" s="2" t="str">
        <x:v>TEN-EC0137A97749</x:v>
      </x:c>
      <x:c r="B6329" s="12" t="str">
        <x:v>Mizuho Bank</x:v>
      </x:c>
      <x:c r="C6329" s="12" t="str">
        <x:v>CORP-0753</x:v>
      </x:c>
      <x:c r="D6329" s="12" t="str">
        <x:v>Chennai</x:v>
      </x:c>
      <x:c r="E6329" s="12" t="str">
        <x:v>Prestige Palladium Bayan</x:v>
      </x:c>
      <x:c r="F6329" s="12" t="str">
        <x:v>55 inch</x:v>
      </x:c>
      <x:c r="G6329" s="20" t="n">
        <x:v>1</x:v>
      </x:c>
      <x:c r="H6329" s="12" t="str">
        <x:v>Campus/portfolio roster; individual building occupancy unverified</x:v>
      </x:c>
      <x:c r="I6329" s="12" t="str">
        <x:v>Mixed business audience</x:v>
      </x:c>
      <x:c r="J6329" s="12" t="str">
        <x:v>Finance &amp; insurance</x:v>
      </x:c>
      <x:c r="K6329" s="2" t="str">
        <x:v>PARTNER-M338</x:v>
      </x:c>
    </x:row>
    <x:row r="6330" ht="46" customHeight="1">
      <x:c r="A6330" s="2" t="str">
        <x:v>TEN-EFED65BEBA09</x:v>
      </x:c>
      <x:c r="B6330" s="12" t="str">
        <x:v>Future Pipe</x:v>
      </x:c>
      <x:c r="C6330" s="12" t="str">
        <x:v>CORP-0753</x:v>
      </x:c>
      <x:c r="D6330" s="12" t="str">
        <x:v>Chennai</x:v>
      </x:c>
      <x:c r="E6330" s="12" t="str">
        <x:v>Prestige Palladium Bayan</x:v>
      </x:c>
      <x:c r="F6330" s="12" t="str">
        <x:v>55 inch</x:v>
      </x:c>
      <x:c r="G6330" s="20" t="n">
        <x:v>1</x:v>
      </x:c>
      <x:c r="H6330" s="12" t="str">
        <x:v>Campus/portfolio roster; individual building occupancy unverified</x:v>
      </x:c>
      <x:c r="I6330" s="12" t="str">
        <x:v>Medium-scale prospects</x:v>
      </x:c>
      <x:c r="J6330" s="12" t="str">
        <x:v>Engineering &amp; manufacturing</x:v>
      </x:c>
      <x:c r="K6330" s="2" t="str">
        <x:v>PARTNER-M338</x:v>
      </x:c>
    </x:row>
    <x:row r="6331" ht="46" customHeight="1">
      <x:c r="A6331" s="2" t="str">
        <x:v>TEN-2546BF743AD2</x:v>
      </x:c>
      <x:c r="B6331" s="12" t="str">
        <x:v>Switch Mobility Automotive Ltd</x:v>
      </x:c>
      <x:c r="C6331" s="12" t="str">
        <x:v>CORP-0754</x:v>
      </x:c>
      <x:c r="D6331" s="12" t="str">
        <x:v>Chennai</x:v>
      </x:c>
      <x:c r="E6331" s="12" t="str">
        <x:v>Prestige Cosmopolitan</x:v>
      </x:c>
      <x:c r="F6331" s="12" t="str">
        <x:v>55 inch</x:v>
      </x:c>
      <x:c r="G6331" s="20" t="n">
        <x:v>1</x:v>
      </x:c>
      <x:c r="H6331" s="12" t="str">
        <x:v>Campus/portfolio roster; individual building occupancy unverified</x:v>
      </x:c>
      <x:c r="I6331" s="12" t="str">
        <x:v>Mixed business audience</x:v>
      </x:c>
      <x:c r="J6331" s="12" t="str">
        <x:v>Engineering &amp; manufacturing</x:v>
      </x:c>
      <x:c r="K6331" s="2" t="str">
        <x:v>PARTNER-M340</x:v>
      </x:c>
    </x:row>
    <x:row r="6332" ht="46" customHeight="1">
      <x:c r="A6332" s="2" t="str">
        <x:v>TEN-2F707C5315A5</x:v>
      </x:c>
      <x:c r="B6332" s="12" t="str">
        <x:v>DVS Research and Capital Services Pvt Ltd</x:v>
      </x:c>
      <x:c r="C6332" s="12" t="str">
        <x:v>CORP-0754</x:v>
      </x:c>
      <x:c r="D6332" s="12" t="str">
        <x:v>Chennai</x:v>
      </x:c>
      <x:c r="E6332" s="12" t="str">
        <x:v>Prestige Cosmopolitan</x:v>
      </x:c>
      <x:c r="F6332" s="12" t="str">
        <x:v>55 inch</x:v>
      </x:c>
      <x:c r="G6332" s="20" t="n">
        <x:v>1</x:v>
      </x:c>
      <x:c r="H6332" s="12" t="str">
        <x:v>Campus/portfolio roster; individual building occupancy unverified</x:v>
      </x:c>
      <x:c r="I6332" s="12" t="str">
        <x:v>Medium-scale prospects</x:v>
      </x:c>
      <x:c r="J6332" s="12" t="str">
        <x:v>Finance &amp; insurance</x:v>
      </x:c>
      <x:c r="K6332" s="2" t="str">
        <x:v>PARTNER-M340</x:v>
      </x:c>
    </x:row>
    <x:row r="6333" ht="46" customHeight="1">
      <x:c r="A6333" s="2" t="str">
        <x:v>TEN-4D13E1DBE7AB</x:v>
      </x:c>
      <x:c r="B6333" s="12" t="str">
        <x:v>Mitsubishi</x:v>
      </x:c>
      <x:c r="C6333" s="12" t="str">
        <x:v>CORP-0754</x:v>
      </x:c>
      <x:c r="D6333" s="12" t="str">
        <x:v>Chennai</x:v>
      </x:c>
      <x:c r="E6333" s="12" t="str">
        <x:v>Prestige Cosmopolitan</x:v>
      </x:c>
      <x:c r="F6333" s="12" t="str">
        <x:v>55 inch</x:v>
      </x:c>
      <x:c r="G6333" s="20" t="n">
        <x:v>1</x:v>
      </x:c>
      <x:c r="H6333" s="12" t="str">
        <x:v>Campus/portfolio roster; individual building occupancy unverified</x:v>
      </x:c>
      <x:c r="I6333" s="12" t="str">
        <x:v>Mixed business audience</x:v>
      </x:c>
      <x:c r="J6333" s="12" t="str">
        <x:v>Engineering &amp; manufacturing</x:v>
      </x:c>
      <x:c r="K6333" s="2" t="str">
        <x:v>PARTNER-M340</x:v>
      </x:c>
    </x:row>
    <x:row r="6334" ht="46" customHeight="1">
      <x:c r="A6334" s="2" t="str">
        <x:v>TEN-80BAA3706B07</x:v>
      </x:c>
      <x:c r="B6334" s="12" t="str">
        <x:v>AWFIS Space Solutions Pvt Ltd</x:v>
      </x:c>
      <x:c r="C6334" s="12" t="str">
        <x:v>CORP-0754</x:v>
      </x:c>
      <x:c r="D6334" s="12" t="str">
        <x:v>Chennai</x:v>
      </x:c>
      <x:c r="E6334" s="12" t="str">
        <x:v>Prestige Cosmopolitan</x:v>
      </x:c>
      <x:c r="F6334" s="12" t="str">
        <x:v>55 inch</x:v>
      </x:c>
      <x:c r="G6334" s="20" t="n">
        <x:v>1</x:v>
      </x:c>
      <x:c r="H6334" s="12" t="str">
        <x:v>Campus/portfolio roster; individual building occupancy unverified</x:v>
      </x:c>
      <x:c r="I6334" s="12" t="str">
        <x:v>Mixed business audience</x:v>
      </x:c>
      <x:c r="J6334" s="12" t="str">
        <x:v>Workspace &amp; property operations</x:v>
      </x:c>
      <x:c r="K6334" s="2" t="str">
        <x:v>PARTNER-M340</x:v>
      </x:c>
    </x:row>
    <x:row r="6335" ht="46" customHeight="1">
      <x:c r="A6335" s="2" t="str">
        <x:v>TEN-A19002876785</x:v>
      </x:c>
      <x:c r="B6335" s="12" t="str">
        <x:v>Metal One</x:v>
      </x:c>
      <x:c r="C6335" s="12" t="str">
        <x:v>CORP-0754</x:v>
      </x:c>
      <x:c r="D6335" s="12" t="str">
        <x:v>Chennai</x:v>
      </x:c>
      <x:c r="E6335" s="12" t="str">
        <x:v>Prestige Cosmopolitan</x:v>
      </x:c>
      <x:c r="F6335" s="12" t="str">
        <x:v>55 inch</x:v>
      </x:c>
      <x:c r="G6335" s="20" t="n">
        <x:v>1</x:v>
      </x:c>
      <x:c r="H6335" s="12" t="str">
        <x:v>Campus/portfolio roster; individual building occupancy unverified</x:v>
      </x:c>
      <x:c r="I6335" s="12" t="str">
        <x:v>Mixed business audience</x:v>
      </x:c>
      <x:c r="J6335" s="12" t="str">
        <x:v>Engineering &amp; manufacturing</x:v>
      </x:c>
      <x:c r="K6335" s="2" t="str">
        <x:v>PARTNER-M340</x:v>
      </x:c>
    </x:row>
    <x:row r="6336" ht="46" customHeight="1">
      <x:c r="A6336" s="2" t="str">
        <x:v>TEN-AC70DCB61780</x:v>
      </x:c>
      <x:c r="B6336" s="12" t="str">
        <x:v>Metal One Corporation India PVT.LTD</x:v>
      </x:c>
      <x:c r="C6336" s="12" t="str">
        <x:v>CORP-0754</x:v>
      </x:c>
      <x:c r="D6336" s="12" t="str">
        <x:v>Chennai</x:v>
      </x:c>
      <x:c r="E6336" s="12" t="str">
        <x:v>Prestige Cosmopolitan</x:v>
      </x:c>
      <x:c r="F6336" s="12" t="str">
        <x:v>55 inch</x:v>
      </x:c>
      <x:c r="G6336" s="20" t="n">
        <x:v>1</x:v>
      </x:c>
      <x:c r="H6336" s="12" t="str">
        <x:v>Campus/portfolio roster; individual building occupancy unverified</x:v>
      </x:c>
      <x:c r="I6336" s="12" t="str">
        <x:v>Mixed business audience</x:v>
      </x:c>
      <x:c r="J6336" s="12" t="str">
        <x:v>Engineering &amp; manufacturing</x:v>
      </x:c>
      <x:c r="K6336" s="2" t="str">
        <x:v>PARTNER-M340</x:v>
      </x:c>
    </x:row>
    <x:row r="6337" ht="46" customHeight="1">
      <x:c r="A6337" s="2" t="str">
        <x:v>TEN-0C81B9564D37</x:v>
      </x:c>
      <x:c r="B6337" s="12" t="str">
        <x:v>Cogent eservices private limited PSN Bangalore</x:v>
      </x:c>
      <x:c r="C6337" s="12" t="str">
        <x:v>CORP-0449</x:v>
      </x:c>
      <x:c r="D6337" s="12" t="str">
        <x:v>Bengaluru</x:v>
      </x:c>
      <x:c r="E6337" s="12" t="str">
        <x:v>Prestige Shantiniketan</x:v>
      </x:c>
      <x:c r="F6337" s="12" t="str">
        <x:v>55 inch</x:v>
      </x:c>
      <x:c r="G6337" s="20" t="n">
        <x:v>1</x:v>
      </x:c>
      <x:c r="H6337" s="12" t="str">
        <x:v>Campus/portfolio roster; individual building occupancy unverified</x:v>
      </x:c>
      <x:c r="I6337" s="12" t="str">
        <x:v>Mixed business audience</x:v>
      </x:c>
      <x:c r="J6337" s="12" t="str">
        <x:v>IT &amp; digital</x:v>
      </x:c>
      <x:c r="K6337" s="2" t="str">
        <x:v>PARTNER-M027</x:v>
      </x:c>
    </x:row>
    <x:row r="6338" ht="46" customHeight="1">
      <x:c r="A6338" s="2" t="str">
        <x:v>TEN-1D6F21C9D1AB</x:v>
      </x:c>
      <x:c r="B6338" s="12" t="str">
        <x:v>Algorythm</x:v>
      </x:c>
      <x:c r="C6338" s="12" t="str">
        <x:v>CORP-0449</x:v>
      </x:c>
      <x:c r="D6338" s="12" t="str">
        <x:v>Bengaluru</x:v>
      </x:c>
      <x:c r="E6338" s="12" t="str">
        <x:v>Prestige Shantiniketan</x:v>
      </x:c>
      <x:c r="F6338" s="12" t="str">
        <x:v>55 inch</x:v>
      </x:c>
      <x:c r="G6338" s="20" t="n">
        <x:v>1</x:v>
      </x:c>
      <x:c r="H6338" s="12" t="str">
        <x:v>Campus/portfolio roster; individual building occupancy unverified</x:v>
      </x:c>
      <x:c r="I6338" s="12" t="str">
        <x:v>Mixed business audience</x:v>
      </x:c>
      <x:c r="J6338" s="12" t="str">
        <x:v>Unresolved</x:v>
      </x:c>
      <x:c r="K6338" s="2" t="str">
        <x:v>PARTNER-M027</x:v>
      </x:c>
    </x:row>
    <x:row r="6339" ht="46" customHeight="1">
      <x:c r="A6339" s="2" t="str">
        <x:v>TEN-31F8B6C7A65B</x:v>
      </x:c>
      <x:c r="B6339" s="12" t="str">
        <x:v>Genisys Group</x:v>
      </x:c>
      <x:c r="C6339" s="12" t="str">
        <x:v>CORP-0449</x:v>
      </x:c>
      <x:c r="D6339" s="12" t="str">
        <x:v>Bengaluru</x:v>
      </x:c>
      <x:c r="E6339" s="12" t="str">
        <x:v>Prestige Shantiniketan</x:v>
      </x:c>
      <x:c r="F6339" s="12" t="str">
        <x:v>55 inch</x:v>
      </x:c>
      <x:c r="G6339" s="20" t="n">
        <x:v>1</x:v>
      </x:c>
      <x:c r="H6339" s="12" t="str">
        <x:v>Campus/portfolio roster; individual building occupancy unverified</x:v>
      </x:c>
      <x:c r="I6339" s="12" t="str">
        <x:v>Mixed business audience</x:v>
      </x:c>
      <x:c r="J6339" s="12" t="str">
        <x:v>IT &amp; digital</x:v>
      </x:c>
      <x:c r="K6339" s="2" t="str">
        <x:v>PARTNER-M027</x:v>
      </x:c>
    </x:row>
    <x:row r="6340" ht="46" customHeight="1">
      <x:c r="A6340" s="2" t="str">
        <x:v>TEN-53B505C1CAE2</x:v>
      </x:c>
      <x:c r="B6340" s="12" t="str">
        <x:v>Herbalife International India Pvt Ltd</x:v>
      </x:c>
      <x:c r="C6340" s="12" t="str">
        <x:v>CORP-0449</x:v>
      </x:c>
      <x:c r="D6340" s="12" t="str">
        <x:v>Bengaluru</x:v>
      </x:c>
      <x:c r="E6340" s="12" t="str">
        <x:v>Prestige Shantiniketan</x:v>
      </x:c>
      <x:c r="F6340" s="12" t="str">
        <x:v>55 inch</x:v>
      </x:c>
      <x:c r="G6340" s="20" t="n">
        <x:v>1</x:v>
      </x:c>
      <x:c r="H6340" s="12" t="str">
        <x:v>Campus/portfolio roster; individual building occupancy unverified</x:v>
      </x:c>
      <x:c r="I6340" s="12" t="str">
        <x:v>Mixed business audience</x:v>
      </x:c>
      <x:c r="J6340" s="12" t="str">
        <x:v>Healthcare &amp; life sciences</x:v>
      </x:c>
      <x:c r="K6340" s="2" t="str">
        <x:v>PARTNER-M027</x:v>
      </x:c>
    </x:row>
    <x:row r="6341" ht="46" customHeight="1">
      <x:c r="A6341" s="2" t="str">
        <x:v>TEN-5FA790F3630F</x:v>
      </x:c>
      <x:c r="B6341" s="12" t="str">
        <x:v>Tata Consultancy Services</x:v>
      </x:c>
      <x:c r="C6341" s="12" t="str">
        <x:v>CORP-0449</x:v>
      </x:c>
      <x:c r="D6341" s="12" t="str">
        <x:v>Bengaluru</x:v>
      </x:c>
      <x:c r="E6341" s="12" t="str">
        <x:v>Prestige Shantiniketan</x:v>
      </x:c>
      <x:c r="F6341" s="12" t="str">
        <x:v>55 inch</x:v>
      </x:c>
      <x:c r="G6341" s="20" t="n">
        <x:v>1</x:v>
      </x:c>
      <x:c r="H6341" s="12" t="str">
        <x:v>Campus/portfolio roster; individual building occupancy unverified</x:v>
      </x:c>
      <x:c r="I6341" s="12" t="str">
        <x:v>Large enterprise</x:v>
      </x:c>
      <x:c r="J6341" s="12" t="str">
        <x:v>IT &amp; digital</x:v>
      </x:c>
      <x:c r="K6341" s="2" t="str">
        <x:v>PARTNER-M027</x:v>
      </x:c>
    </x:row>
    <x:row r="6342" ht="46" customHeight="1">
      <x:c r="A6342" s="2" t="str">
        <x:v>TEN-8409366CFBB2</x:v>
      </x:c>
      <x:c r="B6342" s="12" t="str">
        <x:v>Tata Elxsi Limited</x:v>
      </x:c>
      <x:c r="C6342" s="12" t="str">
        <x:v>CORP-0449</x:v>
      </x:c>
      <x:c r="D6342" s="12" t="str">
        <x:v>Bengaluru</x:v>
      </x:c>
      <x:c r="E6342" s="12" t="str">
        <x:v>Prestige Shantiniketan</x:v>
      </x:c>
      <x:c r="F6342" s="12" t="str">
        <x:v>55 inch</x:v>
      </x:c>
      <x:c r="G6342" s="20" t="n">
        <x:v>1</x:v>
      </x:c>
      <x:c r="H6342" s="12" t="str">
        <x:v>Campus/portfolio roster; individual building occupancy unverified</x:v>
      </x:c>
      <x:c r="I6342" s="12" t="str">
        <x:v>Large enterprise</x:v>
      </x:c>
      <x:c r="J6342" s="12" t="str">
        <x:v>IT &amp; digital</x:v>
      </x:c>
      <x:c r="K6342" s="2" t="str">
        <x:v>PARTNER-M027</x:v>
      </x:c>
    </x:row>
    <x:row r="6343" ht="46" customHeight="1">
      <x:c r="A6343" s="2" t="str">
        <x:v>TEN-849229AF9AC7</x:v>
      </x:c>
      <x:c r="B6343" s="12" t="str">
        <x:v>Hexaware Technologies Limited</x:v>
      </x:c>
      <x:c r="C6343" s="12" t="str">
        <x:v>CORP-0449</x:v>
      </x:c>
      <x:c r="D6343" s="12" t="str">
        <x:v>Bengaluru</x:v>
      </x:c>
      <x:c r="E6343" s="12" t="str">
        <x:v>Prestige Shantiniketan</x:v>
      </x:c>
      <x:c r="F6343" s="12" t="str">
        <x:v>55 inch</x:v>
      </x:c>
      <x:c r="G6343" s="20" t="n">
        <x:v>1</x:v>
      </x:c>
      <x:c r="H6343" s="12" t="str">
        <x:v>Campus/portfolio roster; individual building occupancy unverified</x:v>
      </x:c>
      <x:c r="I6343" s="12" t="str">
        <x:v>Large enterprise</x:v>
      </x:c>
      <x:c r="J6343" s="12" t="str">
        <x:v>IT &amp; digital</x:v>
      </x:c>
      <x:c r="K6343" s="2" t="str">
        <x:v>PARTNER-M027</x:v>
      </x:c>
    </x:row>
    <x:row r="6344" ht="46" customHeight="1">
      <x:c r="A6344" s="2" t="str">
        <x:v>TEN-9636D9305A9A</x:v>
      </x:c>
      <x:c r="B6344" s="12" t="str">
        <x:v>Britannia Industries Limited</x:v>
      </x:c>
      <x:c r="C6344" s="12" t="str">
        <x:v>CORP-0449</x:v>
      </x:c>
      <x:c r="D6344" s="12" t="str">
        <x:v>Bengaluru</x:v>
      </x:c>
      <x:c r="E6344" s="12" t="str">
        <x:v>Prestige Shantiniketan</x:v>
      </x:c>
      <x:c r="F6344" s="12" t="str">
        <x:v>55 inch</x:v>
      </x:c>
      <x:c r="G6344" s="20" t="n">
        <x:v>1</x:v>
      </x:c>
      <x:c r="H6344" s="12" t="str">
        <x:v>Campus/portfolio roster; individual building occupancy unverified</x:v>
      </x:c>
      <x:c r="I6344" s="12" t="str">
        <x:v>Mixed business audience</x:v>
      </x:c>
      <x:c r="J6344" s="12" t="str">
        <x:v>Trade, consumer &amp; logistics</x:v>
      </x:c>
      <x:c r="K6344" s="2" t="str">
        <x:v>PARTNER-M027</x:v>
      </x:c>
    </x:row>
    <x:row r="6345" ht="46" customHeight="1">
      <x:c r="A6345" s="2" t="str">
        <x:v>TEN-985483497785</x:v>
      </x:c>
      <x:c r="B6345" s="12" t="str">
        <x:v>GE Healthcare</x:v>
      </x:c>
      <x:c r="C6345" s="12" t="str">
        <x:v>CORP-0449</x:v>
      </x:c>
      <x:c r="D6345" s="12" t="str">
        <x:v>Bengaluru</x:v>
      </x:c>
      <x:c r="E6345" s="12" t="str">
        <x:v>Prestige Shantiniketan</x:v>
      </x:c>
      <x:c r="F6345" s="12" t="str">
        <x:v>55 inch</x:v>
      </x:c>
      <x:c r="G6345" s="20" t="n">
        <x:v>1</x:v>
      </x:c>
      <x:c r="H6345" s="12" t="str">
        <x:v>Campus/portfolio roster; individual building occupancy unverified</x:v>
      </x:c>
      <x:c r="I6345" s="12" t="str">
        <x:v>Mixed business audience</x:v>
      </x:c>
      <x:c r="J6345" s="12" t="str">
        <x:v>Healthcare &amp; life sciences</x:v>
      </x:c>
      <x:c r="K6345" s="2" t="str">
        <x:v>PARTNER-M027</x:v>
      </x:c>
    </x:row>
    <x:row r="6346" ht="46" customHeight="1">
      <x:c r="A6346" s="2" t="str">
        <x:v>TEN-9987FF0A3CAC</x:v>
      </x:c>
      <x:c r="B6346" s="12" t="str">
        <x:v>Hindustan Unilever (UniOps business unit)</x:v>
      </x:c>
      <x:c r="C6346" s="12" t="str">
        <x:v>CORP-0449</x:v>
      </x:c>
      <x:c r="D6346" s="12" t="str">
        <x:v>Bengaluru</x:v>
      </x:c>
      <x:c r="E6346" s="12" t="str">
        <x:v>Prestige Shantiniketan</x:v>
      </x:c>
      <x:c r="F6346" s="12" t="str">
        <x:v>55 inch</x:v>
      </x:c>
      <x:c r="G6346" s="20" t="n">
        <x:v>1</x:v>
      </x:c>
      <x:c r="H6346" s="12" t="str">
        <x:v>Campus/portfolio roster; individual building occupancy unverified</x:v>
      </x:c>
      <x:c r="I6346" s="12" t="str">
        <x:v>Large enterprise</x:v>
      </x:c>
      <x:c r="J6346" s="12" t="str">
        <x:v>Trade, consumer &amp; logistics</x:v>
      </x:c>
      <x:c r="K6346" s="2" t="str">
        <x:v>PARTNER-M027</x:v>
      </x:c>
    </x:row>
    <x:row r="6347" ht="46" customHeight="1">
      <x:c r="A6347" s="2" t="str">
        <x:v>TEN-9CDD1B64DEF0</x:v>
      </x:c>
      <x:c r="B6347" s="12" t="str">
        <x:v>Optym India Private Limited</x:v>
      </x:c>
      <x:c r="C6347" s="12" t="str">
        <x:v>CORP-0449</x:v>
      </x:c>
      <x:c r="D6347" s="12" t="str">
        <x:v>Bengaluru</x:v>
      </x:c>
      <x:c r="E6347" s="12" t="str">
        <x:v>Prestige Shantiniketan</x:v>
      </x:c>
      <x:c r="F6347" s="12" t="str">
        <x:v>55 inch</x:v>
      </x:c>
      <x:c r="G6347" s="20" t="n">
        <x:v>1</x:v>
      </x:c>
      <x:c r="H6347" s="12" t="str">
        <x:v>Campus/portfolio roster; individual building occupancy unverified</x:v>
      </x:c>
      <x:c r="I6347" s="12" t="str">
        <x:v>Small-scale prospects</x:v>
      </x:c>
      <x:c r="J6347" s="12" t="str">
        <x:v>IT &amp; digital</x:v>
      </x:c>
      <x:c r="K6347" s="2" t="str">
        <x:v>PARTNER-M027</x:v>
      </x:c>
    </x:row>
    <x:row r="6348" ht="46" customHeight="1">
      <x:c r="A6348" s="2" t="str">
        <x:v>TEN-A7FC7DAF4DA4</x:v>
      </x:c>
      <x:c r="B6348" s="12" t="str">
        <x:v>Thermo Fisher Scientific</x:v>
      </x:c>
      <x:c r="C6348" s="12" t="str">
        <x:v>CORP-0449</x:v>
      </x:c>
      <x:c r="D6348" s="12" t="str">
        <x:v>Bengaluru</x:v>
      </x:c>
      <x:c r="E6348" s="12" t="str">
        <x:v>Prestige Shantiniketan</x:v>
      </x:c>
      <x:c r="F6348" s="12" t="str">
        <x:v>55 inch</x:v>
      </x:c>
      <x:c r="G6348" s="20" t="n">
        <x:v>1</x:v>
      </x:c>
      <x:c r="H6348" s="12" t="str">
        <x:v>Campus/portfolio roster; individual building occupancy unverified</x:v>
      </x:c>
      <x:c r="I6348" s="12" t="str">
        <x:v>Mixed business audience</x:v>
      </x:c>
      <x:c r="J6348" s="12" t="str">
        <x:v>Healthcare &amp; life sciences</x:v>
      </x:c>
      <x:c r="K6348" s="2" t="str">
        <x:v>PARTNER-M027</x:v>
      </x:c>
    </x:row>
    <x:row r="6349" ht="46" customHeight="1">
      <x:c r="A6349" s="2" t="str">
        <x:v>TEN-B877247CA363</x:v>
      </x:c>
      <x:c r="B6349" s="12" t="str">
        <x:v>Kaseya</x:v>
      </x:c>
      <x:c r="C6349" s="12" t="str">
        <x:v>CORP-0449</x:v>
      </x:c>
      <x:c r="D6349" s="12" t="str">
        <x:v>Bengaluru</x:v>
      </x:c>
      <x:c r="E6349" s="12" t="str">
        <x:v>Prestige Shantiniketan</x:v>
      </x:c>
      <x:c r="F6349" s="12" t="str">
        <x:v>55 inch</x:v>
      </x:c>
      <x:c r="G6349" s="20" t="n">
        <x:v>1</x:v>
      </x:c>
      <x:c r="H6349" s="12" t="str">
        <x:v>Campus/portfolio roster; individual building occupancy unverified</x:v>
      </x:c>
      <x:c r="I6349" s="12" t="str">
        <x:v>Mixed business audience</x:v>
      </x:c>
      <x:c r="J6349" s="12" t="str">
        <x:v>IT &amp; digital</x:v>
      </x:c>
      <x:c r="K6349" s="2" t="str">
        <x:v>PARTNER-M027</x:v>
      </x:c>
    </x:row>
    <x:row r="6350" ht="46" customHeight="1">
      <x:c r="A6350" s="2" t="str">
        <x:v>TEN-BA6AE2780CD4</x:v>
      </x:c>
      <x:c r="B6350" s="12" t="str">
        <x:v>Concentrix</x:v>
      </x:c>
      <x:c r="C6350" s="12" t="str">
        <x:v>CORP-0449</x:v>
      </x:c>
      <x:c r="D6350" s="12" t="str">
        <x:v>Bengaluru</x:v>
      </x:c>
      <x:c r="E6350" s="12" t="str">
        <x:v>Prestige Shantiniketan</x:v>
      </x:c>
      <x:c r="F6350" s="12" t="str">
        <x:v>55 inch</x:v>
      </x:c>
      <x:c r="G6350" s="20" t="n">
        <x:v>1</x:v>
      </x:c>
      <x:c r="H6350" s="12" t="str">
        <x:v>Campus/portfolio roster; individual building occupancy unverified</x:v>
      </x:c>
      <x:c r="I6350" s="12" t="str">
        <x:v>Large enterprise</x:v>
      </x:c>
      <x:c r="J6350" s="12" t="str">
        <x:v>IT &amp; digital</x:v>
      </x:c>
      <x:c r="K6350" s="2" t="str">
        <x:v>PARTNER-M027</x:v>
      </x:c>
    </x:row>
    <x:row r="6351" ht="46" customHeight="1">
      <x:c r="A6351" s="2" t="str">
        <x:v>TEN-BEE4F75D30E5</x:v>
      </x:c>
      <x:c r="B6351" s="12" t="str">
        <x:v>ICICI Bank</x:v>
      </x:c>
      <x:c r="C6351" s="12" t="str">
        <x:v>CORP-0449</x:v>
      </x:c>
      <x:c r="D6351" s="12" t="str">
        <x:v>Bengaluru</x:v>
      </x:c>
      <x:c r="E6351" s="12" t="str">
        <x:v>Prestige Shantiniketan</x:v>
      </x:c>
      <x:c r="F6351" s="12" t="str">
        <x:v>55 inch</x:v>
      </x:c>
      <x:c r="G6351" s="20" t="n">
        <x:v>1</x:v>
      </x:c>
      <x:c r="H6351" s="12" t="str">
        <x:v>Campus/portfolio roster; individual building occupancy unverified</x:v>
      </x:c>
      <x:c r="I6351" s="12" t="str">
        <x:v>Large enterprise</x:v>
      </x:c>
      <x:c r="J6351" s="12" t="str">
        <x:v>Finance &amp; insurance</x:v>
      </x:c>
      <x:c r="K6351" s="2" t="str">
        <x:v>PARTNER-M027</x:v>
      </x:c>
    </x:row>
    <x:row r="6352" ht="46" customHeight="1">
      <x:c r="A6352" s="2" t="str">
        <x:v>TEN-CCAF93725C39</x:v>
      </x:c>
      <x:c r="B6352" s="12" t="str">
        <x:v>India Document Solutions Private Ltd</x:v>
      </x:c>
      <x:c r="C6352" s="12" t="str">
        <x:v>CORP-0449</x:v>
      </x:c>
      <x:c r="D6352" s="12" t="str">
        <x:v>Bengaluru</x:v>
      </x:c>
      <x:c r="E6352" s="12" t="str">
        <x:v>Prestige Shantiniketan</x:v>
      </x:c>
      <x:c r="F6352" s="12" t="str">
        <x:v>55 inch</x:v>
      </x:c>
      <x:c r="G6352" s="20" t="n">
        <x:v>1</x:v>
      </x:c>
      <x:c r="H6352" s="12" t="str">
        <x:v>Campus/portfolio roster; individual building occupancy unverified</x:v>
      </x:c>
      <x:c r="I6352" s="12" t="str">
        <x:v>Mixed business audience</x:v>
      </x:c>
      <x:c r="J6352" s="12" t="str">
        <x:v>Unresolved</x:v>
      </x:c>
      <x:c r="K6352" s="2" t="str">
        <x:v>PARTNER-M027</x:v>
      </x:c>
    </x:row>
    <x:row r="6353" ht="46" customHeight="1">
      <x:c r="A6353" s="2" t="str">
        <x:v>TEN-D850894DB864</x:v>
      </x:c>
      <x:c r="B6353" s="12" t="str">
        <x:v>Rockstar Games India</x:v>
      </x:c>
      <x:c r="C6353" s="12" t="str">
        <x:v>CORP-0449</x:v>
      </x:c>
      <x:c r="D6353" s="12" t="str">
        <x:v>Bengaluru</x:v>
      </x:c>
      <x:c r="E6353" s="12" t="str">
        <x:v>Prestige Shantiniketan</x:v>
      </x:c>
      <x:c r="F6353" s="12" t="str">
        <x:v>55 inch</x:v>
      </x:c>
      <x:c r="G6353" s="20" t="n">
        <x:v>1</x:v>
      </x:c>
      <x:c r="H6353" s="12" t="str">
        <x:v>Campus/portfolio roster; individual building occupancy unverified</x:v>
      </x:c>
      <x:c r="I6353" s="12" t="str">
        <x:v>Mixed business audience</x:v>
      </x:c>
      <x:c r="J6353" s="12" t="str">
        <x:v>Trade, consumer &amp; logistics</x:v>
      </x:c>
      <x:c r="K6353" s="2" t="str">
        <x:v>PARTNER-M027</x:v>
      </x:c>
    </x:row>
    <x:row r="6354" ht="46" customHeight="1">
      <x:c r="A6354" s="2" t="str">
        <x:v>TEN-D860D87EBCF5</x:v>
      </x:c>
      <x:c r="B6354" s="12" t="str">
        <x:v>Synapse Techno Design Innovations Private Limited</x:v>
      </x:c>
      <x:c r="C6354" s="12" t="str">
        <x:v>CORP-0449</x:v>
      </x:c>
      <x:c r="D6354" s="12" t="str">
        <x:v>Bengaluru</x:v>
      </x:c>
      <x:c r="E6354" s="12" t="str">
        <x:v>Prestige Shantiniketan</x:v>
      </x:c>
      <x:c r="F6354" s="12" t="str">
        <x:v>55 inch</x:v>
      </x:c>
      <x:c r="G6354" s="20" t="n">
        <x:v>1</x:v>
      </x:c>
      <x:c r="H6354" s="12" t="str">
        <x:v>Campus/portfolio roster; individual building occupancy unverified</x:v>
      </x:c>
      <x:c r="I6354" s="12" t="str">
        <x:v>Small-scale prospects</x:v>
      </x:c>
      <x:c r="J6354" s="12" t="str">
        <x:v>IT &amp; digital</x:v>
      </x:c>
      <x:c r="K6354" s="2" t="str">
        <x:v>PARTNER-M027</x:v>
      </x:c>
    </x:row>
    <x:row r="6355" ht="46" customHeight="1">
      <x:c r="A6355" s="2" t="str">
        <x:v>TEN-DF4521B8C430</x:v>
      </x:c>
      <x:c r="B6355" s="12" t="str">
        <x:v>Nielsen Sports</x:v>
      </x:c>
      <x:c r="C6355" s="12" t="str">
        <x:v>CORP-0449</x:v>
      </x:c>
      <x:c r="D6355" s="12" t="str">
        <x:v>Bengaluru</x:v>
      </x:c>
      <x:c r="E6355" s="12" t="str">
        <x:v>Prestige Shantiniketan</x:v>
      </x:c>
      <x:c r="F6355" s="12" t="str">
        <x:v>55 inch</x:v>
      </x:c>
      <x:c r="G6355" s="20" t="n">
        <x:v>1</x:v>
      </x:c>
      <x:c r="H6355" s="12" t="str">
        <x:v>Campus/portfolio roster; individual building occupancy unverified</x:v>
      </x:c>
      <x:c r="I6355" s="12" t="str">
        <x:v>Mixed business audience</x:v>
      </x:c>
      <x:c r="J6355" s="12" t="str">
        <x:v>Professional services</x:v>
      </x:c>
      <x:c r="K6355" s="2" t="str">
        <x:v>PARTNER-M027</x:v>
      </x:c>
    </x:row>
    <x:row r="6356" ht="46" customHeight="1">
      <x:c r="A6356" s="2" t="str">
        <x:v>TEN-E23305C78818</x:v>
      </x:c>
      <x:c r="B6356" s="12" t="str">
        <x:v>Baxter Innovations &amp; Business Solutions Pvt Ltd</x:v>
      </x:c>
      <x:c r="C6356" s="12" t="str">
        <x:v>CORP-0449</x:v>
      </x:c>
      <x:c r="D6356" s="12" t="str">
        <x:v>Bengaluru</x:v>
      </x:c>
      <x:c r="E6356" s="12" t="str">
        <x:v>Prestige Shantiniketan</x:v>
      </x:c>
      <x:c r="F6356" s="12" t="str">
        <x:v>55 inch</x:v>
      </x:c>
      <x:c r="G6356" s="20" t="n">
        <x:v>1</x:v>
      </x:c>
      <x:c r="H6356" s="12" t="str">
        <x:v>Campus/portfolio roster; individual building occupancy unverified</x:v>
      </x:c>
      <x:c r="I6356" s="12" t="str">
        <x:v>Mixed business audience</x:v>
      </x:c>
      <x:c r="J6356" s="12" t="str">
        <x:v>Healthcare &amp; life sciences</x:v>
      </x:c>
      <x:c r="K6356" s="2" t="str">
        <x:v>PARTNER-M027</x:v>
      </x:c>
    </x:row>
    <x:row r="6357" ht="46" customHeight="1">
      <x:c r="A6357" s="2" t="str">
        <x:v>TEN-E517F4484EEE</x:v>
      </x:c>
      <x:c r="B6357" s="12" t="str">
        <x:v>CapRelo Mobility India Private Limited</x:v>
      </x:c>
      <x:c r="C6357" s="12" t="str">
        <x:v>CORP-0449</x:v>
      </x:c>
      <x:c r="D6357" s="12" t="str">
        <x:v>Bengaluru</x:v>
      </x:c>
      <x:c r="E6357" s="12" t="str">
        <x:v>Prestige Shantiniketan</x:v>
      </x:c>
      <x:c r="F6357" s="12" t="str">
        <x:v>55 inch</x:v>
      </x:c>
      <x:c r="G6357" s="20" t="n">
        <x:v>1</x:v>
      </x:c>
      <x:c r="H6357" s="12" t="str">
        <x:v>Campus/portfolio roster; individual building occupancy unverified</x:v>
      </x:c>
      <x:c r="I6357" s="12" t="str">
        <x:v>Mixed business audience</x:v>
      </x:c>
      <x:c r="J6357" s="12" t="str">
        <x:v>Professional services</x:v>
      </x:c>
      <x:c r="K6357" s="2" t="str">
        <x:v>PARTNER-M027</x:v>
      </x:c>
    </x:row>
    <x:row r="6358" ht="46" customHeight="1">
      <x:c r="A6358" s="2" t="str">
        <x:v>TEN-E88697226669</x:v>
      </x:c>
      <x:c r="B6358" s="12" t="str">
        <x:v>Elocity Technologies India Private Limited</x:v>
      </x:c>
      <x:c r="C6358" s="12" t="str">
        <x:v>CORP-0449</x:v>
      </x:c>
      <x:c r="D6358" s="12" t="str">
        <x:v>Bengaluru</x:v>
      </x:c>
      <x:c r="E6358" s="12" t="str">
        <x:v>Prestige Shantiniketan</x:v>
      </x:c>
      <x:c r="F6358" s="12" t="str">
        <x:v>55 inch</x:v>
      </x:c>
      <x:c r="G6358" s="20" t="n">
        <x:v>1</x:v>
      </x:c>
      <x:c r="H6358" s="12" t="str">
        <x:v>Campus/portfolio roster; individual building occupancy unverified</x:v>
      </x:c>
      <x:c r="I6358" s="12" t="str">
        <x:v>Mixed business audience</x:v>
      </x:c>
      <x:c r="J6358" s="12" t="str">
        <x:v>Unresolved</x:v>
      </x:c>
      <x:c r="K6358" s="2" t="str">
        <x:v>PARTNER-M027</x:v>
      </x:c>
    </x:row>
    <x:row r="6359" ht="46" customHeight="1">
      <x:c r="A6359" s="2" t="str">
        <x:v>TEN-EE0CA20290EC</x:v>
      </x:c>
      <x:c r="B6359" s="12" t="str">
        <x:v>MEDTRONIC</x:v>
      </x:c>
      <x:c r="C6359" s="12" t="str">
        <x:v>CORP-0449</x:v>
      </x:c>
      <x:c r="D6359" s="12" t="str">
        <x:v>Bengaluru</x:v>
      </x:c>
      <x:c r="E6359" s="12" t="str">
        <x:v>Prestige Shantiniketan</x:v>
      </x:c>
      <x:c r="F6359" s="12" t="str">
        <x:v>55 inch</x:v>
      </x:c>
      <x:c r="G6359" s="20" t="n">
        <x:v>1</x:v>
      </x:c>
      <x:c r="H6359" s="12" t="str">
        <x:v>Campus/portfolio roster; individual building occupancy unverified</x:v>
      </x:c>
      <x:c r="I6359" s="12" t="str">
        <x:v>Mixed business audience</x:v>
      </x:c>
      <x:c r="J6359" s="12" t="str">
        <x:v>Healthcare &amp; life sciences</x:v>
      </x:c>
      <x:c r="K6359" s="2" t="str">
        <x:v>PARTNER-M027</x:v>
      </x:c>
    </x:row>
    <x:row r="6360" ht="46" customHeight="1">
      <x:c r="A6360" s="2" t="str">
        <x:v>TEN-FECD2DA15F6C</x:v>
      </x:c>
      <x:c r="B6360" s="12" t="str">
        <x:v>Flowserve Global Technology &amp; Engineering Center (GTEC)</x:v>
      </x:c>
      <x:c r="C6360" s="12" t="str">
        <x:v>CORP-0449</x:v>
      </x:c>
      <x:c r="D6360" s="12" t="str">
        <x:v>Bengaluru</x:v>
      </x:c>
      <x:c r="E6360" s="12" t="str">
        <x:v>Prestige Shantiniketan</x:v>
      </x:c>
      <x:c r="F6360" s="12" t="str">
        <x:v>55 inch</x:v>
      </x:c>
      <x:c r="G6360" s="20" t="n">
        <x:v>1</x:v>
      </x:c>
      <x:c r="H6360" s="12" t="str">
        <x:v>Campus/portfolio roster; individual building occupancy unverified</x:v>
      </x:c>
      <x:c r="I6360" s="12" t="str">
        <x:v>Mixed business audience</x:v>
      </x:c>
      <x:c r="J6360" s="12" t="str">
        <x:v>Engineering &amp; manufacturing</x:v>
      </x:c>
      <x:c r="K6360" s="2" t="str">
        <x:v>PARTNER-M027</x:v>
      </x:c>
    </x:row>
    <x:row r="6361" ht="46" customHeight="1">
      <x:c r="A6361" s="2" t="str">
        <x:v>TEN-2546BF743AD2</x:v>
      </x:c>
      <x:c r="B6361" s="12" t="str">
        <x:v>Switch Mobility Automotive Ltd</x:v>
      </x:c>
      <x:c r="C6361" s="12" t="str">
        <x:v>CORP-0755</x:v>
      </x:c>
      <x:c r="D6361" s="12" t="str">
        <x:v>Chennai</x:v>
      </x:c>
      <x:c r="E6361" s="12" t="str">
        <x:v>Prestige Cosmopolitan</x:v>
      </x:c>
      <x:c r="F6361" s="12" t="str">
        <x:v>55 inch</x:v>
      </x:c>
      <x:c r="G6361" s="20" t="n">
        <x:v>1</x:v>
      </x:c>
      <x:c r="H6361" s="12" t="str">
        <x:v>Campus/portfolio roster; individual building occupancy unverified</x:v>
      </x:c>
      <x:c r="I6361" s="12" t="str">
        <x:v>Mixed business audience</x:v>
      </x:c>
      <x:c r="J6361" s="12" t="str">
        <x:v>Engineering &amp; manufacturing</x:v>
      </x:c>
      <x:c r="K6361" s="2" t="str">
        <x:v>PARTNER-M340</x:v>
      </x:c>
    </x:row>
    <x:row r="6362" ht="46" customHeight="1">
      <x:c r="A6362" s="2" t="str">
        <x:v>TEN-2F707C5315A5</x:v>
      </x:c>
      <x:c r="B6362" s="12" t="str">
        <x:v>DVS Research and Capital Services Pvt Ltd</x:v>
      </x:c>
      <x:c r="C6362" s="12" t="str">
        <x:v>CORP-0755</x:v>
      </x:c>
      <x:c r="D6362" s="12" t="str">
        <x:v>Chennai</x:v>
      </x:c>
      <x:c r="E6362" s="12" t="str">
        <x:v>Prestige Cosmopolitan</x:v>
      </x:c>
      <x:c r="F6362" s="12" t="str">
        <x:v>55 inch</x:v>
      </x:c>
      <x:c r="G6362" s="20" t="n">
        <x:v>1</x:v>
      </x:c>
      <x:c r="H6362" s="12" t="str">
        <x:v>Campus/portfolio roster; individual building occupancy unverified</x:v>
      </x:c>
      <x:c r="I6362" s="12" t="str">
        <x:v>Medium-scale prospects</x:v>
      </x:c>
      <x:c r="J6362" s="12" t="str">
        <x:v>Finance &amp; insurance</x:v>
      </x:c>
      <x:c r="K6362" s="2" t="str">
        <x:v>PARTNER-M340</x:v>
      </x:c>
    </x:row>
    <x:row r="6363" ht="46" customHeight="1">
      <x:c r="A6363" s="2" t="str">
        <x:v>TEN-4D13E1DBE7AB</x:v>
      </x:c>
      <x:c r="B6363" s="12" t="str">
        <x:v>Mitsubishi</x:v>
      </x:c>
      <x:c r="C6363" s="12" t="str">
        <x:v>CORP-0755</x:v>
      </x:c>
      <x:c r="D6363" s="12" t="str">
        <x:v>Chennai</x:v>
      </x:c>
      <x:c r="E6363" s="12" t="str">
        <x:v>Prestige Cosmopolitan</x:v>
      </x:c>
      <x:c r="F6363" s="12" t="str">
        <x:v>55 inch</x:v>
      </x:c>
      <x:c r="G6363" s="20" t="n">
        <x:v>1</x:v>
      </x:c>
      <x:c r="H6363" s="12" t="str">
        <x:v>Campus/portfolio roster; individual building occupancy unverified</x:v>
      </x:c>
      <x:c r="I6363" s="12" t="str">
        <x:v>Mixed business audience</x:v>
      </x:c>
      <x:c r="J6363" s="12" t="str">
        <x:v>Engineering &amp; manufacturing</x:v>
      </x:c>
      <x:c r="K6363" s="2" t="str">
        <x:v>PARTNER-M340</x:v>
      </x:c>
    </x:row>
    <x:row r="6364" ht="46" customHeight="1">
      <x:c r="A6364" s="2" t="str">
        <x:v>TEN-80BAA3706B07</x:v>
      </x:c>
      <x:c r="B6364" s="12" t="str">
        <x:v>AWFIS Space Solutions Pvt Ltd</x:v>
      </x:c>
      <x:c r="C6364" s="12" t="str">
        <x:v>CORP-0755</x:v>
      </x:c>
      <x:c r="D6364" s="12" t="str">
        <x:v>Chennai</x:v>
      </x:c>
      <x:c r="E6364" s="12" t="str">
        <x:v>Prestige Cosmopolitan</x:v>
      </x:c>
      <x:c r="F6364" s="12" t="str">
        <x:v>55 inch</x:v>
      </x:c>
      <x:c r="G6364" s="20" t="n">
        <x:v>1</x:v>
      </x:c>
      <x:c r="H6364" s="12" t="str">
        <x:v>Campus/portfolio roster; individual building occupancy unverified</x:v>
      </x:c>
      <x:c r="I6364" s="12" t="str">
        <x:v>Mixed business audience</x:v>
      </x:c>
      <x:c r="J6364" s="12" t="str">
        <x:v>Workspace &amp; property operations</x:v>
      </x:c>
      <x:c r="K6364" s="2" t="str">
        <x:v>PARTNER-M340</x:v>
      </x:c>
    </x:row>
    <x:row r="6365" ht="46" customHeight="1">
      <x:c r="A6365" s="2" t="str">
        <x:v>TEN-A19002876785</x:v>
      </x:c>
      <x:c r="B6365" s="12" t="str">
        <x:v>Metal One</x:v>
      </x:c>
      <x:c r="C6365" s="12" t="str">
        <x:v>CORP-0755</x:v>
      </x:c>
      <x:c r="D6365" s="12" t="str">
        <x:v>Chennai</x:v>
      </x:c>
      <x:c r="E6365" s="12" t="str">
        <x:v>Prestige Cosmopolitan</x:v>
      </x:c>
      <x:c r="F6365" s="12" t="str">
        <x:v>55 inch</x:v>
      </x:c>
      <x:c r="G6365" s="20" t="n">
        <x:v>1</x:v>
      </x:c>
      <x:c r="H6365" s="12" t="str">
        <x:v>Campus/portfolio roster; individual building occupancy unverified</x:v>
      </x:c>
      <x:c r="I6365" s="12" t="str">
        <x:v>Mixed business audience</x:v>
      </x:c>
      <x:c r="J6365" s="12" t="str">
        <x:v>Engineering &amp; manufacturing</x:v>
      </x:c>
      <x:c r="K6365" s="2" t="str">
        <x:v>PARTNER-M340</x:v>
      </x:c>
    </x:row>
    <x:row r="6366" ht="46" customHeight="1">
      <x:c r="A6366" s="2" t="str">
        <x:v>TEN-AC70DCB61780</x:v>
      </x:c>
      <x:c r="B6366" s="12" t="str">
        <x:v>Metal One Corporation India PVT.LTD</x:v>
      </x:c>
      <x:c r="C6366" s="12" t="str">
        <x:v>CORP-0755</x:v>
      </x:c>
      <x:c r="D6366" s="12" t="str">
        <x:v>Chennai</x:v>
      </x:c>
      <x:c r="E6366" s="12" t="str">
        <x:v>Prestige Cosmopolitan</x:v>
      </x:c>
      <x:c r="F6366" s="12" t="str">
        <x:v>55 inch</x:v>
      </x:c>
      <x:c r="G6366" s="20" t="n">
        <x:v>1</x:v>
      </x:c>
      <x:c r="H6366" s="12" t="str">
        <x:v>Campus/portfolio roster; individual building occupancy unverified</x:v>
      </x:c>
      <x:c r="I6366" s="12" t="str">
        <x:v>Mixed business audience</x:v>
      </x:c>
      <x:c r="J6366" s="12" t="str">
        <x:v>Engineering &amp; manufacturing</x:v>
      </x:c>
      <x:c r="K6366" s="2" t="str">
        <x:v>PARTNER-M340</x:v>
      </x:c>
    </x:row>
    <x:row r="6367" ht="46" customHeight="1">
      <x:c r="A6367" s="2" t="str">
        <x:v>TEN-2082E5C8582B</x:v>
      </x:c>
      <x:c r="B6367" s="12" t="str">
        <x:v>QuScient Technologies Pvt Ltd</x:v>
      </x:c>
      <x:c r="C6367" s="12" t="str">
        <x:v>CORP-0756</x:v>
      </x:c>
      <x:c r="D6367" s="12" t="str">
        <x:v>Chennai</x:v>
      </x:c>
      <x:c r="E6367" s="12" t="str">
        <x:v>Prince Infocity 2</x:v>
      </x:c>
      <x:c r="F6367" s="12" t="str">
        <x:v>55 inch</x:v>
      </x:c>
      <x:c r="G6367" s="20" t="n">
        <x:v>1</x:v>
      </x:c>
      <x:c r="H6367" s="12" t="str">
        <x:v>Campus/portfolio roster; individual building occupancy unverified</x:v>
      </x:c>
      <x:c r="I6367" s="12" t="str">
        <x:v>Small-scale prospects</x:v>
      </x:c>
      <x:c r="J6367" s="12" t="str">
        <x:v>IT &amp; digital</x:v>
      </x:c>
      <x:c r="K6367" s="2" t="str">
        <x:v>PARTNER-M342</x:v>
      </x:c>
    </x:row>
    <x:row r="6368" ht="46" customHeight="1">
      <x:c r="A6368" s="2" t="str">
        <x:v>TEN-3FE557A29BB1</x:v>
      </x:c>
      <x:c r="B6368" s="12" t="str">
        <x:v>AGS Health</x:v>
      </x:c>
      <x:c r="C6368" s="12" t="str">
        <x:v>CORP-0756</x:v>
      </x:c>
      <x:c r="D6368" s="12" t="str">
        <x:v>Chennai</x:v>
      </x:c>
      <x:c r="E6368" s="12" t="str">
        <x:v>Prince Infocity 2</x:v>
      </x:c>
      <x:c r="F6368" s="12" t="str">
        <x:v>55 inch</x:v>
      </x:c>
      <x:c r="G6368" s="20" t="n">
        <x:v>1</x:v>
      </x:c>
      <x:c r="H6368" s="12" t="str">
        <x:v>Campus/portfolio roster; individual building occupancy unverified</x:v>
      </x:c>
      <x:c r="I6368" s="12" t="str">
        <x:v>Mixed business audience</x:v>
      </x:c>
      <x:c r="J6368" s="12" t="str">
        <x:v>Healthcare &amp; life sciences</x:v>
      </x:c>
      <x:c r="K6368" s="2" t="str">
        <x:v>PARTNER-M342</x:v>
      </x:c>
    </x:row>
    <x:row r="6369" ht="46" customHeight="1">
      <x:c r="A6369" s="2" t="str">
        <x:v>TEN-6CCD1ACFB146</x:v>
      </x:c>
      <x:c r="B6369" s="12" t="str">
        <x:v>3i Infotech Limited</x:v>
      </x:c>
      <x:c r="C6369" s="12" t="str">
        <x:v>CORP-0756</x:v>
      </x:c>
      <x:c r="D6369" s="12" t="str">
        <x:v>Chennai</x:v>
      </x:c>
      <x:c r="E6369" s="12" t="str">
        <x:v>Prince Infocity 2</x:v>
      </x:c>
      <x:c r="F6369" s="12" t="str">
        <x:v>55 inch</x:v>
      </x:c>
      <x:c r="G6369" s="20" t="n">
        <x:v>1</x:v>
      </x:c>
      <x:c r="H6369" s="12" t="str">
        <x:v>Campus/portfolio roster; individual building occupancy unverified</x:v>
      </x:c>
      <x:c r="I6369" s="12" t="str">
        <x:v>Mixed business audience</x:v>
      </x:c>
      <x:c r="J6369" s="12" t="str">
        <x:v>IT &amp; digital</x:v>
      </x:c>
      <x:c r="K6369" s="2" t="str">
        <x:v>PARTNER-M342</x:v>
      </x:c>
    </x:row>
    <x:row r="6370" ht="46" customHeight="1">
      <x:c r="A6370" s="2" t="str">
        <x:v>TEN-8061FA4B3B34</x:v>
      </x:c>
      <x:c r="B6370" s="12" t="str">
        <x:v>Worklogix</x:v>
      </x:c>
      <x:c r="C6370" s="12" t="str">
        <x:v>CORP-0756</x:v>
      </x:c>
      <x:c r="D6370" s="12" t="str">
        <x:v>Chennai</x:v>
      </x:c>
      <x:c r="E6370" s="12" t="str">
        <x:v>Prince Infocity 2</x:v>
      </x:c>
      <x:c r="F6370" s="12" t="str">
        <x:v>55 inch</x:v>
      </x:c>
      <x:c r="G6370" s="20" t="n">
        <x:v>1</x:v>
      </x:c>
      <x:c r="H6370" s="12" t="str">
        <x:v>Campus/portfolio roster; individual building occupancy unverified</x:v>
      </x:c>
      <x:c r="I6370" s="12" t="str">
        <x:v>Small-scale prospects</x:v>
      </x:c>
      <x:c r="J6370" s="12" t="str">
        <x:v>IT &amp; digital</x:v>
      </x:c>
      <x:c r="K6370" s="2" t="str">
        <x:v>PARTNER-M342</x:v>
      </x:c>
    </x:row>
    <x:row r="6371" ht="46" customHeight="1">
      <x:c r="A6371" s="2" t="str">
        <x:v>TEN-916A98F0FA2A</x:v>
      </x:c>
      <x:c r="B6371" s="12" t="str">
        <x:v>IBM</x:v>
      </x:c>
      <x:c r="C6371" s="12" t="str">
        <x:v>CORP-0756</x:v>
      </x:c>
      <x:c r="D6371" s="12" t="str">
        <x:v>Chennai</x:v>
      </x:c>
      <x:c r="E6371" s="12" t="str">
        <x:v>Prince Infocity 2</x:v>
      </x:c>
      <x:c r="F6371" s="12" t="str">
        <x:v>55 inch</x:v>
      </x:c>
      <x:c r="G6371" s="20" t="n">
        <x:v>1</x:v>
      </x:c>
      <x:c r="H6371" s="12" t="str">
        <x:v>Campus/portfolio roster; individual building occupancy unverified</x:v>
      </x:c>
      <x:c r="I6371" s="12" t="str">
        <x:v>Large enterprise</x:v>
      </x:c>
      <x:c r="J6371" s="12" t="str">
        <x:v>IT &amp; digital</x:v>
      </x:c>
      <x:c r="K6371" s="2" t="str">
        <x:v>PARTNER-M342</x:v>
      </x:c>
    </x:row>
    <x:row r="6372" ht="46" customHeight="1">
      <x:c r="A6372" s="2" t="str">
        <x:v>TEN-953F723DD17A</x:v>
      </x:c>
      <x:c r="B6372" s="12" t="str">
        <x:v>Insmagro Global Solutions Pvt Ltd</x:v>
      </x:c>
      <x:c r="C6372" s="12" t="str">
        <x:v>CORP-0756</x:v>
      </x:c>
      <x:c r="D6372" s="12" t="str">
        <x:v>Chennai</x:v>
      </x:c>
      <x:c r="E6372" s="12" t="str">
        <x:v>Prince Infocity 2</x:v>
      </x:c>
      <x:c r="F6372" s="12" t="str">
        <x:v>55 inch</x:v>
      </x:c>
      <x:c r="G6372" s="20" t="n">
        <x:v>1</x:v>
      </x:c>
      <x:c r="H6372" s="12" t="str">
        <x:v>Campus/portfolio roster; individual building occupancy unverified</x:v>
      </x:c>
      <x:c r="I6372" s="12" t="str">
        <x:v>Mixed business audience</x:v>
      </x:c>
      <x:c r="J6372" s="12" t="str">
        <x:v>Unresolved</x:v>
      </x:c>
      <x:c r="K6372" s="2" t="str">
        <x:v>PARTNER-M342</x:v>
      </x:c>
    </x:row>
    <x:row r="6373" ht="46" customHeight="1">
      <x:c r="A6373" s="2" t="str">
        <x:v>TEN-C60ACB58F3DA</x:v>
      </x:c>
      <x:c r="B6373" s="12" t="str">
        <x:v>Tata Teleservices Limited (TTSL Chennai)</x:v>
      </x:c>
      <x:c r="C6373" s="12" t="str">
        <x:v>CORP-0756</x:v>
      </x:c>
      <x:c r="D6373" s="12" t="str">
        <x:v>Chennai</x:v>
      </x:c>
      <x:c r="E6373" s="12" t="str">
        <x:v>Prince Infocity 2</x:v>
      </x:c>
      <x:c r="F6373" s="12" t="str">
        <x:v>55 inch</x:v>
      </x:c>
      <x:c r="G6373" s="20" t="n">
        <x:v>1</x:v>
      </x:c>
      <x:c r="H6373" s="12" t="str">
        <x:v>Campus/portfolio roster; individual building occupancy unverified</x:v>
      </x:c>
      <x:c r="I6373" s="12" t="str">
        <x:v>Large enterprise</x:v>
      </x:c>
      <x:c r="J6373" s="12" t="str">
        <x:v>IT &amp; digital</x:v>
      </x:c>
      <x:c r="K6373" s="2" t="str">
        <x:v>PARTNER-M342</x:v>
      </x:c>
    </x:row>
    <x:row r="6374" ht="46" customHeight="1">
      <x:c r="A6374" s="2" t="str">
        <x:v>TEN-D30D32A3CC13</x:v>
      </x:c>
      <x:c r="B6374" s="12" t="str">
        <x:v>Great Lakes Institute of Management</x:v>
      </x:c>
      <x:c r="C6374" s="12" t="str">
        <x:v>CORP-0756</x:v>
      </x:c>
      <x:c r="D6374" s="12" t="str">
        <x:v>Chennai</x:v>
      </x:c>
      <x:c r="E6374" s="12" t="str">
        <x:v>Prince Infocity 2</x:v>
      </x:c>
      <x:c r="F6374" s="12" t="str">
        <x:v>55 inch</x:v>
      </x:c>
      <x:c r="G6374" s="20" t="n">
        <x:v>1</x:v>
      </x:c>
      <x:c r="H6374" s="12" t="str">
        <x:v>Campus/portfolio roster; individual building occupancy unverified</x:v>
      </x:c>
      <x:c r="I6374" s="12" t="str">
        <x:v>Institutional</x:v>
      </x:c>
      <x:c r="J6374" s="12" t="str">
        <x:v>Education</x:v>
      </x:c>
      <x:c r="K6374" s="2" t="str">
        <x:v>PARTNER-M342</x:v>
      </x:c>
    </x:row>
    <x:row r="6375" ht="46" customHeight="1">
      <x:c r="A6375" s="2" t="str">
        <x:v>TEN-E4218F5619DB</x:v>
      </x:c>
      <x:c r="B6375" s="12" t="str">
        <x:v>Sardius Technologies</x:v>
      </x:c>
      <x:c r="C6375" s="12" t="str">
        <x:v>CORP-0756</x:v>
      </x:c>
      <x:c r="D6375" s="12" t="str">
        <x:v>Chennai</x:v>
      </x:c>
      <x:c r="E6375" s="12" t="str">
        <x:v>Prince Infocity 2</x:v>
      </x:c>
      <x:c r="F6375" s="12" t="str">
        <x:v>55 inch</x:v>
      </x:c>
      <x:c r="G6375" s="20" t="n">
        <x:v>1</x:v>
      </x:c>
      <x:c r="H6375" s="12" t="str">
        <x:v>Campus/portfolio roster; individual building occupancy unverified</x:v>
      </x:c>
      <x:c r="I6375" s="12" t="str">
        <x:v>Mixed business audience</x:v>
      </x:c>
      <x:c r="J6375" s="12" t="str">
        <x:v>Unresolved</x:v>
      </x:c>
      <x:c r="K6375" s="2" t="str">
        <x:v>PARTNER-M342</x:v>
      </x:c>
    </x:row>
    <x:row r="6376" ht="46" customHeight="1">
      <x:c r="A6376" s="2" t="str">
        <x:v>TEN-2082E5C8582B</x:v>
      </x:c>
      <x:c r="B6376" s="12" t="str">
        <x:v>QuScient Technologies Pvt Ltd</x:v>
      </x:c>
      <x:c r="C6376" s="12" t="str">
        <x:v>CORP-0757</x:v>
      </x:c>
      <x:c r="D6376" s="12" t="str">
        <x:v>Chennai</x:v>
      </x:c>
      <x:c r="E6376" s="12" t="str">
        <x:v>Prince Infocity 2</x:v>
      </x:c>
      <x:c r="F6376" s="12" t="str">
        <x:v>55 inch</x:v>
      </x:c>
      <x:c r="G6376" s="20" t="n">
        <x:v>1</x:v>
      </x:c>
      <x:c r="H6376" s="12" t="str">
        <x:v>Campus/portfolio roster; individual building occupancy unverified</x:v>
      </x:c>
      <x:c r="I6376" s="12" t="str">
        <x:v>Small-scale prospects</x:v>
      </x:c>
      <x:c r="J6376" s="12" t="str">
        <x:v>IT &amp; digital</x:v>
      </x:c>
      <x:c r="K6376" s="2" t="str">
        <x:v>PARTNER-M342</x:v>
      </x:c>
    </x:row>
    <x:row r="6377" ht="46" customHeight="1">
      <x:c r="A6377" s="2" t="str">
        <x:v>TEN-3FE557A29BB1</x:v>
      </x:c>
      <x:c r="B6377" s="12" t="str">
        <x:v>AGS Health</x:v>
      </x:c>
      <x:c r="C6377" s="12" t="str">
        <x:v>CORP-0757</x:v>
      </x:c>
      <x:c r="D6377" s="12" t="str">
        <x:v>Chennai</x:v>
      </x:c>
      <x:c r="E6377" s="12" t="str">
        <x:v>Prince Infocity 2</x:v>
      </x:c>
      <x:c r="F6377" s="12" t="str">
        <x:v>55 inch</x:v>
      </x:c>
      <x:c r="G6377" s="20" t="n">
        <x:v>1</x:v>
      </x:c>
      <x:c r="H6377" s="12" t="str">
        <x:v>Campus/portfolio roster; individual building occupancy unverified</x:v>
      </x:c>
      <x:c r="I6377" s="12" t="str">
        <x:v>Mixed business audience</x:v>
      </x:c>
      <x:c r="J6377" s="12" t="str">
        <x:v>Healthcare &amp; life sciences</x:v>
      </x:c>
      <x:c r="K6377" s="2" t="str">
        <x:v>PARTNER-M342</x:v>
      </x:c>
    </x:row>
    <x:row r="6378" ht="46" customHeight="1">
      <x:c r="A6378" s="2" t="str">
        <x:v>TEN-6CCD1ACFB146</x:v>
      </x:c>
      <x:c r="B6378" s="12" t="str">
        <x:v>3i Infotech Limited</x:v>
      </x:c>
      <x:c r="C6378" s="12" t="str">
        <x:v>CORP-0757</x:v>
      </x:c>
      <x:c r="D6378" s="12" t="str">
        <x:v>Chennai</x:v>
      </x:c>
      <x:c r="E6378" s="12" t="str">
        <x:v>Prince Infocity 2</x:v>
      </x:c>
      <x:c r="F6378" s="12" t="str">
        <x:v>55 inch</x:v>
      </x:c>
      <x:c r="G6378" s="20" t="n">
        <x:v>1</x:v>
      </x:c>
      <x:c r="H6378" s="12" t="str">
        <x:v>Campus/portfolio roster; individual building occupancy unverified</x:v>
      </x:c>
      <x:c r="I6378" s="12" t="str">
        <x:v>Mixed business audience</x:v>
      </x:c>
      <x:c r="J6378" s="12" t="str">
        <x:v>IT &amp; digital</x:v>
      </x:c>
      <x:c r="K6378" s="2" t="str">
        <x:v>PARTNER-M342</x:v>
      </x:c>
    </x:row>
    <x:row r="6379" ht="46" customHeight="1">
      <x:c r="A6379" s="2" t="str">
        <x:v>TEN-8061FA4B3B34</x:v>
      </x:c>
      <x:c r="B6379" s="12" t="str">
        <x:v>Worklogix</x:v>
      </x:c>
      <x:c r="C6379" s="12" t="str">
        <x:v>CORP-0757</x:v>
      </x:c>
      <x:c r="D6379" s="12" t="str">
        <x:v>Chennai</x:v>
      </x:c>
      <x:c r="E6379" s="12" t="str">
        <x:v>Prince Infocity 2</x:v>
      </x:c>
      <x:c r="F6379" s="12" t="str">
        <x:v>55 inch</x:v>
      </x:c>
      <x:c r="G6379" s="20" t="n">
        <x:v>1</x:v>
      </x:c>
      <x:c r="H6379" s="12" t="str">
        <x:v>Campus/portfolio roster; individual building occupancy unverified</x:v>
      </x:c>
      <x:c r="I6379" s="12" t="str">
        <x:v>Small-scale prospects</x:v>
      </x:c>
      <x:c r="J6379" s="12" t="str">
        <x:v>IT &amp; digital</x:v>
      </x:c>
      <x:c r="K6379" s="2" t="str">
        <x:v>PARTNER-M342</x:v>
      </x:c>
    </x:row>
    <x:row r="6380" ht="46" customHeight="1">
      <x:c r="A6380" s="2" t="str">
        <x:v>TEN-916A98F0FA2A</x:v>
      </x:c>
      <x:c r="B6380" s="12" t="str">
        <x:v>IBM</x:v>
      </x:c>
      <x:c r="C6380" s="12" t="str">
        <x:v>CORP-0757</x:v>
      </x:c>
      <x:c r="D6380" s="12" t="str">
        <x:v>Chennai</x:v>
      </x:c>
      <x:c r="E6380" s="12" t="str">
        <x:v>Prince Infocity 2</x:v>
      </x:c>
      <x:c r="F6380" s="12" t="str">
        <x:v>55 inch</x:v>
      </x:c>
      <x:c r="G6380" s="20" t="n">
        <x:v>1</x:v>
      </x:c>
      <x:c r="H6380" s="12" t="str">
        <x:v>Campus/portfolio roster; individual building occupancy unverified</x:v>
      </x:c>
      <x:c r="I6380" s="12" t="str">
        <x:v>Large enterprise</x:v>
      </x:c>
      <x:c r="J6380" s="12" t="str">
        <x:v>IT &amp; digital</x:v>
      </x:c>
      <x:c r="K6380" s="2" t="str">
        <x:v>PARTNER-M342</x:v>
      </x:c>
    </x:row>
    <x:row r="6381" ht="46" customHeight="1">
      <x:c r="A6381" s="2" t="str">
        <x:v>TEN-953F723DD17A</x:v>
      </x:c>
      <x:c r="B6381" s="12" t="str">
        <x:v>Insmagro Global Solutions Pvt Ltd</x:v>
      </x:c>
      <x:c r="C6381" s="12" t="str">
        <x:v>CORP-0757</x:v>
      </x:c>
      <x:c r="D6381" s="12" t="str">
        <x:v>Chennai</x:v>
      </x:c>
      <x:c r="E6381" s="12" t="str">
        <x:v>Prince Infocity 2</x:v>
      </x:c>
      <x:c r="F6381" s="12" t="str">
        <x:v>55 inch</x:v>
      </x:c>
      <x:c r="G6381" s="20" t="n">
        <x:v>1</x:v>
      </x:c>
      <x:c r="H6381" s="12" t="str">
        <x:v>Campus/portfolio roster; individual building occupancy unverified</x:v>
      </x:c>
      <x:c r="I6381" s="12" t="str">
        <x:v>Mixed business audience</x:v>
      </x:c>
      <x:c r="J6381" s="12" t="str">
        <x:v>Unresolved</x:v>
      </x:c>
      <x:c r="K6381" s="2" t="str">
        <x:v>PARTNER-M342</x:v>
      </x:c>
    </x:row>
    <x:row r="6382" ht="46" customHeight="1">
      <x:c r="A6382" s="2" t="str">
        <x:v>TEN-C60ACB58F3DA</x:v>
      </x:c>
      <x:c r="B6382" s="12" t="str">
        <x:v>Tata Teleservices Limited (TTSL Chennai)</x:v>
      </x:c>
      <x:c r="C6382" s="12" t="str">
        <x:v>CORP-0757</x:v>
      </x:c>
      <x:c r="D6382" s="12" t="str">
        <x:v>Chennai</x:v>
      </x:c>
      <x:c r="E6382" s="12" t="str">
        <x:v>Prince Infocity 2</x:v>
      </x:c>
      <x:c r="F6382" s="12" t="str">
        <x:v>55 inch</x:v>
      </x:c>
      <x:c r="G6382" s="20" t="n">
        <x:v>1</x:v>
      </x:c>
      <x:c r="H6382" s="12" t="str">
        <x:v>Campus/portfolio roster; individual building occupancy unverified</x:v>
      </x:c>
      <x:c r="I6382" s="12" t="str">
        <x:v>Large enterprise</x:v>
      </x:c>
      <x:c r="J6382" s="12" t="str">
        <x:v>IT &amp; digital</x:v>
      </x:c>
      <x:c r="K6382" s="2" t="str">
        <x:v>PARTNER-M342</x:v>
      </x:c>
    </x:row>
    <x:row r="6383" ht="46" customHeight="1">
      <x:c r="A6383" s="2" t="str">
        <x:v>TEN-D30D32A3CC13</x:v>
      </x:c>
      <x:c r="B6383" s="12" t="str">
        <x:v>Great Lakes Institute of Management</x:v>
      </x:c>
      <x:c r="C6383" s="12" t="str">
        <x:v>CORP-0757</x:v>
      </x:c>
      <x:c r="D6383" s="12" t="str">
        <x:v>Chennai</x:v>
      </x:c>
      <x:c r="E6383" s="12" t="str">
        <x:v>Prince Infocity 2</x:v>
      </x:c>
      <x:c r="F6383" s="12" t="str">
        <x:v>55 inch</x:v>
      </x:c>
      <x:c r="G6383" s="20" t="n">
        <x:v>1</x:v>
      </x:c>
      <x:c r="H6383" s="12" t="str">
        <x:v>Campus/portfolio roster; individual building occupancy unverified</x:v>
      </x:c>
      <x:c r="I6383" s="12" t="str">
        <x:v>Institutional</x:v>
      </x:c>
      <x:c r="J6383" s="12" t="str">
        <x:v>Education</x:v>
      </x:c>
      <x:c r="K6383" s="2" t="str">
        <x:v>PARTNER-M342</x:v>
      </x:c>
    </x:row>
    <x:row r="6384" ht="46" customHeight="1">
      <x:c r="A6384" s="2" t="str">
        <x:v>TEN-E4218F5619DB</x:v>
      </x:c>
      <x:c r="B6384" s="12" t="str">
        <x:v>Sardius Technologies</x:v>
      </x:c>
      <x:c r="C6384" s="12" t="str">
        <x:v>CORP-0757</x:v>
      </x:c>
      <x:c r="D6384" s="12" t="str">
        <x:v>Chennai</x:v>
      </x:c>
      <x:c r="E6384" s="12" t="str">
        <x:v>Prince Infocity 2</x:v>
      </x:c>
      <x:c r="F6384" s="12" t="str">
        <x:v>55 inch</x:v>
      </x:c>
      <x:c r="G6384" s="20" t="n">
        <x:v>1</x:v>
      </x:c>
      <x:c r="H6384" s="12" t="str">
        <x:v>Campus/portfolio roster; individual building occupancy unverified</x:v>
      </x:c>
      <x:c r="I6384" s="12" t="str">
        <x:v>Mixed business audience</x:v>
      </x:c>
      <x:c r="J6384" s="12" t="str">
        <x:v>Unresolved</x:v>
      </x:c>
      <x:c r="K6384" s="2" t="str">
        <x:v>PARTNER-M342</x:v>
      </x:c>
    </x:row>
    <x:row r="6385" ht="46" customHeight="1">
      <x:c r="A6385" s="2" t="str">
        <x:v>TEN-2082E5C8582B</x:v>
      </x:c>
      <x:c r="B6385" s="12" t="str">
        <x:v>QuScient Technologies Pvt Ltd</x:v>
      </x:c>
      <x:c r="C6385" s="12" t="str">
        <x:v>CORP-0758</x:v>
      </x:c>
      <x:c r="D6385" s="12" t="str">
        <x:v>Chennai</x:v>
      </x:c>
      <x:c r="E6385" s="12" t="str">
        <x:v>Prince Infocity 2</x:v>
      </x:c>
      <x:c r="F6385" s="12" t="str">
        <x:v>55 inch</x:v>
      </x:c>
      <x:c r="G6385" s="20" t="n">
        <x:v>1</x:v>
      </x:c>
      <x:c r="H6385" s="12" t="str">
        <x:v>Campus/portfolio roster; individual building occupancy unverified</x:v>
      </x:c>
      <x:c r="I6385" s="12" t="str">
        <x:v>Small-scale prospects</x:v>
      </x:c>
      <x:c r="J6385" s="12" t="str">
        <x:v>IT &amp; digital</x:v>
      </x:c>
      <x:c r="K6385" s="2" t="str">
        <x:v>PARTNER-M342</x:v>
      </x:c>
    </x:row>
    <x:row r="6386" ht="46" customHeight="1">
      <x:c r="A6386" s="2" t="str">
        <x:v>TEN-3FE557A29BB1</x:v>
      </x:c>
      <x:c r="B6386" s="12" t="str">
        <x:v>AGS Health</x:v>
      </x:c>
      <x:c r="C6386" s="12" t="str">
        <x:v>CORP-0758</x:v>
      </x:c>
      <x:c r="D6386" s="12" t="str">
        <x:v>Chennai</x:v>
      </x:c>
      <x:c r="E6386" s="12" t="str">
        <x:v>Prince Infocity 2</x:v>
      </x:c>
      <x:c r="F6386" s="12" t="str">
        <x:v>55 inch</x:v>
      </x:c>
      <x:c r="G6386" s="20" t="n">
        <x:v>1</x:v>
      </x:c>
      <x:c r="H6386" s="12" t="str">
        <x:v>Campus/portfolio roster; individual building occupancy unverified</x:v>
      </x:c>
      <x:c r="I6386" s="12" t="str">
        <x:v>Mixed business audience</x:v>
      </x:c>
      <x:c r="J6386" s="12" t="str">
        <x:v>Healthcare &amp; life sciences</x:v>
      </x:c>
      <x:c r="K6386" s="2" t="str">
        <x:v>PARTNER-M342</x:v>
      </x:c>
    </x:row>
    <x:row r="6387" ht="46" customHeight="1">
      <x:c r="A6387" s="2" t="str">
        <x:v>TEN-6CCD1ACFB146</x:v>
      </x:c>
      <x:c r="B6387" s="12" t="str">
        <x:v>3i Infotech Limited</x:v>
      </x:c>
      <x:c r="C6387" s="12" t="str">
        <x:v>CORP-0758</x:v>
      </x:c>
      <x:c r="D6387" s="12" t="str">
        <x:v>Chennai</x:v>
      </x:c>
      <x:c r="E6387" s="12" t="str">
        <x:v>Prince Infocity 2</x:v>
      </x:c>
      <x:c r="F6387" s="12" t="str">
        <x:v>55 inch</x:v>
      </x:c>
      <x:c r="G6387" s="20" t="n">
        <x:v>1</x:v>
      </x:c>
      <x:c r="H6387" s="12" t="str">
        <x:v>Campus/portfolio roster; individual building occupancy unverified</x:v>
      </x:c>
      <x:c r="I6387" s="12" t="str">
        <x:v>Mixed business audience</x:v>
      </x:c>
      <x:c r="J6387" s="12" t="str">
        <x:v>IT &amp; digital</x:v>
      </x:c>
      <x:c r="K6387" s="2" t="str">
        <x:v>PARTNER-M342</x:v>
      </x:c>
    </x:row>
    <x:row r="6388" ht="46" customHeight="1">
      <x:c r="A6388" s="2" t="str">
        <x:v>TEN-8061FA4B3B34</x:v>
      </x:c>
      <x:c r="B6388" s="12" t="str">
        <x:v>Worklogix</x:v>
      </x:c>
      <x:c r="C6388" s="12" t="str">
        <x:v>CORP-0758</x:v>
      </x:c>
      <x:c r="D6388" s="12" t="str">
        <x:v>Chennai</x:v>
      </x:c>
      <x:c r="E6388" s="12" t="str">
        <x:v>Prince Infocity 2</x:v>
      </x:c>
      <x:c r="F6388" s="12" t="str">
        <x:v>55 inch</x:v>
      </x:c>
      <x:c r="G6388" s="20" t="n">
        <x:v>1</x:v>
      </x:c>
      <x:c r="H6388" s="12" t="str">
        <x:v>Campus/portfolio roster; individual building occupancy unverified</x:v>
      </x:c>
      <x:c r="I6388" s="12" t="str">
        <x:v>Small-scale prospects</x:v>
      </x:c>
      <x:c r="J6388" s="12" t="str">
        <x:v>IT &amp; digital</x:v>
      </x:c>
      <x:c r="K6388" s="2" t="str">
        <x:v>PARTNER-M342</x:v>
      </x:c>
    </x:row>
    <x:row r="6389" ht="46" customHeight="1">
      <x:c r="A6389" s="2" t="str">
        <x:v>TEN-916A98F0FA2A</x:v>
      </x:c>
      <x:c r="B6389" s="12" t="str">
        <x:v>IBM</x:v>
      </x:c>
      <x:c r="C6389" s="12" t="str">
        <x:v>CORP-0758</x:v>
      </x:c>
      <x:c r="D6389" s="12" t="str">
        <x:v>Chennai</x:v>
      </x:c>
      <x:c r="E6389" s="12" t="str">
        <x:v>Prince Infocity 2</x:v>
      </x:c>
      <x:c r="F6389" s="12" t="str">
        <x:v>55 inch</x:v>
      </x:c>
      <x:c r="G6389" s="20" t="n">
        <x:v>1</x:v>
      </x:c>
      <x:c r="H6389" s="12" t="str">
        <x:v>Campus/portfolio roster; individual building occupancy unverified</x:v>
      </x:c>
      <x:c r="I6389" s="12" t="str">
        <x:v>Large enterprise</x:v>
      </x:c>
      <x:c r="J6389" s="12" t="str">
        <x:v>IT &amp; digital</x:v>
      </x:c>
      <x:c r="K6389" s="2" t="str">
        <x:v>PARTNER-M342</x:v>
      </x:c>
    </x:row>
    <x:row r="6390" ht="46" customHeight="1">
      <x:c r="A6390" s="2" t="str">
        <x:v>TEN-953F723DD17A</x:v>
      </x:c>
      <x:c r="B6390" s="12" t="str">
        <x:v>Insmagro Global Solutions Pvt Ltd</x:v>
      </x:c>
      <x:c r="C6390" s="12" t="str">
        <x:v>CORP-0758</x:v>
      </x:c>
      <x:c r="D6390" s="12" t="str">
        <x:v>Chennai</x:v>
      </x:c>
      <x:c r="E6390" s="12" t="str">
        <x:v>Prince Infocity 2</x:v>
      </x:c>
      <x:c r="F6390" s="12" t="str">
        <x:v>55 inch</x:v>
      </x:c>
      <x:c r="G6390" s="20" t="n">
        <x:v>1</x:v>
      </x:c>
      <x:c r="H6390" s="12" t="str">
        <x:v>Campus/portfolio roster; individual building occupancy unverified</x:v>
      </x:c>
      <x:c r="I6390" s="12" t="str">
        <x:v>Mixed business audience</x:v>
      </x:c>
      <x:c r="J6390" s="12" t="str">
        <x:v>Unresolved</x:v>
      </x:c>
      <x:c r="K6390" s="2" t="str">
        <x:v>PARTNER-M342</x:v>
      </x:c>
    </x:row>
    <x:row r="6391" ht="46" customHeight="1">
      <x:c r="A6391" s="2" t="str">
        <x:v>TEN-C60ACB58F3DA</x:v>
      </x:c>
      <x:c r="B6391" s="12" t="str">
        <x:v>Tata Teleservices Limited (TTSL Chennai)</x:v>
      </x:c>
      <x:c r="C6391" s="12" t="str">
        <x:v>CORP-0758</x:v>
      </x:c>
      <x:c r="D6391" s="12" t="str">
        <x:v>Chennai</x:v>
      </x:c>
      <x:c r="E6391" s="12" t="str">
        <x:v>Prince Infocity 2</x:v>
      </x:c>
      <x:c r="F6391" s="12" t="str">
        <x:v>55 inch</x:v>
      </x:c>
      <x:c r="G6391" s="20" t="n">
        <x:v>1</x:v>
      </x:c>
      <x:c r="H6391" s="12" t="str">
        <x:v>Campus/portfolio roster; individual building occupancy unverified</x:v>
      </x:c>
      <x:c r="I6391" s="12" t="str">
        <x:v>Large enterprise</x:v>
      </x:c>
      <x:c r="J6391" s="12" t="str">
        <x:v>IT &amp; digital</x:v>
      </x:c>
      <x:c r="K6391" s="2" t="str">
        <x:v>PARTNER-M342</x:v>
      </x:c>
    </x:row>
    <x:row r="6392" ht="46" customHeight="1">
      <x:c r="A6392" s="2" t="str">
        <x:v>TEN-D30D32A3CC13</x:v>
      </x:c>
      <x:c r="B6392" s="12" t="str">
        <x:v>Great Lakes Institute of Management</x:v>
      </x:c>
      <x:c r="C6392" s="12" t="str">
        <x:v>CORP-0758</x:v>
      </x:c>
      <x:c r="D6392" s="12" t="str">
        <x:v>Chennai</x:v>
      </x:c>
      <x:c r="E6392" s="12" t="str">
        <x:v>Prince Infocity 2</x:v>
      </x:c>
      <x:c r="F6392" s="12" t="str">
        <x:v>55 inch</x:v>
      </x:c>
      <x:c r="G6392" s="20" t="n">
        <x:v>1</x:v>
      </x:c>
      <x:c r="H6392" s="12" t="str">
        <x:v>Campus/portfolio roster; individual building occupancy unverified</x:v>
      </x:c>
      <x:c r="I6392" s="12" t="str">
        <x:v>Institutional</x:v>
      </x:c>
      <x:c r="J6392" s="12" t="str">
        <x:v>Education</x:v>
      </x:c>
      <x:c r="K6392" s="2" t="str">
        <x:v>PARTNER-M342</x:v>
      </x:c>
    </x:row>
    <x:row r="6393" ht="46" customHeight="1">
      <x:c r="A6393" s="2" t="str">
        <x:v>TEN-E4218F5619DB</x:v>
      </x:c>
      <x:c r="B6393" s="12" t="str">
        <x:v>Sardius Technologies</x:v>
      </x:c>
      <x:c r="C6393" s="12" t="str">
        <x:v>CORP-0758</x:v>
      </x:c>
      <x:c r="D6393" s="12" t="str">
        <x:v>Chennai</x:v>
      </x:c>
      <x:c r="E6393" s="12" t="str">
        <x:v>Prince Infocity 2</x:v>
      </x:c>
      <x:c r="F6393" s="12" t="str">
        <x:v>55 inch</x:v>
      </x:c>
      <x:c r="G6393" s="20" t="n">
        <x:v>1</x:v>
      </x:c>
      <x:c r="H6393" s="12" t="str">
        <x:v>Campus/portfolio roster; individual building occupancy unverified</x:v>
      </x:c>
      <x:c r="I6393" s="12" t="str">
        <x:v>Mixed business audience</x:v>
      </x:c>
      <x:c r="J6393" s="12" t="str">
        <x:v>Unresolved</x:v>
      </x:c>
      <x:c r="K6393" s="2" t="str">
        <x:v>PARTNER-M342</x:v>
      </x:c>
    </x:row>
    <x:row r="6394" ht="46" customHeight="1">
      <x:c r="A6394" s="2" t="str">
        <x:v>TEN-2082E5C8582B</x:v>
      </x:c>
      <x:c r="B6394" s="12" t="str">
        <x:v>QuScient Technologies Pvt Ltd</x:v>
      </x:c>
      <x:c r="C6394" s="12" t="str">
        <x:v>CORP-0759</x:v>
      </x:c>
      <x:c r="D6394" s="12" t="str">
        <x:v>Chennai</x:v>
      </x:c>
      <x:c r="E6394" s="12" t="str">
        <x:v>Prince Infocity 2</x:v>
      </x:c>
      <x:c r="F6394" s="12" t="str">
        <x:v>55 inch</x:v>
      </x:c>
      <x:c r="G6394" s="20" t="n">
        <x:v>1</x:v>
      </x:c>
      <x:c r="H6394" s="12" t="str">
        <x:v>Campus/portfolio roster; individual building occupancy unverified</x:v>
      </x:c>
      <x:c r="I6394" s="12" t="str">
        <x:v>Small-scale prospects</x:v>
      </x:c>
      <x:c r="J6394" s="12" t="str">
        <x:v>IT &amp; digital</x:v>
      </x:c>
      <x:c r="K6394" s="2" t="str">
        <x:v>PARTNER-M342</x:v>
      </x:c>
    </x:row>
    <x:row r="6395" ht="46" customHeight="1">
      <x:c r="A6395" s="2" t="str">
        <x:v>TEN-3FE557A29BB1</x:v>
      </x:c>
      <x:c r="B6395" s="12" t="str">
        <x:v>AGS Health</x:v>
      </x:c>
      <x:c r="C6395" s="12" t="str">
        <x:v>CORP-0759</x:v>
      </x:c>
      <x:c r="D6395" s="12" t="str">
        <x:v>Chennai</x:v>
      </x:c>
      <x:c r="E6395" s="12" t="str">
        <x:v>Prince Infocity 2</x:v>
      </x:c>
      <x:c r="F6395" s="12" t="str">
        <x:v>55 inch</x:v>
      </x:c>
      <x:c r="G6395" s="20" t="n">
        <x:v>1</x:v>
      </x:c>
      <x:c r="H6395" s="12" t="str">
        <x:v>Campus/portfolio roster; individual building occupancy unverified</x:v>
      </x:c>
      <x:c r="I6395" s="12" t="str">
        <x:v>Mixed business audience</x:v>
      </x:c>
      <x:c r="J6395" s="12" t="str">
        <x:v>Healthcare &amp; life sciences</x:v>
      </x:c>
      <x:c r="K6395" s="2" t="str">
        <x:v>PARTNER-M342</x:v>
      </x:c>
    </x:row>
    <x:row r="6396" ht="46" customHeight="1">
      <x:c r="A6396" s="2" t="str">
        <x:v>TEN-6CCD1ACFB146</x:v>
      </x:c>
      <x:c r="B6396" s="12" t="str">
        <x:v>3i Infotech Limited</x:v>
      </x:c>
      <x:c r="C6396" s="12" t="str">
        <x:v>CORP-0759</x:v>
      </x:c>
      <x:c r="D6396" s="12" t="str">
        <x:v>Chennai</x:v>
      </x:c>
      <x:c r="E6396" s="12" t="str">
        <x:v>Prince Infocity 2</x:v>
      </x:c>
      <x:c r="F6396" s="12" t="str">
        <x:v>55 inch</x:v>
      </x:c>
      <x:c r="G6396" s="20" t="n">
        <x:v>1</x:v>
      </x:c>
      <x:c r="H6396" s="12" t="str">
        <x:v>Campus/portfolio roster; individual building occupancy unverified</x:v>
      </x:c>
      <x:c r="I6396" s="12" t="str">
        <x:v>Mixed business audience</x:v>
      </x:c>
      <x:c r="J6396" s="12" t="str">
        <x:v>IT &amp; digital</x:v>
      </x:c>
      <x:c r="K6396" s="2" t="str">
        <x:v>PARTNER-M342</x:v>
      </x:c>
    </x:row>
    <x:row r="6397" ht="46" customHeight="1">
      <x:c r="A6397" s="2" t="str">
        <x:v>TEN-8061FA4B3B34</x:v>
      </x:c>
      <x:c r="B6397" s="12" t="str">
        <x:v>Worklogix</x:v>
      </x:c>
      <x:c r="C6397" s="12" t="str">
        <x:v>CORP-0759</x:v>
      </x:c>
      <x:c r="D6397" s="12" t="str">
        <x:v>Chennai</x:v>
      </x:c>
      <x:c r="E6397" s="12" t="str">
        <x:v>Prince Infocity 2</x:v>
      </x:c>
      <x:c r="F6397" s="12" t="str">
        <x:v>55 inch</x:v>
      </x:c>
      <x:c r="G6397" s="20" t="n">
        <x:v>1</x:v>
      </x:c>
      <x:c r="H6397" s="12" t="str">
        <x:v>Campus/portfolio roster; individual building occupancy unverified</x:v>
      </x:c>
      <x:c r="I6397" s="12" t="str">
        <x:v>Small-scale prospects</x:v>
      </x:c>
      <x:c r="J6397" s="12" t="str">
        <x:v>IT &amp; digital</x:v>
      </x:c>
      <x:c r="K6397" s="2" t="str">
        <x:v>PARTNER-M342</x:v>
      </x:c>
    </x:row>
    <x:row r="6398" ht="46" customHeight="1">
      <x:c r="A6398" s="2" t="str">
        <x:v>TEN-916A98F0FA2A</x:v>
      </x:c>
      <x:c r="B6398" s="12" t="str">
        <x:v>IBM</x:v>
      </x:c>
      <x:c r="C6398" s="12" t="str">
        <x:v>CORP-0759</x:v>
      </x:c>
      <x:c r="D6398" s="12" t="str">
        <x:v>Chennai</x:v>
      </x:c>
      <x:c r="E6398" s="12" t="str">
        <x:v>Prince Infocity 2</x:v>
      </x:c>
      <x:c r="F6398" s="12" t="str">
        <x:v>55 inch</x:v>
      </x:c>
      <x:c r="G6398" s="20" t="n">
        <x:v>1</x:v>
      </x:c>
      <x:c r="H6398" s="12" t="str">
        <x:v>Campus/portfolio roster; individual building occupancy unverified</x:v>
      </x:c>
      <x:c r="I6398" s="12" t="str">
        <x:v>Large enterprise</x:v>
      </x:c>
      <x:c r="J6398" s="12" t="str">
        <x:v>IT &amp; digital</x:v>
      </x:c>
      <x:c r="K6398" s="2" t="str">
        <x:v>PARTNER-M342</x:v>
      </x:c>
    </x:row>
    <x:row r="6399" ht="46" customHeight="1">
      <x:c r="A6399" s="2" t="str">
        <x:v>TEN-953F723DD17A</x:v>
      </x:c>
      <x:c r="B6399" s="12" t="str">
        <x:v>Insmagro Global Solutions Pvt Ltd</x:v>
      </x:c>
      <x:c r="C6399" s="12" t="str">
        <x:v>CORP-0759</x:v>
      </x:c>
      <x:c r="D6399" s="12" t="str">
        <x:v>Chennai</x:v>
      </x:c>
      <x:c r="E6399" s="12" t="str">
        <x:v>Prince Infocity 2</x:v>
      </x:c>
      <x:c r="F6399" s="12" t="str">
        <x:v>55 inch</x:v>
      </x:c>
      <x:c r="G6399" s="20" t="n">
        <x:v>1</x:v>
      </x:c>
      <x:c r="H6399" s="12" t="str">
        <x:v>Campus/portfolio roster; individual building occupancy unverified</x:v>
      </x:c>
      <x:c r="I6399" s="12" t="str">
        <x:v>Mixed business audience</x:v>
      </x:c>
      <x:c r="J6399" s="12" t="str">
        <x:v>Unresolved</x:v>
      </x:c>
      <x:c r="K6399" s="2" t="str">
        <x:v>PARTNER-M342</x:v>
      </x:c>
    </x:row>
    <x:row r="6400" ht="46" customHeight="1">
      <x:c r="A6400" s="2" t="str">
        <x:v>TEN-C60ACB58F3DA</x:v>
      </x:c>
      <x:c r="B6400" s="12" t="str">
        <x:v>Tata Teleservices Limited (TTSL Chennai)</x:v>
      </x:c>
      <x:c r="C6400" s="12" t="str">
        <x:v>CORP-0759</x:v>
      </x:c>
      <x:c r="D6400" s="12" t="str">
        <x:v>Chennai</x:v>
      </x:c>
      <x:c r="E6400" s="12" t="str">
        <x:v>Prince Infocity 2</x:v>
      </x:c>
      <x:c r="F6400" s="12" t="str">
        <x:v>55 inch</x:v>
      </x:c>
      <x:c r="G6400" s="20" t="n">
        <x:v>1</x:v>
      </x:c>
      <x:c r="H6400" s="12" t="str">
        <x:v>Campus/portfolio roster; individual building occupancy unverified</x:v>
      </x:c>
      <x:c r="I6400" s="12" t="str">
        <x:v>Large enterprise</x:v>
      </x:c>
      <x:c r="J6400" s="12" t="str">
        <x:v>IT &amp; digital</x:v>
      </x:c>
      <x:c r="K6400" s="2" t="str">
        <x:v>PARTNER-M342</x:v>
      </x:c>
    </x:row>
    <x:row r="6401" ht="46" customHeight="1">
      <x:c r="A6401" s="2" t="str">
        <x:v>TEN-D30D32A3CC13</x:v>
      </x:c>
      <x:c r="B6401" s="12" t="str">
        <x:v>Great Lakes Institute of Management</x:v>
      </x:c>
      <x:c r="C6401" s="12" t="str">
        <x:v>CORP-0759</x:v>
      </x:c>
      <x:c r="D6401" s="12" t="str">
        <x:v>Chennai</x:v>
      </x:c>
      <x:c r="E6401" s="12" t="str">
        <x:v>Prince Infocity 2</x:v>
      </x:c>
      <x:c r="F6401" s="12" t="str">
        <x:v>55 inch</x:v>
      </x:c>
      <x:c r="G6401" s="20" t="n">
        <x:v>1</x:v>
      </x:c>
      <x:c r="H6401" s="12" t="str">
        <x:v>Campus/portfolio roster; individual building occupancy unverified</x:v>
      </x:c>
      <x:c r="I6401" s="12" t="str">
        <x:v>Institutional</x:v>
      </x:c>
      <x:c r="J6401" s="12" t="str">
        <x:v>Education</x:v>
      </x:c>
      <x:c r="K6401" s="2" t="str">
        <x:v>PARTNER-M342</x:v>
      </x:c>
    </x:row>
    <x:row r="6402" ht="46" customHeight="1">
      <x:c r="A6402" s="2" t="str">
        <x:v>TEN-E4218F5619DB</x:v>
      </x:c>
      <x:c r="B6402" s="12" t="str">
        <x:v>Sardius Technologies</x:v>
      </x:c>
      <x:c r="C6402" s="12" t="str">
        <x:v>CORP-0759</x:v>
      </x:c>
      <x:c r="D6402" s="12" t="str">
        <x:v>Chennai</x:v>
      </x:c>
      <x:c r="E6402" s="12" t="str">
        <x:v>Prince Infocity 2</x:v>
      </x:c>
      <x:c r="F6402" s="12" t="str">
        <x:v>55 inch</x:v>
      </x:c>
      <x:c r="G6402" s="20" t="n">
        <x:v>1</x:v>
      </x:c>
      <x:c r="H6402" s="12" t="str">
        <x:v>Campus/portfolio roster; individual building occupancy unverified</x:v>
      </x:c>
      <x:c r="I6402" s="12" t="str">
        <x:v>Mixed business audience</x:v>
      </x:c>
      <x:c r="J6402" s="12" t="str">
        <x:v>Unresolved</x:v>
      </x:c>
      <x:c r="K6402" s="2" t="str">
        <x:v>PARTNER-M342</x:v>
      </x:c>
    </x:row>
    <x:row r="6403" ht="46" customHeight="1">
      <x:c r="A6403" s="2" t="str">
        <x:v>TEN-2082E5C8582B</x:v>
      </x:c>
      <x:c r="B6403" s="12" t="str">
        <x:v>QuScient Technologies Pvt Ltd</x:v>
      </x:c>
      <x:c r="C6403" s="12" t="str">
        <x:v>CORP-0760</x:v>
      </x:c>
      <x:c r="D6403" s="12" t="str">
        <x:v>Chennai</x:v>
      </x:c>
      <x:c r="E6403" s="12" t="str">
        <x:v>Prince Infocity 2</x:v>
      </x:c>
      <x:c r="F6403" s="12" t="str">
        <x:v>55 inch</x:v>
      </x:c>
      <x:c r="G6403" s="20" t="n">
        <x:v>1</x:v>
      </x:c>
      <x:c r="H6403" s="12" t="str">
        <x:v>Campus/portfolio roster; individual building occupancy unverified</x:v>
      </x:c>
      <x:c r="I6403" s="12" t="str">
        <x:v>Small-scale prospects</x:v>
      </x:c>
      <x:c r="J6403" s="12" t="str">
        <x:v>IT &amp; digital</x:v>
      </x:c>
      <x:c r="K6403" s="2" t="str">
        <x:v>PARTNER-M342</x:v>
      </x:c>
    </x:row>
    <x:row r="6404" ht="46" customHeight="1">
      <x:c r="A6404" s="2" t="str">
        <x:v>TEN-3FE557A29BB1</x:v>
      </x:c>
      <x:c r="B6404" s="12" t="str">
        <x:v>AGS Health</x:v>
      </x:c>
      <x:c r="C6404" s="12" t="str">
        <x:v>CORP-0760</x:v>
      </x:c>
      <x:c r="D6404" s="12" t="str">
        <x:v>Chennai</x:v>
      </x:c>
      <x:c r="E6404" s="12" t="str">
        <x:v>Prince Infocity 2</x:v>
      </x:c>
      <x:c r="F6404" s="12" t="str">
        <x:v>55 inch</x:v>
      </x:c>
      <x:c r="G6404" s="20" t="n">
        <x:v>1</x:v>
      </x:c>
      <x:c r="H6404" s="12" t="str">
        <x:v>Campus/portfolio roster; individual building occupancy unverified</x:v>
      </x:c>
      <x:c r="I6404" s="12" t="str">
        <x:v>Mixed business audience</x:v>
      </x:c>
      <x:c r="J6404" s="12" t="str">
        <x:v>Healthcare &amp; life sciences</x:v>
      </x:c>
      <x:c r="K6404" s="2" t="str">
        <x:v>PARTNER-M342</x:v>
      </x:c>
    </x:row>
    <x:row r="6405" ht="46" customHeight="1">
      <x:c r="A6405" s="2" t="str">
        <x:v>TEN-6CCD1ACFB146</x:v>
      </x:c>
      <x:c r="B6405" s="12" t="str">
        <x:v>3i Infotech Limited</x:v>
      </x:c>
      <x:c r="C6405" s="12" t="str">
        <x:v>CORP-0760</x:v>
      </x:c>
      <x:c r="D6405" s="12" t="str">
        <x:v>Chennai</x:v>
      </x:c>
      <x:c r="E6405" s="12" t="str">
        <x:v>Prince Infocity 2</x:v>
      </x:c>
      <x:c r="F6405" s="12" t="str">
        <x:v>55 inch</x:v>
      </x:c>
      <x:c r="G6405" s="20" t="n">
        <x:v>1</x:v>
      </x:c>
      <x:c r="H6405" s="12" t="str">
        <x:v>Campus/portfolio roster; individual building occupancy unverified</x:v>
      </x:c>
      <x:c r="I6405" s="12" t="str">
        <x:v>Mixed business audience</x:v>
      </x:c>
      <x:c r="J6405" s="12" t="str">
        <x:v>IT &amp; digital</x:v>
      </x:c>
      <x:c r="K6405" s="2" t="str">
        <x:v>PARTNER-M342</x:v>
      </x:c>
    </x:row>
    <x:row r="6406" ht="46" customHeight="1">
      <x:c r="A6406" s="2" t="str">
        <x:v>TEN-8061FA4B3B34</x:v>
      </x:c>
      <x:c r="B6406" s="12" t="str">
        <x:v>Worklogix</x:v>
      </x:c>
      <x:c r="C6406" s="12" t="str">
        <x:v>CORP-0760</x:v>
      </x:c>
      <x:c r="D6406" s="12" t="str">
        <x:v>Chennai</x:v>
      </x:c>
      <x:c r="E6406" s="12" t="str">
        <x:v>Prince Infocity 2</x:v>
      </x:c>
      <x:c r="F6406" s="12" t="str">
        <x:v>55 inch</x:v>
      </x:c>
      <x:c r="G6406" s="20" t="n">
        <x:v>1</x:v>
      </x:c>
      <x:c r="H6406" s="12" t="str">
        <x:v>Campus/portfolio roster; individual building occupancy unverified</x:v>
      </x:c>
      <x:c r="I6406" s="12" t="str">
        <x:v>Small-scale prospects</x:v>
      </x:c>
      <x:c r="J6406" s="12" t="str">
        <x:v>IT &amp; digital</x:v>
      </x:c>
      <x:c r="K6406" s="2" t="str">
        <x:v>PARTNER-M342</x:v>
      </x:c>
    </x:row>
    <x:row r="6407" ht="46" customHeight="1">
      <x:c r="A6407" s="2" t="str">
        <x:v>TEN-916A98F0FA2A</x:v>
      </x:c>
      <x:c r="B6407" s="12" t="str">
        <x:v>IBM</x:v>
      </x:c>
      <x:c r="C6407" s="12" t="str">
        <x:v>CORP-0760</x:v>
      </x:c>
      <x:c r="D6407" s="12" t="str">
        <x:v>Chennai</x:v>
      </x:c>
      <x:c r="E6407" s="12" t="str">
        <x:v>Prince Infocity 2</x:v>
      </x:c>
      <x:c r="F6407" s="12" t="str">
        <x:v>55 inch</x:v>
      </x:c>
      <x:c r="G6407" s="20" t="n">
        <x:v>1</x:v>
      </x:c>
      <x:c r="H6407" s="12" t="str">
        <x:v>Campus/portfolio roster; individual building occupancy unverified</x:v>
      </x:c>
      <x:c r="I6407" s="12" t="str">
        <x:v>Large enterprise</x:v>
      </x:c>
      <x:c r="J6407" s="12" t="str">
        <x:v>IT &amp; digital</x:v>
      </x:c>
      <x:c r="K6407" s="2" t="str">
        <x:v>PARTNER-M342</x:v>
      </x:c>
    </x:row>
    <x:row r="6408" ht="46" customHeight="1">
      <x:c r="A6408" s="2" t="str">
        <x:v>TEN-953F723DD17A</x:v>
      </x:c>
      <x:c r="B6408" s="12" t="str">
        <x:v>Insmagro Global Solutions Pvt Ltd</x:v>
      </x:c>
      <x:c r="C6408" s="12" t="str">
        <x:v>CORP-0760</x:v>
      </x:c>
      <x:c r="D6408" s="12" t="str">
        <x:v>Chennai</x:v>
      </x:c>
      <x:c r="E6408" s="12" t="str">
        <x:v>Prince Infocity 2</x:v>
      </x:c>
      <x:c r="F6408" s="12" t="str">
        <x:v>55 inch</x:v>
      </x:c>
      <x:c r="G6408" s="20" t="n">
        <x:v>1</x:v>
      </x:c>
      <x:c r="H6408" s="12" t="str">
        <x:v>Campus/portfolio roster; individual building occupancy unverified</x:v>
      </x:c>
      <x:c r="I6408" s="12" t="str">
        <x:v>Mixed business audience</x:v>
      </x:c>
      <x:c r="J6408" s="12" t="str">
        <x:v>Unresolved</x:v>
      </x:c>
      <x:c r="K6408" s="2" t="str">
        <x:v>PARTNER-M342</x:v>
      </x:c>
    </x:row>
    <x:row r="6409" ht="46" customHeight="1">
      <x:c r="A6409" s="2" t="str">
        <x:v>TEN-C60ACB58F3DA</x:v>
      </x:c>
      <x:c r="B6409" s="12" t="str">
        <x:v>Tata Teleservices Limited (TTSL Chennai)</x:v>
      </x:c>
      <x:c r="C6409" s="12" t="str">
        <x:v>CORP-0760</x:v>
      </x:c>
      <x:c r="D6409" s="12" t="str">
        <x:v>Chennai</x:v>
      </x:c>
      <x:c r="E6409" s="12" t="str">
        <x:v>Prince Infocity 2</x:v>
      </x:c>
      <x:c r="F6409" s="12" t="str">
        <x:v>55 inch</x:v>
      </x:c>
      <x:c r="G6409" s="20" t="n">
        <x:v>1</x:v>
      </x:c>
      <x:c r="H6409" s="12" t="str">
        <x:v>Campus/portfolio roster; individual building occupancy unverified</x:v>
      </x:c>
      <x:c r="I6409" s="12" t="str">
        <x:v>Large enterprise</x:v>
      </x:c>
      <x:c r="J6409" s="12" t="str">
        <x:v>IT &amp; digital</x:v>
      </x:c>
      <x:c r="K6409" s="2" t="str">
        <x:v>PARTNER-M342</x:v>
      </x:c>
    </x:row>
    <x:row r="6410" ht="46" customHeight="1">
      <x:c r="A6410" s="2" t="str">
        <x:v>TEN-D30D32A3CC13</x:v>
      </x:c>
      <x:c r="B6410" s="12" t="str">
        <x:v>Great Lakes Institute of Management</x:v>
      </x:c>
      <x:c r="C6410" s="12" t="str">
        <x:v>CORP-0760</x:v>
      </x:c>
      <x:c r="D6410" s="12" t="str">
        <x:v>Chennai</x:v>
      </x:c>
      <x:c r="E6410" s="12" t="str">
        <x:v>Prince Infocity 2</x:v>
      </x:c>
      <x:c r="F6410" s="12" t="str">
        <x:v>55 inch</x:v>
      </x:c>
      <x:c r="G6410" s="20" t="n">
        <x:v>1</x:v>
      </x:c>
      <x:c r="H6410" s="12" t="str">
        <x:v>Campus/portfolio roster; individual building occupancy unverified</x:v>
      </x:c>
      <x:c r="I6410" s="12" t="str">
        <x:v>Institutional</x:v>
      </x:c>
      <x:c r="J6410" s="12" t="str">
        <x:v>Education</x:v>
      </x:c>
      <x:c r="K6410" s="2" t="str">
        <x:v>PARTNER-M342</x:v>
      </x:c>
    </x:row>
    <x:row r="6411" ht="46" customHeight="1">
      <x:c r="A6411" s="2" t="str">
        <x:v>TEN-E4218F5619DB</x:v>
      </x:c>
      <x:c r="B6411" s="12" t="str">
        <x:v>Sardius Technologies</x:v>
      </x:c>
      <x:c r="C6411" s="12" t="str">
        <x:v>CORP-0760</x:v>
      </x:c>
      <x:c r="D6411" s="12" t="str">
        <x:v>Chennai</x:v>
      </x:c>
      <x:c r="E6411" s="12" t="str">
        <x:v>Prince Infocity 2</x:v>
      </x:c>
      <x:c r="F6411" s="12" t="str">
        <x:v>55 inch</x:v>
      </x:c>
      <x:c r="G6411" s="20" t="n">
        <x:v>1</x:v>
      </x:c>
      <x:c r="H6411" s="12" t="str">
        <x:v>Campus/portfolio roster; individual building occupancy unverified</x:v>
      </x:c>
      <x:c r="I6411" s="12" t="str">
        <x:v>Mixed business audience</x:v>
      </x:c>
      <x:c r="J6411" s="12" t="str">
        <x:v>Unresolved</x:v>
      </x:c>
      <x:c r="K6411" s="2" t="str">
        <x:v>PARTNER-M342</x:v>
      </x:c>
    </x:row>
    <x:row r="6412" ht="46" customHeight="1">
      <x:c r="A6412" s="2" t="str">
        <x:v>TEN-4CD291270F9E</x:v>
      </x:c>
      <x:c r="B6412" s="12" t="str">
        <x:v>Belgium Business Center Chennai</x:v>
      </x:c>
      <x:c r="C6412" s="12" t="str">
        <x:v>CORP-0761</x:v>
      </x:c>
      <x:c r="D6412" s="12" t="str">
        <x:v>Chennai</x:v>
      </x:c>
      <x:c r="E6412" s="12" t="str">
        <x:v>Prince Infocity 1</x:v>
      </x:c>
      <x:c r="F6412" s="12" t="str">
        <x:v>55 inch</x:v>
      </x:c>
      <x:c r="G6412" s="20" t="n">
        <x:v>1</x:v>
      </x:c>
      <x:c r="H6412" s="12" t="str">
        <x:v>Campus/portfolio roster; individual building occupancy unverified</x:v>
      </x:c>
      <x:c r="I6412" s="12" t="str">
        <x:v>Mixed business audience</x:v>
      </x:c>
      <x:c r="J6412" s="12" t="str">
        <x:v>Workspace &amp; property operations</x:v>
      </x:c>
      <x:c r="K6412" s="2" t="str">
        <x:v>PARTNER-M347</x:v>
      </x:c>
    </x:row>
    <x:row r="6413" ht="46" customHeight="1">
      <x:c r="A6413" s="2" t="str">
        <x:v>TEN-815E15EB19F8</x:v>
      </x:c>
      <x:c r="B6413" s="12" t="str">
        <x:v>KLA Software</x:v>
      </x:c>
      <x:c r="C6413" s="12" t="str">
        <x:v>CORP-0761</x:v>
      </x:c>
      <x:c r="D6413" s="12" t="str">
        <x:v>Chennai</x:v>
      </x:c>
      <x:c r="E6413" s="12" t="str">
        <x:v>Prince Infocity 1</x:v>
      </x:c>
      <x:c r="F6413" s="12" t="str">
        <x:v>55 inch</x:v>
      </x:c>
      <x:c r="G6413" s="20" t="n">
        <x:v>1</x:v>
      </x:c>
      <x:c r="H6413" s="12" t="str">
        <x:v>Campus/portfolio roster; individual building occupancy unverified</x:v>
      </x:c>
      <x:c r="I6413" s="12" t="str">
        <x:v>Mixed business audience</x:v>
      </x:c>
      <x:c r="J6413" s="12" t="str">
        <x:v>IT &amp; digital</x:v>
      </x:c>
      <x:c r="K6413" s="2" t="str">
        <x:v>PARTNER-M347</x:v>
      </x:c>
    </x:row>
    <x:row r="6414" ht="46" customHeight="1">
      <x:c r="A6414" s="2" t="str">
        <x:v>TEN-ADB237A5DECE</x:v>
      </x:c>
      <x:c r="B6414" s="12" t="str">
        <x:v>Dun &amp; Bradstreet Technologies &amp; Data Services Pvt. Ltd</x:v>
      </x:c>
      <x:c r="C6414" s="12" t="str">
        <x:v>CORP-0761</x:v>
      </x:c>
      <x:c r="D6414" s="12" t="str">
        <x:v>Chennai</x:v>
      </x:c>
      <x:c r="E6414" s="12" t="str">
        <x:v>Prince Infocity 1</x:v>
      </x:c>
      <x:c r="F6414" s="12" t="str">
        <x:v>55 inch</x:v>
      </x:c>
      <x:c r="G6414" s="20" t="n">
        <x:v>1</x:v>
      </x:c>
      <x:c r="H6414" s="12" t="str">
        <x:v>Campus/portfolio roster; individual building occupancy unverified</x:v>
      </x:c>
      <x:c r="I6414" s="12" t="str">
        <x:v>Mixed business audience</x:v>
      </x:c>
      <x:c r="J6414" s="12" t="str">
        <x:v>Finance &amp; insurance</x:v>
      </x:c>
      <x:c r="K6414" s="2" t="str">
        <x:v>PARTNER-M347</x:v>
      </x:c>
    </x:row>
    <x:row r="6415" ht="46" customHeight="1">
      <x:c r="A6415" s="2" t="str">
        <x:v>TEN-E44CEBE6EA8C</x:v>
      </x:c>
      <x:c r="B6415" s="12" t="str">
        <x:v>Upstream Talent Management Services Private Limited</x:v>
      </x:c>
      <x:c r="C6415" s="12" t="str">
        <x:v>CORP-0761</x:v>
      </x:c>
      <x:c r="D6415" s="12" t="str">
        <x:v>Chennai</x:v>
      </x:c>
      <x:c r="E6415" s="12" t="str">
        <x:v>Prince Infocity 1</x:v>
      </x:c>
      <x:c r="F6415" s="12" t="str">
        <x:v>55 inch</x:v>
      </x:c>
      <x:c r="G6415" s="20" t="n">
        <x:v>1</x:v>
      </x:c>
      <x:c r="H6415" s="12" t="str">
        <x:v>Campus/portfolio roster; individual building occupancy unverified</x:v>
      </x:c>
      <x:c r="I6415" s="12" t="str">
        <x:v>Small-scale prospects</x:v>
      </x:c>
      <x:c r="J6415" s="12" t="str">
        <x:v>Professional services</x:v>
      </x:c>
      <x:c r="K6415" s="2" t="str">
        <x:v>PARTNER-M347</x:v>
      </x:c>
    </x:row>
    <x:row r="6416" ht="46" customHeight="1">
      <x:c r="A6416" s="2" t="str">
        <x:v>TEN-FC6EA90A7528</x:v>
      </x:c>
      <x:c r="B6416" s="12" t="str">
        <x:v>IVY Mobility Solutions Ltd</x:v>
      </x:c>
      <x:c r="C6416" s="12" t="str">
        <x:v>CORP-0761</x:v>
      </x:c>
      <x:c r="D6416" s="12" t="str">
        <x:v>Chennai</x:v>
      </x:c>
      <x:c r="E6416" s="12" t="str">
        <x:v>Prince Infocity 1</x:v>
      </x:c>
      <x:c r="F6416" s="12" t="str">
        <x:v>55 inch</x:v>
      </x:c>
      <x:c r="G6416" s="20" t="n">
        <x:v>1</x:v>
      </x:c>
      <x:c r="H6416" s="12" t="str">
        <x:v>Campus/portfolio roster; individual building occupancy unverified</x:v>
      </x:c>
      <x:c r="I6416" s="12" t="str">
        <x:v>Small-scale prospects</x:v>
      </x:c>
      <x:c r="J6416" s="12" t="str">
        <x:v>IT &amp; digital</x:v>
      </x:c>
      <x:c r="K6416" s="2" t="str">
        <x:v>PARTNER-M347</x:v>
      </x:c>
    </x:row>
    <x:row r="6417" ht="46" customHeight="1">
      <x:c r="A6417" s="2" t="str">
        <x:v>TEN-4CD291270F9E</x:v>
      </x:c>
      <x:c r="B6417" s="12" t="str">
        <x:v>Belgium Business Center Chennai</x:v>
      </x:c>
      <x:c r="C6417" s="12" t="str">
        <x:v>CORP-0762</x:v>
      </x:c>
      <x:c r="D6417" s="12" t="str">
        <x:v>Chennai</x:v>
      </x:c>
      <x:c r="E6417" s="12" t="str">
        <x:v>Prince Infocity 1</x:v>
      </x:c>
      <x:c r="F6417" s="12" t="str">
        <x:v>55 inch</x:v>
      </x:c>
      <x:c r="G6417" s="20" t="n">
        <x:v>1</x:v>
      </x:c>
      <x:c r="H6417" s="12" t="str">
        <x:v>Campus/portfolio roster; individual building occupancy unverified</x:v>
      </x:c>
      <x:c r="I6417" s="12" t="str">
        <x:v>Mixed business audience</x:v>
      </x:c>
      <x:c r="J6417" s="12" t="str">
        <x:v>Workspace &amp; property operations</x:v>
      </x:c>
      <x:c r="K6417" s="2" t="str">
        <x:v>PARTNER-M347</x:v>
      </x:c>
    </x:row>
    <x:row r="6418" ht="46" customHeight="1">
      <x:c r="A6418" s="2" t="str">
        <x:v>TEN-815E15EB19F8</x:v>
      </x:c>
      <x:c r="B6418" s="12" t="str">
        <x:v>KLA Software</x:v>
      </x:c>
      <x:c r="C6418" s="12" t="str">
        <x:v>CORP-0762</x:v>
      </x:c>
      <x:c r="D6418" s="12" t="str">
        <x:v>Chennai</x:v>
      </x:c>
      <x:c r="E6418" s="12" t="str">
        <x:v>Prince Infocity 1</x:v>
      </x:c>
      <x:c r="F6418" s="12" t="str">
        <x:v>55 inch</x:v>
      </x:c>
      <x:c r="G6418" s="20" t="n">
        <x:v>1</x:v>
      </x:c>
      <x:c r="H6418" s="12" t="str">
        <x:v>Campus/portfolio roster; individual building occupancy unverified</x:v>
      </x:c>
      <x:c r="I6418" s="12" t="str">
        <x:v>Mixed business audience</x:v>
      </x:c>
      <x:c r="J6418" s="12" t="str">
        <x:v>IT &amp; digital</x:v>
      </x:c>
      <x:c r="K6418" s="2" t="str">
        <x:v>PARTNER-M347</x:v>
      </x:c>
    </x:row>
    <x:row r="6419" ht="46" customHeight="1">
      <x:c r="A6419" s="2" t="str">
        <x:v>TEN-ADB237A5DECE</x:v>
      </x:c>
      <x:c r="B6419" s="12" t="str">
        <x:v>Dun &amp; Bradstreet Technologies &amp; Data Services Pvt. Ltd</x:v>
      </x:c>
      <x:c r="C6419" s="12" t="str">
        <x:v>CORP-0762</x:v>
      </x:c>
      <x:c r="D6419" s="12" t="str">
        <x:v>Chennai</x:v>
      </x:c>
      <x:c r="E6419" s="12" t="str">
        <x:v>Prince Infocity 1</x:v>
      </x:c>
      <x:c r="F6419" s="12" t="str">
        <x:v>55 inch</x:v>
      </x:c>
      <x:c r="G6419" s="20" t="n">
        <x:v>1</x:v>
      </x:c>
      <x:c r="H6419" s="12" t="str">
        <x:v>Campus/portfolio roster; individual building occupancy unverified</x:v>
      </x:c>
      <x:c r="I6419" s="12" t="str">
        <x:v>Mixed business audience</x:v>
      </x:c>
      <x:c r="J6419" s="12" t="str">
        <x:v>Finance &amp; insurance</x:v>
      </x:c>
      <x:c r="K6419" s="2" t="str">
        <x:v>PARTNER-M347</x:v>
      </x:c>
    </x:row>
    <x:row r="6420" ht="46" customHeight="1">
      <x:c r="A6420" s="2" t="str">
        <x:v>TEN-E44CEBE6EA8C</x:v>
      </x:c>
      <x:c r="B6420" s="12" t="str">
        <x:v>Upstream Talent Management Services Private Limited</x:v>
      </x:c>
      <x:c r="C6420" s="12" t="str">
        <x:v>CORP-0762</x:v>
      </x:c>
      <x:c r="D6420" s="12" t="str">
        <x:v>Chennai</x:v>
      </x:c>
      <x:c r="E6420" s="12" t="str">
        <x:v>Prince Infocity 1</x:v>
      </x:c>
      <x:c r="F6420" s="12" t="str">
        <x:v>55 inch</x:v>
      </x:c>
      <x:c r="G6420" s="20" t="n">
        <x:v>1</x:v>
      </x:c>
      <x:c r="H6420" s="12" t="str">
        <x:v>Campus/portfolio roster; individual building occupancy unverified</x:v>
      </x:c>
      <x:c r="I6420" s="12" t="str">
        <x:v>Small-scale prospects</x:v>
      </x:c>
      <x:c r="J6420" s="12" t="str">
        <x:v>Professional services</x:v>
      </x:c>
      <x:c r="K6420" s="2" t="str">
        <x:v>PARTNER-M347</x:v>
      </x:c>
    </x:row>
    <x:row r="6421" ht="46" customHeight="1">
      <x:c r="A6421" s="2" t="str">
        <x:v>TEN-FC6EA90A7528</x:v>
      </x:c>
      <x:c r="B6421" s="12" t="str">
        <x:v>IVY Mobility Solutions Ltd</x:v>
      </x:c>
      <x:c r="C6421" s="12" t="str">
        <x:v>CORP-0762</x:v>
      </x:c>
      <x:c r="D6421" s="12" t="str">
        <x:v>Chennai</x:v>
      </x:c>
      <x:c r="E6421" s="12" t="str">
        <x:v>Prince Infocity 1</x:v>
      </x:c>
      <x:c r="F6421" s="12" t="str">
        <x:v>55 inch</x:v>
      </x:c>
      <x:c r="G6421" s="20" t="n">
        <x:v>1</x:v>
      </x:c>
      <x:c r="H6421" s="12" t="str">
        <x:v>Campus/portfolio roster; individual building occupancy unverified</x:v>
      </x:c>
      <x:c r="I6421" s="12" t="str">
        <x:v>Small-scale prospects</x:v>
      </x:c>
      <x:c r="J6421" s="12" t="str">
        <x:v>IT &amp; digital</x:v>
      </x:c>
      <x:c r="K6421" s="2" t="str">
        <x:v>PARTNER-M347</x:v>
      </x:c>
    </x:row>
    <x:row r="6422" ht="46" customHeight="1">
      <x:c r="A6422" s="2" t="str">
        <x:v>TEN-01DFE5E03500</x:v>
      </x:c>
      <x:c r="B6422" s="12" t="str">
        <x:v>QAssure Technologies India Pvt Ltd</x:v>
      </x:c>
      <x:c r="C6422" s="12" t="str">
        <x:v>CORP-0763</x:v>
      </x:c>
      <x:c r="D6422" s="12" t="str">
        <x:v>Chennai</x:v>
      </x:c>
      <x:c r="E6422" s="12" t="str">
        <x:v>Kushal Towers</x:v>
      </x:c>
      <x:c r="F6422" s="12" t="str">
        <x:v>55 inch</x:v>
      </x:c>
      <x:c r="G6422" s="20" t="n">
        <x:v>1</x:v>
      </x:c>
      <x:c r="H6422" s="12" t="str">
        <x:v>Campus/portfolio roster; individual building occupancy unverified</x:v>
      </x:c>
      <x:c r="I6422" s="12" t="str">
        <x:v>Small-scale prospects</x:v>
      </x:c>
      <x:c r="J6422" s="12" t="str">
        <x:v>IT &amp; digital</x:v>
      </x:c>
      <x:c r="K6422" s="2" t="str">
        <x:v>PARTNER-M349</x:v>
      </x:c>
    </x:row>
    <x:row r="6423" ht="46" customHeight="1">
      <x:c r="A6423" s="2" t="str">
        <x:v>TEN-08D2EE4FF19C</x:v>
      </x:c>
      <x:c r="B6423" s="12" t="str">
        <x:v>BICS Global</x:v>
      </x:c>
      <x:c r="C6423" s="12" t="str">
        <x:v>CORP-0763</x:v>
      </x:c>
      <x:c r="D6423" s="12" t="str">
        <x:v>Chennai</x:v>
      </x:c>
      <x:c r="E6423" s="12" t="str">
        <x:v>Kushal Towers</x:v>
      </x:c>
      <x:c r="F6423" s="12" t="str">
        <x:v>55 inch</x:v>
      </x:c>
      <x:c r="G6423" s="20" t="n">
        <x:v>1</x:v>
      </x:c>
      <x:c r="H6423" s="12" t="str">
        <x:v>Campus/portfolio roster; individual building occupancy unverified</x:v>
      </x:c>
      <x:c r="I6423" s="12" t="str">
        <x:v>Mixed business audience</x:v>
      </x:c>
      <x:c r="J6423" s="12" t="str">
        <x:v>IT &amp; digital</x:v>
      </x:c>
      <x:c r="K6423" s="2" t="str">
        <x:v>PARTNER-M349</x:v>
      </x:c>
    </x:row>
    <x:row r="6424" ht="46" customHeight="1">
      <x:c r="A6424" s="2" t="str">
        <x:v>TEN-254BC0A18FC5</x:v>
      </x:c>
      <x:c r="B6424" s="12" t="str">
        <x:v>RP Telebuy Skyshop Private Limited</x:v>
      </x:c>
      <x:c r="C6424" s="12" t="str">
        <x:v>CORP-0763</x:v>
      </x:c>
      <x:c r="D6424" s="12" t="str">
        <x:v>Chennai</x:v>
      </x:c>
      <x:c r="E6424" s="12" t="str">
        <x:v>Kushal Towers</x:v>
      </x:c>
      <x:c r="F6424" s="12" t="str">
        <x:v>55 inch</x:v>
      </x:c>
      <x:c r="G6424" s="20" t="n">
        <x:v>1</x:v>
      </x:c>
      <x:c r="H6424" s="12" t="str">
        <x:v>Campus/portfolio roster; individual building occupancy unverified</x:v>
      </x:c>
      <x:c r="I6424" s="12" t="str">
        <x:v>Small-scale prospects</x:v>
      </x:c>
      <x:c r="J6424" s="12" t="str">
        <x:v>Trade, consumer &amp; logistics</x:v>
      </x:c>
      <x:c r="K6424" s="2" t="str">
        <x:v>PARTNER-M349</x:v>
      </x:c>
    </x:row>
    <x:row r="6425" ht="46" customHeight="1">
      <x:c r="A6425" s="2" t="str">
        <x:v>TEN-3D167F220E41</x:v>
      </x:c>
      <x:c r="B6425" s="12" t="str">
        <x:v>XCEL Corp</x:v>
      </x:c>
      <x:c r="C6425" s="12" t="str">
        <x:v>CORP-0763</x:v>
      </x:c>
      <x:c r="D6425" s="12" t="str">
        <x:v>Chennai</x:v>
      </x:c>
      <x:c r="E6425" s="12" t="str">
        <x:v>Kushal Towers</x:v>
      </x:c>
      <x:c r="F6425" s="12" t="str">
        <x:v>55 inch</x:v>
      </x:c>
      <x:c r="G6425" s="20" t="n">
        <x:v>1</x:v>
      </x:c>
      <x:c r="H6425" s="12" t="str">
        <x:v>Campus/portfolio roster; individual building occupancy unverified</x:v>
      </x:c>
      <x:c r="I6425" s="12" t="str">
        <x:v>Mixed business audience</x:v>
      </x:c>
      <x:c r="J6425" s="12" t="str">
        <x:v>Unresolved</x:v>
      </x:c>
      <x:c r="K6425" s="2" t="str">
        <x:v>PARTNER-M349</x:v>
      </x:c>
    </x:row>
    <x:row r="6426" ht="46" customHeight="1">
      <x:c r="A6426" s="2" t="str">
        <x:v>TEN-5A5035480186</x:v>
      </x:c>
      <x:c r="B6426" s="12" t="str">
        <x:v>Blackstone Group Tech Private Limited</x:v>
      </x:c>
      <x:c r="C6426" s="12" t="str">
        <x:v>CORP-0763</x:v>
      </x:c>
      <x:c r="D6426" s="12" t="str">
        <x:v>Chennai</x:v>
      </x:c>
      <x:c r="E6426" s="12" t="str">
        <x:v>Kushal Towers</x:v>
      </x:c>
      <x:c r="F6426" s="12" t="str">
        <x:v>55 inch</x:v>
      </x:c>
      <x:c r="G6426" s="20" t="n">
        <x:v>1</x:v>
      </x:c>
      <x:c r="H6426" s="12" t="str">
        <x:v>Campus/portfolio roster; individual building occupancy unverified</x:v>
      </x:c>
      <x:c r="I6426" s="12" t="str">
        <x:v>Mixed business audience</x:v>
      </x:c>
      <x:c r="J6426" s="12" t="str">
        <x:v>IT &amp; digital</x:v>
      </x:c>
      <x:c r="K6426" s="2" t="str">
        <x:v>PARTNER-M349</x:v>
      </x:c>
    </x:row>
    <x:row r="6427" ht="46" customHeight="1">
      <x:c r="A6427" s="2" t="str">
        <x:v>TEN-68D85C0A07A9</x:v>
      </x:c>
      <x:c r="B6427" s="12" t="str">
        <x:v>Access Healthcare</x:v>
      </x:c>
      <x:c r="C6427" s="12" t="str">
        <x:v>CORP-0763</x:v>
      </x:c>
      <x:c r="D6427" s="12" t="str">
        <x:v>Chennai</x:v>
      </x:c>
      <x:c r="E6427" s="12" t="str">
        <x:v>Kushal Towers</x:v>
      </x:c>
      <x:c r="F6427" s="12" t="str">
        <x:v>55 inch</x:v>
      </x:c>
      <x:c r="G6427" s="20" t="n">
        <x:v>1</x:v>
      </x:c>
      <x:c r="H6427" s="12" t="str">
        <x:v>Campus/portfolio roster; individual building occupancy unverified</x:v>
      </x:c>
      <x:c r="I6427" s="12" t="str">
        <x:v>Mixed business audience</x:v>
      </x:c>
      <x:c r="J6427" s="12" t="str">
        <x:v>Healthcare &amp; life sciences</x:v>
      </x:c>
      <x:c r="K6427" s="2" t="str">
        <x:v>PARTNER-M349</x:v>
      </x:c>
    </x:row>
    <x:row r="6428" ht="46" customHeight="1">
      <x:c r="A6428" s="2" t="str">
        <x:v>TEN-7DCE55C572CC</x:v>
      </x:c>
      <x:c r="B6428" s="12" t="str">
        <x:v>GAMMA Process Hub India Ltd</x:v>
      </x:c>
      <x:c r="C6428" s="12" t="str">
        <x:v>CORP-0763</x:v>
      </x:c>
      <x:c r="D6428" s="12" t="str">
        <x:v>Chennai</x:v>
      </x:c>
      <x:c r="E6428" s="12" t="str">
        <x:v>Kushal Towers</x:v>
      </x:c>
      <x:c r="F6428" s="12" t="str">
        <x:v>55 inch</x:v>
      </x:c>
      <x:c r="G6428" s="20" t="n">
        <x:v>1</x:v>
      </x:c>
      <x:c r="H6428" s="12" t="str">
        <x:v>Campus/portfolio roster; individual building occupancy unverified</x:v>
      </x:c>
      <x:c r="I6428" s="12" t="str">
        <x:v>Mixed business audience</x:v>
      </x:c>
      <x:c r="J6428" s="12" t="str">
        <x:v>Unresolved</x:v>
      </x:c>
      <x:c r="K6428" s="2" t="str">
        <x:v>PARTNER-M349</x:v>
      </x:c>
    </x:row>
    <x:row r="6429" ht="46" customHeight="1">
      <x:c r="A6429" s="2" t="str">
        <x:v>TEN-8C1ED08A337E</x:v>
      </x:c>
      <x:c r="B6429" s="12" t="str">
        <x:v>Vakilsearch</x:v>
      </x:c>
      <x:c r="C6429" s="12" t="str">
        <x:v>CORP-0763</x:v>
      </x:c>
      <x:c r="D6429" s="12" t="str">
        <x:v>Chennai</x:v>
      </x:c>
      <x:c r="E6429" s="12" t="str">
        <x:v>Kushal Towers</x:v>
      </x:c>
      <x:c r="F6429" s="12" t="str">
        <x:v>55 inch</x:v>
      </x:c>
      <x:c r="G6429" s="20" t="n">
        <x:v>1</x:v>
      </x:c>
      <x:c r="H6429" s="12" t="str">
        <x:v>Campus/portfolio roster; individual building occupancy unverified</x:v>
      </x:c>
      <x:c r="I6429" s="12" t="str">
        <x:v>Small-scale prospects</x:v>
      </x:c>
      <x:c r="J6429" s="12" t="str">
        <x:v>IT &amp; digital</x:v>
      </x:c>
      <x:c r="K6429" s="2" t="str">
        <x:v>PARTNER-M349</x:v>
      </x:c>
    </x:row>
    <x:row r="6430" ht="46" customHeight="1">
      <x:c r="A6430" s="2" t="str">
        <x:v>TEN-B810D11F7B55</x:v>
      </x:c>
      <x:c r="B6430" s="12" t="str">
        <x:v>Zamil Steel Buildings India Pvt Ltd</x:v>
      </x:c>
      <x:c r="C6430" s="12" t="str">
        <x:v>CORP-0763</x:v>
      </x:c>
      <x:c r="D6430" s="12" t="str">
        <x:v>Chennai</x:v>
      </x:c>
      <x:c r="E6430" s="12" t="str">
        <x:v>Kushal Towers</x:v>
      </x:c>
      <x:c r="F6430" s="12" t="str">
        <x:v>55 inch</x:v>
      </x:c>
      <x:c r="G6430" s="20" t="n">
        <x:v>1</x:v>
      </x:c>
      <x:c r="H6430" s="12" t="str">
        <x:v>Campus/portfolio roster; individual building occupancy unverified</x:v>
      </x:c>
      <x:c r="I6430" s="12" t="str">
        <x:v>Mixed business audience</x:v>
      </x:c>
      <x:c r="J6430" s="12" t="str">
        <x:v>Engineering &amp; manufacturing</x:v>
      </x:c>
      <x:c r="K6430" s="2" t="str">
        <x:v>PARTNER-M349</x:v>
      </x:c>
    </x:row>
    <x:row r="6431" ht="46" customHeight="1">
      <x:c r="A6431" s="2" t="str">
        <x:v>TEN-BB8FEC9419FA</x:v>
      </x:c>
      <x:c r="B6431" s="12" t="str">
        <x:v>Serco</x:v>
      </x:c>
      <x:c r="C6431" s="12" t="str">
        <x:v>CORP-0763</x:v>
      </x:c>
      <x:c r="D6431" s="12" t="str">
        <x:v>Chennai</x:v>
      </x:c>
      <x:c r="E6431" s="12" t="str">
        <x:v>Kushal Towers</x:v>
      </x:c>
      <x:c r="F6431" s="12" t="str">
        <x:v>55 inch</x:v>
      </x:c>
      <x:c r="G6431" s="20" t="n">
        <x:v>1</x:v>
      </x:c>
      <x:c r="H6431" s="12" t="str">
        <x:v>Campus/portfolio roster; individual building occupancy unverified</x:v>
      </x:c>
      <x:c r="I6431" s="12" t="str">
        <x:v>Mixed business audience</x:v>
      </x:c>
      <x:c r="J6431" s="12" t="str">
        <x:v>Unresolved</x:v>
      </x:c>
      <x:c r="K6431" s="2" t="str">
        <x:v>PARTNER-M349</x:v>
      </x:c>
    </x:row>
    <x:row r="6432" ht="46" customHeight="1">
      <x:c r="A6432" s="2" t="str">
        <x:v>TEN-D86E0B0A416E</x:v>
      </x:c>
      <x:c r="B6432" s="12" t="str">
        <x:v>Logic Information Systems</x:v>
      </x:c>
      <x:c r="C6432" s="12" t="str">
        <x:v>CORP-0763</x:v>
      </x:c>
      <x:c r="D6432" s="12" t="str">
        <x:v>Chennai</x:v>
      </x:c>
      <x:c r="E6432" s="12" t="str">
        <x:v>Kushal Towers</x:v>
      </x:c>
      <x:c r="F6432" s="12" t="str">
        <x:v>55 inch</x:v>
      </x:c>
      <x:c r="G6432" s="20" t="n">
        <x:v>1</x:v>
      </x:c>
      <x:c r="H6432" s="12" t="str">
        <x:v>Campus/portfolio roster; individual building occupancy unverified</x:v>
      </x:c>
      <x:c r="I6432" s="12" t="str">
        <x:v>Small-scale prospects</x:v>
      </x:c>
      <x:c r="J6432" s="12" t="str">
        <x:v>IT &amp; digital</x:v>
      </x:c>
      <x:c r="K6432" s="2" t="str">
        <x:v>PARTNER-M349</x:v>
      </x:c>
    </x:row>
    <x:row r="6433" ht="46" customHeight="1">
      <x:c r="A6433" s="2" t="str">
        <x:v>TEN-DF9748595865</x:v>
      </x:c>
      <x:c r="B6433" s="12" t="str">
        <x:v>Datamark Inc</x:v>
      </x:c>
      <x:c r="C6433" s="12" t="str">
        <x:v>CORP-0763</x:v>
      </x:c>
      <x:c r="D6433" s="12" t="str">
        <x:v>Chennai</x:v>
      </x:c>
      <x:c r="E6433" s="12" t="str">
        <x:v>Kushal Towers</x:v>
      </x:c>
      <x:c r="F6433" s="12" t="str">
        <x:v>55 inch</x:v>
      </x:c>
      <x:c r="G6433" s="20" t="n">
        <x:v>1</x:v>
      </x:c>
      <x:c r="H6433" s="12" t="str">
        <x:v>Campus/portfolio roster; individual building occupancy unverified</x:v>
      </x:c>
      <x:c r="I6433" s="12" t="str">
        <x:v>Mixed business audience</x:v>
      </x:c>
      <x:c r="J6433" s="12" t="str">
        <x:v>IT &amp; digital</x:v>
      </x:c>
      <x:c r="K6433" s="2" t="str">
        <x:v>PARTNER-M349</x:v>
      </x:c>
    </x:row>
    <x:row r="6434" ht="46" customHeight="1">
      <x:c r="A6434" s="2" t="str">
        <x:v>TEN-01DFE5E03500</x:v>
      </x:c>
      <x:c r="B6434" s="12" t="str">
        <x:v>QAssure Technologies India Pvt Ltd</x:v>
      </x:c>
      <x:c r="C6434" s="12" t="str">
        <x:v>CORP-0764</x:v>
      </x:c>
      <x:c r="D6434" s="12" t="str">
        <x:v>Chennai</x:v>
      </x:c>
      <x:c r="E6434" s="12" t="str">
        <x:v>Prince Infopark</x:v>
      </x:c>
      <x:c r="F6434" s="12" t="str">
        <x:v>55 inch</x:v>
      </x:c>
      <x:c r="G6434" s="20" t="n">
        <x:v>1</x:v>
      </x:c>
      <x:c r="H6434" s="12" t="str">
        <x:v>Campus/portfolio roster; individual building occupancy unverified</x:v>
      </x:c>
      <x:c r="I6434" s="12" t="str">
        <x:v>Small-scale prospects</x:v>
      </x:c>
      <x:c r="J6434" s="12" t="str">
        <x:v>IT &amp; digital</x:v>
      </x:c>
      <x:c r="K6434" s="2" t="str">
        <x:v>PARTNER-M350</x:v>
      </x:c>
    </x:row>
    <x:row r="6435" ht="46" customHeight="1">
      <x:c r="A6435" s="2" t="str">
        <x:v>TEN-08D2EE4FF19C</x:v>
      </x:c>
      <x:c r="B6435" s="12" t="str">
        <x:v>BICS Global</x:v>
      </x:c>
      <x:c r="C6435" s="12" t="str">
        <x:v>CORP-0764</x:v>
      </x:c>
      <x:c r="D6435" s="12" t="str">
        <x:v>Chennai</x:v>
      </x:c>
      <x:c r="E6435" s="12" t="str">
        <x:v>Prince Infopark</x:v>
      </x:c>
      <x:c r="F6435" s="12" t="str">
        <x:v>55 inch</x:v>
      </x:c>
      <x:c r="G6435" s="20" t="n">
        <x:v>1</x:v>
      </x:c>
      <x:c r="H6435" s="12" t="str">
        <x:v>Campus/portfolio roster; individual building occupancy unverified</x:v>
      </x:c>
      <x:c r="I6435" s="12" t="str">
        <x:v>Mixed business audience</x:v>
      </x:c>
      <x:c r="J6435" s="12" t="str">
        <x:v>IT &amp; digital</x:v>
      </x:c>
      <x:c r="K6435" s="2" t="str">
        <x:v>PARTNER-M350</x:v>
      </x:c>
    </x:row>
    <x:row r="6436" ht="46" customHeight="1">
      <x:c r="A6436" s="2" t="str">
        <x:v>TEN-254BC0A18FC5</x:v>
      </x:c>
      <x:c r="B6436" s="12" t="str">
        <x:v>RP Telebuy Skyshop Private Limited</x:v>
      </x:c>
      <x:c r="C6436" s="12" t="str">
        <x:v>CORP-0764</x:v>
      </x:c>
      <x:c r="D6436" s="12" t="str">
        <x:v>Chennai</x:v>
      </x:c>
      <x:c r="E6436" s="12" t="str">
        <x:v>Prince Infopark</x:v>
      </x:c>
      <x:c r="F6436" s="12" t="str">
        <x:v>55 inch</x:v>
      </x:c>
      <x:c r="G6436" s="20" t="n">
        <x:v>1</x:v>
      </x:c>
      <x:c r="H6436" s="12" t="str">
        <x:v>Campus/portfolio roster; individual building occupancy unverified</x:v>
      </x:c>
      <x:c r="I6436" s="12" t="str">
        <x:v>Small-scale prospects</x:v>
      </x:c>
      <x:c r="J6436" s="12" t="str">
        <x:v>Trade, consumer &amp; logistics</x:v>
      </x:c>
      <x:c r="K6436" s="2" t="str">
        <x:v>PARTNER-M350</x:v>
      </x:c>
    </x:row>
    <x:row r="6437" ht="46" customHeight="1">
      <x:c r="A6437" s="2" t="str">
        <x:v>TEN-3D167F220E41</x:v>
      </x:c>
      <x:c r="B6437" s="12" t="str">
        <x:v>XCEL Corp</x:v>
      </x:c>
      <x:c r="C6437" s="12" t="str">
        <x:v>CORP-0764</x:v>
      </x:c>
      <x:c r="D6437" s="12" t="str">
        <x:v>Chennai</x:v>
      </x:c>
      <x:c r="E6437" s="12" t="str">
        <x:v>Prince Infopark</x:v>
      </x:c>
      <x:c r="F6437" s="12" t="str">
        <x:v>55 inch</x:v>
      </x:c>
      <x:c r="G6437" s="20" t="n">
        <x:v>1</x:v>
      </x:c>
      <x:c r="H6437" s="12" t="str">
        <x:v>Campus/portfolio roster; individual building occupancy unverified</x:v>
      </x:c>
      <x:c r="I6437" s="12" t="str">
        <x:v>Mixed business audience</x:v>
      </x:c>
      <x:c r="J6437" s="12" t="str">
        <x:v>Unresolved</x:v>
      </x:c>
      <x:c r="K6437" s="2" t="str">
        <x:v>PARTNER-M350</x:v>
      </x:c>
    </x:row>
    <x:row r="6438" ht="46" customHeight="1">
      <x:c r="A6438" s="2" t="str">
        <x:v>TEN-5A5035480186</x:v>
      </x:c>
      <x:c r="B6438" s="12" t="str">
        <x:v>Blackstone Group Tech Private Limited</x:v>
      </x:c>
      <x:c r="C6438" s="12" t="str">
        <x:v>CORP-0764</x:v>
      </x:c>
      <x:c r="D6438" s="12" t="str">
        <x:v>Chennai</x:v>
      </x:c>
      <x:c r="E6438" s="12" t="str">
        <x:v>Prince Infopark</x:v>
      </x:c>
      <x:c r="F6438" s="12" t="str">
        <x:v>55 inch</x:v>
      </x:c>
      <x:c r="G6438" s="20" t="n">
        <x:v>1</x:v>
      </x:c>
      <x:c r="H6438" s="12" t="str">
        <x:v>Campus/portfolio roster; individual building occupancy unverified</x:v>
      </x:c>
      <x:c r="I6438" s="12" t="str">
        <x:v>Mixed business audience</x:v>
      </x:c>
      <x:c r="J6438" s="12" t="str">
        <x:v>IT &amp; digital</x:v>
      </x:c>
      <x:c r="K6438" s="2" t="str">
        <x:v>PARTNER-M350</x:v>
      </x:c>
    </x:row>
    <x:row r="6439" ht="46" customHeight="1">
      <x:c r="A6439" s="2" t="str">
        <x:v>TEN-68D85C0A07A9</x:v>
      </x:c>
      <x:c r="B6439" s="12" t="str">
        <x:v>Access Healthcare</x:v>
      </x:c>
      <x:c r="C6439" s="12" t="str">
        <x:v>CORP-0764</x:v>
      </x:c>
      <x:c r="D6439" s="12" t="str">
        <x:v>Chennai</x:v>
      </x:c>
      <x:c r="E6439" s="12" t="str">
        <x:v>Prince Infopark</x:v>
      </x:c>
      <x:c r="F6439" s="12" t="str">
        <x:v>55 inch</x:v>
      </x:c>
      <x:c r="G6439" s="20" t="n">
        <x:v>1</x:v>
      </x:c>
      <x:c r="H6439" s="12" t="str">
        <x:v>Campus/portfolio roster; individual building occupancy unverified</x:v>
      </x:c>
      <x:c r="I6439" s="12" t="str">
        <x:v>Mixed business audience</x:v>
      </x:c>
      <x:c r="J6439" s="12" t="str">
        <x:v>Healthcare &amp; life sciences</x:v>
      </x:c>
      <x:c r="K6439" s="2" t="str">
        <x:v>PARTNER-M350</x:v>
      </x:c>
    </x:row>
    <x:row r="6440" ht="46" customHeight="1">
      <x:c r="A6440" s="2" t="str">
        <x:v>TEN-7DCE55C572CC</x:v>
      </x:c>
      <x:c r="B6440" s="12" t="str">
        <x:v>GAMMA Process Hub India Ltd</x:v>
      </x:c>
      <x:c r="C6440" s="12" t="str">
        <x:v>CORP-0764</x:v>
      </x:c>
      <x:c r="D6440" s="12" t="str">
        <x:v>Chennai</x:v>
      </x:c>
      <x:c r="E6440" s="12" t="str">
        <x:v>Prince Infopark</x:v>
      </x:c>
      <x:c r="F6440" s="12" t="str">
        <x:v>55 inch</x:v>
      </x:c>
      <x:c r="G6440" s="20" t="n">
        <x:v>1</x:v>
      </x:c>
      <x:c r="H6440" s="12" t="str">
        <x:v>Campus/portfolio roster; individual building occupancy unverified</x:v>
      </x:c>
      <x:c r="I6440" s="12" t="str">
        <x:v>Mixed business audience</x:v>
      </x:c>
      <x:c r="J6440" s="12" t="str">
        <x:v>Unresolved</x:v>
      </x:c>
      <x:c r="K6440" s="2" t="str">
        <x:v>PARTNER-M350</x:v>
      </x:c>
    </x:row>
    <x:row r="6441" ht="46" customHeight="1">
      <x:c r="A6441" s="2" t="str">
        <x:v>TEN-8C1ED08A337E</x:v>
      </x:c>
      <x:c r="B6441" s="12" t="str">
        <x:v>Vakilsearch</x:v>
      </x:c>
      <x:c r="C6441" s="12" t="str">
        <x:v>CORP-0764</x:v>
      </x:c>
      <x:c r="D6441" s="12" t="str">
        <x:v>Chennai</x:v>
      </x:c>
      <x:c r="E6441" s="12" t="str">
        <x:v>Prince Infopark</x:v>
      </x:c>
      <x:c r="F6441" s="12" t="str">
        <x:v>55 inch</x:v>
      </x:c>
      <x:c r="G6441" s="20" t="n">
        <x:v>1</x:v>
      </x:c>
      <x:c r="H6441" s="12" t="str">
        <x:v>Campus/portfolio roster; individual building occupancy unverified</x:v>
      </x:c>
      <x:c r="I6441" s="12" t="str">
        <x:v>Small-scale prospects</x:v>
      </x:c>
      <x:c r="J6441" s="12" t="str">
        <x:v>IT &amp; digital</x:v>
      </x:c>
      <x:c r="K6441" s="2" t="str">
        <x:v>PARTNER-M350</x:v>
      </x:c>
    </x:row>
    <x:row r="6442" ht="46" customHeight="1">
      <x:c r="A6442" s="2" t="str">
        <x:v>TEN-B810D11F7B55</x:v>
      </x:c>
      <x:c r="B6442" s="12" t="str">
        <x:v>Zamil Steel Buildings India Pvt Ltd</x:v>
      </x:c>
      <x:c r="C6442" s="12" t="str">
        <x:v>CORP-0764</x:v>
      </x:c>
      <x:c r="D6442" s="12" t="str">
        <x:v>Chennai</x:v>
      </x:c>
      <x:c r="E6442" s="12" t="str">
        <x:v>Prince Infopark</x:v>
      </x:c>
      <x:c r="F6442" s="12" t="str">
        <x:v>55 inch</x:v>
      </x:c>
      <x:c r="G6442" s="20" t="n">
        <x:v>1</x:v>
      </x:c>
      <x:c r="H6442" s="12" t="str">
        <x:v>Campus/portfolio roster; individual building occupancy unverified</x:v>
      </x:c>
      <x:c r="I6442" s="12" t="str">
        <x:v>Mixed business audience</x:v>
      </x:c>
      <x:c r="J6442" s="12" t="str">
        <x:v>Engineering &amp; manufacturing</x:v>
      </x:c>
      <x:c r="K6442" s="2" t="str">
        <x:v>PARTNER-M350</x:v>
      </x:c>
    </x:row>
    <x:row r="6443" ht="46" customHeight="1">
      <x:c r="A6443" s="2" t="str">
        <x:v>TEN-BB8FEC9419FA</x:v>
      </x:c>
      <x:c r="B6443" s="12" t="str">
        <x:v>Serco</x:v>
      </x:c>
      <x:c r="C6443" s="12" t="str">
        <x:v>CORP-0764</x:v>
      </x:c>
      <x:c r="D6443" s="12" t="str">
        <x:v>Chennai</x:v>
      </x:c>
      <x:c r="E6443" s="12" t="str">
        <x:v>Prince Infopark</x:v>
      </x:c>
      <x:c r="F6443" s="12" t="str">
        <x:v>55 inch</x:v>
      </x:c>
      <x:c r="G6443" s="20" t="n">
        <x:v>1</x:v>
      </x:c>
      <x:c r="H6443" s="12" t="str">
        <x:v>Campus/portfolio roster; individual building occupancy unverified</x:v>
      </x:c>
      <x:c r="I6443" s="12" t="str">
        <x:v>Mixed business audience</x:v>
      </x:c>
      <x:c r="J6443" s="12" t="str">
        <x:v>Unresolved</x:v>
      </x:c>
      <x:c r="K6443" s="2" t="str">
        <x:v>PARTNER-M350</x:v>
      </x:c>
    </x:row>
    <x:row r="6444" ht="46" customHeight="1">
      <x:c r="A6444" s="2" t="str">
        <x:v>TEN-D86E0B0A416E</x:v>
      </x:c>
      <x:c r="B6444" s="12" t="str">
        <x:v>Logic Information Systems</x:v>
      </x:c>
      <x:c r="C6444" s="12" t="str">
        <x:v>CORP-0764</x:v>
      </x:c>
      <x:c r="D6444" s="12" t="str">
        <x:v>Chennai</x:v>
      </x:c>
      <x:c r="E6444" s="12" t="str">
        <x:v>Prince Infopark</x:v>
      </x:c>
      <x:c r="F6444" s="12" t="str">
        <x:v>55 inch</x:v>
      </x:c>
      <x:c r="G6444" s="20" t="n">
        <x:v>1</x:v>
      </x:c>
      <x:c r="H6444" s="12" t="str">
        <x:v>Campus/portfolio roster; individual building occupancy unverified</x:v>
      </x:c>
      <x:c r="I6444" s="12" t="str">
        <x:v>Small-scale prospects</x:v>
      </x:c>
      <x:c r="J6444" s="12" t="str">
        <x:v>IT &amp; digital</x:v>
      </x:c>
      <x:c r="K6444" s="2" t="str">
        <x:v>PARTNER-M350</x:v>
      </x:c>
    </x:row>
    <x:row r="6445" ht="46" customHeight="1">
      <x:c r="A6445" s="2" t="str">
        <x:v>TEN-DF9748595865</x:v>
      </x:c>
      <x:c r="B6445" s="12" t="str">
        <x:v>Datamark Inc</x:v>
      </x:c>
      <x:c r="C6445" s="12" t="str">
        <x:v>CORP-0764</x:v>
      </x:c>
      <x:c r="D6445" s="12" t="str">
        <x:v>Chennai</x:v>
      </x:c>
      <x:c r="E6445" s="12" t="str">
        <x:v>Prince Infopark</x:v>
      </x:c>
      <x:c r="F6445" s="12" t="str">
        <x:v>55 inch</x:v>
      </x:c>
      <x:c r="G6445" s="20" t="n">
        <x:v>1</x:v>
      </x:c>
      <x:c r="H6445" s="12" t="str">
        <x:v>Campus/portfolio roster; individual building occupancy unverified</x:v>
      </x:c>
      <x:c r="I6445" s="12" t="str">
        <x:v>Mixed business audience</x:v>
      </x:c>
      <x:c r="J6445" s="12" t="str">
        <x:v>IT &amp; digital</x:v>
      </x:c>
      <x:c r="K6445" s="2" t="str">
        <x:v>PARTNER-M350</x:v>
      </x:c>
    </x:row>
    <x:row r="6446" ht="46" customHeight="1">
      <x:c r="A6446" s="2" t="str">
        <x:v>TEN-0C81B9564D37</x:v>
      </x:c>
      <x:c r="B6446" s="12" t="str">
        <x:v>Cogent eservices private limited PSN Bangalore</x:v>
      </x:c>
      <x:c r="C6446" s="12" t="str">
        <x:v>CORP-0450</x:v>
      </x:c>
      <x:c r="D6446" s="12" t="str">
        <x:v>Bengaluru</x:v>
      </x:c>
      <x:c r="E6446" s="12" t="str">
        <x:v>Prestige Shantiniketan</x:v>
      </x:c>
      <x:c r="F6446" s="12" t="str">
        <x:v>55 inch</x:v>
      </x:c>
      <x:c r="G6446" s="20" t="n">
        <x:v>1</x:v>
      </x:c>
      <x:c r="H6446" s="12" t="str">
        <x:v>Campus/portfolio roster; individual building occupancy unverified</x:v>
      </x:c>
      <x:c r="I6446" s="12" t="str">
        <x:v>Mixed business audience</x:v>
      </x:c>
      <x:c r="J6446" s="12" t="str">
        <x:v>IT &amp; digital</x:v>
      </x:c>
      <x:c r="K6446" s="2" t="str">
        <x:v>PARTNER-M027</x:v>
      </x:c>
    </x:row>
    <x:row r="6447" ht="46" customHeight="1">
      <x:c r="A6447" s="2" t="str">
        <x:v>TEN-1D6F21C9D1AB</x:v>
      </x:c>
      <x:c r="B6447" s="12" t="str">
        <x:v>Algorythm</x:v>
      </x:c>
      <x:c r="C6447" s="12" t="str">
        <x:v>CORP-0450</x:v>
      </x:c>
      <x:c r="D6447" s="12" t="str">
        <x:v>Bengaluru</x:v>
      </x:c>
      <x:c r="E6447" s="12" t="str">
        <x:v>Prestige Shantiniketan</x:v>
      </x:c>
      <x:c r="F6447" s="12" t="str">
        <x:v>55 inch</x:v>
      </x:c>
      <x:c r="G6447" s="20" t="n">
        <x:v>1</x:v>
      </x:c>
      <x:c r="H6447" s="12" t="str">
        <x:v>Campus/portfolio roster; individual building occupancy unverified</x:v>
      </x:c>
      <x:c r="I6447" s="12" t="str">
        <x:v>Mixed business audience</x:v>
      </x:c>
      <x:c r="J6447" s="12" t="str">
        <x:v>Unresolved</x:v>
      </x:c>
      <x:c r="K6447" s="2" t="str">
        <x:v>PARTNER-M027</x:v>
      </x:c>
    </x:row>
    <x:row r="6448" ht="46" customHeight="1">
      <x:c r="A6448" s="2" t="str">
        <x:v>TEN-31F8B6C7A65B</x:v>
      </x:c>
      <x:c r="B6448" s="12" t="str">
        <x:v>Genisys Group</x:v>
      </x:c>
      <x:c r="C6448" s="12" t="str">
        <x:v>CORP-0450</x:v>
      </x:c>
      <x:c r="D6448" s="12" t="str">
        <x:v>Bengaluru</x:v>
      </x:c>
      <x:c r="E6448" s="12" t="str">
        <x:v>Prestige Shantiniketan</x:v>
      </x:c>
      <x:c r="F6448" s="12" t="str">
        <x:v>55 inch</x:v>
      </x:c>
      <x:c r="G6448" s="20" t="n">
        <x:v>1</x:v>
      </x:c>
      <x:c r="H6448" s="12" t="str">
        <x:v>Campus/portfolio roster; individual building occupancy unverified</x:v>
      </x:c>
      <x:c r="I6448" s="12" t="str">
        <x:v>Mixed business audience</x:v>
      </x:c>
      <x:c r="J6448" s="12" t="str">
        <x:v>IT &amp; digital</x:v>
      </x:c>
      <x:c r="K6448" s="2" t="str">
        <x:v>PARTNER-M027</x:v>
      </x:c>
    </x:row>
    <x:row r="6449" ht="46" customHeight="1">
      <x:c r="A6449" s="2" t="str">
        <x:v>TEN-53B505C1CAE2</x:v>
      </x:c>
      <x:c r="B6449" s="12" t="str">
        <x:v>Herbalife International India Pvt Ltd</x:v>
      </x:c>
      <x:c r="C6449" s="12" t="str">
        <x:v>CORP-0450</x:v>
      </x:c>
      <x:c r="D6449" s="12" t="str">
        <x:v>Bengaluru</x:v>
      </x:c>
      <x:c r="E6449" s="12" t="str">
        <x:v>Prestige Shantiniketan</x:v>
      </x:c>
      <x:c r="F6449" s="12" t="str">
        <x:v>55 inch</x:v>
      </x:c>
      <x:c r="G6449" s="20" t="n">
        <x:v>1</x:v>
      </x:c>
      <x:c r="H6449" s="12" t="str">
        <x:v>Campus/portfolio roster; individual building occupancy unverified</x:v>
      </x:c>
      <x:c r="I6449" s="12" t="str">
        <x:v>Mixed business audience</x:v>
      </x:c>
      <x:c r="J6449" s="12" t="str">
        <x:v>Healthcare &amp; life sciences</x:v>
      </x:c>
      <x:c r="K6449" s="2" t="str">
        <x:v>PARTNER-M027</x:v>
      </x:c>
    </x:row>
    <x:row r="6450" ht="46" customHeight="1">
      <x:c r="A6450" s="2" t="str">
        <x:v>TEN-5FA790F3630F</x:v>
      </x:c>
      <x:c r="B6450" s="12" t="str">
        <x:v>Tata Consultancy Services</x:v>
      </x:c>
      <x:c r="C6450" s="12" t="str">
        <x:v>CORP-0450</x:v>
      </x:c>
      <x:c r="D6450" s="12" t="str">
        <x:v>Bengaluru</x:v>
      </x:c>
      <x:c r="E6450" s="12" t="str">
        <x:v>Prestige Shantiniketan</x:v>
      </x:c>
      <x:c r="F6450" s="12" t="str">
        <x:v>55 inch</x:v>
      </x:c>
      <x:c r="G6450" s="20" t="n">
        <x:v>1</x:v>
      </x:c>
      <x:c r="H6450" s="12" t="str">
        <x:v>Campus/portfolio roster; individual building occupancy unverified</x:v>
      </x:c>
      <x:c r="I6450" s="12" t="str">
        <x:v>Large enterprise</x:v>
      </x:c>
      <x:c r="J6450" s="12" t="str">
        <x:v>IT &amp; digital</x:v>
      </x:c>
      <x:c r="K6450" s="2" t="str">
        <x:v>PARTNER-M027</x:v>
      </x:c>
    </x:row>
    <x:row r="6451" ht="46" customHeight="1">
      <x:c r="A6451" s="2" t="str">
        <x:v>TEN-8409366CFBB2</x:v>
      </x:c>
      <x:c r="B6451" s="12" t="str">
        <x:v>Tata Elxsi Limited</x:v>
      </x:c>
      <x:c r="C6451" s="12" t="str">
        <x:v>CORP-0450</x:v>
      </x:c>
      <x:c r="D6451" s="12" t="str">
        <x:v>Bengaluru</x:v>
      </x:c>
      <x:c r="E6451" s="12" t="str">
        <x:v>Prestige Shantiniketan</x:v>
      </x:c>
      <x:c r="F6451" s="12" t="str">
        <x:v>55 inch</x:v>
      </x:c>
      <x:c r="G6451" s="20" t="n">
        <x:v>1</x:v>
      </x:c>
      <x:c r="H6451" s="12" t="str">
        <x:v>Campus/portfolio roster; individual building occupancy unverified</x:v>
      </x:c>
      <x:c r="I6451" s="12" t="str">
        <x:v>Large enterprise</x:v>
      </x:c>
      <x:c r="J6451" s="12" t="str">
        <x:v>IT &amp; digital</x:v>
      </x:c>
      <x:c r="K6451" s="2" t="str">
        <x:v>PARTNER-M027</x:v>
      </x:c>
    </x:row>
    <x:row r="6452" ht="46" customHeight="1">
      <x:c r="A6452" s="2" t="str">
        <x:v>TEN-849229AF9AC7</x:v>
      </x:c>
      <x:c r="B6452" s="12" t="str">
        <x:v>Hexaware Technologies Limited</x:v>
      </x:c>
      <x:c r="C6452" s="12" t="str">
        <x:v>CORP-0450</x:v>
      </x:c>
      <x:c r="D6452" s="12" t="str">
        <x:v>Bengaluru</x:v>
      </x:c>
      <x:c r="E6452" s="12" t="str">
        <x:v>Prestige Shantiniketan</x:v>
      </x:c>
      <x:c r="F6452" s="12" t="str">
        <x:v>55 inch</x:v>
      </x:c>
      <x:c r="G6452" s="20" t="n">
        <x:v>1</x:v>
      </x:c>
      <x:c r="H6452" s="12" t="str">
        <x:v>Campus/portfolio roster; individual building occupancy unverified</x:v>
      </x:c>
      <x:c r="I6452" s="12" t="str">
        <x:v>Large enterprise</x:v>
      </x:c>
      <x:c r="J6452" s="12" t="str">
        <x:v>IT &amp; digital</x:v>
      </x:c>
      <x:c r="K6452" s="2" t="str">
        <x:v>PARTNER-M027</x:v>
      </x:c>
    </x:row>
    <x:row r="6453" ht="46" customHeight="1">
      <x:c r="A6453" s="2" t="str">
        <x:v>TEN-9636D9305A9A</x:v>
      </x:c>
      <x:c r="B6453" s="12" t="str">
        <x:v>Britannia Industries Limited</x:v>
      </x:c>
      <x:c r="C6453" s="12" t="str">
        <x:v>CORP-0450</x:v>
      </x:c>
      <x:c r="D6453" s="12" t="str">
        <x:v>Bengaluru</x:v>
      </x:c>
      <x:c r="E6453" s="12" t="str">
        <x:v>Prestige Shantiniketan</x:v>
      </x:c>
      <x:c r="F6453" s="12" t="str">
        <x:v>55 inch</x:v>
      </x:c>
      <x:c r="G6453" s="20" t="n">
        <x:v>1</x:v>
      </x:c>
      <x:c r="H6453" s="12" t="str">
        <x:v>Campus/portfolio roster; individual building occupancy unverified</x:v>
      </x:c>
      <x:c r="I6453" s="12" t="str">
        <x:v>Mixed business audience</x:v>
      </x:c>
      <x:c r="J6453" s="12" t="str">
        <x:v>Trade, consumer &amp; logistics</x:v>
      </x:c>
      <x:c r="K6453" s="2" t="str">
        <x:v>PARTNER-M027</x:v>
      </x:c>
    </x:row>
    <x:row r="6454" ht="46" customHeight="1">
      <x:c r="A6454" s="2" t="str">
        <x:v>TEN-985483497785</x:v>
      </x:c>
      <x:c r="B6454" s="12" t="str">
        <x:v>GE Healthcare</x:v>
      </x:c>
      <x:c r="C6454" s="12" t="str">
        <x:v>CORP-0450</x:v>
      </x:c>
      <x:c r="D6454" s="12" t="str">
        <x:v>Bengaluru</x:v>
      </x:c>
      <x:c r="E6454" s="12" t="str">
        <x:v>Prestige Shantiniketan</x:v>
      </x:c>
      <x:c r="F6454" s="12" t="str">
        <x:v>55 inch</x:v>
      </x:c>
      <x:c r="G6454" s="20" t="n">
        <x:v>1</x:v>
      </x:c>
      <x:c r="H6454" s="12" t="str">
        <x:v>Campus/portfolio roster; individual building occupancy unverified</x:v>
      </x:c>
      <x:c r="I6454" s="12" t="str">
        <x:v>Mixed business audience</x:v>
      </x:c>
      <x:c r="J6454" s="12" t="str">
        <x:v>Healthcare &amp; life sciences</x:v>
      </x:c>
      <x:c r="K6454" s="2" t="str">
        <x:v>PARTNER-M027</x:v>
      </x:c>
    </x:row>
    <x:row r="6455" ht="46" customHeight="1">
      <x:c r="A6455" s="2" t="str">
        <x:v>TEN-9987FF0A3CAC</x:v>
      </x:c>
      <x:c r="B6455" s="12" t="str">
        <x:v>Hindustan Unilever (UniOps business unit)</x:v>
      </x:c>
      <x:c r="C6455" s="12" t="str">
        <x:v>CORP-0450</x:v>
      </x:c>
      <x:c r="D6455" s="12" t="str">
        <x:v>Bengaluru</x:v>
      </x:c>
      <x:c r="E6455" s="12" t="str">
        <x:v>Prestige Shantiniketan</x:v>
      </x:c>
      <x:c r="F6455" s="12" t="str">
        <x:v>55 inch</x:v>
      </x:c>
      <x:c r="G6455" s="20" t="n">
        <x:v>1</x:v>
      </x:c>
      <x:c r="H6455" s="12" t="str">
        <x:v>Campus/portfolio roster; individual building occupancy unverified</x:v>
      </x:c>
      <x:c r="I6455" s="12" t="str">
        <x:v>Large enterprise</x:v>
      </x:c>
      <x:c r="J6455" s="12" t="str">
        <x:v>Trade, consumer &amp; logistics</x:v>
      </x:c>
      <x:c r="K6455" s="2" t="str">
        <x:v>PARTNER-M027</x:v>
      </x:c>
    </x:row>
    <x:row r="6456" ht="46" customHeight="1">
      <x:c r="A6456" s="2" t="str">
        <x:v>TEN-9CDD1B64DEF0</x:v>
      </x:c>
      <x:c r="B6456" s="12" t="str">
        <x:v>Optym India Private Limited</x:v>
      </x:c>
      <x:c r="C6456" s="12" t="str">
        <x:v>CORP-0450</x:v>
      </x:c>
      <x:c r="D6456" s="12" t="str">
        <x:v>Bengaluru</x:v>
      </x:c>
      <x:c r="E6456" s="12" t="str">
        <x:v>Prestige Shantiniketan</x:v>
      </x:c>
      <x:c r="F6456" s="12" t="str">
        <x:v>55 inch</x:v>
      </x:c>
      <x:c r="G6456" s="20" t="n">
        <x:v>1</x:v>
      </x:c>
      <x:c r="H6456" s="12" t="str">
        <x:v>Campus/portfolio roster; individual building occupancy unverified</x:v>
      </x:c>
      <x:c r="I6456" s="12" t="str">
        <x:v>Small-scale prospects</x:v>
      </x:c>
      <x:c r="J6456" s="12" t="str">
        <x:v>IT &amp; digital</x:v>
      </x:c>
      <x:c r="K6456" s="2" t="str">
        <x:v>PARTNER-M027</x:v>
      </x:c>
    </x:row>
    <x:row r="6457" ht="46" customHeight="1">
      <x:c r="A6457" s="2" t="str">
        <x:v>TEN-A7FC7DAF4DA4</x:v>
      </x:c>
      <x:c r="B6457" s="12" t="str">
        <x:v>Thermo Fisher Scientific</x:v>
      </x:c>
      <x:c r="C6457" s="12" t="str">
        <x:v>CORP-0450</x:v>
      </x:c>
      <x:c r="D6457" s="12" t="str">
        <x:v>Bengaluru</x:v>
      </x:c>
      <x:c r="E6457" s="12" t="str">
        <x:v>Prestige Shantiniketan</x:v>
      </x:c>
      <x:c r="F6457" s="12" t="str">
        <x:v>55 inch</x:v>
      </x:c>
      <x:c r="G6457" s="20" t="n">
        <x:v>1</x:v>
      </x:c>
      <x:c r="H6457" s="12" t="str">
        <x:v>Campus/portfolio roster; individual building occupancy unverified</x:v>
      </x:c>
      <x:c r="I6457" s="12" t="str">
        <x:v>Mixed business audience</x:v>
      </x:c>
      <x:c r="J6457" s="12" t="str">
        <x:v>Healthcare &amp; life sciences</x:v>
      </x:c>
      <x:c r="K6457" s="2" t="str">
        <x:v>PARTNER-M027</x:v>
      </x:c>
    </x:row>
    <x:row r="6458" ht="46" customHeight="1">
      <x:c r="A6458" s="2" t="str">
        <x:v>TEN-B877247CA363</x:v>
      </x:c>
      <x:c r="B6458" s="12" t="str">
        <x:v>Kaseya</x:v>
      </x:c>
      <x:c r="C6458" s="12" t="str">
        <x:v>CORP-0450</x:v>
      </x:c>
      <x:c r="D6458" s="12" t="str">
        <x:v>Bengaluru</x:v>
      </x:c>
      <x:c r="E6458" s="12" t="str">
        <x:v>Prestige Shantiniketan</x:v>
      </x:c>
      <x:c r="F6458" s="12" t="str">
        <x:v>55 inch</x:v>
      </x:c>
      <x:c r="G6458" s="20" t="n">
        <x:v>1</x:v>
      </x:c>
      <x:c r="H6458" s="12" t="str">
        <x:v>Campus/portfolio roster; individual building occupancy unverified</x:v>
      </x:c>
      <x:c r="I6458" s="12" t="str">
        <x:v>Mixed business audience</x:v>
      </x:c>
      <x:c r="J6458" s="12" t="str">
        <x:v>IT &amp; digital</x:v>
      </x:c>
      <x:c r="K6458" s="2" t="str">
        <x:v>PARTNER-M027</x:v>
      </x:c>
    </x:row>
    <x:row r="6459" ht="46" customHeight="1">
      <x:c r="A6459" s="2" t="str">
        <x:v>TEN-BA6AE2780CD4</x:v>
      </x:c>
      <x:c r="B6459" s="12" t="str">
        <x:v>Concentrix</x:v>
      </x:c>
      <x:c r="C6459" s="12" t="str">
        <x:v>CORP-0450</x:v>
      </x:c>
      <x:c r="D6459" s="12" t="str">
        <x:v>Bengaluru</x:v>
      </x:c>
      <x:c r="E6459" s="12" t="str">
        <x:v>Prestige Shantiniketan</x:v>
      </x:c>
      <x:c r="F6459" s="12" t="str">
        <x:v>55 inch</x:v>
      </x:c>
      <x:c r="G6459" s="20" t="n">
        <x:v>1</x:v>
      </x:c>
      <x:c r="H6459" s="12" t="str">
        <x:v>Campus/portfolio roster; individual building occupancy unverified</x:v>
      </x:c>
      <x:c r="I6459" s="12" t="str">
        <x:v>Large enterprise</x:v>
      </x:c>
      <x:c r="J6459" s="12" t="str">
        <x:v>IT &amp; digital</x:v>
      </x:c>
      <x:c r="K6459" s="2" t="str">
        <x:v>PARTNER-M027</x:v>
      </x:c>
    </x:row>
    <x:row r="6460" ht="46" customHeight="1">
      <x:c r="A6460" s="2" t="str">
        <x:v>TEN-BEE4F75D30E5</x:v>
      </x:c>
      <x:c r="B6460" s="12" t="str">
        <x:v>ICICI Bank</x:v>
      </x:c>
      <x:c r="C6460" s="12" t="str">
        <x:v>CORP-0450</x:v>
      </x:c>
      <x:c r="D6460" s="12" t="str">
        <x:v>Bengaluru</x:v>
      </x:c>
      <x:c r="E6460" s="12" t="str">
        <x:v>Prestige Shantiniketan</x:v>
      </x:c>
      <x:c r="F6460" s="12" t="str">
        <x:v>55 inch</x:v>
      </x:c>
      <x:c r="G6460" s="20" t="n">
        <x:v>1</x:v>
      </x:c>
      <x:c r="H6460" s="12" t="str">
        <x:v>Campus/portfolio roster; individual building occupancy unverified</x:v>
      </x:c>
      <x:c r="I6460" s="12" t="str">
        <x:v>Large enterprise</x:v>
      </x:c>
      <x:c r="J6460" s="12" t="str">
        <x:v>Finance &amp; insurance</x:v>
      </x:c>
      <x:c r="K6460" s="2" t="str">
        <x:v>PARTNER-M027</x:v>
      </x:c>
    </x:row>
    <x:row r="6461" ht="46" customHeight="1">
      <x:c r="A6461" s="2" t="str">
        <x:v>TEN-CCAF93725C39</x:v>
      </x:c>
      <x:c r="B6461" s="12" t="str">
        <x:v>India Document Solutions Private Ltd</x:v>
      </x:c>
      <x:c r="C6461" s="12" t="str">
        <x:v>CORP-0450</x:v>
      </x:c>
      <x:c r="D6461" s="12" t="str">
        <x:v>Bengaluru</x:v>
      </x:c>
      <x:c r="E6461" s="12" t="str">
        <x:v>Prestige Shantiniketan</x:v>
      </x:c>
      <x:c r="F6461" s="12" t="str">
        <x:v>55 inch</x:v>
      </x:c>
      <x:c r="G6461" s="20" t="n">
        <x:v>1</x:v>
      </x:c>
      <x:c r="H6461" s="12" t="str">
        <x:v>Campus/portfolio roster; individual building occupancy unverified</x:v>
      </x:c>
      <x:c r="I6461" s="12" t="str">
        <x:v>Mixed business audience</x:v>
      </x:c>
      <x:c r="J6461" s="12" t="str">
        <x:v>Unresolved</x:v>
      </x:c>
      <x:c r="K6461" s="2" t="str">
        <x:v>PARTNER-M027</x:v>
      </x:c>
    </x:row>
    <x:row r="6462" ht="46" customHeight="1">
      <x:c r="A6462" s="2" t="str">
        <x:v>TEN-D850894DB864</x:v>
      </x:c>
      <x:c r="B6462" s="12" t="str">
        <x:v>Rockstar Games India</x:v>
      </x:c>
      <x:c r="C6462" s="12" t="str">
        <x:v>CORP-0450</x:v>
      </x:c>
      <x:c r="D6462" s="12" t="str">
        <x:v>Bengaluru</x:v>
      </x:c>
      <x:c r="E6462" s="12" t="str">
        <x:v>Prestige Shantiniketan</x:v>
      </x:c>
      <x:c r="F6462" s="12" t="str">
        <x:v>55 inch</x:v>
      </x:c>
      <x:c r="G6462" s="20" t="n">
        <x:v>1</x:v>
      </x:c>
      <x:c r="H6462" s="12" t="str">
        <x:v>Campus/portfolio roster; individual building occupancy unverified</x:v>
      </x:c>
      <x:c r="I6462" s="12" t="str">
        <x:v>Mixed business audience</x:v>
      </x:c>
      <x:c r="J6462" s="12" t="str">
        <x:v>Trade, consumer &amp; logistics</x:v>
      </x:c>
      <x:c r="K6462" s="2" t="str">
        <x:v>PARTNER-M027</x:v>
      </x:c>
    </x:row>
    <x:row r="6463" ht="46" customHeight="1">
      <x:c r="A6463" s="2" t="str">
        <x:v>TEN-D860D87EBCF5</x:v>
      </x:c>
      <x:c r="B6463" s="12" t="str">
        <x:v>Synapse Techno Design Innovations Private Limited</x:v>
      </x:c>
      <x:c r="C6463" s="12" t="str">
        <x:v>CORP-0450</x:v>
      </x:c>
      <x:c r="D6463" s="12" t="str">
        <x:v>Bengaluru</x:v>
      </x:c>
      <x:c r="E6463" s="12" t="str">
        <x:v>Prestige Shantiniketan</x:v>
      </x:c>
      <x:c r="F6463" s="12" t="str">
        <x:v>55 inch</x:v>
      </x:c>
      <x:c r="G6463" s="20" t="n">
        <x:v>1</x:v>
      </x:c>
      <x:c r="H6463" s="12" t="str">
        <x:v>Campus/portfolio roster; individual building occupancy unverified</x:v>
      </x:c>
      <x:c r="I6463" s="12" t="str">
        <x:v>Small-scale prospects</x:v>
      </x:c>
      <x:c r="J6463" s="12" t="str">
        <x:v>IT &amp; digital</x:v>
      </x:c>
      <x:c r="K6463" s="2" t="str">
        <x:v>PARTNER-M027</x:v>
      </x:c>
    </x:row>
    <x:row r="6464" ht="46" customHeight="1">
      <x:c r="A6464" s="2" t="str">
        <x:v>TEN-DF4521B8C430</x:v>
      </x:c>
      <x:c r="B6464" s="12" t="str">
        <x:v>Nielsen Sports</x:v>
      </x:c>
      <x:c r="C6464" s="12" t="str">
        <x:v>CORP-0450</x:v>
      </x:c>
      <x:c r="D6464" s="12" t="str">
        <x:v>Bengaluru</x:v>
      </x:c>
      <x:c r="E6464" s="12" t="str">
        <x:v>Prestige Shantiniketan</x:v>
      </x:c>
      <x:c r="F6464" s="12" t="str">
        <x:v>55 inch</x:v>
      </x:c>
      <x:c r="G6464" s="20" t="n">
        <x:v>1</x:v>
      </x:c>
      <x:c r="H6464" s="12" t="str">
        <x:v>Campus/portfolio roster; individual building occupancy unverified</x:v>
      </x:c>
      <x:c r="I6464" s="12" t="str">
        <x:v>Mixed business audience</x:v>
      </x:c>
      <x:c r="J6464" s="12" t="str">
        <x:v>Professional services</x:v>
      </x:c>
      <x:c r="K6464" s="2" t="str">
        <x:v>PARTNER-M027</x:v>
      </x:c>
    </x:row>
    <x:row r="6465" ht="46" customHeight="1">
      <x:c r="A6465" s="2" t="str">
        <x:v>TEN-E23305C78818</x:v>
      </x:c>
      <x:c r="B6465" s="12" t="str">
        <x:v>Baxter Innovations &amp; Business Solutions Pvt Ltd</x:v>
      </x:c>
      <x:c r="C6465" s="12" t="str">
        <x:v>CORP-0450</x:v>
      </x:c>
      <x:c r="D6465" s="12" t="str">
        <x:v>Bengaluru</x:v>
      </x:c>
      <x:c r="E6465" s="12" t="str">
        <x:v>Prestige Shantiniketan</x:v>
      </x:c>
      <x:c r="F6465" s="12" t="str">
        <x:v>55 inch</x:v>
      </x:c>
      <x:c r="G6465" s="20" t="n">
        <x:v>1</x:v>
      </x:c>
      <x:c r="H6465" s="12" t="str">
        <x:v>Campus/portfolio roster; individual building occupancy unverified</x:v>
      </x:c>
      <x:c r="I6465" s="12" t="str">
        <x:v>Mixed business audience</x:v>
      </x:c>
      <x:c r="J6465" s="12" t="str">
        <x:v>Healthcare &amp; life sciences</x:v>
      </x:c>
      <x:c r="K6465" s="2" t="str">
        <x:v>PARTNER-M027</x:v>
      </x:c>
    </x:row>
    <x:row r="6466" ht="46" customHeight="1">
      <x:c r="A6466" s="2" t="str">
        <x:v>TEN-E517F4484EEE</x:v>
      </x:c>
      <x:c r="B6466" s="12" t="str">
        <x:v>CapRelo Mobility India Private Limited</x:v>
      </x:c>
      <x:c r="C6466" s="12" t="str">
        <x:v>CORP-0450</x:v>
      </x:c>
      <x:c r="D6466" s="12" t="str">
        <x:v>Bengaluru</x:v>
      </x:c>
      <x:c r="E6466" s="12" t="str">
        <x:v>Prestige Shantiniketan</x:v>
      </x:c>
      <x:c r="F6466" s="12" t="str">
        <x:v>55 inch</x:v>
      </x:c>
      <x:c r="G6466" s="20" t="n">
        <x:v>1</x:v>
      </x:c>
      <x:c r="H6466" s="12" t="str">
        <x:v>Campus/portfolio roster; individual building occupancy unverified</x:v>
      </x:c>
      <x:c r="I6466" s="12" t="str">
        <x:v>Mixed business audience</x:v>
      </x:c>
      <x:c r="J6466" s="12" t="str">
        <x:v>Professional services</x:v>
      </x:c>
      <x:c r="K6466" s="2" t="str">
        <x:v>PARTNER-M027</x:v>
      </x:c>
    </x:row>
    <x:row r="6467" ht="46" customHeight="1">
      <x:c r="A6467" s="2" t="str">
        <x:v>TEN-E88697226669</x:v>
      </x:c>
      <x:c r="B6467" s="12" t="str">
        <x:v>Elocity Technologies India Private Limited</x:v>
      </x:c>
      <x:c r="C6467" s="12" t="str">
        <x:v>CORP-0450</x:v>
      </x:c>
      <x:c r="D6467" s="12" t="str">
        <x:v>Bengaluru</x:v>
      </x:c>
      <x:c r="E6467" s="12" t="str">
        <x:v>Prestige Shantiniketan</x:v>
      </x:c>
      <x:c r="F6467" s="12" t="str">
        <x:v>55 inch</x:v>
      </x:c>
      <x:c r="G6467" s="20" t="n">
        <x:v>1</x:v>
      </x:c>
      <x:c r="H6467" s="12" t="str">
        <x:v>Campus/portfolio roster; individual building occupancy unverified</x:v>
      </x:c>
      <x:c r="I6467" s="12" t="str">
        <x:v>Mixed business audience</x:v>
      </x:c>
      <x:c r="J6467" s="12" t="str">
        <x:v>Unresolved</x:v>
      </x:c>
      <x:c r="K6467" s="2" t="str">
        <x:v>PARTNER-M027</x:v>
      </x:c>
    </x:row>
    <x:row r="6468" ht="46" customHeight="1">
      <x:c r="A6468" s="2" t="str">
        <x:v>TEN-EE0CA20290EC</x:v>
      </x:c>
      <x:c r="B6468" s="12" t="str">
        <x:v>MEDTRONIC</x:v>
      </x:c>
      <x:c r="C6468" s="12" t="str">
        <x:v>CORP-0450</x:v>
      </x:c>
      <x:c r="D6468" s="12" t="str">
        <x:v>Bengaluru</x:v>
      </x:c>
      <x:c r="E6468" s="12" t="str">
        <x:v>Prestige Shantiniketan</x:v>
      </x:c>
      <x:c r="F6468" s="12" t="str">
        <x:v>55 inch</x:v>
      </x:c>
      <x:c r="G6468" s="20" t="n">
        <x:v>1</x:v>
      </x:c>
      <x:c r="H6468" s="12" t="str">
        <x:v>Campus/portfolio roster; individual building occupancy unverified</x:v>
      </x:c>
      <x:c r="I6468" s="12" t="str">
        <x:v>Mixed business audience</x:v>
      </x:c>
      <x:c r="J6468" s="12" t="str">
        <x:v>Healthcare &amp; life sciences</x:v>
      </x:c>
      <x:c r="K6468" s="2" t="str">
        <x:v>PARTNER-M027</x:v>
      </x:c>
    </x:row>
    <x:row r="6469" ht="46" customHeight="1">
      <x:c r="A6469" s="2" t="str">
        <x:v>TEN-FECD2DA15F6C</x:v>
      </x:c>
      <x:c r="B6469" s="12" t="str">
        <x:v>Flowserve Global Technology &amp; Engineering Center (GTEC)</x:v>
      </x:c>
      <x:c r="C6469" s="12" t="str">
        <x:v>CORP-0450</x:v>
      </x:c>
      <x:c r="D6469" s="12" t="str">
        <x:v>Bengaluru</x:v>
      </x:c>
      <x:c r="E6469" s="12" t="str">
        <x:v>Prestige Shantiniketan</x:v>
      </x:c>
      <x:c r="F6469" s="12" t="str">
        <x:v>55 inch</x:v>
      </x:c>
      <x:c r="G6469" s="20" t="n">
        <x:v>1</x:v>
      </x:c>
      <x:c r="H6469" s="12" t="str">
        <x:v>Campus/portfolio roster; individual building occupancy unverified</x:v>
      </x:c>
      <x:c r="I6469" s="12" t="str">
        <x:v>Mixed business audience</x:v>
      </x:c>
      <x:c r="J6469" s="12" t="str">
        <x:v>Engineering &amp; manufacturing</x:v>
      </x:c>
      <x:c r="K6469" s="2" t="str">
        <x:v>PARTNER-M027</x:v>
      </x:c>
    </x:row>
    <x:row r="6470" ht="46" customHeight="1">
      <x:c r="A6470" s="2" t="str">
        <x:v>TEN-01DFE5E03500</x:v>
      </x:c>
      <x:c r="B6470" s="12" t="str">
        <x:v>QAssure Technologies India Pvt Ltd</x:v>
      </x:c>
      <x:c r="C6470" s="12" t="str">
        <x:v>CORP-0765</x:v>
      </x:c>
      <x:c r="D6470" s="12" t="str">
        <x:v>Chennai</x:v>
      </x:c>
      <x:c r="E6470" s="12" t="str">
        <x:v>Prince Infopark</x:v>
      </x:c>
      <x:c r="F6470" s="12" t="str">
        <x:v>55 inch</x:v>
      </x:c>
      <x:c r="G6470" s="20" t="n">
        <x:v>1</x:v>
      </x:c>
      <x:c r="H6470" s="12" t="str">
        <x:v>Campus/portfolio roster; individual building occupancy unverified</x:v>
      </x:c>
      <x:c r="I6470" s="12" t="str">
        <x:v>Small-scale prospects</x:v>
      </x:c>
      <x:c r="J6470" s="12" t="str">
        <x:v>IT &amp; digital</x:v>
      </x:c>
      <x:c r="K6470" s="2" t="str">
        <x:v>PARTNER-M350</x:v>
      </x:c>
    </x:row>
    <x:row r="6471" ht="46" customHeight="1">
      <x:c r="A6471" s="2" t="str">
        <x:v>TEN-08D2EE4FF19C</x:v>
      </x:c>
      <x:c r="B6471" s="12" t="str">
        <x:v>BICS Global</x:v>
      </x:c>
      <x:c r="C6471" s="12" t="str">
        <x:v>CORP-0765</x:v>
      </x:c>
      <x:c r="D6471" s="12" t="str">
        <x:v>Chennai</x:v>
      </x:c>
      <x:c r="E6471" s="12" t="str">
        <x:v>Prince Infopark</x:v>
      </x:c>
      <x:c r="F6471" s="12" t="str">
        <x:v>55 inch</x:v>
      </x:c>
      <x:c r="G6471" s="20" t="n">
        <x:v>1</x:v>
      </x:c>
      <x:c r="H6471" s="12" t="str">
        <x:v>Campus/portfolio roster; individual building occupancy unverified</x:v>
      </x:c>
      <x:c r="I6471" s="12" t="str">
        <x:v>Mixed business audience</x:v>
      </x:c>
      <x:c r="J6471" s="12" t="str">
        <x:v>IT &amp; digital</x:v>
      </x:c>
      <x:c r="K6471" s="2" t="str">
        <x:v>PARTNER-M350</x:v>
      </x:c>
    </x:row>
    <x:row r="6472" ht="46" customHeight="1">
      <x:c r="A6472" s="2" t="str">
        <x:v>TEN-254BC0A18FC5</x:v>
      </x:c>
      <x:c r="B6472" s="12" t="str">
        <x:v>RP Telebuy Skyshop Private Limited</x:v>
      </x:c>
      <x:c r="C6472" s="12" t="str">
        <x:v>CORP-0765</x:v>
      </x:c>
      <x:c r="D6472" s="12" t="str">
        <x:v>Chennai</x:v>
      </x:c>
      <x:c r="E6472" s="12" t="str">
        <x:v>Prince Infopark</x:v>
      </x:c>
      <x:c r="F6472" s="12" t="str">
        <x:v>55 inch</x:v>
      </x:c>
      <x:c r="G6472" s="20" t="n">
        <x:v>1</x:v>
      </x:c>
      <x:c r="H6472" s="12" t="str">
        <x:v>Campus/portfolio roster; individual building occupancy unverified</x:v>
      </x:c>
      <x:c r="I6472" s="12" t="str">
        <x:v>Small-scale prospects</x:v>
      </x:c>
      <x:c r="J6472" s="12" t="str">
        <x:v>Trade, consumer &amp; logistics</x:v>
      </x:c>
      <x:c r="K6472" s="2" t="str">
        <x:v>PARTNER-M350</x:v>
      </x:c>
    </x:row>
    <x:row r="6473" ht="46" customHeight="1">
      <x:c r="A6473" s="2" t="str">
        <x:v>TEN-3D167F220E41</x:v>
      </x:c>
      <x:c r="B6473" s="12" t="str">
        <x:v>XCEL Corp</x:v>
      </x:c>
      <x:c r="C6473" s="12" t="str">
        <x:v>CORP-0765</x:v>
      </x:c>
      <x:c r="D6473" s="12" t="str">
        <x:v>Chennai</x:v>
      </x:c>
      <x:c r="E6473" s="12" t="str">
        <x:v>Prince Infopark</x:v>
      </x:c>
      <x:c r="F6473" s="12" t="str">
        <x:v>55 inch</x:v>
      </x:c>
      <x:c r="G6473" s="20" t="n">
        <x:v>1</x:v>
      </x:c>
      <x:c r="H6473" s="12" t="str">
        <x:v>Campus/portfolio roster; individual building occupancy unverified</x:v>
      </x:c>
      <x:c r="I6473" s="12" t="str">
        <x:v>Mixed business audience</x:v>
      </x:c>
      <x:c r="J6473" s="12" t="str">
        <x:v>Unresolved</x:v>
      </x:c>
      <x:c r="K6473" s="2" t="str">
        <x:v>PARTNER-M350</x:v>
      </x:c>
    </x:row>
    <x:row r="6474" ht="46" customHeight="1">
      <x:c r="A6474" s="2" t="str">
        <x:v>TEN-5A5035480186</x:v>
      </x:c>
      <x:c r="B6474" s="12" t="str">
        <x:v>Blackstone Group Tech Private Limited</x:v>
      </x:c>
      <x:c r="C6474" s="12" t="str">
        <x:v>CORP-0765</x:v>
      </x:c>
      <x:c r="D6474" s="12" t="str">
        <x:v>Chennai</x:v>
      </x:c>
      <x:c r="E6474" s="12" t="str">
        <x:v>Prince Infopark</x:v>
      </x:c>
      <x:c r="F6474" s="12" t="str">
        <x:v>55 inch</x:v>
      </x:c>
      <x:c r="G6474" s="20" t="n">
        <x:v>1</x:v>
      </x:c>
      <x:c r="H6474" s="12" t="str">
        <x:v>Campus/portfolio roster; individual building occupancy unverified</x:v>
      </x:c>
      <x:c r="I6474" s="12" t="str">
        <x:v>Mixed business audience</x:v>
      </x:c>
      <x:c r="J6474" s="12" t="str">
        <x:v>IT &amp; digital</x:v>
      </x:c>
      <x:c r="K6474" s="2" t="str">
        <x:v>PARTNER-M350</x:v>
      </x:c>
    </x:row>
    <x:row r="6475" ht="46" customHeight="1">
      <x:c r="A6475" s="2" t="str">
        <x:v>TEN-68D85C0A07A9</x:v>
      </x:c>
      <x:c r="B6475" s="12" t="str">
        <x:v>Access Healthcare</x:v>
      </x:c>
      <x:c r="C6475" s="12" t="str">
        <x:v>CORP-0765</x:v>
      </x:c>
      <x:c r="D6475" s="12" t="str">
        <x:v>Chennai</x:v>
      </x:c>
      <x:c r="E6475" s="12" t="str">
        <x:v>Prince Infopark</x:v>
      </x:c>
      <x:c r="F6475" s="12" t="str">
        <x:v>55 inch</x:v>
      </x:c>
      <x:c r="G6475" s="20" t="n">
        <x:v>1</x:v>
      </x:c>
      <x:c r="H6475" s="12" t="str">
        <x:v>Campus/portfolio roster; individual building occupancy unverified</x:v>
      </x:c>
      <x:c r="I6475" s="12" t="str">
        <x:v>Mixed business audience</x:v>
      </x:c>
      <x:c r="J6475" s="12" t="str">
        <x:v>Healthcare &amp; life sciences</x:v>
      </x:c>
      <x:c r="K6475" s="2" t="str">
        <x:v>PARTNER-M350</x:v>
      </x:c>
    </x:row>
    <x:row r="6476" ht="46" customHeight="1">
      <x:c r="A6476" s="2" t="str">
        <x:v>TEN-7DCE55C572CC</x:v>
      </x:c>
      <x:c r="B6476" s="12" t="str">
        <x:v>GAMMA Process Hub India Ltd</x:v>
      </x:c>
      <x:c r="C6476" s="12" t="str">
        <x:v>CORP-0765</x:v>
      </x:c>
      <x:c r="D6476" s="12" t="str">
        <x:v>Chennai</x:v>
      </x:c>
      <x:c r="E6476" s="12" t="str">
        <x:v>Prince Infopark</x:v>
      </x:c>
      <x:c r="F6476" s="12" t="str">
        <x:v>55 inch</x:v>
      </x:c>
      <x:c r="G6476" s="20" t="n">
        <x:v>1</x:v>
      </x:c>
      <x:c r="H6476" s="12" t="str">
        <x:v>Campus/portfolio roster; individual building occupancy unverified</x:v>
      </x:c>
      <x:c r="I6476" s="12" t="str">
        <x:v>Mixed business audience</x:v>
      </x:c>
      <x:c r="J6476" s="12" t="str">
        <x:v>Unresolved</x:v>
      </x:c>
      <x:c r="K6476" s="2" t="str">
        <x:v>PARTNER-M350</x:v>
      </x:c>
    </x:row>
    <x:row r="6477" ht="46" customHeight="1">
      <x:c r="A6477" s="2" t="str">
        <x:v>TEN-8C1ED08A337E</x:v>
      </x:c>
      <x:c r="B6477" s="12" t="str">
        <x:v>Vakilsearch</x:v>
      </x:c>
      <x:c r="C6477" s="12" t="str">
        <x:v>CORP-0765</x:v>
      </x:c>
      <x:c r="D6477" s="12" t="str">
        <x:v>Chennai</x:v>
      </x:c>
      <x:c r="E6477" s="12" t="str">
        <x:v>Prince Infopark</x:v>
      </x:c>
      <x:c r="F6477" s="12" t="str">
        <x:v>55 inch</x:v>
      </x:c>
      <x:c r="G6477" s="20" t="n">
        <x:v>1</x:v>
      </x:c>
      <x:c r="H6477" s="12" t="str">
        <x:v>Campus/portfolio roster; individual building occupancy unverified</x:v>
      </x:c>
      <x:c r="I6477" s="12" t="str">
        <x:v>Small-scale prospects</x:v>
      </x:c>
      <x:c r="J6477" s="12" t="str">
        <x:v>IT &amp; digital</x:v>
      </x:c>
      <x:c r="K6477" s="2" t="str">
        <x:v>PARTNER-M350</x:v>
      </x:c>
    </x:row>
    <x:row r="6478" ht="46" customHeight="1">
      <x:c r="A6478" s="2" t="str">
        <x:v>TEN-B810D11F7B55</x:v>
      </x:c>
      <x:c r="B6478" s="12" t="str">
        <x:v>Zamil Steel Buildings India Pvt Ltd</x:v>
      </x:c>
      <x:c r="C6478" s="12" t="str">
        <x:v>CORP-0765</x:v>
      </x:c>
      <x:c r="D6478" s="12" t="str">
        <x:v>Chennai</x:v>
      </x:c>
      <x:c r="E6478" s="12" t="str">
        <x:v>Prince Infopark</x:v>
      </x:c>
      <x:c r="F6478" s="12" t="str">
        <x:v>55 inch</x:v>
      </x:c>
      <x:c r="G6478" s="20" t="n">
        <x:v>1</x:v>
      </x:c>
      <x:c r="H6478" s="12" t="str">
        <x:v>Campus/portfolio roster; individual building occupancy unverified</x:v>
      </x:c>
      <x:c r="I6478" s="12" t="str">
        <x:v>Mixed business audience</x:v>
      </x:c>
      <x:c r="J6478" s="12" t="str">
        <x:v>Engineering &amp; manufacturing</x:v>
      </x:c>
      <x:c r="K6478" s="2" t="str">
        <x:v>PARTNER-M350</x:v>
      </x:c>
    </x:row>
    <x:row r="6479" ht="46" customHeight="1">
      <x:c r="A6479" s="2" t="str">
        <x:v>TEN-BB8FEC9419FA</x:v>
      </x:c>
      <x:c r="B6479" s="12" t="str">
        <x:v>Serco</x:v>
      </x:c>
      <x:c r="C6479" s="12" t="str">
        <x:v>CORP-0765</x:v>
      </x:c>
      <x:c r="D6479" s="12" t="str">
        <x:v>Chennai</x:v>
      </x:c>
      <x:c r="E6479" s="12" t="str">
        <x:v>Prince Infopark</x:v>
      </x:c>
      <x:c r="F6479" s="12" t="str">
        <x:v>55 inch</x:v>
      </x:c>
      <x:c r="G6479" s="20" t="n">
        <x:v>1</x:v>
      </x:c>
      <x:c r="H6479" s="12" t="str">
        <x:v>Campus/portfolio roster; individual building occupancy unverified</x:v>
      </x:c>
      <x:c r="I6479" s="12" t="str">
        <x:v>Mixed business audience</x:v>
      </x:c>
      <x:c r="J6479" s="12" t="str">
        <x:v>Unresolved</x:v>
      </x:c>
      <x:c r="K6479" s="2" t="str">
        <x:v>PARTNER-M350</x:v>
      </x:c>
    </x:row>
    <x:row r="6480" ht="46" customHeight="1">
      <x:c r="A6480" s="2" t="str">
        <x:v>TEN-D86E0B0A416E</x:v>
      </x:c>
      <x:c r="B6480" s="12" t="str">
        <x:v>Logic Information Systems</x:v>
      </x:c>
      <x:c r="C6480" s="12" t="str">
        <x:v>CORP-0765</x:v>
      </x:c>
      <x:c r="D6480" s="12" t="str">
        <x:v>Chennai</x:v>
      </x:c>
      <x:c r="E6480" s="12" t="str">
        <x:v>Prince Infopark</x:v>
      </x:c>
      <x:c r="F6480" s="12" t="str">
        <x:v>55 inch</x:v>
      </x:c>
      <x:c r="G6480" s="20" t="n">
        <x:v>1</x:v>
      </x:c>
      <x:c r="H6480" s="12" t="str">
        <x:v>Campus/portfolio roster; individual building occupancy unverified</x:v>
      </x:c>
      <x:c r="I6480" s="12" t="str">
        <x:v>Small-scale prospects</x:v>
      </x:c>
      <x:c r="J6480" s="12" t="str">
        <x:v>IT &amp; digital</x:v>
      </x:c>
      <x:c r="K6480" s="2" t="str">
        <x:v>PARTNER-M350</x:v>
      </x:c>
    </x:row>
    <x:row r="6481" ht="46" customHeight="1">
      <x:c r="A6481" s="2" t="str">
        <x:v>TEN-DF9748595865</x:v>
      </x:c>
      <x:c r="B6481" s="12" t="str">
        <x:v>Datamark Inc</x:v>
      </x:c>
      <x:c r="C6481" s="12" t="str">
        <x:v>CORP-0765</x:v>
      </x:c>
      <x:c r="D6481" s="12" t="str">
        <x:v>Chennai</x:v>
      </x:c>
      <x:c r="E6481" s="12" t="str">
        <x:v>Prince Infopark</x:v>
      </x:c>
      <x:c r="F6481" s="12" t="str">
        <x:v>55 inch</x:v>
      </x:c>
      <x:c r="G6481" s="20" t="n">
        <x:v>1</x:v>
      </x:c>
      <x:c r="H6481" s="12" t="str">
        <x:v>Campus/portfolio roster; individual building occupancy unverified</x:v>
      </x:c>
      <x:c r="I6481" s="12" t="str">
        <x:v>Mixed business audience</x:v>
      </x:c>
      <x:c r="J6481" s="12" t="str">
        <x:v>IT &amp; digital</x:v>
      </x:c>
      <x:c r="K6481" s="2" t="str">
        <x:v>PARTNER-M350</x:v>
      </x:c>
    </x:row>
    <x:row r="6482" ht="46" customHeight="1">
      <x:c r="A6482" s="2" t="str">
        <x:v>TEN-427F056730B2</x:v>
      </x:c>
      <x:c r="B6482" s="12" t="str">
        <x:v>Nirvasa Healthcare</x:v>
      </x:c>
      <x:c r="C6482" s="12" t="str">
        <x:v>CORP-0766</x:v>
      </x:c>
      <x:c r="D6482" s="12" t="str">
        <x:v>Delhi NCR</x:v>
      </x:c>
      <x:c r="E6482" s="12" t="str">
        <x:v>iLabs Info Technology Center</x:v>
      </x:c>
      <x:c r="F6482" s="12" t="str">
        <x:v>55 inch</x:v>
      </x:c>
      <x:c r="G6482" s="20" t="n">
        <x:v>1</x:v>
      </x:c>
      <x:c r="H6482" s="12" t="str">
        <x:v>Campus/portfolio roster; individual building occupancy unverified</x:v>
      </x:c>
      <x:c r="I6482" s="12" t="str">
        <x:v>Small-scale prospects</x:v>
      </x:c>
      <x:c r="J6482" s="12" t="str">
        <x:v>Healthcare &amp; life sciences</x:v>
      </x:c>
      <x:c r="K6482" s="2" t="str">
        <x:v>PARTNER-M353</x:v>
      </x:c>
    </x:row>
    <x:row r="6483" ht="46" customHeight="1">
      <x:c r="A6483" s="2" t="str">
        <x:v>TEN-48ED1FD35C3C</x:v>
      </x:c>
      <x:c r="B6483" s="12" t="str">
        <x:v>SS Innovations Private Limited</x:v>
      </x:c>
      <x:c r="C6483" s="12" t="str">
        <x:v>CORP-0766</x:v>
      </x:c>
      <x:c r="D6483" s="12" t="str">
        <x:v>Delhi NCR</x:v>
      </x:c>
      <x:c r="E6483" s="12" t="str">
        <x:v>iLabs Info Technology Center</x:v>
      </x:c>
      <x:c r="F6483" s="12" t="str">
        <x:v>55 inch</x:v>
      </x:c>
      <x:c r="G6483" s="20" t="n">
        <x:v>1</x:v>
      </x:c>
      <x:c r="H6483" s="12" t="str">
        <x:v>Campus/portfolio roster; individual building occupancy unverified</x:v>
      </x:c>
      <x:c r="I6483" s="12" t="str">
        <x:v>Medium-scale prospects</x:v>
      </x:c>
      <x:c r="J6483" s="12" t="str">
        <x:v>Healthcare &amp; life sciences</x:v>
      </x:c>
      <x:c r="K6483" s="2" t="str">
        <x:v>PARTNER-M353</x:v>
      </x:c>
    </x:row>
    <x:row r="6484" ht="46" customHeight="1">
      <x:c r="A6484" s="2" t="str">
        <x:v>TEN-52E9D79221AA</x:v>
      </x:c>
      <x:c r="B6484" s="12" t="str">
        <x:v>Kellton</x:v>
      </x:c>
      <x:c r="C6484" s="12" t="str">
        <x:v>CORP-0766</x:v>
      </x:c>
      <x:c r="D6484" s="12" t="str">
        <x:v>Delhi NCR</x:v>
      </x:c>
      <x:c r="E6484" s="12" t="str">
        <x:v>iLabs Info Technology Center</x:v>
      </x:c>
      <x:c r="F6484" s="12" t="str">
        <x:v>55 inch</x:v>
      </x:c>
      <x:c r="G6484" s="20" t="n">
        <x:v>1</x:v>
      </x:c>
      <x:c r="H6484" s="12" t="str">
        <x:v>Campus/portfolio roster; individual building occupancy unverified</x:v>
      </x:c>
      <x:c r="I6484" s="12" t="str">
        <x:v>Mixed business audience</x:v>
      </x:c>
      <x:c r="J6484" s="12" t="str">
        <x:v>IT &amp; digital</x:v>
      </x:c>
      <x:c r="K6484" s="2" t="str">
        <x:v>PARTNER-M353</x:v>
      </x:c>
    </x:row>
    <x:row r="6485" ht="46" customHeight="1">
      <x:c r="A6485" s="2" t="str">
        <x:v>TEN-982D8CD25EC5</x:v>
      </x:c>
      <x:c r="B6485" s="12" t="str">
        <x:v>TaskUs Mystiqa</x:v>
      </x:c>
      <x:c r="C6485" s="12" t="str">
        <x:v>CORP-0766</x:v>
      </x:c>
      <x:c r="D6485" s="12" t="str">
        <x:v>Delhi NCR</x:v>
      </x:c>
      <x:c r="E6485" s="12" t="str">
        <x:v>iLabs Info Technology Center</x:v>
      </x:c>
      <x:c r="F6485" s="12" t="str">
        <x:v>55 inch</x:v>
      </x:c>
      <x:c r="G6485" s="20" t="n">
        <x:v>1</x:v>
      </x:c>
      <x:c r="H6485" s="12" t="str">
        <x:v>Campus/portfolio roster; individual building occupancy unverified</x:v>
      </x:c>
      <x:c r="I6485" s="12" t="str">
        <x:v>Mixed business audience</x:v>
      </x:c>
      <x:c r="J6485" s="12" t="str">
        <x:v>IT &amp; digital</x:v>
      </x:c>
      <x:c r="K6485" s="2" t="str">
        <x:v>PARTNER-M353</x:v>
      </x:c>
    </x:row>
    <x:row r="6486" ht="46" customHeight="1">
      <x:c r="A6486" s="2" t="str">
        <x:v>TEN-D5D133305413</x:v>
      </x:c>
      <x:c r="B6486" s="12" t="str">
        <x:v>Robosurg MedTech Pvt Ltd</x:v>
      </x:c>
      <x:c r="C6486" s="12" t="str">
        <x:v>CORP-0766</x:v>
      </x:c>
      <x:c r="D6486" s="12" t="str">
        <x:v>Delhi NCR</x:v>
      </x:c>
      <x:c r="E6486" s="12" t="str">
        <x:v>iLabs Info Technology Center</x:v>
      </x:c>
      <x:c r="F6486" s="12" t="str">
        <x:v>55 inch</x:v>
      </x:c>
      <x:c r="G6486" s="20" t="n">
        <x:v>1</x:v>
      </x:c>
      <x:c r="H6486" s="12" t="str">
        <x:v>Campus/portfolio roster; individual building occupancy unverified</x:v>
      </x:c>
      <x:c r="I6486" s="12" t="str">
        <x:v>Small-scale prospects</x:v>
      </x:c>
      <x:c r="J6486" s="12" t="str">
        <x:v>Healthcare &amp; life sciences</x:v>
      </x:c>
      <x:c r="K6486" s="2" t="str">
        <x:v>PARTNER-M353</x:v>
      </x:c>
    </x:row>
    <x:row r="6487" ht="46" customHeight="1">
      <x:c r="A6487" s="2" t="str">
        <x:v>TEN-427F056730B2</x:v>
      </x:c>
      <x:c r="B6487" s="12" t="str">
        <x:v>Nirvasa Healthcare</x:v>
      </x:c>
      <x:c r="C6487" s="12" t="str">
        <x:v>CORP-0767</x:v>
      </x:c>
      <x:c r="D6487" s="12" t="str">
        <x:v>Delhi NCR</x:v>
      </x:c>
      <x:c r="E6487" s="12" t="str">
        <x:v>iLabs Info Technology Center</x:v>
      </x:c>
      <x:c r="F6487" s="12" t="str">
        <x:v>55 inch</x:v>
      </x:c>
      <x:c r="G6487" s="20" t="n">
        <x:v>1</x:v>
      </x:c>
      <x:c r="H6487" s="12" t="str">
        <x:v>Campus/portfolio roster; individual building occupancy unverified</x:v>
      </x:c>
      <x:c r="I6487" s="12" t="str">
        <x:v>Small-scale prospects</x:v>
      </x:c>
      <x:c r="J6487" s="12" t="str">
        <x:v>Healthcare &amp; life sciences</x:v>
      </x:c>
      <x:c r="K6487" s="2" t="str">
        <x:v>PARTNER-M353</x:v>
      </x:c>
    </x:row>
    <x:row r="6488" ht="46" customHeight="1">
      <x:c r="A6488" s="2" t="str">
        <x:v>TEN-48ED1FD35C3C</x:v>
      </x:c>
      <x:c r="B6488" s="12" t="str">
        <x:v>SS Innovations Private Limited</x:v>
      </x:c>
      <x:c r="C6488" s="12" t="str">
        <x:v>CORP-0767</x:v>
      </x:c>
      <x:c r="D6488" s="12" t="str">
        <x:v>Delhi NCR</x:v>
      </x:c>
      <x:c r="E6488" s="12" t="str">
        <x:v>iLabs Info Technology Center</x:v>
      </x:c>
      <x:c r="F6488" s="12" t="str">
        <x:v>55 inch</x:v>
      </x:c>
      <x:c r="G6488" s="20" t="n">
        <x:v>1</x:v>
      </x:c>
      <x:c r="H6488" s="12" t="str">
        <x:v>Campus/portfolio roster; individual building occupancy unverified</x:v>
      </x:c>
      <x:c r="I6488" s="12" t="str">
        <x:v>Medium-scale prospects</x:v>
      </x:c>
      <x:c r="J6488" s="12" t="str">
        <x:v>Healthcare &amp; life sciences</x:v>
      </x:c>
      <x:c r="K6488" s="2" t="str">
        <x:v>PARTNER-M353</x:v>
      </x:c>
    </x:row>
    <x:row r="6489" ht="46" customHeight="1">
      <x:c r="A6489" s="2" t="str">
        <x:v>TEN-52E9D79221AA</x:v>
      </x:c>
      <x:c r="B6489" s="12" t="str">
        <x:v>Kellton</x:v>
      </x:c>
      <x:c r="C6489" s="12" t="str">
        <x:v>CORP-0767</x:v>
      </x:c>
      <x:c r="D6489" s="12" t="str">
        <x:v>Delhi NCR</x:v>
      </x:c>
      <x:c r="E6489" s="12" t="str">
        <x:v>iLabs Info Technology Center</x:v>
      </x:c>
      <x:c r="F6489" s="12" t="str">
        <x:v>55 inch</x:v>
      </x:c>
      <x:c r="G6489" s="20" t="n">
        <x:v>1</x:v>
      </x:c>
      <x:c r="H6489" s="12" t="str">
        <x:v>Campus/portfolio roster; individual building occupancy unverified</x:v>
      </x:c>
      <x:c r="I6489" s="12" t="str">
        <x:v>Mixed business audience</x:v>
      </x:c>
      <x:c r="J6489" s="12" t="str">
        <x:v>IT &amp; digital</x:v>
      </x:c>
      <x:c r="K6489" s="2" t="str">
        <x:v>PARTNER-M353</x:v>
      </x:c>
    </x:row>
    <x:row r="6490" ht="46" customHeight="1">
      <x:c r="A6490" s="2" t="str">
        <x:v>TEN-982D8CD25EC5</x:v>
      </x:c>
      <x:c r="B6490" s="12" t="str">
        <x:v>TaskUs Mystiqa</x:v>
      </x:c>
      <x:c r="C6490" s="12" t="str">
        <x:v>CORP-0767</x:v>
      </x:c>
      <x:c r="D6490" s="12" t="str">
        <x:v>Delhi NCR</x:v>
      </x:c>
      <x:c r="E6490" s="12" t="str">
        <x:v>iLabs Info Technology Center</x:v>
      </x:c>
      <x:c r="F6490" s="12" t="str">
        <x:v>55 inch</x:v>
      </x:c>
      <x:c r="G6490" s="20" t="n">
        <x:v>1</x:v>
      </x:c>
      <x:c r="H6490" s="12" t="str">
        <x:v>Campus/portfolio roster; individual building occupancy unverified</x:v>
      </x:c>
      <x:c r="I6490" s="12" t="str">
        <x:v>Mixed business audience</x:v>
      </x:c>
      <x:c r="J6490" s="12" t="str">
        <x:v>IT &amp; digital</x:v>
      </x:c>
      <x:c r="K6490" s="2" t="str">
        <x:v>PARTNER-M353</x:v>
      </x:c>
    </x:row>
    <x:row r="6491" ht="46" customHeight="1">
      <x:c r="A6491" s="2" t="str">
        <x:v>TEN-D5D133305413</x:v>
      </x:c>
      <x:c r="B6491" s="12" t="str">
        <x:v>Robosurg MedTech Pvt Ltd</x:v>
      </x:c>
      <x:c r="C6491" s="12" t="str">
        <x:v>CORP-0767</x:v>
      </x:c>
      <x:c r="D6491" s="12" t="str">
        <x:v>Delhi NCR</x:v>
      </x:c>
      <x:c r="E6491" s="12" t="str">
        <x:v>iLabs Info Technology Center</x:v>
      </x:c>
      <x:c r="F6491" s="12" t="str">
        <x:v>55 inch</x:v>
      </x:c>
      <x:c r="G6491" s="20" t="n">
        <x:v>1</x:v>
      </x:c>
      <x:c r="H6491" s="12" t="str">
        <x:v>Campus/portfolio roster; individual building occupancy unverified</x:v>
      </x:c>
      <x:c r="I6491" s="12" t="str">
        <x:v>Small-scale prospects</x:v>
      </x:c>
      <x:c r="J6491" s="12" t="str">
        <x:v>Healthcare &amp; life sciences</x:v>
      </x:c>
      <x:c r="K6491" s="2" t="str">
        <x:v>PARTNER-M353</x:v>
      </x:c>
    </x:row>
    <x:row r="6492" ht="46" customHeight="1">
      <x:c r="A6492" s="2" t="str">
        <x:v>TEN-427F056730B2</x:v>
      </x:c>
      <x:c r="B6492" s="12" t="str">
        <x:v>Nirvasa Healthcare</x:v>
      </x:c>
      <x:c r="C6492" s="12" t="str">
        <x:v>CORP-0768</x:v>
      </x:c>
      <x:c r="D6492" s="12" t="str">
        <x:v>Delhi NCR</x:v>
      </x:c>
      <x:c r="E6492" s="12" t="str">
        <x:v>iLabs Info Technology Center</x:v>
      </x:c>
      <x:c r="F6492" s="12" t="str">
        <x:v>55 inch</x:v>
      </x:c>
      <x:c r="G6492" s="20" t="n">
        <x:v>1</x:v>
      </x:c>
      <x:c r="H6492" s="12" t="str">
        <x:v>Campus/portfolio roster; individual building occupancy unverified</x:v>
      </x:c>
      <x:c r="I6492" s="12" t="str">
        <x:v>Small-scale prospects</x:v>
      </x:c>
      <x:c r="J6492" s="12" t="str">
        <x:v>Healthcare &amp; life sciences</x:v>
      </x:c>
      <x:c r="K6492" s="2" t="str">
        <x:v>PARTNER-M353</x:v>
      </x:c>
    </x:row>
    <x:row r="6493" ht="46" customHeight="1">
      <x:c r="A6493" s="2" t="str">
        <x:v>TEN-48ED1FD35C3C</x:v>
      </x:c>
      <x:c r="B6493" s="12" t="str">
        <x:v>SS Innovations Private Limited</x:v>
      </x:c>
      <x:c r="C6493" s="12" t="str">
        <x:v>CORP-0768</x:v>
      </x:c>
      <x:c r="D6493" s="12" t="str">
        <x:v>Delhi NCR</x:v>
      </x:c>
      <x:c r="E6493" s="12" t="str">
        <x:v>iLabs Info Technology Center</x:v>
      </x:c>
      <x:c r="F6493" s="12" t="str">
        <x:v>55 inch</x:v>
      </x:c>
      <x:c r="G6493" s="20" t="n">
        <x:v>1</x:v>
      </x:c>
      <x:c r="H6493" s="12" t="str">
        <x:v>Campus/portfolio roster; individual building occupancy unverified</x:v>
      </x:c>
      <x:c r="I6493" s="12" t="str">
        <x:v>Medium-scale prospects</x:v>
      </x:c>
      <x:c r="J6493" s="12" t="str">
        <x:v>Healthcare &amp; life sciences</x:v>
      </x:c>
      <x:c r="K6493" s="2" t="str">
        <x:v>PARTNER-M353</x:v>
      </x:c>
    </x:row>
    <x:row r="6494" ht="46" customHeight="1">
      <x:c r="A6494" s="2" t="str">
        <x:v>TEN-52E9D79221AA</x:v>
      </x:c>
      <x:c r="B6494" s="12" t="str">
        <x:v>Kellton</x:v>
      </x:c>
      <x:c r="C6494" s="12" t="str">
        <x:v>CORP-0768</x:v>
      </x:c>
      <x:c r="D6494" s="12" t="str">
        <x:v>Delhi NCR</x:v>
      </x:c>
      <x:c r="E6494" s="12" t="str">
        <x:v>iLabs Info Technology Center</x:v>
      </x:c>
      <x:c r="F6494" s="12" t="str">
        <x:v>55 inch</x:v>
      </x:c>
      <x:c r="G6494" s="20" t="n">
        <x:v>1</x:v>
      </x:c>
      <x:c r="H6494" s="12" t="str">
        <x:v>Campus/portfolio roster; individual building occupancy unverified</x:v>
      </x:c>
      <x:c r="I6494" s="12" t="str">
        <x:v>Mixed business audience</x:v>
      </x:c>
      <x:c r="J6494" s="12" t="str">
        <x:v>IT &amp; digital</x:v>
      </x:c>
      <x:c r="K6494" s="2" t="str">
        <x:v>PARTNER-M353</x:v>
      </x:c>
    </x:row>
    <x:row r="6495" ht="46" customHeight="1">
      <x:c r="A6495" s="2" t="str">
        <x:v>TEN-982D8CD25EC5</x:v>
      </x:c>
      <x:c r="B6495" s="12" t="str">
        <x:v>TaskUs Mystiqa</x:v>
      </x:c>
      <x:c r="C6495" s="12" t="str">
        <x:v>CORP-0768</x:v>
      </x:c>
      <x:c r="D6495" s="12" t="str">
        <x:v>Delhi NCR</x:v>
      </x:c>
      <x:c r="E6495" s="12" t="str">
        <x:v>iLabs Info Technology Center</x:v>
      </x:c>
      <x:c r="F6495" s="12" t="str">
        <x:v>55 inch</x:v>
      </x:c>
      <x:c r="G6495" s="20" t="n">
        <x:v>1</x:v>
      </x:c>
      <x:c r="H6495" s="12" t="str">
        <x:v>Campus/portfolio roster; individual building occupancy unverified</x:v>
      </x:c>
      <x:c r="I6495" s="12" t="str">
        <x:v>Mixed business audience</x:v>
      </x:c>
      <x:c r="J6495" s="12" t="str">
        <x:v>IT &amp; digital</x:v>
      </x:c>
      <x:c r="K6495" s="2" t="str">
        <x:v>PARTNER-M353</x:v>
      </x:c>
    </x:row>
    <x:row r="6496" ht="46" customHeight="1">
      <x:c r="A6496" s="2" t="str">
        <x:v>TEN-D5D133305413</x:v>
      </x:c>
      <x:c r="B6496" s="12" t="str">
        <x:v>Robosurg MedTech Pvt Ltd</x:v>
      </x:c>
      <x:c r="C6496" s="12" t="str">
        <x:v>CORP-0768</x:v>
      </x:c>
      <x:c r="D6496" s="12" t="str">
        <x:v>Delhi NCR</x:v>
      </x:c>
      <x:c r="E6496" s="12" t="str">
        <x:v>iLabs Info Technology Center</x:v>
      </x:c>
      <x:c r="F6496" s="12" t="str">
        <x:v>55 inch</x:v>
      </x:c>
      <x:c r="G6496" s="20" t="n">
        <x:v>1</x:v>
      </x:c>
      <x:c r="H6496" s="12" t="str">
        <x:v>Campus/portfolio roster; individual building occupancy unverified</x:v>
      </x:c>
      <x:c r="I6496" s="12" t="str">
        <x:v>Small-scale prospects</x:v>
      </x:c>
      <x:c r="J6496" s="12" t="str">
        <x:v>Healthcare &amp; life sciences</x:v>
      </x:c>
      <x:c r="K6496" s="2" t="str">
        <x:v>PARTNER-M353</x:v>
      </x:c>
    </x:row>
    <x:row r="6497" ht="46" customHeight="1">
      <x:c r="A6497" s="2" t="str">
        <x:v>TEN-427F056730B2</x:v>
      </x:c>
      <x:c r="B6497" s="12" t="str">
        <x:v>Nirvasa Healthcare</x:v>
      </x:c>
      <x:c r="C6497" s="12" t="str">
        <x:v>CORP-0769</x:v>
      </x:c>
      <x:c r="D6497" s="12" t="str">
        <x:v>Delhi NCR</x:v>
      </x:c>
      <x:c r="E6497" s="12" t="str">
        <x:v>iLabs Info Technology Center</x:v>
      </x:c>
      <x:c r="F6497" s="12" t="str">
        <x:v>55 inch</x:v>
      </x:c>
      <x:c r="G6497" s="20" t="n">
        <x:v>1</x:v>
      </x:c>
      <x:c r="H6497" s="12" t="str">
        <x:v>Campus/portfolio roster; individual building occupancy unverified</x:v>
      </x:c>
      <x:c r="I6497" s="12" t="str">
        <x:v>Small-scale prospects</x:v>
      </x:c>
      <x:c r="J6497" s="12" t="str">
        <x:v>Healthcare &amp; life sciences</x:v>
      </x:c>
      <x:c r="K6497" s="2" t="str">
        <x:v>PARTNER-M353</x:v>
      </x:c>
    </x:row>
    <x:row r="6498" ht="46" customHeight="1">
      <x:c r="A6498" s="2" t="str">
        <x:v>TEN-48ED1FD35C3C</x:v>
      </x:c>
      <x:c r="B6498" s="12" t="str">
        <x:v>SS Innovations Private Limited</x:v>
      </x:c>
      <x:c r="C6498" s="12" t="str">
        <x:v>CORP-0769</x:v>
      </x:c>
      <x:c r="D6498" s="12" t="str">
        <x:v>Delhi NCR</x:v>
      </x:c>
      <x:c r="E6498" s="12" t="str">
        <x:v>iLabs Info Technology Center</x:v>
      </x:c>
      <x:c r="F6498" s="12" t="str">
        <x:v>55 inch</x:v>
      </x:c>
      <x:c r="G6498" s="20" t="n">
        <x:v>1</x:v>
      </x:c>
      <x:c r="H6498" s="12" t="str">
        <x:v>Campus/portfolio roster; individual building occupancy unverified</x:v>
      </x:c>
      <x:c r="I6498" s="12" t="str">
        <x:v>Medium-scale prospects</x:v>
      </x:c>
      <x:c r="J6498" s="12" t="str">
        <x:v>Healthcare &amp; life sciences</x:v>
      </x:c>
      <x:c r="K6498" s="2" t="str">
        <x:v>PARTNER-M353</x:v>
      </x:c>
    </x:row>
    <x:row r="6499" ht="46" customHeight="1">
      <x:c r="A6499" s="2" t="str">
        <x:v>TEN-52E9D79221AA</x:v>
      </x:c>
      <x:c r="B6499" s="12" t="str">
        <x:v>Kellton</x:v>
      </x:c>
      <x:c r="C6499" s="12" t="str">
        <x:v>CORP-0769</x:v>
      </x:c>
      <x:c r="D6499" s="12" t="str">
        <x:v>Delhi NCR</x:v>
      </x:c>
      <x:c r="E6499" s="12" t="str">
        <x:v>iLabs Info Technology Center</x:v>
      </x:c>
      <x:c r="F6499" s="12" t="str">
        <x:v>55 inch</x:v>
      </x:c>
      <x:c r="G6499" s="20" t="n">
        <x:v>1</x:v>
      </x:c>
      <x:c r="H6499" s="12" t="str">
        <x:v>Campus/portfolio roster; individual building occupancy unverified</x:v>
      </x:c>
      <x:c r="I6499" s="12" t="str">
        <x:v>Mixed business audience</x:v>
      </x:c>
      <x:c r="J6499" s="12" t="str">
        <x:v>IT &amp; digital</x:v>
      </x:c>
      <x:c r="K6499" s="2" t="str">
        <x:v>PARTNER-M353</x:v>
      </x:c>
    </x:row>
    <x:row r="6500" ht="46" customHeight="1">
      <x:c r="A6500" s="2" t="str">
        <x:v>TEN-982D8CD25EC5</x:v>
      </x:c>
      <x:c r="B6500" s="12" t="str">
        <x:v>TaskUs Mystiqa</x:v>
      </x:c>
      <x:c r="C6500" s="12" t="str">
        <x:v>CORP-0769</x:v>
      </x:c>
      <x:c r="D6500" s="12" t="str">
        <x:v>Delhi NCR</x:v>
      </x:c>
      <x:c r="E6500" s="12" t="str">
        <x:v>iLabs Info Technology Center</x:v>
      </x:c>
      <x:c r="F6500" s="12" t="str">
        <x:v>55 inch</x:v>
      </x:c>
      <x:c r="G6500" s="20" t="n">
        <x:v>1</x:v>
      </x:c>
      <x:c r="H6500" s="12" t="str">
        <x:v>Campus/portfolio roster; individual building occupancy unverified</x:v>
      </x:c>
      <x:c r="I6500" s="12" t="str">
        <x:v>Mixed business audience</x:v>
      </x:c>
      <x:c r="J6500" s="12" t="str">
        <x:v>IT &amp; digital</x:v>
      </x:c>
      <x:c r="K6500" s="2" t="str">
        <x:v>PARTNER-M353</x:v>
      </x:c>
    </x:row>
    <x:row r="6501" ht="46" customHeight="1">
      <x:c r="A6501" s="2" t="str">
        <x:v>TEN-D5D133305413</x:v>
      </x:c>
      <x:c r="B6501" s="12" t="str">
        <x:v>Robosurg MedTech Pvt Ltd</x:v>
      </x:c>
      <x:c r="C6501" s="12" t="str">
        <x:v>CORP-0769</x:v>
      </x:c>
      <x:c r="D6501" s="12" t="str">
        <x:v>Delhi NCR</x:v>
      </x:c>
      <x:c r="E6501" s="12" t="str">
        <x:v>iLabs Info Technology Center</x:v>
      </x:c>
      <x:c r="F6501" s="12" t="str">
        <x:v>55 inch</x:v>
      </x:c>
      <x:c r="G6501" s="20" t="n">
        <x:v>1</x:v>
      </x:c>
      <x:c r="H6501" s="12" t="str">
        <x:v>Campus/portfolio roster; individual building occupancy unverified</x:v>
      </x:c>
      <x:c r="I6501" s="12" t="str">
        <x:v>Small-scale prospects</x:v>
      </x:c>
      <x:c r="J6501" s="12" t="str">
        <x:v>Healthcare &amp; life sciences</x:v>
      </x:c>
      <x:c r="K6501" s="2" t="str">
        <x:v>PARTNER-M353</x:v>
      </x:c>
    </x:row>
    <x:row r="6502" ht="46" customHeight="1">
      <x:c r="A6502" s="2" t="str">
        <x:v>TEN-427F056730B2</x:v>
      </x:c>
      <x:c r="B6502" s="12" t="str">
        <x:v>Nirvasa Healthcare</x:v>
      </x:c>
      <x:c r="C6502" s="12" t="str">
        <x:v>CORP-0770</x:v>
      </x:c>
      <x:c r="D6502" s="12" t="str">
        <x:v>Delhi NCR</x:v>
      </x:c>
      <x:c r="E6502" s="12" t="str">
        <x:v>iLabs Info Technology Center</x:v>
      </x:c>
      <x:c r="F6502" s="12" t="str">
        <x:v>55 inch</x:v>
      </x:c>
      <x:c r="G6502" s="20" t="n">
        <x:v>1</x:v>
      </x:c>
      <x:c r="H6502" s="12" t="str">
        <x:v>Campus/portfolio roster; individual building occupancy unverified</x:v>
      </x:c>
      <x:c r="I6502" s="12" t="str">
        <x:v>Small-scale prospects</x:v>
      </x:c>
      <x:c r="J6502" s="12" t="str">
        <x:v>Healthcare &amp; life sciences</x:v>
      </x:c>
      <x:c r="K6502" s="2" t="str">
        <x:v>PARTNER-M353</x:v>
      </x:c>
    </x:row>
    <x:row r="6503" ht="46" customHeight="1">
      <x:c r="A6503" s="2" t="str">
        <x:v>TEN-48ED1FD35C3C</x:v>
      </x:c>
      <x:c r="B6503" s="12" t="str">
        <x:v>SS Innovations Private Limited</x:v>
      </x:c>
      <x:c r="C6503" s="12" t="str">
        <x:v>CORP-0770</x:v>
      </x:c>
      <x:c r="D6503" s="12" t="str">
        <x:v>Delhi NCR</x:v>
      </x:c>
      <x:c r="E6503" s="12" t="str">
        <x:v>iLabs Info Technology Center</x:v>
      </x:c>
      <x:c r="F6503" s="12" t="str">
        <x:v>55 inch</x:v>
      </x:c>
      <x:c r="G6503" s="20" t="n">
        <x:v>1</x:v>
      </x:c>
      <x:c r="H6503" s="12" t="str">
        <x:v>Campus/portfolio roster; individual building occupancy unverified</x:v>
      </x:c>
      <x:c r="I6503" s="12" t="str">
        <x:v>Medium-scale prospects</x:v>
      </x:c>
      <x:c r="J6503" s="12" t="str">
        <x:v>Healthcare &amp; life sciences</x:v>
      </x:c>
      <x:c r="K6503" s="2" t="str">
        <x:v>PARTNER-M353</x:v>
      </x:c>
    </x:row>
    <x:row r="6504" ht="46" customHeight="1">
      <x:c r="A6504" s="2" t="str">
        <x:v>TEN-52E9D79221AA</x:v>
      </x:c>
      <x:c r="B6504" s="12" t="str">
        <x:v>Kellton</x:v>
      </x:c>
      <x:c r="C6504" s="12" t="str">
        <x:v>CORP-0770</x:v>
      </x:c>
      <x:c r="D6504" s="12" t="str">
        <x:v>Delhi NCR</x:v>
      </x:c>
      <x:c r="E6504" s="12" t="str">
        <x:v>iLabs Info Technology Center</x:v>
      </x:c>
      <x:c r="F6504" s="12" t="str">
        <x:v>55 inch</x:v>
      </x:c>
      <x:c r="G6504" s="20" t="n">
        <x:v>1</x:v>
      </x:c>
      <x:c r="H6504" s="12" t="str">
        <x:v>Campus/portfolio roster; individual building occupancy unverified</x:v>
      </x:c>
      <x:c r="I6504" s="12" t="str">
        <x:v>Mixed business audience</x:v>
      </x:c>
      <x:c r="J6504" s="12" t="str">
        <x:v>IT &amp; digital</x:v>
      </x:c>
      <x:c r="K6504" s="2" t="str">
        <x:v>PARTNER-M353</x:v>
      </x:c>
    </x:row>
    <x:row r="6505" ht="46" customHeight="1">
      <x:c r="A6505" s="2" t="str">
        <x:v>TEN-982D8CD25EC5</x:v>
      </x:c>
      <x:c r="B6505" s="12" t="str">
        <x:v>TaskUs Mystiqa</x:v>
      </x:c>
      <x:c r="C6505" s="12" t="str">
        <x:v>CORP-0770</x:v>
      </x:c>
      <x:c r="D6505" s="12" t="str">
        <x:v>Delhi NCR</x:v>
      </x:c>
      <x:c r="E6505" s="12" t="str">
        <x:v>iLabs Info Technology Center</x:v>
      </x:c>
      <x:c r="F6505" s="12" t="str">
        <x:v>55 inch</x:v>
      </x:c>
      <x:c r="G6505" s="20" t="n">
        <x:v>1</x:v>
      </x:c>
      <x:c r="H6505" s="12" t="str">
        <x:v>Campus/portfolio roster; individual building occupancy unverified</x:v>
      </x:c>
      <x:c r="I6505" s="12" t="str">
        <x:v>Mixed business audience</x:v>
      </x:c>
      <x:c r="J6505" s="12" t="str">
        <x:v>IT &amp; digital</x:v>
      </x:c>
      <x:c r="K6505" s="2" t="str">
        <x:v>PARTNER-M353</x:v>
      </x:c>
    </x:row>
    <x:row r="6506" ht="46" customHeight="1">
      <x:c r="A6506" s="2" t="str">
        <x:v>TEN-D5D133305413</x:v>
      </x:c>
      <x:c r="B6506" s="12" t="str">
        <x:v>Robosurg MedTech Pvt Ltd</x:v>
      </x:c>
      <x:c r="C6506" s="12" t="str">
        <x:v>CORP-0770</x:v>
      </x:c>
      <x:c r="D6506" s="12" t="str">
        <x:v>Delhi NCR</x:v>
      </x:c>
      <x:c r="E6506" s="12" t="str">
        <x:v>iLabs Info Technology Center</x:v>
      </x:c>
      <x:c r="F6506" s="12" t="str">
        <x:v>55 inch</x:v>
      </x:c>
      <x:c r="G6506" s="20" t="n">
        <x:v>1</x:v>
      </x:c>
      <x:c r="H6506" s="12" t="str">
        <x:v>Campus/portfolio roster; individual building occupancy unverified</x:v>
      </x:c>
      <x:c r="I6506" s="12" t="str">
        <x:v>Small-scale prospects</x:v>
      </x:c>
      <x:c r="J6506" s="12" t="str">
        <x:v>Healthcare &amp; life sciences</x:v>
      </x:c>
      <x:c r="K6506" s="2" t="str">
        <x:v>PARTNER-M353</x:v>
      </x:c>
    </x:row>
    <x:row r="6507" ht="46" customHeight="1">
      <x:c r="A6507" s="2" t="str">
        <x:v>TEN-11AE440BBF7C</x:v>
      </x:c>
      <x:c r="B6507" s="12" t="str">
        <x:v>Infosys Limited</x:v>
      </x:c>
      <x:c r="C6507" s="12" t="str">
        <x:v>CORP-0771</x:v>
      </x:c>
      <x:c r="D6507" s="12" t="str">
        <x:v>Delhi NCR</x:v>
      </x:c>
      <x:c r="E6507" s="12" t="str">
        <x:v>IHDP Business Park</x:v>
      </x:c>
      <x:c r="F6507" s="12" t="str">
        <x:v>55 inch</x:v>
      </x:c>
      <x:c r="G6507" s="20" t="n">
        <x:v>1</x:v>
      </x:c>
      <x:c r="H6507" s="12" t="str">
        <x:v>Campus/portfolio roster; individual building occupancy unverified</x:v>
      </x:c>
      <x:c r="I6507" s="12" t="str">
        <x:v>Large enterprise</x:v>
      </x:c>
      <x:c r="J6507" s="12" t="str">
        <x:v>IT &amp; digital</x:v>
      </x:c>
      <x:c r="K6507" s="2" t="str">
        <x:v>PARTNER-M358</x:v>
      </x:c>
    </x:row>
    <x:row r="6508" ht="46" customHeight="1">
      <x:c r="A6508" s="2" t="str">
        <x:v>TEN-BE60E5F94A8F</x:v>
      </x:c>
      <x:c r="B6508" s="12" t="str">
        <x:v>SRJ GLOBAL SOFTECH</x:v>
      </x:c>
      <x:c r="C6508" s="12" t="str">
        <x:v>CORP-0771</x:v>
      </x:c>
      <x:c r="D6508" s="12" t="str">
        <x:v>Delhi NCR</x:v>
      </x:c>
      <x:c r="E6508" s="12" t="str">
        <x:v>IHDP Business Park</x:v>
      </x:c>
      <x:c r="F6508" s="12" t="str">
        <x:v>55 inch</x:v>
      </x:c>
      <x:c r="G6508" s="20" t="n">
        <x:v>1</x:v>
      </x:c>
      <x:c r="H6508" s="12" t="str">
        <x:v>Campus/portfolio roster; individual building occupancy unverified</x:v>
      </x:c>
      <x:c r="I6508" s="12" t="str">
        <x:v>Mixed business audience</x:v>
      </x:c>
      <x:c r="J6508" s="12" t="str">
        <x:v>Unresolved</x:v>
      </x:c>
      <x:c r="K6508" s="2" t="str">
        <x:v>PARTNER-M358</x:v>
      </x:c>
    </x:row>
    <x:row r="6509" ht="46" customHeight="1">
      <x:c r="A6509" s="2" t="str">
        <x:v>TEN-11AE440BBF7C</x:v>
      </x:c>
      <x:c r="B6509" s="12" t="str">
        <x:v>Infosys Limited</x:v>
      </x:c>
      <x:c r="C6509" s="12" t="str">
        <x:v>CORP-0772</x:v>
      </x:c>
      <x:c r="D6509" s="12" t="str">
        <x:v>Delhi NCR</x:v>
      </x:c>
      <x:c r="E6509" s="12" t="str">
        <x:v>IHDP Business Park</x:v>
      </x:c>
      <x:c r="F6509" s="12" t="str">
        <x:v>55 inch</x:v>
      </x:c>
      <x:c r="G6509" s="20" t="n">
        <x:v>1</x:v>
      </x:c>
      <x:c r="H6509" s="12" t="str">
        <x:v>Campus/portfolio roster; individual building occupancy unverified</x:v>
      </x:c>
      <x:c r="I6509" s="12" t="str">
        <x:v>Large enterprise</x:v>
      </x:c>
      <x:c r="J6509" s="12" t="str">
        <x:v>IT &amp; digital</x:v>
      </x:c>
      <x:c r="K6509" s="2" t="str">
        <x:v>PARTNER-M358</x:v>
      </x:c>
    </x:row>
    <x:row r="6510" ht="46" customHeight="1">
      <x:c r="A6510" s="2" t="str">
        <x:v>TEN-BE60E5F94A8F</x:v>
      </x:c>
      <x:c r="B6510" s="12" t="str">
        <x:v>SRJ GLOBAL SOFTECH</x:v>
      </x:c>
      <x:c r="C6510" s="12" t="str">
        <x:v>CORP-0772</x:v>
      </x:c>
      <x:c r="D6510" s="12" t="str">
        <x:v>Delhi NCR</x:v>
      </x:c>
      <x:c r="E6510" s="12" t="str">
        <x:v>IHDP Business Park</x:v>
      </x:c>
      <x:c r="F6510" s="12" t="str">
        <x:v>55 inch</x:v>
      </x:c>
      <x:c r="G6510" s="20" t="n">
        <x:v>1</x:v>
      </x:c>
      <x:c r="H6510" s="12" t="str">
        <x:v>Campus/portfolio roster; individual building occupancy unverified</x:v>
      </x:c>
      <x:c r="I6510" s="12" t="str">
        <x:v>Mixed business audience</x:v>
      </x:c>
      <x:c r="J6510" s="12" t="str">
        <x:v>Unresolved</x:v>
      </x:c>
      <x:c r="K6510" s="2" t="str">
        <x:v>PARTNER-M358</x:v>
      </x:c>
    </x:row>
    <x:row r="6511" ht="46" customHeight="1">
      <x:c r="A6511" s="2" t="str">
        <x:v>TEN-11AE440BBF7C</x:v>
      </x:c>
      <x:c r="B6511" s="12" t="str">
        <x:v>Infosys Limited</x:v>
      </x:c>
      <x:c r="C6511" s="12" t="str">
        <x:v>CORP-0773</x:v>
      </x:c>
      <x:c r="D6511" s="12" t="str">
        <x:v>Delhi NCR</x:v>
      </x:c>
      <x:c r="E6511" s="12" t="str">
        <x:v>IHDP Business Park</x:v>
      </x:c>
      <x:c r="F6511" s="12" t="str">
        <x:v>55 inch</x:v>
      </x:c>
      <x:c r="G6511" s="20" t="n">
        <x:v>1</x:v>
      </x:c>
      <x:c r="H6511" s="12" t="str">
        <x:v>Campus/portfolio roster; individual building occupancy unverified</x:v>
      </x:c>
      <x:c r="I6511" s="12" t="str">
        <x:v>Large enterprise</x:v>
      </x:c>
      <x:c r="J6511" s="12" t="str">
        <x:v>IT &amp; digital</x:v>
      </x:c>
      <x:c r="K6511" s="2" t="str">
        <x:v>PARTNER-M358</x:v>
      </x:c>
    </x:row>
    <x:row r="6512" ht="46" customHeight="1">
      <x:c r="A6512" s="2" t="str">
        <x:v>TEN-BE60E5F94A8F</x:v>
      </x:c>
      <x:c r="B6512" s="12" t="str">
        <x:v>SRJ GLOBAL SOFTECH</x:v>
      </x:c>
      <x:c r="C6512" s="12" t="str">
        <x:v>CORP-0773</x:v>
      </x:c>
      <x:c r="D6512" s="12" t="str">
        <x:v>Delhi NCR</x:v>
      </x:c>
      <x:c r="E6512" s="12" t="str">
        <x:v>IHDP Business Park</x:v>
      </x:c>
      <x:c r="F6512" s="12" t="str">
        <x:v>55 inch</x:v>
      </x:c>
      <x:c r="G6512" s="20" t="n">
        <x:v>1</x:v>
      </x:c>
      <x:c r="H6512" s="12" t="str">
        <x:v>Campus/portfolio roster; individual building occupancy unverified</x:v>
      </x:c>
      <x:c r="I6512" s="12" t="str">
        <x:v>Mixed business audience</x:v>
      </x:c>
      <x:c r="J6512" s="12" t="str">
        <x:v>Unresolved</x:v>
      </x:c>
      <x:c r="K6512" s="2" t="str">
        <x:v>PARTNER-M358</x:v>
      </x:c>
    </x:row>
    <x:row r="6513" ht="46" customHeight="1">
      <x:c r="A6513" s="2" t="str">
        <x:v>TEN-11AE440BBF7C</x:v>
      </x:c>
      <x:c r="B6513" s="12" t="str">
        <x:v>Infosys Limited</x:v>
      </x:c>
      <x:c r="C6513" s="12" t="str">
        <x:v>CORP-0774</x:v>
      </x:c>
      <x:c r="D6513" s="12" t="str">
        <x:v>Delhi NCR</x:v>
      </x:c>
      <x:c r="E6513" s="12" t="str">
        <x:v>IHDP Business Park</x:v>
      </x:c>
      <x:c r="F6513" s="12" t="str">
        <x:v>55 inch</x:v>
      </x:c>
      <x:c r="G6513" s="20" t="n">
        <x:v>1</x:v>
      </x:c>
      <x:c r="H6513" s="12" t="str">
        <x:v>Campus/portfolio roster; individual building occupancy unverified</x:v>
      </x:c>
      <x:c r="I6513" s="12" t="str">
        <x:v>Large enterprise</x:v>
      </x:c>
      <x:c r="J6513" s="12" t="str">
        <x:v>IT &amp; digital</x:v>
      </x:c>
      <x:c r="K6513" s="2" t="str">
        <x:v>PARTNER-M358</x:v>
      </x:c>
    </x:row>
    <x:row r="6514" ht="46" customHeight="1">
      <x:c r="A6514" s="2" t="str">
        <x:v>TEN-BE60E5F94A8F</x:v>
      </x:c>
      <x:c r="B6514" s="12" t="str">
        <x:v>SRJ GLOBAL SOFTECH</x:v>
      </x:c>
      <x:c r="C6514" s="12" t="str">
        <x:v>CORP-0774</x:v>
      </x:c>
      <x:c r="D6514" s="12" t="str">
        <x:v>Delhi NCR</x:v>
      </x:c>
      <x:c r="E6514" s="12" t="str">
        <x:v>IHDP Business Park</x:v>
      </x:c>
      <x:c r="F6514" s="12" t="str">
        <x:v>55 inch</x:v>
      </x:c>
      <x:c r="G6514" s="20" t="n">
        <x:v>1</x:v>
      </x:c>
      <x:c r="H6514" s="12" t="str">
        <x:v>Campus/portfolio roster; individual building occupancy unverified</x:v>
      </x:c>
      <x:c r="I6514" s="12" t="str">
        <x:v>Mixed business audience</x:v>
      </x:c>
      <x:c r="J6514" s="12" t="str">
        <x:v>Unresolved</x:v>
      </x:c>
      <x:c r="K6514" s="2" t="str">
        <x:v>PARTNER-M358</x:v>
      </x:c>
    </x:row>
    <x:row r="6515" ht="46" customHeight="1">
      <x:c r="A6515" s="2" t="str">
        <x:v>TEN-0C81B9564D37</x:v>
      </x:c>
      <x:c r="B6515" s="12" t="str">
        <x:v>Cogent eservices private limited PSN Bangalore</x:v>
      </x:c>
      <x:c r="C6515" s="12" t="str">
        <x:v>CORP-0451</x:v>
      </x:c>
      <x:c r="D6515" s="12" t="str">
        <x:v>Bengaluru</x:v>
      </x:c>
      <x:c r="E6515" s="12" t="str">
        <x:v>Prestige Shantiniketan</x:v>
      </x:c>
      <x:c r="F6515" s="12" t="str">
        <x:v>55 inch</x:v>
      </x:c>
      <x:c r="G6515" s="20" t="n">
        <x:v>1</x:v>
      </x:c>
      <x:c r="H6515" s="12" t="str">
        <x:v>Campus/portfolio roster; individual building occupancy unverified</x:v>
      </x:c>
      <x:c r="I6515" s="12" t="str">
        <x:v>Mixed business audience</x:v>
      </x:c>
      <x:c r="J6515" s="12" t="str">
        <x:v>IT &amp; digital</x:v>
      </x:c>
      <x:c r="K6515" s="2" t="str">
        <x:v>PARTNER-M027</x:v>
      </x:c>
    </x:row>
    <x:row r="6516" ht="46" customHeight="1">
      <x:c r="A6516" s="2" t="str">
        <x:v>TEN-1D6F21C9D1AB</x:v>
      </x:c>
      <x:c r="B6516" s="12" t="str">
        <x:v>Algorythm</x:v>
      </x:c>
      <x:c r="C6516" s="12" t="str">
        <x:v>CORP-0451</x:v>
      </x:c>
      <x:c r="D6516" s="12" t="str">
        <x:v>Bengaluru</x:v>
      </x:c>
      <x:c r="E6516" s="12" t="str">
        <x:v>Prestige Shantiniketan</x:v>
      </x:c>
      <x:c r="F6516" s="12" t="str">
        <x:v>55 inch</x:v>
      </x:c>
      <x:c r="G6516" s="20" t="n">
        <x:v>1</x:v>
      </x:c>
      <x:c r="H6516" s="12" t="str">
        <x:v>Campus/portfolio roster; individual building occupancy unverified</x:v>
      </x:c>
      <x:c r="I6516" s="12" t="str">
        <x:v>Mixed business audience</x:v>
      </x:c>
      <x:c r="J6516" s="12" t="str">
        <x:v>Unresolved</x:v>
      </x:c>
      <x:c r="K6516" s="2" t="str">
        <x:v>PARTNER-M027</x:v>
      </x:c>
    </x:row>
    <x:row r="6517" ht="46" customHeight="1">
      <x:c r="A6517" s="2" t="str">
        <x:v>TEN-31F8B6C7A65B</x:v>
      </x:c>
      <x:c r="B6517" s="12" t="str">
        <x:v>Genisys Group</x:v>
      </x:c>
      <x:c r="C6517" s="12" t="str">
        <x:v>CORP-0451</x:v>
      </x:c>
      <x:c r="D6517" s="12" t="str">
        <x:v>Bengaluru</x:v>
      </x:c>
      <x:c r="E6517" s="12" t="str">
        <x:v>Prestige Shantiniketan</x:v>
      </x:c>
      <x:c r="F6517" s="12" t="str">
        <x:v>55 inch</x:v>
      </x:c>
      <x:c r="G6517" s="20" t="n">
        <x:v>1</x:v>
      </x:c>
      <x:c r="H6517" s="12" t="str">
        <x:v>Campus/portfolio roster; individual building occupancy unverified</x:v>
      </x:c>
      <x:c r="I6517" s="12" t="str">
        <x:v>Mixed business audience</x:v>
      </x:c>
      <x:c r="J6517" s="12" t="str">
        <x:v>IT &amp; digital</x:v>
      </x:c>
      <x:c r="K6517" s="2" t="str">
        <x:v>PARTNER-M027</x:v>
      </x:c>
    </x:row>
    <x:row r="6518" ht="46" customHeight="1">
      <x:c r="A6518" s="2" t="str">
        <x:v>TEN-53B505C1CAE2</x:v>
      </x:c>
      <x:c r="B6518" s="12" t="str">
        <x:v>Herbalife International India Pvt Ltd</x:v>
      </x:c>
      <x:c r="C6518" s="12" t="str">
        <x:v>CORP-0451</x:v>
      </x:c>
      <x:c r="D6518" s="12" t="str">
        <x:v>Bengaluru</x:v>
      </x:c>
      <x:c r="E6518" s="12" t="str">
        <x:v>Prestige Shantiniketan</x:v>
      </x:c>
      <x:c r="F6518" s="12" t="str">
        <x:v>55 inch</x:v>
      </x:c>
      <x:c r="G6518" s="20" t="n">
        <x:v>1</x:v>
      </x:c>
      <x:c r="H6518" s="12" t="str">
        <x:v>Campus/portfolio roster; individual building occupancy unverified</x:v>
      </x:c>
      <x:c r="I6518" s="12" t="str">
        <x:v>Mixed business audience</x:v>
      </x:c>
      <x:c r="J6518" s="12" t="str">
        <x:v>Healthcare &amp; life sciences</x:v>
      </x:c>
      <x:c r="K6518" s="2" t="str">
        <x:v>PARTNER-M027</x:v>
      </x:c>
    </x:row>
    <x:row r="6519" ht="46" customHeight="1">
      <x:c r="A6519" s="2" t="str">
        <x:v>TEN-5FA790F3630F</x:v>
      </x:c>
      <x:c r="B6519" s="12" t="str">
        <x:v>Tata Consultancy Services</x:v>
      </x:c>
      <x:c r="C6519" s="12" t="str">
        <x:v>CORP-0451</x:v>
      </x:c>
      <x:c r="D6519" s="12" t="str">
        <x:v>Bengaluru</x:v>
      </x:c>
      <x:c r="E6519" s="12" t="str">
        <x:v>Prestige Shantiniketan</x:v>
      </x:c>
      <x:c r="F6519" s="12" t="str">
        <x:v>55 inch</x:v>
      </x:c>
      <x:c r="G6519" s="20" t="n">
        <x:v>1</x:v>
      </x:c>
      <x:c r="H6519" s="12" t="str">
        <x:v>Campus/portfolio roster; individual building occupancy unverified</x:v>
      </x:c>
      <x:c r="I6519" s="12" t="str">
        <x:v>Large enterprise</x:v>
      </x:c>
      <x:c r="J6519" s="12" t="str">
        <x:v>IT &amp; digital</x:v>
      </x:c>
      <x:c r="K6519" s="2" t="str">
        <x:v>PARTNER-M027</x:v>
      </x:c>
    </x:row>
    <x:row r="6520" ht="46" customHeight="1">
      <x:c r="A6520" s="2" t="str">
        <x:v>TEN-8409366CFBB2</x:v>
      </x:c>
      <x:c r="B6520" s="12" t="str">
        <x:v>Tata Elxsi Limited</x:v>
      </x:c>
      <x:c r="C6520" s="12" t="str">
        <x:v>CORP-0451</x:v>
      </x:c>
      <x:c r="D6520" s="12" t="str">
        <x:v>Bengaluru</x:v>
      </x:c>
      <x:c r="E6520" s="12" t="str">
        <x:v>Prestige Shantiniketan</x:v>
      </x:c>
      <x:c r="F6520" s="12" t="str">
        <x:v>55 inch</x:v>
      </x:c>
      <x:c r="G6520" s="20" t="n">
        <x:v>1</x:v>
      </x:c>
      <x:c r="H6520" s="12" t="str">
        <x:v>Campus/portfolio roster; individual building occupancy unverified</x:v>
      </x:c>
      <x:c r="I6520" s="12" t="str">
        <x:v>Large enterprise</x:v>
      </x:c>
      <x:c r="J6520" s="12" t="str">
        <x:v>IT &amp; digital</x:v>
      </x:c>
      <x:c r="K6520" s="2" t="str">
        <x:v>PARTNER-M027</x:v>
      </x:c>
    </x:row>
    <x:row r="6521" ht="46" customHeight="1">
      <x:c r="A6521" s="2" t="str">
        <x:v>TEN-849229AF9AC7</x:v>
      </x:c>
      <x:c r="B6521" s="12" t="str">
        <x:v>Hexaware Technologies Limited</x:v>
      </x:c>
      <x:c r="C6521" s="12" t="str">
        <x:v>CORP-0451</x:v>
      </x:c>
      <x:c r="D6521" s="12" t="str">
        <x:v>Bengaluru</x:v>
      </x:c>
      <x:c r="E6521" s="12" t="str">
        <x:v>Prestige Shantiniketan</x:v>
      </x:c>
      <x:c r="F6521" s="12" t="str">
        <x:v>55 inch</x:v>
      </x:c>
      <x:c r="G6521" s="20" t="n">
        <x:v>1</x:v>
      </x:c>
      <x:c r="H6521" s="12" t="str">
        <x:v>Campus/portfolio roster; individual building occupancy unverified</x:v>
      </x:c>
      <x:c r="I6521" s="12" t="str">
        <x:v>Large enterprise</x:v>
      </x:c>
      <x:c r="J6521" s="12" t="str">
        <x:v>IT &amp; digital</x:v>
      </x:c>
      <x:c r="K6521" s="2" t="str">
        <x:v>PARTNER-M027</x:v>
      </x:c>
    </x:row>
    <x:row r="6522" ht="46" customHeight="1">
      <x:c r="A6522" s="2" t="str">
        <x:v>TEN-9636D9305A9A</x:v>
      </x:c>
      <x:c r="B6522" s="12" t="str">
        <x:v>Britannia Industries Limited</x:v>
      </x:c>
      <x:c r="C6522" s="12" t="str">
        <x:v>CORP-0451</x:v>
      </x:c>
      <x:c r="D6522" s="12" t="str">
        <x:v>Bengaluru</x:v>
      </x:c>
      <x:c r="E6522" s="12" t="str">
        <x:v>Prestige Shantiniketan</x:v>
      </x:c>
      <x:c r="F6522" s="12" t="str">
        <x:v>55 inch</x:v>
      </x:c>
      <x:c r="G6522" s="20" t="n">
        <x:v>1</x:v>
      </x:c>
      <x:c r="H6522" s="12" t="str">
        <x:v>Campus/portfolio roster; individual building occupancy unverified</x:v>
      </x:c>
      <x:c r="I6522" s="12" t="str">
        <x:v>Mixed business audience</x:v>
      </x:c>
      <x:c r="J6522" s="12" t="str">
        <x:v>Trade, consumer &amp; logistics</x:v>
      </x:c>
      <x:c r="K6522" s="2" t="str">
        <x:v>PARTNER-M027</x:v>
      </x:c>
    </x:row>
    <x:row r="6523" ht="46" customHeight="1">
      <x:c r="A6523" s="2" t="str">
        <x:v>TEN-985483497785</x:v>
      </x:c>
      <x:c r="B6523" s="12" t="str">
        <x:v>GE Healthcare</x:v>
      </x:c>
      <x:c r="C6523" s="12" t="str">
        <x:v>CORP-0451</x:v>
      </x:c>
      <x:c r="D6523" s="12" t="str">
        <x:v>Bengaluru</x:v>
      </x:c>
      <x:c r="E6523" s="12" t="str">
        <x:v>Prestige Shantiniketan</x:v>
      </x:c>
      <x:c r="F6523" s="12" t="str">
        <x:v>55 inch</x:v>
      </x:c>
      <x:c r="G6523" s="20" t="n">
        <x:v>1</x:v>
      </x:c>
      <x:c r="H6523" s="12" t="str">
        <x:v>Campus/portfolio roster; individual building occupancy unverified</x:v>
      </x:c>
      <x:c r="I6523" s="12" t="str">
        <x:v>Mixed business audience</x:v>
      </x:c>
      <x:c r="J6523" s="12" t="str">
        <x:v>Healthcare &amp; life sciences</x:v>
      </x:c>
      <x:c r="K6523" s="2" t="str">
        <x:v>PARTNER-M027</x:v>
      </x:c>
    </x:row>
    <x:row r="6524" ht="46" customHeight="1">
      <x:c r="A6524" s="2" t="str">
        <x:v>TEN-9987FF0A3CAC</x:v>
      </x:c>
      <x:c r="B6524" s="12" t="str">
        <x:v>Hindustan Unilever (UniOps business unit)</x:v>
      </x:c>
      <x:c r="C6524" s="12" t="str">
        <x:v>CORP-0451</x:v>
      </x:c>
      <x:c r="D6524" s="12" t="str">
        <x:v>Bengaluru</x:v>
      </x:c>
      <x:c r="E6524" s="12" t="str">
        <x:v>Prestige Shantiniketan</x:v>
      </x:c>
      <x:c r="F6524" s="12" t="str">
        <x:v>55 inch</x:v>
      </x:c>
      <x:c r="G6524" s="20" t="n">
        <x:v>1</x:v>
      </x:c>
      <x:c r="H6524" s="12" t="str">
        <x:v>Campus/portfolio roster; individual building occupancy unverified</x:v>
      </x:c>
      <x:c r="I6524" s="12" t="str">
        <x:v>Large enterprise</x:v>
      </x:c>
      <x:c r="J6524" s="12" t="str">
        <x:v>Trade, consumer &amp; logistics</x:v>
      </x:c>
      <x:c r="K6524" s="2" t="str">
        <x:v>PARTNER-M027</x:v>
      </x:c>
    </x:row>
    <x:row r="6525" ht="46" customHeight="1">
      <x:c r="A6525" s="2" t="str">
        <x:v>TEN-9CDD1B64DEF0</x:v>
      </x:c>
      <x:c r="B6525" s="12" t="str">
        <x:v>Optym India Private Limited</x:v>
      </x:c>
      <x:c r="C6525" s="12" t="str">
        <x:v>CORP-0451</x:v>
      </x:c>
      <x:c r="D6525" s="12" t="str">
        <x:v>Bengaluru</x:v>
      </x:c>
      <x:c r="E6525" s="12" t="str">
        <x:v>Prestige Shantiniketan</x:v>
      </x:c>
      <x:c r="F6525" s="12" t="str">
        <x:v>55 inch</x:v>
      </x:c>
      <x:c r="G6525" s="20" t="n">
        <x:v>1</x:v>
      </x:c>
      <x:c r="H6525" s="12" t="str">
        <x:v>Campus/portfolio roster; individual building occupancy unverified</x:v>
      </x:c>
      <x:c r="I6525" s="12" t="str">
        <x:v>Small-scale prospects</x:v>
      </x:c>
      <x:c r="J6525" s="12" t="str">
        <x:v>IT &amp; digital</x:v>
      </x:c>
      <x:c r="K6525" s="2" t="str">
        <x:v>PARTNER-M027</x:v>
      </x:c>
    </x:row>
    <x:row r="6526" ht="46" customHeight="1">
      <x:c r="A6526" s="2" t="str">
        <x:v>TEN-A7FC7DAF4DA4</x:v>
      </x:c>
      <x:c r="B6526" s="12" t="str">
        <x:v>Thermo Fisher Scientific</x:v>
      </x:c>
      <x:c r="C6526" s="12" t="str">
        <x:v>CORP-0451</x:v>
      </x:c>
      <x:c r="D6526" s="12" t="str">
        <x:v>Bengaluru</x:v>
      </x:c>
      <x:c r="E6526" s="12" t="str">
        <x:v>Prestige Shantiniketan</x:v>
      </x:c>
      <x:c r="F6526" s="12" t="str">
        <x:v>55 inch</x:v>
      </x:c>
      <x:c r="G6526" s="20" t="n">
        <x:v>1</x:v>
      </x:c>
      <x:c r="H6526" s="12" t="str">
        <x:v>Campus/portfolio roster; individual building occupancy unverified</x:v>
      </x:c>
      <x:c r="I6526" s="12" t="str">
        <x:v>Mixed business audience</x:v>
      </x:c>
      <x:c r="J6526" s="12" t="str">
        <x:v>Healthcare &amp; life sciences</x:v>
      </x:c>
      <x:c r="K6526" s="2" t="str">
        <x:v>PARTNER-M027</x:v>
      </x:c>
    </x:row>
    <x:row r="6527" ht="46" customHeight="1">
      <x:c r="A6527" s="2" t="str">
        <x:v>TEN-B877247CA363</x:v>
      </x:c>
      <x:c r="B6527" s="12" t="str">
        <x:v>Kaseya</x:v>
      </x:c>
      <x:c r="C6527" s="12" t="str">
        <x:v>CORP-0451</x:v>
      </x:c>
      <x:c r="D6527" s="12" t="str">
        <x:v>Bengaluru</x:v>
      </x:c>
      <x:c r="E6527" s="12" t="str">
        <x:v>Prestige Shantiniketan</x:v>
      </x:c>
      <x:c r="F6527" s="12" t="str">
        <x:v>55 inch</x:v>
      </x:c>
      <x:c r="G6527" s="20" t="n">
        <x:v>1</x:v>
      </x:c>
      <x:c r="H6527" s="12" t="str">
        <x:v>Campus/portfolio roster; individual building occupancy unverified</x:v>
      </x:c>
      <x:c r="I6527" s="12" t="str">
        <x:v>Mixed business audience</x:v>
      </x:c>
      <x:c r="J6527" s="12" t="str">
        <x:v>IT &amp; digital</x:v>
      </x:c>
      <x:c r="K6527" s="2" t="str">
        <x:v>PARTNER-M027</x:v>
      </x:c>
    </x:row>
    <x:row r="6528" ht="46" customHeight="1">
      <x:c r="A6528" s="2" t="str">
        <x:v>TEN-BA6AE2780CD4</x:v>
      </x:c>
      <x:c r="B6528" s="12" t="str">
        <x:v>Concentrix</x:v>
      </x:c>
      <x:c r="C6528" s="12" t="str">
        <x:v>CORP-0451</x:v>
      </x:c>
      <x:c r="D6528" s="12" t="str">
        <x:v>Bengaluru</x:v>
      </x:c>
      <x:c r="E6528" s="12" t="str">
        <x:v>Prestige Shantiniketan</x:v>
      </x:c>
      <x:c r="F6528" s="12" t="str">
        <x:v>55 inch</x:v>
      </x:c>
      <x:c r="G6528" s="20" t="n">
        <x:v>1</x:v>
      </x:c>
      <x:c r="H6528" s="12" t="str">
        <x:v>Campus/portfolio roster; individual building occupancy unverified</x:v>
      </x:c>
      <x:c r="I6528" s="12" t="str">
        <x:v>Large enterprise</x:v>
      </x:c>
      <x:c r="J6528" s="12" t="str">
        <x:v>IT &amp; digital</x:v>
      </x:c>
      <x:c r="K6528" s="2" t="str">
        <x:v>PARTNER-M027</x:v>
      </x:c>
    </x:row>
    <x:row r="6529" ht="46" customHeight="1">
      <x:c r="A6529" s="2" t="str">
        <x:v>TEN-BEE4F75D30E5</x:v>
      </x:c>
      <x:c r="B6529" s="12" t="str">
        <x:v>ICICI Bank</x:v>
      </x:c>
      <x:c r="C6529" s="12" t="str">
        <x:v>CORP-0451</x:v>
      </x:c>
      <x:c r="D6529" s="12" t="str">
        <x:v>Bengaluru</x:v>
      </x:c>
      <x:c r="E6529" s="12" t="str">
        <x:v>Prestige Shantiniketan</x:v>
      </x:c>
      <x:c r="F6529" s="12" t="str">
        <x:v>55 inch</x:v>
      </x:c>
      <x:c r="G6529" s="20" t="n">
        <x:v>1</x:v>
      </x:c>
      <x:c r="H6529" s="12" t="str">
        <x:v>Campus/portfolio roster; individual building occupancy unverified</x:v>
      </x:c>
      <x:c r="I6529" s="12" t="str">
        <x:v>Large enterprise</x:v>
      </x:c>
      <x:c r="J6529" s="12" t="str">
        <x:v>Finance &amp; insurance</x:v>
      </x:c>
      <x:c r="K6529" s="2" t="str">
        <x:v>PARTNER-M027</x:v>
      </x:c>
    </x:row>
    <x:row r="6530" ht="46" customHeight="1">
      <x:c r="A6530" s="2" t="str">
        <x:v>TEN-CCAF93725C39</x:v>
      </x:c>
      <x:c r="B6530" s="12" t="str">
        <x:v>India Document Solutions Private Ltd</x:v>
      </x:c>
      <x:c r="C6530" s="12" t="str">
        <x:v>CORP-0451</x:v>
      </x:c>
      <x:c r="D6530" s="12" t="str">
        <x:v>Bengaluru</x:v>
      </x:c>
      <x:c r="E6530" s="12" t="str">
        <x:v>Prestige Shantiniketan</x:v>
      </x:c>
      <x:c r="F6530" s="12" t="str">
        <x:v>55 inch</x:v>
      </x:c>
      <x:c r="G6530" s="20" t="n">
        <x:v>1</x:v>
      </x:c>
      <x:c r="H6530" s="12" t="str">
        <x:v>Campus/portfolio roster; individual building occupancy unverified</x:v>
      </x:c>
      <x:c r="I6530" s="12" t="str">
        <x:v>Mixed business audience</x:v>
      </x:c>
      <x:c r="J6530" s="12" t="str">
        <x:v>Unresolved</x:v>
      </x:c>
      <x:c r="K6530" s="2" t="str">
        <x:v>PARTNER-M027</x:v>
      </x:c>
    </x:row>
    <x:row r="6531" ht="46" customHeight="1">
      <x:c r="A6531" s="2" t="str">
        <x:v>TEN-D850894DB864</x:v>
      </x:c>
      <x:c r="B6531" s="12" t="str">
        <x:v>Rockstar Games India</x:v>
      </x:c>
      <x:c r="C6531" s="12" t="str">
        <x:v>CORP-0451</x:v>
      </x:c>
      <x:c r="D6531" s="12" t="str">
        <x:v>Bengaluru</x:v>
      </x:c>
      <x:c r="E6531" s="12" t="str">
        <x:v>Prestige Shantiniketan</x:v>
      </x:c>
      <x:c r="F6531" s="12" t="str">
        <x:v>55 inch</x:v>
      </x:c>
      <x:c r="G6531" s="20" t="n">
        <x:v>1</x:v>
      </x:c>
      <x:c r="H6531" s="12" t="str">
        <x:v>Campus/portfolio roster; individual building occupancy unverified</x:v>
      </x:c>
      <x:c r="I6531" s="12" t="str">
        <x:v>Mixed business audience</x:v>
      </x:c>
      <x:c r="J6531" s="12" t="str">
        <x:v>Trade, consumer &amp; logistics</x:v>
      </x:c>
      <x:c r="K6531" s="2" t="str">
        <x:v>PARTNER-M027</x:v>
      </x:c>
    </x:row>
    <x:row r="6532" ht="46" customHeight="1">
      <x:c r="A6532" s="2" t="str">
        <x:v>TEN-D860D87EBCF5</x:v>
      </x:c>
      <x:c r="B6532" s="12" t="str">
        <x:v>Synapse Techno Design Innovations Private Limited</x:v>
      </x:c>
      <x:c r="C6532" s="12" t="str">
        <x:v>CORP-0451</x:v>
      </x:c>
      <x:c r="D6532" s="12" t="str">
        <x:v>Bengaluru</x:v>
      </x:c>
      <x:c r="E6532" s="12" t="str">
        <x:v>Prestige Shantiniketan</x:v>
      </x:c>
      <x:c r="F6532" s="12" t="str">
        <x:v>55 inch</x:v>
      </x:c>
      <x:c r="G6532" s="20" t="n">
        <x:v>1</x:v>
      </x:c>
      <x:c r="H6532" s="12" t="str">
        <x:v>Campus/portfolio roster; individual building occupancy unverified</x:v>
      </x:c>
      <x:c r="I6532" s="12" t="str">
        <x:v>Small-scale prospects</x:v>
      </x:c>
      <x:c r="J6532" s="12" t="str">
        <x:v>IT &amp; digital</x:v>
      </x:c>
      <x:c r="K6532" s="2" t="str">
        <x:v>PARTNER-M027</x:v>
      </x:c>
    </x:row>
    <x:row r="6533" ht="46" customHeight="1">
      <x:c r="A6533" s="2" t="str">
        <x:v>TEN-DF4521B8C430</x:v>
      </x:c>
      <x:c r="B6533" s="12" t="str">
        <x:v>Nielsen Sports</x:v>
      </x:c>
      <x:c r="C6533" s="12" t="str">
        <x:v>CORP-0451</x:v>
      </x:c>
      <x:c r="D6533" s="12" t="str">
        <x:v>Bengaluru</x:v>
      </x:c>
      <x:c r="E6533" s="12" t="str">
        <x:v>Prestige Shantiniketan</x:v>
      </x:c>
      <x:c r="F6533" s="12" t="str">
        <x:v>55 inch</x:v>
      </x:c>
      <x:c r="G6533" s="20" t="n">
        <x:v>1</x:v>
      </x:c>
      <x:c r="H6533" s="12" t="str">
        <x:v>Campus/portfolio roster; individual building occupancy unverified</x:v>
      </x:c>
      <x:c r="I6533" s="12" t="str">
        <x:v>Mixed business audience</x:v>
      </x:c>
      <x:c r="J6533" s="12" t="str">
        <x:v>Professional services</x:v>
      </x:c>
      <x:c r="K6533" s="2" t="str">
        <x:v>PARTNER-M027</x:v>
      </x:c>
    </x:row>
    <x:row r="6534" ht="46" customHeight="1">
      <x:c r="A6534" s="2" t="str">
        <x:v>TEN-E23305C78818</x:v>
      </x:c>
      <x:c r="B6534" s="12" t="str">
        <x:v>Baxter Innovations &amp; Business Solutions Pvt Ltd</x:v>
      </x:c>
      <x:c r="C6534" s="12" t="str">
        <x:v>CORP-0451</x:v>
      </x:c>
      <x:c r="D6534" s="12" t="str">
        <x:v>Bengaluru</x:v>
      </x:c>
      <x:c r="E6534" s="12" t="str">
        <x:v>Prestige Shantiniketan</x:v>
      </x:c>
      <x:c r="F6534" s="12" t="str">
        <x:v>55 inch</x:v>
      </x:c>
      <x:c r="G6534" s="20" t="n">
        <x:v>1</x:v>
      </x:c>
      <x:c r="H6534" s="12" t="str">
        <x:v>Campus/portfolio roster; individual building occupancy unverified</x:v>
      </x:c>
      <x:c r="I6534" s="12" t="str">
        <x:v>Mixed business audience</x:v>
      </x:c>
      <x:c r="J6534" s="12" t="str">
        <x:v>Healthcare &amp; life sciences</x:v>
      </x:c>
      <x:c r="K6534" s="2" t="str">
        <x:v>PARTNER-M027</x:v>
      </x:c>
    </x:row>
    <x:row r="6535" ht="46" customHeight="1">
      <x:c r="A6535" s="2" t="str">
        <x:v>TEN-E517F4484EEE</x:v>
      </x:c>
      <x:c r="B6535" s="12" t="str">
        <x:v>CapRelo Mobility India Private Limited</x:v>
      </x:c>
      <x:c r="C6535" s="12" t="str">
        <x:v>CORP-0451</x:v>
      </x:c>
      <x:c r="D6535" s="12" t="str">
        <x:v>Bengaluru</x:v>
      </x:c>
      <x:c r="E6535" s="12" t="str">
        <x:v>Prestige Shantiniketan</x:v>
      </x:c>
      <x:c r="F6535" s="12" t="str">
        <x:v>55 inch</x:v>
      </x:c>
      <x:c r="G6535" s="20" t="n">
        <x:v>1</x:v>
      </x:c>
      <x:c r="H6535" s="12" t="str">
        <x:v>Campus/portfolio roster; individual building occupancy unverified</x:v>
      </x:c>
      <x:c r="I6535" s="12" t="str">
        <x:v>Mixed business audience</x:v>
      </x:c>
      <x:c r="J6535" s="12" t="str">
        <x:v>Professional services</x:v>
      </x:c>
      <x:c r="K6535" s="2" t="str">
        <x:v>PARTNER-M027</x:v>
      </x:c>
    </x:row>
    <x:row r="6536" ht="46" customHeight="1">
      <x:c r="A6536" s="2" t="str">
        <x:v>TEN-E88697226669</x:v>
      </x:c>
      <x:c r="B6536" s="12" t="str">
        <x:v>Elocity Technologies India Private Limited</x:v>
      </x:c>
      <x:c r="C6536" s="12" t="str">
        <x:v>CORP-0451</x:v>
      </x:c>
      <x:c r="D6536" s="12" t="str">
        <x:v>Bengaluru</x:v>
      </x:c>
      <x:c r="E6536" s="12" t="str">
        <x:v>Prestige Shantiniketan</x:v>
      </x:c>
      <x:c r="F6536" s="12" t="str">
        <x:v>55 inch</x:v>
      </x:c>
      <x:c r="G6536" s="20" t="n">
        <x:v>1</x:v>
      </x:c>
      <x:c r="H6536" s="12" t="str">
        <x:v>Campus/portfolio roster; individual building occupancy unverified</x:v>
      </x:c>
      <x:c r="I6536" s="12" t="str">
        <x:v>Mixed business audience</x:v>
      </x:c>
      <x:c r="J6536" s="12" t="str">
        <x:v>Unresolved</x:v>
      </x:c>
      <x:c r="K6536" s="2" t="str">
        <x:v>PARTNER-M027</x:v>
      </x:c>
    </x:row>
    <x:row r="6537" ht="46" customHeight="1">
      <x:c r="A6537" s="2" t="str">
        <x:v>TEN-EE0CA20290EC</x:v>
      </x:c>
      <x:c r="B6537" s="12" t="str">
        <x:v>MEDTRONIC</x:v>
      </x:c>
      <x:c r="C6537" s="12" t="str">
        <x:v>CORP-0451</x:v>
      </x:c>
      <x:c r="D6537" s="12" t="str">
        <x:v>Bengaluru</x:v>
      </x:c>
      <x:c r="E6537" s="12" t="str">
        <x:v>Prestige Shantiniketan</x:v>
      </x:c>
      <x:c r="F6537" s="12" t="str">
        <x:v>55 inch</x:v>
      </x:c>
      <x:c r="G6537" s="20" t="n">
        <x:v>1</x:v>
      </x:c>
      <x:c r="H6537" s="12" t="str">
        <x:v>Campus/portfolio roster; individual building occupancy unverified</x:v>
      </x:c>
      <x:c r="I6537" s="12" t="str">
        <x:v>Mixed business audience</x:v>
      </x:c>
      <x:c r="J6537" s="12" t="str">
        <x:v>Healthcare &amp; life sciences</x:v>
      </x:c>
      <x:c r="K6537" s="2" t="str">
        <x:v>PARTNER-M027</x:v>
      </x:c>
    </x:row>
    <x:row r="6538" ht="46" customHeight="1">
      <x:c r="A6538" s="2" t="str">
        <x:v>TEN-FECD2DA15F6C</x:v>
      </x:c>
      <x:c r="B6538" s="12" t="str">
        <x:v>Flowserve Global Technology &amp; Engineering Center (GTEC)</x:v>
      </x:c>
      <x:c r="C6538" s="12" t="str">
        <x:v>CORP-0451</x:v>
      </x:c>
      <x:c r="D6538" s="12" t="str">
        <x:v>Bengaluru</x:v>
      </x:c>
      <x:c r="E6538" s="12" t="str">
        <x:v>Prestige Shantiniketan</x:v>
      </x:c>
      <x:c r="F6538" s="12" t="str">
        <x:v>55 inch</x:v>
      </x:c>
      <x:c r="G6538" s="20" t="n">
        <x:v>1</x:v>
      </x:c>
      <x:c r="H6538" s="12" t="str">
        <x:v>Campus/portfolio roster; individual building occupancy unverified</x:v>
      </x:c>
      <x:c r="I6538" s="12" t="str">
        <x:v>Mixed business audience</x:v>
      </x:c>
      <x:c r="J6538" s="12" t="str">
        <x:v>Engineering &amp; manufacturing</x:v>
      </x:c>
      <x:c r="K6538" s="2" t="str">
        <x:v>PARTNER-M027</x:v>
      </x:c>
    </x:row>
    <x:row r="6539" ht="46" customHeight="1">
      <x:c r="A6539" s="2" t="str">
        <x:v>TEN-11AE440BBF7C</x:v>
      </x:c>
      <x:c r="B6539" s="12" t="str">
        <x:v>Infosys Limited</x:v>
      </x:c>
      <x:c r="C6539" s="12" t="str">
        <x:v>CORP-0775</x:v>
      </x:c>
      <x:c r="D6539" s="12" t="str">
        <x:v>Delhi NCR</x:v>
      </x:c>
      <x:c r="E6539" s="12" t="str">
        <x:v>IHDP Business Park</x:v>
      </x:c>
      <x:c r="F6539" s="12" t="str">
        <x:v>55 inch</x:v>
      </x:c>
      <x:c r="G6539" s="20" t="n">
        <x:v>1</x:v>
      </x:c>
      <x:c r="H6539" s="12" t="str">
        <x:v>Campus/portfolio roster; individual building occupancy unverified</x:v>
      </x:c>
      <x:c r="I6539" s="12" t="str">
        <x:v>Large enterprise</x:v>
      </x:c>
      <x:c r="J6539" s="12" t="str">
        <x:v>IT &amp; digital</x:v>
      </x:c>
      <x:c r="K6539" s="2" t="str">
        <x:v>PARTNER-M358</x:v>
      </x:c>
    </x:row>
    <x:row r="6540" ht="46" customHeight="1">
      <x:c r="A6540" s="2" t="str">
        <x:v>TEN-BE60E5F94A8F</x:v>
      </x:c>
      <x:c r="B6540" s="12" t="str">
        <x:v>SRJ GLOBAL SOFTECH</x:v>
      </x:c>
      <x:c r="C6540" s="12" t="str">
        <x:v>CORP-0775</x:v>
      </x:c>
      <x:c r="D6540" s="12" t="str">
        <x:v>Delhi NCR</x:v>
      </x:c>
      <x:c r="E6540" s="12" t="str">
        <x:v>IHDP Business Park</x:v>
      </x:c>
      <x:c r="F6540" s="12" t="str">
        <x:v>55 inch</x:v>
      </x:c>
      <x:c r="G6540" s="20" t="n">
        <x:v>1</x:v>
      </x:c>
      <x:c r="H6540" s="12" t="str">
        <x:v>Campus/portfolio roster; individual building occupancy unverified</x:v>
      </x:c>
      <x:c r="I6540" s="12" t="str">
        <x:v>Mixed business audience</x:v>
      </x:c>
      <x:c r="J6540" s="12" t="str">
        <x:v>Unresolved</x:v>
      </x:c>
      <x:c r="K6540" s="2" t="str">
        <x:v>PARTNER-M358</x:v>
      </x:c>
    </x:row>
    <x:row r="6541" ht="46" customHeight="1">
      <x:c r="A6541" s="2" t="str">
        <x:v>TEN-11AE440BBF7C</x:v>
      </x:c>
      <x:c r="B6541" s="12" t="str">
        <x:v>Infosys Limited</x:v>
      </x:c>
      <x:c r="C6541" s="12" t="str">
        <x:v>CORP-0776</x:v>
      </x:c>
      <x:c r="D6541" s="12" t="str">
        <x:v>Delhi NCR</x:v>
      </x:c>
      <x:c r="E6541" s="12" t="str">
        <x:v>IHDP Business Park</x:v>
      </x:c>
      <x:c r="F6541" s="12" t="str">
        <x:v>55 inch</x:v>
      </x:c>
      <x:c r="G6541" s="20" t="n">
        <x:v>1</x:v>
      </x:c>
      <x:c r="H6541" s="12" t="str">
        <x:v>Campus/portfolio roster; individual building occupancy unverified</x:v>
      </x:c>
      <x:c r="I6541" s="12" t="str">
        <x:v>Large enterprise</x:v>
      </x:c>
      <x:c r="J6541" s="12" t="str">
        <x:v>IT &amp; digital</x:v>
      </x:c>
      <x:c r="K6541" s="2" t="str">
        <x:v>PARTNER-M358</x:v>
      </x:c>
    </x:row>
    <x:row r="6542" ht="46" customHeight="1">
      <x:c r="A6542" s="2" t="str">
        <x:v>TEN-BE60E5F94A8F</x:v>
      </x:c>
      <x:c r="B6542" s="12" t="str">
        <x:v>SRJ GLOBAL SOFTECH</x:v>
      </x:c>
      <x:c r="C6542" s="12" t="str">
        <x:v>CORP-0776</x:v>
      </x:c>
      <x:c r="D6542" s="12" t="str">
        <x:v>Delhi NCR</x:v>
      </x:c>
      <x:c r="E6542" s="12" t="str">
        <x:v>IHDP Business Park</x:v>
      </x:c>
      <x:c r="F6542" s="12" t="str">
        <x:v>55 inch</x:v>
      </x:c>
      <x:c r="G6542" s="20" t="n">
        <x:v>1</x:v>
      </x:c>
      <x:c r="H6542" s="12" t="str">
        <x:v>Campus/portfolio roster; individual building occupancy unverified</x:v>
      </x:c>
      <x:c r="I6542" s="12" t="str">
        <x:v>Mixed business audience</x:v>
      </x:c>
      <x:c r="J6542" s="12" t="str">
        <x:v>Unresolved</x:v>
      </x:c>
      <x:c r="K6542" s="2" t="str">
        <x:v>PARTNER-M358</x:v>
      </x:c>
    </x:row>
    <x:row r="6543" ht="46" customHeight="1">
      <x:c r="A6543" s="2" t="str">
        <x:v>TEN-11AE440BBF7C</x:v>
      </x:c>
      <x:c r="B6543" s="12" t="str">
        <x:v>Infosys Limited</x:v>
      </x:c>
      <x:c r="C6543" s="12" t="str">
        <x:v>CORP-0777</x:v>
      </x:c>
      <x:c r="D6543" s="12" t="str">
        <x:v>Delhi NCR</x:v>
      </x:c>
      <x:c r="E6543" s="12" t="str">
        <x:v>IHDP Business Park</x:v>
      </x:c>
      <x:c r="F6543" s="12" t="str">
        <x:v>55 inch</x:v>
      </x:c>
      <x:c r="G6543" s="20" t="n">
        <x:v>1</x:v>
      </x:c>
      <x:c r="H6543" s="12" t="str">
        <x:v>Campus/portfolio roster; individual building occupancy unverified</x:v>
      </x:c>
      <x:c r="I6543" s="12" t="str">
        <x:v>Large enterprise</x:v>
      </x:c>
      <x:c r="J6543" s="12" t="str">
        <x:v>IT &amp; digital</x:v>
      </x:c>
      <x:c r="K6543" s="2" t="str">
        <x:v>PARTNER-M358</x:v>
      </x:c>
    </x:row>
    <x:row r="6544" ht="46" customHeight="1">
      <x:c r="A6544" s="2" t="str">
        <x:v>TEN-BE60E5F94A8F</x:v>
      </x:c>
      <x:c r="B6544" s="12" t="str">
        <x:v>SRJ GLOBAL SOFTECH</x:v>
      </x:c>
      <x:c r="C6544" s="12" t="str">
        <x:v>CORP-0777</x:v>
      </x:c>
      <x:c r="D6544" s="12" t="str">
        <x:v>Delhi NCR</x:v>
      </x:c>
      <x:c r="E6544" s="12" t="str">
        <x:v>IHDP Business Park</x:v>
      </x:c>
      <x:c r="F6544" s="12" t="str">
        <x:v>55 inch</x:v>
      </x:c>
      <x:c r="G6544" s="20" t="n">
        <x:v>1</x:v>
      </x:c>
      <x:c r="H6544" s="12" t="str">
        <x:v>Campus/portfolio roster; individual building occupancy unverified</x:v>
      </x:c>
      <x:c r="I6544" s="12" t="str">
        <x:v>Mixed business audience</x:v>
      </x:c>
      <x:c r="J6544" s="12" t="str">
        <x:v>Unresolved</x:v>
      </x:c>
      <x:c r="K6544" s="2" t="str">
        <x:v>PARTNER-M358</x:v>
      </x:c>
    </x:row>
    <x:row r="6545" ht="46" customHeight="1">
      <x:c r="A6545" s="2" t="str">
        <x:v>TEN-0B84B8C86C04</x:v>
      </x:c>
      <x:c r="B6545" s="12" t="str">
        <x:v>Simon Electric pvt Ltd</x:v>
      </x:c>
      <x:c r="C6545" s="12" t="str">
        <x:v>CORP-0778</x:v>
      </x:c>
      <x:c r="D6545" s="12" t="str">
        <x:v>Delhi NCR</x:v>
      </x:c>
      <x:c r="E6545" s="12" t="str">
        <x:v>Urbtech Trade Centre</x:v>
      </x:c>
      <x:c r="F6545" s="12" t="str">
        <x:v>55 inch</x:v>
      </x:c>
      <x:c r="G6545" s="20" t="n">
        <x:v>1</x:v>
      </x:c>
      <x:c r="H6545" s="12" t="str">
        <x:v>Campus/portfolio roster; individual building occupancy unverified</x:v>
      </x:c>
      <x:c r="I6545" s="12" t="str">
        <x:v>Medium-scale prospects</x:v>
      </x:c>
      <x:c r="J6545" s="12" t="str">
        <x:v>Engineering &amp; manufacturing</x:v>
      </x:c>
      <x:c r="K6545" s="2" t="str">
        <x:v>PARTNER-M365</x:v>
      </x:c>
    </x:row>
    <x:row r="6546" ht="46" customHeight="1">
      <x:c r="A6546" s="2" t="str">
        <x:v>TEN-1C4CDE20CBE1</x:v>
      </x:c>
      <x:c r="B6546" s="12" t="str">
        <x:v>SuperAdMedia</x:v>
      </x:c>
      <x:c r="C6546" s="12" t="str">
        <x:v>CORP-0778</x:v>
      </x:c>
      <x:c r="D6546" s="12" t="str">
        <x:v>Delhi NCR</x:v>
      </x:c>
      <x:c r="E6546" s="12" t="str">
        <x:v>Urbtech Trade Centre</x:v>
      </x:c>
      <x:c r="F6546" s="12" t="str">
        <x:v>55 inch</x:v>
      </x:c>
      <x:c r="G6546" s="20" t="n">
        <x:v>1</x:v>
      </x:c>
      <x:c r="H6546" s="12" t="str">
        <x:v>Campus/portfolio roster; individual building occupancy unverified</x:v>
      </x:c>
      <x:c r="I6546" s="12" t="str">
        <x:v>Small-scale prospects</x:v>
      </x:c>
      <x:c r="J6546" s="12" t="str">
        <x:v>Professional services</x:v>
      </x:c>
      <x:c r="K6546" s="2" t="str">
        <x:v>PARTNER-M365</x:v>
      </x:c>
    </x:row>
    <x:row r="6547" ht="46" customHeight="1">
      <x:c r="A6547" s="2" t="str">
        <x:v>TEN-24BCCA39B43D</x:v>
      </x:c>
      <x:c r="B6547" s="12" t="str">
        <x:v>Serenia Coworking</x:v>
      </x:c>
      <x:c r="C6547" s="12" t="str">
        <x:v>CORP-0778</x:v>
      </x:c>
      <x:c r="D6547" s="12" t="str">
        <x:v>Delhi NCR</x:v>
      </x:c>
      <x:c r="E6547" s="12" t="str">
        <x:v>Urbtech Trade Centre</x:v>
      </x:c>
      <x:c r="F6547" s="12" t="str">
        <x:v>55 inch</x:v>
      </x:c>
      <x:c r="G6547" s="20" t="n">
        <x:v>1</x:v>
      </x:c>
      <x:c r="H6547" s="12" t="str">
        <x:v>Campus/portfolio roster; individual building occupancy unverified</x:v>
      </x:c>
      <x:c r="I6547" s="12" t="str">
        <x:v>Mixed business audience</x:v>
      </x:c>
      <x:c r="J6547" s="12" t="str">
        <x:v>Workspace &amp; property operations</x:v>
      </x:c>
      <x:c r="K6547" s="2" t="str">
        <x:v>PARTNER-M365</x:v>
      </x:c>
    </x:row>
    <x:row r="6548" ht="46" customHeight="1">
      <x:c r="A6548" s="2" t="str">
        <x:v>TEN-24E8B74B48CE</x:v>
      </x:c>
      <x:c r="B6548" s="12" t="str">
        <x:v>Anektos Hybrid Buildings Pvt. Ltd</x:v>
      </x:c>
      <x:c r="C6548" s="12" t="str">
        <x:v>CORP-0778</x:v>
      </x:c>
      <x:c r="D6548" s="12" t="str">
        <x:v>Delhi NCR</x:v>
      </x:c>
      <x:c r="E6548" s="12" t="str">
        <x:v>Urbtech Trade Centre</x:v>
      </x:c>
      <x:c r="F6548" s="12" t="str">
        <x:v>55 inch</x:v>
      </x:c>
      <x:c r="G6548" s="20" t="n">
        <x:v>1</x:v>
      </x:c>
      <x:c r="H6548" s="12" t="str">
        <x:v>Campus/portfolio roster; individual building occupancy unverified</x:v>
      </x:c>
      <x:c r="I6548" s="12" t="str">
        <x:v>Small-scale prospects</x:v>
      </x:c>
      <x:c r="J6548" s="12" t="str">
        <x:v>Trade, consumer &amp; logistics</x:v>
      </x:c>
      <x:c r="K6548" s="2" t="str">
        <x:v>PARTNER-M365</x:v>
      </x:c>
    </x:row>
    <x:row r="6549" ht="46" customHeight="1">
      <x:c r="A6549" s="2" t="str">
        <x:v>TEN-351F2133C349</x:v>
      </x:c>
      <x:c r="B6549" s="12" t="str">
        <x:v>SmartTech Messaging</x:v>
      </x:c>
      <x:c r="C6549" s="12" t="str">
        <x:v>CORP-0778</x:v>
      </x:c>
      <x:c r="D6549" s="12" t="str">
        <x:v>Delhi NCR</x:v>
      </x:c>
      <x:c r="E6549" s="12" t="str">
        <x:v>Urbtech Trade Centre</x:v>
      </x:c>
      <x:c r="F6549" s="12" t="str">
        <x:v>55 inch</x:v>
      </x:c>
      <x:c r="G6549" s="20" t="n">
        <x:v>1</x:v>
      </x:c>
      <x:c r="H6549" s="12" t="str">
        <x:v>Campus/portfolio roster; individual building occupancy unverified</x:v>
      </x:c>
      <x:c r="I6549" s="12" t="str">
        <x:v>Mixed business audience</x:v>
      </x:c>
      <x:c r="J6549" s="12" t="str">
        <x:v>Unresolved</x:v>
      </x:c>
      <x:c r="K6549" s="2" t="str">
        <x:v>PARTNER-M365</x:v>
      </x:c>
    </x:row>
    <x:row r="6550" ht="46" customHeight="1">
      <x:c r="A6550" s="2" t="str">
        <x:v>TEN-4637D767B45C</x:v>
      </x:c>
      <x:c r="B6550" s="12" t="str">
        <x:v>INLIVING</x:v>
      </x:c>
      <x:c r="C6550" s="12" t="str">
        <x:v>CORP-0778</x:v>
      </x:c>
      <x:c r="D6550" s="12" t="str">
        <x:v>Delhi NCR</x:v>
      </x:c>
      <x:c r="E6550" s="12" t="str">
        <x:v>Urbtech Trade Centre</x:v>
      </x:c>
      <x:c r="F6550" s="12" t="str">
        <x:v>55 inch</x:v>
      </x:c>
      <x:c r="G6550" s="20" t="n">
        <x:v>1</x:v>
      </x:c>
      <x:c r="H6550" s="12" t="str">
        <x:v>Campus/portfolio roster; individual building occupancy unverified</x:v>
      </x:c>
      <x:c r="I6550" s="12" t="str">
        <x:v>Small-scale prospects</x:v>
      </x:c>
      <x:c r="J6550" s="12" t="str">
        <x:v>Trade, consumer &amp; logistics</x:v>
      </x:c>
      <x:c r="K6550" s="2" t="str">
        <x:v>PARTNER-M365</x:v>
      </x:c>
    </x:row>
    <x:row r="6551" ht="46" customHeight="1">
      <x:c r="A6551" s="2" t="str">
        <x:v>TEN-6186C00E74F2</x:v>
      </x:c>
      <x:c r="B6551" s="12" t="str">
        <x:v>The LHR Group</x:v>
      </x:c>
      <x:c r="C6551" s="12" t="str">
        <x:v>CORP-0778</x:v>
      </x:c>
      <x:c r="D6551" s="12" t="str">
        <x:v>Delhi NCR</x:v>
      </x:c>
      <x:c r="E6551" s="12" t="str">
        <x:v>Urbtech Trade Centre</x:v>
      </x:c>
      <x:c r="F6551" s="12" t="str">
        <x:v>55 inch</x:v>
      </x:c>
      <x:c r="G6551" s="20" t="n">
        <x:v>1</x:v>
      </x:c>
      <x:c r="H6551" s="12" t="str">
        <x:v>Campus/portfolio roster; individual building occupancy unverified</x:v>
      </x:c>
      <x:c r="I6551" s="12" t="str">
        <x:v>Mixed business audience</x:v>
      </x:c>
      <x:c r="J6551" s="12" t="str">
        <x:v>Unresolved</x:v>
      </x:c>
      <x:c r="K6551" s="2" t="str">
        <x:v>PARTNER-M365</x:v>
      </x:c>
    </x:row>
    <x:row r="6552" ht="46" customHeight="1">
      <x:c r="A6552" s="2" t="str">
        <x:v>TEN-71E33AB069A4</x:v>
      </x:c>
      <x:c r="B6552" s="12" t="str">
        <x:v>Alyke</x:v>
      </x:c>
      <x:c r="C6552" s="12" t="str">
        <x:v>CORP-0778</x:v>
      </x:c>
      <x:c r="D6552" s="12" t="str">
        <x:v>Delhi NCR</x:v>
      </x:c>
      <x:c r="E6552" s="12" t="str">
        <x:v>Urbtech Trade Centre</x:v>
      </x:c>
      <x:c r="F6552" s="12" t="str">
        <x:v>55 inch</x:v>
      </x:c>
      <x:c r="G6552" s="20" t="n">
        <x:v>1</x:v>
      </x:c>
      <x:c r="H6552" s="12" t="str">
        <x:v>Campus/portfolio roster; individual building occupancy unverified</x:v>
      </x:c>
      <x:c r="I6552" s="12" t="str">
        <x:v>Mixed business audience</x:v>
      </x:c>
      <x:c r="J6552" s="12" t="str">
        <x:v>Unresolved</x:v>
      </x:c>
      <x:c r="K6552" s="2" t="str">
        <x:v>PARTNER-M365</x:v>
      </x:c>
    </x:row>
    <x:row r="6553" ht="46" customHeight="1">
      <x:c r="A6553" s="2" t="str">
        <x:v>TEN-8B608DCA827C</x:v>
      </x:c>
      <x:c r="B6553" s="12" t="str">
        <x:v>Zebra Technologies India Pvt Ltd</x:v>
      </x:c>
      <x:c r="C6553" s="12" t="str">
        <x:v>CORP-0778</x:v>
      </x:c>
      <x:c r="D6553" s="12" t="str">
        <x:v>Delhi NCR</x:v>
      </x:c>
      <x:c r="E6553" s="12" t="str">
        <x:v>Urbtech Trade Centre</x:v>
      </x:c>
      <x:c r="F6553" s="12" t="str">
        <x:v>55 inch</x:v>
      </x:c>
      <x:c r="G6553" s="20" t="n">
        <x:v>1</x:v>
      </x:c>
      <x:c r="H6553" s="12" t="str">
        <x:v>Campus/portfolio roster; individual building occupancy unverified</x:v>
      </x:c>
      <x:c r="I6553" s="12" t="str">
        <x:v>Mixed business audience</x:v>
      </x:c>
      <x:c r="J6553" s="12" t="str">
        <x:v>Engineering &amp; manufacturing</x:v>
      </x:c>
      <x:c r="K6553" s="2" t="str">
        <x:v>PARTNER-M365</x:v>
      </x:c>
    </x:row>
    <x:row r="6554" ht="46" customHeight="1">
      <x:c r="A6554" s="2" t="str">
        <x:v>TEN-9A16AFDC257F</x:v>
      </x:c>
      <x:c r="B6554" s="12" t="str">
        <x:v>Herbal Chakra Private Limited</x:v>
      </x:c>
      <x:c r="C6554" s="12" t="str">
        <x:v>CORP-0778</x:v>
      </x:c>
      <x:c r="D6554" s="12" t="str">
        <x:v>Delhi NCR</x:v>
      </x:c>
      <x:c r="E6554" s="12" t="str">
        <x:v>Urbtech Trade Centre</x:v>
      </x:c>
      <x:c r="F6554" s="12" t="str">
        <x:v>55 inch</x:v>
      </x:c>
      <x:c r="G6554" s="20" t="n">
        <x:v>1</x:v>
      </x:c>
      <x:c r="H6554" s="12" t="str">
        <x:v>Campus/portfolio roster; individual building occupancy unverified</x:v>
      </x:c>
      <x:c r="I6554" s="12" t="str">
        <x:v>Medium-scale prospects</x:v>
      </x:c>
      <x:c r="J6554" s="12" t="str">
        <x:v>Healthcare &amp; life sciences</x:v>
      </x:c>
      <x:c r="K6554" s="2" t="str">
        <x:v>PARTNER-M365</x:v>
      </x:c>
    </x:row>
    <x:row r="6555" ht="46" customHeight="1">
      <x:c r="A6555" s="2" t="str">
        <x:v>TEN-A84075D6CDAD</x:v>
      </x:c>
      <x:c r="B6555" s="12" t="str">
        <x:v>Techknowlabs Pvt Ltd</x:v>
      </x:c>
      <x:c r="C6555" s="12" t="str">
        <x:v>CORP-0778</x:v>
      </x:c>
      <x:c r="D6555" s="12" t="str">
        <x:v>Delhi NCR</x:v>
      </x:c>
      <x:c r="E6555" s="12" t="str">
        <x:v>Urbtech Trade Centre</x:v>
      </x:c>
      <x:c r="F6555" s="12" t="str">
        <x:v>55 inch</x:v>
      </x:c>
      <x:c r="G6555" s="20" t="n">
        <x:v>1</x:v>
      </x:c>
      <x:c r="H6555" s="12" t="str">
        <x:v>Campus/portfolio roster; individual building occupancy unverified</x:v>
      </x:c>
      <x:c r="I6555" s="12" t="str">
        <x:v>Mixed business audience</x:v>
      </x:c>
      <x:c r="J6555" s="12" t="str">
        <x:v>Unresolved</x:v>
      </x:c>
      <x:c r="K6555" s="2" t="str">
        <x:v>PARTNER-M365</x:v>
      </x:c>
    </x:row>
    <x:row r="6556" ht="46" customHeight="1">
      <x:c r="A6556" s="2" t="str">
        <x:v>TEN-B6D604AAAE8B</x:v>
      </x:c>
      <x:c r="B6556" s="12" t="str">
        <x:v>IPS BOUNCER WEDDING EVENT MANAGEMENT</x:v>
      </x:c>
      <x:c r="C6556" s="12" t="str">
        <x:v>CORP-0778</x:v>
      </x:c>
      <x:c r="D6556" s="12" t="str">
        <x:v>Delhi NCR</x:v>
      </x:c>
      <x:c r="E6556" s="12" t="str">
        <x:v>Urbtech Trade Centre</x:v>
      </x:c>
      <x:c r="F6556" s="12" t="str">
        <x:v>55 inch</x:v>
      </x:c>
      <x:c r="G6556" s="20" t="n">
        <x:v>1</x:v>
      </x:c>
      <x:c r="H6556" s="12" t="str">
        <x:v>Campus/portfolio roster; individual building occupancy unverified</x:v>
      </x:c>
      <x:c r="I6556" s="12" t="str">
        <x:v>Small-scale prospects</x:v>
      </x:c>
      <x:c r="J6556" s="12" t="str">
        <x:v>Trade, consumer &amp; logistics</x:v>
      </x:c>
      <x:c r="K6556" s="2" t="str">
        <x:v>PARTNER-M365</x:v>
      </x:c>
    </x:row>
    <x:row r="6557" ht="46" customHeight="1">
      <x:c r="A6557" s="2" t="str">
        <x:v>TEN-C81CB399F996</x:v>
      </x:c>
      <x:c r="B6557" s="12" t="str">
        <x:v>Manipal Business Solutions Private Limited</x:v>
      </x:c>
      <x:c r="C6557" s="12" t="str">
        <x:v>CORP-0778</x:v>
      </x:c>
      <x:c r="D6557" s="12" t="str">
        <x:v>Delhi NCR</x:v>
      </x:c>
      <x:c r="E6557" s="12" t="str">
        <x:v>Urbtech Trade Centre</x:v>
      </x:c>
      <x:c r="F6557" s="12" t="str">
        <x:v>55 inch</x:v>
      </x:c>
      <x:c r="G6557" s="20" t="n">
        <x:v>1</x:v>
      </x:c>
      <x:c r="H6557" s="12" t="str">
        <x:v>Campus/portfolio roster; individual building occupancy unverified</x:v>
      </x:c>
      <x:c r="I6557" s="12" t="str">
        <x:v>Mixed business audience</x:v>
      </x:c>
      <x:c r="J6557" s="12" t="str">
        <x:v>Unresolved</x:v>
      </x:c>
      <x:c r="K6557" s="2" t="str">
        <x:v>PARTNER-M365</x:v>
      </x:c>
    </x:row>
    <x:row r="6558" ht="46" customHeight="1">
      <x:c r="A6558" s="2" t="str">
        <x:v>TEN-E2657581FE46</x:v>
      </x:c>
      <x:c r="B6558" s="12" t="str">
        <x:v>Infobip</x:v>
      </x:c>
      <x:c r="C6558" s="12" t="str">
        <x:v>CORP-0778</x:v>
      </x:c>
      <x:c r="D6558" s="12" t="str">
        <x:v>Delhi NCR</x:v>
      </x:c>
      <x:c r="E6558" s="12" t="str">
        <x:v>Urbtech Trade Centre</x:v>
      </x:c>
      <x:c r="F6558" s="12" t="str">
        <x:v>55 inch</x:v>
      </x:c>
      <x:c r="G6558" s="20" t="n">
        <x:v>1</x:v>
      </x:c>
      <x:c r="H6558" s="12" t="str">
        <x:v>Campus/portfolio roster; individual building occupancy unverified</x:v>
      </x:c>
      <x:c r="I6558" s="12" t="str">
        <x:v>Mixed business audience</x:v>
      </x:c>
      <x:c r="J6558" s="12" t="str">
        <x:v>Unresolved</x:v>
      </x:c>
      <x:c r="K6558" s="2" t="str">
        <x:v>PARTNER-M365</x:v>
      </x:c>
    </x:row>
    <x:row r="6559" ht="46" customHeight="1">
      <x:c r="A6559" s="2" t="str">
        <x:v>TEN-EE965BC63671</x:v>
      </x:c>
      <x:c r="B6559" s="12" t="str">
        <x:v>eMaven Solutions Pvt. Ltd</x:v>
      </x:c>
      <x:c r="C6559" s="12" t="str">
        <x:v>CORP-0778</x:v>
      </x:c>
      <x:c r="D6559" s="12" t="str">
        <x:v>Delhi NCR</x:v>
      </x:c>
      <x:c r="E6559" s="12" t="str">
        <x:v>Urbtech Trade Centre</x:v>
      </x:c>
      <x:c r="F6559" s="12" t="str">
        <x:v>55 inch</x:v>
      </x:c>
      <x:c r="G6559" s="20" t="n">
        <x:v>1</x:v>
      </x:c>
      <x:c r="H6559" s="12" t="str">
        <x:v>Campus/portfolio roster; individual building occupancy unverified</x:v>
      </x:c>
      <x:c r="I6559" s="12" t="str">
        <x:v>Mixed business audience</x:v>
      </x:c>
      <x:c r="J6559" s="12" t="str">
        <x:v>Unresolved</x:v>
      </x:c>
      <x:c r="K6559" s="2" t="str">
        <x:v>PARTNER-M365</x:v>
      </x:c>
    </x:row>
    <x:row r="6560" ht="46" customHeight="1">
      <x:c r="A6560" s="2" t="str">
        <x:v>TEN-0B84B8C86C04</x:v>
      </x:c>
      <x:c r="B6560" s="12" t="str">
        <x:v>Simon Electric pvt Ltd</x:v>
      </x:c>
      <x:c r="C6560" s="12" t="str">
        <x:v>CORP-0779</x:v>
      </x:c>
      <x:c r="D6560" s="12" t="str">
        <x:v>Delhi NCR</x:v>
      </x:c>
      <x:c r="E6560" s="12" t="str">
        <x:v>Urbtech Trade Centre</x:v>
      </x:c>
      <x:c r="F6560" s="12" t="str">
        <x:v>55 inch</x:v>
      </x:c>
      <x:c r="G6560" s="20" t="n">
        <x:v>1</x:v>
      </x:c>
      <x:c r="H6560" s="12" t="str">
        <x:v>Campus/portfolio roster; individual building occupancy unverified</x:v>
      </x:c>
      <x:c r="I6560" s="12" t="str">
        <x:v>Medium-scale prospects</x:v>
      </x:c>
      <x:c r="J6560" s="12" t="str">
        <x:v>Engineering &amp; manufacturing</x:v>
      </x:c>
      <x:c r="K6560" s="2" t="str">
        <x:v>PARTNER-M365</x:v>
      </x:c>
    </x:row>
    <x:row r="6561" ht="46" customHeight="1">
      <x:c r="A6561" s="2" t="str">
        <x:v>TEN-1C4CDE20CBE1</x:v>
      </x:c>
      <x:c r="B6561" s="12" t="str">
        <x:v>SuperAdMedia</x:v>
      </x:c>
      <x:c r="C6561" s="12" t="str">
        <x:v>CORP-0779</x:v>
      </x:c>
      <x:c r="D6561" s="12" t="str">
        <x:v>Delhi NCR</x:v>
      </x:c>
      <x:c r="E6561" s="12" t="str">
        <x:v>Urbtech Trade Centre</x:v>
      </x:c>
      <x:c r="F6561" s="12" t="str">
        <x:v>55 inch</x:v>
      </x:c>
      <x:c r="G6561" s="20" t="n">
        <x:v>1</x:v>
      </x:c>
      <x:c r="H6561" s="12" t="str">
        <x:v>Campus/portfolio roster; individual building occupancy unverified</x:v>
      </x:c>
      <x:c r="I6561" s="12" t="str">
        <x:v>Small-scale prospects</x:v>
      </x:c>
      <x:c r="J6561" s="12" t="str">
        <x:v>Professional services</x:v>
      </x:c>
      <x:c r="K6561" s="2" t="str">
        <x:v>PARTNER-M365</x:v>
      </x:c>
    </x:row>
    <x:row r="6562" ht="46" customHeight="1">
      <x:c r="A6562" s="2" t="str">
        <x:v>TEN-24BCCA39B43D</x:v>
      </x:c>
      <x:c r="B6562" s="12" t="str">
        <x:v>Serenia Coworking</x:v>
      </x:c>
      <x:c r="C6562" s="12" t="str">
        <x:v>CORP-0779</x:v>
      </x:c>
      <x:c r="D6562" s="12" t="str">
        <x:v>Delhi NCR</x:v>
      </x:c>
      <x:c r="E6562" s="12" t="str">
        <x:v>Urbtech Trade Centre</x:v>
      </x:c>
      <x:c r="F6562" s="12" t="str">
        <x:v>55 inch</x:v>
      </x:c>
      <x:c r="G6562" s="20" t="n">
        <x:v>1</x:v>
      </x:c>
      <x:c r="H6562" s="12" t="str">
        <x:v>Campus/portfolio roster; individual building occupancy unverified</x:v>
      </x:c>
      <x:c r="I6562" s="12" t="str">
        <x:v>Mixed business audience</x:v>
      </x:c>
      <x:c r="J6562" s="12" t="str">
        <x:v>Workspace &amp; property operations</x:v>
      </x:c>
      <x:c r="K6562" s="2" t="str">
        <x:v>PARTNER-M365</x:v>
      </x:c>
    </x:row>
    <x:row r="6563" ht="46" customHeight="1">
      <x:c r="A6563" s="2" t="str">
        <x:v>TEN-24E8B74B48CE</x:v>
      </x:c>
      <x:c r="B6563" s="12" t="str">
        <x:v>Anektos Hybrid Buildings Pvt. Ltd</x:v>
      </x:c>
      <x:c r="C6563" s="12" t="str">
        <x:v>CORP-0779</x:v>
      </x:c>
      <x:c r="D6563" s="12" t="str">
        <x:v>Delhi NCR</x:v>
      </x:c>
      <x:c r="E6563" s="12" t="str">
        <x:v>Urbtech Trade Centre</x:v>
      </x:c>
      <x:c r="F6563" s="12" t="str">
        <x:v>55 inch</x:v>
      </x:c>
      <x:c r="G6563" s="20" t="n">
        <x:v>1</x:v>
      </x:c>
      <x:c r="H6563" s="12" t="str">
        <x:v>Campus/portfolio roster; individual building occupancy unverified</x:v>
      </x:c>
      <x:c r="I6563" s="12" t="str">
        <x:v>Small-scale prospects</x:v>
      </x:c>
      <x:c r="J6563" s="12" t="str">
        <x:v>Trade, consumer &amp; logistics</x:v>
      </x:c>
      <x:c r="K6563" s="2" t="str">
        <x:v>PARTNER-M365</x:v>
      </x:c>
    </x:row>
    <x:row r="6564" ht="46" customHeight="1">
      <x:c r="A6564" s="2" t="str">
        <x:v>TEN-351F2133C349</x:v>
      </x:c>
      <x:c r="B6564" s="12" t="str">
        <x:v>SmartTech Messaging</x:v>
      </x:c>
      <x:c r="C6564" s="12" t="str">
        <x:v>CORP-0779</x:v>
      </x:c>
      <x:c r="D6564" s="12" t="str">
        <x:v>Delhi NCR</x:v>
      </x:c>
      <x:c r="E6564" s="12" t="str">
        <x:v>Urbtech Trade Centre</x:v>
      </x:c>
      <x:c r="F6564" s="12" t="str">
        <x:v>55 inch</x:v>
      </x:c>
      <x:c r="G6564" s="20" t="n">
        <x:v>1</x:v>
      </x:c>
      <x:c r="H6564" s="12" t="str">
        <x:v>Campus/portfolio roster; individual building occupancy unverified</x:v>
      </x:c>
      <x:c r="I6564" s="12" t="str">
        <x:v>Mixed business audience</x:v>
      </x:c>
      <x:c r="J6564" s="12" t="str">
        <x:v>Unresolved</x:v>
      </x:c>
      <x:c r="K6564" s="2" t="str">
        <x:v>PARTNER-M365</x:v>
      </x:c>
    </x:row>
    <x:row r="6565" ht="46" customHeight="1">
      <x:c r="A6565" s="2" t="str">
        <x:v>TEN-4637D767B45C</x:v>
      </x:c>
      <x:c r="B6565" s="12" t="str">
        <x:v>INLIVING</x:v>
      </x:c>
      <x:c r="C6565" s="12" t="str">
        <x:v>CORP-0779</x:v>
      </x:c>
      <x:c r="D6565" s="12" t="str">
        <x:v>Delhi NCR</x:v>
      </x:c>
      <x:c r="E6565" s="12" t="str">
        <x:v>Urbtech Trade Centre</x:v>
      </x:c>
      <x:c r="F6565" s="12" t="str">
        <x:v>55 inch</x:v>
      </x:c>
      <x:c r="G6565" s="20" t="n">
        <x:v>1</x:v>
      </x:c>
      <x:c r="H6565" s="12" t="str">
        <x:v>Campus/portfolio roster; individual building occupancy unverified</x:v>
      </x:c>
      <x:c r="I6565" s="12" t="str">
        <x:v>Small-scale prospects</x:v>
      </x:c>
      <x:c r="J6565" s="12" t="str">
        <x:v>Trade, consumer &amp; logistics</x:v>
      </x:c>
      <x:c r="K6565" s="2" t="str">
        <x:v>PARTNER-M365</x:v>
      </x:c>
    </x:row>
    <x:row r="6566" ht="46" customHeight="1">
      <x:c r="A6566" s="2" t="str">
        <x:v>TEN-6186C00E74F2</x:v>
      </x:c>
      <x:c r="B6566" s="12" t="str">
        <x:v>The LHR Group</x:v>
      </x:c>
      <x:c r="C6566" s="12" t="str">
        <x:v>CORP-0779</x:v>
      </x:c>
      <x:c r="D6566" s="12" t="str">
        <x:v>Delhi NCR</x:v>
      </x:c>
      <x:c r="E6566" s="12" t="str">
        <x:v>Urbtech Trade Centre</x:v>
      </x:c>
      <x:c r="F6566" s="12" t="str">
        <x:v>55 inch</x:v>
      </x:c>
      <x:c r="G6566" s="20" t="n">
        <x:v>1</x:v>
      </x:c>
      <x:c r="H6566" s="12" t="str">
        <x:v>Campus/portfolio roster; individual building occupancy unverified</x:v>
      </x:c>
      <x:c r="I6566" s="12" t="str">
        <x:v>Mixed business audience</x:v>
      </x:c>
      <x:c r="J6566" s="12" t="str">
        <x:v>Unresolved</x:v>
      </x:c>
      <x:c r="K6566" s="2" t="str">
        <x:v>PARTNER-M365</x:v>
      </x:c>
    </x:row>
    <x:row r="6567" ht="46" customHeight="1">
      <x:c r="A6567" s="2" t="str">
        <x:v>TEN-71E33AB069A4</x:v>
      </x:c>
      <x:c r="B6567" s="12" t="str">
        <x:v>Alyke</x:v>
      </x:c>
      <x:c r="C6567" s="12" t="str">
        <x:v>CORP-0779</x:v>
      </x:c>
      <x:c r="D6567" s="12" t="str">
        <x:v>Delhi NCR</x:v>
      </x:c>
      <x:c r="E6567" s="12" t="str">
        <x:v>Urbtech Trade Centre</x:v>
      </x:c>
      <x:c r="F6567" s="12" t="str">
        <x:v>55 inch</x:v>
      </x:c>
      <x:c r="G6567" s="20" t="n">
        <x:v>1</x:v>
      </x:c>
      <x:c r="H6567" s="12" t="str">
        <x:v>Campus/portfolio roster; individual building occupancy unverified</x:v>
      </x:c>
      <x:c r="I6567" s="12" t="str">
        <x:v>Mixed business audience</x:v>
      </x:c>
      <x:c r="J6567" s="12" t="str">
        <x:v>Unresolved</x:v>
      </x:c>
      <x:c r="K6567" s="2" t="str">
        <x:v>PARTNER-M365</x:v>
      </x:c>
    </x:row>
    <x:row r="6568" ht="46" customHeight="1">
      <x:c r="A6568" s="2" t="str">
        <x:v>TEN-8B608DCA827C</x:v>
      </x:c>
      <x:c r="B6568" s="12" t="str">
        <x:v>Zebra Technologies India Pvt Ltd</x:v>
      </x:c>
      <x:c r="C6568" s="12" t="str">
        <x:v>CORP-0779</x:v>
      </x:c>
      <x:c r="D6568" s="12" t="str">
        <x:v>Delhi NCR</x:v>
      </x:c>
      <x:c r="E6568" s="12" t="str">
        <x:v>Urbtech Trade Centre</x:v>
      </x:c>
      <x:c r="F6568" s="12" t="str">
        <x:v>55 inch</x:v>
      </x:c>
      <x:c r="G6568" s="20" t="n">
        <x:v>1</x:v>
      </x:c>
      <x:c r="H6568" s="12" t="str">
        <x:v>Campus/portfolio roster; individual building occupancy unverified</x:v>
      </x:c>
      <x:c r="I6568" s="12" t="str">
        <x:v>Mixed business audience</x:v>
      </x:c>
      <x:c r="J6568" s="12" t="str">
        <x:v>Engineering &amp; manufacturing</x:v>
      </x:c>
      <x:c r="K6568" s="2" t="str">
        <x:v>PARTNER-M365</x:v>
      </x:c>
    </x:row>
    <x:row r="6569" ht="46" customHeight="1">
      <x:c r="A6569" s="2" t="str">
        <x:v>TEN-9A16AFDC257F</x:v>
      </x:c>
      <x:c r="B6569" s="12" t="str">
        <x:v>Herbal Chakra Private Limited</x:v>
      </x:c>
      <x:c r="C6569" s="12" t="str">
        <x:v>CORP-0779</x:v>
      </x:c>
      <x:c r="D6569" s="12" t="str">
        <x:v>Delhi NCR</x:v>
      </x:c>
      <x:c r="E6569" s="12" t="str">
        <x:v>Urbtech Trade Centre</x:v>
      </x:c>
      <x:c r="F6569" s="12" t="str">
        <x:v>55 inch</x:v>
      </x:c>
      <x:c r="G6569" s="20" t="n">
        <x:v>1</x:v>
      </x:c>
      <x:c r="H6569" s="12" t="str">
        <x:v>Campus/portfolio roster; individual building occupancy unverified</x:v>
      </x:c>
      <x:c r="I6569" s="12" t="str">
        <x:v>Medium-scale prospects</x:v>
      </x:c>
      <x:c r="J6569" s="12" t="str">
        <x:v>Healthcare &amp; life sciences</x:v>
      </x:c>
      <x:c r="K6569" s="2" t="str">
        <x:v>PARTNER-M365</x:v>
      </x:c>
    </x:row>
    <x:row r="6570" ht="46" customHeight="1">
      <x:c r="A6570" s="2" t="str">
        <x:v>TEN-A84075D6CDAD</x:v>
      </x:c>
      <x:c r="B6570" s="12" t="str">
        <x:v>Techknowlabs Pvt Ltd</x:v>
      </x:c>
      <x:c r="C6570" s="12" t="str">
        <x:v>CORP-0779</x:v>
      </x:c>
      <x:c r="D6570" s="12" t="str">
        <x:v>Delhi NCR</x:v>
      </x:c>
      <x:c r="E6570" s="12" t="str">
        <x:v>Urbtech Trade Centre</x:v>
      </x:c>
      <x:c r="F6570" s="12" t="str">
        <x:v>55 inch</x:v>
      </x:c>
      <x:c r="G6570" s="20" t="n">
        <x:v>1</x:v>
      </x:c>
      <x:c r="H6570" s="12" t="str">
        <x:v>Campus/portfolio roster; individual building occupancy unverified</x:v>
      </x:c>
      <x:c r="I6570" s="12" t="str">
        <x:v>Mixed business audience</x:v>
      </x:c>
      <x:c r="J6570" s="12" t="str">
        <x:v>Unresolved</x:v>
      </x:c>
      <x:c r="K6570" s="2" t="str">
        <x:v>PARTNER-M365</x:v>
      </x:c>
    </x:row>
    <x:row r="6571" ht="46" customHeight="1">
      <x:c r="A6571" s="2" t="str">
        <x:v>TEN-B6D604AAAE8B</x:v>
      </x:c>
      <x:c r="B6571" s="12" t="str">
        <x:v>IPS BOUNCER WEDDING EVENT MANAGEMENT</x:v>
      </x:c>
      <x:c r="C6571" s="12" t="str">
        <x:v>CORP-0779</x:v>
      </x:c>
      <x:c r="D6571" s="12" t="str">
        <x:v>Delhi NCR</x:v>
      </x:c>
      <x:c r="E6571" s="12" t="str">
        <x:v>Urbtech Trade Centre</x:v>
      </x:c>
      <x:c r="F6571" s="12" t="str">
        <x:v>55 inch</x:v>
      </x:c>
      <x:c r="G6571" s="20" t="n">
        <x:v>1</x:v>
      </x:c>
      <x:c r="H6571" s="12" t="str">
        <x:v>Campus/portfolio roster; individual building occupancy unverified</x:v>
      </x:c>
      <x:c r="I6571" s="12" t="str">
        <x:v>Small-scale prospects</x:v>
      </x:c>
      <x:c r="J6571" s="12" t="str">
        <x:v>Trade, consumer &amp; logistics</x:v>
      </x:c>
      <x:c r="K6571" s="2" t="str">
        <x:v>PARTNER-M365</x:v>
      </x:c>
    </x:row>
    <x:row r="6572" ht="46" customHeight="1">
      <x:c r="A6572" s="2" t="str">
        <x:v>TEN-C81CB399F996</x:v>
      </x:c>
      <x:c r="B6572" s="12" t="str">
        <x:v>Manipal Business Solutions Private Limited</x:v>
      </x:c>
      <x:c r="C6572" s="12" t="str">
        <x:v>CORP-0779</x:v>
      </x:c>
      <x:c r="D6572" s="12" t="str">
        <x:v>Delhi NCR</x:v>
      </x:c>
      <x:c r="E6572" s="12" t="str">
        <x:v>Urbtech Trade Centre</x:v>
      </x:c>
      <x:c r="F6572" s="12" t="str">
        <x:v>55 inch</x:v>
      </x:c>
      <x:c r="G6572" s="20" t="n">
        <x:v>1</x:v>
      </x:c>
      <x:c r="H6572" s="12" t="str">
        <x:v>Campus/portfolio roster; individual building occupancy unverified</x:v>
      </x:c>
      <x:c r="I6572" s="12" t="str">
        <x:v>Mixed business audience</x:v>
      </x:c>
      <x:c r="J6572" s="12" t="str">
        <x:v>Unresolved</x:v>
      </x:c>
      <x:c r="K6572" s="2" t="str">
        <x:v>PARTNER-M365</x:v>
      </x:c>
    </x:row>
    <x:row r="6573" ht="46" customHeight="1">
      <x:c r="A6573" s="2" t="str">
        <x:v>TEN-E2657581FE46</x:v>
      </x:c>
      <x:c r="B6573" s="12" t="str">
        <x:v>Infobip</x:v>
      </x:c>
      <x:c r="C6573" s="12" t="str">
        <x:v>CORP-0779</x:v>
      </x:c>
      <x:c r="D6573" s="12" t="str">
        <x:v>Delhi NCR</x:v>
      </x:c>
      <x:c r="E6573" s="12" t="str">
        <x:v>Urbtech Trade Centre</x:v>
      </x:c>
      <x:c r="F6573" s="12" t="str">
        <x:v>55 inch</x:v>
      </x:c>
      <x:c r="G6573" s="20" t="n">
        <x:v>1</x:v>
      </x:c>
      <x:c r="H6573" s="12" t="str">
        <x:v>Campus/portfolio roster; individual building occupancy unverified</x:v>
      </x:c>
      <x:c r="I6573" s="12" t="str">
        <x:v>Mixed business audience</x:v>
      </x:c>
      <x:c r="J6573" s="12" t="str">
        <x:v>Unresolved</x:v>
      </x:c>
      <x:c r="K6573" s="2" t="str">
        <x:v>PARTNER-M365</x:v>
      </x:c>
    </x:row>
    <x:row r="6574" ht="46" customHeight="1">
      <x:c r="A6574" s="2" t="str">
        <x:v>TEN-EE965BC63671</x:v>
      </x:c>
      <x:c r="B6574" s="12" t="str">
        <x:v>eMaven Solutions Pvt. Ltd</x:v>
      </x:c>
      <x:c r="C6574" s="12" t="str">
        <x:v>CORP-0779</x:v>
      </x:c>
      <x:c r="D6574" s="12" t="str">
        <x:v>Delhi NCR</x:v>
      </x:c>
      <x:c r="E6574" s="12" t="str">
        <x:v>Urbtech Trade Centre</x:v>
      </x:c>
      <x:c r="F6574" s="12" t="str">
        <x:v>55 inch</x:v>
      </x:c>
      <x:c r="G6574" s="20" t="n">
        <x:v>1</x:v>
      </x:c>
      <x:c r="H6574" s="12" t="str">
        <x:v>Campus/portfolio roster; individual building occupancy unverified</x:v>
      </x:c>
      <x:c r="I6574" s="12" t="str">
        <x:v>Mixed business audience</x:v>
      </x:c>
      <x:c r="J6574" s="12" t="str">
        <x:v>Unresolved</x:v>
      </x:c>
      <x:c r="K6574" s="2" t="str">
        <x:v>PARTNER-M365</x:v>
      </x:c>
    </x:row>
    <x:row r="6575" ht="46" customHeight="1">
      <x:c r="A6575" s="2" t="str">
        <x:v>TEN-0B84B8C86C04</x:v>
      </x:c>
      <x:c r="B6575" s="12" t="str">
        <x:v>Simon Electric pvt Ltd</x:v>
      </x:c>
      <x:c r="C6575" s="12" t="str">
        <x:v>CORP-0780</x:v>
      </x:c>
      <x:c r="D6575" s="12" t="str">
        <x:v>Delhi NCR</x:v>
      </x:c>
      <x:c r="E6575" s="12" t="str">
        <x:v>Urbtech Trade Centre</x:v>
      </x:c>
      <x:c r="F6575" s="12" t="str">
        <x:v>55 inch</x:v>
      </x:c>
      <x:c r="G6575" s="20" t="n">
        <x:v>1</x:v>
      </x:c>
      <x:c r="H6575" s="12" t="str">
        <x:v>Campus/portfolio roster; individual building occupancy unverified</x:v>
      </x:c>
      <x:c r="I6575" s="12" t="str">
        <x:v>Medium-scale prospects</x:v>
      </x:c>
      <x:c r="J6575" s="12" t="str">
        <x:v>Engineering &amp; manufacturing</x:v>
      </x:c>
      <x:c r="K6575" s="2" t="str">
        <x:v>PARTNER-M365</x:v>
      </x:c>
    </x:row>
    <x:row r="6576" ht="46" customHeight="1">
      <x:c r="A6576" s="2" t="str">
        <x:v>TEN-1C4CDE20CBE1</x:v>
      </x:c>
      <x:c r="B6576" s="12" t="str">
        <x:v>SuperAdMedia</x:v>
      </x:c>
      <x:c r="C6576" s="12" t="str">
        <x:v>CORP-0780</x:v>
      </x:c>
      <x:c r="D6576" s="12" t="str">
        <x:v>Delhi NCR</x:v>
      </x:c>
      <x:c r="E6576" s="12" t="str">
        <x:v>Urbtech Trade Centre</x:v>
      </x:c>
      <x:c r="F6576" s="12" t="str">
        <x:v>55 inch</x:v>
      </x:c>
      <x:c r="G6576" s="20" t="n">
        <x:v>1</x:v>
      </x:c>
      <x:c r="H6576" s="12" t="str">
        <x:v>Campus/portfolio roster; individual building occupancy unverified</x:v>
      </x:c>
      <x:c r="I6576" s="12" t="str">
        <x:v>Small-scale prospects</x:v>
      </x:c>
      <x:c r="J6576" s="12" t="str">
        <x:v>Professional services</x:v>
      </x:c>
      <x:c r="K6576" s="2" t="str">
        <x:v>PARTNER-M365</x:v>
      </x:c>
    </x:row>
    <x:row r="6577" ht="46" customHeight="1">
      <x:c r="A6577" s="2" t="str">
        <x:v>TEN-24BCCA39B43D</x:v>
      </x:c>
      <x:c r="B6577" s="12" t="str">
        <x:v>Serenia Coworking</x:v>
      </x:c>
      <x:c r="C6577" s="12" t="str">
        <x:v>CORP-0780</x:v>
      </x:c>
      <x:c r="D6577" s="12" t="str">
        <x:v>Delhi NCR</x:v>
      </x:c>
      <x:c r="E6577" s="12" t="str">
        <x:v>Urbtech Trade Centre</x:v>
      </x:c>
      <x:c r="F6577" s="12" t="str">
        <x:v>55 inch</x:v>
      </x:c>
      <x:c r="G6577" s="20" t="n">
        <x:v>1</x:v>
      </x:c>
      <x:c r="H6577" s="12" t="str">
        <x:v>Campus/portfolio roster; individual building occupancy unverified</x:v>
      </x:c>
      <x:c r="I6577" s="12" t="str">
        <x:v>Mixed business audience</x:v>
      </x:c>
      <x:c r="J6577" s="12" t="str">
        <x:v>Workspace &amp; property operations</x:v>
      </x:c>
      <x:c r="K6577" s="2" t="str">
        <x:v>PARTNER-M365</x:v>
      </x:c>
    </x:row>
    <x:row r="6578" ht="46" customHeight="1">
      <x:c r="A6578" s="2" t="str">
        <x:v>TEN-24E8B74B48CE</x:v>
      </x:c>
      <x:c r="B6578" s="12" t="str">
        <x:v>Anektos Hybrid Buildings Pvt. Ltd</x:v>
      </x:c>
      <x:c r="C6578" s="12" t="str">
        <x:v>CORP-0780</x:v>
      </x:c>
      <x:c r="D6578" s="12" t="str">
        <x:v>Delhi NCR</x:v>
      </x:c>
      <x:c r="E6578" s="12" t="str">
        <x:v>Urbtech Trade Centre</x:v>
      </x:c>
      <x:c r="F6578" s="12" t="str">
        <x:v>55 inch</x:v>
      </x:c>
      <x:c r="G6578" s="20" t="n">
        <x:v>1</x:v>
      </x:c>
      <x:c r="H6578" s="12" t="str">
        <x:v>Campus/portfolio roster; individual building occupancy unverified</x:v>
      </x:c>
      <x:c r="I6578" s="12" t="str">
        <x:v>Small-scale prospects</x:v>
      </x:c>
      <x:c r="J6578" s="12" t="str">
        <x:v>Trade, consumer &amp; logistics</x:v>
      </x:c>
      <x:c r="K6578" s="2" t="str">
        <x:v>PARTNER-M365</x:v>
      </x:c>
    </x:row>
    <x:row r="6579" ht="46" customHeight="1">
      <x:c r="A6579" s="2" t="str">
        <x:v>TEN-351F2133C349</x:v>
      </x:c>
      <x:c r="B6579" s="12" t="str">
        <x:v>SmartTech Messaging</x:v>
      </x:c>
      <x:c r="C6579" s="12" t="str">
        <x:v>CORP-0780</x:v>
      </x:c>
      <x:c r="D6579" s="12" t="str">
        <x:v>Delhi NCR</x:v>
      </x:c>
      <x:c r="E6579" s="12" t="str">
        <x:v>Urbtech Trade Centre</x:v>
      </x:c>
      <x:c r="F6579" s="12" t="str">
        <x:v>55 inch</x:v>
      </x:c>
      <x:c r="G6579" s="20" t="n">
        <x:v>1</x:v>
      </x:c>
      <x:c r="H6579" s="12" t="str">
        <x:v>Campus/portfolio roster; individual building occupancy unverified</x:v>
      </x:c>
      <x:c r="I6579" s="12" t="str">
        <x:v>Mixed business audience</x:v>
      </x:c>
      <x:c r="J6579" s="12" t="str">
        <x:v>Unresolved</x:v>
      </x:c>
      <x:c r="K6579" s="2" t="str">
        <x:v>PARTNER-M365</x:v>
      </x:c>
    </x:row>
    <x:row r="6580" ht="46" customHeight="1">
      <x:c r="A6580" s="2" t="str">
        <x:v>TEN-4637D767B45C</x:v>
      </x:c>
      <x:c r="B6580" s="12" t="str">
        <x:v>INLIVING</x:v>
      </x:c>
      <x:c r="C6580" s="12" t="str">
        <x:v>CORP-0780</x:v>
      </x:c>
      <x:c r="D6580" s="12" t="str">
        <x:v>Delhi NCR</x:v>
      </x:c>
      <x:c r="E6580" s="12" t="str">
        <x:v>Urbtech Trade Centre</x:v>
      </x:c>
      <x:c r="F6580" s="12" t="str">
        <x:v>55 inch</x:v>
      </x:c>
      <x:c r="G6580" s="20" t="n">
        <x:v>1</x:v>
      </x:c>
      <x:c r="H6580" s="12" t="str">
        <x:v>Campus/portfolio roster; individual building occupancy unverified</x:v>
      </x:c>
      <x:c r="I6580" s="12" t="str">
        <x:v>Small-scale prospects</x:v>
      </x:c>
      <x:c r="J6580" s="12" t="str">
        <x:v>Trade, consumer &amp; logistics</x:v>
      </x:c>
      <x:c r="K6580" s="2" t="str">
        <x:v>PARTNER-M365</x:v>
      </x:c>
    </x:row>
    <x:row r="6581" ht="46" customHeight="1">
      <x:c r="A6581" s="2" t="str">
        <x:v>TEN-6186C00E74F2</x:v>
      </x:c>
      <x:c r="B6581" s="12" t="str">
        <x:v>The LHR Group</x:v>
      </x:c>
      <x:c r="C6581" s="12" t="str">
        <x:v>CORP-0780</x:v>
      </x:c>
      <x:c r="D6581" s="12" t="str">
        <x:v>Delhi NCR</x:v>
      </x:c>
      <x:c r="E6581" s="12" t="str">
        <x:v>Urbtech Trade Centre</x:v>
      </x:c>
      <x:c r="F6581" s="12" t="str">
        <x:v>55 inch</x:v>
      </x:c>
      <x:c r="G6581" s="20" t="n">
        <x:v>1</x:v>
      </x:c>
      <x:c r="H6581" s="12" t="str">
        <x:v>Campus/portfolio roster; individual building occupancy unverified</x:v>
      </x:c>
      <x:c r="I6581" s="12" t="str">
        <x:v>Mixed business audience</x:v>
      </x:c>
      <x:c r="J6581" s="12" t="str">
        <x:v>Unresolved</x:v>
      </x:c>
      <x:c r="K6581" s="2" t="str">
        <x:v>PARTNER-M365</x:v>
      </x:c>
    </x:row>
    <x:row r="6582" ht="46" customHeight="1">
      <x:c r="A6582" s="2" t="str">
        <x:v>TEN-71E33AB069A4</x:v>
      </x:c>
      <x:c r="B6582" s="12" t="str">
        <x:v>Alyke</x:v>
      </x:c>
      <x:c r="C6582" s="12" t="str">
        <x:v>CORP-0780</x:v>
      </x:c>
      <x:c r="D6582" s="12" t="str">
        <x:v>Delhi NCR</x:v>
      </x:c>
      <x:c r="E6582" s="12" t="str">
        <x:v>Urbtech Trade Centre</x:v>
      </x:c>
      <x:c r="F6582" s="12" t="str">
        <x:v>55 inch</x:v>
      </x:c>
      <x:c r="G6582" s="20" t="n">
        <x:v>1</x:v>
      </x:c>
      <x:c r="H6582" s="12" t="str">
        <x:v>Campus/portfolio roster; individual building occupancy unverified</x:v>
      </x:c>
      <x:c r="I6582" s="12" t="str">
        <x:v>Mixed business audience</x:v>
      </x:c>
      <x:c r="J6582" s="12" t="str">
        <x:v>Unresolved</x:v>
      </x:c>
      <x:c r="K6582" s="2" t="str">
        <x:v>PARTNER-M365</x:v>
      </x:c>
    </x:row>
    <x:row r="6583" ht="46" customHeight="1">
      <x:c r="A6583" s="2" t="str">
        <x:v>TEN-8B608DCA827C</x:v>
      </x:c>
      <x:c r="B6583" s="12" t="str">
        <x:v>Zebra Technologies India Pvt Ltd</x:v>
      </x:c>
      <x:c r="C6583" s="12" t="str">
        <x:v>CORP-0780</x:v>
      </x:c>
      <x:c r="D6583" s="12" t="str">
        <x:v>Delhi NCR</x:v>
      </x:c>
      <x:c r="E6583" s="12" t="str">
        <x:v>Urbtech Trade Centre</x:v>
      </x:c>
      <x:c r="F6583" s="12" t="str">
        <x:v>55 inch</x:v>
      </x:c>
      <x:c r="G6583" s="20" t="n">
        <x:v>1</x:v>
      </x:c>
      <x:c r="H6583" s="12" t="str">
        <x:v>Campus/portfolio roster; individual building occupancy unverified</x:v>
      </x:c>
      <x:c r="I6583" s="12" t="str">
        <x:v>Mixed business audience</x:v>
      </x:c>
      <x:c r="J6583" s="12" t="str">
        <x:v>Engineering &amp; manufacturing</x:v>
      </x:c>
      <x:c r="K6583" s="2" t="str">
        <x:v>PARTNER-M365</x:v>
      </x:c>
    </x:row>
    <x:row r="6584" ht="46" customHeight="1">
      <x:c r="A6584" s="2" t="str">
        <x:v>TEN-9A16AFDC257F</x:v>
      </x:c>
      <x:c r="B6584" s="12" t="str">
        <x:v>Herbal Chakra Private Limited</x:v>
      </x:c>
      <x:c r="C6584" s="12" t="str">
        <x:v>CORP-0780</x:v>
      </x:c>
      <x:c r="D6584" s="12" t="str">
        <x:v>Delhi NCR</x:v>
      </x:c>
      <x:c r="E6584" s="12" t="str">
        <x:v>Urbtech Trade Centre</x:v>
      </x:c>
      <x:c r="F6584" s="12" t="str">
        <x:v>55 inch</x:v>
      </x:c>
      <x:c r="G6584" s="20" t="n">
        <x:v>1</x:v>
      </x:c>
      <x:c r="H6584" s="12" t="str">
        <x:v>Campus/portfolio roster; individual building occupancy unverified</x:v>
      </x:c>
      <x:c r="I6584" s="12" t="str">
        <x:v>Medium-scale prospects</x:v>
      </x:c>
      <x:c r="J6584" s="12" t="str">
        <x:v>Healthcare &amp; life sciences</x:v>
      </x:c>
      <x:c r="K6584" s="2" t="str">
        <x:v>PARTNER-M365</x:v>
      </x:c>
    </x:row>
    <x:row r="6585" ht="46" customHeight="1">
      <x:c r="A6585" s="2" t="str">
        <x:v>TEN-A84075D6CDAD</x:v>
      </x:c>
      <x:c r="B6585" s="12" t="str">
        <x:v>Techknowlabs Pvt Ltd</x:v>
      </x:c>
      <x:c r="C6585" s="12" t="str">
        <x:v>CORP-0780</x:v>
      </x:c>
      <x:c r="D6585" s="12" t="str">
        <x:v>Delhi NCR</x:v>
      </x:c>
      <x:c r="E6585" s="12" t="str">
        <x:v>Urbtech Trade Centre</x:v>
      </x:c>
      <x:c r="F6585" s="12" t="str">
        <x:v>55 inch</x:v>
      </x:c>
      <x:c r="G6585" s="20" t="n">
        <x:v>1</x:v>
      </x:c>
      <x:c r="H6585" s="12" t="str">
        <x:v>Campus/portfolio roster; individual building occupancy unverified</x:v>
      </x:c>
      <x:c r="I6585" s="12" t="str">
        <x:v>Mixed business audience</x:v>
      </x:c>
      <x:c r="J6585" s="12" t="str">
        <x:v>Unresolved</x:v>
      </x:c>
      <x:c r="K6585" s="2" t="str">
        <x:v>PARTNER-M365</x:v>
      </x:c>
    </x:row>
    <x:row r="6586" ht="46" customHeight="1">
      <x:c r="A6586" s="2" t="str">
        <x:v>TEN-B6D604AAAE8B</x:v>
      </x:c>
      <x:c r="B6586" s="12" t="str">
        <x:v>IPS BOUNCER WEDDING EVENT MANAGEMENT</x:v>
      </x:c>
      <x:c r="C6586" s="12" t="str">
        <x:v>CORP-0780</x:v>
      </x:c>
      <x:c r="D6586" s="12" t="str">
        <x:v>Delhi NCR</x:v>
      </x:c>
      <x:c r="E6586" s="12" t="str">
        <x:v>Urbtech Trade Centre</x:v>
      </x:c>
      <x:c r="F6586" s="12" t="str">
        <x:v>55 inch</x:v>
      </x:c>
      <x:c r="G6586" s="20" t="n">
        <x:v>1</x:v>
      </x:c>
      <x:c r="H6586" s="12" t="str">
        <x:v>Campus/portfolio roster; individual building occupancy unverified</x:v>
      </x:c>
      <x:c r="I6586" s="12" t="str">
        <x:v>Small-scale prospects</x:v>
      </x:c>
      <x:c r="J6586" s="12" t="str">
        <x:v>Trade, consumer &amp; logistics</x:v>
      </x:c>
      <x:c r="K6586" s="2" t="str">
        <x:v>PARTNER-M365</x:v>
      </x:c>
    </x:row>
    <x:row r="6587" ht="46" customHeight="1">
      <x:c r="A6587" s="2" t="str">
        <x:v>TEN-C81CB399F996</x:v>
      </x:c>
      <x:c r="B6587" s="12" t="str">
        <x:v>Manipal Business Solutions Private Limited</x:v>
      </x:c>
      <x:c r="C6587" s="12" t="str">
        <x:v>CORP-0780</x:v>
      </x:c>
      <x:c r="D6587" s="12" t="str">
        <x:v>Delhi NCR</x:v>
      </x:c>
      <x:c r="E6587" s="12" t="str">
        <x:v>Urbtech Trade Centre</x:v>
      </x:c>
      <x:c r="F6587" s="12" t="str">
        <x:v>55 inch</x:v>
      </x:c>
      <x:c r="G6587" s="20" t="n">
        <x:v>1</x:v>
      </x:c>
      <x:c r="H6587" s="12" t="str">
        <x:v>Campus/portfolio roster; individual building occupancy unverified</x:v>
      </x:c>
      <x:c r="I6587" s="12" t="str">
        <x:v>Mixed business audience</x:v>
      </x:c>
      <x:c r="J6587" s="12" t="str">
        <x:v>Unresolved</x:v>
      </x:c>
      <x:c r="K6587" s="2" t="str">
        <x:v>PARTNER-M365</x:v>
      </x:c>
    </x:row>
    <x:row r="6588" ht="46" customHeight="1">
      <x:c r="A6588" s="2" t="str">
        <x:v>TEN-E2657581FE46</x:v>
      </x:c>
      <x:c r="B6588" s="12" t="str">
        <x:v>Infobip</x:v>
      </x:c>
      <x:c r="C6588" s="12" t="str">
        <x:v>CORP-0780</x:v>
      </x:c>
      <x:c r="D6588" s="12" t="str">
        <x:v>Delhi NCR</x:v>
      </x:c>
      <x:c r="E6588" s="12" t="str">
        <x:v>Urbtech Trade Centre</x:v>
      </x:c>
      <x:c r="F6588" s="12" t="str">
        <x:v>55 inch</x:v>
      </x:c>
      <x:c r="G6588" s="20" t="n">
        <x:v>1</x:v>
      </x:c>
      <x:c r="H6588" s="12" t="str">
        <x:v>Campus/portfolio roster; individual building occupancy unverified</x:v>
      </x:c>
      <x:c r="I6588" s="12" t="str">
        <x:v>Mixed business audience</x:v>
      </x:c>
      <x:c r="J6588" s="12" t="str">
        <x:v>Unresolved</x:v>
      </x:c>
      <x:c r="K6588" s="2" t="str">
        <x:v>PARTNER-M365</x:v>
      </x:c>
    </x:row>
    <x:row r="6589" ht="46" customHeight="1">
      <x:c r="A6589" s="2" t="str">
        <x:v>TEN-EE965BC63671</x:v>
      </x:c>
      <x:c r="B6589" s="12" t="str">
        <x:v>eMaven Solutions Pvt. Ltd</x:v>
      </x:c>
      <x:c r="C6589" s="12" t="str">
        <x:v>CORP-0780</x:v>
      </x:c>
      <x:c r="D6589" s="12" t="str">
        <x:v>Delhi NCR</x:v>
      </x:c>
      <x:c r="E6589" s="12" t="str">
        <x:v>Urbtech Trade Centre</x:v>
      </x:c>
      <x:c r="F6589" s="12" t="str">
        <x:v>55 inch</x:v>
      </x:c>
      <x:c r="G6589" s="20" t="n">
        <x:v>1</x:v>
      </x:c>
      <x:c r="H6589" s="12" t="str">
        <x:v>Campus/portfolio roster; individual building occupancy unverified</x:v>
      </x:c>
      <x:c r="I6589" s="12" t="str">
        <x:v>Mixed business audience</x:v>
      </x:c>
      <x:c r="J6589" s="12" t="str">
        <x:v>Unresolved</x:v>
      </x:c>
      <x:c r="K6589" s="2" t="str">
        <x:v>PARTNER-M365</x:v>
      </x:c>
    </x:row>
    <x:row r="6590" ht="46" customHeight="1">
      <x:c r="A6590" s="2" t="str">
        <x:v>TEN-0B84B8C86C04</x:v>
      </x:c>
      <x:c r="B6590" s="12" t="str">
        <x:v>Simon Electric pvt Ltd</x:v>
      </x:c>
      <x:c r="C6590" s="12" t="str">
        <x:v>CORP-0781</x:v>
      </x:c>
      <x:c r="D6590" s="12" t="str">
        <x:v>Delhi NCR</x:v>
      </x:c>
      <x:c r="E6590" s="12" t="str">
        <x:v>Urbtech Trade Centre</x:v>
      </x:c>
      <x:c r="F6590" s="12" t="str">
        <x:v>55 inch</x:v>
      </x:c>
      <x:c r="G6590" s="20" t="n">
        <x:v>1</x:v>
      </x:c>
      <x:c r="H6590" s="12" t="str">
        <x:v>Campus/portfolio roster; individual building occupancy unverified</x:v>
      </x:c>
      <x:c r="I6590" s="12" t="str">
        <x:v>Medium-scale prospects</x:v>
      </x:c>
      <x:c r="J6590" s="12" t="str">
        <x:v>Engineering &amp; manufacturing</x:v>
      </x:c>
      <x:c r="K6590" s="2" t="str">
        <x:v>PARTNER-M365</x:v>
      </x:c>
    </x:row>
    <x:row r="6591" ht="46" customHeight="1">
      <x:c r="A6591" s="2" t="str">
        <x:v>TEN-1C4CDE20CBE1</x:v>
      </x:c>
      <x:c r="B6591" s="12" t="str">
        <x:v>SuperAdMedia</x:v>
      </x:c>
      <x:c r="C6591" s="12" t="str">
        <x:v>CORP-0781</x:v>
      </x:c>
      <x:c r="D6591" s="12" t="str">
        <x:v>Delhi NCR</x:v>
      </x:c>
      <x:c r="E6591" s="12" t="str">
        <x:v>Urbtech Trade Centre</x:v>
      </x:c>
      <x:c r="F6591" s="12" t="str">
        <x:v>55 inch</x:v>
      </x:c>
      <x:c r="G6591" s="20" t="n">
        <x:v>1</x:v>
      </x:c>
      <x:c r="H6591" s="12" t="str">
        <x:v>Campus/portfolio roster; individual building occupancy unverified</x:v>
      </x:c>
      <x:c r="I6591" s="12" t="str">
        <x:v>Small-scale prospects</x:v>
      </x:c>
      <x:c r="J6591" s="12" t="str">
        <x:v>Professional services</x:v>
      </x:c>
      <x:c r="K6591" s="2" t="str">
        <x:v>PARTNER-M365</x:v>
      </x:c>
    </x:row>
    <x:row r="6592" ht="46" customHeight="1">
      <x:c r="A6592" s="2" t="str">
        <x:v>TEN-24BCCA39B43D</x:v>
      </x:c>
      <x:c r="B6592" s="12" t="str">
        <x:v>Serenia Coworking</x:v>
      </x:c>
      <x:c r="C6592" s="12" t="str">
        <x:v>CORP-0781</x:v>
      </x:c>
      <x:c r="D6592" s="12" t="str">
        <x:v>Delhi NCR</x:v>
      </x:c>
      <x:c r="E6592" s="12" t="str">
        <x:v>Urbtech Trade Centre</x:v>
      </x:c>
      <x:c r="F6592" s="12" t="str">
        <x:v>55 inch</x:v>
      </x:c>
      <x:c r="G6592" s="20" t="n">
        <x:v>1</x:v>
      </x:c>
      <x:c r="H6592" s="12" t="str">
        <x:v>Campus/portfolio roster; individual building occupancy unverified</x:v>
      </x:c>
      <x:c r="I6592" s="12" t="str">
        <x:v>Mixed business audience</x:v>
      </x:c>
      <x:c r="J6592" s="12" t="str">
        <x:v>Workspace &amp; property operations</x:v>
      </x:c>
      <x:c r="K6592" s="2" t="str">
        <x:v>PARTNER-M365</x:v>
      </x:c>
    </x:row>
    <x:row r="6593" ht="46" customHeight="1">
      <x:c r="A6593" s="2" t="str">
        <x:v>TEN-24E8B74B48CE</x:v>
      </x:c>
      <x:c r="B6593" s="12" t="str">
        <x:v>Anektos Hybrid Buildings Pvt. Ltd</x:v>
      </x:c>
      <x:c r="C6593" s="12" t="str">
        <x:v>CORP-0781</x:v>
      </x:c>
      <x:c r="D6593" s="12" t="str">
        <x:v>Delhi NCR</x:v>
      </x:c>
      <x:c r="E6593" s="12" t="str">
        <x:v>Urbtech Trade Centre</x:v>
      </x:c>
      <x:c r="F6593" s="12" t="str">
        <x:v>55 inch</x:v>
      </x:c>
      <x:c r="G6593" s="20" t="n">
        <x:v>1</x:v>
      </x:c>
      <x:c r="H6593" s="12" t="str">
        <x:v>Campus/portfolio roster; individual building occupancy unverified</x:v>
      </x:c>
      <x:c r="I6593" s="12" t="str">
        <x:v>Small-scale prospects</x:v>
      </x:c>
      <x:c r="J6593" s="12" t="str">
        <x:v>Trade, consumer &amp; logistics</x:v>
      </x:c>
      <x:c r="K6593" s="2" t="str">
        <x:v>PARTNER-M365</x:v>
      </x:c>
    </x:row>
    <x:row r="6594" ht="46" customHeight="1">
      <x:c r="A6594" s="2" t="str">
        <x:v>TEN-351F2133C349</x:v>
      </x:c>
      <x:c r="B6594" s="12" t="str">
        <x:v>SmartTech Messaging</x:v>
      </x:c>
      <x:c r="C6594" s="12" t="str">
        <x:v>CORP-0781</x:v>
      </x:c>
      <x:c r="D6594" s="12" t="str">
        <x:v>Delhi NCR</x:v>
      </x:c>
      <x:c r="E6594" s="12" t="str">
        <x:v>Urbtech Trade Centre</x:v>
      </x:c>
      <x:c r="F6594" s="12" t="str">
        <x:v>55 inch</x:v>
      </x:c>
      <x:c r="G6594" s="20" t="n">
        <x:v>1</x:v>
      </x:c>
      <x:c r="H6594" s="12" t="str">
        <x:v>Campus/portfolio roster; individual building occupancy unverified</x:v>
      </x:c>
      <x:c r="I6594" s="12" t="str">
        <x:v>Mixed business audience</x:v>
      </x:c>
      <x:c r="J6594" s="12" t="str">
        <x:v>Unresolved</x:v>
      </x:c>
      <x:c r="K6594" s="2" t="str">
        <x:v>PARTNER-M365</x:v>
      </x:c>
    </x:row>
    <x:row r="6595" ht="46" customHeight="1">
      <x:c r="A6595" s="2" t="str">
        <x:v>TEN-4637D767B45C</x:v>
      </x:c>
      <x:c r="B6595" s="12" t="str">
        <x:v>INLIVING</x:v>
      </x:c>
      <x:c r="C6595" s="12" t="str">
        <x:v>CORP-0781</x:v>
      </x:c>
      <x:c r="D6595" s="12" t="str">
        <x:v>Delhi NCR</x:v>
      </x:c>
      <x:c r="E6595" s="12" t="str">
        <x:v>Urbtech Trade Centre</x:v>
      </x:c>
      <x:c r="F6595" s="12" t="str">
        <x:v>55 inch</x:v>
      </x:c>
      <x:c r="G6595" s="20" t="n">
        <x:v>1</x:v>
      </x:c>
      <x:c r="H6595" s="12" t="str">
        <x:v>Campus/portfolio roster; individual building occupancy unverified</x:v>
      </x:c>
      <x:c r="I6595" s="12" t="str">
        <x:v>Small-scale prospects</x:v>
      </x:c>
      <x:c r="J6595" s="12" t="str">
        <x:v>Trade, consumer &amp; logistics</x:v>
      </x:c>
      <x:c r="K6595" s="2" t="str">
        <x:v>PARTNER-M365</x:v>
      </x:c>
    </x:row>
    <x:row r="6596" ht="46" customHeight="1">
      <x:c r="A6596" s="2" t="str">
        <x:v>TEN-6186C00E74F2</x:v>
      </x:c>
      <x:c r="B6596" s="12" t="str">
        <x:v>The LHR Group</x:v>
      </x:c>
      <x:c r="C6596" s="12" t="str">
        <x:v>CORP-0781</x:v>
      </x:c>
      <x:c r="D6596" s="12" t="str">
        <x:v>Delhi NCR</x:v>
      </x:c>
      <x:c r="E6596" s="12" t="str">
        <x:v>Urbtech Trade Centre</x:v>
      </x:c>
      <x:c r="F6596" s="12" t="str">
        <x:v>55 inch</x:v>
      </x:c>
      <x:c r="G6596" s="20" t="n">
        <x:v>1</x:v>
      </x:c>
      <x:c r="H6596" s="12" t="str">
        <x:v>Campus/portfolio roster; individual building occupancy unverified</x:v>
      </x:c>
      <x:c r="I6596" s="12" t="str">
        <x:v>Mixed business audience</x:v>
      </x:c>
      <x:c r="J6596" s="12" t="str">
        <x:v>Unresolved</x:v>
      </x:c>
      <x:c r="K6596" s="2" t="str">
        <x:v>PARTNER-M365</x:v>
      </x:c>
    </x:row>
    <x:row r="6597" ht="46" customHeight="1">
      <x:c r="A6597" s="2" t="str">
        <x:v>TEN-71E33AB069A4</x:v>
      </x:c>
      <x:c r="B6597" s="12" t="str">
        <x:v>Alyke</x:v>
      </x:c>
      <x:c r="C6597" s="12" t="str">
        <x:v>CORP-0781</x:v>
      </x:c>
      <x:c r="D6597" s="12" t="str">
        <x:v>Delhi NCR</x:v>
      </x:c>
      <x:c r="E6597" s="12" t="str">
        <x:v>Urbtech Trade Centre</x:v>
      </x:c>
      <x:c r="F6597" s="12" t="str">
        <x:v>55 inch</x:v>
      </x:c>
      <x:c r="G6597" s="20" t="n">
        <x:v>1</x:v>
      </x:c>
      <x:c r="H6597" s="12" t="str">
        <x:v>Campus/portfolio roster; individual building occupancy unverified</x:v>
      </x:c>
      <x:c r="I6597" s="12" t="str">
        <x:v>Mixed business audience</x:v>
      </x:c>
      <x:c r="J6597" s="12" t="str">
        <x:v>Unresolved</x:v>
      </x:c>
      <x:c r="K6597" s="2" t="str">
        <x:v>PARTNER-M365</x:v>
      </x:c>
    </x:row>
    <x:row r="6598" ht="46" customHeight="1">
      <x:c r="A6598" s="2" t="str">
        <x:v>TEN-8B608DCA827C</x:v>
      </x:c>
      <x:c r="B6598" s="12" t="str">
        <x:v>Zebra Technologies India Pvt Ltd</x:v>
      </x:c>
      <x:c r="C6598" s="12" t="str">
        <x:v>CORP-0781</x:v>
      </x:c>
      <x:c r="D6598" s="12" t="str">
        <x:v>Delhi NCR</x:v>
      </x:c>
      <x:c r="E6598" s="12" t="str">
        <x:v>Urbtech Trade Centre</x:v>
      </x:c>
      <x:c r="F6598" s="12" t="str">
        <x:v>55 inch</x:v>
      </x:c>
      <x:c r="G6598" s="20" t="n">
        <x:v>1</x:v>
      </x:c>
      <x:c r="H6598" s="12" t="str">
        <x:v>Campus/portfolio roster; individual building occupancy unverified</x:v>
      </x:c>
      <x:c r="I6598" s="12" t="str">
        <x:v>Mixed business audience</x:v>
      </x:c>
      <x:c r="J6598" s="12" t="str">
        <x:v>Engineering &amp; manufacturing</x:v>
      </x:c>
      <x:c r="K6598" s="2" t="str">
        <x:v>PARTNER-M365</x:v>
      </x:c>
    </x:row>
    <x:row r="6599" ht="46" customHeight="1">
      <x:c r="A6599" s="2" t="str">
        <x:v>TEN-9A16AFDC257F</x:v>
      </x:c>
      <x:c r="B6599" s="12" t="str">
        <x:v>Herbal Chakra Private Limited</x:v>
      </x:c>
      <x:c r="C6599" s="12" t="str">
        <x:v>CORP-0781</x:v>
      </x:c>
      <x:c r="D6599" s="12" t="str">
        <x:v>Delhi NCR</x:v>
      </x:c>
      <x:c r="E6599" s="12" t="str">
        <x:v>Urbtech Trade Centre</x:v>
      </x:c>
      <x:c r="F6599" s="12" t="str">
        <x:v>55 inch</x:v>
      </x:c>
      <x:c r="G6599" s="20" t="n">
        <x:v>1</x:v>
      </x:c>
      <x:c r="H6599" s="12" t="str">
        <x:v>Campus/portfolio roster; individual building occupancy unverified</x:v>
      </x:c>
      <x:c r="I6599" s="12" t="str">
        <x:v>Medium-scale prospects</x:v>
      </x:c>
      <x:c r="J6599" s="12" t="str">
        <x:v>Healthcare &amp; life sciences</x:v>
      </x:c>
      <x:c r="K6599" s="2" t="str">
        <x:v>PARTNER-M365</x:v>
      </x:c>
    </x:row>
    <x:row r="6600" ht="46" customHeight="1">
      <x:c r="A6600" s="2" t="str">
        <x:v>TEN-A84075D6CDAD</x:v>
      </x:c>
      <x:c r="B6600" s="12" t="str">
        <x:v>Techknowlabs Pvt Ltd</x:v>
      </x:c>
      <x:c r="C6600" s="12" t="str">
        <x:v>CORP-0781</x:v>
      </x:c>
      <x:c r="D6600" s="12" t="str">
        <x:v>Delhi NCR</x:v>
      </x:c>
      <x:c r="E6600" s="12" t="str">
        <x:v>Urbtech Trade Centre</x:v>
      </x:c>
      <x:c r="F6600" s="12" t="str">
        <x:v>55 inch</x:v>
      </x:c>
      <x:c r="G6600" s="20" t="n">
        <x:v>1</x:v>
      </x:c>
      <x:c r="H6600" s="12" t="str">
        <x:v>Campus/portfolio roster; individual building occupancy unverified</x:v>
      </x:c>
      <x:c r="I6600" s="12" t="str">
        <x:v>Mixed business audience</x:v>
      </x:c>
      <x:c r="J6600" s="12" t="str">
        <x:v>Unresolved</x:v>
      </x:c>
      <x:c r="K6600" s="2" t="str">
        <x:v>PARTNER-M365</x:v>
      </x:c>
    </x:row>
    <x:row r="6601" ht="46" customHeight="1">
      <x:c r="A6601" s="2" t="str">
        <x:v>TEN-B6D604AAAE8B</x:v>
      </x:c>
      <x:c r="B6601" s="12" t="str">
        <x:v>IPS BOUNCER WEDDING EVENT MANAGEMENT</x:v>
      </x:c>
      <x:c r="C6601" s="12" t="str">
        <x:v>CORP-0781</x:v>
      </x:c>
      <x:c r="D6601" s="12" t="str">
        <x:v>Delhi NCR</x:v>
      </x:c>
      <x:c r="E6601" s="12" t="str">
        <x:v>Urbtech Trade Centre</x:v>
      </x:c>
      <x:c r="F6601" s="12" t="str">
        <x:v>55 inch</x:v>
      </x:c>
      <x:c r="G6601" s="20" t="n">
        <x:v>1</x:v>
      </x:c>
      <x:c r="H6601" s="12" t="str">
        <x:v>Campus/portfolio roster; individual building occupancy unverified</x:v>
      </x:c>
      <x:c r="I6601" s="12" t="str">
        <x:v>Small-scale prospects</x:v>
      </x:c>
      <x:c r="J6601" s="12" t="str">
        <x:v>Trade, consumer &amp; logistics</x:v>
      </x:c>
      <x:c r="K6601" s="2" t="str">
        <x:v>PARTNER-M365</x:v>
      </x:c>
    </x:row>
    <x:row r="6602" ht="46" customHeight="1">
      <x:c r="A6602" s="2" t="str">
        <x:v>TEN-C81CB399F996</x:v>
      </x:c>
      <x:c r="B6602" s="12" t="str">
        <x:v>Manipal Business Solutions Private Limited</x:v>
      </x:c>
      <x:c r="C6602" s="12" t="str">
        <x:v>CORP-0781</x:v>
      </x:c>
      <x:c r="D6602" s="12" t="str">
        <x:v>Delhi NCR</x:v>
      </x:c>
      <x:c r="E6602" s="12" t="str">
        <x:v>Urbtech Trade Centre</x:v>
      </x:c>
      <x:c r="F6602" s="12" t="str">
        <x:v>55 inch</x:v>
      </x:c>
      <x:c r="G6602" s="20" t="n">
        <x:v>1</x:v>
      </x:c>
      <x:c r="H6602" s="12" t="str">
        <x:v>Campus/portfolio roster; individual building occupancy unverified</x:v>
      </x:c>
      <x:c r="I6602" s="12" t="str">
        <x:v>Mixed business audience</x:v>
      </x:c>
      <x:c r="J6602" s="12" t="str">
        <x:v>Unresolved</x:v>
      </x:c>
      <x:c r="K6602" s="2" t="str">
        <x:v>PARTNER-M365</x:v>
      </x:c>
    </x:row>
    <x:row r="6603" ht="46" customHeight="1">
      <x:c r="A6603" s="2" t="str">
        <x:v>TEN-E2657581FE46</x:v>
      </x:c>
      <x:c r="B6603" s="12" t="str">
        <x:v>Infobip</x:v>
      </x:c>
      <x:c r="C6603" s="12" t="str">
        <x:v>CORP-0781</x:v>
      </x:c>
      <x:c r="D6603" s="12" t="str">
        <x:v>Delhi NCR</x:v>
      </x:c>
      <x:c r="E6603" s="12" t="str">
        <x:v>Urbtech Trade Centre</x:v>
      </x:c>
      <x:c r="F6603" s="12" t="str">
        <x:v>55 inch</x:v>
      </x:c>
      <x:c r="G6603" s="20" t="n">
        <x:v>1</x:v>
      </x:c>
      <x:c r="H6603" s="12" t="str">
        <x:v>Campus/portfolio roster; individual building occupancy unverified</x:v>
      </x:c>
      <x:c r="I6603" s="12" t="str">
        <x:v>Mixed business audience</x:v>
      </x:c>
      <x:c r="J6603" s="12" t="str">
        <x:v>Unresolved</x:v>
      </x:c>
      <x:c r="K6603" s="2" t="str">
        <x:v>PARTNER-M365</x:v>
      </x:c>
    </x:row>
    <x:row r="6604" ht="46" customHeight="1">
      <x:c r="A6604" s="2" t="str">
        <x:v>TEN-EE965BC63671</x:v>
      </x:c>
      <x:c r="B6604" s="12" t="str">
        <x:v>eMaven Solutions Pvt. Ltd</x:v>
      </x:c>
      <x:c r="C6604" s="12" t="str">
        <x:v>CORP-0781</x:v>
      </x:c>
      <x:c r="D6604" s="12" t="str">
        <x:v>Delhi NCR</x:v>
      </x:c>
      <x:c r="E6604" s="12" t="str">
        <x:v>Urbtech Trade Centre</x:v>
      </x:c>
      <x:c r="F6604" s="12" t="str">
        <x:v>55 inch</x:v>
      </x:c>
      <x:c r="G6604" s="20" t="n">
        <x:v>1</x:v>
      </x:c>
      <x:c r="H6604" s="12" t="str">
        <x:v>Campus/portfolio roster; individual building occupancy unverified</x:v>
      </x:c>
      <x:c r="I6604" s="12" t="str">
        <x:v>Mixed business audience</x:v>
      </x:c>
      <x:c r="J6604" s="12" t="str">
        <x:v>Unresolved</x:v>
      </x:c>
      <x:c r="K6604" s="2" t="str">
        <x:v>PARTNER-M365</x:v>
      </x:c>
    </x:row>
    <x:row r="6605" ht="46" customHeight="1">
      <x:c r="A6605" s="2" t="str">
        <x:v>TEN-0B84B8C86C04</x:v>
      </x:c>
      <x:c r="B6605" s="12" t="str">
        <x:v>Simon Electric pvt Ltd</x:v>
      </x:c>
      <x:c r="C6605" s="12" t="str">
        <x:v>CORP-0782</x:v>
      </x:c>
      <x:c r="D6605" s="12" t="str">
        <x:v>Delhi NCR</x:v>
      </x:c>
      <x:c r="E6605" s="12" t="str">
        <x:v>Urbtech Trade Centre</x:v>
      </x:c>
      <x:c r="F6605" s="12" t="str">
        <x:v>55 inch</x:v>
      </x:c>
      <x:c r="G6605" s="20" t="n">
        <x:v>1</x:v>
      </x:c>
      <x:c r="H6605" s="12" t="str">
        <x:v>Campus/portfolio roster; individual building occupancy unverified</x:v>
      </x:c>
      <x:c r="I6605" s="12" t="str">
        <x:v>Medium-scale prospects</x:v>
      </x:c>
      <x:c r="J6605" s="12" t="str">
        <x:v>Engineering &amp; manufacturing</x:v>
      </x:c>
      <x:c r="K6605" s="2" t="str">
        <x:v>PARTNER-M365</x:v>
      </x:c>
    </x:row>
    <x:row r="6606" ht="46" customHeight="1">
      <x:c r="A6606" s="2" t="str">
        <x:v>TEN-1C4CDE20CBE1</x:v>
      </x:c>
      <x:c r="B6606" s="12" t="str">
        <x:v>SuperAdMedia</x:v>
      </x:c>
      <x:c r="C6606" s="12" t="str">
        <x:v>CORP-0782</x:v>
      </x:c>
      <x:c r="D6606" s="12" t="str">
        <x:v>Delhi NCR</x:v>
      </x:c>
      <x:c r="E6606" s="12" t="str">
        <x:v>Urbtech Trade Centre</x:v>
      </x:c>
      <x:c r="F6606" s="12" t="str">
        <x:v>55 inch</x:v>
      </x:c>
      <x:c r="G6606" s="20" t="n">
        <x:v>1</x:v>
      </x:c>
      <x:c r="H6606" s="12" t="str">
        <x:v>Campus/portfolio roster; individual building occupancy unverified</x:v>
      </x:c>
      <x:c r="I6606" s="12" t="str">
        <x:v>Small-scale prospects</x:v>
      </x:c>
      <x:c r="J6606" s="12" t="str">
        <x:v>Professional services</x:v>
      </x:c>
      <x:c r="K6606" s="2" t="str">
        <x:v>PARTNER-M365</x:v>
      </x:c>
    </x:row>
    <x:row r="6607" ht="46" customHeight="1">
      <x:c r="A6607" s="2" t="str">
        <x:v>TEN-24BCCA39B43D</x:v>
      </x:c>
      <x:c r="B6607" s="12" t="str">
        <x:v>Serenia Coworking</x:v>
      </x:c>
      <x:c r="C6607" s="12" t="str">
        <x:v>CORP-0782</x:v>
      </x:c>
      <x:c r="D6607" s="12" t="str">
        <x:v>Delhi NCR</x:v>
      </x:c>
      <x:c r="E6607" s="12" t="str">
        <x:v>Urbtech Trade Centre</x:v>
      </x:c>
      <x:c r="F6607" s="12" t="str">
        <x:v>55 inch</x:v>
      </x:c>
      <x:c r="G6607" s="20" t="n">
        <x:v>1</x:v>
      </x:c>
      <x:c r="H6607" s="12" t="str">
        <x:v>Campus/portfolio roster; individual building occupancy unverified</x:v>
      </x:c>
      <x:c r="I6607" s="12" t="str">
        <x:v>Mixed business audience</x:v>
      </x:c>
      <x:c r="J6607" s="12" t="str">
        <x:v>Workspace &amp; property operations</x:v>
      </x:c>
      <x:c r="K6607" s="2" t="str">
        <x:v>PARTNER-M365</x:v>
      </x:c>
    </x:row>
    <x:row r="6608" ht="46" customHeight="1">
      <x:c r="A6608" s="2" t="str">
        <x:v>TEN-24E8B74B48CE</x:v>
      </x:c>
      <x:c r="B6608" s="12" t="str">
        <x:v>Anektos Hybrid Buildings Pvt. Ltd</x:v>
      </x:c>
      <x:c r="C6608" s="12" t="str">
        <x:v>CORP-0782</x:v>
      </x:c>
      <x:c r="D6608" s="12" t="str">
        <x:v>Delhi NCR</x:v>
      </x:c>
      <x:c r="E6608" s="12" t="str">
        <x:v>Urbtech Trade Centre</x:v>
      </x:c>
      <x:c r="F6608" s="12" t="str">
        <x:v>55 inch</x:v>
      </x:c>
      <x:c r="G6608" s="20" t="n">
        <x:v>1</x:v>
      </x:c>
      <x:c r="H6608" s="12" t="str">
        <x:v>Campus/portfolio roster; individual building occupancy unverified</x:v>
      </x:c>
      <x:c r="I6608" s="12" t="str">
        <x:v>Small-scale prospects</x:v>
      </x:c>
      <x:c r="J6608" s="12" t="str">
        <x:v>Trade, consumer &amp; logistics</x:v>
      </x:c>
      <x:c r="K6608" s="2" t="str">
        <x:v>PARTNER-M365</x:v>
      </x:c>
    </x:row>
    <x:row r="6609" ht="46" customHeight="1">
      <x:c r="A6609" s="2" t="str">
        <x:v>TEN-351F2133C349</x:v>
      </x:c>
      <x:c r="B6609" s="12" t="str">
        <x:v>SmartTech Messaging</x:v>
      </x:c>
      <x:c r="C6609" s="12" t="str">
        <x:v>CORP-0782</x:v>
      </x:c>
      <x:c r="D6609" s="12" t="str">
        <x:v>Delhi NCR</x:v>
      </x:c>
      <x:c r="E6609" s="12" t="str">
        <x:v>Urbtech Trade Centre</x:v>
      </x:c>
      <x:c r="F6609" s="12" t="str">
        <x:v>55 inch</x:v>
      </x:c>
      <x:c r="G6609" s="20" t="n">
        <x:v>1</x:v>
      </x:c>
      <x:c r="H6609" s="12" t="str">
        <x:v>Campus/portfolio roster; individual building occupancy unverified</x:v>
      </x:c>
      <x:c r="I6609" s="12" t="str">
        <x:v>Mixed business audience</x:v>
      </x:c>
      <x:c r="J6609" s="12" t="str">
        <x:v>Unresolved</x:v>
      </x:c>
      <x:c r="K6609" s="2" t="str">
        <x:v>PARTNER-M365</x:v>
      </x:c>
    </x:row>
    <x:row r="6610" ht="46" customHeight="1">
      <x:c r="A6610" s="2" t="str">
        <x:v>TEN-4637D767B45C</x:v>
      </x:c>
      <x:c r="B6610" s="12" t="str">
        <x:v>INLIVING</x:v>
      </x:c>
      <x:c r="C6610" s="12" t="str">
        <x:v>CORP-0782</x:v>
      </x:c>
      <x:c r="D6610" s="12" t="str">
        <x:v>Delhi NCR</x:v>
      </x:c>
      <x:c r="E6610" s="12" t="str">
        <x:v>Urbtech Trade Centre</x:v>
      </x:c>
      <x:c r="F6610" s="12" t="str">
        <x:v>55 inch</x:v>
      </x:c>
      <x:c r="G6610" s="20" t="n">
        <x:v>1</x:v>
      </x:c>
      <x:c r="H6610" s="12" t="str">
        <x:v>Campus/portfolio roster; individual building occupancy unverified</x:v>
      </x:c>
      <x:c r="I6610" s="12" t="str">
        <x:v>Small-scale prospects</x:v>
      </x:c>
      <x:c r="J6610" s="12" t="str">
        <x:v>Trade, consumer &amp; logistics</x:v>
      </x:c>
      <x:c r="K6610" s="2" t="str">
        <x:v>PARTNER-M365</x:v>
      </x:c>
    </x:row>
    <x:row r="6611" ht="46" customHeight="1">
      <x:c r="A6611" s="2" t="str">
        <x:v>TEN-6186C00E74F2</x:v>
      </x:c>
      <x:c r="B6611" s="12" t="str">
        <x:v>The LHR Group</x:v>
      </x:c>
      <x:c r="C6611" s="12" t="str">
        <x:v>CORP-0782</x:v>
      </x:c>
      <x:c r="D6611" s="12" t="str">
        <x:v>Delhi NCR</x:v>
      </x:c>
      <x:c r="E6611" s="12" t="str">
        <x:v>Urbtech Trade Centre</x:v>
      </x:c>
      <x:c r="F6611" s="12" t="str">
        <x:v>55 inch</x:v>
      </x:c>
      <x:c r="G6611" s="20" t="n">
        <x:v>1</x:v>
      </x:c>
      <x:c r="H6611" s="12" t="str">
        <x:v>Campus/portfolio roster; individual building occupancy unverified</x:v>
      </x:c>
      <x:c r="I6611" s="12" t="str">
        <x:v>Mixed business audience</x:v>
      </x:c>
      <x:c r="J6611" s="12" t="str">
        <x:v>Unresolved</x:v>
      </x:c>
      <x:c r="K6611" s="2" t="str">
        <x:v>PARTNER-M365</x:v>
      </x:c>
    </x:row>
    <x:row r="6612" ht="46" customHeight="1">
      <x:c r="A6612" s="2" t="str">
        <x:v>TEN-71E33AB069A4</x:v>
      </x:c>
      <x:c r="B6612" s="12" t="str">
        <x:v>Alyke</x:v>
      </x:c>
      <x:c r="C6612" s="12" t="str">
        <x:v>CORP-0782</x:v>
      </x:c>
      <x:c r="D6612" s="12" t="str">
        <x:v>Delhi NCR</x:v>
      </x:c>
      <x:c r="E6612" s="12" t="str">
        <x:v>Urbtech Trade Centre</x:v>
      </x:c>
      <x:c r="F6612" s="12" t="str">
        <x:v>55 inch</x:v>
      </x:c>
      <x:c r="G6612" s="20" t="n">
        <x:v>1</x:v>
      </x:c>
      <x:c r="H6612" s="12" t="str">
        <x:v>Campus/portfolio roster; individual building occupancy unverified</x:v>
      </x:c>
      <x:c r="I6612" s="12" t="str">
        <x:v>Mixed business audience</x:v>
      </x:c>
      <x:c r="J6612" s="12" t="str">
        <x:v>Unresolved</x:v>
      </x:c>
      <x:c r="K6612" s="2" t="str">
        <x:v>PARTNER-M365</x:v>
      </x:c>
    </x:row>
    <x:row r="6613" ht="46" customHeight="1">
      <x:c r="A6613" s="2" t="str">
        <x:v>TEN-8B608DCA827C</x:v>
      </x:c>
      <x:c r="B6613" s="12" t="str">
        <x:v>Zebra Technologies India Pvt Ltd</x:v>
      </x:c>
      <x:c r="C6613" s="12" t="str">
        <x:v>CORP-0782</x:v>
      </x:c>
      <x:c r="D6613" s="12" t="str">
        <x:v>Delhi NCR</x:v>
      </x:c>
      <x:c r="E6613" s="12" t="str">
        <x:v>Urbtech Trade Centre</x:v>
      </x:c>
      <x:c r="F6613" s="12" t="str">
        <x:v>55 inch</x:v>
      </x:c>
      <x:c r="G6613" s="20" t="n">
        <x:v>1</x:v>
      </x:c>
      <x:c r="H6613" s="12" t="str">
        <x:v>Campus/portfolio roster; individual building occupancy unverified</x:v>
      </x:c>
      <x:c r="I6613" s="12" t="str">
        <x:v>Mixed business audience</x:v>
      </x:c>
      <x:c r="J6613" s="12" t="str">
        <x:v>Engineering &amp; manufacturing</x:v>
      </x:c>
      <x:c r="K6613" s="2" t="str">
        <x:v>PARTNER-M365</x:v>
      </x:c>
    </x:row>
    <x:row r="6614" ht="46" customHeight="1">
      <x:c r="A6614" s="2" t="str">
        <x:v>TEN-9A16AFDC257F</x:v>
      </x:c>
      <x:c r="B6614" s="12" t="str">
        <x:v>Herbal Chakra Private Limited</x:v>
      </x:c>
      <x:c r="C6614" s="12" t="str">
        <x:v>CORP-0782</x:v>
      </x:c>
      <x:c r="D6614" s="12" t="str">
        <x:v>Delhi NCR</x:v>
      </x:c>
      <x:c r="E6614" s="12" t="str">
        <x:v>Urbtech Trade Centre</x:v>
      </x:c>
      <x:c r="F6614" s="12" t="str">
        <x:v>55 inch</x:v>
      </x:c>
      <x:c r="G6614" s="20" t="n">
        <x:v>1</x:v>
      </x:c>
      <x:c r="H6614" s="12" t="str">
        <x:v>Campus/portfolio roster; individual building occupancy unverified</x:v>
      </x:c>
      <x:c r="I6614" s="12" t="str">
        <x:v>Medium-scale prospects</x:v>
      </x:c>
      <x:c r="J6614" s="12" t="str">
        <x:v>Healthcare &amp; life sciences</x:v>
      </x:c>
      <x:c r="K6614" s="2" t="str">
        <x:v>PARTNER-M365</x:v>
      </x:c>
    </x:row>
    <x:row r="6615" ht="46" customHeight="1">
      <x:c r="A6615" s="2" t="str">
        <x:v>TEN-A84075D6CDAD</x:v>
      </x:c>
      <x:c r="B6615" s="12" t="str">
        <x:v>Techknowlabs Pvt Ltd</x:v>
      </x:c>
      <x:c r="C6615" s="12" t="str">
        <x:v>CORP-0782</x:v>
      </x:c>
      <x:c r="D6615" s="12" t="str">
        <x:v>Delhi NCR</x:v>
      </x:c>
      <x:c r="E6615" s="12" t="str">
        <x:v>Urbtech Trade Centre</x:v>
      </x:c>
      <x:c r="F6615" s="12" t="str">
        <x:v>55 inch</x:v>
      </x:c>
      <x:c r="G6615" s="20" t="n">
        <x:v>1</x:v>
      </x:c>
      <x:c r="H6615" s="12" t="str">
        <x:v>Campus/portfolio roster; individual building occupancy unverified</x:v>
      </x:c>
      <x:c r="I6615" s="12" t="str">
        <x:v>Mixed business audience</x:v>
      </x:c>
      <x:c r="J6615" s="12" t="str">
        <x:v>Unresolved</x:v>
      </x:c>
      <x:c r="K6615" s="2" t="str">
        <x:v>PARTNER-M365</x:v>
      </x:c>
    </x:row>
    <x:row r="6616" ht="46" customHeight="1">
      <x:c r="A6616" s="2" t="str">
        <x:v>TEN-B6D604AAAE8B</x:v>
      </x:c>
      <x:c r="B6616" s="12" t="str">
        <x:v>IPS BOUNCER WEDDING EVENT MANAGEMENT</x:v>
      </x:c>
      <x:c r="C6616" s="12" t="str">
        <x:v>CORP-0782</x:v>
      </x:c>
      <x:c r="D6616" s="12" t="str">
        <x:v>Delhi NCR</x:v>
      </x:c>
      <x:c r="E6616" s="12" t="str">
        <x:v>Urbtech Trade Centre</x:v>
      </x:c>
      <x:c r="F6616" s="12" t="str">
        <x:v>55 inch</x:v>
      </x:c>
      <x:c r="G6616" s="20" t="n">
        <x:v>1</x:v>
      </x:c>
      <x:c r="H6616" s="12" t="str">
        <x:v>Campus/portfolio roster; individual building occupancy unverified</x:v>
      </x:c>
      <x:c r="I6616" s="12" t="str">
        <x:v>Small-scale prospects</x:v>
      </x:c>
      <x:c r="J6616" s="12" t="str">
        <x:v>Trade, consumer &amp; logistics</x:v>
      </x:c>
      <x:c r="K6616" s="2" t="str">
        <x:v>PARTNER-M365</x:v>
      </x:c>
    </x:row>
    <x:row r="6617" ht="46" customHeight="1">
      <x:c r="A6617" s="2" t="str">
        <x:v>TEN-C81CB399F996</x:v>
      </x:c>
      <x:c r="B6617" s="12" t="str">
        <x:v>Manipal Business Solutions Private Limited</x:v>
      </x:c>
      <x:c r="C6617" s="12" t="str">
        <x:v>CORP-0782</x:v>
      </x:c>
      <x:c r="D6617" s="12" t="str">
        <x:v>Delhi NCR</x:v>
      </x:c>
      <x:c r="E6617" s="12" t="str">
        <x:v>Urbtech Trade Centre</x:v>
      </x:c>
      <x:c r="F6617" s="12" t="str">
        <x:v>55 inch</x:v>
      </x:c>
      <x:c r="G6617" s="20" t="n">
        <x:v>1</x:v>
      </x:c>
      <x:c r="H6617" s="12" t="str">
        <x:v>Campus/portfolio roster; individual building occupancy unverified</x:v>
      </x:c>
      <x:c r="I6617" s="12" t="str">
        <x:v>Mixed business audience</x:v>
      </x:c>
      <x:c r="J6617" s="12" t="str">
        <x:v>Unresolved</x:v>
      </x:c>
      <x:c r="K6617" s="2" t="str">
        <x:v>PARTNER-M365</x:v>
      </x:c>
    </x:row>
    <x:row r="6618" ht="46" customHeight="1">
      <x:c r="A6618" s="2" t="str">
        <x:v>TEN-E2657581FE46</x:v>
      </x:c>
      <x:c r="B6618" s="12" t="str">
        <x:v>Infobip</x:v>
      </x:c>
      <x:c r="C6618" s="12" t="str">
        <x:v>CORP-0782</x:v>
      </x:c>
      <x:c r="D6618" s="12" t="str">
        <x:v>Delhi NCR</x:v>
      </x:c>
      <x:c r="E6618" s="12" t="str">
        <x:v>Urbtech Trade Centre</x:v>
      </x:c>
      <x:c r="F6618" s="12" t="str">
        <x:v>55 inch</x:v>
      </x:c>
      <x:c r="G6618" s="20" t="n">
        <x:v>1</x:v>
      </x:c>
      <x:c r="H6618" s="12" t="str">
        <x:v>Campus/portfolio roster; individual building occupancy unverified</x:v>
      </x:c>
      <x:c r="I6618" s="12" t="str">
        <x:v>Mixed business audience</x:v>
      </x:c>
      <x:c r="J6618" s="12" t="str">
        <x:v>Unresolved</x:v>
      </x:c>
      <x:c r="K6618" s="2" t="str">
        <x:v>PARTNER-M365</x:v>
      </x:c>
    </x:row>
    <x:row r="6619" ht="46" customHeight="1">
      <x:c r="A6619" s="2" t="str">
        <x:v>TEN-EE965BC63671</x:v>
      </x:c>
      <x:c r="B6619" s="12" t="str">
        <x:v>eMaven Solutions Pvt. Ltd</x:v>
      </x:c>
      <x:c r="C6619" s="12" t="str">
        <x:v>CORP-0782</x:v>
      </x:c>
      <x:c r="D6619" s="12" t="str">
        <x:v>Delhi NCR</x:v>
      </x:c>
      <x:c r="E6619" s="12" t="str">
        <x:v>Urbtech Trade Centre</x:v>
      </x:c>
      <x:c r="F6619" s="12" t="str">
        <x:v>55 inch</x:v>
      </x:c>
      <x:c r="G6619" s="20" t="n">
        <x:v>1</x:v>
      </x:c>
      <x:c r="H6619" s="12" t="str">
        <x:v>Campus/portfolio roster; individual building occupancy unverified</x:v>
      </x:c>
      <x:c r="I6619" s="12" t="str">
        <x:v>Mixed business audience</x:v>
      </x:c>
      <x:c r="J6619" s="12" t="str">
        <x:v>Unresolved</x:v>
      </x:c>
      <x:c r="K6619" s="2" t="str">
        <x:v>PARTNER-M365</x:v>
      </x:c>
    </x:row>
    <x:row r="6620" ht="46" customHeight="1">
      <x:c r="A6620" s="2" t="str">
        <x:v>TEN-0B84B8C86C04</x:v>
      </x:c>
      <x:c r="B6620" s="12" t="str">
        <x:v>Simon Electric pvt Ltd</x:v>
      </x:c>
      <x:c r="C6620" s="12" t="str">
        <x:v>CORP-0783</x:v>
      </x:c>
      <x:c r="D6620" s="12" t="str">
        <x:v>Delhi NCR</x:v>
      </x:c>
      <x:c r="E6620" s="12" t="str">
        <x:v>Urbtech Trade Centre</x:v>
      </x:c>
      <x:c r="F6620" s="12" t="str">
        <x:v>55 inch</x:v>
      </x:c>
      <x:c r="G6620" s="20" t="n">
        <x:v>1</x:v>
      </x:c>
      <x:c r="H6620" s="12" t="str">
        <x:v>Campus/portfolio roster; individual building occupancy unverified</x:v>
      </x:c>
      <x:c r="I6620" s="12" t="str">
        <x:v>Medium-scale prospects</x:v>
      </x:c>
      <x:c r="J6620" s="12" t="str">
        <x:v>Engineering &amp; manufacturing</x:v>
      </x:c>
      <x:c r="K6620" s="2" t="str">
        <x:v>PARTNER-M365</x:v>
      </x:c>
    </x:row>
    <x:row r="6621" ht="46" customHeight="1">
      <x:c r="A6621" s="2" t="str">
        <x:v>TEN-1C4CDE20CBE1</x:v>
      </x:c>
      <x:c r="B6621" s="12" t="str">
        <x:v>SuperAdMedia</x:v>
      </x:c>
      <x:c r="C6621" s="12" t="str">
        <x:v>CORP-0783</x:v>
      </x:c>
      <x:c r="D6621" s="12" t="str">
        <x:v>Delhi NCR</x:v>
      </x:c>
      <x:c r="E6621" s="12" t="str">
        <x:v>Urbtech Trade Centre</x:v>
      </x:c>
      <x:c r="F6621" s="12" t="str">
        <x:v>55 inch</x:v>
      </x:c>
      <x:c r="G6621" s="20" t="n">
        <x:v>1</x:v>
      </x:c>
      <x:c r="H6621" s="12" t="str">
        <x:v>Campus/portfolio roster; individual building occupancy unverified</x:v>
      </x:c>
      <x:c r="I6621" s="12" t="str">
        <x:v>Small-scale prospects</x:v>
      </x:c>
      <x:c r="J6621" s="12" t="str">
        <x:v>Professional services</x:v>
      </x:c>
      <x:c r="K6621" s="2" t="str">
        <x:v>PARTNER-M365</x:v>
      </x:c>
    </x:row>
    <x:row r="6622" ht="46" customHeight="1">
      <x:c r="A6622" s="2" t="str">
        <x:v>TEN-24BCCA39B43D</x:v>
      </x:c>
      <x:c r="B6622" s="12" t="str">
        <x:v>Serenia Coworking</x:v>
      </x:c>
      <x:c r="C6622" s="12" t="str">
        <x:v>CORP-0783</x:v>
      </x:c>
      <x:c r="D6622" s="12" t="str">
        <x:v>Delhi NCR</x:v>
      </x:c>
      <x:c r="E6622" s="12" t="str">
        <x:v>Urbtech Trade Centre</x:v>
      </x:c>
      <x:c r="F6622" s="12" t="str">
        <x:v>55 inch</x:v>
      </x:c>
      <x:c r="G6622" s="20" t="n">
        <x:v>1</x:v>
      </x:c>
      <x:c r="H6622" s="12" t="str">
        <x:v>Campus/portfolio roster; individual building occupancy unverified</x:v>
      </x:c>
      <x:c r="I6622" s="12" t="str">
        <x:v>Mixed business audience</x:v>
      </x:c>
      <x:c r="J6622" s="12" t="str">
        <x:v>Workspace &amp; property operations</x:v>
      </x:c>
      <x:c r="K6622" s="2" t="str">
        <x:v>PARTNER-M365</x:v>
      </x:c>
    </x:row>
    <x:row r="6623" ht="46" customHeight="1">
      <x:c r="A6623" s="2" t="str">
        <x:v>TEN-24E8B74B48CE</x:v>
      </x:c>
      <x:c r="B6623" s="12" t="str">
        <x:v>Anektos Hybrid Buildings Pvt. Ltd</x:v>
      </x:c>
      <x:c r="C6623" s="12" t="str">
        <x:v>CORP-0783</x:v>
      </x:c>
      <x:c r="D6623" s="12" t="str">
        <x:v>Delhi NCR</x:v>
      </x:c>
      <x:c r="E6623" s="12" t="str">
        <x:v>Urbtech Trade Centre</x:v>
      </x:c>
      <x:c r="F6623" s="12" t="str">
        <x:v>55 inch</x:v>
      </x:c>
      <x:c r="G6623" s="20" t="n">
        <x:v>1</x:v>
      </x:c>
      <x:c r="H6623" s="12" t="str">
        <x:v>Campus/portfolio roster; individual building occupancy unverified</x:v>
      </x:c>
      <x:c r="I6623" s="12" t="str">
        <x:v>Small-scale prospects</x:v>
      </x:c>
      <x:c r="J6623" s="12" t="str">
        <x:v>Trade, consumer &amp; logistics</x:v>
      </x:c>
      <x:c r="K6623" s="2" t="str">
        <x:v>PARTNER-M365</x:v>
      </x:c>
    </x:row>
    <x:row r="6624" ht="46" customHeight="1">
      <x:c r="A6624" s="2" t="str">
        <x:v>TEN-351F2133C349</x:v>
      </x:c>
      <x:c r="B6624" s="12" t="str">
        <x:v>SmartTech Messaging</x:v>
      </x:c>
      <x:c r="C6624" s="12" t="str">
        <x:v>CORP-0783</x:v>
      </x:c>
      <x:c r="D6624" s="12" t="str">
        <x:v>Delhi NCR</x:v>
      </x:c>
      <x:c r="E6624" s="12" t="str">
        <x:v>Urbtech Trade Centre</x:v>
      </x:c>
      <x:c r="F6624" s="12" t="str">
        <x:v>55 inch</x:v>
      </x:c>
      <x:c r="G6624" s="20" t="n">
        <x:v>1</x:v>
      </x:c>
      <x:c r="H6624" s="12" t="str">
        <x:v>Campus/portfolio roster; individual building occupancy unverified</x:v>
      </x:c>
      <x:c r="I6624" s="12" t="str">
        <x:v>Mixed business audience</x:v>
      </x:c>
      <x:c r="J6624" s="12" t="str">
        <x:v>Unresolved</x:v>
      </x:c>
      <x:c r="K6624" s="2" t="str">
        <x:v>PARTNER-M365</x:v>
      </x:c>
    </x:row>
    <x:row r="6625" ht="46" customHeight="1">
      <x:c r="A6625" s="2" t="str">
        <x:v>TEN-4637D767B45C</x:v>
      </x:c>
      <x:c r="B6625" s="12" t="str">
        <x:v>INLIVING</x:v>
      </x:c>
      <x:c r="C6625" s="12" t="str">
        <x:v>CORP-0783</x:v>
      </x:c>
      <x:c r="D6625" s="12" t="str">
        <x:v>Delhi NCR</x:v>
      </x:c>
      <x:c r="E6625" s="12" t="str">
        <x:v>Urbtech Trade Centre</x:v>
      </x:c>
      <x:c r="F6625" s="12" t="str">
        <x:v>55 inch</x:v>
      </x:c>
      <x:c r="G6625" s="20" t="n">
        <x:v>1</x:v>
      </x:c>
      <x:c r="H6625" s="12" t="str">
        <x:v>Campus/portfolio roster; individual building occupancy unverified</x:v>
      </x:c>
      <x:c r="I6625" s="12" t="str">
        <x:v>Small-scale prospects</x:v>
      </x:c>
      <x:c r="J6625" s="12" t="str">
        <x:v>Trade, consumer &amp; logistics</x:v>
      </x:c>
      <x:c r="K6625" s="2" t="str">
        <x:v>PARTNER-M365</x:v>
      </x:c>
    </x:row>
    <x:row r="6626" ht="46" customHeight="1">
      <x:c r="A6626" s="2" t="str">
        <x:v>TEN-6186C00E74F2</x:v>
      </x:c>
      <x:c r="B6626" s="12" t="str">
        <x:v>The LHR Group</x:v>
      </x:c>
      <x:c r="C6626" s="12" t="str">
        <x:v>CORP-0783</x:v>
      </x:c>
      <x:c r="D6626" s="12" t="str">
        <x:v>Delhi NCR</x:v>
      </x:c>
      <x:c r="E6626" s="12" t="str">
        <x:v>Urbtech Trade Centre</x:v>
      </x:c>
      <x:c r="F6626" s="12" t="str">
        <x:v>55 inch</x:v>
      </x:c>
      <x:c r="G6626" s="20" t="n">
        <x:v>1</x:v>
      </x:c>
      <x:c r="H6626" s="12" t="str">
        <x:v>Campus/portfolio roster; individual building occupancy unverified</x:v>
      </x:c>
      <x:c r="I6626" s="12" t="str">
        <x:v>Mixed business audience</x:v>
      </x:c>
      <x:c r="J6626" s="12" t="str">
        <x:v>Unresolved</x:v>
      </x:c>
      <x:c r="K6626" s="2" t="str">
        <x:v>PARTNER-M365</x:v>
      </x:c>
    </x:row>
    <x:row r="6627" ht="46" customHeight="1">
      <x:c r="A6627" s="2" t="str">
        <x:v>TEN-71E33AB069A4</x:v>
      </x:c>
      <x:c r="B6627" s="12" t="str">
        <x:v>Alyke</x:v>
      </x:c>
      <x:c r="C6627" s="12" t="str">
        <x:v>CORP-0783</x:v>
      </x:c>
      <x:c r="D6627" s="12" t="str">
        <x:v>Delhi NCR</x:v>
      </x:c>
      <x:c r="E6627" s="12" t="str">
        <x:v>Urbtech Trade Centre</x:v>
      </x:c>
      <x:c r="F6627" s="12" t="str">
        <x:v>55 inch</x:v>
      </x:c>
      <x:c r="G6627" s="20" t="n">
        <x:v>1</x:v>
      </x:c>
      <x:c r="H6627" s="12" t="str">
        <x:v>Campus/portfolio roster; individual building occupancy unverified</x:v>
      </x:c>
      <x:c r="I6627" s="12" t="str">
        <x:v>Mixed business audience</x:v>
      </x:c>
      <x:c r="J6627" s="12" t="str">
        <x:v>Unresolved</x:v>
      </x:c>
      <x:c r="K6627" s="2" t="str">
        <x:v>PARTNER-M365</x:v>
      </x:c>
    </x:row>
    <x:row r="6628" ht="46" customHeight="1">
      <x:c r="A6628" s="2" t="str">
        <x:v>TEN-8B608DCA827C</x:v>
      </x:c>
      <x:c r="B6628" s="12" t="str">
        <x:v>Zebra Technologies India Pvt Ltd</x:v>
      </x:c>
      <x:c r="C6628" s="12" t="str">
        <x:v>CORP-0783</x:v>
      </x:c>
      <x:c r="D6628" s="12" t="str">
        <x:v>Delhi NCR</x:v>
      </x:c>
      <x:c r="E6628" s="12" t="str">
        <x:v>Urbtech Trade Centre</x:v>
      </x:c>
      <x:c r="F6628" s="12" t="str">
        <x:v>55 inch</x:v>
      </x:c>
      <x:c r="G6628" s="20" t="n">
        <x:v>1</x:v>
      </x:c>
      <x:c r="H6628" s="12" t="str">
        <x:v>Campus/portfolio roster; individual building occupancy unverified</x:v>
      </x:c>
      <x:c r="I6628" s="12" t="str">
        <x:v>Mixed business audience</x:v>
      </x:c>
      <x:c r="J6628" s="12" t="str">
        <x:v>Engineering &amp; manufacturing</x:v>
      </x:c>
      <x:c r="K6628" s="2" t="str">
        <x:v>PARTNER-M365</x:v>
      </x:c>
    </x:row>
    <x:row r="6629" ht="46" customHeight="1">
      <x:c r="A6629" s="2" t="str">
        <x:v>TEN-9A16AFDC257F</x:v>
      </x:c>
      <x:c r="B6629" s="12" t="str">
        <x:v>Herbal Chakra Private Limited</x:v>
      </x:c>
      <x:c r="C6629" s="12" t="str">
        <x:v>CORP-0783</x:v>
      </x:c>
      <x:c r="D6629" s="12" t="str">
        <x:v>Delhi NCR</x:v>
      </x:c>
      <x:c r="E6629" s="12" t="str">
        <x:v>Urbtech Trade Centre</x:v>
      </x:c>
      <x:c r="F6629" s="12" t="str">
        <x:v>55 inch</x:v>
      </x:c>
      <x:c r="G6629" s="20" t="n">
        <x:v>1</x:v>
      </x:c>
      <x:c r="H6629" s="12" t="str">
        <x:v>Campus/portfolio roster; individual building occupancy unverified</x:v>
      </x:c>
      <x:c r="I6629" s="12" t="str">
        <x:v>Medium-scale prospects</x:v>
      </x:c>
      <x:c r="J6629" s="12" t="str">
        <x:v>Healthcare &amp; life sciences</x:v>
      </x:c>
      <x:c r="K6629" s="2" t="str">
        <x:v>PARTNER-M365</x:v>
      </x:c>
    </x:row>
    <x:row r="6630" ht="46" customHeight="1">
      <x:c r="A6630" s="2" t="str">
        <x:v>TEN-A84075D6CDAD</x:v>
      </x:c>
      <x:c r="B6630" s="12" t="str">
        <x:v>Techknowlabs Pvt Ltd</x:v>
      </x:c>
      <x:c r="C6630" s="12" t="str">
        <x:v>CORP-0783</x:v>
      </x:c>
      <x:c r="D6630" s="12" t="str">
        <x:v>Delhi NCR</x:v>
      </x:c>
      <x:c r="E6630" s="12" t="str">
        <x:v>Urbtech Trade Centre</x:v>
      </x:c>
      <x:c r="F6630" s="12" t="str">
        <x:v>55 inch</x:v>
      </x:c>
      <x:c r="G6630" s="20" t="n">
        <x:v>1</x:v>
      </x:c>
      <x:c r="H6630" s="12" t="str">
        <x:v>Campus/portfolio roster; individual building occupancy unverified</x:v>
      </x:c>
      <x:c r="I6630" s="12" t="str">
        <x:v>Mixed business audience</x:v>
      </x:c>
      <x:c r="J6630" s="12" t="str">
        <x:v>Unresolved</x:v>
      </x:c>
      <x:c r="K6630" s="2" t="str">
        <x:v>PARTNER-M365</x:v>
      </x:c>
    </x:row>
    <x:row r="6631" ht="46" customHeight="1">
      <x:c r="A6631" s="2" t="str">
        <x:v>TEN-B6D604AAAE8B</x:v>
      </x:c>
      <x:c r="B6631" s="12" t="str">
        <x:v>IPS BOUNCER WEDDING EVENT MANAGEMENT</x:v>
      </x:c>
      <x:c r="C6631" s="12" t="str">
        <x:v>CORP-0783</x:v>
      </x:c>
      <x:c r="D6631" s="12" t="str">
        <x:v>Delhi NCR</x:v>
      </x:c>
      <x:c r="E6631" s="12" t="str">
        <x:v>Urbtech Trade Centre</x:v>
      </x:c>
      <x:c r="F6631" s="12" t="str">
        <x:v>55 inch</x:v>
      </x:c>
      <x:c r="G6631" s="20" t="n">
        <x:v>1</x:v>
      </x:c>
      <x:c r="H6631" s="12" t="str">
        <x:v>Campus/portfolio roster; individual building occupancy unverified</x:v>
      </x:c>
      <x:c r="I6631" s="12" t="str">
        <x:v>Small-scale prospects</x:v>
      </x:c>
      <x:c r="J6631" s="12" t="str">
        <x:v>Trade, consumer &amp; logistics</x:v>
      </x:c>
      <x:c r="K6631" s="2" t="str">
        <x:v>PARTNER-M365</x:v>
      </x:c>
    </x:row>
    <x:row r="6632" ht="46" customHeight="1">
      <x:c r="A6632" s="2" t="str">
        <x:v>TEN-C81CB399F996</x:v>
      </x:c>
      <x:c r="B6632" s="12" t="str">
        <x:v>Manipal Business Solutions Private Limited</x:v>
      </x:c>
      <x:c r="C6632" s="12" t="str">
        <x:v>CORP-0783</x:v>
      </x:c>
      <x:c r="D6632" s="12" t="str">
        <x:v>Delhi NCR</x:v>
      </x:c>
      <x:c r="E6632" s="12" t="str">
        <x:v>Urbtech Trade Centre</x:v>
      </x:c>
      <x:c r="F6632" s="12" t="str">
        <x:v>55 inch</x:v>
      </x:c>
      <x:c r="G6632" s="20" t="n">
        <x:v>1</x:v>
      </x:c>
      <x:c r="H6632" s="12" t="str">
        <x:v>Campus/portfolio roster; individual building occupancy unverified</x:v>
      </x:c>
      <x:c r="I6632" s="12" t="str">
        <x:v>Mixed business audience</x:v>
      </x:c>
      <x:c r="J6632" s="12" t="str">
        <x:v>Unresolved</x:v>
      </x:c>
      <x:c r="K6632" s="2" t="str">
        <x:v>PARTNER-M365</x:v>
      </x:c>
    </x:row>
    <x:row r="6633" ht="46" customHeight="1">
      <x:c r="A6633" s="2" t="str">
        <x:v>TEN-E2657581FE46</x:v>
      </x:c>
      <x:c r="B6633" s="12" t="str">
        <x:v>Infobip</x:v>
      </x:c>
      <x:c r="C6633" s="12" t="str">
        <x:v>CORP-0783</x:v>
      </x:c>
      <x:c r="D6633" s="12" t="str">
        <x:v>Delhi NCR</x:v>
      </x:c>
      <x:c r="E6633" s="12" t="str">
        <x:v>Urbtech Trade Centre</x:v>
      </x:c>
      <x:c r="F6633" s="12" t="str">
        <x:v>55 inch</x:v>
      </x:c>
      <x:c r="G6633" s="20" t="n">
        <x:v>1</x:v>
      </x:c>
      <x:c r="H6633" s="12" t="str">
        <x:v>Campus/portfolio roster; individual building occupancy unverified</x:v>
      </x:c>
      <x:c r="I6633" s="12" t="str">
        <x:v>Mixed business audience</x:v>
      </x:c>
      <x:c r="J6633" s="12" t="str">
        <x:v>Unresolved</x:v>
      </x:c>
      <x:c r="K6633" s="2" t="str">
        <x:v>PARTNER-M365</x:v>
      </x:c>
    </x:row>
    <x:row r="6634" ht="46" customHeight="1">
      <x:c r="A6634" s="2" t="str">
        <x:v>TEN-EE965BC63671</x:v>
      </x:c>
      <x:c r="B6634" s="12" t="str">
        <x:v>eMaven Solutions Pvt. Ltd</x:v>
      </x:c>
      <x:c r="C6634" s="12" t="str">
        <x:v>CORP-0783</x:v>
      </x:c>
      <x:c r="D6634" s="12" t="str">
        <x:v>Delhi NCR</x:v>
      </x:c>
      <x:c r="E6634" s="12" t="str">
        <x:v>Urbtech Trade Centre</x:v>
      </x:c>
      <x:c r="F6634" s="12" t="str">
        <x:v>55 inch</x:v>
      </x:c>
      <x:c r="G6634" s="20" t="n">
        <x:v>1</x:v>
      </x:c>
      <x:c r="H6634" s="12" t="str">
        <x:v>Campus/portfolio roster; individual building occupancy unverified</x:v>
      </x:c>
      <x:c r="I6634" s="12" t="str">
        <x:v>Mixed business audience</x:v>
      </x:c>
      <x:c r="J6634" s="12" t="str">
        <x:v>Unresolved</x:v>
      </x:c>
      <x:c r="K6634" s="2" t="str">
        <x:v>PARTNER-M365</x:v>
      </x:c>
    </x:row>
    <x:row r="6635" ht="46" customHeight="1">
      <x:c r="A6635" s="2" t="str">
        <x:v>TEN-0B84B8C86C04</x:v>
      </x:c>
      <x:c r="B6635" s="12" t="str">
        <x:v>Simon Electric pvt Ltd</x:v>
      </x:c>
      <x:c r="C6635" s="12" t="str">
        <x:v>CORP-0784</x:v>
      </x:c>
      <x:c r="D6635" s="12" t="str">
        <x:v>Delhi NCR</x:v>
      </x:c>
      <x:c r="E6635" s="12" t="str">
        <x:v>Urbtech Trade Centre</x:v>
      </x:c>
      <x:c r="F6635" s="12" t="str">
        <x:v>55 inch</x:v>
      </x:c>
      <x:c r="G6635" s="20" t="n">
        <x:v>1</x:v>
      </x:c>
      <x:c r="H6635" s="12" t="str">
        <x:v>Campus/portfolio roster; individual building occupancy unverified</x:v>
      </x:c>
      <x:c r="I6635" s="12" t="str">
        <x:v>Medium-scale prospects</x:v>
      </x:c>
      <x:c r="J6635" s="12" t="str">
        <x:v>Engineering &amp; manufacturing</x:v>
      </x:c>
      <x:c r="K6635" s="2" t="str">
        <x:v>PARTNER-M365</x:v>
      </x:c>
    </x:row>
    <x:row r="6636" ht="46" customHeight="1">
      <x:c r="A6636" s="2" t="str">
        <x:v>TEN-1C4CDE20CBE1</x:v>
      </x:c>
      <x:c r="B6636" s="12" t="str">
        <x:v>SuperAdMedia</x:v>
      </x:c>
      <x:c r="C6636" s="12" t="str">
        <x:v>CORP-0784</x:v>
      </x:c>
      <x:c r="D6636" s="12" t="str">
        <x:v>Delhi NCR</x:v>
      </x:c>
      <x:c r="E6636" s="12" t="str">
        <x:v>Urbtech Trade Centre</x:v>
      </x:c>
      <x:c r="F6636" s="12" t="str">
        <x:v>55 inch</x:v>
      </x:c>
      <x:c r="G6636" s="20" t="n">
        <x:v>1</x:v>
      </x:c>
      <x:c r="H6636" s="12" t="str">
        <x:v>Campus/portfolio roster; individual building occupancy unverified</x:v>
      </x:c>
      <x:c r="I6636" s="12" t="str">
        <x:v>Small-scale prospects</x:v>
      </x:c>
      <x:c r="J6636" s="12" t="str">
        <x:v>Professional services</x:v>
      </x:c>
      <x:c r="K6636" s="2" t="str">
        <x:v>PARTNER-M365</x:v>
      </x:c>
    </x:row>
    <x:row r="6637" ht="46" customHeight="1">
      <x:c r="A6637" s="2" t="str">
        <x:v>TEN-24BCCA39B43D</x:v>
      </x:c>
      <x:c r="B6637" s="12" t="str">
        <x:v>Serenia Coworking</x:v>
      </x:c>
      <x:c r="C6637" s="12" t="str">
        <x:v>CORP-0784</x:v>
      </x:c>
      <x:c r="D6637" s="12" t="str">
        <x:v>Delhi NCR</x:v>
      </x:c>
      <x:c r="E6637" s="12" t="str">
        <x:v>Urbtech Trade Centre</x:v>
      </x:c>
      <x:c r="F6637" s="12" t="str">
        <x:v>55 inch</x:v>
      </x:c>
      <x:c r="G6637" s="20" t="n">
        <x:v>1</x:v>
      </x:c>
      <x:c r="H6637" s="12" t="str">
        <x:v>Campus/portfolio roster; individual building occupancy unverified</x:v>
      </x:c>
      <x:c r="I6637" s="12" t="str">
        <x:v>Mixed business audience</x:v>
      </x:c>
      <x:c r="J6637" s="12" t="str">
        <x:v>Workspace &amp; property operations</x:v>
      </x:c>
      <x:c r="K6637" s="2" t="str">
        <x:v>PARTNER-M365</x:v>
      </x:c>
    </x:row>
    <x:row r="6638" ht="46" customHeight="1">
      <x:c r="A6638" s="2" t="str">
        <x:v>TEN-24E8B74B48CE</x:v>
      </x:c>
      <x:c r="B6638" s="12" t="str">
        <x:v>Anektos Hybrid Buildings Pvt. Ltd</x:v>
      </x:c>
      <x:c r="C6638" s="12" t="str">
        <x:v>CORP-0784</x:v>
      </x:c>
      <x:c r="D6638" s="12" t="str">
        <x:v>Delhi NCR</x:v>
      </x:c>
      <x:c r="E6638" s="12" t="str">
        <x:v>Urbtech Trade Centre</x:v>
      </x:c>
      <x:c r="F6638" s="12" t="str">
        <x:v>55 inch</x:v>
      </x:c>
      <x:c r="G6638" s="20" t="n">
        <x:v>1</x:v>
      </x:c>
      <x:c r="H6638" s="12" t="str">
        <x:v>Campus/portfolio roster; individual building occupancy unverified</x:v>
      </x:c>
      <x:c r="I6638" s="12" t="str">
        <x:v>Small-scale prospects</x:v>
      </x:c>
      <x:c r="J6638" s="12" t="str">
        <x:v>Trade, consumer &amp; logistics</x:v>
      </x:c>
      <x:c r="K6638" s="2" t="str">
        <x:v>PARTNER-M365</x:v>
      </x:c>
    </x:row>
    <x:row r="6639" ht="46" customHeight="1">
      <x:c r="A6639" s="2" t="str">
        <x:v>TEN-351F2133C349</x:v>
      </x:c>
      <x:c r="B6639" s="12" t="str">
        <x:v>SmartTech Messaging</x:v>
      </x:c>
      <x:c r="C6639" s="12" t="str">
        <x:v>CORP-0784</x:v>
      </x:c>
      <x:c r="D6639" s="12" t="str">
        <x:v>Delhi NCR</x:v>
      </x:c>
      <x:c r="E6639" s="12" t="str">
        <x:v>Urbtech Trade Centre</x:v>
      </x:c>
      <x:c r="F6639" s="12" t="str">
        <x:v>55 inch</x:v>
      </x:c>
      <x:c r="G6639" s="20" t="n">
        <x:v>1</x:v>
      </x:c>
      <x:c r="H6639" s="12" t="str">
        <x:v>Campus/portfolio roster; individual building occupancy unverified</x:v>
      </x:c>
      <x:c r="I6639" s="12" t="str">
        <x:v>Mixed business audience</x:v>
      </x:c>
      <x:c r="J6639" s="12" t="str">
        <x:v>Unresolved</x:v>
      </x:c>
      <x:c r="K6639" s="2" t="str">
        <x:v>PARTNER-M365</x:v>
      </x:c>
    </x:row>
    <x:row r="6640" ht="46" customHeight="1">
      <x:c r="A6640" s="2" t="str">
        <x:v>TEN-4637D767B45C</x:v>
      </x:c>
      <x:c r="B6640" s="12" t="str">
        <x:v>INLIVING</x:v>
      </x:c>
      <x:c r="C6640" s="12" t="str">
        <x:v>CORP-0784</x:v>
      </x:c>
      <x:c r="D6640" s="12" t="str">
        <x:v>Delhi NCR</x:v>
      </x:c>
      <x:c r="E6640" s="12" t="str">
        <x:v>Urbtech Trade Centre</x:v>
      </x:c>
      <x:c r="F6640" s="12" t="str">
        <x:v>55 inch</x:v>
      </x:c>
      <x:c r="G6640" s="20" t="n">
        <x:v>1</x:v>
      </x:c>
      <x:c r="H6640" s="12" t="str">
        <x:v>Campus/portfolio roster; individual building occupancy unverified</x:v>
      </x:c>
      <x:c r="I6640" s="12" t="str">
        <x:v>Small-scale prospects</x:v>
      </x:c>
      <x:c r="J6640" s="12" t="str">
        <x:v>Trade, consumer &amp; logistics</x:v>
      </x:c>
      <x:c r="K6640" s="2" t="str">
        <x:v>PARTNER-M365</x:v>
      </x:c>
    </x:row>
    <x:row r="6641" ht="46" customHeight="1">
      <x:c r="A6641" s="2" t="str">
        <x:v>TEN-6186C00E74F2</x:v>
      </x:c>
      <x:c r="B6641" s="12" t="str">
        <x:v>The LHR Group</x:v>
      </x:c>
      <x:c r="C6641" s="12" t="str">
        <x:v>CORP-0784</x:v>
      </x:c>
      <x:c r="D6641" s="12" t="str">
        <x:v>Delhi NCR</x:v>
      </x:c>
      <x:c r="E6641" s="12" t="str">
        <x:v>Urbtech Trade Centre</x:v>
      </x:c>
      <x:c r="F6641" s="12" t="str">
        <x:v>55 inch</x:v>
      </x:c>
      <x:c r="G6641" s="20" t="n">
        <x:v>1</x:v>
      </x:c>
      <x:c r="H6641" s="12" t="str">
        <x:v>Campus/portfolio roster; individual building occupancy unverified</x:v>
      </x:c>
      <x:c r="I6641" s="12" t="str">
        <x:v>Mixed business audience</x:v>
      </x:c>
      <x:c r="J6641" s="12" t="str">
        <x:v>Unresolved</x:v>
      </x:c>
      <x:c r="K6641" s="2" t="str">
        <x:v>PARTNER-M365</x:v>
      </x:c>
    </x:row>
    <x:row r="6642" ht="46" customHeight="1">
      <x:c r="A6642" s="2" t="str">
        <x:v>TEN-71E33AB069A4</x:v>
      </x:c>
      <x:c r="B6642" s="12" t="str">
        <x:v>Alyke</x:v>
      </x:c>
      <x:c r="C6642" s="12" t="str">
        <x:v>CORP-0784</x:v>
      </x:c>
      <x:c r="D6642" s="12" t="str">
        <x:v>Delhi NCR</x:v>
      </x:c>
      <x:c r="E6642" s="12" t="str">
        <x:v>Urbtech Trade Centre</x:v>
      </x:c>
      <x:c r="F6642" s="12" t="str">
        <x:v>55 inch</x:v>
      </x:c>
      <x:c r="G6642" s="20" t="n">
        <x:v>1</x:v>
      </x:c>
      <x:c r="H6642" s="12" t="str">
        <x:v>Campus/portfolio roster; individual building occupancy unverified</x:v>
      </x:c>
      <x:c r="I6642" s="12" t="str">
        <x:v>Mixed business audience</x:v>
      </x:c>
      <x:c r="J6642" s="12" t="str">
        <x:v>Unresolved</x:v>
      </x:c>
      <x:c r="K6642" s="2" t="str">
        <x:v>PARTNER-M365</x:v>
      </x:c>
    </x:row>
    <x:row r="6643" ht="46" customHeight="1">
      <x:c r="A6643" s="2" t="str">
        <x:v>TEN-8B608DCA827C</x:v>
      </x:c>
      <x:c r="B6643" s="12" t="str">
        <x:v>Zebra Technologies India Pvt Ltd</x:v>
      </x:c>
      <x:c r="C6643" s="12" t="str">
        <x:v>CORP-0784</x:v>
      </x:c>
      <x:c r="D6643" s="12" t="str">
        <x:v>Delhi NCR</x:v>
      </x:c>
      <x:c r="E6643" s="12" t="str">
        <x:v>Urbtech Trade Centre</x:v>
      </x:c>
      <x:c r="F6643" s="12" t="str">
        <x:v>55 inch</x:v>
      </x:c>
      <x:c r="G6643" s="20" t="n">
        <x:v>1</x:v>
      </x:c>
      <x:c r="H6643" s="12" t="str">
        <x:v>Campus/portfolio roster; individual building occupancy unverified</x:v>
      </x:c>
      <x:c r="I6643" s="12" t="str">
        <x:v>Mixed business audience</x:v>
      </x:c>
      <x:c r="J6643" s="12" t="str">
        <x:v>Engineering &amp; manufacturing</x:v>
      </x:c>
      <x:c r="K6643" s="2" t="str">
        <x:v>PARTNER-M365</x:v>
      </x:c>
    </x:row>
    <x:row r="6644" ht="46" customHeight="1">
      <x:c r="A6644" s="2" t="str">
        <x:v>TEN-9A16AFDC257F</x:v>
      </x:c>
      <x:c r="B6644" s="12" t="str">
        <x:v>Herbal Chakra Private Limited</x:v>
      </x:c>
      <x:c r="C6644" s="12" t="str">
        <x:v>CORP-0784</x:v>
      </x:c>
      <x:c r="D6644" s="12" t="str">
        <x:v>Delhi NCR</x:v>
      </x:c>
      <x:c r="E6644" s="12" t="str">
        <x:v>Urbtech Trade Centre</x:v>
      </x:c>
      <x:c r="F6644" s="12" t="str">
        <x:v>55 inch</x:v>
      </x:c>
      <x:c r="G6644" s="20" t="n">
        <x:v>1</x:v>
      </x:c>
      <x:c r="H6644" s="12" t="str">
        <x:v>Campus/portfolio roster; individual building occupancy unverified</x:v>
      </x:c>
      <x:c r="I6644" s="12" t="str">
        <x:v>Medium-scale prospects</x:v>
      </x:c>
      <x:c r="J6644" s="12" t="str">
        <x:v>Healthcare &amp; life sciences</x:v>
      </x:c>
      <x:c r="K6644" s="2" t="str">
        <x:v>PARTNER-M365</x:v>
      </x:c>
    </x:row>
    <x:row r="6645" ht="46" customHeight="1">
      <x:c r="A6645" s="2" t="str">
        <x:v>TEN-A84075D6CDAD</x:v>
      </x:c>
      <x:c r="B6645" s="12" t="str">
        <x:v>Techknowlabs Pvt Ltd</x:v>
      </x:c>
      <x:c r="C6645" s="12" t="str">
        <x:v>CORP-0784</x:v>
      </x:c>
      <x:c r="D6645" s="12" t="str">
        <x:v>Delhi NCR</x:v>
      </x:c>
      <x:c r="E6645" s="12" t="str">
        <x:v>Urbtech Trade Centre</x:v>
      </x:c>
      <x:c r="F6645" s="12" t="str">
        <x:v>55 inch</x:v>
      </x:c>
      <x:c r="G6645" s="20" t="n">
        <x:v>1</x:v>
      </x:c>
      <x:c r="H6645" s="12" t="str">
        <x:v>Campus/portfolio roster; individual building occupancy unverified</x:v>
      </x:c>
      <x:c r="I6645" s="12" t="str">
        <x:v>Mixed business audience</x:v>
      </x:c>
      <x:c r="J6645" s="12" t="str">
        <x:v>Unresolved</x:v>
      </x:c>
      <x:c r="K6645" s="2" t="str">
        <x:v>PARTNER-M365</x:v>
      </x:c>
    </x:row>
    <x:row r="6646" ht="46" customHeight="1">
      <x:c r="A6646" s="2" t="str">
        <x:v>TEN-B6D604AAAE8B</x:v>
      </x:c>
      <x:c r="B6646" s="12" t="str">
        <x:v>IPS BOUNCER WEDDING EVENT MANAGEMENT</x:v>
      </x:c>
      <x:c r="C6646" s="12" t="str">
        <x:v>CORP-0784</x:v>
      </x:c>
      <x:c r="D6646" s="12" t="str">
        <x:v>Delhi NCR</x:v>
      </x:c>
      <x:c r="E6646" s="12" t="str">
        <x:v>Urbtech Trade Centre</x:v>
      </x:c>
      <x:c r="F6646" s="12" t="str">
        <x:v>55 inch</x:v>
      </x:c>
      <x:c r="G6646" s="20" t="n">
        <x:v>1</x:v>
      </x:c>
      <x:c r="H6646" s="12" t="str">
        <x:v>Campus/portfolio roster; individual building occupancy unverified</x:v>
      </x:c>
      <x:c r="I6646" s="12" t="str">
        <x:v>Small-scale prospects</x:v>
      </x:c>
      <x:c r="J6646" s="12" t="str">
        <x:v>Trade, consumer &amp; logistics</x:v>
      </x:c>
      <x:c r="K6646" s="2" t="str">
        <x:v>PARTNER-M365</x:v>
      </x:c>
    </x:row>
    <x:row r="6647" ht="46" customHeight="1">
      <x:c r="A6647" s="2" t="str">
        <x:v>TEN-C81CB399F996</x:v>
      </x:c>
      <x:c r="B6647" s="12" t="str">
        <x:v>Manipal Business Solutions Private Limited</x:v>
      </x:c>
      <x:c r="C6647" s="12" t="str">
        <x:v>CORP-0784</x:v>
      </x:c>
      <x:c r="D6647" s="12" t="str">
        <x:v>Delhi NCR</x:v>
      </x:c>
      <x:c r="E6647" s="12" t="str">
        <x:v>Urbtech Trade Centre</x:v>
      </x:c>
      <x:c r="F6647" s="12" t="str">
        <x:v>55 inch</x:v>
      </x:c>
      <x:c r="G6647" s="20" t="n">
        <x:v>1</x:v>
      </x:c>
      <x:c r="H6647" s="12" t="str">
        <x:v>Campus/portfolio roster; individual building occupancy unverified</x:v>
      </x:c>
      <x:c r="I6647" s="12" t="str">
        <x:v>Mixed business audience</x:v>
      </x:c>
      <x:c r="J6647" s="12" t="str">
        <x:v>Unresolved</x:v>
      </x:c>
      <x:c r="K6647" s="2" t="str">
        <x:v>PARTNER-M365</x:v>
      </x:c>
    </x:row>
    <x:row r="6648" ht="46" customHeight="1">
      <x:c r="A6648" s="2" t="str">
        <x:v>TEN-E2657581FE46</x:v>
      </x:c>
      <x:c r="B6648" s="12" t="str">
        <x:v>Infobip</x:v>
      </x:c>
      <x:c r="C6648" s="12" t="str">
        <x:v>CORP-0784</x:v>
      </x:c>
      <x:c r="D6648" s="12" t="str">
        <x:v>Delhi NCR</x:v>
      </x:c>
      <x:c r="E6648" s="12" t="str">
        <x:v>Urbtech Trade Centre</x:v>
      </x:c>
      <x:c r="F6648" s="12" t="str">
        <x:v>55 inch</x:v>
      </x:c>
      <x:c r="G6648" s="20" t="n">
        <x:v>1</x:v>
      </x:c>
      <x:c r="H6648" s="12" t="str">
        <x:v>Campus/portfolio roster; individual building occupancy unverified</x:v>
      </x:c>
      <x:c r="I6648" s="12" t="str">
        <x:v>Mixed business audience</x:v>
      </x:c>
      <x:c r="J6648" s="12" t="str">
        <x:v>Unresolved</x:v>
      </x:c>
      <x:c r="K6648" s="2" t="str">
        <x:v>PARTNER-M365</x:v>
      </x:c>
    </x:row>
    <x:row r="6649" ht="46" customHeight="1">
      <x:c r="A6649" s="2" t="str">
        <x:v>TEN-EE965BC63671</x:v>
      </x:c>
      <x:c r="B6649" s="12" t="str">
        <x:v>eMaven Solutions Pvt. Ltd</x:v>
      </x:c>
      <x:c r="C6649" s="12" t="str">
        <x:v>CORP-0784</x:v>
      </x:c>
      <x:c r="D6649" s="12" t="str">
        <x:v>Delhi NCR</x:v>
      </x:c>
      <x:c r="E6649" s="12" t="str">
        <x:v>Urbtech Trade Centre</x:v>
      </x:c>
      <x:c r="F6649" s="12" t="str">
        <x:v>55 inch</x:v>
      </x:c>
      <x:c r="G6649" s="20" t="n">
        <x:v>1</x:v>
      </x:c>
      <x:c r="H6649" s="12" t="str">
        <x:v>Campus/portfolio roster; individual building occupancy unverified</x:v>
      </x:c>
      <x:c r="I6649" s="12" t="str">
        <x:v>Mixed business audience</x:v>
      </x:c>
      <x:c r="J6649" s="12" t="str">
        <x:v>Unresolved</x:v>
      </x:c>
      <x:c r="K6649" s="2" t="str">
        <x:v>PARTNER-M365</x:v>
      </x:c>
    </x:row>
    <x:row r="6650" ht="46" customHeight="1">
      <x:c r="A6650" s="2" t="str">
        <x:v>TEN-223D607AEE9C</x:v>
      </x:c>
      <x:c r="B6650" s="12" t="str">
        <x:v>Annalect</x:v>
      </x:c>
      <x:c r="C6650" s="12" t="str">
        <x:v>CORP-0452</x:v>
      </x:c>
      <x:c r="D6650" s="12" t="str">
        <x:v>Bengaluru</x:v>
      </x:c>
      <x:c r="E6650" s="12" t="str">
        <x:v>Prestige Technostar</x:v>
      </x:c>
      <x:c r="F6650" s="12" t="str">
        <x:v>55 inch</x:v>
      </x:c>
      <x:c r="G6650" s="20" t="n">
        <x:v>1</x:v>
      </x:c>
      <x:c r="H6650" s="12" t="str">
        <x:v>Campus/portfolio roster; individual building occupancy unverified</x:v>
      </x:c>
      <x:c r="I6650" s="12" t="str">
        <x:v>Mixed business audience</x:v>
      </x:c>
      <x:c r="J6650" s="12" t="str">
        <x:v>Professional services</x:v>
      </x:c>
      <x:c r="K6650" s="2" t="str">
        <x:v>PARTNER-M034</x:v>
      </x:c>
    </x:row>
    <x:row r="6651" ht="46" customHeight="1">
      <x:c r="A6651" s="2" t="str">
        <x:v>TEN-240389F4B730</x:v>
      </x:c>
      <x:c r="B6651" s="12" t="str">
        <x:v>AMD</x:v>
      </x:c>
      <x:c r="C6651" s="12" t="str">
        <x:v>CORP-0452</x:v>
      </x:c>
      <x:c r="D6651" s="12" t="str">
        <x:v>Bengaluru</x:v>
      </x:c>
      <x:c r="E6651" s="12" t="str">
        <x:v>Prestige Technostar</x:v>
      </x:c>
      <x:c r="F6651" s="12" t="str">
        <x:v>55 inch</x:v>
      </x:c>
      <x:c r="G6651" s="20" t="n">
        <x:v>1</x:v>
      </x:c>
      <x:c r="H6651" s="12" t="str">
        <x:v>Campus/portfolio roster; individual building occupancy unverified</x:v>
      </x:c>
      <x:c r="I6651" s="12" t="str">
        <x:v>Large enterprise</x:v>
      </x:c>
      <x:c r="J6651" s="12" t="str">
        <x:v>Engineering &amp; manufacturing</x:v>
      </x:c>
      <x:c r="K6651" s="2" t="str">
        <x:v>PARTNER-M034</x:v>
      </x:c>
    </x:row>
    <x:row r="6652" ht="46" customHeight="1">
      <x:c r="A6652" s="2" t="str">
        <x:v>TEN-3A1978BEBDE0</x:v>
      </x:c>
      <x:c r="B6652" s="12" t="str">
        <x:v>Route Mobile Limited (RouteLab unit)</x:v>
      </x:c>
      <x:c r="C6652" s="12" t="str">
        <x:v>CORP-0452</x:v>
      </x:c>
      <x:c r="D6652" s="12" t="str">
        <x:v>Bengaluru</x:v>
      </x:c>
      <x:c r="E6652" s="12" t="str">
        <x:v>Prestige Technostar</x:v>
      </x:c>
      <x:c r="F6652" s="12" t="str">
        <x:v>55 inch</x:v>
      </x:c>
      <x:c r="G6652" s="20" t="n">
        <x:v>1</x:v>
      </x:c>
      <x:c r="H6652" s="12" t="str">
        <x:v>Campus/portfolio roster; individual building occupancy unverified</x:v>
      </x:c>
      <x:c r="I6652" s="12" t="str">
        <x:v>Mixed business audience</x:v>
      </x:c>
      <x:c r="J6652" s="12" t="str">
        <x:v>IT &amp; digital</x:v>
      </x:c>
      <x:c r="K6652" s="2" t="str">
        <x:v>PARTNER-M034</x:v>
      </x:c>
    </x:row>
    <x:row r="6653" ht="46" customHeight="1">
      <x:c r="A6653" s="2" t="str">
        <x:v>TEN-6B0F63C5E611</x:v>
      </x:c>
      <x:c r="B6653" s="12" t="str">
        <x:v>Aeries Technology Private Limited</x:v>
      </x:c>
      <x:c r="C6653" s="12" t="str">
        <x:v>CORP-0452</x:v>
      </x:c>
      <x:c r="D6653" s="12" t="str">
        <x:v>Bengaluru</x:v>
      </x:c>
      <x:c r="E6653" s="12" t="str">
        <x:v>Prestige Technostar</x:v>
      </x:c>
      <x:c r="F6653" s="12" t="str">
        <x:v>55 inch</x:v>
      </x:c>
      <x:c r="G6653" s="20" t="n">
        <x:v>1</x:v>
      </x:c>
      <x:c r="H6653" s="12" t="str">
        <x:v>Campus/portfolio roster; individual building occupancy unverified</x:v>
      </x:c>
      <x:c r="I6653" s="12" t="str">
        <x:v>Mixed business audience</x:v>
      </x:c>
      <x:c r="J6653" s="12" t="str">
        <x:v>IT &amp; digital</x:v>
      </x:c>
      <x:c r="K6653" s="2" t="str">
        <x:v>PARTNER-M034</x:v>
      </x:c>
    </x:row>
    <x:row r="6654" ht="46" customHeight="1">
      <x:c r="A6654" s="2" t="str">
        <x:v>TEN-8651A1F195D9</x:v>
      </x:c>
      <x:c r="B6654" s="12" t="str">
        <x:v>Relevance Lab Pvt. Ltd</x:v>
      </x:c>
      <x:c r="C6654" s="12" t="str">
        <x:v>CORP-0452</x:v>
      </x:c>
      <x:c r="D6654" s="12" t="str">
        <x:v>Bengaluru</x:v>
      </x:c>
      <x:c r="E6654" s="12" t="str">
        <x:v>Prestige Technostar</x:v>
      </x:c>
      <x:c r="F6654" s="12" t="str">
        <x:v>55 inch</x:v>
      </x:c>
      <x:c r="G6654" s="20" t="n">
        <x:v>1</x:v>
      </x:c>
      <x:c r="H6654" s="12" t="str">
        <x:v>Campus/portfolio roster; individual building occupancy unverified</x:v>
      </x:c>
      <x:c r="I6654" s="12" t="str">
        <x:v>Small-scale prospects</x:v>
      </x:c>
      <x:c r="J6654" s="12" t="str">
        <x:v>IT &amp; digital</x:v>
      </x:c>
      <x:c r="K6654" s="2" t="str">
        <x:v>PARTNER-M034</x:v>
      </x:c>
    </x:row>
    <x:row r="6655" ht="46" customHeight="1">
      <x:c r="A6655" s="2" t="str">
        <x:v>TEN-9C8100FC00FA</x:v>
      </x:c>
      <x:c r="B6655" s="12" t="str">
        <x:v>TBWA\India</x:v>
      </x:c>
      <x:c r="C6655" s="12" t="str">
        <x:v>CORP-0452</x:v>
      </x:c>
      <x:c r="D6655" s="12" t="str">
        <x:v>Bengaluru</x:v>
      </x:c>
      <x:c r="E6655" s="12" t="str">
        <x:v>Prestige Technostar</x:v>
      </x:c>
      <x:c r="F6655" s="12" t="str">
        <x:v>55 inch</x:v>
      </x:c>
      <x:c r="G6655" s="20" t="n">
        <x:v>1</x:v>
      </x:c>
      <x:c r="H6655" s="12" t="str">
        <x:v>Campus/portfolio roster; individual building occupancy unverified</x:v>
      </x:c>
      <x:c r="I6655" s="12" t="str">
        <x:v>Mixed business audience</x:v>
      </x:c>
      <x:c r="J6655" s="12" t="str">
        <x:v>Professional services</x:v>
      </x:c>
      <x:c r="K6655" s="2" t="str">
        <x:v>PARTNER-M034</x:v>
      </x:c>
    </x:row>
    <x:row r="6656" ht="46" customHeight="1">
      <x:c r="A6656" s="2" t="str">
        <x:v>TEN-C003E01D846B</x:v>
      </x:c>
      <x:c r="B6656" s="12" t="str">
        <x:v>Stratus Technologies</x:v>
      </x:c>
      <x:c r="C6656" s="12" t="str">
        <x:v>CORP-0452</x:v>
      </x:c>
      <x:c r="D6656" s="12" t="str">
        <x:v>Bengaluru</x:v>
      </x:c>
      <x:c r="E6656" s="12" t="str">
        <x:v>Prestige Technostar</x:v>
      </x:c>
      <x:c r="F6656" s="12" t="str">
        <x:v>55 inch</x:v>
      </x:c>
      <x:c r="G6656" s="20" t="n">
        <x:v>1</x:v>
      </x:c>
      <x:c r="H6656" s="12" t="str">
        <x:v>Campus/portfolio roster; individual building occupancy unverified</x:v>
      </x:c>
      <x:c r="I6656" s="12" t="str">
        <x:v>Mixed business audience</x:v>
      </x:c>
      <x:c r="J6656" s="12" t="str">
        <x:v>IT &amp; digital</x:v>
      </x:c>
      <x:c r="K6656" s="2" t="str">
        <x:v>PARTNER-M034</x:v>
      </x:c>
    </x:row>
    <x:row r="6657" ht="46" customHeight="1">
      <x:c r="A6657" s="2" t="str">
        <x:v>TEN-C042D03D597E</x:v>
      </x:c>
      <x:c r="B6657" s="12" t="str">
        <x:v>Inspirage Software Consulting Pvt. Ltd</x:v>
      </x:c>
      <x:c r="C6657" s="12" t="str">
        <x:v>CORP-0452</x:v>
      </x:c>
      <x:c r="D6657" s="12" t="str">
        <x:v>Bengaluru</x:v>
      </x:c>
      <x:c r="E6657" s="12" t="str">
        <x:v>Prestige Technostar</x:v>
      </x:c>
      <x:c r="F6657" s="12" t="str">
        <x:v>55 inch</x:v>
      </x:c>
      <x:c r="G6657" s="20" t="n">
        <x:v>1</x:v>
      </x:c>
      <x:c r="H6657" s="12" t="str">
        <x:v>Campus/portfolio roster; individual building occupancy unverified</x:v>
      </x:c>
      <x:c r="I6657" s="12" t="str">
        <x:v>Mixed business audience</x:v>
      </x:c>
      <x:c r="J6657" s="12" t="str">
        <x:v>IT &amp; digital</x:v>
      </x:c>
      <x:c r="K6657" s="2" t="str">
        <x:v>PARTNER-M034</x:v>
      </x:c>
    </x:row>
    <x:row r="6658" ht="46" customHeight="1">
      <x:c r="A6658" s="2" t="str">
        <x:v>TEN-C534FF89F340</x:v>
      </x:c>
      <x:c r="B6658" s="12" t="str">
        <x:v>Brady Company India Pvt. Ltd</x:v>
      </x:c>
      <x:c r="C6658" s="12" t="str">
        <x:v>CORP-0452</x:v>
      </x:c>
      <x:c r="D6658" s="12" t="str">
        <x:v>Bengaluru</x:v>
      </x:c>
      <x:c r="E6658" s="12" t="str">
        <x:v>Prestige Technostar</x:v>
      </x:c>
      <x:c r="F6658" s="12" t="str">
        <x:v>55 inch</x:v>
      </x:c>
      <x:c r="G6658" s="20" t="n">
        <x:v>1</x:v>
      </x:c>
      <x:c r="H6658" s="12" t="str">
        <x:v>Campus/portfolio roster; individual building occupancy unverified</x:v>
      </x:c>
      <x:c r="I6658" s="12" t="str">
        <x:v>Mixed business audience</x:v>
      </x:c>
      <x:c r="J6658" s="12" t="str">
        <x:v>Engineering &amp; manufacturing</x:v>
      </x:c>
      <x:c r="K6658" s="2" t="str">
        <x:v>PARTNER-M034</x:v>
      </x:c>
    </x:row>
    <x:row r="6659" ht="46" customHeight="1">
      <x:c r="A6659" s="2" t="str">
        <x:v>TEN-CA38967873EE</x:v>
      </x:c>
      <x:c r="B6659" s="12" t="str">
        <x:v>Symplr</x:v>
      </x:c>
      <x:c r="C6659" s="12" t="str">
        <x:v>CORP-0452</x:v>
      </x:c>
      <x:c r="D6659" s="12" t="str">
        <x:v>Bengaluru</x:v>
      </x:c>
      <x:c r="E6659" s="12" t="str">
        <x:v>Prestige Technostar</x:v>
      </x:c>
      <x:c r="F6659" s="12" t="str">
        <x:v>55 inch</x:v>
      </x:c>
      <x:c r="G6659" s="20" t="n">
        <x:v>1</x:v>
      </x:c>
      <x:c r="H6659" s="12" t="str">
        <x:v>Campus/portfolio roster; individual building occupancy unverified</x:v>
      </x:c>
      <x:c r="I6659" s="12" t="str">
        <x:v>Mixed business audience</x:v>
      </x:c>
      <x:c r="J6659" s="12" t="str">
        <x:v>Healthcare &amp; life sciences</x:v>
      </x:c>
      <x:c r="K6659" s="2" t="str">
        <x:v>PARTNER-M034</x:v>
      </x:c>
    </x:row>
    <x:row r="6660" ht="46" customHeight="1">
      <x:c r="A6660" s="2" t="str">
        <x:v>TEN-CCF2DC9DADF3</x:v>
      </x:c>
      <x:c r="B6660" s="12" t="str">
        <x:v>Gartner India Research and Advisory Services Pvt. Ltd</x:v>
      </x:c>
      <x:c r="C6660" s="12" t="str">
        <x:v>CORP-0452</x:v>
      </x:c>
      <x:c r="D6660" s="12" t="str">
        <x:v>Bengaluru</x:v>
      </x:c>
      <x:c r="E6660" s="12" t="str">
        <x:v>Prestige Technostar</x:v>
      </x:c>
      <x:c r="F6660" s="12" t="str">
        <x:v>55 inch</x:v>
      </x:c>
      <x:c r="G6660" s="20" t="n">
        <x:v>1</x:v>
      </x:c>
      <x:c r="H6660" s="12" t="str">
        <x:v>Campus/portfolio roster; individual building occupancy unverified</x:v>
      </x:c>
      <x:c r="I6660" s="12" t="str">
        <x:v>Mixed business audience</x:v>
      </x:c>
      <x:c r="J6660" s="12" t="str">
        <x:v>Professional services</x:v>
      </x:c>
      <x:c r="K6660" s="2" t="str">
        <x:v>PARTNER-M034</x:v>
      </x:c>
    </x:row>
    <x:row r="6661" ht="46" customHeight="1">
      <x:c r="A6661" s="2" t="str">
        <x:v>TEN-D273C9F9C1A3</x:v>
      </x:c>
      <x:c r="B6661" s="12" t="str">
        <x:v>o9 Solutions</x:v>
      </x:c>
      <x:c r="C6661" s="12" t="str">
        <x:v>CORP-0452</x:v>
      </x:c>
      <x:c r="D6661" s="12" t="str">
        <x:v>Bengaluru</x:v>
      </x:c>
      <x:c r="E6661" s="12" t="str">
        <x:v>Prestige Technostar</x:v>
      </x:c>
      <x:c r="F6661" s="12" t="str">
        <x:v>55 inch</x:v>
      </x:c>
      <x:c r="G6661" s="20" t="n">
        <x:v>1</x:v>
      </x:c>
      <x:c r="H6661" s="12" t="str">
        <x:v>Campus/portfolio roster; individual building occupancy unverified</x:v>
      </x:c>
      <x:c r="I6661" s="12" t="str">
        <x:v>Mixed business audience</x:v>
      </x:c>
      <x:c r="J6661" s="12" t="str">
        <x:v>IT &amp; digital</x:v>
      </x:c>
      <x:c r="K6661" s="2" t="str">
        <x:v>PARTNER-M034</x:v>
      </x:c>
    </x:row>
    <x:row r="6662" ht="46" customHeight="1">
      <x:c r="A6662" s="2" t="str">
        <x:v>TEN-DBAB58D7E29B</x:v>
      </x:c>
      <x:c r="B6662" s="12" t="str">
        <x:v>Adept Chip Services Pvt. Ltd</x:v>
      </x:c>
      <x:c r="C6662" s="12" t="str">
        <x:v>CORP-0452</x:v>
      </x:c>
      <x:c r="D6662" s="12" t="str">
        <x:v>Bengaluru</x:v>
      </x:c>
      <x:c r="E6662" s="12" t="str">
        <x:v>Prestige Technostar</x:v>
      </x:c>
      <x:c r="F6662" s="12" t="str">
        <x:v>55 inch</x:v>
      </x:c>
      <x:c r="G6662" s="20" t="n">
        <x:v>1</x:v>
      </x:c>
      <x:c r="H6662" s="12" t="str">
        <x:v>Campus/portfolio roster; individual building occupancy unverified</x:v>
      </x:c>
      <x:c r="I6662" s="12" t="str">
        <x:v>Medium-scale prospects</x:v>
      </x:c>
      <x:c r="J6662" s="12" t="str">
        <x:v>Engineering &amp; manufacturing</x:v>
      </x:c>
      <x:c r="K6662" s="2" t="str">
        <x:v>PARTNER-M034</x:v>
      </x:c>
    </x:row>
    <x:row r="6663" ht="46" customHeight="1">
      <x:c r="A6663" s="2" t="str">
        <x:v>TEN-DFB64AC34C6A</x:v>
      </x:c>
      <x:c r="B6663" s="12" t="str">
        <x:v>sophisTex Pvt. Ltd</x:v>
      </x:c>
      <x:c r="C6663" s="12" t="str">
        <x:v>CORP-0452</x:v>
      </x:c>
      <x:c r="D6663" s="12" t="str">
        <x:v>Bengaluru</x:v>
      </x:c>
      <x:c r="E6663" s="12" t="str">
        <x:v>Prestige Technostar</x:v>
      </x:c>
      <x:c r="F6663" s="12" t="str">
        <x:v>55 inch</x:v>
      </x:c>
      <x:c r="G6663" s="20" t="n">
        <x:v>1</x:v>
      </x:c>
      <x:c r="H6663" s="12" t="str">
        <x:v>Campus/portfolio roster; individual building occupancy unverified</x:v>
      </x:c>
      <x:c r="I6663" s="12" t="str">
        <x:v>Mixed business audience</x:v>
      </x:c>
      <x:c r="J6663" s="12" t="str">
        <x:v>Unresolved</x:v>
      </x:c>
      <x:c r="K6663" s="2" t="str">
        <x:v>PARTNER-M034</x:v>
      </x:c>
    </x:row>
    <x:row r="6664" ht="46" customHeight="1">
      <x:c r="A6664" s="2" t="str">
        <x:v>TEN-FC632053B35C</x:v>
      </x:c>
      <x:c r="B6664" s="12" t="str">
        <x:v>DealerSocket India Private Limited</x:v>
      </x:c>
      <x:c r="C6664" s="12" t="str">
        <x:v>CORP-0452</x:v>
      </x:c>
      <x:c r="D6664" s="12" t="str">
        <x:v>Bengaluru</x:v>
      </x:c>
      <x:c r="E6664" s="12" t="str">
        <x:v>Prestige Technostar</x:v>
      </x:c>
      <x:c r="F6664" s="12" t="str">
        <x:v>55 inch</x:v>
      </x:c>
      <x:c r="G6664" s="20" t="n">
        <x:v>1</x:v>
      </x:c>
      <x:c r="H6664" s="12" t="str">
        <x:v>Campus/portfolio roster; individual building occupancy unverified</x:v>
      </x:c>
      <x:c r="I6664" s="12" t="str">
        <x:v>Mixed business audience</x:v>
      </x:c>
      <x:c r="J6664" s="12" t="str">
        <x:v>IT &amp; digital</x:v>
      </x:c>
      <x:c r="K6664" s="2" t="str">
        <x:v>PARTNER-M034</x:v>
      </x:c>
    </x:row>
    <x:row r="6665" ht="46" customHeight="1">
      <x:c r="A6665" s="2" t="str">
        <x:v>TEN-0B84B8C86C04</x:v>
      </x:c>
      <x:c r="B6665" s="12" t="str">
        <x:v>Simon Electric pvt Ltd</x:v>
      </x:c>
      <x:c r="C6665" s="12" t="str">
        <x:v>CORP-0785</x:v>
      </x:c>
      <x:c r="D6665" s="12" t="str">
        <x:v>Delhi NCR</x:v>
      </x:c>
      <x:c r="E6665" s="12" t="str">
        <x:v>Urbtech Trade Centre</x:v>
      </x:c>
      <x:c r="F6665" s="12" t="str">
        <x:v>55 inch</x:v>
      </x:c>
      <x:c r="G6665" s="20" t="n">
        <x:v>1</x:v>
      </x:c>
      <x:c r="H6665" s="12" t="str">
        <x:v>Campus/portfolio roster; individual building occupancy unverified</x:v>
      </x:c>
      <x:c r="I6665" s="12" t="str">
        <x:v>Medium-scale prospects</x:v>
      </x:c>
      <x:c r="J6665" s="12" t="str">
        <x:v>Engineering &amp; manufacturing</x:v>
      </x:c>
      <x:c r="K6665" s="2" t="str">
        <x:v>PARTNER-M365</x:v>
      </x:c>
    </x:row>
    <x:row r="6666" ht="46" customHeight="1">
      <x:c r="A6666" s="2" t="str">
        <x:v>TEN-1C4CDE20CBE1</x:v>
      </x:c>
      <x:c r="B6666" s="12" t="str">
        <x:v>SuperAdMedia</x:v>
      </x:c>
      <x:c r="C6666" s="12" t="str">
        <x:v>CORP-0785</x:v>
      </x:c>
      <x:c r="D6666" s="12" t="str">
        <x:v>Delhi NCR</x:v>
      </x:c>
      <x:c r="E6666" s="12" t="str">
        <x:v>Urbtech Trade Centre</x:v>
      </x:c>
      <x:c r="F6666" s="12" t="str">
        <x:v>55 inch</x:v>
      </x:c>
      <x:c r="G6666" s="20" t="n">
        <x:v>1</x:v>
      </x:c>
      <x:c r="H6666" s="12" t="str">
        <x:v>Campus/portfolio roster; individual building occupancy unverified</x:v>
      </x:c>
      <x:c r="I6666" s="12" t="str">
        <x:v>Small-scale prospects</x:v>
      </x:c>
      <x:c r="J6666" s="12" t="str">
        <x:v>Professional services</x:v>
      </x:c>
      <x:c r="K6666" s="2" t="str">
        <x:v>PARTNER-M365</x:v>
      </x:c>
    </x:row>
    <x:row r="6667" ht="46" customHeight="1">
      <x:c r="A6667" s="2" t="str">
        <x:v>TEN-24BCCA39B43D</x:v>
      </x:c>
      <x:c r="B6667" s="12" t="str">
        <x:v>Serenia Coworking</x:v>
      </x:c>
      <x:c r="C6667" s="12" t="str">
        <x:v>CORP-0785</x:v>
      </x:c>
      <x:c r="D6667" s="12" t="str">
        <x:v>Delhi NCR</x:v>
      </x:c>
      <x:c r="E6667" s="12" t="str">
        <x:v>Urbtech Trade Centre</x:v>
      </x:c>
      <x:c r="F6667" s="12" t="str">
        <x:v>55 inch</x:v>
      </x:c>
      <x:c r="G6667" s="20" t="n">
        <x:v>1</x:v>
      </x:c>
      <x:c r="H6667" s="12" t="str">
        <x:v>Campus/portfolio roster; individual building occupancy unverified</x:v>
      </x:c>
      <x:c r="I6667" s="12" t="str">
        <x:v>Mixed business audience</x:v>
      </x:c>
      <x:c r="J6667" s="12" t="str">
        <x:v>Workspace &amp; property operations</x:v>
      </x:c>
      <x:c r="K6667" s="2" t="str">
        <x:v>PARTNER-M365</x:v>
      </x:c>
    </x:row>
    <x:row r="6668" ht="46" customHeight="1">
      <x:c r="A6668" s="2" t="str">
        <x:v>TEN-24E8B74B48CE</x:v>
      </x:c>
      <x:c r="B6668" s="12" t="str">
        <x:v>Anektos Hybrid Buildings Pvt. Ltd</x:v>
      </x:c>
      <x:c r="C6668" s="12" t="str">
        <x:v>CORP-0785</x:v>
      </x:c>
      <x:c r="D6668" s="12" t="str">
        <x:v>Delhi NCR</x:v>
      </x:c>
      <x:c r="E6668" s="12" t="str">
        <x:v>Urbtech Trade Centre</x:v>
      </x:c>
      <x:c r="F6668" s="12" t="str">
        <x:v>55 inch</x:v>
      </x:c>
      <x:c r="G6668" s="20" t="n">
        <x:v>1</x:v>
      </x:c>
      <x:c r="H6668" s="12" t="str">
        <x:v>Campus/portfolio roster; individual building occupancy unverified</x:v>
      </x:c>
      <x:c r="I6668" s="12" t="str">
        <x:v>Small-scale prospects</x:v>
      </x:c>
      <x:c r="J6668" s="12" t="str">
        <x:v>Trade, consumer &amp; logistics</x:v>
      </x:c>
      <x:c r="K6668" s="2" t="str">
        <x:v>PARTNER-M365</x:v>
      </x:c>
    </x:row>
    <x:row r="6669" ht="46" customHeight="1">
      <x:c r="A6669" s="2" t="str">
        <x:v>TEN-351F2133C349</x:v>
      </x:c>
      <x:c r="B6669" s="12" t="str">
        <x:v>SmartTech Messaging</x:v>
      </x:c>
      <x:c r="C6669" s="12" t="str">
        <x:v>CORP-0785</x:v>
      </x:c>
      <x:c r="D6669" s="12" t="str">
        <x:v>Delhi NCR</x:v>
      </x:c>
      <x:c r="E6669" s="12" t="str">
        <x:v>Urbtech Trade Centre</x:v>
      </x:c>
      <x:c r="F6669" s="12" t="str">
        <x:v>55 inch</x:v>
      </x:c>
      <x:c r="G6669" s="20" t="n">
        <x:v>1</x:v>
      </x:c>
      <x:c r="H6669" s="12" t="str">
        <x:v>Campus/portfolio roster; individual building occupancy unverified</x:v>
      </x:c>
      <x:c r="I6669" s="12" t="str">
        <x:v>Mixed business audience</x:v>
      </x:c>
      <x:c r="J6669" s="12" t="str">
        <x:v>Unresolved</x:v>
      </x:c>
      <x:c r="K6669" s="2" t="str">
        <x:v>PARTNER-M365</x:v>
      </x:c>
    </x:row>
    <x:row r="6670" ht="46" customHeight="1">
      <x:c r="A6670" s="2" t="str">
        <x:v>TEN-4637D767B45C</x:v>
      </x:c>
      <x:c r="B6670" s="12" t="str">
        <x:v>INLIVING</x:v>
      </x:c>
      <x:c r="C6670" s="12" t="str">
        <x:v>CORP-0785</x:v>
      </x:c>
      <x:c r="D6670" s="12" t="str">
        <x:v>Delhi NCR</x:v>
      </x:c>
      <x:c r="E6670" s="12" t="str">
        <x:v>Urbtech Trade Centre</x:v>
      </x:c>
      <x:c r="F6670" s="12" t="str">
        <x:v>55 inch</x:v>
      </x:c>
      <x:c r="G6670" s="20" t="n">
        <x:v>1</x:v>
      </x:c>
      <x:c r="H6670" s="12" t="str">
        <x:v>Campus/portfolio roster; individual building occupancy unverified</x:v>
      </x:c>
      <x:c r="I6670" s="12" t="str">
        <x:v>Small-scale prospects</x:v>
      </x:c>
      <x:c r="J6670" s="12" t="str">
        <x:v>Trade, consumer &amp; logistics</x:v>
      </x:c>
      <x:c r="K6670" s="2" t="str">
        <x:v>PARTNER-M365</x:v>
      </x:c>
    </x:row>
    <x:row r="6671" ht="46" customHeight="1">
      <x:c r="A6671" s="2" t="str">
        <x:v>TEN-6186C00E74F2</x:v>
      </x:c>
      <x:c r="B6671" s="12" t="str">
        <x:v>The LHR Group</x:v>
      </x:c>
      <x:c r="C6671" s="12" t="str">
        <x:v>CORP-0785</x:v>
      </x:c>
      <x:c r="D6671" s="12" t="str">
        <x:v>Delhi NCR</x:v>
      </x:c>
      <x:c r="E6671" s="12" t="str">
        <x:v>Urbtech Trade Centre</x:v>
      </x:c>
      <x:c r="F6671" s="12" t="str">
        <x:v>55 inch</x:v>
      </x:c>
      <x:c r="G6671" s="20" t="n">
        <x:v>1</x:v>
      </x:c>
      <x:c r="H6671" s="12" t="str">
        <x:v>Campus/portfolio roster; individual building occupancy unverified</x:v>
      </x:c>
      <x:c r="I6671" s="12" t="str">
        <x:v>Mixed business audience</x:v>
      </x:c>
      <x:c r="J6671" s="12" t="str">
        <x:v>Unresolved</x:v>
      </x:c>
      <x:c r="K6671" s="2" t="str">
        <x:v>PARTNER-M365</x:v>
      </x:c>
    </x:row>
    <x:row r="6672" ht="46" customHeight="1">
      <x:c r="A6672" s="2" t="str">
        <x:v>TEN-71E33AB069A4</x:v>
      </x:c>
      <x:c r="B6672" s="12" t="str">
        <x:v>Alyke</x:v>
      </x:c>
      <x:c r="C6672" s="12" t="str">
        <x:v>CORP-0785</x:v>
      </x:c>
      <x:c r="D6672" s="12" t="str">
        <x:v>Delhi NCR</x:v>
      </x:c>
      <x:c r="E6672" s="12" t="str">
        <x:v>Urbtech Trade Centre</x:v>
      </x:c>
      <x:c r="F6672" s="12" t="str">
        <x:v>55 inch</x:v>
      </x:c>
      <x:c r="G6672" s="20" t="n">
        <x:v>1</x:v>
      </x:c>
      <x:c r="H6672" s="12" t="str">
        <x:v>Campus/portfolio roster; individual building occupancy unverified</x:v>
      </x:c>
      <x:c r="I6672" s="12" t="str">
        <x:v>Mixed business audience</x:v>
      </x:c>
      <x:c r="J6672" s="12" t="str">
        <x:v>Unresolved</x:v>
      </x:c>
      <x:c r="K6672" s="2" t="str">
        <x:v>PARTNER-M365</x:v>
      </x:c>
    </x:row>
    <x:row r="6673" ht="46" customHeight="1">
      <x:c r="A6673" s="2" t="str">
        <x:v>TEN-8B608DCA827C</x:v>
      </x:c>
      <x:c r="B6673" s="12" t="str">
        <x:v>Zebra Technologies India Pvt Ltd</x:v>
      </x:c>
      <x:c r="C6673" s="12" t="str">
        <x:v>CORP-0785</x:v>
      </x:c>
      <x:c r="D6673" s="12" t="str">
        <x:v>Delhi NCR</x:v>
      </x:c>
      <x:c r="E6673" s="12" t="str">
        <x:v>Urbtech Trade Centre</x:v>
      </x:c>
      <x:c r="F6673" s="12" t="str">
        <x:v>55 inch</x:v>
      </x:c>
      <x:c r="G6673" s="20" t="n">
        <x:v>1</x:v>
      </x:c>
      <x:c r="H6673" s="12" t="str">
        <x:v>Campus/portfolio roster; individual building occupancy unverified</x:v>
      </x:c>
      <x:c r="I6673" s="12" t="str">
        <x:v>Mixed business audience</x:v>
      </x:c>
      <x:c r="J6673" s="12" t="str">
        <x:v>Engineering &amp; manufacturing</x:v>
      </x:c>
      <x:c r="K6673" s="2" t="str">
        <x:v>PARTNER-M365</x:v>
      </x:c>
    </x:row>
    <x:row r="6674" ht="46" customHeight="1">
      <x:c r="A6674" s="2" t="str">
        <x:v>TEN-9A16AFDC257F</x:v>
      </x:c>
      <x:c r="B6674" s="12" t="str">
        <x:v>Herbal Chakra Private Limited</x:v>
      </x:c>
      <x:c r="C6674" s="12" t="str">
        <x:v>CORP-0785</x:v>
      </x:c>
      <x:c r="D6674" s="12" t="str">
        <x:v>Delhi NCR</x:v>
      </x:c>
      <x:c r="E6674" s="12" t="str">
        <x:v>Urbtech Trade Centre</x:v>
      </x:c>
      <x:c r="F6674" s="12" t="str">
        <x:v>55 inch</x:v>
      </x:c>
      <x:c r="G6674" s="20" t="n">
        <x:v>1</x:v>
      </x:c>
      <x:c r="H6674" s="12" t="str">
        <x:v>Campus/portfolio roster; individual building occupancy unverified</x:v>
      </x:c>
      <x:c r="I6674" s="12" t="str">
        <x:v>Medium-scale prospects</x:v>
      </x:c>
      <x:c r="J6674" s="12" t="str">
        <x:v>Healthcare &amp; life sciences</x:v>
      </x:c>
      <x:c r="K6674" s="2" t="str">
        <x:v>PARTNER-M365</x:v>
      </x:c>
    </x:row>
    <x:row r="6675" ht="46" customHeight="1">
      <x:c r="A6675" s="2" t="str">
        <x:v>TEN-A84075D6CDAD</x:v>
      </x:c>
      <x:c r="B6675" s="12" t="str">
        <x:v>Techknowlabs Pvt Ltd</x:v>
      </x:c>
      <x:c r="C6675" s="12" t="str">
        <x:v>CORP-0785</x:v>
      </x:c>
      <x:c r="D6675" s="12" t="str">
        <x:v>Delhi NCR</x:v>
      </x:c>
      <x:c r="E6675" s="12" t="str">
        <x:v>Urbtech Trade Centre</x:v>
      </x:c>
      <x:c r="F6675" s="12" t="str">
        <x:v>55 inch</x:v>
      </x:c>
      <x:c r="G6675" s="20" t="n">
        <x:v>1</x:v>
      </x:c>
      <x:c r="H6675" s="12" t="str">
        <x:v>Campus/portfolio roster; individual building occupancy unverified</x:v>
      </x:c>
      <x:c r="I6675" s="12" t="str">
        <x:v>Mixed business audience</x:v>
      </x:c>
      <x:c r="J6675" s="12" t="str">
        <x:v>Unresolved</x:v>
      </x:c>
      <x:c r="K6675" s="2" t="str">
        <x:v>PARTNER-M365</x:v>
      </x:c>
    </x:row>
    <x:row r="6676" ht="46" customHeight="1">
      <x:c r="A6676" s="2" t="str">
        <x:v>TEN-B6D604AAAE8B</x:v>
      </x:c>
      <x:c r="B6676" s="12" t="str">
        <x:v>IPS BOUNCER WEDDING EVENT MANAGEMENT</x:v>
      </x:c>
      <x:c r="C6676" s="12" t="str">
        <x:v>CORP-0785</x:v>
      </x:c>
      <x:c r="D6676" s="12" t="str">
        <x:v>Delhi NCR</x:v>
      </x:c>
      <x:c r="E6676" s="12" t="str">
        <x:v>Urbtech Trade Centre</x:v>
      </x:c>
      <x:c r="F6676" s="12" t="str">
        <x:v>55 inch</x:v>
      </x:c>
      <x:c r="G6676" s="20" t="n">
        <x:v>1</x:v>
      </x:c>
      <x:c r="H6676" s="12" t="str">
        <x:v>Campus/portfolio roster; individual building occupancy unverified</x:v>
      </x:c>
      <x:c r="I6676" s="12" t="str">
        <x:v>Small-scale prospects</x:v>
      </x:c>
      <x:c r="J6676" s="12" t="str">
        <x:v>Trade, consumer &amp; logistics</x:v>
      </x:c>
      <x:c r="K6676" s="2" t="str">
        <x:v>PARTNER-M365</x:v>
      </x:c>
    </x:row>
    <x:row r="6677" ht="46" customHeight="1">
      <x:c r="A6677" s="2" t="str">
        <x:v>TEN-C81CB399F996</x:v>
      </x:c>
      <x:c r="B6677" s="12" t="str">
        <x:v>Manipal Business Solutions Private Limited</x:v>
      </x:c>
      <x:c r="C6677" s="12" t="str">
        <x:v>CORP-0785</x:v>
      </x:c>
      <x:c r="D6677" s="12" t="str">
        <x:v>Delhi NCR</x:v>
      </x:c>
      <x:c r="E6677" s="12" t="str">
        <x:v>Urbtech Trade Centre</x:v>
      </x:c>
      <x:c r="F6677" s="12" t="str">
        <x:v>55 inch</x:v>
      </x:c>
      <x:c r="G6677" s="20" t="n">
        <x:v>1</x:v>
      </x:c>
      <x:c r="H6677" s="12" t="str">
        <x:v>Campus/portfolio roster; individual building occupancy unverified</x:v>
      </x:c>
      <x:c r="I6677" s="12" t="str">
        <x:v>Mixed business audience</x:v>
      </x:c>
      <x:c r="J6677" s="12" t="str">
        <x:v>Unresolved</x:v>
      </x:c>
      <x:c r="K6677" s="2" t="str">
        <x:v>PARTNER-M365</x:v>
      </x:c>
    </x:row>
    <x:row r="6678" ht="46" customHeight="1">
      <x:c r="A6678" s="2" t="str">
        <x:v>TEN-E2657581FE46</x:v>
      </x:c>
      <x:c r="B6678" s="12" t="str">
        <x:v>Infobip</x:v>
      </x:c>
      <x:c r="C6678" s="12" t="str">
        <x:v>CORP-0785</x:v>
      </x:c>
      <x:c r="D6678" s="12" t="str">
        <x:v>Delhi NCR</x:v>
      </x:c>
      <x:c r="E6678" s="12" t="str">
        <x:v>Urbtech Trade Centre</x:v>
      </x:c>
      <x:c r="F6678" s="12" t="str">
        <x:v>55 inch</x:v>
      </x:c>
      <x:c r="G6678" s="20" t="n">
        <x:v>1</x:v>
      </x:c>
      <x:c r="H6678" s="12" t="str">
        <x:v>Campus/portfolio roster; individual building occupancy unverified</x:v>
      </x:c>
      <x:c r="I6678" s="12" t="str">
        <x:v>Mixed business audience</x:v>
      </x:c>
      <x:c r="J6678" s="12" t="str">
        <x:v>Unresolved</x:v>
      </x:c>
      <x:c r="K6678" s="2" t="str">
        <x:v>PARTNER-M365</x:v>
      </x:c>
    </x:row>
    <x:row r="6679" ht="46" customHeight="1">
      <x:c r="A6679" s="2" t="str">
        <x:v>TEN-EE965BC63671</x:v>
      </x:c>
      <x:c r="B6679" s="12" t="str">
        <x:v>eMaven Solutions Pvt. Ltd</x:v>
      </x:c>
      <x:c r="C6679" s="12" t="str">
        <x:v>CORP-0785</x:v>
      </x:c>
      <x:c r="D6679" s="12" t="str">
        <x:v>Delhi NCR</x:v>
      </x:c>
      <x:c r="E6679" s="12" t="str">
        <x:v>Urbtech Trade Centre</x:v>
      </x:c>
      <x:c r="F6679" s="12" t="str">
        <x:v>55 inch</x:v>
      </x:c>
      <x:c r="G6679" s="20" t="n">
        <x:v>1</x:v>
      </x:c>
      <x:c r="H6679" s="12" t="str">
        <x:v>Campus/portfolio roster; individual building occupancy unverified</x:v>
      </x:c>
      <x:c r="I6679" s="12" t="str">
        <x:v>Mixed business audience</x:v>
      </x:c>
      <x:c r="J6679" s="12" t="str">
        <x:v>Unresolved</x:v>
      </x:c>
      <x:c r="K6679" s="2" t="str">
        <x:v>PARTNER-M365</x:v>
      </x:c>
    </x:row>
    <x:row r="6680" ht="46" customHeight="1">
      <x:c r="A6680" s="2" t="str">
        <x:v>TEN-0B84B8C86C04</x:v>
      </x:c>
      <x:c r="B6680" s="12" t="str">
        <x:v>Simon Electric pvt Ltd</x:v>
      </x:c>
      <x:c r="C6680" s="12" t="str">
        <x:v>CORP-0786</x:v>
      </x:c>
      <x:c r="D6680" s="12" t="str">
        <x:v>Delhi NCR</x:v>
      </x:c>
      <x:c r="E6680" s="12" t="str">
        <x:v>Urbtech Trade Centre</x:v>
      </x:c>
      <x:c r="F6680" s="12" t="str">
        <x:v>55 inch</x:v>
      </x:c>
      <x:c r="G6680" s="20" t="n">
        <x:v>1</x:v>
      </x:c>
      <x:c r="H6680" s="12" t="str">
        <x:v>Campus/portfolio roster; individual building occupancy unverified</x:v>
      </x:c>
      <x:c r="I6680" s="12" t="str">
        <x:v>Medium-scale prospects</x:v>
      </x:c>
      <x:c r="J6680" s="12" t="str">
        <x:v>Engineering &amp; manufacturing</x:v>
      </x:c>
      <x:c r="K6680" s="2" t="str">
        <x:v>PARTNER-M365</x:v>
      </x:c>
    </x:row>
    <x:row r="6681" ht="46" customHeight="1">
      <x:c r="A6681" s="2" t="str">
        <x:v>TEN-1C4CDE20CBE1</x:v>
      </x:c>
      <x:c r="B6681" s="12" t="str">
        <x:v>SuperAdMedia</x:v>
      </x:c>
      <x:c r="C6681" s="12" t="str">
        <x:v>CORP-0786</x:v>
      </x:c>
      <x:c r="D6681" s="12" t="str">
        <x:v>Delhi NCR</x:v>
      </x:c>
      <x:c r="E6681" s="12" t="str">
        <x:v>Urbtech Trade Centre</x:v>
      </x:c>
      <x:c r="F6681" s="12" t="str">
        <x:v>55 inch</x:v>
      </x:c>
      <x:c r="G6681" s="20" t="n">
        <x:v>1</x:v>
      </x:c>
      <x:c r="H6681" s="12" t="str">
        <x:v>Campus/portfolio roster; individual building occupancy unverified</x:v>
      </x:c>
      <x:c r="I6681" s="12" t="str">
        <x:v>Small-scale prospects</x:v>
      </x:c>
      <x:c r="J6681" s="12" t="str">
        <x:v>Professional services</x:v>
      </x:c>
      <x:c r="K6681" s="2" t="str">
        <x:v>PARTNER-M365</x:v>
      </x:c>
    </x:row>
    <x:row r="6682" ht="46" customHeight="1">
      <x:c r="A6682" s="2" t="str">
        <x:v>TEN-24BCCA39B43D</x:v>
      </x:c>
      <x:c r="B6682" s="12" t="str">
        <x:v>Serenia Coworking</x:v>
      </x:c>
      <x:c r="C6682" s="12" t="str">
        <x:v>CORP-0786</x:v>
      </x:c>
      <x:c r="D6682" s="12" t="str">
        <x:v>Delhi NCR</x:v>
      </x:c>
      <x:c r="E6682" s="12" t="str">
        <x:v>Urbtech Trade Centre</x:v>
      </x:c>
      <x:c r="F6682" s="12" t="str">
        <x:v>55 inch</x:v>
      </x:c>
      <x:c r="G6682" s="20" t="n">
        <x:v>1</x:v>
      </x:c>
      <x:c r="H6682" s="12" t="str">
        <x:v>Campus/portfolio roster; individual building occupancy unverified</x:v>
      </x:c>
      <x:c r="I6682" s="12" t="str">
        <x:v>Mixed business audience</x:v>
      </x:c>
      <x:c r="J6682" s="12" t="str">
        <x:v>Workspace &amp; property operations</x:v>
      </x:c>
      <x:c r="K6682" s="2" t="str">
        <x:v>PARTNER-M365</x:v>
      </x:c>
    </x:row>
    <x:row r="6683" ht="46" customHeight="1">
      <x:c r="A6683" s="2" t="str">
        <x:v>TEN-24E8B74B48CE</x:v>
      </x:c>
      <x:c r="B6683" s="12" t="str">
        <x:v>Anektos Hybrid Buildings Pvt. Ltd</x:v>
      </x:c>
      <x:c r="C6683" s="12" t="str">
        <x:v>CORP-0786</x:v>
      </x:c>
      <x:c r="D6683" s="12" t="str">
        <x:v>Delhi NCR</x:v>
      </x:c>
      <x:c r="E6683" s="12" t="str">
        <x:v>Urbtech Trade Centre</x:v>
      </x:c>
      <x:c r="F6683" s="12" t="str">
        <x:v>55 inch</x:v>
      </x:c>
      <x:c r="G6683" s="20" t="n">
        <x:v>1</x:v>
      </x:c>
      <x:c r="H6683" s="12" t="str">
        <x:v>Campus/portfolio roster; individual building occupancy unverified</x:v>
      </x:c>
      <x:c r="I6683" s="12" t="str">
        <x:v>Small-scale prospects</x:v>
      </x:c>
      <x:c r="J6683" s="12" t="str">
        <x:v>Trade, consumer &amp; logistics</x:v>
      </x:c>
      <x:c r="K6683" s="2" t="str">
        <x:v>PARTNER-M365</x:v>
      </x:c>
    </x:row>
    <x:row r="6684" ht="46" customHeight="1">
      <x:c r="A6684" s="2" t="str">
        <x:v>TEN-351F2133C349</x:v>
      </x:c>
      <x:c r="B6684" s="12" t="str">
        <x:v>SmartTech Messaging</x:v>
      </x:c>
      <x:c r="C6684" s="12" t="str">
        <x:v>CORP-0786</x:v>
      </x:c>
      <x:c r="D6684" s="12" t="str">
        <x:v>Delhi NCR</x:v>
      </x:c>
      <x:c r="E6684" s="12" t="str">
        <x:v>Urbtech Trade Centre</x:v>
      </x:c>
      <x:c r="F6684" s="12" t="str">
        <x:v>55 inch</x:v>
      </x:c>
      <x:c r="G6684" s="20" t="n">
        <x:v>1</x:v>
      </x:c>
      <x:c r="H6684" s="12" t="str">
        <x:v>Campus/portfolio roster; individual building occupancy unverified</x:v>
      </x:c>
      <x:c r="I6684" s="12" t="str">
        <x:v>Mixed business audience</x:v>
      </x:c>
      <x:c r="J6684" s="12" t="str">
        <x:v>Unresolved</x:v>
      </x:c>
      <x:c r="K6684" s="2" t="str">
        <x:v>PARTNER-M365</x:v>
      </x:c>
    </x:row>
    <x:row r="6685" ht="46" customHeight="1">
      <x:c r="A6685" s="2" t="str">
        <x:v>TEN-4637D767B45C</x:v>
      </x:c>
      <x:c r="B6685" s="12" t="str">
        <x:v>INLIVING</x:v>
      </x:c>
      <x:c r="C6685" s="12" t="str">
        <x:v>CORP-0786</x:v>
      </x:c>
      <x:c r="D6685" s="12" t="str">
        <x:v>Delhi NCR</x:v>
      </x:c>
      <x:c r="E6685" s="12" t="str">
        <x:v>Urbtech Trade Centre</x:v>
      </x:c>
      <x:c r="F6685" s="12" t="str">
        <x:v>55 inch</x:v>
      </x:c>
      <x:c r="G6685" s="20" t="n">
        <x:v>1</x:v>
      </x:c>
      <x:c r="H6685" s="12" t="str">
        <x:v>Campus/portfolio roster; individual building occupancy unverified</x:v>
      </x:c>
      <x:c r="I6685" s="12" t="str">
        <x:v>Small-scale prospects</x:v>
      </x:c>
      <x:c r="J6685" s="12" t="str">
        <x:v>Trade, consumer &amp; logistics</x:v>
      </x:c>
      <x:c r="K6685" s="2" t="str">
        <x:v>PARTNER-M365</x:v>
      </x:c>
    </x:row>
    <x:row r="6686" ht="46" customHeight="1">
      <x:c r="A6686" s="2" t="str">
        <x:v>TEN-6186C00E74F2</x:v>
      </x:c>
      <x:c r="B6686" s="12" t="str">
        <x:v>The LHR Group</x:v>
      </x:c>
      <x:c r="C6686" s="12" t="str">
        <x:v>CORP-0786</x:v>
      </x:c>
      <x:c r="D6686" s="12" t="str">
        <x:v>Delhi NCR</x:v>
      </x:c>
      <x:c r="E6686" s="12" t="str">
        <x:v>Urbtech Trade Centre</x:v>
      </x:c>
      <x:c r="F6686" s="12" t="str">
        <x:v>55 inch</x:v>
      </x:c>
      <x:c r="G6686" s="20" t="n">
        <x:v>1</x:v>
      </x:c>
      <x:c r="H6686" s="12" t="str">
        <x:v>Campus/portfolio roster; individual building occupancy unverified</x:v>
      </x:c>
      <x:c r="I6686" s="12" t="str">
        <x:v>Mixed business audience</x:v>
      </x:c>
      <x:c r="J6686" s="12" t="str">
        <x:v>Unresolved</x:v>
      </x:c>
      <x:c r="K6686" s="2" t="str">
        <x:v>PARTNER-M365</x:v>
      </x:c>
    </x:row>
    <x:row r="6687" ht="46" customHeight="1">
      <x:c r="A6687" s="2" t="str">
        <x:v>TEN-71E33AB069A4</x:v>
      </x:c>
      <x:c r="B6687" s="12" t="str">
        <x:v>Alyke</x:v>
      </x:c>
      <x:c r="C6687" s="12" t="str">
        <x:v>CORP-0786</x:v>
      </x:c>
      <x:c r="D6687" s="12" t="str">
        <x:v>Delhi NCR</x:v>
      </x:c>
      <x:c r="E6687" s="12" t="str">
        <x:v>Urbtech Trade Centre</x:v>
      </x:c>
      <x:c r="F6687" s="12" t="str">
        <x:v>55 inch</x:v>
      </x:c>
      <x:c r="G6687" s="20" t="n">
        <x:v>1</x:v>
      </x:c>
      <x:c r="H6687" s="12" t="str">
        <x:v>Campus/portfolio roster; individual building occupancy unverified</x:v>
      </x:c>
      <x:c r="I6687" s="12" t="str">
        <x:v>Mixed business audience</x:v>
      </x:c>
      <x:c r="J6687" s="12" t="str">
        <x:v>Unresolved</x:v>
      </x:c>
      <x:c r="K6687" s="2" t="str">
        <x:v>PARTNER-M365</x:v>
      </x:c>
    </x:row>
    <x:row r="6688" ht="46" customHeight="1">
      <x:c r="A6688" s="2" t="str">
        <x:v>TEN-8B608DCA827C</x:v>
      </x:c>
      <x:c r="B6688" s="12" t="str">
        <x:v>Zebra Technologies India Pvt Ltd</x:v>
      </x:c>
      <x:c r="C6688" s="12" t="str">
        <x:v>CORP-0786</x:v>
      </x:c>
      <x:c r="D6688" s="12" t="str">
        <x:v>Delhi NCR</x:v>
      </x:c>
      <x:c r="E6688" s="12" t="str">
        <x:v>Urbtech Trade Centre</x:v>
      </x:c>
      <x:c r="F6688" s="12" t="str">
        <x:v>55 inch</x:v>
      </x:c>
      <x:c r="G6688" s="20" t="n">
        <x:v>1</x:v>
      </x:c>
      <x:c r="H6688" s="12" t="str">
        <x:v>Campus/portfolio roster; individual building occupancy unverified</x:v>
      </x:c>
      <x:c r="I6688" s="12" t="str">
        <x:v>Mixed business audience</x:v>
      </x:c>
      <x:c r="J6688" s="12" t="str">
        <x:v>Engineering &amp; manufacturing</x:v>
      </x:c>
      <x:c r="K6688" s="2" t="str">
        <x:v>PARTNER-M365</x:v>
      </x:c>
    </x:row>
    <x:row r="6689" ht="46" customHeight="1">
      <x:c r="A6689" s="2" t="str">
        <x:v>TEN-9A16AFDC257F</x:v>
      </x:c>
      <x:c r="B6689" s="12" t="str">
        <x:v>Herbal Chakra Private Limited</x:v>
      </x:c>
      <x:c r="C6689" s="12" t="str">
        <x:v>CORP-0786</x:v>
      </x:c>
      <x:c r="D6689" s="12" t="str">
        <x:v>Delhi NCR</x:v>
      </x:c>
      <x:c r="E6689" s="12" t="str">
        <x:v>Urbtech Trade Centre</x:v>
      </x:c>
      <x:c r="F6689" s="12" t="str">
        <x:v>55 inch</x:v>
      </x:c>
      <x:c r="G6689" s="20" t="n">
        <x:v>1</x:v>
      </x:c>
      <x:c r="H6689" s="12" t="str">
        <x:v>Campus/portfolio roster; individual building occupancy unverified</x:v>
      </x:c>
      <x:c r="I6689" s="12" t="str">
        <x:v>Medium-scale prospects</x:v>
      </x:c>
      <x:c r="J6689" s="12" t="str">
        <x:v>Healthcare &amp; life sciences</x:v>
      </x:c>
      <x:c r="K6689" s="2" t="str">
        <x:v>PARTNER-M365</x:v>
      </x:c>
    </x:row>
    <x:row r="6690" ht="46" customHeight="1">
      <x:c r="A6690" s="2" t="str">
        <x:v>TEN-A84075D6CDAD</x:v>
      </x:c>
      <x:c r="B6690" s="12" t="str">
        <x:v>Techknowlabs Pvt Ltd</x:v>
      </x:c>
      <x:c r="C6690" s="12" t="str">
        <x:v>CORP-0786</x:v>
      </x:c>
      <x:c r="D6690" s="12" t="str">
        <x:v>Delhi NCR</x:v>
      </x:c>
      <x:c r="E6690" s="12" t="str">
        <x:v>Urbtech Trade Centre</x:v>
      </x:c>
      <x:c r="F6690" s="12" t="str">
        <x:v>55 inch</x:v>
      </x:c>
      <x:c r="G6690" s="20" t="n">
        <x:v>1</x:v>
      </x:c>
      <x:c r="H6690" s="12" t="str">
        <x:v>Campus/portfolio roster; individual building occupancy unverified</x:v>
      </x:c>
      <x:c r="I6690" s="12" t="str">
        <x:v>Mixed business audience</x:v>
      </x:c>
      <x:c r="J6690" s="12" t="str">
        <x:v>Unresolved</x:v>
      </x:c>
      <x:c r="K6690" s="2" t="str">
        <x:v>PARTNER-M365</x:v>
      </x:c>
    </x:row>
    <x:row r="6691" ht="46" customHeight="1">
      <x:c r="A6691" s="2" t="str">
        <x:v>TEN-B6D604AAAE8B</x:v>
      </x:c>
      <x:c r="B6691" s="12" t="str">
        <x:v>IPS BOUNCER WEDDING EVENT MANAGEMENT</x:v>
      </x:c>
      <x:c r="C6691" s="12" t="str">
        <x:v>CORP-0786</x:v>
      </x:c>
      <x:c r="D6691" s="12" t="str">
        <x:v>Delhi NCR</x:v>
      </x:c>
      <x:c r="E6691" s="12" t="str">
        <x:v>Urbtech Trade Centre</x:v>
      </x:c>
      <x:c r="F6691" s="12" t="str">
        <x:v>55 inch</x:v>
      </x:c>
      <x:c r="G6691" s="20" t="n">
        <x:v>1</x:v>
      </x:c>
      <x:c r="H6691" s="12" t="str">
        <x:v>Campus/portfolio roster; individual building occupancy unverified</x:v>
      </x:c>
      <x:c r="I6691" s="12" t="str">
        <x:v>Small-scale prospects</x:v>
      </x:c>
      <x:c r="J6691" s="12" t="str">
        <x:v>Trade, consumer &amp; logistics</x:v>
      </x:c>
      <x:c r="K6691" s="2" t="str">
        <x:v>PARTNER-M365</x:v>
      </x:c>
    </x:row>
    <x:row r="6692" ht="46" customHeight="1">
      <x:c r="A6692" s="2" t="str">
        <x:v>TEN-C81CB399F996</x:v>
      </x:c>
      <x:c r="B6692" s="12" t="str">
        <x:v>Manipal Business Solutions Private Limited</x:v>
      </x:c>
      <x:c r="C6692" s="12" t="str">
        <x:v>CORP-0786</x:v>
      </x:c>
      <x:c r="D6692" s="12" t="str">
        <x:v>Delhi NCR</x:v>
      </x:c>
      <x:c r="E6692" s="12" t="str">
        <x:v>Urbtech Trade Centre</x:v>
      </x:c>
      <x:c r="F6692" s="12" t="str">
        <x:v>55 inch</x:v>
      </x:c>
      <x:c r="G6692" s="20" t="n">
        <x:v>1</x:v>
      </x:c>
      <x:c r="H6692" s="12" t="str">
        <x:v>Campus/portfolio roster; individual building occupancy unverified</x:v>
      </x:c>
      <x:c r="I6692" s="12" t="str">
        <x:v>Mixed business audience</x:v>
      </x:c>
      <x:c r="J6692" s="12" t="str">
        <x:v>Unresolved</x:v>
      </x:c>
      <x:c r="K6692" s="2" t="str">
        <x:v>PARTNER-M365</x:v>
      </x:c>
    </x:row>
    <x:row r="6693" ht="46" customHeight="1">
      <x:c r="A6693" s="2" t="str">
        <x:v>TEN-E2657581FE46</x:v>
      </x:c>
      <x:c r="B6693" s="12" t="str">
        <x:v>Infobip</x:v>
      </x:c>
      <x:c r="C6693" s="12" t="str">
        <x:v>CORP-0786</x:v>
      </x:c>
      <x:c r="D6693" s="12" t="str">
        <x:v>Delhi NCR</x:v>
      </x:c>
      <x:c r="E6693" s="12" t="str">
        <x:v>Urbtech Trade Centre</x:v>
      </x:c>
      <x:c r="F6693" s="12" t="str">
        <x:v>55 inch</x:v>
      </x:c>
      <x:c r="G6693" s="20" t="n">
        <x:v>1</x:v>
      </x:c>
      <x:c r="H6693" s="12" t="str">
        <x:v>Campus/portfolio roster; individual building occupancy unverified</x:v>
      </x:c>
      <x:c r="I6693" s="12" t="str">
        <x:v>Mixed business audience</x:v>
      </x:c>
      <x:c r="J6693" s="12" t="str">
        <x:v>Unresolved</x:v>
      </x:c>
      <x:c r="K6693" s="2" t="str">
        <x:v>PARTNER-M365</x:v>
      </x:c>
    </x:row>
    <x:row r="6694" ht="46" customHeight="1">
      <x:c r="A6694" s="2" t="str">
        <x:v>TEN-EE965BC63671</x:v>
      </x:c>
      <x:c r="B6694" s="12" t="str">
        <x:v>eMaven Solutions Pvt. Ltd</x:v>
      </x:c>
      <x:c r="C6694" s="12" t="str">
        <x:v>CORP-0786</x:v>
      </x:c>
      <x:c r="D6694" s="12" t="str">
        <x:v>Delhi NCR</x:v>
      </x:c>
      <x:c r="E6694" s="12" t="str">
        <x:v>Urbtech Trade Centre</x:v>
      </x:c>
      <x:c r="F6694" s="12" t="str">
        <x:v>55 inch</x:v>
      </x:c>
      <x:c r="G6694" s="20" t="n">
        <x:v>1</x:v>
      </x:c>
      <x:c r="H6694" s="12" t="str">
        <x:v>Campus/portfolio roster; individual building occupancy unverified</x:v>
      </x:c>
      <x:c r="I6694" s="12" t="str">
        <x:v>Mixed business audience</x:v>
      </x:c>
      <x:c r="J6694" s="12" t="str">
        <x:v>Unresolved</x:v>
      </x:c>
      <x:c r="K6694" s="2" t="str">
        <x:v>PARTNER-M365</x:v>
      </x:c>
    </x:row>
    <x:row r="6695" ht="46" customHeight="1">
      <x:c r="A6695" s="2" t="str">
        <x:v>TEN-0B84B8C86C04</x:v>
      </x:c>
      <x:c r="B6695" s="12" t="str">
        <x:v>Simon Electric pvt Ltd</x:v>
      </x:c>
      <x:c r="C6695" s="12" t="str">
        <x:v>CORP-0787</x:v>
      </x:c>
      <x:c r="D6695" s="12" t="str">
        <x:v>Delhi NCR</x:v>
      </x:c>
      <x:c r="E6695" s="12" t="str">
        <x:v>Urbtech Trade Centre</x:v>
      </x:c>
      <x:c r="F6695" s="12" t="str">
        <x:v>55 inch</x:v>
      </x:c>
      <x:c r="G6695" s="20" t="n">
        <x:v>1</x:v>
      </x:c>
      <x:c r="H6695" s="12" t="str">
        <x:v>Campus/portfolio roster; individual building occupancy unverified</x:v>
      </x:c>
      <x:c r="I6695" s="12" t="str">
        <x:v>Medium-scale prospects</x:v>
      </x:c>
      <x:c r="J6695" s="12" t="str">
        <x:v>Engineering &amp; manufacturing</x:v>
      </x:c>
      <x:c r="K6695" s="2" t="str">
        <x:v>PARTNER-M365</x:v>
      </x:c>
    </x:row>
    <x:row r="6696" ht="46" customHeight="1">
      <x:c r="A6696" s="2" t="str">
        <x:v>TEN-1C4CDE20CBE1</x:v>
      </x:c>
      <x:c r="B6696" s="12" t="str">
        <x:v>SuperAdMedia</x:v>
      </x:c>
      <x:c r="C6696" s="12" t="str">
        <x:v>CORP-0787</x:v>
      </x:c>
      <x:c r="D6696" s="12" t="str">
        <x:v>Delhi NCR</x:v>
      </x:c>
      <x:c r="E6696" s="12" t="str">
        <x:v>Urbtech Trade Centre</x:v>
      </x:c>
      <x:c r="F6696" s="12" t="str">
        <x:v>55 inch</x:v>
      </x:c>
      <x:c r="G6696" s="20" t="n">
        <x:v>1</x:v>
      </x:c>
      <x:c r="H6696" s="12" t="str">
        <x:v>Campus/portfolio roster; individual building occupancy unverified</x:v>
      </x:c>
      <x:c r="I6696" s="12" t="str">
        <x:v>Small-scale prospects</x:v>
      </x:c>
      <x:c r="J6696" s="12" t="str">
        <x:v>Professional services</x:v>
      </x:c>
      <x:c r="K6696" s="2" t="str">
        <x:v>PARTNER-M365</x:v>
      </x:c>
    </x:row>
    <x:row r="6697" ht="46" customHeight="1">
      <x:c r="A6697" s="2" t="str">
        <x:v>TEN-24BCCA39B43D</x:v>
      </x:c>
      <x:c r="B6697" s="12" t="str">
        <x:v>Serenia Coworking</x:v>
      </x:c>
      <x:c r="C6697" s="12" t="str">
        <x:v>CORP-0787</x:v>
      </x:c>
      <x:c r="D6697" s="12" t="str">
        <x:v>Delhi NCR</x:v>
      </x:c>
      <x:c r="E6697" s="12" t="str">
        <x:v>Urbtech Trade Centre</x:v>
      </x:c>
      <x:c r="F6697" s="12" t="str">
        <x:v>55 inch</x:v>
      </x:c>
      <x:c r="G6697" s="20" t="n">
        <x:v>1</x:v>
      </x:c>
      <x:c r="H6697" s="12" t="str">
        <x:v>Campus/portfolio roster; individual building occupancy unverified</x:v>
      </x:c>
      <x:c r="I6697" s="12" t="str">
        <x:v>Mixed business audience</x:v>
      </x:c>
      <x:c r="J6697" s="12" t="str">
        <x:v>Workspace &amp; property operations</x:v>
      </x:c>
      <x:c r="K6697" s="2" t="str">
        <x:v>PARTNER-M365</x:v>
      </x:c>
    </x:row>
    <x:row r="6698" ht="46" customHeight="1">
      <x:c r="A6698" s="2" t="str">
        <x:v>TEN-24E8B74B48CE</x:v>
      </x:c>
      <x:c r="B6698" s="12" t="str">
        <x:v>Anektos Hybrid Buildings Pvt. Ltd</x:v>
      </x:c>
      <x:c r="C6698" s="12" t="str">
        <x:v>CORP-0787</x:v>
      </x:c>
      <x:c r="D6698" s="12" t="str">
        <x:v>Delhi NCR</x:v>
      </x:c>
      <x:c r="E6698" s="12" t="str">
        <x:v>Urbtech Trade Centre</x:v>
      </x:c>
      <x:c r="F6698" s="12" t="str">
        <x:v>55 inch</x:v>
      </x:c>
      <x:c r="G6698" s="20" t="n">
        <x:v>1</x:v>
      </x:c>
      <x:c r="H6698" s="12" t="str">
        <x:v>Campus/portfolio roster; individual building occupancy unverified</x:v>
      </x:c>
      <x:c r="I6698" s="12" t="str">
        <x:v>Small-scale prospects</x:v>
      </x:c>
      <x:c r="J6698" s="12" t="str">
        <x:v>Trade, consumer &amp; logistics</x:v>
      </x:c>
      <x:c r="K6698" s="2" t="str">
        <x:v>PARTNER-M365</x:v>
      </x:c>
    </x:row>
    <x:row r="6699" ht="46" customHeight="1">
      <x:c r="A6699" s="2" t="str">
        <x:v>TEN-351F2133C349</x:v>
      </x:c>
      <x:c r="B6699" s="12" t="str">
        <x:v>SmartTech Messaging</x:v>
      </x:c>
      <x:c r="C6699" s="12" t="str">
        <x:v>CORP-0787</x:v>
      </x:c>
      <x:c r="D6699" s="12" t="str">
        <x:v>Delhi NCR</x:v>
      </x:c>
      <x:c r="E6699" s="12" t="str">
        <x:v>Urbtech Trade Centre</x:v>
      </x:c>
      <x:c r="F6699" s="12" t="str">
        <x:v>55 inch</x:v>
      </x:c>
      <x:c r="G6699" s="20" t="n">
        <x:v>1</x:v>
      </x:c>
      <x:c r="H6699" s="12" t="str">
        <x:v>Campus/portfolio roster; individual building occupancy unverified</x:v>
      </x:c>
      <x:c r="I6699" s="12" t="str">
        <x:v>Mixed business audience</x:v>
      </x:c>
      <x:c r="J6699" s="12" t="str">
        <x:v>Unresolved</x:v>
      </x:c>
      <x:c r="K6699" s="2" t="str">
        <x:v>PARTNER-M365</x:v>
      </x:c>
    </x:row>
    <x:row r="6700" ht="46" customHeight="1">
      <x:c r="A6700" s="2" t="str">
        <x:v>TEN-4637D767B45C</x:v>
      </x:c>
      <x:c r="B6700" s="12" t="str">
        <x:v>INLIVING</x:v>
      </x:c>
      <x:c r="C6700" s="12" t="str">
        <x:v>CORP-0787</x:v>
      </x:c>
      <x:c r="D6700" s="12" t="str">
        <x:v>Delhi NCR</x:v>
      </x:c>
      <x:c r="E6700" s="12" t="str">
        <x:v>Urbtech Trade Centre</x:v>
      </x:c>
      <x:c r="F6700" s="12" t="str">
        <x:v>55 inch</x:v>
      </x:c>
      <x:c r="G6700" s="20" t="n">
        <x:v>1</x:v>
      </x:c>
      <x:c r="H6700" s="12" t="str">
        <x:v>Campus/portfolio roster; individual building occupancy unverified</x:v>
      </x:c>
      <x:c r="I6700" s="12" t="str">
        <x:v>Small-scale prospects</x:v>
      </x:c>
      <x:c r="J6700" s="12" t="str">
        <x:v>Trade, consumer &amp; logistics</x:v>
      </x:c>
      <x:c r="K6700" s="2" t="str">
        <x:v>PARTNER-M365</x:v>
      </x:c>
    </x:row>
    <x:row r="6701" ht="46" customHeight="1">
      <x:c r="A6701" s="2" t="str">
        <x:v>TEN-6186C00E74F2</x:v>
      </x:c>
      <x:c r="B6701" s="12" t="str">
        <x:v>The LHR Group</x:v>
      </x:c>
      <x:c r="C6701" s="12" t="str">
        <x:v>CORP-0787</x:v>
      </x:c>
      <x:c r="D6701" s="12" t="str">
        <x:v>Delhi NCR</x:v>
      </x:c>
      <x:c r="E6701" s="12" t="str">
        <x:v>Urbtech Trade Centre</x:v>
      </x:c>
      <x:c r="F6701" s="12" t="str">
        <x:v>55 inch</x:v>
      </x:c>
      <x:c r="G6701" s="20" t="n">
        <x:v>1</x:v>
      </x:c>
      <x:c r="H6701" s="12" t="str">
        <x:v>Campus/portfolio roster; individual building occupancy unverified</x:v>
      </x:c>
      <x:c r="I6701" s="12" t="str">
        <x:v>Mixed business audience</x:v>
      </x:c>
      <x:c r="J6701" s="12" t="str">
        <x:v>Unresolved</x:v>
      </x:c>
      <x:c r="K6701" s="2" t="str">
        <x:v>PARTNER-M365</x:v>
      </x:c>
    </x:row>
    <x:row r="6702" ht="46" customHeight="1">
      <x:c r="A6702" s="2" t="str">
        <x:v>TEN-71E33AB069A4</x:v>
      </x:c>
      <x:c r="B6702" s="12" t="str">
        <x:v>Alyke</x:v>
      </x:c>
      <x:c r="C6702" s="12" t="str">
        <x:v>CORP-0787</x:v>
      </x:c>
      <x:c r="D6702" s="12" t="str">
        <x:v>Delhi NCR</x:v>
      </x:c>
      <x:c r="E6702" s="12" t="str">
        <x:v>Urbtech Trade Centre</x:v>
      </x:c>
      <x:c r="F6702" s="12" t="str">
        <x:v>55 inch</x:v>
      </x:c>
      <x:c r="G6702" s="20" t="n">
        <x:v>1</x:v>
      </x:c>
      <x:c r="H6702" s="12" t="str">
        <x:v>Campus/portfolio roster; individual building occupancy unverified</x:v>
      </x:c>
      <x:c r="I6702" s="12" t="str">
        <x:v>Mixed business audience</x:v>
      </x:c>
      <x:c r="J6702" s="12" t="str">
        <x:v>Unresolved</x:v>
      </x:c>
      <x:c r="K6702" s="2" t="str">
        <x:v>PARTNER-M365</x:v>
      </x:c>
    </x:row>
    <x:row r="6703" ht="46" customHeight="1">
      <x:c r="A6703" s="2" t="str">
        <x:v>TEN-8B608DCA827C</x:v>
      </x:c>
      <x:c r="B6703" s="12" t="str">
        <x:v>Zebra Technologies India Pvt Ltd</x:v>
      </x:c>
      <x:c r="C6703" s="12" t="str">
        <x:v>CORP-0787</x:v>
      </x:c>
      <x:c r="D6703" s="12" t="str">
        <x:v>Delhi NCR</x:v>
      </x:c>
      <x:c r="E6703" s="12" t="str">
        <x:v>Urbtech Trade Centre</x:v>
      </x:c>
      <x:c r="F6703" s="12" t="str">
        <x:v>55 inch</x:v>
      </x:c>
      <x:c r="G6703" s="20" t="n">
        <x:v>1</x:v>
      </x:c>
      <x:c r="H6703" s="12" t="str">
        <x:v>Campus/portfolio roster; individual building occupancy unverified</x:v>
      </x:c>
      <x:c r="I6703" s="12" t="str">
        <x:v>Mixed business audience</x:v>
      </x:c>
      <x:c r="J6703" s="12" t="str">
        <x:v>Engineering &amp; manufacturing</x:v>
      </x:c>
      <x:c r="K6703" s="2" t="str">
        <x:v>PARTNER-M365</x:v>
      </x:c>
    </x:row>
    <x:row r="6704" ht="46" customHeight="1">
      <x:c r="A6704" s="2" t="str">
        <x:v>TEN-9A16AFDC257F</x:v>
      </x:c>
      <x:c r="B6704" s="12" t="str">
        <x:v>Herbal Chakra Private Limited</x:v>
      </x:c>
      <x:c r="C6704" s="12" t="str">
        <x:v>CORP-0787</x:v>
      </x:c>
      <x:c r="D6704" s="12" t="str">
        <x:v>Delhi NCR</x:v>
      </x:c>
      <x:c r="E6704" s="12" t="str">
        <x:v>Urbtech Trade Centre</x:v>
      </x:c>
      <x:c r="F6704" s="12" t="str">
        <x:v>55 inch</x:v>
      </x:c>
      <x:c r="G6704" s="20" t="n">
        <x:v>1</x:v>
      </x:c>
      <x:c r="H6704" s="12" t="str">
        <x:v>Campus/portfolio roster; individual building occupancy unverified</x:v>
      </x:c>
      <x:c r="I6704" s="12" t="str">
        <x:v>Medium-scale prospects</x:v>
      </x:c>
      <x:c r="J6704" s="12" t="str">
        <x:v>Healthcare &amp; life sciences</x:v>
      </x:c>
      <x:c r="K6704" s="2" t="str">
        <x:v>PARTNER-M365</x:v>
      </x:c>
    </x:row>
    <x:row r="6705" ht="46" customHeight="1">
      <x:c r="A6705" s="2" t="str">
        <x:v>TEN-A84075D6CDAD</x:v>
      </x:c>
      <x:c r="B6705" s="12" t="str">
        <x:v>Techknowlabs Pvt Ltd</x:v>
      </x:c>
      <x:c r="C6705" s="12" t="str">
        <x:v>CORP-0787</x:v>
      </x:c>
      <x:c r="D6705" s="12" t="str">
        <x:v>Delhi NCR</x:v>
      </x:c>
      <x:c r="E6705" s="12" t="str">
        <x:v>Urbtech Trade Centre</x:v>
      </x:c>
      <x:c r="F6705" s="12" t="str">
        <x:v>55 inch</x:v>
      </x:c>
      <x:c r="G6705" s="20" t="n">
        <x:v>1</x:v>
      </x:c>
      <x:c r="H6705" s="12" t="str">
        <x:v>Campus/portfolio roster; individual building occupancy unverified</x:v>
      </x:c>
      <x:c r="I6705" s="12" t="str">
        <x:v>Mixed business audience</x:v>
      </x:c>
      <x:c r="J6705" s="12" t="str">
        <x:v>Unresolved</x:v>
      </x:c>
      <x:c r="K6705" s="2" t="str">
        <x:v>PARTNER-M365</x:v>
      </x:c>
    </x:row>
    <x:row r="6706" ht="46" customHeight="1">
      <x:c r="A6706" s="2" t="str">
        <x:v>TEN-B6D604AAAE8B</x:v>
      </x:c>
      <x:c r="B6706" s="12" t="str">
        <x:v>IPS BOUNCER WEDDING EVENT MANAGEMENT</x:v>
      </x:c>
      <x:c r="C6706" s="12" t="str">
        <x:v>CORP-0787</x:v>
      </x:c>
      <x:c r="D6706" s="12" t="str">
        <x:v>Delhi NCR</x:v>
      </x:c>
      <x:c r="E6706" s="12" t="str">
        <x:v>Urbtech Trade Centre</x:v>
      </x:c>
      <x:c r="F6706" s="12" t="str">
        <x:v>55 inch</x:v>
      </x:c>
      <x:c r="G6706" s="20" t="n">
        <x:v>1</x:v>
      </x:c>
      <x:c r="H6706" s="12" t="str">
        <x:v>Campus/portfolio roster; individual building occupancy unverified</x:v>
      </x:c>
      <x:c r="I6706" s="12" t="str">
        <x:v>Small-scale prospects</x:v>
      </x:c>
      <x:c r="J6706" s="12" t="str">
        <x:v>Trade, consumer &amp; logistics</x:v>
      </x:c>
      <x:c r="K6706" s="2" t="str">
        <x:v>PARTNER-M365</x:v>
      </x:c>
    </x:row>
    <x:row r="6707" ht="46" customHeight="1">
      <x:c r="A6707" s="2" t="str">
        <x:v>TEN-C81CB399F996</x:v>
      </x:c>
      <x:c r="B6707" s="12" t="str">
        <x:v>Manipal Business Solutions Private Limited</x:v>
      </x:c>
      <x:c r="C6707" s="12" t="str">
        <x:v>CORP-0787</x:v>
      </x:c>
      <x:c r="D6707" s="12" t="str">
        <x:v>Delhi NCR</x:v>
      </x:c>
      <x:c r="E6707" s="12" t="str">
        <x:v>Urbtech Trade Centre</x:v>
      </x:c>
      <x:c r="F6707" s="12" t="str">
        <x:v>55 inch</x:v>
      </x:c>
      <x:c r="G6707" s="20" t="n">
        <x:v>1</x:v>
      </x:c>
      <x:c r="H6707" s="12" t="str">
        <x:v>Campus/portfolio roster; individual building occupancy unverified</x:v>
      </x:c>
      <x:c r="I6707" s="12" t="str">
        <x:v>Mixed business audience</x:v>
      </x:c>
      <x:c r="J6707" s="12" t="str">
        <x:v>Unresolved</x:v>
      </x:c>
      <x:c r="K6707" s="2" t="str">
        <x:v>PARTNER-M365</x:v>
      </x:c>
    </x:row>
    <x:row r="6708" ht="46" customHeight="1">
      <x:c r="A6708" s="2" t="str">
        <x:v>TEN-E2657581FE46</x:v>
      </x:c>
      <x:c r="B6708" s="12" t="str">
        <x:v>Infobip</x:v>
      </x:c>
      <x:c r="C6708" s="12" t="str">
        <x:v>CORP-0787</x:v>
      </x:c>
      <x:c r="D6708" s="12" t="str">
        <x:v>Delhi NCR</x:v>
      </x:c>
      <x:c r="E6708" s="12" t="str">
        <x:v>Urbtech Trade Centre</x:v>
      </x:c>
      <x:c r="F6708" s="12" t="str">
        <x:v>55 inch</x:v>
      </x:c>
      <x:c r="G6708" s="20" t="n">
        <x:v>1</x:v>
      </x:c>
      <x:c r="H6708" s="12" t="str">
        <x:v>Campus/portfolio roster; individual building occupancy unverified</x:v>
      </x:c>
      <x:c r="I6708" s="12" t="str">
        <x:v>Mixed business audience</x:v>
      </x:c>
      <x:c r="J6708" s="12" t="str">
        <x:v>Unresolved</x:v>
      </x:c>
      <x:c r="K6708" s="2" t="str">
        <x:v>PARTNER-M365</x:v>
      </x:c>
    </x:row>
    <x:row r="6709" ht="46" customHeight="1">
      <x:c r="A6709" s="2" t="str">
        <x:v>TEN-EE965BC63671</x:v>
      </x:c>
      <x:c r="B6709" s="12" t="str">
        <x:v>eMaven Solutions Pvt. Ltd</x:v>
      </x:c>
      <x:c r="C6709" s="12" t="str">
        <x:v>CORP-0787</x:v>
      </x:c>
      <x:c r="D6709" s="12" t="str">
        <x:v>Delhi NCR</x:v>
      </x:c>
      <x:c r="E6709" s="12" t="str">
        <x:v>Urbtech Trade Centre</x:v>
      </x:c>
      <x:c r="F6709" s="12" t="str">
        <x:v>55 inch</x:v>
      </x:c>
      <x:c r="G6709" s="20" t="n">
        <x:v>1</x:v>
      </x:c>
      <x:c r="H6709" s="12" t="str">
        <x:v>Campus/portfolio roster; individual building occupancy unverified</x:v>
      </x:c>
      <x:c r="I6709" s="12" t="str">
        <x:v>Mixed business audience</x:v>
      </x:c>
      <x:c r="J6709" s="12" t="str">
        <x:v>Unresolved</x:v>
      </x:c>
      <x:c r="K6709" s="2" t="str">
        <x:v>PARTNER-M365</x:v>
      </x:c>
    </x:row>
    <x:row r="6710" ht="46" customHeight="1">
      <x:c r="A6710" s="2" t="str">
        <x:v>TEN-15231E0E110E</x:v>
      </x:c>
      <x:c r="B6710" s="12" t="str">
        <x:v>MerchServe Global Pvt Ltd</x:v>
      </x:c>
      <x:c r="C6710" s="12" t="str">
        <x:v>CORP-0788</x:v>
      </x:c>
      <x:c r="D6710" s="12" t="str">
        <x:v>Delhi NCR</x:v>
      </x:c>
      <x:c r="E6710" s="12" t="str">
        <x:v>Add India Height</x:v>
      </x:c>
      <x:c r="F6710" s="12" t="str">
        <x:v>55 inch</x:v>
      </x:c>
      <x:c r="G6710" s="20" t="n">
        <x:v>1</x:v>
      </x:c>
      <x:c r="H6710" s="12" t="str">
        <x:v>Campus/portfolio roster; individual building occupancy unverified</x:v>
      </x:c>
      <x:c r="I6710" s="12" t="str">
        <x:v>Mixed business audience</x:v>
      </x:c>
      <x:c r="J6710" s="12" t="str">
        <x:v>Unresolved</x:v>
      </x:c>
      <x:c r="K6710" s="2" t="str">
        <x:v>PARTNER-M375</x:v>
      </x:c>
    </x:row>
    <x:row r="6711" ht="46" customHeight="1">
      <x:c r="A6711" s="2" t="str">
        <x:v>TEN-2F36697C1256</x:v>
      </x:c>
      <x:c r="B6711" s="12" t="str">
        <x:v>Skymet Weather Services Pvt. Ltd</x:v>
      </x:c>
      <x:c r="C6711" s="12" t="str">
        <x:v>CORP-0788</x:v>
      </x:c>
      <x:c r="D6711" s="12" t="str">
        <x:v>Delhi NCR</x:v>
      </x:c>
      <x:c r="E6711" s="12" t="str">
        <x:v>Add India Height</x:v>
      </x:c>
      <x:c r="F6711" s="12" t="str">
        <x:v>55 inch</x:v>
      </x:c>
      <x:c r="G6711" s="20" t="n">
        <x:v>1</x:v>
      </x:c>
      <x:c r="H6711" s="12" t="str">
        <x:v>Campus/portfolio roster; individual building occupancy unverified</x:v>
      </x:c>
      <x:c r="I6711" s="12" t="str">
        <x:v>Small-scale prospects</x:v>
      </x:c>
      <x:c r="J6711" s="12" t="str">
        <x:v>IT &amp; digital</x:v>
      </x:c>
      <x:c r="K6711" s="2" t="str">
        <x:v>PARTNER-M375</x:v>
      </x:c>
    </x:row>
    <x:row r="6712" ht="46" customHeight="1">
      <x:c r="A6712" s="2" t="str">
        <x:v>TEN-499A46C1ED38</x:v>
      </x:c>
      <x:c r="B6712" s="12" t="str">
        <x:v>JindalX</x:v>
      </x:c>
      <x:c r="C6712" s="12" t="str">
        <x:v>CORP-0788</x:v>
      </x:c>
      <x:c r="D6712" s="12" t="str">
        <x:v>Delhi NCR</x:v>
      </x:c>
      <x:c r="E6712" s="12" t="str">
        <x:v>Add India Height</x:v>
      </x:c>
      <x:c r="F6712" s="12" t="str">
        <x:v>55 inch</x:v>
      </x:c>
      <x:c r="G6712" s="20" t="n">
        <x:v>1</x:v>
      </x:c>
      <x:c r="H6712" s="12" t="str">
        <x:v>Campus/portfolio roster; individual building occupancy unverified</x:v>
      </x:c>
      <x:c r="I6712" s="12" t="str">
        <x:v>Mixed business audience</x:v>
      </x:c>
      <x:c r="J6712" s="12" t="str">
        <x:v>Unresolved</x:v>
      </x:c>
      <x:c r="K6712" s="2" t="str">
        <x:v>PARTNER-M375</x:v>
      </x:c>
    </x:row>
    <x:row r="6713" ht="46" customHeight="1">
      <x:c r="A6713" s="2" t="str">
        <x:v>TEN-4F013726AFD9</x:v>
      </x:c>
      <x:c r="B6713" s="12" t="str">
        <x:v>Bullmen Realty India Pvt Ltd</x:v>
      </x:c>
      <x:c r="C6713" s="12" t="str">
        <x:v>CORP-0788</x:v>
      </x:c>
      <x:c r="D6713" s="12" t="str">
        <x:v>Delhi NCR</x:v>
      </x:c>
      <x:c r="E6713" s="12" t="str">
        <x:v>Add India Height</x:v>
      </x:c>
      <x:c r="F6713" s="12" t="str">
        <x:v>55 inch</x:v>
      </x:c>
      <x:c r="G6713" s="20" t="n">
        <x:v>1</x:v>
      </x:c>
      <x:c r="H6713" s="12" t="str">
        <x:v>Campus/portfolio roster; individual building occupancy unverified</x:v>
      </x:c>
      <x:c r="I6713" s="12" t="str">
        <x:v>Small-scale prospects</x:v>
      </x:c>
      <x:c r="J6713" s="12" t="str">
        <x:v>Trade, consumer &amp; logistics</x:v>
      </x:c>
      <x:c r="K6713" s="2" t="str">
        <x:v>PARTNER-M375</x:v>
      </x:c>
    </x:row>
    <x:row r="6714" ht="46" customHeight="1">
      <x:c r="A6714" s="2" t="str">
        <x:v>TEN-82ABCD71B901</x:v>
      </x:c>
      <x:c r="B6714" s="12" t="str">
        <x:v>Visible Alpha</x:v>
      </x:c>
      <x:c r="C6714" s="12" t="str">
        <x:v>CORP-0788</x:v>
      </x:c>
      <x:c r="D6714" s="12" t="str">
        <x:v>Delhi NCR</x:v>
      </x:c>
      <x:c r="E6714" s="12" t="str">
        <x:v>Add India Height</x:v>
      </x:c>
      <x:c r="F6714" s="12" t="str">
        <x:v>55 inch</x:v>
      </x:c>
      <x:c r="G6714" s="20" t="n">
        <x:v>1</x:v>
      </x:c>
      <x:c r="H6714" s="12" t="str">
        <x:v>Campus/portfolio roster; individual building occupancy unverified</x:v>
      </x:c>
      <x:c r="I6714" s="12" t="str">
        <x:v>Small-scale prospects</x:v>
      </x:c>
      <x:c r="J6714" s="12" t="str">
        <x:v>IT &amp; digital</x:v>
      </x:c>
      <x:c r="K6714" s="2" t="str">
        <x:v>PARTNER-M375</x:v>
      </x:c>
    </x:row>
    <x:row r="6715" ht="46" customHeight="1">
      <x:c r="A6715" s="2" t="str">
        <x:v>TEN-AAD82B0AF1B8</x:v>
      </x:c>
      <x:c r="B6715" s="12" t="str">
        <x:v>EFS Facilities Services</x:v>
      </x:c>
      <x:c r="C6715" s="12" t="str">
        <x:v>CORP-0788</x:v>
      </x:c>
      <x:c r="D6715" s="12" t="str">
        <x:v>Delhi NCR</x:v>
      </x:c>
      <x:c r="E6715" s="12" t="str">
        <x:v>Add India Height</x:v>
      </x:c>
      <x:c r="F6715" s="12" t="str">
        <x:v>55 inch</x:v>
      </x:c>
      <x:c r="G6715" s="20" t="n">
        <x:v>1</x:v>
      </x:c>
      <x:c r="H6715" s="12" t="str">
        <x:v>Campus/portfolio roster; individual building occupancy unverified</x:v>
      </x:c>
      <x:c r="I6715" s="12" t="str">
        <x:v>Mixed business audience</x:v>
      </x:c>
      <x:c r="J6715" s="12" t="str">
        <x:v>Professional services</x:v>
      </x:c>
      <x:c r="K6715" s="2" t="str">
        <x:v>PARTNER-M375</x:v>
      </x:c>
    </x:row>
    <x:row r="6716" ht="46" customHeight="1">
      <x:c r="A6716" s="2" t="str">
        <x:v>TEN-BCD2EBC682B7</x:v>
      </x:c>
      <x:c r="B6716" s="12" t="str">
        <x:v>LYDS Legal</x:v>
      </x:c>
      <x:c r="C6716" s="12" t="str">
        <x:v>CORP-0788</x:v>
      </x:c>
      <x:c r="D6716" s="12" t="str">
        <x:v>Delhi NCR</x:v>
      </x:c>
      <x:c r="E6716" s="12" t="str">
        <x:v>Add India Height</x:v>
      </x:c>
      <x:c r="F6716" s="12" t="str">
        <x:v>55 inch</x:v>
      </x:c>
      <x:c r="G6716" s="20" t="n">
        <x:v>1</x:v>
      </x:c>
      <x:c r="H6716" s="12" t="str">
        <x:v>Campus/portfolio roster; individual building occupancy unverified</x:v>
      </x:c>
      <x:c r="I6716" s="12" t="str">
        <x:v>Small-scale prospects</x:v>
      </x:c>
      <x:c r="J6716" s="12" t="str">
        <x:v>Professional services</x:v>
      </x:c>
      <x:c r="K6716" s="2" t="str">
        <x:v>PARTNER-M375</x:v>
      </x:c>
    </x:row>
    <x:row r="6717" ht="46" customHeight="1">
      <x:c r="A6717" s="2" t="str">
        <x:v>TEN-15231E0E110E</x:v>
      </x:c>
      <x:c r="B6717" s="12" t="str">
        <x:v>MerchServe Global Pvt Ltd</x:v>
      </x:c>
      <x:c r="C6717" s="12" t="str">
        <x:v>CORP-0789</x:v>
      </x:c>
      <x:c r="D6717" s="12" t="str">
        <x:v>Delhi NCR</x:v>
      </x:c>
      <x:c r="E6717" s="12" t="str">
        <x:v>Add India Height</x:v>
      </x:c>
      <x:c r="F6717" s="12" t="str">
        <x:v>55 inch</x:v>
      </x:c>
      <x:c r="G6717" s="20" t="n">
        <x:v>1</x:v>
      </x:c>
      <x:c r="H6717" s="12" t="str">
        <x:v>Campus/portfolio roster; individual building occupancy unverified</x:v>
      </x:c>
      <x:c r="I6717" s="12" t="str">
        <x:v>Mixed business audience</x:v>
      </x:c>
      <x:c r="J6717" s="12" t="str">
        <x:v>Unresolved</x:v>
      </x:c>
      <x:c r="K6717" s="2" t="str">
        <x:v>PARTNER-M375</x:v>
      </x:c>
    </x:row>
    <x:row r="6718" ht="46" customHeight="1">
      <x:c r="A6718" s="2" t="str">
        <x:v>TEN-2F36697C1256</x:v>
      </x:c>
      <x:c r="B6718" s="12" t="str">
        <x:v>Skymet Weather Services Pvt. Ltd</x:v>
      </x:c>
      <x:c r="C6718" s="12" t="str">
        <x:v>CORP-0789</x:v>
      </x:c>
      <x:c r="D6718" s="12" t="str">
        <x:v>Delhi NCR</x:v>
      </x:c>
      <x:c r="E6718" s="12" t="str">
        <x:v>Add India Height</x:v>
      </x:c>
      <x:c r="F6718" s="12" t="str">
        <x:v>55 inch</x:v>
      </x:c>
      <x:c r="G6718" s="20" t="n">
        <x:v>1</x:v>
      </x:c>
      <x:c r="H6718" s="12" t="str">
        <x:v>Campus/portfolio roster; individual building occupancy unverified</x:v>
      </x:c>
      <x:c r="I6718" s="12" t="str">
        <x:v>Small-scale prospects</x:v>
      </x:c>
      <x:c r="J6718" s="12" t="str">
        <x:v>IT &amp; digital</x:v>
      </x:c>
      <x:c r="K6718" s="2" t="str">
        <x:v>PARTNER-M375</x:v>
      </x:c>
    </x:row>
    <x:row r="6719" ht="46" customHeight="1">
      <x:c r="A6719" s="2" t="str">
        <x:v>TEN-499A46C1ED38</x:v>
      </x:c>
      <x:c r="B6719" s="12" t="str">
        <x:v>JindalX</x:v>
      </x:c>
      <x:c r="C6719" s="12" t="str">
        <x:v>CORP-0789</x:v>
      </x:c>
      <x:c r="D6719" s="12" t="str">
        <x:v>Delhi NCR</x:v>
      </x:c>
      <x:c r="E6719" s="12" t="str">
        <x:v>Add India Height</x:v>
      </x:c>
      <x:c r="F6719" s="12" t="str">
        <x:v>55 inch</x:v>
      </x:c>
      <x:c r="G6719" s="20" t="n">
        <x:v>1</x:v>
      </x:c>
      <x:c r="H6719" s="12" t="str">
        <x:v>Campus/portfolio roster; individual building occupancy unverified</x:v>
      </x:c>
      <x:c r="I6719" s="12" t="str">
        <x:v>Mixed business audience</x:v>
      </x:c>
      <x:c r="J6719" s="12" t="str">
        <x:v>Unresolved</x:v>
      </x:c>
      <x:c r="K6719" s="2" t="str">
        <x:v>PARTNER-M375</x:v>
      </x:c>
    </x:row>
    <x:row r="6720" ht="46" customHeight="1">
      <x:c r="A6720" s="2" t="str">
        <x:v>TEN-4F013726AFD9</x:v>
      </x:c>
      <x:c r="B6720" s="12" t="str">
        <x:v>Bullmen Realty India Pvt Ltd</x:v>
      </x:c>
      <x:c r="C6720" s="12" t="str">
        <x:v>CORP-0789</x:v>
      </x:c>
      <x:c r="D6720" s="12" t="str">
        <x:v>Delhi NCR</x:v>
      </x:c>
      <x:c r="E6720" s="12" t="str">
        <x:v>Add India Height</x:v>
      </x:c>
      <x:c r="F6720" s="12" t="str">
        <x:v>55 inch</x:v>
      </x:c>
      <x:c r="G6720" s="20" t="n">
        <x:v>1</x:v>
      </x:c>
      <x:c r="H6720" s="12" t="str">
        <x:v>Campus/portfolio roster; individual building occupancy unverified</x:v>
      </x:c>
      <x:c r="I6720" s="12" t="str">
        <x:v>Small-scale prospects</x:v>
      </x:c>
      <x:c r="J6720" s="12" t="str">
        <x:v>Trade, consumer &amp; logistics</x:v>
      </x:c>
      <x:c r="K6720" s="2" t="str">
        <x:v>PARTNER-M375</x:v>
      </x:c>
    </x:row>
    <x:row r="6721" ht="46" customHeight="1">
      <x:c r="A6721" s="2" t="str">
        <x:v>TEN-82ABCD71B901</x:v>
      </x:c>
      <x:c r="B6721" s="12" t="str">
        <x:v>Visible Alpha</x:v>
      </x:c>
      <x:c r="C6721" s="12" t="str">
        <x:v>CORP-0789</x:v>
      </x:c>
      <x:c r="D6721" s="12" t="str">
        <x:v>Delhi NCR</x:v>
      </x:c>
      <x:c r="E6721" s="12" t="str">
        <x:v>Add India Height</x:v>
      </x:c>
      <x:c r="F6721" s="12" t="str">
        <x:v>55 inch</x:v>
      </x:c>
      <x:c r="G6721" s="20" t="n">
        <x:v>1</x:v>
      </x:c>
      <x:c r="H6721" s="12" t="str">
        <x:v>Campus/portfolio roster; individual building occupancy unverified</x:v>
      </x:c>
      <x:c r="I6721" s="12" t="str">
        <x:v>Small-scale prospects</x:v>
      </x:c>
      <x:c r="J6721" s="12" t="str">
        <x:v>IT &amp; digital</x:v>
      </x:c>
      <x:c r="K6721" s="2" t="str">
        <x:v>PARTNER-M375</x:v>
      </x:c>
    </x:row>
    <x:row r="6722" ht="46" customHeight="1">
      <x:c r="A6722" s="2" t="str">
        <x:v>TEN-AAD82B0AF1B8</x:v>
      </x:c>
      <x:c r="B6722" s="12" t="str">
        <x:v>EFS Facilities Services</x:v>
      </x:c>
      <x:c r="C6722" s="12" t="str">
        <x:v>CORP-0789</x:v>
      </x:c>
      <x:c r="D6722" s="12" t="str">
        <x:v>Delhi NCR</x:v>
      </x:c>
      <x:c r="E6722" s="12" t="str">
        <x:v>Add India Height</x:v>
      </x:c>
      <x:c r="F6722" s="12" t="str">
        <x:v>55 inch</x:v>
      </x:c>
      <x:c r="G6722" s="20" t="n">
        <x:v>1</x:v>
      </x:c>
      <x:c r="H6722" s="12" t="str">
        <x:v>Campus/portfolio roster; individual building occupancy unverified</x:v>
      </x:c>
      <x:c r="I6722" s="12" t="str">
        <x:v>Mixed business audience</x:v>
      </x:c>
      <x:c r="J6722" s="12" t="str">
        <x:v>Professional services</x:v>
      </x:c>
      <x:c r="K6722" s="2" t="str">
        <x:v>PARTNER-M375</x:v>
      </x:c>
    </x:row>
    <x:row r="6723" ht="46" customHeight="1">
      <x:c r="A6723" s="2" t="str">
        <x:v>TEN-BCD2EBC682B7</x:v>
      </x:c>
      <x:c r="B6723" s="12" t="str">
        <x:v>LYDS Legal</x:v>
      </x:c>
      <x:c r="C6723" s="12" t="str">
        <x:v>CORP-0789</x:v>
      </x:c>
      <x:c r="D6723" s="12" t="str">
        <x:v>Delhi NCR</x:v>
      </x:c>
      <x:c r="E6723" s="12" t="str">
        <x:v>Add India Height</x:v>
      </x:c>
      <x:c r="F6723" s="12" t="str">
        <x:v>55 inch</x:v>
      </x:c>
      <x:c r="G6723" s="20" t="n">
        <x:v>1</x:v>
      </x:c>
      <x:c r="H6723" s="12" t="str">
        <x:v>Campus/portfolio roster; individual building occupancy unverified</x:v>
      </x:c>
      <x:c r="I6723" s="12" t="str">
        <x:v>Small-scale prospects</x:v>
      </x:c>
      <x:c r="J6723" s="12" t="str">
        <x:v>Professional services</x:v>
      </x:c>
      <x:c r="K6723" s="2" t="str">
        <x:v>PARTNER-M375</x:v>
      </x:c>
    </x:row>
    <x:row r="6724" ht="46" customHeight="1">
      <x:c r="A6724" s="2" t="str">
        <x:v>TEN-15231E0E110E</x:v>
      </x:c>
      <x:c r="B6724" s="12" t="str">
        <x:v>MerchServe Global Pvt Ltd</x:v>
      </x:c>
      <x:c r="C6724" s="12" t="str">
        <x:v>CORP-0790</x:v>
      </x:c>
      <x:c r="D6724" s="12" t="str">
        <x:v>Delhi NCR</x:v>
      </x:c>
      <x:c r="E6724" s="12" t="str">
        <x:v>Add India Height</x:v>
      </x:c>
      <x:c r="F6724" s="12" t="str">
        <x:v>55 inch</x:v>
      </x:c>
      <x:c r="G6724" s="20" t="n">
        <x:v>1</x:v>
      </x:c>
      <x:c r="H6724" s="12" t="str">
        <x:v>Campus/portfolio roster; individual building occupancy unverified</x:v>
      </x:c>
      <x:c r="I6724" s="12" t="str">
        <x:v>Mixed business audience</x:v>
      </x:c>
      <x:c r="J6724" s="12" t="str">
        <x:v>Unresolved</x:v>
      </x:c>
      <x:c r="K6724" s="2" t="str">
        <x:v>PARTNER-M375</x:v>
      </x:c>
    </x:row>
    <x:row r="6725" ht="46" customHeight="1">
      <x:c r="A6725" s="2" t="str">
        <x:v>TEN-2F36697C1256</x:v>
      </x:c>
      <x:c r="B6725" s="12" t="str">
        <x:v>Skymet Weather Services Pvt. Ltd</x:v>
      </x:c>
      <x:c r="C6725" s="12" t="str">
        <x:v>CORP-0790</x:v>
      </x:c>
      <x:c r="D6725" s="12" t="str">
        <x:v>Delhi NCR</x:v>
      </x:c>
      <x:c r="E6725" s="12" t="str">
        <x:v>Add India Height</x:v>
      </x:c>
      <x:c r="F6725" s="12" t="str">
        <x:v>55 inch</x:v>
      </x:c>
      <x:c r="G6725" s="20" t="n">
        <x:v>1</x:v>
      </x:c>
      <x:c r="H6725" s="12" t="str">
        <x:v>Campus/portfolio roster; individual building occupancy unverified</x:v>
      </x:c>
      <x:c r="I6725" s="12" t="str">
        <x:v>Small-scale prospects</x:v>
      </x:c>
      <x:c r="J6725" s="12" t="str">
        <x:v>IT &amp; digital</x:v>
      </x:c>
      <x:c r="K6725" s="2" t="str">
        <x:v>PARTNER-M375</x:v>
      </x:c>
    </x:row>
    <x:row r="6726" ht="46" customHeight="1">
      <x:c r="A6726" s="2" t="str">
        <x:v>TEN-499A46C1ED38</x:v>
      </x:c>
      <x:c r="B6726" s="12" t="str">
        <x:v>JindalX</x:v>
      </x:c>
      <x:c r="C6726" s="12" t="str">
        <x:v>CORP-0790</x:v>
      </x:c>
      <x:c r="D6726" s="12" t="str">
        <x:v>Delhi NCR</x:v>
      </x:c>
      <x:c r="E6726" s="12" t="str">
        <x:v>Add India Height</x:v>
      </x:c>
      <x:c r="F6726" s="12" t="str">
        <x:v>55 inch</x:v>
      </x:c>
      <x:c r="G6726" s="20" t="n">
        <x:v>1</x:v>
      </x:c>
      <x:c r="H6726" s="12" t="str">
        <x:v>Campus/portfolio roster; individual building occupancy unverified</x:v>
      </x:c>
      <x:c r="I6726" s="12" t="str">
        <x:v>Mixed business audience</x:v>
      </x:c>
      <x:c r="J6726" s="12" t="str">
        <x:v>Unresolved</x:v>
      </x:c>
      <x:c r="K6726" s="2" t="str">
        <x:v>PARTNER-M375</x:v>
      </x:c>
    </x:row>
    <x:row r="6727" ht="46" customHeight="1">
      <x:c r="A6727" s="2" t="str">
        <x:v>TEN-4F013726AFD9</x:v>
      </x:c>
      <x:c r="B6727" s="12" t="str">
        <x:v>Bullmen Realty India Pvt Ltd</x:v>
      </x:c>
      <x:c r="C6727" s="12" t="str">
        <x:v>CORP-0790</x:v>
      </x:c>
      <x:c r="D6727" s="12" t="str">
        <x:v>Delhi NCR</x:v>
      </x:c>
      <x:c r="E6727" s="12" t="str">
        <x:v>Add India Height</x:v>
      </x:c>
      <x:c r="F6727" s="12" t="str">
        <x:v>55 inch</x:v>
      </x:c>
      <x:c r="G6727" s="20" t="n">
        <x:v>1</x:v>
      </x:c>
      <x:c r="H6727" s="12" t="str">
        <x:v>Campus/portfolio roster; individual building occupancy unverified</x:v>
      </x:c>
      <x:c r="I6727" s="12" t="str">
        <x:v>Small-scale prospects</x:v>
      </x:c>
      <x:c r="J6727" s="12" t="str">
        <x:v>Trade, consumer &amp; logistics</x:v>
      </x:c>
      <x:c r="K6727" s="2" t="str">
        <x:v>PARTNER-M375</x:v>
      </x:c>
    </x:row>
    <x:row r="6728" ht="46" customHeight="1">
      <x:c r="A6728" s="2" t="str">
        <x:v>TEN-82ABCD71B901</x:v>
      </x:c>
      <x:c r="B6728" s="12" t="str">
        <x:v>Visible Alpha</x:v>
      </x:c>
      <x:c r="C6728" s="12" t="str">
        <x:v>CORP-0790</x:v>
      </x:c>
      <x:c r="D6728" s="12" t="str">
        <x:v>Delhi NCR</x:v>
      </x:c>
      <x:c r="E6728" s="12" t="str">
        <x:v>Add India Height</x:v>
      </x:c>
      <x:c r="F6728" s="12" t="str">
        <x:v>55 inch</x:v>
      </x:c>
      <x:c r="G6728" s="20" t="n">
        <x:v>1</x:v>
      </x:c>
      <x:c r="H6728" s="12" t="str">
        <x:v>Campus/portfolio roster; individual building occupancy unverified</x:v>
      </x:c>
      <x:c r="I6728" s="12" t="str">
        <x:v>Small-scale prospects</x:v>
      </x:c>
      <x:c r="J6728" s="12" t="str">
        <x:v>IT &amp; digital</x:v>
      </x:c>
      <x:c r="K6728" s="2" t="str">
        <x:v>PARTNER-M375</x:v>
      </x:c>
    </x:row>
    <x:row r="6729" ht="46" customHeight="1">
      <x:c r="A6729" s="2" t="str">
        <x:v>TEN-AAD82B0AF1B8</x:v>
      </x:c>
      <x:c r="B6729" s="12" t="str">
        <x:v>EFS Facilities Services</x:v>
      </x:c>
      <x:c r="C6729" s="12" t="str">
        <x:v>CORP-0790</x:v>
      </x:c>
      <x:c r="D6729" s="12" t="str">
        <x:v>Delhi NCR</x:v>
      </x:c>
      <x:c r="E6729" s="12" t="str">
        <x:v>Add India Height</x:v>
      </x:c>
      <x:c r="F6729" s="12" t="str">
        <x:v>55 inch</x:v>
      </x:c>
      <x:c r="G6729" s="20" t="n">
        <x:v>1</x:v>
      </x:c>
      <x:c r="H6729" s="12" t="str">
        <x:v>Campus/portfolio roster; individual building occupancy unverified</x:v>
      </x:c>
      <x:c r="I6729" s="12" t="str">
        <x:v>Mixed business audience</x:v>
      </x:c>
      <x:c r="J6729" s="12" t="str">
        <x:v>Professional services</x:v>
      </x:c>
      <x:c r="K6729" s="2" t="str">
        <x:v>PARTNER-M375</x:v>
      </x:c>
    </x:row>
    <x:row r="6730" ht="46" customHeight="1">
      <x:c r="A6730" s="2" t="str">
        <x:v>TEN-BCD2EBC682B7</x:v>
      </x:c>
      <x:c r="B6730" s="12" t="str">
        <x:v>LYDS Legal</x:v>
      </x:c>
      <x:c r="C6730" s="12" t="str">
        <x:v>CORP-0790</x:v>
      </x:c>
      <x:c r="D6730" s="12" t="str">
        <x:v>Delhi NCR</x:v>
      </x:c>
      <x:c r="E6730" s="12" t="str">
        <x:v>Add India Height</x:v>
      </x:c>
      <x:c r="F6730" s="12" t="str">
        <x:v>55 inch</x:v>
      </x:c>
      <x:c r="G6730" s="20" t="n">
        <x:v>1</x:v>
      </x:c>
      <x:c r="H6730" s="12" t="str">
        <x:v>Campus/portfolio roster; individual building occupancy unverified</x:v>
      </x:c>
      <x:c r="I6730" s="12" t="str">
        <x:v>Small-scale prospects</x:v>
      </x:c>
      <x:c r="J6730" s="12" t="str">
        <x:v>Professional services</x:v>
      </x:c>
      <x:c r="K6730" s="2" t="str">
        <x:v>PARTNER-M375</x:v>
      </x:c>
    </x:row>
    <x:row r="6731" ht="46" customHeight="1">
      <x:c r="A6731" s="2" t="str">
        <x:v>TEN-15231E0E110E</x:v>
      </x:c>
      <x:c r="B6731" s="12" t="str">
        <x:v>MerchServe Global Pvt Ltd</x:v>
      </x:c>
      <x:c r="C6731" s="12" t="str">
        <x:v>CORP-0791</x:v>
      </x:c>
      <x:c r="D6731" s="12" t="str">
        <x:v>Delhi NCR</x:v>
      </x:c>
      <x:c r="E6731" s="12" t="str">
        <x:v>Add India Height</x:v>
      </x:c>
      <x:c r="F6731" s="12" t="str">
        <x:v>55 inch</x:v>
      </x:c>
      <x:c r="G6731" s="20" t="n">
        <x:v>1</x:v>
      </x:c>
      <x:c r="H6731" s="12" t="str">
        <x:v>Campus/portfolio roster; individual building occupancy unverified</x:v>
      </x:c>
      <x:c r="I6731" s="12" t="str">
        <x:v>Mixed business audience</x:v>
      </x:c>
      <x:c r="J6731" s="12" t="str">
        <x:v>Unresolved</x:v>
      </x:c>
      <x:c r="K6731" s="2" t="str">
        <x:v>PARTNER-M375</x:v>
      </x:c>
    </x:row>
    <x:row r="6732" ht="46" customHeight="1">
      <x:c r="A6732" s="2" t="str">
        <x:v>TEN-2F36697C1256</x:v>
      </x:c>
      <x:c r="B6732" s="12" t="str">
        <x:v>Skymet Weather Services Pvt. Ltd</x:v>
      </x:c>
      <x:c r="C6732" s="12" t="str">
        <x:v>CORP-0791</x:v>
      </x:c>
      <x:c r="D6732" s="12" t="str">
        <x:v>Delhi NCR</x:v>
      </x:c>
      <x:c r="E6732" s="12" t="str">
        <x:v>Add India Height</x:v>
      </x:c>
      <x:c r="F6732" s="12" t="str">
        <x:v>55 inch</x:v>
      </x:c>
      <x:c r="G6732" s="20" t="n">
        <x:v>1</x:v>
      </x:c>
      <x:c r="H6732" s="12" t="str">
        <x:v>Campus/portfolio roster; individual building occupancy unverified</x:v>
      </x:c>
      <x:c r="I6732" s="12" t="str">
        <x:v>Small-scale prospects</x:v>
      </x:c>
      <x:c r="J6732" s="12" t="str">
        <x:v>IT &amp; digital</x:v>
      </x:c>
      <x:c r="K6732" s="2" t="str">
        <x:v>PARTNER-M375</x:v>
      </x:c>
    </x:row>
    <x:row r="6733" ht="46" customHeight="1">
      <x:c r="A6733" s="2" t="str">
        <x:v>TEN-499A46C1ED38</x:v>
      </x:c>
      <x:c r="B6733" s="12" t="str">
        <x:v>JindalX</x:v>
      </x:c>
      <x:c r="C6733" s="12" t="str">
        <x:v>CORP-0791</x:v>
      </x:c>
      <x:c r="D6733" s="12" t="str">
        <x:v>Delhi NCR</x:v>
      </x:c>
      <x:c r="E6733" s="12" t="str">
        <x:v>Add India Height</x:v>
      </x:c>
      <x:c r="F6733" s="12" t="str">
        <x:v>55 inch</x:v>
      </x:c>
      <x:c r="G6733" s="20" t="n">
        <x:v>1</x:v>
      </x:c>
      <x:c r="H6733" s="12" t="str">
        <x:v>Campus/portfolio roster; individual building occupancy unverified</x:v>
      </x:c>
      <x:c r="I6733" s="12" t="str">
        <x:v>Mixed business audience</x:v>
      </x:c>
      <x:c r="J6733" s="12" t="str">
        <x:v>Unresolved</x:v>
      </x:c>
      <x:c r="K6733" s="2" t="str">
        <x:v>PARTNER-M375</x:v>
      </x:c>
    </x:row>
    <x:row r="6734" ht="46" customHeight="1">
      <x:c r="A6734" s="2" t="str">
        <x:v>TEN-4F013726AFD9</x:v>
      </x:c>
      <x:c r="B6734" s="12" t="str">
        <x:v>Bullmen Realty India Pvt Ltd</x:v>
      </x:c>
      <x:c r="C6734" s="12" t="str">
        <x:v>CORP-0791</x:v>
      </x:c>
      <x:c r="D6734" s="12" t="str">
        <x:v>Delhi NCR</x:v>
      </x:c>
      <x:c r="E6734" s="12" t="str">
        <x:v>Add India Height</x:v>
      </x:c>
      <x:c r="F6734" s="12" t="str">
        <x:v>55 inch</x:v>
      </x:c>
      <x:c r="G6734" s="20" t="n">
        <x:v>1</x:v>
      </x:c>
      <x:c r="H6734" s="12" t="str">
        <x:v>Campus/portfolio roster; individual building occupancy unverified</x:v>
      </x:c>
      <x:c r="I6734" s="12" t="str">
        <x:v>Small-scale prospects</x:v>
      </x:c>
      <x:c r="J6734" s="12" t="str">
        <x:v>Trade, consumer &amp; logistics</x:v>
      </x:c>
      <x:c r="K6734" s="2" t="str">
        <x:v>PARTNER-M375</x:v>
      </x:c>
    </x:row>
    <x:row r="6735" ht="46" customHeight="1">
      <x:c r="A6735" s="2" t="str">
        <x:v>TEN-82ABCD71B901</x:v>
      </x:c>
      <x:c r="B6735" s="12" t="str">
        <x:v>Visible Alpha</x:v>
      </x:c>
      <x:c r="C6735" s="12" t="str">
        <x:v>CORP-0791</x:v>
      </x:c>
      <x:c r="D6735" s="12" t="str">
        <x:v>Delhi NCR</x:v>
      </x:c>
      <x:c r="E6735" s="12" t="str">
        <x:v>Add India Height</x:v>
      </x:c>
      <x:c r="F6735" s="12" t="str">
        <x:v>55 inch</x:v>
      </x:c>
      <x:c r="G6735" s="20" t="n">
        <x:v>1</x:v>
      </x:c>
      <x:c r="H6735" s="12" t="str">
        <x:v>Campus/portfolio roster; individual building occupancy unverified</x:v>
      </x:c>
      <x:c r="I6735" s="12" t="str">
        <x:v>Small-scale prospects</x:v>
      </x:c>
      <x:c r="J6735" s="12" t="str">
        <x:v>IT &amp; digital</x:v>
      </x:c>
      <x:c r="K6735" s="2" t="str">
        <x:v>PARTNER-M375</x:v>
      </x:c>
    </x:row>
    <x:row r="6736" ht="46" customHeight="1">
      <x:c r="A6736" s="2" t="str">
        <x:v>TEN-AAD82B0AF1B8</x:v>
      </x:c>
      <x:c r="B6736" s="12" t="str">
        <x:v>EFS Facilities Services</x:v>
      </x:c>
      <x:c r="C6736" s="12" t="str">
        <x:v>CORP-0791</x:v>
      </x:c>
      <x:c r="D6736" s="12" t="str">
        <x:v>Delhi NCR</x:v>
      </x:c>
      <x:c r="E6736" s="12" t="str">
        <x:v>Add India Height</x:v>
      </x:c>
      <x:c r="F6736" s="12" t="str">
        <x:v>55 inch</x:v>
      </x:c>
      <x:c r="G6736" s="20" t="n">
        <x:v>1</x:v>
      </x:c>
      <x:c r="H6736" s="12" t="str">
        <x:v>Campus/portfolio roster; individual building occupancy unverified</x:v>
      </x:c>
      <x:c r="I6736" s="12" t="str">
        <x:v>Mixed business audience</x:v>
      </x:c>
      <x:c r="J6736" s="12" t="str">
        <x:v>Professional services</x:v>
      </x:c>
      <x:c r="K6736" s="2" t="str">
        <x:v>PARTNER-M375</x:v>
      </x:c>
    </x:row>
    <x:row r="6737" ht="46" customHeight="1">
      <x:c r="A6737" s="2" t="str">
        <x:v>TEN-BCD2EBC682B7</x:v>
      </x:c>
      <x:c r="B6737" s="12" t="str">
        <x:v>LYDS Legal</x:v>
      </x:c>
      <x:c r="C6737" s="12" t="str">
        <x:v>CORP-0791</x:v>
      </x:c>
      <x:c r="D6737" s="12" t="str">
        <x:v>Delhi NCR</x:v>
      </x:c>
      <x:c r="E6737" s="12" t="str">
        <x:v>Add India Height</x:v>
      </x:c>
      <x:c r="F6737" s="12" t="str">
        <x:v>55 inch</x:v>
      </x:c>
      <x:c r="G6737" s="20" t="n">
        <x:v>1</x:v>
      </x:c>
      <x:c r="H6737" s="12" t="str">
        <x:v>Campus/portfolio roster; individual building occupancy unverified</x:v>
      </x:c>
      <x:c r="I6737" s="12" t="str">
        <x:v>Small-scale prospects</x:v>
      </x:c>
      <x:c r="J6737" s="12" t="str">
        <x:v>Professional services</x:v>
      </x:c>
      <x:c r="K6737" s="2" t="str">
        <x:v>PARTNER-M375</x:v>
      </x:c>
    </x:row>
    <x:row r="6738" ht="46" customHeight="1">
      <x:c r="A6738" s="2" t="str">
        <x:v>TEN-752677FEB07A</x:v>
      </x:c>
      <x:c r="B6738" s="12" t="str">
        <x:v>Astrotalk</x:v>
      </x:c>
      <x:c r="C6738" s="12" t="str">
        <x:v>CORP-0792</x:v>
      </x:c>
      <x:c r="D6738" s="12" t="str">
        <x:v>Delhi NCR</x:v>
      </x:c>
      <x:c r="E6738" s="12" t="str">
        <x:v>Add India Tower 6A</x:v>
      </x:c>
      <x:c r="F6738" s="12" t="str">
        <x:v>55 inch</x:v>
      </x:c>
      <x:c r="G6738" s="20" t="n">
        <x:v>1</x:v>
      </x:c>
      <x:c r="H6738" s="12" t="str">
        <x:v>Campus/portfolio roster; individual building occupancy unverified</x:v>
      </x:c>
      <x:c r="I6738" s="12" t="str">
        <x:v>Small-scale prospects</x:v>
      </x:c>
      <x:c r="J6738" s="12" t="str">
        <x:v>Trade, consumer &amp; logistics</x:v>
      </x:c>
      <x:c r="K6738" s="2" t="str">
        <x:v>PARTNER-M379</x:v>
      </x:c>
    </x:row>
    <x:row r="6739" ht="46" customHeight="1">
      <x:c r="A6739" s="2" t="str">
        <x:v>TEN-DE9CFA8F9BF3</x:v>
      </x:c>
      <x:c r="B6739" s="12" t="str">
        <x:v>Apptrove</x:v>
      </x:c>
      <x:c r="C6739" s="12" t="str">
        <x:v>CORP-0792</x:v>
      </x:c>
      <x:c r="D6739" s="12" t="str">
        <x:v>Delhi NCR</x:v>
      </x:c>
      <x:c r="E6739" s="12" t="str">
        <x:v>Add India Tower 6A</x:v>
      </x:c>
      <x:c r="F6739" s="12" t="str">
        <x:v>55 inch</x:v>
      </x:c>
      <x:c r="G6739" s="20" t="n">
        <x:v>1</x:v>
      </x:c>
      <x:c r="H6739" s="12" t="str">
        <x:v>Campus/portfolio roster; individual building occupancy unverified</x:v>
      </x:c>
      <x:c r="I6739" s="12" t="str">
        <x:v>Small-scale prospects</x:v>
      </x:c>
      <x:c r="J6739" s="12" t="str">
        <x:v>IT &amp; digital</x:v>
      </x:c>
      <x:c r="K6739" s="2" t="str">
        <x:v>PARTNER-M379</x:v>
      </x:c>
    </x:row>
    <x:row r="6740" ht="46" customHeight="1">
      <x:c r="A6740" s="2" t="str">
        <x:v>TEN-E845A9E0AC51</x:v>
      </x:c>
      <x:c r="B6740" s="12" t="str">
        <x:v>Matrix Acres Private Limited</x:v>
      </x:c>
      <x:c r="C6740" s="12" t="str">
        <x:v>CORP-0792</x:v>
      </x:c>
      <x:c r="D6740" s="12" t="str">
        <x:v>Delhi NCR</x:v>
      </x:c>
      <x:c r="E6740" s="12" t="str">
        <x:v>Add India Tower 6A</x:v>
      </x:c>
      <x:c r="F6740" s="12" t="str">
        <x:v>55 inch</x:v>
      </x:c>
      <x:c r="G6740" s="20" t="n">
        <x:v>1</x:v>
      </x:c>
      <x:c r="H6740" s="12" t="str">
        <x:v>Campus/portfolio roster; individual building occupancy unverified</x:v>
      </x:c>
      <x:c r="I6740" s="12" t="str">
        <x:v>Small-scale prospects</x:v>
      </x:c>
      <x:c r="J6740" s="12" t="str">
        <x:v>Trade, consumer &amp; logistics</x:v>
      </x:c>
      <x:c r="K6740" s="2" t="str">
        <x:v>PARTNER-M379</x:v>
      </x:c>
    </x:row>
    <x:row r="6741" ht="46" customHeight="1">
      <x:c r="A6741" s="2" t="str">
        <x:v>TEN-F43D0727CFB6</x:v>
      </x:c>
      <x:c r="B6741" s="12" t="str">
        <x:v>HDFC Bank</x:v>
      </x:c>
      <x:c r="C6741" s="12" t="str">
        <x:v>CORP-0792</x:v>
      </x:c>
      <x:c r="D6741" s="12" t="str">
        <x:v>Delhi NCR</x:v>
      </x:c>
      <x:c r="E6741" s="12" t="str">
        <x:v>Add India Tower 6A</x:v>
      </x:c>
      <x:c r="F6741" s="12" t="str">
        <x:v>55 inch</x:v>
      </x:c>
      <x:c r="G6741" s="20" t="n">
        <x:v>1</x:v>
      </x:c>
      <x:c r="H6741" s="12" t="str">
        <x:v>Campus/portfolio roster; individual building occupancy unverified</x:v>
      </x:c>
      <x:c r="I6741" s="12" t="str">
        <x:v>Large enterprise</x:v>
      </x:c>
      <x:c r="J6741" s="12" t="str">
        <x:v>Finance &amp; insurance</x:v>
      </x:c>
      <x:c r="K6741" s="2" t="str">
        <x:v>PARTNER-M379</x:v>
      </x:c>
    </x:row>
    <x:row r="6742" ht="46" customHeight="1">
      <x:c r="A6742" s="2" t="str">
        <x:v>TEN-752677FEB07A</x:v>
      </x:c>
      <x:c r="B6742" s="12" t="str">
        <x:v>Astrotalk</x:v>
      </x:c>
      <x:c r="C6742" s="12" t="str">
        <x:v>CORP-0793</x:v>
      </x:c>
      <x:c r="D6742" s="12" t="str">
        <x:v>Delhi NCR</x:v>
      </x:c>
      <x:c r="E6742" s="12" t="str">
        <x:v>Add India Tower 6A</x:v>
      </x:c>
      <x:c r="F6742" s="12" t="str">
        <x:v>55 inch</x:v>
      </x:c>
      <x:c r="G6742" s="20" t="n">
        <x:v>1</x:v>
      </x:c>
      <x:c r="H6742" s="12" t="str">
        <x:v>Campus/portfolio roster; individual building occupancy unverified</x:v>
      </x:c>
      <x:c r="I6742" s="12" t="str">
        <x:v>Small-scale prospects</x:v>
      </x:c>
      <x:c r="J6742" s="12" t="str">
        <x:v>Trade, consumer &amp; logistics</x:v>
      </x:c>
      <x:c r="K6742" s="2" t="str">
        <x:v>PARTNER-M379</x:v>
      </x:c>
    </x:row>
    <x:row r="6743" ht="46" customHeight="1">
      <x:c r="A6743" s="2" t="str">
        <x:v>TEN-DE9CFA8F9BF3</x:v>
      </x:c>
      <x:c r="B6743" s="12" t="str">
        <x:v>Apptrove</x:v>
      </x:c>
      <x:c r="C6743" s="12" t="str">
        <x:v>CORP-0793</x:v>
      </x:c>
      <x:c r="D6743" s="12" t="str">
        <x:v>Delhi NCR</x:v>
      </x:c>
      <x:c r="E6743" s="12" t="str">
        <x:v>Add India Tower 6A</x:v>
      </x:c>
      <x:c r="F6743" s="12" t="str">
        <x:v>55 inch</x:v>
      </x:c>
      <x:c r="G6743" s="20" t="n">
        <x:v>1</x:v>
      </x:c>
      <x:c r="H6743" s="12" t="str">
        <x:v>Campus/portfolio roster; individual building occupancy unverified</x:v>
      </x:c>
      <x:c r="I6743" s="12" t="str">
        <x:v>Small-scale prospects</x:v>
      </x:c>
      <x:c r="J6743" s="12" t="str">
        <x:v>IT &amp; digital</x:v>
      </x:c>
      <x:c r="K6743" s="2" t="str">
        <x:v>PARTNER-M379</x:v>
      </x:c>
    </x:row>
    <x:row r="6744" ht="46" customHeight="1">
      <x:c r="A6744" s="2" t="str">
        <x:v>TEN-E845A9E0AC51</x:v>
      </x:c>
      <x:c r="B6744" s="12" t="str">
        <x:v>Matrix Acres Private Limited</x:v>
      </x:c>
      <x:c r="C6744" s="12" t="str">
        <x:v>CORP-0793</x:v>
      </x:c>
      <x:c r="D6744" s="12" t="str">
        <x:v>Delhi NCR</x:v>
      </x:c>
      <x:c r="E6744" s="12" t="str">
        <x:v>Add India Tower 6A</x:v>
      </x:c>
      <x:c r="F6744" s="12" t="str">
        <x:v>55 inch</x:v>
      </x:c>
      <x:c r="G6744" s="20" t="n">
        <x:v>1</x:v>
      </x:c>
      <x:c r="H6744" s="12" t="str">
        <x:v>Campus/portfolio roster; individual building occupancy unverified</x:v>
      </x:c>
      <x:c r="I6744" s="12" t="str">
        <x:v>Small-scale prospects</x:v>
      </x:c>
      <x:c r="J6744" s="12" t="str">
        <x:v>Trade, consumer &amp; logistics</x:v>
      </x:c>
      <x:c r="K6744" s="2" t="str">
        <x:v>PARTNER-M379</x:v>
      </x:c>
    </x:row>
    <x:row r="6745" ht="46" customHeight="1">
      <x:c r="A6745" s="2" t="str">
        <x:v>TEN-F43D0727CFB6</x:v>
      </x:c>
      <x:c r="B6745" s="12" t="str">
        <x:v>HDFC Bank</x:v>
      </x:c>
      <x:c r="C6745" s="12" t="str">
        <x:v>CORP-0793</x:v>
      </x:c>
      <x:c r="D6745" s="12" t="str">
        <x:v>Delhi NCR</x:v>
      </x:c>
      <x:c r="E6745" s="12" t="str">
        <x:v>Add India Tower 6A</x:v>
      </x:c>
      <x:c r="F6745" s="12" t="str">
        <x:v>55 inch</x:v>
      </x:c>
      <x:c r="G6745" s="20" t="n">
        <x:v>1</x:v>
      </x:c>
      <x:c r="H6745" s="12" t="str">
        <x:v>Campus/portfolio roster; individual building occupancy unverified</x:v>
      </x:c>
      <x:c r="I6745" s="12" t="str">
        <x:v>Large enterprise</x:v>
      </x:c>
      <x:c r="J6745" s="12" t="str">
        <x:v>Finance &amp; insurance</x:v>
      </x:c>
      <x:c r="K6745" s="2" t="str">
        <x:v>PARTNER-M379</x:v>
      </x:c>
    </x:row>
    <x:row r="6746" ht="46" customHeight="1">
      <x:c r="A6746" s="2" t="str">
        <x:v>TEN-752677FEB07A</x:v>
      </x:c>
      <x:c r="B6746" s="12" t="str">
        <x:v>Astrotalk</x:v>
      </x:c>
      <x:c r="C6746" s="12" t="str">
        <x:v>CORP-0794</x:v>
      </x:c>
      <x:c r="D6746" s="12" t="str">
        <x:v>Delhi NCR</x:v>
      </x:c>
      <x:c r="E6746" s="12" t="str">
        <x:v>Add India Tower 6A</x:v>
      </x:c>
      <x:c r="F6746" s="12" t="str">
        <x:v>55 inch</x:v>
      </x:c>
      <x:c r="G6746" s="20" t="n">
        <x:v>1</x:v>
      </x:c>
      <x:c r="H6746" s="12" t="str">
        <x:v>Campus/portfolio roster; individual building occupancy unverified</x:v>
      </x:c>
      <x:c r="I6746" s="12" t="str">
        <x:v>Small-scale prospects</x:v>
      </x:c>
      <x:c r="J6746" s="12" t="str">
        <x:v>Trade, consumer &amp; logistics</x:v>
      </x:c>
      <x:c r="K6746" s="2" t="str">
        <x:v>PARTNER-M379</x:v>
      </x:c>
    </x:row>
    <x:row r="6747" ht="46" customHeight="1">
      <x:c r="A6747" s="2" t="str">
        <x:v>TEN-DE9CFA8F9BF3</x:v>
      </x:c>
      <x:c r="B6747" s="12" t="str">
        <x:v>Apptrove</x:v>
      </x:c>
      <x:c r="C6747" s="12" t="str">
        <x:v>CORP-0794</x:v>
      </x:c>
      <x:c r="D6747" s="12" t="str">
        <x:v>Delhi NCR</x:v>
      </x:c>
      <x:c r="E6747" s="12" t="str">
        <x:v>Add India Tower 6A</x:v>
      </x:c>
      <x:c r="F6747" s="12" t="str">
        <x:v>55 inch</x:v>
      </x:c>
      <x:c r="G6747" s="20" t="n">
        <x:v>1</x:v>
      </x:c>
      <x:c r="H6747" s="12" t="str">
        <x:v>Campus/portfolio roster; individual building occupancy unverified</x:v>
      </x:c>
      <x:c r="I6747" s="12" t="str">
        <x:v>Small-scale prospects</x:v>
      </x:c>
      <x:c r="J6747" s="12" t="str">
        <x:v>IT &amp; digital</x:v>
      </x:c>
      <x:c r="K6747" s="2" t="str">
        <x:v>PARTNER-M379</x:v>
      </x:c>
    </x:row>
    <x:row r="6748" ht="46" customHeight="1">
      <x:c r="A6748" s="2" t="str">
        <x:v>TEN-E845A9E0AC51</x:v>
      </x:c>
      <x:c r="B6748" s="12" t="str">
        <x:v>Matrix Acres Private Limited</x:v>
      </x:c>
      <x:c r="C6748" s="12" t="str">
        <x:v>CORP-0794</x:v>
      </x:c>
      <x:c r="D6748" s="12" t="str">
        <x:v>Delhi NCR</x:v>
      </x:c>
      <x:c r="E6748" s="12" t="str">
        <x:v>Add India Tower 6A</x:v>
      </x:c>
      <x:c r="F6748" s="12" t="str">
        <x:v>55 inch</x:v>
      </x:c>
      <x:c r="G6748" s="20" t="n">
        <x:v>1</x:v>
      </x:c>
      <x:c r="H6748" s="12" t="str">
        <x:v>Campus/portfolio roster; individual building occupancy unverified</x:v>
      </x:c>
      <x:c r="I6748" s="12" t="str">
        <x:v>Small-scale prospects</x:v>
      </x:c>
      <x:c r="J6748" s="12" t="str">
        <x:v>Trade, consumer &amp; logistics</x:v>
      </x:c>
      <x:c r="K6748" s="2" t="str">
        <x:v>PARTNER-M379</x:v>
      </x:c>
    </x:row>
    <x:row r="6749" ht="46" customHeight="1">
      <x:c r="A6749" s="2" t="str">
        <x:v>TEN-F43D0727CFB6</x:v>
      </x:c>
      <x:c r="B6749" s="12" t="str">
        <x:v>HDFC Bank</x:v>
      </x:c>
      <x:c r="C6749" s="12" t="str">
        <x:v>CORP-0794</x:v>
      </x:c>
      <x:c r="D6749" s="12" t="str">
        <x:v>Delhi NCR</x:v>
      </x:c>
      <x:c r="E6749" s="12" t="str">
        <x:v>Add India Tower 6A</x:v>
      </x:c>
      <x:c r="F6749" s="12" t="str">
        <x:v>55 inch</x:v>
      </x:c>
      <x:c r="G6749" s="20" t="n">
        <x:v>1</x:v>
      </x:c>
      <x:c r="H6749" s="12" t="str">
        <x:v>Campus/portfolio roster; individual building occupancy unverified</x:v>
      </x:c>
      <x:c r="I6749" s="12" t="str">
        <x:v>Large enterprise</x:v>
      </x:c>
      <x:c r="J6749" s="12" t="str">
        <x:v>Finance &amp; insurance</x:v>
      </x:c>
      <x:c r="K6749" s="2" t="str">
        <x:v>PARTNER-M379</x:v>
      </x:c>
    </x:row>
    <x:row r="6750" ht="46" customHeight="1">
      <x:c r="A6750" s="2" t="str">
        <x:v>TEN-223D607AEE9C</x:v>
      </x:c>
      <x:c r="B6750" s="12" t="str">
        <x:v>Annalect</x:v>
      </x:c>
      <x:c r="C6750" s="12" t="str">
        <x:v>CORP-0453</x:v>
      </x:c>
      <x:c r="D6750" s="12" t="str">
        <x:v>Bengaluru</x:v>
      </x:c>
      <x:c r="E6750" s="12" t="str">
        <x:v>Prestige Technostar</x:v>
      </x:c>
      <x:c r="F6750" s="12" t="str">
        <x:v>55 inch</x:v>
      </x:c>
      <x:c r="G6750" s="20" t="n">
        <x:v>1</x:v>
      </x:c>
      <x:c r="H6750" s="12" t="str">
        <x:v>Campus/portfolio roster; individual building occupancy unverified</x:v>
      </x:c>
      <x:c r="I6750" s="12" t="str">
        <x:v>Mixed business audience</x:v>
      </x:c>
      <x:c r="J6750" s="12" t="str">
        <x:v>Professional services</x:v>
      </x:c>
      <x:c r="K6750" s="2" t="str">
        <x:v>PARTNER-M034</x:v>
      </x:c>
    </x:row>
    <x:row r="6751" ht="46" customHeight="1">
      <x:c r="A6751" s="2" t="str">
        <x:v>TEN-240389F4B730</x:v>
      </x:c>
      <x:c r="B6751" s="12" t="str">
        <x:v>AMD</x:v>
      </x:c>
      <x:c r="C6751" s="12" t="str">
        <x:v>CORP-0453</x:v>
      </x:c>
      <x:c r="D6751" s="12" t="str">
        <x:v>Bengaluru</x:v>
      </x:c>
      <x:c r="E6751" s="12" t="str">
        <x:v>Prestige Technostar</x:v>
      </x:c>
      <x:c r="F6751" s="12" t="str">
        <x:v>55 inch</x:v>
      </x:c>
      <x:c r="G6751" s="20" t="n">
        <x:v>1</x:v>
      </x:c>
      <x:c r="H6751" s="12" t="str">
        <x:v>Campus/portfolio roster; individual building occupancy unverified</x:v>
      </x:c>
      <x:c r="I6751" s="12" t="str">
        <x:v>Large enterprise</x:v>
      </x:c>
      <x:c r="J6751" s="12" t="str">
        <x:v>Engineering &amp; manufacturing</x:v>
      </x:c>
      <x:c r="K6751" s="2" t="str">
        <x:v>PARTNER-M034</x:v>
      </x:c>
    </x:row>
    <x:row r="6752" ht="46" customHeight="1">
      <x:c r="A6752" s="2" t="str">
        <x:v>TEN-3A1978BEBDE0</x:v>
      </x:c>
      <x:c r="B6752" s="12" t="str">
        <x:v>Route Mobile Limited (RouteLab unit)</x:v>
      </x:c>
      <x:c r="C6752" s="12" t="str">
        <x:v>CORP-0453</x:v>
      </x:c>
      <x:c r="D6752" s="12" t="str">
        <x:v>Bengaluru</x:v>
      </x:c>
      <x:c r="E6752" s="12" t="str">
        <x:v>Prestige Technostar</x:v>
      </x:c>
      <x:c r="F6752" s="12" t="str">
        <x:v>55 inch</x:v>
      </x:c>
      <x:c r="G6752" s="20" t="n">
        <x:v>1</x:v>
      </x:c>
      <x:c r="H6752" s="12" t="str">
        <x:v>Campus/portfolio roster; individual building occupancy unverified</x:v>
      </x:c>
      <x:c r="I6752" s="12" t="str">
        <x:v>Mixed business audience</x:v>
      </x:c>
      <x:c r="J6752" s="12" t="str">
        <x:v>IT &amp; digital</x:v>
      </x:c>
      <x:c r="K6752" s="2" t="str">
        <x:v>PARTNER-M034</x:v>
      </x:c>
    </x:row>
    <x:row r="6753" ht="46" customHeight="1">
      <x:c r="A6753" s="2" t="str">
        <x:v>TEN-6B0F63C5E611</x:v>
      </x:c>
      <x:c r="B6753" s="12" t="str">
        <x:v>Aeries Technology Private Limited</x:v>
      </x:c>
      <x:c r="C6753" s="12" t="str">
        <x:v>CORP-0453</x:v>
      </x:c>
      <x:c r="D6753" s="12" t="str">
        <x:v>Bengaluru</x:v>
      </x:c>
      <x:c r="E6753" s="12" t="str">
        <x:v>Prestige Technostar</x:v>
      </x:c>
      <x:c r="F6753" s="12" t="str">
        <x:v>55 inch</x:v>
      </x:c>
      <x:c r="G6753" s="20" t="n">
        <x:v>1</x:v>
      </x:c>
      <x:c r="H6753" s="12" t="str">
        <x:v>Campus/portfolio roster; individual building occupancy unverified</x:v>
      </x:c>
      <x:c r="I6753" s="12" t="str">
        <x:v>Mixed business audience</x:v>
      </x:c>
      <x:c r="J6753" s="12" t="str">
        <x:v>IT &amp; digital</x:v>
      </x:c>
      <x:c r="K6753" s="2" t="str">
        <x:v>PARTNER-M034</x:v>
      </x:c>
    </x:row>
    <x:row r="6754" ht="46" customHeight="1">
      <x:c r="A6754" s="2" t="str">
        <x:v>TEN-8651A1F195D9</x:v>
      </x:c>
      <x:c r="B6754" s="12" t="str">
        <x:v>Relevance Lab Pvt. Ltd</x:v>
      </x:c>
      <x:c r="C6754" s="12" t="str">
        <x:v>CORP-0453</x:v>
      </x:c>
      <x:c r="D6754" s="12" t="str">
        <x:v>Bengaluru</x:v>
      </x:c>
      <x:c r="E6754" s="12" t="str">
        <x:v>Prestige Technostar</x:v>
      </x:c>
      <x:c r="F6754" s="12" t="str">
        <x:v>55 inch</x:v>
      </x:c>
      <x:c r="G6754" s="20" t="n">
        <x:v>1</x:v>
      </x:c>
      <x:c r="H6754" s="12" t="str">
        <x:v>Campus/portfolio roster; individual building occupancy unverified</x:v>
      </x:c>
      <x:c r="I6754" s="12" t="str">
        <x:v>Small-scale prospects</x:v>
      </x:c>
      <x:c r="J6754" s="12" t="str">
        <x:v>IT &amp; digital</x:v>
      </x:c>
      <x:c r="K6754" s="2" t="str">
        <x:v>PARTNER-M034</x:v>
      </x:c>
    </x:row>
    <x:row r="6755" ht="46" customHeight="1">
      <x:c r="A6755" s="2" t="str">
        <x:v>TEN-9C8100FC00FA</x:v>
      </x:c>
      <x:c r="B6755" s="12" t="str">
        <x:v>TBWA\India</x:v>
      </x:c>
      <x:c r="C6755" s="12" t="str">
        <x:v>CORP-0453</x:v>
      </x:c>
      <x:c r="D6755" s="12" t="str">
        <x:v>Bengaluru</x:v>
      </x:c>
      <x:c r="E6755" s="12" t="str">
        <x:v>Prestige Technostar</x:v>
      </x:c>
      <x:c r="F6755" s="12" t="str">
        <x:v>55 inch</x:v>
      </x:c>
      <x:c r="G6755" s="20" t="n">
        <x:v>1</x:v>
      </x:c>
      <x:c r="H6755" s="12" t="str">
        <x:v>Campus/portfolio roster; individual building occupancy unverified</x:v>
      </x:c>
      <x:c r="I6755" s="12" t="str">
        <x:v>Mixed business audience</x:v>
      </x:c>
      <x:c r="J6755" s="12" t="str">
        <x:v>Professional services</x:v>
      </x:c>
      <x:c r="K6755" s="2" t="str">
        <x:v>PARTNER-M034</x:v>
      </x:c>
    </x:row>
    <x:row r="6756" ht="46" customHeight="1">
      <x:c r="A6756" s="2" t="str">
        <x:v>TEN-C003E01D846B</x:v>
      </x:c>
      <x:c r="B6756" s="12" t="str">
        <x:v>Stratus Technologies</x:v>
      </x:c>
      <x:c r="C6756" s="12" t="str">
        <x:v>CORP-0453</x:v>
      </x:c>
      <x:c r="D6756" s="12" t="str">
        <x:v>Bengaluru</x:v>
      </x:c>
      <x:c r="E6756" s="12" t="str">
        <x:v>Prestige Technostar</x:v>
      </x:c>
      <x:c r="F6756" s="12" t="str">
        <x:v>55 inch</x:v>
      </x:c>
      <x:c r="G6756" s="20" t="n">
        <x:v>1</x:v>
      </x:c>
      <x:c r="H6756" s="12" t="str">
        <x:v>Campus/portfolio roster; individual building occupancy unverified</x:v>
      </x:c>
      <x:c r="I6756" s="12" t="str">
        <x:v>Mixed business audience</x:v>
      </x:c>
      <x:c r="J6756" s="12" t="str">
        <x:v>IT &amp; digital</x:v>
      </x:c>
      <x:c r="K6756" s="2" t="str">
        <x:v>PARTNER-M034</x:v>
      </x:c>
    </x:row>
    <x:row r="6757" ht="46" customHeight="1">
      <x:c r="A6757" s="2" t="str">
        <x:v>TEN-C042D03D597E</x:v>
      </x:c>
      <x:c r="B6757" s="12" t="str">
        <x:v>Inspirage Software Consulting Pvt. Ltd</x:v>
      </x:c>
      <x:c r="C6757" s="12" t="str">
        <x:v>CORP-0453</x:v>
      </x:c>
      <x:c r="D6757" s="12" t="str">
        <x:v>Bengaluru</x:v>
      </x:c>
      <x:c r="E6757" s="12" t="str">
        <x:v>Prestige Technostar</x:v>
      </x:c>
      <x:c r="F6757" s="12" t="str">
        <x:v>55 inch</x:v>
      </x:c>
      <x:c r="G6757" s="20" t="n">
        <x:v>1</x:v>
      </x:c>
      <x:c r="H6757" s="12" t="str">
        <x:v>Campus/portfolio roster; individual building occupancy unverified</x:v>
      </x:c>
      <x:c r="I6757" s="12" t="str">
        <x:v>Mixed business audience</x:v>
      </x:c>
      <x:c r="J6757" s="12" t="str">
        <x:v>IT &amp; digital</x:v>
      </x:c>
      <x:c r="K6757" s="2" t="str">
        <x:v>PARTNER-M034</x:v>
      </x:c>
    </x:row>
    <x:row r="6758" ht="46" customHeight="1">
      <x:c r="A6758" s="2" t="str">
        <x:v>TEN-C534FF89F340</x:v>
      </x:c>
      <x:c r="B6758" s="12" t="str">
        <x:v>Brady Company India Pvt. Ltd</x:v>
      </x:c>
      <x:c r="C6758" s="12" t="str">
        <x:v>CORP-0453</x:v>
      </x:c>
      <x:c r="D6758" s="12" t="str">
        <x:v>Bengaluru</x:v>
      </x:c>
      <x:c r="E6758" s="12" t="str">
        <x:v>Prestige Technostar</x:v>
      </x:c>
      <x:c r="F6758" s="12" t="str">
        <x:v>55 inch</x:v>
      </x:c>
      <x:c r="G6758" s="20" t="n">
        <x:v>1</x:v>
      </x:c>
      <x:c r="H6758" s="12" t="str">
        <x:v>Campus/portfolio roster; individual building occupancy unverified</x:v>
      </x:c>
      <x:c r="I6758" s="12" t="str">
        <x:v>Mixed business audience</x:v>
      </x:c>
      <x:c r="J6758" s="12" t="str">
        <x:v>Engineering &amp; manufacturing</x:v>
      </x:c>
      <x:c r="K6758" s="2" t="str">
        <x:v>PARTNER-M034</x:v>
      </x:c>
    </x:row>
    <x:row r="6759" ht="46" customHeight="1">
      <x:c r="A6759" s="2" t="str">
        <x:v>TEN-CA38967873EE</x:v>
      </x:c>
      <x:c r="B6759" s="12" t="str">
        <x:v>Symplr</x:v>
      </x:c>
      <x:c r="C6759" s="12" t="str">
        <x:v>CORP-0453</x:v>
      </x:c>
      <x:c r="D6759" s="12" t="str">
        <x:v>Bengaluru</x:v>
      </x:c>
      <x:c r="E6759" s="12" t="str">
        <x:v>Prestige Technostar</x:v>
      </x:c>
      <x:c r="F6759" s="12" t="str">
        <x:v>55 inch</x:v>
      </x:c>
      <x:c r="G6759" s="20" t="n">
        <x:v>1</x:v>
      </x:c>
      <x:c r="H6759" s="12" t="str">
        <x:v>Campus/portfolio roster; individual building occupancy unverified</x:v>
      </x:c>
      <x:c r="I6759" s="12" t="str">
        <x:v>Mixed business audience</x:v>
      </x:c>
      <x:c r="J6759" s="12" t="str">
        <x:v>Healthcare &amp; life sciences</x:v>
      </x:c>
      <x:c r="K6759" s="2" t="str">
        <x:v>PARTNER-M034</x:v>
      </x:c>
    </x:row>
    <x:row r="6760" ht="46" customHeight="1">
      <x:c r="A6760" s="2" t="str">
        <x:v>TEN-CCF2DC9DADF3</x:v>
      </x:c>
      <x:c r="B6760" s="12" t="str">
        <x:v>Gartner India Research and Advisory Services Pvt. Ltd</x:v>
      </x:c>
      <x:c r="C6760" s="12" t="str">
        <x:v>CORP-0453</x:v>
      </x:c>
      <x:c r="D6760" s="12" t="str">
        <x:v>Bengaluru</x:v>
      </x:c>
      <x:c r="E6760" s="12" t="str">
        <x:v>Prestige Technostar</x:v>
      </x:c>
      <x:c r="F6760" s="12" t="str">
        <x:v>55 inch</x:v>
      </x:c>
      <x:c r="G6760" s="20" t="n">
        <x:v>1</x:v>
      </x:c>
      <x:c r="H6760" s="12" t="str">
        <x:v>Campus/portfolio roster; individual building occupancy unverified</x:v>
      </x:c>
      <x:c r="I6760" s="12" t="str">
        <x:v>Mixed business audience</x:v>
      </x:c>
      <x:c r="J6760" s="12" t="str">
        <x:v>Professional services</x:v>
      </x:c>
      <x:c r="K6760" s="2" t="str">
        <x:v>PARTNER-M034</x:v>
      </x:c>
    </x:row>
    <x:row r="6761" ht="46" customHeight="1">
      <x:c r="A6761" s="2" t="str">
        <x:v>TEN-D273C9F9C1A3</x:v>
      </x:c>
      <x:c r="B6761" s="12" t="str">
        <x:v>o9 Solutions</x:v>
      </x:c>
      <x:c r="C6761" s="12" t="str">
        <x:v>CORP-0453</x:v>
      </x:c>
      <x:c r="D6761" s="12" t="str">
        <x:v>Bengaluru</x:v>
      </x:c>
      <x:c r="E6761" s="12" t="str">
        <x:v>Prestige Technostar</x:v>
      </x:c>
      <x:c r="F6761" s="12" t="str">
        <x:v>55 inch</x:v>
      </x:c>
      <x:c r="G6761" s="20" t="n">
        <x:v>1</x:v>
      </x:c>
      <x:c r="H6761" s="12" t="str">
        <x:v>Campus/portfolio roster; individual building occupancy unverified</x:v>
      </x:c>
      <x:c r="I6761" s="12" t="str">
        <x:v>Mixed business audience</x:v>
      </x:c>
      <x:c r="J6761" s="12" t="str">
        <x:v>IT &amp; digital</x:v>
      </x:c>
      <x:c r="K6761" s="2" t="str">
        <x:v>PARTNER-M034</x:v>
      </x:c>
    </x:row>
    <x:row r="6762" ht="46" customHeight="1">
      <x:c r="A6762" s="2" t="str">
        <x:v>TEN-DBAB58D7E29B</x:v>
      </x:c>
      <x:c r="B6762" s="12" t="str">
        <x:v>Adept Chip Services Pvt. Ltd</x:v>
      </x:c>
      <x:c r="C6762" s="12" t="str">
        <x:v>CORP-0453</x:v>
      </x:c>
      <x:c r="D6762" s="12" t="str">
        <x:v>Bengaluru</x:v>
      </x:c>
      <x:c r="E6762" s="12" t="str">
        <x:v>Prestige Technostar</x:v>
      </x:c>
      <x:c r="F6762" s="12" t="str">
        <x:v>55 inch</x:v>
      </x:c>
      <x:c r="G6762" s="20" t="n">
        <x:v>1</x:v>
      </x:c>
      <x:c r="H6762" s="12" t="str">
        <x:v>Campus/portfolio roster; individual building occupancy unverified</x:v>
      </x:c>
      <x:c r="I6762" s="12" t="str">
        <x:v>Medium-scale prospects</x:v>
      </x:c>
      <x:c r="J6762" s="12" t="str">
        <x:v>Engineering &amp; manufacturing</x:v>
      </x:c>
      <x:c r="K6762" s="2" t="str">
        <x:v>PARTNER-M034</x:v>
      </x:c>
    </x:row>
    <x:row r="6763" ht="46" customHeight="1">
      <x:c r="A6763" s="2" t="str">
        <x:v>TEN-DFB64AC34C6A</x:v>
      </x:c>
      <x:c r="B6763" s="12" t="str">
        <x:v>sophisTex Pvt. Ltd</x:v>
      </x:c>
      <x:c r="C6763" s="12" t="str">
        <x:v>CORP-0453</x:v>
      </x:c>
      <x:c r="D6763" s="12" t="str">
        <x:v>Bengaluru</x:v>
      </x:c>
      <x:c r="E6763" s="12" t="str">
        <x:v>Prestige Technostar</x:v>
      </x:c>
      <x:c r="F6763" s="12" t="str">
        <x:v>55 inch</x:v>
      </x:c>
      <x:c r="G6763" s="20" t="n">
        <x:v>1</x:v>
      </x:c>
      <x:c r="H6763" s="12" t="str">
        <x:v>Campus/portfolio roster; individual building occupancy unverified</x:v>
      </x:c>
      <x:c r="I6763" s="12" t="str">
        <x:v>Mixed business audience</x:v>
      </x:c>
      <x:c r="J6763" s="12" t="str">
        <x:v>Unresolved</x:v>
      </x:c>
      <x:c r="K6763" s="2" t="str">
        <x:v>PARTNER-M034</x:v>
      </x:c>
    </x:row>
    <x:row r="6764" ht="46" customHeight="1">
      <x:c r="A6764" s="2" t="str">
        <x:v>TEN-FC632053B35C</x:v>
      </x:c>
      <x:c r="B6764" s="12" t="str">
        <x:v>DealerSocket India Private Limited</x:v>
      </x:c>
      <x:c r="C6764" s="12" t="str">
        <x:v>CORP-0453</x:v>
      </x:c>
      <x:c r="D6764" s="12" t="str">
        <x:v>Bengaluru</x:v>
      </x:c>
      <x:c r="E6764" s="12" t="str">
        <x:v>Prestige Technostar</x:v>
      </x:c>
      <x:c r="F6764" s="12" t="str">
        <x:v>55 inch</x:v>
      </x:c>
      <x:c r="G6764" s="20" t="n">
        <x:v>1</x:v>
      </x:c>
      <x:c r="H6764" s="12" t="str">
        <x:v>Campus/portfolio roster; individual building occupancy unverified</x:v>
      </x:c>
      <x:c r="I6764" s="12" t="str">
        <x:v>Mixed business audience</x:v>
      </x:c>
      <x:c r="J6764" s="12" t="str">
        <x:v>IT &amp; digital</x:v>
      </x:c>
      <x:c r="K6764" s="2" t="str">
        <x:v>PARTNER-M034</x:v>
      </x:c>
    </x:row>
    <x:row r="6765" ht="46" customHeight="1">
      <x:c r="A6765" s="2" t="str">
        <x:v>TEN-752677FEB07A</x:v>
      </x:c>
      <x:c r="B6765" s="12" t="str">
        <x:v>Astrotalk</x:v>
      </x:c>
      <x:c r="C6765" s="12" t="str">
        <x:v>CORP-0795</x:v>
      </x:c>
      <x:c r="D6765" s="12" t="str">
        <x:v>Delhi NCR</x:v>
      </x:c>
      <x:c r="E6765" s="12" t="str">
        <x:v>Add India Tower 6A</x:v>
      </x:c>
      <x:c r="F6765" s="12" t="str">
        <x:v>55 inch</x:v>
      </x:c>
      <x:c r="G6765" s="20" t="n">
        <x:v>1</x:v>
      </x:c>
      <x:c r="H6765" s="12" t="str">
        <x:v>Campus/portfolio roster; individual building occupancy unverified</x:v>
      </x:c>
      <x:c r="I6765" s="12" t="str">
        <x:v>Small-scale prospects</x:v>
      </x:c>
      <x:c r="J6765" s="12" t="str">
        <x:v>Trade, consumer &amp; logistics</x:v>
      </x:c>
      <x:c r="K6765" s="2" t="str">
        <x:v>PARTNER-M379</x:v>
      </x:c>
    </x:row>
    <x:row r="6766" ht="46" customHeight="1">
      <x:c r="A6766" s="2" t="str">
        <x:v>TEN-DE9CFA8F9BF3</x:v>
      </x:c>
      <x:c r="B6766" s="12" t="str">
        <x:v>Apptrove</x:v>
      </x:c>
      <x:c r="C6766" s="12" t="str">
        <x:v>CORP-0795</x:v>
      </x:c>
      <x:c r="D6766" s="12" t="str">
        <x:v>Delhi NCR</x:v>
      </x:c>
      <x:c r="E6766" s="12" t="str">
        <x:v>Add India Tower 6A</x:v>
      </x:c>
      <x:c r="F6766" s="12" t="str">
        <x:v>55 inch</x:v>
      </x:c>
      <x:c r="G6766" s="20" t="n">
        <x:v>1</x:v>
      </x:c>
      <x:c r="H6766" s="12" t="str">
        <x:v>Campus/portfolio roster; individual building occupancy unverified</x:v>
      </x:c>
      <x:c r="I6766" s="12" t="str">
        <x:v>Small-scale prospects</x:v>
      </x:c>
      <x:c r="J6766" s="12" t="str">
        <x:v>IT &amp; digital</x:v>
      </x:c>
      <x:c r="K6766" s="2" t="str">
        <x:v>PARTNER-M379</x:v>
      </x:c>
    </x:row>
    <x:row r="6767" ht="46" customHeight="1">
      <x:c r="A6767" s="2" t="str">
        <x:v>TEN-E845A9E0AC51</x:v>
      </x:c>
      <x:c r="B6767" s="12" t="str">
        <x:v>Matrix Acres Private Limited</x:v>
      </x:c>
      <x:c r="C6767" s="12" t="str">
        <x:v>CORP-0795</x:v>
      </x:c>
      <x:c r="D6767" s="12" t="str">
        <x:v>Delhi NCR</x:v>
      </x:c>
      <x:c r="E6767" s="12" t="str">
        <x:v>Add India Tower 6A</x:v>
      </x:c>
      <x:c r="F6767" s="12" t="str">
        <x:v>55 inch</x:v>
      </x:c>
      <x:c r="G6767" s="20" t="n">
        <x:v>1</x:v>
      </x:c>
      <x:c r="H6767" s="12" t="str">
        <x:v>Campus/portfolio roster; individual building occupancy unverified</x:v>
      </x:c>
      <x:c r="I6767" s="12" t="str">
        <x:v>Small-scale prospects</x:v>
      </x:c>
      <x:c r="J6767" s="12" t="str">
        <x:v>Trade, consumer &amp; logistics</x:v>
      </x:c>
      <x:c r="K6767" s="2" t="str">
        <x:v>PARTNER-M379</x:v>
      </x:c>
    </x:row>
    <x:row r="6768" ht="46" customHeight="1">
      <x:c r="A6768" s="2" t="str">
        <x:v>TEN-F43D0727CFB6</x:v>
      </x:c>
      <x:c r="B6768" s="12" t="str">
        <x:v>HDFC Bank</x:v>
      </x:c>
      <x:c r="C6768" s="12" t="str">
        <x:v>CORP-0795</x:v>
      </x:c>
      <x:c r="D6768" s="12" t="str">
        <x:v>Delhi NCR</x:v>
      </x:c>
      <x:c r="E6768" s="12" t="str">
        <x:v>Add India Tower 6A</x:v>
      </x:c>
      <x:c r="F6768" s="12" t="str">
        <x:v>55 inch</x:v>
      </x:c>
      <x:c r="G6768" s="20" t="n">
        <x:v>1</x:v>
      </x:c>
      <x:c r="H6768" s="12" t="str">
        <x:v>Campus/portfolio roster; individual building occupancy unverified</x:v>
      </x:c>
      <x:c r="I6768" s="12" t="str">
        <x:v>Large enterprise</x:v>
      </x:c>
      <x:c r="J6768" s="12" t="str">
        <x:v>Finance &amp; insurance</x:v>
      </x:c>
      <x:c r="K6768" s="2" t="str">
        <x:v>PARTNER-M379</x:v>
      </x:c>
    </x:row>
    <x:row r="6769" ht="46" customHeight="1">
      <x:c r="A6769" s="2" t="str">
        <x:v>TEN-752677FEB07A</x:v>
      </x:c>
      <x:c r="B6769" s="12" t="str">
        <x:v>Astrotalk</x:v>
      </x:c>
      <x:c r="C6769" s="12" t="str">
        <x:v>CORP-0796</x:v>
      </x:c>
      <x:c r="D6769" s="12" t="str">
        <x:v>Delhi NCR</x:v>
      </x:c>
      <x:c r="E6769" s="12" t="str">
        <x:v>Add India Tower 6A</x:v>
      </x:c>
      <x:c r="F6769" s="12" t="str">
        <x:v>55 inch</x:v>
      </x:c>
      <x:c r="G6769" s="20" t="n">
        <x:v>1</x:v>
      </x:c>
      <x:c r="H6769" s="12" t="str">
        <x:v>Campus/portfolio roster; individual building occupancy unverified</x:v>
      </x:c>
      <x:c r="I6769" s="12" t="str">
        <x:v>Small-scale prospects</x:v>
      </x:c>
      <x:c r="J6769" s="12" t="str">
        <x:v>Trade, consumer &amp; logistics</x:v>
      </x:c>
      <x:c r="K6769" s="2" t="str">
        <x:v>PARTNER-M379</x:v>
      </x:c>
    </x:row>
    <x:row r="6770" ht="46" customHeight="1">
      <x:c r="A6770" s="2" t="str">
        <x:v>TEN-DE9CFA8F9BF3</x:v>
      </x:c>
      <x:c r="B6770" s="12" t="str">
        <x:v>Apptrove</x:v>
      </x:c>
      <x:c r="C6770" s="12" t="str">
        <x:v>CORP-0796</x:v>
      </x:c>
      <x:c r="D6770" s="12" t="str">
        <x:v>Delhi NCR</x:v>
      </x:c>
      <x:c r="E6770" s="12" t="str">
        <x:v>Add India Tower 6A</x:v>
      </x:c>
      <x:c r="F6770" s="12" t="str">
        <x:v>55 inch</x:v>
      </x:c>
      <x:c r="G6770" s="20" t="n">
        <x:v>1</x:v>
      </x:c>
      <x:c r="H6770" s="12" t="str">
        <x:v>Campus/portfolio roster; individual building occupancy unverified</x:v>
      </x:c>
      <x:c r="I6770" s="12" t="str">
        <x:v>Small-scale prospects</x:v>
      </x:c>
      <x:c r="J6770" s="12" t="str">
        <x:v>IT &amp; digital</x:v>
      </x:c>
      <x:c r="K6770" s="2" t="str">
        <x:v>PARTNER-M379</x:v>
      </x:c>
    </x:row>
    <x:row r="6771" ht="46" customHeight="1">
      <x:c r="A6771" s="2" t="str">
        <x:v>TEN-E845A9E0AC51</x:v>
      </x:c>
      <x:c r="B6771" s="12" t="str">
        <x:v>Matrix Acres Private Limited</x:v>
      </x:c>
      <x:c r="C6771" s="12" t="str">
        <x:v>CORP-0796</x:v>
      </x:c>
      <x:c r="D6771" s="12" t="str">
        <x:v>Delhi NCR</x:v>
      </x:c>
      <x:c r="E6771" s="12" t="str">
        <x:v>Add India Tower 6A</x:v>
      </x:c>
      <x:c r="F6771" s="12" t="str">
        <x:v>55 inch</x:v>
      </x:c>
      <x:c r="G6771" s="20" t="n">
        <x:v>1</x:v>
      </x:c>
      <x:c r="H6771" s="12" t="str">
        <x:v>Campus/portfolio roster; individual building occupancy unverified</x:v>
      </x:c>
      <x:c r="I6771" s="12" t="str">
        <x:v>Small-scale prospects</x:v>
      </x:c>
      <x:c r="J6771" s="12" t="str">
        <x:v>Trade, consumer &amp; logistics</x:v>
      </x:c>
      <x:c r="K6771" s="2" t="str">
        <x:v>PARTNER-M379</x:v>
      </x:c>
    </x:row>
    <x:row r="6772" ht="46" customHeight="1">
      <x:c r="A6772" s="2" t="str">
        <x:v>TEN-F43D0727CFB6</x:v>
      </x:c>
      <x:c r="B6772" s="12" t="str">
        <x:v>HDFC Bank</x:v>
      </x:c>
      <x:c r="C6772" s="12" t="str">
        <x:v>CORP-0796</x:v>
      </x:c>
      <x:c r="D6772" s="12" t="str">
        <x:v>Delhi NCR</x:v>
      </x:c>
      <x:c r="E6772" s="12" t="str">
        <x:v>Add India Tower 6A</x:v>
      </x:c>
      <x:c r="F6772" s="12" t="str">
        <x:v>55 inch</x:v>
      </x:c>
      <x:c r="G6772" s="20" t="n">
        <x:v>1</x:v>
      </x:c>
      <x:c r="H6772" s="12" t="str">
        <x:v>Campus/portfolio roster; individual building occupancy unverified</x:v>
      </x:c>
      <x:c r="I6772" s="12" t="str">
        <x:v>Large enterprise</x:v>
      </x:c>
      <x:c r="J6772" s="12" t="str">
        <x:v>Finance &amp; insurance</x:v>
      </x:c>
      <x:c r="K6772" s="2" t="str">
        <x:v>PARTNER-M379</x:v>
      </x:c>
    </x:row>
    <x:row r="6773" ht="46" customHeight="1">
      <x:c r="A6773" s="2" t="str">
        <x:v>TEN-2D74E91371DF</x:v>
      </x:c>
      <x:c r="B6773" s="12" t="str">
        <x:v>AD Architect And Interior Designers</x:v>
      </x:c>
      <x:c r="C6773" s="12" t="str">
        <x:v>CORP-0797</x:v>
      </x:c>
      <x:c r="D6773" s="12" t="str">
        <x:v>Delhi NCR</x:v>
      </x:c>
      <x:c r="E6773" s="12" t="str">
        <x:v>NPX Tower</x:v>
      </x:c>
      <x:c r="F6773" s="12" t="str">
        <x:v>55 inch</x:v>
      </x:c>
      <x:c r="G6773" s="20" t="n">
        <x:v>1</x:v>
      </x:c>
      <x:c r="H6773" s="12" t="str">
        <x:v>Campus/portfolio roster; individual building occupancy unverified</x:v>
      </x:c>
      <x:c r="I6773" s="12" t="str">
        <x:v>Small-scale prospects</x:v>
      </x:c>
      <x:c r="J6773" s="12" t="str">
        <x:v>Professional services</x:v>
      </x:c>
      <x:c r="K6773" s="2" t="str">
        <x:v>PARTNER-M384</x:v>
      </x:c>
    </x:row>
    <x:row r="6774" ht="46" customHeight="1">
      <x:c r="A6774" s="2" t="str">
        <x:v>TEN-351CB482AEA2</x:v>
      </x:c>
      <x:c r="B6774" s="12" t="str">
        <x:v>Gofusion</x:v>
      </x:c>
      <x:c r="C6774" s="12" t="str">
        <x:v>CORP-0797</x:v>
      </x:c>
      <x:c r="D6774" s="12" t="str">
        <x:v>Delhi NCR</x:v>
      </x:c>
      <x:c r="E6774" s="12" t="str">
        <x:v>NPX Tower</x:v>
      </x:c>
      <x:c r="F6774" s="12" t="str">
        <x:v>55 inch</x:v>
      </x:c>
      <x:c r="G6774" s="20" t="n">
        <x:v>1</x:v>
      </x:c>
      <x:c r="H6774" s="12" t="str">
        <x:v>Campus/portfolio roster; individual building occupancy unverified</x:v>
      </x:c>
      <x:c r="I6774" s="12" t="str">
        <x:v>Mixed business audience</x:v>
      </x:c>
      <x:c r="J6774" s="12" t="str">
        <x:v>Unresolved</x:v>
      </x:c>
      <x:c r="K6774" s="2" t="str">
        <x:v>PARTNER-M384</x:v>
      </x:c>
    </x:row>
    <x:row r="6775" ht="46" customHeight="1">
      <x:c r="A6775" s="2" t="str">
        <x:v>TEN-514C228FF85C</x:v>
      </x:c>
      <x:c r="B6775" s="12" t="str">
        <x:v>Twvlv Lifestyle Private Limited</x:v>
      </x:c>
      <x:c r="C6775" s="12" t="str">
        <x:v>CORP-0797</x:v>
      </x:c>
      <x:c r="D6775" s="12" t="str">
        <x:v>Delhi NCR</x:v>
      </x:c>
      <x:c r="E6775" s="12" t="str">
        <x:v>NPX Tower</x:v>
      </x:c>
      <x:c r="F6775" s="12" t="str">
        <x:v>55 inch</x:v>
      </x:c>
      <x:c r="G6775" s="20" t="n">
        <x:v>1</x:v>
      </x:c>
      <x:c r="H6775" s="12" t="str">
        <x:v>Campus/portfolio roster; individual building occupancy unverified</x:v>
      </x:c>
      <x:c r="I6775" s="12" t="str">
        <x:v>Small-scale prospects</x:v>
      </x:c>
      <x:c r="J6775" s="12" t="str">
        <x:v>Trade, consumer &amp; logistics</x:v>
      </x:c>
      <x:c r="K6775" s="2" t="str">
        <x:v>PARTNER-M384</x:v>
      </x:c>
    </x:row>
    <x:row r="6776" ht="46" customHeight="1">
      <x:c r="A6776" s="2" t="str">
        <x:v>TEN-672E0F0F33A9</x:v>
      </x:c>
      <x:c r="B6776" s="12" t="str">
        <x:v>AIQEN INDIA PRIVATE LIMITED</x:v>
      </x:c>
      <x:c r="C6776" s="12" t="str">
        <x:v>CORP-0797</x:v>
      </x:c>
      <x:c r="D6776" s="12" t="str">
        <x:v>Delhi NCR</x:v>
      </x:c>
      <x:c r="E6776" s="12" t="str">
        <x:v>NPX Tower</x:v>
      </x:c>
      <x:c r="F6776" s="12" t="str">
        <x:v>55 inch</x:v>
      </x:c>
      <x:c r="G6776" s="20" t="n">
        <x:v>1</x:v>
      </x:c>
      <x:c r="H6776" s="12" t="str">
        <x:v>Campus/portfolio roster; individual building occupancy unverified</x:v>
      </x:c>
      <x:c r="I6776" s="12" t="str">
        <x:v>Mixed business audience</x:v>
      </x:c>
      <x:c r="J6776" s="12" t="str">
        <x:v>Unresolved</x:v>
      </x:c>
      <x:c r="K6776" s="2" t="str">
        <x:v>PARTNER-M384</x:v>
      </x:c>
    </x:row>
    <x:row r="6777" ht="46" customHeight="1">
      <x:c r="A6777" s="2" t="str">
        <x:v>TEN-85F80403C42F</x:v>
      </x:c>
      <x:c r="B6777" s="12" t="str">
        <x:v>MyOffice</x:v>
      </x:c>
      <x:c r="C6777" s="12" t="str">
        <x:v>CORP-0797</x:v>
      </x:c>
      <x:c r="D6777" s="12" t="str">
        <x:v>Delhi NCR</x:v>
      </x:c>
      <x:c r="E6777" s="12" t="str">
        <x:v>NPX Tower</x:v>
      </x:c>
      <x:c r="F6777" s="12" t="str">
        <x:v>55 inch</x:v>
      </x:c>
      <x:c r="G6777" s="20" t="n">
        <x:v>1</x:v>
      </x:c>
      <x:c r="H6777" s="12" t="str">
        <x:v>Campus/portfolio roster; individual building occupancy unverified</x:v>
      </x:c>
      <x:c r="I6777" s="12" t="str">
        <x:v>Mixed business audience</x:v>
      </x:c>
      <x:c r="J6777" s="12" t="str">
        <x:v>Workspace &amp; property operations</x:v>
      </x:c>
      <x:c r="K6777" s="2" t="str">
        <x:v>PARTNER-M384</x:v>
      </x:c>
    </x:row>
    <x:row r="6778" ht="46" customHeight="1">
      <x:c r="A6778" s="2" t="str">
        <x:v>TEN-8A7CE4D1DF4D</x:v>
      </x:c>
      <x:c r="B6778" s="12" t="str">
        <x:v>AVS HOMES</x:v>
      </x:c>
      <x:c r="C6778" s="12" t="str">
        <x:v>CORP-0797</x:v>
      </x:c>
      <x:c r="D6778" s="12" t="str">
        <x:v>Delhi NCR</x:v>
      </x:c>
      <x:c r="E6778" s="12" t="str">
        <x:v>NPX Tower</x:v>
      </x:c>
      <x:c r="F6778" s="12" t="str">
        <x:v>55 inch</x:v>
      </x:c>
      <x:c r="G6778" s="20" t="n">
        <x:v>1</x:v>
      </x:c>
      <x:c r="H6778" s="12" t="str">
        <x:v>Campus/portfolio roster; individual building occupancy unverified</x:v>
      </x:c>
      <x:c r="I6778" s="12" t="str">
        <x:v>Small-scale prospects</x:v>
      </x:c>
      <x:c r="J6778" s="12" t="str">
        <x:v>Trade, consumer &amp; logistics</x:v>
      </x:c>
      <x:c r="K6778" s="2" t="str">
        <x:v>PARTNER-M384</x:v>
      </x:c>
    </x:row>
    <x:row r="6779" ht="46" customHeight="1">
      <x:c r="A6779" s="2" t="str">
        <x:v>TEN-BD95AB918566</x:v>
      </x:c>
      <x:c r="B6779" s="12" t="str">
        <x:v>Fambo</x:v>
      </x:c>
      <x:c r="C6779" s="12" t="str">
        <x:v>CORP-0797</x:v>
      </x:c>
      <x:c r="D6779" s="12" t="str">
        <x:v>Delhi NCR</x:v>
      </x:c>
      <x:c r="E6779" s="12" t="str">
        <x:v>NPX Tower</x:v>
      </x:c>
      <x:c r="F6779" s="12" t="str">
        <x:v>55 inch</x:v>
      </x:c>
      <x:c r="G6779" s="20" t="n">
        <x:v>1</x:v>
      </x:c>
      <x:c r="H6779" s="12" t="str">
        <x:v>Campus/portfolio roster; individual building occupancy unverified</x:v>
      </x:c>
      <x:c r="I6779" s="12" t="str">
        <x:v>Small-scale prospects</x:v>
      </x:c>
      <x:c r="J6779" s="12" t="str">
        <x:v>Trade, consumer &amp; logistics</x:v>
      </x:c>
      <x:c r="K6779" s="2" t="str">
        <x:v>PARTNER-M384</x:v>
      </x:c>
    </x:row>
    <x:row r="6780" ht="46" customHeight="1">
      <x:c r="A6780" s="2" t="str">
        <x:v>TEN-C78E842CDD84</x:v>
      </x:c>
      <x:c r="B6780" s="12" t="str">
        <x:v>Cloudmitra Private Limited</x:v>
      </x:c>
      <x:c r="C6780" s="12" t="str">
        <x:v>CORP-0797</x:v>
      </x:c>
      <x:c r="D6780" s="12" t="str">
        <x:v>Delhi NCR</x:v>
      </x:c>
      <x:c r="E6780" s="12" t="str">
        <x:v>NPX Tower</x:v>
      </x:c>
      <x:c r="F6780" s="12" t="str">
        <x:v>55 inch</x:v>
      </x:c>
      <x:c r="G6780" s="20" t="n">
        <x:v>1</x:v>
      </x:c>
      <x:c r="H6780" s="12" t="str">
        <x:v>Campus/portfolio roster; individual building occupancy unverified</x:v>
      </x:c>
      <x:c r="I6780" s="12" t="str">
        <x:v>Small-scale prospects</x:v>
      </x:c>
      <x:c r="J6780" s="12" t="str">
        <x:v>IT &amp; digital</x:v>
      </x:c>
      <x:c r="K6780" s="2" t="str">
        <x:v>PARTNER-M384</x:v>
      </x:c>
    </x:row>
    <x:row r="6781" ht="46" customHeight="1">
      <x:c r="A6781" s="2" t="str">
        <x:v>TEN-F1E6F3520D7D</x:v>
      </x:c>
      <x:c r="B6781" s="12" t="str">
        <x:v>Attacktic Labs</x:v>
      </x:c>
      <x:c r="C6781" s="12" t="str">
        <x:v>CORP-0797</x:v>
      </x:c>
      <x:c r="D6781" s="12" t="str">
        <x:v>Delhi NCR</x:v>
      </x:c>
      <x:c r="E6781" s="12" t="str">
        <x:v>NPX Tower</x:v>
      </x:c>
      <x:c r="F6781" s="12" t="str">
        <x:v>55 inch</x:v>
      </x:c>
      <x:c r="G6781" s="20" t="n">
        <x:v>1</x:v>
      </x:c>
      <x:c r="H6781" s="12" t="str">
        <x:v>Campus/portfolio roster; individual building occupancy unverified</x:v>
      </x:c>
      <x:c r="I6781" s="12" t="str">
        <x:v>Mixed business audience</x:v>
      </x:c>
      <x:c r="J6781" s="12" t="str">
        <x:v>Unresolved</x:v>
      </x:c>
      <x:c r="K6781" s="2" t="str">
        <x:v>PARTNER-M384</x:v>
      </x:c>
    </x:row>
    <x:row r="6782" ht="46" customHeight="1">
      <x:c r="A6782" s="2" t="str">
        <x:v>TEN-2D74E91371DF</x:v>
      </x:c>
      <x:c r="B6782" s="12" t="str">
        <x:v>AD Architect And Interior Designers</x:v>
      </x:c>
      <x:c r="C6782" s="12" t="str">
        <x:v>CORP-0798</x:v>
      </x:c>
      <x:c r="D6782" s="12" t="str">
        <x:v>Delhi NCR</x:v>
      </x:c>
      <x:c r="E6782" s="12" t="str">
        <x:v>NPX Tower</x:v>
      </x:c>
      <x:c r="F6782" s="12" t="str">
        <x:v>55 inch</x:v>
      </x:c>
      <x:c r="G6782" s="20" t="n">
        <x:v>1</x:v>
      </x:c>
      <x:c r="H6782" s="12" t="str">
        <x:v>Campus/portfolio roster; individual building occupancy unverified</x:v>
      </x:c>
      <x:c r="I6782" s="12" t="str">
        <x:v>Small-scale prospects</x:v>
      </x:c>
      <x:c r="J6782" s="12" t="str">
        <x:v>Professional services</x:v>
      </x:c>
      <x:c r="K6782" s="2" t="str">
        <x:v>PARTNER-M384</x:v>
      </x:c>
    </x:row>
    <x:row r="6783" ht="46" customHeight="1">
      <x:c r="A6783" s="2" t="str">
        <x:v>TEN-351CB482AEA2</x:v>
      </x:c>
      <x:c r="B6783" s="12" t="str">
        <x:v>Gofusion</x:v>
      </x:c>
      <x:c r="C6783" s="12" t="str">
        <x:v>CORP-0798</x:v>
      </x:c>
      <x:c r="D6783" s="12" t="str">
        <x:v>Delhi NCR</x:v>
      </x:c>
      <x:c r="E6783" s="12" t="str">
        <x:v>NPX Tower</x:v>
      </x:c>
      <x:c r="F6783" s="12" t="str">
        <x:v>55 inch</x:v>
      </x:c>
      <x:c r="G6783" s="20" t="n">
        <x:v>1</x:v>
      </x:c>
      <x:c r="H6783" s="12" t="str">
        <x:v>Campus/portfolio roster; individual building occupancy unverified</x:v>
      </x:c>
      <x:c r="I6783" s="12" t="str">
        <x:v>Mixed business audience</x:v>
      </x:c>
      <x:c r="J6783" s="12" t="str">
        <x:v>Unresolved</x:v>
      </x:c>
      <x:c r="K6783" s="2" t="str">
        <x:v>PARTNER-M384</x:v>
      </x:c>
    </x:row>
    <x:row r="6784" ht="46" customHeight="1">
      <x:c r="A6784" s="2" t="str">
        <x:v>TEN-514C228FF85C</x:v>
      </x:c>
      <x:c r="B6784" s="12" t="str">
        <x:v>Twvlv Lifestyle Private Limited</x:v>
      </x:c>
      <x:c r="C6784" s="12" t="str">
        <x:v>CORP-0798</x:v>
      </x:c>
      <x:c r="D6784" s="12" t="str">
        <x:v>Delhi NCR</x:v>
      </x:c>
      <x:c r="E6784" s="12" t="str">
        <x:v>NPX Tower</x:v>
      </x:c>
      <x:c r="F6784" s="12" t="str">
        <x:v>55 inch</x:v>
      </x:c>
      <x:c r="G6784" s="20" t="n">
        <x:v>1</x:v>
      </x:c>
      <x:c r="H6784" s="12" t="str">
        <x:v>Campus/portfolio roster; individual building occupancy unverified</x:v>
      </x:c>
      <x:c r="I6784" s="12" t="str">
        <x:v>Small-scale prospects</x:v>
      </x:c>
      <x:c r="J6784" s="12" t="str">
        <x:v>Trade, consumer &amp; logistics</x:v>
      </x:c>
      <x:c r="K6784" s="2" t="str">
        <x:v>PARTNER-M384</x:v>
      </x:c>
    </x:row>
    <x:row r="6785" ht="46" customHeight="1">
      <x:c r="A6785" s="2" t="str">
        <x:v>TEN-672E0F0F33A9</x:v>
      </x:c>
      <x:c r="B6785" s="12" t="str">
        <x:v>AIQEN INDIA PRIVATE LIMITED</x:v>
      </x:c>
      <x:c r="C6785" s="12" t="str">
        <x:v>CORP-0798</x:v>
      </x:c>
      <x:c r="D6785" s="12" t="str">
        <x:v>Delhi NCR</x:v>
      </x:c>
      <x:c r="E6785" s="12" t="str">
        <x:v>NPX Tower</x:v>
      </x:c>
      <x:c r="F6785" s="12" t="str">
        <x:v>55 inch</x:v>
      </x:c>
      <x:c r="G6785" s="20" t="n">
        <x:v>1</x:v>
      </x:c>
      <x:c r="H6785" s="12" t="str">
        <x:v>Campus/portfolio roster; individual building occupancy unverified</x:v>
      </x:c>
      <x:c r="I6785" s="12" t="str">
        <x:v>Mixed business audience</x:v>
      </x:c>
      <x:c r="J6785" s="12" t="str">
        <x:v>Unresolved</x:v>
      </x:c>
      <x:c r="K6785" s="2" t="str">
        <x:v>PARTNER-M384</x:v>
      </x:c>
    </x:row>
    <x:row r="6786" ht="46" customHeight="1">
      <x:c r="A6786" s="2" t="str">
        <x:v>TEN-85F80403C42F</x:v>
      </x:c>
      <x:c r="B6786" s="12" t="str">
        <x:v>MyOffice</x:v>
      </x:c>
      <x:c r="C6786" s="12" t="str">
        <x:v>CORP-0798</x:v>
      </x:c>
      <x:c r="D6786" s="12" t="str">
        <x:v>Delhi NCR</x:v>
      </x:c>
      <x:c r="E6786" s="12" t="str">
        <x:v>NPX Tower</x:v>
      </x:c>
      <x:c r="F6786" s="12" t="str">
        <x:v>55 inch</x:v>
      </x:c>
      <x:c r="G6786" s="20" t="n">
        <x:v>1</x:v>
      </x:c>
      <x:c r="H6786" s="12" t="str">
        <x:v>Campus/portfolio roster; individual building occupancy unverified</x:v>
      </x:c>
      <x:c r="I6786" s="12" t="str">
        <x:v>Mixed business audience</x:v>
      </x:c>
      <x:c r="J6786" s="12" t="str">
        <x:v>Workspace &amp; property operations</x:v>
      </x:c>
      <x:c r="K6786" s="2" t="str">
        <x:v>PARTNER-M384</x:v>
      </x:c>
    </x:row>
    <x:row r="6787" ht="46" customHeight="1">
      <x:c r="A6787" s="2" t="str">
        <x:v>TEN-8A7CE4D1DF4D</x:v>
      </x:c>
      <x:c r="B6787" s="12" t="str">
        <x:v>AVS HOMES</x:v>
      </x:c>
      <x:c r="C6787" s="12" t="str">
        <x:v>CORP-0798</x:v>
      </x:c>
      <x:c r="D6787" s="12" t="str">
        <x:v>Delhi NCR</x:v>
      </x:c>
      <x:c r="E6787" s="12" t="str">
        <x:v>NPX Tower</x:v>
      </x:c>
      <x:c r="F6787" s="12" t="str">
        <x:v>55 inch</x:v>
      </x:c>
      <x:c r="G6787" s="20" t="n">
        <x:v>1</x:v>
      </x:c>
      <x:c r="H6787" s="12" t="str">
        <x:v>Campus/portfolio roster; individual building occupancy unverified</x:v>
      </x:c>
      <x:c r="I6787" s="12" t="str">
        <x:v>Small-scale prospects</x:v>
      </x:c>
      <x:c r="J6787" s="12" t="str">
        <x:v>Trade, consumer &amp; logistics</x:v>
      </x:c>
      <x:c r="K6787" s="2" t="str">
        <x:v>PARTNER-M384</x:v>
      </x:c>
    </x:row>
    <x:row r="6788" ht="46" customHeight="1">
      <x:c r="A6788" s="2" t="str">
        <x:v>TEN-BD95AB918566</x:v>
      </x:c>
      <x:c r="B6788" s="12" t="str">
        <x:v>Fambo</x:v>
      </x:c>
      <x:c r="C6788" s="12" t="str">
        <x:v>CORP-0798</x:v>
      </x:c>
      <x:c r="D6788" s="12" t="str">
        <x:v>Delhi NCR</x:v>
      </x:c>
      <x:c r="E6788" s="12" t="str">
        <x:v>NPX Tower</x:v>
      </x:c>
      <x:c r="F6788" s="12" t="str">
        <x:v>55 inch</x:v>
      </x:c>
      <x:c r="G6788" s="20" t="n">
        <x:v>1</x:v>
      </x:c>
      <x:c r="H6788" s="12" t="str">
        <x:v>Campus/portfolio roster; individual building occupancy unverified</x:v>
      </x:c>
      <x:c r="I6788" s="12" t="str">
        <x:v>Small-scale prospects</x:v>
      </x:c>
      <x:c r="J6788" s="12" t="str">
        <x:v>Trade, consumer &amp; logistics</x:v>
      </x:c>
      <x:c r="K6788" s="2" t="str">
        <x:v>PARTNER-M384</x:v>
      </x:c>
    </x:row>
    <x:row r="6789" ht="46" customHeight="1">
      <x:c r="A6789" s="2" t="str">
        <x:v>TEN-C78E842CDD84</x:v>
      </x:c>
      <x:c r="B6789" s="12" t="str">
        <x:v>Cloudmitra Private Limited</x:v>
      </x:c>
      <x:c r="C6789" s="12" t="str">
        <x:v>CORP-0798</x:v>
      </x:c>
      <x:c r="D6789" s="12" t="str">
        <x:v>Delhi NCR</x:v>
      </x:c>
      <x:c r="E6789" s="12" t="str">
        <x:v>NPX Tower</x:v>
      </x:c>
      <x:c r="F6789" s="12" t="str">
        <x:v>55 inch</x:v>
      </x:c>
      <x:c r="G6789" s="20" t="n">
        <x:v>1</x:v>
      </x:c>
      <x:c r="H6789" s="12" t="str">
        <x:v>Campus/portfolio roster; individual building occupancy unverified</x:v>
      </x:c>
      <x:c r="I6789" s="12" t="str">
        <x:v>Small-scale prospects</x:v>
      </x:c>
      <x:c r="J6789" s="12" t="str">
        <x:v>IT &amp; digital</x:v>
      </x:c>
      <x:c r="K6789" s="2" t="str">
        <x:v>PARTNER-M384</x:v>
      </x:c>
    </x:row>
    <x:row r="6790" ht="46" customHeight="1">
      <x:c r="A6790" s="2" t="str">
        <x:v>TEN-F1E6F3520D7D</x:v>
      </x:c>
      <x:c r="B6790" s="12" t="str">
        <x:v>Attacktic Labs</x:v>
      </x:c>
      <x:c r="C6790" s="12" t="str">
        <x:v>CORP-0798</x:v>
      </x:c>
      <x:c r="D6790" s="12" t="str">
        <x:v>Delhi NCR</x:v>
      </x:c>
      <x:c r="E6790" s="12" t="str">
        <x:v>NPX Tower</x:v>
      </x:c>
      <x:c r="F6790" s="12" t="str">
        <x:v>55 inch</x:v>
      </x:c>
      <x:c r="G6790" s="20" t="n">
        <x:v>1</x:v>
      </x:c>
      <x:c r="H6790" s="12" t="str">
        <x:v>Campus/portfolio roster; individual building occupancy unverified</x:v>
      </x:c>
      <x:c r="I6790" s="12" t="str">
        <x:v>Mixed business audience</x:v>
      </x:c>
      <x:c r="J6790" s="12" t="str">
        <x:v>Unresolved</x:v>
      </x:c>
      <x:c r="K6790" s="2" t="str">
        <x:v>PARTNER-M384</x:v>
      </x:c>
    </x:row>
    <x:row r="6791" ht="46" customHeight="1">
      <x:c r="A6791" s="2" t="str">
        <x:v>TEN-2D74E91371DF</x:v>
      </x:c>
      <x:c r="B6791" s="12" t="str">
        <x:v>AD Architect And Interior Designers</x:v>
      </x:c>
      <x:c r="C6791" s="12" t="str">
        <x:v>CORP-0799</x:v>
      </x:c>
      <x:c r="D6791" s="12" t="str">
        <x:v>Delhi NCR</x:v>
      </x:c>
      <x:c r="E6791" s="12" t="str">
        <x:v>NPX Tower</x:v>
      </x:c>
      <x:c r="F6791" s="12" t="str">
        <x:v>55 inch</x:v>
      </x:c>
      <x:c r="G6791" s="20" t="n">
        <x:v>1</x:v>
      </x:c>
      <x:c r="H6791" s="12" t="str">
        <x:v>Campus/portfolio roster; individual building occupancy unverified</x:v>
      </x:c>
      <x:c r="I6791" s="12" t="str">
        <x:v>Small-scale prospects</x:v>
      </x:c>
      <x:c r="J6791" s="12" t="str">
        <x:v>Professional services</x:v>
      </x:c>
      <x:c r="K6791" s="2" t="str">
        <x:v>PARTNER-M384</x:v>
      </x:c>
    </x:row>
    <x:row r="6792" ht="46" customHeight="1">
      <x:c r="A6792" s="2" t="str">
        <x:v>TEN-351CB482AEA2</x:v>
      </x:c>
      <x:c r="B6792" s="12" t="str">
        <x:v>Gofusion</x:v>
      </x:c>
      <x:c r="C6792" s="12" t="str">
        <x:v>CORP-0799</x:v>
      </x:c>
      <x:c r="D6792" s="12" t="str">
        <x:v>Delhi NCR</x:v>
      </x:c>
      <x:c r="E6792" s="12" t="str">
        <x:v>NPX Tower</x:v>
      </x:c>
      <x:c r="F6792" s="12" t="str">
        <x:v>55 inch</x:v>
      </x:c>
      <x:c r="G6792" s="20" t="n">
        <x:v>1</x:v>
      </x:c>
      <x:c r="H6792" s="12" t="str">
        <x:v>Campus/portfolio roster; individual building occupancy unverified</x:v>
      </x:c>
      <x:c r="I6792" s="12" t="str">
        <x:v>Mixed business audience</x:v>
      </x:c>
      <x:c r="J6792" s="12" t="str">
        <x:v>Unresolved</x:v>
      </x:c>
      <x:c r="K6792" s="2" t="str">
        <x:v>PARTNER-M384</x:v>
      </x:c>
    </x:row>
    <x:row r="6793" ht="46" customHeight="1">
      <x:c r="A6793" s="2" t="str">
        <x:v>TEN-514C228FF85C</x:v>
      </x:c>
      <x:c r="B6793" s="12" t="str">
        <x:v>Twvlv Lifestyle Private Limited</x:v>
      </x:c>
      <x:c r="C6793" s="12" t="str">
        <x:v>CORP-0799</x:v>
      </x:c>
      <x:c r="D6793" s="12" t="str">
        <x:v>Delhi NCR</x:v>
      </x:c>
      <x:c r="E6793" s="12" t="str">
        <x:v>NPX Tower</x:v>
      </x:c>
      <x:c r="F6793" s="12" t="str">
        <x:v>55 inch</x:v>
      </x:c>
      <x:c r="G6793" s="20" t="n">
        <x:v>1</x:v>
      </x:c>
      <x:c r="H6793" s="12" t="str">
        <x:v>Campus/portfolio roster; individual building occupancy unverified</x:v>
      </x:c>
      <x:c r="I6793" s="12" t="str">
        <x:v>Small-scale prospects</x:v>
      </x:c>
      <x:c r="J6793" s="12" t="str">
        <x:v>Trade, consumer &amp; logistics</x:v>
      </x:c>
      <x:c r="K6793" s="2" t="str">
        <x:v>PARTNER-M384</x:v>
      </x:c>
    </x:row>
    <x:row r="6794" ht="46" customHeight="1">
      <x:c r="A6794" s="2" t="str">
        <x:v>TEN-672E0F0F33A9</x:v>
      </x:c>
      <x:c r="B6794" s="12" t="str">
        <x:v>AIQEN INDIA PRIVATE LIMITED</x:v>
      </x:c>
      <x:c r="C6794" s="12" t="str">
        <x:v>CORP-0799</x:v>
      </x:c>
      <x:c r="D6794" s="12" t="str">
        <x:v>Delhi NCR</x:v>
      </x:c>
      <x:c r="E6794" s="12" t="str">
        <x:v>NPX Tower</x:v>
      </x:c>
      <x:c r="F6794" s="12" t="str">
        <x:v>55 inch</x:v>
      </x:c>
      <x:c r="G6794" s="20" t="n">
        <x:v>1</x:v>
      </x:c>
      <x:c r="H6794" s="12" t="str">
        <x:v>Campus/portfolio roster; individual building occupancy unverified</x:v>
      </x:c>
      <x:c r="I6794" s="12" t="str">
        <x:v>Mixed business audience</x:v>
      </x:c>
      <x:c r="J6794" s="12" t="str">
        <x:v>Unresolved</x:v>
      </x:c>
      <x:c r="K6794" s="2" t="str">
        <x:v>PARTNER-M384</x:v>
      </x:c>
    </x:row>
    <x:row r="6795" ht="46" customHeight="1">
      <x:c r="A6795" s="2" t="str">
        <x:v>TEN-85F80403C42F</x:v>
      </x:c>
      <x:c r="B6795" s="12" t="str">
        <x:v>MyOffice</x:v>
      </x:c>
      <x:c r="C6795" s="12" t="str">
        <x:v>CORP-0799</x:v>
      </x:c>
      <x:c r="D6795" s="12" t="str">
        <x:v>Delhi NCR</x:v>
      </x:c>
      <x:c r="E6795" s="12" t="str">
        <x:v>NPX Tower</x:v>
      </x:c>
      <x:c r="F6795" s="12" t="str">
        <x:v>55 inch</x:v>
      </x:c>
      <x:c r="G6795" s="20" t="n">
        <x:v>1</x:v>
      </x:c>
      <x:c r="H6795" s="12" t="str">
        <x:v>Campus/portfolio roster; individual building occupancy unverified</x:v>
      </x:c>
      <x:c r="I6795" s="12" t="str">
        <x:v>Mixed business audience</x:v>
      </x:c>
      <x:c r="J6795" s="12" t="str">
        <x:v>Workspace &amp; property operations</x:v>
      </x:c>
      <x:c r="K6795" s="2" t="str">
        <x:v>PARTNER-M384</x:v>
      </x:c>
    </x:row>
    <x:row r="6796" ht="46" customHeight="1">
      <x:c r="A6796" s="2" t="str">
        <x:v>TEN-8A7CE4D1DF4D</x:v>
      </x:c>
      <x:c r="B6796" s="12" t="str">
        <x:v>AVS HOMES</x:v>
      </x:c>
      <x:c r="C6796" s="12" t="str">
        <x:v>CORP-0799</x:v>
      </x:c>
      <x:c r="D6796" s="12" t="str">
        <x:v>Delhi NCR</x:v>
      </x:c>
      <x:c r="E6796" s="12" t="str">
        <x:v>NPX Tower</x:v>
      </x:c>
      <x:c r="F6796" s="12" t="str">
        <x:v>55 inch</x:v>
      </x:c>
      <x:c r="G6796" s="20" t="n">
        <x:v>1</x:v>
      </x:c>
      <x:c r="H6796" s="12" t="str">
        <x:v>Campus/portfolio roster; individual building occupancy unverified</x:v>
      </x:c>
      <x:c r="I6796" s="12" t="str">
        <x:v>Small-scale prospects</x:v>
      </x:c>
      <x:c r="J6796" s="12" t="str">
        <x:v>Trade, consumer &amp; logistics</x:v>
      </x:c>
      <x:c r="K6796" s="2" t="str">
        <x:v>PARTNER-M384</x:v>
      </x:c>
    </x:row>
    <x:row r="6797" ht="46" customHeight="1">
      <x:c r="A6797" s="2" t="str">
        <x:v>TEN-BD95AB918566</x:v>
      </x:c>
      <x:c r="B6797" s="12" t="str">
        <x:v>Fambo</x:v>
      </x:c>
      <x:c r="C6797" s="12" t="str">
        <x:v>CORP-0799</x:v>
      </x:c>
      <x:c r="D6797" s="12" t="str">
        <x:v>Delhi NCR</x:v>
      </x:c>
      <x:c r="E6797" s="12" t="str">
        <x:v>NPX Tower</x:v>
      </x:c>
      <x:c r="F6797" s="12" t="str">
        <x:v>55 inch</x:v>
      </x:c>
      <x:c r="G6797" s="20" t="n">
        <x:v>1</x:v>
      </x:c>
      <x:c r="H6797" s="12" t="str">
        <x:v>Campus/portfolio roster; individual building occupancy unverified</x:v>
      </x:c>
      <x:c r="I6797" s="12" t="str">
        <x:v>Small-scale prospects</x:v>
      </x:c>
      <x:c r="J6797" s="12" t="str">
        <x:v>Trade, consumer &amp; logistics</x:v>
      </x:c>
      <x:c r="K6797" s="2" t="str">
        <x:v>PARTNER-M384</x:v>
      </x:c>
    </x:row>
    <x:row r="6798" ht="46" customHeight="1">
      <x:c r="A6798" s="2" t="str">
        <x:v>TEN-C78E842CDD84</x:v>
      </x:c>
      <x:c r="B6798" s="12" t="str">
        <x:v>Cloudmitra Private Limited</x:v>
      </x:c>
      <x:c r="C6798" s="12" t="str">
        <x:v>CORP-0799</x:v>
      </x:c>
      <x:c r="D6798" s="12" t="str">
        <x:v>Delhi NCR</x:v>
      </x:c>
      <x:c r="E6798" s="12" t="str">
        <x:v>NPX Tower</x:v>
      </x:c>
      <x:c r="F6798" s="12" t="str">
        <x:v>55 inch</x:v>
      </x:c>
      <x:c r="G6798" s="20" t="n">
        <x:v>1</x:v>
      </x:c>
      <x:c r="H6798" s="12" t="str">
        <x:v>Campus/portfolio roster; individual building occupancy unverified</x:v>
      </x:c>
      <x:c r="I6798" s="12" t="str">
        <x:v>Small-scale prospects</x:v>
      </x:c>
      <x:c r="J6798" s="12" t="str">
        <x:v>IT &amp; digital</x:v>
      </x:c>
      <x:c r="K6798" s="2" t="str">
        <x:v>PARTNER-M384</x:v>
      </x:c>
    </x:row>
    <x:row r="6799" ht="46" customHeight="1">
      <x:c r="A6799" s="2" t="str">
        <x:v>TEN-F1E6F3520D7D</x:v>
      </x:c>
      <x:c r="B6799" s="12" t="str">
        <x:v>Attacktic Labs</x:v>
      </x:c>
      <x:c r="C6799" s="12" t="str">
        <x:v>CORP-0799</x:v>
      </x:c>
      <x:c r="D6799" s="12" t="str">
        <x:v>Delhi NCR</x:v>
      </x:c>
      <x:c r="E6799" s="12" t="str">
        <x:v>NPX Tower</x:v>
      </x:c>
      <x:c r="F6799" s="12" t="str">
        <x:v>55 inch</x:v>
      </x:c>
      <x:c r="G6799" s="20" t="n">
        <x:v>1</x:v>
      </x:c>
      <x:c r="H6799" s="12" t="str">
        <x:v>Campus/portfolio roster; individual building occupancy unverified</x:v>
      </x:c>
      <x:c r="I6799" s="12" t="str">
        <x:v>Mixed business audience</x:v>
      </x:c>
      <x:c r="J6799" s="12" t="str">
        <x:v>Unresolved</x:v>
      </x:c>
      <x:c r="K6799" s="2" t="str">
        <x:v>PARTNER-M384</x:v>
      </x:c>
    </x:row>
    <x:row r="6800" ht="46" customHeight="1">
      <x:c r="A6800" s="2" t="str">
        <x:v>TEN-2D74E91371DF</x:v>
      </x:c>
      <x:c r="B6800" s="12" t="str">
        <x:v>AD Architect And Interior Designers</x:v>
      </x:c>
      <x:c r="C6800" s="12" t="str">
        <x:v>CORP-0800</x:v>
      </x:c>
      <x:c r="D6800" s="12" t="str">
        <x:v>Delhi NCR</x:v>
      </x:c>
      <x:c r="E6800" s="12" t="str">
        <x:v>NPX Tower</x:v>
      </x:c>
      <x:c r="F6800" s="12" t="str">
        <x:v>55 inch</x:v>
      </x:c>
      <x:c r="G6800" s="20" t="n">
        <x:v>1</x:v>
      </x:c>
      <x:c r="H6800" s="12" t="str">
        <x:v>Campus/portfolio roster; individual building occupancy unverified</x:v>
      </x:c>
      <x:c r="I6800" s="12" t="str">
        <x:v>Small-scale prospects</x:v>
      </x:c>
      <x:c r="J6800" s="12" t="str">
        <x:v>Professional services</x:v>
      </x:c>
      <x:c r="K6800" s="2" t="str">
        <x:v>PARTNER-M384</x:v>
      </x:c>
    </x:row>
    <x:row r="6801" ht="46" customHeight="1">
      <x:c r="A6801" s="2" t="str">
        <x:v>TEN-351CB482AEA2</x:v>
      </x:c>
      <x:c r="B6801" s="12" t="str">
        <x:v>Gofusion</x:v>
      </x:c>
      <x:c r="C6801" s="12" t="str">
        <x:v>CORP-0800</x:v>
      </x:c>
      <x:c r="D6801" s="12" t="str">
        <x:v>Delhi NCR</x:v>
      </x:c>
      <x:c r="E6801" s="12" t="str">
        <x:v>NPX Tower</x:v>
      </x:c>
      <x:c r="F6801" s="12" t="str">
        <x:v>55 inch</x:v>
      </x:c>
      <x:c r="G6801" s="20" t="n">
        <x:v>1</x:v>
      </x:c>
      <x:c r="H6801" s="12" t="str">
        <x:v>Campus/portfolio roster; individual building occupancy unverified</x:v>
      </x:c>
      <x:c r="I6801" s="12" t="str">
        <x:v>Mixed business audience</x:v>
      </x:c>
      <x:c r="J6801" s="12" t="str">
        <x:v>Unresolved</x:v>
      </x:c>
      <x:c r="K6801" s="2" t="str">
        <x:v>PARTNER-M384</x:v>
      </x:c>
    </x:row>
    <x:row r="6802" ht="46" customHeight="1">
      <x:c r="A6802" s="2" t="str">
        <x:v>TEN-514C228FF85C</x:v>
      </x:c>
      <x:c r="B6802" s="12" t="str">
        <x:v>Twvlv Lifestyle Private Limited</x:v>
      </x:c>
      <x:c r="C6802" s="12" t="str">
        <x:v>CORP-0800</x:v>
      </x:c>
      <x:c r="D6802" s="12" t="str">
        <x:v>Delhi NCR</x:v>
      </x:c>
      <x:c r="E6802" s="12" t="str">
        <x:v>NPX Tower</x:v>
      </x:c>
      <x:c r="F6802" s="12" t="str">
        <x:v>55 inch</x:v>
      </x:c>
      <x:c r="G6802" s="20" t="n">
        <x:v>1</x:v>
      </x:c>
      <x:c r="H6802" s="12" t="str">
        <x:v>Campus/portfolio roster; individual building occupancy unverified</x:v>
      </x:c>
      <x:c r="I6802" s="12" t="str">
        <x:v>Small-scale prospects</x:v>
      </x:c>
      <x:c r="J6802" s="12" t="str">
        <x:v>Trade, consumer &amp; logistics</x:v>
      </x:c>
      <x:c r="K6802" s="2" t="str">
        <x:v>PARTNER-M384</x:v>
      </x:c>
    </x:row>
    <x:row r="6803" ht="46" customHeight="1">
      <x:c r="A6803" s="2" t="str">
        <x:v>TEN-672E0F0F33A9</x:v>
      </x:c>
      <x:c r="B6803" s="12" t="str">
        <x:v>AIQEN INDIA PRIVATE LIMITED</x:v>
      </x:c>
      <x:c r="C6803" s="12" t="str">
        <x:v>CORP-0800</x:v>
      </x:c>
      <x:c r="D6803" s="12" t="str">
        <x:v>Delhi NCR</x:v>
      </x:c>
      <x:c r="E6803" s="12" t="str">
        <x:v>NPX Tower</x:v>
      </x:c>
      <x:c r="F6803" s="12" t="str">
        <x:v>55 inch</x:v>
      </x:c>
      <x:c r="G6803" s="20" t="n">
        <x:v>1</x:v>
      </x:c>
      <x:c r="H6803" s="12" t="str">
        <x:v>Campus/portfolio roster; individual building occupancy unverified</x:v>
      </x:c>
      <x:c r="I6803" s="12" t="str">
        <x:v>Mixed business audience</x:v>
      </x:c>
      <x:c r="J6803" s="12" t="str">
        <x:v>Unresolved</x:v>
      </x:c>
      <x:c r="K6803" s="2" t="str">
        <x:v>PARTNER-M384</x:v>
      </x:c>
    </x:row>
    <x:row r="6804" ht="46" customHeight="1">
      <x:c r="A6804" s="2" t="str">
        <x:v>TEN-85F80403C42F</x:v>
      </x:c>
      <x:c r="B6804" s="12" t="str">
        <x:v>MyOffice</x:v>
      </x:c>
      <x:c r="C6804" s="12" t="str">
        <x:v>CORP-0800</x:v>
      </x:c>
      <x:c r="D6804" s="12" t="str">
        <x:v>Delhi NCR</x:v>
      </x:c>
      <x:c r="E6804" s="12" t="str">
        <x:v>NPX Tower</x:v>
      </x:c>
      <x:c r="F6804" s="12" t="str">
        <x:v>55 inch</x:v>
      </x:c>
      <x:c r="G6804" s="20" t="n">
        <x:v>1</x:v>
      </x:c>
      <x:c r="H6804" s="12" t="str">
        <x:v>Campus/portfolio roster; individual building occupancy unverified</x:v>
      </x:c>
      <x:c r="I6804" s="12" t="str">
        <x:v>Mixed business audience</x:v>
      </x:c>
      <x:c r="J6804" s="12" t="str">
        <x:v>Workspace &amp; property operations</x:v>
      </x:c>
      <x:c r="K6804" s="2" t="str">
        <x:v>PARTNER-M384</x:v>
      </x:c>
    </x:row>
    <x:row r="6805" ht="46" customHeight="1">
      <x:c r="A6805" s="2" t="str">
        <x:v>TEN-8A7CE4D1DF4D</x:v>
      </x:c>
      <x:c r="B6805" s="12" t="str">
        <x:v>AVS HOMES</x:v>
      </x:c>
      <x:c r="C6805" s="12" t="str">
        <x:v>CORP-0800</x:v>
      </x:c>
      <x:c r="D6805" s="12" t="str">
        <x:v>Delhi NCR</x:v>
      </x:c>
      <x:c r="E6805" s="12" t="str">
        <x:v>NPX Tower</x:v>
      </x:c>
      <x:c r="F6805" s="12" t="str">
        <x:v>55 inch</x:v>
      </x:c>
      <x:c r="G6805" s="20" t="n">
        <x:v>1</x:v>
      </x:c>
      <x:c r="H6805" s="12" t="str">
        <x:v>Campus/portfolio roster; individual building occupancy unverified</x:v>
      </x:c>
      <x:c r="I6805" s="12" t="str">
        <x:v>Small-scale prospects</x:v>
      </x:c>
      <x:c r="J6805" s="12" t="str">
        <x:v>Trade, consumer &amp; logistics</x:v>
      </x:c>
      <x:c r="K6805" s="2" t="str">
        <x:v>PARTNER-M384</x:v>
      </x:c>
    </x:row>
    <x:row r="6806" ht="46" customHeight="1">
      <x:c r="A6806" s="2" t="str">
        <x:v>TEN-BD95AB918566</x:v>
      </x:c>
      <x:c r="B6806" s="12" t="str">
        <x:v>Fambo</x:v>
      </x:c>
      <x:c r="C6806" s="12" t="str">
        <x:v>CORP-0800</x:v>
      </x:c>
      <x:c r="D6806" s="12" t="str">
        <x:v>Delhi NCR</x:v>
      </x:c>
      <x:c r="E6806" s="12" t="str">
        <x:v>NPX Tower</x:v>
      </x:c>
      <x:c r="F6806" s="12" t="str">
        <x:v>55 inch</x:v>
      </x:c>
      <x:c r="G6806" s="20" t="n">
        <x:v>1</x:v>
      </x:c>
      <x:c r="H6806" s="12" t="str">
        <x:v>Campus/portfolio roster; individual building occupancy unverified</x:v>
      </x:c>
      <x:c r="I6806" s="12" t="str">
        <x:v>Small-scale prospects</x:v>
      </x:c>
      <x:c r="J6806" s="12" t="str">
        <x:v>Trade, consumer &amp; logistics</x:v>
      </x:c>
      <x:c r="K6806" s="2" t="str">
        <x:v>PARTNER-M384</x:v>
      </x:c>
    </x:row>
    <x:row r="6807" ht="46" customHeight="1">
      <x:c r="A6807" s="2" t="str">
        <x:v>TEN-C78E842CDD84</x:v>
      </x:c>
      <x:c r="B6807" s="12" t="str">
        <x:v>Cloudmitra Private Limited</x:v>
      </x:c>
      <x:c r="C6807" s="12" t="str">
        <x:v>CORP-0800</x:v>
      </x:c>
      <x:c r="D6807" s="12" t="str">
        <x:v>Delhi NCR</x:v>
      </x:c>
      <x:c r="E6807" s="12" t="str">
        <x:v>NPX Tower</x:v>
      </x:c>
      <x:c r="F6807" s="12" t="str">
        <x:v>55 inch</x:v>
      </x:c>
      <x:c r="G6807" s="20" t="n">
        <x:v>1</x:v>
      </x:c>
      <x:c r="H6807" s="12" t="str">
        <x:v>Campus/portfolio roster; individual building occupancy unverified</x:v>
      </x:c>
      <x:c r="I6807" s="12" t="str">
        <x:v>Small-scale prospects</x:v>
      </x:c>
      <x:c r="J6807" s="12" t="str">
        <x:v>IT &amp; digital</x:v>
      </x:c>
      <x:c r="K6807" s="2" t="str">
        <x:v>PARTNER-M384</x:v>
      </x:c>
    </x:row>
    <x:row r="6808" ht="46" customHeight="1">
      <x:c r="A6808" s="2" t="str">
        <x:v>TEN-F1E6F3520D7D</x:v>
      </x:c>
      <x:c r="B6808" s="12" t="str">
        <x:v>Attacktic Labs</x:v>
      </x:c>
      <x:c r="C6808" s="12" t="str">
        <x:v>CORP-0800</x:v>
      </x:c>
      <x:c r="D6808" s="12" t="str">
        <x:v>Delhi NCR</x:v>
      </x:c>
      <x:c r="E6808" s="12" t="str">
        <x:v>NPX Tower</x:v>
      </x:c>
      <x:c r="F6808" s="12" t="str">
        <x:v>55 inch</x:v>
      </x:c>
      <x:c r="G6808" s="20" t="n">
        <x:v>1</x:v>
      </x:c>
      <x:c r="H6808" s="12" t="str">
        <x:v>Campus/portfolio roster; individual building occupancy unverified</x:v>
      </x:c>
      <x:c r="I6808" s="12" t="str">
        <x:v>Mixed business audience</x:v>
      </x:c>
      <x:c r="J6808" s="12" t="str">
        <x:v>Unresolved</x:v>
      </x:c>
      <x:c r="K6808" s="2" t="str">
        <x:v>PARTNER-M384</x:v>
      </x:c>
    </x:row>
    <x:row r="6809" ht="46" customHeight="1">
      <x:c r="A6809" s="2" t="str">
        <x:v>TEN-2D74E91371DF</x:v>
      </x:c>
      <x:c r="B6809" s="12" t="str">
        <x:v>AD Architect And Interior Designers</x:v>
      </x:c>
      <x:c r="C6809" s="12" t="str">
        <x:v>CORP-0801</x:v>
      </x:c>
      <x:c r="D6809" s="12" t="str">
        <x:v>Delhi NCR</x:v>
      </x:c>
      <x:c r="E6809" s="12" t="str">
        <x:v>NPX Tower</x:v>
      </x:c>
      <x:c r="F6809" s="12" t="str">
        <x:v>55 inch</x:v>
      </x:c>
      <x:c r="G6809" s="20" t="n">
        <x:v>1</x:v>
      </x:c>
      <x:c r="H6809" s="12" t="str">
        <x:v>Campus/portfolio roster; individual building occupancy unverified</x:v>
      </x:c>
      <x:c r="I6809" s="12" t="str">
        <x:v>Small-scale prospects</x:v>
      </x:c>
      <x:c r="J6809" s="12" t="str">
        <x:v>Professional services</x:v>
      </x:c>
      <x:c r="K6809" s="2" t="str">
        <x:v>PARTNER-M384</x:v>
      </x:c>
    </x:row>
    <x:row r="6810" ht="46" customHeight="1">
      <x:c r="A6810" s="2" t="str">
        <x:v>TEN-351CB482AEA2</x:v>
      </x:c>
      <x:c r="B6810" s="12" t="str">
        <x:v>Gofusion</x:v>
      </x:c>
      <x:c r="C6810" s="12" t="str">
        <x:v>CORP-0801</x:v>
      </x:c>
      <x:c r="D6810" s="12" t="str">
        <x:v>Delhi NCR</x:v>
      </x:c>
      <x:c r="E6810" s="12" t="str">
        <x:v>NPX Tower</x:v>
      </x:c>
      <x:c r="F6810" s="12" t="str">
        <x:v>55 inch</x:v>
      </x:c>
      <x:c r="G6810" s="20" t="n">
        <x:v>1</x:v>
      </x:c>
      <x:c r="H6810" s="12" t="str">
        <x:v>Campus/portfolio roster; individual building occupancy unverified</x:v>
      </x:c>
      <x:c r="I6810" s="12" t="str">
        <x:v>Mixed business audience</x:v>
      </x:c>
      <x:c r="J6810" s="12" t="str">
        <x:v>Unresolved</x:v>
      </x:c>
      <x:c r="K6810" s="2" t="str">
        <x:v>PARTNER-M384</x:v>
      </x:c>
    </x:row>
    <x:row r="6811" ht="46" customHeight="1">
      <x:c r="A6811" s="2" t="str">
        <x:v>TEN-514C228FF85C</x:v>
      </x:c>
      <x:c r="B6811" s="12" t="str">
        <x:v>Twvlv Lifestyle Private Limited</x:v>
      </x:c>
      <x:c r="C6811" s="12" t="str">
        <x:v>CORP-0801</x:v>
      </x:c>
      <x:c r="D6811" s="12" t="str">
        <x:v>Delhi NCR</x:v>
      </x:c>
      <x:c r="E6811" s="12" t="str">
        <x:v>NPX Tower</x:v>
      </x:c>
      <x:c r="F6811" s="12" t="str">
        <x:v>55 inch</x:v>
      </x:c>
      <x:c r="G6811" s="20" t="n">
        <x:v>1</x:v>
      </x:c>
      <x:c r="H6811" s="12" t="str">
        <x:v>Campus/portfolio roster; individual building occupancy unverified</x:v>
      </x:c>
      <x:c r="I6811" s="12" t="str">
        <x:v>Small-scale prospects</x:v>
      </x:c>
      <x:c r="J6811" s="12" t="str">
        <x:v>Trade, consumer &amp; logistics</x:v>
      </x:c>
      <x:c r="K6811" s="2" t="str">
        <x:v>PARTNER-M384</x:v>
      </x:c>
    </x:row>
    <x:row r="6812" ht="46" customHeight="1">
      <x:c r="A6812" s="2" t="str">
        <x:v>TEN-672E0F0F33A9</x:v>
      </x:c>
      <x:c r="B6812" s="12" t="str">
        <x:v>AIQEN INDIA PRIVATE LIMITED</x:v>
      </x:c>
      <x:c r="C6812" s="12" t="str">
        <x:v>CORP-0801</x:v>
      </x:c>
      <x:c r="D6812" s="12" t="str">
        <x:v>Delhi NCR</x:v>
      </x:c>
      <x:c r="E6812" s="12" t="str">
        <x:v>NPX Tower</x:v>
      </x:c>
      <x:c r="F6812" s="12" t="str">
        <x:v>55 inch</x:v>
      </x:c>
      <x:c r="G6812" s="20" t="n">
        <x:v>1</x:v>
      </x:c>
      <x:c r="H6812" s="12" t="str">
        <x:v>Campus/portfolio roster; individual building occupancy unverified</x:v>
      </x:c>
      <x:c r="I6812" s="12" t="str">
        <x:v>Mixed business audience</x:v>
      </x:c>
      <x:c r="J6812" s="12" t="str">
        <x:v>Unresolved</x:v>
      </x:c>
      <x:c r="K6812" s="2" t="str">
        <x:v>PARTNER-M384</x:v>
      </x:c>
    </x:row>
    <x:row r="6813" ht="46" customHeight="1">
      <x:c r="A6813" s="2" t="str">
        <x:v>TEN-85F80403C42F</x:v>
      </x:c>
      <x:c r="B6813" s="12" t="str">
        <x:v>MyOffice</x:v>
      </x:c>
      <x:c r="C6813" s="12" t="str">
        <x:v>CORP-0801</x:v>
      </x:c>
      <x:c r="D6813" s="12" t="str">
        <x:v>Delhi NCR</x:v>
      </x:c>
      <x:c r="E6813" s="12" t="str">
        <x:v>NPX Tower</x:v>
      </x:c>
      <x:c r="F6813" s="12" t="str">
        <x:v>55 inch</x:v>
      </x:c>
      <x:c r="G6813" s="20" t="n">
        <x:v>1</x:v>
      </x:c>
      <x:c r="H6813" s="12" t="str">
        <x:v>Campus/portfolio roster; individual building occupancy unverified</x:v>
      </x:c>
      <x:c r="I6813" s="12" t="str">
        <x:v>Mixed business audience</x:v>
      </x:c>
      <x:c r="J6813" s="12" t="str">
        <x:v>Workspace &amp; property operations</x:v>
      </x:c>
      <x:c r="K6813" s="2" t="str">
        <x:v>PARTNER-M384</x:v>
      </x:c>
    </x:row>
    <x:row r="6814" ht="46" customHeight="1">
      <x:c r="A6814" s="2" t="str">
        <x:v>TEN-8A7CE4D1DF4D</x:v>
      </x:c>
      <x:c r="B6814" s="12" t="str">
        <x:v>AVS HOMES</x:v>
      </x:c>
      <x:c r="C6814" s="12" t="str">
        <x:v>CORP-0801</x:v>
      </x:c>
      <x:c r="D6814" s="12" t="str">
        <x:v>Delhi NCR</x:v>
      </x:c>
      <x:c r="E6814" s="12" t="str">
        <x:v>NPX Tower</x:v>
      </x:c>
      <x:c r="F6814" s="12" t="str">
        <x:v>55 inch</x:v>
      </x:c>
      <x:c r="G6814" s="20" t="n">
        <x:v>1</x:v>
      </x:c>
      <x:c r="H6814" s="12" t="str">
        <x:v>Campus/portfolio roster; individual building occupancy unverified</x:v>
      </x:c>
      <x:c r="I6814" s="12" t="str">
        <x:v>Small-scale prospects</x:v>
      </x:c>
      <x:c r="J6814" s="12" t="str">
        <x:v>Trade, consumer &amp; logistics</x:v>
      </x:c>
      <x:c r="K6814" s="2" t="str">
        <x:v>PARTNER-M384</x:v>
      </x:c>
    </x:row>
    <x:row r="6815" ht="46" customHeight="1">
      <x:c r="A6815" s="2" t="str">
        <x:v>TEN-BD95AB918566</x:v>
      </x:c>
      <x:c r="B6815" s="12" t="str">
        <x:v>Fambo</x:v>
      </x:c>
      <x:c r="C6815" s="12" t="str">
        <x:v>CORP-0801</x:v>
      </x:c>
      <x:c r="D6815" s="12" t="str">
        <x:v>Delhi NCR</x:v>
      </x:c>
      <x:c r="E6815" s="12" t="str">
        <x:v>NPX Tower</x:v>
      </x:c>
      <x:c r="F6815" s="12" t="str">
        <x:v>55 inch</x:v>
      </x:c>
      <x:c r="G6815" s="20" t="n">
        <x:v>1</x:v>
      </x:c>
      <x:c r="H6815" s="12" t="str">
        <x:v>Campus/portfolio roster; individual building occupancy unverified</x:v>
      </x:c>
      <x:c r="I6815" s="12" t="str">
        <x:v>Small-scale prospects</x:v>
      </x:c>
      <x:c r="J6815" s="12" t="str">
        <x:v>Trade, consumer &amp; logistics</x:v>
      </x:c>
      <x:c r="K6815" s="2" t="str">
        <x:v>PARTNER-M384</x:v>
      </x:c>
    </x:row>
    <x:row r="6816" ht="46" customHeight="1">
      <x:c r="A6816" s="2" t="str">
        <x:v>TEN-C78E842CDD84</x:v>
      </x:c>
      <x:c r="B6816" s="12" t="str">
        <x:v>Cloudmitra Private Limited</x:v>
      </x:c>
      <x:c r="C6816" s="12" t="str">
        <x:v>CORP-0801</x:v>
      </x:c>
      <x:c r="D6816" s="12" t="str">
        <x:v>Delhi NCR</x:v>
      </x:c>
      <x:c r="E6816" s="12" t="str">
        <x:v>NPX Tower</x:v>
      </x:c>
      <x:c r="F6816" s="12" t="str">
        <x:v>55 inch</x:v>
      </x:c>
      <x:c r="G6816" s="20" t="n">
        <x:v>1</x:v>
      </x:c>
      <x:c r="H6816" s="12" t="str">
        <x:v>Campus/portfolio roster; individual building occupancy unverified</x:v>
      </x:c>
      <x:c r="I6816" s="12" t="str">
        <x:v>Small-scale prospects</x:v>
      </x:c>
      <x:c r="J6816" s="12" t="str">
        <x:v>IT &amp; digital</x:v>
      </x:c>
      <x:c r="K6816" s="2" t="str">
        <x:v>PARTNER-M384</x:v>
      </x:c>
    </x:row>
    <x:row r="6817" ht="46" customHeight="1">
      <x:c r="A6817" s="2" t="str">
        <x:v>TEN-F1E6F3520D7D</x:v>
      </x:c>
      <x:c r="B6817" s="12" t="str">
        <x:v>Attacktic Labs</x:v>
      </x:c>
      <x:c r="C6817" s="12" t="str">
        <x:v>CORP-0801</x:v>
      </x:c>
      <x:c r="D6817" s="12" t="str">
        <x:v>Delhi NCR</x:v>
      </x:c>
      <x:c r="E6817" s="12" t="str">
        <x:v>NPX Tower</x:v>
      </x:c>
      <x:c r="F6817" s="12" t="str">
        <x:v>55 inch</x:v>
      </x:c>
      <x:c r="G6817" s="20" t="n">
        <x:v>1</x:v>
      </x:c>
      <x:c r="H6817" s="12" t="str">
        <x:v>Campus/portfolio roster; individual building occupancy unverified</x:v>
      </x:c>
      <x:c r="I6817" s="12" t="str">
        <x:v>Mixed business audience</x:v>
      </x:c>
      <x:c r="J6817" s="12" t="str">
        <x:v>Unresolved</x:v>
      </x:c>
      <x:c r="K6817" s="2" t="str">
        <x:v>PARTNER-M384</x:v>
      </x:c>
    </x:row>
    <x:row r="6818" ht="46" customHeight="1">
      <x:c r="A6818" s="2" t="str">
        <x:v>TEN-223D607AEE9C</x:v>
      </x:c>
      <x:c r="B6818" s="12" t="str">
        <x:v>Annalect</x:v>
      </x:c>
      <x:c r="C6818" s="12" t="str">
        <x:v>CORP-0454</x:v>
      </x:c>
      <x:c r="D6818" s="12" t="str">
        <x:v>Bengaluru</x:v>
      </x:c>
      <x:c r="E6818" s="12" t="str">
        <x:v>Prestige Technostar</x:v>
      </x:c>
      <x:c r="F6818" s="12" t="str">
        <x:v>55 inch</x:v>
      </x:c>
      <x:c r="G6818" s="20" t="n">
        <x:v>1</x:v>
      </x:c>
      <x:c r="H6818" s="12" t="str">
        <x:v>Campus/portfolio roster; individual building occupancy unverified</x:v>
      </x:c>
      <x:c r="I6818" s="12" t="str">
        <x:v>Mixed business audience</x:v>
      </x:c>
      <x:c r="J6818" s="12" t="str">
        <x:v>Professional services</x:v>
      </x:c>
      <x:c r="K6818" s="2" t="str">
        <x:v>PARTNER-M034</x:v>
      </x:c>
    </x:row>
    <x:row r="6819" ht="46" customHeight="1">
      <x:c r="A6819" s="2" t="str">
        <x:v>TEN-240389F4B730</x:v>
      </x:c>
      <x:c r="B6819" s="12" t="str">
        <x:v>AMD</x:v>
      </x:c>
      <x:c r="C6819" s="12" t="str">
        <x:v>CORP-0454</x:v>
      </x:c>
      <x:c r="D6819" s="12" t="str">
        <x:v>Bengaluru</x:v>
      </x:c>
      <x:c r="E6819" s="12" t="str">
        <x:v>Prestige Technostar</x:v>
      </x:c>
      <x:c r="F6819" s="12" t="str">
        <x:v>55 inch</x:v>
      </x:c>
      <x:c r="G6819" s="20" t="n">
        <x:v>1</x:v>
      </x:c>
      <x:c r="H6819" s="12" t="str">
        <x:v>Campus/portfolio roster; individual building occupancy unverified</x:v>
      </x:c>
      <x:c r="I6819" s="12" t="str">
        <x:v>Large enterprise</x:v>
      </x:c>
      <x:c r="J6819" s="12" t="str">
        <x:v>Engineering &amp; manufacturing</x:v>
      </x:c>
      <x:c r="K6819" s="2" t="str">
        <x:v>PARTNER-M034</x:v>
      </x:c>
    </x:row>
    <x:row r="6820" ht="46" customHeight="1">
      <x:c r="A6820" s="2" t="str">
        <x:v>TEN-3A1978BEBDE0</x:v>
      </x:c>
      <x:c r="B6820" s="12" t="str">
        <x:v>Route Mobile Limited (RouteLab unit)</x:v>
      </x:c>
      <x:c r="C6820" s="12" t="str">
        <x:v>CORP-0454</x:v>
      </x:c>
      <x:c r="D6820" s="12" t="str">
        <x:v>Bengaluru</x:v>
      </x:c>
      <x:c r="E6820" s="12" t="str">
        <x:v>Prestige Technostar</x:v>
      </x:c>
      <x:c r="F6820" s="12" t="str">
        <x:v>55 inch</x:v>
      </x:c>
      <x:c r="G6820" s="20" t="n">
        <x:v>1</x:v>
      </x:c>
      <x:c r="H6820" s="12" t="str">
        <x:v>Campus/portfolio roster; individual building occupancy unverified</x:v>
      </x:c>
      <x:c r="I6820" s="12" t="str">
        <x:v>Mixed business audience</x:v>
      </x:c>
      <x:c r="J6820" s="12" t="str">
        <x:v>IT &amp; digital</x:v>
      </x:c>
      <x:c r="K6820" s="2" t="str">
        <x:v>PARTNER-M034</x:v>
      </x:c>
    </x:row>
    <x:row r="6821" ht="46" customHeight="1">
      <x:c r="A6821" s="2" t="str">
        <x:v>TEN-6B0F63C5E611</x:v>
      </x:c>
      <x:c r="B6821" s="12" t="str">
        <x:v>Aeries Technology Private Limited</x:v>
      </x:c>
      <x:c r="C6821" s="12" t="str">
        <x:v>CORP-0454</x:v>
      </x:c>
      <x:c r="D6821" s="12" t="str">
        <x:v>Bengaluru</x:v>
      </x:c>
      <x:c r="E6821" s="12" t="str">
        <x:v>Prestige Technostar</x:v>
      </x:c>
      <x:c r="F6821" s="12" t="str">
        <x:v>55 inch</x:v>
      </x:c>
      <x:c r="G6821" s="20" t="n">
        <x:v>1</x:v>
      </x:c>
      <x:c r="H6821" s="12" t="str">
        <x:v>Campus/portfolio roster; individual building occupancy unverified</x:v>
      </x:c>
      <x:c r="I6821" s="12" t="str">
        <x:v>Mixed business audience</x:v>
      </x:c>
      <x:c r="J6821" s="12" t="str">
        <x:v>IT &amp; digital</x:v>
      </x:c>
      <x:c r="K6821" s="2" t="str">
        <x:v>PARTNER-M034</x:v>
      </x:c>
    </x:row>
    <x:row r="6822" ht="46" customHeight="1">
      <x:c r="A6822" s="2" t="str">
        <x:v>TEN-8651A1F195D9</x:v>
      </x:c>
      <x:c r="B6822" s="12" t="str">
        <x:v>Relevance Lab Pvt. Ltd</x:v>
      </x:c>
      <x:c r="C6822" s="12" t="str">
        <x:v>CORP-0454</x:v>
      </x:c>
      <x:c r="D6822" s="12" t="str">
        <x:v>Bengaluru</x:v>
      </x:c>
      <x:c r="E6822" s="12" t="str">
        <x:v>Prestige Technostar</x:v>
      </x:c>
      <x:c r="F6822" s="12" t="str">
        <x:v>55 inch</x:v>
      </x:c>
      <x:c r="G6822" s="20" t="n">
        <x:v>1</x:v>
      </x:c>
      <x:c r="H6822" s="12" t="str">
        <x:v>Campus/portfolio roster; individual building occupancy unverified</x:v>
      </x:c>
      <x:c r="I6822" s="12" t="str">
        <x:v>Small-scale prospects</x:v>
      </x:c>
      <x:c r="J6822" s="12" t="str">
        <x:v>IT &amp; digital</x:v>
      </x:c>
      <x:c r="K6822" s="2" t="str">
        <x:v>PARTNER-M034</x:v>
      </x:c>
    </x:row>
    <x:row r="6823" ht="46" customHeight="1">
      <x:c r="A6823" s="2" t="str">
        <x:v>TEN-9C8100FC00FA</x:v>
      </x:c>
      <x:c r="B6823" s="12" t="str">
        <x:v>TBWA\India</x:v>
      </x:c>
      <x:c r="C6823" s="12" t="str">
        <x:v>CORP-0454</x:v>
      </x:c>
      <x:c r="D6823" s="12" t="str">
        <x:v>Bengaluru</x:v>
      </x:c>
      <x:c r="E6823" s="12" t="str">
        <x:v>Prestige Technostar</x:v>
      </x:c>
      <x:c r="F6823" s="12" t="str">
        <x:v>55 inch</x:v>
      </x:c>
      <x:c r="G6823" s="20" t="n">
        <x:v>1</x:v>
      </x:c>
      <x:c r="H6823" s="12" t="str">
        <x:v>Campus/portfolio roster; individual building occupancy unverified</x:v>
      </x:c>
      <x:c r="I6823" s="12" t="str">
        <x:v>Mixed business audience</x:v>
      </x:c>
      <x:c r="J6823" s="12" t="str">
        <x:v>Professional services</x:v>
      </x:c>
      <x:c r="K6823" s="2" t="str">
        <x:v>PARTNER-M034</x:v>
      </x:c>
    </x:row>
    <x:row r="6824" ht="46" customHeight="1">
      <x:c r="A6824" s="2" t="str">
        <x:v>TEN-C003E01D846B</x:v>
      </x:c>
      <x:c r="B6824" s="12" t="str">
        <x:v>Stratus Technologies</x:v>
      </x:c>
      <x:c r="C6824" s="12" t="str">
        <x:v>CORP-0454</x:v>
      </x:c>
      <x:c r="D6824" s="12" t="str">
        <x:v>Bengaluru</x:v>
      </x:c>
      <x:c r="E6824" s="12" t="str">
        <x:v>Prestige Technostar</x:v>
      </x:c>
      <x:c r="F6824" s="12" t="str">
        <x:v>55 inch</x:v>
      </x:c>
      <x:c r="G6824" s="20" t="n">
        <x:v>1</x:v>
      </x:c>
      <x:c r="H6824" s="12" t="str">
        <x:v>Campus/portfolio roster; individual building occupancy unverified</x:v>
      </x:c>
      <x:c r="I6824" s="12" t="str">
        <x:v>Mixed business audience</x:v>
      </x:c>
      <x:c r="J6824" s="12" t="str">
        <x:v>IT &amp; digital</x:v>
      </x:c>
      <x:c r="K6824" s="2" t="str">
        <x:v>PARTNER-M034</x:v>
      </x:c>
    </x:row>
    <x:row r="6825" ht="46" customHeight="1">
      <x:c r="A6825" s="2" t="str">
        <x:v>TEN-C042D03D597E</x:v>
      </x:c>
      <x:c r="B6825" s="12" t="str">
        <x:v>Inspirage Software Consulting Pvt. Ltd</x:v>
      </x:c>
      <x:c r="C6825" s="12" t="str">
        <x:v>CORP-0454</x:v>
      </x:c>
      <x:c r="D6825" s="12" t="str">
        <x:v>Bengaluru</x:v>
      </x:c>
      <x:c r="E6825" s="12" t="str">
        <x:v>Prestige Technostar</x:v>
      </x:c>
      <x:c r="F6825" s="12" t="str">
        <x:v>55 inch</x:v>
      </x:c>
      <x:c r="G6825" s="20" t="n">
        <x:v>1</x:v>
      </x:c>
      <x:c r="H6825" s="12" t="str">
        <x:v>Campus/portfolio roster; individual building occupancy unverified</x:v>
      </x:c>
      <x:c r="I6825" s="12" t="str">
        <x:v>Mixed business audience</x:v>
      </x:c>
      <x:c r="J6825" s="12" t="str">
        <x:v>IT &amp; digital</x:v>
      </x:c>
      <x:c r="K6825" s="2" t="str">
        <x:v>PARTNER-M034</x:v>
      </x:c>
    </x:row>
    <x:row r="6826" ht="46" customHeight="1">
      <x:c r="A6826" s="2" t="str">
        <x:v>TEN-C534FF89F340</x:v>
      </x:c>
      <x:c r="B6826" s="12" t="str">
        <x:v>Brady Company India Pvt. Ltd</x:v>
      </x:c>
      <x:c r="C6826" s="12" t="str">
        <x:v>CORP-0454</x:v>
      </x:c>
      <x:c r="D6826" s="12" t="str">
        <x:v>Bengaluru</x:v>
      </x:c>
      <x:c r="E6826" s="12" t="str">
        <x:v>Prestige Technostar</x:v>
      </x:c>
      <x:c r="F6826" s="12" t="str">
        <x:v>55 inch</x:v>
      </x:c>
      <x:c r="G6826" s="20" t="n">
        <x:v>1</x:v>
      </x:c>
      <x:c r="H6826" s="12" t="str">
        <x:v>Campus/portfolio roster; individual building occupancy unverified</x:v>
      </x:c>
      <x:c r="I6826" s="12" t="str">
        <x:v>Mixed business audience</x:v>
      </x:c>
      <x:c r="J6826" s="12" t="str">
        <x:v>Engineering &amp; manufacturing</x:v>
      </x:c>
      <x:c r="K6826" s="2" t="str">
        <x:v>PARTNER-M034</x:v>
      </x:c>
    </x:row>
    <x:row r="6827" ht="46" customHeight="1">
      <x:c r="A6827" s="2" t="str">
        <x:v>TEN-CA38967873EE</x:v>
      </x:c>
      <x:c r="B6827" s="12" t="str">
        <x:v>Symplr</x:v>
      </x:c>
      <x:c r="C6827" s="12" t="str">
        <x:v>CORP-0454</x:v>
      </x:c>
      <x:c r="D6827" s="12" t="str">
        <x:v>Bengaluru</x:v>
      </x:c>
      <x:c r="E6827" s="12" t="str">
        <x:v>Prestige Technostar</x:v>
      </x:c>
      <x:c r="F6827" s="12" t="str">
        <x:v>55 inch</x:v>
      </x:c>
      <x:c r="G6827" s="20" t="n">
        <x:v>1</x:v>
      </x:c>
      <x:c r="H6827" s="12" t="str">
        <x:v>Campus/portfolio roster; individual building occupancy unverified</x:v>
      </x:c>
      <x:c r="I6827" s="12" t="str">
        <x:v>Mixed business audience</x:v>
      </x:c>
      <x:c r="J6827" s="12" t="str">
        <x:v>Healthcare &amp; life sciences</x:v>
      </x:c>
      <x:c r="K6827" s="2" t="str">
        <x:v>PARTNER-M034</x:v>
      </x:c>
    </x:row>
    <x:row r="6828" ht="46" customHeight="1">
      <x:c r="A6828" s="2" t="str">
        <x:v>TEN-CCF2DC9DADF3</x:v>
      </x:c>
      <x:c r="B6828" s="12" t="str">
        <x:v>Gartner India Research and Advisory Services Pvt. Ltd</x:v>
      </x:c>
      <x:c r="C6828" s="12" t="str">
        <x:v>CORP-0454</x:v>
      </x:c>
      <x:c r="D6828" s="12" t="str">
        <x:v>Bengaluru</x:v>
      </x:c>
      <x:c r="E6828" s="12" t="str">
        <x:v>Prestige Technostar</x:v>
      </x:c>
      <x:c r="F6828" s="12" t="str">
        <x:v>55 inch</x:v>
      </x:c>
      <x:c r="G6828" s="20" t="n">
        <x:v>1</x:v>
      </x:c>
      <x:c r="H6828" s="12" t="str">
        <x:v>Campus/portfolio roster; individual building occupancy unverified</x:v>
      </x:c>
      <x:c r="I6828" s="12" t="str">
        <x:v>Mixed business audience</x:v>
      </x:c>
      <x:c r="J6828" s="12" t="str">
        <x:v>Professional services</x:v>
      </x:c>
      <x:c r="K6828" s="2" t="str">
        <x:v>PARTNER-M034</x:v>
      </x:c>
    </x:row>
    <x:row r="6829" ht="46" customHeight="1">
      <x:c r="A6829" s="2" t="str">
        <x:v>TEN-D273C9F9C1A3</x:v>
      </x:c>
      <x:c r="B6829" s="12" t="str">
        <x:v>o9 Solutions</x:v>
      </x:c>
      <x:c r="C6829" s="12" t="str">
        <x:v>CORP-0454</x:v>
      </x:c>
      <x:c r="D6829" s="12" t="str">
        <x:v>Bengaluru</x:v>
      </x:c>
      <x:c r="E6829" s="12" t="str">
        <x:v>Prestige Technostar</x:v>
      </x:c>
      <x:c r="F6829" s="12" t="str">
        <x:v>55 inch</x:v>
      </x:c>
      <x:c r="G6829" s="20" t="n">
        <x:v>1</x:v>
      </x:c>
      <x:c r="H6829" s="12" t="str">
        <x:v>Campus/portfolio roster; individual building occupancy unverified</x:v>
      </x:c>
      <x:c r="I6829" s="12" t="str">
        <x:v>Mixed business audience</x:v>
      </x:c>
      <x:c r="J6829" s="12" t="str">
        <x:v>IT &amp; digital</x:v>
      </x:c>
      <x:c r="K6829" s="2" t="str">
        <x:v>PARTNER-M034</x:v>
      </x:c>
    </x:row>
    <x:row r="6830" ht="46" customHeight="1">
      <x:c r="A6830" s="2" t="str">
        <x:v>TEN-DBAB58D7E29B</x:v>
      </x:c>
      <x:c r="B6830" s="12" t="str">
        <x:v>Adept Chip Services Pvt. Ltd</x:v>
      </x:c>
      <x:c r="C6830" s="12" t="str">
        <x:v>CORP-0454</x:v>
      </x:c>
      <x:c r="D6830" s="12" t="str">
        <x:v>Bengaluru</x:v>
      </x:c>
      <x:c r="E6830" s="12" t="str">
        <x:v>Prestige Technostar</x:v>
      </x:c>
      <x:c r="F6830" s="12" t="str">
        <x:v>55 inch</x:v>
      </x:c>
      <x:c r="G6830" s="20" t="n">
        <x:v>1</x:v>
      </x:c>
      <x:c r="H6830" s="12" t="str">
        <x:v>Campus/portfolio roster; individual building occupancy unverified</x:v>
      </x:c>
      <x:c r="I6830" s="12" t="str">
        <x:v>Medium-scale prospects</x:v>
      </x:c>
      <x:c r="J6830" s="12" t="str">
        <x:v>Engineering &amp; manufacturing</x:v>
      </x:c>
      <x:c r="K6830" s="2" t="str">
        <x:v>PARTNER-M034</x:v>
      </x:c>
    </x:row>
    <x:row r="6831" ht="46" customHeight="1">
      <x:c r="A6831" s="2" t="str">
        <x:v>TEN-DFB64AC34C6A</x:v>
      </x:c>
      <x:c r="B6831" s="12" t="str">
        <x:v>sophisTex Pvt. Ltd</x:v>
      </x:c>
      <x:c r="C6831" s="12" t="str">
        <x:v>CORP-0454</x:v>
      </x:c>
      <x:c r="D6831" s="12" t="str">
        <x:v>Bengaluru</x:v>
      </x:c>
      <x:c r="E6831" s="12" t="str">
        <x:v>Prestige Technostar</x:v>
      </x:c>
      <x:c r="F6831" s="12" t="str">
        <x:v>55 inch</x:v>
      </x:c>
      <x:c r="G6831" s="20" t="n">
        <x:v>1</x:v>
      </x:c>
      <x:c r="H6831" s="12" t="str">
        <x:v>Campus/portfolio roster; individual building occupancy unverified</x:v>
      </x:c>
      <x:c r="I6831" s="12" t="str">
        <x:v>Mixed business audience</x:v>
      </x:c>
      <x:c r="J6831" s="12" t="str">
        <x:v>Unresolved</x:v>
      </x:c>
      <x:c r="K6831" s="2" t="str">
        <x:v>PARTNER-M034</x:v>
      </x:c>
    </x:row>
    <x:row r="6832" ht="46" customHeight="1">
      <x:c r="A6832" s="2" t="str">
        <x:v>TEN-FC632053B35C</x:v>
      </x:c>
      <x:c r="B6832" s="12" t="str">
        <x:v>DealerSocket India Private Limited</x:v>
      </x:c>
      <x:c r="C6832" s="12" t="str">
        <x:v>CORP-0454</x:v>
      </x:c>
      <x:c r="D6832" s="12" t="str">
        <x:v>Bengaluru</x:v>
      </x:c>
      <x:c r="E6832" s="12" t="str">
        <x:v>Prestige Technostar</x:v>
      </x:c>
      <x:c r="F6832" s="12" t="str">
        <x:v>55 inch</x:v>
      </x:c>
      <x:c r="G6832" s="20" t="n">
        <x:v>1</x:v>
      </x:c>
      <x:c r="H6832" s="12" t="str">
        <x:v>Campus/portfolio roster; individual building occupancy unverified</x:v>
      </x:c>
      <x:c r="I6832" s="12" t="str">
        <x:v>Mixed business audience</x:v>
      </x:c>
      <x:c r="J6832" s="12" t="str">
        <x:v>IT &amp; digital</x:v>
      </x:c>
      <x:c r="K6832" s="2" t="str">
        <x:v>PARTNER-M034</x:v>
      </x:c>
    </x:row>
    <x:row r="6833" ht="46" customHeight="1">
      <x:c r="A6833" s="2" t="str">
        <x:v>TEN-223D607AEE9C</x:v>
      </x:c>
      <x:c r="B6833" s="12" t="str">
        <x:v>Annalect</x:v>
      </x:c>
      <x:c r="C6833" s="12" t="str">
        <x:v>CORP-0455</x:v>
      </x:c>
      <x:c r="D6833" s="12" t="str">
        <x:v>Bengaluru</x:v>
      </x:c>
      <x:c r="E6833" s="12" t="str">
        <x:v>Prestige Technostar</x:v>
      </x:c>
      <x:c r="F6833" s="12" t="str">
        <x:v>55 inch</x:v>
      </x:c>
      <x:c r="G6833" s="20" t="n">
        <x:v>1</x:v>
      </x:c>
      <x:c r="H6833" s="12" t="str">
        <x:v>Campus/portfolio roster; individual building occupancy unverified</x:v>
      </x:c>
      <x:c r="I6833" s="12" t="str">
        <x:v>Mixed business audience</x:v>
      </x:c>
      <x:c r="J6833" s="12" t="str">
        <x:v>Professional services</x:v>
      </x:c>
      <x:c r="K6833" s="2" t="str">
        <x:v>PARTNER-M034</x:v>
      </x:c>
    </x:row>
    <x:row r="6834" ht="46" customHeight="1">
      <x:c r="A6834" s="2" t="str">
        <x:v>TEN-240389F4B730</x:v>
      </x:c>
      <x:c r="B6834" s="12" t="str">
        <x:v>AMD</x:v>
      </x:c>
      <x:c r="C6834" s="12" t="str">
        <x:v>CORP-0455</x:v>
      </x:c>
      <x:c r="D6834" s="12" t="str">
        <x:v>Bengaluru</x:v>
      </x:c>
      <x:c r="E6834" s="12" t="str">
        <x:v>Prestige Technostar</x:v>
      </x:c>
      <x:c r="F6834" s="12" t="str">
        <x:v>55 inch</x:v>
      </x:c>
      <x:c r="G6834" s="20" t="n">
        <x:v>1</x:v>
      </x:c>
      <x:c r="H6834" s="12" t="str">
        <x:v>Campus/portfolio roster; individual building occupancy unverified</x:v>
      </x:c>
      <x:c r="I6834" s="12" t="str">
        <x:v>Large enterprise</x:v>
      </x:c>
      <x:c r="J6834" s="12" t="str">
        <x:v>Engineering &amp; manufacturing</x:v>
      </x:c>
      <x:c r="K6834" s="2" t="str">
        <x:v>PARTNER-M034</x:v>
      </x:c>
    </x:row>
    <x:row r="6835" ht="46" customHeight="1">
      <x:c r="A6835" s="2" t="str">
        <x:v>TEN-3A1978BEBDE0</x:v>
      </x:c>
      <x:c r="B6835" s="12" t="str">
        <x:v>Route Mobile Limited (RouteLab unit)</x:v>
      </x:c>
      <x:c r="C6835" s="12" t="str">
        <x:v>CORP-0455</x:v>
      </x:c>
      <x:c r="D6835" s="12" t="str">
        <x:v>Bengaluru</x:v>
      </x:c>
      <x:c r="E6835" s="12" t="str">
        <x:v>Prestige Technostar</x:v>
      </x:c>
      <x:c r="F6835" s="12" t="str">
        <x:v>55 inch</x:v>
      </x:c>
      <x:c r="G6835" s="20" t="n">
        <x:v>1</x:v>
      </x:c>
      <x:c r="H6835" s="12" t="str">
        <x:v>Campus/portfolio roster; individual building occupancy unverified</x:v>
      </x:c>
      <x:c r="I6835" s="12" t="str">
        <x:v>Mixed business audience</x:v>
      </x:c>
      <x:c r="J6835" s="12" t="str">
        <x:v>IT &amp; digital</x:v>
      </x:c>
      <x:c r="K6835" s="2" t="str">
        <x:v>PARTNER-M034</x:v>
      </x:c>
    </x:row>
    <x:row r="6836" ht="46" customHeight="1">
      <x:c r="A6836" s="2" t="str">
        <x:v>TEN-6B0F63C5E611</x:v>
      </x:c>
      <x:c r="B6836" s="12" t="str">
        <x:v>Aeries Technology Private Limited</x:v>
      </x:c>
      <x:c r="C6836" s="12" t="str">
        <x:v>CORP-0455</x:v>
      </x:c>
      <x:c r="D6836" s="12" t="str">
        <x:v>Bengaluru</x:v>
      </x:c>
      <x:c r="E6836" s="12" t="str">
        <x:v>Prestige Technostar</x:v>
      </x:c>
      <x:c r="F6836" s="12" t="str">
        <x:v>55 inch</x:v>
      </x:c>
      <x:c r="G6836" s="20" t="n">
        <x:v>1</x:v>
      </x:c>
      <x:c r="H6836" s="12" t="str">
        <x:v>Campus/portfolio roster; individual building occupancy unverified</x:v>
      </x:c>
      <x:c r="I6836" s="12" t="str">
        <x:v>Mixed business audience</x:v>
      </x:c>
      <x:c r="J6836" s="12" t="str">
        <x:v>IT &amp; digital</x:v>
      </x:c>
      <x:c r="K6836" s="2" t="str">
        <x:v>PARTNER-M034</x:v>
      </x:c>
    </x:row>
    <x:row r="6837" ht="46" customHeight="1">
      <x:c r="A6837" s="2" t="str">
        <x:v>TEN-8651A1F195D9</x:v>
      </x:c>
      <x:c r="B6837" s="12" t="str">
        <x:v>Relevance Lab Pvt. Ltd</x:v>
      </x:c>
      <x:c r="C6837" s="12" t="str">
        <x:v>CORP-0455</x:v>
      </x:c>
      <x:c r="D6837" s="12" t="str">
        <x:v>Bengaluru</x:v>
      </x:c>
      <x:c r="E6837" s="12" t="str">
        <x:v>Prestige Technostar</x:v>
      </x:c>
      <x:c r="F6837" s="12" t="str">
        <x:v>55 inch</x:v>
      </x:c>
      <x:c r="G6837" s="20" t="n">
        <x:v>1</x:v>
      </x:c>
      <x:c r="H6837" s="12" t="str">
        <x:v>Campus/portfolio roster; individual building occupancy unverified</x:v>
      </x:c>
      <x:c r="I6837" s="12" t="str">
        <x:v>Small-scale prospects</x:v>
      </x:c>
      <x:c r="J6837" s="12" t="str">
        <x:v>IT &amp; digital</x:v>
      </x:c>
      <x:c r="K6837" s="2" t="str">
        <x:v>PARTNER-M034</x:v>
      </x:c>
    </x:row>
    <x:row r="6838" ht="46" customHeight="1">
      <x:c r="A6838" s="2" t="str">
        <x:v>TEN-9C8100FC00FA</x:v>
      </x:c>
      <x:c r="B6838" s="12" t="str">
        <x:v>TBWA\India</x:v>
      </x:c>
      <x:c r="C6838" s="12" t="str">
        <x:v>CORP-0455</x:v>
      </x:c>
      <x:c r="D6838" s="12" t="str">
        <x:v>Bengaluru</x:v>
      </x:c>
      <x:c r="E6838" s="12" t="str">
        <x:v>Prestige Technostar</x:v>
      </x:c>
      <x:c r="F6838" s="12" t="str">
        <x:v>55 inch</x:v>
      </x:c>
      <x:c r="G6838" s="20" t="n">
        <x:v>1</x:v>
      </x:c>
      <x:c r="H6838" s="12" t="str">
        <x:v>Campus/portfolio roster; individual building occupancy unverified</x:v>
      </x:c>
      <x:c r="I6838" s="12" t="str">
        <x:v>Mixed business audience</x:v>
      </x:c>
      <x:c r="J6838" s="12" t="str">
        <x:v>Professional services</x:v>
      </x:c>
      <x:c r="K6838" s="2" t="str">
        <x:v>PARTNER-M034</x:v>
      </x:c>
    </x:row>
    <x:row r="6839" ht="46" customHeight="1">
      <x:c r="A6839" s="2" t="str">
        <x:v>TEN-C003E01D846B</x:v>
      </x:c>
      <x:c r="B6839" s="12" t="str">
        <x:v>Stratus Technologies</x:v>
      </x:c>
      <x:c r="C6839" s="12" t="str">
        <x:v>CORP-0455</x:v>
      </x:c>
      <x:c r="D6839" s="12" t="str">
        <x:v>Bengaluru</x:v>
      </x:c>
      <x:c r="E6839" s="12" t="str">
        <x:v>Prestige Technostar</x:v>
      </x:c>
      <x:c r="F6839" s="12" t="str">
        <x:v>55 inch</x:v>
      </x:c>
      <x:c r="G6839" s="20" t="n">
        <x:v>1</x:v>
      </x:c>
      <x:c r="H6839" s="12" t="str">
        <x:v>Campus/portfolio roster; individual building occupancy unverified</x:v>
      </x:c>
      <x:c r="I6839" s="12" t="str">
        <x:v>Mixed business audience</x:v>
      </x:c>
      <x:c r="J6839" s="12" t="str">
        <x:v>IT &amp; digital</x:v>
      </x:c>
      <x:c r="K6839" s="2" t="str">
        <x:v>PARTNER-M034</x:v>
      </x:c>
    </x:row>
    <x:row r="6840" ht="46" customHeight="1">
      <x:c r="A6840" s="2" t="str">
        <x:v>TEN-C042D03D597E</x:v>
      </x:c>
      <x:c r="B6840" s="12" t="str">
        <x:v>Inspirage Software Consulting Pvt. Ltd</x:v>
      </x:c>
      <x:c r="C6840" s="12" t="str">
        <x:v>CORP-0455</x:v>
      </x:c>
      <x:c r="D6840" s="12" t="str">
        <x:v>Bengaluru</x:v>
      </x:c>
      <x:c r="E6840" s="12" t="str">
        <x:v>Prestige Technostar</x:v>
      </x:c>
      <x:c r="F6840" s="12" t="str">
        <x:v>55 inch</x:v>
      </x:c>
      <x:c r="G6840" s="20" t="n">
        <x:v>1</x:v>
      </x:c>
      <x:c r="H6840" s="12" t="str">
        <x:v>Campus/portfolio roster; individual building occupancy unverified</x:v>
      </x:c>
      <x:c r="I6840" s="12" t="str">
        <x:v>Mixed business audience</x:v>
      </x:c>
      <x:c r="J6840" s="12" t="str">
        <x:v>IT &amp; digital</x:v>
      </x:c>
      <x:c r="K6840" s="2" t="str">
        <x:v>PARTNER-M034</x:v>
      </x:c>
    </x:row>
    <x:row r="6841" ht="46" customHeight="1">
      <x:c r="A6841" s="2" t="str">
        <x:v>TEN-C534FF89F340</x:v>
      </x:c>
      <x:c r="B6841" s="12" t="str">
        <x:v>Brady Company India Pvt. Ltd</x:v>
      </x:c>
      <x:c r="C6841" s="12" t="str">
        <x:v>CORP-0455</x:v>
      </x:c>
      <x:c r="D6841" s="12" t="str">
        <x:v>Bengaluru</x:v>
      </x:c>
      <x:c r="E6841" s="12" t="str">
        <x:v>Prestige Technostar</x:v>
      </x:c>
      <x:c r="F6841" s="12" t="str">
        <x:v>55 inch</x:v>
      </x:c>
      <x:c r="G6841" s="20" t="n">
        <x:v>1</x:v>
      </x:c>
      <x:c r="H6841" s="12" t="str">
        <x:v>Campus/portfolio roster; individual building occupancy unverified</x:v>
      </x:c>
      <x:c r="I6841" s="12" t="str">
        <x:v>Mixed business audience</x:v>
      </x:c>
      <x:c r="J6841" s="12" t="str">
        <x:v>Engineering &amp; manufacturing</x:v>
      </x:c>
      <x:c r="K6841" s="2" t="str">
        <x:v>PARTNER-M034</x:v>
      </x:c>
    </x:row>
    <x:row r="6842" ht="46" customHeight="1">
      <x:c r="A6842" s="2" t="str">
        <x:v>TEN-CA38967873EE</x:v>
      </x:c>
      <x:c r="B6842" s="12" t="str">
        <x:v>Symplr</x:v>
      </x:c>
      <x:c r="C6842" s="12" t="str">
        <x:v>CORP-0455</x:v>
      </x:c>
      <x:c r="D6842" s="12" t="str">
        <x:v>Bengaluru</x:v>
      </x:c>
      <x:c r="E6842" s="12" t="str">
        <x:v>Prestige Technostar</x:v>
      </x:c>
      <x:c r="F6842" s="12" t="str">
        <x:v>55 inch</x:v>
      </x:c>
      <x:c r="G6842" s="20" t="n">
        <x:v>1</x:v>
      </x:c>
      <x:c r="H6842" s="12" t="str">
        <x:v>Campus/portfolio roster; individual building occupancy unverified</x:v>
      </x:c>
      <x:c r="I6842" s="12" t="str">
        <x:v>Mixed business audience</x:v>
      </x:c>
      <x:c r="J6842" s="12" t="str">
        <x:v>Healthcare &amp; life sciences</x:v>
      </x:c>
      <x:c r="K6842" s="2" t="str">
        <x:v>PARTNER-M034</x:v>
      </x:c>
    </x:row>
    <x:row r="6843" ht="46" customHeight="1">
      <x:c r="A6843" s="2" t="str">
        <x:v>TEN-CCF2DC9DADF3</x:v>
      </x:c>
      <x:c r="B6843" s="12" t="str">
        <x:v>Gartner India Research and Advisory Services Pvt. Ltd</x:v>
      </x:c>
      <x:c r="C6843" s="12" t="str">
        <x:v>CORP-0455</x:v>
      </x:c>
      <x:c r="D6843" s="12" t="str">
        <x:v>Bengaluru</x:v>
      </x:c>
      <x:c r="E6843" s="12" t="str">
        <x:v>Prestige Technostar</x:v>
      </x:c>
      <x:c r="F6843" s="12" t="str">
        <x:v>55 inch</x:v>
      </x:c>
      <x:c r="G6843" s="20" t="n">
        <x:v>1</x:v>
      </x:c>
      <x:c r="H6843" s="12" t="str">
        <x:v>Campus/portfolio roster; individual building occupancy unverified</x:v>
      </x:c>
      <x:c r="I6843" s="12" t="str">
        <x:v>Mixed business audience</x:v>
      </x:c>
      <x:c r="J6843" s="12" t="str">
        <x:v>Professional services</x:v>
      </x:c>
      <x:c r="K6843" s="2" t="str">
        <x:v>PARTNER-M034</x:v>
      </x:c>
    </x:row>
    <x:row r="6844" ht="46" customHeight="1">
      <x:c r="A6844" s="2" t="str">
        <x:v>TEN-D273C9F9C1A3</x:v>
      </x:c>
      <x:c r="B6844" s="12" t="str">
        <x:v>o9 Solutions</x:v>
      </x:c>
      <x:c r="C6844" s="12" t="str">
        <x:v>CORP-0455</x:v>
      </x:c>
      <x:c r="D6844" s="12" t="str">
        <x:v>Bengaluru</x:v>
      </x:c>
      <x:c r="E6844" s="12" t="str">
        <x:v>Prestige Technostar</x:v>
      </x:c>
      <x:c r="F6844" s="12" t="str">
        <x:v>55 inch</x:v>
      </x:c>
      <x:c r="G6844" s="20" t="n">
        <x:v>1</x:v>
      </x:c>
      <x:c r="H6844" s="12" t="str">
        <x:v>Campus/portfolio roster; individual building occupancy unverified</x:v>
      </x:c>
      <x:c r="I6844" s="12" t="str">
        <x:v>Mixed business audience</x:v>
      </x:c>
      <x:c r="J6844" s="12" t="str">
        <x:v>IT &amp; digital</x:v>
      </x:c>
      <x:c r="K6844" s="2" t="str">
        <x:v>PARTNER-M034</x:v>
      </x:c>
    </x:row>
    <x:row r="6845" ht="46" customHeight="1">
      <x:c r="A6845" s="2" t="str">
        <x:v>TEN-DBAB58D7E29B</x:v>
      </x:c>
      <x:c r="B6845" s="12" t="str">
        <x:v>Adept Chip Services Pvt. Ltd</x:v>
      </x:c>
      <x:c r="C6845" s="12" t="str">
        <x:v>CORP-0455</x:v>
      </x:c>
      <x:c r="D6845" s="12" t="str">
        <x:v>Bengaluru</x:v>
      </x:c>
      <x:c r="E6845" s="12" t="str">
        <x:v>Prestige Technostar</x:v>
      </x:c>
      <x:c r="F6845" s="12" t="str">
        <x:v>55 inch</x:v>
      </x:c>
      <x:c r="G6845" s="20" t="n">
        <x:v>1</x:v>
      </x:c>
      <x:c r="H6845" s="12" t="str">
        <x:v>Campus/portfolio roster; individual building occupancy unverified</x:v>
      </x:c>
      <x:c r="I6845" s="12" t="str">
        <x:v>Medium-scale prospects</x:v>
      </x:c>
      <x:c r="J6845" s="12" t="str">
        <x:v>Engineering &amp; manufacturing</x:v>
      </x:c>
      <x:c r="K6845" s="2" t="str">
        <x:v>PARTNER-M034</x:v>
      </x:c>
    </x:row>
    <x:row r="6846" ht="46" customHeight="1">
      <x:c r="A6846" s="2" t="str">
        <x:v>TEN-DFB64AC34C6A</x:v>
      </x:c>
      <x:c r="B6846" s="12" t="str">
        <x:v>sophisTex Pvt. Ltd</x:v>
      </x:c>
      <x:c r="C6846" s="12" t="str">
        <x:v>CORP-0455</x:v>
      </x:c>
      <x:c r="D6846" s="12" t="str">
        <x:v>Bengaluru</x:v>
      </x:c>
      <x:c r="E6846" s="12" t="str">
        <x:v>Prestige Technostar</x:v>
      </x:c>
      <x:c r="F6846" s="12" t="str">
        <x:v>55 inch</x:v>
      </x:c>
      <x:c r="G6846" s="20" t="n">
        <x:v>1</x:v>
      </x:c>
      <x:c r="H6846" s="12" t="str">
        <x:v>Campus/portfolio roster; individual building occupancy unverified</x:v>
      </x:c>
      <x:c r="I6846" s="12" t="str">
        <x:v>Mixed business audience</x:v>
      </x:c>
      <x:c r="J6846" s="12" t="str">
        <x:v>Unresolved</x:v>
      </x:c>
      <x:c r="K6846" s="2" t="str">
        <x:v>PARTNER-M034</x:v>
      </x:c>
    </x:row>
    <x:row r="6847" ht="46" customHeight="1">
      <x:c r="A6847" s="2" t="str">
        <x:v>TEN-FC632053B35C</x:v>
      </x:c>
      <x:c r="B6847" s="12" t="str">
        <x:v>DealerSocket India Private Limited</x:v>
      </x:c>
      <x:c r="C6847" s="12" t="str">
        <x:v>CORP-0455</x:v>
      </x:c>
      <x:c r="D6847" s="12" t="str">
        <x:v>Bengaluru</x:v>
      </x:c>
      <x:c r="E6847" s="12" t="str">
        <x:v>Prestige Technostar</x:v>
      </x:c>
      <x:c r="F6847" s="12" t="str">
        <x:v>55 inch</x:v>
      </x:c>
      <x:c r="G6847" s="20" t="n">
        <x:v>1</x:v>
      </x:c>
      <x:c r="H6847" s="12" t="str">
        <x:v>Campus/portfolio roster; individual building occupancy unverified</x:v>
      </x:c>
      <x:c r="I6847" s="12" t="str">
        <x:v>Mixed business audience</x:v>
      </x:c>
      <x:c r="J6847" s="12" t="str">
        <x:v>IT &amp; digital</x:v>
      </x:c>
      <x:c r="K6847" s="2" t="str">
        <x:v>PARTNER-M034</x:v>
      </x:c>
    </x:row>
    <x:row r="6848" ht="46" customHeight="1">
      <x:c r="A6848" s="2" t="str">
        <x:v>TEN-223D607AEE9C</x:v>
      </x:c>
      <x:c r="B6848" s="12" t="str">
        <x:v>Annalect</x:v>
      </x:c>
      <x:c r="C6848" s="12" t="str">
        <x:v>CORP-0456</x:v>
      </x:c>
      <x:c r="D6848" s="12" t="str">
        <x:v>Bengaluru</x:v>
      </x:c>
      <x:c r="E6848" s="12" t="str">
        <x:v>Prestige Technostar</x:v>
      </x:c>
      <x:c r="F6848" s="12" t="str">
        <x:v>55 inch</x:v>
      </x:c>
      <x:c r="G6848" s="20" t="n">
        <x:v>1</x:v>
      </x:c>
      <x:c r="H6848" s="12" t="str">
        <x:v>Campus/portfolio roster; individual building occupancy unverified</x:v>
      </x:c>
      <x:c r="I6848" s="12" t="str">
        <x:v>Mixed business audience</x:v>
      </x:c>
      <x:c r="J6848" s="12" t="str">
        <x:v>Professional services</x:v>
      </x:c>
      <x:c r="K6848" s="2" t="str">
        <x:v>PARTNER-M034</x:v>
      </x:c>
    </x:row>
    <x:row r="6849" ht="46" customHeight="1">
      <x:c r="A6849" s="2" t="str">
        <x:v>TEN-240389F4B730</x:v>
      </x:c>
      <x:c r="B6849" s="12" t="str">
        <x:v>AMD</x:v>
      </x:c>
      <x:c r="C6849" s="12" t="str">
        <x:v>CORP-0456</x:v>
      </x:c>
      <x:c r="D6849" s="12" t="str">
        <x:v>Bengaluru</x:v>
      </x:c>
      <x:c r="E6849" s="12" t="str">
        <x:v>Prestige Technostar</x:v>
      </x:c>
      <x:c r="F6849" s="12" t="str">
        <x:v>55 inch</x:v>
      </x:c>
      <x:c r="G6849" s="20" t="n">
        <x:v>1</x:v>
      </x:c>
      <x:c r="H6849" s="12" t="str">
        <x:v>Campus/portfolio roster; individual building occupancy unverified</x:v>
      </x:c>
      <x:c r="I6849" s="12" t="str">
        <x:v>Large enterprise</x:v>
      </x:c>
      <x:c r="J6849" s="12" t="str">
        <x:v>Engineering &amp; manufacturing</x:v>
      </x:c>
      <x:c r="K6849" s="2" t="str">
        <x:v>PARTNER-M034</x:v>
      </x:c>
    </x:row>
    <x:row r="6850" ht="46" customHeight="1">
      <x:c r="A6850" s="2" t="str">
        <x:v>TEN-3A1978BEBDE0</x:v>
      </x:c>
      <x:c r="B6850" s="12" t="str">
        <x:v>Route Mobile Limited (RouteLab unit)</x:v>
      </x:c>
      <x:c r="C6850" s="12" t="str">
        <x:v>CORP-0456</x:v>
      </x:c>
      <x:c r="D6850" s="12" t="str">
        <x:v>Bengaluru</x:v>
      </x:c>
      <x:c r="E6850" s="12" t="str">
        <x:v>Prestige Technostar</x:v>
      </x:c>
      <x:c r="F6850" s="12" t="str">
        <x:v>55 inch</x:v>
      </x:c>
      <x:c r="G6850" s="20" t="n">
        <x:v>1</x:v>
      </x:c>
      <x:c r="H6850" s="12" t="str">
        <x:v>Campus/portfolio roster; individual building occupancy unverified</x:v>
      </x:c>
      <x:c r="I6850" s="12" t="str">
        <x:v>Mixed business audience</x:v>
      </x:c>
      <x:c r="J6850" s="12" t="str">
        <x:v>IT &amp; digital</x:v>
      </x:c>
      <x:c r="K6850" s="2" t="str">
        <x:v>PARTNER-M034</x:v>
      </x:c>
    </x:row>
    <x:row r="6851" ht="46" customHeight="1">
      <x:c r="A6851" s="2" t="str">
        <x:v>TEN-6B0F63C5E611</x:v>
      </x:c>
      <x:c r="B6851" s="12" t="str">
        <x:v>Aeries Technology Private Limited</x:v>
      </x:c>
      <x:c r="C6851" s="12" t="str">
        <x:v>CORP-0456</x:v>
      </x:c>
      <x:c r="D6851" s="12" t="str">
        <x:v>Bengaluru</x:v>
      </x:c>
      <x:c r="E6851" s="12" t="str">
        <x:v>Prestige Technostar</x:v>
      </x:c>
      <x:c r="F6851" s="12" t="str">
        <x:v>55 inch</x:v>
      </x:c>
      <x:c r="G6851" s="20" t="n">
        <x:v>1</x:v>
      </x:c>
      <x:c r="H6851" s="12" t="str">
        <x:v>Campus/portfolio roster; individual building occupancy unverified</x:v>
      </x:c>
      <x:c r="I6851" s="12" t="str">
        <x:v>Mixed business audience</x:v>
      </x:c>
      <x:c r="J6851" s="12" t="str">
        <x:v>IT &amp; digital</x:v>
      </x:c>
      <x:c r="K6851" s="2" t="str">
        <x:v>PARTNER-M034</x:v>
      </x:c>
    </x:row>
    <x:row r="6852" ht="46" customHeight="1">
      <x:c r="A6852" s="2" t="str">
        <x:v>TEN-8651A1F195D9</x:v>
      </x:c>
      <x:c r="B6852" s="12" t="str">
        <x:v>Relevance Lab Pvt. Ltd</x:v>
      </x:c>
      <x:c r="C6852" s="12" t="str">
        <x:v>CORP-0456</x:v>
      </x:c>
      <x:c r="D6852" s="12" t="str">
        <x:v>Bengaluru</x:v>
      </x:c>
      <x:c r="E6852" s="12" t="str">
        <x:v>Prestige Technostar</x:v>
      </x:c>
      <x:c r="F6852" s="12" t="str">
        <x:v>55 inch</x:v>
      </x:c>
      <x:c r="G6852" s="20" t="n">
        <x:v>1</x:v>
      </x:c>
      <x:c r="H6852" s="12" t="str">
        <x:v>Campus/portfolio roster; individual building occupancy unverified</x:v>
      </x:c>
      <x:c r="I6852" s="12" t="str">
        <x:v>Small-scale prospects</x:v>
      </x:c>
      <x:c r="J6852" s="12" t="str">
        <x:v>IT &amp; digital</x:v>
      </x:c>
      <x:c r="K6852" s="2" t="str">
        <x:v>PARTNER-M034</x:v>
      </x:c>
    </x:row>
    <x:row r="6853" ht="46" customHeight="1">
      <x:c r="A6853" s="2" t="str">
        <x:v>TEN-9C8100FC00FA</x:v>
      </x:c>
      <x:c r="B6853" s="12" t="str">
        <x:v>TBWA\India</x:v>
      </x:c>
      <x:c r="C6853" s="12" t="str">
        <x:v>CORP-0456</x:v>
      </x:c>
      <x:c r="D6853" s="12" t="str">
        <x:v>Bengaluru</x:v>
      </x:c>
      <x:c r="E6853" s="12" t="str">
        <x:v>Prestige Technostar</x:v>
      </x:c>
      <x:c r="F6853" s="12" t="str">
        <x:v>55 inch</x:v>
      </x:c>
      <x:c r="G6853" s="20" t="n">
        <x:v>1</x:v>
      </x:c>
      <x:c r="H6853" s="12" t="str">
        <x:v>Campus/portfolio roster; individual building occupancy unverified</x:v>
      </x:c>
      <x:c r="I6853" s="12" t="str">
        <x:v>Mixed business audience</x:v>
      </x:c>
      <x:c r="J6853" s="12" t="str">
        <x:v>Professional services</x:v>
      </x:c>
      <x:c r="K6853" s="2" t="str">
        <x:v>PARTNER-M034</x:v>
      </x:c>
    </x:row>
    <x:row r="6854" ht="46" customHeight="1">
      <x:c r="A6854" s="2" t="str">
        <x:v>TEN-C003E01D846B</x:v>
      </x:c>
      <x:c r="B6854" s="12" t="str">
        <x:v>Stratus Technologies</x:v>
      </x:c>
      <x:c r="C6854" s="12" t="str">
        <x:v>CORP-0456</x:v>
      </x:c>
      <x:c r="D6854" s="12" t="str">
        <x:v>Bengaluru</x:v>
      </x:c>
      <x:c r="E6854" s="12" t="str">
        <x:v>Prestige Technostar</x:v>
      </x:c>
      <x:c r="F6854" s="12" t="str">
        <x:v>55 inch</x:v>
      </x:c>
      <x:c r="G6854" s="20" t="n">
        <x:v>1</x:v>
      </x:c>
      <x:c r="H6854" s="12" t="str">
        <x:v>Campus/portfolio roster; individual building occupancy unverified</x:v>
      </x:c>
      <x:c r="I6854" s="12" t="str">
        <x:v>Mixed business audience</x:v>
      </x:c>
      <x:c r="J6854" s="12" t="str">
        <x:v>IT &amp; digital</x:v>
      </x:c>
      <x:c r="K6854" s="2" t="str">
        <x:v>PARTNER-M034</x:v>
      </x:c>
    </x:row>
    <x:row r="6855" ht="46" customHeight="1">
      <x:c r="A6855" s="2" t="str">
        <x:v>TEN-C042D03D597E</x:v>
      </x:c>
      <x:c r="B6855" s="12" t="str">
        <x:v>Inspirage Software Consulting Pvt. Ltd</x:v>
      </x:c>
      <x:c r="C6855" s="12" t="str">
        <x:v>CORP-0456</x:v>
      </x:c>
      <x:c r="D6855" s="12" t="str">
        <x:v>Bengaluru</x:v>
      </x:c>
      <x:c r="E6855" s="12" t="str">
        <x:v>Prestige Technostar</x:v>
      </x:c>
      <x:c r="F6855" s="12" t="str">
        <x:v>55 inch</x:v>
      </x:c>
      <x:c r="G6855" s="20" t="n">
        <x:v>1</x:v>
      </x:c>
      <x:c r="H6855" s="12" t="str">
        <x:v>Campus/portfolio roster; individual building occupancy unverified</x:v>
      </x:c>
      <x:c r="I6855" s="12" t="str">
        <x:v>Mixed business audience</x:v>
      </x:c>
      <x:c r="J6855" s="12" t="str">
        <x:v>IT &amp; digital</x:v>
      </x:c>
      <x:c r="K6855" s="2" t="str">
        <x:v>PARTNER-M034</x:v>
      </x:c>
    </x:row>
    <x:row r="6856" ht="46" customHeight="1">
      <x:c r="A6856" s="2" t="str">
        <x:v>TEN-C534FF89F340</x:v>
      </x:c>
      <x:c r="B6856" s="12" t="str">
        <x:v>Brady Company India Pvt. Ltd</x:v>
      </x:c>
      <x:c r="C6856" s="12" t="str">
        <x:v>CORP-0456</x:v>
      </x:c>
      <x:c r="D6856" s="12" t="str">
        <x:v>Bengaluru</x:v>
      </x:c>
      <x:c r="E6856" s="12" t="str">
        <x:v>Prestige Technostar</x:v>
      </x:c>
      <x:c r="F6856" s="12" t="str">
        <x:v>55 inch</x:v>
      </x:c>
      <x:c r="G6856" s="20" t="n">
        <x:v>1</x:v>
      </x:c>
      <x:c r="H6856" s="12" t="str">
        <x:v>Campus/portfolio roster; individual building occupancy unverified</x:v>
      </x:c>
      <x:c r="I6856" s="12" t="str">
        <x:v>Mixed business audience</x:v>
      </x:c>
      <x:c r="J6856" s="12" t="str">
        <x:v>Engineering &amp; manufacturing</x:v>
      </x:c>
      <x:c r="K6856" s="2" t="str">
        <x:v>PARTNER-M034</x:v>
      </x:c>
    </x:row>
    <x:row r="6857" ht="46" customHeight="1">
      <x:c r="A6857" s="2" t="str">
        <x:v>TEN-CA38967873EE</x:v>
      </x:c>
      <x:c r="B6857" s="12" t="str">
        <x:v>Symplr</x:v>
      </x:c>
      <x:c r="C6857" s="12" t="str">
        <x:v>CORP-0456</x:v>
      </x:c>
      <x:c r="D6857" s="12" t="str">
        <x:v>Bengaluru</x:v>
      </x:c>
      <x:c r="E6857" s="12" t="str">
        <x:v>Prestige Technostar</x:v>
      </x:c>
      <x:c r="F6857" s="12" t="str">
        <x:v>55 inch</x:v>
      </x:c>
      <x:c r="G6857" s="20" t="n">
        <x:v>1</x:v>
      </x:c>
      <x:c r="H6857" s="12" t="str">
        <x:v>Campus/portfolio roster; individual building occupancy unverified</x:v>
      </x:c>
      <x:c r="I6857" s="12" t="str">
        <x:v>Mixed business audience</x:v>
      </x:c>
      <x:c r="J6857" s="12" t="str">
        <x:v>Healthcare &amp; life sciences</x:v>
      </x:c>
      <x:c r="K6857" s="2" t="str">
        <x:v>PARTNER-M034</x:v>
      </x:c>
    </x:row>
    <x:row r="6858" ht="46" customHeight="1">
      <x:c r="A6858" s="2" t="str">
        <x:v>TEN-CCF2DC9DADF3</x:v>
      </x:c>
      <x:c r="B6858" s="12" t="str">
        <x:v>Gartner India Research and Advisory Services Pvt. Ltd</x:v>
      </x:c>
      <x:c r="C6858" s="12" t="str">
        <x:v>CORP-0456</x:v>
      </x:c>
      <x:c r="D6858" s="12" t="str">
        <x:v>Bengaluru</x:v>
      </x:c>
      <x:c r="E6858" s="12" t="str">
        <x:v>Prestige Technostar</x:v>
      </x:c>
      <x:c r="F6858" s="12" t="str">
        <x:v>55 inch</x:v>
      </x:c>
      <x:c r="G6858" s="20" t="n">
        <x:v>1</x:v>
      </x:c>
      <x:c r="H6858" s="12" t="str">
        <x:v>Campus/portfolio roster; individual building occupancy unverified</x:v>
      </x:c>
      <x:c r="I6858" s="12" t="str">
        <x:v>Mixed business audience</x:v>
      </x:c>
      <x:c r="J6858" s="12" t="str">
        <x:v>Professional services</x:v>
      </x:c>
      <x:c r="K6858" s="2" t="str">
        <x:v>PARTNER-M034</x:v>
      </x:c>
    </x:row>
    <x:row r="6859" ht="46" customHeight="1">
      <x:c r="A6859" s="2" t="str">
        <x:v>TEN-D273C9F9C1A3</x:v>
      </x:c>
      <x:c r="B6859" s="12" t="str">
        <x:v>o9 Solutions</x:v>
      </x:c>
      <x:c r="C6859" s="12" t="str">
        <x:v>CORP-0456</x:v>
      </x:c>
      <x:c r="D6859" s="12" t="str">
        <x:v>Bengaluru</x:v>
      </x:c>
      <x:c r="E6859" s="12" t="str">
        <x:v>Prestige Technostar</x:v>
      </x:c>
      <x:c r="F6859" s="12" t="str">
        <x:v>55 inch</x:v>
      </x:c>
      <x:c r="G6859" s="20" t="n">
        <x:v>1</x:v>
      </x:c>
      <x:c r="H6859" s="12" t="str">
        <x:v>Campus/portfolio roster; individual building occupancy unverified</x:v>
      </x:c>
      <x:c r="I6859" s="12" t="str">
        <x:v>Mixed business audience</x:v>
      </x:c>
      <x:c r="J6859" s="12" t="str">
        <x:v>IT &amp; digital</x:v>
      </x:c>
      <x:c r="K6859" s="2" t="str">
        <x:v>PARTNER-M034</x:v>
      </x:c>
    </x:row>
    <x:row r="6860" ht="46" customHeight="1">
      <x:c r="A6860" s="2" t="str">
        <x:v>TEN-DBAB58D7E29B</x:v>
      </x:c>
      <x:c r="B6860" s="12" t="str">
        <x:v>Adept Chip Services Pvt. Ltd</x:v>
      </x:c>
      <x:c r="C6860" s="12" t="str">
        <x:v>CORP-0456</x:v>
      </x:c>
      <x:c r="D6860" s="12" t="str">
        <x:v>Bengaluru</x:v>
      </x:c>
      <x:c r="E6860" s="12" t="str">
        <x:v>Prestige Technostar</x:v>
      </x:c>
      <x:c r="F6860" s="12" t="str">
        <x:v>55 inch</x:v>
      </x:c>
      <x:c r="G6860" s="20" t="n">
        <x:v>1</x:v>
      </x:c>
      <x:c r="H6860" s="12" t="str">
        <x:v>Campus/portfolio roster; individual building occupancy unverified</x:v>
      </x:c>
      <x:c r="I6860" s="12" t="str">
        <x:v>Medium-scale prospects</x:v>
      </x:c>
      <x:c r="J6860" s="12" t="str">
        <x:v>Engineering &amp; manufacturing</x:v>
      </x:c>
      <x:c r="K6860" s="2" t="str">
        <x:v>PARTNER-M034</x:v>
      </x:c>
    </x:row>
    <x:row r="6861" ht="46" customHeight="1">
      <x:c r="A6861" s="2" t="str">
        <x:v>TEN-DFB64AC34C6A</x:v>
      </x:c>
      <x:c r="B6861" s="12" t="str">
        <x:v>sophisTex Pvt. Ltd</x:v>
      </x:c>
      <x:c r="C6861" s="12" t="str">
        <x:v>CORP-0456</x:v>
      </x:c>
      <x:c r="D6861" s="12" t="str">
        <x:v>Bengaluru</x:v>
      </x:c>
      <x:c r="E6861" s="12" t="str">
        <x:v>Prestige Technostar</x:v>
      </x:c>
      <x:c r="F6861" s="12" t="str">
        <x:v>55 inch</x:v>
      </x:c>
      <x:c r="G6861" s="20" t="n">
        <x:v>1</x:v>
      </x:c>
      <x:c r="H6861" s="12" t="str">
        <x:v>Campus/portfolio roster; individual building occupancy unverified</x:v>
      </x:c>
      <x:c r="I6861" s="12" t="str">
        <x:v>Mixed business audience</x:v>
      </x:c>
      <x:c r="J6861" s="12" t="str">
        <x:v>Unresolved</x:v>
      </x:c>
      <x:c r="K6861" s="2" t="str">
        <x:v>PARTNER-M034</x:v>
      </x:c>
    </x:row>
    <x:row r="6862" ht="46" customHeight="1">
      <x:c r="A6862" s="2" t="str">
        <x:v>TEN-FC632053B35C</x:v>
      </x:c>
      <x:c r="B6862" s="12" t="str">
        <x:v>DealerSocket India Private Limited</x:v>
      </x:c>
      <x:c r="C6862" s="12" t="str">
        <x:v>CORP-0456</x:v>
      </x:c>
      <x:c r="D6862" s="12" t="str">
        <x:v>Bengaluru</x:v>
      </x:c>
      <x:c r="E6862" s="12" t="str">
        <x:v>Prestige Technostar</x:v>
      </x:c>
      <x:c r="F6862" s="12" t="str">
        <x:v>55 inch</x:v>
      </x:c>
      <x:c r="G6862" s="20" t="n">
        <x:v>1</x:v>
      </x:c>
      <x:c r="H6862" s="12" t="str">
        <x:v>Campus/portfolio roster; individual building occupancy unverified</x:v>
      </x:c>
      <x:c r="I6862" s="12" t="str">
        <x:v>Mixed business audience</x:v>
      </x:c>
      <x:c r="J6862" s="12" t="str">
        <x:v>IT &amp; digital</x:v>
      </x:c>
      <x:c r="K6862" s="2" t="str">
        <x:v>PARTNER-M034</x:v>
      </x:c>
    </x:row>
    <x:row r="6863" ht="46" customHeight="1">
      <x:c r="A6863" s="2" t="str">
        <x:v>TEN-02250879BF4E</x:v>
      </x:c>
      <x:c r="B6863" s="12" t="str">
        <x:v>Credit Suisse</x:v>
      </x:c>
      <x:c r="C6863" s="12" t="str">
        <x:v>CORP-0457</x:v>
      </x:c>
      <x:c r="D6863" s="12" t="str">
        <x:v>Bengaluru</x:v>
      </x:c>
      <x:c r="E6863" s="12" t="str">
        <x:v>Prestige Tech Cloud</x:v>
      </x:c>
      <x:c r="F6863" s="12" t="str">
        <x:v>55 inch</x:v>
      </x:c>
      <x:c r="G6863" s="20" t="n">
        <x:v>1</x:v>
      </x:c>
      <x:c r="H6863" s="12" t="str">
        <x:v>Campus/portfolio roster; individual building occupancy unverified</x:v>
      </x:c>
      <x:c r="I6863" s="12" t="str">
        <x:v>Mixed business audience</x:v>
      </x:c>
      <x:c r="J6863" s="12" t="str">
        <x:v>Finance &amp; insurance</x:v>
      </x:c>
      <x:c r="K6863" s="2" t="str">
        <x:v>PARTNER-M039</x:v>
      </x:c>
    </x:row>
    <x:row r="6864" ht="46" customHeight="1">
      <x:c r="A6864" s="2" t="str">
        <x:v>TEN-229A4B0753F7</x:v>
      </x:c>
      <x:c r="B6864" s="12" t="str">
        <x:v>AIG</x:v>
      </x:c>
      <x:c r="C6864" s="12" t="str">
        <x:v>CORP-0457</x:v>
      </x:c>
      <x:c r="D6864" s="12" t="str">
        <x:v>Bengaluru</x:v>
      </x:c>
      <x:c r="E6864" s="12" t="str">
        <x:v>Prestige Tech Cloud</x:v>
      </x:c>
      <x:c r="F6864" s="12" t="str">
        <x:v>55 inch</x:v>
      </x:c>
      <x:c r="G6864" s="20" t="n">
        <x:v>1</x:v>
      </x:c>
      <x:c r="H6864" s="12" t="str">
        <x:v>Campus/portfolio roster; individual building occupancy unverified</x:v>
      </x:c>
      <x:c r="I6864" s="12" t="str">
        <x:v>Mixed business audience</x:v>
      </x:c>
      <x:c r="J6864" s="12" t="str">
        <x:v>Finance &amp; insurance</x:v>
      </x:c>
      <x:c r="K6864" s="2" t="str">
        <x:v>PARTNER-M039</x:v>
      </x:c>
    </x:row>
    <x:row r="6865" ht="46" customHeight="1">
      <x:c r="A6865" s="2" t="str">
        <x:v>TEN-28CBC5A35638</x:v>
      </x:c>
      <x:c r="B6865" s="12" t="str">
        <x:v>Juniper Networks</x:v>
      </x:c>
      <x:c r="C6865" s="12" t="str">
        <x:v>CORP-0457</x:v>
      </x:c>
      <x:c r="D6865" s="12" t="str">
        <x:v>Bengaluru</x:v>
      </x:c>
      <x:c r="E6865" s="12" t="str">
        <x:v>Prestige Tech Cloud</x:v>
      </x:c>
      <x:c r="F6865" s="12" t="str">
        <x:v>55 inch</x:v>
      </x:c>
      <x:c r="G6865" s="20" t="n">
        <x:v>1</x:v>
      </x:c>
      <x:c r="H6865" s="12" t="str">
        <x:v>Campus/portfolio roster; individual building occupancy unverified</x:v>
      </x:c>
      <x:c r="I6865" s="12" t="str">
        <x:v>Large enterprise</x:v>
      </x:c>
      <x:c r="J6865" s="12" t="str">
        <x:v>IT &amp; digital</x:v>
      </x:c>
      <x:c r="K6865" s="2" t="str">
        <x:v>PARTNER-M039</x:v>
      </x:c>
    </x:row>
    <x:row r="6866" ht="46" customHeight="1">
      <x:c r="A6866" s="2" t="str">
        <x:v>TEN-28D7AE9C8DBC</x:v>
      </x:c>
      <x:c r="B6866" s="12" t="str">
        <x:v>Robert Bosch</x:v>
      </x:c>
      <x:c r="C6866" s="12" t="str">
        <x:v>CORP-0457</x:v>
      </x:c>
      <x:c r="D6866" s="12" t="str">
        <x:v>Bengaluru</x:v>
      </x:c>
      <x:c r="E6866" s="12" t="str">
        <x:v>Prestige Tech Cloud</x:v>
      </x:c>
      <x:c r="F6866" s="12" t="str">
        <x:v>55 inch</x:v>
      </x:c>
      <x:c r="G6866" s="20" t="n">
        <x:v>1</x:v>
      </x:c>
      <x:c r="H6866" s="12" t="str">
        <x:v>Campus/portfolio roster; individual building occupancy unverified</x:v>
      </x:c>
      <x:c r="I6866" s="12" t="str">
        <x:v>Large enterprise</x:v>
      </x:c>
      <x:c r="J6866" s="12" t="str">
        <x:v>Engineering &amp; manufacturing</x:v>
      </x:c>
      <x:c r="K6866" s="2" t="str">
        <x:v>PARTNER-M039</x:v>
      </x:c>
    </x:row>
    <x:row r="6867" ht="46" customHeight="1">
      <x:c r="A6867" s="2" t="str">
        <x:v>TEN-30448EBA2EBE</x:v>
      </x:c>
      <x:c r="B6867" s="12" t="str">
        <x:v>Western Digital</x:v>
      </x:c>
      <x:c r="C6867" s="12" t="str">
        <x:v>CORP-0457</x:v>
      </x:c>
      <x:c r="D6867" s="12" t="str">
        <x:v>Bengaluru</x:v>
      </x:c>
      <x:c r="E6867" s="12" t="str">
        <x:v>Prestige Tech Cloud</x:v>
      </x:c>
      <x:c r="F6867" s="12" t="str">
        <x:v>55 inch</x:v>
      </x:c>
      <x:c r="G6867" s="20" t="n">
        <x:v>1</x:v>
      </x:c>
      <x:c r="H6867" s="12" t="str">
        <x:v>Campus/portfolio roster; individual building occupancy unverified</x:v>
      </x:c>
      <x:c r="I6867" s="12" t="str">
        <x:v>Mixed business audience</x:v>
      </x:c>
      <x:c r="J6867" s="12" t="str">
        <x:v>Engineering &amp; manufacturing</x:v>
      </x:c>
      <x:c r="K6867" s="2" t="str">
        <x:v>PARTNER-M039</x:v>
      </x:c>
    </x:row>
    <x:row r="6868" ht="46" customHeight="1">
      <x:c r="A6868" s="2" t="str">
        <x:v>TEN-592CC302663C</x:v>
      </x:c>
      <x:c r="B6868" s="12" t="str">
        <x:v>Vmware</x:v>
      </x:c>
      <x:c r="C6868" s="12" t="str">
        <x:v>CORP-0457</x:v>
      </x:c>
      <x:c r="D6868" s="12" t="str">
        <x:v>Bengaluru</x:v>
      </x:c>
      <x:c r="E6868" s="12" t="str">
        <x:v>Prestige Tech Cloud</x:v>
      </x:c>
      <x:c r="F6868" s="12" t="str">
        <x:v>55 inch</x:v>
      </x:c>
      <x:c r="G6868" s="20" t="n">
        <x:v>1</x:v>
      </x:c>
      <x:c r="H6868" s="12" t="str">
        <x:v>Campus/portfolio roster; individual building occupancy unverified</x:v>
      </x:c>
      <x:c r="I6868" s="12" t="str">
        <x:v>Mixed business audience</x:v>
      </x:c>
      <x:c r="J6868" s="12" t="str">
        <x:v>IT &amp; digital</x:v>
      </x:c>
      <x:c r="K6868" s="2" t="str">
        <x:v>PARTNER-M039</x:v>
      </x:c>
    </x:row>
    <x:row r="6869" ht="46" customHeight="1">
      <x:c r="A6869" s="2" t="str">
        <x:v>TEN-5FA790F3630F</x:v>
      </x:c>
      <x:c r="B6869" s="12" t="str">
        <x:v>Tata Consultancy Services</x:v>
      </x:c>
      <x:c r="C6869" s="12" t="str">
        <x:v>CORP-0457</x:v>
      </x:c>
      <x:c r="D6869" s="12" t="str">
        <x:v>Bengaluru</x:v>
      </x:c>
      <x:c r="E6869" s="12" t="str">
        <x:v>Prestige Tech Cloud</x:v>
      </x:c>
      <x:c r="F6869" s="12" t="str">
        <x:v>55 inch</x:v>
      </x:c>
      <x:c r="G6869" s="20" t="n">
        <x:v>1</x:v>
      </x:c>
      <x:c r="H6869" s="12" t="str">
        <x:v>Campus/portfolio roster; individual building occupancy unverified</x:v>
      </x:c>
      <x:c r="I6869" s="12" t="str">
        <x:v>Large enterprise</x:v>
      </x:c>
      <x:c r="J6869" s="12" t="str">
        <x:v>IT &amp; digital</x:v>
      </x:c>
      <x:c r="K6869" s="2" t="str">
        <x:v>PARTNER-M039</x:v>
      </x:c>
    </x:row>
    <x:row r="6870" ht="46" customHeight="1">
      <x:c r="A6870" s="2" t="str">
        <x:v>TEN-8217BB19EBF1</x:v>
      </x:c>
      <x:c r="B6870" s="12" t="str">
        <x:v>J.P. Morgan</x:v>
      </x:c>
      <x:c r="C6870" s="12" t="str">
        <x:v>CORP-0457</x:v>
      </x:c>
      <x:c r="D6870" s="12" t="str">
        <x:v>Bengaluru</x:v>
      </x:c>
      <x:c r="E6870" s="12" t="str">
        <x:v>Prestige Tech Cloud</x:v>
      </x:c>
      <x:c r="F6870" s="12" t="str">
        <x:v>55 inch</x:v>
      </x:c>
      <x:c r="G6870" s="20" t="n">
        <x:v>1</x:v>
      </x:c>
      <x:c r="H6870" s="12" t="str">
        <x:v>Campus/portfolio roster; individual building occupancy unverified</x:v>
      </x:c>
      <x:c r="I6870" s="12" t="str">
        <x:v>Large enterprise</x:v>
      </x:c>
      <x:c r="J6870" s="12" t="str">
        <x:v>Finance &amp; insurance</x:v>
      </x:c>
      <x:c r="K6870" s="2" t="str">
        <x:v>PARTNER-M039</x:v>
      </x:c>
    </x:row>
    <x:row r="6871" ht="46" customHeight="1">
      <x:c r="A6871" s="2" t="str">
        <x:v>TEN-9202AF6CE925</x:v>
      </x:c>
      <x:c r="B6871" s="12" t="str">
        <x:v>Oracle</x:v>
      </x:c>
      <x:c r="C6871" s="12" t="str">
        <x:v>CORP-0457</x:v>
      </x:c>
      <x:c r="D6871" s="12" t="str">
        <x:v>Bengaluru</x:v>
      </x:c>
      <x:c r="E6871" s="12" t="str">
        <x:v>Prestige Tech Cloud</x:v>
      </x:c>
      <x:c r="F6871" s="12" t="str">
        <x:v>55 inch</x:v>
      </x:c>
      <x:c r="G6871" s="20" t="n">
        <x:v>1</x:v>
      </x:c>
      <x:c r="H6871" s="12" t="str">
        <x:v>Campus/portfolio roster; individual building occupancy unverified</x:v>
      </x:c>
      <x:c r="I6871" s="12" t="str">
        <x:v>Large enterprise</x:v>
      </x:c>
      <x:c r="J6871" s="12" t="str">
        <x:v>IT &amp; digital</x:v>
      </x:c>
      <x:c r="K6871" s="2" t="str">
        <x:v>PARTNER-M039</x:v>
      </x:c>
    </x:row>
    <x:row r="6872" ht="46" customHeight="1">
      <x:c r="A6872" s="2" t="str">
        <x:v>TEN-9FBF261B62C1</x:v>
      </x:c>
      <x:c r="B6872" s="12" t="str">
        <x:v>Microsoft</x:v>
      </x:c>
      <x:c r="C6872" s="12" t="str">
        <x:v>CORP-0457</x:v>
      </x:c>
      <x:c r="D6872" s="12" t="str">
        <x:v>Bengaluru</x:v>
      </x:c>
      <x:c r="E6872" s="12" t="str">
        <x:v>Prestige Tech Cloud</x:v>
      </x:c>
      <x:c r="F6872" s="12" t="str">
        <x:v>55 inch</x:v>
      </x:c>
      <x:c r="G6872" s="20" t="n">
        <x:v>1</x:v>
      </x:c>
      <x:c r="H6872" s="12" t="str">
        <x:v>Campus/portfolio roster; individual building occupancy unverified</x:v>
      </x:c>
      <x:c r="I6872" s="12" t="str">
        <x:v>Large enterprise</x:v>
      </x:c>
      <x:c r="J6872" s="12" t="str">
        <x:v>IT &amp; digital</x:v>
      </x:c>
      <x:c r="K6872" s="2" t="str">
        <x:v>PARTNER-M039</x:v>
      </x:c>
    </x:row>
    <x:row r="6873" ht="46" customHeight="1">
      <x:c r="A6873" s="2" t="str">
        <x:v>TEN-BC3067AC45DF</x:v>
      </x:c>
      <x:c r="B6873" s="12" t="str">
        <x:v>Schneider Electric</x:v>
      </x:c>
      <x:c r="C6873" s="12" t="str">
        <x:v>CORP-0457</x:v>
      </x:c>
      <x:c r="D6873" s="12" t="str">
        <x:v>Bengaluru</x:v>
      </x:c>
      <x:c r="E6873" s="12" t="str">
        <x:v>Prestige Tech Cloud</x:v>
      </x:c>
      <x:c r="F6873" s="12" t="str">
        <x:v>55 inch</x:v>
      </x:c>
      <x:c r="G6873" s="20" t="n">
        <x:v>1</x:v>
      </x:c>
      <x:c r="H6873" s="12" t="str">
        <x:v>Campus/portfolio roster; individual building occupancy unverified</x:v>
      </x:c>
      <x:c r="I6873" s="12" t="str">
        <x:v>Large enterprise</x:v>
      </x:c>
      <x:c r="J6873" s="12" t="str">
        <x:v>Engineering &amp; manufacturing</x:v>
      </x:c>
      <x:c r="K6873" s="2" t="str">
        <x:v>PARTNER-M039</x:v>
      </x:c>
    </x:row>
    <x:row r="6874" ht="46" customHeight="1">
      <x:c r="A6874" s="2" t="str">
        <x:v>TEN-D1C7C99C6E2E</x:v>
      </x:c>
      <x:c r="B6874" s="12" t="str">
        <x:v>Tata</x:v>
      </x:c>
      <x:c r="C6874" s="12" t="str">
        <x:v>CORP-0457</x:v>
      </x:c>
      <x:c r="D6874" s="12" t="str">
        <x:v>Bengaluru</x:v>
      </x:c>
      <x:c r="E6874" s="12" t="str">
        <x:v>Prestige Tech Cloud</x:v>
      </x:c>
      <x:c r="F6874" s="12" t="str">
        <x:v>55 inch</x:v>
      </x:c>
      <x:c r="G6874" s="20" t="n">
        <x:v>1</x:v>
      </x:c>
      <x:c r="H6874" s="12" t="str">
        <x:v>Campus/portfolio roster; individual building occupancy unverified</x:v>
      </x:c>
      <x:c r="I6874" s="12" t="str">
        <x:v>Large enterprise</x:v>
      </x:c>
      <x:c r="J6874" s="12" t="str">
        <x:v>Unresolved</x:v>
      </x:c>
      <x:c r="K6874" s="2" t="str">
        <x:v>PARTNER-M039</x:v>
      </x:c>
    </x:row>
    <x:row r="6875" ht="46" customHeight="1">
      <x:c r="A6875" s="2" t="str">
        <x:v>TEN-EAE8E3404182</x:v>
      </x:c>
      <x:c r="B6875" s="12" t="str">
        <x:v>Nielsen</x:v>
      </x:c>
      <x:c r="C6875" s="12" t="str">
        <x:v>CORP-0457</x:v>
      </x:c>
      <x:c r="D6875" s="12" t="str">
        <x:v>Bengaluru</x:v>
      </x:c>
      <x:c r="E6875" s="12" t="str">
        <x:v>Prestige Tech Cloud</x:v>
      </x:c>
      <x:c r="F6875" s="12" t="str">
        <x:v>55 inch</x:v>
      </x:c>
      <x:c r="G6875" s="20" t="n">
        <x:v>1</x:v>
      </x:c>
      <x:c r="H6875" s="12" t="str">
        <x:v>Campus/portfolio roster; individual building occupancy unverified</x:v>
      </x:c>
      <x:c r="I6875" s="12" t="str">
        <x:v>Mixed business audience</x:v>
      </x:c>
      <x:c r="J6875" s="12" t="str">
        <x:v>Professional services</x:v>
      </x:c>
      <x:c r="K6875" s="2" t="str">
        <x:v>PARTNER-M039</x:v>
      </x:c>
    </x:row>
    <x:row r="6876" ht="46" customHeight="1">
      <x:c r="A6876" s="2" t="str">
        <x:v>TEN-EE9021C84F33</x:v>
      </x:c>
      <x:c r="B6876" s="12" t="str">
        <x:v>Adobe</x:v>
      </x:c>
      <x:c r="C6876" s="12" t="str">
        <x:v>CORP-0457</x:v>
      </x:c>
      <x:c r="D6876" s="12" t="str">
        <x:v>Bengaluru</x:v>
      </x:c>
      <x:c r="E6876" s="12" t="str">
        <x:v>Prestige Tech Cloud</x:v>
      </x:c>
      <x:c r="F6876" s="12" t="str">
        <x:v>55 inch</x:v>
      </x:c>
      <x:c r="G6876" s="20" t="n">
        <x:v>1</x:v>
      </x:c>
      <x:c r="H6876" s="12" t="str">
        <x:v>Campus/portfolio roster; individual building occupancy unverified</x:v>
      </x:c>
      <x:c r="I6876" s="12" t="str">
        <x:v>Large enterprise</x:v>
      </x:c>
      <x:c r="J6876" s="12" t="str">
        <x:v>IT &amp; digital</x:v>
      </x:c>
      <x:c r="K6876" s="2" t="str">
        <x:v>PARTNER-M039</x:v>
      </x:c>
    </x:row>
    <x:row r="6877" ht="46" customHeight="1">
      <x:c r="A6877" s="2" t="str">
        <x:v>TEN-F55A85B2F2EB</x:v>
      </x:c>
      <x:c r="B6877" s="12" t="str">
        <x:v>Capgemini</x:v>
      </x:c>
      <x:c r="C6877" s="12" t="str">
        <x:v>CORP-0457</x:v>
      </x:c>
      <x:c r="D6877" s="12" t="str">
        <x:v>Bengaluru</x:v>
      </x:c>
      <x:c r="E6877" s="12" t="str">
        <x:v>Prestige Tech Cloud</x:v>
      </x:c>
      <x:c r="F6877" s="12" t="str">
        <x:v>55 inch</x:v>
      </x:c>
      <x:c r="G6877" s="20" t="n">
        <x:v>1</x:v>
      </x:c>
      <x:c r="H6877" s="12" t="str">
        <x:v>Campus/portfolio roster; individual building occupancy unverified</x:v>
      </x:c>
      <x:c r="I6877" s="12" t="str">
        <x:v>Large enterprise</x:v>
      </x:c>
      <x:c r="J6877" s="12" t="str">
        <x:v>IT &amp; digital</x:v>
      </x:c>
      <x:c r="K6877" s="2" t="str">
        <x:v>PARTNER-M039</x:v>
      </x:c>
    </x:row>
    <x:row r="6878" ht="46" customHeight="1">
      <x:c r="A6878" s="2" t="str">
        <x:v>TEN-02250879BF4E</x:v>
      </x:c>
      <x:c r="B6878" s="12" t="str">
        <x:v>Credit Suisse</x:v>
      </x:c>
      <x:c r="C6878" s="12" t="str">
        <x:v>CORP-0458</x:v>
      </x:c>
      <x:c r="D6878" s="12" t="str">
        <x:v>Bengaluru</x:v>
      </x:c>
      <x:c r="E6878" s="12" t="str">
        <x:v>Prestige Tech Cloud</x:v>
      </x:c>
      <x:c r="F6878" s="12" t="str">
        <x:v>55 inch</x:v>
      </x:c>
      <x:c r="G6878" s="20" t="n">
        <x:v>1</x:v>
      </x:c>
      <x:c r="H6878" s="12" t="str">
        <x:v>Campus/portfolio roster; individual building occupancy unverified</x:v>
      </x:c>
      <x:c r="I6878" s="12" t="str">
        <x:v>Mixed business audience</x:v>
      </x:c>
      <x:c r="J6878" s="12" t="str">
        <x:v>Finance &amp; insurance</x:v>
      </x:c>
      <x:c r="K6878" s="2" t="str">
        <x:v>PARTNER-M039</x:v>
      </x:c>
    </x:row>
    <x:row r="6879" ht="46" customHeight="1">
      <x:c r="A6879" s="2" t="str">
        <x:v>TEN-229A4B0753F7</x:v>
      </x:c>
      <x:c r="B6879" s="12" t="str">
        <x:v>AIG</x:v>
      </x:c>
      <x:c r="C6879" s="12" t="str">
        <x:v>CORP-0458</x:v>
      </x:c>
      <x:c r="D6879" s="12" t="str">
        <x:v>Bengaluru</x:v>
      </x:c>
      <x:c r="E6879" s="12" t="str">
        <x:v>Prestige Tech Cloud</x:v>
      </x:c>
      <x:c r="F6879" s="12" t="str">
        <x:v>55 inch</x:v>
      </x:c>
      <x:c r="G6879" s="20" t="n">
        <x:v>1</x:v>
      </x:c>
      <x:c r="H6879" s="12" t="str">
        <x:v>Campus/portfolio roster; individual building occupancy unverified</x:v>
      </x:c>
      <x:c r="I6879" s="12" t="str">
        <x:v>Mixed business audience</x:v>
      </x:c>
      <x:c r="J6879" s="12" t="str">
        <x:v>Finance &amp; insurance</x:v>
      </x:c>
      <x:c r="K6879" s="2" t="str">
        <x:v>PARTNER-M039</x:v>
      </x:c>
    </x:row>
    <x:row r="6880" ht="46" customHeight="1">
      <x:c r="A6880" s="2" t="str">
        <x:v>TEN-28CBC5A35638</x:v>
      </x:c>
      <x:c r="B6880" s="12" t="str">
        <x:v>Juniper Networks</x:v>
      </x:c>
      <x:c r="C6880" s="12" t="str">
        <x:v>CORP-0458</x:v>
      </x:c>
      <x:c r="D6880" s="12" t="str">
        <x:v>Bengaluru</x:v>
      </x:c>
      <x:c r="E6880" s="12" t="str">
        <x:v>Prestige Tech Cloud</x:v>
      </x:c>
      <x:c r="F6880" s="12" t="str">
        <x:v>55 inch</x:v>
      </x:c>
      <x:c r="G6880" s="20" t="n">
        <x:v>1</x:v>
      </x:c>
      <x:c r="H6880" s="12" t="str">
        <x:v>Campus/portfolio roster; individual building occupancy unverified</x:v>
      </x:c>
      <x:c r="I6880" s="12" t="str">
        <x:v>Large enterprise</x:v>
      </x:c>
      <x:c r="J6880" s="12" t="str">
        <x:v>IT &amp; digital</x:v>
      </x:c>
      <x:c r="K6880" s="2" t="str">
        <x:v>PARTNER-M039</x:v>
      </x:c>
    </x:row>
    <x:row r="6881" ht="46" customHeight="1">
      <x:c r="A6881" s="2" t="str">
        <x:v>TEN-28D7AE9C8DBC</x:v>
      </x:c>
      <x:c r="B6881" s="12" t="str">
        <x:v>Robert Bosch</x:v>
      </x:c>
      <x:c r="C6881" s="12" t="str">
        <x:v>CORP-0458</x:v>
      </x:c>
      <x:c r="D6881" s="12" t="str">
        <x:v>Bengaluru</x:v>
      </x:c>
      <x:c r="E6881" s="12" t="str">
        <x:v>Prestige Tech Cloud</x:v>
      </x:c>
      <x:c r="F6881" s="12" t="str">
        <x:v>55 inch</x:v>
      </x:c>
      <x:c r="G6881" s="20" t="n">
        <x:v>1</x:v>
      </x:c>
      <x:c r="H6881" s="12" t="str">
        <x:v>Campus/portfolio roster; individual building occupancy unverified</x:v>
      </x:c>
      <x:c r="I6881" s="12" t="str">
        <x:v>Large enterprise</x:v>
      </x:c>
      <x:c r="J6881" s="12" t="str">
        <x:v>Engineering &amp; manufacturing</x:v>
      </x:c>
      <x:c r="K6881" s="2" t="str">
        <x:v>PARTNER-M039</x:v>
      </x:c>
    </x:row>
    <x:row r="6882" ht="46" customHeight="1">
      <x:c r="A6882" s="2" t="str">
        <x:v>TEN-30448EBA2EBE</x:v>
      </x:c>
      <x:c r="B6882" s="12" t="str">
        <x:v>Western Digital</x:v>
      </x:c>
      <x:c r="C6882" s="12" t="str">
        <x:v>CORP-0458</x:v>
      </x:c>
      <x:c r="D6882" s="12" t="str">
        <x:v>Bengaluru</x:v>
      </x:c>
      <x:c r="E6882" s="12" t="str">
        <x:v>Prestige Tech Cloud</x:v>
      </x:c>
      <x:c r="F6882" s="12" t="str">
        <x:v>55 inch</x:v>
      </x:c>
      <x:c r="G6882" s="20" t="n">
        <x:v>1</x:v>
      </x:c>
      <x:c r="H6882" s="12" t="str">
        <x:v>Campus/portfolio roster; individual building occupancy unverified</x:v>
      </x:c>
      <x:c r="I6882" s="12" t="str">
        <x:v>Mixed business audience</x:v>
      </x:c>
      <x:c r="J6882" s="12" t="str">
        <x:v>Engineering &amp; manufacturing</x:v>
      </x:c>
      <x:c r="K6882" s="2" t="str">
        <x:v>PARTNER-M039</x:v>
      </x:c>
    </x:row>
    <x:row r="6883" ht="46" customHeight="1">
      <x:c r="A6883" s="2" t="str">
        <x:v>TEN-592CC302663C</x:v>
      </x:c>
      <x:c r="B6883" s="12" t="str">
        <x:v>Vmware</x:v>
      </x:c>
      <x:c r="C6883" s="12" t="str">
        <x:v>CORP-0458</x:v>
      </x:c>
      <x:c r="D6883" s="12" t="str">
        <x:v>Bengaluru</x:v>
      </x:c>
      <x:c r="E6883" s="12" t="str">
        <x:v>Prestige Tech Cloud</x:v>
      </x:c>
      <x:c r="F6883" s="12" t="str">
        <x:v>55 inch</x:v>
      </x:c>
      <x:c r="G6883" s="20" t="n">
        <x:v>1</x:v>
      </x:c>
      <x:c r="H6883" s="12" t="str">
        <x:v>Campus/portfolio roster; individual building occupancy unverified</x:v>
      </x:c>
      <x:c r="I6883" s="12" t="str">
        <x:v>Mixed business audience</x:v>
      </x:c>
      <x:c r="J6883" s="12" t="str">
        <x:v>IT &amp; digital</x:v>
      </x:c>
      <x:c r="K6883" s="2" t="str">
        <x:v>PARTNER-M039</x:v>
      </x:c>
    </x:row>
    <x:row r="6884" ht="46" customHeight="1">
      <x:c r="A6884" s="2" t="str">
        <x:v>TEN-5FA790F3630F</x:v>
      </x:c>
      <x:c r="B6884" s="12" t="str">
        <x:v>Tata Consultancy Services</x:v>
      </x:c>
      <x:c r="C6884" s="12" t="str">
        <x:v>CORP-0458</x:v>
      </x:c>
      <x:c r="D6884" s="12" t="str">
        <x:v>Bengaluru</x:v>
      </x:c>
      <x:c r="E6884" s="12" t="str">
        <x:v>Prestige Tech Cloud</x:v>
      </x:c>
      <x:c r="F6884" s="12" t="str">
        <x:v>55 inch</x:v>
      </x:c>
      <x:c r="G6884" s="20" t="n">
        <x:v>1</x:v>
      </x:c>
      <x:c r="H6884" s="12" t="str">
        <x:v>Campus/portfolio roster; individual building occupancy unverified</x:v>
      </x:c>
      <x:c r="I6884" s="12" t="str">
        <x:v>Large enterprise</x:v>
      </x:c>
      <x:c r="J6884" s="12" t="str">
        <x:v>IT &amp; digital</x:v>
      </x:c>
      <x:c r="K6884" s="2" t="str">
        <x:v>PARTNER-M039</x:v>
      </x:c>
    </x:row>
    <x:row r="6885" ht="46" customHeight="1">
      <x:c r="A6885" s="2" t="str">
        <x:v>TEN-8217BB19EBF1</x:v>
      </x:c>
      <x:c r="B6885" s="12" t="str">
        <x:v>J.P. Morgan</x:v>
      </x:c>
      <x:c r="C6885" s="12" t="str">
        <x:v>CORP-0458</x:v>
      </x:c>
      <x:c r="D6885" s="12" t="str">
        <x:v>Bengaluru</x:v>
      </x:c>
      <x:c r="E6885" s="12" t="str">
        <x:v>Prestige Tech Cloud</x:v>
      </x:c>
      <x:c r="F6885" s="12" t="str">
        <x:v>55 inch</x:v>
      </x:c>
      <x:c r="G6885" s="20" t="n">
        <x:v>1</x:v>
      </x:c>
      <x:c r="H6885" s="12" t="str">
        <x:v>Campus/portfolio roster; individual building occupancy unverified</x:v>
      </x:c>
      <x:c r="I6885" s="12" t="str">
        <x:v>Large enterprise</x:v>
      </x:c>
      <x:c r="J6885" s="12" t="str">
        <x:v>Finance &amp; insurance</x:v>
      </x:c>
      <x:c r="K6885" s="2" t="str">
        <x:v>PARTNER-M039</x:v>
      </x:c>
    </x:row>
    <x:row r="6886" ht="46" customHeight="1">
      <x:c r="A6886" s="2" t="str">
        <x:v>TEN-9202AF6CE925</x:v>
      </x:c>
      <x:c r="B6886" s="12" t="str">
        <x:v>Oracle</x:v>
      </x:c>
      <x:c r="C6886" s="12" t="str">
        <x:v>CORP-0458</x:v>
      </x:c>
      <x:c r="D6886" s="12" t="str">
        <x:v>Bengaluru</x:v>
      </x:c>
      <x:c r="E6886" s="12" t="str">
        <x:v>Prestige Tech Cloud</x:v>
      </x:c>
      <x:c r="F6886" s="12" t="str">
        <x:v>55 inch</x:v>
      </x:c>
      <x:c r="G6886" s="20" t="n">
        <x:v>1</x:v>
      </x:c>
      <x:c r="H6886" s="12" t="str">
        <x:v>Campus/portfolio roster; individual building occupancy unverified</x:v>
      </x:c>
      <x:c r="I6886" s="12" t="str">
        <x:v>Large enterprise</x:v>
      </x:c>
      <x:c r="J6886" s="12" t="str">
        <x:v>IT &amp; digital</x:v>
      </x:c>
      <x:c r="K6886" s="2" t="str">
        <x:v>PARTNER-M039</x:v>
      </x:c>
    </x:row>
    <x:row r="6887" ht="46" customHeight="1">
      <x:c r="A6887" s="2" t="str">
        <x:v>TEN-9FBF261B62C1</x:v>
      </x:c>
      <x:c r="B6887" s="12" t="str">
        <x:v>Microsoft</x:v>
      </x:c>
      <x:c r="C6887" s="12" t="str">
        <x:v>CORP-0458</x:v>
      </x:c>
      <x:c r="D6887" s="12" t="str">
        <x:v>Bengaluru</x:v>
      </x:c>
      <x:c r="E6887" s="12" t="str">
        <x:v>Prestige Tech Cloud</x:v>
      </x:c>
      <x:c r="F6887" s="12" t="str">
        <x:v>55 inch</x:v>
      </x:c>
      <x:c r="G6887" s="20" t="n">
        <x:v>1</x:v>
      </x:c>
      <x:c r="H6887" s="12" t="str">
        <x:v>Campus/portfolio roster; individual building occupancy unverified</x:v>
      </x:c>
      <x:c r="I6887" s="12" t="str">
        <x:v>Large enterprise</x:v>
      </x:c>
      <x:c r="J6887" s="12" t="str">
        <x:v>IT &amp; digital</x:v>
      </x:c>
      <x:c r="K6887" s="2" t="str">
        <x:v>PARTNER-M039</x:v>
      </x:c>
    </x:row>
    <x:row r="6888" ht="46" customHeight="1">
      <x:c r="A6888" s="2" t="str">
        <x:v>TEN-BC3067AC45DF</x:v>
      </x:c>
      <x:c r="B6888" s="12" t="str">
        <x:v>Schneider Electric</x:v>
      </x:c>
      <x:c r="C6888" s="12" t="str">
        <x:v>CORP-0458</x:v>
      </x:c>
      <x:c r="D6888" s="12" t="str">
        <x:v>Bengaluru</x:v>
      </x:c>
      <x:c r="E6888" s="12" t="str">
        <x:v>Prestige Tech Cloud</x:v>
      </x:c>
      <x:c r="F6888" s="12" t="str">
        <x:v>55 inch</x:v>
      </x:c>
      <x:c r="G6888" s="20" t="n">
        <x:v>1</x:v>
      </x:c>
      <x:c r="H6888" s="12" t="str">
        <x:v>Campus/portfolio roster; individual building occupancy unverified</x:v>
      </x:c>
      <x:c r="I6888" s="12" t="str">
        <x:v>Large enterprise</x:v>
      </x:c>
      <x:c r="J6888" s="12" t="str">
        <x:v>Engineering &amp; manufacturing</x:v>
      </x:c>
      <x:c r="K6888" s="2" t="str">
        <x:v>PARTNER-M039</x:v>
      </x:c>
    </x:row>
    <x:row r="6889" ht="46" customHeight="1">
      <x:c r="A6889" s="2" t="str">
        <x:v>TEN-D1C7C99C6E2E</x:v>
      </x:c>
      <x:c r="B6889" s="12" t="str">
        <x:v>Tata</x:v>
      </x:c>
      <x:c r="C6889" s="12" t="str">
        <x:v>CORP-0458</x:v>
      </x:c>
      <x:c r="D6889" s="12" t="str">
        <x:v>Bengaluru</x:v>
      </x:c>
      <x:c r="E6889" s="12" t="str">
        <x:v>Prestige Tech Cloud</x:v>
      </x:c>
      <x:c r="F6889" s="12" t="str">
        <x:v>55 inch</x:v>
      </x:c>
      <x:c r="G6889" s="20" t="n">
        <x:v>1</x:v>
      </x:c>
      <x:c r="H6889" s="12" t="str">
        <x:v>Campus/portfolio roster; individual building occupancy unverified</x:v>
      </x:c>
      <x:c r="I6889" s="12" t="str">
        <x:v>Large enterprise</x:v>
      </x:c>
      <x:c r="J6889" s="12" t="str">
        <x:v>Unresolved</x:v>
      </x:c>
      <x:c r="K6889" s="2" t="str">
        <x:v>PARTNER-M039</x:v>
      </x:c>
    </x:row>
    <x:row r="6890" ht="46" customHeight="1">
      <x:c r="A6890" s="2" t="str">
        <x:v>TEN-EAE8E3404182</x:v>
      </x:c>
      <x:c r="B6890" s="12" t="str">
        <x:v>Nielsen</x:v>
      </x:c>
      <x:c r="C6890" s="12" t="str">
        <x:v>CORP-0458</x:v>
      </x:c>
      <x:c r="D6890" s="12" t="str">
        <x:v>Bengaluru</x:v>
      </x:c>
      <x:c r="E6890" s="12" t="str">
        <x:v>Prestige Tech Cloud</x:v>
      </x:c>
      <x:c r="F6890" s="12" t="str">
        <x:v>55 inch</x:v>
      </x:c>
      <x:c r="G6890" s="20" t="n">
        <x:v>1</x:v>
      </x:c>
      <x:c r="H6890" s="12" t="str">
        <x:v>Campus/portfolio roster; individual building occupancy unverified</x:v>
      </x:c>
      <x:c r="I6890" s="12" t="str">
        <x:v>Mixed business audience</x:v>
      </x:c>
      <x:c r="J6890" s="12" t="str">
        <x:v>Professional services</x:v>
      </x:c>
      <x:c r="K6890" s="2" t="str">
        <x:v>PARTNER-M039</x:v>
      </x:c>
    </x:row>
    <x:row r="6891" ht="46" customHeight="1">
      <x:c r="A6891" s="2" t="str">
        <x:v>TEN-EE9021C84F33</x:v>
      </x:c>
      <x:c r="B6891" s="12" t="str">
        <x:v>Adobe</x:v>
      </x:c>
      <x:c r="C6891" s="12" t="str">
        <x:v>CORP-0458</x:v>
      </x:c>
      <x:c r="D6891" s="12" t="str">
        <x:v>Bengaluru</x:v>
      </x:c>
      <x:c r="E6891" s="12" t="str">
        <x:v>Prestige Tech Cloud</x:v>
      </x:c>
      <x:c r="F6891" s="12" t="str">
        <x:v>55 inch</x:v>
      </x:c>
      <x:c r="G6891" s="20" t="n">
        <x:v>1</x:v>
      </x:c>
      <x:c r="H6891" s="12" t="str">
        <x:v>Campus/portfolio roster; individual building occupancy unverified</x:v>
      </x:c>
      <x:c r="I6891" s="12" t="str">
        <x:v>Large enterprise</x:v>
      </x:c>
      <x:c r="J6891" s="12" t="str">
        <x:v>IT &amp; digital</x:v>
      </x:c>
      <x:c r="K6891" s="2" t="str">
        <x:v>PARTNER-M039</x:v>
      </x:c>
    </x:row>
    <x:row r="6892" ht="46" customHeight="1">
      <x:c r="A6892" s="2" t="str">
        <x:v>TEN-F55A85B2F2EB</x:v>
      </x:c>
      <x:c r="B6892" s="12" t="str">
        <x:v>Capgemini</x:v>
      </x:c>
      <x:c r="C6892" s="12" t="str">
        <x:v>CORP-0458</x:v>
      </x:c>
      <x:c r="D6892" s="12" t="str">
        <x:v>Bengaluru</x:v>
      </x:c>
      <x:c r="E6892" s="12" t="str">
        <x:v>Prestige Tech Cloud</x:v>
      </x:c>
      <x:c r="F6892" s="12" t="str">
        <x:v>55 inch</x:v>
      </x:c>
      <x:c r="G6892" s="20" t="n">
        <x:v>1</x:v>
      </x:c>
      <x:c r="H6892" s="12" t="str">
        <x:v>Campus/portfolio roster; individual building occupancy unverified</x:v>
      </x:c>
      <x:c r="I6892" s="12" t="str">
        <x:v>Large enterprise</x:v>
      </x:c>
      <x:c r="J6892" s="12" t="str">
        <x:v>IT &amp; digital</x:v>
      </x:c>
      <x:c r="K6892" s="2" t="str">
        <x:v>PARTNER-M039</x:v>
      </x:c>
    </x:row>
    <x:row r="6893" ht="46" customHeight="1">
      <x:c r="A6893" s="2" t="str">
        <x:v>TEN-02250879BF4E</x:v>
      </x:c>
      <x:c r="B6893" s="12" t="str">
        <x:v>Credit Suisse</x:v>
      </x:c>
      <x:c r="C6893" s="12" t="str">
        <x:v>CORP-0459</x:v>
      </x:c>
      <x:c r="D6893" s="12" t="str">
        <x:v>Bengaluru</x:v>
      </x:c>
      <x:c r="E6893" s="12" t="str">
        <x:v>Prestige Tech Cloud</x:v>
      </x:c>
      <x:c r="F6893" s="12" t="str">
        <x:v>55 inch</x:v>
      </x:c>
      <x:c r="G6893" s="20" t="n">
        <x:v>1</x:v>
      </x:c>
      <x:c r="H6893" s="12" t="str">
        <x:v>Campus/portfolio roster; individual building occupancy unverified</x:v>
      </x:c>
      <x:c r="I6893" s="12" t="str">
        <x:v>Mixed business audience</x:v>
      </x:c>
      <x:c r="J6893" s="12" t="str">
        <x:v>Finance &amp; insurance</x:v>
      </x:c>
      <x:c r="K6893" s="2" t="str">
        <x:v>PARTNER-M039</x:v>
      </x:c>
    </x:row>
    <x:row r="6894" ht="46" customHeight="1">
      <x:c r="A6894" s="2" t="str">
        <x:v>TEN-229A4B0753F7</x:v>
      </x:c>
      <x:c r="B6894" s="12" t="str">
        <x:v>AIG</x:v>
      </x:c>
      <x:c r="C6894" s="12" t="str">
        <x:v>CORP-0459</x:v>
      </x:c>
      <x:c r="D6894" s="12" t="str">
        <x:v>Bengaluru</x:v>
      </x:c>
      <x:c r="E6894" s="12" t="str">
        <x:v>Prestige Tech Cloud</x:v>
      </x:c>
      <x:c r="F6894" s="12" t="str">
        <x:v>55 inch</x:v>
      </x:c>
      <x:c r="G6894" s="20" t="n">
        <x:v>1</x:v>
      </x:c>
      <x:c r="H6894" s="12" t="str">
        <x:v>Campus/portfolio roster; individual building occupancy unverified</x:v>
      </x:c>
      <x:c r="I6894" s="12" t="str">
        <x:v>Mixed business audience</x:v>
      </x:c>
      <x:c r="J6894" s="12" t="str">
        <x:v>Finance &amp; insurance</x:v>
      </x:c>
      <x:c r="K6894" s="2" t="str">
        <x:v>PARTNER-M039</x:v>
      </x:c>
    </x:row>
    <x:row r="6895" ht="46" customHeight="1">
      <x:c r="A6895" s="2" t="str">
        <x:v>TEN-28CBC5A35638</x:v>
      </x:c>
      <x:c r="B6895" s="12" t="str">
        <x:v>Juniper Networks</x:v>
      </x:c>
      <x:c r="C6895" s="12" t="str">
        <x:v>CORP-0459</x:v>
      </x:c>
      <x:c r="D6895" s="12" t="str">
        <x:v>Bengaluru</x:v>
      </x:c>
      <x:c r="E6895" s="12" t="str">
        <x:v>Prestige Tech Cloud</x:v>
      </x:c>
      <x:c r="F6895" s="12" t="str">
        <x:v>55 inch</x:v>
      </x:c>
      <x:c r="G6895" s="20" t="n">
        <x:v>1</x:v>
      </x:c>
      <x:c r="H6895" s="12" t="str">
        <x:v>Campus/portfolio roster; individual building occupancy unverified</x:v>
      </x:c>
      <x:c r="I6895" s="12" t="str">
        <x:v>Large enterprise</x:v>
      </x:c>
      <x:c r="J6895" s="12" t="str">
        <x:v>IT &amp; digital</x:v>
      </x:c>
      <x:c r="K6895" s="2" t="str">
        <x:v>PARTNER-M039</x:v>
      </x:c>
    </x:row>
    <x:row r="6896" ht="46" customHeight="1">
      <x:c r="A6896" s="2" t="str">
        <x:v>TEN-28D7AE9C8DBC</x:v>
      </x:c>
      <x:c r="B6896" s="12" t="str">
        <x:v>Robert Bosch</x:v>
      </x:c>
      <x:c r="C6896" s="12" t="str">
        <x:v>CORP-0459</x:v>
      </x:c>
      <x:c r="D6896" s="12" t="str">
        <x:v>Bengaluru</x:v>
      </x:c>
      <x:c r="E6896" s="12" t="str">
        <x:v>Prestige Tech Cloud</x:v>
      </x:c>
      <x:c r="F6896" s="12" t="str">
        <x:v>55 inch</x:v>
      </x:c>
      <x:c r="G6896" s="20" t="n">
        <x:v>1</x:v>
      </x:c>
      <x:c r="H6896" s="12" t="str">
        <x:v>Campus/portfolio roster; individual building occupancy unverified</x:v>
      </x:c>
      <x:c r="I6896" s="12" t="str">
        <x:v>Large enterprise</x:v>
      </x:c>
      <x:c r="J6896" s="12" t="str">
        <x:v>Engineering &amp; manufacturing</x:v>
      </x:c>
      <x:c r="K6896" s="2" t="str">
        <x:v>PARTNER-M039</x:v>
      </x:c>
    </x:row>
    <x:row r="6897" ht="46" customHeight="1">
      <x:c r="A6897" s="2" t="str">
        <x:v>TEN-30448EBA2EBE</x:v>
      </x:c>
      <x:c r="B6897" s="12" t="str">
        <x:v>Western Digital</x:v>
      </x:c>
      <x:c r="C6897" s="12" t="str">
        <x:v>CORP-0459</x:v>
      </x:c>
      <x:c r="D6897" s="12" t="str">
        <x:v>Bengaluru</x:v>
      </x:c>
      <x:c r="E6897" s="12" t="str">
        <x:v>Prestige Tech Cloud</x:v>
      </x:c>
      <x:c r="F6897" s="12" t="str">
        <x:v>55 inch</x:v>
      </x:c>
      <x:c r="G6897" s="20" t="n">
        <x:v>1</x:v>
      </x:c>
      <x:c r="H6897" s="12" t="str">
        <x:v>Campus/portfolio roster; individual building occupancy unverified</x:v>
      </x:c>
      <x:c r="I6897" s="12" t="str">
        <x:v>Mixed business audience</x:v>
      </x:c>
      <x:c r="J6897" s="12" t="str">
        <x:v>Engineering &amp; manufacturing</x:v>
      </x:c>
      <x:c r="K6897" s="2" t="str">
        <x:v>PARTNER-M039</x:v>
      </x:c>
    </x:row>
    <x:row r="6898" ht="46" customHeight="1">
      <x:c r="A6898" s="2" t="str">
        <x:v>TEN-592CC302663C</x:v>
      </x:c>
      <x:c r="B6898" s="12" t="str">
        <x:v>Vmware</x:v>
      </x:c>
      <x:c r="C6898" s="12" t="str">
        <x:v>CORP-0459</x:v>
      </x:c>
      <x:c r="D6898" s="12" t="str">
        <x:v>Bengaluru</x:v>
      </x:c>
      <x:c r="E6898" s="12" t="str">
        <x:v>Prestige Tech Cloud</x:v>
      </x:c>
      <x:c r="F6898" s="12" t="str">
        <x:v>55 inch</x:v>
      </x:c>
      <x:c r="G6898" s="20" t="n">
        <x:v>1</x:v>
      </x:c>
      <x:c r="H6898" s="12" t="str">
        <x:v>Campus/portfolio roster; individual building occupancy unverified</x:v>
      </x:c>
      <x:c r="I6898" s="12" t="str">
        <x:v>Mixed business audience</x:v>
      </x:c>
      <x:c r="J6898" s="12" t="str">
        <x:v>IT &amp; digital</x:v>
      </x:c>
      <x:c r="K6898" s="2" t="str">
        <x:v>PARTNER-M039</x:v>
      </x:c>
    </x:row>
    <x:row r="6899" ht="46" customHeight="1">
      <x:c r="A6899" s="2" t="str">
        <x:v>TEN-5FA790F3630F</x:v>
      </x:c>
      <x:c r="B6899" s="12" t="str">
        <x:v>Tata Consultancy Services</x:v>
      </x:c>
      <x:c r="C6899" s="12" t="str">
        <x:v>CORP-0459</x:v>
      </x:c>
      <x:c r="D6899" s="12" t="str">
        <x:v>Bengaluru</x:v>
      </x:c>
      <x:c r="E6899" s="12" t="str">
        <x:v>Prestige Tech Cloud</x:v>
      </x:c>
      <x:c r="F6899" s="12" t="str">
        <x:v>55 inch</x:v>
      </x:c>
      <x:c r="G6899" s="20" t="n">
        <x:v>1</x:v>
      </x:c>
      <x:c r="H6899" s="12" t="str">
        <x:v>Campus/portfolio roster; individual building occupancy unverified</x:v>
      </x:c>
      <x:c r="I6899" s="12" t="str">
        <x:v>Large enterprise</x:v>
      </x:c>
      <x:c r="J6899" s="12" t="str">
        <x:v>IT &amp; digital</x:v>
      </x:c>
      <x:c r="K6899" s="2" t="str">
        <x:v>PARTNER-M039</x:v>
      </x:c>
    </x:row>
    <x:row r="6900" ht="46" customHeight="1">
      <x:c r="A6900" s="2" t="str">
        <x:v>TEN-8217BB19EBF1</x:v>
      </x:c>
      <x:c r="B6900" s="12" t="str">
        <x:v>J.P. Morgan</x:v>
      </x:c>
      <x:c r="C6900" s="12" t="str">
        <x:v>CORP-0459</x:v>
      </x:c>
      <x:c r="D6900" s="12" t="str">
        <x:v>Bengaluru</x:v>
      </x:c>
      <x:c r="E6900" s="12" t="str">
        <x:v>Prestige Tech Cloud</x:v>
      </x:c>
      <x:c r="F6900" s="12" t="str">
        <x:v>55 inch</x:v>
      </x:c>
      <x:c r="G6900" s="20" t="n">
        <x:v>1</x:v>
      </x:c>
      <x:c r="H6900" s="12" t="str">
        <x:v>Campus/portfolio roster; individual building occupancy unverified</x:v>
      </x:c>
      <x:c r="I6900" s="12" t="str">
        <x:v>Large enterprise</x:v>
      </x:c>
      <x:c r="J6900" s="12" t="str">
        <x:v>Finance &amp; insurance</x:v>
      </x:c>
      <x:c r="K6900" s="2" t="str">
        <x:v>PARTNER-M039</x:v>
      </x:c>
    </x:row>
    <x:row r="6901" ht="46" customHeight="1">
      <x:c r="A6901" s="2" t="str">
        <x:v>TEN-9202AF6CE925</x:v>
      </x:c>
      <x:c r="B6901" s="12" t="str">
        <x:v>Oracle</x:v>
      </x:c>
      <x:c r="C6901" s="12" t="str">
        <x:v>CORP-0459</x:v>
      </x:c>
      <x:c r="D6901" s="12" t="str">
        <x:v>Bengaluru</x:v>
      </x:c>
      <x:c r="E6901" s="12" t="str">
        <x:v>Prestige Tech Cloud</x:v>
      </x:c>
      <x:c r="F6901" s="12" t="str">
        <x:v>55 inch</x:v>
      </x:c>
      <x:c r="G6901" s="20" t="n">
        <x:v>1</x:v>
      </x:c>
      <x:c r="H6901" s="12" t="str">
        <x:v>Campus/portfolio roster; individual building occupancy unverified</x:v>
      </x:c>
      <x:c r="I6901" s="12" t="str">
        <x:v>Large enterprise</x:v>
      </x:c>
      <x:c r="J6901" s="12" t="str">
        <x:v>IT &amp; digital</x:v>
      </x:c>
      <x:c r="K6901" s="2" t="str">
        <x:v>PARTNER-M039</x:v>
      </x:c>
    </x:row>
    <x:row r="6902" ht="46" customHeight="1">
      <x:c r="A6902" s="2" t="str">
        <x:v>TEN-9FBF261B62C1</x:v>
      </x:c>
      <x:c r="B6902" s="12" t="str">
        <x:v>Microsoft</x:v>
      </x:c>
      <x:c r="C6902" s="12" t="str">
        <x:v>CORP-0459</x:v>
      </x:c>
      <x:c r="D6902" s="12" t="str">
        <x:v>Bengaluru</x:v>
      </x:c>
      <x:c r="E6902" s="12" t="str">
        <x:v>Prestige Tech Cloud</x:v>
      </x:c>
      <x:c r="F6902" s="12" t="str">
        <x:v>55 inch</x:v>
      </x:c>
      <x:c r="G6902" s="20" t="n">
        <x:v>1</x:v>
      </x:c>
      <x:c r="H6902" s="12" t="str">
        <x:v>Campus/portfolio roster; individual building occupancy unverified</x:v>
      </x:c>
      <x:c r="I6902" s="12" t="str">
        <x:v>Large enterprise</x:v>
      </x:c>
      <x:c r="J6902" s="12" t="str">
        <x:v>IT &amp; digital</x:v>
      </x:c>
      <x:c r="K6902" s="2" t="str">
        <x:v>PARTNER-M039</x:v>
      </x:c>
    </x:row>
    <x:row r="6903" ht="46" customHeight="1">
      <x:c r="A6903" s="2" t="str">
        <x:v>TEN-BC3067AC45DF</x:v>
      </x:c>
      <x:c r="B6903" s="12" t="str">
        <x:v>Schneider Electric</x:v>
      </x:c>
      <x:c r="C6903" s="12" t="str">
        <x:v>CORP-0459</x:v>
      </x:c>
      <x:c r="D6903" s="12" t="str">
        <x:v>Bengaluru</x:v>
      </x:c>
      <x:c r="E6903" s="12" t="str">
        <x:v>Prestige Tech Cloud</x:v>
      </x:c>
      <x:c r="F6903" s="12" t="str">
        <x:v>55 inch</x:v>
      </x:c>
      <x:c r="G6903" s="20" t="n">
        <x:v>1</x:v>
      </x:c>
      <x:c r="H6903" s="12" t="str">
        <x:v>Campus/portfolio roster; individual building occupancy unverified</x:v>
      </x:c>
      <x:c r="I6903" s="12" t="str">
        <x:v>Large enterprise</x:v>
      </x:c>
      <x:c r="J6903" s="12" t="str">
        <x:v>Engineering &amp; manufacturing</x:v>
      </x:c>
      <x:c r="K6903" s="2" t="str">
        <x:v>PARTNER-M039</x:v>
      </x:c>
    </x:row>
    <x:row r="6904" ht="46" customHeight="1">
      <x:c r="A6904" s="2" t="str">
        <x:v>TEN-D1C7C99C6E2E</x:v>
      </x:c>
      <x:c r="B6904" s="12" t="str">
        <x:v>Tata</x:v>
      </x:c>
      <x:c r="C6904" s="12" t="str">
        <x:v>CORP-0459</x:v>
      </x:c>
      <x:c r="D6904" s="12" t="str">
        <x:v>Bengaluru</x:v>
      </x:c>
      <x:c r="E6904" s="12" t="str">
        <x:v>Prestige Tech Cloud</x:v>
      </x:c>
      <x:c r="F6904" s="12" t="str">
        <x:v>55 inch</x:v>
      </x:c>
      <x:c r="G6904" s="20" t="n">
        <x:v>1</x:v>
      </x:c>
      <x:c r="H6904" s="12" t="str">
        <x:v>Campus/portfolio roster; individual building occupancy unverified</x:v>
      </x:c>
      <x:c r="I6904" s="12" t="str">
        <x:v>Large enterprise</x:v>
      </x:c>
      <x:c r="J6904" s="12" t="str">
        <x:v>Unresolved</x:v>
      </x:c>
      <x:c r="K6904" s="2" t="str">
        <x:v>PARTNER-M039</x:v>
      </x:c>
    </x:row>
    <x:row r="6905" ht="46" customHeight="1">
      <x:c r="A6905" s="2" t="str">
        <x:v>TEN-EAE8E3404182</x:v>
      </x:c>
      <x:c r="B6905" s="12" t="str">
        <x:v>Nielsen</x:v>
      </x:c>
      <x:c r="C6905" s="12" t="str">
        <x:v>CORP-0459</x:v>
      </x:c>
      <x:c r="D6905" s="12" t="str">
        <x:v>Bengaluru</x:v>
      </x:c>
      <x:c r="E6905" s="12" t="str">
        <x:v>Prestige Tech Cloud</x:v>
      </x:c>
      <x:c r="F6905" s="12" t="str">
        <x:v>55 inch</x:v>
      </x:c>
      <x:c r="G6905" s="20" t="n">
        <x:v>1</x:v>
      </x:c>
      <x:c r="H6905" s="12" t="str">
        <x:v>Campus/portfolio roster; individual building occupancy unverified</x:v>
      </x:c>
      <x:c r="I6905" s="12" t="str">
        <x:v>Mixed business audience</x:v>
      </x:c>
      <x:c r="J6905" s="12" t="str">
        <x:v>Professional services</x:v>
      </x:c>
      <x:c r="K6905" s="2" t="str">
        <x:v>PARTNER-M039</x:v>
      </x:c>
    </x:row>
    <x:row r="6906" ht="46" customHeight="1">
      <x:c r="A6906" s="2" t="str">
        <x:v>TEN-EE9021C84F33</x:v>
      </x:c>
      <x:c r="B6906" s="12" t="str">
        <x:v>Adobe</x:v>
      </x:c>
      <x:c r="C6906" s="12" t="str">
        <x:v>CORP-0459</x:v>
      </x:c>
      <x:c r="D6906" s="12" t="str">
        <x:v>Bengaluru</x:v>
      </x:c>
      <x:c r="E6906" s="12" t="str">
        <x:v>Prestige Tech Cloud</x:v>
      </x:c>
      <x:c r="F6906" s="12" t="str">
        <x:v>55 inch</x:v>
      </x:c>
      <x:c r="G6906" s="20" t="n">
        <x:v>1</x:v>
      </x:c>
      <x:c r="H6906" s="12" t="str">
        <x:v>Campus/portfolio roster; individual building occupancy unverified</x:v>
      </x:c>
      <x:c r="I6906" s="12" t="str">
        <x:v>Large enterprise</x:v>
      </x:c>
      <x:c r="J6906" s="12" t="str">
        <x:v>IT &amp; digital</x:v>
      </x:c>
      <x:c r="K6906" s="2" t="str">
        <x:v>PARTNER-M039</x:v>
      </x:c>
    </x:row>
    <x:row r="6907" ht="46" customHeight="1">
      <x:c r="A6907" s="2" t="str">
        <x:v>TEN-F55A85B2F2EB</x:v>
      </x:c>
      <x:c r="B6907" s="12" t="str">
        <x:v>Capgemini</x:v>
      </x:c>
      <x:c r="C6907" s="12" t="str">
        <x:v>CORP-0459</x:v>
      </x:c>
      <x:c r="D6907" s="12" t="str">
        <x:v>Bengaluru</x:v>
      </x:c>
      <x:c r="E6907" s="12" t="str">
        <x:v>Prestige Tech Cloud</x:v>
      </x:c>
      <x:c r="F6907" s="12" t="str">
        <x:v>55 inch</x:v>
      </x:c>
      <x:c r="G6907" s="20" t="n">
        <x:v>1</x:v>
      </x:c>
      <x:c r="H6907" s="12" t="str">
        <x:v>Campus/portfolio roster; individual building occupancy unverified</x:v>
      </x:c>
      <x:c r="I6907" s="12" t="str">
        <x:v>Large enterprise</x:v>
      </x:c>
      <x:c r="J6907" s="12" t="str">
        <x:v>IT &amp; digital</x:v>
      </x:c>
      <x:c r="K6907" s="2" t="str">
        <x:v>PARTNER-M039</x:v>
      </x:c>
    </x:row>
    <x:row r="6908" ht="46" customHeight="1">
      <x:c r="A6908" s="2" t="str">
        <x:v>TEN-02250879BF4E</x:v>
      </x:c>
      <x:c r="B6908" s="12" t="str">
        <x:v>Credit Suisse</x:v>
      </x:c>
      <x:c r="C6908" s="12" t="str">
        <x:v>CORP-0460</x:v>
      </x:c>
      <x:c r="D6908" s="12" t="str">
        <x:v>Bengaluru</x:v>
      </x:c>
      <x:c r="E6908" s="12" t="str">
        <x:v>Prestige Tech Cloud</x:v>
      </x:c>
      <x:c r="F6908" s="12" t="str">
        <x:v>55 inch</x:v>
      </x:c>
      <x:c r="G6908" s="20" t="n">
        <x:v>1</x:v>
      </x:c>
      <x:c r="H6908" s="12" t="str">
        <x:v>Campus/portfolio roster; individual building occupancy unverified</x:v>
      </x:c>
      <x:c r="I6908" s="12" t="str">
        <x:v>Mixed business audience</x:v>
      </x:c>
      <x:c r="J6908" s="12" t="str">
        <x:v>Finance &amp; insurance</x:v>
      </x:c>
      <x:c r="K6908" s="2" t="str">
        <x:v>PARTNER-M039</x:v>
      </x:c>
    </x:row>
    <x:row r="6909" ht="46" customHeight="1">
      <x:c r="A6909" s="2" t="str">
        <x:v>TEN-229A4B0753F7</x:v>
      </x:c>
      <x:c r="B6909" s="12" t="str">
        <x:v>AIG</x:v>
      </x:c>
      <x:c r="C6909" s="12" t="str">
        <x:v>CORP-0460</x:v>
      </x:c>
      <x:c r="D6909" s="12" t="str">
        <x:v>Bengaluru</x:v>
      </x:c>
      <x:c r="E6909" s="12" t="str">
        <x:v>Prestige Tech Cloud</x:v>
      </x:c>
      <x:c r="F6909" s="12" t="str">
        <x:v>55 inch</x:v>
      </x:c>
      <x:c r="G6909" s="20" t="n">
        <x:v>1</x:v>
      </x:c>
      <x:c r="H6909" s="12" t="str">
        <x:v>Campus/portfolio roster; individual building occupancy unverified</x:v>
      </x:c>
      <x:c r="I6909" s="12" t="str">
        <x:v>Mixed business audience</x:v>
      </x:c>
      <x:c r="J6909" s="12" t="str">
        <x:v>Finance &amp; insurance</x:v>
      </x:c>
      <x:c r="K6909" s="2" t="str">
        <x:v>PARTNER-M039</x:v>
      </x:c>
    </x:row>
    <x:row r="6910" ht="46" customHeight="1">
      <x:c r="A6910" s="2" t="str">
        <x:v>TEN-28CBC5A35638</x:v>
      </x:c>
      <x:c r="B6910" s="12" t="str">
        <x:v>Juniper Networks</x:v>
      </x:c>
      <x:c r="C6910" s="12" t="str">
        <x:v>CORP-0460</x:v>
      </x:c>
      <x:c r="D6910" s="12" t="str">
        <x:v>Bengaluru</x:v>
      </x:c>
      <x:c r="E6910" s="12" t="str">
        <x:v>Prestige Tech Cloud</x:v>
      </x:c>
      <x:c r="F6910" s="12" t="str">
        <x:v>55 inch</x:v>
      </x:c>
      <x:c r="G6910" s="20" t="n">
        <x:v>1</x:v>
      </x:c>
      <x:c r="H6910" s="12" t="str">
        <x:v>Campus/portfolio roster; individual building occupancy unverified</x:v>
      </x:c>
      <x:c r="I6910" s="12" t="str">
        <x:v>Large enterprise</x:v>
      </x:c>
      <x:c r="J6910" s="12" t="str">
        <x:v>IT &amp; digital</x:v>
      </x:c>
      <x:c r="K6910" s="2" t="str">
        <x:v>PARTNER-M039</x:v>
      </x:c>
    </x:row>
    <x:row r="6911" ht="46" customHeight="1">
      <x:c r="A6911" s="2" t="str">
        <x:v>TEN-28D7AE9C8DBC</x:v>
      </x:c>
      <x:c r="B6911" s="12" t="str">
        <x:v>Robert Bosch</x:v>
      </x:c>
      <x:c r="C6911" s="12" t="str">
        <x:v>CORP-0460</x:v>
      </x:c>
      <x:c r="D6911" s="12" t="str">
        <x:v>Bengaluru</x:v>
      </x:c>
      <x:c r="E6911" s="12" t="str">
        <x:v>Prestige Tech Cloud</x:v>
      </x:c>
      <x:c r="F6911" s="12" t="str">
        <x:v>55 inch</x:v>
      </x:c>
      <x:c r="G6911" s="20" t="n">
        <x:v>1</x:v>
      </x:c>
      <x:c r="H6911" s="12" t="str">
        <x:v>Campus/portfolio roster; individual building occupancy unverified</x:v>
      </x:c>
      <x:c r="I6911" s="12" t="str">
        <x:v>Large enterprise</x:v>
      </x:c>
      <x:c r="J6911" s="12" t="str">
        <x:v>Engineering &amp; manufacturing</x:v>
      </x:c>
      <x:c r="K6911" s="2" t="str">
        <x:v>PARTNER-M039</x:v>
      </x:c>
    </x:row>
    <x:row r="6912" ht="46" customHeight="1">
      <x:c r="A6912" s="2" t="str">
        <x:v>TEN-30448EBA2EBE</x:v>
      </x:c>
      <x:c r="B6912" s="12" t="str">
        <x:v>Western Digital</x:v>
      </x:c>
      <x:c r="C6912" s="12" t="str">
        <x:v>CORP-0460</x:v>
      </x:c>
      <x:c r="D6912" s="12" t="str">
        <x:v>Bengaluru</x:v>
      </x:c>
      <x:c r="E6912" s="12" t="str">
        <x:v>Prestige Tech Cloud</x:v>
      </x:c>
      <x:c r="F6912" s="12" t="str">
        <x:v>55 inch</x:v>
      </x:c>
      <x:c r="G6912" s="20" t="n">
        <x:v>1</x:v>
      </x:c>
      <x:c r="H6912" s="12" t="str">
        <x:v>Campus/portfolio roster; individual building occupancy unverified</x:v>
      </x:c>
      <x:c r="I6912" s="12" t="str">
        <x:v>Mixed business audience</x:v>
      </x:c>
      <x:c r="J6912" s="12" t="str">
        <x:v>Engineering &amp; manufacturing</x:v>
      </x:c>
      <x:c r="K6912" s="2" t="str">
        <x:v>PARTNER-M039</x:v>
      </x:c>
    </x:row>
    <x:row r="6913" ht="46" customHeight="1">
      <x:c r="A6913" s="2" t="str">
        <x:v>TEN-592CC302663C</x:v>
      </x:c>
      <x:c r="B6913" s="12" t="str">
        <x:v>Vmware</x:v>
      </x:c>
      <x:c r="C6913" s="12" t="str">
        <x:v>CORP-0460</x:v>
      </x:c>
      <x:c r="D6913" s="12" t="str">
        <x:v>Bengaluru</x:v>
      </x:c>
      <x:c r="E6913" s="12" t="str">
        <x:v>Prestige Tech Cloud</x:v>
      </x:c>
      <x:c r="F6913" s="12" t="str">
        <x:v>55 inch</x:v>
      </x:c>
      <x:c r="G6913" s="20" t="n">
        <x:v>1</x:v>
      </x:c>
      <x:c r="H6913" s="12" t="str">
        <x:v>Campus/portfolio roster; individual building occupancy unverified</x:v>
      </x:c>
      <x:c r="I6913" s="12" t="str">
        <x:v>Mixed business audience</x:v>
      </x:c>
      <x:c r="J6913" s="12" t="str">
        <x:v>IT &amp; digital</x:v>
      </x:c>
      <x:c r="K6913" s="2" t="str">
        <x:v>PARTNER-M039</x:v>
      </x:c>
    </x:row>
    <x:row r="6914" ht="46" customHeight="1">
      <x:c r="A6914" s="2" t="str">
        <x:v>TEN-5FA790F3630F</x:v>
      </x:c>
      <x:c r="B6914" s="12" t="str">
        <x:v>Tata Consultancy Services</x:v>
      </x:c>
      <x:c r="C6914" s="12" t="str">
        <x:v>CORP-0460</x:v>
      </x:c>
      <x:c r="D6914" s="12" t="str">
        <x:v>Bengaluru</x:v>
      </x:c>
      <x:c r="E6914" s="12" t="str">
        <x:v>Prestige Tech Cloud</x:v>
      </x:c>
      <x:c r="F6914" s="12" t="str">
        <x:v>55 inch</x:v>
      </x:c>
      <x:c r="G6914" s="20" t="n">
        <x:v>1</x:v>
      </x:c>
      <x:c r="H6914" s="12" t="str">
        <x:v>Campus/portfolio roster; individual building occupancy unverified</x:v>
      </x:c>
      <x:c r="I6914" s="12" t="str">
        <x:v>Large enterprise</x:v>
      </x:c>
      <x:c r="J6914" s="12" t="str">
        <x:v>IT &amp; digital</x:v>
      </x:c>
      <x:c r="K6914" s="2" t="str">
        <x:v>PARTNER-M039</x:v>
      </x:c>
    </x:row>
    <x:row r="6915" ht="46" customHeight="1">
      <x:c r="A6915" s="2" t="str">
        <x:v>TEN-8217BB19EBF1</x:v>
      </x:c>
      <x:c r="B6915" s="12" t="str">
        <x:v>J.P. Morgan</x:v>
      </x:c>
      <x:c r="C6915" s="12" t="str">
        <x:v>CORP-0460</x:v>
      </x:c>
      <x:c r="D6915" s="12" t="str">
        <x:v>Bengaluru</x:v>
      </x:c>
      <x:c r="E6915" s="12" t="str">
        <x:v>Prestige Tech Cloud</x:v>
      </x:c>
      <x:c r="F6915" s="12" t="str">
        <x:v>55 inch</x:v>
      </x:c>
      <x:c r="G6915" s="20" t="n">
        <x:v>1</x:v>
      </x:c>
      <x:c r="H6915" s="12" t="str">
        <x:v>Campus/portfolio roster; individual building occupancy unverified</x:v>
      </x:c>
      <x:c r="I6915" s="12" t="str">
        <x:v>Large enterprise</x:v>
      </x:c>
      <x:c r="J6915" s="12" t="str">
        <x:v>Finance &amp; insurance</x:v>
      </x:c>
      <x:c r="K6915" s="2" t="str">
        <x:v>PARTNER-M039</x:v>
      </x:c>
    </x:row>
    <x:row r="6916" ht="46" customHeight="1">
      <x:c r="A6916" s="2" t="str">
        <x:v>TEN-9202AF6CE925</x:v>
      </x:c>
      <x:c r="B6916" s="12" t="str">
        <x:v>Oracle</x:v>
      </x:c>
      <x:c r="C6916" s="12" t="str">
        <x:v>CORP-0460</x:v>
      </x:c>
      <x:c r="D6916" s="12" t="str">
        <x:v>Bengaluru</x:v>
      </x:c>
      <x:c r="E6916" s="12" t="str">
        <x:v>Prestige Tech Cloud</x:v>
      </x:c>
      <x:c r="F6916" s="12" t="str">
        <x:v>55 inch</x:v>
      </x:c>
      <x:c r="G6916" s="20" t="n">
        <x:v>1</x:v>
      </x:c>
      <x:c r="H6916" s="12" t="str">
        <x:v>Campus/portfolio roster; individual building occupancy unverified</x:v>
      </x:c>
      <x:c r="I6916" s="12" t="str">
        <x:v>Large enterprise</x:v>
      </x:c>
      <x:c r="J6916" s="12" t="str">
        <x:v>IT &amp; digital</x:v>
      </x:c>
      <x:c r="K6916" s="2" t="str">
        <x:v>PARTNER-M039</x:v>
      </x:c>
    </x:row>
    <x:row r="6917" ht="46" customHeight="1">
      <x:c r="A6917" s="2" t="str">
        <x:v>TEN-9FBF261B62C1</x:v>
      </x:c>
      <x:c r="B6917" s="12" t="str">
        <x:v>Microsoft</x:v>
      </x:c>
      <x:c r="C6917" s="12" t="str">
        <x:v>CORP-0460</x:v>
      </x:c>
      <x:c r="D6917" s="12" t="str">
        <x:v>Bengaluru</x:v>
      </x:c>
      <x:c r="E6917" s="12" t="str">
        <x:v>Prestige Tech Cloud</x:v>
      </x:c>
      <x:c r="F6917" s="12" t="str">
        <x:v>55 inch</x:v>
      </x:c>
      <x:c r="G6917" s="20" t="n">
        <x:v>1</x:v>
      </x:c>
      <x:c r="H6917" s="12" t="str">
        <x:v>Campus/portfolio roster; individual building occupancy unverified</x:v>
      </x:c>
      <x:c r="I6917" s="12" t="str">
        <x:v>Large enterprise</x:v>
      </x:c>
      <x:c r="J6917" s="12" t="str">
        <x:v>IT &amp; digital</x:v>
      </x:c>
      <x:c r="K6917" s="2" t="str">
        <x:v>PARTNER-M039</x:v>
      </x:c>
    </x:row>
    <x:row r="6918" ht="46" customHeight="1">
      <x:c r="A6918" s="2" t="str">
        <x:v>TEN-BC3067AC45DF</x:v>
      </x:c>
      <x:c r="B6918" s="12" t="str">
        <x:v>Schneider Electric</x:v>
      </x:c>
      <x:c r="C6918" s="12" t="str">
        <x:v>CORP-0460</x:v>
      </x:c>
      <x:c r="D6918" s="12" t="str">
        <x:v>Bengaluru</x:v>
      </x:c>
      <x:c r="E6918" s="12" t="str">
        <x:v>Prestige Tech Cloud</x:v>
      </x:c>
      <x:c r="F6918" s="12" t="str">
        <x:v>55 inch</x:v>
      </x:c>
      <x:c r="G6918" s="20" t="n">
        <x:v>1</x:v>
      </x:c>
      <x:c r="H6918" s="12" t="str">
        <x:v>Campus/portfolio roster; individual building occupancy unverified</x:v>
      </x:c>
      <x:c r="I6918" s="12" t="str">
        <x:v>Large enterprise</x:v>
      </x:c>
      <x:c r="J6918" s="12" t="str">
        <x:v>Engineering &amp; manufacturing</x:v>
      </x:c>
      <x:c r="K6918" s="2" t="str">
        <x:v>PARTNER-M039</x:v>
      </x:c>
    </x:row>
    <x:row r="6919" ht="46" customHeight="1">
      <x:c r="A6919" s="2" t="str">
        <x:v>TEN-D1C7C99C6E2E</x:v>
      </x:c>
      <x:c r="B6919" s="12" t="str">
        <x:v>Tata</x:v>
      </x:c>
      <x:c r="C6919" s="12" t="str">
        <x:v>CORP-0460</x:v>
      </x:c>
      <x:c r="D6919" s="12" t="str">
        <x:v>Bengaluru</x:v>
      </x:c>
      <x:c r="E6919" s="12" t="str">
        <x:v>Prestige Tech Cloud</x:v>
      </x:c>
      <x:c r="F6919" s="12" t="str">
        <x:v>55 inch</x:v>
      </x:c>
      <x:c r="G6919" s="20" t="n">
        <x:v>1</x:v>
      </x:c>
      <x:c r="H6919" s="12" t="str">
        <x:v>Campus/portfolio roster; individual building occupancy unverified</x:v>
      </x:c>
      <x:c r="I6919" s="12" t="str">
        <x:v>Large enterprise</x:v>
      </x:c>
      <x:c r="J6919" s="12" t="str">
        <x:v>Unresolved</x:v>
      </x:c>
      <x:c r="K6919" s="2" t="str">
        <x:v>PARTNER-M039</x:v>
      </x:c>
    </x:row>
    <x:row r="6920" ht="46" customHeight="1">
      <x:c r="A6920" s="2" t="str">
        <x:v>TEN-EAE8E3404182</x:v>
      </x:c>
      <x:c r="B6920" s="12" t="str">
        <x:v>Nielsen</x:v>
      </x:c>
      <x:c r="C6920" s="12" t="str">
        <x:v>CORP-0460</x:v>
      </x:c>
      <x:c r="D6920" s="12" t="str">
        <x:v>Bengaluru</x:v>
      </x:c>
      <x:c r="E6920" s="12" t="str">
        <x:v>Prestige Tech Cloud</x:v>
      </x:c>
      <x:c r="F6920" s="12" t="str">
        <x:v>55 inch</x:v>
      </x:c>
      <x:c r="G6920" s="20" t="n">
        <x:v>1</x:v>
      </x:c>
      <x:c r="H6920" s="12" t="str">
        <x:v>Campus/portfolio roster; individual building occupancy unverified</x:v>
      </x:c>
      <x:c r="I6920" s="12" t="str">
        <x:v>Mixed business audience</x:v>
      </x:c>
      <x:c r="J6920" s="12" t="str">
        <x:v>Professional services</x:v>
      </x:c>
      <x:c r="K6920" s="2" t="str">
        <x:v>PARTNER-M039</x:v>
      </x:c>
    </x:row>
    <x:row r="6921" ht="46" customHeight="1">
      <x:c r="A6921" s="2" t="str">
        <x:v>TEN-EE9021C84F33</x:v>
      </x:c>
      <x:c r="B6921" s="12" t="str">
        <x:v>Adobe</x:v>
      </x:c>
      <x:c r="C6921" s="12" t="str">
        <x:v>CORP-0460</x:v>
      </x:c>
      <x:c r="D6921" s="12" t="str">
        <x:v>Bengaluru</x:v>
      </x:c>
      <x:c r="E6921" s="12" t="str">
        <x:v>Prestige Tech Cloud</x:v>
      </x:c>
      <x:c r="F6921" s="12" t="str">
        <x:v>55 inch</x:v>
      </x:c>
      <x:c r="G6921" s="20" t="n">
        <x:v>1</x:v>
      </x:c>
      <x:c r="H6921" s="12" t="str">
        <x:v>Campus/portfolio roster; individual building occupancy unverified</x:v>
      </x:c>
      <x:c r="I6921" s="12" t="str">
        <x:v>Large enterprise</x:v>
      </x:c>
      <x:c r="J6921" s="12" t="str">
        <x:v>IT &amp; digital</x:v>
      </x:c>
      <x:c r="K6921" s="2" t="str">
        <x:v>PARTNER-M039</x:v>
      </x:c>
    </x:row>
    <x:row r="6922" ht="46" customHeight="1">
      <x:c r="A6922" s="2" t="str">
        <x:v>TEN-F55A85B2F2EB</x:v>
      </x:c>
      <x:c r="B6922" s="12" t="str">
        <x:v>Capgemini</x:v>
      </x:c>
      <x:c r="C6922" s="12" t="str">
        <x:v>CORP-0460</x:v>
      </x:c>
      <x:c r="D6922" s="12" t="str">
        <x:v>Bengaluru</x:v>
      </x:c>
      <x:c r="E6922" s="12" t="str">
        <x:v>Prestige Tech Cloud</x:v>
      </x:c>
      <x:c r="F6922" s="12" t="str">
        <x:v>55 inch</x:v>
      </x:c>
      <x:c r="G6922" s="20" t="n">
        <x:v>1</x:v>
      </x:c>
      <x:c r="H6922" s="12" t="str">
        <x:v>Campus/portfolio roster; individual building occupancy unverified</x:v>
      </x:c>
      <x:c r="I6922" s="12" t="str">
        <x:v>Large enterprise</x:v>
      </x:c>
      <x:c r="J6922" s="12" t="str">
        <x:v>IT &amp; digital</x:v>
      </x:c>
      <x:c r="K6922" s="2" t="str">
        <x:v>PARTNER-M039</x:v>
      </x:c>
    </x:row>
    <x:row r="6923" ht="46" customHeight="1">
      <x:c r="A6923" s="2" t="str">
        <x:v>TEN-02250879BF4E</x:v>
      </x:c>
      <x:c r="B6923" s="12" t="str">
        <x:v>Credit Suisse</x:v>
      </x:c>
      <x:c r="C6923" s="12" t="str">
        <x:v>CORP-0461</x:v>
      </x:c>
      <x:c r="D6923" s="12" t="str">
        <x:v>Bengaluru</x:v>
      </x:c>
      <x:c r="E6923" s="12" t="str">
        <x:v>Prestige Tech Cloud</x:v>
      </x:c>
      <x:c r="F6923" s="12" t="str">
        <x:v>55 inch</x:v>
      </x:c>
      <x:c r="G6923" s="20" t="n">
        <x:v>1</x:v>
      </x:c>
      <x:c r="H6923" s="12" t="str">
        <x:v>Campus/portfolio roster; individual building occupancy unverified</x:v>
      </x:c>
      <x:c r="I6923" s="12" t="str">
        <x:v>Mixed business audience</x:v>
      </x:c>
      <x:c r="J6923" s="12" t="str">
        <x:v>Finance &amp; insurance</x:v>
      </x:c>
      <x:c r="K6923" s="2" t="str">
        <x:v>PARTNER-M039</x:v>
      </x:c>
    </x:row>
    <x:row r="6924" ht="46" customHeight="1">
      <x:c r="A6924" s="2" t="str">
        <x:v>TEN-229A4B0753F7</x:v>
      </x:c>
      <x:c r="B6924" s="12" t="str">
        <x:v>AIG</x:v>
      </x:c>
      <x:c r="C6924" s="12" t="str">
        <x:v>CORP-0461</x:v>
      </x:c>
      <x:c r="D6924" s="12" t="str">
        <x:v>Bengaluru</x:v>
      </x:c>
      <x:c r="E6924" s="12" t="str">
        <x:v>Prestige Tech Cloud</x:v>
      </x:c>
      <x:c r="F6924" s="12" t="str">
        <x:v>55 inch</x:v>
      </x:c>
      <x:c r="G6924" s="20" t="n">
        <x:v>1</x:v>
      </x:c>
      <x:c r="H6924" s="12" t="str">
        <x:v>Campus/portfolio roster; individual building occupancy unverified</x:v>
      </x:c>
      <x:c r="I6924" s="12" t="str">
        <x:v>Mixed business audience</x:v>
      </x:c>
      <x:c r="J6924" s="12" t="str">
        <x:v>Finance &amp; insurance</x:v>
      </x:c>
      <x:c r="K6924" s="2" t="str">
        <x:v>PARTNER-M039</x:v>
      </x:c>
    </x:row>
    <x:row r="6925" ht="46" customHeight="1">
      <x:c r="A6925" s="2" t="str">
        <x:v>TEN-28CBC5A35638</x:v>
      </x:c>
      <x:c r="B6925" s="12" t="str">
        <x:v>Juniper Networks</x:v>
      </x:c>
      <x:c r="C6925" s="12" t="str">
        <x:v>CORP-0461</x:v>
      </x:c>
      <x:c r="D6925" s="12" t="str">
        <x:v>Bengaluru</x:v>
      </x:c>
      <x:c r="E6925" s="12" t="str">
        <x:v>Prestige Tech Cloud</x:v>
      </x:c>
      <x:c r="F6925" s="12" t="str">
        <x:v>55 inch</x:v>
      </x:c>
      <x:c r="G6925" s="20" t="n">
        <x:v>1</x:v>
      </x:c>
      <x:c r="H6925" s="12" t="str">
        <x:v>Campus/portfolio roster; individual building occupancy unverified</x:v>
      </x:c>
      <x:c r="I6925" s="12" t="str">
        <x:v>Large enterprise</x:v>
      </x:c>
      <x:c r="J6925" s="12" t="str">
        <x:v>IT &amp; digital</x:v>
      </x:c>
      <x:c r="K6925" s="2" t="str">
        <x:v>PARTNER-M039</x:v>
      </x:c>
    </x:row>
    <x:row r="6926" ht="46" customHeight="1">
      <x:c r="A6926" s="2" t="str">
        <x:v>TEN-28D7AE9C8DBC</x:v>
      </x:c>
      <x:c r="B6926" s="12" t="str">
        <x:v>Robert Bosch</x:v>
      </x:c>
      <x:c r="C6926" s="12" t="str">
        <x:v>CORP-0461</x:v>
      </x:c>
      <x:c r="D6926" s="12" t="str">
        <x:v>Bengaluru</x:v>
      </x:c>
      <x:c r="E6926" s="12" t="str">
        <x:v>Prestige Tech Cloud</x:v>
      </x:c>
      <x:c r="F6926" s="12" t="str">
        <x:v>55 inch</x:v>
      </x:c>
      <x:c r="G6926" s="20" t="n">
        <x:v>1</x:v>
      </x:c>
      <x:c r="H6926" s="12" t="str">
        <x:v>Campus/portfolio roster; individual building occupancy unverified</x:v>
      </x:c>
      <x:c r="I6926" s="12" t="str">
        <x:v>Large enterprise</x:v>
      </x:c>
      <x:c r="J6926" s="12" t="str">
        <x:v>Engineering &amp; manufacturing</x:v>
      </x:c>
      <x:c r="K6926" s="2" t="str">
        <x:v>PARTNER-M039</x:v>
      </x:c>
    </x:row>
    <x:row r="6927" ht="46" customHeight="1">
      <x:c r="A6927" s="2" t="str">
        <x:v>TEN-30448EBA2EBE</x:v>
      </x:c>
      <x:c r="B6927" s="12" t="str">
        <x:v>Western Digital</x:v>
      </x:c>
      <x:c r="C6927" s="12" t="str">
        <x:v>CORP-0461</x:v>
      </x:c>
      <x:c r="D6927" s="12" t="str">
        <x:v>Bengaluru</x:v>
      </x:c>
      <x:c r="E6927" s="12" t="str">
        <x:v>Prestige Tech Cloud</x:v>
      </x:c>
      <x:c r="F6927" s="12" t="str">
        <x:v>55 inch</x:v>
      </x:c>
      <x:c r="G6927" s="20" t="n">
        <x:v>1</x:v>
      </x:c>
      <x:c r="H6927" s="12" t="str">
        <x:v>Campus/portfolio roster; individual building occupancy unverified</x:v>
      </x:c>
      <x:c r="I6927" s="12" t="str">
        <x:v>Mixed business audience</x:v>
      </x:c>
      <x:c r="J6927" s="12" t="str">
        <x:v>Engineering &amp; manufacturing</x:v>
      </x:c>
      <x:c r="K6927" s="2" t="str">
        <x:v>PARTNER-M039</x:v>
      </x:c>
    </x:row>
    <x:row r="6928" ht="46" customHeight="1">
      <x:c r="A6928" s="2" t="str">
        <x:v>TEN-592CC302663C</x:v>
      </x:c>
      <x:c r="B6928" s="12" t="str">
        <x:v>Vmware</x:v>
      </x:c>
      <x:c r="C6928" s="12" t="str">
        <x:v>CORP-0461</x:v>
      </x:c>
      <x:c r="D6928" s="12" t="str">
        <x:v>Bengaluru</x:v>
      </x:c>
      <x:c r="E6928" s="12" t="str">
        <x:v>Prestige Tech Cloud</x:v>
      </x:c>
      <x:c r="F6928" s="12" t="str">
        <x:v>55 inch</x:v>
      </x:c>
      <x:c r="G6928" s="20" t="n">
        <x:v>1</x:v>
      </x:c>
      <x:c r="H6928" s="12" t="str">
        <x:v>Campus/portfolio roster; individual building occupancy unverified</x:v>
      </x:c>
      <x:c r="I6928" s="12" t="str">
        <x:v>Mixed business audience</x:v>
      </x:c>
      <x:c r="J6928" s="12" t="str">
        <x:v>IT &amp; digital</x:v>
      </x:c>
      <x:c r="K6928" s="2" t="str">
        <x:v>PARTNER-M039</x:v>
      </x:c>
    </x:row>
    <x:row r="6929" ht="46" customHeight="1">
      <x:c r="A6929" s="2" t="str">
        <x:v>TEN-5FA790F3630F</x:v>
      </x:c>
      <x:c r="B6929" s="12" t="str">
        <x:v>Tata Consultancy Services</x:v>
      </x:c>
      <x:c r="C6929" s="12" t="str">
        <x:v>CORP-0461</x:v>
      </x:c>
      <x:c r="D6929" s="12" t="str">
        <x:v>Bengaluru</x:v>
      </x:c>
      <x:c r="E6929" s="12" t="str">
        <x:v>Prestige Tech Cloud</x:v>
      </x:c>
      <x:c r="F6929" s="12" t="str">
        <x:v>55 inch</x:v>
      </x:c>
      <x:c r="G6929" s="20" t="n">
        <x:v>1</x:v>
      </x:c>
      <x:c r="H6929" s="12" t="str">
        <x:v>Campus/portfolio roster; individual building occupancy unverified</x:v>
      </x:c>
      <x:c r="I6929" s="12" t="str">
        <x:v>Large enterprise</x:v>
      </x:c>
      <x:c r="J6929" s="12" t="str">
        <x:v>IT &amp; digital</x:v>
      </x:c>
      <x:c r="K6929" s="2" t="str">
        <x:v>PARTNER-M039</x:v>
      </x:c>
    </x:row>
    <x:row r="6930" ht="46" customHeight="1">
      <x:c r="A6930" s="2" t="str">
        <x:v>TEN-8217BB19EBF1</x:v>
      </x:c>
      <x:c r="B6930" s="12" t="str">
        <x:v>J.P. Morgan</x:v>
      </x:c>
      <x:c r="C6930" s="12" t="str">
        <x:v>CORP-0461</x:v>
      </x:c>
      <x:c r="D6930" s="12" t="str">
        <x:v>Bengaluru</x:v>
      </x:c>
      <x:c r="E6930" s="12" t="str">
        <x:v>Prestige Tech Cloud</x:v>
      </x:c>
      <x:c r="F6930" s="12" t="str">
        <x:v>55 inch</x:v>
      </x:c>
      <x:c r="G6930" s="20" t="n">
        <x:v>1</x:v>
      </x:c>
      <x:c r="H6930" s="12" t="str">
        <x:v>Campus/portfolio roster; individual building occupancy unverified</x:v>
      </x:c>
      <x:c r="I6930" s="12" t="str">
        <x:v>Large enterprise</x:v>
      </x:c>
      <x:c r="J6930" s="12" t="str">
        <x:v>Finance &amp; insurance</x:v>
      </x:c>
      <x:c r="K6930" s="2" t="str">
        <x:v>PARTNER-M039</x:v>
      </x:c>
    </x:row>
    <x:row r="6931" ht="46" customHeight="1">
      <x:c r="A6931" s="2" t="str">
        <x:v>TEN-9202AF6CE925</x:v>
      </x:c>
      <x:c r="B6931" s="12" t="str">
        <x:v>Oracle</x:v>
      </x:c>
      <x:c r="C6931" s="12" t="str">
        <x:v>CORP-0461</x:v>
      </x:c>
      <x:c r="D6931" s="12" t="str">
        <x:v>Bengaluru</x:v>
      </x:c>
      <x:c r="E6931" s="12" t="str">
        <x:v>Prestige Tech Cloud</x:v>
      </x:c>
      <x:c r="F6931" s="12" t="str">
        <x:v>55 inch</x:v>
      </x:c>
      <x:c r="G6931" s="20" t="n">
        <x:v>1</x:v>
      </x:c>
      <x:c r="H6931" s="12" t="str">
        <x:v>Campus/portfolio roster; individual building occupancy unverified</x:v>
      </x:c>
      <x:c r="I6931" s="12" t="str">
        <x:v>Large enterprise</x:v>
      </x:c>
      <x:c r="J6931" s="12" t="str">
        <x:v>IT &amp; digital</x:v>
      </x:c>
      <x:c r="K6931" s="2" t="str">
        <x:v>PARTNER-M039</x:v>
      </x:c>
    </x:row>
    <x:row r="6932" ht="46" customHeight="1">
      <x:c r="A6932" s="2" t="str">
        <x:v>TEN-9FBF261B62C1</x:v>
      </x:c>
      <x:c r="B6932" s="12" t="str">
        <x:v>Microsoft</x:v>
      </x:c>
      <x:c r="C6932" s="12" t="str">
        <x:v>CORP-0461</x:v>
      </x:c>
      <x:c r="D6932" s="12" t="str">
        <x:v>Bengaluru</x:v>
      </x:c>
      <x:c r="E6932" s="12" t="str">
        <x:v>Prestige Tech Cloud</x:v>
      </x:c>
      <x:c r="F6932" s="12" t="str">
        <x:v>55 inch</x:v>
      </x:c>
      <x:c r="G6932" s="20" t="n">
        <x:v>1</x:v>
      </x:c>
      <x:c r="H6932" s="12" t="str">
        <x:v>Campus/portfolio roster; individual building occupancy unverified</x:v>
      </x:c>
      <x:c r="I6932" s="12" t="str">
        <x:v>Large enterprise</x:v>
      </x:c>
      <x:c r="J6932" s="12" t="str">
        <x:v>IT &amp; digital</x:v>
      </x:c>
      <x:c r="K6932" s="2" t="str">
        <x:v>PARTNER-M039</x:v>
      </x:c>
    </x:row>
    <x:row r="6933" ht="46" customHeight="1">
      <x:c r="A6933" s="2" t="str">
        <x:v>TEN-BC3067AC45DF</x:v>
      </x:c>
      <x:c r="B6933" s="12" t="str">
        <x:v>Schneider Electric</x:v>
      </x:c>
      <x:c r="C6933" s="12" t="str">
        <x:v>CORP-0461</x:v>
      </x:c>
      <x:c r="D6933" s="12" t="str">
        <x:v>Bengaluru</x:v>
      </x:c>
      <x:c r="E6933" s="12" t="str">
        <x:v>Prestige Tech Cloud</x:v>
      </x:c>
      <x:c r="F6933" s="12" t="str">
        <x:v>55 inch</x:v>
      </x:c>
      <x:c r="G6933" s="20" t="n">
        <x:v>1</x:v>
      </x:c>
      <x:c r="H6933" s="12" t="str">
        <x:v>Campus/portfolio roster; individual building occupancy unverified</x:v>
      </x:c>
      <x:c r="I6933" s="12" t="str">
        <x:v>Large enterprise</x:v>
      </x:c>
      <x:c r="J6933" s="12" t="str">
        <x:v>Engineering &amp; manufacturing</x:v>
      </x:c>
      <x:c r="K6933" s="2" t="str">
        <x:v>PARTNER-M039</x:v>
      </x:c>
    </x:row>
    <x:row r="6934" ht="46" customHeight="1">
      <x:c r="A6934" s="2" t="str">
        <x:v>TEN-D1C7C99C6E2E</x:v>
      </x:c>
      <x:c r="B6934" s="12" t="str">
        <x:v>Tata</x:v>
      </x:c>
      <x:c r="C6934" s="12" t="str">
        <x:v>CORP-0461</x:v>
      </x:c>
      <x:c r="D6934" s="12" t="str">
        <x:v>Bengaluru</x:v>
      </x:c>
      <x:c r="E6934" s="12" t="str">
        <x:v>Prestige Tech Cloud</x:v>
      </x:c>
      <x:c r="F6934" s="12" t="str">
        <x:v>55 inch</x:v>
      </x:c>
      <x:c r="G6934" s="20" t="n">
        <x:v>1</x:v>
      </x:c>
      <x:c r="H6934" s="12" t="str">
        <x:v>Campus/portfolio roster; individual building occupancy unverified</x:v>
      </x:c>
      <x:c r="I6934" s="12" t="str">
        <x:v>Large enterprise</x:v>
      </x:c>
      <x:c r="J6934" s="12" t="str">
        <x:v>Unresolved</x:v>
      </x:c>
      <x:c r="K6934" s="2" t="str">
        <x:v>PARTNER-M039</x:v>
      </x:c>
    </x:row>
    <x:row r="6935" ht="46" customHeight="1">
      <x:c r="A6935" s="2" t="str">
        <x:v>TEN-EAE8E3404182</x:v>
      </x:c>
      <x:c r="B6935" s="12" t="str">
        <x:v>Nielsen</x:v>
      </x:c>
      <x:c r="C6935" s="12" t="str">
        <x:v>CORP-0461</x:v>
      </x:c>
      <x:c r="D6935" s="12" t="str">
        <x:v>Bengaluru</x:v>
      </x:c>
      <x:c r="E6935" s="12" t="str">
        <x:v>Prestige Tech Cloud</x:v>
      </x:c>
      <x:c r="F6935" s="12" t="str">
        <x:v>55 inch</x:v>
      </x:c>
      <x:c r="G6935" s="20" t="n">
        <x:v>1</x:v>
      </x:c>
      <x:c r="H6935" s="12" t="str">
        <x:v>Campus/portfolio roster; individual building occupancy unverified</x:v>
      </x:c>
      <x:c r="I6935" s="12" t="str">
        <x:v>Mixed business audience</x:v>
      </x:c>
      <x:c r="J6935" s="12" t="str">
        <x:v>Professional services</x:v>
      </x:c>
      <x:c r="K6935" s="2" t="str">
        <x:v>PARTNER-M039</x:v>
      </x:c>
    </x:row>
    <x:row r="6936" ht="46" customHeight="1">
      <x:c r="A6936" s="2" t="str">
        <x:v>TEN-EE9021C84F33</x:v>
      </x:c>
      <x:c r="B6936" s="12" t="str">
        <x:v>Adobe</x:v>
      </x:c>
      <x:c r="C6936" s="12" t="str">
        <x:v>CORP-0461</x:v>
      </x:c>
      <x:c r="D6936" s="12" t="str">
        <x:v>Bengaluru</x:v>
      </x:c>
      <x:c r="E6936" s="12" t="str">
        <x:v>Prestige Tech Cloud</x:v>
      </x:c>
      <x:c r="F6936" s="12" t="str">
        <x:v>55 inch</x:v>
      </x:c>
      <x:c r="G6936" s="20" t="n">
        <x:v>1</x:v>
      </x:c>
      <x:c r="H6936" s="12" t="str">
        <x:v>Campus/portfolio roster; individual building occupancy unverified</x:v>
      </x:c>
      <x:c r="I6936" s="12" t="str">
        <x:v>Large enterprise</x:v>
      </x:c>
      <x:c r="J6936" s="12" t="str">
        <x:v>IT &amp; digital</x:v>
      </x:c>
      <x:c r="K6936" s="2" t="str">
        <x:v>PARTNER-M039</x:v>
      </x:c>
    </x:row>
    <x:row r="6937" ht="46" customHeight="1">
      <x:c r="A6937" s="2" t="str">
        <x:v>TEN-F55A85B2F2EB</x:v>
      </x:c>
      <x:c r="B6937" s="12" t="str">
        <x:v>Capgemini</x:v>
      </x:c>
      <x:c r="C6937" s="12" t="str">
        <x:v>CORP-0461</x:v>
      </x:c>
      <x:c r="D6937" s="12" t="str">
        <x:v>Bengaluru</x:v>
      </x:c>
      <x:c r="E6937" s="12" t="str">
        <x:v>Prestige Tech Cloud</x:v>
      </x:c>
      <x:c r="F6937" s="12" t="str">
        <x:v>55 inch</x:v>
      </x:c>
      <x:c r="G6937" s="20" t="n">
        <x:v>1</x:v>
      </x:c>
      <x:c r="H6937" s="12" t="str">
        <x:v>Campus/portfolio roster; individual building occupancy unverified</x:v>
      </x:c>
      <x:c r="I6937" s="12" t="str">
        <x:v>Large enterprise</x:v>
      </x:c>
      <x:c r="J6937" s="12" t="str">
        <x:v>IT &amp; digital</x:v>
      </x:c>
      <x:c r="K6937" s="2" t="str">
        <x:v>PARTNER-M039</x:v>
      </x:c>
    </x:row>
    <x:row r="6938" ht="46" customHeight="1">
      <x:c r="A6938" s="2" t="str">
        <x:v>TEN-02250879BF4E</x:v>
      </x:c>
      <x:c r="B6938" s="12" t="str">
        <x:v>Credit Suisse</x:v>
      </x:c>
      <x:c r="C6938" s="12" t="str">
        <x:v>CORP-0462</x:v>
      </x:c>
      <x:c r="D6938" s="12" t="str">
        <x:v>Bengaluru</x:v>
      </x:c>
      <x:c r="E6938" s="12" t="str">
        <x:v>Prestige Tech Cloud</x:v>
      </x:c>
      <x:c r="F6938" s="12" t="str">
        <x:v>55 inch</x:v>
      </x:c>
      <x:c r="G6938" s="20" t="n">
        <x:v>1</x:v>
      </x:c>
      <x:c r="H6938" s="12" t="str">
        <x:v>Campus/portfolio roster; individual building occupancy unverified</x:v>
      </x:c>
      <x:c r="I6938" s="12" t="str">
        <x:v>Mixed business audience</x:v>
      </x:c>
      <x:c r="J6938" s="12" t="str">
        <x:v>Finance &amp; insurance</x:v>
      </x:c>
      <x:c r="K6938" s="2" t="str">
        <x:v>PARTNER-M039</x:v>
      </x:c>
    </x:row>
    <x:row r="6939" ht="46" customHeight="1">
      <x:c r="A6939" s="2" t="str">
        <x:v>TEN-229A4B0753F7</x:v>
      </x:c>
      <x:c r="B6939" s="12" t="str">
        <x:v>AIG</x:v>
      </x:c>
      <x:c r="C6939" s="12" t="str">
        <x:v>CORP-0462</x:v>
      </x:c>
      <x:c r="D6939" s="12" t="str">
        <x:v>Bengaluru</x:v>
      </x:c>
      <x:c r="E6939" s="12" t="str">
        <x:v>Prestige Tech Cloud</x:v>
      </x:c>
      <x:c r="F6939" s="12" t="str">
        <x:v>55 inch</x:v>
      </x:c>
      <x:c r="G6939" s="20" t="n">
        <x:v>1</x:v>
      </x:c>
      <x:c r="H6939" s="12" t="str">
        <x:v>Campus/portfolio roster; individual building occupancy unverified</x:v>
      </x:c>
      <x:c r="I6939" s="12" t="str">
        <x:v>Mixed business audience</x:v>
      </x:c>
      <x:c r="J6939" s="12" t="str">
        <x:v>Finance &amp; insurance</x:v>
      </x:c>
      <x:c r="K6939" s="2" t="str">
        <x:v>PARTNER-M039</x:v>
      </x:c>
    </x:row>
    <x:row r="6940" ht="46" customHeight="1">
      <x:c r="A6940" s="2" t="str">
        <x:v>TEN-28CBC5A35638</x:v>
      </x:c>
      <x:c r="B6940" s="12" t="str">
        <x:v>Juniper Networks</x:v>
      </x:c>
      <x:c r="C6940" s="12" t="str">
        <x:v>CORP-0462</x:v>
      </x:c>
      <x:c r="D6940" s="12" t="str">
        <x:v>Bengaluru</x:v>
      </x:c>
      <x:c r="E6940" s="12" t="str">
        <x:v>Prestige Tech Cloud</x:v>
      </x:c>
      <x:c r="F6940" s="12" t="str">
        <x:v>55 inch</x:v>
      </x:c>
      <x:c r="G6940" s="20" t="n">
        <x:v>1</x:v>
      </x:c>
      <x:c r="H6940" s="12" t="str">
        <x:v>Campus/portfolio roster; individual building occupancy unverified</x:v>
      </x:c>
      <x:c r="I6940" s="12" t="str">
        <x:v>Large enterprise</x:v>
      </x:c>
      <x:c r="J6940" s="12" t="str">
        <x:v>IT &amp; digital</x:v>
      </x:c>
      <x:c r="K6940" s="2" t="str">
        <x:v>PARTNER-M039</x:v>
      </x:c>
    </x:row>
    <x:row r="6941" ht="46" customHeight="1">
      <x:c r="A6941" s="2" t="str">
        <x:v>TEN-28D7AE9C8DBC</x:v>
      </x:c>
      <x:c r="B6941" s="12" t="str">
        <x:v>Robert Bosch</x:v>
      </x:c>
      <x:c r="C6941" s="12" t="str">
        <x:v>CORP-0462</x:v>
      </x:c>
      <x:c r="D6941" s="12" t="str">
        <x:v>Bengaluru</x:v>
      </x:c>
      <x:c r="E6941" s="12" t="str">
        <x:v>Prestige Tech Cloud</x:v>
      </x:c>
      <x:c r="F6941" s="12" t="str">
        <x:v>55 inch</x:v>
      </x:c>
      <x:c r="G6941" s="20" t="n">
        <x:v>1</x:v>
      </x:c>
      <x:c r="H6941" s="12" t="str">
        <x:v>Campus/portfolio roster; individual building occupancy unverified</x:v>
      </x:c>
      <x:c r="I6941" s="12" t="str">
        <x:v>Large enterprise</x:v>
      </x:c>
      <x:c r="J6941" s="12" t="str">
        <x:v>Engineering &amp; manufacturing</x:v>
      </x:c>
      <x:c r="K6941" s="2" t="str">
        <x:v>PARTNER-M039</x:v>
      </x:c>
    </x:row>
    <x:row r="6942" ht="46" customHeight="1">
      <x:c r="A6942" s="2" t="str">
        <x:v>TEN-30448EBA2EBE</x:v>
      </x:c>
      <x:c r="B6942" s="12" t="str">
        <x:v>Western Digital</x:v>
      </x:c>
      <x:c r="C6942" s="12" t="str">
        <x:v>CORP-0462</x:v>
      </x:c>
      <x:c r="D6942" s="12" t="str">
        <x:v>Bengaluru</x:v>
      </x:c>
      <x:c r="E6942" s="12" t="str">
        <x:v>Prestige Tech Cloud</x:v>
      </x:c>
      <x:c r="F6942" s="12" t="str">
        <x:v>55 inch</x:v>
      </x:c>
      <x:c r="G6942" s="20" t="n">
        <x:v>1</x:v>
      </x:c>
      <x:c r="H6942" s="12" t="str">
        <x:v>Campus/portfolio roster; individual building occupancy unverified</x:v>
      </x:c>
      <x:c r="I6942" s="12" t="str">
        <x:v>Mixed business audience</x:v>
      </x:c>
      <x:c r="J6942" s="12" t="str">
        <x:v>Engineering &amp; manufacturing</x:v>
      </x:c>
      <x:c r="K6942" s="2" t="str">
        <x:v>PARTNER-M039</x:v>
      </x:c>
    </x:row>
    <x:row r="6943" ht="46" customHeight="1">
      <x:c r="A6943" s="2" t="str">
        <x:v>TEN-592CC302663C</x:v>
      </x:c>
      <x:c r="B6943" s="12" t="str">
        <x:v>Vmware</x:v>
      </x:c>
      <x:c r="C6943" s="12" t="str">
        <x:v>CORP-0462</x:v>
      </x:c>
      <x:c r="D6943" s="12" t="str">
        <x:v>Bengaluru</x:v>
      </x:c>
      <x:c r="E6943" s="12" t="str">
        <x:v>Prestige Tech Cloud</x:v>
      </x:c>
      <x:c r="F6943" s="12" t="str">
        <x:v>55 inch</x:v>
      </x:c>
      <x:c r="G6943" s="20" t="n">
        <x:v>1</x:v>
      </x:c>
      <x:c r="H6943" s="12" t="str">
        <x:v>Campus/portfolio roster; individual building occupancy unverified</x:v>
      </x:c>
      <x:c r="I6943" s="12" t="str">
        <x:v>Mixed business audience</x:v>
      </x:c>
      <x:c r="J6943" s="12" t="str">
        <x:v>IT &amp; digital</x:v>
      </x:c>
      <x:c r="K6943" s="2" t="str">
        <x:v>PARTNER-M039</x:v>
      </x:c>
    </x:row>
    <x:row r="6944" ht="46" customHeight="1">
      <x:c r="A6944" s="2" t="str">
        <x:v>TEN-5FA790F3630F</x:v>
      </x:c>
      <x:c r="B6944" s="12" t="str">
        <x:v>Tata Consultancy Services</x:v>
      </x:c>
      <x:c r="C6944" s="12" t="str">
        <x:v>CORP-0462</x:v>
      </x:c>
      <x:c r="D6944" s="12" t="str">
        <x:v>Bengaluru</x:v>
      </x:c>
      <x:c r="E6944" s="12" t="str">
        <x:v>Prestige Tech Cloud</x:v>
      </x:c>
      <x:c r="F6944" s="12" t="str">
        <x:v>55 inch</x:v>
      </x:c>
      <x:c r="G6944" s="20" t="n">
        <x:v>1</x:v>
      </x:c>
      <x:c r="H6944" s="12" t="str">
        <x:v>Campus/portfolio roster; individual building occupancy unverified</x:v>
      </x:c>
      <x:c r="I6944" s="12" t="str">
        <x:v>Large enterprise</x:v>
      </x:c>
      <x:c r="J6944" s="12" t="str">
        <x:v>IT &amp; digital</x:v>
      </x:c>
      <x:c r="K6944" s="2" t="str">
        <x:v>PARTNER-M039</x:v>
      </x:c>
    </x:row>
    <x:row r="6945" ht="46" customHeight="1">
      <x:c r="A6945" s="2" t="str">
        <x:v>TEN-8217BB19EBF1</x:v>
      </x:c>
      <x:c r="B6945" s="12" t="str">
        <x:v>J.P. Morgan</x:v>
      </x:c>
      <x:c r="C6945" s="12" t="str">
        <x:v>CORP-0462</x:v>
      </x:c>
      <x:c r="D6945" s="12" t="str">
        <x:v>Bengaluru</x:v>
      </x:c>
      <x:c r="E6945" s="12" t="str">
        <x:v>Prestige Tech Cloud</x:v>
      </x:c>
      <x:c r="F6945" s="12" t="str">
        <x:v>55 inch</x:v>
      </x:c>
      <x:c r="G6945" s="20" t="n">
        <x:v>1</x:v>
      </x:c>
      <x:c r="H6945" s="12" t="str">
        <x:v>Campus/portfolio roster; individual building occupancy unverified</x:v>
      </x:c>
      <x:c r="I6945" s="12" t="str">
        <x:v>Large enterprise</x:v>
      </x:c>
      <x:c r="J6945" s="12" t="str">
        <x:v>Finance &amp; insurance</x:v>
      </x:c>
      <x:c r="K6945" s="2" t="str">
        <x:v>PARTNER-M039</x:v>
      </x:c>
    </x:row>
    <x:row r="6946" ht="46" customHeight="1">
      <x:c r="A6946" s="2" t="str">
        <x:v>TEN-9202AF6CE925</x:v>
      </x:c>
      <x:c r="B6946" s="12" t="str">
        <x:v>Oracle</x:v>
      </x:c>
      <x:c r="C6946" s="12" t="str">
        <x:v>CORP-0462</x:v>
      </x:c>
      <x:c r="D6946" s="12" t="str">
        <x:v>Bengaluru</x:v>
      </x:c>
      <x:c r="E6946" s="12" t="str">
        <x:v>Prestige Tech Cloud</x:v>
      </x:c>
      <x:c r="F6946" s="12" t="str">
        <x:v>55 inch</x:v>
      </x:c>
      <x:c r="G6946" s="20" t="n">
        <x:v>1</x:v>
      </x:c>
      <x:c r="H6946" s="12" t="str">
        <x:v>Campus/portfolio roster; individual building occupancy unverified</x:v>
      </x:c>
      <x:c r="I6946" s="12" t="str">
        <x:v>Large enterprise</x:v>
      </x:c>
      <x:c r="J6946" s="12" t="str">
        <x:v>IT &amp; digital</x:v>
      </x:c>
      <x:c r="K6946" s="2" t="str">
        <x:v>PARTNER-M039</x:v>
      </x:c>
    </x:row>
    <x:row r="6947" ht="46" customHeight="1">
      <x:c r="A6947" s="2" t="str">
        <x:v>TEN-9FBF261B62C1</x:v>
      </x:c>
      <x:c r="B6947" s="12" t="str">
        <x:v>Microsoft</x:v>
      </x:c>
      <x:c r="C6947" s="12" t="str">
        <x:v>CORP-0462</x:v>
      </x:c>
      <x:c r="D6947" s="12" t="str">
        <x:v>Bengaluru</x:v>
      </x:c>
      <x:c r="E6947" s="12" t="str">
        <x:v>Prestige Tech Cloud</x:v>
      </x:c>
      <x:c r="F6947" s="12" t="str">
        <x:v>55 inch</x:v>
      </x:c>
      <x:c r="G6947" s="20" t="n">
        <x:v>1</x:v>
      </x:c>
      <x:c r="H6947" s="12" t="str">
        <x:v>Campus/portfolio roster; individual building occupancy unverified</x:v>
      </x:c>
      <x:c r="I6947" s="12" t="str">
        <x:v>Large enterprise</x:v>
      </x:c>
      <x:c r="J6947" s="12" t="str">
        <x:v>IT &amp; digital</x:v>
      </x:c>
      <x:c r="K6947" s="2" t="str">
        <x:v>PARTNER-M039</x:v>
      </x:c>
    </x:row>
    <x:row r="6948" ht="46" customHeight="1">
      <x:c r="A6948" s="2" t="str">
        <x:v>TEN-BC3067AC45DF</x:v>
      </x:c>
      <x:c r="B6948" s="12" t="str">
        <x:v>Schneider Electric</x:v>
      </x:c>
      <x:c r="C6948" s="12" t="str">
        <x:v>CORP-0462</x:v>
      </x:c>
      <x:c r="D6948" s="12" t="str">
        <x:v>Bengaluru</x:v>
      </x:c>
      <x:c r="E6948" s="12" t="str">
        <x:v>Prestige Tech Cloud</x:v>
      </x:c>
      <x:c r="F6948" s="12" t="str">
        <x:v>55 inch</x:v>
      </x:c>
      <x:c r="G6948" s="20" t="n">
        <x:v>1</x:v>
      </x:c>
      <x:c r="H6948" s="12" t="str">
        <x:v>Campus/portfolio roster; individual building occupancy unverified</x:v>
      </x:c>
      <x:c r="I6948" s="12" t="str">
        <x:v>Large enterprise</x:v>
      </x:c>
      <x:c r="J6948" s="12" t="str">
        <x:v>Engineering &amp; manufacturing</x:v>
      </x:c>
      <x:c r="K6948" s="2" t="str">
        <x:v>PARTNER-M039</x:v>
      </x:c>
    </x:row>
    <x:row r="6949" ht="46" customHeight="1">
      <x:c r="A6949" s="2" t="str">
        <x:v>TEN-D1C7C99C6E2E</x:v>
      </x:c>
      <x:c r="B6949" s="12" t="str">
        <x:v>Tata</x:v>
      </x:c>
      <x:c r="C6949" s="12" t="str">
        <x:v>CORP-0462</x:v>
      </x:c>
      <x:c r="D6949" s="12" t="str">
        <x:v>Bengaluru</x:v>
      </x:c>
      <x:c r="E6949" s="12" t="str">
        <x:v>Prestige Tech Cloud</x:v>
      </x:c>
      <x:c r="F6949" s="12" t="str">
        <x:v>55 inch</x:v>
      </x:c>
      <x:c r="G6949" s="20" t="n">
        <x:v>1</x:v>
      </x:c>
      <x:c r="H6949" s="12" t="str">
        <x:v>Campus/portfolio roster; individual building occupancy unverified</x:v>
      </x:c>
      <x:c r="I6949" s="12" t="str">
        <x:v>Large enterprise</x:v>
      </x:c>
      <x:c r="J6949" s="12" t="str">
        <x:v>Unresolved</x:v>
      </x:c>
      <x:c r="K6949" s="2" t="str">
        <x:v>PARTNER-M039</x:v>
      </x:c>
    </x:row>
    <x:row r="6950" ht="46" customHeight="1">
      <x:c r="A6950" s="2" t="str">
        <x:v>TEN-EAE8E3404182</x:v>
      </x:c>
      <x:c r="B6950" s="12" t="str">
        <x:v>Nielsen</x:v>
      </x:c>
      <x:c r="C6950" s="12" t="str">
        <x:v>CORP-0462</x:v>
      </x:c>
      <x:c r="D6950" s="12" t="str">
        <x:v>Bengaluru</x:v>
      </x:c>
      <x:c r="E6950" s="12" t="str">
        <x:v>Prestige Tech Cloud</x:v>
      </x:c>
      <x:c r="F6950" s="12" t="str">
        <x:v>55 inch</x:v>
      </x:c>
      <x:c r="G6950" s="20" t="n">
        <x:v>1</x:v>
      </x:c>
      <x:c r="H6950" s="12" t="str">
        <x:v>Campus/portfolio roster; individual building occupancy unverified</x:v>
      </x:c>
      <x:c r="I6950" s="12" t="str">
        <x:v>Mixed business audience</x:v>
      </x:c>
      <x:c r="J6950" s="12" t="str">
        <x:v>Professional services</x:v>
      </x:c>
      <x:c r="K6950" s="2" t="str">
        <x:v>PARTNER-M039</x:v>
      </x:c>
    </x:row>
    <x:row r="6951" ht="46" customHeight="1">
      <x:c r="A6951" s="2" t="str">
        <x:v>TEN-EE9021C84F33</x:v>
      </x:c>
      <x:c r="B6951" s="12" t="str">
        <x:v>Adobe</x:v>
      </x:c>
      <x:c r="C6951" s="12" t="str">
        <x:v>CORP-0462</x:v>
      </x:c>
      <x:c r="D6951" s="12" t="str">
        <x:v>Bengaluru</x:v>
      </x:c>
      <x:c r="E6951" s="12" t="str">
        <x:v>Prestige Tech Cloud</x:v>
      </x:c>
      <x:c r="F6951" s="12" t="str">
        <x:v>55 inch</x:v>
      </x:c>
      <x:c r="G6951" s="20" t="n">
        <x:v>1</x:v>
      </x:c>
      <x:c r="H6951" s="12" t="str">
        <x:v>Campus/portfolio roster; individual building occupancy unverified</x:v>
      </x:c>
      <x:c r="I6951" s="12" t="str">
        <x:v>Large enterprise</x:v>
      </x:c>
      <x:c r="J6951" s="12" t="str">
        <x:v>IT &amp; digital</x:v>
      </x:c>
      <x:c r="K6951" s="2" t="str">
        <x:v>PARTNER-M039</x:v>
      </x:c>
    </x:row>
    <x:row r="6952" ht="46" customHeight="1">
      <x:c r="A6952" s="2" t="str">
        <x:v>TEN-F55A85B2F2EB</x:v>
      </x:c>
      <x:c r="B6952" s="12" t="str">
        <x:v>Capgemini</x:v>
      </x:c>
      <x:c r="C6952" s="12" t="str">
        <x:v>CORP-0462</x:v>
      </x:c>
      <x:c r="D6952" s="12" t="str">
        <x:v>Bengaluru</x:v>
      </x:c>
      <x:c r="E6952" s="12" t="str">
        <x:v>Prestige Tech Cloud</x:v>
      </x:c>
      <x:c r="F6952" s="12" t="str">
        <x:v>55 inch</x:v>
      </x:c>
      <x:c r="G6952" s="20" t="n">
        <x:v>1</x:v>
      </x:c>
      <x:c r="H6952" s="12" t="str">
        <x:v>Campus/portfolio roster; individual building occupancy unverified</x:v>
      </x:c>
      <x:c r="I6952" s="12" t="str">
        <x:v>Large enterprise</x:v>
      </x:c>
      <x:c r="J6952" s="12" t="str">
        <x:v>IT &amp; digital</x:v>
      </x:c>
      <x:c r="K6952" s="2" t="str">
        <x:v>PARTNER-M039</x:v>
      </x:c>
    </x:row>
    <x:row r="6953" ht="46" customHeight="1">
      <x:c r="A6953" s="2" t="str">
        <x:v>TEN-28CBC5A35638</x:v>
      </x:c>
      <x:c r="B6953" s="12" t="str">
        <x:v>Juniper Networks</x:v>
      </x:c>
      <x:c r="C6953" s="12" t="str">
        <x:v>CORP-0463</x:v>
      </x:c>
      <x:c r="D6953" s="12" t="str">
        <x:v>Bengaluru</x:v>
      </x:c>
      <x:c r="E6953" s="12" t="str">
        <x:v>Prestige Tech Pacific</x:v>
      </x:c>
      <x:c r="F6953" s="12" t="str">
        <x:v>55 inch</x:v>
      </x:c>
      <x:c r="G6953" s="20" t="n">
        <x:v>1</x:v>
      </x:c>
      <x:c r="H6953" s="12" t="str">
        <x:v>Campus/portfolio roster; individual building occupancy unverified</x:v>
      </x:c>
      <x:c r="I6953" s="12" t="str">
        <x:v>Large enterprise</x:v>
      </x:c>
      <x:c r="J6953" s="12" t="str">
        <x:v>IT &amp; digital</x:v>
      </x:c>
      <x:c r="K6953" s="2" t="str">
        <x:v>PARTNER-M045</x:v>
      </x:c>
    </x:row>
    <x:row r="6954" ht="46" customHeight="1">
      <x:c r="A6954" s="2" t="str">
        <x:v>TEN-30E363D3E8C5</x:v>
      </x:c>
      <x:c r="B6954" s="12" t="str">
        <x:v>Siemens</x:v>
      </x:c>
      <x:c r="C6954" s="12" t="str">
        <x:v>CORP-0463</x:v>
      </x:c>
      <x:c r="D6954" s="12" t="str">
        <x:v>Bengaluru</x:v>
      </x:c>
      <x:c r="E6954" s="12" t="str">
        <x:v>Prestige Tech Pacific</x:v>
      </x:c>
      <x:c r="F6954" s="12" t="str">
        <x:v>55 inch</x:v>
      </x:c>
      <x:c r="G6954" s="20" t="n">
        <x:v>1</x:v>
      </x:c>
      <x:c r="H6954" s="12" t="str">
        <x:v>Campus/portfolio roster; individual building occupancy unverified</x:v>
      </x:c>
      <x:c r="I6954" s="12" t="str">
        <x:v>Large enterprise</x:v>
      </x:c>
      <x:c r="J6954" s="12" t="str">
        <x:v>Engineering &amp; manufacturing</x:v>
      </x:c>
      <x:c r="K6954" s="2" t="str">
        <x:v>PARTNER-M045</x:v>
      </x:c>
    </x:row>
    <x:row r="6955" ht="46" customHeight="1">
      <x:c r="A6955" s="2" t="str">
        <x:v>TEN-50FCB8C0B6FA</x:v>
      </x:c>
      <x:c r="B6955" s="12" t="str">
        <x:v>JP Morgan Chase</x:v>
      </x:c>
      <x:c r="C6955" s="12" t="str">
        <x:v>CORP-0463</x:v>
      </x:c>
      <x:c r="D6955" s="12" t="str">
        <x:v>Bengaluru</x:v>
      </x:c>
      <x:c r="E6955" s="12" t="str">
        <x:v>Prestige Tech Pacific</x:v>
      </x:c>
      <x:c r="F6955" s="12" t="str">
        <x:v>55 inch</x:v>
      </x:c>
      <x:c r="G6955" s="20" t="n">
        <x:v>1</x:v>
      </x:c>
      <x:c r="H6955" s="12" t="str">
        <x:v>Campus/portfolio roster; individual building occupancy unverified</x:v>
      </x:c>
      <x:c r="I6955" s="12" t="str">
        <x:v>Large enterprise</x:v>
      </x:c>
      <x:c r="J6955" s="12" t="str">
        <x:v>Finance &amp; insurance</x:v>
      </x:c>
      <x:c r="K6955" s="2" t="str">
        <x:v>PARTNER-M045</x:v>
      </x:c>
    </x:row>
    <x:row r="6956" ht="46" customHeight="1">
      <x:c r="A6956" s="2" t="str">
        <x:v>TEN-68AE6688DA7F</x:v>
      </x:c>
      <x:c r="B6956" s="12" t="str">
        <x:v>Oracle India Pvt. Ltd</x:v>
      </x:c>
      <x:c r="C6956" s="12" t="str">
        <x:v>CORP-0463</x:v>
      </x:c>
      <x:c r="D6956" s="12" t="str">
        <x:v>Bengaluru</x:v>
      </x:c>
      <x:c r="E6956" s="12" t="str">
        <x:v>Prestige Tech Pacific</x:v>
      </x:c>
      <x:c r="F6956" s="12" t="str">
        <x:v>55 inch</x:v>
      </x:c>
      <x:c r="G6956" s="20" t="n">
        <x:v>1</x:v>
      </x:c>
      <x:c r="H6956" s="12" t="str">
        <x:v>Campus/portfolio roster; individual building occupancy unverified</x:v>
      </x:c>
      <x:c r="I6956" s="12" t="str">
        <x:v>Large enterprise</x:v>
      </x:c>
      <x:c r="J6956" s="12" t="str">
        <x:v>IT &amp; digital</x:v>
      </x:c>
      <x:c r="K6956" s="2" t="str">
        <x:v>PARTNER-M045</x:v>
      </x:c>
    </x:row>
    <x:row r="6957" ht="46" customHeight="1">
      <x:c r="A6957" s="2" t="str">
        <x:v>TEN-8492381623BD</x:v>
      </x:c>
      <x:c r="B6957" s="12" t="str">
        <x:v>Akamai Technologies</x:v>
      </x:c>
      <x:c r="C6957" s="12" t="str">
        <x:v>CORP-0463</x:v>
      </x:c>
      <x:c r="D6957" s="12" t="str">
        <x:v>Bengaluru</x:v>
      </x:c>
      <x:c r="E6957" s="12" t="str">
        <x:v>Prestige Tech Pacific</x:v>
      </x:c>
      <x:c r="F6957" s="12" t="str">
        <x:v>55 inch</x:v>
      </x:c>
      <x:c r="G6957" s="20" t="n">
        <x:v>1</x:v>
      </x:c>
      <x:c r="H6957" s="12" t="str">
        <x:v>Campus/portfolio roster; individual building occupancy unverified</x:v>
      </x:c>
      <x:c r="I6957" s="12" t="str">
        <x:v>Mixed business audience</x:v>
      </x:c>
      <x:c r="J6957" s="12" t="str">
        <x:v>IT &amp; digital</x:v>
      </x:c>
      <x:c r="K6957" s="2" t="str">
        <x:v>PARTNER-M045</x:v>
      </x:c>
    </x:row>
    <x:row r="6958" ht="46" customHeight="1">
      <x:c r="A6958" s="2" t="str">
        <x:v>TEN-86F73DFE7BB6</x:v>
      </x:c>
      <x:c r="B6958" s="12" t="str">
        <x:v>Cognizant</x:v>
      </x:c>
      <x:c r="C6958" s="12" t="str">
        <x:v>CORP-0463</x:v>
      </x:c>
      <x:c r="D6958" s="12" t="str">
        <x:v>Bengaluru</x:v>
      </x:c>
      <x:c r="E6958" s="12" t="str">
        <x:v>Prestige Tech Pacific</x:v>
      </x:c>
      <x:c r="F6958" s="12" t="str">
        <x:v>55 inch</x:v>
      </x:c>
      <x:c r="G6958" s="20" t="n">
        <x:v>1</x:v>
      </x:c>
      <x:c r="H6958" s="12" t="str">
        <x:v>Campus/portfolio roster; individual building occupancy unverified</x:v>
      </x:c>
      <x:c r="I6958" s="12" t="str">
        <x:v>Large enterprise</x:v>
      </x:c>
      <x:c r="J6958" s="12" t="str">
        <x:v>IT &amp; digital</x:v>
      </x:c>
      <x:c r="K6958" s="2" t="str">
        <x:v>PARTNER-M045</x:v>
      </x:c>
    </x:row>
    <x:row r="6959" ht="46" customHeight="1">
      <x:c r="A6959" s="2" t="str">
        <x:v>TEN-9120856F15CD</x:v>
      </x:c>
      <x:c r="B6959" s="12" t="str">
        <x:v>Mindtree</x:v>
      </x:c>
      <x:c r="C6959" s="12" t="str">
        <x:v>CORP-0463</x:v>
      </x:c>
      <x:c r="D6959" s="12" t="str">
        <x:v>Bengaluru</x:v>
      </x:c>
      <x:c r="E6959" s="12" t="str">
        <x:v>Prestige Tech Pacific</x:v>
      </x:c>
      <x:c r="F6959" s="12" t="str">
        <x:v>55 inch</x:v>
      </x:c>
      <x:c r="G6959" s="20" t="n">
        <x:v>1</x:v>
      </x:c>
      <x:c r="H6959" s="12" t="str">
        <x:v>Campus/portfolio roster; individual building occupancy unverified</x:v>
      </x:c>
      <x:c r="I6959" s="12" t="str">
        <x:v>Large enterprise</x:v>
      </x:c>
      <x:c r="J6959" s="12" t="str">
        <x:v>IT &amp; digital</x:v>
      </x:c>
      <x:c r="K6959" s="2" t="str">
        <x:v>PARTNER-M045</x:v>
      </x:c>
    </x:row>
    <x:row r="6960" ht="46" customHeight="1">
      <x:c r="A6960" s="2" t="str">
        <x:v>TEN-B38914B2E8FA</x:v>
      </x:c>
      <x:c r="B6960" s="12" t="str">
        <x:v>Amadeus Software Labs</x:v>
      </x:c>
      <x:c r="C6960" s="12" t="str">
        <x:v>CORP-0463</x:v>
      </x:c>
      <x:c r="D6960" s="12" t="str">
        <x:v>Bengaluru</x:v>
      </x:c>
      <x:c r="E6960" s="12" t="str">
        <x:v>Prestige Tech Pacific</x:v>
      </x:c>
      <x:c r="F6960" s="12" t="str">
        <x:v>55 inch</x:v>
      </x:c>
      <x:c r="G6960" s="20" t="n">
        <x:v>1</x:v>
      </x:c>
      <x:c r="H6960" s="12" t="str">
        <x:v>Campus/portfolio roster; individual building occupancy unverified</x:v>
      </x:c>
      <x:c r="I6960" s="12" t="str">
        <x:v>Large enterprise</x:v>
      </x:c>
      <x:c r="J6960" s="12" t="str">
        <x:v>IT &amp; digital</x:v>
      </x:c>
      <x:c r="K6960" s="2" t="str">
        <x:v>PARTNER-M045</x:v>
      </x:c>
    </x:row>
    <x:row r="6961" ht="46" customHeight="1">
      <x:c r="A6961" s="2" t="str">
        <x:v>TEN-C63AC00C4D11</x:v>
      </x:c>
      <x:c r="B6961" s="12" t="str">
        <x:v>Mphasis</x:v>
      </x:c>
      <x:c r="C6961" s="12" t="str">
        <x:v>CORP-0463</x:v>
      </x:c>
      <x:c r="D6961" s="12" t="str">
        <x:v>Bengaluru</x:v>
      </x:c>
      <x:c r="E6961" s="12" t="str">
        <x:v>Prestige Tech Pacific</x:v>
      </x:c>
      <x:c r="F6961" s="12" t="str">
        <x:v>55 inch</x:v>
      </x:c>
      <x:c r="G6961" s="20" t="n">
        <x:v>1</x:v>
      </x:c>
      <x:c r="H6961" s="12" t="str">
        <x:v>Campus/portfolio roster; individual building occupancy unverified</x:v>
      </x:c>
      <x:c r="I6961" s="12" t="str">
        <x:v>Large enterprise</x:v>
      </x:c>
      <x:c r="J6961" s="12" t="str">
        <x:v>IT &amp; digital</x:v>
      </x:c>
      <x:c r="K6961" s="2" t="str">
        <x:v>PARTNER-M045</x:v>
      </x:c>
    </x:row>
    <x:row r="6962" ht="46" customHeight="1">
      <x:c r="A6962" s="2" t="str">
        <x:v>TEN-EC016BB6297A</x:v>
      </x:c>
      <x:c r="B6962" s="12" t="str">
        <x:v>Virtusa</x:v>
      </x:c>
      <x:c r="C6962" s="12" t="str">
        <x:v>CORP-0463</x:v>
      </x:c>
      <x:c r="D6962" s="12" t="str">
        <x:v>Bengaluru</x:v>
      </x:c>
      <x:c r="E6962" s="12" t="str">
        <x:v>Prestige Tech Pacific</x:v>
      </x:c>
      <x:c r="F6962" s="12" t="str">
        <x:v>55 inch</x:v>
      </x:c>
      <x:c r="G6962" s="20" t="n">
        <x:v>1</x:v>
      </x:c>
      <x:c r="H6962" s="12" t="str">
        <x:v>Campus/portfolio roster; individual building occupancy unverified</x:v>
      </x:c>
      <x:c r="I6962" s="12" t="str">
        <x:v>Mixed business audience</x:v>
      </x:c>
      <x:c r="J6962" s="12" t="str">
        <x:v>IT &amp; digital</x:v>
      </x:c>
      <x:c r="K6962" s="2" t="str">
        <x:v>PARTNER-M045</x:v>
      </x:c>
    </x:row>
    <x:row r="6963" ht="46" customHeight="1">
      <x:c r="A6963" s="2" t="str">
        <x:v>TEN-F55A85B2F2EB</x:v>
      </x:c>
      <x:c r="B6963" s="12" t="str">
        <x:v>Capgemini</x:v>
      </x:c>
      <x:c r="C6963" s="12" t="str">
        <x:v>CORP-0463</x:v>
      </x:c>
      <x:c r="D6963" s="12" t="str">
        <x:v>Bengaluru</x:v>
      </x:c>
      <x:c r="E6963" s="12" t="str">
        <x:v>Prestige Tech Pacific</x:v>
      </x:c>
      <x:c r="F6963" s="12" t="str">
        <x:v>55 inch</x:v>
      </x:c>
      <x:c r="G6963" s="20" t="n">
        <x:v>1</x:v>
      </x:c>
      <x:c r="H6963" s="12" t="str">
        <x:v>Campus/portfolio roster; individual building occupancy unverified</x:v>
      </x:c>
      <x:c r="I6963" s="12" t="str">
        <x:v>Large enterprise</x:v>
      </x:c>
      <x:c r="J6963" s="12" t="str">
        <x:v>IT &amp; digital</x:v>
      </x:c>
      <x:c r="K6963" s="2" t="str">
        <x:v>PARTNER-M045</x:v>
      </x:c>
    </x:row>
    <x:row r="6964" ht="46" customHeight="1">
      <x:c r="A6964" s="2" t="str">
        <x:v>TEN-28CBC5A35638</x:v>
      </x:c>
      <x:c r="B6964" s="12" t="str">
        <x:v>Juniper Networks</x:v>
      </x:c>
      <x:c r="C6964" s="12" t="str">
        <x:v>CORP-0464</x:v>
      </x:c>
      <x:c r="D6964" s="12" t="str">
        <x:v>Bengaluru</x:v>
      </x:c>
      <x:c r="E6964" s="12" t="str">
        <x:v>Prestige Tech Pacific</x:v>
      </x:c>
      <x:c r="F6964" s="12" t="str">
        <x:v>55 inch</x:v>
      </x:c>
      <x:c r="G6964" s="20" t="n">
        <x:v>1</x:v>
      </x:c>
      <x:c r="H6964" s="12" t="str">
        <x:v>Campus/portfolio roster; individual building occupancy unverified</x:v>
      </x:c>
      <x:c r="I6964" s="12" t="str">
        <x:v>Large enterprise</x:v>
      </x:c>
      <x:c r="J6964" s="12" t="str">
        <x:v>IT &amp; digital</x:v>
      </x:c>
      <x:c r="K6964" s="2" t="str">
        <x:v>PARTNER-M045</x:v>
      </x:c>
    </x:row>
    <x:row r="6965" ht="46" customHeight="1">
      <x:c r="A6965" s="2" t="str">
        <x:v>TEN-30E363D3E8C5</x:v>
      </x:c>
      <x:c r="B6965" s="12" t="str">
        <x:v>Siemens</x:v>
      </x:c>
      <x:c r="C6965" s="12" t="str">
        <x:v>CORP-0464</x:v>
      </x:c>
      <x:c r="D6965" s="12" t="str">
        <x:v>Bengaluru</x:v>
      </x:c>
      <x:c r="E6965" s="12" t="str">
        <x:v>Prestige Tech Pacific</x:v>
      </x:c>
      <x:c r="F6965" s="12" t="str">
        <x:v>55 inch</x:v>
      </x:c>
      <x:c r="G6965" s="20" t="n">
        <x:v>1</x:v>
      </x:c>
      <x:c r="H6965" s="12" t="str">
        <x:v>Campus/portfolio roster; individual building occupancy unverified</x:v>
      </x:c>
      <x:c r="I6965" s="12" t="str">
        <x:v>Large enterprise</x:v>
      </x:c>
      <x:c r="J6965" s="12" t="str">
        <x:v>Engineering &amp; manufacturing</x:v>
      </x:c>
      <x:c r="K6965" s="2" t="str">
        <x:v>PARTNER-M045</x:v>
      </x:c>
    </x:row>
    <x:row r="6966" ht="46" customHeight="1">
      <x:c r="A6966" s="2" t="str">
        <x:v>TEN-50FCB8C0B6FA</x:v>
      </x:c>
      <x:c r="B6966" s="12" t="str">
        <x:v>JP Morgan Chase</x:v>
      </x:c>
      <x:c r="C6966" s="12" t="str">
        <x:v>CORP-0464</x:v>
      </x:c>
      <x:c r="D6966" s="12" t="str">
        <x:v>Bengaluru</x:v>
      </x:c>
      <x:c r="E6966" s="12" t="str">
        <x:v>Prestige Tech Pacific</x:v>
      </x:c>
      <x:c r="F6966" s="12" t="str">
        <x:v>55 inch</x:v>
      </x:c>
      <x:c r="G6966" s="20" t="n">
        <x:v>1</x:v>
      </x:c>
      <x:c r="H6966" s="12" t="str">
        <x:v>Campus/portfolio roster; individual building occupancy unverified</x:v>
      </x:c>
      <x:c r="I6966" s="12" t="str">
        <x:v>Large enterprise</x:v>
      </x:c>
      <x:c r="J6966" s="12" t="str">
        <x:v>Finance &amp; insurance</x:v>
      </x:c>
      <x:c r="K6966" s="2" t="str">
        <x:v>PARTNER-M045</x:v>
      </x:c>
    </x:row>
    <x:row r="6967" ht="46" customHeight="1">
      <x:c r="A6967" s="2" t="str">
        <x:v>TEN-68AE6688DA7F</x:v>
      </x:c>
      <x:c r="B6967" s="12" t="str">
        <x:v>Oracle India Pvt. Ltd</x:v>
      </x:c>
      <x:c r="C6967" s="12" t="str">
        <x:v>CORP-0464</x:v>
      </x:c>
      <x:c r="D6967" s="12" t="str">
        <x:v>Bengaluru</x:v>
      </x:c>
      <x:c r="E6967" s="12" t="str">
        <x:v>Prestige Tech Pacific</x:v>
      </x:c>
      <x:c r="F6967" s="12" t="str">
        <x:v>55 inch</x:v>
      </x:c>
      <x:c r="G6967" s="20" t="n">
        <x:v>1</x:v>
      </x:c>
      <x:c r="H6967" s="12" t="str">
        <x:v>Campus/portfolio roster; individual building occupancy unverified</x:v>
      </x:c>
      <x:c r="I6967" s="12" t="str">
        <x:v>Large enterprise</x:v>
      </x:c>
      <x:c r="J6967" s="12" t="str">
        <x:v>IT &amp; digital</x:v>
      </x:c>
      <x:c r="K6967" s="2" t="str">
        <x:v>PARTNER-M045</x:v>
      </x:c>
    </x:row>
    <x:row r="6968" ht="46" customHeight="1">
      <x:c r="A6968" s="2" t="str">
        <x:v>TEN-8492381623BD</x:v>
      </x:c>
      <x:c r="B6968" s="12" t="str">
        <x:v>Akamai Technologies</x:v>
      </x:c>
      <x:c r="C6968" s="12" t="str">
        <x:v>CORP-0464</x:v>
      </x:c>
      <x:c r="D6968" s="12" t="str">
        <x:v>Bengaluru</x:v>
      </x:c>
      <x:c r="E6968" s="12" t="str">
        <x:v>Prestige Tech Pacific</x:v>
      </x:c>
      <x:c r="F6968" s="12" t="str">
        <x:v>55 inch</x:v>
      </x:c>
      <x:c r="G6968" s="20" t="n">
        <x:v>1</x:v>
      </x:c>
      <x:c r="H6968" s="12" t="str">
        <x:v>Campus/portfolio roster; individual building occupancy unverified</x:v>
      </x:c>
      <x:c r="I6968" s="12" t="str">
        <x:v>Mixed business audience</x:v>
      </x:c>
      <x:c r="J6968" s="12" t="str">
        <x:v>IT &amp; digital</x:v>
      </x:c>
      <x:c r="K6968" s="2" t="str">
        <x:v>PARTNER-M045</x:v>
      </x:c>
    </x:row>
    <x:row r="6969" ht="46" customHeight="1">
      <x:c r="A6969" s="2" t="str">
        <x:v>TEN-86F73DFE7BB6</x:v>
      </x:c>
      <x:c r="B6969" s="12" t="str">
        <x:v>Cognizant</x:v>
      </x:c>
      <x:c r="C6969" s="12" t="str">
        <x:v>CORP-0464</x:v>
      </x:c>
      <x:c r="D6969" s="12" t="str">
        <x:v>Bengaluru</x:v>
      </x:c>
      <x:c r="E6969" s="12" t="str">
        <x:v>Prestige Tech Pacific</x:v>
      </x:c>
      <x:c r="F6969" s="12" t="str">
        <x:v>55 inch</x:v>
      </x:c>
      <x:c r="G6969" s="20" t="n">
        <x:v>1</x:v>
      </x:c>
      <x:c r="H6969" s="12" t="str">
        <x:v>Campus/portfolio roster; individual building occupancy unverified</x:v>
      </x:c>
      <x:c r="I6969" s="12" t="str">
        <x:v>Large enterprise</x:v>
      </x:c>
      <x:c r="J6969" s="12" t="str">
        <x:v>IT &amp; digital</x:v>
      </x:c>
      <x:c r="K6969" s="2" t="str">
        <x:v>PARTNER-M045</x:v>
      </x:c>
    </x:row>
    <x:row r="6970" ht="46" customHeight="1">
      <x:c r="A6970" s="2" t="str">
        <x:v>TEN-9120856F15CD</x:v>
      </x:c>
      <x:c r="B6970" s="12" t="str">
        <x:v>Mindtree</x:v>
      </x:c>
      <x:c r="C6970" s="12" t="str">
        <x:v>CORP-0464</x:v>
      </x:c>
      <x:c r="D6970" s="12" t="str">
        <x:v>Bengaluru</x:v>
      </x:c>
      <x:c r="E6970" s="12" t="str">
        <x:v>Prestige Tech Pacific</x:v>
      </x:c>
      <x:c r="F6970" s="12" t="str">
        <x:v>55 inch</x:v>
      </x:c>
      <x:c r="G6970" s="20" t="n">
        <x:v>1</x:v>
      </x:c>
      <x:c r="H6970" s="12" t="str">
        <x:v>Campus/portfolio roster; individual building occupancy unverified</x:v>
      </x:c>
      <x:c r="I6970" s="12" t="str">
        <x:v>Large enterprise</x:v>
      </x:c>
      <x:c r="J6970" s="12" t="str">
        <x:v>IT &amp; digital</x:v>
      </x:c>
      <x:c r="K6970" s="2" t="str">
        <x:v>PARTNER-M045</x:v>
      </x:c>
    </x:row>
    <x:row r="6971" ht="46" customHeight="1">
      <x:c r="A6971" s="2" t="str">
        <x:v>TEN-B38914B2E8FA</x:v>
      </x:c>
      <x:c r="B6971" s="12" t="str">
        <x:v>Amadeus Software Labs</x:v>
      </x:c>
      <x:c r="C6971" s="12" t="str">
        <x:v>CORP-0464</x:v>
      </x:c>
      <x:c r="D6971" s="12" t="str">
        <x:v>Bengaluru</x:v>
      </x:c>
      <x:c r="E6971" s="12" t="str">
        <x:v>Prestige Tech Pacific</x:v>
      </x:c>
      <x:c r="F6971" s="12" t="str">
        <x:v>55 inch</x:v>
      </x:c>
      <x:c r="G6971" s="20" t="n">
        <x:v>1</x:v>
      </x:c>
      <x:c r="H6971" s="12" t="str">
        <x:v>Campus/portfolio roster; individual building occupancy unverified</x:v>
      </x:c>
      <x:c r="I6971" s="12" t="str">
        <x:v>Large enterprise</x:v>
      </x:c>
      <x:c r="J6971" s="12" t="str">
        <x:v>IT &amp; digital</x:v>
      </x:c>
      <x:c r="K6971" s="2" t="str">
        <x:v>PARTNER-M045</x:v>
      </x:c>
    </x:row>
    <x:row r="6972" ht="46" customHeight="1">
      <x:c r="A6972" s="2" t="str">
        <x:v>TEN-C63AC00C4D11</x:v>
      </x:c>
      <x:c r="B6972" s="12" t="str">
        <x:v>Mphasis</x:v>
      </x:c>
      <x:c r="C6972" s="12" t="str">
        <x:v>CORP-0464</x:v>
      </x:c>
      <x:c r="D6972" s="12" t="str">
        <x:v>Bengaluru</x:v>
      </x:c>
      <x:c r="E6972" s="12" t="str">
        <x:v>Prestige Tech Pacific</x:v>
      </x:c>
      <x:c r="F6972" s="12" t="str">
        <x:v>55 inch</x:v>
      </x:c>
      <x:c r="G6972" s="20" t="n">
        <x:v>1</x:v>
      </x:c>
      <x:c r="H6972" s="12" t="str">
        <x:v>Campus/portfolio roster; individual building occupancy unverified</x:v>
      </x:c>
      <x:c r="I6972" s="12" t="str">
        <x:v>Large enterprise</x:v>
      </x:c>
      <x:c r="J6972" s="12" t="str">
        <x:v>IT &amp; digital</x:v>
      </x:c>
      <x:c r="K6972" s="2" t="str">
        <x:v>PARTNER-M045</x:v>
      </x:c>
    </x:row>
    <x:row r="6973" ht="46" customHeight="1">
      <x:c r="A6973" s="2" t="str">
        <x:v>TEN-EC016BB6297A</x:v>
      </x:c>
      <x:c r="B6973" s="12" t="str">
        <x:v>Virtusa</x:v>
      </x:c>
      <x:c r="C6973" s="12" t="str">
        <x:v>CORP-0464</x:v>
      </x:c>
      <x:c r="D6973" s="12" t="str">
        <x:v>Bengaluru</x:v>
      </x:c>
      <x:c r="E6973" s="12" t="str">
        <x:v>Prestige Tech Pacific</x:v>
      </x:c>
      <x:c r="F6973" s="12" t="str">
        <x:v>55 inch</x:v>
      </x:c>
      <x:c r="G6973" s="20" t="n">
        <x:v>1</x:v>
      </x:c>
      <x:c r="H6973" s="12" t="str">
        <x:v>Campus/portfolio roster; individual building occupancy unverified</x:v>
      </x:c>
      <x:c r="I6973" s="12" t="str">
        <x:v>Mixed business audience</x:v>
      </x:c>
      <x:c r="J6973" s="12" t="str">
        <x:v>IT &amp; digital</x:v>
      </x:c>
      <x:c r="K6973" s="2" t="str">
        <x:v>PARTNER-M045</x:v>
      </x:c>
    </x:row>
    <x:row r="6974" ht="46" customHeight="1">
      <x:c r="A6974" s="2" t="str">
        <x:v>TEN-F55A85B2F2EB</x:v>
      </x:c>
      <x:c r="B6974" s="12" t="str">
        <x:v>Capgemini</x:v>
      </x:c>
      <x:c r="C6974" s="12" t="str">
        <x:v>CORP-0464</x:v>
      </x:c>
      <x:c r="D6974" s="12" t="str">
        <x:v>Bengaluru</x:v>
      </x:c>
      <x:c r="E6974" s="12" t="str">
        <x:v>Prestige Tech Pacific</x:v>
      </x:c>
      <x:c r="F6974" s="12" t="str">
        <x:v>55 inch</x:v>
      </x:c>
      <x:c r="G6974" s="20" t="n">
        <x:v>1</x:v>
      </x:c>
      <x:c r="H6974" s="12" t="str">
        <x:v>Campus/portfolio roster; individual building occupancy unverified</x:v>
      </x:c>
      <x:c r="I6974" s="12" t="str">
        <x:v>Large enterprise</x:v>
      </x:c>
      <x:c r="J6974" s="12" t="str">
        <x:v>IT &amp; digital</x:v>
      </x:c>
      <x:c r="K6974" s="2" t="str">
        <x:v>PARTNER-M045</x:v>
      </x:c>
    </x:row>
    <x:row r="6975" ht="46" customHeight="1">
      <x:c r="A6975" s="2" t="str">
        <x:v>TEN-020941631166</x:v>
      </x:c>
      <x:c r="B6975" s="12" t="str">
        <x:v>EXA-AG</x:v>
      </x:c>
      <x:c r="C6975" s="12" t="str">
        <x:v>CORP-0420</x:v>
      </x:c>
      <x:c r="D6975" s="12" t="str">
        <x:v>Bengaluru</x:v>
      </x:c>
      <x:c r="E6975" s="12" t="str">
        <x:v>International Tech Park (ITPB)</x:v>
      </x:c>
      <x:c r="F6975" s="12" t="str">
        <x:v>55 inch</x:v>
      </x:c>
      <x:c r="G6975" s="20" t="n">
        <x:v>1</x:v>
      </x:c>
      <x:c r="H6975" s="12" t="str">
        <x:v>Campus/portfolio roster; individual building occupancy unverified</x:v>
      </x:c>
      <x:c r="I6975" s="12" t="str">
        <x:v>Small-scale prospects</x:v>
      </x:c>
      <x:c r="J6975" s="12" t="str">
        <x:v>IT &amp; digital</x:v>
      </x:c>
      <x:c r="K6975" s="2" t="str">
        <x:v>PARTNER-M002</x:v>
      </x:c>
    </x:row>
    <x:row r="6976" ht="46" customHeight="1">
      <x:c r="A6976" s="2" t="str">
        <x:v>TEN-046FCB362D0A</x:v>
      </x:c>
      <x:c r="B6976" s="12" t="str">
        <x:v>judge India</x:v>
      </x:c>
      <x:c r="C6976" s="12" t="str">
        <x:v>CORP-0420</x:v>
      </x:c>
      <x:c r="D6976" s="12" t="str">
        <x:v>Bengaluru</x:v>
      </x:c>
      <x:c r="E6976" s="12" t="str">
        <x:v>International Tech Park (ITPB)</x:v>
      </x:c>
      <x:c r="F6976" s="12" t="str">
        <x:v>55 inch</x:v>
      </x:c>
      <x:c r="G6976" s="20" t="n">
        <x:v>1</x:v>
      </x:c>
      <x:c r="H6976" s="12" t="str">
        <x:v>Campus/portfolio roster; individual building occupancy unverified</x:v>
      </x:c>
      <x:c r="I6976" s="12" t="str">
        <x:v>Mixed business audience</x:v>
      </x:c>
      <x:c r="J6976" s="12" t="str">
        <x:v>Unresolved</x:v>
      </x:c>
      <x:c r="K6976" s="2" t="str">
        <x:v>PARTNER-M002</x:v>
      </x:c>
    </x:row>
    <x:row r="6977" ht="46" customHeight="1">
      <x:c r="A6977" s="2" t="str">
        <x:v>TEN-06DF4DFB01BE</x:v>
      </x:c>
      <x:c r="B6977" s="12" t="str">
        <x:v>Gyansys Infotech</x:v>
      </x:c>
      <x:c r="C6977" s="12" t="str">
        <x:v>CORP-0420</x:v>
      </x:c>
      <x:c r="D6977" s="12" t="str">
        <x:v>Bengaluru</x:v>
      </x:c>
      <x:c r="E6977" s="12" t="str">
        <x:v>International Tech Park (ITPB)</x:v>
      </x:c>
      <x:c r="F6977" s="12" t="str">
        <x:v>55 inch</x:v>
      </x:c>
      <x:c r="G6977" s="20" t="n">
        <x:v>1</x:v>
      </x:c>
      <x:c r="H6977" s="12" t="str">
        <x:v>Campus/portfolio roster; individual building occupancy unverified</x:v>
      </x:c>
      <x:c r="I6977" s="12" t="str">
        <x:v>Small-scale prospects</x:v>
      </x:c>
      <x:c r="J6977" s="12" t="str">
        <x:v>IT &amp; digital</x:v>
      </x:c>
      <x:c r="K6977" s="2" t="str">
        <x:v>PARTNER-M002</x:v>
      </x:c>
    </x:row>
    <x:row r="6978" ht="46" customHeight="1">
      <x:c r="A6978" s="2" t="str">
        <x:v>TEN-0716830D1238</x:v>
      </x:c>
      <x:c r="B6978" s="12" t="str">
        <x:v>Kaalari Capital</x:v>
      </x:c>
      <x:c r="C6978" s="12" t="str">
        <x:v>CORP-0420</x:v>
      </x:c>
      <x:c r="D6978" s="12" t="str">
        <x:v>Bengaluru</x:v>
      </x:c>
      <x:c r="E6978" s="12" t="str">
        <x:v>International Tech Park (ITPB)</x:v>
      </x:c>
      <x:c r="F6978" s="12" t="str">
        <x:v>55 inch</x:v>
      </x:c>
      <x:c r="G6978" s="20" t="n">
        <x:v>1</x:v>
      </x:c>
      <x:c r="H6978" s="12" t="str">
        <x:v>Campus/portfolio roster; individual building occupancy unverified</x:v>
      </x:c>
      <x:c r="I6978" s="12" t="str">
        <x:v>Medium-scale prospects</x:v>
      </x:c>
      <x:c r="J6978" s="12" t="str">
        <x:v>Finance &amp; insurance</x:v>
      </x:c>
      <x:c r="K6978" s="2" t="str">
        <x:v>PARTNER-M002</x:v>
      </x:c>
    </x:row>
    <x:row r="6979" ht="46" customHeight="1">
      <x:c r="A6979" s="2" t="str">
        <x:v>TEN-095DAC44FBD3</x:v>
      </x:c>
      <x:c r="B6979" s="12" t="str">
        <x:v>SOA IT</x:v>
      </x:c>
      <x:c r="C6979" s="12" t="str">
        <x:v>CORP-0420</x:v>
      </x:c>
      <x:c r="D6979" s="12" t="str">
        <x:v>Bengaluru</x:v>
      </x:c>
      <x:c r="E6979" s="12" t="str">
        <x:v>International Tech Park (ITPB)</x:v>
      </x:c>
      <x:c r="F6979" s="12" t="str">
        <x:v>55 inch</x:v>
      </x:c>
      <x:c r="G6979" s="20" t="n">
        <x:v>1</x:v>
      </x:c>
      <x:c r="H6979" s="12" t="str">
        <x:v>Campus/portfolio roster; individual building occupancy unverified</x:v>
      </x:c>
      <x:c r="I6979" s="12" t="str">
        <x:v>Small-scale prospects</x:v>
      </x:c>
      <x:c r="J6979" s="12" t="str">
        <x:v>IT &amp; digital</x:v>
      </x:c>
      <x:c r="K6979" s="2" t="str">
        <x:v>PARTNER-M002</x:v>
      </x:c>
    </x:row>
    <x:row r="6980" ht="46" customHeight="1">
      <x:c r="A6980" s="2" t="str">
        <x:v>TEN-0B9EE0B94DB9</x:v>
      </x:c>
      <x:c r="B6980" s="12" t="str">
        <x:v>Kyndryl</x:v>
      </x:c>
      <x:c r="C6980" s="12" t="str">
        <x:v>CORP-0420</x:v>
      </x:c>
      <x:c r="D6980" s="12" t="str">
        <x:v>Bengaluru</x:v>
      </x:c>
      <x:c r="E6980" s="12" t="str">
        <x:v>International Tech Park (ITPB)</x:v>
      </x:c>
      <x:c r="F6980" s="12" t="str">
        <x:v>55 inch</x:v>
      </x:c>
      <x:c r="G6980" s="20" t="n">
        <x:v>1</x:v>
      </x:c>
      <x:c r="H6980" s="12" t="str">
        <x:v>Campus/portfolio roster; individual building occupancy unverified</x:v>
      </x:c>
      <x:c r="I6980" s="12" t="str">
        <x:v>Mixed business audience</x:v>
      </x:c>
      <x:c r="J6980" s="12" t="str">
        <x:v>IT &amp; digital</x:v>
      </x:c>
      <x:c r="K6980" s="2" t="str">
        <x:v>PARTNER-M002</x:v>
      </x:c>
    </x:row>
    <x:row r="6981" ht="46" customHeight="1">
      <x:c r="A6981" s="2" t="str">
        <x:v>TEN-0BF923F90AB2</x:v>
      </x:c>
      <x:c r="B6981" s="12" t="str">
        <x:v>Reliance</x:v>
      </x:c>
      <x:c r="C6981" s="12" t="str">
        <x:v>CORP-0420</x:v>
      </x:c>
      <x:c r="D6981" s="12" t="str">
        <x:v>Bengaluru</x:v>
      </x:c>
      <x:c r="E6981" s="12" t="str">
        <x:v>International Tech Park (ITPB)</x:v>
      </x:c>
      <x:c r="F6981" s="12" t="str">
        <x:v>55 inch</x:v>
      </x:c>
      <x:c r="G6981" s="20" t="n">
        <x:v>1</x:v>
      </x:c>
      <x:c r="H6981" s="12" t="str">
        <x:v>Campus/portfolio roster; individual building occupancy unverified</x:v>
      </x:c>
      <x:c r="I6981" s="12" t="str">
        <x:v>Mixed business audience</x:v>
      </x:c>
      <x:c r="J6981" s="12" t="str">
        <x:v>Unresolved</x:v>
      </x:c>
      <x:c r="K6981" s="2" t="str">
        <x:v>PARTNER-M002</x:v>
      </x:c>
    </x:row>
    <x:row r="6982" ht="46" customHeight="1">
      <x:c r="A6982" s="2" t="str">
        <x:v>TEN-0EFAB3176540</x:v>
      </x:c>
      <x:c r="B6982" s="12" t="str">
        <x:v>Sycomp</x:v>
      </x:c>
      <x:c r="C6982" s="12" t="str">
        <x:v>CORP-0420</x:v>
      </x:c>
      <x:c r="D6982" s="12" t="str">
        <x:v>Bengaluru</x:v>
      </x:c>
      <x:c r="E6982" s="12" t="str">
        <x:v>International Tech Park (ITPB)</x:v>
      </x:c>
      <x:c r="F6982" s="12" t="str">
        <x:v>55 inch</x:v>
      </x:c>
      <x:c r="G6982" s="20" t="n">
        <x:v>1</x:v>
      </x:c>
      <x:c r="H6982" s="12" t="str">
        <x:v>Campus/portfolio roster; individual building occupancy unverified</x:v>
      </x:c>
      <x:c r="I6982" s="12" t="str">
        <x:v>Small-scale prospects</x:v>
      </x:c>
      <x:c r="J6982" s="12" t="str">
        <x:v>IT &amp; digital</x:v>
      </x:c>
      <x:c r="K6982" s="2" t="str">
        <x:v>PARTNER-M002</x:v>
      </x:c>
    </x:row>
    <x:row r="6983" ht="46" customHeight="1">
      <x:c r="A6983" s="2" t="str">
        <x:v>TEN-0F0E714E580D</x:v>
      </x:c>
      <x:c r="B6983" s="12" t="str">
        <x:v>Scientific Games</x:v>
      </x:c>
      <x:c r="C6983" s="12" t="str">
        <x:v>CORP-0420</x:v>
      </x:c>
      <x:c r="D6983" s="12" t="str">
        <x:v>Bengaluru</x:v>
      </x:c>
      <x:c r="E6983" s="12" t="str">
        <x:v>International Tech Park (ITPB)</x:v>
      </x:c>
      <x:c r="F6983" s="12" t="str">
        <x:v>55 inch</x:v>
      </x:c>
      <x:c r="G6983" s="20" t="n">
        <x:v>1</x:v>
      </x:c>
      <x:c r="H6983" s="12" t="str">
        <x:v>Campus/portfolio roster; individual building occupancy unverified</x:v>
      </x:c>
      <x:c r="I6983" s="12" t="str">
        <x:v>Mixed business audience</x:v>
      </x:c>
      <x:c r="J6983" s="12" t="str">
        <x:v>Trade, consumer &amp; logistics</x:v>
      </x:c>
      <x:c r="K6983" s="2" t="str">
        <x:v>PARTNER-M002</x:v>
      </x:c>
    </x:row>
    <x:row r="6984" ht="46" customHeight="1">
      <x:c r="A6984" s="2" t="str">
        <x:v>TEN-184C1AE98B51</x:v>
      </x:c>
      <x:c r="B6984" s="12" t="str">
        <x:v>N.F Simth</x:v>
      </x:c>
      <x:c r="C6984" s="12" t="str">
        <x:v>CORP-0420</x:v>
      </x:c>
      <x:c r="D6984" s="12" t="str">
        <x:v>Bengaluru</x:v>
      </x:c>
      <x:c r="E6984" s="12" t="str">
        <x:v>International Tech Park (ITPB)</x:v>
      </x:c>
      <x:c r="F6984" s="12" t="str">
        <x:v>55 inch</x:v>
      </x:c>
      <x:c r="G6984" s="20" t="n">
        <x:v>1</x:v>
      </x:c>
      <x:c r="H6984" s="12" t="str">
        <x:v>Campus/portfolio roster; individual building occupancy unverified</x:v>
      </x:c>
      <x:c r="I6984" s="12" t="str">
        <x:v>Mixed business audience</x:v>
      </x:c>
      <x:c r="J6984" s="12" t="str">
        <x:v>Unresolved</x:v>
      </x:c>
      <x:c r="K6984" s="2" t="str">
        <x:v>PARTNER-M002</x:v>
      </x:c>
    </x:row>
    <x:row r="6985" ht="46" customHeight="1">
      <x:c r="A6985" s="2" t="str">
        <x:v>TEN-1B4CDA7D6285</x:v>
      </x:c>
      <x:c r="B6985" s="12" t="str">
        <x:v>Jupiter Intergrated</x:v>
      </x:c>
      <x:c r="C6985" s="12" t="str">
        <x:v>CORP-0420</x:v>
      </x:c>
      <x:c r="D6985" s="12" t="str">
        <x:v>Bengaluru</x:v>
      </x:c>
      <x:c r="E6985" s="12" t="str">
        <x:v>International Tech Park (ITPB)</x:v>
      </x:c>
      <x:c r="F6985" s="12" t="str">
        <x:v>55 inch</x:v>
      </x:c>
      <x:c r="G6985" s="20" t="n">
        <x:v>1</x:v>
      </x:c>
      <x:c r="H6985" s="12" t="str">
        <x:v>Campus/portfolio roster; individual building occupancy unverified</x:v>
      </x:c>
      <x:c r="I6985" s="12" t="str">
        <x:v>Mixed business audience</x:v>
      </x:c>
      <x:c r="J6985" s="12" t="str">
        <x:v>Unresolved</x:v>
      </x:c>
      <x:c r="K6985" s="2" t="str">
        <x:v>PARTNER-M002</x:v>
      </x:c>
    </x:row>
    <x:row r="6986" ht="46" customHeight="1">
      <x:c r="A6986" s="2" t="str">
        <x:v>TEN-2026E5F6610A</x:v>
      </x:c>
      <x:c r="B6986" s="12" t="str">
        <x:v>PPalc Networks</x:v>
      </x:c>
      <x:c r="C6986" s="12" t="str">
        <x:v>CORP-0420</x:v>
      </x:c>
      <x:c r="D6986" s="12" t="str">
        <x:v>Bengaluru</x:v>
      </x:c>
      <x:c r="E6986" s="12" t="str">
        <x:v>International Tech Park (ITPB)</x:v>
      </x:c>
      <x:c r="F6986" s="12" t="str">
        <x:v>55 inch</x:v>
      </x:c>
      <x:c r="G6986" s="20" t="n">
        <x:v>1</x:v>
      </x:c>
      <x:c r="H6986" s="12" t="str">
        <x:v>Campus/portfolio roster; individual building occupancy unverified</x:v>
      </x:c>
      <x:c r="I6986" s="12" t="str">
        <x:v>Small-scale prospects</x:v>
      </x:c>
      <x:c r="J6986" s="12" t="str">
        <x:v>IT &amp; digital</x:v>
      </x:c>
      <x:c r="K6986" s="2" t="str">
        <x:v>PARTNER-M002</x:v>
      </x:c>
    </x:row>
    <x:row r="6987" ht="46" customHeight="1">
      <x:c r="A6987" s="2" t="str">
        <x:v>TEN-20DEB070372D</x:v>
      </x:c>
      <x:c r="B6987" s="12" t="str">
        <x:v>Thoucentric</x:v>
      </x:c>
      <x:c r="C6987" s="12" t="str">
        <x:v>CORP-0420</x:v>
      </x:c>
      <x:c r="D6987" s="12" t="str">
        <x:v>Bengaluru</x:v>
      </x:c>
      <x:c r="E6987" s="12" t="str">
        <x:v>International Tech Park (ITPB)</x:v>
      </x:c>
      <x:c r="F6987" s="12" t="str">
        <x:v>55 inch</x:v>
      </x:c>
      <x:c r="G6987" s="20" t="n">
        <x:v>1</x:v>
      </x:c>
      <x:c r="H6987" s="12" t="str">
        <x:v>Campus/portfolio roster; individual building occupancy unverified</x:v>
      </x:c>
      <x:c r="I6987" s="12" t="str">
        <x:v>Mixed business audience</x:v>
      </x:c>
      <x:c r="J6987" s="12" t="str">
        <x:v>IT &amp; digital</x:v>
      </x:c>
      <x:c r="K6987" s="2" t="str">
        <x:v>PARTNER-M002</x:v>
      </x:c>
    </x:row>
    <x:row r="6988" ht="46" customHeight="1">
      <x:c r="A6988" s="2" t="str">
        <x:v>TEN-21972B078EB5</x:v>
      </x:c>
      <x:c r="B6988" s="12" t="str">
        <x:v>Denso International</x:v>
      </x:c>
      <x:c r="C6988" s="12" t="str">
        <x:v>CORP-0420</x:v>
      </x:c>
      <x:c r="D6988" s="12" t="str">
        <x:v>Bengaluru</x:v>
      </x:c>
      <x:c r="E6988" s="12" t="str">
        <x:v>International Tech Park (ITPB)</x:v>
      </x:c>
      <x:c r="F6988" s="12" t="str">
        <x:v>55 inch</x:v>
      </x:c>
      <x:c r="G6988" s="20" t="n">
        <x:v>1</x:v>
      </x:c>
      <x:c r="H6988" s="12" t="str">
        <x:v>Campus/portfolio roster; individual building occupancy unverified</x:v>
      </x:c>
      <x:c r="I6988" s="12" t="str">
        <x:v>Mixed business audience</x:v>
      </x:c>
      <x:c r="J6988" s="12" t="str">
        <x:v>Engineering &amp; manufacturing</x:v>
      </x:c>
      <x:c r="K6988" s="2" t="str">
        <x:v>PARTNER-M002</x:v>
      </x:c>
    </x:row>
    <x:row r="6989" ht="46" customHeight="1">
      <x:c r="A6989" s="2" t="str">
        <x:v>TEN-22A366EB6CEC</x:v>
      </x:c>
      <x:c r="B6989" s="12" t="str">
        <x:v>Xandr India</x:v>
      </x:c>
      <x:c r="C6989" s="12" t="str">
        <x:v>CORP-0420</x:v>
      </x:c>
      <x:c r="D6989" s="12" t="str">
        <x:v>Bengaluru</x:v>
      </x:c>
      <x:c r="E6989" s="12" t="str">
        <x:v>International Tech Park (ITPB)</x:v>
      </x:c>
      <x:c r="F6989" s="12" t="str">
        <x:v>55 inch</x:v>
      </x:c>
      <x:c r="G6989" s="20" t="n">
        <x:v>1</x:v>
      </x:c>
      <x:c r="H6989" s="12" t="str">
        <x:v>Campus/portfolio roster; individual building occupancy unverified</x:v>
      </x:c>
      <x:c r="I6989" s="12" t="str">
        <x:v>Mixed business audience</x:v>
      </x:c>
      <x:c r="J6989" s="12" t="str">
        <x:v>IT &amp; digital</x:v>
      </x:c>
      <x:c r="K6989" s="2" t="str">
        <x:v>PARTNER-M002</x:v>
      </x:c>
    </x:row>
    <x:row r="6990" ht="46" customHeight="1">
      <x:c r="A6990" s="2" t="str">
        <x:v>TEN-2417E5B2BCE7</x:v>
      </x:c>
      <x:c r="B6990" s="12" t="str">
        <x:v>Galax E Solutions</x:v>
      </x:c>
      <x:c r="C6990" s="12" t="str">
        <x:v>CORP-0420</x:v>
      </x:c>
      <x:c r="D6990" s="12" t="str">
        <x:v>Bengaluru</x:v>
      </x:c>
      <x:c r="E6990" s="12" t="str">
        <x:v>International Tech Park (ITPB)</x:v>
      </x:c>
      <x:c r="F6990" s="12" t="str">
        <x:v>55 inch</x:v>
      </x:c>
      <x:c r="G6990" s="20" t="n">
        <x:v>1</x:v>
      </x:c>
      <x:c r="H6990" s="12" t="str">
        <x:v>Campus/portfolio roster; individual building occupancy unverified</x:v>
      </x:c>
      <x:c r="I6990" s="12" t="str">
        <x:v>Mixed business audience</x:v>
      </x:c>
      <x:c r="J6990" s="12" t="str">
        <x:v>IT &amp; digital</x:v>
      </x:c>
      <x:c r="K6990" s="2" t="str">
        <x:v>PARTNER-M002</x:v>
      </x:c>
    </x:row>
    <x:row r="6991" ht="46" customHeight="1">
      <x:c r="A6991" s="2" t="str">
        <x:v>TEN-2AB6D53E717A</x:v>
      </x:c>
      <x:c r="B6991" s="12" t="str">
        <x:v>Nokia</x:v>
      </x:c>
      <x:c r="C6991" s="12" t="str">
        <x:v>CORP-0420</x:v>
      </x:c>
      <x:c r="D6991" s="12" t="str">
        <x:v>Bengaluru</x:v>
      </x:c>
      <x:c r="E6991" s="12" t="str">
        <x:v>International Tech Park (ITPB)</x:v>
      </x:c>
      <x:c r="F6991" s="12" t="str">
        <x:v>55 inch</x:v>
      </x:c>
      <x:c r="G6991" s="20" t="n">
        <x:v>1</x:v>
      </x:c>
      <x:c r="H6991" s="12" t="str">
        <x:v>Campus/portfolio roster; individual building occupancy unverified</x:v>
      </x:c>
      <x:c r="I6991" s="12" t="str">
        <x:v>Large enterprise</x:v>
      </x:c>
      <x:c r="J6991" s="12" t="str">
        <x:v>IT &amp; digital</x:v>
      </x:c>
      <x:c r="K6991" s="2" t="str">
        <x:v>PARTNER-M002</x:v>
      </x:c>
    </x:row>
    <x:row r="6992" ht="46" customHeight="1">
      <x:c r="A6992" s="2" t="str">
        <x:v>TEN-2DBBBD8AD08B</x:v>
      </x:c>
      <x:c r="B6992" s="12" t="str">
        <x:v>Zenmonics Software</x:v>
      </x:c>
      <x:c r="C6992" s="12" t="str">
        <x:v>CORP-0420</x:v>
      </x:c>
      <x:c r="D6992" s="12" t="str">
        <x:v>Bengaluru</x:v>
      </x:c>
      <x:c r="E6992" s="12" t="str">
        <x:v>International Tech Park (ITPB)</x:v>
      </x:c>
      <x:c r="F6992" s="12" t="str">
        <x:v>55 inch</x:v>
      </x:c>
      <x:c r="G6992" s="20" t="n">
        <x:v>1</x:v>
      </x:c>
      <x:c r="H6992" s="12" t="str">
        <x:v>Campus/portfolio roster; individual building occupancy unverified</x:v>
      </x:c>
      <x:c r="I6992" s="12" t="str">
        <x:v>Small-scale prospects</x:v>
      </x:c>
      <x:c r="J6992" s="12" t="str">
        <x:v>IT &amp; digital</x:v>
      </x:c>
      <x:c r="K6992" s="2" t="str">
        <x:v>PARTNER-M002</x:v>
      </x:c>
    </x:row>
    <x:row r="6993" ht="46" customHeight="1">
      <x:c r="A6993" s="2" t="str">
        <x:v>TEN-2E737C2291BC</x:v>
      </x:c>
      <x:c r="B6993" s="12" t="str">
        <x:v>Nextgen</x:v>
      </x:c>
      <x:c r="C6993" s="12" t="str">
        <x:v>CORP-0420</x:v>
      </x:c>
      <x:c r="D6993" s="12" t="str">
        <x:v>Bengaluru</x:v>
      </x:c>
      <x:c r="E6993" s="12" t="str">
        <x:v>International Tech Park (ITPB)</x:v>
      </x:c>
      <x:c r="F6993" s="12" t="str">
        <x:v>55 inch</x:v>
      </x:c>
      <x:c r="G6993" s="20" t="n">
        <x:v>1</x:v>
      </x:c>
      <x:c r="H6993" s="12" t="str">
        <x:v>Campus/portfolio roster; individual building occupancy unverified</x:v>
      </x:c>
      <x:c r="I6993" s="12" t="str">
        <x:v>Mixed business audience</x:v>
      </x:c>
      <x:c r="J6993" s="12" t="str">
        <x:v>Unresolved</x:v>
      </x:c>
      <x:c r="K6993" s="2" t="str">
        <x:v>PARTNER-M002</x:v>
      </x:c>
    </x:row>
    <x:row r="6994" ht="46" customHeight="1">
      <x:c r="A6994" s="2" t="str">
        <x:v>TEN-2EDD47EC3C4F</x:v>
      </x:c>
      <x:c r="B6994" s="12" t="str">
        <x:v>Technicolor India</x:v>
      </x:c>
      <x:c r="C6994" s="12" t="str">
        <x:v>CORP-0420</x:v>
      </x:c>
      <x:c r="D6994" s="12" t="str">
        <x:v>Bengaluru</x:v>
      </x:c>
      <x:c r="E6994" s="12" t="str">
        <x:v>International Tech Park (ITPB)</x:v>
      </x:c>
      <x:c r="F6994" s="12" t="str">
        <x:v>55 inch</x:v>
      </x:c>
      <x:c r="G6994" s="20" t="n">
        <x:v>1</x:v>
      </x:c>
      <x:c r="H6994" s="12" t="str">
        <x:v>Campus/portfolio roster; individual building occupancy unverified</x:v>
      </x:c>
      <x:c r="I6994" s="12" t="str">
        <x:v>Mixed business audience</x:v>
      </x:c>
      <x:c r="J6994" s="12" t="str">
        <x:v>Trade, consumer &amp; logistics</x:v>
      </x:c>
      <x:c r="K6994" s="2" t="str">
        <x:v>PARTNER-M002</x:v>
      </x:c>
    </x:row>
    <x:row r="6995" ht="46" customHeight="1">
      <x:c r="A6995" s="2" t="str">
        <x:v>TEN-30E363D3E8C5</x:v>
      </x:c>
      <x:c r="B6995" s="12" t="str">
        <x:v>Siemens</x:v>
      </x:c>
      <x:c r="C6995" s="12" t="str">
        <x:v>CORP-0420</x:v>
      </x:c>
      <x:c r="D6995" s="12" t="str">
        <x:v>Bengaluru</x:v>
      </x:c>
      <x:c r="E6995" s="12" t="str">
        <x:v>International Tech Park (ITPB)</x:v>
      </x:c>
      <x:c r="F6995" s="12" t="str">
        <x:v>55 inch</x:v>
      </x:c>
      <x:c r="G6995" s="20" t="n">
        <x:v>1</x:v>
      </x:c>
      <x:c r="H6995" s="12" t="str">
        <x:v>Campus/portfolio roster; individual building occupancy unverified</x:v>
      </x:c>
      <x:c r="I6995" s="12" t="str">
        <x:v>Large enterprise</x:v>
      </x:c>
      <x:c r="J6995" s="12" t="str">
        <x:v>Engineering &amp; manufacturing</x:v>
      </x:c>
      <x:c r="K6995" s="2" t="str">
        <x:v>PARTNER-M002</x:v>
      </x:c>
    </x:row>
    <x:row r="6996" ht="46" customHeight="1">
      <x:c r="A6996" s="2" t="str">
        <x:v>TEN-316635638FCB</x:v>
      </x:c>
      <x:c r="B6996" s="12" t="str">
        <x:v>Sabre Travel</x:v>
      </x:c>
      <x:c r="C6996" s="12" t="str">
        <x:v>CORP-0420</x:v>
      </x:c>
      <x:c r="D6996" s="12" t="str">
        <x:v>Bengaluru</x:v>
      </x:c>
      <x:c r="E6996" s="12" t="str">
        <x:v>International Tech Park (ITPB)</x:v>
      </x:c>
      <x:c r="F6996" s="12" t="str">
        <x:v>55 inch</x:v>
      </x:c>
      <x:c r="G6996" s="20" t="n">
        <x:v>1</x:v>
      </x:c>
      <x:c r="H6996" s="12" t="str">
        <x:v>Campus/portfolio roster; individual building occupancy unverified</x:v>
      </x:c>
      <x:c r="I6996" s="12" t="str">
        <x:v>Mixed business audience</x:v>
      </x:c>
      <x:c r="J6996" s="12" t="str">
        <x:v>IT &amp; digital</x:v>
      </x:c>
      <x:c r="K6996" s="2" t="str">
        <x:v>PARTNER-M002</x:v>
      </x:c>
    </x:row>
    <x:row r="6997" ht="46" customHeight="1">
      <x:c r="A6997" s="2" t="str">
        <x:v>TEN-330E380FC660</x:v>
      </x:c>
      <x:c r="B6997" s="12" t="str">
        <x:v>The Dhanalakshmi Bank</x:v>
      </x:c>
      <x:c r="C6997" s="12" t="str">
        <x:v>CORP-0420</x:v>
      </x:c>
      <x:c r="D6997" s="12" t="str">
        <x:v>Bengaluru</x:v>
      </x:c>
      <x:c r="E6997" s="12" t="str">
        <x:v>International Tech Park (ITPB)</x:v>
      </x:c>
      <x:c r="F6997" s="12" t="str">
        <x:v>55 inch</x:v>
      </x:c>
      <x:c r="G6997" s="20" t="n">
        <x:v>1</x:v>
      </x:c>
      <x:c r="H6997" s="12" t="str">
        <x:v>Campus/portfolio roster; individual building occupancy unverified</x:v>
      </x:c>
      <x:c r="I6997" s="12" t="str">
        <x:v>Mixed business audience</x:v>
      </x:c>
      <x:c r="J6997" s="12" t="str">
        <x:v>Finance &amp; insurance</x:v>
      </x:c>
      <x:c r="K6997" s="2" t="str">
        <x:v>PARTNER-M002</x:v>
      </x:c>
    </x:row>
    <x:row r="6998" ht="46" customHeight="1">
      <x:c r="A6998" s="2" t="str">
        <x:v>TEN-3338D6A28C63</x:v>
      </x:c>
      <x:c r="B6998" s="12" t="str">
        <x:v>NTT Cloud</x:v>
      </x:c>
      <x:c r="C6998" s="12" t="str">
        <x:v>CORP-0420</x:v>
      </x:c>
      <x:c r="D6998" s="12" t="str">
        <x:v>Bengaluru</x:v>
      </x:c>
      <x:c r="E6998" s="12" t="str">
        <x:v>International Tech Park (ITPB)</x:v>
      </x:c>
      <x:c r="F6998" s="12" t="str">
        <x:v>55 inch</x:v>
      </x:c>
      <x:c r="G6998" s="20" t="n">
        <x:v>1</x:v>
      </x:c>
      <x:c r="H6998" s="12" t="str">
        <x:v>Campus/portfolio roster; individual building occupancy unverified</x:v>
      </x:c>
      <x:c r="I6998" s="12" t="str">
        <x:v>Large enterprise</x:v>
      </x:c>
      <x:c r="J6998" s="12" t="str">
        <x:v>IT &amp; digital</x:v>
      </x:c>
      <x:c r="K6998" s="2" t="str">
        <x:v>PARTNER-M002</x:v>
      </x:c>
    </x:row>
    <x:row r="6999" ht="46" customHeight="1">
      <x:c r="A6999" s="2" t="str">
        <x:v>TEN-33DF04958DCA</x:v>
      </x:c>
      <x:c r="B6999" s="12" t="str">
        <x:v>Panasoni Life</x:v>
      </x:c>
      <x:c r="C6999" s="12" t="str">
        <x:v>CORP-0420</x:v>
      </x:c>
      <x:c r="D6999" s="12" t="str">
        <x:v>Bengaluru</x:v>
      </x:c>
      <x:c r="E6999" s="12" t="str">
        <x:v>International Tech Park (ITPB)</x:v>
      </x:c>
      <x:c r="F6999" s="12" t="str">
        <x:v>55 inch</x:v>
      </x:c>
      <x:c r="G6999" s="20" t="n">
        <x:v>1</x:v>
      </x:c>
      <x:c r="H6999" s="12" t="str">
        <x:v>Campus/portfolio roster; individual building occupancy unverified</x:v>
      </x:c>
      <x:c r="I6999" s="12" t="str">
        <x:v>Mixed business audience</x:v>
      </x:c>
      <x:c r="J6999" s="12" t="str">
        <x:v>Unresolved</x:v>
      </x:c>
      <x:c r="K6999" s="2" t="str">
        <x:v>PARTNER-M002</x:v>
      </x:c>
    </x:row>
    <x:row r="7000" ht="46" customHeight="1">
      <x:c r="A7000" s="2" t="str">
        <x:v>TEN-34185282371F</x:v>
      </x:c>
      <x:c r="B7000" s="12" t="str">
        <x:v>Glenburn</x:v>
      </x:c>
      <x:c r="C7000" s="12" t="str">
        <x:v>CORP-0420</x:v>
      </x:c>
      <x:c r="D7000" s="12" t="str">
        <x:v>Bengaluru</x:v>
      </x:c>
      <x:c r="E7000" s="12" t="str">
        <x:v>International Tech Park (ITPB)</x:v>
      </x:c>
      <x:c r="F7000" s="12" t="str">
        <x:v>55 inch</x:v>
      </x:c>
      <x:c r="G7000" s="20" t="n">
        <x:v>1</x:v>
      </x:c>
      <x:c r="H7000" s="12" t="str">
        <x:v>Campus/portfolio roster; individual building occupancy unverified</x:v>
      </x:c>
      <x:c r="I7000" s="12" t="str">
        <x:v>Mixed business audience</x:v>
      </x:c>
      <x:c r="J7000" s="12" t="str">
        <x:v>Unresolved</x:v>
      </x:c>
      <x:c r="K7000" s="2" t="str">
        <x:v>PARTNER-M002</x:v>
      </x:c>
    </x:row>
    <x:row r="7001" ht="46" customHeight="1">
      <x:c r="A7001" s="2" t="str">
        <x:v>TEN-356AAB6A94F0</x:v>
      </x:c>
      <x:c r="B7001" s="12" t="str">
        <x:v>Infovision</x:v>
      </x:c>
      <x:c r="C7001" s="12" t="str">
        <x:v>CORP-0420</x:v>
      </x:c>
      <x:c r="D7001" s="12" t="str">
        <x:v>Bengaluru</x:v>
      </x:c>
      <x:c r="E7001" s="12" t="str">
        <x:v>International Tech Park (ITPB)</x:v>
      </x:c>
      <x:c r="F7001" s="12" t="str">
        <x:v>55 inch</x:v>
      </x:c>
      <x:c r="G7001" s="20" t="n">
        <x:v>1</x:v>
      </x:c>
      <x:c r="H7001" s="12" t="str">
        <x:v>Campus/portfolio roster; individual building occupancy unverified</x:v>
      </x:c>
      <x:c r="I7001" s="12" t="str">
        <x:v>Small-scale prospects</x:v>
      </x:c>
      <x:c r="J7001" s="12" t="str">
        <x:v>IT &amp; digital</x:v>
      </x:c>
      <x:c r="K7001" s="2" t="str">
        <x:v>PARTNER-M002</x:v>
      </x:c>
    </x:row>
    <x:row r="7002" ht="46" customHeight="1">
      <x:c r="A7002" s="2" t="str">
        <x:v>TEN-3669A97CEE08</x:v>
      </x:c>
      <x:c r="B7002" s="12" t="str">
        <x:v>DBA xcom labs</x:v>
      </x:c>
      <x:c r="C7002" s="12" t="str">
        <x:v>CORP-0420</x:v>
      </x:c>
      <x:c r="D7002" s="12" t="str">
        <x:v>Bengaluru</x:v>
      </x:c>
      <x:c r="E7002" s="12" t="str">
        <x:v>International Tech Park (ITPB)</x:v>
      </x:c>
      <x:c r="F7002" s="12" t="str">
        <x:v>55 inch</x:v>
      </x:c>
      <x:c r="G7002" s="20" t="n">
        <x:v>1</x:v>
      </x:c>
      <x:c r="H7002" s="12" t="str">
        <x:v>Campus/portfolio roster; individual building occupancy unverified</x:v>
      </x:c>
      <x:c r="I7002" s="12" t="str">
        <x:v>Mixed business audience</x:v>
      </x:c>
      <x:c r="J7002" s="12" t="str">
        <x:v>Unresolved</x:v>
      </x:c>
      <x:c r="K7002" s="2" t="str">
        <x:v>PARTNER-M002</x:v>
      </x:c>
    </x:row>
    <x:row r="7003" ht="46" customHeight="1">
      <x:c r="A7003" s="2" t="str">
        <x:v>TEN-3CCDB2E97517</x:v>
      </x:c>
      <x:c r="B7003" s="12" t="str">
        <x:v>Mentora</x:v>
      </x:c>
      <x:c r="C7003" s="12" t="str">
        <x:v>CORP-0420</x:v>
      </x:c>
      <x:c r="D7003" s="12" t="str">
        <x:v>Bengaluru</x:v>
      </x:c>
      <x:c r="E7003" s="12" t="str">
        <x:v>International Tech Park (ITPB)</x:v>
      </x:c>
      <x:c r="F7003" s="12" t="str">
        <x:v>55 inch</x:v>
      </x:c>
      <x:c r="G7003" s="20" t="n">
        <x:v>1</x:v>
      </x:c>
      <x:c r="H7003" s="12" t="str">
        <x:v>Campus/portfolio roster; individual building occupancy unverified</x:v>
      </x:c>
      <x:c r="I7003" s="12" t="str">
        <x:v>Mixed business audience</x:v>
      </x:c>
      <x:c r="J7003" s="12" t="str">
        <x:v>Unresolved</x:v>
      </x:c>
      <x:c r="K7003" s="2" t="str">
        <x:v>PARTNER-M002</x:v>
      </x:c>
    </x:row>
    <x:row r="7004" ht="46" customHeight="1">
      <x:c r="A7004" s="2" t="str">
        <x:v>TEN-43BD5FC2D8E2</x:v>
      </x:c>
      <x:c r="B7004" s="12" t="str">
        <x:v>RLE</x:v>
      </x:c>
      <x:c r="C7004" s="12" t="str">
        <x:v>CORP-0420</x:v>
      </x:c>
      <x:c r="D7004" s="12" t="str">
        <x:v>Bengaluru</x:v>
      </x:c>
      <x:c r="E7004" s="12" t="str">
        <x:v>International Tech Park (ITPB)</x:v>
      </x:c>
      <x:c r="F7004" s="12" t="str">
        <x:v>55 inch</x:v>
      </x:c>
      <x:c r="G7004" s="20" t="n">
        <x:v>1</x:v>
      </x:c>
      <x:c r="H7004" s="12" t="str">
        <x:v>Campus/portfolio roster; individual building occupancy unverified</x:v>
      </x:c>
      <x:c r="I7004" s="12" t="str">
        <x:v>Mixed business audience</x:v>
      </x:c>
      <x:c r="J7004" s="12" t="str">
        <x:v>Unresolved</x:v>
      </x:c>
      <x:c r="K7004" s="2" t="str">
        <x:v>PARTNER-M002</x:v>
      </x:c>
    </x:row>
    <x:row r="7005" ht="46" customHeight="1">
      <x:c r="A7005" s="2" t="str">
        <x:v>TEN-46EE12AD6E57</x:v>
      </x:c>
      <x:c r="B7005" s="12" t="str">
        <x:v>Open Bet</x:v>
      </x:c>
      <x:c r="C7005" s="12" t="str">
        <x:v>CORP-0420</x:v>
      </x:c>
      <x:c r="D7005" s="12" t="str">
        <x:v>Bengaluru</x:v>
      </x:c>
      <x:c r="E7005" s="12" t="str">
        <x:v>International Tech Park (ITPB)</x:v>
      </x:c>
      <x:c r="F7005" s="12" t="str">
        <x:v>55 inch</x:v>
      </x:c>
      <x:c r="G7005" s="20" t="n">
        <x:v>1</x:v>
      </x:c>
      <x:c r="H7005" s="12" t="str">
        <x:v>Campus/portfolio roster; individual building occupancy unverified</x:v>
      </x:c>
      <x:c r="I7005" s="12" t="str">
        <x:v>Mixed business audience</x:v>
      </x:c>
      <x:c r="J7005" s="12" t="str">
        <x:v>Trade, consumer &amp; logistics</x:v>
      </x:c>
      <x:c r="K7005" s="2" t="str">
        <x:v>PARTNER-M002</x:v>
      </x:c>
    </x:row>
    <x:row r="7006" ht="46" customHeight="1">
      <x:c r="A7006" s="2" t="str">
        <x:v>TEN-4B42B5258CA7</x:v>
      </x:c>
      <x:c r="B7006" s="12" t="str">
        <x:v>Tyfone</x:v>
      </x:c>
      <x:c r="C7006" s="12" t="str">
        <x:v>CORP-0420</x:v>
      </x:c>
      <x:c r="D7006" s="12" t="str">
        <x:v>Bengaluru</x:v>
      </x:c>
      <x:c r="E7006" s="12" t="str">
        <x:v>International Tech Park (ITPB)</x:v>
      </x:c>
      <x:c r="F7006" s="12" t="str">
        <x:v>55 inch</x:v>
      </x:c>
      <x:c r="G7006" s="20" t="n">
        <x:v>1</x:v>
      </x:c>
      <x:c r="H7006" s="12" t="str">
        <x:v>Campus/portfolio roster; individual building occupancy unverified</x:v>
      </x:c>
      <x:c r="I7006" s="12" t="str">
        <x:v>Small-scale prospects</x:v>
      </x:c>
      <x:c r="J7006" s="12" t="str">
        <x:v>IT &amp; digital</x:v>
      </x:c>
      <x:c r="K7006" s="2" t="str">
        <x:v>PARTNER-M002</x:v>
      </x:c>
    </x:row>
    <x:row r="7007" ht="46" customHeight="1">
      <x:c r="A7007" s="2" t="str">
        <x:v>TEN-50A50A4E75D3</x:v>
      </x:c>
      <x:c r="B7007" s="12" t="str">
        <x:v>Bharat Sanchar Nigam</x:v>
      </x:c>
      <x:c r="C7007" s="12" t="str">
        <x:v>CORP-0420</x:v>
      </x:c>
      <x:c r="D7007" s="12" t="str">
        <x:v>Bengaluru</x:v>
      </x:c>
      <x:c r="E7007" s="12" t="str">
        <x:v>International Tech Park (ITPB)</x:v>
      </x:c>
      <x:c r="F7007" s="12" t="str">
        <x:v>55 inch</x:v>
      </x:c>
      <x:c r="G7007" s="20" t="n">
        <x:v>1</x:v>
      </x:c>
      <x:c r="H7007" s="12" t="str">
        <x:v>Campus/portfolio roster; individual building occupancy unverified</x:v>
      </x:c>
      <x:c r="I7007" s="12" t="str">
        <x:v>Mixed business audience</x:v>
      </x:c>
      <x:c r="J7007" s="12" t="str">
        <x:v>IT &amp; digital</x:v>
      </x:c>
      <x:c r="K7007" s="2" t="str">
        <x:v>PARTNER-M002</x:v>
      </x:c>
    </x:row>
    <x:row r="7008" ht="46" customHeight="1">
      <x:c r="A7008" s="2" t="str">
        <x:v>TEN-5346DFE17486</x:v>
      </x:c>
      <x:c r="B7008" s="12" t="str">
        <x:v>Technicolor</x:v>
      </x:c>
      <x:c r="C7008" s="12" t="str">
        <x:v>CORP-0420</x:v>
      </x:c>
      <x:c r="D7008" s="12" t="str">
        <x:v>Bengaluru</x:v>
      </x:c>
      <x:c r="E7008" s="12" t="str">
        <x:v>International Tech Park (ITPB)</x:v>
      </x:c>
      <x:c r="F7008" s="12" t="str">
        <x:v>55 inch</x:v>
      </x:c>
      <x:c r="G7008" s="20" t="n">
        <x:v>1</x:v>
      </x:c>
      <x:c r="H7008" s="12" t="str">
        <x:v>Campus/portfolio roster; individual building occupancy unverified</x:v>
      </x:c>
      <x:c r="I7008" s="12" t="str">
        <x:v>Mixed business audience</x:v>
      </x:c>
      <x:c r="J7008" s="12" t="str">
        <x:v>Trade, consumer &amp; logistics</x:v>
      </x:c>
      <x:c r="K7008" s="2" t="str">
        <x:v>PARTNER-M002</x:v>
      </x:c>
    </x:row>
    <x:row r="7009" ht="46" customHeight="1">
      <x:c r="A7009" s="2" t="str">
        <x:v>TEN-598F7A741A1E</x:v>
      </x:c>
      <x:c r="B7009" s="12" t="str">
        <x:v>Aegis</x:v>
      </x:c>
      <x:c r="C7009" s="12" t="str">
        <x:v>CORP-0420</x:v>
      </x:c>
      <x:c r="D7009" s="12" t="str">
        <x:v>Bengaluru</x:v>
      </x:c>
      <x:c r="E7009" s="12" t="str">
        <x:v>International Tech Park (ITPB)</x:v>
      </x:c>
      <x:c r="F7009" s="12" t="str">
        <x:v>55 inch</x:v>
      </x:c>
      <x:c r="G7009" s="20" t="n">
        <x:v>1</x:v>
      </x:c>
      <x:c r="H7009" s="12" t="str">
        <x:v>Campus/portfolio roster; individual building occupancy unverified</x:v>
      </x:c>
      <x:c r="I7009" s="12" t="str">
        <x:v>Mixed business audience</x:v>
      </x:c>
      <x:c r="J7009" s="12" t="str">
        <x:v>IT &amp; digital</x:v>
      </x:c>
      <x:c r="K7009" s="2" t="str">
        <x:v>PARTNER-M002</x:v>
      </x:c>
    </x:row>
    <x:row r="7010" ht="46" customHeight="1">
      <x:c r="A7010" s="2" t="str">
        <x:v>TEN-59E713BB9B49</x:v>
      </x:c>
      <x:c r="B7010" s="12" t="str">
        <x:v>Revolt Intellicorp Pvt</x:v>
      </x:c>
      <x:c r="C7010" s="12" t="str">
        <x:v>CORP-0420</x:v>
      </x:c>
      <x:c r="D7010" s="12" t="str">
        <x:v>Bengaluru</x:v>
      </x:c>
      <x:c r="E7010" s="12" t="str">
        <x:v>International Tech Park (ITPB)</x:v>
      </x:c>
      <x:c r="F7010" s="12" t="str">
        <x:v>55 inch</x:v>
      </x:c>
      <x:c r="G7010" s="20" t="n">
        <x:v>1</x:v>
      </x:c>
      <x:c r="H7010" s="12" t="str">
        <x:v>Campus/portfolio roster; individual building occupancy unverified</x:v>
      </x:c>
      <x:c r="I7010" s="12" t="str">
        <x:v>Mixed business audience</x:v>
      </x:c>
      <x:c r="J7010" s="12" t="str">
        <x:v>Unresolved</x:v>
      </x:c>
      <x:c r="K7010" s="2" t="str">
        <x:v>PARTNER-M002</x:v>
      </x:c>
    </x:row>
    <x:row r="7011" ht="46" customHeight="1">
      <x:c r="A7011" s="2" t="str">
        <x:v>TEN-5B5245AFFE44</x:v>
      </x:c>
      <x:c r="B7011" s="12" t="str">
        <x:v>Tata Communications</x:v>
      </x:c>
      <x:c r="C7011" s="12" t="str">
        <x:v>CORP-0420</x:v>
      </x:c>
      <x:c r="D7011" s="12" t="str">
        <x:v>Bengaluru</x:v>
      </x:c>
      <x:c r="E7011" s="12" t="str">
        <x:v>International Tech Park (ITPB)</x:v>
      </x:c>
      <x:c r="F7011" s="12" t="str">
        <x:v>55 inch</x:v>
      </x:c>
      <x:c r="G7011" s="20" t="n">
        <x:v>1</x:v>
      </x:c>
      <x:c r="H7011" s="12" t="str">
        <x:v>Campus/portfolio roster; individual building occupancy unverified</x:v>
      </x:c>
      <x:c r="I7011" s="12" t="str">
        <x:v>Large enterprise</x:v>
      </x:c>
      <x:c r="J7011" s="12" t="str">
        <x:v>IT &amp; digital</x:v>
      </x:c>
      <x:c r="K7011" s="2" t="str">
        <x:v>PARTNER-M002</x:v>
      </x:c>
    </x:row>
    <x:row r="7012" ht="46" customHeight="1">
      <x:c r="A7012" s="2" t="str">
        <x:v>TEN-5D77DB2A2906</x:v>
      </x:c>
      <x:c r="B7012" s="12" t="str">
        <x:v>Telia</x:v>
      </x:c>
      <x:c r="C7012" s="12" t="str">
        <x:v>CORP-0420</x:v>
      </x:c>
      <x:c r="D7012" s="12" t="str">
        <x:v>Bengaluru</x:v>
      </x:c>
      <x:c r="E7012" s="12" t="str">
        <x:v>International Tech Park (ITPB)</x:v>
      </x:c>
      <x:c r="F7012" s="12" t="str">
        <x:v>55 inch</x:v>
      </x:c>
      <x:c r="G7012" s="20" t="n">
        <x:v>1</x:v>
      </x:c>
      <x:c r="H7012" s="12" t="str">
        <x:v>Campus/portfolio roster; individual building occupancy unverified</x:v>
      </x:c>
      <x:c r="I7012" s="12" t="str">
        <x:v>Mixed business audience</x:v>
      </x:c>
      <x:c r="J7012" s="12" t="str">
        <x:v>Unresolved</x:v>
      </x:c>
      <x:c r="K7012" s="2" t="str">
        <x:v>PARTNER-M002</x:v>
      </x:c>
    </x:row>
    <x:row r="7013" ht="46" customHeight="1">
      <x:c r="A7013" s="2" t="str">
        <x:v>TEN-5F435B82E7E9</x:v>
      </x:c>
      <x:c r="B7013" s="12" t="str">
        <x:v>Criterion</x:v>
      </x:c>
      <x:c r="C7013" s="12" t="str">
        <x:v>CORP-0420</x:v>
      </x:c>
      <x:c r="D7013" s="12" t="str">
        <x:v>Bengaluru</x:v>
      </x:c>
      <x:c r="E7013" s="12" t="str">
        <x:v>International Tech Park (ITPB)</x:v>
      </x:c>
      <x:c r="F7013" s="12" t="str">
        <x:v>55 inch</x:v>
      </x:c>
      <x:c r="G7013" s="20" t="n">
        <x:v>1</x:v>
      </x:c>
      <x:c r="H7013" s="12" t="str">
        <x:v>Campus/portfolio roster; individual building occupancy unverified</x:v>
      </x:c>
      <x:c r="I7013" s="12" t="str">
        <x:v>Mixed business audience</x:v>
      </x:c>
      <x:c r="J7013" s="12" t="str">
        <x:v>Unresolved</x:v>
      </x:c>
      <x:c r="K7013" s="2" t="str">
        <x:v>PARTNER-M002</x:v>
      </x:c>
    </x:row>
    <x:row r="7014" ht="46" customHeight="1">
      <x:c r="A7014" s="2" t="str">
        <x:v>TEN-5FA790F3630F</x:v>
      </x:c>
      <x:c r="B7014" s="12" t="str">
        <x:v>Tata Consultancy Services</x:v>
      </x:c>
      <x:c r="C7014" s="12" t="str">
        <x:v>CORP-0420</x:v>
      </x:c>
      <x:c r="D7014" s="12" t="str">
        <x:v>Bengaluru</x:v>
      </x:c>
      <x:c r="E7014" s="12" t="str">
        <x:v>International Tech Park (ITPB)</x:v>
      </x:c>
      <x:c r="F7014" s="12" t="str">
        <x:v>55 inch</x:v>
      </x:c>
      <x:c r="G7014" s="20" t="n">
        <x:v>1</x:v>
      </x:c>
      <x:c r="H7014" s="12" t="str">
        <x:v>Campus/portfolio roster; individual building occupancy unverified</x:v>
      </x:c>
      <x:c r="I7014" s="12" t="str">
        <x:v>Large enterprise</x:v>
      </x:c>
      <x:c r="J7014" s="12" t="str">
        <x:v>IT &amp; digital</x:v>
      </x:c>
      <x:c r="K7014" s="2" t="str">
        <x:v>PARTNER-M002</x:v>
      </x:c>
    </x:row>
    <x:row r="7015" ht="46" customHeight="1">
      <x:c r="A7015" s="2" t="str">
        <x:v>TEN-60B66A73DC22</x:v>
      </x:c>
      <x:c r="B7015" s="12" t="str">
        <x:v>Webdunia.com</x:v>
      </x:c>
      <x:c r="C7015" s="12" t="str">
        <x:v>CORP-0420</x:v>
      </x:c>
      <x:c r="D7015" s="12" t="str">
        <x:v>Bengaluru</x:v>
      </x:c>
      <x:c r="E7015" s="12" t="str">
        <x:v>International Tech Park (ITPB)</x:v>
      </x:c>
      <x:c r="F7015" s="12" t="str">
        <x:v>55 inch</x:v>
      </x:c>
      <x:c r="G7015" s="20" t="n">
        <x:v>1</x:v>
      </x:c>
      <x:c r="H7015" s="12" t="str">
        <x:v>Campus/portfolio roster; individual building occupancy unverified</x:v>
      </x:c>
      <x:c r="I7015" s="12" t="str">
        <x:v>Small-scale prospects</x:v>
      </x:c>
      <x:c r="J7015" s="12" t="str">
        <x:v>IT &amp; digital</x:v>
      </x:c>
      <x:c r="K7015" s="2" t="str">
        <x:v>PARTNER-M002</x:v>
      </x:c>
    </x:row>
    <x:row r="7016" ht="46" customHeight="1">
      <x:c r="A7016" s="2" t="str">
        <x:v>TEN-60CDE18C0230</x:v>
      </x:c>
      <x:c r="B7016" s="12" t="str">
        <x:v>Omens Animation</x:v>
      </x:c>
      <x:c r="C7016" s="12" t="str">
        <x:v>CORP-0420</x:v>
      </x:c>
      <x:c r="D7016" s="12" t="str">
        <x:v>Bengaluru</x:v>
      </x:c>
      <x:c r="E7016" s="12" t="str">
        <x:v>International Tech Park (ITPB)</x:v>
      </x:c>
      <x:c r="F7016" s="12" t="str">
        <x:v>55 inch</x:v>
      </x:c>
      <x:c r="G7016" s="20" t="n">
        <x:v>1</x:v>
      </x:c>
      <x:c r="H7016" s="12" t="str">
        <x:v>Campus/portfolio roster; individual building occupancy unverified</x:v>
      </x:c>
      <x:c r="I7016" s="12" t="str">
        <x:v>Small-scale prospects</x:v>
      </x:c>
      <x:c r="J7016" s="12" t="str">
        <x:v>Trade, consumer &amp; logistics</x:v>
      </x:c>
      <x:c r="K7016" s="2" t="str">
        <x:v>PARTNER-M002</x:v>
      </x:c>
    </x:row>
    <x:row r="7017" ht="46" customHeight="1">
      <x:c r="A7017" s="2" t="str">
        <x:v>TEN-676DC956336D</x:v>
      </x:c>
      <x:c r="B7017" s="12" t="str">
        <x:v>Rsab</x:v>
      </x:c>
      <x:c r="C7017" s="12" t="str">
        <x:v>CORP-0420</x:v>
      </x:c>
      <x:c r="D7017" s="12" t="str">
        <x:v>Bengaluru</x:v>
      </x:c>
      <x:c r="E7017" s="12" t="str">
        <x:v>International Tech Park (ITPB)</x:v>
      </x:c>
      <x:c r="F7017" s="12" t="str">
        <x:v>55 inch</x:v>
      </x:c>
      <x:c r="G7017" s="20" t="n">
        <x:v>1</x:v>
      </x:c>
      <x:c r="H7017" s="12" t="str">
        <x:v>Campus/portfolio roster; individual building occupancy unverified</x:v>
      </x:c>
      <x:c r="I7017" s="12" t="str">
        <x:v>Mixed business audience</x:v>
      </x:c>
      <x:c r="J7017" s="12" t="str">
        <x:v>Unresolved</x:v>
      </x:c>
      <x:c r="K7017" s="2" t="str">
        <x:v>PARTNER-M002</x:v>
      </x:c>
    </x:row>
    <x:row r="7018" ht="46" customHeight="1">
      <x:c r="A7018" s="2" t="str">
        <x:v>TEN-6994CDC0D34E</x:v>
      </x:c>
      <x:c r="B7018" s="12" t="str">
        <x:v>Sacha Engineering</x:v>
      </x:c>
      <x:c r="C7018" s="12" t="str">
        <x:v>CORP-0420</x:v>
      </x:c>
      <x:c r="D7018" s="12" t="str">
        <x:v>Bengaluru</x:v>
      </x:c>
      <x:c r="E7018" s="12" t="str">
        <x:v>International Tech Park (ITPB)</x:v>
      </x:c>
      <x:c r="F7018" s="12" t="str">
        <x:v>55 inch</x:v>
      </x:c>
      <x:c r="G7018" s="20" t="n">
        <x:v>1</x:v>
      </x:c>
      <x:c r="H7018" s="12" t="str">
        <x:v>Campus/portfolio roster; individual building occupancy unverified</x:v>
      </x:c>
      <x:c r="I7018" s="12" t="str">
        <x:v>Medium-scale prospects</x:v>
      </x:c>
      <x:c r="J7018" s="12" t="str">
        <x:v>Engineering &amp; manufacturing</x:v>
      </x:c>
      <x:c r="K7018" s="2" t="str">
        <x:v>PARTNER-M002</x:v>
      </x:c>
    </x:row>
    <x:row r="7019" ht="46" customHeight="1">
      <x:c r="A7019" s="2" t="str">
        <x:v>TEN-6BC09C13CCE1</x:v>
      </x:c>
      <x:c r="B7019" s="12" t="str">
        <x:v>Upilot</x:v>
      </x:c>
      <x:c r="C7019" s="12" t="str">
        <x:v>CORP-0420</x:v>
      </x:c>
      <x:c r="D7019" s="12" t="str">
        <x:v>Bengaluru</x:v>
      </x:c>
      <x:c r="E7019" s="12" t="str">
        <x:v>International Tech Park (ITPB)</x:v>
      </x:c>
      <x:c r="F7019" s="12" t="str">
        <x:v>55 inch</x:v>
      </x:c>
      <x:c r="G7019" s="20" t="n">
        <x:v>1</x:v>
      </x:c>
      <x:c r="H7019" s="12" t="str">
        <x:v>Campus/portfolio roster; individual building occupancy unverified</x:v>
      </x:c>
      <x:c r="I7019" s="12" t="str">
        <x:v>Small-scale prospects</x:v>
      </x:c>
      <x:c r="J7019" s="12" t="str">
        <x:v>IT &amp; digital</x:v>
      </x:c>
      <x:c r="K7019" s="2" t="str">
        <x:v>PARTNER-M002</x:v>
      </x:c>
    </x:row>
    <x:row r="7020" ht="46" customHeight="1">
      <x:c r="A7020" s="2" t="str">
        <x:v>TEN-6E2912BABF92</x:v>
      </x:c>
      <x:c r="B7020" s="12" t="str">
        <x:v>Plastic Omnium Auto</x:v>
      </x:c>
      <x:c r="C7020" s="12" t="str">
        <x:v>CORP-0420</x:v>
      </x:c>
      <x:c r="D7020" s="12" t="str">
        <x:v>Bengaluru</x:v>
      </x:c>
      <x:c r="E7020" s="12" t="str">
        <x:v>International Tech Park (ITPB)</x:v>
      </x:c>
      <x:c r="F7020" s="12" t="str">
        <x:v>55 inch</x:v>
      </x:c>
      <x:c r="G7020" s="20" t="n">
        <x:v>1</x:v>
      </x:c>
      <x:c r="H7020" s="12" t="str">
        <x:v>Campus/portfolio roster; individual building occupancy unverified</x:v>
      </x:c>
      <x:c r="I7020" s="12" t="str">
        <x:v>Mixed business audience</x:v>
      </x:c>
      <x:c r="J7020" s="12" t="str">
        <x:v>Engineering &amp; manufacturing</x:v>
      </x:c>
      <x:c r="K7020" s="2" t="str">
        <x:v>PARTNER-M002</x:v>
      </x:c>
    </x:row>
    <x:row r="7021" ht="46" customHeight="1">
      <x:c r="A7021" s="2" t="str">
        <x:v>TEN-6F273F8143F0</x:v>
      </x:c>
      <x:c r="B7021" s="12" t="str">
        <x:v>First Advantage</x:v>
      </x:c>
      <x:c r="C7021" s="12" t="str">
        <x:v>CORP-0420</x:v>
      </x:c>
      <x:c r="D7021" s="12" t="str">
        <x:v>Bengaluru</x:v>
      </x:c>
      <x:c r="E7021" s="12" t="str">
        <x:v>International Tech Park (ITPB)</x:v>
      </x:c>
      <x:c r="F7021" s="12" t="str">
        <x:v>55 inch</x:v>
      </x:c>
      <x:c r="G7021" s="20" t="n">
        <x:v>1</x:v>
      </x:c>
      <x:c r="H7021" s="12" t="str">
        <x:v>Campus/portfolio roster; individual building occupancy unverified</x:v>
      </x:c>
      <x:c r="I7021" s="12" t="str">
        <x:v>Mixed business audience</x:v>
      </x:c>
      <x:c r="J7021" s="12" t="str">
        <x:v>Professional services</x:v>
      </x:c>
      <x:c r="K7021" s="2" t="str">
        <x:v>PARTNER-M002</x:v>
      </x:c>
    </x:row>
    <x:row r="7022" ht="46" customHeight="1">
      <x:c r="A7022" s="2" t="str">
        <x:v>TEN-6F4C691FF4A1</x:v>
      </x:c>
      <x:c r="B7022" s="12" t="str">
        <x:v>Kennametal</x:v>
      </x:c>
      <x:c r="C7022" s="12" t="str">
        <x:v>CORP-0420</x:v>
      </x:c>
      <x:c r="D7022" s="12" t="str">
        <x:v>Bengaluru</x:v>
      </x:c>
      <x:c r="E7022" s="12" t="str">
        <x:v>International Tech Park (ITPB)</x:v>
      </x:c>
      <x:c r="F7022" s="12" t="str">
        <x:v>55 inch</x:v>
      </x:c>
      <x:c r="G7022" s="20" t="n">
        <x:v>1</x:v>
      </x:c>
      <x:c r="H7022" s="12" t="str">
        <x:v>Campus/portfolio roster; individual building occupancy unverified</x:v>
      </x:c>
      <x:c r="I7022" s="12" t="str">
        <x:v>Mixed business audience</x:v>
      </x:c>
      <x:c r="J7022" s="12" t="str">
        <x:v>Engineering &amp; manufacturing</x:v>
      </x:c>
      <x:c r="K7022" s="2" t="str">
        <x:v>PARTNER-M002</x:v>
      </x:c>
    </x:row>
    <x:row r="7023" ht="46" customHeight="1">
      <x:c r="A7023" s="2" t="str">
        <x:v>TEN-7318D4E0C064</x:v>
      </x:c>
      <x:c r="B7023" s="12" t="str">
        <x:v>Skiva</x:v>
      </x:c>
      <x:c r="C7023" s="12" t="str">
        <x:v>CORP-0420</x:v>
      </x:c>
      <x:c r="D7023" s="12" t="str">
        <x:v>Bengaluru</x:v>
      </x:c>
      <x:c r="E7023" s="12" t="str">
        <x:v>International Tech Park (ITPB)</x:v>
      </x:c>
      <x:c r="F7023" s="12" t="str">
        <x:v>55 inch</x:v>
      </x:c>
      <x:c r="G7023" s="20" t="n">
        <x:v>1</x:v>
      </x:c>
      <x:c r="H7023" s="12" t="str">
        <x:v>Campus/portfolio roster; individual building occupancy unverified</x:v>
      </x:c>
      <x:c r="I7023" s="12" t="str">
        <x:v>Mixed business audience</x:v>
      </x:c>
      <x:c r="J7023" s="12" t="str">
        <x:v>Unresolved</x:v>
      </x:c>
      <x:c r="K7023" s="2" t="str">
        <x:v>PARTNER-M002</x:v>
      </x:c>
    </x:row>
    <x:row r="7024" ht="46" customHeight="1">
      <x:c r="A7024" s="2" t="str">
        <x:v>TEN-764319AE4FB8</x:v>
      </x:c>
      <x:c r="B7024" s="12" t="str">
        <x:v>Sharp Software</x:v>
      </x:c>
      <x:c r="C7024" s="12" t="str">
        <x:v>CORP-0420</x:v>
      </x:c>
      <x:c r="D7024" s="12" t="str">
        <x:v>Bengaluru</x:v>
      </x:c>
      <x:c r="E7024" s="12" t="str">
        <x:v>International Tech Park (ITPB)</x:v>
      </x:c>
      <x:c r="F7024" s="12" t="str">
        <x:v>55 inch</x:v>
      </x:c>
      <x:c r="G7024" s="20" t="n">
        <x:v>1</x:v>
      </x:c>
      <x:c r="H7024" s="12" t="str">
        <x:v>Campus/portfolio roster; individual building occupancy unverified</x:v>
      </x:c>
      <x:c r="I7024" s="12" t="str">
        <x:v>Mixed business audience</x:v>
      </x:c>
      <x:c r="J7024" s="12" t="str">
        <x:v>IT &amp; digital</x:v>
      </x:c>
      <x:c r="K7024" s="2" t="str">
        <x:v>PARTNER-M002</x:v>
      </x:c>
    </x:row>
    <x:row r="7025" ht="46" customHeight="1">
      <x:c r="A7025" s="2" t="str">
        <x:v>TEN-7ECB3C42E303</x:v>
      </x:c>
      <x:c r="B7025" s="12" t="str">
        <x:v>Criterion Networks</x:v>
      </x:c>
      <x:c r="C7025" s="12" t="str">
        <x:v>CORP-0420</x:v>
      </x:c>
      <x:c r="D7025" s="12" t="str">
        <x:v>Bengaluru</x:v>
      </x:c>
      <x:c r="E7025" s="12" t="str">
        <x:v>International Tech Park (ITPB)</x:v>
      </x:c>
      <x:c r="F7025" s="12" t="str">
        <x:v>55 inch</x:v>
      </x:c>
      <x:c r="G7025" s="20" t="n">
        <x:v>1</x:v>
      </x:c>
      <x:c r="H7025" s="12" t="str">
        <x:v>Campus/portfolio roster; individual building occupancy unverified</x:v>
      </x:c>
      <x:c r="I7025" s="12" t="str">
        <x:v>Small-scale prospects</x:v>
      </x:c>
      <x:c r="J7025" s="12" t="str">
        <x:v>IT &amp; digital</x:v>
      </x:c>
      <x:c r="K7025" s="2" t="str">
        <x:v>PARTNER-M002</x:v>
      </x:c>
    </x:row>
    <x:row r="7026" ht="46" customHeight="1">
      <x:c r="A7026" s="2" t="str">
        <x:v>TEN-8174968E6F72</x:v>
      </x:c>
      <x:c r="B7026" s="12" t="str">
        <x:v>Achronix</x:v>
      </x:c>
      <x:c r="C7026" s="12" t="str">
        <x:v>CORP-0420</x:v>
      </x:c>
      <x:c r="D7026" s="12" t="str">
        <x:v>Bengaluru</x:v>
      </x:c>
      <x:c r="E7026" s="12" t="str">
        <x:v>International Tech Park (ITPB)</x:v>
      </x:c>
      <x:c r="F7026" s="12" t="str">
        <x:v>55 inch</x:v>
      </x:c>
      <x:c r="G7026" s="20" t="n">
        <x:v>1</x:v>
      </x:c>
      <x:c r="H7026" s="12" t="str">
        <x:v>Campus/portfolio roster; individual building occupancy unverified</x:v>
      </x:c>
      <x:c r="I7026" s="12" t="str">
        <x:v>Mixed business audience</x:v>
      </x:c>
      <x:c r="J7026" s="12" t="str">
        <x:v>Engineering &amp; manufacturing</x:v>
      </x:c>
      <x:c r="K7026" s="2" t="str">
        <x:v>PARTNER-M002</x:v>
      </x:c>
    </x:row>
    <x:row r="7027" ht="46" customHeight="1">
      <x:c r="A7027" s="2" t="str">
        <x:v>TEN-81F921B8E00A</x:v>
      </x:c>
      <x:c r="B7027" s="12" t="str">
        <x:v>Mobicip</x:v>
      </x:c>
      <x:c r="C7027" s="12" t="str">
        <x:v>CORP-0420</x:v>
      </x:c>
      <x:c r="D7027" s="12" t="str">
        <x:v>Bengaluru</x:v>
      </x:c>
      <x:c r="E7027" s="12" t="str">
        <x:v>International Tech Park (ITPB)</x:v>
      </x:c>
      <x:c r="F7027" s="12" t="str">
        <x:v>55 inch</x:v>
      </x:c>
      <x:c r="G7027" s="20" t="n">
        <x:v>1</x:v>
      </x:c>
      <x:c r="H7027" s="12" t="str">
        <x:v>Campus/portfolio roster; individual building occupancy unverified</x:v>
      </x:c>
      <x:c r="I7027" s="12" t="str">
        <x:v>Small-scale prospects</x:v>
      </x:c>
      <x:c r="J7027" s="12" t="str">
        <x:v>IT &amp; digital</x:v>
      </x:c>
      <x:c r="K7027" s="2" t="str">
        <x:v>PARTNER-M002</x:v>
      </x:c>
    </x:row>
    <x:row r="7028" ht="46" customHeight="1">
      <x:c r="A7028" s="2" t="str">
        <x:v>TEN-891353748B3A</x:v>
      </x:c>
      <x:c r="B7028" s="12" t="str">
        <x:v>Osi Energy automation</x:v>
      </x:c>
      <x:c r="C7028" s="12" t="str">
        <x:v>CORP-0420</x:v>
      </x:c>
      <x:c r="D7028" s="12" t="str">
        <x:v>Bengaluru</x:v>
      </x:c>
      <x:c r="E7028" s="12" t="str">
        <x:v>International Tech Park (ITPB)</x:v>
      </x:c>
      <x:c r="F7028" s="12" t="str">
        <x:v>55 inch</x:v>
      </x:c>
      <x:c r="G7028" s="20" t="n">
        <x:v>1</x:v>
      </x:c>
      <x:c r="H7028" s="12" t="str">
        <x:v>Campus/portfolio roster; individual building occupancy unverified</x:v>
      </x:c>
      <x:c r="I7028" s="12" t="str">
        <x:v>Medium-scale prospects</x:v>
      </x:c>
      <x:c r="J7028" s="12" t="str">
        <x:v>Engineering &amp; manufacturing</x:v>
      </x:c>
      <x:c r="K7028" s="2" t="str">
        <x:v>PARTNER-M002</x:v>
      </x:c>
    </x:row>
    <x:row r="7029" ht="46" customHeight="1">
      <x:c r="A7029" s="2" t="str">
        <x:v>TEN-8C4275F1FD40</x:v>
      </x:c>
      <x:c r="B7029" s="12" t="str">
        <x:v>Capital Land</x:v>
      </x:c>
      <x:c r="C7029" s="12" t="str">
        <x:v>CORP-0420</x:v>
      </x:c>
      <x:c r="D7029" s="12" t="str">
        <x:v>Bengaluru</x:v>
      </x:c>
      <x:c r="E7029" s="12" t="str">
        <x:v>International Tech Park (ITPB)</x:v>
      </x:c>
      <x:c r="F7029" s="12" t="str">
        <x:v>55 inch</x:v>
      </x:c>
      <x:c r="G7029" s="20" t="n">
        <x:v>1</x:v>
      </x:c>
      <x:c r="H7029" s="12" t="str">
        <x:v>Campus/portfolio roster; individual building occupancy unverified</x:v>
      </x:c>
      <x:c r="I7029" s="12" t="str">
        <x:v>Mixed business audience</x:v>
      </x:c>
      <x:c r="J7029" s="12" t="str">
        <x:v>Trade, consumer &amp; logistics</x:v>
      </x:c>
      <x:c r="K7029" s="2" t="str">
        <x:v>PARTNER-M002</x:v>
      </x:c>
    </x:row>
    <x:row r="7030" ht="46" customHeight="1">
      <x:c r="A7030" s="2" t="str">
        <x:v>TEN-8DCD18640A0A</x:v>
      </x:c>
      <x:c r="B7030" s="12" t="str">
        <x:v>Kotak</x:v>
      </x:c>
      <x:c r="C7030" s="12" t="str">
        <x:v>CORP-0420</x:v>
      </x:c>
      <x:c r="D7030" s="12" t="str">
        <x:v>Bengaluru</x:v>
      </x:c>
      <x:c r="E7030" s="12" t="str">
        <x:v>International Tech Park (ITPB)</x:v>
      </x:c>
      <x:c r="F7030" s="12" t="str">
        <x:v>55 inch</x:v>
      </x:c>
      <x:c r="G7030" s="20" t="n">
        <x:v>1</x:v>
      </x:c>
      <x:c r="H7030" s="12" t="str">
        <x:v>Campus/portfolio roster; individual building occupancy unverified</x:v>
      </x:c>
      <x:c r="I7030" s="12" t="str">
        <x:v>Large enterprise</x:v>
      </x:c>
      <x:c r="J7030" s="12" t="str">
        <x:v>Finance &amp; insurance</x:v>
      </x:c>
      <x:c r="K7030" s="2" t="str">
        <x:v>PARTNER-M002</x:v>
      </x:c>
    </x:row>
    <x:row r="7031" ht="46" customHeight="1">
      <x:c r="A7031" s="2" t="str">
        <x:v>TEN-916A98F0FA2A</x:v>
      </x:c>
      <x:c r="B7031" s="12" t="str">
        <x:v>IBM</x:v>
      </x:c>
      <x:c r="C7031" s="12" t="str">
        <x:v>CORP-0420</x:v>
      </x:c>
      <x:c r="D7031" s="12" t="str">
        <x:v>Bengaluru</x:v>
      </x:c>
      <x:c r="E7031" s="12" t="str">
        <x:v>International Tech Park (ITPB)</x:v>
      </x:c>
      <x:c r="F7031" s="12" t="str">
        <x:v>55 inch</x:v>
      </x:c>
      <x:c r="G7031" s="20" t="n">
        <x:v>1</x:v>
      </x:c>
      <x:c r="H7031" s="12" t="str">
        <x:v>Campus/portfolio roster; individual building occupancy unverified</x:v>
      </x:c>
      <x:c r="I7031" s="12" t="str">
        <x:v>Large enterprise</x:v>
      </x:c>
      <x:c r="J7031" s="12" t="str">
        <x:v>IT &amp; digital</x:v>
      </x:c>
      <x:c r="K7031" s="2" t="str">
        <x:v>PARTNER-M002</x:v>
      </x:c>
    </x:row>
    <x:row r="7032" ht="46" customHeight="1">
      <x:c r="A7032" s="2" t="str">
        <x:v>TEN-97720ABA5A0C</x:v>
      </x:c>
      <x:c r="B7032" s="12" t="str">
        <x:v>Insemi Technology</x:v>
      </x:c>
      <x:c r="C7032" s="12" t="str">
        <x:v>CORP-0420</x:v>
      </x:c>
      <x:c r="D7032" s="12" t="str">
        <x:v>Bengaluru</x:v>
      </x:c>
      <x:c r="E7032" s="12" t="str">
        <x:v>International Tech Park (ITPB)</x:v>
      </x:c>
      <x:c r="F7032" s="12" t="str">
        <x:v>55 inch</x:v>
      </x:c>
      <x:c r="G7032" s="20" t="n">
        <x:v>1</x:v>
      </x:c>
      <x:c r="H7032" s="12" t="str">
        <x:v>Campus/portfolio roster; individual building occupancy unverified</x:v>
      </x:c>
      <x:c r="I7032" s="12" t="str">
        <x:v>Mixed business audience</x:v>
      </x:c>
      <x:c r="J7032" s="12" t="str">
        <x:v>Engineering &amp; manufacturing</x:v>
      </x:c>
      <x:c r="K7032" s="2" t="str">
        <x:v>PARTNER-M002</x:v>
      </x:c>
    </x:row>
    <x:row r="7033" ht="46" customHeight="1">
      <x:c r="A7033" s="2" t="str">
        <x:v>TEN-97B053EFF73B</x:v>
      </x:c>
      <x:c r="B7033" s="12" t="str">
        <x:v>Xinthe Technologies</x:v>
      </x:c>
      <x:c r="C7033" s="12" t="str">
        <x:v>CORP-0420</x:v>
      </x:c>
      <x:c r="D7033" s="12" t="str">
        <x:v>Bengaluru</x:v>
      </x:c>
      <x:c r="E7033" s="12" t="str">
        <x:v>International Tech Park (ITPB)</x:v>
      </x:c>
      <x:c r="F7033" s="12" t="str">
        <x:v>55 inch</x:v>
      </x:c>
      <x:c r="G7033" s="20" t="n">
        <x:v>1</x:v>
      </x:c>
      <x:c r="H7033" s="12" t="str">
        <x:v>Campus/portfolio roster; individual building occupancy unverified</x:v>
      </x:c>
      <x:c r="I7033" s="12" t="str">
        <x:v>Small-scale prospects</x:v>
      </x:c>
      <x:c r="J7033" s="12" t="str">
        <x:v>IT &amp; digital</x:v>
      </x:c>
      <x:c r="K7033" s="2" t="str">
        <x:v>PARTNER-M002</x:v>
      </x:c>
    </x:row>
    <x:row r="7034" ht="46" customHeight="1">
      <x:c r="A7034" s="2" t="str">
        <x:v>TEN-99E39EB751AE</x:v>
      </x:c>
      <x:c r="B7034" s="12" t="str">
        <x:v>US Technology</x:v>
      </x:c>
      <x:c r="C7034" s="12" t="str">
        <x:v>CORP-0420</x:v>
      </x:c>
      <x:c r="D7034" s="12" t="str">
        <x:v>Bengaluru</x:v>
      </x:c>
      <x:c r="E7034" s="12" t="str">
        <x:v>International Tech Park (ITPB)</x:v>
      </x:c>
      <x:c r="F7034" s="12" t="str">
        <x:v>55 inch</x:v>
      </x:c>
      <x:c r="G7034" s="20" t="n">
        <x:v>1</x:v>
      </x:c>
      <x:c r="H7034" s="12" t="str">
        <x:v>Campus/portfolio roster; individual building occupancy unverified</x:v>
      </x:c>
      <x:c r="I7034" s="12" t="str">
        <x:v>Mixed business audience</x:v>
      </x:c>
      <x:c r="J7034" s="12" t="str">
        <x:v>IT &amp; digital</x:v>
      </x:c>
      <x:c r="K7034" s="2" t="str">
        <x:v>PARTNER-M002</x:v>
      </x:c>
    </x:row>
    <x:row r="7035" ht="46" customHeight="1">
      <x:c r="A7035" s="2" t="str">
        <x:v>TEN-A08385AC9A90</x:v>
      </x:c>
      <x:c r="B7035" s="12" t="str">
        <x:v>Ecinical</x:v>
      </x:c>
      <x:c r="C7035" s="12" t="str">
        <x:v>CORP-0420</x:v>
      </x:c>
      <x:c r="D7035" s="12" t="str">
        <x:v>Bengaluru</x:v>
      </x:c>
      <x:c r="E7035" s="12" t="str">
        <x:v>International Tech Park (ITPB)</x:v>
      </x:c>
      <x:c r="F7035" s="12" t="str">
        <x:v>55 inch</x:v>
      </x:c>
      <x:c r="G7035" s="20" t="n">
        <x:v>1</x:v>
      </x:c>
      <x:c r="H7035" s="12" t="str">
        <x:v>Campus/portfolio roster; individual building occupancy unverified</x:v>
      </x:c>
      <x:c r="I7035" s="12" t="str">
        <x:v>Mixed business audience</x:v>
      </x:c>
      <x:c r="J7035" s="12" t="str">
        <x:v>Unresolved</x:v>
      </x:c>
      <x:c r="K7035" s="2" t="str">
        <x:v>PARTNER-M002</x:v>
      </x:c>
    </x:row>
    <x:row r="7036" ht="46" customHeight="1">
      <x:c r="A7036" s="2" t="str">
        <x:v>TEN-A57526B5D973</x:v>
      </x:c>
      <x:c r="B7036" s="12" t="str">
        <x:v>General Motors</x:v>
      </x:c>
      <x:c r="C7036" s="12" t="str">
        <x:v>CORP-0420</x:v>
      </x:c>
      <x:c r="D7036" s="12" t="str">
        <x:v>Bengaluru</x:v>
      </x:c>
      <x:c r="E7036" s="12" t="str">
        <x:v>International Tech Park (ITPB)</x:v>
      </x:c>
      <x:c r="F7036" s="12" t="str">
        <x:v>55 inch</x:v>
      </x:c>
      <x:c r="G7036" s="20" t="n">
        <x:v>1</x:v>
      </x:c>
      <x:c r="H7036" s="12" t="str">
        <x:v>Campus/portfolio roster; individual building occupancy unverified</x:v>
      </x:c>
      <x:c r="I7036" s="12" t="str">
        <x:v>Mixed business audience</x:v>
      </x:c>
      <x:c r="J7036" s="12" t="str">
        <x:v>Engineering &amp; manufacturing</x:v>
      </x:c>
      <x:c r="K7036" s="2" t="str">
        <x:v>PARTNER-M002</x:v>
      </x:c>
    </x:row>
    <x:row r="7037" ht="46" customHeight="1">
      <x:c r="A7037" s="2" t="str">
        <x:v>TEN-A5F5259A3FFE</x:v>
      </x:c>
      <x:c r="B7037" s="12" t="str">
        <x:v>Xerox Technology</x:v>
      </x:c>
      <x:c r="C7037" s="12" t="str">
        <x:v>CORP-0420</x:v>
      </x:c>
      <x:c r="D7037" s="12" t="str">
        <x:v>Bengaluru</x:v>
      </x:c>
      <x:c r="E7037" s="12" t="str">
        <x:v>International Tech Park (ITPB)</x:v>
      </x:c>
      <x:c r="F7037" s="12" t="str">
        <x:v>55 inch</x:v>
      </x:c>
      <x:c r="G7037" s="20" t="n">
        <x:v>1</x:v>
      </x:c>
      <x:c r="H7037" s="12" t="str">
        <x:v>Campus/portfolio roster; individual building occupancy unverified</x:v>
      </x:c>
      <x:c r="I7037" s="12" t="str">
        <x:v>Mixed business audience</x:v>
      </x:c>
      <x:c r="J7037" s="12" t="str">
        <x:v>IT &amp; digital</x:v>
      </x:c>
      <x:c r="K7037" s="2" t="str">
        <x:v>PARTNER-M002</x:v>
      </x:c>
    </x:row>
    <x:row r="7038" ht="46" customHeight="1">
      <x:c r="A7038" s="2" t="str">
        <x:v>TEN-A7907C2DB975</x:v>
      </x:c>
      <x:c r="B7038" s="12" t="str">
        <x:v>Einfolge</x:v>
      </x:c>
      <x:c r="C7038" s="12" t="str">
        <x:v>CORP-0420</x:v>
      </x:c>
      <x:c r="D7038" s="12" t="str">
        <x:v>Bengaluru</x:v>
      </x:c>
      <x:c r="E7038" s="12" t="str">
        <x:v>International Tech Park (ITPB)</x:v>
      </x:c>
      <x:c r="F7038" s="12" t="str">
        <x:v>55 inch</x:v>
      </x:c>
      <x:c r="G7038" s="20" t="n">
        <x:v>1</x:v>
      </x:c>
      <x:c r="H7038" s="12" t="str">
        <x:v>Campus/portfolio roster; individual building occupancy unverified</x:v>
      </x:c>
      <x:c r="I7038" s="12" t="str">
        <x:v>Small-scale prospects</x:v>
      </x:c>
      <x:c r="J7038" s="12" t="str">
        <x:v>Professional services</x:v>
      </x:c>
      <x:c r="K7038" s="2" t="str">
        <x:v>PARTNER-M002</x:v>
      </x:c>
    </x:row>
    <x:row r="7039" ht="46" customHeight="1">
      <x:c r="A7039" s="2" t="str">
        <x:v>TEN-A88487AEFC99</x:v>
      </x:c>
      <x:c r="B7039" s="12" t="str">
        <x:v>Galax</x:v>
      </x:c>
      <x:c r="C7039" s="12" t="str">
        <x:v>CORP-0420</x:v>
      </x:c>
      <x:c r="D7039" s="12" t="str">
        <x:v>Bengaluru</x:v>
      </x:c>
      <x:c r="E7039" s="12" t="str">
        <x:v>International Tech Park (ITPB)</x:v>
      </x:c>
      <x:c r="F7039" s="12" t="str">
        <x:v>55 inch</x:v>
      </x:c>
      <x:c r="G7039" s="20" t="n">
        <x:v>1</x:v>
      </x:c>
      <x:c r="H7039" s="12" t="str">
        <x:v>Campus/portfolio roster; individual building occupancy unverified</x:v>
      </x:c>
      <x:c r="I7039" s="12" t="str">
        <x:v>Mixed business audience</x:v>
      </x:c>
      <x:c r="J7039" s="12" t="str">
        <x:v>Unresolved</x:v>
      </x:c>
      <x:c r="K7039" s="2" t="str">
        <x:v>PARTNER-M002</x:v>
      </x:c>
    </x:row>
    <x:row r="7040" ht="46" customHeight="1">
      <x:c r="A7040" s="2" t="str">
        <x:v>TEN-A9A1855F9C7F</x:v>
      </x:c>
      <x:c r="B7040" s="12" t="str">
        <x:v>Globant</x:v>
      </x:c>
      <x:c r="C7040" s="12" t="str">
        <x:v>CORP-0420</x:v>
      </x:c>
      <x:c r="D7040" s="12" t="str">
        <x:v>Bengaluru</x:v>
      </x:c>
      <x:c r="E7040" s="12" t="str">
        <x:v>International Tech Park (ITPB)</x:v>
      </x:c>
      <x:c r="F7040" s="12" t="str">
        <x:v>55 inch</x:v>
      </x:c>
      <x:c r="G7040" s="20" t="n">
        <x:v>1</x:v>
      </x:c>
      <x:c r="H7040" s="12" t="str">
        <x:v>Campus/portfolio roster; individual building occupancy unverified</x:v>
      </x:c>
      <x:c r="I7040" s="12" t="str">
        <x:v>Mixed business audience</x:v>
      </x:c>
      <x:c r="J7040" s="12" t="str">
        <x:v>IT &amp; digital</x:v>
      </x:c>
      <x:c r="K7040" s="2" t="str">
        <x:v>PARTNER-M002</x:v>
      </x:c>
    </x:row>
    <x:row r="7041" ht="46" customHeight="1">
      <x:c r="A7041" s="2" t="str">
        <x:v>TEN-A9B3E7D54A8C</x:v>
      </x:c>
      <x:c r="B7041" s="12" t="str">
        <x:v>First advantage Global</x:v>
      </x:c>
      <x:c r="C7041" s="12" t="str">
        <x:v>CORP-0420</x:v>
      </x:c>
      <x:c r="D7041" s="12" t="str">
        <x:v>Bengaluru</x:v>
      </x:c>
      <x:c r="E7041" s="12" t="str">
        <x:v>International Tech Park (ITPB)</x:v>
      </x:c>
      <x:c r="F7041" s="12" t="str">
        <x:v>55 inch</x:v>
      </x:c>
      <x:c r="G7041" s="20" t="n">
        <x:v>1</x:v>
      </x:c>
      <x:c r="H7041" s="12" t="str">
        <x:v>Campus/portfolio roster; individual building occupancy unverified</x:v>
      </x:c>
      <x:c r="I7041" s="12" t="str">
        <x:v>Mixed business audience</x:v>
      </x:c>
      <x:c r="J7041" s="12" t="str">
        <x:v>Professional services</x:v>
      </x:c>
      <x:c r="K7041" s="2" t="str">
        <x:v>PARTNER-M002</x:v>
      </x:c>
    </x:row>
    <x:row r="7042" ht="46" customHeight="1">
      <x:c r="A7042" s="2" t="str">
        <x:v>TEN-AFB51487B347</x:v>
      </x:c>
      <x:c r="B7042" s="12" t="str">
        <x:v>Happy Visitor Esoutions</x:v>
      </x:c>
      <x:c r="C7042" s="12" t="str">
        <x:v>CORP-0420</x:v>
      </x:c>
      <x:c r="D7042" s="12" t="str">
        <x:v>Bengaluru</x:v>
      </x:c>
      <x:c r="E7042" s="12" t="str">
        <x:v>International Tech Park (ITPB)</x:v>
      </x:c>
      <x:c r="F7042" s="12" t="str">
        <x:v>55 inch</x:v>
      </x:c>
      <x:c r="G7042" s="20" t="n">
        <x:v>1</x:v>
      </x:c>
      <x:c r="H7042" s="12" t="str">
        <x:v>Campus/portfolio roster; individual building occupancy unverified</x:v>
      </x:c>
      <x:c r="I7042" s="12" t="str">
        <x:v>Mixed business audience</x:v>
      </x:c>
      <x:c r="J7042" s="12" t="str">
        <x:v>Unresolved</x:v>
      </x:c>
      <x:c r="K7042" s="2" t="str">
        <x:v>PARTNER-M002</x:v>
      </x:c>
    </x:row>
    <x:row r="7043" ht="46" customHeight="1">
      <x:c r="A7043" s="2" t="str">
        <x:v>TEN-B1E1798527DF</x:v>
      </x:c>
      <x:c r="B7043" s="12" t="str">
        <x:v>Carnation</x:v>
      </x:c>
      <x:c r="C7043" s="12" t="str">
        <x:v>CORP-0420</x:v>
      </x:c>
      <x:c r="D7043" s="12" t="str">
        <x:v>Bengaluru</x:v>
      </x:c>
      <x:c r="E7043" s="12" t="str">
        <x:v>International Tech Park (ITPB)</x:v>
      </x:c>
      <x:c r="F7043" s="12" t="str">
        <x:v>55 inch</x:v>
      </x:c>
      <x:c r="G7043" s="20" t="n">
        <x:v>1</x:v>
      </x:c>
      <x:c r="H7043" s="12" t="str">
        <x:v>Campus/portfolio roster; individual building occupancy unverified</x:v>
      </x:c>
      <x:c r="I7043" s="12" t="str">
        <x:v>Mixed business audience</x:v>
      </x:c>
      <x:c r="J7043" s="12" t="str">
        <x:v>Unresolved</x:v>
      </x:c>
      <x:c r="K7043" s="2" t="str">
        <x:v>PARTNER-M002</x:v>
      </x:c>
    </x:row>
    <x:row r="7044" ht="46" customHeight="1">
      <x:c r="A7044" s="2" t="str">
        <x:v>TEN-B431E151D906</x:v>
      </x:c>
      <x:c r="B7044" s="12" t="str">
        <x:v>Longhorns labs</x:v>
      </x:c>
      <x:c r="C7044" s="12" t="str">
        <x:v>CORP-0420</x:v>
      </x:c>
      <x:c r="D7044" s="12" t="str">
        <x:v>Bengaluru</x:v>
      </x:c>
      <x:c r="E7044" s="12" t="str">
        <x:v>International Tech Park (ITPB)</x:v>
      </x:c>
      <x:c r="F7044" s="12" t="str">
        <x:v>55 inch</x:v>
      </x:c>
      <x:c r="G7044" s="20" t="n">
        <x:v>1</x:v>
      </x:c>
      <x:c r="H7044" s="12" t="str">
        <x:v>Campus/portfolio roster; individual building occupancy unverified</x:v>
      </x:c>
      <x:c r="I7044" s="12" t="str">
        <x:v>Mixed business audience</x:v>
      </x:c>
      <x:c r="J7044" s="12" t="str">
        <x:v>Unresolved</x:v>
      </x:c>
      <x:c r="K7044" s="2" t="str">
        <x:v>PARTNER-M002</x:v>
      </x:c>
    </x:row>
    <x:row r="7045" ht="46" customHeight="1">
      <x:c r="A7045" s="2" t="str">
        <x:v>TEN-B73878E16AE9</x:v>
      </x:c>
      <x:c r="B7045" s="12" t="str">
        <x:v>Truspeq</x:v>
      </x:c>
      <x:c r="C7045" s="12" t="str">
        <x:v>CORP-0420</x:v>
      </x:c>
      <x:c r="D7045" s="12" t="str">
        <x:v>Bengaluru</x:v>
      </x:c>
      <x:c r="E7045" s="12" t="str">
        <x:v>International Tech Park (ITPB)</x:v>
      </x:c>
      <x:c r="F7045" s="12" t="str">
        <x:v>55 inch</x:v>
      </x:c>
      <x:c r="G7045" s="20" t="n">
        <x:v>1</x:v>
      </x:c>
      <x:c r="H7045" s="12" t="str">
        <x:v>Campus/portfolio roster; individual building occupancy unverified</x:v>
      </x:c>
      <x:c r="I7045" s="12" t="str">
        <x:v>Small-scale prospects</x:v>
      </x:c>
      <x:c r="J7045" s="12" t="str">
        <x:v>IT &amp; digital</x:v>
      </x:c>
      <x:c r="K7045" s="2" t="str">
        <x:v>PARTNER-M002</x:v>
      </x:c>
    </x:row>
    <x:row r="7046" ht="46" customHeight="1">
      <x:c r="A7046" s="2" t="str">
        <x:v>TEN-B73A39ADECC4</x:v>
      </x:c>
      <x:c r="B7046" s="12" t="str">
        <x:v>ATOS IT</x:v>
      </x:c>
      <x:c r="C7046" s="12" t="str">
        <x:v>CORP-0420</x:v>
      </x:c>
      <x:c r="D7046" s="12" t="str">
        <x:v>Bengaluru</x:v>
      </x:c>
      <x:c r="E7046" s="12" t="str">
        <x:v>International Tech Park (ITPB)</x:v>
      </x:c>
      <x:c r="F7046" s="12" t="str">
        <x:v>55 inch</x:v>
      </x:c>
      <x:c r="G7046" s="20" t="n">
        <x:v>1</x:v>
      </x:c>
      <x:c r="H7046" s="12" t="str">
        <x:v>Campus/portfolio roster; individual building occupancy unverified</x:v>
      </x:c>
      <x:c r="I7046" s="12" t="str">
        <x:v>Large enterprise</x:v>
      </x:c>
      <x:c r="J7046" s="12" t="str">
        <x:v>IT &amp; digital</x:v>
      </x:c>
      <x:c r="K7046" s="2" t="str">
        <x:v>PARTNER-M002</x:v>
      </x:c>
    </x:row>
    <x:row r="7047" ht="46" customHeight="1">
      <x:c r="A7047" s="2" t="str">
        <x:v>TEN-B9223DF94855</x:v>
      </x:c>
      <x:c r="B7047" s="12" t="str">
        <x:v>ECI Telecom</x:v>
      </x:c>
      <x:c r="C7047" s="12" t="str">
        <x:v>CORP-0420</x:v>
      </x:c>
      <x:c r="D7047" s="12" t="str">
        <x:v>Bengaluru</x:v>
      </x:c>
      <x:c r="E7047" s="12" t="str">
        <x:v>International Tech Park (ITPB)</x:v>
      </x:c>
      <x:c r="F7047" s="12" t="str">
        <x:v>55 inch</x:v>
      </x:c>
      <x:c r="G7047" s="20" t="n">
        <x:v>1</x:v>
      </x:c>
      <x:c r="H7047" s="12" t="str">
        <x:v>Campus/portfolio roster; individual building occupancy unverified</x:v>
      </x:c>
      <x:c r="I7047" s="12" t="str">
        <x:v>Mixed business audience</x:v>
      </x:c>
      <x:c r="J7047" s="12" t="str">
        <x:v>IT &amp; digital</x:v>
      </x:c>
      <x:c r="K7047" s="2" t="str">
        <x:v>PARTNER-M002</x:v>
      </x:c>
    </x:row>
    <x:row r="7048" ht="46" customHeight="1">
      <x:c r="A7048" s="2" t="str">
        <x:v>TEN-BDA4D17476FE</x:v>
      </x:c>
      <x:c r="B7048" s="12" t="str">
        <x:v>Cognisure</x:v>
      </x:c>
      <x:c r="C7048" s="12" t="str">
        <x:v>CORP-0420</x:v>
      </x:c>
      <x:c r="D7048" s="12" t="str">
        <x:v>Bengaluru</x:v>
      </x:c>
      <x:c r="E7048" s="12" t="str">
        <x:v>International Tech Park (ITPB)</x:v>
      </x:c>
      <x:c r="F7048" s="12" t="str">
        <x:v>55 inch</x:v>
      </x:c>
      <x:c r="G7048" s="20" t="n">
        <x:v>1</x:v>
      </x:c>
      <x:c r="H7048" s="12" t="str">
        <x:v>Campus/portfolio roster; individual building occupancy unverified</x:v>
      </x:c>
      <x:c r="I7048" s="12" t="str">
        <x:v>Small-scale prospects</x:v>
      </x:c>
      <x:c r="J7048" s="12" t="str">
        <x:v>IT &amp; digital</x:v>
      </x:c>
      <x:c r="K7048" s="2" t="str">
        <x:v>PARTNER-M002</x:v>
      </x:c>
    </x:row>
    <x:row r="7049" ht="46" customHeight="1">
      <x:c r="A7049" s="2" t="str">
        <x:v>TEN-BE234565AEEE</x:v>
      </x:c>
      <x:c r="B7049" s="12" t="str">
        <x:v>Incred Financial</x:v>
      </x:c>
      <x:c r="C7049" s="12" t="str">
        <x:v>CORP-0420</x:v>
      </x:c>
      <x:c r="D7049" s="12" t="str">
        <x:v>Bengaluru</x:v>
      </x:c>
      <x:c r="E7049" s="12" t="str">
        <x:v>International Tech Park (ITPB)</x:v>
      </x:c>
      <x:c r="F7049" s="12" t="str">
        <x:v>55 inch</x:v>
      </x:c>
      <x:c r="G7049" s="20" t="n">
        <x:v>1</x:v>
      </x:c>
      <x:c r="H7049" s="12" t="str">
        <x:v>Campus/portfolio roster; individual building occupancy unverified</x:v>
      </x:c>
      <x:c r="I7049" s="12" t="str">
        <x:v>Mixed business audience</x:v>
      </x:c>
      <x:c r="J7049" s="12" t="str">
        <x:v>Finance &amp; insurance</x:v>
      </x:c>
      <x:c r="K7049" s="2" t="str">
        <x:v>PARTNER-M002</x:v>
      </x:c>
    </x:row>
    <x:row r="7050" ht="46" customHeight="1">
      <x:c r="A7050" s="2" t="str">
        <x:v>TEN-BFE647B51B50</x:v>
      </x:c>
      <x:c r="B7050" s="12" t="str">
        <x:v>V4U</x:v>
      </x:c>
      <x:c r="C7050" s="12" t="str">
        <x:v>CORP-0420</x:v>
      </x:c>
      <x:c r="D7050" s="12" t="str">
        <x:v>Bengaluru</x:v>
      </x:c>
      <x:c r="E7050" s="12" t="str">
        <x:v>International Tech Park (ITPB)</x:v>
      </x:c>
      <x:c r="F7050" s="12" t="str">
        <x:v>55 inch</x:v>
      </x:c>
      <x:c r="G7050" s="20" t="n">
        <x:v>1</x:v>
      </x:c>
      <x:c r="H7050" s="12" t="str">
        <x:v>Campus/portfolio roster; individual building occupancy unverified</x:v>
      </x:c>
      <x:c r="I7050" s="12" t="str">
        <x:v>Mixed business audience</x:v>
      </x:c>
      <x:c r="J7050" s="12" t="str">
        <x:v>Unresolved</x:v>
      </x:c>
      <x:c r="K7050" s="2" t="str">
        <x:v>PARTNER-M002</x:v>
      </x:c>
    </x:row>
    <x:row r="7051" ht="46" customHeight="1">
      <x:c r="A7051" s="2" t="str">
        <x:v>TEN-C27FF66117D5</x:v>
      </x:c>
      <x:c r="B7051" s="12" t="str">
        <x:v>Index Lithigraphy</x:v>
      </x:c>
      <x:c r="C7051" s="12" t="str">
        <x:v>CORP-0420</x:v>
      </x:c>
      <x:c r="D7051" s="12" t="str">
        <x:v>Bengaluru</x:v>
      </x:c>
      <x:c r="E7051" s="12" t="str">
        <x:v>International Tech Park (ITPB)</x:v>
      </x:c>
      <x:c r="F7051" s="12" t="str">
        <x:v>55 inch</x:v>
      </x:c>
      <x:c r="G7051" s="20" t="n">
        <x:v>1</x:v>
      </x:c>
      <x:c r="H7051" s="12" t="str">
        <x:v>Campus/portfolio roster; individual building occupancy unverified</x:v>
      </x:c>
      <x:c r="I7051" s="12" t="str">
        <x:v>Medium-scale prospects</x:v>
      </x:c>
      <x:c r="J7051" s="12" t="str">
        <x:v>Engineering &amp; manufacturing</x:v>
      </x:c>
      <x:c r="K7051" s="2" t="str">
        <x:v>PARTNER-M002</x:v>
      </x:c>
    </x:row>
    <x:row r="7052" ht="46" customHeight="1">
      <x:c r="A7052" s="2" t="str">
        <x:v>TEN-CC2C556FA10A</x:v>
      </x:c>
      <x:c r="B7052" s="12" t="str">
        <x:v>Kingslake</x:v>
      </x:c>
      <x:c r="C7052" s="12" t="str">
        <x:v>CORP-0420</x:v>
      </x:c>
      <x:c r="D7052" s="12" t="str">
        <x:v>Bengaluru</x:v>
      </x:c>
      <x:c r="E7052" s="12" t="str">
        <x:v>International Tech Park (ITPB)</x:v>
      </x:c>
      <x:c r="F7052" s="12" t="str">
        <x:v>55 inch</x:v>
      </x:c>
      <x:c r="G7052" s="20" t="n">
        <x:v>1</x:v>
      </x:c>
      <x:c r="H7052" s="12" t="str">
        <x:v>Campus/portfolio roster; individual building occupancy unverified</x:v>
      </x:c>
      <x:c r="I7052" s="12" t="str">
        <x:v>Mixed business audience</x:v>
      </x:c>
      <x:c r="J7052" s="12" t="str">
        <x:v>Unresolved</x:v>
      </x:c>
      <x:c r="K7052" s="2" t="str">
        <x:v>PARTNER-M002</x:v>
      </x:c>
    </x:row>
    <x:row r="7053" ht="46" customHeight="1">
      <x:c r="A7053" s="2" t="str">
        <x:v>TEN-CDDAE2627D47</x:v>
      </x:c>
      <x:c r="B7053" s="12" t="str">
        <x:v>Institute Bio informatis</x:v>
      </x:c>
      <x:c r="C7053" s="12" t="str">
        <x:v>CORP-0420</x:v>
      </x:c>
      <x:c r="D7053" s="12" t="str">
        <x:v>Bengaluru</x:v>
      </x:c>
      <x:c r="E7053" s="12" t="str">
        <x:v>International Tech Park (ITPB)</x:v>
      </x:c>
      <x:c r="F7053" s="12" t="str">
        <x:v>55 inch</x:v>
      </x:c>
      <x:c r="G7053" s="20" t="n">
        <x:v>1</x:v>
      </x:c>
      <x:c r="H7053" s="12" t="str">
        <x:v>Campus/portfolio roster; individual building occupancy unverified</x:v>
      </x:c>
      <x:c r="I7053" s="12" t="str">
        <x:v>Small-scale prospects</x:v>
      </x:c>
      <x:c r="J7053" s="12" t="str">
        <x:v>Education</x:v>
      </x:c>
      <x:c r="K7053" s="2" t="str">
        <x:v>PARTNER-M002</x:v>
      </x:c>
    </x:row>
    <x:row r="7054" ht="46" customHeight="1">
      <x:c r="A7054" s="2" t="str">
        <x:v>TEN-D04CE1F77A17</x:v>
      </x:c>
      <x:c r="B7054" s="12" t="str">
        <x:v>Fiorano</x:v>
      </x:c>
      <x:c r="C7054" s="12" t="str">
        <x:v>CORP-0420</x:v>
      </x:c>
      <x:c r="D7054" s="12" t="str">
        <x:v>Bengaluru</x:v>
      </x:c>
      <x:c r="E7054" s="12" t="str">
        <x:v>International Tech Park (ITPB)</x:v>
      </x:c>
      <x:c r="F7054" s="12" t="str">
        <x:v>55 inch</x:v>
      </x:c>
      <x:c r="G7054" s="20" t="n">
        <x:v>1</x:v>
      </x:c>
      <x:c r="H7054" s="12" t="str">
        <x:v>Campus/portfolio roster; individual building occupancy unverified</x:v>
      </x:c>
      <x:c r="I7054" s="12" t="str">
        <x:v>Small-scale prospects</x:v>
      </x:c>
      <x:c r="J7054" s="12" t="str">
        <x:v>IT &amp; digital</x:v>
      </x:c>
      <x:c r="K7054" s="2" t="str">
        <x:v>PARTNER-M002</x:v>
      </x:c>
    </x:row>
    <x:row r="7055" ht="46" customHeight="1">
      <x:c r="A7055" s="2" t="str">
        <x:v>TEN-D1C7C99C6E2E</x:v>
      </x:c>
      <x:c r="B7055" s="12" t="str">
        <x:v>Tata</x:v>
      </x:c>
      <x:c r="C7055" s="12" t="str">
        <x:v>CORP-0420</x:v>
      </x:c>
      <x:c r="D7055" s="12" t="str">
        <x:v>Bengaluru</x:v>
      </x:c>
      <x:c r="E7055" s="12" t="str">
        <x:v>International Tech Park (ITPB)</x:v>
      </x:c>
      <x:c r="F7055" s="12" t="str">
        <x:v>55 inch</x:v>
      </x:c>
      <x:c r="G7055" s="20" t="n">
        <x:v>1</x:v>
      </x:c>
      <x:c r="H7055" s="12" t="str">
        <x:v>Campus/portfolio roster; individual building occupancy unverified</x:v>
      </x:c>
      <x:c r="I7055" s="12" t="str">
        <x:v>Large enterprise</x:v>
      </x:c>
      <x:c r="J7055" s="12" t="str">
        <x:v>Unresolved</x:v>
      </x:c>
      <x:c r="K7055" s="2" t="str">
        <x:v>PARTNER-M002</x:v>
      </x:c>
    </x:row>
    <x:row r="7056" ht="46" customHeight="1">
      <x:c r="A7056" s="2" t="str">
        <x:v>TEN-D2E269F83158</x:v>
      </x:c>
      <x:c r="B7056" s="12" t="str">
        <x:v>MBB Labs</x:v>
      </x:c>
      <x:c r="C7056" s="12" t="str">
        <x:v>CORP-0420</x:v>
      </x:c>
      <x:c r="D7056" s="12" t="str">
        <x:v>Bengaluru</x:v>
      </x:c>
      <x:c r="E7056" s="12" t="str">
        <x:v>International Tech Park (ITPB)</x:v>
      </x:c>
      <x:c r="F7056" s="12" t="str">
        <x:v>55 inch</x:v>
      </x:c>
      <x:c r="G7056" s="20" t="n">
        <x:v>1</x:v>
      </x:c>
      <x:c r="H7056" s="12" t="str">
        <x:v>Campus/portfolio roster; individual building occupancy unverified</x:v>
      </x:c>
      <x:c r="I7056" s="12" t="str">
        <x:v>Mixed business audience</x:v>
      </x:c>
      <x:c r="J7056" s="12" t="str">
        <x:v>Unresolved</x:v>
      </x:c>
      <x:c r="K7056" s="2" t="str">
        <x:v>PARTNER-M002</x:v>
      </x:c>
    </x:row>
    <x:row r="7057" ht="46" customHeight="1">
      <x:c r="A7057" s="2" t="str">
        <x:v>TEN-D72EAD2E3D44</x:v>
      </x:c>
      <x:c r="B7057" s="12" t="str">
        <x:v>Tech Mahindra</x:v>
      </x:c>
      <x:c r="C7057" s="12" t="str">
        <x:v>CORP-0420</x:v>
      </x:c>
      <x:c r="D7057" s="12" t="str">
        <x:v>Bengaluru</x:v>
      </x:c>
      <x:c r="E7057" s="12" t="str">
        <x:v>International Tech Park (ITPB)</x:v>
      </x:c>
      <x:c r="F7057" s="12" t="str">
        <x:v>55 inch</x:v>
      </x:c>
      <x:c r="G7057" s="20" t="n">
        <x:v>1</x:v>
      </x:c>
      <x:c r="H7057" s="12" t="str">
        <x:v>Campus/portfolio roster; individual building occupancy unverified</x:v>
      </x:c>
      <x:c r="I7057" s="12" t="str">
        <x:v>Large enterprise</x:v>
      </x:c>
      <x:c r="J7057" s="12" t="str">
        <x:v>IT &amp; digital</x:v>
      </x:c>
      <x:c r="K7057" s="2" t="str">
        <x:v>PARTNER-M002</x:v>
      </x:c>
    </x:row>
    <x:row r="7058" ht="46" customHeight="1">
      <x:c r="A7058" s="2" t="str">
        <x:v>TEN-D817CF92B660</x:v>
      </x:c>
      <x:c r="B7058" s="12" t="str">
        <x:v>Innoactive</x:v>
      </x:c>
      <x:c r="C7058" s="12" t="str">
        <x:v>CORP-0420</x:v>
      </x:c>
      <x:c r="D7058" s="12" t="str">
        <x:v>Bengaluru</x:v>
      </x:c>
      <x:c r="E7058" s="12" t="str">
        <x:v>International Tech Park (ITPB)</x:v>
      </x:c>
      <x:c r="F7058" s="12" t="str">
        <x:v>55 inch</x:v>
      </x:c>
      <x:c r="G7058" s="20" t="n">
        <x:v>1</x:v>
      </x:c>
      <x:c r="H7058" s="12" t="str">
        <x:v>Campus/portfolio roster; individual building occupancy unverified</x:v>
      </x:c>
      <x:c r="I7058" s="12" t="str">
        <x:v>Mixed business audience</x:v>
      </x:c>
      <x:c r="J7058" s="12" t="str">
        <x:v>Unresolved</x:v>
      </x:c>
      <x:c r="K7058" s="2" t="str">
        <x:v>PARTNER-M002</x:v>
      </x:c>
    </x:row>
    <x:row r="7059" ht="46" customHeight="1">
      <x:c r="A7059" s="2" t="str">
        <x:v>TEN-D820F7EB8DD2</x:v>
      </x:c>
      <x:c r="B7059" s="12" t="str">
        <x:v>Hireright</x:v>
      </x:c>
      <x:c r="C7059" s="12" t="str">
        <x:v>CORP-0420</x:v>
      </x:c>
      <x:c r="D7059" s="12" t="str">
        <x:v>Bengaluru</x:v>
      </x:c>
      <x:c r="E7059" s="12" t="str">
        <x:v>International Tech Park (ITPB)</x:v>
      </x:c>
      <x:c r="F7059" s="12" t="str">
        <x:v>55 inch</x:v>
      </x:c>
      <x:c r="G7059" s="20" t="n">
        <x:v>1</x:v>
      </x:c>
      <x:c r="H7059" s="12" t="str">
        <x:v>Campus/portfolio roster; individual building occupancy unverified</x:v>
      </x:c>
      <x:c r="I7059" s="12" t="str">
        <x:v>Mixed business audience</x:v>
      </x:c>
      <x:c r="J7059" s="12" t="str">
        <x:v>Professional services</x:v>
      </x:c>
      <x:c r="K7059" s="2" t="str">
        <x:v>PARTNER-M002</x:v>
      </x:c>
    </x:row>
    <x:row r="7060" ht="46" customHeight="1">
      <x:c r="A7060" s="2" t="str">
        <x:v>TEN-D886B2C883A6</x:v>
      </x:c>
      <x:c r="B7060" s="12" t="str">
        <x:v>Citi Bank</x:v>
      </x:c>
      <x:c r="C7060" s="12" t="str">
        <x:v>CORP-0420</x:v>
      </x:c>
      <x:c r="D7060" s="12" t="str">
        <x:v>Bengaluru</x:v>
      </x:c>
      <x:c r="E7060" s="12" t="str">
        <x:v>International Tech Park (ITPB)</x:v>
      </x:c>
      <x:c r="F7060" s="12" t="str">
        <x:v>55 inch</x:v>
      </x:c>
      <x:c r="G7060" s="20" t="n">
        <x:v>1</x:v>
      </x:c>
      <x:c r="H7060" s="12" t="str">
        <x:v>Campus/portfolio roster; individual building occupancy unverified</x:v>
      </x:c>
      <x:c r="I7060" s="12" t="str">
        <x:v>Large enterprise</x:v>
      </x:c>
      <x:c r="J7060" s="12" t="str">
        <x:v>Finance &amp; insurance</x:v>
      </x:c>
      <x:c r="K7060" s="2" t="str">
        <x:v>PARTNER-M002</x:v>
      </x:c>
    </x:row>
    <x:row r="7061" ht="46" customHeight="1">
      <x:c r="A7061" s="2" t="str">
        <x:v>TEN-DA7A5218187E</x:v>
      </x:c>
      <x:c r="B7061" s="12" t="str">
        <x:v>Certes</x:v>
      </x:c>
      <x:c r="C7061" s="12" t="str">
        <x:v>CORP-0420</x:v>
      </x:c>
      <x:c r="D7061" s="12" t="str">
        <x:v>Bengaluru</x:v>
      </x:c>
      <x:c r="E7061" s="12" t="str">
        <x:v>International Tech Park (ITPB)</x:v>
      </x:c>
      <x:c r="F7061" s="12" t="str">
        <x:v>55 inch</x:v>
      </x:c>
      <x:c r="G7061" s="20" t="n">
        <x:v>1</x:v>
      </x:c>
      <x:c r="H7061" s="12" t="str">
        <x:v>Campus/portfolio roster; individual building occupancy unverified</x:v>
      </x:c>
      <x:c r="I7061" s="12" t="str">
        <x:v>Mixed business audience</x:v>
      </x:c>
      <x:c r="J7061" s="12" t="str">
        <x:v>Unresolved</x:v>
      </x:c>
      <x:c r="K7061" s="2" t="str">
        <x:v>PARTNER-M002</x:v>
      </x:c>
    </x:row>
    <x:row r="7062" ht="46" customHeight="1">
      <x:c r="A7062" s="2" t="str">
        <x:v>TEN-E1F279A6A033</x:v>
      </x:c>
      <x:c r="B7062" s="12" t="str">
        <x:v>Applied Materials</x:v>
      </x:c>
      <x:c r="C7062" s="12" t="str">
        <x:v>CORP-0420</x:v>
      </x:c>
      <x:c r="D7062" s="12" t="str">
        <x:v>Bengaluru</x:v>
      </x:c>
      <x:c r="E7062" s="12" t="str">
        <x:v>International Tech Park (ITPB)</x:v>
      </x:c>
      <x:c r="F7062" s="12" t="str">
        <x:v>55 inch</x:v>
      </x:c>
      <x:c r="G7062" s="20" t="n">
        <x:v>1</x:v>
      </x:c>
      <x:c r="H7062" s="12" t="str">
        <x:v>Campus/portfolio roster; individual building occupancy unverified</x:v>
      </x:c>
      <x:c r="I7062" s="12" t="str">
        <x:v>Mixed business audience</x:v>
      </x:c>
      <x:c r="J7062" s="12" t="str">
        <x:v>Engineering &amp; manufacturing</x:v>
      </x:c>
      <x:c r="K7062" s="2" t="str">
        <x:v>PARTNER-M002</x:v>
      </x:c>
    </x:row>
    <x:row r="7063" ht="46" customHeight="1">
      <x:c r="A7063" s="2" t="str">
        <x:v>TEN-EA30894BD53C</x:v>
      </x:c>
      <x:c r="B7063" s="12" t="str">
        <x:v>Alcatel-Lucent</x:v>
      </x:c>
      <x:c r="C7063" s="12" t="str">
        <x:v>CORP-0420</x:v>
      </x:c>
      <x:c r="D7063" s="12" t="str">
        <x:v>Bengaluru</x:v>
      </x:c>
      <x:c r="E7063" s="12" t="str">
        <x:v>International Tech Park (ITPB)</x:v>
      </x:c>
      <x:c r="F7063" s="12" t="str">
        <x:v>55 inch</x:v>
      </x:c>
      <x:c r="G7063" s="20" t="n">
        <x:v>1</x:v>
      </x:c>
      <x:c r="H7063" s="12" t="str">
        <x:v>Campus/portfolio roster; individual building occupancy unverified</x:v>
      </x:c>
      <x:c r="I7063" s="12" t="str">
        <x:v>Mixed business audience</x:v>
      </x:c>
      <x:c r="J7063" s="12" t="str">
        <x:v>IT &amp; digital</x:v>
      </x:c>
      <x:c r="K7063" s="2" t="str">
        <x:v>PARTNER-M002</x:v>
      </x:c>
    </x:row>
    <x:row r="7064" ht="46" customHeight="1">
      <x:c r="A7064" s="2" t="str">
        <x:v>TEN-EB2197E38208</x:v>
      </x:c>
      <x:c r="B7064" s="12" t="str">
        <x:v>Sycomp Technologies</x:v>
      </x:c>
      <x:c r="C7064" s="12" t="str">
        <x:v>CORP-0420</x:v>
      </x:c>
      <x:c r="D7064" s="12" t="str">
        <x:v>Bengaluru</x:v>
      </x:c>
      <x:c r="E7064" s="12" t="str">
        <x:v>International Tech Park (ITPB)</x:v>
      </x:c>
      <x:c r="F7064" s="12" t="str">
        <x:v>55 inch</x:v>
      </x:c>
      <x:c r="G7064" s="20" t="n">
        <x:v>1</x:v>
      </x:c>
      <x:c r="H7064" s="12" t="str">
        <x:v>Campus/portfolio roster; individual building occupancy unverified</x:v>
      </x:c>
      <x:c r="I7064" s="12" t="str">
        <x:v>Small-scale prospects</x:v>
      </x:c>
      <x:c r="J7064" s="12" t="str">
        <x:v>IT &amp; digital</x:v>
      </x:c>
      <x:c r="K7064" s="2" t="str">
        <x:v>PARTNER-M002</x:v>
      </x:c>
    </x:row>
    <x:row r="7065" ht="46" customHeight="1">
      <x:c r="A7065" s="2" t="str">
        <x:v>TEN-F4FDCAC4C72C</x:v>
      </x:c>
      <x:c r="B7065" s="12" t="str">
        <x:v>Mindsprint</x:v>
      </x:c>
      <x:c r="C7065" s="12" t="str">
        <x:v>CORP-0420</x:v>
      </x:c>
      <x:c r="D7065" s="12" t="str">
        <x:v>Bengaluru</x:v>
      </x:c>
      <x:c r="E7065" s="12" t="str">
        <x:v>International Tech Park (ITPB)</x:v>
      </x:c>
      <x:c r="F7065" s="12" t="str">
        <x:v>55 inch</x:v>
      </x:c>
      <x:c r="G7065" s="20" t="n">
        <x:v>1</x:v>
      </x:c>
      <x:c r="H7065" s="12" t="str">
        <x:v>Campus/portfolio roster; individual building occupancy unverified</x:v>
      </x:c>
      <x:c r="I7065" s="12" t="str">
        <x:v>Mixed business audience</x:v>
      </x:c>
      <x:c r="J7065" s="12" t="str">
        <x:v>IT &amp; digital</x:v>
      </x:c>
      <x:c r="K7065" s="2" t="str">
        <x:v>PARTNER-M002</x:v>
      </x:c>
    </x:row>
    <x:row r="7066" ht="46" customHeight="1">
      <x:c r="A7066" s="2" t="str">
        <x:v>TEN-28CBC5A35638</x:v>
      </x:c>
      <x:c r="B7066" s="12" t="str">
        <x:v>Juniper Networks</x:v>
      </x:c>
      <x:c r="C7066" s="12" t="str">
        <x:v>CORP-0465</x:v>
      </x:c>
      <x:c r="D7066" s="12" t="str">
        <x:v>Bengaluru</x:v>
      </x:c>
      <x:c r="E7066" s="12" t="str">
        <x:v>Prestige Tech Pacific</x:v>
      </x:c>
      <x:c r="F7066" s="12" t="str">
        <x:v>55 inch</x:v>
      </x:c>
      <x:c r="G7066" s="20" t="n">
        <x:v>1</x:v>
      </x:c>
      <x:c r="H7066" s="12" t="str">
        <x:v>Campus/portfolio roster; individual building occupancy unverified</x:v>
      </x:c>
      <x:c r="I7066" s="12" t="str">
        <x:v>Large enterprise</x:v>
      </x:c>
      <x:c r="J7066" s="12" t="str">
        <x:v>IT &amp; digital</x:v>
      </x:c>
      <x:c r="K7066" s="2" t="str">
        <x:v>PARTNER-M045</x:v>
      </x:c>
    </x:row>
    <x:row r="7067" ht="46" customHeight="1">
      <x:c r="A7067" s="2" t="str">
        <x:v>TEN-30E363D3E8C5</x:v>
      </x:c>
      <x:c r="B7067" s="12" t="str">
        <x:v>Siemens</x:v>
      </x:c>
      <x:c r="C7067" s="12" t="str">
        <x:v>CORP-0465</x:v>
      </x:c>
      <x:c r="D7067" s="12" t="str">
        <x:v>Bengaluru</x:v>
      </x:c>
      <x:c r="E7067" s="12" t="str">
        <x:v>Prestige Tech Pacific</x:v>
      </x:c>
      <x:c r="F7067" s="12" t="str">
        <x:v>55 inch</x:v>
      </x:c>
      <x:c r="G7067" s="20" t="n">
        <x:v>1</x:v>
      </x:c>
      <x:c r="H7067" s="12" t="str">
        <x:v>Campus/portfolio roster; individual building occupancy unverified</x:v>
      </x:c>
      <x:c r="I7067" s="12" t="str">
        <x:v>Large enterprise</x:v>
      </x:c>
      <x:c r="J7067" s="12" t="str">
        <x:v>Engineering &amp; manufacturing</x:v>
      </x:c>
      <x:c r="K7067" s="2" t="str">
        <x:v>PARTNER-M045</x:v>
      </x:c>
    </x:row>
    <x:row r="7068" ht="46" customHeight="1">
      <x:c r="A7068" s="2" t="str">
        <x:v>TEN-50FCB8C0B6FA</x:v>
      </x:c>
      <x:c r="B7068" s="12" t="str">
        <x:v>JP Morgan Chase</x:v>
      </x:c>
      <x:c r="C7068" s="12" t="str">
        <x:v>CORP-0465</x:v>
      </x:c>
      <x:c r="D7068" s="12" t="str">
        <x:v>Bengaluru</x:v>
      </x:c>
      <x:c r="E7068" s="12" t="str">
        <x:v>Prestige Tech Pacific</x:v>
      </x:c>
      <x:c r="F7068" s="12" t="str">
        <x:v>55 inch</x:v>
      </x:c>
      <x:c r="G7068" s="20" t="n">
        <x:v>1</x:v>
      </x:c>
      <x:c r="H7068" s="12" t="str">
        <x:v>Campus/portfolio roster; individual building occupancy unverified</x:v>
      </x:c>
      <x:c r="I7068" s="12" t="str">
        <x:v>Large enterprise</x:v>
      </x:c>
      <x:c r="J7068" s="12" t="str">
        <x:v>Finance &amp; insurance</x:v>
      </x:c>
      <x:c r="K7068" s="2" t="str">
        <x:v>PARTNER-M045</x:v>
      </x:c>
    </x:row>
    <x:row r="7069" ht="46" customHeight="1">
      <x:c r="A7069" s="2" t="str">
        <x:v>TEN-68AE6688DA7F</x:v>
      </x:c>
      <x:c r="B7069" s="12" t="str">
        <x:v>Oracle India Pvt. Ltd</x:v>
      </x:c>
      <x:c r="C7069" s="12" t="str">
        <x:v>CORP-0465</x:v>
      </x:c>
      <x:c r="D7069" s="12" t="str">
        <x:v>Bengaluru</x:v>
      </x:c>
      <x:c r="E7069" s="12" t="str">
        <x:v>Prestige Tech Pacific</x:v>
      </x:c>
      <x:c r="F7069" s="12" t="str">
        <x:v>55 inch</x:v>
      </x:c>
      <x:c r="G7069" s="20" t="n">
        <x:v>1</x:v>
      </x:c>
      <x:c r="H7069" s="12" t="str">
        <x:v>Campus/portfolio roster; individual building occupancy unverified</x:v>
      </x:c>
      <x:c r="I7069" s="12" t="str">
        <x:v>Large enterprise</x:v>
      </x:c>
      <x:c r="J7069" s="12" t="str">
        <x:v>IT &amp; digital</x:v>
      </x:c>
      <x:c r="K7069" s="2" t="str">
        <x:v>PARTNER-M045</x:v>
      </x:c>
    </x:row>
    <x:row r="7070" ht="46" customHeight="1">
      <x:c r="A7070" s="2" t="str">
        <x:v>TEN-8492381623BD</x:v>
      </x:c>
      <x:c r="B7070" s="12" t="str">
        <x:v>Akamai Technologies</x:v>
      </x:c>
      <x:c r="C7070" s="12" t="str">
        <x:v>CORP-0465</x:v>
      </x:c>
      <x:c r="D7070" s="12" t="str">
        <x:v>Bengaluru</x:v>
      </x:c>
      <x:c r="E7070" s="12" t="str">
        <x:v>Prestige Tech Pacific</x:v>
      </x:c>
      <x:c r="F7070" s="12" t="str">
        <x:v>55 inch</x:v>
      </x:c>
      <x:c r="G7070" s="20" t="n">
        <x:v>1</x:v>
      </x:c>
      <x:c r="H7070" s="12" t="str">
        <x:v>Campus/portfolio roster; individual building occupancy unverified</x:v>
      </x:c>
      <x:c r="I7070" s="12" t="str">
        <x:v>Mixed business audience</x:v>
      </x:c>
      <x:c r="J7070" s="12" t="str">
        <x:v>IT &amp; digital</x:v>
      </x:c>
      <x:c r="K7070" s="2" t="str">
        <x:v>PARTNER-M045</x:v>
      </x:c>
    </x:row>
    <x:row r="7071" ht="46" customHeight="1">
      <x:c r="A7071" s="2" t="str">
        <x:v>TEN-86F73DFE7BB6</x:v>
      </x:c>
      <x:c r="B7071" s="12" t="str">
        <x:v>Cognizant</x:v>
      </x:c>
      <x:c r="C7071" s="12" t="str">
        <x:v>CORP-0465</x:v>
      </x:c>
      <x:c r="D7071" s="12" t="str">
        <x:v>Bengaluru</x:v>
      </x:c>
      <x:c r="E7071" s="12" t="str">
        <x:v>Prestige Tech Pacific</x:v>
      </x:c>
      <x:c r="F7071" s="12" t="str">
        <x:v>55 inch</x:v>
      </x:c>
      <x:c r="G7071" s="20" t="n">
        <x:v>1</x:v>
      </x:c>
      <x:c r="H7071" s="12" t="str">
        <x:v>Campus/portfolio roster; individual building occupancy unverified</x:v>
      </x:c>
      <x:c r="I7071" s="12" t="str">
        <x:v>Large enterprise</x:v>
      </x:c>
      <x:c r="J7071" s="12" t="str">
        <x:v>IT &amp; digital</x:v>
      </x:c>
      <x:c r="K7071" s="2" t="str">
        <x:v>PARTNER-M045</x:v>
      </x:c>
    </x:row>
    <x:row r="7072" ht="46" customHeight="1">
      <x:c r="A7072" s="2" t="str">
        <x:v>TEN-9120856F15CD</x:v>
      </x:c>
      <x:c r="B7072" s="12" t="str">
        <x:v>Mindtree</x:v>
      </x:c>
      <x:c r="C7072" s="12" t="str">
        <x:v>CORP-0465</x:v>
      </x:c>
      <x:c r="D7072" s="12" t="str">
        <x:v>Bengaluru</x:v>
      </x:c>
      <x:c r="E7072" s="12" t="str">
        <x:v>Prestige Tech Pacific</x:v>
      </x:c>
      <x:c r="F7072" s="12" t="str">
        <x:v>55 inch</x:v>
      </x:c>
      <x:c r="G7072" s="20" t="n">
        <x:v>1</x:v>
      </x:c>
      <x:c r="H7072" s="12" t="str">
        <x:v>Campus/portfolio roster; individual building occupancy unverified</x:v>
      </x:c>
      <x:c r="I7072" s="12" t="str">
        <x:v>Large enterprise</x:v>
      </x:c>
      <x:c r="J7072" s="12" t="str">
        <x:v>IT &amp; digital</x:v>
      </x:c>
      <x:c r="K7072" s="2" t="str">
        <x:v>PARTNER-M045</x:v>
      </x:c>
    </x:row>
    <x:row r="7073" ht="46" customHeight="1">
      <x:c r="A7073" s="2" t="str">
        <x:v>TEN-B38914B2E8FA</x:v>
      </x:c>
      <x:c r="B7073" s="12" t="str">
        <x:v>Amadeus Software Labs</x:v>
      </x:c>
      <x:c r="C7073" s="12" t="str">
        <x:v>CORP-0465</x:v>
      </x:c>
      <x:c r="D7073" s="12" t="str">
        <x:v>Bengaluru</x:v>
      </x:c>
      <x:c r="E7073" s="12" t="str">
        <x:v>Prestige Tech Pacific</x:v>
      </x:c>
      <x:c r="F7073" s="12" t="str">
        <x:v>55 inch</x:v>
      </x:c>
      <x:c r="G7073" s="20" t="n">
        <x:v>1</x:v>
      </x:c>
      <x:c r="H7073" s="12" t="str">
        <x:v>Campus/portfolio roster; individual building occupancy unverified</x:v>
      </x:c>
      <x:c r="I7073" s="12" t="str">
        <x:v>Large enterprise</x:v>
      </x:c>
      <x:c r="J7073" s="12" t="str">
        <x:v>IT &amp; digital</x:v>
      </x:c>
      <x:c r="K7073" s="2" t="str">
        <x:v>PARTNER-M045</x:v>
      </x:c>
    </x:row>
    <x:row r="7074" ht="46" customHeight="1">
      <x:c r="A7074" s="2" t="str">
        <x:v>TEN-C63AC00C4D11</x:v>
      </x:c>
      <x:c r="B7074" s="12" t="str">
        <x:v>Mphasis</x:v>
      </x:c>
      <x:c r="C7074" s="12" t="str">
        <x:v>CORP-0465</x:v>
      </x:c>
      <x:c r="D7074" s="12" t="str">
        <x:v>Bengaluru</x:v>
      </x:c>
      <x:c r="E7074" s="12" t="str">
        <x:v>Prestige Tech Pacific</x:v>
      </x:c>
      <x:c r="F7074" s="12" t="str">
        <x:v>55 inch</x:v>
      </x:c>
      <x:c r="G7074" s="20" t="n">
        <x:v>1</x:v>
      </x:c>
      <x:c r="H7074" s="12" t="str">
        <x:v>Campus/portfolio roster; individual building occupancy unverified</x:v>
      </x:c>
      <x:c r="I7074" s="12" t="str">
        <x:v>Large enterprise</x:v>
      </x:c>
      <x:c r="J7074" s="12" t="str">
        <x:v>IT &amp; digital</x:v>
      </x:c>
      <x:c r="K7074" s="2" t="str">
        <x:v>PARTNER-M045</x:v>
      </x:c>
    </x:row>
    <x:row r="7075" ht="46" customHeight="1">
      <x:c r="A7075" s="2" t="str">
        <x:v>TEN-EC016BB6297A</x:v>
      </x:c>
      <x:c r="B7075" s="12" t="str">
        <x:v>Virtusa</x:v>
      </x:c>
      <x:c r="C7075" s="12" t="str">
        <x:v>CORP-0465</x:v>
      </x:c>
      <x:c r="D7075" s="12" t="str">
        <x:v>Bengaluru</x:v>
      </x:c>
      <x:c r="E7075" s="12" t="str">
        <x:v>Prestige Tech Pacific</x:v>
      </x:c>
      <x:c r="F7075" s="12" t="str">
        <x:v>55 inch</x:v>
      </x:c>
      <x:c r="G7075" s="20" t="n">
        <x:v>1</x:v>
      </x:c>
      <x:c r="H7075" s="12" t="str">
        <x:v>Campus/portfolio roster; individual building occupancy unverified</x:v>
      </x:c>
      <x:c r="I7075" s="12" t="str">
        <x:v>Mixed business audience</x:v>
      </x:c>
      <x:c r="J7075" s="12" t="str">
        <x:v>IT &amp; digital</x:v>
      </x:c>
      <x:c r="K7075" s="2" t="str">
        <x:v>PARTNER-M045</x:v>
      </x:c>
    </x:row>
    <x:row r="7076" ht="46" customHeight="1">
      <x:c r="A7076" s="2" t="str">
        <x:v>TEN-F55A85B2F2EB</x:v>
      </x:c>
      <x:c r="B7076" s="12" t="str">
        <x:v>Capgemini</x:v>
      </x:c>
      <x:c r="C7076" s="12" t="str">
        <x:v>CORP-0465</x:v>
      </x:c>
      <x:c r="D7076" s="12" t="str">
        <x:v>Bengaluru</x:v>
      </x:c>
      <x:c r="E7076" s="12" t="str">
        <x:v>Prestige Tech Pacific</x:v>
      </x:c>
      <x:c r="F7076" s="12" t="str">
        <x:v>55 inch</x:v>
      </x:c>
      <x:c r="G7076" s="20" t="n">
        <x:v>1</x:v>
      </x:c>
      <x:c r="H7076" s="12" t="str">
        <x:v>Campus/portfolio roster; individual building occupancy unverified</x:v>
      </x:c>
      <x:c r="I7076" s="12" t="str">
        <x:v>Large enterprise</x:v>
      </x:c>
      <x:c r="J7076" s="12" t="str">
        <x:v>IT &amp; digital</x:v>
      </x:c>
      <x:c r="K7076" s="2" t="str">
        <x:v>PARTNER-M045</x:v>
      </x:c>
    </x:row>
    <x:row r="7077" ht="46" customHeight="1">
      <x:c r="A7077" s="2" t="str">
        <x:v>TEN-28CBC5A35638</x:v>
      </x:c>
      <x:c r="B7077" s="12" t="str">
        <x:v>Juniper Networks</x:v>
      </x:c>
      <x:c r="C7077" s="12" t="str">
        <x:v>CORP-0466</x:v>
      </x:c>
      <x:c r="D7077" s="12" t="str">
        <x:v>Bengaluru</x:v>
      </x:c>
      <x:c r="E7077" s="12" t="str">
        <x:v>Prestige Tech Pacific</x:v>
      </x:c>
      <x:c r="F7077" s="12" t="str">
        <x:v>55 inch</x:v>
      </x:c>
      <x:c r="G7077" s="20" t="n">
        <x:v>1</x:v>
      </x:c>
      <x:c r="H7077" s="12" t="str">
        <x:v>Campus/portfolio roster; individual building occupancy unverified</x:v>
      </x:c>
      <x:c r="I7077" s="12" t="str">
        <x:v>Large enterprise</x:v>
      </x:c>
      <x:c r="J7077" s="12" t="str">
        <x:v>IT &amp; digital</x:v>
      </x:c>
      <x:c r="K7077" s="2" t="str">
        <x:v>PARTNER-M045</x:v>
      </x:c>
    </x:row>
    <x:row r="7078" ht="46" customHeight="1">
      <x:c r="A7078" s="2" t="str">
        <x:v>TEN-30E363D3E8C5</x:v>
      </x:c>
      <x:c r="B7078" s="12" t="str">
        <x:v>Siemens</x:v>
      </x:c>
      <x:c r="C7078" s="12" t="str">
        <x:v>CORP-0466</x:v>
      </x:c>
      <x:c r="D7078" s="12" t="str">
        <x:v>Bengaluru</x:v>
      </x:c>
      <x:c r="E7078" s="12" t="str">
        <x:v>Prestige Tech Pacific</x:v>
      </x:c>
      <x:c r="F7078" s="12" t="str">
        <x:v>55 inch</x:v>
      </x:c>
      <x:c r="G7078" s="20" t="n">
        <x:v>1</x:v>
      </x:c>
      <x:c r="H7078" s="12" t="str">
        <x:v>Campus/portfolio roster; individual building occupancy unverified</x:v>
      </x:c>
      <x:c r="I7078" s="12" t="str">
        <x:v>Large enterprise</x:v>
      </x:c>
      <x:c r="J7078" s="12" t="str">
        <x:v>Engineering &amp; manufacturing</x:v>
      </x:c>
      <x:c r="K7078" s="2" t="str">
        <x:v>PARTNER-M045</x:v>
      </x:c>
    </x:row>
    <x:row r="7079" ht="46" customHeight="1">
      <x:c r="A7079" s="2" t="str">
        <x:v>TEN-50FCB8C0B6FA</x:v>
      </x:c>
      <x:c r="B7079" s="12" t="str">
        <x:v>JP Morgan Chase</x:v>
      </x:c>
      <x:c r="C7079" s="12" t="str">
        <x:v>CORP-0466</x:v>
      </x:c>
      <x:c r="D7079" s="12" t="str">
        <x:v>Bengaluru</x:v>
      </x:c>
      <x:c r="E7079" s="12" t="str">
        <x:v>Prestige Tech Pacific</x:v>
      </x:c>
      <x:c r="F7079" s="12" t="str">
        <x:v>55 inch</x:v>
      </x:c>
      <x:c r="G7079" s="20" t="n">
        <x:v>1</x:v>
      </x:c>
      <x:c r="H7079" s="12" t="str">
        <x:v>Campus/portfolio roster; individual building occupancy unverified</x:v>
      </x:c>
      <x:c r="I7079" s="12" t="str">
        <x:v>Large enterprise</x:v>
      </x:c>
      <x:c r="J7079" s="12" t="str">
        <x:v>Finance &amp; insurance</x:v>
      </x:c>
      <x:c r="K7079" s="2" t="str">
        <x:v>PARTNER-M045</x:v>
      </x:c>
    </x:row>
    <x:row r="7080" ht="46" customHeight="1">
      <x:c r="A7080" s="2" t="str">
        <x:v>TEN-68AE6688DA7F</x:v>
      </x:c>
      <x:c r="B7080" s="12" t="str">
        <x:v>Oracle India Pvt. Ltd</x:v>
      </x:c>
      <x:c r="C7080" s="12" t="str">
        <x:v>CORP-0466</x:v>
      </x:c>
      <x:c r="D7080" s="12" t="str">
        <x:v>Bengaluru</x:v>
      </x:c>
      <x:c r="E7080" s="12" t="str">
        <x:v>Prestige Tech Pacific</x:v>
      </x:c>
      <x:c r="F7080" s="12" t="str">
        <x:v>55 inch</x:v>
      </x:c>
      <x:c r="G7080" s="20" t="n">
        <x:v>1</x:v>
      </x:c>
      <x:c r="H7080" s="12" t="str">
        <x:v>Campus/portfolio roster; individual building occupancy unverified</x:v>
      </x:c>
      <x:c r="I7080" s="12" t="str">
        <x:v>Large enterprise</x:v>
      </x:c>
      <x:c r="J7080" s="12" t="str">
        <x:v>IT &amp; digital</x:v>
      </x:c>
      <x:c r="K7080" s="2" t="str">
        <x:v>PARTNER-M045</x:v>
      </x:c>
    </x:row>
    <x:row r="7081" ht="46" customHeight="1">
      <x:c r="A7081" s="2" t="str">
        <x:v>TEN-8492381623BD</x:v>
      </x:c>
      <x:c r="B7081" s="12" t="str">
        <x:v>Akamai Technologies</x:v>
      </x:c>
      <x:c r="C7081" s="12" t="str">
        <x:v>CORP-0466</x:v>
      </x:c>
      <x:c r="D7081" s="12" t="str">
        <x:v>Bengaluru</x:v>
      </x:c>
      <x:c r="E7081" s="12" t="str">
        <x:v>Prestige Tech Pacific</x:v>
      </x:c>
      <x:c r="F7081" s="12" t="str">
        <x:v>55 inch</x:v>
      </x:c>
      <x:c r="G7081" s="20" t="n">
        <x:v>1</x:v>
      </x:c>
      <x:c r="H7081" s="12" t="str">
        <x:v>Campus/portfolio roster; individual building occupancy unverified</x:v>
      </x:c>
      <x:c r="I7081" s="12" t="str">
        <x:v>Mixed business audience</x:v>
      </x:c>
      <x:c r="J7081" s="12" t="str">
        <x:v>IT &amp; digital</x:v>
      </x:c>
      <x:c r="K7081" s="2" t="str">
        <x:v>PARTNER-M045</x:v>
      </x:c>
    </x:row>
    <x:row r="7082" ht="46" customHeight="1">
      <x:c r="A7082" s="2" t="str">
        <x:v>TEN-86F73DFE7BB6</x:v>
      </x:c>
      <x:c r="B7082" s="12" t="str">
        <x:v>Cognizant</x:v>
      </x:c>
      <x:c r="C7082" s="12" t="str">
        <x:v>CORP-0466</x:v>
      </x:c>
      <x:c r="D7082" s="12" t="str">
        <x:v>Bengaluru</x:v>
      </x:c>
      <x:c r="E7082" s="12" t="str">
        <x:v>Prestige Tech Pacific</x:v>
      </x:c>
      <x:c r="F7082" s="12" t="str">
        <x:v>55 inch</x:v>
      </x:c>
      <x:c r="G7082" s="20" t="n">
        <x:v>1</x:v>
      </x:c>
      <x:c r="H7082" s="12" t="str">
        <x:v>Campus/portfolio roster; individual building occupancy unverified</x:v>
      </x:c>
      <x:c r="I7082" s="12" t="str">
        <x:v>Large enterprise</x:v>
      </x:c>
      <x:c r="J7082" s="12" t="str">
        <x:v>IT &amp; digital</x:v>
      </x:c>
      <x:c r="K7082" s="2" t="str">
        <x:v>PARTNER-M045</x:v>
      </x:c>
    </x:row>
    <x:row r="7083" ht="46" customHeight="1">
      <x:c r="A7083" s="2" t="str">
        <x:v>TEN-9120856F15CD</x:v>
      </x:c>
      <x:c r="B7083" s="12" t="str">
        <x:v>Mindtree</x:v>
      </x:c>
      <x:c r="C7083" s="12" t="str">
        <x:v>CORP-0466</x:v>
      </x:c>
      <x:c r="D7083" s="12" t="str">
        <x:v>Bengaluru</x:v>
      </x:c>
      <x:c r="E7083" s="12" t="str">
        <x:v>Prestige Tech Pacific</x:v>
      </x:c>
      <x:c r="F7083" s="12" t="str">
        <x:v>55 inch</x:v>
      </x:c>
      <x:c r="G7083" s="20" t="n">
        <x:v>1</x:v>
      </x:c>
      <x:c r="H7083" s="12" t="str">
        <x:v>Campus/portfolio roster; individual building occupancy unverified</x:v>
      </x:c>
      <x:c r="I7083" s="12" t="str">
        <x:v>Large enterprise</x:v>
      </x:c>
      <x:c r="J7083" s="12" t="str">
        <x:v>IT &amp; digital</x:v>
      </x:c>
      <x:c r="K7083" s="2" t="str">
        <x:v>PARTNER-M045</x:v>
      </x:c>
    </x:row>
    <x:row r="7084" ht="46" customHeight="1">
      <x:c r="A7084" s="2" t="str">
        <x:v>TEN-B38914B2E8FA</x:v>
      </x:c>
      <x:c r="B7084" s="12" t="str">
        <x:v>Amadeus Software Labs</x:v>
      </x:c>
      <x:c r="C7084" s="12" t="str">
        <x:v>CORP-0466</x:v>
      </x:c>
      <x:c r="D7084" s="12" t="str">
        <x:v>Bengaluru</x:v>
      </x:c>
      <x:c r="E7084" s="12" t="str">
        <x:v>Prestige Tech Pacific</x:v>
      </x:c>
      <x:c r="F7084" s="12" t="str">
        <x:v>55 inch</x:v>
      </x:c>
      <x:c r="G7084" s="20" t="n">
        <x:v>1</x:v>
      </x:c>
      <x:c r="H7084" s="12" t="str">
        <x:v>Campus/portfolio roster; individual building occupancy unverified</x:v>
      </x:c>
      <x:c r="I7084" s="12" t="str">
        <x:v>Large enterprise</x:v>
      </x:c>
      <x:c r="J7084" s="12" t="str">
        <x:v>IT &amp; digital</x:v>
      </x:c>
      <x:c r="K7084" s="2" t="str">
        <x:v>PARTNER-M045</x:v>
      </x:c>
    </x:row>
    <x:row r="7085" ht="46" customHeight="1">
      <x:c r="A7085" s="2" t="str">
        <x:v>TEN-C63AC00C4D11</x:v>
      </x:c>
      <x:c r="B7085" s="12" t="str">
        <x:v>Mphasis</x:v>
      </x:c>
      <x:c r="C7085" s="12" t="str">
        <x:v>CORP-0466</x:v>
      </x:c>
      <x:c r="D7085" s="12" t="str">
        <x:v>Bengaluru</x:v>
      </x:c>
      <x:c r="E7085" s="12" t="str">
        <x:v>Prestige Tech Pacific</x:v>
      </x:c>
      <x:c r="F7085" s="12" t="str">
        <x:v>55 inch</x:v>
      </x:c>
      <x:c r="G7085" s="20" t="n">
        <x:v>1</x:v>
      </x:c>
      <x:c r="H7085" s="12" t="str">
        <x:v>Campus/portfolio roster; individual building occupancy unverified</x:v>
      </x:c>
      <x:c r="I7085" s="12" t="str">
        <x:v>Large enterprise</x:v>
      </x:c>
      <x:c r="J7085" s="12" t="str">
        <x:v>IT &amp; digital</x:v>
      </x:c>
      <x:c r="K7085" s="2" t="str">
        <x:v>PARTNER-M045</x:v>
      </x:c>
    </x:row>
    <x:row r="7086" ht="46" customHeight="1">
      <x:c r="A7086" s="2" t="str">
        <x:v>TEN-EC016BB6297A</x:v>
      </x:c>
      <x:c r="B7086" s="12" t="str">
        <x:v>Virtusa</x:v>
      </x:c>
      <x:c r="C7086" s="12" t="str">
        <x:v>CORP-0466</x:v>
      </x:c>
      <x:c r="D7086" s="12" t="str">
        <x:v>Bengaluru</x:v>
      </x:c>
      <x:c r="E7086" s="12" t="str">
        <x:v>Prestige Tech Pacific</x:v>
      </x:c>
      <x:c r="F7086" s="12" t="str">
        <x:v>55 inch</x:v>
      </x:c>
      <x:c r="G7086" s="20" t="n">
        <x:v>1</x:v>
      </x:c>
      <x:c r="H7086" s="12" t="str">
        <x:v>Campus/portfolio roster; individual building occupancy unverified</x:v>
      </x:c>
      <x:c r="I7086" s="12" t="str">
        <x:v>Mixed business audience</x:v>
      </x:c>
      <x:c r="J7086" s="12" t="str">
        <x:v>IT &amp; digital</x:v>
      </x:c>
      <x:c r="K7086" s="2" t="str">
        <x:v>PARTNER-M045</x:v>
      </x:c>
    </x:row>
    <x:row r="7087" ht="46" customHeight="1">
      <x:c r="A7087" s="2" t="str">
        <x:v>TEN-F55A85B2F2EB</x:v>
      </x:c>
      <x:c r="B7087" s="12" t="str">
        <x:v>Capgemini</x:v>
      </x:c>
      <x:c r="C7087" s="12" t="str">
        <x:v>CORP-0466</x:v>
      </x:c>
      <x:c r="D7087" s="12" t="str">
        <x:v>Bengaluru</x:v>
      </x:c>
      <x:c r="E7087" s="12" t="str">
        <x:v>Prestige Tech Pacific</x:v>
      </x:c>
      <x:c r="F7087" s="12" t="str">
        <x:v>55 inch</x:v>
      </x:c>
      <x:c r="G7087" s="20" t="n">
        <x:v>1</x:v>
      </x:c>
      <x:c r="H7087" s="12" t="str">
        <x:v>Campus/portfolio roster; individual building occupancy unverified</x:v>
      </x:c>
      <x:c r="I7087" s="12" t="str">
        <x:v>Large enterprise</x:v>
      </x:c>
      <x:c r="J7087" s="12" t="str">
        <x:v>IT &amp; digital</x:v>
      </x:c>
      <x:c r="K7087" s="2" t="str">
        <x:v>PARTNER-M045</x:v>
      </x:c>
    </x:row>
    <x:row r="7088" ht="46" customHeight="1">
      <x:c r="A7088" s="2" t="str">
        <x:v>TEN-28CBC5A35638</x:v>
      </x:c>
      <x:c r="B7088" s="12" t="str">
        <x:v>Juniper Networks</x:v>
      </x:c>
      <x:c r="C7088" s="12" t="str">
        <x:v>CORP-0467</x:v>
      </x:c>
      <x:c r="D7088" s="12" t="str">
        <x:v>Bengaluru</x:v>
      </x:c>
      <x:c r="E7088" s="12" t="str">
        <x:v>Prestige Tech Pacific</x:v>
      </x:c>
      <x:c r="F7088" s="12" t="str">
        <x:v>55 inch</x:v>
      </x:c>
      <x:c r="G7088" s="20" t="n">
        <x:v>1</x:v>
      </x:c>
      <x:c r="H7088" s="12" t="str">
        <x:v>Campus/portfolio roster; individual building occupancy unverified</x:v>
      </x:c>
      <x:c r="I7088" s="12" t="str">
        <x:v>Large enterprise</x:v>
      </x:c>
      <x:c r="J7088" s="12" t="str">
        <x:v>IT &amp; digital</x:v>
      </x:c>
      <x:c r="K7088" s="2" t="str">
        <x:v>PARTNER-M045</x:v>
      </x:c>
    </x:row>
    <x:row r="7089" ht="46" customHeight="1">
      <x:c r="A7089" s="2" t="str">
        <x:v>TEN-30E363D3E8C5</x:v>
      </x:c>
      <x:c r="B7089" s="12" t="str">
        <x:v>Siemens</x:v>
      </x:c>
      <x:c r="C7089" s="12" t="str">
        <x:v>CORP-0467</x:v>
      </x:c>
      <x:c r="D7089" s="12" t="str">
        <x:v>Bengaluru</x:v>
      </x:c>
      <x:c r="E7089" s="12" t="str">
        <x:v>Prestige Tech Pacific</x:v>
      </x:c>
      <x:c r="F7089" s="12" t="str">
        <x:v>55 inch</x:v>
      </x:c>
      <x:c r="G7089" s="20" t="n">
        <x:v>1</x:v>
      </x:c>
      <x:c r="H7089" s="12" t="str">
        <x:v>Campus/portfolio roster; individual building occupancy unverified</x:v>
      </x:c>
      <x:c r="I7089" s="12" t="str">
        <x:v>Large enterprise</x:v>
      </x:c>
      <x:c r="J7089" s="12" t="str">
        <x:v>Engineering &amp; manufacturing</x:v>
      </x:c>
      <x:c r="K7089" s="2" t="str">
        <x:v>PARTNER-M045</x:v>
      </x:c>
    </x:row>
    <x:row r="7090" ht="46" customHeight="1">
      <x:c r="A7090" s="2" t="str">
        <x:v>TEN-50FCB8C0B6FA</x:v>
      </x:c>
      <x:c r="B7090" s="12" t="str">
        <x:v>JP Morgan Chase</x:v>
      </x:c>
      <x:c r="C7090" s="12" t="str">
        <x:v>CORP-0467</x:v>
      </x:c>
      <x:c r="D7090" s="12" t="str">
        <x:v>Bengaluru</x:v>
      </x:c>
      <x:c r="E7090" s="12" t="str">
        <x:v>Prestige Tech Pacific</x:v>
      </x:c>
      <x:c r="F7090" s="12" t="str">
        <x:v>55 inch</x:v>
      </x:c>
      <x:c r="G7090" s="20" t="n">
        <x:v>1</x:v>
      </x:c>
      <x:c r="H7090" s="12" t="str">
        <x:v>Campus/portfolio roster; individual building occupancy unverified</x:v>
      </x:c>
      <x:c r="I7090" s="12" t="str">
        <x:v>Large enterprise</x:v>
      </x:c>
      <x:c r="J7090" s="12" t="str">
        <x:v>Finance &amp; insurance</x:v>
      </x:c>
      <x:c r="K7090" s="2" t="str">
        <x:v>PARTNER-M045</x:v>
      </x:c>
    </x:row>
    <x:row r="7091" ht="46" customHeight="1">
      <x:c r="A7091" s="2" t="str">
        <x:v>TEN-68AE6688DA7F</x:v>
      </x:c>
      <x:c r="B7091" s="12" t="str">
        <x:v>Oracle India Pvt. Ltd</x:v>
      </x:c>
      <x:c r="C7091" s="12" t="str">
        <x:v>CORP-0467</x:v>
      </x:c>
      <x:c r="D7091" s="12" t="str">
        <x:v>Bengaluru</x:v>
      </x:c>
      <x:c r="E7091" s="12" t="str">
        <x:v>Prestige Tech Pacific</x:v>
      </x:c>
      <x:c r="F7091" s="12" t="str">
        <x:v>55 inch</x:v>
      </x:c>
      <x:c r="G7091" s="20" t="n">
        <x:v>1</x:v>
      </x:c>
      <x:c r="H7091" s="12" t="str">
        <x:v>Campus/portfolio roster; individual building occupancy unverified</x:v>
      </x:c>
      <x:c r="I7091" s="12" t="str">
        <x:v>Large enterprise</x:v>
      </x:c>
      <x:c r="J7091" s="12" t="str">
        <x:v>IT &amp; digital</x:v>
      </x:c>
      <x:c r="K7091" s="2" t="str">
        <x:v>PARTNER-M045</x:v>
      </x:c>
    </x:row>
    <x:row r="7092" ht="46" customHeight="1">
      <x:c r="A7092" s="2" t="str">
        <x:v>TEN-8492381623BD</x:v>
      </x:c>
      <x:c r="B7092" s="12" t="str">
        <x:v>Akamai Technologies</x:v>
      </x:c>
      <x:c r="C7092" s="12" t="str">
        <x:v>CORP-0467</x:v>
      </x:c>
      <x:c r="D7092" s="12" t="str">
        <x:v>Bengaluru</x:v>
      </x:c>
      <x:c r="E7092" s="12" t="str">
        <x:v>Prestige Tech Pacific</x:v>
      </x:c>
      <x:c r="F7092" s="12" t="str">
        <x:v>55 inch</x:v>
      </x:c>
      <x:c r="G7092" s="20" t="n">
        <x:v>1</x:v>
      </x:c>
      <x:c r="H7092" s="12" t="str">
        <x:v>Campus/portfolio roster; individual building occupancy unverified</x:v>
      </x:c>
      <x:c r="I7092" s="12" t="str">
        <x:v>Mixed business audience</x:v>
      </x:c>
      <x:c r="J7092" s="12" t="str">
        <x:v>IT &amp; digital</x:v>
      </x:c>
      <x:c r="K7092" s="2" t="str">
        <x:v>PARTNER-M045</x:v>
      </x:c>
    </x:row>
    <x:row r="7093" ht="46" customHeight="1">
      <x:c r="A7093" s="2" t="str">
        <x:v>TEN-86F73DFE7BB6</x:v>
      </x:c>
      <x:c r="B7093" s="12" t="str">
        <x:v>Cognizant</x:v>
      </x:c>
      <x:c r="C7093" s="12" t="str">
        <x:v>CORP-0467</x:v>
      </x:c>
      <x:c r="D7093" s="12" t="str">
        <x:v>Bengaluru</x:v>
      </x:c>
      <x:c r="E7093" s="12" t="str">
        <x:v>Prestige Tech Pacific</x:v>
      </x:c>
      <x:c r="F7093" s="12" t="str">
        <x:v>55 inch</x:v>
      </x:c>
      <x:c r="G7093" s="20" t="n">
        <x:v>1</x:v>
      </x:c>
      <x:c r="H7093" s="12" t="str">
        <x:v>Campus/portfolio roster; individual building occupancy unverified</x:v>
      </x:c>
      <x:c r="I7093" s="12" t="str">
        <x:v>Large enterprise</x:v>
      </x:c>
      <x:c r="J7093" s="12" t="str">
        <x:v>IT &amp; digital</x:v>
      </x:c>
      <x:c r="K7093" s="2" t="str">
        <x:v>PARTNER-M045</x:v>
      </x:c>
    </x:row>
    <x:row r="7094" ht="46" customHeight="1">
      <x:c r="A7094" s="2" t="str">
        <x:v>TEN-9120856F15CD</x:v>
      </x:c>
      <x:c r="B7094" s="12" t="str">
        <x:v>Mindtree</x:v>
      </x:c>
      <x:c r="C7094" s="12" t="str">
        <x:v>CORP-0467</x:v>
      </x:c>
      <x:c r="D7094" s="12" t="str">
        <x:v>Bengaluru</x:v>
      </x:c>
      <x:c r="E7094" s="12" t="str">
        <x:v>Prestige Tech Pacific</x:v>
      </x:c>
      <x:c r="F7094" s="12" t="str">
        <x:v>55 inch</x:v>
      </x:c>
      <x:c r="G7094" s="20" t="n">
        <x:v>1</x:v>
      </x:c>
      <x:c r="H7094" s="12" t="str">
        <x:v>Campus/portfolio roster; individual building occupancy unverified</x:v>
      </x:c>
      <x:c r="I7094" s="12" t="str">
        <x:v>Large enterprise</x:v>
      </x:c>
      <x:c r="J7094" s="12" t="str">
        <x:v>IT &amp; digital</x:v>
      </x:c>
      <x:c r="K7094" s="2" t="str">
        <x:v>PARTNER-M045</x:v>
      </x:c>
    </x:row>
    <x:row r="7095" ht="46" customHeight="1">
      <x:c r="A7095" s="2" t="str">
        <x:v>TEN-B38914B2E8FA</x:v>
      </x:c>
      <x:c r="B7095" s="12" t="str">
        <x:v>Amadeus Software Labs</x:v>
      </x:c>
      <x:c r="C7095" s="12" t="str">
        <x:v>CORP-0467</x:v>
      </x:c>
      <x:c r="D7095" s="12" t="str">
        <x:v>Bengaluru</x:v>
      </x:c>
      <x:c r="E7095" s="12" t="str">
        <x:v>Prestige Tech Pacific</x:v>
      </x:c>
      <x:c r="F7095" s="12" t="str">
        <x:v>55 inch</x:v>
      </x:c>
      <x:c r="G7095" s="20" t="n">
        <x:v>1</x:v>
      </x:c>
      <x:c r="H7095" s="12" t="str">
        <x:v>Campus/portfolio roster; individual building occupancy unverified</x:v>
      </x:c>
      <x:c r="I7095" s="12" t="str">
        <x:v>Large enterprise</x:v>
      </x:c>
      <x:c r="J7095" s="12" t="str">
        <x:v>IT &amp; digital</x:v>
      </x:c>
      <x:c r="K7095" s="2" t="str">
        <x:v>PARTNER-M045</x:v>
      </x:c>
    </x:row>
    <x:row r="7096" ht="46" customHeight="1">
      <x:c r="A7096" s="2" t="str">
        <x:v>TEN-C63AC00C4D11</x:v>
      </x:c>
      <x:c r="B7096" s="12" t="str">
        <x:v>Mphasis</x:v>
      </x:c>
      <x:c r="C7096" s="12" t="str">
        <x:v>CORP-0467</x:v>
      </x:c>
      <x:c r="D7096" s="12" t="str">
        <x:v>Bengaluru</x:v>
      </x:c>
      <x:c r="E7096" s="12" t="str">
        <x:v>Prestige Tech Pacific</x:v>
      </x:c>
      <x:c r="F7096" s="12" t="str">
        <x:v>55 inch</x:v>
      </x:c>
      <x:c r="G7096" s="20" t="n">
        <x:v>1</x:v>
      </x:c>
      <x:c r="H7096" s="12" t="str">
        <x:v>Campus/portfolio roster; individual building occupancy unverified</x:v>
      </x:c>
      <x:c r="I7096" s="12" t="str">
        <x:v>Large enterprise</x:v>
      </x:c>
      <x:c r="J7096" s="12" t="str">
        <x:v>IT &amp; digital</x:v>
      </x:c>
      <x:c r="K7096" s="2" t="str">
        <x:v>PARTNER-M045</x:v>
      </x:c>
    </x:row>
    <x:row r="7097" ht="46" customHeight="1">
      <x:c r="A7097" s="2" t="str">
        <x:v>TEN-EC016BB6297A</x:v>
      </x:c>
      <x:c r="B7097" s="12" t="str">
        <x:v>Virtusa</x:v>
      </x:c>
      <x:c r="C7097" s="12" t="str">
        <x:v>CORP-0467</x:v>
      </x:c>
      <x:c r="D7097" s="12" t="str">
        <x:v>Bengaluru</x:v>
      </x:c>
      <x:c r="E7097" s="12" t="str">
        <x:v>Prestige Tech Pacific</x:v>
      </x:c>
      <x:c r="F7097" s="12" t="str">
        <x:v>55 inch</x:v>
      </x:c>
      <x:c r="G7097" s="20" t="n">
        <x:v>1</x:v>
      </x:c>
      <x:c r="H7097" s="12" t="str">
        <x:v>Campus/portfolio roster; individual building occupancy unverified</x:v>
      </x:c>
      <x:c r="I7097" s="12" t="str">
        <x:v>Mixed business audience</x:v>
      </x:c>
      <x:c r="J7097" s="12" t="str">
        <x:v>IT &amp; digital</x:v>
      </x:c>
      <x:c r="K7097" s="2" t="str">
        <x:v>PARTNER-M045</x:v>
      </x:c>
    </x:row>
    <x:row r="7098" ht="46" customHeight="1">
      <x:c r="A7098" s="2" t="str">
        <x:v>TEN-F55A85B2F2EB</x:v>
      </x:c>
      <x:c r="B7098" s="12" t="str">
        <x:v>Capgemini</x:v>
      </x:c>
      <x:c r="C7098" s="12" t="str">
        <x:v>CORP-0467</x:v>
      </x:c>
      <x:c r="D7098" s="12" t="str">
        <x:v>Bengaluru</x:v>
      </x:c>
      <x:c r="E7098" s="12" t="str">
        <x:v>Prestige Tech Pacific</x:v>
      </x:c>
      <x:c r="F7098" s="12" t="str">
        <x:v>55 inch</x:v>
      </x:c>
      <x:c r="G7098" s="20" t="n">
        <x:v>1</x:v>
      </x:c>
      <x:c r="H7098" s="12" t="str">
        <x:v>Campus/portfolio roster; individual building occupancy unverified</x:v>
      </x:c>
      <x:c r="I7098" s="12" t="str">
        <x:v>Large enterprise</x:v>
      </x:c>
      <x:c r="J7098" s="12" t="str">
        <x:v>IT &amp; digital</x:v>
      </x:c>
      <x:c r="K7098" s="2" t="str">
        <x:v>PARTNER-M045</x:v>
      </x:c>
    </x:row>
    <x:row r="7099" ht="46" customHeight="1">
      <x:c r="A7099" s="2" t="str">
        <x:v>TEN-28CBC5A35638</x:v>
      </x:c>
      <x:c r="B7099" s="12" t="str">
        <x:v>Juniper Networks</x:v>
      </x:c>
      <x:c r="C7099" s="12" t="str">
        <x:v>CORP-0468</x:v>
      </x:c>
      <x:c r="D7099" s="12" t="str">
        <x:v>Bengaluru</x:v>
      </x:c>
      <x:c r="E7099" s="12" t="str">
        <x:v>Prestige Tech Pacific</x:v>
      </x:c>
      <x:c r="F7099" s="12" t="str">
        <x:v>55 inch</x:v>
      </x:c>
      <x:c r="G7099" s="20" t="n">
        <x:v>1</x:v>
      </x:c>
      <x:c r="H7099" s="12" t="str">
        <x:v>Campus/portfolio roster; individual building occupancy unverified</x:v>
      </x:c>
      <x:c r="I7099" s="12" t="str">
        <x:v>Large enterprise</x:v>
      </x:c>
      <x:c r="J7099" s="12" t="str">
        <x:v>IT &amp; digital</x:v>
      </x:c>
      <x:c r="K7099" s="2" t="str">
        <x:v>PARTNER-M045</x:v>
      </x:c>
    </x:row>
    <x:row r="7100" ht="46" customHeight="1">
      <x:c r="A7100" s="2" t="str">
        <x:v>TEN-30E363D3E8C5</x:v>
      </x:c>
      <x:c r="B7100" s="12" t="str">
        <x:v>Siemens</x:v>
      </x:c>
      <x:c r="C7100" s="12" t="str">
        <x:v>CORP-0468</x:v>
      </x:c>
      <x:c r="D7100" s="12" t="str">
        <x:v>Bengaluru</x:v>
      </x:c>
      <x:c r="E7100" s="12" t="str">
        <x:v>Prestige Tech Pacific</x:v>
      </x:c>
      <x:c r="F7100" s="12" t="str">
        <x:v>55 inch</x:v>
      </x:c>
      <x:c r="G7100" s="20" t="n">
        <x:v>1</x:v>
      </x:c>
      <x:c r="H7100" s="12" t="str">
        <x:v>Campus/portfolio roster; individual building occupancy unverified</x:v>
      </x:c>
      <x:c r="I7100" s="12" t="str">
        <x:v>Large enterprise</x:v>
      </x:c>
      <x:c r="J7100" s="12" t="str">
        <x:v>Engineering &amp; manufacturing</x:v>
      </x:c>
      <x:c r="K7100" s="2" t="str">
        <x:v>PARTNER-M045</x:v>
      </x:c>
    </x:row>
    <x:row r="7101" ht="46" customHeight="1">
      <x:c r="A7101" s="2" t="str">
        <x:v>TEN-50FCB8C0B6FA</x:v>
      </x:c>
      <x:c r="B7101" s="12" t="str">
        <x:v>JP Morgan Chase</x:v>
      </x:c>
      <x:c r="C7101" s="12" t="str">
        <x:v>CORP-0468</x:v>
      </x:c>
      <x:c r="D7101" s="12" t="str">
        <x:v>Bengaluru</x:v>
      </x:c>
      <x:c r="E7101" s="12" t="str">
        <x:v>Prestige Tech Pacific</x:v>
      </x:c>
      <x:c r="F7101" s="12" t="str">
        <x:v>55 inch</x:v>
      </x:c>
      <x:c r="G7101" s="20" t="n">
        <x:v>1</x:v>
      </x:c>
      <x:c r="H7101" s="12" t="str">
        <x:v>Campus/portfolio roster; individual building occupancy unverified</x:v>
      </x:c>
      <x:c r="I7101" s="12" t="str">
        <x:v>Large enterprise</x:v>
      </x:c>
      <x:c r="J7101" s="12" t="str">
        <x:v>Finance &amp; insurance</x:v>
      </x:c>
      <x:c r="K7101" s="2" t="str">
        <x:v>PARTNER-M045</x:v>
      </x:c>
    </x:row>
    <x:row r="7102" ht="46" customHeight="1">
      <x:c r="A7102" s="2" t="str">
        <x:v>TEN-68AE6688DA7F</x:v>
      </x:c>
      <x:c r="B7102" s="12" t="str">
        <x:v>Oracle India Pvt. Ltd</x:v>
      </x:c>
      <x:c r="C7102" s="12" t="str">
        <x:v>CORP-0468</x:v>
      </x:c>
      <x:c r="D7102" s="12" t="str">
        <x:v>Bengaluru</x:v>
      </x:c>
      <x:c r="E7102" s="12" t="str">
        <x:v>Prestige Tech Pacific</x:v>
      </x:c>
      <x:c r="F7102" s="12" t="str">
        <x:v>55 inch</x:v>
      </x:c>
      <x:c r="G7102" s="20" t="n">
        <x:v>1</x:v>
      </x:c>
      <x:c r="H7102" s="12" t="str">
        <x:v>Campus/portfolio roster; individual building occupancy unverified</x:v>
      </x:c>
      <x:c r="I7102" s="12" t="str">
        <x:v>Large enterprise</x:v>
      </x:c>
      <x:c r="J7102" s="12" t="str">
        <x:v>IT &amp; digital</x:v>
      </x:c>
      <x:c r="K7102" s="2" t="str">
        <x:v>PARTNER-M045</x:v>
      </x:c>
    </x:row>
    <x:row r="7103" ht="46" customHeight="1">
      <x:c r="A7103" s="2" t="str">
        <x:v>TEN-8492381623BD</x:v>
      </x:c>
      <x:c r="B7103" s="12" t="str">
        <x:v>Akamai Technologies</x:v>
      </x:c>
      <x:c r="C7103" s="12" t="str">
        <x:v>CORP-0468</x:v>
      </x:c>
      <x:c r="D7103" s="12" t="str">
        <x:v>Bengaluru</x:v>
      </x:c>
      <x:c r="E7103" s="12" t="str">
        <x:v>Prestige Tech Pacific</x:v>
      </x:c>
      <x:c r="F7103" s="12" t="str">
        <x:v>55 inch</x:v>
      </x:c>
      <x:c r="G7103" s="20" t="n">
        <x:v>1</x:v>
      </x:c>
      <x:c r="H7103" s="12" t="str">
        <x:v>Campus/portfolio roster; individual building occupancy unverified</x:v>
      </x:c>
      <x:c r="I7103" s="12" t="str">
        <x:v>Mixed business audience</x:v>
      </x:c>
      <x:c r="J7103" s="12" t="str">
        <x:v>IT &amp; digital</x:v>
      </x:c>
      <x:c r="K7103" s="2" t="str">
        <x:v>PARTNER-M045</x:v>
      </x:c>
    </x:row>
    <x:row r="7104" ht="46" customHeight="1">
      <x:c r="A7104" s="2" t="str">
        <x:v>TEN-86F73DFE7BB6</x:v>
      </x:c>
      <x:c r="B7104" s="12" t="str">
        <x:v>Cognizant</x:v>
      </x:c>
      <x:c r="C7104" s="12" t="str">
        <x:v>CORP-0468</x:v>
      </x:c>
      <x:c r="D7104" s="12" t="str">
        <x:v>Bengaluru</x:v>
      </x:c>
      <x:c r="E7104" s="12" t="str">
        <x:v>Prestige Tech Pacific</x:v>
      </x:c>
      <x:c r="F7104" s="12" t="str">
        <x:v>55 inch</x:v>
      </x:c>
      <x:c r="G7104" s="20" t="n">
        <x:v>1</x:v>
      </x:c>
      <x:c r="H7104" s="12" t="str">
        <x:v>Campus/portfolio roster; individual building occupancy unverified</x:v>
      </x:c>
      <x:c r="I7104" s="12" t="str">
        <x:v>Large enterprise</x:v>
      </x:c>
      <x:c r="J7104" s="12" t="str">
        <x:v>IT &amp; digital</x:v>
      </x:c>
      <x:c r="K7104" s="2" t="str">
        <x:v>PARTNER-M045</x:v>
      </x:c>
    </x:row>
    <x:row r="7105" ht="46" customHeight="1">
      <x:c r="A7105" s="2" t="str">
        <x:v>TEN-9120856F15CD</x:v>
      </x:c>
      <x:c r="B7105" s="12" t="str">
        <x:v>Mindtree</x:v>
      </x:c>
      <x:c r="C7105" s="12" t="str">
        <x:v>CORP-0468</x:v>
      </x:c>
      <x:c r="D7105" s="12" t="str">
        <x:v>Bengaluru</x:v>
      </x:c>
      <x:c r="E7105" s="12" t="str">
        <x:v>Prestige Tech Pacific</x:v>
      </x:c>
      <x:c r="F7105" s="12" t="str">
        <x:v>55 inch</x:v>
      </x:c>
      <x:c r="G7105" s="20" t="n">
        <x:v>1</x:v>
      </x:c>
      <x:c r="H7105" s="12" t="str">
        <x:v>Campus/portfolio roster; individual building occupancy unverified</x:v>
      </x:c>
      <x:c r="I7105" s="12" t="str">
        <x:v>Large enterprise</x:v>
      </x:c>
      <x:c r="J7105" s="12" t="str">
        <x:v>IT &amp; digital</x:v>
      </x:c>
      <x:c r="K7105" s="2" t="str">
        <x:v>PARTNER-M045</x:v>
      </x:c>
    </x:row>
    <x:row r="7106" ht="46" customHeight="1">
      <x:c r="A7106" s="2" t="str">
        <x:v>TEN-B38914B2E8FA</x:v>
      </x:c>
      <x:c r="B7106" s="12" t="str">
        <x:v>Amadeus Software Labs</x:v>
      </x:c>
      <x:c r="C7106" s="12" t="str">
        <x:v>CORP-0468</x:v>
      </x:c>
      <x:c r="D7106" s="12" t="str">
        <x:v>Bengaluru</x:v>
      </x:c>
      <x:c r="E7106" s="12" t="str">
        <x:v>Prestige Tech Pacific</x:v>
      </x:c>
      <x:c r="F7106" s="12" t="str">
        <x:v>55 inch</x:v>
      </x:c>
      <x:c r="G7106" s="20" t="n">
        <x:v>1</x:v>
      </x:c>
      <x:c r="H7106" s="12" t="str">
        <x:v>Campus/portfolio roster; individual building occupancy unverified</x:v>
      </x:c>
      <x:c r="I7106" s="12" t="str">
        <x:v>Large enterprise</x:v>
      </x:c>
      <x:c r="J7106" s="12" t="str">
        <x:v>IT &amp; digital</x:v>
      </x:c>
      <x:c r="K7106" s="2" t="str">
        <x:v>PARTNER-M045</x:v>
      </x:c>
    </x:row>
    <x:row r="7107" ht="46" customHeight="1">
      <x:c r="A7107" s="2" t="str">
        <x:v>TEN-C63AC00C4D11</x:v>
      </x:c>
      <x:c r="B7107" s="12" t="str">
        <x:v>Mphasis</x:v>
      </x:c>
      <x:c r="C7107" s="12" t="str">
        <x:v>CORP-0468</x:v>
      </x:c>
      <x:c r="D7107" s="12" t="str">
        <x:v>Bengaluru</x:v>
      </x:c>
      <x:c r="E7107" s="12" t="str">
        <x:v>Prestige Tech Pacific</x:v>
      </x:c>
      <x:c r="F7107" s="12" t="str">
        <x:v>55 inch</x:v>
      </x:c>
      <x:c r="G7107" s="20" t="n">
        <x:v>1</x:v>
      </x:c>
      <x:c r="H7107" s="12" t="str">
        <x:v>Campus/portfolio roster; individual building occupancy unverified</x:v>
      </x:c>
      <x:c r="I7107" s="12" t="str">
        <x:v>Large enterprise</x:v>
      </x:c>
      <x:c r="J7107" s="12" t="str">
        <x:v>IT &amp; digital</x:v>
      </x:c>
      <x:c r="K7107" s="2" t="str">
        <x:v>PARTNER-M045</x:v>
      </x:c>
    </x:row>
    <x:row r="7108" ht="46" customHeight="1">
      <x:c r="A7108" s="2" t="str">
        <x:v>TEN-EC016BB6297A</x:v>
      </x:c>
      <x:c r="B7108" s="12" t="str">
        <x:v>Virtusa</x:v>
      </x:c>
      <x:c r="C7108" s="12" t="str">
        <x:v>CORP-0468</x:v>
      </x:c>
      <x:c r="D7108" s="12" t="str">
        <x:v>Bengaluru</x:v>
      </x:c>
      <x:c r="E7108" s="12" t="str">
        <x:v>Prestige Tech Pacific</x:v>
      </x:c>
      <x:c r="F7108" s="12" t="str">
        <x:v>55 inch</x:v>
      </x:c>
      <x:c r="G7108" s="20" t="n">
        <x:v>1</x:v>
      </x:c>
      <x:c r="H7108" s="12" t="str">
        <x:v>Campus/portfolio roster; individual building occupancy unverified</x:v>
      </x:c>
      <x:c r="I7108" s="12" t="str">
        <x:v>Mixed business audience</x:v>
      </x:c>
      <x:c r="J7108" s="12" t="str">
        <x:v>IT &amp; digital</x:v>
      </x:c>
      <x:c r="K7108" s="2" t="str">
        <x:v>PARTNER-M045</x:v>
      </x:c>
    </x:row>
    <x:row r="7109" ht="46" customHeight="1">
      <x:c r="A7109" s="2" t="str">
        <x:v>TEN-F55A85B2F2EB</x:v>
      </x:c>
      <x:c r="B7109" s="12" t="str">
        <x:v>Capgemini</x:v>
      </x:c>
      <x:c r="C7109" s="12" t="str">
        <x:v>CORP-0468</x:v>
      </x:c>
      <x:c r="D7109" s="12" t="str">
        <x:v>Bengaluru</x:v>
      </x:c>
      <x:c r="E7109" s="12" t="str">
        <x:v>Prestige Tech Pacific</x:v>
      </x:c>
      <x:c r="F7109" s="12" t="str">
        <x:v>55 inch</x:v>
      </x:c>
      <x:c r="G7109" s="20" t="n">
        <x:v>1</x:v>
      </x:c>
      <x:c r="H7109" s="12" t="str">
        <x:v>Campus/portfolio roster; individual building occupancy unverified</x:v>
      </x:c>
      <x:c r="I7109" s="12" t="str">
        <x:v>Large enterprise</x:v>
      </x:c>
      <x:c r="J7109" s="12" t="str">
        <x:v>IT &amp; digital</x:v>
      </x:c>
      <x:c r="K7109" s="2" t="str">
        <x:v>PARTNER-M045</x:v>
      </x:c>
    </x:row>
    <x:row r="7110" ht="46" customHeight="1">
      <x:c r="A7110" s="2" t="str">
        <x:v>TEN-0006A53C9A96</x:v>
      </x:c>
      <x:c r="B7110" s="12" t="str">
        <x:v>Justdial</x:v>
      </x:c>
      <x:c r="C7110" s="12" t="str">
        <x:v>CORP-0469</x:v>
      </x:c>
      <x:c r="D7110" s="12" t="str">
        <x:v>Bengaluru</x:v>
      </x:c>
      <x:c r="E7110" s="12" t="str">
        <x:v>Manyata Tech park - Mfar</x:v>
      </x:c>
      <x:c r="F7110" s="12" t="str">
        <x:v>55 inch</x:v>
      </x:c>
      <x:c r="G7110" s="20" t="n">
        <x:v>1</x:v>
      </x:c>
      <x:c r="H7110" s="12" t="str">
        <x:v>Campus/portfolio roster; individual building occupancy unverified</x:v>
      </x:c>
      <x:c r="I7110" s="12" t="str">
        <x:v>Mixed business audience</x:v>
      </x:c>
      <x:c r="J7110" s="12" t="str">
        <x:v>Trade, consumer &amp; logistics</x:v>
      </x:c>
      <x:c r="K7110" s="2" t="str">
        <x:v>PARTNER-M051</x:v>
      </x:c>
    </x:row>
    <x:row r="7111" ht="46" customHeight="1">
      <x:c r="A7111" s="2" t="str">
        <x:v>TEN-0A68AD38CEB3</x:v>
      </x:c>
      <x:c r="B7111" s="12" t="str">
        <x:v>Indegene Lifesystems</x:v>
      </x:c>
      <x:c r="C7111" s="12" t="str">
        <x:v>CORP-0469</x:v>
      </x:c>
      <x:c r="D7111" s="12" t="str">
        <x:v>Bengaluru</x:v>
      </x:c>
      <x:c r="E7111" s="12" t="str">
        <x:v>Manyata Tech park - Mfar</x:v>
      </x:c>
      <x:c r="F7111" s="12" t="str">
        <x:v>55 inch</x:v>
      </x:c>
      <x:c r="G7111" s="20" t="n">
        <x:v>1</x:v>
      </x:c>
      <x:c r="H7111" s="12" t="str">
        <x:v>Campus/portfolio roster; individual building occupancy unverified</x:v>
      </x:c>
      <x:c r="I7111" s="12" t="str">
        <x:v>Mixed business audience</x:v>
      </x:c>
      <x:c r="J7111" s="12" t="str">
        <x:v>Healthcare &amp; life sciences</x:v>
      </x:c>
      <x:c r="K7111" s="2" t="str">
        <x:v>PARTNER-M051</x:v>
      </x:c>
    </x:row>
    <x:row r="7112" ht="46" customHeight="1">
      <x:c r="A7112" s="2" t="str">
        <x:v>TEN-0C16B6E2E745</x:v>
      </x:c>
      <x:c r="B7112" s="12" t="str">
        <x:v>Target Corporation India</x:v>
      </x:c>
      <x:c r="C7112" s="12" t="str">
        <x:v>CORP-0469</x:v>
      </x:c>
      <x:c r="D7112" s="12" t="str">
        <x:v>Bengaluru</x:v>
      </x:c>
      <x:c r="E7112" s="12" t="str">
        <x:v>Manyata Tech park - Mfar</x:v>
      </x:c>
      <x:c r="F7112" s="12" t="str">
        <x:v>55 inch</x:v>
      </x:c>
      <x:c r="G7112" s="20" t="n">
        <x:v>1</x:v>
      </x:c>
      <x:c r="H7112" s="12" t="str">
        <x:v>Campus/portfolio roster; individual building occupancy unverified</x:v>
      </x:c>
      <x:c r="I7112" s="12" t="str">
        <x:v>Mixed business audience</x:v>
      </x:c>
      <x:c r="J7112" s="12" t="str">
        <x:v>Trade, consumer &amp; logistics</x:v>
      </x:c>
      <x:c r="K7112" s="2" t="str">
        <x:v>PARTNER-M051</x:v>
      </x:c>
    </x:row>
    <x:row r="7113" ht="46" customHeight="1">
      <x:c r="A7113" s="2" t="str">
        <x:v>TEN-14C4528C15CA</x:v>
      </x:c>
      <x:c r="B7113" s="12" t="str">
        <x:v>NetScout Systems</x:v>
      </x:c>
      <x:c r="C7113" s="12" t="str">
        <x:v>CORP-0469</x:v>
      </x:c>
      <x:c r="D7113" s="12" t="str">
        <x:v>Bengaluru</x:v>
      </x:c>
      <x:c r="E7113" s="12" t="str">
        <x:v>Manyata Tech park - Mfar</x:v>
      </x:c>
      <x:c r="F7113" s="12" t="str">
        <x:v>55 inch</x:v>
      </x:c>
      <x:c r="G7113" s="20" t="n">
        <x:v>1</x:v>
      </x:c>
      <x:c r="H7113" s="12" t="str">
        <x:v>Campus/portfolio roster; individual building occupancy unverified</x:v>
      </x:c>
      <x:c r="I7113" s="12" t="str">
        <x:v>Mixed business audience</x:v>
      </x:c>
      <x:c r="J7113" s="12" t="str">
        <x:v>IT &amp; digital</x:v>
      </x:c>
      <x:c r="K7113" s="2" t="str">
        <x:v>PARTNER-M051</x:v>
      </x:c>
    </x:row>
    <x:row r="7114" ht="46" customHeight="1">
      <x:c r="A7114" s="2" t="str">
        <x:v>TEN-27C9A7B5ECAD</x:v>
      </x:c>
      <x:c r="B7114" s="12" t="str">
        <x:v>SLK Group</x:v>
      </x:c>
      <x:c r="C7114" s="12" t="str">
        <x:v>CORP-0469</x:v>
      </x:c>
      <x:c r="D7114" s="12" t="str">
        <x:v>Bengaluru</x:v>
      </x:c>
      <x:c r="E7114" s="12" t="str">
        <x:v>Manyata Tech park - Mfar</x:v>
      </x:c>
      <x:c r="F7114" s="12" t="str">
        <x:v>55 inch</x:v>
      </x:c>
      <x:c r="G7114" s="20" t="n">
        <x:v>1</x:v>
      </x:c>
      <x:c r="H7114" s="12" t="str">
        <x:v>Campus/portfolio roster; individual building occupancy unverified</x:v>
      </x:c>
      <x:c r="I7114" s="12" t="str">
        <x:v>Mixed business audience</x:v>
      </x:c>
      <x:c r="J7114" s="12" t="str">
        <x:v>IT &amp; digital</x:v>
      </x:c>
      <x:c r="K7114" s="2" t="str">
        <x:v>PARTNER-M051</x:v>
      </x:c>
    </x:row>
    <x:row r="7115" ht="46" customHeight="1">
      <x:c r="A7115" s="2" t="str">
        <x:v>TEN-27D00A6A3558</x:v>
      </x:c>
      <x:c r="B7115" s="12" t="str">
        <x:v>Voonik Technologies Pvt. Ltd</x:v>
      </x:c>
      <x:c r="C7115" s="12" t="str">
        <x:v>CORP-0469</x:v>
      </x:c>
      <x:c r="D7115" s="12" t="str">
        <x:v>Bengaluru</x:v>
      </x:c>
      <x:c r="E7115" s="12" t="str">
        <x:v>Manyata Tech park - Mfar</x:v>
      </x:c>
      <x:c r="F7115" s="12" t="str">
        <x:v>55 inch</x:v>
      </x:c>
      <x:c r="G7115" s="20" t="n">
        <x:v>1</x:v>
      </x:c>
      <x:c r="H7115" s="12" t="str">
        <x:v>Campus/portfolio roster; individual building occupancy unverified</x:v>
      </x:c>
      <x:c r="I7115" s="12" t="str">
        <x:v>Small-scale prospects</x:v>
      </x:c>
      <x:c r="J7115" s="12" t="str">
        <x:v>Trade, consumer &amp; logistics</x:v>
      </x:c>
      <x:c r="K7115" s="2" t="str">
        <x:v>PARTNER-M051</x:v>
      </x:c>
    </x:row>
    <x:row r="7116" ht="46" customHeight="1">
      <x:c r="A7116" s="2" t="str">
        <x:v>TEN-2F85BCE94831</x:v>
      </x:c>
      <x:c r="B7116" s="12" t="str">
        <x:v>Dimension Data India (formerly Data Craft India)</x:v>
      </x:c>
      <x:c r="C7116" s="12" t="str">
        <x:v>CORP-0469</x:v>
      </x:c>
      <x:c r="D7116" s="12" t="str">
        <x:v>Bengaluru</x:v>
      </x:c>
      <x:c r="E7116" s="12" t="str">
        <x:v>Manyata Tech park - Mfar</x:v>
      </x:c>
      <x:c r="F7116" s="12" t="str">
        <x:v>55 inch</x:v>
      </x:c>
      <x:c r="G7116" s="20" t="n">
        <x:v>1</x:v>
      </x:c>
      <x:c r="H7116" s="12" t="str">
        <x:v>Campus/portfolio roster; individual building occupancy unverified</x:v>
      </x:c>
      <x:c r="I7116" s="12" t="str">
        <x:v>Large enterprise</x:v>
      </x:c>
      <x:c r="J7116" s="12" t="str">
        <x:v>IT &amp; digital</x:v>
      </x:c>
      <x:c r="K7116" s="2" t="str">
        <x:v>PARTNER-M051</x:v>
      </x:c>
    </x:row>
    <x:row r="7117" ht="46" customHeight="1">
      <x:c r="A7117" s="2" t="str">
        <x:v>TEN-3821E9F1FF90</x:v>
      </x:c>
      <x:c r="B7117" s="12" t="str">
        <x:v>The Executive Centre</x:v>
      </x:c>
      <x:c r="C7117" s="12" t="str">
        <x:v>CORP-0469</x:v>
      </x:c>
      <x:c r="D7117" s="12" t="str">
        <x:v>Bengaluru</x:v>
      </x:c>
      <x:c r="E7117" s="12" t="str">
        <x:v>Manyata Tech park - Mfar</x:v>
      </x:c>
      <x:c r="F7117" s="12" t="str">
        <x:v>55 inch</x:v>
      </x:c>
      <x:c r="G7117" s="20" t="n">
        <x:v>1</x:v>
      </x:c>
      <x:c r="H7117" s="12" t="str">
        <x:v>Campus/portfolio roster; individual building occupancy unverified</x:v>
      </x:c>
      <x:c r="I7117" s="12" t="str">
        <x:v>Mixed business audience</x:v>
      </x:c>
      <x:c r="J7117" s="12" t="str">
        <x:v>Workspace &amp; property operations</x:v>
      </x:c>
      <x:c r="K7117" s="2" t="str">
        <x:v>PARTNER-M051</x:v>
      </x:c>
    </x:row>
    <x:row r="7118" ht="46" customHeight="1">
      <x:c r="A7118" s="2" t="str">
        <x:v>TEN-42E8408652E5</x:v>
      </x:c>
      <x:c r="B7118" s="12" t="str">
        <x:v>HCL Technologies</x:v>
      </x:c>
      <x:c r="C7118" s="12" t="str">
        <x:v>CORP-0469</x:v>
      </x:c>
      <x:c r="D7118" s="12" t="str">
        <x:v>Bengaluru</x:v>
      </x:c>
      <x:c r="E7118" s="12" t="str">
        <x:v>Manyata Tech park - Mfar</x:v>
      </x:c>
      <x:c r="F7118" s="12" t="str">
        <x:v>55 inch</x:v>
      </x:c>
      <x:c r="G7118" s="20" t="n">
        <x:v>1</x:v>
      </x:c>
      <x:c r="H7118" s="12" t="str">
        <x:v>Campus/portfolio roster; individual building occupancy unverified</x:v>
      </x:c>
      <x:c r="I7118" s="12" t="str">
        <x:v>Large enterprise</x:v>
      </x:c>
      <x:c r="J7118" s="12" t="str">
        <x:v>IT &amp; digital</x:v>
      </x:c>
      <x:c r="K7118" s="2" t="str">
        <x:v>PARTNER-M051</x:v>
      </x:c>
    </x:row>
    <x:row r="7119" ht="46" customHeight="1">
      <x:c r="A7119" s="2" t="str">
        <x:v>TEN-47679F81BEB4</x:v>
      </x:c>
      <x:c r="B7119" s="12" t="str">
        <x:v>GlobalFoundries</x:v>
      </x:c>
      <x:c r="C7119" s="12" t="str">
        <x:v>CORP-0469</x:v>
      </x:c>
      <x:c r="D7119" s="12" t="str">
        <x:v>Bengaluru</x:v>
      </x:c>
      <x:c r="E7119" s="12" t="str">
        <x:v>Manyata Tech park - Mfar</x:v>
      </x:c>
      <x:c r="F7119" s="12" t="str">
        <x:v>55 inch</x:v>
      </x:c>
      <x:c r="G7119" s="20" t="n">
        <x:v>1</x:v>
      </x:c>
      <x:c r="H7119" s="12" t="str">
        <x:v>Campus/portfolio roster; individual building occupancy unverified</x:v>
      </x:c>
      <x:c r="I7119" s="12" t="str">
        <x:v>Mixed business audience</x:v>
      </x:c>
      <x:c r="J7119" s="12" t="str">
        <x:v>Engineering &amp; manufacturing</x:v>
      </x:c>
      <x:c r="K7119" s="2" t="str">
        <x:v>PARTNER-M051</x:v>
      </x:c>
    </x:row>
    <x:row r="7120" ht="46" customHeight="1">
      <x:c r="A7120" s="2" t="str">
        <x:v>TEN-4C75F725A6D4</x:v>
      </x:c>
      <x:c r="B7120" s="12" t="str">
        <x:v>AXA Business Services</x:v>
      </x:c>
      <x:c r="C7120" s="12" t="str">
        <x:v>CORP-0469</x:v>
      </x:c>
      <x:c r="D7120" s="12" t="str">
        <x:v>Bengaluru</x:v>
      </x:c>
      <x:c r="E7120" s="12" t="str">
        <x:v>Manyata Tech park - Mfar</x:v>
      </x:c>
      <x:c r="F7120" s="12" t="str">
        <x:v>55 inch</x:v>
      </x:c>
      <x:c r="G7120" s="20" t="n">
        <x:v>1</x:v>
      </x:c>
      <x:c r="H7120" s="12" t="str">
        <x:v>Campus/portfolio roster; individual building occupancy unverified</x:v>
      </x:c>
      <x:c r="I7120" s="12" t="str">
        <x:v>Large enterprise</x:v>
      </x:c>
      <x:c r="J7120" s="12" t="str">
        <x:v>Finance &amp; insurance</x:v>
      </x:c>
      <x:c r="K7120" s="2" t="str">
        <x:v>PARTNER-M051</x:v>
      </x:c>
    </x:row>
    <x:row r="7121" ht="46" customHeight="1">
      <x:c r="A7121" s="2" t="str">
        <x:v>TEN-4E5B2E7D6119</x:v>
      </x:c>
      <x:c r="B7121" s="12" t="str">
        <x:v>ANZ</x:v>
      </x:c>
      <x:c r="C7121" s="12" t="str">
        <x:v>CORP-0469</x:v>
      </x:c>
      <x:c r="D7121" s="12" t="str">
        <x:v>Bengaluru</x:v>
      </x:c>
      <x:c r="E7121" s="12" t="str">
        <x:v>Manyata Tech park - Mfar</x:v>
      </x:c>
      <x:c r="F7121" s="12" t="str">
        <x:v>55 inch</x:v>
      </x:c>
      <x:c r="G7121" s="20" t="n">
        <x:v>1</x:v>
      </x:c>
      <x:c r="H7121" s="12" t="str">
        <x:v>Campus/portfolio roster; individual building occupancy unverified</x:v>
      </x:c>
      <x:c r="I7121" s="12" t="str">
        <x:v>Mixed business audience</x:v>
      </x:c>
      <x:c r="J7121" s="12" t="str">
        <x:v>Finance &amp; insurance</x:v>
      </x:c>
      <x:c r="K7121" s="2" t="str">
        <x:v>PARTNER-M051</x:v>
      </x:c>
    </x:row>
    <x:row r="7122" ht="46" customHeight="1">
      <x:c r="A7122" s="2" t="str">
        <x:v>TEN-4F8C19DB697F</x:v>
      </x:c>
      <x:c r="B7122" s="12" t="str">
        <x:v>Tata Consultancy Services Ltd</x:v>
      </x:c>
      <x:c r="C7122" s="12" t="str">
        <x:v>CORP-0469</x:v>
      </x:c>
      <x:c r="D7122" s="12" t="str">
        <x:v>Bengaluru</x:v>
      </x:c>
      <x:c r="E7122" s="12" t="str">
        <x:v>Manyata Tech park - Mfar</x:v>
      </x:c>
      <x:c r="F7122" s="12" t="str">
        <x:v>55 inch</x:v>
      </x:c>
      <x:c r="G7122" s="20" t="n">
        <x:v>1</x:v>
      </x:c>
      <x:c r="H7122" s="12" t="str">
        <x:v>Campus/portfolio roster; individual building occupancy unverified</x:v>
      </x:c>
      <x:c r="I7122" s="12" t="str">
        <x:v>Large enterprise</x:v>
      </x:c>
      <x:c r="J7122" s="12" t="str">
        <x:v>IT &amp; digital</x:v>
      </x:c>
      <x:c r="K7122" s="2" t="str">
        <x:v>PARTNER-M051</x:v>
      </x:c>
    </x:row>
    <x:row r="7123" ht="46" customHeight="1">
      <x:c r="A7123" s="2" t="str">
        <x:v>TEN-534AE61AC6A4</x:v>
      </x:c>
      <x:c r="B7123" s="12" t="str">
        <x:v>Stylus Commercial Services</x:v>
      </x:c>
      <x:c r="C7123" s="12" t="str">
        <x:v>CORP-0469</x:v>
      </x:c>
      <x:c r="D7123" s="12" t="str">
        <x:v>Bengaluru</x:v>
      </x:c>
      <x:c r="E7123" s="12" t="str">
        <x:v>Manyata Tech park - Mfar</x:v>
      </x:c>
      <x:c r="F7123" s="12" t="str">
        <x:v>55 inch</x:v>
      </x:c>
      <x:c r="G7123" s="20" t="n">
        <x:v>1</x:v>
      </x:c>
      <x:c r="H7123" s="12" t="str">
        <x:v>Campus/portfolio roster; individual building occupancy unverified</x:v>
      </x:c>
      <x:c r="I7123" s="12" t="str">
        <x:v>Mixed business audience</x:v>
      </x:c>
      <x:c r="J7123" s="12" t="str">
        <x:v>Unresolved</x:v>
      </x:c>
      <x:c r="K7123" s="2" t="str">
        <x:v>PARTNER-M051</x:v>
      </x:c>
    </x:row>
    <x:row r="7124" ht="46" customHeight="1">
      <x:c r="A7124" s="2" t="str">
        <x:v>TEN-53D60BF43086</x:v>
      </x:c>
      <x:c r="B7124" s="12" t="str">
        <x:v>Larsen &amp; Toubro Technology Services</x:v>
      </x:c>
      <x:c r="C7124" s="12" t="str">
        <x:v>CORP-0469</x:v>
      </x:c>
      <x:c r="D7124" s="12" t="str">
        <x:v>Bengaluru</x:v>
      </x:c>
      <x:c r="E7124" s="12" t="str">
        <x:v>Manyata Tech park - Mfar</x:v>
      </x:c>
      <x:c r="F7124" s="12" t="str">
        <x:v>55 inch</x:v>
      </x:c>
      <x:c r="G7124" s="20" t="n">
        <x:v>1</x:v>
      </x:c>
      <x:c r="H7124" s="12" t="str">
        <x:v>Campus/portfolio roster; individual building occupancy unverified</x:v>
      </x:c>
      <x:c r="I7124" s="12" t="str">
        <x:v>Large enterprise</x:v>
      </x:c>
      <x:c r="J7124" s="12" t="str">
        <x:v>Engineering &amp; manufacturing</x:v>
      </x:c>
      <x:c r="K7124" s="2" t="str">
        <x:v>PARTNER-M051</x:v>
      </x:c>
    </x:row>
    <x:row r="7125" ht="46" customHeight="1">
      <x:c r="A7125" s="2" t="str">
        <x:v>TEN-6229AE0860C6</x:v>
      </x:c>
      <x:c r="B7125" s="12" t="str">
        <x:v>AXA Technologies Shared Services</x:v>
      </x:c>
      <x:c r="C7125" s="12" t="str">
        <x:v>CORP-0469</x:v>
      </x:c>
      <x:c r="D7125" s="12" t="str">
        <x:v>Bengaluru</x:v>
      </x:c>
      <x:c r="E7125" s="12" t="str">
        <x:v>Manyata Tech park - Mfar</x:v>
      </x:c>
      <x:c r="F7125" s="12" t="str">
        <x:v>55 inch</x:v>
      </x:c>
      <x:c r="G7125" s="20" t="n">
        <x:v>1</x:v>
      </x:c>
      <x:c r="H7125" s="12" t="str">
        <x:v>Campus/portfolio roster; individual building occupancy unverified</x:v>
      </x:c>
      <x:c r="I7125" s="12" t="str">
        <x:v>Large enterprise</x:v>
      </x:c>
      <x:c r="J7125" s="12" t="str">
        <x:v>IT &amp; digital</x:v>
      </x:c>
      <x:c r="K7125" s="2" t="str">
        <x:v>PARTNER-M051</x:v>
      </x:c>
    </x:row>
    <x:row r="7126" ht="46" customHeight="1">
      <x:c r="A7126" s="2" t="str">
        <x:v>TEN-63E44AFB32E5</x:v>
      </x:c>
      <x:c r="B7126" s="12" t="str">
        <x:v>Gaea Technologies</x:v>
      </x:c>
      <x:c r="C7126" s="12" t="str">
        <x:v>CORP-0469</x:v>
      </x:c>
      <x:c r="D7126" s="12" t="str">
        <x:v>Bengaluru</x:v>
      </x:c>
      <x:c r="E7126" s="12" t="str">
        <x:v>Manyata Tech park - Mfar</x:v>
      </x:c>
      <x:c r="F7126" s="12" t="str">
        <x:v>55 inch</x:v>
      </x:c>
      <x:c r="G7126" s="20" t="n">
        <x:v>1</x:v>
      </x:c>
      <x:c r="H7126" s="12" t="str">
        <x:v>Campus/portfolio roster; individual building occupancy unverified</x:v>
      </x:c>
      <x:c r="I7126" s="12" t="str">
        <x:v>Mixed business audience</x:v>
      </x:c>
      <x:c r="J7126" s="12" t="str">
        <x:v>Unresolved</x:v>
      </x:c>
      <x:c r="K7126" s="2" t="str">
        <x:v>PARTNER-M051</x:v>
      </x:c>
    </x:row>
    <x:row r="7127" ht="46" customHeight="1">
      <x:c r="A7127" s="2" t="str">
        <x:v>TEN-6726DCA55EB6</x:v>
      </x:c>
      <x:c r="B7127" s="12" t="str">
        <x:v>i4 Global Information Technologies Ltd</x:v>
      </x:c>
      <x:c r="C7127" s="12" t="str">
        <x:v>CORP-0469</x:v>
      </x:c>
      <x:c r="D7127" s="12" t="str">
        <x:v>Bengaluru</x:v>
      </x:c>
      <x:c r="E7127" s="12" t="str">
        <x:v>Manyata Tech park - Mfar</x:v>
      </x:c>
      <x:c r="F7127" s="12" t="str">
        <x:v>55 inch</x:v>
      </x:c>
      <x:c r="G7127" s="20" t="n">
        <x:v>1</x:v>
      </x:c>
      <x:c r="H7127" s="12" t="str">
        <x:v>Campus/portfolio roster; individual building occupancy unverified</x:v>
      </x:c>
      <x:c r="I7127" s="12" t="str">
        <x:v>Small-scale prospects</x:v>
      </x:c>
      <x:c r="J7127" s="12" t="str">
        <x:v>IT &amp; digital</x:v>
      </x:c>
      <x:c r="K7127" s="2" t="str">
        <x:v>PARTNER-M051</x:v>
      </x:c>
    </x:row>
    <x:row r="7128" ht="46" customHeight="1">
      <x:c r="A7128" s="2" t="str">
        <x:v>TEN-6BEB399B4462</x:v>
      </x:c>
      <x:c r="B7128" s="12" t="str">
        <x:v>Nuance Communications</x:v>
      </x:c>
      <x:c r="C7128" s="12" t="str">
        <x:v>CORP-0469</x:v>
      </x:c>
      <x:c r="D7128" s="12" t="str">
        <x:v>Bengaluru</x:v>
      </x:c>
      <x:c r="E7128" s="12" t="str">
        <x:v>Manyata Tech park - Mfar</x:v>
      </x:c>
      <x:c r="F7128" s="12" t="str">
        <x:v>55 inch</x:v>
      </x:c>
      <x:c r="G7128" s="20" t="n">
        <x:v>1</x:v>
      </x:c>
      <x:c r="H7128" s="12" t="str">
        <x:v>Campus/portfolio roster; individual building occupancy unverified</x:v>
      </x:c>
      <x:c r="I7128" s="12" t="str">
        <x:v>Mixed business audience</x:v>
      </x:c>
      <x:c r="J7128" s="12" t="str">
        <x:v>IT &amp; digital</x:v>
      </x:c>
      <x:c r="K7128" s="2" t="str">
        <x:v>PARTNER-M051</x:v>
      </x:c>
    </x:row>
    <x:row r="7129" ht="46" customHeight="1">
      <x:c r="A7129" s="2" t="str">
        <x:v>TEN-7A03B2E48987</x:v>
      </x:c>
      <x:c r="B7129" s="12" t="str">
        <x:v>Cerner</x:v>
      </x:c>
      <x:c r="C7129" s="12" t="str">
        <x:v>CORP-0469</x:v>
      </x:c>
      <x:c r="D7129" s="12" t="str">
        <x:v>Bengaluru</x:v>
      </x:c>
      <x:c r="E7129" s="12" t="str">
        <x:v>Manyata Tech park - Mfar</x:v>
      </x:c>
      <x:c r="F7129" s="12" t="str">
        <x:v>55 inch</x:v>
      </x:c>
      <x:c r="G7129" s="20" t="n">
        <x:v>1</x:v>
      </x:c>
      <x:c r="H7129" s="12" t="str">
        <x:v>Campus/portfolio roster; individual building occupancy unverified</x:v>
      </x:c>
      <x:c r="I7129" s="12" t="str">
        <x:v>Mixed business audience</x:v>
      </x:c>
      <x:c r="J7129" s="12" t="str">
        <x:v>Healthcare &amp; life sciences</x:v>
      </x:c>
      <x:c r="K7129" s="2" t="str">
        <x:v>PARTNER-M051</x:v>
      </x:c>
    </x:row>
    <x:row r="7130" ht="46" customHeight="1">
      <x:c r="A7130" s="2" t="str">
        <x:v>TEN-7E1EAB7E3FF2</x:v>
      </x:c>
      <x:c r="B7130" s="12" t="str">
        <x:v>Phani Information Technologies Ltd</x:v>
      </x:c>
      <x:c r="C7130" s="12" t="str">
        <x:v>CORP-0469</x:v>
      </x:c>
      <x:c r="D7130" s="12" t="str">
        <x:v>Bengaluru</x:v>
      </x:c>
      <x:c r="E7130" s="12" t="str">
        <x:v>Manyata Tech park - Mfar</x:v>
      </x:c>
      <x:c r="F7130" s="12" t="str">
        <x:v>55 inch</x:v>
      </x:c>
      <x:c r="G7130" s="20" t="n">
        <x:v>1</x:v>
      </x:c>
      <x:c r="H7130" s="12" t="str">
        <x:v>Campus/portfolio roster; individual building occupancy unverified</x:v>
      </x:c>
      <x:c r="I7130" s="12" t="str">
        <x:v>Small-scale prospects</x:v>
      </x:c>
      <x:c r="J7130" s="12" t="str">
        <x:v>IT &amp; digital</x:v>
      </x:c>
      <x:c r="K7130" s="2" t="str">
        <x:v>PARTNER-M051</x:v>
      </x:c>
    </x:row>
    <x:row r="7131" ht="46" customHeight="1">
      <x:c r="A7131" s="2" t="str">
        <x:v>TEN-7E287D3F75D5</x:v>
      </x:c>
      <x:c r="B7131" s="12" t="str">
        <x:v>Kinapse</x:v>
      </x:c>
      <x:c r="C7131" s="12" t="str">
        <x:v>CORP-0469</x:v>
      </x:c>
      <x:c r="D7131" s="12" t="str">
        <x:v>Bengaluru</x:v>
      </x:c>
      <x:c r="E7131" s="12" t="str">
        <x:v>Manyata Tech park - Mfar</x:v>
      </x:c>
      <x:c r="F7131" s="12" t="str">
        <x:v>55 inch</x:v>
      </x:c>
      <x:c r="G7131" s="20" t="n">
        <x:v>1</x:v>
      </x:c>
      <x:c r="H7131" s="12" t="str">
        <x:v>Campus/portfolio roster; individual building occupancy unverified</x:v>
      </x:c>
      <x:c r="I7131" s="12" t="str">
        <x:v>Mixed business audience</x:v>
      </x:c>
      <x:c r="J7131" s="12" t="str">
        <x:v>Healthcare &amp; life sciences</x:v>
      </x:c>
      <x:c r="K7131" s="2" t="str">
        <x:v>PARTNER-M051</x:v>
      </x:c>
    </x:row>
    <x:row r="7132" ht="46" customHeight="1">
      <x:c r="A7132" s="2" t="str">
        <x:v>TEN-804B19934A31</x:v>
      </x:c>
      <x:c r="B7132" s="12" t="str">
        <x:v>Invecas Inc</x:v>
      </x:c>
      <x:c r="C7132" s="12" t="str">
        <x:v>CORP-0469</x:v>
      </x:c>
      <x:c r="D7132" s="12" t="str">
        <x:v>Bengaluru</x:v>
      </x:c>
      <x:c r="E7132" s="12" t="str">
        <x:v>Manyata Tech park - Mfar</x:v>
      </x:c>
      <x:c r="F7132" s="12" t="str">
        <x:v>55 inch</x:v>
      </x:c>
      <x:c r="G7132" s="20" t="n">
        <x:v>1</x:v>
      </x:c>
      <x:c r="H7132" s="12" t="str">
        <x:v>Campus/portfolio roster; individual building occupancy unverified</x:v>
      </x:c>
      <x:c r="I7132" s="12" t="str">
        <x:v>Medium-scale prospects</x:v>
      </x:c>
      <x:c r="J7132" s="12" t="str">
        <x:v>Engineering &amp; manufacturing</x:v>
      </x:c>
      <x:c r="K7132" s="2" t="str">
        <x:v>PARTNER-M051</x:v>
      </x:c>
    </x:row>
    <x:row r="7133" ht="46" customHeight="1">
      <x:c r="A7133" s="2" t="str">
        <x:v>TEN-86F73DFE7BB6</x:v>
      </x:c>
      <x:c r="B7133" s="12" t="str">
        <x:v>Cognizant</x:v>
      </x:c>
      <x:c r="C7133" s="12" t="str">
        <x:v>CORP-0469</x:v>
      </x:c>
      <x:c r="D7133" s="12" t="str">
        <x:v>Bengaluru</x:v>
      </x:c>
      <x:c r="E7133" s="12" t="str">
        <x:v>Manyata Tech park - Mfar</x:v>
      </x:c>
      <x:c r="F7133" s="12" t="str">
        <x:v>55 inch</x:v>
      </x:c>
      <x:c r="G7133" s="20" t="n">
        <x:v>1</x:v>
      </x:c>
      <x:c r="H7133" s="12" t="str">
        <x:v>Campus/portfolio roster; individual building occupancy unverified</x:v>
      </x:c>
      <x:c r="I7133" s="12" t="str">
        <x:v>Large enterprise</x:v>
      </x:c>
      <x:c r="J7133" s="12" t="str">
        <x:v>IT &amp; digital</x:v>
      </x:c>
      <x:c r="K7133" s="2" t="str">
        <x:v>PARTNER-M051</x:v>
      </x:c>
    </x:row>
    <x:row r="7134" ht="46" customHeight="1">
      <x:c r="A7134" s="2" t="str">
        <x:v>TEN-8A0F00910447</x:v>
      </x:c>
      <x:c r="B7134" s="12" t="str">
        <x:v>Jurimatrix</x:v>
      </x:c>
      <x:c r="C7134" s="12" t="str">
        <x:v>CORP-0469</x:v>
      </x:c>
      <x:c r="D7134" s="12" t="str">
        <x:v>Bengaluru</x:v>
      </x:c>
      <x:c r="E7134" s="12" t="str">
        <x:v>Manyata Tech park - Mfar</x:v>
      </x:c>
      <x:c r="F7134" s="12" t="str">
        <x:v>55 inch</x:v>
      </x:c>
      <x:c r="G7134" s="20" t="n">
        <x:v>1</x:v>
      </x:c>
      <x:c r="H7134" s="12" t="str">
        <x:v>Campus/portfolio roster; individual building occupancy unverified</x:v>
      </x:c>
      <x:c r="I7134" s="12" t="str">
        <x:v>Small-scale prospects</x:v>
      </x:c>
      <x:c r="J7134" s="12" t="str">
        <x:v>Professional services</x:v>
      </x:c>
      <x:c r="K7134" s="2" t="str">
        <x:v>PARTNER-M051</x:v>
      </x:c>
    </x:row>
    <x:row r="7135" ht="46" customHeight="1">
      <x:c r="A7135" s="2" t="str">
        <x:v>TEN-8D4321D93632</x:v>
      </x:c>
      <x:c r="B7135" s="12" t="str">
        <x:v>Nvidia</x:v>
      </x:c>
      <x:c r="C7135" s="12" t="str">
        <x:v>CORP-0469</x:v>
      </x:c>
      <x:c r="D7135" s="12" t="str">
        <x:v>Bengaluru</x:v>
      </x:c>
      <x:c r="E7135" s="12" t="str">
        <x:v>Manyata Tech park - Mfar</x:v>
      </x:c>
      <x:c r="F7135" s="12" t="str">
        <x:v>55 inch</x:v>
      </x:c>
      <x:c r="G7135" s="20" t="n">
        <x:v>1</x:v>
      </x:c>
      <x:c r="H7135" s="12" t="str">
        <x:v>Campus/portfolio roster; individual building occupancy unverified</x:v>
      </x:c>
      <x:c r="I7135" s="12" t="str">
        <x:v>Large enterprise</x:v>
      </x:c>
      <x:c r="J7135" s="12" t="str">
        <x:v>Engineering &amp; manufacturing</x:v>
      </x:c>
      <x:c r="K7135" s="2" t="str">
        <x:v>PARTNER-M051</x:v>
      </x:c>
    </x:row>
    <x:row r="7136" ht="46" customHeight="1">
      <x:c r="A7136" s="2" t="str">
        <x:v>TEN-92CD56DC627C</x:v>
      </x:c>
      <x:c r="B7136" s="12" t="str">
        <x:v>Mast Global Business Services India Pvt. Ltd</x:v>
      </x:c>
      <x:c r="C7136" s="12" t="str">
        <x:v>CORP-0469</x:v>
      </x:c>
      <x:c r="D7136" s="12" t="str">
        <x:v>Bengaluru</x:v>
      </x:c>
      <x:c r="E7136" s="12" t="str">
        <x:v>Manyata Tech park - Mfar</x:v>
      </x:c>
      <x:c r="F7136" s="12" t="str">
        <x:v>55 inch</x:v>
      </x:c>
      <x:c r="G7136" s="20" t="n">
        <x:v>1</x:v>
      </x:c>
      <x:c r="H7136" s="12" t="str">
        <x:v>Campus/portfolio roster; individual building occupancy unverified</x:v>
      </x:c>
      <x:c r="I7136" s="12" t="str">
        <x:v>Mixed business audience</x:v>
      </x:c>
      <x:c r="J7136" s="12" t="str">
        <x:v>Unresolved</x:v>
      </x:c>
      <x:c r="K7136" s="2" t="str">
        <x:v>PARTNER-M051</x:v>
      </x:c>
    </x:row>
    <x:row r="7137" ht="46" customHeight="1">
      <x:c r="A7137" s="2" t="str">
        <x:v>TEN-955D5077F546</x:v>
      </x:c>
      <x:c r="B7137" s="12" t="str">
        <x:v>Atlas Copco</x:v>
      </x:c>
      <x:c r="C7137" s="12" t="str">
        <x:v>CORP-0469</x:v>
      </x:c>
      <x:c r="D7137" s="12" t="str">
        <x:v>Bengaluru</x:v>
      </x:c>
      <x:c r="E7137" s="12" t="str">
        <x:v>Manyata Tech park - Mfar</x:v>
      </x:c>
      <x:c r="F7137" s="12" t="str">
        <x:v>55 inch</x:v>
      </x:c>
      <x:c r="G7137" s="20" t="n">
        <x:v>1</x:v>
      </x:c>
      <x:c r="H7137" s="12" t="str">
        <x:v>Campus/portfolio roster; individual building occupancy unverified</x:v>
      </x:c>
      <x:c r="I7137" s="12" t="str">
        <x:v>Mixed business audience</x:v>
      </x:c>
      <x:c r="J7137" s="12" t="str">
        <x:v>Engineering &amp; manufacturing</x:v>
      </x:c>
      <x:c r="K7137" s="2" t="str">
        <x:v>PARTNER-M051</x:v>
      </x:c>
    </x:row>
    <x:row r="7138" ht="46" customHeight="1">
      <x:c r="A7138" s="2" t="str">
        <x:v>TEN-957870226159</x:v>
      </x:c>
      <x:c r="B7138" s="12" t="str">
        <x:v>NXP Semiconductors</x:v>
      </x:c>
      <x:c r="C7138" s="12" t="str">
        <x:v>CORP-0469</x:v>
      </x:c>
      <x:c r="D7138" s="12" t="str">
        <x:v>Bengaluru</x:v>
      </x:c>
      <x:c r="E7138" s="12" t="str">
        <x:v>Manyata Tech park - Mfar</x:v>
      </x:c>
      <x:c r="F7138" s="12" t="str">
        <x:v>55 inch</x:v>
      </x:c>
      <x:c r="G7138" s="20" t="n">
        <x:v>1</x:v>
      </x:c>
      <x:c r="H7138" s="12" t="str">
        <x:v>Campus/portfolio roster; individual building occupancy unverified</x:v>
      </x:c>
      <x:c r="I7138" s="12" t="str">
        <x:v>Mixed business audience</x:v>
      </x:c>
      <x:c r="J7138" s="12" t="str">
        <x:v>Engineering &amp; manufacturing</x:v>
      </x:c>
      <x:c r="K7138" s="2" t="str">
        <x:v>PARTNER-M051</x:v>
      </x:c>
    </x:row>
    <x:row r="7139" ht="46" customHeight="1">
      <x:c r="A7139" s="2" t="str">
        <x:v>TEN-9891CBD98729</x:v>
      </x:c>
      <x:c r="B7139" s="12" t="str">
        <x:v>Northern Trust</x:v>
      </x:c>
      <x:c r="C7139" s="12" t="str">
        <x:v>CORP-0469</x:v>
      </x:c>
      <x:c r="D7139" s="12" t="str">
        <x:v>Bengaluru</x:v>
      </x:c>
      <x:c r="E7139" s="12" t="str">
        <x:v>Manyata Tech park - Mfar</x:v>
      </x:c>
      <x:c r="F7139" s="12" t="str">
        <x:v>55 inch</x:v>
      </x:c>
      <x:c r="G7139" s="20" t="n">
        <x:v>1</x:v>
      </x:c>
      <x:c r="H7139" s="12" t="str">
        <x:v>Campus/portfolio roster; individual building occupancy unverified</x:v>
      </x:c>
      <x:c r="I7139" s="12" t="str">
        <x:v>Large enterprise</x:v>
      </x:c>
      <x:c r="J7139" s="12" t="str">
        <x:v>Finance &amp; insurance</x:v>
      </x:c>
      <x:c r="K7139" s="2" t="str">
        <x:v>PARTNER-M051</x:v>
      </x:c>
    </x:row>
    <x:row r="7140" ht="46" customHeight="1">
      <x:c r="A7140" s="2" t="str">
        <x:v>TEN-9FBF261B62C1</x:v>
      </x:c>
      <x:c r="B7140" s="12" t="str">
        <x:v>Microsoft</x:v>
      </x:c>
      <x:c r="C7140" s="12" t="str">
        <x:v>CORP-0469</x:v>
      </x:c>
      <x:c r="D7140" s="12" t="str">
        <x:v>Bengaluru</x:v>
      </x:c>
      <x:c r="E7140" s="12" t="str">
        <x:v>Manyata Tech park - Mfar</x:v>
      </x:c>
      <x:c r="F7140" s="12" t="str">
        <x:v>55 inch</x:v>
      </x:c>
      <x:c r="G7140" s="20" t="n">
        <x:v>1</x:v>
      </x:c>
      <x:c r="H7140" s="12" t="str">
        <x:v>Campus/portfolio roster; individual building occupancy unverified</x:v>
      </x:c>
      <x:c r="I7140" s="12" t="str">
        <x:v>Large enterprise</x:v>
      </x:c>
      <x:c r="J7140" s="12" t="str">
        <x:v>IT &amp; digital</x:v>
      </x:c>
      <x:c r="K7140" s="2" t="str">
        <x:v>PARTNER-M051</x:v>
      </x:c>
    </x:row>
    <x:row r="7141" ht="46" customHeight="1">
      <x:c r="A7141" s="2" t="str">
        <x:v>TEN-A1A5873B72DA</x:v>
      </x:c>
      <x:c r="B7141" s="12" t="str">
        <x:v>Colt Technologies</x:v>
      </x:c>
      <x:c r="C7141" s="12" t="str">
        <x:v>CORP-0469</x:v>
      </x:c>
      <x:c r="D7141" s="12" t="str">
        <x:v>Bengaluru</x:v>
      </x:c>
      <x:c r="E7141" s="12" t="str">
        <x:v>Manyata Tech park - Mfar</x:v>
      </x:c>
      <x:c r="F7141" s="12" t="str">
        <x:v>55 inch</x:v>
      </x:c>
      <x:c r="G7141" s="20" t="n">
        <x:v>1</x:v>
      </x:c>
      <x:c r="H7141" s="12" t="str">
        <x:v>Campus/portfolio roster; individual building occupancy unverified</x:v>
      </x:c>
      <x:c r="I7141" s="12" t="str">
        <x:v>Mixed business audience</x:v>
      </x:c>
      <x:c r="J7141" s="12" t="str">
        <x:v>IT &amp; digital</x:v>
      </x:c>
      <x:c r="K7141" s="2" t="str">
        <x:v>PARTNER-M051</x:v>
      </x:c>
    </x:row>
    <x:row r="7142" ht="46" customHeight="1">
      <x:c r="A7142" s="2" t="str">
        <x:v>TEN-A9F65BF11B3A</x:v>
      </x:c>
      <x:c r="B7142" s="12" t="str">
        <x:v>JCPenney</x:v>
      </x:c>
      <x:c r="C7142" s="12" t="str">
        <x:v>CORP-0469</x:v>
      </x:c>
      <x:c r="D7142" s="12" t="str">
        <x:v>Bengaluru</x:v>
      </x:c>
      <x:c r="E7142" s="12" t="str">
        <x:v>Manyata Tech park - Mfar</x:v>
      </x:c>
      <x:c r="F7142" s="12" t="str">
        <x:v>55 inch</x:v>
      </x:c>
      <x:c r="G7142" s="20" t="n">
        <x:v>1</x:v>
      </x:c>
      <x:c r="H7142" s="12" t="str">
        <x:v>Campus/portfolio roster; individual building occupancy unverified</x:v>
      </x:c>
      <x:c r="I7142" s="12" t="str">
        <x:v>Large enterprise</x:v>
      </x:c>
      <x:c r="J7142" s="12" t="str">
        <x:v>Trade, consumer &amp; logistics</x:v>
      </x:c>
      <x:c r="K7142" s="2" t="str">
        <x:v>PARTNER-M051</x:v>
      </x:c>
    </x:row>
    <x:row r="7143" ht="46" customHeight="1">
      <x:c r="A7143" s="2" t="str">
        <x:v>TEN-B19CA7C8E2F1</x:v>
      </x:c>
      <x:c r="B7143" s="12" t="str">
        <x:v>Rolls-Royce</x:v>
      </x:c>
      <x:c r="C7143" s="12" t="str">
        <x:v>CORP-0469</x:v>
      </x:c>
      <x:c r="D7143" s="12" t="str">
        <x:v>Bengaluru</x:v>
      </x:c>
      <x:c r="E7143" s="12" t="str">
        <x:v>Manyata Tech park - Mfar</x:v>
      </x:c>
      <x:c r="F7143" s="12" t="str">
        <x:v>55 inch</x:v>
      </x:c>
      <x:c r="G7143" s="20" t="n">
        <x:v>1</x:v>
      </x:c>
      <x:c r="H7143" s="12" t="str">
        <x:v>Campus/portfolio roster; individual building occupancy unverified</x:v>
      </x:c>
      <x:c r="I7143" s="12" t="str">
        <x:v>Large enterprise</x:v>
      </x:c>
      <x:c r="J7143" s="12" t="str">
        <x:v>Engineering &amp; manufacturing</x:v>
      </x:c>
      <x:c r="K7143" s="2" t="str">
        <x:v>PARTNER-M051</x:v>
      </x:c>
    </x:row>
    <x:row r="7144" ht="46" customHeight="1">
      <x:c r="A7144" s="2" t="str">
        <x:v>TEN-B477D484C9C9</x:v>
      </x:c>
      <x:c r="B7144" s="12" t="str">
        <x:v>Flightraja Travels (Via.com)</x:v>
      </x:c>
      <x:c r="C7144" s="12" t="str">
        <x:v>CORP-0469</x:v>
      </x:c>
      <x:c r="D7144" s="12" t="str">
        <x:v>Bengaluru</x:v>
      </x:c>
      <x:c r="E7144" s="12" t="str">
        <x:v>Manyata Tech park - Mfar</x:v>
      </x:c>
      <x:c r="F7144" s="12" t="str">
        <x:v>55 inch</x:v>
      </x:c>
      <x:c r="G7144" s="20" t="n">
        <x:v>1</x:v>
      </x:c>
      <x:c r="H7144" s="12" t="str">
        <x:v>Campus/portfolio roster; individual building occupancy unverified</x:v>
      </x:c>
      <x:c r="I7144" s="12" t="str">
        <x:v>Mixed business audience</x:v>
      </x:c>
      <x:c r="J7144" s="12" t="str">
        <x:v>Trade, consumer &amp; logistics</x:v>
      </x:c>
      <x:c r="K7144" s="2" t="str">
        <x:v>PARTNER-M051</x:v>
      </x:c>
    </x:row>
    <x:row r="7145" ht="46" customHeight="1">
      <x:c r="A7145" s="2" t="str">
        <x:v>TEN-B7E189530240</x:v>
      </x:c>
      <x:c r="B7145" s="12" t="str">
        <x:v>Monsanto Holdings</x:v>
      </x:c>
      <x:c r="C7145" s="12" t="str">
        <x:v>CORP-0469</x:v>
      </x:c>
      <x:c r="D7145" s="12" t="str">
        <x:v>Bengaluru</x:v>
      </x:c>
      <x:c r="E7145" s="12" t="str">
        <x:v>Manyata Tech park - Mfar</x:v>
      </x:c>
      <x:c r="F7145" s="12" t="str">
        <x:v>55 inch</x:v>
      </x:c>
      <x:c r="G7145" s="20" t="n">
        <x:v>1</x:v>
      </x:c>
      <x:c r="H7145" s="12" t="str">
        <x:v>Campus/portfolio roster; individual building occupancy unverified</x:v>
      </x:c>
      <x:c r="I7145" s="12" t="str">
        <x:v>Mixed business audience</x:v>
      </x:c>
      <x:c r="J7145" s="12" t="str">
        <x:v>Engineering &amp; manufacturing</x:v>
      </x:c>
      <x:c r="K7145" s="2" t="str">
        <x:v>PARTNER-M051</x:v>
      </x:c>
    </x:row>
    <x:row r="7146" ht="46" customHeight="1">
      <x:c r="A7146" s="2" t="str">
        <x:v>TEN-BA6AE2780CD4</x:v>
      </x:c>
      <x:c r="B7146" s="12" t="str">
        <x:v>Concentrix</x:v>
      </x:c>
      <x:c r="C7146" s="12" t="str">
        <x:v>CORP-0469</x:v>
      </x:c>
      <x:c r="D7146" s="12" t="str">
        <x:v>Bengaluru</x:v>
      </x:c>
      <x:c r="E7146" s="12" t="str">
        <x:v>Manyata Tech park - Mfar</x:v>
      </x:c>
      <x:c r="F7146" s="12" t="str">
        <x:v>55 inch</x:v>
      </x:c>
      <x:c r="G7146" s="20" t="n">
        <x:v>1</x:v>
      </x:c>
      <x:c r="H7146" s="12" t="str">
        <x:v>Campus/portfolio roster; individual building occupancy unverified</x:v>
      </x:c>
      <x:c r="I7146" s="12" t="str">
        <x:v>Large enterprise</x:v>
      </x:c>
      <x:c r="J7146" s="12" t="str">
        <x:v>IT &amp; digital</x:v>
      </x:c>
      <x:c r="K7146" s="2" t="str">
        <x:v>PARTNER-M051</x:v>
      </x:c>
    </x:row>
    <x:row r="7147" ht="46" customHeight="1">
      <x:c r="A7147" s="2" t="str">
        <x:v>TEN-C80EF940CC50</x:v>
      </x:c>
      <x:c r="B7147" s="12" t="str">
        <x:v>Nokia Networks (Earlier known as NSN or Nokia Siemens Networks)</x:v>
      </x:c>
      <x:c r="C7147" s="12" t="str">
        <x:v>CORP-0469</x:v>
      </x:c>
      <x:c r="D7147" s="12" t="str">
        <x:v>Bengaluru</x:v>
      </x:c>
      <x:c r="E7147" s="12" t="str">
        <x:v>Manyata Tech park - Mfar</x:v>
      </x:c>
      <x:c r="F7147" s="12" t="str">
        <x:v>55 inch</x:v>
      </x:c>
      <x:c r="G7147" s="20" t="n">
        <x:v>1</x:v>
      </x:c>
      <x:c r="H7147" s="12" t="str">
        <x:v>Campus/portfolio roster; individual building occupancy unverified</x:v>
      </x:c>
      <x:c r="I7147" s="12" t="str">
        <x:v>Large enterprise</x:v>
      </x:c>
      <x:c r="J7147" s="12" t="str">
        <x:v>IT &amp; digital</x:v>
      </x:c>
      <x:c r="K7147" s="2" t="str">
        <x:v>PARTNER-M051</x:v>
      </x:c>
    </x:row>
    <x:row r="7148" ht="46" customHeight="1">
      <x:c r="A7148" s="2" t="str">
        <x:v>TEN-C9DBDD187EBA</x:v>
      </x:c>
      <x:c r="B7148" s="12" t="str">
        <x:v>Redknee</x:v>
      </x:c>
      <x:c r="C7148" s="12" t="str">
        <x:v>CORP-0469</x:v>
      </x:c>
      <x:c r="D7148" s="12" t="str">
        <x:v>Bengaluru</x:v>
      </x:c>
      <x:c r="E7148" s="12" t="str">
        <x:v>Manyata Tech park - Mfar</x:v>
      </x:c>
      <x:c r="F7148" s="12" t="str">
        <x:v>55 inch</x:v>
      </x:c>
      <x:c r="G7148" s="20" t="n">
        <x:v>1</x:v>
      </x:c>
      <x:c r="H7148" s="12" t="str">
        <x:v>Campus/portfolio roster; individual building occupancy unverified</x:v>
      </x:c>
      <x:c r="I7148" s="12" t="str">
        <x:v>Mixed business audience</x:v>
      </x:c>
      <x:c r="J7148" s="12" t="str">
        <x:v>IT &amp; digital</x:v>
      </x:c>
      <x:c r="K7148" s="2" t="str">
        <x:v>PARTNER-M051</x:v>
      </x:c>
    </x:row>
    <x:row r="7149" ht="46" customHeight="1">
      <x:c r="A7149" s="2" t="str">
        <x:v>TEN-CAD973567458</x:v>
      </x:c>
      <x:c r="B7149" s="12" t="str">
        <x:v>Andritz AG</x:v>
      </x:c>
      <x:c r="C7149" s="12" t="str">
        <x:v>CORP-0469</x:v>
      </x:c>
      <x:c r="D7149" s="12" t="str">
        <x:v>Bengaluru</x:v>
      </x:c>
      <x:c r="E7149" s="12" t="str">
        <x:v>Manyata Tech park - Mfar</x:v>
      </x:c>
      <x:c r="F7149" s="12" t="str">
        <x:v>55 inch</x:v>
      </x:c>
      <x:c r="G7149" s="20" t="n">
        <x:v>1</x:v>
      </x:c>
      <x:c r="H7149" s="12" t="str">
        <x:v>Campus/portfolio roster; individual building occupancy unverified</x:v>
      </x:c>
      <x:c r="I7149" s="12" t="str">
        <x:v>Mixed business audience</x:v>
      </x:c>
      <x:c r="J7149" s="12" t="str">
        <x:v>Engineering &amp; manufacturing</x:v>
      </x:c>
      <x:c r="K7149" s="2" t="str">
        <x:v>PARTNER-M051</x:v>
      </x:c>
    </x:row>
    <x:row r="7150" ht="46" customHeight="1">
      <x:c r="A7150" s="2" t="str">
        <x:v>TEN-D3D424C3C181</x:v>
      </x:c>
      <x:c r="B7150" s="12" t="str">
        <x:v>IBM India Pvt. Ltd</x:v>
      </x:c>
      <x:c r="C7150" s="12" t="str">
        <x:v>CORP-0469</x:v>
      </x:c>
      <x:c r="D7150" s="12" t="str">
        <x:v>Bengaluru</x:v>
      </x:c>
      <x:c r="E7150" s="12" t="str">
        <x:v>Manyata Tech park - Mfar</x:v>
      </x:c>
      <x:c r="F7150" s="12" t="str">
        <x:v>55 inch</x:v>
      </x:c>
      <x:c r="G7150" s="20" t="n">
        <x:v>1</x:v>
      </x:c>
      <x:c r="H7150" s="12" t="str">
        <x:v>Campus/portfolio roster; individual building occupancy unverified</x:v>
      </x:c>
      <x:c r="I7150" s="12" t="str">
        <x:v>Large enterprise</x:v>
      </x:c>
      <x:c r="J7150" s="12" t="str">
        <x:v>IT &amp; digital</x:v>
      </x:c>
      <x:c r="K7150" s="2" t="str">
        <x:v>PARTNER-M051</x:v>
      </x:c>
    </x:row>
    <x:row r="7151" ht="46" customHeight="1">
      <x:c r="A7151" s="2" t="str">
        <x:v>TEN-DD4CB9CF52F0</x:v>
      </x:c>
      <x:c r="B7151" s="12" t="str">
        <x:v>Philips</x:v>
      </x:c>
      <x:c r="C7151" s="12" t="str">
        <x:v>CORP-0469</x:v>
      </x:c>
      <x:c r="D7151" s="12" t="str">
        <x:v>Bengaluru</x:v>
      </x:c>
      <x:c r="E7151" s="12" t="str">
        <x:v>Manyata Tech park - Mfar</x:v>
      </x:c>
      <x:c r="F7151" s="12" t="str">
        <x:v>55 inch</x:v>
      </x:c>
      <x:c r="G7151" s="20" t="n">
        <x:v>1</x:v>
      </x:c>
      <x:c r="H7151" s="12" t="str">
        <x:v>Campus/portfolio roster; individual building occupancy unverified</x:v>
      </x:c>
      <x:c r="I7151" s="12" t="str">
        <x:v>Large enterprise</x:v>
      </x:c>
      <x:c r="J7151" s="12" t="str">
        <x:v>Engineering &amp; manufacturing</x:v>
      </x:c>
      <x:c r="K7151" s="2" t="str">
        <x:v>PARTNER-M051</x:v>
      </x:c>
    </x:row>
    <x:row r="7152" ht="46" customHeight="1">
      <x:c r="A7152" s="2" t="str">
        <x:v>TEN-DF1BD710E8BF</x:v>
      </x:c>
      <x:c r="B7152" s="12" t="str">
        <x:v>Mitel (Earlier known as Mavenir Systems)</x:v>
      </x:c>
      <x:c r="C7152" s="12" t="str">
        <x:v>CORP-0469</x:v>
      </x:c>
      <x:c r="D7152" s="12" t="str">
        <x:v>Bengaluru</x:v>
      </x:c>
      <x:c r="E7152" s="12" t="str">
        <x:v>Manyata Tech park - Mfar</x:v>
      </x:c>
      <x:c r="F7152" s="12" t="str">
        <x:v>55 inch</x:v>
      </x:c>
      <x:c r="G7152" s="20" t="n">
        <x:v>1</x:v>
      </x:c>
      <x:c r="H7152" s="12" t="str">
        <x:v>Campus/portfolio roster; individual building occupancy unverified</x:v>
      </x:c>
      <x:c r="I7152" s="12" t="str">
        <x:v>Mixed business audience</x:v>
      </x:c>
      <x:c r="J7152" s="12" t="str">
        <x:v>IT &amp; digital</x:v>
      </x:c>
      <x:c r="K7152" s="2" t="str">
        <x:v>PARTNER-M051</x:v>
      </x:c>
    </x:row>
    <x:row r="7153" ht="46" customHeight="1">
      <x:c r="A7153" s="2" t="str">
        <x:v>TEN-E7F9F6E5FC3F</x:v>
      </x:c>
      <x:c r="B7153" s="12" t="str">
        <x:v>Aditi Technologies</x:v>
      </x:c>
      <x:c r="C7153" s="12" t="str">
        <x:v>CORP-0469</x:v>
      </x:c>
      <x:c r="D7153" s="12" t="str">
        <x:v>Bengaluru</x:v>
      </x:c>
      <x:c r="E7153" s="12" t="str">
        <x:v>Manyata Tech park - Mfar</x:v>
      </x:c>
      <x:c r="F7153" s="12" t="str">
        <x:v>55 inch</x:v>
      </x:c>
      <x:c r="G7153" s="20" t="n">
        <x:v>1</x:v>
      </x:c>
      <x:c r="H7153" s="12" t="str">
        <x:v>Campus/portfolio roster; individual building occupancy unverified</x:v>
      </x:c>
      <x:c r="I7153" s="12" t="str">
        <x:v>Mixed business audience</x:v>
      </x:c>
      <x:c r="J7153" s="12" t="str">
        <x:v>IT &amp; digital</x:v>
      </x:c>
      <x:c r="K7153" s="2" t="str">
        <x:v>PARTNER-M051</x:v>
      </x:c>
    </x:row>
    <x:row r="7154" ht="46" customHeight="1">
      <x:c r="A7154" s="2" t="str">
        <x:v>TEN-EA10CA8A1008</x:v>
      </x:c>
      <x:c r="B7154" s="12" t="str">
        <x:v>Lowe's Services India Pvt. Ltd</x:v>
      </x:c>
      <x:c r="C7154" s="12" t="str">
        <x:v>CORP-0469</x:v>
      </x:c>
      <x:c r="D7154" s="12" t="str">
        <x:v>Bengaluru</x:v>
      </x:c>
      <x:c r="E7154" s="12" t="str">
        <x:v>Manyata Tech park - Mfar</x:v>
      </x:c>
      <x:c r="F7154" s="12" t="str">
        <x:v>55 inch</x:v>
      </x:c>
      <x:c r="G7154" s="20" t="n">
        <x:v>1</x:v>
      </x:c>
      <x:c r="H7154" s="12" t="str">
        <x:v>Campus/portfolio roster; individual building occupancy unverified</x:v>
      </x:c>
      <x:c r="I7154" s="12" t="str">
        <x:v>Mixed business audience</x:v>
      </x:c>
      <x:c r="J7154" s="12" t="str">
        <x:v>Trade, consumer &amp; logistics</x:v>
      </x:c>
      <x:c r="K7154" s="2" t="str">
        <x:v>PARTNER-M051</x:v>
      </x:c>
    </x:row>
    <x:row r="7155" ht="46" customHeight="1">
      <x:c r="A7155" s="2" t="str">
        <x:v>TEN-EA30894BD53C</x:v>
      </x:c>
      <x:c r="B7155" s="12" t="str">
        <x:v>Alcatel-Lucent</x:v>
      </x:c>
      <x:c r="C7155" s="12" t="str">
        <x:v>CORP-0469</x:v>
      </x:c>
      <x:c r="D7155" s="12" t="str">
        <x:v>Bengaluru</x:v>
      </x:c>
      <x:c r="E7155" s="12" t="str">
        <x:v>Manyata Tech park - Mfar</x:v>
      </x:c>
      <x:c r="F7155" s="12" t="str">
        <x:v>55 inch</x:v>
      </x:c>
      <x:c r="G7155" s="20" t="n">
        <x:v>1</x:v>
      </x:c>
      <x:c r="H7155" s="12" t="str">
        <x:v>Campus/portfolio roster; individual building occupancy unverified</x:v>
      </x:c>
      <x:c r="I7155" s="12" t="str">
        <x:v>Mixed business audience</x:v>
      </x:c>
      <x:c r="J7155" s="12" t="str">
        <x:v>IT &amp; digital</x:v>
      </x:c>
      <x:c r="K7155" s="2" t="str">
        <x:v>PARTNER-M051</x:v>
      </x:c>
    </x:row>
    <x:row r="7156" ht="46" customHeight="1">
      <x:c r="A7156" s="2" t="str">
        <x:v>TEN-EB15B1B985F7</x:v>
      </x:c>
      <x:c r="B7156" s="12" t="str">
        <x:v>Network International</x:v>
      </x:c>
      <x:c r="C7156" s="12" t="str">
        <x:v>CORP-0469</x:v>
      </x:c>
      <x:c r="D7156" s="12" t="str">
        <x:v>Bengaluru</x:v>
      </x:c>
      <x:c r="E7156" s="12" t="str">
        <x:v>Manyata Tech park - Mfar</x:v>
      </x:c>
      <x:c r="F7156" s="12" t="str">
        <x:v>55 inch</x:v>
      </x:c>
      <x:c r="G7156" s="20" t="n">
        <x:v>1</x:v>
      </x:c>
      <x:c r="H7156" s="12" t="str">
        <x:v>Campus/portfolio roster; individual building occupancy unverified</x:v>
      </x:c>
      <x:c r="I7156" s="12" t="str">
        <x:v>Mixed business audience</x:v>
      </x:c>
      <x:c r="J7156" s="12" t="str">
        <x:v>Finance &amp; insurance</x:v>
      </x:c>
      <x:c r="K7156" s="2" t="str">
        <x:v>PARTNER-M051</x:v>
      </x:c>
    </x:row>
    <x:row r="7157" ht="46" customHeight="1">
      <x:c r="A7157" s="2" t="str">
        <x:v>TEN-F611BEAB4643</x:v>
      </x:c>
      <x:c r="B7157" s="12" t="str">
        <x:v>Fidelity</x:v>
      </x:c>
      <x:c r="C7157" s="12" t="str">
        <x:v>CORP-0469</x:v>
      </x:c>
      <x:c r="D7157" s="12" t="str">
        <x:v>Bengaluru</x:v>
      </x:c>
      <x:c r="E7157" s="12" t="str">
        <x:v>Manyata Tech park - Mfar</x:v>
      </x:c>
      <x:c r="F7157" s="12" t="str">
        <x:v>55 inch</x:v>
      </x:c>
      <x:c r="G7157" s="20" t="n">
        <x:v>1</x:v>
      </x:c>
      <x:c r="H7157" s="12" t="str">
        <x:v>Campus/portfolio roster; individual building occupancy unverified</x:v>
      </x:c>
      <x:c r="I7157" s="12" t="str">
        <x:v>Mixed business audience</x:v>
      </x:c>
      <x:c r="J7157" s="12" t="str">
        <x:v>Finance &amp; insurance</x:v>
      </x:c>
      <x:c r="K7157" s="2" t="str">
        <x:v>PARTNER-M051</x:v>
      </x:c>
    </x:row>
    <x:row r="7158" ht="46" customHeight="1">
      <x:c r="A7158" s="2" t="str">
        <x:v>TEN-FB68F107F674</x:v>
      </x:c>
      <x:c r="B7158" s="12" t="str">
        <x:v>Tambora Systems India Pvt. Ltd</x:v>
      </x:c>
      <x:c r="C7158" s="12" t="str">
        <x:v>CORP-0469</x:v>
      </x:c>
      <x:c r="D7158" s="12" t="str">
        <x:v>Bengaluru</x:v>
      </x:c>
      <x:c r="E7158" s="12" t="str">
        <x:v>Manyata Tech park - Mfar</x:v>
      </x:c>
      <x:c r="F7158" s="12" t="str">
        <x:v>55 inch</x:v>
      </x:c>
      <x:c r="G7158" s="20" t="n">
        <x:v>1</x:v>
      </x:c>
      <x:c r="H7158" s="12" t="str">
        <x:v>Campus/portfolio roster; individual building occupancy unverified</x:v>
      </x:c>
      <x:c r="I7158" s="12" t="str">
        <x:v>Mixed business audience</x:v>
      </x:c>
      <x:c r="J7158" s="12" t="str">
        <x:v>Unresolved</x:v>
      </x:c>
      <x:c r="K7158" s="2" t="str">
        <x:v>PARTNER-M051</x:v>
      </x:c>
    </x:row>
    <x:row r="7159" ht="46" customHeight="1">
      <x:c r="A7159" s="2" t="str">
        <x:v>TEN-0006A53C9A96</x:v>
      </x:c>
      <x:c r="B7159" s="12" t="str">
        <x:v>Justdial</x:v>
      </x:c>
      <x:c r="C7159" s="12" t="str">
        <x:v>CORP-0470</x:v>
      </x:c>
      <x:c r="D7159" s="12" t="str">
        <x:v>Bengaluru</x:v>
      </x:c>
      <x:c r="E7159" s="12" t="str">
        <x:v>Manyata Tech park - Mfar</x:v>
      </x:c>
      <x:c r="F7159" s="12" t="str">
        <x:v>55 inch</x:v>
      </x:c>
      <x:c r="G7159" s="20" t="n">
        <x:v>1</x:v>
      </x:c>
      <x:c r="H7159" s="12" t="str">
        <x:v>Campus/portfolio roster; individual building occupancy unverified</x:v>
      </x:c>
      <x:c r="I7159" s="12" t="str">
        <x:v>Mixed business audience</x:v>
      </x:c>
      <x:c r="J7159" s="12" t="str">
        <x:v>Trade, consumer &amp; logistics</x:v>
      </x:c>
      <x:c r="K7159" s="2" t="str">
        <x:v>PARTNER-M051</x:v>
      </x:c>
    </x:row>
    <x:row r="7160" ht="46" customHeight="1">
      <x:c r="A7160" s="2" t="str">
        <x:v>TEN-0A68AD38CEB3</x:v>
      </x:c>
      <x:c r="B7160" s="12" t="str">
        <x:v>Indegene Lifesystems</x:v>
      </x:c>
      <x:c r="C7160" s="12" t="str">
        <x:v>CORP-0470</x:v>
      </x:c>
      <x:c r="D7160" s="12" t="str">
        <x:v>Bengaluru</x:v>
      </x:c>
      <x:c r="E7160" s="12" t="str">
        <x:v>Manyata Tech park - Mfar</x:v>
      </x:c>
      <x:c r="F7160" s="12" t="str">
        <x:v>55 inch</x:v>
      </x:c>
      <x:c r="G7160" s="20" t="n">
        <x:v>1</x:v>
      </x:c>
      <x:c r="H7160" s="12" t="str">
        <x:v>Campus/portfolio roster; individual building occupancy unverified</x:v>
      </x:c>
      <x:c r="I7160" s="12" t="str">
        <x:v>Mixed business audience</x:v>
      </x:c>
      <x:c r="J7160" s="12" t="str">
        <x:v>Healthcare &amp; life sciences</x:v>
      </x:c>
      <x:c r="K7160" s="2" t="str">
        <x:v>PARTNER-M051</x:v>
      </x:c>
    </x:row>
    <x:row r="7161" ht="46" customHeight="1">
      <x:c r="A7161" s="2" t="str">
        <x:v>TEN-0C16B6E2E745</x:v>
      </x:c>
      <x:c r="B7161" s="12" t="str">
        <x:v>Target Corporation India</x:v>
      </x:c>
      <x:c r="C7161" s="12" t="str">
        <x:v>CORP-0470</x:v>
      </x:c>
      <x:c r="D7161" s="12" t="str">
        <x:v>Bengaluru</x:v>
      </x:c>
      <x:c r="E7161" s="12" t="str">
        <x:v>Manyata Tech park - Mfar</x:v>
      </x:c>
      <x:c r="F7161" s="12" t="str">
        <x:v>55 inch</x:v>
      </x:c>
      <x:c r="G7161" s="20" t="n">
        <x:v>1</x:v>
      </x:c>
      <x:c r="H7161" s="12" t="str">
        <x:v>Campus/portfolio roster; individual building occupancy unverified</x:v>
      </x:c>
      <x:c r="I7161" s="12" t="str">
        <x:v>Mixed business audience</x:v>
      </x:c>
      <x:c r="J7161" s="12" t="str">
        <x:v>Trade, consumer &amp; logistics</x:v>
      </x:c>
      <x:c r="K7161" s="2" t="str">
        <x:v>PARTNER-M051</x:v>
      </x:c>
    </x:row>
    <x:row r="7162" ht="46" customHeight="1">
      <x:c r="A7162" s="2" t="str">
        <x:v>TEN-14C4528C15CA</x:v>
      </x:c>
      <x:c r="B7162" s="12" t="str">
        <x:v>NetScout Systems</x:v>
      </x:c>
      <x:c r="C7162" s="12" t="str">
        <x:v>CORP-0470</x:v>
      </x:c>
      <x:c r="D7162" s="12" t="str">
        <x:v>Bengaluru</x:v>
      </x:c>
      <x:c r="E7162" s="12" t="str">
        <x:v>Manyata Tech park - Mfar</x:v>
      </x:c>
      <x:c r="F7162" s="12" t="str">
        <x:v>55 inch</x:v>
      </x:c>
      <x:c r="G7162" s="20" t="n">
        <x:v>1</x:v>
      </x:c>
      <x:c r="H7162" s="12" t="str">
        <x:v>Campus/portfolio roster; individual building occupancy unverified</x:v>
      </x:c>
      <x:c r="I7162" s="12" t="str">
        <x:v>Mixed business audience</x:v>
      </x:c>
      <x:c r="J7162" s="12" t="str">
        <x:v>IT &amp; digital</x:v>
      </x:c>
      <x:c r="K7162" s="2" t="str">
        <x:v>PARTNER-M051</x:v>
      </x:c>
    </x:row>
    <x:row r="7163" ht="46" customHeight="1">
      <x:c r="A7163" s="2" t="str">
        <x:v>TEN-27C9A7B5ECAD</x:v>
      </x:c>
      <x:c r="B7163" s="12" t="str">
        <x:v>SLK Group</x:v>
      </x:c>
      <x:c r="C7163" s="12" t="str">
        <x:v>CORP-0470</x:v>
      </x:c>
      <x:c r="D7163" s="12" t="str">
        <x:v>Bengaluru</x:v>
      </x:c>
      <x:c r="E7163" s="12" t="str">
        <x:v>Manyata Tech park - Mfar</x:v>
      </x:c>
      <x:c r="F7163" s="12" t="str">
        <x:v>55 inch</x:v>
      </x:c>
      <x:c r="G7163" s="20" t="n">
        <x:v>1</x:v>
      </x:c>
      <x:c r="H7163" s="12" t="str">
        <x:v>Campus/portfolio roster; individual building occupancy unverified</x:v>
      </x:c>
      <x:c r="I7163" s="12" t="str">
        <x:v>Mixed business audience</x:v>
      </x:c>
      <x:c r="J7163" s="12" t="str">
        <x:v>IT &amp; digital</x:v>
      </x:c>
      <x:c r="K7163" s="2" t="str">
        <x:v>PARTNER-M051</x:v>
      </x:c>
    </x:row>
    <x:row r="7164" ht="46" customHeight="1">
      <x:c r="A7164" s="2" t="str">
        <x:v>TEN-27D00A6A3558</x:v>
      </x:c>
      <x:c r="B7164" s="12" t="str">
        <x:v>Voonik Technologies Pvt. Ltd</x:v>
      </x:c>
      <x:c r="C7164" s="12" t="str">
        <x:v>CORP-0470</x:v>
      </x:c>
      <x:c r="D7164" s="12" t="str">
        <x:v>Bengaluru</x:v>
      </x:c>
      <x:c r="E7164" s="12" t="str">
        <x:v>Manyata Tech park - Mfar</x:v>
      </x:c>
      <x:c r="F7164" s="12" t="str">
        <x:v>55 inch</x:v>
      </x:c>
      <x:c r="G7164" s="20" t="n">
        <x:v>1</x:v>
      </x:c>
      <x:c r="H7164" s="12" t="str">
        <x:v>Campus/portfolio roster; individual building occupancy unverified</x:v>
      </x:c>
      <x:c r="I7164" s="12" t="str">
        <x:v>Small-scale prospects</x:v>
      </x:c>
      <x:c r="J7164" s="12" t="str">
        <x:v>Trade, consumer &amp; logistics</x:v>
      </x:c>
      <x:c r="K7164" s="2" t="str">
        <x:v>PARTNER-M051</x:v>
      </x:c>
    </x:row>
    <x:row r="7165" ht="46" customHeight="1">
      <x:c r="A7165" s="2" t="str">
        <x:v>TEN-2F85BCE94831</x:v>
      </x:c>
      <x:c r="B7165" s="12" t="str">
        <x:v>Dimension Data India (formerly Data Craft India)</x:v>
      </x:c>
      <x:c r="C7165" s="12" t="str">
        <x:v>CORP-0470</x:v>
      </x:c>
      <x:c r="D7165" s="12" t="str">
        <x:v>Bengaluru</x:v>
      </x:c>
      <x:c r="E7165" s="12" t="str">
        <x:v>Manyata Tech park - Mfar</x:v>
      </x:c>
      <x:c r="F7165" s="12" t="str">
        <x:v>55 inch</x:v>
      </x:c>
      <x:c r="G7165" s="20" t="n">
        <x:v>1</x:v>
      </x:c>
      <x:c r="H7165" s="12" t="str">
        <x:v>Campus/portfolio roster; individual building occupancy unverified</x:v>
      </x:c>
      <x:c r="I7165" s="12" t="str">
        <x:v>Large enterprise</x:v>
      </x:c>
      <x:c r="J7165" s="12" t="str">
        <x:v>IT &amp; digital</x:v>
      </x:c>
      <x:c r="K7165" s="2" t="str">
        <x:v>PARTNER-M051</x:v>
      </x:c>
    </x:row>
    <x:row r="7166" ht="46" customHeight="1">
      <x:c r="A7166" s="2" t="str">
        <x:v>TEN-3821E9F1FF90</x:v>
      </x:c>
      <x:c r="B7166" s="12" t="str">
        <x:v>The Executive Centre</x:v>
      </x:c>
      <x:c r="C7166" s="12" t="str">
        <x:v>CORP-0470</x:v>
      </x:c>
      <x:c r="D7166" s="12" t="str">
        <x:v>Bengaluru</x:v>
      </x:c>
      <x:c r="E7166" s="12" t="str">
        <x:v>Manyata Tech park - Mfar</x:v>
      </x:c>
      <x:c r="F7166" s="12" t="str">
        <x:v>55 inch</x:v>
      </x:c>
      <x:c r="G7166" s="20" t="n">
        <x:v>1</x:v>
      </x:c>
      <x:c r="H7166" s="12" t="str">
        <x:v>Campus/portfolio roster; individual building occupancy unverified</x:v>
      </x:c>
      <x:c r="I7166" s="12" t="str">
        <x:v>Mixed business audience</x:v>
      </x:c>
      <x:c r="J7166" s="12" t="str">
        <x:v>Workspace &amp; property operations</x:v>
      </x:c>
      <x:c r="K7166" s="2" t="str">
        <x:v>PARTNER-M051</x:v>
      </x:c>
    </x:row>
    <x:row r="7167" ht="46" customHeight="1">
      <x:c r="A7167" s="2" t="str">
        <x:v>TEN-42E8408652E5</x:v>
      </x:c>
      <x:c r="B7167" s="12" t="str">
        <x:v>HCL Technologies</x:v>
      </x:c>
      <x:c r="C7167" s="12" t="str">
        <x:v>CORP-0470</x:v>
      </x:c>
      <x:c r="D7167" s="12" t="str">
        <x:v>Bengaluru</x:v>
      </x:c>
      <x:c r="E7167" s="12" t="str">
        <x:v>Manyata Tech park - Mfar</x:v>
      </x:c>
      <x:c r="F7167" s="12" t="str">
        <x:v>55 inch</x:v>
      </x:c>
      <x:c r="G7167" s="20" t="n">
        <x:v>1</x:v>
      </x:c>
      <x:c r="H7167" s="12" t="str">
        <x:v>Campus/portfolio roster; individual building occupancy unverified</x:v>
      </x:c>
      <x:c r="I7167" s="12" t="str">
        <x:v>Large enterprise</x:v>
      </x:c>
      <x:c r="J7167" s="12" t="str">
        <x:v>IT &amp; digital</x:v>
      </x:c>
      <x:c r="K7167" s="2" t="str">
        <x:v>PARTNER-M051</x:v>
      </x:c>
    </x:row>
    <x:row r="7168" ht="46" customHeight="1">
      <x:c r="A7168" s="2" t="str">
        <x:v>TEN-47679F81BEB4</x:v>
      </x:c>
      <x:c r="B7168" s="12" t="str">
        <x:v>GlobalFoundries</x:v>
      </x:c>
      <x:c r="C7168" s="12" t="str">
        <x:v>CORP-0470</x:v>
      </x:c>
      <x:c r="D7168" s="12" t="str">
        <x:v>Bengaluru</x:v>
      </x:c>
      <x:c r="E7168" s="12" t="str">
        <x:v>Manyata Tech park - Mfar</x:v>
      </x:c>
      <x:c r="F7168" s="12" t="str">
        <x:v>55 inch</x:v>
      </x:c>
      <x:c r="G7168" s="20" t="n">
        <x:v>1</x:v>
      </x:c>
      <x:c r="H7168" s="12" t="str">
        <x:v>Campus/portfolio roster; individual building occupancy unverified</x:v>
      </x:c>
      <x:c r="I7168" s="12" t="str">
        <x:v>Mixed business audience</x:v>
      </x:c>
      <x:c r="J7168" s="12" t="str">
        <x:v>Engineering &amp; manufacturing</x:v>
      </x:c>
      <x:c r="K7168" s="2" t="str">
        <x:v>PARTNER-M051</x:v>
      </x:c>
    </x:row>
    <x:row r="7169" ht="46" customHeight="1">
      <x:c r="A7169" s="2" t="str">
        <x:v>TEN-4C75F725A6D4</x:v>
      </x:c>
      <x:c r="B7169" s="12" t="str">
        <x:v>AXA Business Services</x:v>
      </x:c>
      <x:c r="C7169" s="12" t="str">
        <x:v>CORP-0470</x:v>
      </x:c>
      <x:c r="D7169" s="12" t="str">
        <x:v>Bengaluru</x:v>
      </x:c>
      <x:c r="E7169" s="12" t="str">
        <x:v>Manyata Tech park - Mfar</x:v>
      </x:c>
      <x:c r="F7169" s="12" t="str">
        <x:v>55 inch</x:v>
      </x:c>
      <x:c r="G7169" s="20" t="n">
        <x:v>1</x:v>
      </x:c>
      <x:c r="H7169" s="12" t="str">
        <x:v>Campus/portfolio roster; individual building occupancy unverified</x:v>
      </x:c>
      <x:c r="I7169" s="12" t="str">
        <x:v>Large enterprise</x:v>
      </x:c>
      <x:c r="J7169" s="12" t="str">
        <x:v>Finance &amp; insurance</x:v>
      </x:c>
      <x:c r="K7169" s="2" t="str">
        <x:v>PARTNER-M051</x:v>
      </x:c>
    </x:row>
    <x:row r="7170" ht="46" customHeight="1">
      <x:c r="A7170" s="2" t="str">
        <x:v>TEN-4E5B2E7D6119</x:v>
      </x:c>
      <x:c r="B7170" s="12" t="str">
        <x:v>ANZ</x:v>
      </x:c>
      <x:c r="C7170" s="12" t="str">
        <x:v>CORP-0470</x:v>
      </x:c>
      <x:c r="D7170" s="12" t="str">
        <x:v>Bengaluru</x:v>
      </x:c>
      <x:c r="E7170" s="12" t="str">
        <x:v>Manyata Tech park - Mfar</x:v>
      </x:c>
      <x:c r="F7170" s="12" t="str">
        <x:v>55 inch</x:v>
      </x:c>
      <x:c r="G7170" s="20" t="n">
        <x:v>1</x:v>
      </x:c>
      <x:c r="H7170" s="12" t="str">
        <x:v>Campus/portfolio roster; individual building occupancy unverified</x:v>
      </x:c>
      <x:c r="I7170" s="12" t="str">
        <x:v>Mixed business audience</x:v>
      </x:c>
      <x:c r="J7170" s="12" t="str">
        <x:v>Finance &amp; insurance</x:v>
      </x:c>
      <x:c r="K7170" s="2" t="str">
        <x:v>PARTNER-M051</x:v>
      </x:c>
    </x:row>
    <x:row r="7171" ht="46" customHeight="1">
      <x:c r="A7171" s="2" t="str">
        <x:v>TEN-4F8C19DB697F</x:v>
      </x:c>
      <x:c r="B7171" s="12" t="str">
        <x:v>Tata Consultancy Services Ltd</x:v>
      </x:c>
      <x:c r="C7171" s="12" t="str">
        <x:v>CORP-0470</x:v>
      </x:c>
      <x:c r="D7171" s="12" t="str">
        <x:v>Bengaluru</x:v>
      </x:c>
      <x:c r="E7171" s="12" t="str">
        <x:v>Manyata Tech park - Mfar</x:v>
      </x:c>
      <x:c r="F7171" s="12" t="str">
        <x:v>55 inch</x:v>
      </x:c>
      <x:c r="G7171" s="20" t="n">
        <x:v>1</x:v>
      </x:c>
      <x:c r="H7171" s="12" t="str">
        <x:v>Campus/portfolio roster; individual building occupancy unverified</x:v>
      </x:c>
      <x:c r="I7171" s="12" t="str">
        <x:v>Large enterprise</x:v>
      </x:c>
      <x:c r="J7171" s="12" t="str">
        <x:v>IT &amp; digital</x:v>
      </x:c>
      <x:c r="K7171" s="2" t="str">
        <x:v>PARTNER-M051</x:v>
      </x:c>
    </x:row>
    <x:row r="7172" ht="46" customHeight="1">
      <x:c r="A7172" s="2" t="str">
        <x:v>TEN-534AE61AC6A4</x:v>
      </x:c>
      <x:c r="B7172" s="12" t="str">
        <x:v>Stylus Commercial Services</x:v>
      </x:c>
      <x:c r="C7172" s="12" t="str">
        <x:v>CORP-0470</x:v>
      </x:c>
      <x:c r="D7172" s="12" t="str">
        <x:v>Bengaluru</x:v>
      </x:c>
      <x:c r="E7172" s="12" t="str">
        <x:v>Manyata Tech park - Mfar</x:v>
      </x:c>
      <x:c r="F7172" s="12" t="str">
        <x:v>55 inch</x:v>
      </x:c>
      <x:c r="G7172" s="20" t="n">
        <x:v>1</x:v>
      </x:c>
      <x:c r="H7172" s="12" t="str">
        <x:v>Campus/portfolio roster; individual building occupancy unverified</x:v>
      </x:c>
      <x:c r="I7172" s="12" t="str">
        <x:v>Mixed business audience</x:v>
      </x:c>
      <x:c r="J7172" s="12" t="str">
        <x:v>Unresolved</x:v>
      </x:c>
      <x:c r="K7172" s="2" t="str">
        <x:v>PARTNER-M051</x:v>
      </x:c>
    </x:row>
    <x:row r="7173" ht="46" customHeight="1">
      <x:c r="A7173" s="2" t="str">
        <x:v>TEN-53D60BF43086</x:v>
      </x:c>
      <x:c r="B7173" s="12" t="str">
        <x:v>Larsen &amp; Toubro Technology Services</x:v>
      </x:c>
      <x:c r="C7173" s="12" t="str">
        <x:v>CORP-0470</x:v>
      </x:c>
      <x:c r="D7173" s="12" t="str">
        <x:v>Bengaluru</x:v>
      </x:c>
      <x:c r="E7173" s="12" t="str">
        <x:v>Manyata Tech park - Mfar</x:v>
      </x:c>
      <x:c r="F7173" s="12" t="str">
        <x:v>55 inch</x:v>
      </x:c>
      <x:c r="G7173" s="20" t="n">
        <x:v>1</x:v>
      </x:c>
      <x:c r="H7173" s="12" t="str">
        <x:v>Campus/portfolio roster; individual building occupancy unverified</x:v>
      </x:c>
      <x:c r="I7173" s="12" t="str">
        <x:v>Large enterprise</x:v>
      </x:c>
      <x:c r="J7173" s="12" t="str">
        <x:v>Engineering &amp; manufacturing</x:v>
      </x:c>
      <x:c r="K7173" s="2" t="str">
        <x:v>PARTNER-M051</x:v>
      </x:c>
    </x:row>
    <x:row r="7174" ht="46" customHeight="1">
      <x:c r="A7174" s="2" t="str">
        <x:v>TEN-6229AE0860C6</x:v>
      </x:c>
      <x:c r="B7174" s="12" t="str">
        <x:v>AXA Technologies Shared Services</x:v>
      </x:c>
      <x:c r="C7174" s="12" t="str">
        <x:v>CORP-0470</x:v>
      </x:c>
      <x:c r="D7174" s="12" t="str">
        <x:v>Bengaluru</x:v>
      </x:c>
      <x:c r="E7174" s="12" t="str">
        <x:v>Manyata Tech park - Mfar</x:v>
      </x:c>
      <x:c r="F7174" s="12" t="str">
        <x:v>55 inch</x:v>
      </x:c>
      <x:c r="G7174" s="20" t="n">
        <x:v>1</x:v>
      </x:c>
      <x:c r="H7174" s="12" t="str">
        <x:v>Campus/portfolio roster; individual building occupancy unverified</x:v>
      </x:c>
      <x:c r="I7174" s="12" t="str">
        <x:v>Large enterprise</x:v>
      </x:c>
      <x:c r="J7174" s="12" t="str">
        <x:v>IT &amp; digital</x:v>
      </x:c>
      <x:c r="K7174" s="2" t="str">
        <x:v>PARTNER-M051</x:v>
      </x:c>
    </x:row>
    <x:row r="7175" ht="46" customHeight="1">
      <x:c r="A7175" s="2" t="str">
        <x:v>TEN-63E44AFB32E5</x:v>
      </x:c>
      <x:c r="B7175" s="12" t="str">
        <x:v>Gaea Technologies</x:v>
      </x:c>
      <x:c r="C7175" s="12" t="str">
        <x:v>CORP-0470</x:v>
      </x:c>
      <x:c r="D7175" s="12" t="str">
        <x:v>Bengaluru</x:v>
      </x:c>
      <x:c r="E7175" s="12" t="str">
        <x:v>Manyata Tech park - Mfar</x:v>
      </x:c>
      <x:c r="F7175" s="12" t="str">
        <x:v>55 inch</x:v>
      </x:c>
      <x:c r="G7175" s="20" t="n">
        <x:v>1</x:v>
      </x:c>
      <x:c r="H7175" s="12" t="str">
        <x:v>Campus/portfolio roster; individual building occupancy unverified</x:v>
      </x:c>
      <x:c r="I7175" s="12" t="str">
        <x:v>Mixed business audience</x:v>
      </x:c>
      <x:c r="J7175" s="12" t="str">
        <x:v>Unresolved</x:v>
      </x:c>
      <x:c r="K7175" s="2" t="str">
        <x:v>PARTNER-M051</x:v>
      </x:c>
    </x:row>
    <x:row r="7176" ht="46" customHeight="1">
      <x:c r="A7176" s="2" t="str">
        <x:v>TEN-6726DCA55EB6</x:v>
      </x:c>
      <x:c r="B7176" s="12" t="str">
        <x:v>i4 Global Information Technologies Ltd</x:v>
      </x:c>
      <x:c r="C7176" s="12" t="str">
        <x:v>CORP-0470</x:v>
      </x:c>
      <x:c r="D7176" s="12" t="str">
        <x:v>Bengaluru</x:v>
      </x:c>
      <x:c r="E7176" s="12" t="str">
        <x:v>Manyata Tech park - Mfar</x:v>
      </x:c>
      <x:c r="F7176" s="12" t="str">
        <x:v>55 inch</x:v>
      </x:c>
      <x:c r="G7176" s="20" t="n">
        <x:v>1</x:v>
      </x:c>
      <x:c r="H7176" s="12" t="str">
        <x:v>Campus/portfolio roster; individual building occupancy unverified</x:v>
      </x:c>
      <x:c r="I7176" s="12" t="str">
        <x:v>Small-scale prospects</x:v>
      </x:c>
      <x:c r="J7176" s="12" t="str">
        <x:v>IT &amp; digital</x:v>
      </x:c>
      <x:c r="K7176" s="2" t="str">
        <x:v>PARTNER-M051</x:v>
      </x:c>
    </x:row>
    <x:row r="7177" ht="46" customHeight="1">
      <x:c r="A7177" s="2" t="str">
        <x:v>TEN-6BEB399B4462</x:v>
      </x:c>
      <x:c r="B7177" s="12" t="str">
        <x:v>Nuance Communications</x:v>
      </x:c>
      <x:c r="C7177" s="12" t="str">
        <x:v>CORP-0470</x:v>
      </x:c>
      <x:c r="D7177" s="12" t="str">
        <x:v>Bengaluru</x:v>
      </x:c>
      <x:c r="E7177" s="12" t="str">
        <x:v>Manyata Tech park - Mfar</x:v>
      </x:c>
      <x:c r="F7177" s="12" t="str">
        <x:v>55 inch</x:v>
      </x:c>
      <x:c r="G7177" s="20" t="n">
        <x:v>1</x:v>
      </x:c>
      <x:c r="H7177" s="12" t="str">
        <x:v>Campus/portfolio roster; individual building occupancy unverified</x:v>
      </x:c>
      <x:c r="I7177" s="12" t="str">
        <x:v>Mixed business audience</x:v>
      </x:c>
      <x:c r="J7177" s="12" t="str">
        <x:v>IT &amp; digital</x:v>
      </x:c>
      <x:c r="K7177" s="2" t="str">
        <x:v>PARTNER-M051</x:v>
      </x:c>
    </x:row>
    <x:row r="7178" ht="46" customHeight="1">
      <x:c r="A7178" s="2" t="str">
        <x:v>TEN-7A03B2E48987</x:v>
      </x:c>
      <x:c r="B7178" s="12" t="str">
        <x:v>Cerner</x:v>
      </x:c>
      <x:c r="C7178" s="12" t="str">
        <x:v>CORP-0470</x:v>
      </x:c>
      <x:c r="D7178" s="12" t="str">
        <x:v>Bengaluru</x:v>
      </x:c>
      <x:c r="E7178" s="12" t="str">
        <x:v>Manyata Tech park - Mfar</x:v>
      </x:c>
      <x:c r="F7178" s="12" t="str">
        <x:v>55 inch</x:v>
      </x:c>
      <x:c r="G7178" s="20" t="n">
        <x:v>1</x:v>
      </x:c>
      <x:c r="H7178" s="12" t="str">
        <x:v>Campus/portfolio roster; individual building occupancy unverified</x:v>
      </x:c>
      <x:c r="I7178" s="12" t="str">
        <x:v>Mixed business audience</x:v>
      </x:c>
      <x:c r="J7178" s="12" t="str">
        <x:v>Healthcare &amp; life sciences</x:v>
      </x:c>
      <x:c r="K7178" s="2" t="str">
        <x:v>PARTNER-M051</x:v>
      </x:c>
    </x:row>
    <x:row r="7179" ht="46" customHeight="1">
      <x:c r="A7179" s="2" t="str">
        <x:v>TEN-7E1EAB7E3FF2</x:v>
      </x:c>
      <x:c r="B7179" s="12" t="str">
        <x:v>Phani Information Technologies Ltd</x:v>
      </x:c>
      <x:c r="C7179" s="12" t="str">
        <x:v>CORP-0470</x:v>
      </x:c>
      <x:c r="D7179" s="12" t="str">
        <x:v>Bengaluru</x:v>
      </x:c>
      <x:c r="E7179" s="12" t="str">
        <x:v>Manyata Tech park - Mfar</x:v>
      </x:c>
      <x:c r="F7179" s="12" t="str">
        <x:v>55 inch</x:v>
      </x:c>
      <x:c r="G7179" s="20" t="n">
        <x:v>1</x:v>
      </x:c>
      <x:c r="H7179" s="12" t="str">
        <x:v>Campus/portfolio roster; individual building occupancy unverified</x:v>
      </x:c>
      <x:c r="I7179" s="12" t="str">
        <x:v>Small-scale prospects</x:v>
      </x:c>
      <x:c r="J7179" s="12" t="str">
        <x:v>IT &amp; digital</x:v>
      </x:c>
      <x:c r="K7179" s="2" t="str">
        <x:v>PARTNER-M051</x:v>
      </x:c>
    </x:row>
    <x:row r="7180" ht="46" customHeight="1">
      <x:c r="A7180" s="2" t="str">
        <x:v>TEN-7E287D3F75D5</x:v>
      </x:c>
      <x:c r="B7180" s="12" t="str">
        <x:v>Kinapse</x:v>
      </x:c>
      <x:c r="C7180" s="12" t="str">
        <x:v>CORP-0470</x:v>
      </x:c>
      <x:c r="D7180" s="12" t="str">
        <x:v>Bengaluru</x:v>
      </x:c>
      <x:c r="E7180" s="12" t="str">
        <x:v>Manyata Tech park - Mfar</x:v>
      </x:c>
      <x:c r="F7180" s="12" t="str">
        <x:v>55 inch</x:v>
      </x:c>
      <x:c r="G7180" s="20" t="n">
        <x:v>1</x:v>
      </x:c>
      <x:c r="H7180" s="12" t="str">
        <x:v>Campus/portfolio roster; individual building occupancy unverified</x:v>
      </x:c>
      <x:c r="I7180" s="12" t="str">
        <x:v>Mixed business audience</x:v>
      </x:c>
      <x:c r="J7180" s="12" t="str">
        <x:v>Healthcare &amp; life sciences</x:v>
      </x:c>
      <x:c r="K7180" s="2" t="str">
        <x:v>PARTNER-M051</x:v>
      </x:c>
    </x:row>
    <x:row r="7181" ht="46" customHeight="1">
      <x:c r="A7181" s="2" t="str">
        <x:v>TEN-804B19934A31</x:v>
      </x:c>
      <x:c r="B7181" s="12" t="str">
        <x:v>Invecas Inc</x:v>
      </x:c>
      <x:c r="C7181" s="12" t="str">
        <x:v>CORP-0470</x:v>
      </x:c>
      <x:c r="D7181" s="12" t="str">
        <x:v>Bengaluru</x:v>
      </x:c>
      <x:c r="E7181" s="12" t="str">
        <x:v>Manyata Tech park - Mfar</x:v>
      </x:c>
      <x:c r="F7181" s="12" t="str">
        <x:v>55 inch</x:v>
      </x:c>
      <x:c r="G7181" s="20" t="n">
        <x:v>1</x:v>
      </x:c>
      <x:c r="H7181" s="12" t="str">
        <x:v>Campus/portfolio roster; individual building occupancy unverified</x:v>
      </x:c>
      <x:c r="I7181" s="12" t="str">
        <x:v>Medium-scale prospects</x:v>
      </x:c>
      <x:c r="J7181" s="12" t="str">
        <x:v>Engineering &amp; manufacturing</x:v>
      </x:c>
      <x:c r="K7181" s="2" t="str">
        <x:v>PARTNER-M051</x:v>
      </x:c>
    </x:row>
    <x:row r="7182" ht="46" customHeight="1">
      <x:c r="A7182" s="2" t="str">
        <x:v>TEN-86F73DFE7BB6</x:v>
      </x:c>
      <x:c r="B7182" s="12" t="str">
        <x:v>Cognizant</x:v>
      </x:c>
      <x:c r="C7182" s="12" t="str">
        <x:v>CORP-0470</x:v>
      </x:c>
      <x:c r="D7182" s="12" t="str">
        <x:v>Bengaluru</x:v>
      </x:c>
      <x:c r="E7182" s="12" t="str">
        <x:v>Manyata Tech park - Mfar</x:v>
      </x:c>
      <x:c r="F7182" s="12" t="str">
        <x:v>55 inch</x:v>
      </x:c>
      <x:c r="G7182" s="20" t="n">
        <x:v>1</x:v>
      </x:c>
      <x:c r="H7182" s="12" t="str">
        <x:v>Campus/portfolio roster; individual building occupancy unverified</x:v>
      </x:c>
      <x:c r="I7182" s="12" t="str">
        <x:v>Large enterprise</x:v>
      </x:c>
      <x:c r="J7182" s="12" t="str">
        <x:v>IT &amp; digital</x:v>
      </x:c>
      <x:c r="K7182" s="2" t="str">
        <x:v>PARTNER-M051</x:v>
      </x:c>
    </x:row>
    <x:row r="7183" ht="46" customHeight="1">
      <x:c r="A7183" s="2" t="str">
        <x:v>TEN-8A0F00910447</x:v>
      </x:c>
      <x:c r="B7183" s="12" t="str">
        <x:v>Jurimatrix</x:v>
      </x:c>
      <x:c r="C7183" s="12" t="str">
        <x:v>CORP-0470</x:v>
      </x:c>
      <x:c r="D7183" s="12" t="str">
        <x:v>Bengaluru</x:v>
      </x:c>
      <x:c r="E7183" s="12" t="str">
        <x:v>Manyata Tech park - Mfar</x:v>
      </x:c>
      <x:c r="F7183" s="12" t="str">
        <x:v>55 inch</x:v>
      </x:c>
      <x:c r="G7183" s="20" t="n">
        <x:v>1</x:v>
      </x:c>
      <x:c r="H7183" s="12" t="str">
        <x:v>Campus/portfolio roster; individual building occupancy unverified</x:v>
      </x:c>
      <x:c r="I7183" s="12" t="str">
        <x:v>Small-scale prospects</x:v>
      </x:c>
      <x:c r="J7183" s="12" t="str">
        <x:v>Professional services</x:v>
      </x:c>
      <x:c r="K7183" s="2" t="str">
        <x:v>PARTNER-M051</x:v>
      </x:c>
    </x:row>
    <x:row r="7184" ht="46" customHeight="1">
      <x:c r="A7184" s="2" t="str">
        <x:v>TEN-8D4321D93632</x:v>
      </x:c>
      <x:c r="B7184" s="12" t="str">
        <x:v>Nvidia</x:v>
      </x:c>
      <x:c r="C7184" s="12" t="str">
        <x:v>CORP-0470</x:v>
      </x:c>
      <x:c r="D7184" s="12" t="str">
        <x:v>Bengaluru</x:v>
      </x:c>
      <x:c r="E7184" s="12" t="str">
        <x:v>Manyata Tech park - Mfar</x:v>
      </x:c>
      <x:c r="F7184" s="12" t="str">
        <x:v>55 inch</x:v>
      </x:c>
      <x:c r="G7184" s="20" t="n">
        <x:v>1</x:v>
      </x:c>
      <x:c r="H7184" s="12" t="str">
        <x:v>Campus/portfolio roster; individual building occupancy unverified</x:v>
      </x:c>
      <x:c r="I7184" s="12" t="str">
        <x:v>Large enterprise</x:v>
      </x:c>
      <x:c r="J7184" s="12" t="str">
        <x:v>Engineering &amp; manufacturing</x:v>
      </x:c>
      <x:c r="K7184" s="2" t="str">
        <x:v>PARTNER-M051</x:v>
      </x:c>
    </x:row>
    <x:row r="7185" ht="46" customHeight="1">
      <x:c r="A7185" s="2" t="str">
        <x:v>TEN-92CD56DC627C</x:v>
      </x:c>
      <x:c r="B7185" s="12" t="str">
        <x:v>Mast Global Business Services India Pvt. Ltd</x:v>
      </x:c>
      <x:c r="C7185" s="12" t="str">
        <x:v>CORP-0470</x:v>
      </x:c>
      <x:c r="D7185" s="12" t="str">
        <x:v>Bengaluru</x:v>
      </x:c>
      <x:c r="E7185" s="12" t="str">
        <x:v>Manyata Tech park - Mfar</x:v>
      </x:c>
      <x:c r="F7185" s="12" t="str">
        <x:v>55 inch</x:v>
      </x:c>
      <x:c r="G7185" s="20" t="n">
        <x:v>1</x:v>
      </x:c>
      <x:c r="H7185" s="12" t="str">
        <x:v>Campus/portfolio roster; individual building occupancy unverified</x:v>
      </x:c>
      <x:c r="I7185" s="12" t="str">
        <x:v>Mixed business audience</x:v>
      </x:c>
      <x:c r="J7185" s="12" t="str">
        <x:v>Unresolved</x:v>
      </x:c>
      <x:c r="K7185" s="2" t="str">
        <x:v>PARTNER-M051</x:v>
      </x:c>
    </x:row>
    <x:row r="7186" ht="46" customHeight="1">
      <x:c r="A7186" s="2" t="str">
        <x:v>TEN-955D5077F546</x:v>
      </x:c>
      <x:c r="B7186" s="12" t="str">
        <x:v>Atlas Copco</x:v>
      </x:c>
      <x:c r="C7186" s="12" t="str">
        <x:v>CORP-0470</x:v>
      </x:c>
      <x:c r="D7186" s="12" t="str">
        <x:v>Bengaluru</x:v>
      </x:c>
      <x:c r="E7186" s="12" t="str">
        <x:v>Manyata Tech park - Mfar</x:v>
      </x:c>
      <x:c r="F7186" s="12" t="str">
        <x:v>55 inch</x:v>
      </x:c>
      <x:c r="G7186" s="20" t="n">
        <x:v>1</x:v>
      </x:c>
      <x:c r="H7186" s="12" t="str">
        <x:v>Campus/portfolio roster; individual building occupancy unverified</x:v>
      </x:c>
      <x:c r="I7186" s="12" t="str">
        <x:v>Mixed business audience</x:v>
      </x:c>
      <x:c r="J7186" s="12" t="str">
        <x:v>Engineering &amp; manufacturing</x:v>
      </x:c>
      <x:c r="K7186" s="2" t="str">
        <x:v>PARTNER-M051</x:v>
      </x:c>
    </x:row>
    <x:row r="7187" ht="46" customHeight="1">
      <x:c r="A7187" s="2" t="str">
        <x:v>TEN-957870226159</x:v>
      </x:c>
      <x:c r="B7187" s="12" t="str">
        <x:v>NXP Semiconductors</x:v>
      </x:c>
      <x:c r="C7187" s="12" t="str">
        <x:v>CORP-0470</x:v>
      </x:c>
      <x:c r="D7187" s="12" t="str">
        <x:v>Bengaluru</x:v>
      </x:c>
      <x:c r="E7187" s="12" t="str">
        <x:v>Manyata Tech park - Mfar</x:v>
      </x:c>
      <x:c r="F7187" s="12" t="str">
        <x:v>55 inch</x:v>
      </x:c>
      <x:c r="G7187" s="20" t="n">
        <x:v>1</x:v>
      </x:c>
      <x:c r="H7187" s="12" t="str">
        <x:v>Campus/portfolio roster; individual building occupancy unverified</x:v>
      </x:c>
      <x:c r="I7187" s="12" t="str">
        <x:v>Mixed business audience</x:v>
      </x:c>
      <x:c r="J7187" s="12" t="str">
        <x:v>Engineering &amp; manufacturing</x:v>
      </x:c>
      <x:c r="K7187" s="2" t="str">
        <x:v>PARTNER-M051</x:v>
      </x:c>
    </x:row>
    <x:row r="7188" ht="46" customHeight="1">
      <x:c r="A7188" s="2" t="str">
        <x:v>TEN-9891CBD98729</x:v>
      </x:c>
      <x:c r="B7188" s="12" t="str">
        <x:v>Northern Trust</x:v>
      </x:c>
      <x:c r="C7188" s="12" t="str">
        <x:v>CORP-0470</x:v>
      </x:c>
      <x:c r="D7188" s="12" t="str">
        <x:v>Bengaluru</x:v>
      </x:c>
      <x:c r="E7188" s="12" t="str">
        <x:v>Manyata Tech park - Mfar</x:v>
      </x:c>
      <x:c r="F7188" s="12" t="str">
        <x:v>55 inch</x:v>
      </x:c>
      <x:c r="G7188" s="20" t="n">
        <x:v>1</x:v>
      </x:c>
      <x:c r="H7188" s="12" t="str">
        <x:v>Campus/portfolio roster; individual building occupancy unverified</x:v>
      </x:c>
      <x:c r="I7188" s="12" t="str">
        <x:v>Large enterprise</x:v>
      </x:c>
      <x:c r="J7188" s="12" t="str">
        <x:v>Finance &amp; insurance</x:v>
      </x:c>
      <x:c r="K7188" s="2" t="str">
        <x:v>PARTNER-M051</x:v>
      </x:c>
    </x:row>
    <x:row r="7189" ht="46" customHeight="1">
      <x:c r="A7189" s="2" t="str">
        <x:v>TEN-9FBF261B62C1</x:v>
      </x:c>
      <x:c r="B7189" s="12" t="str">
        <x:v>Microsoft</x:v>
      </x:c>
      <x:c r="C7189" s="12" t="str">
        <x:v>CORP-0470</x:v>
      </x:c>
      <x:c r="D7189" s="12" t="str">
        <x:v>Bengaluru</x:v>
      </x:c>
      <x:c r="E7189" s="12" t="str">
        <x:v>Manyata Tech park - Mfar</x:v>
      </x:c>
      <x:c r="F7189" s="12" t="str">
        <x:v>55 inch</x:v>
      </x:c>
      <x:c r="G7189" s="20" t="n">
        <x:v>1</x:v>
      </x:c>
      <x:c r="H7189" s="12" t="str">
        <x:v>Campus/portfolio roster; individual building occupancy unverified</x:v>
      </x:c>
      <x:c r="I7189" s="12" t="str">
        <x:v>Large enterprise</x:v>
      </x:c>
      <x:c r="J7189" s="12" t="str">
        <x:v>IT &amp; digital</x:v>
      </x:c>
      <x:c r="K7189" s="2" t="str">
        <x:v>PARTNER-M051</x:v>
      </x:c>
    </x:row>
    <x:row r="7190" ht="46" customHeight="1">
      <x:c r="A7190" s="2" t="str">
        <x:v>TEN-A1A5873B72DA</x:v>
      </x:c>
      <x:c r="B7190" s="12" t="str">
        <x:v>Colt Technologies</x:v>
      </x:c>
      <x:c r="C7190" s="12" t="str">
        <x:v>CORP-0470</x:v>
      </x:c>
      <x:c r="D7190" s="12" t="str">
        <x:v>Bengaluru</x:v>
      </x:c>
      <x:c r="E7190" s="12" t="str">
        <x:v>Manyata Tech park - Mfar</x:v>
      </x:c>
      <x:c r="F7190" s="12" t="str">
        <x:v>55 inch</x:v>
      </x:c>
      <x:c r="G7190" s="20" t="n">
        <x:v>1</x:v>
      </x:c>
      <x:c r="H7190" s="12" t="str">
        <x:v>Campus/portfolio roster; individual building occupancy unverified</x:v>
      </x:c>
      <x:c r="I7190" s="12" t="str">
        <x:v>Mixed business audience</x:v>
      </x:c>
      <x:c r="J7190" s="12" t="str">
        <x:v>IT &amp; digital</x:v>
      </x:c>
      <x:c r="K7190" s="2" t="str">
        <x:v>PARTNER-M051</x:v>
      </x:c>
    </x:row>
    <x:row r="7191" ht="46" customHeight="1">
      <x:c r="A7191" s="2" t="str">
        <x:v>TEN-A9F65BF11B3A</x:v>
      </x:c>
      <x:c r="B7191" s="12" t="str">
        <x:v>JCPenney</x:v>
      </x:c>
      <x:c r="C7191" s="12" t="str">
        <x:v>CORP-0470</x:v>
      </x:c>
      <x:c r="D7191" s="12" t="str">
        <x:v>Bengaluru</x:v>
      </x:c>
      <x:c r="E7191" s="12" t="str">
        <x:v>Manyata Tech park - Mfar</x:v>
      </x:c>
      <x:c r="F7191" s="12" t="str">
        <x:v>55 inch</x:v>
      </x:c>
      <x:c r="G7191" s="20" t="n">
        <x:v>1</x:v>
      </x:c>
      <x:c r="H7191" s="12" t="str">
        <x:v>Campus/portfolio roster; individual building occupancy unverified</x:v>
      </x:c>
      <x:c r="I7191" s="12" t="str">
        <x:v>Large enterprise</x:v>
      </x:c>
      <x:c r="J7191" s="12" t="str">
        <x:v>Trade, consumer &amp; logistics</x:v>
      </x:c>
      <x:c r="K7191" s="2" t="str">
        <x:v>PARTNER-M051</x:v>
      </x:c>
    </x:row>
    <x:row r="7192" ht="46" customHeight="1">
      <x:c r="A7192" s="2" t="str">
        <x:v>TEN-B19CA7C8E2F1</x:v>
      </x:c>
      <x:c r="B7192" s="12" t="str">
        <x:v>Rolls-Royce</x:v>
      </x:c>
      <x:c r="C7192" s="12" t="str">
        <x:v>CORP-0470</x:v>
      </x:c>
      <x:c r="D7192" s="12" t="str">
        <x:v>Bengaluru</x:v>
      </x:c>
      <x:c r="E7192" s="12" t="str">
        <x:v>Manyata Tech park - Mfar</x:v>
      </x:c>
      <x:c r="F7192" s="12" t="str">
        <x:v>55 inch</x:v>
      </x:c>
      <x:c r="G7192" s="20" t="n">
        <x:v>1</x:v>
      </x:c>
      <x:c r="H7192" s="12" t="str">
        <x:v>Campus/portfolio roster; individual building occupancy unverified</x:v>
      </x:c>
      <x:c r="I7192" s="12" t="str">
        <x:v>Large enterprise</x:v>
      </x:c>
      <x:c r="J7192" s="12" t="str">
        <x:v>Engineering &amp; manufacturing</x:v>
      </x:c>
      <x:c r="K7192" s="2" t="str">
        <x:v>PARTNER-M051</x:v>
      </x:c>
    </x:row>
    <x:row r="7193" ht="46" customHeight="1">
      <x:c r="A7193" s="2" t="str">
        <x:v>TEN-B477D484C9C9</x:v>
      </x:c>
      <x:c r="B7193" s="12" t="str">
        <x:v>Flightraja Travels (Via.com)</x:v>
      </x:c>
      <x:c r="C7193" s="12" t="str">
        <x:v>CORP-0470</x:v>
      </x:c>
      <x:c r="D7193" s="12" t="str">
        <x:v>Bengaluru</x:v>
      </x:c>
      <x:c r="E7193" s="12" t="str">
        <x:v>Manyata Tech park - Mfar</x:v>
      </x:c>
      <x:c r="F7193" s="12" t="str">
        <x:v>55 inch</x:v>
      </x:c>
      <x:c r="G7193" s="20" t="n">
        <x:v>1</x:v>
      </x:c>
      <x:c r="H7193" s="12" t="str">
        <x:v>Campus/portfolio roster; individual building occupancy unverified</x:v>
      </x:c>
      <x:c r="I7193" s="12" t="str">
        <x:v>Mixed business audience</x:v>
      </x:c>
      <x:c r="J7193" s="12" t="str">
        <x:v>Trade, consumer &amp; logistics</x:v>
      </x:c>
      <x:c r="K7193" s="2" t="str">
        <x:v>PARTNER-M051</x:v>
      </x:c>
    </x:row>
    <x:row r="7194" ht="46" customHeight="1">
      <x:c r="A7194" s="2" t="str">
        <x:v>TEN-B7E189530240</x:v>
      </x:c>
      <x:c r="B7194" s="12" t="str">
        <x:v>Monsanto Holdings</x:v>
      </x:c>
      <x:c r="C7194" s="12" t="str">
        <x:v>CORP-0470</x:v>
      </x:c>
      <x:c r="D7194" s="12" t="str">
        <x:v>Bengaluru</x:v>
      </x:c>
      <x:c r="E7194" s="12" t="str">
        <x:v>Manyata Tech park - Mfar</x:v>
      </x:c>
      <x:c r="F7194" s="12" t="str">
        <x:v>55 inch</x:v>
      </x:c>
      <x:c r="G7194" s="20" t="n">
        <x:v>1</x:v>
      </x:c>
      <x:c r="H7194" s="12" t="str">
        <x:v>Campus/portfolio roster; individual building occupancy unverified</x:v>
      </x:c>
      <x:c r="I7194" s="12" t="str">
        <x:v>Mixed business audience</x:v>
      </x:c>
      <x:c r="J7194" s="12" t="str">
        <x:v>Engineering &amp; manufacturing</x:v>
      </x:c>
      <x:c r="K7194" s="2" t="str">
        <x:v>PARTNER-M051</x:v>
      </x:c>
    </x:row>
    <x:row r="7195" ht="46" customHeight="1">
      <x:c r="A7195" s="2" t="str">
        <x:v>TEN-BA6AE2780CD4</x:v>
      </x:c>
      <x:c r="B7195" s="12" t="str">
        <x:v>Concentrix</x:v>
      </x:c>
      <x:c r="C7195" s="12" t="str">
        <x:v>CORP-0470</x:v>
      </x:c>
      <x:c r="D7195" s="12" t="str">
        <x:v>Bengaluru</x:v>
      </x:c>
      <x:c r="E7195" s="12" t="str">
        <x:v>Manyata Tech park - Mfar</x:v>
      </x:c>
      <x:c r="F7195" s="12" t="str">
        <x:v>55 inch</x:v>
      </x:c>
      <x:c r="G7195" s="20" t="n">
        <x:v>1</x:v>
      </x:c>
      <x:c r="H7195" s="12" t="str">
        <x:v>Campus/portfolio roster; individual building occupancy unverified</x:v>
      </x:c>
      <x:c r="I7195" s="12" t="str">
        <x:v>Large enterprise</x:v>
      </x:c>
      <x:c r="J7195" s="12" t="str">
        <x:v>IT &amp; digital</x:v>
      </x:c>
      <x:c r="K7195" s="2" t="str">
        <x:v>PARTNER-M051</x:v>
      </x:c>
    </x:row>
    <x:row r="7196" ht="46" customHeight="1">
      <x:c r="A7196" s="2" t="str">
        <x:v>TEN-C80EF940CC50</x:v>
      </x:c>
      <x:c r="B7196" s="12" t="str">
        <x:v>Nokia Networks (Earlier known as NSN or Nokia Siemens Networks)</x:v>
      </x:c>
      <x:c r="C7196" s="12" t="str">
        <x:v>CORP-0470</x:v>
      </x:c>
      <x:c r="D7196" s="12" t="str">
        <x:v>Bengaluru</x:v>
      </x:c>
      <x:c r="E7196" s="12" t="str">
        <x:v>Manyata Tech park - Mfar</x:v>
      </x:c>
      <x:c r="F7196" s="12" t="str">
        <x:v>55 inch</x:v>
      </x:c>
      <x:c r="G7196" s="20" t="n">
        <x:v>1</x:v>
      </x:c>
      <x:c r="H7196" s="12" t="str">
        <x:v>Campus/portfolio roster; individual building occupancy unverified</x:v>
      </x:c>
      <x:c r="I7196" s="12" t="str">
        <x:v>Large enterprise</x:v>
      </x:c>
      <x:c r="J7196" s="12" t="str">
        <x:v>IT &amp; digital</x:v>
      </x:c>
      <x:c r="K7196" s="2" t="str">
        <x:v>PARTNER-M051</x:v>
      </x:c>
    </x:row>
    <x:row r="7197" ht="46" customHeight="1">
      <x:c r="A7197" s="2" t="str">
        <x:v>TEN-C9DBDD187EBA</x:v>
      </x:c>
      <x:c r="B7197" s="12" t="str">
        <x:v>Redknee</x:v>
      </x:c>
      <x:c r="C7197" s="12" t="str">
        <x:v>CORP-0470</x:v>
      </x:c>
      <x:c r="D7197" s="12" t="str">
        <x:v>Bengaluru</x:v>
      </x:c>
      <x:c r="E7197" s="12" t="str">
        <x:v>Manyata Tech park - Mfar</x:v>
      </x:c>
      <x:c r="F7197" s="12" t="str">
        <x:v>55 inch</x:v>
      </x:c>
      <x:c r="G7197" s="20" t="n">
        <x:v>1</x:v>
      </x:c>
      <x:c r="H7197" s="12" t="str">
        <x:v>Campus/portfolio roster; individual building occupancy unverified</x:v>
      </x:c>
      <x:c r="I7197" s="12" t="str">
        <x:v>Mixed business audience</x:v>
      </x:c>
      <x:c r="J7197" s="12" t="str">
        <x:v>IT &amp; digital</x:v>
      </x:c>
      <x:c r="K7197" s="2" t="str">
        <x:v>PARTNER-M051</x:v>
      </x:c>
    </x:row>
    <x:row r="7198" ht="46" customHeight="1">
      <x:c r="A7198" s="2" t="str">
        <x:v>TEN-CAD973567458</x:v>
      </x:c>
      <x:c r="B7198" s="12" t="str">
        <x:v>Andritz AG</x:v>
      </x:c>
      <x:c r="C7198" s="12" t="str">
        <x:v>CORP-0470</x:v>
      </x:c>
      <x:c r="D7198" s="12" t="str">
        <x:v>Bengaluru</x:v>
      </x:c>
      <x:c r="E7198" s="12" t="str">
        <x:v>Manyata Tech park - Mfar</x:v>
      </x:c>
      <x:c r="F7198" s="12" t="str">
        <x:v>55 inch</x:v>
      </x:c>
      <x:c r="G7198" s="20" t="n">
        <x:v>1</x:v>
      </x:c>
      <x:c r="H7198" s="12" t="str">
        <x:v>Campus/portfolio roster; individual building occupancy unverified</x:v>
      </x:c>
      <x:c r="I7198" s="12" t="str">
        <x:v>Mixed business audience</x:v>
      </x:c>
      <x:c r="J7198" s="12" t="str">
        <x:v>Engineering &amp; manufacturing</x:v>
      </x:c>
      <x:c r="K7198" s="2" t="str">
        <x:v>PARTNER-M051</x:v>
      </x:c>
    </x:row>
    <x:row r="7199" ht="46" customHeight="1">
      <x:c r="A7199" s="2" t="str">
        <x:v>TEN-D3D424C3C181</x:v>
      </x:c>
      <x:c r="B7199" s="12" t="str">
        <x:v>IBM India Pvt. Ltd</x:v>
      </x:c>
      <x:c r="C7199" s="12" t="str">
        <x:v>CORP-0470</x:v>
      </x:c>
      <x:c r="D7199" s="12" t="str">
        <x:v>Bengaluru</x:v>
      </x:c>
      <x:c r="E7199" s="12" t="str">
        <x:v>Manyata Tech park - Mfar</x:v>
      </x:c>
      <x:c r="F7199" s="12" t="str">
        <x:v>55 inch</x:v>
      </x:c>
      <x:c r="G7199" s="20" t="n">
        <x:v>1</x:v>
      </x:c>
      <x:c r="H7199" s="12" t="str">
        <x:v>Campus/portfolio roster; individual building occupancy unverified</x:v>
      </x:c>
      <x:c r="I7199" s="12" t="str">
        <x:v>Large enterprise</x:v>
      </x:c>
      <x:c r="J7199" s="12" t="str">
        <x:v>IT &amp; digital</x:v>
      </x:c>
      <x:c r="K7199" s="2" t="str">
        <x:v>PARTNER-M051</x:v>
      </x:c>
    </x:row>
    <x:row r="7200" ht="46" customHeight="1">
      <x:c r="A7200" s="2" t="str">
        <x:v>TEN-DD4CB9CF52F0</x:v>
      </x:c>
      <x:c r="B7200" s="12" t="str">
        <x:v>Philips</x:v>
      </x:c>
      <x:c r="C7200" s="12" t="str">
        <x:v>CORP-0470</x:v>
      </x:c>
      <x:c r="D7200" s="12" t="str">
        <x:v>Bengaluru</x:v>
      </x:c>
      <x:c r="E7200" s="12" t="str">
        <x:v>Manyata Tech park - Mfar</x:v>
      </x:c>
      <x:c r="F7200" s="12" t="str">
        <x:v>55 inch</x:v>
      </x:c>
      <x:c r="G7200" s="20" t="n">
        <x:v>1</x:v>
      </x:c>
      <x:c r="H7200" s="12" t="str">
        <x:v>Campus/portfolio roster; individual building occupancy unverified</x:v>
      </x:c>
      <x:c r="I7200" s="12" t="str">
        <x:v>Large enterprise</x:v>
      </x:c>
      <x:c r="J7200" s="12" t="str">
        <x:v>Engineering &amp; manufacturing</x:v>
      </x:c>
      <x:c r="K7200" s="2" t="str">
        <x:v>PARTNER-M051</x:v>
      </x:c>
    </x:row>
    <x:row r="7201" ht="46" customHeight="1">
      <x:c r="A7201" s="2" t="str">
        <x:v>TEN-DF1BD710E8BF</x:v>
      </x:c>
      <x:c r="B7201" s="12" t="str">
        <x:v>Mitel (Earlier known as Mavenir Systems)</x:v>
      </x:c>
      <x:c r="C7201" s="12" t="str">
        <x:v>CORP-0470</x:v>
      </x:c>
      <x:c r="D7201" s="12" t="str">
        <x:v>Bengaluru</x:v>
      </x:c>
      <x:c r="E7201" s="12" t="str">
        <x:v>Manyata Tech park - Mfar</x:v>
      </x:c>
      <x:c r="F7201" s="12" t="str">
        <x:v>55 inch</x:v>
      </x:c>
      <x:c r="G7201" s="20" t="n">
        <x:v>1</x:v>
      </x:c>
      <x:c r="H7201" s="12" t="str">
        <x:v>Campus/portfolio roster; individual building occupancy unverified</x:v>
      </x:c>
      <x:c r="I7201" s="12" t="str">
        <x:v>Mixed business audience</x:v>
      </x:c>
      <x:c r="J7201" s="12" t="str">
        <x:v>IT &amp; digital</x:v>
      </x:c>
      <x:c r="K7201" s="2" t="str">
        <x:v>PARTNER-M051</x:v>
      </x:c>
    </x:row>
    <x:row r="7202" ht="46" customHeight="1">
      <x:c r="A7202" s="2" t="str">
        <x:v>TEN-E7F9F6E5FC3F</x:v>
      </x:c>
      <x:c r="B7202" s="12" t="str">
        <x:v>Aditi Technologies</x:v>
      </x:c>
      <x:c r="C7202" s="12" t="str">
        <x:v>CORP-0470</x:v>
      </x:c>
      <x:c r="D7202" s="12" t="str">
        <x:v>Bengaluru</x:v>
      </x:c>
      <x:c r="E7202" s="12" t="str">
        <x:v>Manyata Tech park - Mfar</x:v>
      </x:c>
      <x:c r="F7202" s="12" t="str">
        <x:v>55 inch</x:v>
      </x:c>
      <x:c r="G7202" s="20" t="n">
        <x:v>1</x:v>
      </x:c>
      <x:c r="H7202" s="12" t="str">
        <x:v>Campus/portfolio roster; individual building occupancy unverified</x:v>
      </x:c>
      <x:c r="I7202" s="12" t="str">
        <x:v>Mixed business audience</x:v>
      </x:c>
      <x:c r="J7202" s="12" t="str">
        <x:v>IT &amp; digital</x:v>
      </x:c>
      <x:c r="K7202" s="2" t="str">
        <x:v>PARTNER-M051</x:v>
      </x:c>
    </x:row>
    <x:row r="7203" ht="46" customHeight="1">
      <x:c r="A7203" s="2" t="str">
        <x:v>TEN-EA10CA8A1008</x:v>
      </x:c>
      <x:c r="B7203" s="12" t="str">
        <x:v>Lowe's Services India Pvt. Ltd</x:v>
      </x:c>
      <x:c r="C7203" s="12" t="str">
        <x:v>CORP-0470</x:v>
      </x:c>
      <x:c r="D7203" s="12" t="str">
        <x:v>Bengaluru</x:v>
      </x:c>
      <x:c r="E7203" s="12" t="str">
        <x:v>Manyata Tech park - Mfar</x:v>
      </x:c>
      <x:c r="F7203" s="12" t="str">
        <x:v>55 inch</x:v>
      </x:c>
      <x:c r="G7203" s="20" t="n">
        <x:v>1</x:v>
      </x:c>
      <x:c r="H7203" s="12" t="str">
        <x:v>Campus/portfolio roster; individual building occupancy unverified</x:v>
      </x:c>
      <x:c r="I7203" s="12" t="str">
        <x:v>Mixed business audience</x:v>
      </x:c>
      <x:c r="J7203" s="12" t="str">
        <x:v>Trade, consumer &amp; logistics</x:v>
      </x:c>
      <x:c r="K7203" s="2" t="str">
        <x:v>PARTNER-M051</x:v>
      </x:c>
    </x:row>
    <x:row r="7204" ht="46" customHeight="1">
      <x:c r="A7204" s="2" t="str">
        <x:v>TEN-EA30894BD53C</x:v>
      </x:c>
      <x:c r="B7204" s="12" t="str">
        <x:v>Alcatel-Lucent</x:v>
      </x:c>
      <x:c r="C7204" s="12" t="str">
        <x:v>CORP-0470</x:v>
      </x:c>
      <x:c r="D7204" s="12" t="str">
        <x:v>Bengaluru</x:v>
      </x:c>
      <x:c r="E7204" s="12" t="str">
        <x:v>Manyata Tech park - Mfar</x:v>
      </x:c>
      <x:c r="F7204" s="12" t="str">
        <x:v>55 inch</x:v>
      </x:c>
      <x:c r="G7204" s="20" t="n">
        <x:v>1</x:v>
      </x:c>
      <x:c r="H7204" s="12" t="str">
        <x:v>Campus/portfolio roster; individual building occupancy unverified</x:v>
      </x:c>
      <x:c r="I7204" s="12" t="str">
        <x:v>Mixed business audience</x:v>
      </x:c>
      <x:c r="J7204" s="12" t="str">
        <x:v>IT &amp; digital</x:v>
      </x:c>
      <x:c r="K7204" s="2" t="str">
        <x:v>PARTNER-M051</x:v>
      </x:c>
    </x:row>
    <x:row r="7205" ht="46" customHeight="1">
      <x:c r="A7205" s="2" t="str">
        <x:v>TEN-EB15B1B985F7</x:v>
      </x:c>
      <x:c r="B7205" s="12" t="str">
        <x:v>Network International</x:v>
      </x:c>
      <x:c r="C7205" s="12" t="str">
        <x:v>CORP-0470</x:v>
      </x:c>
      <x:c r="D7205" s="12" t="str">
        <x:v>Bengaluru</x:v>
      </x:c>
      <x:c r="E7205" s="12" t="str">
        <x:v>Manyata Tech park - Mfar</x:v>
      </x:c>
      <x:c r="F7205" s="12" t="str">
        <x:v>55 inch</x:v>
      </x:c>
      <x:c r="G7205" s="20" t="n">
        <x:v>1</x:v>
      </x:c>
      <x:c r="H7205" s="12" t="str">
        <x:v>Campus/portfolio roster; individual building occupancy unverified</x:v>
      </x:c>
      <x:c r="I7205" s="12" t="str">
        <x:v>Mixed business audience</x:v>
      </x:c>
      <x:c r="J7205" s="12" t="str">
        <x:v>Finance &amp; insurance</x:v>
      </x:c>
      <x:c r="K7205" s="2" t="str">
        <x:v>PARTNER-M051</x:v>
      </x:c>
    </x:row>
    <x:row r="7206" ht="46" customHeight="1">
      <x:c r="A7206" s="2" t="str">
        <x:v>TEN-F611BEAB4643</x:v>
      </x:c>
      <x:c r="B7206" s="12" t="str">
        <x:v>Fidelity</x:v>
      </x:c>
      <x:c r="C7206" s="12" t="str">
        <x:v>CORP-0470</x:v>
      </x:c>
      <x:c r="D7206" s="12" t="str">
        <x:v>Bengaluru</x:v>
      </x:c>
      <x:c r="E7206" s="12" t="str">
        <x:v>Manyata Tech park - Mfar</x:v>
      </x:c>
      <x:c r="F7206" s="12" t="str">
        <x:v>55 inch</x:v>
      </x:c>
      <x:c r="G7206" s="20" t="n">
        <x:v>1</x:v>
      </x:c>
      <x:c r="H7206" s="12" t="str">
        <x:v>Campus/portfolio roster; individual building occupancy unverified</x:v>
      </x:c>
      <x:c r="I7206" s="12" t="str">
        <x:v>Mixed business audience</x:v>
      </x:c>
      <x:c r="J7206" s="12" t="str">
        <x:v>Finance &amp; insurance</x:v>
      </x:c>
      <x:c r="K7206" s="2" t="str">
        <x:v>PARTNER-M051</x:v>
      </x:c>
    </x:row>
    <x:row r="7207" ht="46" customHeight="1">
      <x:c r="A7207" s="2" t="str">
        <x:v>TEN-FB68F107F674</x:v>
      </x:c>
      <x:c r="B7207" s="12" t="str">
        <x:v>Tambora Systems India Pvt. Ltd</x:v>
      </x:c>
      <x:c r="C7207" s="12" t="str">
        <x:v>CORP-0470</x:v>
      </x:c>
      <x:c r="D7207" s="12" t="str">
        <x:v>Bengaluru</x:v>
      </x:c>
      <x:c r="E7207" s="12" t="str">
        <x:v>Manyata Tech park - Mfar</x:v>
      </x:c>
      <x:c r="F7207" s="12" t="str">
        <x:v>55 inch</x:v>
      </x:c>
      <x:c r="G7207" s="20" t="n">
        <x:v>1</x:v>
      </x:c>
      <x:c r="H7207" s="12" t="str">
        <x:v>Campus/portfolio roster; individual building occupancy unverified</x:v>
      </x:c>
      <x:c r="I7207" s="12" t="str">
        <x:v>Mixed business audience</x:v>
      </x:c>
      <x:c r="J7207" s="12" t="str">
        <x:v>Unresolved</x:v>
      </x:c>
      <x:c r="K7207" s="2" t="str">
        <x:v>PARTNER-M051</x:v>
      </x:c>
    </x:row>
    <x:row r="7208" ht="46" customHeight="1">
      <x:c r="A7208" s="2" t="str">
        <x:v>TEN-0006A53C9A96</x:v>
      </x:c>
      <x:c r="B7208" s="12" t="str">
        <x:v>Justdial</x:v>
      </x:c>
      <x:c r="C7208" s="12" t="str">
        <x:v>CORP-0471</x:v>
      </x:c>
      <x:c r="D7208" s="12" t="str">
        <x:v>Bengaluru</x:v>
      </x:c>
      <x:c r="E7208" s="12" t="str">
        <x:v>Manyata Tech park - Mfar</x:v>
      </x:c>
      <x:c r="F7208" s="12" t="str">
        <x:v>55 inch</x:v>
      </x:c>
      <x:c r="G7208" s="20" t="n">
        <x:v>1</x:v>
      </x:c>
      <x:c r="H7208" s="12" t="str">
        <x:v>Campus/portfolio roster; individual building occupancy unverified</x:v>
      </x:c>
      <x:c r="I7208" s="12" t="str">
        <x:v>Mixed business audience</x:v>
      </x:c>
      <x:c r="J7208" s="12" t="str">
        <x:v>Trade, consumer &amp; logistics</x:v>
      </x:c>
      <x:c r="K7208" s="2" t="str">
        <x:v>PARTNER-M051</x:v>
      </x:c>
    </x:row>
    <x:row r="7209" ht="46" customHeight="1">
      <x:c r="A7209" s="2" t="str">
        <x:v>TEN-0A68AD38CEB3</x:v>
      </x:c>
      <x:c r="B7209" s="12" t="str">
        <x:v>Indegene Lifesystems</x:v>
      </x:c>
      <x:c r="C7209" s="12" t="str">
        <x:v>CORP-0471</x:v>
      </x:c>
      <x:c r="D7209" s="12" t="str">
        <x:v>Bengaluru</x:v>
      </x:c>
      <x:c r="E7209" s="12" t="str">
        <x:v>Manyata Tech park - Mfar</x:v>
      </x:c>
      <x:c r="F7209" s="12" t="str">
        <x:v>55 inch</x:v>
      </x:c>
      <x:c r="G7209" s="20" t="n">
        <x:v>1</x:v>
      </x:c>
      <x:c r="H7209" s="12" t="str">
        <x:v>Campus/portfolio roster; individual building occupancy unverified</x:v>
      </x:c>
      <x:c r="I7209" s="12" t="str">
        <x:v>Mixed business audience</x:v>
      </x:c>
      <x:c r="J7209" s="12" t="str">
        <x:v>Healthcare &amp; life sciences</x:v>
      </x:c>
      <x:c r="K7209" s="2" t="str">
        <x:v>PARTNER-M051</x:v>
      </x:c>
    </x:row>
    <x:row r="7210" ht="46" customHeight="1">
      <x:c r="A7210" s="2" t="str">
        <x:v>TEN-0C16B6E2E745</x:v>
      </x:c>
      <x:c r="B7210" s="12" t="str">
        <x:v>Target Corporation India</x:v>
      </x:c>
      <x:c r="C7210" s="12" t="str">
        <x:v>CORP-0471</x:v>
      </x:c>
      <x:c r="D7210" s="12" t="str">
        <x:v>Bengaluru</x:v>
      </x:c>
      <x:c r="E7210" s="12" t="str">
        <x:v>Manyata Tech park - Mfar</x:v>
      </x:c>
      <x:c r="F7210" s="12" t="str">
        <x:v>55 inch</x:v>
      </x:c>
      <x:c r="G7210" s="20" t="n">
        <x:v>1</x:v>
      </x:c>
      <x:c r="H7210" s="12" t="str">
        <x:v>Campus/portfolio roster; individual building occupancy unverified</x:v>
      </x:c>
      <x:c r="I7210" s="12" t="str">
        <x:v>Mixed business audience</x:v>
      </x:c>
      <x:c r="J7210" s="12" t="str">
        <x:v>Trade, consumer &amp; logistics</x:v>
      </x:c>
      <x:c r="K7210" s="2" t="str">
        <x:v>PARTNER-M051</x:v>
      </x:c>
    </x:row>
    <x:row r="7211" ht="46" customHeight="1">
      <x:c r="A7211" s="2" t="str">
        <x:v>TEN-14C4528C15CA</x:v>
      </x:c>
      <x:c r="B7211" s="12" t="str">
        <x:v>NetScout Systems</x:v>
      </x:c>
      <x:c r="C7211" s="12" t="str">
        <x:v>CORP-0471</x:v>
      </x:c>
      <x:c r="D7211" s="12" t="str">
        <x:v>Bengaluru</x:v>
      </x:c>
      <x:c r="E7211" s="12" t="str">
        <x:v>Manyata Tech park - Mfar</x:v>
      </x:c>
      <x:c r="F7211" s="12" t="str">
        <x:v>55 inch</x:v>
      </x:c>
      <x:c r="G7211" s="20" t="n">
        <x:v>1</x:v>
      </x:c>
      <x:c r="H7211" s="12" t="str">
        <x:v>Campus/portfolio roster; individual building occupancy unverified</x:v>
      </x:c>
      <x:c r="I7211" s="12" t="str">
        <x:v>Mixed business audience</x:v>
      </x:c>
      <x:c r="J7211" s="12" t="str">
        <x:v>IT &amp; digital</x:v>
      </x:c>
      <x:c r="K7211" s="2" t="str">
        <x:v>PARTNER-M051</x:v>
      </x:c>
    </x:row>
    <x:row r="7212" ht="46" customHeight="1">
      <x:c r="A7212" s="2" t="str">
        <x:v>TEN-27C9A7B5ECAD</x:v>
      </x:c>
      <x:c r="B7212" s="12" t="str">
        <x:v>SLK Group</x:v>
      </x:c>
      <x:c r="C7212" s="12" t="str">
        <x:v>CORP-0471</x:v>
      </x:c>
      <x:c r="D7212" s="12" t="str">
        <x:v>Bengaluru</x:v>
      </x:c>
      <x:c r="E7212" s="12" t="str">
        <x:v>Manyata Tech park - Mfar</x:v>
      </x:c>
      <x:c r="F7212" s="12" t="str">
        <x:v>55 inch</x:v>
      </x:c>
      <x:c r="G7212" s="20" t="n">
        <x:v>1</x:v>
      </x:c>
      <x:c r="H7212" s="12" t="str">
        <x:v>Campus/portfolio roster; individual building occupancy unverified</x:v>
      </x:c>
      <x:c r="I7212" s="12" t="str">
        <x:v>Mixed business audience</x:v>
      </x:c>
      <x:c r="J7212" s="12" t="str">
        <x:v>IT &amp; digital</x:v>
      </x:c>
      <x:c r="K7212" s="2" t="str">
        <x:v>PARTNER-M051</x:v>
      </x:c>
    </x:row>
    <x:row r="7213" ht="46" customHeight="1">
      <x:c r="A7213" s="2" t="str">
        <x:v>TEN-27D00A6A3558</x:v>
      </x:c>
      <x:c r="B7213" s="12" t="str">
        <x:v>Voonik Technologies Pvt. Ltd</x:v>
      </x:c>
      <x:c r="C7213" s="12" t="str">
        <x:v>CORP-0471</x:v>
      </x:c>
      <x:c r="D7213" s="12" t="str">
        <x:v>Bengaluru</x:v>
      </x:c>
      <x:c r="E7213" s="12" t="str">
        <x:v>Manyata Tech park - Mfar</x:v>
      </x:c>
      <x:c r="F7213" s="12" t="str">
        <x:v>55 inch</x:v>
      </x:c>
      <x:c r="G7213" s="20" t="n">
        <x:v>1</x:v>
      </x:c>
      <x:c r="H7213" s="12" t="str">
        <x:v>Campus/portfolio roster; individual building occupancy unverified</x:v>
      </x:c>
      <x:c r="I7213" s="12" t="str">
        <x:v>Small-scale prospects</x:v>
      </x:c>
      <x:c r="J7213" s="12" t="str">
        <x:v>Trade, consumer &amp; logistics</x:v>
      </x:c>
      <x:c r="K7213" s="2" t="str">
        <x:v>PARTNER-M051</x:v>
      </x:c>
    </x:row>
    <x:row r="7214" ht="46" customHeight="1">
      <x:c r="A7214" s="2" t="str">
        <x:v>TEN-2F85BCE94831</x:v>
      </x:c>
      <x:c r="B7214" s="12" t="str">
        <x:v>Dimension Data India (formerly Data Craft India)</x:v>
      </x:c>
      <x:c r="C7214" s="12" t="str">
        <x:v>CORP-0471</x:v>
      </x:c>
      <x:c r="D7214" s="12" t="str">
        <x:v>Bengaluru</x:v>
      </x:c>
      <x:c r="E7214" s="12" t="str">
        <x:v>Manyata Tech park - Mfar</x:v>
      </x:c>
      <x:c r="F7214" s="12" t="str">
        <x:v>55 inch</x:v>
      </x:c>
      <x:c r="G7214" s="20" t="n">
        <x:v>1</x:v>
      </x:c>
      <x:c r="H7214" s="12" t="str">
        <x:v>Campus/portfolio roster; individual building occupancy unverified</x:v>
      </x:c>
      <x:c r="I7214" s="12" t="str">
        <x:v>Large enterprise</x:v>
      </x:c>
      <x:c r="J7214" s="12" t="str">
        <x:v>IT &amp; digital</x:v>
      </x:c>
      <x:c r="K7214" s="2" t="str">
        <x:v>PARTNER-M051</x:v>
      </x:c>
    </x:row>
    <x:row r="7215" ht="46" customHeight="1">
      <x:c r="A7215" s="2" t="str">
        <x:v>TEN-3821E9F1FF90</x:v>
      </x:c>
      <x:c r="B7215" s="12" t="str">
        <x:v>The Executive Centre</x:v>
      </x:c>
      <x:c r="C7215" s="12" t="str">
        <x:v>CORP-0471</x:v>
      </x:c>
      <x:c r="D7215" s="12" t="str">
        <x:v>Bengaluru</x:v>
      </x:c>
      <x:c r="E7215" s="12" t="str">
        <x:v>Manyata Tech park - Mfar</x:v>
      </x:c>
      <x:c r="F7215" s="12" t="str">
        <x:v>55 inch</x:v>
      </x:c>
      <x:c r="G7215" s="20" t="n">
        <x:v>1</x:v>
      </x:c>
      <x:c r="H7215" s="12" t="str">
        <x:v>Campus/portfolio roster; individual building occupancy unverified</x:v>
      </x:c>
      <x:c r="I7215" s="12" t="str">
        <x:v>Mixed business audience</x:v>
      </x:c>
      <x:c r="J7215" s="12" t="str">
        <x:v>Workspace &amp; property operations</x:v>
      </x:c>
      <x:c r="K7215" s="2" t="str">
        <x:v>PARTNER-M051</x:v>
      </x:c>
    </x:row>
    <x:row r="7216" ht="46" customHeight="1">
      <x:c r="A7216" s="2" t="str">
        <x:v>TEN-42E8408652E5</x:v>
      </x:c>
      <x:c r="B7216" s="12" t="str">
        <x:v>HCL Technologies</x:v>
      </x:c>
      <x:c r="C7216" s="12" t="str">
        <x:v>CORP-0471</x:v>
      </x:c>
      <x:c r="D7216" s="12" t="str">
        <x:v>Bengaluru</x:v>
      </x:c>
      <x:c r="E7216" s="12" t="str">
        <x:v>Manyata Tech park - Mfar</x:v>
      </x:c>
      <x:c r="F7216" s="12" t="str">
        <x:v>55 inch</x:v>
      </x:c>
      <x:c r="G7216" s="20" t="n">
        <x:v>1</x:v>
      </x:c>
      <x:c r="H7216" s="12" t="str">
        <x:v>Campus/portfolio roster; individual building occupancy unverified</x:v>
      </x:c>
      <x:c r="I7216" s="12" t="str">
        <x:v>Large enterprise</x:v>
      </x:c>
      <x:c r="J7216" s="12" t="str">
        <x:v>IT &amp; digital</x:v>
      </x:c>
      <x:c r="K7216" s="2" t="str">
        <x:v>PARTNER-M051</x:v>
      </x:c>
    </x:row>
    <x:row r="7217" ht="46" customHeight="1">
      <x:c r="A7217" s="2" t="str">
        <x:v>TEN-47679F81BEB4</x:v>
      </x:c>
      <x:c r="B7217" s="12" t="str">
        <x:v>GlobalFoundries</x:v>
      </x:c>
      <x:c r="C7217" s="12" t="str">
        <x:v>CORP-0471</x:v>
      </x:c>
      <x:c r="D7217" s="12" t="str">
        <x:v>Bengaluru</x:v>
      </x:c>
      <x:c r="E7217" s="12" t="str">
        <x:v>Manyata Tech park - Mfar</x:v>
      </x:c>
      <x:c r="F7217" s="12" t="str">
        <x:v>55 inch</x:v>
      </x:c>
      <x:c r="G7217" s="20" t="n">
        <x:v>1</x:v>
      </x:c>
      <x:c r="H7217" s="12" t="str">
        <x:v>Campus/portfolio roster; individual building occupancy unverified</x:v>
      </x:c>
      <x:c r="I7217" s="12" t="str">
        <x:v>Mixed business audience</x:v>
      </x:c>
      <x:c r="J7217" s="12" t="str">
        <x:v>Engineering &amp; manufacturing</x:v>
      </x:c>
      <x:c r="K7217" s="2" t="str">
        <x:v>PARTNER-M051</x:v>
      </x:c>
    </x:row>
    <x:row r="7218" ht="46" customHeight="1">
      <x:c r="A7218" s="2" t="str">
        <x:v>TEN-4C75F725A6D4</x:v>
      </x:c>
      <x:c r="B7218" s="12" t="str">
        <x:v>AXA Business Services</x:v>
      </x:c>
      <x:c r="C7218" s="12" t="str">
        <x:v>CORP-0471</x:v>
      </x:c>
      <x:c r="D7218" s="12" t="str">
        <x:v>Bengaluru</x:v>
      </x:c>
      <x:c r="E7218" s="12" t="str">
        <x:v>Manyata Tech park - Mfar</x:v>
      </x:c>
      <x:c r="F7218" s="12" t="str">
        <x:v>55 inch</x:v>
      </x:c>
      <x:c r="G7218" s="20" t="n">
        <x:v>1</x:v>
      </x:c>
      <x:c r="H7218" s="12" t="str">
        <x:v>Campus/portfolio roster; individual building occupancy unverified</x:v>
      </x:c>
      <x:c r="I7218" s="12" t="str">
        <x:v>Large enterprise</x:v>
      </x:c>
      <x:c r="J7218" s="12" t="str">
        <x:v>Finance &amp; insurance</x:v>
      </x:c>
      <x:c r="K7218" s="2" t="str">
        <x:v>PARTNER-M051</x:v>
      </x:c>
    </x:row>
    <x:row r="7219" ht="46" customHeight="1">
      <x:c r="A7219" s="2" t="str">
        <x:v>TEN-4E5B2E7D6119</x:v>
      </x:c>
      <x:c r="B7219" s="12" t="str">
        <x:v>ANZ</x:v>
      </x:c>
      <x:c r="C7219" s="12" t="str">
        <x:v>CORP-0471</x:v>
      </x:c>
      <x:c r="D7219" s="12" t="str">
        <x:v>Bengaluru</x:v>
      </x:c>
      <x:c r="E7219" s="12" t="str">
        <x:v>Manyata Tech park - Mfar</x:v>
      </x:c>
      <x:c r="F7219" s="12" t="str">
        <x:v>55 inch</x:v>
      </x:c>
      <x:c r="G7219" s="20" t="n">
        <x:v>1</x:v>
      </x:c>
      <x:c r="H7219" s="12" t="str">
        <x:v>Campus/portfolio roster; individual building occupancy unverified</x:v>
      </x:c>
      <x:c r="I7219" s="12" t="str">
        <x:v>Mixed business audience</x:v>
      </x:c>
      <x:c r="J7219" s="12" t="str">
        <x:v>Finance &amp; insurance</x:v>
      </x:c>
      <x:c r="K7219" s="2" t="str">
        <x:v>PARTNER-M051</x:v>
      </x:c>
    </x:row>
    <x:row r="7220" ht="46" customHeight="1">
      <x:c r="A7220" s="2" t="str">
        <x:v>TEN-4F8C19DB697F</x:v>
      </x:c>
      <x:c r="B7220" s="12" t="str">
        <x:v>Tata Consultancy Services Ltd</x:v>
      </x:c>
      <x:c r="C7220" s="12" t="str">
        <x:v>CORP-0471</x:v>
      </x:c>
      <x:c r="D7220" s="12" t="str">
        <x:v>Bengaluru</x:v>
      </x:c>
      <x:c r="E7220" s="12" t="str">
        <x:v>Manyata Tech park - Mfar</x:v>
      </x:c>
      <x:c r="F7220" s="12" t="str">
        <x:v>55 inch</x:v>
      </x:c>
      <x:c r="G7220" s="20" t="n">
        <x:v>1</x:v>
      </x:c>
      <x:c r="H7220" s="12" t="str">
        <x:v>Campus/portfolio roster; individual building occupancy unverified</x:v>
      </x:c>
      <x:c r="I7220" s="12" t="str">
        <x:v>Large enterprise</x:v>
      </x:c>
      <x:c r="J7220" s="12" t="str">
        <x:v>IT &amp; digital</x:v>
      </x:c>
      <x:c r="K7220" s="2" t="str">
        <x:v>PARTNER-M051</x:v>
      </x:c>
    </x:row>
    <x:row r="7221" ht="46" customHeight="1">
      <x:c r="A7221" s="2" t="str">
        <x:v>TEN-534AE61AC6A4</x:v>
      </x:c>
      <x:c r="B7221" s="12" t="str">
        <x:v>Stylus Commercial Services</x:v>
      </x:c>
      <x:c r="C7221" s="12" t="str">
        <x:v>CORP-0471</x:v>
      </x:c>
      <x:c r="D7221" s="12" t="str">
        <x:v>Bengaluru</x:v>
      </x:c>
      <x:c r="E7221" s="12" t="str">
        <x:v>Manyata Tech park - Mfar</x:v>
      </x:c>
      <x:c r="F7221" s="12" t="str">
        <x:v>55 inch</x:v>
      </x:c>
      <x:c r="G7221" s="20" t="n">
        <x:v>1</x:v>
      </x:c>
      <x:c r="H7221" s="12" t="str">
        <x:v>Campus/portfolio roster; individual building occupancy unverified</x:v>
      </x:c>
      <x:c r="I7221" s="12" t="str">
        <x:v>Mixed business audience</x:v>
      </x:c>
      <x:c r="J7221" s="12" t="str">
        <x:v>Unresolved</x:v>
      </x:c>
      <x:c r="K7221" s="2" t="str">
        <x:v>PARTNER-M051</x:v>
      </x:c>
    </x:row>
    <x:row r="7222" ht="46" customHeight="1">
      <x:c r="A7222" s="2" t="str">
        <x:v>TEN-53D60BF43086</x:v>
      </x:c>
      <x:c r="B7222" s="12" t="str">
        <x:v>Larsen &amp; Toubro Technology Services</x:v>
      </x:c>
      <x:c r="C7222" s="12" t="str">
        <x:v>CORP-0471</x:v>
      </x:c>
      <x:c r="D7222" s="12" t="str">
        <x:v>Bengaluru</x:v>
      </x:c>
      <x:c r="E7222" s="12" t="str">
        <x:v>Manyata Tech park - Mfar</x:v>
      </x:c>
      <x:c r="F7222" s="12" t="str">
        <x:v>55 inch</x:v>
      </x:c>
      <x:c r="G7222" s="20" t="n">
        <x:v>1</x:v>
      </x:c>
      <x:c r="H7222" s="12" t="str">
        <x:v>Campus/portfolio roster; individual building occupancy unverified</x:v>
      </x:c>
      <x:c r="I7222" s="12" t="str">
        <x:v>Large enterprise</x:v>
      </x:c>
      <x:c r="J7222" s="12" t="str">
        <x:v>Engineering &amp; manufacturing</x:v>
      </x:c>
      <x:c r="K7222" s="2" t="str">
        <x:v>PARTNER-M051</x:v>
      </x:c>
    </x:row>
    <x:row r="7223" ht="46" customHeight="1">
      <x:c r="A7223" s="2" t="str">
        <x:v>TEN-6229AE0860C6</x:v>
      </x:c>
      <x:c r="B7223" s="12" t="str">
        <x:v>AXA Technologies Shared Services</x:v>
      </x:c>
      <x:c r="C7223" s="12" t="str">
        <x:v>CORP-0471</x:v>
      </x:c>
      <x:c r="D7223" s="12" t="str">
        <x:v>Bengaluru</x:v>
      </x:c>
      <x:c r="E7223" s="12" t="str">
        <x:v>Manyata Tech park - Mfar</x:v>
      </x:c>
      <x:c r="F7223" s="12" t="str">
        <x:v>55 inch</x:v>
      </x:c>
      <x:c r="G7223" s="20" t="n">
        <x:v>1</x:v>
      </x:c>
      <x:c r="H7223" s="12" t="str">
        <x:v>Campus/portfolio roster; individual building occupancy unverified</x:v>
      </x:c>
      <x:c r="I7223" s="12" t="str">
        <x:v>Large enterprise</x:v>
      </x:c>
      <x:c r="J7223" s="12" t="str">
        <x:v>IT &amp; digital</x:v>
      </x:c>
      <x:c r="K7223" s="2" t="str">
        <x:v>PARTNER-M051</x:v>
      </x:c>
    </x:row>
    <x:row r="7224" ht="46" customHeight="1">
      <x:c r="A7224" s="2" t="str">
        <x:v>TEN-63E44AFB32E5</x:v>
      </x:c>
      <x:c r="B7224" s="12" t="str">
        <x:v>Gaea Technologies</x:v>
      </x:c>
      <x:c r="C7224" s="12" t="str">
        <x:v>CORP-0471</x:v>
      </x:c>
      <x:c r="D7224" s="12" t="str">
        <x:v>Bengaluru</x:v>
      </x:c>
      <x:c r="E7224" s="12" t="str">
        <x:v>Manyata Tech park - Mfar</x:v>
      </x:c>
      <x:c r="F7224" s="12" t="str">
        <x:v>55 inch</x:v>
      </x:c>
      <x:c r="G7224" s="20" t="n">
        <x:v>1</x:v>
      </x:c>
      <x:c r="H7224" s="12" t="str">
        <x:v>Campus/portfolio roster; individual building occupancy unverified</x:v>
      </x:c>
      <x:c r="I7224" s="12" t="str">
        <x:v>Mixed business audience</x:v>
      </x:c>
      <x:c r="J7224" s="12" t="str">
        <x:v>Unresolved</x:v>
      </x:c>
      <x:c r="K7224" s="2" t="str">
        <x:v>PARTNER-M051</x:v>
      </x:c>
    </x:row>
    <x:row r="7225" ht="46" customHeight="1">
      <x:c r="A7225" s="2" t="str">
        <x:v>TEN-6726DCA55EB6</x:v>
      </x:c>
      <x:c r="B7225" s="12" t="str">
        <x:v>i4 Global Information Technologies Ltd</x:v>
      </x:c>
      <x:c r="C7225" s="12" t="str">
        <x:v>CORP-0471</x:v>
      </x:c>
      <x:c r="D7225" s="12" t="str">
        <x:v>Bengaluru</x:v>
      </x:c>
      <x:c r="E7225" s="12" t="str">
        <x:v>Manyata Tech park - Mfar</x:v>
      </x:c>
      <x:c r="F7225" s="12" t="str">
        <x:v>55 inch</x:v>
      </x:c>
      <x:c r="G7225" s="20" t="n">
        <x:v>1</x:v>
      </x:c>
      <x:c r="H7225" s="12" t="str">
        <x:v>Campus/portfolio roster; individual building occupancy unverified</x:v>
      </x:c>
      <x:c r="I7225" s="12" t="str">
        <x:v>Small-scale prospects</x:v>
      </x:c>
      <x:c r="J7225" s="12" t="str">
        <x:v>IT &amp; digital</x:v>
      </x:c>
      <x:c r="K7225" s="2" t="str">
        <x:v>PARTNER-M051</x:v>
      </x:c>
    </x:row>
    <x:row r="7226" ht="46" customHeight="1">
      <x:c r="A7226" s="2" t="str">
        <x:v>TEN-6BEB399B4462</x:v>
      </x:c>
      <x:c r="B7226" s="12" t="str">
        <x:v>Nuance Communications</x:v>
      </x:c>
      <x:c r="C7226" s="12" t="str">
        <x:v>CORP-0471</x:v>
      </x:c>
      <x:c r="D7226" s="12" t="str">
        <x:v>Bengaluru</x:v>
      </x:c>
      <x:c r="E7226" s="12" t="str">
        <x:v>Manyata Tech park - Mfar</x:v>
      </x:c>
      <x:c r="F7226" s="12" t="str">
        <x:v>55 inch</x:v>
      </x:c>
      <x:c r="G7226" s="20" t="n">
        <x:v>1</x:v>
      </x:c>
      <x:c r="H7226" s="12" t="str">
        <x:v>Campus/portfolio roster; individual building occupancy unverified</x:v>
      </x:c>
      <x:c r="I7226" s="12" t="str">
        <x:v>Mixed business audience</x:v>
      </x:c>
      <x:c r="J7226" s="12" t="str">
        <x:v>IT &amp; digital</x:v>
      </x:c>
      <x:c r="K7226" s="2" t="str">
        <x:v>PARTNER-M051</x:v>
      </x:c>
    </x:row>
    <x:row r="7227" ht="46" customHeight="1">
      <x:c r="A7227" s="2" t="str">
        <x:v>TEN-7A03B2E48987</x:v>
      </x:c>
      <x:c r="B7227" s="12" t="str">
        <x:v>Cerner</x:v>
      </x:c>
      <x:c r="C7227" s="12" t="str">
        <x:v>CORP-0471</x:v>
      </x:c>
      <x:c r="D7227" s="12" t="str">
        <x:v>Bengaluru</x:v>
      </x:c>
      <x:c r="E7227" s="12" t="str">
        <x:v>Manyata Tech park - Mfar</x:v>
      </x:c>
      <x:c r="F7227" s="12" t="str">
        <x:v>55 inch</x:v>
      </x:c>
      <x:c r="G7227" s="20" t="n">
        <x:v>1</x:v>
      </x:c>
      <x:c r="H7227" s="12" t="str">
        <x:v>Campus/portfolio roster; individual building occupancy unverified</x:v>
      </x:c>
      <x:c r="I7227" s="12" t="str">
        <x:v>Mixed business audience</x:v>
      </x:c>
      <x:c r="J7227" s="12" t="str">
        <x:v>Healthcare &amp; life sciences</x:v>
      </x:c>
      <x:c r="K7227" s="2" t="str">
        <x:v>PARTNER-M051</x:v>
      </x:c>
    </x:row>
    <x:row r="7228" ht="46" customHeight="1">
      <x:c r="A7228" s="2" t="str">
        <x:v>TEN-7E1EAB7E3FF2</x:v>
      </x:c>
      <x:c r="B7228" s="12" t="str">
        <x:v>Phani Information Technologies Ltd</x:v>
      </x:c>
      <x:c r="C7228" s="12" t="str">
        <x:v>CORP-0471</x:v>
      </x:c>
      <x:c r="D7228" s="12" t="str">
        <x:v>Bengaluru</x:v>
      </x:c>
      <x:c r="E7228" s="12" t="str">
        <x:v>Manyata Tech park - Mfar</x:v>
      </x:c>
      <x:c r="F7228" s="12" t="str">
        <x:v>55 inch</x:v>
      </x:c>
      <x:c r="G7228" s="20" t="n">
        <x:v>1</x:v>
      </x:c>
      <x:c r="H7228" s="12" t="str">
        <x:v>Campus/portfolio roster; individual building occupancy unverified</x:v>
      </x:c>
      <x:c r="I7228" s="12" t="str">
        <x:v>Small-scale prospects</x:v>
      </x:c>
      <x:c r="J7228" s="12" t="str">
        <x:v>IT &amp; digital</x:v>
      </x:c>
      <x:c r="K7228" s="2" t="str">
        <x:v>PARTNER-M051</x:v>
      </x:c>
    </x:row>
    <x:row r="7229" ht="46" customHeight="1">
      <x:c r="A7229" s="2" t="str">
        <x:v>TEN-7E287D3F75D5</x:v>
      </x:c>
      <x:c r="B7229" s="12" t="str">
        <x:v>Kinapse</x:v>
      </x:c>
      <x:c r="C7229" s="12" t="str">
        <x:v>CORP-0471</x:v>
      </x:c>
      <x:c r="D7229" s="12" t="str">
        <x:v>Bengaluru</x:v>
      </x:c>
      <x:c r="E7229" s="12" t="str">
        <x:v>Manyata Tech park - Mfar</x:v>
      </x:c>
      <x:c r="F7229" s="12" t="str">
        <x:v>55 inch</x:v>
      </x:c>
      <x:c r="G7229" s="20" t="n">
        <x:v>1</x:v>
      </x:c>
      <x:c r="H7229" s="12" t="str">
        <x:v>Campus/portfolio roster; individual building occupancy unverified</x:v>
      </x:c>
      <x:c r="I7229" s="12" t="str">
        <x:v>Mixed business audience</x:v>
      </x:c>
      <x:c r="J7229" s="12" t="str">
        <x:v>Healthcare &amp; life sciences</x:v>
      </x:c>
      <x:c r="K7229" s="2" t="str">
        <x:v>PARTNER-M051</x:v>
      </x:c>
    </x:row>
    <x:row r="7230" ht="46" customHeight="1">
      <x:c r="A7230" s="2" t="str">
        <x:v>TEN-804B19934A31</x:v>
      </x:c>
      <x:c r="B7230" s="12" t="str">
        <x:v>Invecas Inc</x:v>
      </x:c>
      <x:c r="C7230" s="12" t="str">
        <x:v>CORP-0471</x:v>
      </x:c>
      <x:c r="D7230" s="12" t="str">
        <x:v>Bengaluru</x:v>
      </x:c>
      <x:c r="E7230" s="12" t="str">
        <x:v>Manyata Tech park - Mfar</x:v>
      </x:c>
      <x:c r="F7230" s="12" t="str">
        <x:v>55 inch</x:v>
      </x:c>
      <x:c r="G7230" s="20" t="n">
        <x:v>1</x:v>
      </x:c>
      <x:c r="H7230" s="12" t="str">
        <x:v>Campus/portfolio roster; individual building occupancy unverified</x:v>
      </x:c>
      <x:c r="I7230" s="12" t="str">
        <x:v>Medium-scale prospects</x:v>
      </x:c>
      <x:c r="J7230" s="12" t="str">
        <x:v>Engineering &amp; manufacturing</x:v>
      </x:c>
      <x:c r="K7230" s="2" t="str">
        <x:v>PARTNER-M051</x:v>
      </x:c>
    </x:row>
    <x:row r="7231" ht="46" customHeight="1">
      <x:c r="A7231" s="2" t="str">
        <x:v>TEN-86F73DFE7BB6</x:v>
      </x:c>
      <x:c r="B7231" s="12" t="str">
        <x:v>Cognizant</x:v>
      </x:c>
      <x:c r="C7231" s="12" t="str">
        <x:v>CORP-0471</x:v>
      </x:c>
      <x:c r="D7231" s="12" t="str">
        <x:v>Bengaluru</x:v>
      </x:c>
      <x:c r="E7231" s="12" t="str">
        <x:v>Manyata Tech park - Mfar</x:v>
      </x:c>
      <x:c r="F7231" s="12" t="str">
        <x:v>55 inch</x:v>
      </x:c>
      <x:c r="G7231" s="20" t="n">
        <x:v>1</x:v>
      </x:c>
      <x:c r="H7231" s="12" t="str">
        <x:v>Campus/portfolio roster; individual building occupancy unverified</x:v>
      </x:c>
      <x:c r="I7231" s="12" t="str">
        <x:v>Large enterprise</x:v>
      </x:c>
      <x:c r="J7231" s="12" t="str">
        <x:v>IT &amp; digital</x:v>
      </x:c>
      <x:c r="K7231" s="2" t="str">
        <x:v>PARTNER-M051</x:v>
      </x:c>
    </x:row>
    <x:row r="7232" ht="46" customHeight="1">
      <x:c r="A7232" s="2" t="str">
        <x:v>TEN-8A0F00910447</x:v>
      </x:c>
      <x:c r="B7232" s="12" t="str">
        <x:v>Jurimatrix</x:v>
      </x:c>
      <x:c r="C7232" s="12" t="str">
        <x:v>CORP-0471</x:v>
      </x:c>
      <x:c r="D7232" s="12" t="str">
        <x:v>Bengaluru</x:v>
      </x:c>
      <x:c r="E7232" s="12" t="str">
        <x:v>Manyata Tech park - Mfar</x:v>
      </x:c>
      <x:c r="F7232" s="12" t="str">
        <x:v>55 inch</x:v>
      </x:c>
      <x:c r="G7232" s="20" t="n">
        <x:v>1</x:v>
      </x:c>
      <x:c r="H7232" s="12" t="str">
        <x:v>Campus/portfolio roster; individual building occupancy unverified</x:v>
      </x:c>
      <x:c r="I7232" s="12" t="str">
        <x:v>Small-scale prospects</x:v>
      </x:c>
      <x:c r="J7232" s="12" t="str">
        <x:v>Professional services</x:v>
      </x:c>
      <x:c r="K7232" s="2" t="str">
        <x:v>PARTNER-M051</x:v>
      </x:c>
    </x:row>
    <x:row r="7233" ht="46" customHeight="1">
      <x:c r="A7233" s="2" t="str">
        <x:v>TEN-8D4321D93632</x:v>
      </x:c>
      <x:c r="B7233" s="12" t="str">
        <x:v>Nvidia</x:v>
      </x:c>
      <x:c r="C7233" s="12" t="str">
        <x:v>CORP-0471</x:v>
      </x:c>
      <x:c r="D7233" s="12" t="str">
        <x:v>Bengaluru</x:v>
      </x:c>
      <x:c r="E7233" s="12" t="str">
        <x:v>Manyata Tech park - Mfar</x:v>
      </x:c>
      <x:c r="F7233" s="12" t="str">
        <x:v>55 inch</x:v>
      </x:c>
      <x:c r="G7233" s="20" t="n">
        <x:v>1</x:v>
      </x:c>
      <x:c r="H7233" s="12" t="str">
        <x:v>Campus/portfolio roster; individual building occupancy unverified</x:v>
      </x:c>
      <x:c r="I7233" s="12" t="str">
        <x:v>Large enterprise</x:v>
      </x:c>
      <x:c r="J7233" s="12" t="str">
        <x:v>Engineering &amp; manufacturing</x:v>
      </x:c>
      <x:c r="K7233" s="2" t="str">
        <x:v>PARTNER-M051</x:v>
      </x:c>
    </x:row>
    <x:row r="7234" ht="46" customHeight="1">
      <x:c r="A7234" s="2" t="str">
        <x:v>TEN-92CD56DC627C</x:v>
      </x:c>
      <x:c r="B7234" s="12" t="str">
        <x:v>Mast Global Business Services India Pvt. Ltd</x:v>
      </x:c>
      <x:c r="C7234" s="12" t="str">
        <x:v>CORP-0471</x:v>
      </x:c>
      <x:c r="D7234" s="12" t="str">
        <x:v>Bengaluru</x:v>
      </x:c>
      <x:c r="E7234" s="12" t="str">
        <x:v>Manyata Tech park - Mfar</x:v>
      </x:c>
      <x:c r="F7234" s="12" t="str">
        <x:v>55 inch</x:v>
      </x:c>
      <x:c r="G7234" s="20" t="n">
        <x:v>1</x:v>
      </x:c>
      <x:c r="H7234" s="12" t="str">
        <x:v>Campus/portfolio roster; individual building occupancy unverified</x:v>
      </x:c>
      <x:c r="I7234" s="12" t="str">
        <x:v>Mixed business audience</x:v>
      </x:c>
      <x:c r="J7234" s="12" t="str">
        <x:v>Unresolved</x:v>
      </x:c>
      <x:c r="K7234" s="2" t="str">
        <x:v>PARTNER-M051</x:v>
      </x:c>
    </x:row>
    <x:row r="7235" ht="46" customHeight="1">
      <x:c r="A7235" s="2" t="str">
        <x:v>TEN-955D5077F546</x:v>
      </x:c>
      <x:c r="B7235" s="12" t="str">
        <x:v>Atlas Copco</x:v>
      </x:c>
      <x:c r="C7235" s="12" t="str">
        <x:v>CORP-0471</x:v>
      </x:c>
      <x:c r="D7235" s="12" t="str">
        <x:v>Bengaluru</x:v>
      </x:c>
      <x:c r="E7235" s="12" t="str">
        <x:v>Manyata Tech park - Mfar</x:v>
      </x:c>
      <x:c r="F7235" s="12" t="str">
        <x:v>55 inch</x:v>
      </x:c>
      <x:c r="G7235" s="20" t="n">
        <x:v>1</x:v>
      </x:c>
      <x:c r="H7235" s="12" t="str">
        <x:v>Campus/portfolio roster; individual building occupancy unverified</x:v>
      </x:c>
      <x:c r="I7235" s="12" t="str">
        <x:v>Mixed business audience</x:v>
      </x:c>
      <x:c r="J7235" s="12" t="str">
        <x:v>Engineering &amp; manufacturing</x:v>
      </x:c>
      <x:c r="K7235" s="2" t="str">
        <x:v>PARTNER-M051</x:v>
      </x:c>
    </x:row>
    <x:row r="7236" ht="46" customHeight="1">
      <x:c r="A7236" s="2" t="str">
        <x:v>TEN-957870226159</x:v>
      </x:c>
      <x:c r="B7236" s="12" t="str">
        <x:v>NXP Semiconductors</x:v>
      </x:c>
      <x:c r="C7236" s="12" t="str">
        <x:v>CORP-0471</x:v>
      </x:c>
      <x:c r="D7236" s="12" t="str">
        <x:v>Bengaluru</x:v>
      </x:c>
      <x:c r="E7236" s="12" t="str">
        <x:v>Manyata Tech park - Mfar</x:v>
      </x:c>
      <x:c r="F7236" s="12" t="str">
        <x:v>55 inch</x:v>
      </x:c>
      <x:c r="G7236" s="20" t="n">
        <x:v>1</x:v>
      </x:c>
      <x:c r="H7236" s="12" t="str">
        <x:v>Campus/portfolio roster; individual building occupancy unverified</x:v>
      </x:c>
      <x:c r="I7236" s="12" t="str">
        <x:v>Mixed business audience</x:v>
      </x:c>
      <x:c r="J7236" s="12" t="str">
        <x:v>Engineering &amp; manufacturing</x:v>
      </x:c>
      <x:c r="K7236" s="2" t="str">
        <x:v>PARTNER-M051</x:v>
      </x:c>
    </x:row>
    <x:row r="7237" ht="46" customHeight="1">
      <x:c r="A7237" s="2" t="str">
        <x:v>TEN-9891CBD98729</x:v>
      </x:c>
      <x:c r="B7237" s="12" t="str">
        <x:v>Northern Trust</x:v>
      </x:c>
      <x:c r="C7237" s="12" t="str">
        <x:v>CORP-0471</x:v>
      </x:c>
      <x:c r="D7237" s="12" t="str">
        <x:v>Bengaluru</x:v>
      </x:c>
      <x:c r="E7237" s="12" t="str">
        <x:v>Manyata Tech park - Mfar</x:v>
      </x:c>
      <x:c r="F7237" s="12" t="str">
        <x:v>55 inch</x:v>
      </x:c>
      <x:c r="G7237" s="20" t="n">
        <x:v>1</x:v>
      </x:c>
      <x:c r="H7237" s="12" t="str">
        <x:v>Campus/portfolio roster; individual building occupancy unverified</x:v>
      </x:c>
      <x:c r="I7237" s="12" t="str">
        <x:v>Large enterprise</x:v>
      </x:c>
      <x:c r="J7237" s="12" t="str">
        <x:v>Finance &amp; insurance</x:v>
      </x:c>
      <x:c r="K7237" s="2" t="str">
        <x:v>PARTNER-M051</x:v>
      </x:c>
    </x:row>
    <x:row r="7238" ht="46" customHeight="1">
      <x:c r="A7238" s="2" t="str">
        <x:v>TEN-9FBF261B62C1</x:v>
      </x:c>
      <x:c r="B7238" s="12" t="str">
        <x:v>Microsoft</x:v>
      </x:c>
      <x:c r="C7238" s="12" t="str">
        <x:v>CORP-0471</x:v>
      </x:c>
      <x:c r="D7238" s="12" t="str">
        <x:v>Bengaluru</x:v>
      </x:c>
      <x:c r="E7238" s="12" t="str">
        <x:v>Manyata Tech park - Mfar</x:v>
      </x:c>
      <x:c r="F7238" s="12" t="str">
        <x:v>55 inch</x:v>
      </x:c>
      <x:c r="G7238" s="20" t="n">
        <x:v>1</x:v>
      </x:c>
      <x:c r="H7238" s="12" t="str">
        <x:v>Campus/portfolio roster; individual building occupancy unverified</x:v>
      </x:c>
      <x:c r="I7238" s="12" t="str">
        <x:v>Large enterprise</x:v>
      </x:c>
      <x:c r="J7238" s="12" t="str">
        <x:v>IT &amp; digital</x:v>
      </x:c>
      <x:c r="K7238" s="2" t="str">
        <x:v>PARTNER-M051</x:v>
      </x:c>
    </x:row>
    <x:row r="7239" ht="46" customHeight="1">
      <x:c r="A7239" s="2" t="str">
        <x:v>TEN-A1A5873B72DA</x:v>
      </x:c>
      <x:c r="B7239" s="12" t="str">
        <x:v>Colt Technologies</x:v>
      </x:c>
      <x:c r="C7239" s="12" t="str">
        <x:v>CORP-0471</x:v>
      </x:c>
      <x:c r="D7239" s="12" t="str">
        <x:v>Bengaluru</x:v>
      </x:c>
      <x:c r="E7239" s="12" t="str">
        <x:v>Manyata Tech park - Mfar</x:v>
      </x:c>
      <x:c r="F7239" s="12" t="str">
        <x:v>55 inch</x:v>
      </x:c>
      <x:c r="G7239" s="20" t="n">
        <x:v>1</x:v>
      </x:c>
      <x:c r="H7239" s="12" t="str">
        <x:v>Campus/portfolio roster; individual building occupancy unverified</x:v>
      </x:c>
      <x:c r="I7239" s="12" t="str">
        <x:v>Mixed business audience</x:v>
      </x:c>
      <x:c r="J7239" s="12" t="str">
        <x:v>IT &amp; digital</x:v>
      </x:c>
      <x:c r="K7239" s="2" t="str">
        <x:v>PARTNER-M051</x:v>
      </x:c>
    </x:row>
    <x:row r="7240" ht="46" customHeight="1">
      <x:c r="A7240" s="2" t="str">
        <x:v>TEN-A9F65BF11B3A</x:v>
      </x:c>
      <x:c r="B7240" s="12" t="str">
        <x:v>JCPenney</x:v>
      </x:c>
      <x:c r="C7240" s="12" t="str">
        <x:v>CORP-0471</x:v>
      </x:c>
      <x:c r="D7240" s="12" t="str">
        <x:v>Bengaluru</x:v>
      </x:c>
      <x:c r="E7240" s="12" t="str">
        <x:v>Manyata Tech park - Mfar</x:v>
      </x:c>
      <x:c r="F7240" s="12" t="str">
        <x:v>55 inch</x:v>
      </x:c>
      <x:c r="G7240" s="20" t="n">
        <x:v>1</x:v>
      </x:c>
      <x:c r="H7240" s="12" t="str">
        <x:v>Campus/portfolio roster; individual building occupancy unverified</x:v>
      </x:c>
      <x:c r="I7240" s="12" t="str">
        <x:v>Large enterprise</x:v>
      </x:c>
      <x:c r="J7240" s="12" t="str">
        <x:v>Trade, consumer &amp; logistics</x:v>
      </x:c>
      <x:c r="K7240" s="2" t="str">
        <x:v>PARTNER-M051</x:v>
      </x:c>
    </x:row>
    <x:row r="7241" ht="46" customHeight="1">
      <x:c r="A7241" s="2" t="str">
        <x:v>TEN-B19CA7C8E2F1</x:v>
      </x:c>
      <x:c r="B7241" s="12" t="str">
        <x:v>Rolls-Royce</x:v>
      </x:c>
      <x:c r="C7241" s="12" t="str">
        <x:v>CORP-0471</x:v>
      </x:c>
      <x:c r="D7241" s="12" t="str">
        <x:v>Bengaluru</x:v>
      </x:c>
      <x:c r="E7241" s="12" t="str">
        <x:v>Manyata Tech park - Mfar</x:v>
      </x:c>
      <x:c r="F7241" s="12" t="str">
        <x:v>55 inch</x:v>
      </x:c>
      <x:c r="G7241" s="20" t="n">
        <x:v>1</x:v>
      </x:c>
      <x:c r="H7241" s="12" t="str">
        <x:v>Campus/portfolio roster; individual building occupancy unverified</x:v>
      </x:c>
      <x:c r="I7241" s="12" t="str">
        <x:v>Large enterprise</x:v>
      </x:c>
      <x:c r="J7241" s="12" t="str">
        <x:v>Engineering &amp; manufacturing</x:v>
      </x:c>
      <x:c r="K7241" s="2" t="str">
        <x:v>PARTNER-M051</x:v>
      </x:c>
    </x:row>
    <x:row r="7242" ht="46" customHeight="1">
      <x:c r="A7242" s="2" t="str">
        <x:v>TEN-B477D484C9C9</x:v>
      </x:c>
      <x:c r="B7242" s="12" t="str">
        <x:v>Flightraja Travels (Via.com)</x:v>
      </x:c>
      <x:c r="C7242" s="12" t="str">
        <x:v>CORP-0471</x:v>
      </x:c>
      <x:c r="D7242" s="12" t="str">
        <x:v>Bengaluru</x:v>
      </x:c>
      <x:c r="E7242" s="12" t="str">
        <x:v>Manyata Tech park - Mfar</x:v>
      </x:c>
      <x:c r="F7242" s="12" t="str">
        <x:v>55 inch</x:v>
      </x:c>
      <x:c r="G7242" s="20" t="n">
        <x:v>1</x:v>
      </x:c>
      <x:c r="H7242" s="12" t="str">
        <x:v>Campus/portfolio roster; individual building occupancy unverified</x:v>
      </x:c>
      <x:c r="I7242" s="12" t="str">
        <x:v>Mixed business audience</x:v>
      </x:c>
      <x:c r="J7242" s="12" t="str">
        <x:v>Trade, consumer &amp; logistics</x:v>
      </x:c>
      <x:c r="K7242" s="2" t="str">
        <x:v>PARTNER-M051</x:v>
      </x:c>
    </x:row>
    <x:row r="7243" ht="46" customHeight="1">
      <x:c r="A7243" s="2" t="str">
        <x:v>TEN-B7E189530240</x:v>
      </x:c>
      <x:c r="B7243" s="12" t="str">
        <x:v>Monsanto Holdings</x:v>
      </x:c>
      <x:c r="C7243" s="12" t="str">
        <x:v>CORP-0471</x:v>
      </x:c>
      <x:c r="D7243" s="12" t="str">
        <x:v>Bengaluru</x:v>
      </x:c>
      <x:c r="E7243" s="12" t="str">
        <x:v>Manyata Tech park - Mfar</x:v>
      </x:c>
      <x:c r="F7243" s="12" t="str">
        <x:v>55 inch</x:v>
      </x:c>
      <x:c r="G7243" s="20" t="n">
        <x:v>1</x:v>
      </x:c>
      <x:c r="H7243" s="12" t="str">
        <x:v>Campus/portfolio roster; individual building occupancy unverified</x:v>
      </x:c>
      <x:c r="I7243" s="12" t="str">
        <x:v>Mixed business audience</x:v>
      </x:c>
      <x:c r="J7243" s="12" t="str">
        <x:v>Engineering &amp; manufacturing</x:v>
      </x:c>
      <x:c r="K7243" s="2" t="str">
        <x:v>PARTNER-M051</x:v>
      </x:c>
    </x:row>
    <x:row r="7244" ht="46" customHeight="1">
      <x:c r="A7244" s="2" t="str">
        <x:v>TEN-BA6AE2780CD4</x:v>
      </x:c>
      <x:c r="B7244" s="12" t="str">
        <x:v>Concentrix</x:v>
      </x:c>
      <x:c r="C7244" s="12" t="str">
        <x:v>CORP-0471</x:v>
      </x:c>
      <x:c r="D7244" s="12" t="str">
        <x:v>Bengaluru</x:v>
      </x:c>
      <x:c r="E7244" s="12" t="str">
        <x:v>Manyata Tech park - Mfar</x:v>
      </x:c>
      <x:c r="F7244" s="12" t="str">
        <x:v>55 inch</x:v>
      </x:c>
      <x:c r="G7244" s="20" t="n">
        <x:v>1</x:v>
      </x:c>
      <x:c r="H7244" s="12" t="str">
        <x:v>Campus/portfolio roster; individual building occupancy unverified</x:v>
      </x:c>
      <x:c r="I7244" s="12" t="str">
        <x:v>Large enterprise</x:v>
      </x:c>
      <x:c r="J7244" s="12" t="str">
        <x:v>IT &amp; digital</x:v>
      </x:c>
      <x:c r="K7244" s="2" t="str">
        <x:v>PARTNER-M051</x:v>
      </x:c>
    </x:row>
    <x:row r="7245" ht="46" customHeight="1">
      <x:c r="A7245" s="2" t="str">
        <x:v>TEN-C80EF940CC50</x:v>
      </x:c>
      <x:c r="B7245" s="12" t="str">
        <x:v>Nokia Networks (Earlier known as NSN or Nokia Siemens Networks)</x:v>
      </x:c>
      <x:c r="C7245" s="12" t="str">
        <x:v>CORP-0471</x:v>
      </x:c>
      <x:c r="D7245" s="12" t="str">
        <x:v>Bengaluru</x:v>
      </x:c>
      <x:c r="E7245" s="12" t="str">
        <x:v>Manyata Tech park - Mfar</x:v>
      </x:c>
      <x:c r="F7245" s="12" t="str">
        <x:v>55 inch</x:v>
      </x:c>
      <x:c r="G7245" s="20" t="n">
        <x:v>1</x:v>
      </x:c>
      <x:c r="H7245" s="12" t="str">
        <x:v>Campus/portfolio roster; individual building occupancy unverified</x:v>
      </x:c>
      <x:c r="I7245" s="12" t="str">
        <x:v>Large enterprise</x:v>
      </x:c>
      <x:c r="J7245" s="12" t="str">
        <x:v>IT &amp; digital</x:v>
      </x:c>
      <x:c r="K7245" s="2" t="str">
        <x:v>PARTNER-M051</x:v>
      </x:c>
    </x:row>
    <x:row r="7246" ht="46" customHeight="1">
      <x:c r="A7246" s="2" t="str">
        <x:v>TEN-C9DBDD187EBA</x:v>
      </x:c>
      <x:c r="B7246" s="12" t="str">
        <x:v>Redknee</x:v>
      </x:c>
      <x:c r="C7246" s="12" t="str">
        <x:v>CORP-0471</x:v>
      </x:c>
      <x:c r="D7246" s="12" t="str">
        <x:v>Bengaluru</x:v>
      </x:c>
      <x:c r="E7246" s="12" t="str">
        <x:v>Manyata Tech park - Mfar</x:v>
      </x:c>
      <x:c r="F7246" s="12" t="str">
        <x:v>55 inch</x:v>
      </x:c>
      <x:c r="G7246" s="20" t="n">
        <x:v>1</x:v>
      </x:c>
      <x:c r="H7246" s="12" t="str">
        <x:v>Campus/portfolio roster; individual building occupancy unverified</x:v>
      </x:c>
      <x:c r="I7246" s="12" t="str">
        <x:v>Mixed business audience</x:v>
      </x:c>
      <x:c r="J7246" s="12" t="str">
        <x:v>IT &amp; digital</x:v>
      </x:c>
      <x:c r="K7246" s="2" t="str">
        <x:v>PARTNER-M051</x:v>
      </x:c>
    </x:row>
    <x:row r="7247" ht="46" customHeight="1">
      <x:c r="A7247" s="2" t="str">
        <x:v>TEN-CAD973567458</x:v>
      </x:c>
      <x:c r="B7247" s="12" t="str">
        <x:v>Andritz AG</x:v>
      </x:c>
      <x:c r="C7247" s="12" t="str">
        <x:v>CORP-0471</x:v>
      </x:c>
      <x:c r="D7247" s="12" t="str">
        <x:v>Bengaluru</x:v>
      </x:c>
      <x:c r="E7247" s="12" t="str">
        <x:v>Manyata Tech park - Mfar</x:v>
      </x:c>
      <x:c r="F7247" s="12" t="str">
        <x:v>55 inch</x:v>
      </x:c>
      <x:c r="G7247" s="20" t="n">
        <x:v>1</x:v>
      </x:c>
      <x:c r="H7247" s="12" t="str">
        <x:v>Campus/portfolio roster; individual building occupancy unverified</x:v>
      </x:c>
      <x:c r="I7247" s="12" t="str">
        <x:v>Mixed business audience</x:v>
      </x:c>
      <x:c r="J7247" s="12" t="str">
        <x:v>Engineering &amp; manufacturing</x:v>
      </x:c>
      <x:c r="K7247" s="2" t="str">
        <x:v>PARTNER-M051</x:v>
      </x:c>
    </x:row>
    <x:row r="7248" ht="46" customHeight="1">
      <x:c r="A7248" s="2" t="str">
        <x:v>TEN-D3D424C3C181</x:v>
      </x:c>
      <x:c r="B7248" s="12" t="str">
        <x:v>IBM India Pvt. Ltd</x:v>
      </x:c>
      <x:c r="C7248" s="12" t="str">
        <x:v>CORP-0471</x:v>
      </x:c>
      <x:c r="D7248" s="12" t="str">
        <x:v>Bengaluru</x:v>
      </x:c>
      <x:c r="E7248" s="12" t="str">
        <x:v>Manyata Tech park - Mfar</x:v>
      </x:c>
      <x:c r="F7248" s="12" t="str">
        <x:v>55 inch</x:v>
      </x:c>
      <x:c r="G7248" s="20" t="n">
        <x:v>1</x:v>
      </x:c>
      <x:c r="H7248" s="12" t="str">
        <x:v>Campus/portfolio roster; individual building occupancy unverified</x:v>
      </x:c>
      <x:c r="I7248" s="12" t="str">
        <x:v>Large enterprise</x:v>
      </x:c>
      <x:c r="J7248" s="12" t="str">
        <x:v>IT &amp; digital</x:v>
      </x:c>
      <x:c r="K7248" s="2" t="str">
        <x:v>PARTNER-M051</x:v>
      </x:c>
    </x:row>
    <x:row r="7249" ht="46" customHeight="1">
      <x:c r="A7249" s="2" t="str">
        <x:v>TEN-DD4CB9CF52F0</x:v>
      </x:c>
      <x:c r="B7249" s="12" t="str">
        <x:v>Philips</x:v>
      </x:c>
      <x:c r="C7249" s="12" t="str">
        <x:v>CORP-0471</x:v>
      </x:c>
      <x:c r="D7249" s="12" t="str">
        <x:v>Bengaluru</x:v>
      </x:c>
      <x:c r="E7249" s="12" t="str">
        <x:v>Manyata Tech park - Mfar</x:v>
      </x:c>
      <x:c r="F7249" s="12" t="str">
        <x:v>55 inch</x:v>
      </x:c>
      <x:c r="G7249" s="20" t="n">
        <x:v>1</x:v>
      </x:c>
      <x:c r="H7249" s="12" t="str">
        <x:v>Campus/portfolio roster; individual building occupancy unverified</x:v>
      </x:c>
      <x:c r="I7249" s="12" t="str">
        <x:v>Large enterprise</x:v>
      </x:c>
      <x:c r="J7249" s="12" t="str">
        <x:v>Engineering &amp; manufacturing</x:v>
      </x:c>
      <x:c r="K7249" s="2" t="str">
        <x:v>PARTNER-M051</x:v>
      </x:c>
    </x:row>
    <x:row r="7250" ht="46" customHeight="1">
      <x:c r="A7250" s="2" t="str">
        <x:v>TEN-DF1BD710E8BF</x:v>
      </x:c>
      <x:c r="B7250" s="12" t="str">
        <x:v>Mitel (Earlier known as Mavenir Systems)</x:v>
      </x:c>
      <x:c r="C7250" s="12" t="str">
        <x:v>CORP-0471</x:v>
      </x:c>
      <x:c r="D7250" s="12" t="str">
        <x:v>Bengaluru</x:v>
      </x:c>
      <x:c r="E7250" s="12" t="str">
        <x:v>Manyata Tech park - Mfar</x:v>
      </x:c>
      <x:c r="F7250" s="12" t="str">
        <x:v>55 inch</x:v>
      </x:c>
      <x:c r="G7250" s="20" t="n">
        <x:v>1</x:v>
      </x:c>
      <x:c r="H7250" s="12" t="str">
        <x:v>Campus/portfolio roster; individual building occupancy unverified</x:v>
      </x:c>
      <x:c r="I7250" s="12" t="str">
        <x:v>Mixed business audience</x:v>
      </x:c>
      <x:c r="J7250" s="12" t="str">
        <x:v>IT &amp; digital</x:v>
      </x:c>
      <x:c r="K7250" s="2" t="str">
        <x:v>PARTNER-M051</x:v>
      </x:c>
    </x:row>
    <x:row r="7251" ht="46" customHeight="1">
      <x:c r="A7251" s="2" t="str">
        <x:v>TEN-E7F9F6E5FC3F</x:v>
      </x:c>
      <x:c r="B7251" s="12" t="str">
        <x:v>Aditi Technologies</x:v>
      </x:c>
      <x:c r="C7251" s="12" t="str">
        <x:v>CORP-0471</x:v>
      </x:c>
      <x:c r="D7251" s="12" t="str">
        <x:v>Bengaluru</x:v>
      </x:c>
      <x:c r="E7251" s="12" t="str">
        <x:v>Manyata Tech park - Mfar</x:v>
      </x:c>
      <x:c r="F7251" s="12" t="str">
        <x:v>55 inch</x:v>
      </x:c>
      <x:c r="G7251" s="20" t="n">
        <x:v>1</x:v>
      </x:c>
      <x:c r="H7251" s="12" t="str">
        <x:v>Campus/portfolio roster; individual building occupancy unverified</x:v>
      </x:c>
      <x:c r="I7251" s="12" t="str">
        <x:v>Mixed business audience</x:v>
      </x:c>
      <x:c r="J7251" s="12" t="str">
        <x:v>IT &amp; digital</x:v>
      </x:c>
      <x:c r="K7251" s="2" t="str">
        <x:v>PARTNER-M051</x:v>
      </x:c>
    </x:row>
    <x:row r="7252" ht="46" customHeight="1">
      <x:c r="A7252" s="2" t="str">
        <x:v>TEN-EA10CA8A1008</x:v>
      </x:c>
      <x:c r="B7252" s="12" t="str">
        <x:v>Lowe's Services India Pvt. Ltd</x:v>
      </x:c>
      <x:c r="C7252" s="12" t="str">
        <x:v>CORP-0471</x:v>
      </x:c>
      <x:c r="D7252" s="12" t="str">
        <x:v>Bengaluru</x:v>
      </x:c>
      <x:c r="E7252" s="12" t="str">
        <x:v>Manyata Tech park - Mfar</x:v>
      </x:c>
      <x:c r="F7252" s="12" t="str">
        <x:v>55 inch</x:v>
      </x:c>
      <x:c r="G7252" s="20" t="n">
        <x:v>1</x:v>
      </x:c>
      <x:c r="H7252" s="12" t="str">
        <x:v>Campus/portfolio roster; individual building occupancy unverified</x:v>
      </x:c>
      <x:c r="I7252" s="12" t="str">
        <x:v>Mixed business audience</x:v>
      </x:c>
      <x:c r="J7252" s="12" t="str">
        <x:v>Trade, consumer &amp; logistics</x:v>
      </x:c>
      <x:c r="K7252" s="2" t="str">
        <x:v>PARTNER-M051</x:v>
      </x:c>
    </x:row>
    <x:row r="7253" ht="46" customHeight="1">
      <x:c r="A7253" s="2" t="str">
        <x:v>TEN-EA30894BD53C</x:v>
      </x:c>
      <x:c r="B7253" s="12" t="str">
        <x:v>Alcatel-Lucent</x:v>
      </x:c>
      <x:c r="C7253" s="12" t="str">
        <x:v>CORP-0471</x:v>
      </x:c>
      <x:c r="D7253" s="12" t="str">
        <x:v>Bengaluru</x:v>
      </x:c>
      <x:c r="E7253" s="12" t="str">
        <x:v>Manyata Tech park - Mfar</x:v>
      </x:c>
      <x:c r="F7253" s="12" t="str">
        <x:v>55 inch</x:v>
      </x:c>
      <x:c r="G7253" s="20" t="n">
        <x:v>1</x:v>
      </x:c>
      <x:c r="H7253" s="12" t="str">
        <x:v>Campus/portfolio roster; individual building occupancy unverified</x:v>
      </x:c>
      <x:c r="I7253" s="12" t="str">
        <x:v>Mixed business audience</x:v>
      </x:c>
      <x:c r="J7253" s="12" t="str">
        <x:v>IT &amp; digital</x:v>
      </x:c>
      <x:c r="K7253" s="2" t="str">
        <x:v>PARTNER-M051</x:v>
      </x:c>
    </x:row>
    <x:row r="7254" ht="46" customHeight="1">
      <x:c r="A7254" s="2" t="str">
        <x:v>TEN-EB15B1B985F7</x:v>
      </x:c>
      <x:c r="B7254" s="12" t="str">
        <x:v>Network International</x:v>
      </x:c>
      <x:c r="C7254" s="12" t="str">
        <x:v>CORP-0471</x:v>
      </x:c>
      <x:c r="D7254" s="12" t="str">
        <x:v>Bengaluru</x:v>
      </x:c>
      <x:c r="E7254" s="12" t="str">
        <x:v>Manyata Tech park - Mfar</x:v>
      </x:c>
      <x:c r="F7254" s="12" t="str">
        <x:v>55 inch</x:v>
      </x:c>
      <x:c r="G7254" s="20" t="n">
        <x:v>1</x:v>
      </x:c>
      <x:c r="H7254" s="12" t="str">
        <x:v>Campus/portfolio roster; individual building occupancy unverified</x:v>
      </x:c>
      <x:c r="I7254" s="12" t="str">
        <x:v>Mixed business audience</x:v>
      </x:c>
      <x:c r="J7254" s="12" t="str">
        <x:v>Finance &amp; insurance</x:v>
      </x:c>
      <x:c r="K7254" s="2" t="str">
        <x:v>PARTNER-M051</x:v>
      </x:c>
    </x:row>
    <x:row r="7255" ht="46" customHeight="1">
      <x:c r="A7255" s="2" t="str">
        <x:v>TEN-F611BEAB4643</x:v>
      </x:c>
      <x:c r="B7255" s="12" t="str">
        <x:v>Fidelity</x:v>
      </x:c>
      <x:c r="C7255" s="12" t="str">
        <x:v>CORP-0471</x:v>
      </x:c>
      <x:c r="D7255" s="12" t="str">
        <x:v>Bengaluru</x:v>
      </x:c>
      <x:c r="E7255" s="12" t="str">
        <x:v>Manyata Tech park - Mfar</x:v>
      </x:c>
      <x:c r="F7255" s="12" t="str">
        <x:v>55 inch</x:v>
      </x:c>
      <x:c r="G7255" s="20" t="n">
        <x:v>1</x:v>
      </x:c>
      <x:c r="H7255" s="12" t="str">
        <x:v>Campus/portfolio roster; individual building occupancy unverified</x:v>
      </x:c>
      <x:c r="I7255" s="12" t="str">
        <x:v>Mixed business audience</x:v>
      </x:c>
      <x:c r="J7255" s="12" t="str">
        <x:v>Finance &amp; insurance</x:v>
      </x:c>
      <x:c r="K7255" s="2" t="str">
        <x:v>PARTNER-M051</x:v>
      </x:c>
    </x:row>
    <x:row r="7256" ht="46" customHeight="1">
      <x:c r="A7256" s="2" t="str">
        <x:v>TEN-FB68F107F674</x:v>
      </x:c>
      <x:c r="B7256" s="12" t="str">
        <x:v>Tambora Systems India Pvt. Ltd</x:v>
      </x:c>
      <x:c r="C7256" s="12" t="str">
        <x:v>CORP-0471</x:v>
      </x:c>
      <x:c r="D7256" s="12" t="str">
        <x:v>Bengaluru</x:v>
      </x:c>
      <x:c r="E7256" s="12" t="str">
        <x:v>Manyata Tech park - Mfar</x:v>
      </x:c>
      <x:c r="F7256" s="12" t="str">
        <x:v>55 inch</x:v>
      </x:c>
      <x:c r="G7256" s="20" t="n">
        <x:v>1</x:v>
      </x:c>
      <x:c r="H7256" s="12" t="str">
        <x:v>Campus/portfolio roster; individual building occupancy unverified</x:v>
      </x:c>
      <x:c r="I7256" s="12" t="str">
        <x:v>Mixed business audience</x:v>
      </x:c>
      <x:c r="J7256" s="12" t="str">
        <x:v>Unresolved</x:v>
      </x:c>
      <x:c r="K7256" s="2" t="str">
        <x:v>PARTNER-M051</x:v>
      </x:c>
    </x:row>
    <x:row r="7257" ht="46" customHeight="1">
      <x:c r="A7257" s="2" t="str">
        <x:v>TEN-0006A53C9A96</x:v>
      </x:c>
      <x:c r="B7257" s="12" t="str">
        <x:v>Justdial</x:v>
      </x:c>
      <x:c r="C7257" s="12" t="str">
        <x:v>CORP-0472</x:v>
      </x:c>
      <x:c r="D7257" s="12" t="str">
        <x:v>Bengaluru</x:v>
      </x:c>
      <x:c r="E7257" s="12" t="str">
        <x:v>Manyata Tech park - Mfar</x:v>
      </x:c>
      <x:c r="F7257" s="12" t="str">
        <x:v>55 inch</x:v>
      </x:c>
      <x:c r="G7257" s="20" t="n">
        <x:v>1</x:v>
      </x:c>
      <x:c r="H7257" s="12" t="str">
        <x:v>Campus/portfolio roster; individual building occupancy unverified</x:v>
      </x:c>
      <x:c r="I7257" s="12" t="str">
        <x:v>Mixed business audience</x:v>
      </x:c>
      <x:c r="J7257" s="12" t="str">
        <x:v>Trade, consumer &amp; logistics</x:v>
      </x:c>
      <x:c r="K7257" s="2" t="str">
        <x:v>PARTNER-M051</x:v>
      </x:c>
    </x:row>
    <x:row r="7258" ht="46" customHeight="1">
      <x:c r="A7258" s="2" t="str">
        <x:v>TEN-0A68AD38CEB3</x:v>
      </x:c>
      <x:c r="B7258" s="12" t="str">
        <x:v>Indegene Lifesystems</x:v>
      </x:c>
      <x:c r="C7258" s="12" t="str">
        <x:v>CORP-0472</x:v>
      </x:c>
      <x:c r="D7258" s="12" t="str">
        <x:v>Bengaluru</x:v>
      </x:c>
      <x:c r="E7258" s="12" t="str">
        <x:v>Manyata Tech park - Mfar</x:v>
      </x:c>
      <x:c r="F7258" s="12" t="str">
        <x:v>55 inch</x:v>
      </x:c>
      <x:c r="G7258" s="20" t="n">
        <x:v>1</x:v>
      </x:c>
      <x:c r="H7258" s="12" t="str">
        <x:v>Campus/portfolio roster; individual building occupancy unverified</x:v>
      </x:c>
      <x:c r="I7258" s="12" t="str">
        <x:v>Mixed business audience</x:v>
      </x:c>
      <x:c r="J7258" s="12" t="str">
        <x:v>Healthcare &amp; life sciences</x:v>
      </x:c>
      <x:c r="K7258" s="2" t="str">
        <x:v>PARTNER-M051</x:v>
      </x:c>
    </x:row>
    <x:row r="7259" ht="46" customHeight="1">
      <x:c r="A7259" s="2" t="str">
        <x:v>TEN-0C16B6E2E745</x:v>
      </x:c>
      <x:c r="B7259" s="12" t="str">
        <x:v>Target Corporation India</x:v>
      </x:c>
      <x:c r="C7259" s="12" t="str">
        <x:v>CORP-0472</x:v>
      </x:c>
      <x:c r="D7259" s="12" t="str">
        <x:v>Bengaluru</x:v>
      </x:c>
      <x:c r="E7259" s="12" t="str">
        <x:v>Manyata Tech park - Mfar</x:v>
      </x:c>
      <x:c r="F7259" s="12" t="str">
        <x:v>55 inch</x:v>
      </x:c>
      <x:c r="G7259" s="20" t="n">
        <x:v>1</x:v>
      </x:c>
      <x:c r="H7259" s="12" t="str">
        <x:v>Campus/portfolio roster; individual building occupancy unverified</x:v>
      </x:c>
      <x:c r="I7259" s="12" t="str">
        <x:v>Mixed business audience</x:v>
      </x:c>
      <x:c r="J7259" s="12" t="str">
        <x:v>Trade, consumer &amp; logistics</x:v>
      </x:c>
      <x:c r="K7259" s="2" t="str">
        <x:v>PARTNER-M051</x:v>
      </x:c>
    </x:row>
    <x:row r="7260" ht="46" customHeight="1">
      <x:c r="A7260" s="2" t="str">
        <x:v>TEN-14C4528C15CA</x:v>
      </x:c>
      <x:c r="B7260" s="12" t="str">
        <x:v>NetScout Systems</x:v>
      </x:c>
      <x:c r="C7260" s="12" t="str">
        <x:v>CORP-0472</x:v>
      </x:c>
      <x:c r="D7260" s="12" t="str">
        <x:v>Bengaluru</x:v>
      </x:c>
      <x:c r="E7260" s="12" t="str">
        <x:v>Manyata Tech park - Mfar</x:v>
      </x:c>
      <x:c r="F7260" s="12" t="str">
        <x:v>55 inch</x:v>
      </x:c>
      <x:c r="G7260" s="20" t="n">
        <x:v>1</x:v>
      </x:c>
      <x:c r="H7260" s="12" t="str">
        <x:v>Campus/portfolio roster; individual building occupancy unverified</x:v>
      </x:c>
      <x:c r="I7260" s="12" t="str">
        <x:v>Mixed business audience</x:v>
      </x:c>
      <x:c r="J7260" s="12" t="str">
        <x:v>IT &amp; digital</x:v>
      </x:c>
      <x:c r="K7260" s="2" t="str">
        <x:v>PARTNER-M051</x:v>
      </x:c>
    </x:row>
    <x:row r="7261" ht="46" customHeight="1">
      <x:c r="A7261" s="2" t="str">
        <x:v>TEN-27C9A7B5ECAD</x:v>
      </x:c>
      <x:c r="B7261" s="12" t="str">
        <x:v>SLK Group</x:v>
      </x:c>
      <x:c r="C7261" s="12" t="str">
        <x:v>CORP-0472</x:v>
      </x:c>
      <x:c r="D7261" s="12" t="str">
        <x:v>Bengaluru</x:v>
      </x:c>
      <x:c r="E7261" s="12" t="str">
        <x:v>Manyata Tech park - Mfar</x:v>
      </x:c>
      <x:c r="F7261" s="12" t="str">
        <x:v>55 inch</x:v>
      </x:c>
      <x:c r="G7261" s="20" t="n">
        <x:v>1</x:v>
      </x:c>
      <x:c r="H7261" s="12" t="str">
        <x:v>Campus/portfolio roster; individual building occupancy unverified</x:v>
      </x:c>
      <x:c r="I7261" s="12" t="str">
        <x:v>Mixed business audience</x:v>
      </x:c>
      <x:c r="J7261" s="12" t="str">
        <x:v>IT &amp; digital</x:v>
      </x:c>
      <x:c r="K7261" s="2" t="str">
        <x:v>PARTNER-M051</x:v>
      </x:c>
    </x:row>
    <x:row r="7262" ht="46" customHeight="1">
      <x:c r="A7262" s="2" t="str">
        <x:v>TEN-27D00A6A3558</x:v>
      </x:c>
      <x:c r="B7262" s="12" t="str">
        <x:v>Voonik Technologies Pvt. Ltd</x:v>
      </x:c>
      <x:c r="C7262" s="12" t="str">
        <x:v>CORP-0472</x:v>
      </x:c>
      <x:c r="D7262" s="12" t="str">
        <x:v>Bengaluru</x:v>
      </x:c>
      <x:c r="E7262" s="12" t="str">
        <x:v>Manyata Tech park - Mfar</x:v>
      </x:c>
      <x:c r="F7262" s="12" t="str">
        <x:v>55 inch</x:v>
      </x:c>
      <x:c r="G7262" s="20" t="n">
        <x:v>1</x:v>
      </x:c>
      <x:c r="H7262" s="12" t="str">
        <x:v>Campus/portfolio roster; individual building occupancy unverified</x:v>
      </x:c>
      <x:c r="I7262" s="12" t="str">
        <x:v>Small-scale prospects</x:v>
      </x:c>
      <x:c r="J7262" s="12" t="str">
        <x:v>Trade, consumer &amp; logistics</x:v>
      </x:c>
      <x:c r="K7262" s="2" t="str">
        <x:v>PARTNER-M051</x:v>
      </x:c>
    </x:row>
    <x:row r="7263" ht="46" customHeight="1">
      <x:c r="A7263" s="2" t="str">
        <x:v>TEN-2F85BCE94831</x:v>
      </x:c>
      <x:c r="B7263" s="12" t="str">
        <x:v>Dimension Data India (formerly Data Craft India)</x:v>
      </x:c>
      <x:c r="C7263" s="12" t="str">
        <x:v>CORP-0472</x:v>
      </x:c>
      <x:c r="D7263" s="12" t="str">
        <x:v>Bengaluru</x:v>
      </x:c>
      <x:c r="E7263" s="12" t="str">
        <x:v>Manyata Tech park - Mfar</x:v>
      </x:c>
      <x:c r="F7263" s="12" t="str">
        <x:v>55 inch</x:v>
      </x:c>
      <x:c r="G7263" s="20" t="n">
        <x:v>1</x:v>
      </x:c>
      <x:c r="H7263" s="12" t="str">
        <x:v>Campus/portfolio roster; individual building occupancy unverified</x:v>
      </x:c>
      <x:c r="I7263" s="12" t="str">
        <x:v>Large enterprise</x:v>
      </x:c>
      <x:c r="J7263" s="12" t="str">
        <x:v>IT &amp; digital</x:v>
      </x:c>
      <x:c r="K7263" s="2" t="str">
        <x:v>PARTNER-M051</x:v>
      </x:c>
    </x:row>
    <x:row r="7264" ht="46" customHeight="1">
      <x:c r="A7264" s="2" t="str">
        <x:v>TEN-3821E9F1FF90</x:v>
      </x:c>
      <x:c r="B7264" s="12" t="str">
        <x:v>The Executive Centre</x:v>
      </x:c>
      <x:c r="C7264" s="12" t="str">
        <x:v>CORP-0472</x:v>
      </x:c>
      <x:c r="D7264" s="12" t="str">
        <x:v>Bengaluru</x:v>
      </x:c>
      <x:c r="E7264" s="12" t="str">
        <x:v>Manyata Tech park - Mfar</x:v>
      </x:c>
      <x:c r="F7264" s="12" t="str">
        <x:v>55 inch</x:v>
      </x:c>
      <x:c r="G7264" s="20" t="n">
        <x:v>1</x:v>
      </x:c>
      <x:c r="H7264" s="12" t="str">
        <x:v>Campus/portfolio roster; individual building occupancy unverified</x:v>
      </x:c>
      <x:c r="I7264" s="12" t="str">
        <x:v>Mixed business audience</x:v>
      </x:c>
      <x:c r="J7264" s="12" t="str">
        <x:v>Workspace &amp; property operations</x:v>
      </x:c>
      <x:c r="K7264" s="2" t="str">
        <x:v>PARTNER-M051</x:v>
      </x:c>
    </x:row>
    <x:row r="7265" ht="46" customHeight="1">
      <x:c r="A7265" s="2" t="str">
        <x:v>TEN-42E8408652E5</x:v>
      </x:c>
      <x:c r="B7265" s="12" t="str">
        <x:v>HCL Technologies</x:v>
      </x:c>
      <x:c r="C7265" s="12" t="str">
        <x:v>CORP-0472</x:v>
      </x:c>
      <x:c r="D7265" s="12" t="str">
        <x:v>Bengaluru</x:v>
      </x:c>
      <x:c r="E7265" s="12" t="str">
        <x:v>Manyata Tech park - Mfar</x:v>
      </x:c>
      <x:c r="F7265" s="12" t="str">
        <x:v>55 inch</x:v>
      </x:c>
      <x:c r="G7265" s="20" t="n">
        <x:v>1</x:v>
      </x:c>
      <x:c r="H7265" s="12" t="str">
        <x:v>Campus/portfolio roster; individual building occupancy unverified</x:v>
      </x:c>
      <x:c r="I7265" s="12" t="str">
        <x:v>Large enterprise</x:v>
      </x:c>
      <x:c r="J7265" s="12" t="str">
        <x:v>IT &amp; digital</x:v>
      </x:c>
      <x:c r="K7265" s="2" t="str">
        <x:v>PARTNER-M051</x:v>
      </x:c>
    </x:row>
    <x:row r="7266" ht="46" customHeight="1">
      <x:c r="A7266" s="2" t="str">
        <x:v>TEN-47679F81BEB4</x:v>
      </x:c>
      <x:c r="B7266" s="12" t="str">
        <x:v>GlobalFoundries</x:v>
      </x:c>
      <x:c r="C7266" s="12" t="str">
        <x:v>CORP-0472</x:v>
      </x:c>
      <x:c r="D7266" s="12" t="str">
        <x:v>Bengaluru</x:v>
      </x:c>
      <x:c r="E7266" s="12" t="str">
        <x:v>Manyata Tech park - Mfar</x:v>
      </x:c>
      <x:c r="F7266" s="12" t="str">
        <x:v>55 inch</x:v>
      </x:c>
      <x:c r="G7266" s="20" t="n">
        <x:v>1</x:v>
      </x:c>
      <x:c r="H7266" s="12" t="str">
        <x:v>Campus/portfolio roster; individual building occupancy unverified</x:v>
      </x:c>
      <x:c r="I7266" s="12" t="str">
        <x:v>Mixed business audience</x:v>
      </x:c>
      <x:c r="J7266" s="12" t="str">
        <x:v>Engineering &amp; manufacturing</x:v>
      </x:c>
      <x:c r="K7266" s="2" t="str">
        <x:v>PARTNER-M051</x:v>
      </x:c>
    </x:row>
    <x:row r="7267" ht="46" customHeight="1">
      <x:c r="A7267" s="2" t="str">
        <x:v>TEN-4C75F725A6D4</x:v>
      </x:c>
      <x:c r="B7267" s="12" t="str">
        <x:v>AXA Business Services</x:v>
      </x:c>
      <x:c r="C7267" s="12" t="str">
        <x:v>CORP-0472</x:v>
      </x:c>
      <x:c r="D7267" s="12" t="str">
        <x:v>Bengaluru</x:v>
      </x:c>
      <x:c r="E7267" s="12" t="str">
        <x:v>Manyata Tech park - Mfar</x:v>
      </x:c>
      <x:c r="F7267" s="12" t="str">
        <x:v>55 inch</x:v>
      </x:c>
      <x:c r="G7267" s="20" t="n">
        <x:v>1</x:v>
      </x:c>
      <x:c r="H7267" s="12" t="str">
        <x:v>Campus/portfolio roster; individual building occupancy unverified</x:v>
      </x:c>
      <x:c r="I7267" s="12" t="str">
        <x:v>Large enterprise</x:v>
      </x:c>
      <x:c r="J7267" s="12" t="str">
        <x:v>Finance &amp; insurance</x:v>
      </x:c>
      <x:c r="K7267" s="2" t="str">
        <x:v>PARTNER-M051</x:v>
      </x:c>
    </x:row>
    <x:row r="7268" ht="46" customHeight="1">
      <x:c r="A7268" s="2" t="str">
        <x:v>TEN-4E5B2E7D6119</x:v>
      </x:c>
      <x:c r="B7268" s="12" t="str">
        <x:v>ANZ</x:v>
      </x:c>
      <x:c r="C7268" s="12" t="str">
        <x:v>CORP-0472</x:v>
      </x:c>
      <x:c r="D7268" s="12" t="str">
        <x:v>Bengaluru</x:v>
      </x:c>
      <x:c r="E7268" s="12" t="str">
        <x:v>Manyata Tech park - Mfar</x:v>
      </x:c>
      <x:c r="F7268" s="12" t="str">
        <x:v>55 inch</x:v>
      </x:c>
      <x:c r="G7268" s="20" t="n">
        <x:v>1</x:v>
      </x:c>
      <x:c r="H7268" s="12" t="str">
        <x:v>Campus/portfolio roster; individual building occupancy unverified</x:v>
      </x:c>
      <x:c r="I7268" s="12" t="str">
        <x:v>Mixed business audience</x:v>
      </x:c>
      <x:c r="J7268" s="12" t="str">
        <x:v>Finance &amp; insurance</x:v>
      </x:c>
      <x:c r="K7268" s="2" t="str">
        <x:v>PARTNER-M051</x:v>
      </x:c>
    </x:row>
    <x:row r="7269" ht="46" customHeight="1">
      <x:c r="A7269" s="2" t="str">
        <x:v>TEN-4F8C19DB697F</x:v>
      </x:c>
      <x:c r="B7269" s="12" t="str">
        <x:v>Tata Consultancy Services Ltd</x:v>
      </x:c>
      <x:c r="C7269" s="12" t="str">
        <x:v>CORP-0472</x:v>
      </x:c>
      <x:c r="D7269" s="12" t="str">
        <x:v>Bengaluru</x:v>
      </x:c>
      <x:c r="E7269" s="12" t="str">
        <x:v>Manyata Tech park - Mfar</x:v>
      </x:c>
      <x:c r="F7269" s="12" t="str">
        <x:v>55 inch</x:v>
      </x:c>
      <x:c r="G7269" s="20" t="n">
        <x:v>1</x:v>
      </x:c>
      <x:c r="H7269" s="12" t="str">
        <x:v>Campus/portfolio roster; individual building occupancy unverified</x:v>
      </x:c>
      <x:c r="I7269" s="12" t="str">
        <x:v>Large enterprise</x:v>
      </x:c>
      <x:c r="J7269" s="12" t="str">
        <x:v>IT &amp; digital</x:v>
      </x:c>
      <x:c r="K7269" s="2" t="str">
        <x:v>PARTNER-M051</x:v>
      </x:c>
    </x:row>
    <x:row r="7270" ht="46" customHeight="1">
      <x:c r="A7270" s="2" t="str">
        <x:v>TEN-534AE61AC6A4</x:v>
      </x:c>
      <x:c r="B7270" s="12" t="str">
        <x:v>Stylus Commercial Services</x:v>
      </x:c>
      <x:c r="C7270" s="12" t="str">
        <x:v>CORP-0472</x:v>
      </x:c>
      <x:c r="D7270" s="12" t="str">
        <x:v>Bengaluru</x:v>
      </x:c>
      <x:c r="E7270" s="12" t="str">
        <x:v>Manyata Tech park - Mfar</x:v>
      </x:c>
      <x:c r="F7270" s="12" t="str">
        <x:v>55 inch</x:v>
      </x:c>
      <x:c r="G7270" s="20" t="n">
        <x:v>1</x:v>
      </x:c>
      <x:c r="H7270" s="12" t="str">
        <x:v>Campus/portfolio roster; individual building occupancy unverified</x:v>
      </x:c>
      <x:c r="I7270" s="12" t="str">
        <x:v>Mixed business audience</x:v>
      </x:c>
      <x:c r="J7270" s="12" t="str">
        <x:v>Unresolved</x:v>
      </x:c>
      <x:c r="K7270" s="2" t="str">
        <x:v>PARTNER-M051</x:v>
      </x:c>
    </x:row>
    <x:row r="7271" ht="46" customHeight="1">
      <x:c r="A7271" s="2" t="str">
        <x:v>TEN-53D60BF43086</x:v>
      </x:c>
      <x:c r="B7271" s="12" t="str">
        <x:v>Larsen &amp; Toubro Technology Services</x:v>
      </x:c>
      <x:c r="C7271" s="12" t="str">
        <x:v>CORP-0472</x:v>
      </x:c>
      <x:c r="D7271" s="12" t="str">
        <x:v>Bengaluru</x:v>
      </x:c>
      <x:c r="E7271" s="12" t="str">
        <x:v>Manyata Tech park - Mfar</x:v>
      </x:c>
      <x:c r="F7271" s="12" t="str">
        <x:v>55 inch</x:v>
      </x:c>
      <x:c r="G7271" s="20" t="n">
        <x:v>1</x:v>
      </x:c>
      <x:c r="H7271" s="12" t="str">
        <x:v>Campus/portfolio roster; individual building occupancy unverified</x:v>
      </x:c>
      <x:c r="I7271" s="12" t="str">
        <x:v>Large enterprise</x:v>
      </x:c>
      <x:c r="J7271" s="12" t="str">
        <x:v>Engineering &amp; manufacturing</x:v>
      </x:c>
      <x:c r="K7271" s="2" t="str">
        <x:v>PARTNER-M051</x:v>
      </x:c>
    </x:row>
    <x:row r="7272" ht="46" customHeight="1">
      <x:c r="A7272" s="2" t="str">
        <x:v>TEN-6229AE0860C6</x:v>
      </x:c>
      <x:c r="B7272" s="12" t="str">
        <x:v>AXA Technologies Shared Services</x:v>
      </x:c>
      <x:c r="C7272" s="12" t="str">
        <x:v>CORP-0472</x:v>
      </x:c>
      <x:c r="D7272" s="12" t="str">
        <x:v>Bengaluru</x:v>
      </x:c>
      <x:c r="E7272" s="12" t="str">
        <x:v>Manyata Tech park - Mfar</x:v>
      </x:c>
      <x:c r="F7272" s="12" t="str">
        <x:v>55 inch</x:v>
      </x:c>
      <x:c r="G7272" s="20" t="n">
        <x:v>1</x:v>
      </x:c>
      <x:c r="H7272" s="12" t="str">
        <x:v>Campus/portfolio roster; individual building occupancy unverified</x:v>
      </x:c>
      <x:c r="I7272" s="12" t="str">
        <x:v>Large enterprise</x:v>
      </x:c>
      <x:c r="J7272" s="12" t="str">
        <x:v>IT &amp; digital</x:v>
      </x:c>
      <x:c r="K7272" s="2" t="str">
        <x:v>PARTNER-M051</x:v>
      </x:c>
    </x:row>
    <x:row r="7273" ht="46" customHeight="1">
      <x:c r="A7273" s="2" t="str">
        <x:v>TEN-63E44AFB32E5</x:v>
      </x:c>
      <x:c r="B7273" s="12" t="str">
        <x:v>Gaea Technologies</x:v>
      </x:c>
      <x:c r="C7273" s="12" t="str">
        <x:v>CORP-0472</x:v>
      </x:c>
      <x:c r="D7273" s="12" t="str">
        <x:v>Bengaluru</x:v>
      </x:c>
      <x:c r="E7273" s="12" t="str">
        <x:v>Manyata Tech park - Mfar</x:v>
      </x:c>
      <x:c r="F7273" s="12" t="str">
        <x:v>55 inch</x:v>
      </x:c>
      <x:c r="G7273" s="20" t="n">
        <x:v>1</x:v>
      </x:c>
      <x:c r="H7273" s="12" t="str">
        <x:v>Campus/portfolio roster; individual building occupancy unverified</x:v>
      </x:c>
      <x:c r="I7273" s="12" t="str">
        <x:v>Mixed business audience</x:v>
      </x:c>
      <x:c r="J7273" s="12" t="str">
        <x:v>Unresolved</x:v>
      </x:c>
      <x:c r="K7273" s="2" t="str">
        <x:v>PARTNER-M051</x:v>
      </x:c>
    </x:row>
    <x:row r="7274" ht="46" customHeight="1">
      <x:c r="A7274" s="2" t="str">
        <x:v>TEN-6726DCA55EB6</x:v>
      </x:c>
      <x:c r="B7274" s="12" t="str">
        <x:v>i4 Global Information Technologies Ltd</x:v>
      </x:c>
      <x:c r="C7274" s="12" t="str">
        <x:v>CORP-0472</x:v>
      </x:c>
      <x:c r="D7274" s="12" t="str">
        <x:v>Bengaluru</x:v>
      </x:c>
      <x:c r="E7274" s="12" t="str">
        <x:v>Manyata Tech park - Mfar</x:v>
      </x:c>
      <x:c r="F7274" s="12" t="str">
        <x:v>55 inch</x:v>
      </x:c>
      <x:c r="G7274" s="20" t="n">
        <x:v>1</x:v>
      </x:c>
      <x:c r="H7274" s="12" t="str">
        <x:v>Campus/portfolio roster; individual building occupancy unverified</x:v>
      </x:c>
      <x:c r="I7274" s="12" t="str">
        <x:v>Small-scale prospects</x:v>
      </x:c>
      <x:c r="J7274" s="12" t="str">
        <x:v>IT &amp; digital</x:v>
      </x:c>
      <x:c r="K7274" s="2" t="str">
        <x:v>PARTNER-M051</x:v>
      </x:c>
    </x:row>
    <x:row r="7275" ht="46" customHeight="1">
      <x:c r="A7275" s="2" t="str">
        <x:v>TEN-6BEB399B4462</x:v>
      </x:c>
      <x:c r="B7275" s="12" t="str">
        <x:v>Nuance Communications</x:v>
      </x:c>
      <x:c r="C7275" s="12" t="str">
        <x:v>CORP-0472</x:v>
      </x:c>
      <x:c r="D7275" s="12" t="str">
        <x:v>Bengaluru</x:v>
      </x:c>
      <x:c r="E7275" s="12" t="str">
        <x:v>Manyata Tech park - Mfar</x:v>
      </x:c>
      <x:c r="F7275" s="12" t="str">
        <x:v>55 inch</x:v>
      </x:c>
      <x:c r="G7275" s="20" t="n">
        <x:v>1</x:v>
      </x:c>
      <x:c r="H7275" s="12" t="str">
        <x:v>Campus/portfolio roster; individual building occupancy unverified</x:v>
      </x:c>
      <x:c r="I7275" s="12" t="str">
        <x:v>Mixed business audience</x:v>
      </x:c>
      <x:c r="J7275" s="12" t="str">
        <x:v>IT &amp; digital</x:v>
      </x:c>
      <x:c r="K7275" s="2" t="str">
        <x:v>PARTNER-M051</x:v>
      </x:c>
    </x:row>
    <x:row r="7276" ht="46" customHeight="1">
      <x:c r="A7276" s="2" t="str">
        <x:v>TEN-7A03B2E48987</x:v>
      </x:c>
      <x:c r="B7276" s="12" t="str">
        <x:v>Cerner</x:v>
      </x:c>
      <x:c r="C7276" s="12" t="str">
        <x:v>CORP-0472</x:v>
      </x:c>
      <x:c r="D7276" s="12" t="str">
        <x:v>Bengaluru</x:v>
      </x:c>
      <x:c r="E7276" s="12" t="str">
        <x:v>Manyata Tech park - Mfar</x:v>
      </x:c>
      <x:c r="F7276" s="12" t="str">
        <x:v>55 inch</x:v>
      </x:c>
      <x:c r="G7276" s="20" t="n">
        <x:v>1</x:v>
      </x:c>
      <x:c r="H7276" s="12" t="str">
        <x:v>Campus/portfolio roster; individual building occupancy unverified</x:v>
      </x:c>
      <x:c r="I7276" s="12" t="str">
        <x:v>Mixed business audience</x:v>
      </x:c>
      <x:c r="J7276" s="12" t="str">
        <x:v>Healthcare &amp; life sciences</x:v>
      </x:c>
      <x:c r="K7276" s="2" t="str">
        <x:v>PARTNER-M051</x:v>
      </x:c>
    </x:row>
    <x:row r="7277" ht="46" customHeight="1">
      <x:c r="A7277" s="2" t="str">
        <x:v>TEN-7E1EAB7E3FF2</x:v>
      </x:c>
      <x:c r="B7277" s="12" t="str">
        <x:v>Phani Information Technologies Ltd</x:v>
      </x:c>
      <x:c r="C7277" s="12" t="str">
        <x:v>CORP-0472</x:v>
      </x:c>
      <x:c r="D7277" s="12" t="str">
        <x:v>Bengaluru</x:v>
      </x:c>
      <x:c r="E7277" s="12" t="str">
        <x:v>Manyata Tech park - Mfar</x:v>
      </x:c>
      <x:c r="F7277" s="12" t="str">
        <x:v>55 inch</x:v>
      </x:c>
      <x:c r="G7277" s="20" t="n">
        <x:v>1</x:v>
      </x:c>
      <x:c r="H7277" s="12" t="str">
        <x:v>Campus/portfolio roster; individual building occupancy unverified</x:v>
      </x:c>
      <x:c r="I7277" s="12" t="str">
        <x:v>Small-scale prospects</x:v>
      </x:c>
      <x:c r="J7277" s="12" t="str">
        <x:v>IT &amp; digital</x:v>
      </x:c>
      <x:c r="K7277" s="2" t="str">
        <x:v>PARTNER-M051</x:v>
      </x:c>
    </x:row>
    <x:row r="7278" ht="46" customHeight="1">
      <x:c r="A7278" s="2" t="str">
        <x:v>TEN-7E287D3F75D5</x:v>
      </x:c>
      <x:c r="B7278" s="12" t="str">
        <x:v>Kinapse</x:v>
      </x:c>
      <x:c r="C7278" s="12" t="str">
        <x:v>CORP-0472</x:v>
      </x:c>
      <x:c r="D7278" s="12" t="str">
        <x:v>Bengaluru</x:v>
      </x:c>
      <x:c r="E7278" s="12" t="str">
        <x:v>Manyata Tech park - Mfar</x:v>
      </x:c>
      <x:c r="F7278" s="12" t="str">
        <x:v>55 inch</x:v>
      </x:c>
      <x:c r="G7278" s="20" t="n">
        <x:v>1</x:v>
      </x:c>
      <x:c r="H7278" s="12" t="str">
        <x:v>Campus/portfolio roster; individual building occupancy unverified</x:v>
      </x:c>
      <x:c r="I7278" s="12" t="str">
        <x:v>Mixed business audience</x:v>
      </x:c>
      <x:c r="J7278" s="12" t="str">
        <x:v>Healthcare &amp; life sciences</x:v>
      </x:c>
      <x:c r="K7278" s="2" t="str">
        <x:v>PARTNER-M051</x:v>
      </x:c>
    </x:row>
    <x:row r="7279" ht="46" customHeight="1">
      <x:c r="A7279" s="2" t="str">
        <x:v>TEN-804B19934A31</x:v>
      </x:c>
      <x:c r="B7279" s="12" t="str">
        <x:v>Invecas Inc</x:v>
      </x:c>
      <x:c r="C7279" s="12" t="str">
        <x:v>CORP-0472</x:v>
      </x:c>
      <x:c r="D7279" s="12" t="str">
        <x:v>Bengaluru</x:v>
      </x:c>
      <x:c r="E7279" s="12" t="str">
        <x:v>Manyata Tech park - Mfar</x:v>
      </x:c>
      <x:c r="F7279" s="12" t="str">
        <x:v>55 inch</x:v>
      </x:c>
      <x:c r="G7279" s="20" t="n">
        <x:v>1</x:v>
      </x:c>
      <x:c r="H7279" s="12" t="str">
        <x:v>Campus/portfolio roster; individual building occupancy unverified</x:v>
      </x:c>
      <x:c r="I7279" s="12" t="str">
        <x:v>Medium-scale prospects</x:v>
      </x:c>
      <x:c r="J7279" s="12" t="str">
        <x:v>Engineering &amp; manufacturing</x:v>
      </x:c>
      <x:c r="K7279" s="2" t="str">
        <x:v>PARTNER-M051</x:v>
      </x:c>
    </x:row>
    <x:row r="7280" ht="46" customHeight="1">
      <x:c r="A7280" s="2" t="str">
        <x:v>TEN-86F73DFE7BB6</x:v>
      </x:c>
      <x:c r="B7280" s="12" t="str">
        <x:v>Cognizant</x:v>
      </x:c>
      <x:c r="C7280" s="12" t="str">
        <x:v>CORP-0472</x:v>
      </x:c>
      <x:c r="D7280" s="12" t="str">
        <x:v>Bengaluru</x:v>
      </x:c>
      <x:c r="E7280" s="12" t="str">
        <x:v>Manyata Tech park - Mfar</x:v>
      </x:c>
      <x:c r="F7280" s="12" t="str">
        <x:v>55 inch</x:v>
      </x:c>
      <x:c r="G7280" s="20" t="n">
        <x:v>1</x:v>
      </x:c>
      <x:c r="H7280" s="12" t="str">
        <x:v>Campus/portfolio roster; individual building occupancy unverified</x:v>
      </x:c>
      <x:c r="I7280" s="12" t="str">
        <x:v>Large enterprise</x:v>
      </x:c>
      <x:c r="J7280" s="12" t="str">
        <x:v>IT &amp; digital</x:v>
      </x:c>
      <x:c r="K7280" s="2" t="str">
        <x:v>PARTNER-M051</x:v>
      </x:c>
    </x:row>
    <x:row r="7281" ht="46" customHeight="1">
      <x:c r="A7281" s="2" t="str">
        <x:v>TEN-8A0F00910447</x:v>
      </x:c>
      <x:c r="B7281" s="12" t="str">
        <x:v>Jurimatrix</x:v>
      </x:c>
      <x:c r="C7281" s="12" t="str">
        <x:v>CORP-0472</x:v>
      </x:c>
      <x:c r="D7281" s="12" t="str">
        <x:v>Bengaluru</x:v>
      </x:c>
      <x:c r="E7281" s="12" t="str">
        <x:v>Manyata Tech park - Mfar</x:v>
      </x:c>
      <x:c r="F7281" s="12" t="str">
        <x:v>55 inch</x:v>
      </x:c>
      <x:c r="G7281" s="20" t="n">
        <x:v>1</x:v>
      </x:c>
      <x:c r="H7281" s="12" t="str">
        <x:v>Campus/portfolio roster; individual building occupancy unverified</x:v>
      </x:c>
      <x:c r="I7281" s="12" t="str">
        <x:v>Small-scale prospects</x:v>
      </x:c>
      <x:c r="J7281" s="12" t="str">
        <x:v>Professional services</x:v>
      </x:c>
      <x:c r="K7281" s="2" t="str">
        <x:v>PARTNER-M051</x:v>
      </x:c>
    </x:row>
    <x:row r="7282" ht="46" customHeight="1">
      <x:c r="A7282" s="2" t="str">
        <x:v>TEN-8D4321D93632</x:v>
      </x:c>
      <x:c r="B7282" s="12" t="str">
        <x:v>Nvidia</x:v>
      </x:c>
      <x:c r="C7282" s="12" t="str">
        <x:v>CORP-0472</x:v>
      </x:c>
      <x:c r="D7282" s="12" t="str">
        <x:v>Bengaluru</x:v>
      </x:c>
      <x:c r="E7282" s="12" t="str">
        <x:v>Manyata Tech park - Mfar</x:v>
      </x:c>
      <x:c r="F7282" s="12" t="str">
        <x:v>55 inch</x:v>
      </x:c>
      <x:c r="G7282" s="20" t="n">
        <x:v>1</x:v>
      </x:c>
      <x:c r="H7282" s="12" t="str">
        <x:v>Campus/portfolio roster; individual building occupancy unverified</x:v>
      </x:c>
      <x:c r="I7282" s="12" t="str">
        <x:v>Large enterprise</x:v>
      </x:c>
      <x:c r="J7282" s="12" t="str">
        <x:v>Engineering &amp; manufacturing</x:v>
      </x:c>
      <x:c r="K7282" s="2" t="str">
        <x:v>PARTNER-M051</x:v>
      </x:c>
    </x:row>
    <x:row r="7283" ht="46" customHeight="1">
      <x:c r="A7283" s="2" t="str">
        <x:v>TEN-92CD56DC627C</x:v>
      </x:c>
      <x:c r="B7283" s="12" t="str">
        <x:v>Mast Global Business Services India Pvt. Ltd</x:v>
      </x:c>
      <x:c r="C7283" s="12" t="str">
        <x:v>CORP-0472</x:v>
      </x:c>
      <x:c r="D7283" s="12" t="str">
        <x:v>Bengaluru</x:v>
      </x:c>
      <x:c r="E7283" s="12" t="str">
        <x:v>Manyata Tech park - Mfar</x:v>
      </x:c>
      <x:c r="F7283" s="12" t="str">
        <x:v>55 inch</x:v>
      </x:c>
      <x:c r="G7283" s="20" t="n">
        <x:v>1</x:v>
      </x:c>
      <x:c r="H7283" s="12" t="str">
        <x:v>Campus/portfolio roster; individual building occupancy unverified</x:v>
      </x:c>
      <x:c r="I7283" s="12" t="str">
        <x:v>Mixed business audience</x:v>
      </x:c>
      <x:c r="J7283" s="12" t="str">
        <x:v>Unresolved</x:v>
      </x:c>
      <x:c r="K7283" s="2" t="str">
        <x:v>PARTNER-M051</x:v>
      </x:c>
    </x:row>
    <x:row r="7284" ht="46" customHeight="1">
      <x:c r="A7284" s="2" t="str">
        <x:v>TEN-955D5077F546</x:v>
      </x:c>
      <x:c r="B7284" s="12" t="str">
        <x:v>Atlas Copco</x:v>
      </x:c>
      <x:c r="C7284" s="12" t="str">
        <x:v>CORP-0472</x:v>
      </x:c>
      <x:c r="D7284" s="12" t="str">
        <x:v>Bengaluru</x:v>
      </x:c>
      <x:c r="E7284" s="12" t="str">
        <x:v>Manyata Tech park - Mfar</x:v>
      </x:c>
      <x:c r="F7284" s="12" t="str">
        <x:v>55 inch</x:v>
      </x:c>
      <x:c r="G7284" s="20" t="n">
        <x:v>1</x:v>
      </x:c>
      <x:c r="H7284" s="12" t="str">
        <x:v>Campus/portfolio roster; individual building occupancy unverified</x:v>
      </x:c>
      <x:c r="I7284" s="12" t="str">
        <x:v>Mixed business audience</x:v>
      </x:c>
      <x:c r="J7284" s="12" t="str">
        <x:v>Engineering &amp; manufacturing</x:v>
      </x:c>
      <x:c r="K7284" s="2" t="str">
        <x:v>PARTNER-M051</x:v>
      </x:c>
    </x:row>
    <x:row r="7285" ht="46" customHeight="1">
      <x:c r="A7285" s="2" t="str">
        <x:v>TEN-957870226159</x:v>
      </x:c>
      <x:c r="B7285" s="12" t="str">
        <x:v>NXP Semiconductors</x:v>
      </x:c>
      <x:c r="C7285" s="12" t="str">
        <x:v>CORP-0472</x:v>
      </x:c>
      <x:c r="D7285" s="12" t="str">
        <x:v>Bengaluru</x:v>
      </x:c>
      <x:c r="E7285" s="12" t="str">
        <x:v>Manyata Tech park - Mfar</x:v>
      </x:c>
      <x:c r="F7285" s="12" t="str">
        <x:v>55 inch</x:v>
      </x:c>
      <x:c r="G7285" s="20" t="n">
        <x:v>1</x:v>
      </x:c>
      <x:c r="H7285" s="12" t="str">
        <x:v>Campus/portfolio roster; individual building occupancy unverified</x:v>
      </x:c>
      <x:c r="I7285" s="12" t="str">
        <x:v>Mixed business audience</x:v>
      </x:c>
      <x:c r="J7285" s="12" t="str">
        <x:v>Engineering &amp; manufacturing</x:v>
      </x:c>
      <x:c r="K7285" s="2" t="str">
        <x:v>PARTNER-M051</x:v>
      </x:c>
    </x:row>
    <x:row r="7286" ht="46" customHeight="1">
      <x:c r="A7286" s="2" t="str">
        <x:v>TEN-9891CBD98729</x:v>
      </x:c>
      <x:c r="B7286" s="12" t="str">
        <x:v>Northern Trust</x:v>
      </x:c>
      <x:c r="C7286" s="12" t="str">
        <x:v>CORP-0472</x:v>
      </x:c>
      <x:c r="D7286" s="12" t="str">
        <x:v>Bengaluru</x:v>
      </x:c>
      <x:c r="E7286" s="12" t="str">
        <x:v>Manyata Tech park - Mfar</x:v>
      </x:c>
      <x:c r="F7286" s="12" t="str">
        <x:v>55 inch</x:v>
      </x:c>
      <x:c r="G7286" s="20" t="n">
        <x:v>1</x:v>
      </x:c>
      <x:c r="H7286" s="12" t="str">
        <x:v>Campus/portfolio roster; individual building occupancy unverified</x:v>
      </x:c>
      <x:c r="I7286" s="12" t="str">
        <x:v>Large enterprise</x:v>
      </x:c>
      <x:c r="J7286" s="12" t="str">
        <x:v>Finance &amp; insurance</x:v>
      </x:c>
      <x:c r="K7286" s="2" t="str">
        <x:v>PARTNER-M051</x:v>
      </x:c>
    </x:row>
    <x:row r="7287" ht="46" customHeight="1">
      <x:c r="A7287" s="2" t="str">
        <x:v>TEN-9FBF261B62C1</x:v>
      </x:c>
      <x:c r="B7287" s="12" t="str">
        <x:v>Microsoft</x:v>
      </x:c>
      <x:c r="C7287" s="12" t="str">
        <x:v>CORP-0472</x:v>
      </x:c>
      <x:c r="D7287" s="12" t="str">
        <x:v>Bengaluru</x:v>
      </x:c>
      <x:c r="E7287" s="12" t="str">
        <x:v>Manyata Tech park - Mfar</x:v>
      </x:c>
      <x:c r="F7287" s="12" t="str">
        <x:v>55 inch</x:v>
      </x:c>
      <x:c r="G7287" s="20" t="n">
        <x:v>1</x:v>
      </x:c>
      <x:c r="H7287" s="12" t="str">
        <x:v>Campus/portfolio roster; individual building occupancy unverified</x:v>
      </x:c>
      <x:c r="I7287" s="12" t="str">
        <x:v>Large enterprise</x:v>
      </x:c>
      <x:c r="J7287" s="12" t="str">
        <x:v>IT &amp; digital</x:v>
      </x:c>
      <x:c r="K7287" s="2" t="str">
        <x:v>PARTNER-M051</x:v>
      </x:c>
    </x:row>
    <x:row r="7288" ht="46" customHeight="1">
      <x:c r="A7288" s="2" t="str">
        <x:v>TEN-A1A5873B72DA</x:v>
      </x:c>
      <x:c r="B7288" s="12" t="str">
        <x:v>Colt Technologies</x:v>
      </x:c>
      <x:c r="C7288" s="12" t="str">
        <x:v>CORP-0472</x:v>
      </x:c>
      <x:c r="D7288" s="12" t="str">
        <x:v>Bengaluru</x:v>
      </x:c>
      <x:c r="E7288" s="12" t="str">
        <x:v>Manyata Tech park - Mfar</x:v>
      </x:c>
      <x:c r="F7288" s="12" t="str">
        <x:v>55 inch</x:v>
      </x:c>
      <x:c r="G7288" s="20" t="n">
        <x:v>1</x:v>
      </x:c>
      <x:c r="H7288" s="12" t="str">
        <x:v>Campus/portfolio roster; individual building occupancy unverified</x:v>
      </x:c>
      <x:c r="I7288" s="12" t="str">
        <x:v>Mixed business audience</x:v>
      </x:c>
      <x:c r="J7288" s="12" t="str">
        <x:v>IT &amp; digital</x:v>
      </x:c>
      <x:c r="K7288" s="2" t="str">
        <x:v>PARTNER-M051</x:v>
      </x:c>
    </x:row>
    <x:row r="7289" ht="46" customHeight="1">
      <x:c r="A7289" s="2" t="str">
        <x:v>TEN-A9F65BF11B3A</x:v>
      </x:c>
      <x:c r="B7289" s="12" t="str">
        <x:v>JCPenney</x:v>
      </x:c>
      <x:c r="C7289" s="12" t="str">
        <x:v>CORP-0472</x:v>
      </x:c>
      <x:c r="D7289" s="12" t="str">
        <x:v>Bengaluru</x:v>
      </x:c>
      <x:c r="E7289" s="12" t="str">
        <x:v>Manyata Tech park - Mfar</x:v>
      </x:c>
      <x:c r="F7289" s="12" t="str">
        <x:v>55 inch</x:v>
      </x:c>
      <x:c r="G7289" s="20" t="n">
        <x:v>1</x:v>
      </x:c>
      <x:c r="H7289" s="12" t="str">
        <x:v>Campus/portfolio roster; individual building occupancy unverified</x:v>
      </x:c>
      <x:c r="I7289" s="12" t="str">
        <x:v>Large enterprise</x:v>
      </x:c>
      <x:c r="J7289" s="12" t="str">
        <x:v>Trade, consumer &amp; logistics</x:v>
      </x:c>
      <x:c r="K7289" s="2" t="str">
        <x:v>PARTNER-M051</x:v>
      </x:c>
    </x:row>
    <x:row r="7290" ht="46" customHeight="1">
      <x:c r="A7290" s="2" t="str">
        <x:v>TEN-B19CA7C8E2F1</x:v>
      </x:c>
      <x:c r="B7290" s="12" t="str">
        <x:v>Rolls-Royce</x:v>
      </x:c>
      <x:c r="C7290" s="12" t="str">
        <x:v>CORP-0472</x:v>
      </x:c>
      <x:c r="D7290" s="12" t="str">
        <x:v>Bengaluru</x:v>
      </x:c>
      <x:c r="E7290" s="12" t="str">
        <x:v>Manyata Tech park - Mfar</x:v>
      </x:c>
      <x:c r="F7290" s="12" t="str">
        <x:v>55 inch</x:v>
      </x:c>
      <x:c r="G7290" s="20" t="n">
        <x:v>1</x:v>
      </x:c>
      <x:c r="H7290" s="12" t="str">
        <x:v>Campus/portfolio roster; individual building occupancy unverified</x:v>
      </x:c>
      <x:c r="I7290" s="12" t="str">
        <x:v>Large enterprise</x:v>
      </x:c>
      <x:c r="J7290" s="12" t="str">
        <x:v>Engineering &amp; manufacturing</x:v>
      </x:c>
      <x:c r="K7290" s="2" t="str">
        <x:v>PARTNER-M051</x:v>
      </x:c>
    </x:row>
    <x:row r="7291" ht="46" customHeight="1">
      <x:c r="A7291" s="2" t="str">
        <x:v>TEN-B477D484C9C9</x:v>
      </x:c>
      <x:c r="B7291" s="12" t="str">
        <x:v>Flightraja Travels (Via.com)</x:v>
      </x:c>
      <x:c r="C7291" s="12" t="str">
        <x:v>CORP-0472</x:v>
      </x:c>
      <x:c r="D7291" s="12" t="str">
        <x:v>Bengaluru</x:v>
      </x:c>
      <x:c r="E7291" s="12" t="str">
        <x:v>Manyata Tech park - Mfar</x:v>
      </x:c>
      <x:c r="F7291" s="12" t="str">
        <x:v>55 inch</x:v>
      </x:c>
      <x:c r="G7291" s="20" t="n">
        <x:v>1</x:v>
      </x:c>
      <x:c r="H7291" s="12" t="str">
        <x:v>Campus/portfolio roster; individual building occupancy unverified</x:v>
      </x:c>
      <x:c r="I7291" s="12" t="str">
        <x:v>Mixed business audience</x:v>
      </x:c>
      <x:c r="J7291" s="12" t="str">
        <x:v>Trade, consumer &amp; logistics</x:v>
      </x:c>
      <x:c r="K7291" s="2" t="str">
        <x:v>PARTNER-M051</x:v>
      </x:c>
    </x:row>
    <x:row r="7292" ht="46" customHeight="1">
      <x:c r="A7292" s="2" t="str">
        <x:v>TEN-B7E189530240</x:v>
      </x:c>
      <x:c r="B7292" s="12" t="str">
        <x:v>Monsanto Holdings</x:v>
      </x:c>
      <x:c r="C7292" s="12" t="str">
        <x:v>CORP-0472</x:v>
      </x:c>
      <x:c r="D7292" s="12" t="str">
        <x:v>Bengaluru</x:v>
      </x:c>
      <x:c r="E7292" s="12" t="str">
        <x:v>Manyata Tech park - Mfar</x:v>
      </x:c>
      <x:c r="F7292" s="12" t="str">
        <x:v>55 inch</x:v>
      </x:c>
      <x:c r="G7292" s="20" t="n">
        <x:v>1</x:v>
      </x:c>
      <x:c r="H7292" s="12" t="str">
        <x:v>Campus/portfolio roster; individual building occupancy unverified</x:v>
      </x:c>
      <x:c r="I7292" s="12" t="str">
        <x:v>Mixed business audience</x:v>
      </x:c>
      <x:c r="J7292" s="12" t="str">
        <x:v>Engineering &amp; manufacturing</x:v>
      </x:c>
      <x:c r="K7292" s="2" t="str">
        <x:v>PARTNER-M051</x:v>
      </x:c>
    </x:row>
    <x:row r="7293" ht="46" customHeight="1">
      <x:c r="A7293" s="2" t="str">
        <x:v>TEN-BA6AE2780CD4</x:v>
      </x:c>
      <x:c r="B7293" s="12" t="str">
        <x:v>Concentrix</x:v>
      </x:c>
      <x:c r="C7293" s="12" t="str">
        <x:v>CORP-0472</x:v>
      </x:c>
      <x:c r="D7293" s="12" t="str">
        <x:v>Bengaluru</x:v>
      </x:c>
      <x:c r="E7293" s="12" t="str">
        <x:v>Manyata Tech park - Mfar</x:v>
      </x:c>
      <x:c r="F7293" s="12" t="str">
        <x:v>55 inch</x:v>
      </x:c>
      <x:c r="G7293" s="20" t="n">
        <x:v>1</x:v>
      </x:c>
      <x:c r="H7293" s="12" t="str">
        <x:v>Campus/portfolio roster; individual building occupancy unverified</x:v>
      </x:c>
      <x:c r="I7293" s="12" t="str">
        <x:v>Large enterprise</x:v>
      </x:c>
      <x:c r="J7293" s="12" t="str">
        <x:v>IT &amp; digital</x:v>
      </x:c>
      <x:c r="K7293" s="2" t="str">
        <x:v>PARTNER-M051</x:v>
      </x:c>
    </x:row>
    <x:row r="7294" ht="46" customHeight="1">
      <x:c r="A7294" s="2" t="str">
        <x:v>TEN-C80EF940CC50</x:v>
      </x:c>
      <x:c r="B7294" s="12" t="str">
        <x:v>Nokia Networks (Earlier known as NSN or Nokia Siemens Networks)</x:v>
      </x:c>
      <x:c r="C7294" s="12" t="str">
        <x:v>CORP-0472</x:v>
      </x:c>
      <x:c r="D7294" s="12" t="str">
        <x:v>Bengaluru</x:v>
      </x:c>
      <x:c r="E7294" s="12" t="str">
        <x:v>Manyata Tech park - Mfar</x:v>
      </x:c>
      <x:c r="F7294" s="12" t="str">
        <x:v>55 inch</x:v>
      </x:c>
      <x:c r="G7294" s="20" t="n">
        <x:v>1</x:v>
      </x:c>
      <x:c r="H7294" s="12" t="str">
        <x:v>Campus/portfolio roster; individual building occupancy unverified</x:v>
      </x:c>
      <x:c r="I7294" s="12" t="str">
        <x:v>Large enterprise</x:v>
      </x:c>
      <x:c r="J7294" s="12" t="str">
        <x:v>IT &amp; digital</x:v>
      </x:c>
      <x:c r="K7294" s="2" t="str">
        <x:v>PARTNER-M051</x:v>
      </x:c>
    </x:row>
    <x:row r="7295" ht="46" customHeight="1">
      <x:c r="A7295" s="2" t="str">
        <x:v>TEN-C9DBDD187EBA</x:v>
      </x:c>
      <x:c r="B7295" s="12" t="str">
        <x:v>Redknee</x:v>
      </x:c>
      <x:c r="C7295" s="12" t="str">
        <x:v>CORP-0472</x:v>
      </x:c>
      <x:c r="D7295" s="12" t="str">
        <x:v>Bengaluru</x:v>
      </x:c>
      <x:c r="E7295" s="12" t="str">
        <x:v>Manyata Tech park - Mfar</x:v>
      </x:c>
      <x:c r="F7295" s="12" t="str">
        <x:v>55 inch</x:v>
      </x:c>
      <x:c r="G7295" s="20" t="n">
        <x:v>1</x:v>
      </x:c>
      <x:c r="H7295" s="12" t="str">
        <x:v>Campus/portfolio roster; individual building occupancy unverified</x:v>
      </x:c>
      <x:c r="I7295" s="12" t="str">
        <x:v>Mixed business audience</x:v>
      </x:c>
      <x:c r="J7295" s="12" t="str">
        <x:v>IT &amp; digital</x:v>
      </x:c>
      <x:c r="K7295" s="2" t="str">
        <x:v>PARTNER-M051</x:v>
      </x:c>
    </x:row>
    <x:row r="7296" ht="46" customHeight="1">
      <x:c r="A7296" s="2" t="str">
        <x:v>TEN-CAD973567458</x:v>
      </x:c>
      <x:c r="B7296" s="12" t="str">
        <x:v>Andritz AG</x:v>
      </x:c>
      <x:c r="C7296" s="12" t="str">
        <x:v>CORP-0472</x:v>
      </x:c>
      <x:c r="D7296" s="12" t="str">
        <x:v>Bengaluru</x:v>
      </x:c>
      <x:c r="E7296" s="12" t="str">
        <x:v>Manyata Tech park - Mfar</x:v>
      </x:c>
      <x:c r="F7296" s="12" t="str">
        <x:v>55 inch</x:v>
      </x:c>
      <x:c r="G7296" s="20" t="n">
        <x:v>1</x:v>
      </x:c>
      <x:c r="H7296" s="12" t="str">
        <x:v>Campus/portfolio roster; individual building occupancy unverified</x:v>
      </x:c>
      <x:c r="I7296" s="12" t="str">
        <x:v>Mixed business audience</x:v>
      </x:c>
      <x:c r="J7296" s="12" t="str">
        <x:v>Engineering &amp; manufacturing</x:v>
      </x:c>
      <x:c r="K7296" s="2" t="str">
        <x:v>PARTNER-M051</x:v>
      </x:c>
    </x:row>
    <x:row r="7297" ht="46" customHeight="1">
      <x:c r="A7297" s="2" t="str">
        <x:v>TEN-D3D424C3C181</x:v>
      </x:c>
      <x:c r="B7297" s="12" t="str">
        <x:v>IBM India Pvt. Ltd</x:v>
      </x:c>
      <x:c r="C7297" s="12" t="str">
        <x:v>CORP-0472</x:v>
      </x:c>
      <x:c r="D7297" s="12" t="str">
        <x:v>Bengaluru</x:v>
      </x:c>
      <x:c r="E7297" s="12" t="str">
        <x:v>Manyata Tech park - Mfar</x:v>
      </x:c>
      <x:c r="F7297" s="12" t="str">
        <x:v>55 inch</x:v>
      </x:c>
      <x:c r="G7297" s="20" t="n">
        <x:v>1</x:v>
      </x:c>
      <x:c r="H7297" s="12" t="str">
        <x:v>Campus/portfolio roster; individual building occupancy unverified</x:v>
      </x:c>
      <x:c r="I7297" s="12" t="str">
        <x:v>Large enterprise</x:v>
      </x:c>
      <x:c r="J7297" s="12" t="str">
        <x:v>IT &amp; digital</x:v>
      </x:c>
      <x:c r="K7297" s="2" t="str">
        <x:v>PARTNER-M051</x:v>
      </x:c>
    </x:row>
    <x:row r="7298" ht="46" customHeight="1">
      <x:c r="A7298" s="2" t="str">
        <x:v>TEN-DD4CB9CF52F0</x:v>
      </x:c>
      <x:c r="B7298" s="12" t="str">
        <x:v>Philips</x:v>
      </x:c>
      <x:c r="C7298" s="12" t="str">
        <x:v>CORP-0472</x:v>
      </x:c>
      <x:c r="D7298" s="12" t="str">
        <x:v>Bengaluru</x:v>
      </x:c>
      <x:c r="E7298" s="12" t="str">
        <x:v>Manyata Tech park - Mfar</x:v>
      </x:c>
      <x:c r="F7298" s="12" t="str">
        <x:v>55 inch</x:v>
      </x:c>
      <x:c r="G7298" s="20" t="n">
        <x:v>1</x:v>
      </x:c>
      <x:c r="H7298" s="12" t="str">
        <x:v>Campus/portfolio roster; individual building occupancy unverified</x:v>
      </x:c>
      <x:c r="I7298" s="12" t="str">
        <x:v>Large enterprise</x:v>
      </x:c>
      <x:c r="J7298" s="12" t="str">
        <x:v>Engineering &amp; manufacturing</x:v>
      </x:c>
      <x:c r="K7298" s="2" t="str">
        <x:v>PARTNER-M051</x:v>
      </x:c>
    </x:row>
    <x:row r="7299" ht="46" customHeight="1">
      <x:c r="A7299" s="2" t="str">
        <x:v>TEN-DF1BD710E8BF</x:v>
      </x:c>
      <x:c r="B7299" s="12" t="str">
        <x:v>Mitel (Earlier known as Mavenir Systems)</x:v>
      </x:c>
      <x:c r="C7299" s="12" t="str">
        <x:v>CORP-0472</x:v>
      </x:c>
      <x:c r="D7299" s="12" t="str">
        <x:v>Bengaluru</x:v>
      </x:c>
      <x:c r="E7299" s="12" t="str">
        <x:v>Manyata Tech park - Mfar</x:v>
      </x:c>
      <x:c r="F7299" s="12" t="str">
        <x:v>55 inch</x:v>
      </x:c>
      <x:c r="G7299" s="20" t="n">
        <x:v>1</x:v>
      </x:c>
      <x:c r="H7299" s="12" t="str">
        <x:v>Campus/portfolio roster; individual building occupancy unverified</x:v>
      </x:c>
      <x:c r="I7299" s="12" t="str">
        <x:v>Mixed business audience</x:v>
      </x:c>
      <x:c r="J7299" s="12" t="str">
        <x:v>IT &amp; digital</x:v>
      </x:c>
      <x:c r="K7299" s="2" t="str">
        <x:v>PARTNER-M051</x:v>
      </x:c>
    </x:row>
    <x:row r="7300" ht="46" customHeight="1">
      <x:c r="A7300" s="2" t="str">
        <x:v>TEN-E7F9F6E5FC3F</x:v>
      </x:c>
      <x:c r="B7300" s="12" t="str">
        <x:v>Aditi Technologies</x:v>
      </x:c>
      <x:c r="C7300" s="12" t="str">
        <x:v>CORP-0472</x:v>
      </x:c>
      <x:c r="D7300" s="12" t="str">
        <x:v>Bengaluru</x:v>
      </x:c>
      <x:c r="E7300" s="12" t="str">
        <x:v>Manyata Tech park - Mfar</x:v>
      </x:c>
      <x:c r="F7300" s="12" t="str">
        <x:v>55 inch</x:v>
      </x:c>
      <x:c r="G7300" s="20" t="n">
        <x:v>1</x:v>
      </x:c>
      <x:c r="H7300" s="12" t="str">
        <x:v>Campus/portfolio roster; individual building occupancy unverified</x:v>
      </x:c>
      <x:c r="I7300" s="12" t="str">
        <x:v>Mixed business audience</x:v>
      </x:c>
      <x:c r="J7300" s="12" t="str">
        <x:v>IT &amp; digital</x:v>
      </x:c>
      <x:c r="K7300" s="2" t="str">
        <x:v>PARTNER-M051</x:v>
      </x:c>
    </x:row>
    <x:row r="7301" ht="46" customHeight="1">
      <x:c r="A7301" s="2" t="str">
        <x:v>TEN-EA10CA8A1008</x:v>
      </x:c>
      <x:c r="B7301" s="12" t="str">
        <x:v>Lowe's Services India Pvt. Ltd</x:v>
      </x:c>
      <x:c r="C7301" s="12" t="str">
        <x:v>CORP-0472</x:v>
      </x:c>
      <x:c r="D7301" s="12" t="str">
        <x:v>Bengaluru</x:v>
      </x:c>
      <x:c r="E7301" s="12" t="str">
        <x:v>Manyata Tech park - Mfar</x:v>
      </x:c>
      <x:c r="F7301" s="12" t="str">
        <x:v>55 inch</x:v>
      </x:c>
      <x:c r="G7301" s="20" t="n">
        <x:v>1</x:v>
      </x:c>
      <x:c r="H7301" s="12" t="str">
        <x:v>Campus/portfolio roster; individual building occupancy unverified</x:v>
      </x:c>
      <x:c r="I7301" s="12" t="str">
        <x:v>Mixed business audience</x:v>
      </x:c>
      <x:c r="J7301" s="12" t="str">
        <x:v>Trade, consumer &amp; logistics</x:v>
      </x:c>
      <x:c r="K7301" s="2" t="str">
        <x:v>PARTNER-M051</x:v>
      </x:c>
    </x:row>
    <x:row r="7302" ht="46" customHeight="1">
      <x:c r="A7302" s="2" t="str">
        <x:v>TEN-EA30894BD53C</x:v>
      </x:c>
      <x:c r="B7302" s="12" t="str">
        <x:v>Alcatel-Lucent</x:v>
      </x:c>
      <x:c r="C7302" s="12" t="str">
        <x:v>CORP-0472</x:v>
      </x:c>
      <x:c r="D7302" s="12" t="str">
        <x:v>Bengaluru</x:v>
      </x:c>
      <x:c r="E7302" s="12" t="str">
        <x:v>Manyata Tech park - Mfar</x:v>
      </x:c>
      <x:c r="F7302" s="12" t="str">
        <x:v>55 inch</x:v>
      </x:c>
      <x:c r="G7302" s="20" t="n">
        <x:v>1</x:v>
      </x:c>
      <x:c r="H7302" s="12" t="str">
        <x:v>Campus/portfolio roster; individual building occupancy unverified</x:v>
      </x:c>
      <x:c r="I7302" s="12" t="str">
        <x:v>Mixed business audience</x:v>
      </x:c>
      <x:c r="J7302" s="12" t="str">
        <x:v>IT &amp; digital</x:v>
      </x:c>
      <x:c r="K7302" s="2" t="str">
        <x:v>PARTNER-M051</x:v>
      </x:c>
    </x:row>
    <x:row r="7303" ht="46" customHeight="1">
      <x:c r="A7303" s="2" t="str">
        <x:v>TEN-EB15B1B985F7</x:v>
      </x:c>
      <x:c r="B7303" s="12" t="str">
        <x:v>Network International</x:v>
      </x:c>
      <x:c r="C7303" s="12" t="str">
        <x:v>CORP-0472</x:v>
      </x:c>
      <x:c r="D7303" s="12" t="str">
        <x:v>Bengaluru</x:v>
      </x:c>
      <x:c r="E7303" s="12" t="str">
        <x:v>Manyata Tech park - Mfar</x:v>
      </x:c>
      <x:c r="F7303" s="12" t="str">
        <x:v>55 inch</x:v>
      </x:c>
      <x:c r="G7303" s="20" t="n">
        <x:v>1</x:v>
      </x:c>
      <x:c r="H7303" s="12" t="str">
        <x:v>Campus/portfolio roster; individual building occupancy unverified</x:v>
      </x:c>
      <x:c r="I7303" s="12" t="str">
        <x:v>Mixed business audience</x:v>
      </x:c>
      <x:c r="J7303" s="12" t="str">
        <x:v>Finance &amp; insurance</x:v>
      </x:c>
      <x:c r="K7303" s="2" t="str">
        <x:v>PARTNER-M051</x:v>
      </x:c>
    </x:row>
    <x:row r="7304" ht="46" customHeight="1">
      <x:c r="A7304" s="2" t="str">
        <x:v>TEN-F611BEAB4643</x:v>
      </x:c>
      <x:c r="B7304" s="12" t="str">
        <x:v>Fidelity</x:v>
      </x:c>
      <x:c r="C7304" s="12" t="str">
        <x:v>CORP-0472</x:v>
      </x:c>
      <x:c r="D7304" s="12" t="str">
        <x:v>Bengaluru</x:v>
      </x:c>
      <x:c r="E7304" s="12" t="str">
        <x:v>Manyata Tech park - Mfar</x:v>
      </x:c>
      <x:c r="F7304" s="12" t="str">
        <x:v>55 inch</x:v>
      </x:c>
      <x:c r="G7304" s="20" t="n">
        <x:v>1</x:v>
      </x:c>
      <x:c r="H7304" s="12" t="str">
        <x:v>Campus/portfolio roster; individual building occupancy unverified</x:v>
      </x:c>
      <x:c r="I7304" s="12" t="str">
        <x:v>Mixed business audience</x:v>
      </x:c>
      <x:c r="J7304" s="12" t="str">
        <x:v>Finance &amp; insurance</x:v>
      </x:c>
      <x:c r="K7304" s="2" t="str">
        <x:v>PARTNER-M051</x:v>
      </x:c>
    </x:row>
    <x:row r="7305" ht="46" customHeight="1">
      <x:c r="A7305" s="2" t="str">
        <x:v>TEN-FB68F107F674</x:v>
      </x:c>
      <x:c r="B7305" s="12" t="str">
        <x:v>Tambora Systems India Pvt. Ltd</x:v>
      </x:c>
      <x:c r="C7305" s="12" t="str">
        <x:v>CORP-0472</x:v>
      </x:c>
      <x:c r="D7305" s="12" t="str">
        <x:v>Bengaluru</x:v>
      </x:c>
      <x:c r="E7305" s="12" t="str">
        <x:v>Manyata Tech park - Mfar</x:v>
      </x:c>
      <x:c r="F7305" s="12" t="str">
        <x:v>55 inch</x:v>
      </x:c>
      <x:c r="G7305" s="20" t="n">
        <x:v>1</x:v>
      </x:c>
      <x:c r="H7305" s="12" t="str">
        <x:v>Campus/portfolio roster; individual building occupancy unverified</x:v>
      </x:c>
      <x:c r="I7305" s="12" t="str">
        <x:v>Mixed business audience</x:v>
      </x:c>
      <x:c r="J7305" s="12" t="str">
        <x:v>Unresolved</x:v>
      </x:c>
      <x:c r="K7305" s="2" t="str">
        <x:v>PARTNER-M051</x:v>
      </x:c>
    </x:row>
    <x:row r="7306" ht="46" customHeight="1">
      <x:c r="A7306" s="2" t="str">
        <x:v>TEN-0006A53C9A96</x:v>
      </x:c>
      <x:c r="B7306" s="12" t="str">
        <x:v>Justdial</x:v>
      </x:c>
      <x:c r="C7306" s="12" t="str">
        <x:v>CORP-0473</x:v>
      </x:c>
      <x:c r="D7306" s="12" t="str">
        <x:v>Bengaluru</x:v>
      </x:c>
      <x:c r="E7306" s="12" t="str">
        <x:v>Manyata Tech park - Mfar</x:v>
      </x:c>
      <x:c r="F7306" s="12" t="str">
        <x:v>55 inch</x:v>
      </x:c>
      <x:c r="G7306" s="20" t="n">
        <x:v>1</x:v>
      </x:c>
      <x:c r="H7306" s="12" t="str">
        <x:v>Campus/portfolio roster; individual building occupancy unverified</x:v>
      </x:c>
      <x:c r="I7306" s="12" t="str">
        <x:v>Mixed business audience</x:v>
      </x:c>
      <x:c r="J7306" s="12" t="str">
        <x:v>Trade, consumer &amp; logistics</x:v>
      </x:c>
      <x:c r="K7306" s="2" t="str">
        <x:v>PARTNER-M051</x:v>
      </x:c>
    </x:row>
    <x:row r="7307" ht="46" customHeight="1">
      <x:c r="A7307" s="2" t="str">
        <x:v>TEN-0A68AD38CEB3</x:v>
      </x:c>
      <x:c r="B7307" s="12" t="str">
        <x:v>Indegene Lifesystems</x:v>
      </x:c>
      <x:c r="C7307" s="12" t="str">
        <x:v>CORP-0473</x:v>
      </x:c>
      <x:c r="D7307" s="12" t="str">
        <x:v>Bengaluru</x:v>
      </x:c>
      <x:c r="E7307" s="12" t="str">
        <x:v>Manyata Tech park - Mfar</x:v>
      </x:c>
      <x:c r="F7307" s="12" t="str">
        <x:v>55 inch</x:v>
      </x:c>
      <x:c r="G7307" s="20" t="n">
        <x:v>1</x:v>
      </x:c>
      <x:c r="H7307" s="12" t="str">
        <x:v>Campus/portfolio roster; individual building occupancy unverified</x:v>
      </x:c>
      <x:c r="I7307" s="12" t="str">
        <x:v>Mixed business audience</x:v>
      </x:c>
      <x:c r="J7307" s="12" t="str">
        <x:v>Healthcare &amp; life sciences</x:v>
      </x:c>
      <x:c r="K7307" s="2" t="str">
        <x:v>PARTNER-M051</x:v>
      </x:c>
    </x:row>
    <x:row r="7308" ht="46" customHeight="1">
      <x:c r="A7308" s="2" t="str">
        <x:v>TEN-0C16B6E2E745</x:v>
      </x:c>
      <x:c r="B7308" s="12" t="str">
        <x:v>Target Corporation India</x:v>
      </x:c>
      <x:c r="C7308" s="12" t="str">
        <x:v>CORP-0473</x:v>
      </x:c>
      <x:c r="D7308" s="12" t="str">
        <x:v>Bengaluru</x:v>
      </x:c>
      <x:c r="E7308" s="12" t="str">
        <x:v>Manyata Tech park - Mfar</x:v>
      </x:c>
      <x:c r="F7308" s="12" t="str">
        <x:v>55 inch</x:v>
      </x:c>
      <x:c r="G7308" s="20" t="n">
        <x:v>1</x:v>
      </x:c>
      <x:c r="H7308" s="12" t="str">
        <x:v>Campus/portfolio roster; individual building occupancy unverified</x:v>
      </x:c>
      <x:c r="I7308" s="12" t="str">
        <x:v>Mixed business audience</x:v>
      </x:c>
      <x:c r="J7308" s="12" t="str">
        <x:v>Trade, consumer &amp; logistics</x:v>
      </x:c>
      <x:c r="K7308" s="2" t="str">
        <x:v>PARTNER-M051</x:v>
      </x:c>
    </x:row>
    <x:row r="7309" ht="46" customHeight="1">
      <x:c r="A7309" s="2" t="str">
        <x:v>TEN-14C4528C15CA</x:v>
      </x:c>
      <x:c r="B7309" s="12" t="str">
        <x:v>NetScout Systems</x:v>
      </x:c>
      <x:c r="C7309" s="12" t="str">
        <x:v>CORP-0473</x:v>
      </x:c>
      <x:c r="D7309" s="12" t="str">
        <x:v>Bengaluru</x:v>
      </x:c>
      <x:c r="E7309" s="12" t="str">
        <x:v>Manyata Tech park - Mfar</x:v>
      </x:c>
      <x:c r="F7309" s="12" t="str">
        <x:v>55 inch</x:v>
      </x:c>
      <x:c r="G7309" s="20" t="n">
        <x:v>1</x:v>
      </x:c>
      <x:c r="H7309" s="12" t="str">
        <x:v>Campus/portfolio roster; individual building occupancy unverified</x:v>
      </x:c>
      <x:c r="I7309" s="12" t="str">
        <x:v>Mixed business audience</x:v>
      </x:c>
      <x:c r="J7309" s="12" t="str">
        <x:v>IT &amp; digital</x:v>
      </x:c>
      <x:c r="K7309" s="2" t="str">
        <x:v>PARTNER-M051</x:v>
      </x:c>
    </x:row>
    <x:row r="7310" ht="46" customHeight="1">
      <x:c r="A7310" s="2" t="str">
        <x:v>TEN-27C9A7B5ECAD</x:v>
      </x:c>
      <x:c r="B7310" s="12" t="str">
        <x:v>SLK Group</x:v>
      </x:c>
      <x:c r="C7310" s="12" t="str">
        <x:v>CORP-0473</x:v>
      </x:c>
      <x:c r="D7310" s="12" t="str">
        <x:v>Bengaluru</x:v>
      </x:c>
      <x:c r="E7310" s="12" t="str">
        <x:v>Manyata Tech park - Mfar</x:v>
      </x:c>
      <x:c r="F7310" s="12" t="str">
        <x:v>55 inch</x:v>
      </x:c>
      <x:c r="G7310" s="20" t="n">
        <x:v>1</x:v>
      </x:c>
      <x:c r="H7310" s="12" t="str">
        <x:v>Campus/portfolio roster; individual building occupancy unverified</x:v>
      </x:c>
      <x:c r="I7310" s="12" t="str">
        <x:v>Mixed business audience</x:v>
      </x:c>
      <x:c r="J7310" s="12" t="str">
        <x:v>IT &amp; digital</x:v>
      </x:c>
      <x:c r="K7310" s="2" t="str">
        <x:v>PARTNER-M051</x:v>
      </x:c>
    </x:row>
    <x:row r="7311" ht="46" customHeight="1">
      <x:c r="A7311" s="2" t="str">
        <x:v>TEN-27D00A6A3558</x:v>
      </x:c>
      <x:c r="B7311" s="12" t="str">
        <x:v>Voonik Technologies Pvt. Ltd</x:v>
      </x:c>
      <x:c r="C7311" s="12" t="str">
        <x:v>CORP-0473</x:v>
      </x:c>
      <x:c r="D7311" s="12" t="str">
        <x:v>Bengaluru</x:v>
      </x:c>
      <x:c r="E7311" s="12" t="str">
        <x:v>Manyata Tech park - Mfar</x:v>
      </x:c>
      <x:c r="F7311" s="12" t="str">
        <x:v>55 inch</x:v>
      </x:c>
      <x:c r="G7311" s="20" t="n">
        <x:v>1</x:v>
      </x:c>
      <x:c r="H7311" s="12" t="str">
        <x:v>Campus/portfolio roster; individual building occupancy unverified</x:v>
      </x:c>
      <x:c r="I7311" s="12" t="str">
        <x:v>Small-scale prospects</x:v>
      </x:c>
      <x:c r="J7311" s="12" t="str">
        <x:v>Trade, consumer &amp; logistics</x:v>
      </x:c>
      <x:c r="K7311" s="2" t="str">
        <x:v>PARTNER-M051</x:v>
      </x:c>
    </x:row>
    <x:row r="7312" ht="46" customHeight="1">
      <x:c r="A7312" s="2" t="str">
        <x:v>TEN-2F85BCE94831</x:v>
      </x:c>
      <x:c r="B7312" s="12" t="str">
        <x:v>Dimension Data India (formerly Data Craft India)</x:v>
      </x:c>
      <x:c r="C7312" s="12" t="str">
        <x:v>CORP-0473</x:v>
      </x:c>
      <x:c r="D7312" s="12" t="str">
        <x:v>Bengaluru</x:v>
      </x:c>
      <x:c r="E7312" s="12" t="str">
        <x:v>Manyata Tech park - Mfar</x:v>
      </x:c>
      <x:c r="F7312" s="12" t="str">
        <x:v>55 inch</x:v>
      </x:c>
      <x:c r="G7312" s="20" t="n">
        <x:v>1</x:v>
      </x:c>
      <x:c r="H7312" s="12" t="str">
        <x:v>Campus/portfolio roster; individual building occupancy unverified</x:v>
      </x:c>
      <x:c r="I7312" s="12" t="str">
        <x:v>Large enterprise</x:v>
      </x:c>
      <x:c r="J7312" s="12" t="str">
        <x:v>IT &amp; digital</x:v>
      </x:c>
      <x:c r="K7312" s="2" t="str">
        <x:v>PARTNER-M051</x:v>
      </x:c>
    </x:row>
    <x:row r="7313" ht="46" customHeight="1">
      <x:c r="A7313" s="2" t="str">
        <x:v>TEN-3821E9F1FF90</x:v>
      </x:c>
      <x:c r="B7313" s="12" t="str">
        <x:v>The Executive Centre</x:v>
      </x:c>
      <x:c r="C7313" s="12" t="str">
        <x:v>CORP-0473</x:v>
      </x:c>
      <x:c r="D7313" s="12" t="str">
        <x:v>Bengaluru</x:v>
      </x:c>
      <x:c r="E7313" s="12" t="str">
        <x:v>Manyata Tech park - Mfar</x:v>
      </x:c>
      <x:c r="F7313" s="12" t="str">
        <x:v>55 inch</x:v>
      </x:c>
      <x:c r="G7313" s="20" t="n">
        <x:v>1</x:v>
      </x:c>
      <x:c r="H7313" s="12" t="str">
        <x:v>Campus/portfolio roster; individual building occupancy unverified</x:v>
      </x:c>
      <x:c r="I7313" s="12" t="str">
        <x:v>Mixed business audience</x:v>
      </x:c>
      <x:c r="J7313" s="12" t="str">
        <x:v>Workspace &amp; property operations</x:v>
      </x:c>
      <x:c r="K7313" s="2" t="str">
        <x:v>PARTNER-M051</x:v>
      </x:c>
    </x:row>
    <x:row r="7314" ht="46" customHeight="1">
      <x:c r="A7314" s="2" t="str">
        <x:v>TEN-42E8408652E5</x:v>
      </x:c>
      <x:c r="B7314" s="12" t="str">
        <x:v>HCL Technologies</x:v>
      </x:c>
      <x:c r="C7314" s="12" t="str">
        <x:v>CORP-0473</x:v>
      </x:c>
      <x:c r="D7314" s="12" t="str">
        <x:v>Bengaluru</x:v>
      </x:c>
      <x:c r="E7314" s="12" t="str">
        <x:v>Manyata Tech park - Mfar</x:v>
      </x:c>
      <x:c r="F7314" s="12" t="str">
        <x:v>55 inch</x:v>
      </x:c>
      <x:c r="G7314" s="20" t="n">
        <x:v>1</x:v>
      </x:c>
      <x:c r="H7314" s="12" t="str">
        <x:v>Campus/portfolio roster; individual building occupancy unverified</x:v>
      </x:c>
      <x:c r="I7314" s="12" t="str">
        <x:v>Large enterprise</x:v>
      </x:c>
      <x:c r="J7314" s="12" t="str">
        <x:v>IT &amp; digital</x:v>
      </x:c>
      <x:c r="K7314" s="2" t="str">
        <x:v>PARTNER-M051</x:v>
      </x:c>
    </x:row>
    <x:row r="7315" ht="46" customHeight="1">
      <x:c r="A7315" s="2" t="str">
        <x:v>TEN-47679F81BEB4</x:v>
      </x:c>
      <x:c r="B7315" s="12" t="str">
        <x:v>GlobalFoundries</x:v>
      </x:c>
      <x:c r="C7315" s="12" t="str">
        <x:v>CORP-0473</x:v>
      </x:c>
      <x:c r="D7315" s="12" t="str">
        <x:v>Bengaluru</x:v>
      </x:c>
      <x:c r="E7315" s="12" t="str">
        <x:v>Manyata Tech park - Mfar</x:v>
      </x:c>
      <x:c r="F7315" s="12" t="str">
        <x:v>55 inch</x:v>
      </x:c>
      <x:c r="G7315" s="20" t="n">
        <x:v>1</x:v>
      </x:c>
      <x:c r="H7315" s="12" t="str">
        <x:v>Campus/portfolio roster; individual building occupancy unverified</x:v>
      </x:c>
      <x:c r="I7315" s="12" t="str">
        <x:v>Mixed business audience</x:v>
      </x:c>
      <x:c r="J7315" s="12" t="str">
        <x:v>Engineering &amp; manufacturing</x:v>
      </x:c>
      <x:c r="K7315" s="2" t="str">
        <x:v>PARTNER-M051</x:v>
      </x:c>
    </x:row>
    <x:row r="7316" ht="46" customHeight="1">
      <x:c r="A7316" s="2" t="str">
        <x:v>TEN-4C75F725A6D4</x:v>
      </x:c>
      <x:c r="B7316" s="12" t="str">
        <x:v>AXA Business Services</x:v>
      </x:c>
      <x:c r="C7316" s="12" t="str">
        <x:v>CORP-0473</x:v>
      </x:c>
      <x:c r="D7316" s="12" t="str">
        <x:v>Bengaluru</x:v>
      </x:c>
      <x:c r="E7316" s="12" t="str">
        <x:v>Manyata Tech park - Mfar</x:v>
      </x:c>
      <x:c r="F7316" s="12" t="str">
        <x:v>55 inch</x:v>
      </x:c>
      <x:c r="G7316" s="20" t="n">
        <x:v>1</x:v>
      </x:c>
      <x:c r="H7316" s="12" t="str">
        <x:v>Campus/portfolio roster; individual building occupancy unverified</x:v>
      </x:c>
      <x:c r="I7316" s="12" t="str">
        <x:v>Large enterprise</x:v>
      </x:c>
      <x:c r="J7316" s="12" t="str">
        <x:v>Finance &amp; insurance</x:v>
      </x:c>
      <x:c r="K7316" s="2" t="str">
        <x:v>PARTNER-M051</x:v>
      </x:c>
    </x:row>
    <x:row r="7317" ht="46" customHeight="1">
      <x:c r="A7317" s="2" t="str">
        <x:v>TEN-4E5B2E7D6119</x:v>
      </x:c>
      <x:c r="B7317" s="12" t="str">
        <x:v>ANZ</x:v>
      </x:c>
      <x:c r="C7317" s="12" t="str">
        <x:v>CORP-0473</x:v>
      </x:c>
      <x:c r="D7317" s="12" t="str">
        <x:v>Bengaluru</x:v>
      </x:c>
      <x:c r="E7317" s="12" t="str">
        <x:v>Manyata Tech park - Mfar</x:v>
      </x:c>
      <x:c r="F7317" s="12" t="str">
        <x:v>55 inch</x:v>
      </x:c>
      <x:c r="G7317" s="20" t="n">
        <x:v>1</x:v>
      </x:c>
      <x:c r="H7317" s="12" t="str">
        <x:v>Campus/portfolio roster; individual building occupancy unverified</x:v>
      </x:c>
      <x:c r="I7317" s="12" t="str">
        <x:v>Mixed business audience</x:v>
      </x:c>
      <x:c r="J7317" s="12" t="str">
        <x:v>Finance &amp; insurance</x:v>
      </x:c>
      <x:c r="K7317" s="2" t="str">
        <x:v>PARTNER-M051</x:v>
      </x:c>
    </x:row>
    <x:row r="7318" ht="46" customHeight="1">
      <x:c r="A7318" s="2" t="str">
        <x:v>TEN-4F8C19DB697F</x:v>
      </x:c>
      <x:c r="B7318" s="12" t="str">
        <x:v>Tata Consultancy Services Ltd</x:v>
      </x:c>
      <x:c r="C7318" s="12" t="str">
        <x:v>CORP-0473</x:v>
      </x:c>
      <x:c r="D7318" s="12" t="str">
        <x:v>Bengaluru</x:v>
      </x:c>
      <x:c r="E7318" s="12" t="str">
        <x:v>Manyata Tech park - Mfar</x:v>
      </x:c>
      <x:c r="F7318" s="12" t="str">
        <x:v>55 inch</x:v>
      </x:c>
      <x:c r="G7318" s="20" t="n">
        <x:v>1</x:v>
      </x:c>
      <x:c r="H7318" s="12" t="str">
        <x:v>Campus/portfolio roster; individual building occupancy unverified</x:v>
      </x:c>
      <x:c r="I7318" s="12" t="str">
        <x:v>Large enterprise</x:v>
      </x:c>
      <x:c r="J7318" s="12" t="str">
        <x:v>IT &amp; digital</x:v>
      </x:c>
      <x:c r="K7318" s="2" t="str">
        <x:v>PARTNER-M051</x:v>
      </x:c>
    </x:row>
    <x:row r="7319" ht="46" customHeight="1">
      <x:c r="A7319" s="2" t="str">
        <x:v>TEN-534AE61AC6A4</x:v>
      </x:c>
      <x:c r="B7319" s="12" t="str">
        <x:v>Stylus Commercial Services</x:v>
      </x:c>
      <x:c r="C7319" s="12" t="str">
        <x:v>CORP-0473</x:v>
      </x:c>
      <x:c r="D7319" s="12" t="str">
        <x:v>Bengaluru</x:v>
      </x:c>
      <x:c r="E7319" s="12" t="str">
        <x:v>Manyata Tech park - Mfar</x:v>
      </x:c>
      <x:c r="F7319" s="12" t="str">
        <x:v>55 inch</x:v>
      </x:c>
      <x:c r="G7319" s="20" t="n">
        <x:v>1</x:v>
      </x:c>
      <x:c r="H7319" s="12" t="str">
        <x:v>Campus/portfolio roster; individual building occupancy unverified</x:v>
      </x:c>
      <x:c r="I7319" s="12" t="str">
        <x:v>Mixed business audience</x:v>
      </x:c>
      <x:c r="J7319" s="12" t="str">
        <x:v>Unresolved</x:v>
      </x:c>
      <x:c r="K7319" s="2" t="str">
        <x:v>PARTNER-M051</x:v>
      </x:c>
    </x:row>
    <x:row r="7320" ht="46" customHeight="1">
      <x:c r="A7320" s="2" t="str">
        <x:v>TEN-53D60BF43086</x:v>
      </x:c>
      <x:c r="B7320" s="12" t="str">
        <x:v>Larsen &amp; Toubro Technology Services</x:v>
      </x:c>
      <x:c r="C7320" s="12" t="str">
        <x:v>CORP-0473</x:v>
      </x:c>
      <x:c r="D7320" s="12" t="str">
        <x:v>Bengaluru</x:v>
      </x:c>
      <x:c r="E7320" s="12" t="str">
        <x:v>Manyata Tech park - Mfar</x:v>
      </x:c>
      <x:c r="F7320" s="12" t="str">
        <x:v>55 inch</x:v>
      </x:c>
      <x:c r="G7320" s="20" t="n">
        <x:v>1</x:v>
      </x:c>
      <x:c r="H7320" s="12" t="str">
        <x:v>Campus/portfolio roster; individual building occupancy unverified</x:v>
      </x:c>
      <x:c r="I7320" s="12" t="str">
        <x:v>Large enterprise</x:v>
      </x:c>
      <x:c r="J7320" s="12" t="str">
        <x:v>Engineering &amp; manufacturing</x:v>
      </x:c>
      <x:c r="K7320" s="2" t="str">
        <x:v>PARTNER-M051</x:v>
      </x:c>
    </x:row>
    <x:row r="7321" ht="46" customHeight="1">
      <x:c r="A7321" s="2" t="str">
        <x:v>TEN-6229AE0860C6</x:v>
      </x:c>
      <x:c r="B7321" s="12" t="str">
        <x:v>AXA Technologies Shared Services</x:v>
      </x:c>
      <x:c r="C7321" s="12" t="str">
        <x:v>CORP-0473</x:v>
      </x:c>
      <x:c r="D7321" s="12" t="str">
        <x:v>Bengaluru</x:v>
      </x:c>
      <x:c r="E7321" s="12" t="str">
        <x:v>Manyata Tech park - Mfar</x:v>
      </x:c>
      <x:c r="F7321" s="12" t="str">
        <x:v>55 inch</x:v>
      </x:c>
      <x:c r="G7321" s="20" t="n">
        <x:v>1</x:v>
      </x:c>
      <x:c r="H7321" s="12" t="str">
        <x:v>Campus/portfolio roster; individual building occupancy unverified</x:v>
      </x:c>
      <x:c r="I7321" s="12" t="str">
        <x:v>Large enterprise</x:v>
      </x:c>
      <x:c r="J7321" s="12" t="str">
        <x:v>IT &amp; digital</x:v>
      </x:c>
      <x:c r="K7321" s="2" t="str">
        <x:v>PARTNER-M051</x:v>
      </x:c>
    </x:row>
    <x:row r="7322" ht="46" customHeight="1">
      <x:c r="A7322" s="2" t="str">
        <x:v>TEN-63E44AFB32E5</x:v>
      </x:c>
      <x:c r="B7322" s="12" t="str">
        <x:v>Gaea Technologies</x:v>
      </x:c>
      <x:c r="C7322" s="12" t="str">
        <x:v>CORP-0473</x:v>
      </x:c>
      <x:c r="D7322" s="12" t="str">
        <x:v>Bengaluru</x:v>
      </x:c>
      <x:c r="E7322" s="12" t="str">
        <x:v>Manyata Tech park - Mfar</x:v>
      </x:c>
      <x:c r="F7322" s="12" t="str">
        <x:v>55 inch</x:v>
      </x:c>
      <x:c r="G7322" s="20" t="n">
        <x:v>1</x:v>
      </x:c>
      <x:c r="H7322" s="12" t="str">
        <x:v>Campus/portfolio roster; individual building occupancy unverified</x:v>
      </x:c>
      <x:c r="I7322" s="12" t="str">
        <x:v>Mixed business audience</x:v>
      </x:c>
      <x:c r="J7322" s="12" t="str">
        <x:v>Unresolved</x:v>
      </x:c>
      <x:c r="K7322" s="2" t="str">
        <x:v>PARTNER-M051</x:v>
      </x:c>
    </x:row>
    <x:row r="7323" ht="46" customHeight="1">
      <x:c r="A7323" s="2" t="str">
        <x:v>TEN-6726DCA55EB6</x:v>
      </x:c>
      <x:c r="B7323" s="12" t="str">
        <x:v>i4 Global Information Technologies Ltd</x:v>
      </x:c>
      <x:c r="C7323" s="12" t="str">
        <x:v>CORP-0473</x:v>
      </x:c>
      <x:c r="D7323" s="12" t="str">
        <x:v>Bengaluru</x:v>
      </x:c>
      <x:c r="E7323" s="12" t="str">
        <x:v>Manyata Tech park - Mfar</x:v>
      </x:c>
      <x:c r="F7323" s="12" t="str">
        <x:v>55 inch</x:v>
      </x:c>
      <x:c r="G7323" s="20" t="n">
        <x:v>1</x:v>
      </x:c>
      <x:c r="H7323" s="12" t="str">
        <x:v>Campus/portfolio roster; individual building occupancy unverified</x:v>
      </x:c>
      <x:c r="I7323" s="12" t="str">
        <x:v>Small-scale prospects</x:v>
      </x:c>
      <x:c r="J7323" s="12" t="str">
        <x:v>IT &amp; digital</x:v>
      </x:c>
      <x:c r="K7323" s="2" t="str">
        <x:v>PARTNER-M051</x:v>
      </x:c>
    </x:row>
    <x:row r="7324" ht="46" customHeight="1">
      <x:c r="A7324" s="2" t="str">
        <x:v>TEN-6BEB399B4462</x:v>
      </x:c>
      <x:c r="B7324" s="12" t="str">
        <x:v>Nuance Communications</x:v>
      </x:c>
      <x:c r="C7324" s="12" t="str">
        <x:v>CORP-0473</x:v>
      </x:c>
      <x:c r="D7324" s="12" t="str">
        <x:v>Bengaluru</x:v>
      </x:c>
      <x:c r="E7324" s="12" t="str">
        <x:v>Manyata Tech park - Mfar</x:v>
      </x:c>
      <x:c r="F7324" s="12" t="str">
        <x:v>55 inch</x:v>
      </x:c>
      <x:c r="G7324" s="20" t="n">
        <x:v>1</x:v>
      </x:c>
      <x:c r="H7324" s="12" t="str">
        <x:v>Campus/portfolio roster; individual building occupancy unverified</x:v>
      </x:c>
      <x:c r="I7324" s="12" t="str">
        <x:v>Mixed business audience</x:v>
      </x:c>
      <x:c r="J7324" s="12" t="str">
        <x:v>IT &amp; digital</x:v>
      </x:c>
      <x:c r="K7324" s="2" t="str">
        <x:v>PARTNER-M051</x:v>
      </x:c>
    </x:row>
    <x:row r="7325" ht="46" customHeight="1">
      <x:c r="A7325" s="2" t="str">
        <x:v>TEN-7A03B2E48987</x:v>
      </x:c>
      <x:c r="B7325" s="12" t="str">
        <x:v>Cerner</x:v>
      </x:c>
      <x:c r="C7325" s="12" t="str">
        <x:v>CORP-0473</x:v>
      </x:c>
      <x:c r="D7325" s="12" t="str">
        <x:v>Bengaluru</x:v>
      </x:c>
      <x:c r="E7325" s="12" t="str">
        <x:v>Manyata Tech park - Mfar</x:v>
      </x:c>
      <x:c r="F7325" s="12" t="str">
        <x:v>55 inch</x:v>
      </x:c>
      <x:c r="G7325" s="20" t="n">
        <x:v>1</x:v>
      </x:c>
      <x:c r="H7325" s="12" t="str">
        <x:v>Campus/portfolio roster; individual building occupancy unverified</x:v>
      </x:c>
      <x:c r="I7325" s="12" t="str">
        <x:v>Mixed business audience</x:v>
      </x:c>
      <x:c r="J7325" s="12" t="str">
        <x:v>Healthcare &amp; life sciences</x:v>
      </x:c>
      <x:c r="K7325" s="2" t="str">
        <x:v>PARTNER-M051</x:v>
      </x:c>
    </x:row>
    <x:row r="7326" ht="46" customHeight="1">
      <x:c r="A7326" s="2" t="str">
        <x:v>TEN-7E1EAB7E3FF2</x:v>
      </x:c>
      <x:c r="B7326" s="12" t="str">
        <x:v>Phani Information Technologies Ltd</x:v>
      </x:c>
      <x:c r="C7326" s="12" t="str">
        <x:v>CORP-0473</x:v>
      </x:c>
      <x:c r="D7326" s="12" t="str">
        <x:v>Bengaluru</x:v>
      </x:c>
      <x:c r="E7326" s="12" t="str">
        <x:v>Manyata Tech park - Mfar</x:v>
      </x:c>
      <x:c r="F7326" s="12" t="str">
        <x:v>55 inch</x:v>
      </x:c>
      <x:c r="G7326" s="20" t="n">
        <x:v>1</x:v>
      </x:c>
      <x:c r="H7326" s="12" t="str">
        <x:v>Campus/portfolio roster; individual building occupancy unverified</x:v>
      </x:c>
      <x:c r="I7326" s="12" t="str">
        <x:v>Small-scale prospects</x:v>
      </x:c>
      <x:c r="J7326" s="12" t="str">
        <x:v>IT &amp; digital</x:v>
      </x:c>
      <x:c r="K7326" s="2" t="str">
        <x:v>PARTNER-M051</x:v>
      </x:c>
    </x:row>
    <x:row r="7327" ht="46" customHeight="1">
      <x:c r="A7327" s="2" t="str">
        <x:v>TEN-7E287D3F75D5</x:v>
      </x:c>
      <x:c r="B7327" s="12" t="str">
        <x:v>Kinapse</x:v>
      </x:c>
      <x:c r="C7327" s="12" t="str">
        <x:v>CORP-0473</x:v>
      </x:c>
      <x:c r="D7327" s="12" t="str">
        <x:v>Bengaluru</x:v>
      </x:c>
      <x:c r="E7327" s="12" t="str">
        <x:v>Manyata Tech park - Mfar</x:v>
      </x:c>
      <x:c r="F7327" s="12" t="str">
        <x:v>55 inch</x:v>
      </x:c>
      <x:c r="G7327" s="20" t="n">
        <x:v>1</x:v>
      </x:c>
      <x:c r="H7327" s="12" t="str">
        <x:v>Campus/portfolio roster; individual building occupancy unverified</x:v>
      </x:c>
      <x:c r="I7327" s="12" t="str">
        <x:v>Mixed business audience</x:v>
      </x:c>
      <x:c r="J7327" s="12" t="str">
        <x:v>Healthcare &amp; life sciences</x:v>
      </x:c>
      <x:c r="K7327" s="2" t="str">
        <x:v>PARTNER-M051</x:v>
      </x:c>
    </x:row>
    <x:row r="7328" ht="46" customHeight="1">
      <x:c r="A7328" s="2" t="str">
        <x:v>TEN-804B19934A31</x:v>
      </x:c>
      <x:c r="B7328" s="12" t="str">
        <x:v>Invecas Inc</x:v>
      </x:c>
      <x:c r="C7328" s="12" t="str">
        <x:v>CORP-0473</x:v>
      </x:c>
      <x:c r="D7328" s="12" t="str">
        <x:v>Bengaluru</x:v>
      </x:c>
      <x:c r="E7328" s="12" t="str">
        <x:v>Manyata Tech park - Mfar</x:v>
      </x:c>
      <x:c r="F7328" s="12" t="str">
        <x:v>55 inch</x:v>
      </x:c>
      <x:c r="G7328" s="20" t="n">
        <x:v>1</x:v>
      </x:c>
      <x:c r="H7328" s="12" t="str">
        <x:v>Campus/portfolio roster; individual building occupancy unverified</x:v>
      </x:c>
      <x:c r="I7328" s="12" t="str">
        <x:v>Medium-scale prospects</x:v>
      </x:c>
      <x:c r="J7328" s="12" t="str">
        <x:v>Engineering &amp; manufacturing</x:v>
      </x:c>
      <x:c r="K7328" s="2" t="str">
        <x:v>PARTNER-M051</x:v>
      </x:c>
    </x:row>
    <x:row r="7329" ht="46" customHeight="1">
      <x:c r="A7329" s="2" t="str">
        <x:v>TEN-86F73DFE7BB6</x:v>
      </x:c>
      <x:c r="B7329" s="12" t="str">
        <x:v>Cognizant</x:v>
      </x:c>
      <x:c r="C7329" s="12" t="str">
        <x:v>CORP-0473</x:v>
      </x:c>
      <x:c r="D7329" s="12" t="str">
        <x:v>Bengaluru</x:v>
      </x:c>
      <x:c r="E7329" s="12" t="str">
        <x:v>Manyata Tech park - Mfar</x:v>
      </x:c>
      <x:c r="F7329" s="12" t="str">
        <x:v>55 inch</x:v>
      </x:c>
      <x:c r="G7329" s="20" t="n">
        <x:v>1</x:v>
      </x:c>
      <x:c r="H7329" s="12" t="str">
        <x:v>Campus/portfolio roster; individual building occupancy unverified</x:v>
      </x:c>
      <x:c r="I7329" s="12" t="str">
        <x:v>Large enterprise</x:v>
      </x:c>
      <x:c r="J7329" s="12" t="str">
        <x:v>IT &amp; digital</x:v>
      </x:c>
      <x:c r="K7329" s="2" t="str">
        <x:v>PARTNER-M051</x:v>
      </x:c>
    </x:row>
    <x:row r="7330" ht="46" customHeight="1">
      <x:c r="A7330" s="2" t="str">
        <x:v>TEN-8A0F00910447</x:v>
      </x:c>
      <x:c r="B7330" s="12" t="str">
        <x:v>Jurimatrix</x:v>
      </x:c>
      <x:c r="C7330" s="12" t="str">
        <x:v>CORP-0473</x:v>
      </x:c>
      <x:c r="D7330" s="12" t="str">
        <x:v>Bengaluru</x:v>
      </x:c>
      <x:c r="E7330" s="12" t="str">
        <x:v>Manyata Tech park - Mfar</x:v>
      </x:c>
      <x:c r="F7330" s="12" t="str">
        <x:v>55 inch</x:v>
      </x:c>
      <x:c r="G7330" s="20" t="n">
        <x:v>1</x:v>
      </x:c>
      <x:c r="H7330" s="12" t="str">
        <x:v>Campus/portfolio roster; individual building occupancy unverified</x:v>
      </x:c>
      <x:c r="I7330" s="12" t="str">
        <x:v>Small-scale prospects</x:v>
      </x:c>
      <x:c r="J7330" s="12" t="str">
        <x:v>Professional services</x:v>
      </x:c>
      <x:c r="K7330" s="2" t="str">
        <x:v>PARTNER-M051</x:v>
      </x:c>
    </x:row>
    <x:row r="7331" ht="46" customHeight="1">
      <x:c r="A7331" s="2" t="str">
        <x:v>TEN-8D4321D93632</x:v>
      </x:c>
      <x:c r="B7331" s="12" t="str">
        <x:v>Nvidia</x:v>
      </x:c>
      <x:c r="C7331" s="12" t="str">
        <x:v>CORP-0473</x:v>
      </x:c>
      <x:c r="D7331" s="12" t="str">
        <x:v>Bengaluru</x:v>
      </x:c>
      <x:c r="E7331" s="12" t="str">
        <x:v>Manyata Tech park - Mfar</x:v>
      </x:c>
      <x:c r="F7331" s="12" t="str">
        <x:v>55 inch</x:v>
      </x:c>
      <x:c r="G7331" s="20" t="n">
        <x:v>1</x:v>
      </x:c>
      <x:c r="H7331" s="12" t="str">
        <x:v>Campus/portfolio roster; individual building occupancy unverified</x:v>
      </x:c>
      <x:c r="I7331" s="12" t="str">
        <x:v>Large enterprise</x:v>
      </x:c>
      <x:c r="J7331" s="12" t="str">
        <x:v>Engineering &amp; manufacturing</x:v>
      </x:c>
      <x:c r="K7331" s="2" t="str">
        <x:v>PARTNER-M051</x:v>
      </x:c>
    </x:row>
    <x:row r="7332" ht="46" customHeight="1">
      <x:c r="A7332" s="2" t="str">
        <x:v>TEN-92CD56DC627C</x:v>
      </x:c>
      <x:c r="B7332" s="12" t="str">
        <x:v>Mast Global Business Services India Pvt. Ltd</x:v>
      </x:c>
      <x:c r="C7332" s="12" t="str">
        <x:v>CORP-0473</x:v>
      </x:c>
      <x:c r="D7332" s="12" t="str">
        <x:v>Bengaluru</x:v>
      </x:c>
      <x:c r="E7332" s="12" t="str">
        <x:v>Manyata Tech park - Mfar</x:v>
      </x:c>
      <x:c r="F7332" s="12" t="str">
        <x:v>55 inch</x:v>
      </x:c>
      <x:c r="G7332" s="20" t="n">
        <x:v>1</x:v>
      </x:c>
      <x:c r="H7332" s="12" t="str">
        <x:v>Campus/portfolio roster; individual building occupancy unverified</x:v>
      </x:c>
      <x:c r="I7332" s="12" t="str">
        <x:v>Mixed business audience</x:v>
      </x:c>
      <x:c r="J7332" s="12" t="str">
        <x:v>Unresolved</x:v>
      </x:c>
      <x:c r="K7332" s="2" t="str">
        <x:v>PARTNER-M051</x:v>
      </x:c>
    </x:row>
    <x:row r="7333" ht="46" customHeight="1">
      <x:c r="A7333" s="2" t="str">
        <x:v>TEN-955D5077F546</x:v>
      </x:c>
      <x:c r="B7333" s="12" t="str">
        <x:v>Atlas Copco</x:v>
      </x:c>
      <x:c r="C7333" s="12" t="str">
        <x:v>CORP-0473</x:v>
      </x:c>
      <x:c r="D7333" s="12" t="str">
        <x:v>Bengaluru</x:v>
      </x:c>
      <x:c r="E7333" s="12" t="str">
        <x:v>Manyata Tech park - Mfar</x:v>
      </x:c>
      <x:c r="F7333" s="12" t="str">
        <x:v>55 inch</x:v>
      </x:c>
      <x:c r="G7333" s="20" t="n">
        <x:v>1</x:v>
      </x:c>
      <x:c r="H7333" s="12" t="str">
        <x:v>Campus/portfolio roster; individual building occupancy unverified</x:v>
      </x:c>
      <x:c r="I7333" s="12" t="str">
        <x:v>Mixed business audience</x:v>
      </x:c>
      <x:c r="J7333" s="12" t="str">
        <x:v>Engineering &amp; manufacturing</x:v>
      </x:c>
      <x:c r="K7333" s="2" t="str">
        <x:v>PARTNER-M051</x:v>
      </x:c>
    </x:row>
    <x:row r="7334" ht="46" customHeight="1">
      <x:c r="A7334" s="2" t="str">
        <x:v>TEN-957870226159</x:v>
      </x:c>
      <x:c r="B7334" s="12" t="str">
        <x:v>NXP Semiconductors</x:v>
      </x:c>
      <x:c r="C7334" s="12" t="str">
        <x:v>CORP-0473</x:v>
      </x:c>
      <x:c r="D7334" s="12" t="str">
        <x:v>Bengaluru</x:v>
      </x:c>
      <x:c r="E7334" s="12" t="str">
        <x:v>Manyata Tech park - Mfar</x:v>
      </x:c>
      <x:c r="F7334" s="12" t="str">
        <x:v>55 inch</x:v>
      </x:c>
      <x:c r="G7334" s="20" t="n">
        <x:v>1</x:v>
      </x:c>
      <x:c r="H7334" s="12" t="str">
        <x:v>Campus/portfolio roster; individual building occupancy unverified</x:v>
      </x:c>
      <x:c r="I7334" s="12" t="str">
        <x:v>Mixed business audience</x:v>
      </x:c>
      <x:c r="J7334" s="12" t="str">
        <x:v>Engineering &amp; manufacturing</x:v>
      </x:c>
      <x:c r="K7334" s="2" t="str">
        <x:v>PARTNER-M051</x:v>
      </x:c>
    </x:row>
    <x:row r="7335" ht="46" customHeight="1">
      <x:c r="A7335" s="2" t="str">
        <x:v>TEN-9891CBD98729</x:v>
      </x:c>
      <x:c r="B7335" s="12" t="str">
        <x:v>Northern Trust</x:v>
      </x:c>
      <x:c r="C7335" s="12" t="str">
        <x:v>CORP-0473</x:v>
      </x:c>
      <x:c r="D7335" s="12" t="str">
        <x:v>Bengaluru</x:v>
      </x:c>
      <x:c r="E7335" s="12" t="str">
        <x:v>Manyata Tech park - Mfar</x:v>
      </x:c>
      <x:c r="F7335" s="12" t="str">
        <x:v>55 inch</x:v>
      </x:c>
      <x:c r="G7335" s="20" t="n">
        <x:v>1</x:v>
      </x:c>
      <x:c r="H7335" s="12" t="str">
        <x:v>Campus/portfolio roster; individual building occupancy unverified</x:v>
      </x:c>
      <x:c r="I7335" s="12" t="str">
        <x:v>Large enterprise</x:v>
      </x:c>
      <x:c r="J7335" s="12" t="str">
        <x:v>Finance &amp; insurance</x:v>
      </x:c>
      <x:c r="K7335" s="2" t="str">
        <x:v>PARTNER-M051</x:v>
      </x:c>
    </x:row>
    <x:row r="7336" ht="46" customHeight="1">
      <x:c r="A7336" s="2" t="str">
        <x:v>TEN-9FBF261B62C1</x:v>
      </x:c>
      <x:c r="B7336" s="12" t="str">
        <x:v>Microsoft</x:v>
      </x:c>
      <x:c r="C7336" s="12" t="str">
        <x:v>CORP-0473</x:v>
      </x:c>
      <x:c r="D7336" s="12" t="str">
        <x:v>Bengaluru</x:v>
      </x:c>
      <x:c r="E7336" s="12" t="str">
        <x:v>Manyata Tech park - Mfar</x:v>
      </x:c>
      <x:c r="F7336" s="12" t="str">
        <x:v>55 inch</x:v>
      </x:c>
      <x:c r="G7336" s="20" t="n">
        <x:v>1</x:v>
      </x:c>
      <x:c r="H7336" s="12" t="str">
        <x:v>Campus/portfolio roster; individual building occupancy unverified</x:v>
      </x:c>
      <x:c r="I7336" s="12" t="str">
        <x:v>Large enterprise</x:v>
      </x:c>
      <x:c r="J7336" s="12" t="str">
        <x:v>IT &amp; digital</x:v>
      </x:c>
      <x:c r="K7336" s="2" t="str">
        <x:v>PARTNER-M051</x:v>
      </x:c>
    </x:row>
    <x:row r="7337" ht="46" customHeight="1">
      <x:c r="A7337" s="2" t="str">
        <x:v>TEN-A1A5873B72DA</x:v>
      </x:c>
      <x:c r="B7337" s="12" t="str">
        <x:v>Colt Technologies</x:v>
      </x:c>
      <x:c r="C7337" s="12" t="str">
        <x:v>CORP-0473</x:v>
      </x:c>
      <x:c r="D7337" s="12" t="str">
        <x:v>Bengaluru</x:v>
      </x:c>
      <x:c r="E7337" s="12" t="str">
        <x:v>Manyata Tech park - Mfar</x:v>
      </x:c>
      <x:c r="F7337" s="12" t="str">
        <x:v>55 inch</x:v>
      </x:c>
      <x:c r="G7337" s="20" t="n">
        <x:v>1</x:v>
      </x:c>
      <x:c r="H7337" s="12" t="str">
        <x:v>Campus/portfolio roster; individual building occupancy unverified</x:v>
      </x:c>
      <x:c r="I7337" s="12" t="str">
        <x:v>Mixed business audience</x:v>
      </x:c>
      <x:c r="J7337" s="12" t="str">
        <x:v>IT &amp; digital</x:v>
      </x:c>
      <x:c r="K7337" s="2" t="str">
        <x:v>PARTNER-M051</x:v>
      </x:c>
    </x:row>
    <x:row r="7338" ht="46" customHeight="1">
      <x:c r="A7338" s="2" t="str">
        <x:v>TEN-A9F65BF11B3A</x:v>
      </x:c>
      <x:c r="B7338" s="12" t="str">
        <x:v>JCPenney</x:v>
      </x:c>
      <x:c r="C7338" s="12" t="str">
        <x:v>CORP-0473</x:v>
      </x:c>
      <x:c r="D7338" s="12" t="str">
        <x:v>Bengaluru</x:v>
      </x:c>
      <x:c r="E7338" s="12" t="str">
        <x:v>Manyata Tech park - Mfar</x:v>
      </x:c>
      <x:c r="F7338" s="12" t="str">
        <x:v>55 inch</x:v>
      </x:c>
      <x:c r="G7338" s="20" t="n">
        <x:v>1</x:v>
      </x:c>
      <x:c r="H7338" s="12" t="str">
        <x:v>Campus/portfolio roster; individual building occupancy unverified</x:v>
      </x:c>
      <x:c r="I7338" s="12" t="str">
        <x:v>Large enterprise</x:v>
      </x:c>
      <x:c r="J7338" s="12" t="str">
        <x:v>Trade, consumer &amp; logistics</x:v>
      </x:c>
      <x:c r="K7338" s="2" t="str">
        <x:v>PARTNER-M051</x:v>
      </x:c>
    </x:row>
    <x:row r="7339" ht="46" customHeight="1">
      <x:c r="A7339" s="2" t="str">
        <x:v>TEN-B19CA7C8E2F1</x:v>
      </x:c>
      <x:c r="B7339" s="12" t="str">
        <x:v>Rolls-Royce</x:v>
      </x:c>
      <x:c r="C7339" s="12" t="str">
        <x:v>CORP-0473</x:v>
      </x:c>
      <x:c r="D7339" s="12" t="str">
        <x:v>Bengaluru</x:v>
      </x:c>
      <x:c r="E7339" s="12" t="str">
        <x:v>Manyata Tech park - Mfar</x:v>
      </x:c>
      <x:c r="F7339" s="12" t="str">
        <x:v>55 inch</x:v>
      </x:c>
      <x:c r="G7339" s="20" t="n">
        <x:v>1</x:v>
      </x:c>
      <x:c r="H7339" s="12" t="str">
        <x:v>Campus/portfolio roster; individual building occupancy unverified</x:v>
      </x:c>
      <x:c r="I7339" s="12" t="str">
        <x:v>Large enterprise</x:v>
      </x:c>
      <x:c r="J7339" s="12" t="str">
        <x:v>Engineering &amp; manufacturing</x:v>
      </x:c>
      <x:c r="K7339" s="2" t="str">
        <x:v>PARTNER-M051</x:v>
      </x:c>
    </x:row>
    <x:row r="7340" ht="46" customHeight="1">
      <x:c r="A7340" s="2" t="str">
        <x:v>TEN-B477D484C9C9</x:v>
      </x:c>
      <x:c r="B7340" s="12" t="str">
        <x:v>Flightraja Travels (Via.com)</x:v>
      </x:c>
      <x:c r="C7340" s="12" t="str">
        <x:v>CORP-0473</x:v>
      </x:c>
      <x:c r="D7340" s="12" t="str">
        <x:v>Bengaluru</x:v>
      </x:c>
      <x:c r="E7340" s="12" t="str">
        <x:v>Manyata Tech park - Mfar</x:v>
      </x:c>
      <x:c r="F7340" s="12" t="str">
        <x:v>55 inch</x:v>
      </x:c>
      <x:c r="G7340" s="20" t="n">
        <x:v>1</x:v>
      </x:c>
      <x:c r="H7340" s="12" t="str">
        <x:v>Campus/portfolio roster; individual building occupancy unverified</x:v>
      </x:c>
      <x:c r="I7340" s="12" t="str">
        <x:v>Mixed business audience</x:v>
      </x:c>
      <x:c r="J7340" s="12" t="str">
        <x:v>Trade, consumer &amp; logistics</x:v>
      </x:c>
      <x:c r="K7340" s="2" t="str">
        <x:v>PARTNER-M051</x:v>
      </x:c>
    </x:row>
    <x:row r="7341" ht="46" customHeight="1">
      <x:c r="A7341" s="2" t="str">
        <x:v>TEN-B7E189530240</x:v>
      </x:c>
      <x:c r="B7341" s="12" t="str">
        <x:v>Monsanto Holdings</x:v>
      </x:c>
      <x:c r="C7341" s="12" t="str">
        <x:v>CORP-0473</x:v>
      </x:c>
      <x:c r="D7341" s="12" t="str">
        <x:v>Bengaluru</x:v>
      </x:c>
      <x:c r="E7341" s="12" t="str">
        <x:v>Manyata Tech park - Mfar</x:v>
      </x:c>
      <x:c r="F7341" s="12" t="str">
        <x:v>55 inch</x:v>
      </x:c>
      <x:c r="G7341" s="20" t="n">
        <x:v>1</x:v>
      </x:c>
      <x:c r="H7341" s="12" t="str">
        <x:v>Campus/portfolio roster; individual building occupancy unverified</x:v>
      </x:c>
      <x:c r="I7341" s="12" t="str">
        <x:v>Mixed business audience</x:v>
      </x:c>
      <x:c r="J7341" s="12" t="str">
        <x:v>Engineering &amp; manufacturing</x:v>
      </x:c>
      <x:c r="K7341" s="2" t="str">
        <x:v>PARTNER-M051</x:v>
      </x:c>
    </x:row>
    <x:row r="7342" ht="46" customHeight="1">
      <x:c r="A7342" s="2" t="str">
        <x:v>TEN-BA6AE2780CD4</x:v>
      </x:c>
      <x:c r="B7342" s="12" t="str">
        <x:v>Concentrix</x:v>
      </x:c>
      <x:c r="C7342" s="12" t="str">
        <x:v>CORP-0473</x:v>
      </x:c>
      <x:c r="D7342" s="12" t="str">
        <x:v>Bengaluru</x:v>
      </x:c>
      <x:c r="E7342" s="12" t="str">
        <x:v>Manyata Tech park - Mfar</x:v>
      </x:c>
      <x:c r="F7342" s="12" t="str">
        <x:v>55 inch</x:v>
      </x:c>
      <x:c r="G7342" s="20" t="n">
        <x:v>1</x:v>
      </x:c>
      <x:c r="H7342" s="12" t="str">
        <x:v>Campus/portfolio roster; individual building occupancy unverified</x:v>
      </x:c>
      <x:c r="I7342" s="12" t="str">
        <x:v>Large enterprise</x:v>
      </x:c>
      <x:c r="J7342" s="12" t="str">
        <x:v>IT &amp; digital</x:v>
      </x:c>
      <x:c r="K7342" s="2" t="str">
        <x:v>PARTNER-M051</x:v>
      </x:c>
    </x:row>
    <x:row r="7343" ht="46" customHeight="1">
      <x:c r="A7343" s="2" t="str">
        <x:v>TEN-C80EF940CC50</x:v>
      </x:c>
      <x:c r="B7343" s="12" t="str">
        <x:v>Nokia Networks (Earlier known as NSN or Nokia Siemens Networks)</x:v>
      </x:c>
      <x:c r="C7343" s="12" t="str">
        <x:v>CORP-0473</x:v>
      </x:c>
      <x:c r="D7343" s="12" t="str">
        <x:v>Bengaluru</x:v>
      </x:c>
      <x:c r="E7343" s="12" t="str">
        <x:v>Manyata Tech park - Mfar</x:v>
      </x:c>
      <x:c r="F7343" s="12" t="str">
        <x:v>55 inch</x:v>
      </x:c>
      <x:c r="G7343" s="20" t="n">
        <x:v>1</x:v>
      </x:c>
      <x:c r="H7343" s="12" t="str">
        <x:v>Campus/portfolio roster; individual building occupancy unverified</x:v>
      </x:c>
      <x:c r="I7343" s="12" t="str">
        <x:v>Large enterprise</x:v>
      </x:c>
      <x:c r="J7343" s="12" t="str">
        <x:v>IT &amp; digital</x:v>
      </x:c>
      <x:c r="K7343" s="2" t="str">
        <x:v>PARTNER-M051</x:v>
      </x:c>
    </x:row>
    <x:row r="7344" ht="46" customHeight="1">
      <x:c r="A7344" s="2" t="str">
        <x:v>TEN-C9DBDD187EBA</x:v>
      </x:c>
      <x:c r="B7344" s="12" t="str">
        <x:v>Redknee</x:v>
      </x:c>
      <x:c r="C7344" s="12" t="str">
        <x:v>CORP-0473</x:v>
      </x:c>
      <x:c r="D7344" s="12" t="str">
        <x:v>Bengaluru</x:v>
      </x:c>
      <x:c r="E7344" s="12" t="str">
        <x:v>Manyata Tech park - Mfar</x:v>
      </x:c>
      <x:c r="F7344" s="12" t="str">
        <x:v>55 inch</x:v>
      </x:c>
      <x:c r="G7344" s="20" t="n">
        <x:v>1</x:v>
      </x:c>
      <x:c r="H7344" s="12" t="str">
        <x:v>Campus/portfolio roster; individual building occupancy unverified</x:v>
      </x:c>
      <x:c r="I7344" s="12" t="str">
        <x:v>Mixed business audience</x:v>
      </x:c>
      <x:c r="J7344" s="12" t="str">
        <x:v>IT &amp; digital</x:v>
      </x:c>
      <x:c r="K7344" s="2" t="str">
        <x:v>PARTNER-M051</x:v>
      </x:c>
    </x:row>
    <x:row r="7345" ht="46" customHeight="1">
      <x:c r="A7345" s="2" t="str">
        <x:v>TEN-CAD973567458</x:v>
      </x:c>
      <x:c r="B7345" s="12" t="str">
        <x:v>Andritz AG</x:v>
      </x:c>
      <x:c r="C7345" s="12" t="str">
        <x:v>CORP-0473</x:v>
      </x:c>
      <x:c r="D7345" s="12" t="str">
        <x:v>Bengaluru</x:v>
      </x:c>
      <x:c r="E7345" s="12" t="str">
        <x:v>Manyata Tech park - Mfar</x:v>
      </x:c>
      <x:c r="F7345" s="12" t="str">
        <x:v>55 inch</x:v>
      </x:c>
      <x:c r="G7345" s="20" t="n">
        <x:v>1</x:v>
      </x:c>
      <x:c r="H7345" s="12" t="str">
        <x:v>Campus/portfolio roster; individual building occupancy unverified</x:v>
      </x:c>
      <x:c r="I7345" s="12" t="str">
        <x:v>Mixed business audience</x:v>
      </x:c>
      <x:c r="J7345" s="12" t="str">
        <x:v>Engineering &amp; manufacturing</x:v>
      </x:c>
      <x:c r="K7345" s="2" t="str">
        <x:v>PARTNER-M051</x:v>
      </x:c>
    </x:row>
    <x:row r="7346" ht="46" customHeight="1">
      <x:c r="A7346" s="2" t="str">
        <x:v>TEN-D3D424C3C181</x:v>
      </x:c>
      <x:c r="B7346" s="12" t="str">
        <x:v>IBM India Pvt. Ltd</x:v>
      </x:c>
      <x:c r="C7346" s="12" t="str">
        <x:v>CORP-0473</x:v>
      </x:c>
      <x:c r="D7346" s="12" t="str">
        <x:v>Bengaluru</x:v>
      </x:c>
      <x:c r="E7346" s="12" t="str">
        <x:v>Manyata Tech park - Mfar</x:v>
      </x:c>
      <x:c r="F7346" s="12" t="str">
        <x:v>55 inch</x:v>
      </x:c>
      <x:c r="G7346" s="20" t="n">
        <x:v>1</x:v>
      </x:c>
      <x:c r="H7346" s="12" t="str">
        <x:v>Campus/portfolio roster; individual building occupancy unverified</x:v>
      </x:c>
      <x:c r="I7346" s="12" t="str">
        <x:v>Large enterprise</x:v>
      </x:c>
      <x:c r="J7346" s="12" t="str">
        <x:v>IT &amp; digital</x:v>
      </x:c>
      <x:c r="K7346" s="2" t="str">
        <x:v>PARTNER-M051</x:v>
      </x:c>
    </x:row>
    <x:row r="7347" ht="46" customHeight="1">
      <x:c r="A7347" s="2" t="str">
        <x:v>TEN-DD4CB9CF52F0</x:v>
      </x:c>
      <x:c r="B7347" s="12" t="str">
        <x:v>Philips</x:v>
      </x:c>
      <x:c r="C7347" s="12" t="str">
        <x:v>CORP-0473</x:v>
      </x:c>
      <x:c r="D7347" s="12" t="str">
        <x:v>Bengaluru</x:v>
      </x:c>
      <x:c r="E7347" s="12" t="str">
        <x:v>Manyata Tech park - Mfar</x:v>
      </x:c>
      <x:c r="F7347" s="12" t="str">
        <x:v>55 inch</x:v>
      </x:c>
      <x:c r="G7347" s="20" t="n">
        <x:v>1</x:v>
      </x:c>
      <x:c r="H7347" s="12" t="str">
        <x:v>Campus/portfolio roster; individual building occupancy unverified</x:v>
      </x:c>
      <x:c r="I7347" s="12" t="str">
        <x:v>Large enterprise</x:v>
      </x:c>
      <x:c r="J7347" s="12" t="str">
        <x:v>Engineering &amp; manufacturing</x:v>
      </x:c>
      <x:c r="K7347" s="2" t="str">
        <x:v>PARTNER-M051</x:v>
      </x:c>
    </x:row>
    <x:row r="7348" ht="46" customHeight="1">
      <x:c r="A7348" s="2" t="str">
        <x:v>TEN-DF1BD710E8BF</x:v>
      </x:c>
      <x:c r="B7348" s="12" t="str">
        <x:v>Mitel (Earlier known as Mavenir Systems)</x:v>
      </x:c>
      <x:c r="C7348" s="12" t="str">
        <x:v>CORP-0473</x:v>
      </x:c>
      <x:c r="D7348" s="12" t="str">
        <x:v>Bengaluru</x:v>
      </x:c>
      <x:c r="E7348" s="12" t="str">
        <x:v>Manyata Tech park - Mfar</x:v>
      </x:c>
      <x:c r="F7348" s="12" t="str">
        <x:v>55 inch</x:v>
      </x:c>
      <x:c r="G7348" s="20" t="n">
        <x:v>1</x:v>
      </x:c>
      <x:c r="H7348" s="12" t="str">
        <x:v>Campus/portfolio roster; individual building occupancy unverified</x:v>
      </x:c>
      <x:c r="I7348" s="12" t="str">
        <x:v>Mixed business audience</x:v>
      </x:c>
      <x:c r="J7348" s="12" t="str">
        <x:v>IT &amp; digital</x:v>
      </x:c>
      <x:c r="K7348" s="2" t="str">
        <x:v>PARTNER-M051</x:v>
      </x:c>
    </x:row>
    <x:row r="7349" ht="46" customHeight="1">
      <x:c r="A7349" s="2" t="str">
        <x:v>TEN-E7F9F6E5FC3F</x:v>
      </x:c>
      <x:c r="B7349" s="12" t="str">
        <x:v>Aditi Technologies</x:v>
      </x:c>
      <x:c r="C7349" s="12" t="str">
        <x:v>CORP-0473</x:v>
      </x:c>
      <x:c r="D7349" s="12" t="str">
        <x:v>Bengaluru</x:v>
      </x:c>
      <x:c r="E7349" s="12" t="str">
        <x:v>Manyata Tech park - Mfar</x:v>
      </x:c>
      <x:c r="F7349" s="12" t="str">
        <x:v>55 inch</x:v>
      </x:c>
      <x:c r="G7349" s="20" t="n">
        <x:v>1</x:v>
      </x:c>
      <x:c r="H7349" s="12" t="str">
        <x:v>Campus/portfolio roster; individual building occupancy unverified</x:v>
      </x:c>
      <x:c r="I7349" s="12" t="str">
        <x:v>Mixed business audience</x:v>
      </x:c>
      <x:c r="J7349" s="12" t="str">
        <x:v>IT &amp; digital</x:v>
      </x:c>
      <x:c r="K7349" s="2" t="str">
        <x:v>PARTNER-M051</x:v>
      </x:c>
    </x:row>
    <x:row r="7350" ht="46" customHeight="1">
      <x:c r="A7350" s="2" t="str">
        <x:v>TEN-EA10CA8A1008</x:v>
      </x:c>
      <x:c r="B7350" s="12" t="str">
        <x:v>Lowe's Services India Pvt. Ltd</x:v>
      </x:c>
      <x:c r="C7350" s="12" t="str">
        <x:v>CORP-0473</x:v>
      </x:c>
      <x:c r="D7350" s="12" t="str">
        <x:v>Bengaluru</x:v>
      </x:c>
      <x:c r="E7350" s="12" t="str">
        <x:v>Manyata Tech park - Mfar</x:v>
      </x:c>
      <x:c r="F7350" s="12" t="str">
        <x:v>55 inch</x:v>
      </x:c>
      <x:c r="G7350" s="20" t="n">
        <x:v>1</x:v>
      </x:c>
      <x:c r="H7350" s="12" t="str">
        <x:v>Campus/portfolio roster; individual building occupancy unverified</x:v>
      </x:c>
      <x:c r="I7350" s="12" t="str">
        <x:v>Mixed business audience</x:v>
      </x:c>
      <x:c r="J7350" s="12" t="str">
        <x:v>Trade, consumer &amp; logistics</x:v>
      </x:c>
      <x:c r="K7350" s="2" t="str">
        <x:v>PARTNER-M051</x:v>
      </x:c>
    </x:row>
    <x:row r="7351" ht="46" customHeight="1">
      <x:c r="A7351" s="2" t="str">
        <x:v>TEN-EA30894BD53C</x:v>
      </x:c>
      <x:c r="B7351" s="12" t="str">
        <x:v>Alcatel-Lucent</x:v>
      </x:c>
      <x:c r="C7351" s="12" t="str">
        <x:v>CORP-0473</x:v>
      </x:c>
      <x:c r="D7351" s="12" t="str">
        <x:v>Bengaluru</x:v>
      </x:c>
      <x:c r="E7351" s="12" t="str">
        <x:v>Manyata Tech park - Mfar</x:v>
      </x:c>
      <x:c r="F7351" s="12" t="str">
        <x:v>55 inch</x:v>
      </x:c>
      <x:c r="G7351" s="20" t="n">
        <x:v>1</x:v>
      </x:c>
      <x:c r="H7351" s="12" t="str">
        <x:v>Campus/portfolio roster; individual building occupancy unverified</x:v>
      </x:c>
      <x:c r="I7351" s="12" t="str">
        <x:v>Mixed business audience</x:v>
      </x:c>
      <x:c r="J7351" s="12" t="str">
        <x:v>IT &amp; digital</x:v>
      </x:c>
      <x:c r="K7351" s="2" t="str">
        <x:v>PARTNER-M051</x:v>
      </x:c>
    </x:row>
    <x:row r="7352" ht="46" customHeight="1">
      <x:c r="A7352" s="2" t="str">
        <x:v>TEN-EB15B1B985F7</x:v>
      </x:c>
      <x:c r="B7352" s="12" t="str">
        <x:v>Network International</x:v>
      </x:c>
      <x:c r="C7352" s="12" t="str">
        <x:v>CORP-0473</x:v>
      </x:c>
      <x:c r="D7352" s="12" t="str">
        <x:v>Bengaluru</x:v>
      </x:c>
      <x:c r="E7352" s="12" t="str">
        <x:v>Manyata Tech park - Mfar</x:v>
      </x:c>
      <x:c r="F7352" s="12" t="str">
        <x:v>55 inch</x:v>
      </x:c>
      <x:c r="G7352" s="20" t="n">
        <x:v>1</x:v>
      </x:c>
      <x:c r="H7352" s="12" t="str">
        <x:v>Campus/portfolio roster; individual building occupancy unverified</x:v>
      </x:c>
      <x:c r="I7352" s="12" t="str">
        <x:v>Mixed business audience</x:v>
      </x:c>
      <x:c r="J7352" s="12" t="str">
        <x:v>Finance &amp; insurance</x:v>
      </x:c>
      <x:c r="K7352" s="2" t="str">
        <x:v>PARTNER-M051</x:v>
      </x:c>
    </x:row>
    <x:row r="7353" ht="46" customHeight="1">
      <x:c r="A7353" s="2" t="str">
        <x:v>TEN-F611BEAB4643</x:v>
      </x:c>
      <x:c r="B7353" s="12" t="str">
        <x:v>Fidelity</x:v>
      </x:c>
      <x:c r="C7353" s="12" t="str">
        <x:v>CORP-0473</x:v>
      </x:c>
      <x:c r="D7353" s="12" t="str">
        <x:v>Bengaluru</x:v>
      </x:c>
      <x:c r="E7353" s="12" t="str">
        <x:v>Manyata Tech park - Mfar</x:v>
      </x:c>
      <x:c r="F7353" s="12" t="str">
        <x:v>55 inch</x:v>
      </x:c>
      <x:c r="G7353" s="20" t="n">
        <x:v>1</x:v>
      </x:c>
      <x:c r="H7353" s="12" t="str">
        <x:v>Campus/portfolio roster; individual building occupancy unverified</x:v>
      </x:c>
      <x:c r="I7353" s="12" t="str">
        <x:v>Mixed business audience</x:v>
      </x:c>
      <x:c r="J7353" s="12" t="str">
        <x:v>Finance &amp; insurance</x:v>
      </x:c>
      <x:c r="K7353" s="2" t="str">
        <x:v>PARTNER-M051</x:v>
      </x:c>
    </x:row>
    <x:row r="7354" ht="46" customHeight="1">
      <x:c r="A7354" s="2" t="str">
        <x:v>TEN-FB68F107F674</x:v>
      </x:c>
      <x:c r="B7354" s="12" t="str">
        <x:v>Tambora Systems India Pvt. Ltd</x:v>
      </x:c>
      <x:c r="C7354" s="12" t="str">
        <x:v>CORP-0473</x:v>
      </x:c>
      <x:c r="D7354" s="12" t="str">
        <x:v>Bengaluru</x:v>
      </x:c>
      <x:c r="E7354" s="12" t="str">
        <x:v>Manyata Tech park - Mfar</x:v>
      </x:c>
      <x:c r="F7354" s="12" t="str">
        <x:v>55 inch</x:v>
      </x:c>
      <x:c r="G7354" s="20" t="n">
        <x:v>1</x:v>
      </x:c>
      <x:c r="H7354" s="12" t="str">
        <x:v>Campus/portfolio roster; individual building occupancy unverified</x:v>
      </x:c>
      <x:c r="I7354" s="12" t="str">
        <x:v>Mixed business audience</x:v>
      </x:c>
      <x:c r="J7354" s="12" t="str">
        <x:v>Unresolved</x:v>
      </x:c>
      <x:c r="K7354" s="2" t="str">
        <x:v>PARTNER-M051</x:v>
      </x:c>
    </x:row>
    <x:row r="7355" ht="46" customHeight="1">
      <x:c r="A7355" s="2" t="str">
        <x:v>TEN-0B63EF31808A</x:v>
      </x:c>
      <x:c r="B7355" s="12" t="str">
        <x:v>Marriott Revenue Management Remote Solutions</x:v>
      </x:c>
      <x:c r="C7355" s="12" t="str">
        <x:v>CORP-0474</x:v>
      </x:c>
      <x:c r="D7355" s="12" t="str">
        <x:v>Bengaluru</x:v>
      </x:c>
      <x:c r="E7355" s="12" t="str">
        <x:v>Brigade IRV</x:v>
      </x:c>
      <x:c r="F7355" s="12" t="str">
        <x:v>55 inch</x:v>
      </x:c>
      <x:c r="G7355" s="20" t="n">
        <x:v>1</x:v>
      </x:c>
      <x:c r="H7355" s="12" t="str">
        <x:v>Campus/portfolio roster; individual building occupancy unverified</x:v>
      </x:c>
      <x:c r="I7355" s="12" t="str">
        <x:v>Mixed business audience</x:v>
      </x:c>
      <x:c r="J7355" s="12" t="str">
        <x:v>Trade, consumer &amp; logistics</x:v>
      </x:c>
      <x:c r="K7355" s="2" t="str">
        <x:v>PARTNER-M056</x:v>
      </x:c>
    </x:row>
    <x:row r="7356" ht="46" customHeight="1">
      <x:c r="A7356" s="2" t="str">
        <x:v>TEN-3FB64171B8B2</x:v>
      </x:c>
      <x:c r="B7356" s="12" t="str">
        <x:v>Y axis</x:v>
      </x:c>
      <x:c r="C7356" s="12" t="str">
        <x:v>CORP-0474</x:v>
      </x:c>
      <x:c r="D7356" s="12" t="str">
        <x:v>Bengaluru</x:v>
      </x:c>
      <x:c r="E7356" s="12" t="str">
        <x:v>Brigade IRV</x:v>
      </x:c>
      <x:c r="F7356" s="12" t="str">
        <x:v>55 inch</x:v>
      </x:c>
      <x:c r="G7356" s="20" t="n">
        <x:v>1</x:v>
      </x:c>
      <x:c r="H7356" s="12" t="str">
        <x:v>Campus/portfolio roster; individual building occupancy unverified</x:v>
      </x:c>
      <x:c r="I7356" s="12" t="str">
        <x:v>Mixed business audience</x:v>
      </x:c>
      <x:c r="J7356" s="12" t="str">
        <x:v>Professional services</x:v>
      </x:c>
      <x:c r="K7356" s="2" t="str">
        <x:v>PARTNER-M056</x:v>
      </x:c>
    </x:row>
    <x:row r="7357" ht="46" customHeight="1">
      <x:c r="A7357" s="2" t="str">
        <x:v>TEN-4031B527A5B1</x:v>
      </x:c>
      <x:c r="B7357" s="12" t="str">
        <x:v>Factonity Systems Pvt Ltd</x:v>
      </x:c>
      <x:c r="C7357" s="12" t="str">
        <x:v>CORP-0474</x:v>
      </x:c>
      <x:c r="D7357" s="12" t="str">
        <x:v>Bengaluru</x:v>
      </x:c>
      <x:c r="E7357" s="12" t="str">
        <x:v>Brigade IRV</x:v>
      </x:c>
      <x:c r="F7357" s="12" t="str">
        <x:v>55 inch</x:v>
      </x:c>
      <x:c r="G7357" s="20" t="n">
        <x:v>1</x:v>
      </x:c>
      <x:c r="H7357" s="12" t="str">
        <x:v>Campus/portfolio roster; individual building occupancy unverified</x:v>
      </x:c>
      <x:c r="I7357" s="12" t="str">
        <x:v>Mixed business audience</x:v>
      </x:c>
      <x:c r="J7357" s="12" t="str">
        <x:v>Unresolved</x:v>
      </x:c>
      <x:c r="K7357" s="2" t="str">
        <x:v>PARTNER-M056</x:v>
      </x:c>
    </x:row>
    <x:row r="7358" ht="46" customHeight="1">
      <x:c r="A7358" s="2" t="str">
        <x:v>TEN-454101807C26</x:v>
      </x:c>
      <x:c r="B7358" s="12" t="str">
        <x:v>SROTRA TECHNOLOGIES PVT LTD</x:v>
      </x:c>
      <x:c r="C7358" s="12" t="str">
        <x:v>CORP-0474</x:v>
      </x:c>
      <x:c r="D7358" s="12" t="str">
        <x:v>Bengaluru</x:v>
      </x:c>
      <x:c r="E7358" s="12" t="str">
        <x:v>Brigade IRV</x:v>
      </x:c>
      <x:c r="F7358" s="12" t="str">
        <x:v>55 inch</x:v>
      </x:c>
      <x:c r="G7358" s="20" t="n">
        <x:v>1</x:v>
      </x:c>
      <x:c r="H7358" s="12" t="str">
        <x:v>Campus/portfolio roster; individual building occupancy unverified</x:v>
      </x:c>
      <x:c r="I7358" s="12" t="str">
        <x:v>Mixed business audience</x:v>
      </x:c>
      <x:c r="J7358" s="12" t="str">
        <x:v>Unresolved</x:v>
      </x:c>
      <x:c r="K7358" s="2" t="str">
        <x:v>PARTNER-M056</x:v>
      </x:c>
    </x:row>
    <x:row r="7359" ht="46" customHeight="1">
      <x:c r="A7359" s="2" t="str">
        <x:v>TEN-555A2C40B555</x:v>
      </x:c>
      <x:c r="B7359" s="12" t="str">
        <x:v>Aimtron Technologies</x:v>
      </x:c>
      <x:c r="C7359" s="12" t="str">
        <x:v>CORP-0474</x:v>
      </x:c>
      <x:c r="D7359" s="12" t="str">
        <x:v>Bengaluru</x:v>
      </x:c>
      <x:c r="E7359" s="12" t="str">
        <x:v>Brigade IRV</x:v>
      </x:c>
      <x:c r="F7359" s="12" t="str">
        <x:v>55 inch</x:v>
      </x:c>
      <x:c r="G7359" s="20" t="n">
        <x:v>1</x:v>
      </x:c>
      <x:c r="H7359" s="12" t="str">
        <x:v>Campus/portfolio roster; individual building occupancy unverified</x:v>
      </x:c>
      <x:c r="I7359" s="12" t="str">
        <x:v>Medium-scale prospects</x:v>
      </x:c>
      <x:c r="J7359" s="12" t="str">
        <x:v>Engineering &amp; manufacturing</x:v>
      </x:c>
      <x:c r="K7359" s="2" t="str">
        <x:v>PARTNER-M056</x:v>
      </x:c>
    </x:row>
    <x:row r="7360" ht="46" customHeight="1">
      <x:c r="A7360" s="2" t="str">
        <x:v>TEN-6EC3A7285B02</x:v>
      </x:c>
      <x:c r="B7360" s="12" t="str">
        <x:v>Electrono Solutions Private Limited</x:v>
      </x:c>
      <x:c r="C7360" s="12" t="str">
        <x:v>CORP-0474</x:v>
      </x:c>
      <x:c r="D7360" s="12" t="str">
        <x:v>Bengaluru</x:v>
      </x:c>
      <x:c r="E7360" s="12" t="str">
        <x:v>Brigade IRV</x:v>
      </x:c>
      <x:c r="F7360" s="12" t="str">
        <x:v>55 inch</x:v>
      </x:c>
      <x:c r="G7360" s="20" t="n">
        <x:v>1</x:v>
      </x:c>
      <x:c r="H7360" s="12" t="str">
        <x:v>Campus/portfolio roster; individual building occupancy unverified</x:v>
      </x:c>
      <x:c r="I7360" s="12" t="str">
        <x:v>Medium-scale prospects</x:v>
      </x:c>
      <x:c r="J7360" s="12" t="str">
        <x:v>Engineering &amp; manufacturing</x:v>
      </x:c>
      <x:c r="K7360" s="2" t="str">
        <x:v>PARTNER-M056</x:v>
      </x:c>
    </x:row>
    <x:row r="7361" ht="46" customHeight="1">
      <x:c r="A7361" s="2" t="str">
        <x:v>TEN-6F7359803DF1</x:v>
      </x:c>
      <x:c r="B7361" s="12" t="str">
        <x:v>ATCS</x:v>
      </x:c>
      <x:c r="C7361" s="12" t="str">
        <x:v>CORP-0474</x:v>
      </x:c>
      <x:c r="D7361" s="12" t="str">
        <x:v>Bengaluru</x:v>
      </x:c>
      <x:c r="E7361" s="12" t="str">
        <x:v>Brigade IRV</x:v>
      </x:c>
      <x:c r="F7361" s="12" t="str">
        <x:v>55 inch</x:v>
      </x:c>
      <x:c r="G7361" s="20" t="n">
        <x:v>1</x:v>
      </x:c>
      <x:c r="H7361" s="12" t="str">
        <x:v>Campus/portfolio roster; individual building occupancy unverified</x:v>
      </x:c>
      <x:c r="I7361" s="12" t="str">
        <x:v>Small-scale prospects</x:v>
      </x:c>
      <x:c r="J7361" s="12" t="str">
        <x:v>IT &amp; digital</x:v>
      </x:c>
      <x:c r="K7361" s="2" t="str">
        <x:v>PARTNER-M056</x:v>
      </x:c>
    </x:row>
    <x:row r="7362" ht="46" customHeight="1">
      <x:c r="A7362" s="2" t="str">
        <x:v>TEN-6FC71948C40F</x:v>
      </x:c>
      <x:c r="B7362" s="12" t="str">
        <x:v>Regus</x:v>
      </x:c>
      <x:c r="C7362" s="12" t="str">
        <x:v>CORP-0474</x:v>
      </x:c>
      <x:c r="D7362" s="12" t="str">
        <x:v>Bengaluru</x:v>
      </x:c>
      <x:c r="E7362" s="12" t="str">
        <x:v>Brigade IRV</x:v>
      </x:c>
      <x:c r="F7362" s="12" t="str">
        <x:v>55 inch</x:v>
      </x:c>
      <x:c r="G7362" s="20" t="n">
        <x:v>1</x:v>
      </x:c>
      <x:c r="H7362" s="12" t="str">
        <x:v>Campus/portfolio roster; individual building occupancy unverified</x:v>
      </x:c>
      <x:c r="I7362" s="12" t="str">
        <x:v>Mixed business audience</x:v>
      </x:c>
      <x:c r="J7362" s="12" t="str">
        <x:v>Workspace &amp; property operations</x:v>
      </x:c>
      <x:c r="K7362" s="2" t="str">
        <x:v>PARTNER-M056</x:v>
      </x:c>
    </x:row>
    <x:row r="7363" ht="46" customHeight="1">
      <x:c r="A7363" s="2" t="str">
        <x:v>TEN-81D3880C31B1</x:v>
      </x:c>
      <x:c r="B7363" s="12" t="str">
        <x:v>Nisent Global Solutions Pvt. Ltd</x:v>
      </x:c>
      <x:c r="C7363" s="12" t="str">
        <x:v>CORP-0474</x:v>
      </x:c>
      <x:c r="D7363" s="12" t="str">
        <x:v>Bengaluru</x:v>
      </x:c>
      <x:c r="E7363" s="12" t="str">
        <x:v>Brigade IRV</x:v>
      </x:c>
      <x:c r="F7363" s="12" t="str">
        <x:v>55 inch</x:v>
      </x:c>
      <x:c r="G7363" s="20" t="n">
        <x:v>1</x:v>
      </x:c>
      <x:c r="H7363" s="12" t="str">
        <x:v>Campus/portfolio roster; individual building occupancy unverified</x:v>
      </x:c>
      <x:c r="I7363" s="12" t="str">
        <x:v>Mixed business audience</x:v>
      </x:c>
      <x:c r="J7363" s="12" t="str">
        <x:v>Unresolved</x:v>
      </x:c>
      <x:c r="K7363" s="2" t="str">
        <x:v>PARTNER-M056</x:v>
      </x:c>
    </x:row>
    <x:row r="7364" ht="46" customHeight="1">
      <x:c r="A7364" s="2" t="str">
        <x:v>TEN-8811AC206AD4</x:v>
      </x:c>
      <x:c r="B7364" s="12" t="str">
        <x:v>Chainalytics</x:v>
      </x:c>
      <x:c r="C7364" s="12" t="str">
        <x:v>CORP-0474</x:v>
      </x:c>
      <x:c r="D7364" s="12" t="str">
        <x:v>Bengaluru</x:v>
      </x:c>
      <x:c r="E7364" s="12" t="str">
        <x:v>Brigade IRV</x:v>
      </x:c>
      <x:c r="F7364" s="12" t="str">
        <x:v>55 inch</x:v>
      </x:c>
      <x:c r="G7364" s="20" t="n">
        <x:v>1</x:v>
      </x:c>
      <x:c r="H7364" s="12" t="str">
        <x:v>Campus/portfolio roster; individual building occupancy unverified</x:v>
      </x:c>
      <x:c r="I7364" s="12" t="str">
        <x:v>Small-scale prospects</x:v>
      </x:c>
      <x:c r="J7364" s="12" t="str">
        <x:v>Professional services</x:v>
      </x:c>
      <x:c r="K7364" s="2" t="str">
        <x:v>PARTNER-M056</x:v>
      </x:c>
    </x:row>
    <x:row r="7365" ht="46" customHeight="1">
      <x:c r="A7365" s="2" t="str">
        <x:v>TEN-A761DC481A8A</x:v>
      </x:c>
      <x:c r="B7365" s="12" t="str">
        <x:v>Vassco Furniture &amp; Home Decors Private Limited</x:v>
      </x:c>
      <x:c r="C7365" s="12" t="str">
        <x:v>CORP-0474</x:v>
      </x:c>
      <x:c r="D7365" s="12" t="str">
        <x:v>Bengaluru</x:v>
      </x:c>
      <x:c r="E7365" s="12" t="str">
        <x:v>Brigade IRV</x:v>
      </x:c>
      <x:c r="F7365" s="12" t="str">
        <x:v>55 inch</x:v>
      </x:c>
      <x:c r="G7365" s="20" t="n">
        <x:v>1</x:v>
      </x:c>
      <x:c r="H7365" s="12" t="str">
        <x:v>Campus/portfolio roster; individual building occupancy unverified</x:v>
      </x:c>
      <x:c r="I7365" s="12" t="str">
        <x:v>Small-scale prospects</x:v>
      </x:c>
      <x:c r="J7365" s="12" t="str">
        <x:v>Trade, consumer &amp; logistics</x:v>
      </x:c>
      <x:c r="K7365" s="2" t="str">
        <x:v>PARTNER-M056</x:v>
      </x:c>
    </x:row>
    <x:row r="7366" ht="46" customHeight="1">
      <x:c r="A7366" s="2" t="str">
        <x:v>TEN-B56496626EEE</x:v>
      </x:c>
      <x:c r="B7366" s="12" t="str">
        <x:v>Mobile Programming India Pvt. Ltd</x:v>
      </x:c>
      <x:c r="C7366" s="12" t="str">
        <x:v>CORP-0474</x:v>
      </x:c>
      <x:c r="D7366" s="12" t="str">
        <x:v>Bengaluru</x:v>
      </x:c>
      <x:c r="E7366" s="12" t="str">
        <x:v>Brigade IRV</x:v>
      </x:c>
      <x:c r="F7366" s="12" t="str">
        <x:v>55 inch</x:v>
      </x:c>
      <x:c r="G7366" s="20" t="n">
        <x:v>1</x:v>
      </x:c>
      <x:c r="H7366" s="12" t="str">
        <x:v>Campus/portfolio roster; individual building occupancy unverified</x:v>
      </x:c>
      <x:c r="I7366" s="12" t="str">
        <x:v>Small-scale prospects</x:v>
      </x:c>
      <x:c r="J7366" s="12" t="str">
        <x:v>IT &amp; digital</x:v>
      </x:c>
      <x:c r="K7366" s="2" t="str">
        <x:v>PARTNER-M056</x:v>
      </x:c>
    </x:row>
    <x:row r="7367" ht="46" customHeight="1">
      <x:c r="A7367" s="2" t="str">
        <x:v>TEN-BBD4EEA83943</x:v>
      </x:c>
      <x:c r="B7367" s="12" t="str">
        <x:v>Sunovaa Tech Pvt. Ltd</x:v>
      </x:c>
      <x:c r="C7367" s="12" t="str">
        <x:v>CORP-0474</x:v>
      </x:c>
      <x:c r="D7367" s="12" t="str">
        <x:v>Bengaluru</x:v>
      </x:c>
      <x:c r="E7367" s="12" t="str">
        <x:v>Brigade IRV</x:v>
      </x:c>
      <x:c r="F7367" s="12" t="str">
        <x:v>55 inch</x:v>
      </x:c>
      <x:c r="G7367" s="20" t="n">
        <x:v>1</x:v>
      </x:c>
      <x:c r="H7367" s="12" t="str">
        <x:v>Campus/portfolio roster; individual building occupancy unverified</x:v>
      </x:c>
      <x:c r="I7367" s="12" t="str">
        <x:v>Small-scale prospects</x:v>
      </x:c>
      <x:c r="J7367" s="12" t="str">
        <x:v>IT &amp; digital</x:v>
      </x:c>
      <x:c r="K7367" s="2" t="str">
        <x:v>PARTNER-M056</x:v>
      </x:c>
    </x:row>
    <x:row r="7368" ht="46" customHeight="1">
      <x:c r="A7368" s="2" t="str">
        <x:v>TEN-BBD5210C1E57</x:v>
      </x:c>
      <x:c r="B7368" s="12" t="str">
        <x:v>WorkX Coworking Spaces</x:v>
      </x:c>
      <x:c r="C7368" s="12" t="str">
        <x:v>CORP-0474</x:v>
      </x:c>
      <x:c r="D7368" s="12" t="str">
        <x:v>Bengaluru</x:v>
      </x:c>
      <x:c r="E7368" s="12" t="str">
        <x:v>Brigade IRV</x:v>
      </x:c>
      <x:c r="F7368" s="12" t="str">
        <x:v>55 inch</x:v>
      </x:c>
      <x:c r="G7368" s="20" t="n">
        <x:v>1</x:v>
      </x:c>
      <x:c r="H7368" s="12" t="str">
        <x:v>Campus/portfolio roster; individual building occupancy unverified</x:v>
      </x:c>
      <x:c r="I7368" s="12" t="str">
        <x:v>Mixed business audience</x:v>
      </x:c>
      <x:c r="J7368" s="12" t="str">
        <x:v>Workspace &amp; property operations</x:v>
      </x:c>
      <x:c r="K7368" s="2" t="str">
        <x:v>PARTNER-M056</x:v>
      </x:c>
    </x:row>
    <x:row r="7369" ht="46" customHeight="1">
      <x:c r="A7369" s="2" t="str">
        <x:v>TEN-C4FDA280D307</x:v>
      </x:c>
      <x:c r="B7369" s="12" t="str">
        <x:v>Cronbay Technologies</x:v>
      </x:c>
      <x:c r="C7369" s="12" t="str">
        <x:v>CORP-0474</x:v>
      </x:c>
      <x:c r="D7369" s="12" t="str">
        <x:v>Bengaluru</x:v>
      </x:c>
      <x:c r="E7369" s="12" t="str">
        <x:v>Brigade IRV</x:v>
      </x:c>
      <x:c r="F7369" s="12" t="str">
        <x:v>55 inch</x:v>
      </x:c>
      <x:c r="G7369" s="20" t="n">
        <x:v>1</x:v>
      </x:c>
      <x:c r="H7369" s="12" t="str">
        <x:v>Campus/portfolio roster; individual building occupancy unverified</x:v>
      </x:c>
      <x:c r="I7369" s="12" t="str">
        <x:v>Mixed business audience</x:v>
      </x:c>
      <x:c r="J7369" s="12" t="str">
        <x:v>Unresolved</x:v>
      </x:c>
      <x:c r="K7369" s="2" t="str">
        <x:v>PARTNER-M056</x:v>
      </x:c>
    </x:row>
    <x:row r="7370" ht="46" customHeight="1">
      <x:c r="A7370" s="2" t="str">
        <x:v>TEN-D4A1061B292B</x:v>
      </x:c>
      <x:c r="B7370" s="12" t="str">
        <x:v>UrbanPiper</x:v>
      </x:c>
      <x:c r="C7370" s="12" t="str">
        <x:v>CORP-0474</x:v>
      </x:c>
      <x:c r="D7370" s="12" t="str">
        <x:v>Bengaluru</x:v>
      </x:c>
      <x:c r="E7370" s="12" t="str">
        <x:v>Brigade IRV</x:v>
      </x:c>
      <x:c r="F7370" s="12" t="str">
        <x:v>55 inch</x:v>
      </x:c>
      <x:c r="G7370" s="20" t="n">
        <x:v>1</x:v>
      </x:c>
      <x:c r="H7370" s="12" t="str">
        <x:v>Campus/portfolio roster; individual building occupancy unverified</x:v>
      </x:c>
      <x:c r="I7370" s="12" t="str">
        <x:v>Small-scale prospects</x:v>
      </x:c>
      <x:c r="J7370" s="12" t="str">
        <x:v>IT &amp; digital</x:v>
      </x:c>
      <x:c r="K7370" s="2" t="str">
        <x:v>PARTNER-M056</x:v>
      </x:c>
    </x:row>
    <x:row r="7371" ht="46" customHeight="1">
      <x:c r="A7371" s="2" t="str">
        <x:v>TEN-D570183BA689</x:v>
      </x:c>
      <x:c r="B7371" s="12" t="str">
        <x:v>Accelalpha</x:v>
      </x:c>
      <x:c r="C7371" s="12" t="str">
        <x:v>CORP-0474</x:v>
      </x:c>
      <x:c r="D7371" s="12" t="str">
        <x:v>Bengaluru</x:v>
      </x:c>
      <x:c r="E7371" s="12" t="str">
        <x:v>Brigade IRV</x:v>
      </x:c>
      <x:c r="F7371" s="12" t="str">
        <x:v>55 inch</x:v>
      </x:c>
      <x:c r="G7371" s="20" t="n">
        <x:v>1</x:v>
      </x:c>
      <x:c r="H7371" s="12" t="str">
        <x:v>Campus/portfolio roster; individual building occupancy unverified</x:v>
      </x:c>
      <x:c r="I7371" s="12" t="str">
        <x:v>Mixed business audience</x:v>
      </x:c>
      <x:c r="J7371" s="12" t="str">
        <x:v>IT &amp; digital</x:v>
      </x:c>
      <x:c r="K7371" s="2" t="str">
        <x:v>PARTNER-M056</x:v>
      </x:c>
    </x:row>
    <x:row r="7372" ht="46" customHeight="1">
      <x:c r="A7372" s="2" t="str">
        <x:v>TEN-DF6860ED534A</x:v>
      </x:c>
      <x:c r="B7372" s="12" t="str">
        <x:v>SmartGig Technologies Private Limited</x:v>
      </x:c>
      <x:c r="C7372" s="12" t="str">
        <x:v>CORP-0474</x:v>
      </x:c>
      <x:c r="D7372" s="12" t="str">
        <x:v>Bengaluru</x:v>
      </x:c>
      <x:c r="E7372" s="12" t="str">
        <x:v>Brigade IRV</x:v>
      </x:c>
      <x:c r="F7372" s="12" t="str">
        <x:v>55 inch</x:v>
      </x:c>
      <x:c r="G7372" s="20" t="n">
        <x:v>1</x:v>
      </x:c>
      <x:c r="H7372" s="12" t="str">
        <x:v>Campus/portfolio roster; individual building occupancy unverified</x:v>
      </x:c>
      <x:c r="I7372" s="12" t="str">
        <x:v>Mixed business audience</x:v>
      </x:c>
      <x:c r="J7372" s="12" t="str">
        <x:v>Unresolved</x:v>
      </x:c>
      <x:c r="K7372" s="2" t="str">
        <x:v>PARTNER-M056</x:v>
      </x:c>
    </x:row>
    <x:row r="7373" ht="46" customHeight="1">
      <x:c r="A7373" s="2" t="str">
        <x:v>TEN-F13E5E75303C</x:v>
      </x:c>
      <x:c r="B7373" s="12" t="str">
        <x:v>Analyttica Datalab Pvt. Ltd</x:v>
      </x:c>
      <x:c r="C7373" s="12" t="str">
        <x:v>CORP-0474</x:v>
      </x:c>
      <x:c r="D7373" s="12" t="str">
        <x:v>Bengaluru</x:v>
      </x:c>
      <x:c r="E7373" s="12" t="str">
        <x:v>Brigade IRV</x:v>
      </x:c>
      <x:c r="F7373" s="12" t="str">
        <x:v>55 inch</x:v>
      </x:c>
      <x:c r="G7373" s="20" t="n">
        <x:v>1</x:v>
      </x:c>
      <x:c r="H7373" s="12" t="str">
        <x:v>Campus/portfolio roster; individual building occupancy unverified</x:v>
      </x:c>
      <x:c r="I7373" s="12" t="str">
        <x:v>Small-scale prospects</x:v>
      </x:c>
      <x:c r="J7373" s="12" t="str">
        <x:v>IT &amp; digital</x:v>
      </x:c>
      <x:c r="K7373" s="2" t="str">
        <x:v>PARTNER-M056</x:v>
      </x:c>
    </x:row>
    <x:row r="7374" ht="46" customHeight="1">
      <x:c r="A7374" s="2" t="str">
        <x:v>TEN-F3CC7F1E38DB</x:v>
      </x:c>
      <x:c r="B7374" s="12" t="str">
        <x:v>ARTOIES INTERNATIONAL PRIVATE LIMITED</x:v>
      </x:c>
      <x:c r="C7374" s="12" t="str">
        <x:v>CORP-0474</x:v>
      </x:c>
      <x:c r="D7374" s="12" t="str">
        <x:v>Bengaluru</x:v>
      </x:c>
      <x:c r="E7374" s="12" t="str">
        <x:v>Brigade IRV</x:v>
      </x:c>
      <x:c r="F7374" s="12" t="str">
        <x:v>55 inch</x:v>
      </x:c>
      <x:c r="G7374" s="20" t="n">
        <x:v>1</x:v>
      </x:c>
      <x:c r="H7374" s="12" t="str">
        <x:v>Campus/portfolio roster; individual building occupancy unverified</x:v>
      </x:c>
      <x:c r="I7374" s="12" t="str">
        <x:v>Mixed business audience</x:v>
      </x:c>
      <x:c r="J7374" s="12" t="str">
        <x:v>Unresolved</x:v>
      </x:c>
      <x:c r="K7374" s="2" t="str">
        <x:v>PARTNER-M056</x:v>
      </x:c>
    </x:row>
    <x:row r="7375" ht="46" customHeight="1">
      <x:c r="A7375" s="2" t="str">
        <x:v>TEN-020941631166</x:v>
      </x:c>
      <x:c r="B7375" s="12" t="str">
        <x:v>EXA-AG</x:v>
      </x:c>
      <x:c r="C7375" s="12" t="str">
        <x:v>CORP-0421</x:v>
      </x:c>
      <x:c r="D7375" s="12" t="str">
        <x:v>Bengaluru</x:v>
      </x:c>
      <x:c r="E7375" s="12" t="str">
        <x:v>International Tech Park (ITPB)</x:v>
      </x:c>
      <x:c r="F7375" s="12" t="str">
        <x:v>55 inch</x:v>
      </x:c>
      <x:c r="G7375" s="20" t="n">
        <x:v>1</x:v>
      </x:c>
      <x:c r="H7375" s="12" t="str">
        <x:v>Campus/portfolio roster; individual building occupancy unverified</x:v>
      </x:c>
      <x:c r="I7375" s="12" t="str">
        <x:v>Small-scale prospects</x:v>
      </x:c>
      <x:c r="J7375" s="12" t="str">
        <x:v>IT &amp; digital</x:v>
      </x:c>
      <x:c r="K7375" s="2" t="str">
        <x:v>PARTNER-M002</x:v>
      </x:c>
    </x:row>
    <x:row r="7376" ht="46" customHeight="1">
      <x:c r="A7376" s="2" t="str">
        <x:v>TEN-046FCB362D0A</x:v>
      </x:c>
      <x:c r="B7376" s="12" t="str">
        <x:v>judge India</x:v>
      </x:c>
      <x:c r="C7376" s="12" t="str">
        <x:v>CORP-0421</x:v>
      </x:c>
      <x:c r="D7376" s="12" t="str">
        <x:v>Bengaluru</x:v>
      </x:c>
      <x:c r="E7376" s="12" t="str">
        <x:v>International Tech Park (ITPB)</x:v>
      </x:c>
      <x:c r="F7376" s="12" t="str">
        <x:v>55 inch</x:v>
      </x:c>
      <x:c r="G7376" s="20" t="n">
        <x:v>1</x:v>
      </x:c>
      <x:c r="H7376" s="12" t="str">
        <x:v>Campus/portfolio roster; individual building occupancy unverified</x:v>
      </x:c>
      <x:c r="I7376" s="12" t="str">
        <x:v>Mixed business audience</x:v>
      </x:c>
      <x:c r="J7376" s="12" t="str">
        <x:v>Unresolved</x:v>
      </x:c>
      <x:c r="K7376" s="2" t="str">
        <x:v>PARTNER-M002</x:v>
      </x:c>
    </x:row>
    <x:row r="7377" ht="46" customHeight="1">
      <x:c r="A7377" s="2" t="str">
        <x:v>TEN-06DF4DFB01BE</x:v>
      </x:c>
      <x:c r="B7377" s="12" t="str">
        <x:v>Gyansys Infotech</x:v>
      </x:c>
      <x:c r="C7377" s="12" t="str">
        <x:v>CORP-0421</x:v>
      </x:c>
      <x:c r="D7377" s="12" t="str">
        <x:v>Bengaluru</x:v>
      </x:c>
      <x:c r="E7377" s="12" t="str">
        <x:v>International Tech Park (ITPB)</x:v>
      </x:c>
      <x:c r="F7377" s="12" t="str">
        <x:v>55 inch</x:v>
      </x:c>
      <x:c r="G7377" s="20" t="n">
        <x:v>1</x:v>
      </x:c>
      <x:c r="H7377" s="12" t="str">
        <x:v>Campus/portfolio roster; individual building occupancy unverified</x:v>
      </x:c>
      <x:c r="I7377" s="12" t="str">
        <x:v>Small-scale prospects</x:v>
      </x:c>
      <x:c r="J7377" s="12" t="str">
        <x:v>IT &amp; digital</x:v>
      </x:c>
      <x:c r="K7377" s="2" t="str">
        <x:v>PARTNER-M002</x:v>
      </x:c>
    </x:row>
    <x:row r="7378" ht="46" customHeight="1">
      <x:c r="A7378" s="2" t="str">
        <x:v>TEN-0716830D1238</x:v>
      </x:c>
      <x:c r="B7378" s="12" t="str">
        <x:v>Kaalari Capital</x:v>
      </x:c>
      <x:c r="C7378" s="12" t="str">
        <x:v>CORP-0421</x:v>
      </x:c>
      <x:c r="D7378" s="12" t="str">
        <x:v>Bengaluru</x:v>
      </x:c>
      <x:c r="E7378" s="12" t="str">
        <x:v>International Tech Park (ITPB)</x:v>
      </x:c>
      <x:c r="F7378" s="12" t="str">
        <x:v>55 inch</x:v>
      </x:c>
      <x:c r="G7378" s="20" t="n">
        <x:v>1</x:v>
      </x:c>
      <x:c r="H7378" s="12" t="str">
        <x:v>Campus/portfolio roster; individual building occupancy unverified</x:v>
      </x:c>
      <x:c r="I7378" s="12" t="str">
        <x:v>Medium-scale prospects</x:v>
      </x:c>
      <x:c r="J7378" s="12" t="str">
        <x:v>Finance &amp; insurance</x:v>
      </x:c>
      <x:c r="K7378" s="2" t="str">
        <x:v>PARTNER-M002</x:v>
      </x:c>
    </x:row>
    <x:row r="7379" ht="46" customHeight="1">
      <x:c r="A7379" s="2" t="str">
        <x:v>TEN-095DAC44FBD3</x:v>
      </x:c>
      <x:c r="B7379" s="12" t="str">
        <x:v>SOA IT</x:v>
      </x:c>
      <x:c r="C7379" s="12" t="str">
        <x:v>CORP-0421</x:v>
      </x:c>
      <x:c r="D7379" s="12" t="str">
        <x:v>Bengaluru</x:v>
      </x:c>
      <x:c r="E7379" s="12" t="str">
        <x:v>International Tech Park (ITPB)</x:v>
      </x:c>
      <x:c r="F7379" s="12" t="str">
        <x:v>55 inch</x:v>
      </x:c>
      <x:c r="G7379" s="20" t="n">
        <x:v>1</x:v>
      </x:c>
      <x:c r="H7379" s="12" t="str">
        <x:v>Campus/portfolio roster; individual building occupancy unverified</x:v>
      </x:c>
      <x:c r="I7379" s="12" t="str">
        <x:v>Small-scale prospects</x:v>
      </x:c>
      <x:c r="J7379" s="12" t="str">
        <x:v>IT &amp; digital</x:v>
      </x:c>
      <x:c r="K7379" s="2" t="str">
        <x:v>PARTNER-M002</x:v>
      </x:c>
    </x:row>
    <x:row r="7380" ht="46" customHeight="1">
      <x:c r="A7380" s="2" t="str">
        <x:v>TEN-0B9EE0B94DB9</x:v>
      </x:c>
      <x:c r="B7380" s="12" t="str">
        <x:v>Kyndryl</x:v>
      </x:c>
      <x:c r="C7380" s="12" t="str">
        <x:v>CORP-0421</x:v>
      </x:c>
      <x:c r="D7380" s="12" t="str">
        <x:v>Bengaluru</x:v>
      </x:c>
      <x:c r="E7380" s="12" t="str">
        <x:v>International Tech Park (ITPB)</x:v>
      </x:c>
      <x:c r="F7380" s="12" t="str">
        <x:v>55 inch</x:v>
      </x:c>
      <x:c r="G7380" s="20" t="n">
        <x:v>1</x:v>
      </x:c>
      <x:c r="H7380" s="12" t="str">
        <x:v>Campus/portfolio roster; individual building occupancy unverified</x:v>
      </x:c>
      <x:c r="I7380" s="12" t="str">
        <x:v>Mixed business audience</x:v>
      </x:c>
      <x:c r="J7380" s="12" t="str">
        <x:v>IT &amp; digital</x:v>
      </x:c>
      <x:c r="K7380" s="2" t="str">
        <x:v>PARTNER-M002</x:v>
      </x:c>
    </x:row>
    <x:row r="7381" ht="46" customHeight="1">
      <x:c r="A7381" s="2" t="str">
        <x:v>TEN-0BF923F90AB2</x:v>
      </x:c>
      <x:c r="B7381" s="12" t="str">
        <x:v>Reliance</x:v>
      </x:c>
      <x:c r="C7381" s="12" t="str">
        <x:v>CORP-0421</x:v>
      </x:c>
      <x:c r="D7381" s="12" t="str">
        <x:v>Bengaluru</x:v>
      </x:c>
      <x:c r="E7381" s="12" t="str">
        <x:v>International Tech Park (ITPB)</x:v>
      </x:c>
      <x:c r="F7381" s="12" t="str">
        <x:v>55 inch</x:v>
      </x:c>
      <x:c r="G7381" s="20" t="n">
        <x:v>1</x:v>
      </x:c>
      <x:c r="H7381" s="12" t="str">
        <x:v>Campus/portfolio roster; individual building occupancy unverified</x:v>
      </x:c>
      <x:c r="I7381" s="12" t="str">
        <x:v>Mixed business audience</x:v>
      </x:c>
      <x:c r="J7381" s="12" t="str">
        <x:v>Unresolved</x:v>
      </x:c>
      <x:c r="K7381" s="2" t="str">
        <x:v>PARTNER-M002</x:v>
      </x:c>
    </x:row>
    <x:row r="7382" ht="46" customHeight="1">
      <x:c r="A7382" s="2" t="str">
        <x:v>TEN-0EFAB3176540</x:v>
      </x:c>
      <x:c r="B7382" s="12" t="str">
        <x:v>Sycomp</x:v>
      </x:c>
      <x:c r="C7382" s="12" t="str">
        <x:v>CORP-0421</x:v>
      </x:c>
      <x:c r="D7382" s="12" t="str">
        <x:v>Bengaluru</x:v>
      </x:c>
      <x:c r="E7382" s="12" t="str">
        <x:v>International Tech Park (ITPB)</x:v>
      </x:c>
      <x:c r="F7382" s="12" t="str">
        <x:v>55 inch</x:v>
      </x:c>
      <x:c r="G7382" s="20" t="n">
        <x:v>1</x:v>
      </x:c>
      <x:c r="H7382" s="12" t="str">
        <x:v>Campus/portfolio roster; individual building occupancy unverified</x:v>
      </x:c>
      <x:c r="I7382" s="12" t="str">
        <x:v>Small-scale prospects</x:v>
      </x:c>
      <x:c r="J7382" s="12" t="str">
        <x:v>IT &amp; digital</x:v>
      </x:c>
      <x:c r="K7382" s="2" t="str">
        <x:v>PARTNER-M002</x:v>
      </x:c>
    </x:row>
    <x:row r="7383" ht="46" customHeight="1">
      <x:c r="A7383" s="2" t="str">
        <x:v>TEN-0F0E714E580D</x:v>
      </x:c>
      <x:c r="B7383" s="12" t="str">
        <x:v>Scientific Games</x:v>
      </x:c>
      <x:c r="C7383" s="12" t="str">
        <x:v>CORP-0421</x:v>
      </x:c>
      <x:c r="D7383" s="12" t="str">
        <x:v>Bengaluru</x:v>
      </x:c>
      <x:c r="E7383" s="12" t="str">
        <x:v>International Tech Park (ITPB)</x:v>
      </x:c>
      <x:c r="F7383" s="12" t="str">
        <x:v>55 inch</x:v>
      </x:c>
      <x:c r="G7383" s="20" t="n">
        <x:v>1</x:v>
      </x:c>
      <x:c r="H7383" s="12" t="str">
        <x:v>Campus/portfolio roster; individual building occupancy unverified</x:v>
      </x:c>
      <x:c r="I7383" s="12" t="str">
        <x:v>Mixed business audience</x:v>
      </x:c>
      <x:c r="J7383" s="12" t="str">
        <x:v>Trade, consumer &amp; logistics</x:v>
      </x:c>
      <x:c r="K7383" s="2" t="str">
        <x:v>PARTNER-M002</x:v>
      </x:c>
    </x:row>
    <x:row r="7384" ht="46" customHeight="1">
      <x:c r="A7384" s="2" t="str">
        <x:v>TEN-184C1AE98B51</x:v>
      </x:c>
      <x:c r="B7384" s="12" t="str">
        <x:v>N.F Simth</x:v>
      </x:c>
      <x:c r="C7384" s="12" t="str">
        <x:v>CORP-0421</x:v>
      </x:c>
      <x:c r="D7384" s="12" t="str">
        <x:v>Bengaluru</x:v>
      </x:c>
      <x:c r="E7384" s="12" t="str">
        <x:v>International Tech Park (ITPB)</x:v>
      </x:c>
      <x:c r="F7384" s="12" t="str">
        <x:v>55 inch</x:v>
      </x:c>
      <x:c r="G7384" s="20" t="n">
        <x:v>1</x:v>
      </x:c>
      <x:c r="H7384" s="12" t="str">
        <x:v>Campus/portfolio roster; individual building occupancy unverified</x:v>
      </x:c>
      <x:c r="I7384" s="12" t="str">
        <x:v>Mixed business audience</x:v>
      </x:c>
      <x:c r="J7384" s="12" t="str">
        <x:v>Unresolved</x:v>
      </x:c>
      <x:c r="K7384" s="2" t="str">
        <x:v>PARTNER-M002</x:v>
      </x:c>
    </x:row>
    <x:row r="7385" ht="46" customHeight="1">
      <x:c r="A7385" s="2" t="str">
        <x:v>TEN-1B4CDA7D6285</x:v>
      </x:c>
      <x:c r="B7385" s="12" t="str">
        <x:v>Jupiter Intergrated</x:v>
      </x:c>
      <x:c r="C7385" s="12" t="str">
        <x:v>CORP-0421</x:v>
      </x:c>
      <x:c r="D7385" s="12" t="str">
        <x:v>Bengaluru</x:v>
      </x:c>
      <x:c r="E7385" s="12" t="str">
        <x:v>International Tech Park (ITPB)</x:v>
      </x:c>
      <x:c r="F7385" s="12" t="str">
        <x:v>55 inch</x:v>
      </x:c>
      <x:c r="G7385" s="20" t="n">
        <x:v>1</x:v>
      </x:c>
      <x:c r="H7385" s="12" t="str">
        <x:v>Campus/portfolio roster; individual building occupancy unverified</x:v>
      </x:c>
      <x:c r="I7385" s="12" t="str">
        <x:v>Mixed business audience</x:v>
      </x:c>
      <x:c r="J7385" s="12" t="str">
        <x:v>Unresolved</x:v>
      </x:c>
      <x:c r="K7385" s="2" t="str">
        <x:v>PARTNER-M002</x:v>
      </x:c>
    </x:row>
    <x:row r="7386" ht="46" customHeight="1">
      <x:c r="A7386" s="2" t="str">
        <x:v>TEN-2026E5F6610A</x:v>
      </x:c>
      <x:c r="B7386" s="12" t="str">
        <x:v>PPalc Networks</x:v>
      </x:c>
      <x:c r="C7386" s="12" t="str">
        <x:v>CORP-0421</x:v>
      </x:c>
      <x:c r="D7386" s="12" t="str">
        <x:v>Bengaluru</x:v>
      </x:c>
      <x:c r="E7386" s="12" t="str">
        <x:v>International Tech Park (ITPB)</x:v>
      </x:c>
      <x:c r="F7386" s="12" t="str">
        <x:v>55 inch</x:v>
      </x:c>
      <x:c r="G7386" s="20" t="n">
        <x:v>1</x:v>
      </x:c>
      <x:c r="H7386" s="12" t="str">
        <x:v>Campus/portfolio roster; individual building occupancy unverified</x:v>
      </x:c>
      <x:c r="I7386" s="12" t="str">
        <x:v>Small-scale prospects</x:v>
      </x:c>
      <x:c r="J7386" s="12" t="str">
        <x:v>IT &amp; digital</x:v>
      </x:c>
      <x:c r="K7386" s="2" t="str">
        <x:v>PARTNER-M002</x:v>
      </x:c>
    </x:row>
    <x:row r="7387" ht="46" customHeight="1">
      <x:c r="A7387" s="2" t="str">
        <x:v>TEN-20DEB070372D</x:v>
      </x:c>
      <x:c r="B7387" s="12" t="str">
        <x:v>Thoucentric</x:v>
      </x:c>
      <x:c r="C7387" s="12" t="str">
        <x:v>CORP-0421</x:v>
      </x:c>
      <x:c r="D7387" s="12" t="str">
        <x:v>Bengaluru</x:v>
      </x:c>
      <x:c r="E7387" s="12" t="str">
        <x:v>International Tech Park (ITPB)</x:v>
      </x:c>
      <x:c r="F7387" s="12" t="str">
        <x:v>55 inch</x:v>
      </x:c>
      <x:c r="G7387" s="20" t="n">
        <x:v>1</x:v>
      </x:c>
      <x:c r="H7387" s="12" t="str">
        <x:v>Campus/portfolio roster; individual building occupancy unverified</x:v>
      </x:c>
      <x:c r="I7387" s="12" t="str">
        <x:v>Mixed business audience</x:v>
      </x:c>
      <x:c r="J7387" s="12" t="str">
        <x:v>IT &amp; digital</x:v>
      </x:c>
      <x:c r="K7387" s="2" t="str">
        <x:v>PARTNER-M002</x:v>
      </x:c>
    </x:row>
    <x:row r="7388" ht="46" customHeight="1">
      <x:c r="A7388" s="2" t="str">
        <x:v>TEN-21972B078EB5</x:v>
      </x:c>
      <x:c r="B7388" s="12" t="str">
        <x:v>Denso International</x:v>
      </x:c>
      <x:c r="C7388" s="12" t="str">
        <x:v>CORP-0421</x:v>
      </x:c>
      <x:c r="D7388" s="12" t="str">
        <x:v>Bengaluru</x:v>
      </x:c>
      <x:c r="E7388" s="12" t="str">
        <x:v>International Tech Park (ITPB)</x:v>
      </x:c>
      <x:c r="F7388" s="12" t="str">
        <x:v>55 inch</x:v>
      </x:c>
      <x:c r="G7388" s="20" t="n">
        <x:v>1</x:v>
      </x:c>
      <x:c r="H7388" s="12" t="str">
        <x:v>Campus/portfolio roster; individual building occupancy unverified</x:v>
      </x:c>
      <x:c r="I7388" s="12" t="str">
        <x:v>Mixed business audience</x:v>
      </x:c>
      <x:c r="J7388" s="12" t="str">
        <x:v>Engineering &amp; manufacturing</x:v>
      </x:c>
      <x:c r="K7388" s="2" t="str">
        <x:v>PARTNER-M002</x:v>
      </x:c>
    </x:row>
    <x:row r="7389" ht="46" customHeight="1">
      <x:c r="A7389" s="2" t="str">
        <x:v>TEN-22A366EB6CEC</x:v>
      </x:c>
      <x:c r="B7389" s="12" t="str">
        <x:v>Xandr India</x:v>
      </x:c>
      <x:c r="C7389" s="12" t="str">
        <x:v>CORP-0421</x:v>
      </x:c>
      <x:c r="D7389" s="12" t="str">
        <x:v>Bengaluru</x:v>
      </x:c>
      <x:c r="E7389" s="12" t="str">
        <x:v>International Tech Park (ITPB)</x:v>
      </x:c>
      <x:c r="F7389" s="12" t="str">
        <x:v>55 inch</x:v>
      </x:c>
      <x:c r="G7389" s="20" t="n">
        <x:v>1</x:v>
      </x:c>
      <x:c r="H7389" s="12" t="str">
        <x:v>Campus/portfolio roster; individual building occupancy unverified</x:v>
      </x:c>
      <x:c r="I7389" s="12" t="str">
        <x:v>Mixed business audience</x:v>
      </x:c>
      <x:c r="J7389" s="12" t="str">
        <x:v>IT &amp; digital</x:v>
      </x:c>
      <x:c r="K7389" s="2" t="str">
        <x:v>PARTNER-M002</x:v>
      </x:c>
    </x:row>
    <x:row r="7390" ht="46" customHeight="1">
      <x:c r="A7390" s="2" t="str">
        <x:v>TEN-2417E5B2BCE7</x:v>
      </x:c>
      <x:c r="B7390" s="12" t="str">
        <x:v>Galax E Solutions</x:v>
      </x:c>
      <x:c r="C7390" s="12" t="str">
        <x:v>CORP-0421</x:v>
      </x:c>
      <x:c r="D7390" s="12" t="str">
        <x:v>Bengaluru</x:v>
      </x:c>
      <x:c r="E7390" s="12" t="str">
        <x:v>International Tech Park (ITPB)</x:v>
      </x:c>
      <x:c r="F7390" s="12" t="str">
        <x:v>55 inch</x:v>
      </x:c>
      <x:c r="G7390" s="20" t="n">
        <x:v>1</x:v>
      </x:c>
      <x:c r="H7390" s="12" t="str">
        <x:v>Campus/portfolio roster; individual building occupancy unverified</x:v>
      </x:c>
      <x:c r="I7390" s="12" t="str">
        <x:v>Mixed business audience</x:v>
      </x:c>
      <x:c r="J7390" s="12" t="str">
        <x:v>IT &amp; digital</x:v>
      </x:c>
      <x:c r="K7390" s="2" t="str">
        <x:v>PARTNER-M002</x:v>
      </x:c>
    </x:row>
    <x:row r="7391" ht="46" customHeight="1">
      <x:c r="A7391" s="2" t="str">
        <x:v>TEN-2AB6D53E717A</x:v>
      </x:c>
      <x:c r="B7391" s="12" t="str">
        <x:v>Nokia</x:v>
      </x:c>
      <x:c r="C7391" s="12" t="str">
        <x:v>CORP-0421</x:v>
      </x:c>
      <x:c r="D7391" s="12" t="str">
        <x:v>Bengaluru</x:v>
      </x:c>
      <x:c r="E7391" s="12" t="str">
        <x:v>International Tech Park (ITPB)</x:v>
      </x:c>
      <x:c r="F7391" s="12" t="str">
        <x:v>55 inch</x:v>
      </x:c>
      <x:c r="G7391" s="20" t="n">
        <x:v>1</x:v>
      </x:c>
      <x:c r="H7391" s="12" t="str">
        <x:v>Campus/portfolio roster; individual building occupancy unverified</x:v>
      </x:c>
      <x:c r="I7391" s="12" t="str">
        <x:v>Large enterprise</x:v>
      </x:c>
      <x:c r="J7391" s="12" t="str">
        <x:v>IT &amp; digital</x:v>
      </x:c>
      <x:c r="K7391" s="2" t="str">
        <x:v>PARTNER-M002</x:v>
      </x:c>
    </x:row>
    <x:row r="7392" ht="46" customHeight="1">
      <x:c r="A7392" s="2" t="str">
        <x:v>TEN-2DBBBD8AD08B</x:v>
      </x:c>
      <x:c r="B7392" s="12" t="str">
        <x:v>Zenmonics Software</x:v>
      </x:c>
      <x:c r="C7392" s="12" t="str">
        <x:v>CORP-0421</x:v>
      </x:c>
      <x:c r="D7392" s="12" t="str">
        <x:v>Bengaluru</x:v>
      </x:c>
      <x:c r="E7392" s="12" t="str">
        <x:v>International Tech Park (ITPB)</x:v>
      </x:c>
      <x:c r="F7392" s="12" t="str">
        <x:v>55 inch</x:v>
      </x:c>
      <x:c r="G7392" s="20" t="n">
        <x:v>1</x:v>
      </x:c>
      <x:c r="H7392" s="12" t="str">
        <x:v>Campus/portfolio roster; individual building occupancy unverified</x:v>
      </x:c>
      <x:c r="I7392" s="12" t="str">
        <x:v>Small-scale prospects</x:v>
      </x:c>
      <x:c r="J7392" s="12" t="str">
        <x:v>IT &amp; digital</x:v>
      </x:c>
      <x:c r="K7392" s="2" t="str">
        <x:v>PARTNER-M002</x:v>
      </x:c>
    </x:row>
    <x:row r="7393" ht="46" customHeight="1">
      <x:c r="A7393" s="2" t="str">
        <x:v>TEN-2E737C2291BC</x:v>
      </x:c>
      <x:c r="B7393" s="12" t="str">
        <x:v>Nextgen</x:v>
      </x:c>
      <x:c r="C7393" s="12" t="str">
        <x:v>CORP-0421</x:v>
      </x:c>
      <x:c r="D7393" s="12" t="str">
        <x:v>Bengaluru</x:v>
      </x:c>
      <x:c r="E7393" s="12" t="str">
        <x:v>International Tech Park (ITPB)</x:v>
      </x:c>
      <x:c r="F7393" s="12" t="str">
        <x:v>55 inch</x:v>
      </x:c>
      <x:c r="G7393" s="20" t="n">
        <x:v>1</x:v>
      </x:c>
      <x:c r="H7393" s="12" t="str">
        <x:v>Campus/portfolio roster; individual building occupancy unverified</x:v>
      </x:c>
      <x:c r="I7393" s="12" t="str">
        <x:v>Mixed business audience</x:v>
      </x:c>
      <x:c r="J7393" s="12" t="str">
        <x:v>Unresolved</x:v>
      </x:c>
      <x:c r="K7393" s="2" t="str">
        <x:v>PARTNER-M002</x:v>
      </x:c>
    </x:row>
    <x:row r="7394" ht="46" customHeight="1">
      <x:c r="A7394" s="2" t="str">
        <x:v>TEN-2EDD47EC3C4F</x:v>
      </x:c>
      <x:c r="B7394" s="12" t="str">
        <x:v>Technicolor India</x:v>
      </x:c>
      <x:c r="C7394" s="12" t="str">
        <x:v>CORP-0421</x:v>
      </x:c>
      <x:c r="D7394" s="12" t="str">
        <x:v>Bengaluru</x:v>
      </x:c>
      <x:c r="E7394" s="12" t="str">
        <x:v>International Tech Park (ITPB)</x:v>
      </x:c>
      <x:c r="F7394" s="12" t="str">
        <x:v>55 inch</x:v>
      </x:c>
      <x:c r="G7394" s="20" t="n">
        <x:v>1</x:v>
      </x:c>
      <x:c r="H7394" s="12" t="str">
        <x:v>Campus/portfolio roster; individual building occupancy unverified</x:v>
      </x:c>
      <x:c r="I7394" s="12" t="str">
        <x:v>Mixed business audience</x:v>
      </x:c>
      <x:c r="J7394" s="12" t="str">
        <x:v>Trade, consumer &amp; logistics</x:v>
      </x:c>
      <x:c r="K7394" s="2" t="str">
        <x:v>PARTNER-M002</x:v>
      </x:c>
    </x:row>
    <x:row r="7395" ht="46" customHeight="1">
      <x:c r="A7395" s="2" t="str">
        <x:v>TEN-30E363D3E8C5</x:v>
      </x:c>
      <x:c r="B7395" s="12" t="str">
        <x:v>Siemens</x:v>
      </x:c>
      <x:c r="C7395" s="12" t="str">
        <x:v>CORP-0421</x:v>
      </x:c>
      <x:c r="D7395" s="12" t="str">
        <x:v>Bengaluru</x:v>
      </x:c>
      <x:c r="E7395" s="12" t="str">
        <x:v>International Tech Park (ITPB)</x:v>
      </x:c>
      <x:c r="F7395" s="12" t="str">
        <x:v>55 inch</x:v>
      </x:c>
      <x:c r="G7395" s="20" t="n">
        <x:v>1</x:v>
      </x:c>
      <x:c r="H7395" s="12" t="str">
        <x:v>Campus/portfolio roster; individual building occupancy unverified</x:v>
      </x:c>
      <x:c r="I7395" s="12" t="str">
        <x:v>Large enterprise</x:v>
      </x:c>
      <x:c r="J7395" s="12" t="str">
        <x:v>Engineering &amp; manufacturing</x:v>
      </x:c>
      <x:c r="K7395" s="2" t="str">
        <x:v>PARTNER-M002</x:v>
      </x:c>
    </x:row>
    <x:row r="7396" ht="46" customHeight="1">
      <x:c r="A7396" s="2" t="str">
        <x:v>TEN-316635638FCB</x:v>
      </x:c>
      <x:c r="B7396" s="12" t="str">
        <x:v>Sabre Travel</x:v>
      </x:c>
      <x:c r="C7396" s="12" t="str">
        <x:v>CORP-0421</x:v>
      </x:c>
      <x:c r="D7396" s="12" t="str">
        <x:v>Bengaluru</x:v>
      </x:c>
      <x:c r="E7396" s="12" t="str">
        <x:v>International Tech Park (ITPB)</x:v>
      </x:c>
      <x:c r="F7396" s="12" t="str">
        <x:v>55 inch</x:v>
      </x:c>
      <x:c r="G7396" s="20" t="n">
        <x:v>1</x:v>
      </x:c>
      <x:c r="H7396" s="12" t="str">
        <x:v>Campus/portfolio roster; individual building occupancy unverified</x:v>
      </x:c>
      <x:c r="I7396" s="12" t="str">
        <x:v>Mixed business audience</x:v>
      </x:c>
      <x:c r="J7396" s="12" t="str">
        <x:v>IT &amp; digital</x:v>
      </x:c>
      <x:c r="K7396" s="2" t="str">
        <x:v>PARTNER-M002</x:v>
      </x:c>
    </x:row>
    <x:row r="7397" ht="46" customHeight="1">
      <x:c r="A7397" s="2" t="str">
        <x:v>TEN-330E380FC660</x:v>
      </x:c>
      <x:c r="B7397" s="12" t="str">
        <x:v>The Dhanalakshmi Bank</x:v>
      </x:c>
      <x:c r="C7397" s="12" t="str">
        <x:v>CORP-0421</x:v>
      </x:c>
      <x:c r="D7397" s="12" t="str">
        <x:v>Bengaluru</x:v>
      </x:c>
      <x:c r="E7397" s="12" t="str">
        <x:v>International Tech Park (ITPB)</x:v>
      </x:c>
      <x:c r="F7397" s="12" t="str">
        <x:v>55 inch</x:v>
      </x:c>
      <x:c r="G7397" s="20" t="n">
        <x:v>1</x:v>
      </x:c>
      <x:c r="H7397" s="12" t="str">
        <x:v>Campus/portfolio roster; individual building occupancy unverified</x:v>
      </x:c>
      <x:c r="I7397" s="12" t="str">
        <x:v>Mixed business audience</x:v>
      </x:c>
      <x:c r="J7397" s="12" t="str">
        <x:v>Finance &amp; insurance</x:v>
      </x:c>
      <x:c r="K7397" s="2" t="str">
        <x:v>PARTNER-M002</x:v>
      </x:c>
    </x:row>
    <x:row r="7398" ht="46" customHeight="1">
      <x:c r="A7398" s="2" t="str">
        <x:v>TEN-3338D6A28C63</x:v>
      </x:c>
      <x:c r="B7398" s="12" t="str">
        <x:v>NTT Cloud</x:v>
      </x:c>
      <x:c r="C7398" s="12" t="str">
        <x:v>CORP-0421</x:v>
      </x:c>
      <x:c r="D7398" s="12" t="str">
        <x:v>Bengaluru</x:v>
      </x:c>
      <x:c r="E7398" s="12" t="str">
        <x:v>International Tech Park (ITPB)</x:v>
      </x:c>
      <x:c r="F7398" s="12" t="str">
        <x:v>55 inch</x:v>
      </x:c>
      <x:c r="G7398" s="20" t="n">
        <x:v>1</x:v>
      </x:c>
      <x:c r="H7398" s="12" t="str">
        <x:v>Campus/portfolio roster; individual building occupancy unverified</x:v>
      </x:c>
      <x:c r="I7398" s="12" t="str">
        <x:v>Large enterprise</x:v>
      </x:c>
      <x:c r="J7398" s="12" t="str">
        <x:v>IT &amp; digital</x:v>
      </x:c>
      <x:c r="K7398" s="2" t="str">
        <x:v>PARTNER-M002</x:v>
      </x:c>
    </x:row>
    <x:row r="7399" ht="46" customHeight="1">
      <x:c r="A7399" s="2" t="str">
        <x:v>TEN-33DF04958DCA</x:v>
      </x:c>
      <x:c r="B7399" s="12" t="str">
        <x:v>Panasoni Life</x:v>
      </x:c>
      <x:c r="C7399" s="12" t="str">
        <x:v>CORP-0421</x:v>
      </x:c>
      <x:c r="D7399" s="12" t="str">
        <x:v>Bengaluru</x:v>
      </x:c>
      <x:c r="E7399" s="12" t="str">
        <x:v>International Tech Park (ITPB)</x:v>
      </x:c>
      <x:c r="F7399" s="12" t="str">
        <x:v>55 inch</x:v>
      </x:c>
      <x:c r="G7399" s="20" t="n">
        <x:v>1</x:v>
      </x:c>
      <x:c r="H7399" s="12" t="str">
        <x:v>Campus/portfolio roster; individual building occupancy unverified</x:v>
      </x:c>
      <x:c r="I7399" s="12" t="str">
        <x:v>Mixed business audience</x:v>
      </x:c>
      <x:c r="J7399" s="12" t="str">
        <x:v>Unresolved</x:v>
      </x:c>
      <x:c r="K7399" s="2" t="str">
        <x:v>PARTNER-M002</x:v>
      </x:c>
    </x:row>
    <x:row r="7400" ht="46" customHeight="1">
      <x:c r="A7400" s="2" t="str">
        <x:v>TEN-34185282371F</x:v>
      </x:c>
      <x:c r="B7400" s="12" t="str">
        <x:v>Glenburn</x:v>
      </x:c>
      <x:c r="C7400" s="12" t="str">
        <x:v>CORP-0421</x:v>
      </x:c>
      <x:c r="D7400" s="12" t="str">
        <x:v>Bengaluru</x:v>
      </x:c>
      <x:c r="E7400" s="12" t="str">
        <x:v>International Tech Park (ITPB)</x:v>
      </x:c>
      <x:c r="F7400" s="12" t="str">
        <x:v>55 inch</x:v>
      </x:c>
      <x:c r="G7400" s="20" t="n">
        <x:v>1</x:v>
      </x:c>
      <x:c r="H7400" s="12" t="str">
        <x:v>Campus/portfolio roster; individual building occupancy unverified</x:v>
      </x:c>
      <x:c r="I7400" s="12" t="str">
        <x:v>Mixed business audience</x:v>
      </x:c>
      <x:c r="J7400" s="12" t="str">
        <x:v>Unresolved</x:v>
      </x:c>
      <x:c r="K7400" s="2" t="str">
        <x:v>PARTNER-M002</x:v>
      </x:c>
    </x:row>
    <x:row r="7401" ht="46" customHeight="1">
      <x:c r="A7401" s="2" t="str">
        <x:v>TEN-356AAB6A94F0</x:v>
      </x:c>
      <x:c r="B7401" s="12" t="str">
        <x:v>Infovision</x:v>
      </x:c>
      <x:c r="C7401" s="12" t="str">
        <x:v>CORP-0421</x:v>
      </x:c>
      <x:c r="D7401" s="12" t="str">
        <x:v>Bengaluru</x:v>
      </x:c>
      <x:c r="E7401" s="12" t="str">
        <x:v>International Tech Park (ITPB)</x:v>
      </x:c>
      <x:c r="F7401" s="12" t="str">
        <x:v>55 inch</x:v>
      </x:c>
      <x:c r="G7401" s="20" t="n">
        <x:v>1</x:v>
      </x:c>
      <x:c r="H7401" s="12" t="str">
        <x:v>Campus/portfolio roster; individual building occupancy unverified</x:v>
      </x:c>
      <x:c r="I7401" s="12" t="str">
        <x:v>Small-scale prospects</x:v>
      </x:c>
      <x:c r="J7401" s="12" t="str">
        <x:v>IT &amp; digital</x:v>
      </x:c>
      <x:c r="K7401" s="2" t="str">
        <x:v>PARTNER-M002</x:v>
      </x:c>
    </x:row>
    <x:row r="7402" ht="46" customHeight="1">
      <x:c r="A7402" s="2" t="str">
        <x:v>TEN-3669A97CEE08</x:v>
      </x:c>
      <x:c r="B7402" s="12" t="str">
        <x:v>DBA xcom labs</x:v>
      </x:c>
      <x:c r="C7402" s="12" t="str">
        <x:v>CORP-0421</x:v>
      </x:c>
      <x:c r="D7402" s="12" t="str">
        <x:v>Bengaluru</x:v>
      </x:c>
      <x:c r="E7402" s="12" t="str">
        <x:v>International Tech Park (ITPB)</x:v>
      </x:c>
      <x:c r="F7402" s="12" t="str">
        <x:v>55 inch</x:v>
      </x:c>
      <x:c r="G7402" s="20" t="n">
        <x:v>1</x:v>
      </x:c>
      <x:c r="H7402" s="12" t="str">
        <x:v>Campus/portfolio roster; individual building occupancy unverified</x:v>
      </x:c>
      <x:c r="I7402" s="12" t="str">
        <x:v>Mixed business audience</x:v>
      </x:c>
      <x:c r="J7402" s="12" t="str">
        <x:v>Unresolved</x:v>
      </x:c>
      <x:c r="K7402" s="2" t="str">
        <x:v>PARTNER-M002</x:v>
      </x:c>
    </x:row>
    <x:row r="7403" ht="46" customHeight="1">
      <x:c r="A7403" s="2" t="str">
        <x:v>TEN-3CCDB2E97517</x:v>
      </x:c>
      <x:c r="B7403" s="12" t="str">
        <x:v>Mentora</x:v>
      </x:c>
      <x:c r="C7403" s="12" t="str">
        <x:v>CORP-0421</x:v>
      </x:c>
      <x:c r="D7403" s="12" t="str">
        <x:v>Bengaluru</x:v>
      </x:c>
      <x:c r="E7403" s="12" t="str">
        <x:v>International Tech Park (ITPB)</x:v>
      </x:c>
      <x:c r="F7403" s="12" t="str">
        <x:v>55 inch</x:v>
      </x:c>
      <x:c r="G7403" s="20" t="n">
        <x:v>1</x:v>
      </x:c>
      <x:c r="H7403" s="12" t="str">
        <x:v>Campus/portfolio roster; individual building occupancy unverified</x:v>
      </x:c>
      <x:c r="I7403" s="12" t="str">
        <x:v>Mixed business audience</x:v>
      </x:c>
      <x:c r="J7403" s="12" t="str">
        <x:v>Unresolved</x:v>
      </x:c>
      <x:c r="K7403" s="2" t="str">
        <x:v>PARTNER-M002</x:v>
      </x:c>
    </x:row>
    <x:row r="7404" ht="46" customHeight="1">
      <x:c r="A7404" s="2" t="str">
        <x:v>TEN-43BD5FC2D8E2</x:v>
      </x:c>
      <x:c r="B7404" s="12" t="str">
        <x:v>RLE</x:v>
      </x:c>
      <x:c r="C7404" s="12" t="str">
        <x:v>CORP-0421</x:v>
      </x:c>
      <x:c r="D7404" s="12" t="str">
        <x:v>Bengaluru</x:v>
      </x:c>
      <x:c r="E7404" s="12" t="str">
        <x:v>International Tech Park (ITPB)</x:v>
      </x:c>
      <x:c r="F7404" s="12" t="str">
        <x:v>55 inch</x:v>
      </x:c>
      <x:c r="G7404" s="20" t="n">
        <x:v>1</x:v>
      </x:c>
      <x:c r="H7404" s="12" t="str">
        <x:v>Campus/portfolio roster; individual building occupancy unverified</x:v>
      </x:c>
      <x:c r="I7404" s="12" t="str">
        <x:v>Mixed business audience</x:v>
      </x:c>
      <x:c r="J7404" s="12" t="str">
        <x:v>Unresolved</x:v>
      </x:c>
      <x:c r="K7404" s="2" t="str">
        <x:v>PARTNER-M002</x:v>
      </x:c>
    </x:row>
    <x:row r="7405" ht="46" customHeight="1">
      <x:c r="A7405" s="2" t="str">
        <x:v>TEN-46EE12AD6E57</x:v>
      </x:c>
      <x:c r="B7405" s="12" t="str">
        <x:v>Open Bet</x:v>
      </x:c>
      <x:c r="C7405" s="12" t="str">
        <x:v>CORP-0421</x:v>
      </x:c>
      <x:c r="D7405" s="12" t="str">
        <x:v>Bengaluru</x:v>
      </x:c>
      <x:c r="E7405" s="12" t="str">
        <x:v>International Tech Park (ITPB)</x:v>
      </x:c>
      <x:c r="F7405" s="12" t="str">
        <x:v>55 inch</x:v>
      </x:c>
      <x:c r="G7405" s="20" t="n">
        <x:v>1</x:v>
      </x:c>
      <x:c r="H7405" s="12" t="str">
        <x:v>Campus/portfolio roster; individual building occupancy unverified</x:v>
      </x:c>
      <x:c r="I7405" s="12" t="str">
        <x:v>Mixed business audience</x:v>
      </x:c>
      <x:c r="J7405" s="12" t="str">
        <x:v>Trade, consumer &amp; logistics</x:v>
      </x:c>
      <x:c r="K7405" s="2" t="str">
        <x:v>PARTNER-M002</x:v>
      </x:c>
    </x:row>
    <x:row r="7406" ht="46" customHeight="1">
      <x:c r="A7406" s="2" t="str">
        <x:v>TEN-4B42B5258CA7</x:v>
      </x:c>
      <x:c r="B7406" s="12" t="str">
        <x:v>Tyfone</x:v>
      </x:c>
      <x:c r="C7406" s="12" t="str">
        <x:v>CORP-0421</x:v>
      </x:c>
      <x:c r="D7406" s="12" t="str">
        <x:v>Bengaluru</x:v>
      </x:c>
      <x:c r="E7406" s="12" t="str">
        <x:v>International Tech Park (ITPB)</x:v>
      </x:c>
      <x:c r="F7406" s="12" t="str">
        <x:v>55 inch</x:v>
      </x:c>
      <x:c r="G7406" s="20" t="n">
        <x:v>1</x:v>
      </x:c>
      <x:c r="H7406" s="12" t="str">
        <x:v>Campus/portfolio roster; individual building occupancy unverified</x:v>
      </x:c>
      <x:c r="I7406" s="12" t="str">
        <x:v>Small-scale prospects</x:v>
      </x:c>
      <x:c r="J7406" s="12" t="str">
        <x:v>IT &amp; digital</x:v>
      </x:c>
      <x:c r="K7406" s="2" t="str">
        <x:v>PARTNER-M002</x:v>
      </x:c>
    </x:row>
    <x:row r="7407" ht="46" customHeight="1">
      <x:c r="A7407" s="2" t="str">
        <x:v>TEN-50A50A4E75D3</x:v>
      </x:c>
      <x:c r="B7407" s="12" t="str">
        <x:v>Bharat Sanchar Nigam</x:v>
      </x:c>
      <x:c r="C7407" s="12" t="str">
        <x:v>CORP-0421</x:v>
      </x:c>
      <x:c r="D7407" s="12" t="str">
        <x:v>Bengaluru</x:v>
      </x:c>
      <x:c r="E7407" s="12" t="str">
        <x:v>International Tech Park (ITPB)</x:v>
      </x:c>
      <x:c r="F7407" s="12" t="str">
        <x:v>55 inch</x:v>
      </x:c>
      <x:c r="G7407" s="20" t="n">
        <x:v>1</x:v>
      </x:c>
      <x:c r="H7407" s="12" t="str">
        <x:v>Campus/portfolio roster; individual building occupancy unverified</x:v>
      </x:c>
      <x:c r="I7407" s="12" t="str">
        <x:v>Mixed business audience</x:v>
      </x:c>
      <x:c r="J7407" s="12" t="str">
        <x:v>IT &amp; digital</x:v>
      </x:c>
      <x:c r="K7407" s="2" t="str">
        <x:v>PARTNER-M002</x:v>
      </x:c>
    </x:row>
    <x:row r="7408" ht="46" customHeight="1">
      <x:c r="A7408" s="2" t="str">
        <x:v>TEN-5346DFE17486</x:v>
      </x:c>
      <x:c r="B7408" s="12" t="str">
        <x:v>Technicolor</x:v>
      </x:c>
      <x:c r="C7408" s="12" t="str">
        <x:v>CORP-0421</x:v>
      </x:c>
      <x:c r="D7408" s="12" t="str">
        <x:v>Bengaluru</x:v>
      </x:c>
      <x:c r="E7408" s="12" t="str">
        <x:v>International Tech Park (ITPB)</x:v>
      </x:c>
      <x:c r="F7408" s="12" t="str">
        <x:v>55 inch</x:v>
      </x:c>
      <x:c r="G7408" s="20" t="n">
        <x:v>1</x:v>
      </x:c>
      <x:c r="H7408" s="12" t="str">
        <x:v>Campus/portfolio roster; individual building occupancy unverified</x:v>
      </x:c>
      <x:c r="I7408" s="12" t="str">
        <x:v>Mixed business audience</x:v>
      </x:c>
      <x:c r="J7408" s="12" t="str">
        <x:v>Trade, consumer &amp; logistics</x:v>
      </x:c>
      <x:c r="K7408" s="2" t="str">
        <x:v>PARTNER-M002</x:v>
      </x:c>
    </x:row>
    <x:row r="7409" ht="46" customHeight="1">
      <x:c r="A7409" s="2" t="str">
        <x:v>TEN-598F7A741A1E</x:v>
      </x:c>
      <x:c r="B7409" s="12" t="str">
        <x:v>Aegis</x:v>
      </x:c>
      <x:c r="C7409" s="12" t="str">
        <x:v>CORP-0421</x:v>
      </x:c>
      <x:c r="D7409" s="12" t="str">
        <x:v>Bengaluru</x:v>
      </x:c>
      <x:c r="E7409" s="12" t="str">
        <x:v>International Tech Park (ITPB)</x:v>
      </x:c>
      <x:c r="F7409" s="12" t="str">
        <x:v>55 inch</x:v>
      </x:c>
      <x:c r="G7409" s="20" t="n">
        <x:v>1</x:v>
      </x:c>
      <x:c r="H7409" s="12" t="str">
        <x:v>Campus/portfolio roster; individual building occupancy unverified</x:v>
      </x:c>
      <x:c r="I7409" s="12" t="str">
        <x:v>Mixed business audience</x:v>
      </x:c>
      <x:c r="J7409" s="12" t="str">
        <x:v>IT &amp; digital</x:v>
      </x:c>
      <x:c r="K7409" s="2" t="str">
        <x:v>PARTNER-M002</x:v>
      </x:c>
    </x:row>
    <x:row r="7410" ht="46" customHeight="1">
      <x:c r="A7410" s="2" t="str">
        <x:v>TEN-59E713BB9B49</x:v>
      </x:c>
      <x:c r="B7410" s="12" t="str">
        <x:v>Revolt Intellicorp Pvt</x:v>
      </x:c>
      <x:c r="C7410" s="12" t="str">
        <x:v>CORP-0421</x:v>
      </x:c>
      <x:c r="D7410" s="12" t="str">
        <x:v>Bengaluru</x:v>
      </x:c>
      <x:c r="E7410" s="12" t="str">
        <x:v>International Tech Park (ITPB)</x:v>
      </x:c>
      <x:c r="F7410" s="12" t="str">
        <x:v>55 inch</x:v>
      </x:c>
      <x:c r="G7410" s="20" t="n">
        <x:v>1</x:v>
      </x:c>
      <x:c r="H7410" s="12" t="str">
        <x:v>Campus/portfolio roster; individual building occupancy unverified</x:v>
      </x:c>
      <x:c r="I7410" s="12" t="str">
        <x:v>Mixed business audience</x:v>
      </x:c>
      <x:c r="J7410" s="12" t="str">
        <x:v>Unresolved</x:v>
      </x:c>
      <x:c r="K7410" s="2" t="str">
        <x:v>PARTNER-M002</x:v>
      </x:c>
    </x:row>
    <x:row r="7411" ht="46" customHeight="1">
      <x:c r="A7411" s="2" t="str">
        <x:v>TEN-5B5245AFFE44</x:v>
      </x:c>
      <x:c r="B7411" s="12" t="str">
        <x:v>Tata Communications</x:v>
      </x:c>
      <x:c r="C7411" s="12" t="str">
        <x:v>CORP-0421</x:v>
      </x:c>
      <x:c r="D7411" s="12" t="str">
        <x:v>Bengaluru</x:v>
      </x:c>
      <x:c r="E7411" s="12" t="str">
        <x:v>International Tech Park (ITPB)</x:v>
      </x:c>
      <x:c r="F7411" s="12" t="str">
        <x:v>55 inch</x:v>
      </x:c>
      <x:c r="G7411" s="20" t="n">
        <x:v>1</x:v>
      </x:c>
      <x:c r="H7411" s="12" t="str">
        <x:v>Campus/portfolio roster; individual building occupancy unverified</x:v>
      </x:c>
      <x:c r="I7411" s="12" t="str">
        <x:v>Large enterprise</x:v>
      </x:c>
      <x:c r="J7411" s="12" t="str">
        <x:v>IT &amp; digital</x:v>
      </x:c>
      <x:c r="K7411" s="2" t="str">
        <x:v>PARTNER-M002</x:v>
      </x:c>
    </x:row>
    <x:row r="7412" ht="46" customHeight="1">
      <x:c r="A7412" s="2" t="str">
        <x:v>TEN-5D77DB2A2906</x:v>
      </x:c>
      <x:c r="B7412" s="12" t="str">
        <x:v>Telia</x:v>
      </x:c>
      <x:c r="C7412" s="12" t="str">
        <x:v>CORP-0421</x:v>
      </x:c>
      <x:c r="D7412" s="12" t="str">
        <x:v>Bengaluru</x:v>
      </x:c>
      <x:c r="E7412" s="12" t="str">
        <x:v>International Tech Park (ITPB)</x:v>
      </x:c>
      <x:c r="F7412" s="12" t="str">
        <x:v>55 inch</x:v>
      </x:c>
      <x:c r="G7412" s="20" t="n">
        <x:v>1</x:v>
      </x:c>
      <x:c r="H7412" s="12" t="str">
        <x:v>Campus/portfolio roster; individual building occupancy unverified</x:v>
      </x:c>
      <x:c r="I7412" s="12" t="str">
        <x:v>Mixed business audience</x:v>
      </x:c>
      <x:c r="J7412" s="12" t="str">
        <x:v>Unresolved</x:v>
      </x:c>
      <x:c r="K7412" s="2" t="str">
        <x:v>PARTNER-M002</x:v>
      </x:c>
    </x:row>
    <x:row r="7413" ht="46" customHeight="1">
      <x:c r="A7413" s="2" t="str">
        <x:v>TEN-5F435B82E7E9</x:v>
      </x:c>
      <x:c r="B7413" s="12" t="str">
        <x:v>Criterion</x:v>
      </x:c>
      <x:c r="C7413" s="12" t="str">
        <x:v>CORP-0421</x:v>
      </x:c>
      <x:c r="D7413" s="12" t="str">
        <x:v>Bengaluru</x:v>
      </x:c>
      <x:c r="E7413" s="12" t="str">
        <x:v>International Tech Park (ITPB)</x:v>
      </x:c>
      <x:c r="F7413" s="12" t="str">
        <x:v>55 inch</x:v>
      </x:c>
      <x:c r="G7413" s="20" t="n">
        <x:v>1</x:v>
      </x:c>
      <x:c r="H7413" s="12" t="str">
        <x:v>Campus/portfolio roster; individual building occupancy unverified</x:v>
      </x:c>
      <x:c r="I7413" s="12" t="str">
        <x:v>Mixed business audience</x:v>
      </x:c>
      <x:c r="J7413" s="12" t="str">
        <x:v>Unresolved</x:v>
      </x:c>
      <x:c r="K7413" s="2" t="str">
        <x:v>PARTNER-M002</x:v>
      </x:c>
    </x:row>
    <x:row r="7414" ht="46" customHeight="1">
      <x:c r="A7414" s="2" t="str">
        <x:v>TEN-5FA790F3630F</x:v>
      </x:c>
      <x:c r="B7414" s="12" t="str">
        <x:v>Tata Consultancy Services</x:v>
      </x:c>
      <x:c r="C7414" s="12" t="str">
        <x:v>CORP-0421</x:v>
      </x:c>
      <x:c r="D7414" s="12" t="str">
        <x:v>Bengaluru</x:v>
      </x:c>
      <x:c r="E7414" s="12" t="str">
        <x:v>International Tech Park (ITPB)</x:v>
      </x:c>
      <x:c r="F7414" s="12" t="str">
        <x:v>55 inch</x:v>
      </x:c>
      <x:c r="G7414" s="20" t="n">
        <x:v>1</x:v>
      </x:c>
      <x:c r="H7414" s="12" t="str">
        <x:v>Campus/portfolio roster; individual building occupancy unverified</x:v>
      </x:c>
      <x:c r="I7414" s="12" t="str">
        <x:v>Large enterprise</x:v>
      </x:c>
      <x:c r="J7414" s="12" t="str">
        <x:v>IT &amp; digital</x:v>
      </x:c>
      <x:c r="K7414" s="2" t="str">
        <x:v>PARTNER-M002</x:v>
      </x:c>
    </x:row>
    <x:row r="7415" ht="46" customHeight="1">
      <x:c r="A7415" s="2" t="str">
        <x:v>TEN-60B66A73DC22</x:v>
      </x:c>
      <x:c r="B7415" s="12" t="str">
        <x:v>Webdunia.com</x:v>
      </x:c>
      <x:c r="C7415" s="12" t="str">
        <x:v>CORP-0421</x:v>
      </x:c>
      <x:c r="D7415" s="12" t="str">
        <x:v>Bengaluru</x:v>
      </x:c>
      <x:c r="E7415" s="12" t="str">
        <x:v>International Tech Park (ITPB)</x:v>
      </x:c>
      <x:c r="F7415" s="12" t="str">
        <x:v>55 inch</x:v>
      </x:c>
      <x:c r="G7415" s="20" t="n">
        <x:v>1</x:v>
      </x:c>
      <x:c r="H7415" s="12" t="str">
        <x:v>Campus/portfolio roster; individual building occupancy unverified</x:v>
      </x:c>
      <x:c r="I7415" s="12" t="str">
        <x:v>Small-scale prospects</x:v>
      </x:c>
      <x:c r="J7415" s="12" t="str">
        <x:v>IT &amp; digital</x:v>
      </x:c>
      <x:c r="K7415" s="2" t="str">
        <x:v>PARTNER-M002</x:v>
      </x:c>
    </x:row>
    <x:row r="7416" ht="46" customHeight="1">
      <x:c r="A7416" s="2" t="str">
        <x:v>TEN-60CDE18C0230</x:v>
      </x:c>
      <x:c r="B7416" s="12" t="str">
        <x:v>Omens Animation</x:v>
      </x:c>
      <x:c r="C7416" s="12" t="str">
        <x:v>CORP-0421</x:v>
      </x:c>
      <x:c r="D7416" s="12" t="str">
        <x:v>Bengaluru</x:v>
      </x:c>
      <x:c r="E7416" s="12" t="str">
        <x:v>International Tech Park (ITPB)</x:v>
      </x:c>
      <x:c r="F7416" s="12" t="str">
        <x:v>55 inch</x:v>
      </x:c>
      <x:c r="G7416" s="20" t="n">
        <x:v>1</x:v>
      </x:c>
      <x:c r="H7416" s="12" t="str">
        <x:v>Campus/portfolio roster; individual building occupancy unverified</x:v>
      </x:c>
      <x:c r="I7416" s="12" t="str">
        <x:v>Small-scale prospects</x:v>
      </x:c>
      <x:c r="J7416" s="12" t="str">
        <x:v>Trade, consumer &amp; logistics</x:v>
      </x:c>
      <x:c r="K7416" s="2" t="str">
        <x:v>PARTNER-M002</x:v>
      </x:c>
    </x:row>
    <x:row r="7417" ht="46" customHeight="1">
      <x:c r="A7417" s="2" t="str">
        <x:v>TEN-676DC956336D</x:v>
      </x:c>
      <x:c r="B7417" s="12" t="str">
        <x:v>Rsab</x:v>
      </x:c>
      <x:c r="C7417" s="12" t="str">
        <x:v>CORP-0421</x:v>
      </x:c>
      <x:c r="D7417" s="12" t="str">
        <x:v>Bengaluru</x:v>
      </x:c>
      <x:c r="E7417" s="12" t="str">
        <x:v>International Tech Park (ITPB)</x:v>
      </x:c>
      <x:c r="F7417" s="12" t="str">
        <x:v>55 inch</x:v>
      </x:c>
      <x:c r="G7417" s="20" t="n">
        <x:v>1</x:v>
      </x:c>
      <x:c r="H7417" s="12" t="str">
        <x:v>Campus/portfolio roster; individual building occupancy unverified</x:v>
      </x:c>
      <x:c r="I7417" s="12" t="str">
        <x:v>Mixed business audience</x:v>
      </x:c>
      <x:c r="J7417" s="12" t="str">
        <x:v>Unresolved</x:v>
      </x:c>
      <x:c r="K7417" s="2" t="str">
        <x:v>PARTNER-M002</x:v>
      </x:c>
    </x:row>
    <x:row r="7418" ht="46" customHeight="1">
      <x:c r="A7418" s="2" t="str">
        <x:v>TEN-6994CDC0D34E</x:v>
      </x:c>
      <x:c r="B7418" s="12" t="str">
        <x:v>Sacha Engineering</x:v>
      </x:c>
      <x:c r="C7418" s="12" t="str">
        <x:v>CORP-0421</x:v>
      </x:c>
      <x:c r="D7418" s="12" t="str">
        <x:v>Bengaluru</x:v>
      </x:c>
      <x:c r="E7418" s="12" t="str">
        <x:v>International Tech Park (ITPB)</x:v>
      </x:c>
      <x:c r="F7418" s="12" t="str">
        <x:v>55 inch</x:v>
      </x:c>
      <x:c r="G7418" s="20" t="n">
        <x:v>1</x:v>
      </x:c>
      <x:c r="H7418" s="12" t="str">
        <x:v>Campus/portfolio roster; individual building occupancy unverified</x:v>
      </x:c>
      <x:c r="I7418" s="12" t="str">
        <x:v>Medium-scale prospects</x:v>
      </x:c>
      <x:c r="J7418" s="12" t="str">
        <x:v>Engineering &amp; manufacturing</x:v>
      </x:c>
      <x:c r="K7418" s="2" t="str">
        <x:v>PARTNER-M002</x:v>
      </x:c>
    </x:row>
    <x:row r="7419" ht="46" customHeight="1">
      <x:c r="A7419" s="2" t="str">
        <x:v>TEN-6BC09C13CCE1</x:v>
      </x:c>
      <x:c r="B7419" s="12" t="str">
        <x:v>Upilot</x:v>
      </x:c>
      <x:c r="C7419" s="12" t="str">
        <x:v>CORP-0421</x:v>
      </x:c>
      <x:c r="D7419" s="12" t="str">
        <x:v>Bengaluru</x:v>
      </x:c>
      <x:c r="E7419" s="12" t="str">
        <x:v>International Tech Park (ITPB)</x:v>
      </x:c>
      <x:c r="F7419" s="12" t="str">
        <x:v>55 inch</x:v>
      </x:c>
      <x:c r="G7419" s="20" t="n">
        <x:v>1</x:v>
      </x:c>
      <x:c r="H7419" s="12" t="str">
        <x:v>Campus/portfolio roster; individual building occupancy unverified</x:v>
      </x:c>
      <x:c r="I7419" s="12" t="str">
        <x:v>Small-scale prospects</x:v>
      </x:c>
      <x:c r="J7419" s="12" t="str">
        <x:v>IT &amp; digital</x:v>
      </x:c>
      <x:c r="K7419" s="2" t="str">
        <x:v>PARTNER-M002</x:v>
      </x:c>
    </x:row>
    <x:row r="7420" ht="46" customHeight="1">
      <x:c r="A7420" s="2" t="str">
        <x:v>TEN-6E2912BABF92</x:v>
      </x:c>
      <x:c r="B7420" s="12" t="str">
        <x:v>Plastic Omnium Auto</x:v>
      </x:c>
      <x:c r="C7420" s="12" t="str">
        <x:v>CORP-0421</x:v>
      </x:c>
      <x:c r="D7420" s="12" t="str">
        <x:v>Bengaluru</x:v>
      </x:c>
      <x:c r="E7420" s="12" t="str">
        <x:v>International Tech Park (ITPB)</x:v>
      </x:c>
      <x:c r="F7420" s="12" t="str">
        <x:v>55 inch</x:v>
      </x:c>
      <x:c r="G7420" s="20" t="n">
        <x:v>1</x:v>
      </x:c>
      <x:c r="H7420" s="12" t="str">
        <x:v>Campus/portfolio roster; individual building occupancy unverified</x:v>
      </x:c>
      <x:c r="I7420" s="12" t="str">
        <x:v>Mixed business audience</x:v>
      </x:c>
      <x:c r="J7420" s="12" t="str">
        <x:v>Engineering &amp; manufacturing</x:v>
      </x:c>
      <x:c r="K7420" s="2" t="str">
        <x:v>PARTNER-M002</x:v>
      </x:c>
    </x:row>
    <x:row r="7421" ht="46" customHeight="1">
      <x:c r="A7421" s="2" t="str">
        <x:v>TEN-6F273F8143F0</x:v>
      </x:c>
      <x:c r="B7421" s="12" t="str">
        <x:v>First Advantage</x:v>
      </x:c>
      <x:c r="C7421" s="12" t="str">
        <x:v>CORP-0421</x:v>
      </x:c>
      <x:c r="D7421" s="12" t="str">
        <x:v>Bengaluru</x:v>
      </x:c>
      <x:c r="E7421" s="12" t="str">
        <x:v>International Tech Park (ITPB)</x:v>
      </x:c>
      <x:c r="F7421" s="12" t="str">
        <x:v>55 inch</x:v>
      </x:c>
      <x:c r="G7421" s="20" t="n">
        <x:v>1</x:v>
      </x:c>
      <x:c r="H7421" s="12" t="str">
        <x:v>Campus/portfolio roster; individual building occupancy unverified</x:v>
      </x:c>
      <x:c r="I7421" s="12" t="str">
        <x:v>Mixed business audience</x:v>
      </x:c>
      <x:c r="J7421" s="12" t="str">
        <x:v>Professional services</x:v>
      </x:c>
      <x:c r="K7421" s="2" t="str">
        <x:v>PARTNER-M002</x:v>
      </x:c>
    </x:row>
    <x:row r="7422" ht="46" customHeight="1">
      <x:c r="A7422" s="2" t="str">
        <x:v>TEN-6F4C691FF4A1</x:v>
      </x:c>
      <x:c r="B7422" s="12" t="str">
        <x:v>Kennametal</x:v>
      </x:c>
      <x:c r="C7422" s="12" t="str">
        <x:v>CORP-0421</x:v>
      </x:c>
      <x:c r="D7422" s="12" t="str">
        <x:v>Bengaluru</x:v>
      </x:c>
      <x:c r="E7422" s="12" t="str">
        <x:v>International Tech Park (ITPB)</x:v>
      </x:c>
      <x:c r="F7422" s="12" t="str">
        <x:v>55 inch</x:v>
      </x:c>
      <x:c r="G7422" s="20" t="n">
        <x:v>1</x:v>
      </x:c>
      <x:c r="H7422" s="12" t="str">
        <x:v>Campus/portfolio roster; individual building occupancy unverified</x:v>
      </x:c>
      <x:c r="I7422" s="12" t="str">
        <x:v>Mixed business audience</x:v>
      </x:c>
      <x:c r="J7422" s="12" t="str">
        <x:v>Engineering &amp; manufacturing</x:v>
      </x:c>
      <x:c r="K7422" s="2" t="str">
        <x:v>PARTNER-M002</x:v>
      </x:c>
    </x:row>
    <x:row r="7423" ht="46" customHeight="1">
      <x:c r="A7423" s="2" t="str">
        <x:v>TEN-7318D4E0C064</x:v>
      </x:c>
      <x:c r="B7423" s="12" t="str">
        <x:v>Skiva</x:v>
      </x:c>
      <x:c r="C7423" s="12" t="str">
        <x:v>CORP-0421</x:v>
      </x:c>
      <x:c r="D7423" s="12" t="str">
        <x:v>Bengaluru</x:v>
      </x:c>
      <x:c r="E7423" s="12" t="str">
        <x:v>International Tech Park (ITPB)</x:v>
      </x:c>
      <x:c r="F7423" s="12" t="str">
        <x:v>55 inch</x:v>
      </x:c>
      <x:c r="G7423" s="20" t="n">
        <x:v>1</x:v>
      </x:c>
      <x:c r="H7423" s="12" t="str">
        <x:v>Campus/portfolio roster; individual building occupancy unverified</x:v>
      </x:c>
      <x:c r="I7423" s="12" t="str">
        <x:v>Mixed business audience</x:v>
      </x:c>
      <x:c r="J7423" s="12" t="str">
        <x:v>Unresolved</x:v>
      </x:c>
      <x:c r="K7423" s="2" t="str">
        <x:v>PARTNER-M002</x:v>
      </x:c>
    </x:row>
    <x:row r="7424" ht="46" customHeight="1">
      <x:c r="A7424" s="2" t="str">
        <x:v>TEN-764319AE4FB8</x:v>
      </x:c>
      <x:c r="B7424" s="12" t="str">
        <x:v>Sharp Software</x:v>
      </x:c>
      <x:c r="C7424" s="12" t="str">
        <x:v>CORP-0421</x:v>
      </x:c>
      <x:c r="D7424" s="12" t="str">
        <x:v>Bengaluru</x:v>
      </x:c>
      <x:c r="E7424" s="12" t="str">
        <x:v>International Tech Park (ITPB)</x:v>
      </x:c>
      <x:c r="F7424" s="12" t="str">
        <x:v>55 inch</x:v>
      </x:c>
      <x:c r="G7424" s="20" t="n">
        <x:v>1</x:v>
      </x:c>
      <x:c r="H7424" s="12" t="str">
        <x:v>Campus/portfolio roster; individual building occupancy unverified</x:v>
      </x:c>
      <x:c r="I7424" s="12" t="str">
        <x:v>Mixed business audience</x:v>
      </x:c>
      <x:c r="J7424" s="12" t="str">
        <x:v>IT &amp; digital</x:v>
      </x:c>
      <x:c r="K7424" s="2" t="str">
        <x:v>PARTNER-M002</x:v>
      </x:c>
    </x:row>
    <x:row r="7425" ht="46" customHeight="1">
      <x:c r="A7425" s="2" t="str">
        <x:v>TEN-7ECB3C42E303</x:v>
      </x:c>
      <x:c r="B7425" s="12" t="str">
        <x:v>Criterion Networks</x:v>
      </x:c>
      <x:c r="C7425" s="12" t="str">
        <x:v>CORP-0421</x:v>
      </x:c>
      <x:c r="D7425" s="12" t="str">
        <x:v>Bengaluru</x:v>
      </x:c>
      <x:c r="E7425" s="12" t="str">
        <x:v>International Tech Park (ITPB)</x:v>
      </x:c>
      <x:c r="F7425" s="12" t="str">
        <x:v>55 inch</x:v>
      </x:c>
      <x:c r="G7425" s="20" t="n">
        <x:v>1</x:v>
      </x:c>
      <x:c r="H7425" s="12" t="str">
        <x:v>Campus/portfolio roster; individual building occupancy unverified</x:v>
      </x:c>
      <x:c r="I7425" s="12" t="str">
        <x:v>Small-scale prospects</x:v>
      </x:c>
      <x:c r="J7425" s="12" t="str">
        <x:v>IT &amp; digital</x:v>
      </x:c>
      <x:c r="K7425" s="2" t="str">
        <x:v>PARTNER-M002</x:v>
      </x:c>
    </x:row>
    <x:row r="7426" ht="46" customHeight="1">
      <x:c r="A7426" s="2" t="str">
        <x:v>TEN-8174968E6F72</x:v>
      </x:c>
      <x:c r="B7426" s="12" t="str">
        <x:v>Achronix</x:v>
      </x:c>
      <x:c r="C7426" s="12" t="str">
        <x:v>CORP-0421</x:v>
      </x:c>
      <x:c r="D7426" s="12" t="str">
        <x:v>Bengaluru</x:v>
      </x:c>
      <x:c r="E7426" s="12" t="str">
        <x:v>International Tech Park (ITPB)</x:v>
      </x:c>
      <x:c r="F7426" s="12" t="str">
        <x:v>55 inch</x:v>
      </x:c>
      <x:c r="G7426" s="20" t="n">
        <x:v>1</x:v>
      </x:c>
      <x:c r="H7426" s="12" t="str">
        <x:v>Campus/portfolio roster; individual building occupancy unverified</x:v>
      </x:c>
      <x:c r="I7426" s="12" t="str">
        <x:v>Mixed business audience</x:v>
      </x:c>
      <x:c r="J7426" s="12" t="str">
        <x:v>Engineering &amp; manufacturing</x:v>
      </x:c>
      <x:c r="K7426" s="2" t="str">
        <x:v>PARTNER-M002</x:v>
      </x:c>
    </x:row>
    <x:row r="7427" ht="46" customHeight="1">
      <x:c r="A7427" s="2" t="str">
        <x:v>TEN-81F921B8E00A</x:v>
      </x:c>
      <x:c r="B7427" s="12" t="str">
        <x:v>Mobicip</x:v>
      </x:c>
      <x:c r="C7427" s="12" t="str">
        <x:v>CORP-0421</x:v>
      </x:c>
      <x:c r="D7427" s="12" t="str">
        <x:v>Bengaluru</x:v>
      </x:c>
      <x:c r="E7427" s="12" t="str">
        <x:v>International Tech Park (ITPB)</x:v>
      </x:c>
      <x:c r="F7427" s="12" t="str">
        <x:v>55 inch</x:v>
      </x:c>
      <x:c r="G7427" s="20" t="n">
        <x:v>1</x:v>
      </x:c>
      <x:c r="H7427" s="12" t="str">
        <x:v>Campus/portfolio roster; individual building occupancy unverified</x:v>
      </x:c>
      <x:c r="I7427" s="12" t="str">
        <x:v>Small-scale prospects</x:v>
      </x:c>
      <x:c r="J7427" s="12" t="str">
        <x:v>IT &amp; digital</x:v>
      </x:c>
      <x:c r="K7427" s="2" t="str">
        <x:v>PARTNER-M002</x:v>
      </x:c>
    </x:row>
    <x:row r="7428" ht="46" customHeight="1">
      <x:c r="A7428" s="2" t="str">
        <x:v>TEN-891353748B3A</x:v>
      </x:c>
      <x:c r="B7428" s="12" t="str">
        <x:v>Osi Energy automation</x:v>
      </x:c>
      <x:c r="C7428" s="12" t="str">
        <x:v>CORP-0421</x:v>
      </x:c>
      <x:c r="D7428" s="12" t="str">
        <x:v>Bengaluru</x:v>
      </x:c>
      <x:c r="E7428" s="12" t="str">
        <x:v>International Tech Park (ITPB)</x:v>
      </x:c>
      <x:c r="F7428" s="12" t="str">
        <x:v>55 inch</x:v>
      </x:c>
      <x:c r="G7428" s="20" t="n">
        <x:v>1</x:v>
      </x:c>
      <x:c r="H7428" s="12" t="str">
        <x:v>Campus/portfolio roster; individual building occupancy unverified</x:v>
      </x:c>
      <x:c r="I7428" s="12" t="str">
        <x:v>Medium-scale prospects</x:v>
      </x:c>
      <x:c r="J7428" s="12" t="str">
        <x:v>Engineering &amp; manufacturing</x:v>
      </x:c>
      <x:c r="K7428" s="2" t="str">
        <x:v>PARTNER-M002</x:v>
      </x:c>
    </x:row>
    <x:row r="7429" ht="46" customHeight="1">
      <x:c r="A7429" s="2" t="str">
        <x:v>TEN-8C4275F1FD40</x:v>
      </x:c>
      <x:c r="B7429" s="12" t="str">
        <x:v>Capital Land</x:v>
      </x:c>
      <x:c r="C7429" s="12" t="str">
        <x:v>CORP-0421</x:v>
      </x:c>
      <x:c r="D7429" s="12" t="str">
        <x:v>Bengaluru</x:v>
      </x:c>
      <x:c r="E7429" s="12" t="str">
        <x:v>International Tech Park (ITPB)</x:v>
      </x:c>
      <x:c r="F7429" s="12" t="str">
        <x:v>55 inch</x:v>
      </x:c>
      <x:c r="G7429" s="20" t="n">
        <x:v>1</x:v>
      </x:c>
      <x:c r="H7429" s="12" t="str">
        <x:v>Campus/portfolio roster; individual building occupancy unverified</x:v>
      </x:c>
      <x:c r="I7429" s="12" t="str">
        <x:v>Mixed business audience</x:v>
      </x:c>
      <x:c r="J7429" s="12" t="str">
        <x:v>Trade, consumer &amp; logistics</x:v>
      </x:c>
      <x:c r="K7429" s="2" t="str">
        <x:v>PARTNER-M002</x:v>
      </x:c>
    </x:row>
    <x:row r="7430" ht="46" customHeight="1">
      <x:c r="A7430" s="2" t="str">
        <x:v>TEN-8DCD18640A0A</x:v>
      </x:c>
      <x:c r="B7430" s="12" t="str">
        <x:v>Kotak</x:v>
      </x:c>
      <x:c r="C7430" s="12" t="str">
        <x:v>CORP-0421</x:v>
      </x:c>
      <x:c r="D7430" s="12" t="str">
        <x:v>Bengaluru</x:v>
      </x:c>
      <x:c r="E7430" s="12" t="str">
        <x:v>International Tech Park (ITPB)</x:v>
      </x:c>
      <x:c r="F7430" s="12" t="str">
        <x:v>55 inch</x:v>
      </x:c>
      <x:c r="G7430" s="20" t="n">
        <x:v>1</x:v>
      </x:c>
      <x:c r="H7430" s="12" t="str">
        <x:v>Campus/portfolio roster; individual building occupancy unverified</x:v>
      </x:c>
      <x:c r="I7430" s="12" t="str">
        <x:v>Large enterprise</x:v>
      </x:c>
      <x:c r="J7430" s="12" t="str">
        <x:v>Finance &amp; insurance</x:v>
      </x:c>
      <x:c r="K7430" s="2" t="str">
        <x:v>PARTNER-M002</x:v>
      </x:c>
    </x:row>
    <x:row r="7431" ht="46" customHeight="1">
      <x:c r="A7431" s="2" t="str">
        <x:v>TEN-916A98F0FA2A</x:v>
      </x:c>
      <x:c r="B7431" s="12" t="str">
        <x:v>IBM</x:v>
      </x:c>
      <x:c r="C7431" s="12" t="str">
        <x:v>CORP-0421</x:v>
      </x:c>
      <x:c r="D7431" s="12" t="str">
        <x:v>Bengaluru</x:v>
      </x:c>
      <x:c r="E7431" s="12" t="str">
        <x:v>International Tech Park (ITPB)</x:v>
      </x:c>
      <x:c r="F7431" s="12" t="str">
        <x:v>55 inch</x:v>
      </x:c>
      <x:c r="G7431" s="20" t="n">
        <x:v>1</x:v>
      </x:c>
      <x:c r="H7431" s="12" t="str">
        <x:v>Campus/portfolio roster; individual building occupancy unverified</x:v>
      </x:c>
      <x:c r="I7431" s="12" t="str">
        <x:v>Large enterprise</x:v>
      </x:c>
      <x:c r="J7431" s="12" t="str">
        <x:v>IT &amp; digital</x:v>
      </x:c>
      <x:c r="K7431" s="2" t="str">
        <x:v>PARTNER-M002</x:v>
      </x:c>
    </x:row>
    <x:row r="7432" ht="46" customHeight="1">
      <x:c r="A7432" s="2" t="str">
        <x:v>TEN-97720ABA5A0C</x:v>
      </x:c>
      <x:c r="B7432" s="12" t="str">
        <x:v>Insemi Technology</x:v>
      </x:c>
      <x:c r="C7432" s="12" t="str">
        <x:v>CORP-0421</x:v>
      </x:c>
      <x:c r="D7432" s="12" t="str">
        <x:v>Bengaluru</x:v>
      </x:c>
      <x:c r="E7432" s="12" t="str">
        <x:v>International Tech Park (ITPB)</x:v>
      </x:c>
      <x:c r="F7432" s="12" t="str">
        <x:v>55 inch</x:v>
      </x:c>
      <x:c r="G7432" s="20" t="n">
        <x:v>1</x:v>
      </x:c>
      <x:c r="H7432" s="12" t="str">
        <x:v>Campus/portfolio roster; individual building occupancy unverified</x:v>
      </x:c>
      <x:c r="I7432" s="12" t="str">
        <x:v>Mixed business audience</x:v>
      </x:c>
      <x:c r="J7432" s="12" t="str">
        <x:v>Engineering &amp; manufacturing</x:v>
      </x:c>
      <x:c r="K7432" s="2" t="str">
        <x:v>PARTNER-M002</x:v>
      </x:c>
    </x:row>
    <x:row r="7433" ht="46" customHeight="1">
      <x:c r="A7433" s="2" t="str">
        <x:v>TEN-97B053EFF73B</x:v>
      </x:c>
      <x:c r="B7433" s="12" t="str">
        <x:v>Xinthe Technologies</x:v>
      </x:c>
      <x:c r="C7433" s="12" t="str">
        <x:v>CORP-0421</x:v>
      </x:c>
      <x:c r="D7433" s="12" t="str">
        <x:v>Bengaluru</x:v>
      </x:c>
      <x:c r="E7433" s="12" t="str">
        <x:v>International Tech Park (ITPB)</x:v>
      </x:c>
      <x:c r="F7433" s="12" t="str">
        <x:v>55 inch</x:v>
      </x:c>
      <x:c r="G7433" s="20" t="n">
        <x:v>1</x:v>
      </x:c>
      <x:c r="H7433" s="12" t="str">
        <x:v>Campus/portfolio roster; individual building occupancy unverified</x:v>
      </x:c>
      <x:c r="I7433" s="12" t="str">
        <x:v>Small-scale prospects</x:v>
      </x:c>
      <x:c r="J7433" s="12" t="str">
        <x:v>IT &amp; digital</x:v>
      </x:c>
      <x:c r="K7433" s="2" t="str">
        <x:v>PARTNER-M002</x:v>
      </x:c>
    </x:row>
    <x:row r="7434" ht="46" customHeight="1">
      <x:c r="A7434" s="2" t="str">
        <x:v>TEN-99E39EB751AE</x:v>
      </x:c>
      <x:c r="B7434" s="12" t="str">
        <x:v>US Technology</x:v>
      </x:c>
      <x:c r="C7434" s="12" t="str">
        <x:v>CORP-0421</x:v>
      </x:c>
      <x:c r="D7434" s="12" t="str">
        <x:v>Bengaluru</x:v>
      </x:c>
      <x:c r="E7434" s="12" t="str">
        <x:v>International Tech Park (ITPB)</x:v>
      </x:c>
      <x:c r="F7434" s="12" t="str">
        <x:v>55 inch</x:v>
      </x:c>
      <x:c r="G7434" s="20" t="n">
        <x:v>1</x:v>
      </x:c>
      <x:c r="H7434" s="12" t="str">
        <x:v>Campus/portfolio roster; individual building occupancy unverified</x:v>
      </x:c>
      <x:c r="I7434" s="12" t="str">
        <x:v>Mixed business audience</x:v>
      </x:c>
      <x:c r="J7434" s="12" t="str">
        <x:v>IT &amp; digital</x:v>
      </x:c>
      <x:c r="K7434" s="2" t="str">
        <x:v>PARTNER-M002</x:v>
      </x:c>
    </x:row>
    <x:row r="7435" ht="46" customHeight="1">
      <x:c r="A7435" s="2" t="str">
        <x:v>TEN-A08385AC9A90</x:v>
      </x:c>
      <x:c r="B7435" s="12" t="str">
        <x:v>Ecinical</x:v>
      </x:c>
      <x:c r="C7435" s="12" t="str">
        <x:v>CORP-0421</x:v>
      </x:c>
      <x:c r="D7435" s="12" t="str">
        <x:v>Bengaluru</x:v>
      </x:c>
      <x:c r="E7435" s="12" t="str">
        <x:v>International Tech Park (ITPB)</x:v>
      </x:c>
      <x:c r="F7435" s="12" t="str">
        <x:v>55 inch</x:v>
      </x:c>
      <x:c r="G7435" s="20" t="n">
        <x:v>1</x:v>
      </x:c>
      <x:c r="H7435" s="12" t="str">
        <x:v>Campus/portfolio roster; individual building occupancy unverified</x:v>
      </x:c>
      <x:c r="I7435" s="12" t="str">
        <x:v>Mixed business audience</x:v>
      </x:c>
      <x:c r="J7435" s="12" t="str">
        <x:v>Unresolved</x:v>
      </x:c>
      <x:c r="K7435" s="2" t="str">
        <x:v>PARTNER-M002</x:v>
      </x:c>
    </x:row>
    <x:row r="7436" ht="46" customHeight="1">
      <x:c r="A7436" s="2" t="str">
        <x:v>TEN-A57526B5D973</x:v>
      </x:c>
      <x:c r="B7436" s="12" t="str">
        <x:v>General Motors</x:v>
      </x:c>
      <x:c r="C7436" s="12" t="str">
        <x:v>CORP-0421</x:v>
      </x:c>
      <x:c r="D7436" s="12" t="str">
        <x:v>Bengaluru</x:v>
      </x:c>
      <x:c r="E7436" s="12" t="str">
        <x:v>International Tech Park (ITPB)</x:v>
      </x:c>
      <x:c r="F7436" s="12" t="str">
        <x:v>55 inch</x:v>
      </x:c>
      <x:c r="G7436" s="20" t="n">
        <x:v>1</x:v>
      </x:c>
      <x:c r="H7436" s="12" t="str">
        <x:v>Campus/portfolio roster; individual building occupancy unverified</x:v>
      </x:c>
      <x:c r="I7436" s="12" t="str">
        <x:v>Mixed business audience</x:v>
      </x:c>
      <x:c r="J7436" s="12" t="str">
        <x:v>Engineering &amp; manufacturing</x:v>
      </x:c>
      <x:c r="K7436" s="2" t="str">
        <x:v>PARTNER-M002</x:v>
      </x:c>
    </x:row>
    <x:row r="7437" ht="46" customHeight="1">
      <x:c r="A7437" s="2" t="str">
        <x:v>TEN-A5F5259A3FFE</x:v>
      </x:c>
      <x:c r="B7437" s="12" t="str">
        <x:v>Xerox Technology</x:v>
      </x:c>
      <x:c r="C7437" s="12" t="str">
        <x:v>CORP-0421</x:v>
      </x:c>
      <x:c r="D7437" s="12" t="str">
        <x:v>Bengaluru</x:v>
      </x:c>
      <x:c r="E7437" s="12" t="str">
        <x:v>International Tech Park (ITPB)</x:v>
      </x:c>
      <x:c r="F7437" s="12" t="str">
        <x:v>55 inch</x:v>
      </x:c>
      <x:c r="G7437" s="20" t="n">
        <x:v>1</x:v>
      </x:c>
      <x:c r="H7437" s="12" t="str">
        <x:v>Campus/portfolio roster; individual building occupancy unverified</x:v>
      </x:c>
      <x:c r="I7437" s="12" t="str">
        <x:v>Mixed business audience</x:v>
      </x:c>
      <x:c r="J7437" s="12" t="str">
        <x:v>IT &amp; digital</x:v>
      </x:c>
      <x:c r="K7437" s="2" t="str">
        <x:v>PARTNER-M002</x:v>
      </x:c>
    </x:row>
    <x:row r="7438" ht="46" customHeight="1">
      <x:c r="A7438" s="2" t="str">
        <x:v>TEN-A7907C2DB975</x:v>
      </x:c>
      <x:c r="B7438" s="12" t="str">
        <x:v>Einfolge</x:v>
      </x:c>
      <x:c r="C7438" s="12" t="str">
        <x:v>CORP-0421</x:v>
      </x:c>
      <x:c r="D7438" s="12" t="str">
        <x:v>Bengaluru</x:v>
      </x:c>
      <x:c r="E7438" s="12" t="str">
        <x:v>International Tech Park (ITPB)</x:v>
      </x:c>
      <x:c r="F7438" s="12" t="str">
        <x:v>55 inch</x:v>
      </x:c>
      <x:c r="G7438" s="20" t="n">
        <x:v>1</x:v>
      </x:c>
      <x:c r="H7438" s="12" t="str">
        <x:v>Campus/portfolio roster; individual building occupancy unverified</x:v>
      </x:c>
      <x:c r="I7438" s="12" t="str">
        <x:v>Small-scale prospects</x:v>
      </x:c>
      <x:c r="J7438" s="12" t="str">
        <x:v>Professional services</x:v>
      </x:c>
      <x:c r="K7438" s="2" t="str">
        <x:v>PARTNER-M002</x:v>
      </x:c>
    </x:row>
    <x:row r="7439" ht="46" customHeight="1">
      <x:c r="A7439" s="2" t="str">
        <x:v>TEN-A88487AEFC99</x:v>
      </x:c>
      <x:c r="B7439" s="12" t="str">
        <x:v>Galax</x:v>
      </x:c>
      <x:c r="C7439" s="12" t="str">
        <x:v>CORP-0421</x:v>
      </x:c>
      <x:c r="D7439" s="12" t="str">
        <x:v>Bengaluru</x:v>
      </x:c>
      <x:c r="E7439" s="12" t="str">
        <x:v>International Tech Park (ITPB)</x:v>
      </x:c>
      <x:c r="F7439" s="12" t="str">
        <x:v>55 inch</x:v>
      </x:c>
      <x:c r="G7439" s="20" t="n">
        <x:v>1</x:v>
      </x:c>
      <x:c r="H7439" s="12" t="str">
        <x:v>Campus/portfolio roster; individual building occupancy unverified</x:v>
      </x:c>
      <x:c r="I7439" s="12" t="str">
        <x:v>Mixed business audience</x:v>
      </x:c>
      <x:c r="J7439" s="12" t="str">
        <x:v>Unresolved</x:v>
      </x:c>
      <x:c r="K7439" s="2" t="str">
        <x:v>PARTNER-M002</x:v>
      </x:c>
    </x:row>
    <x:row r="7440" ht="46" customHeight="1">
      <x:c r="A7440" s="2" t="str">
        <x:v>TEN-A9A1855F9C7F</x:v>
      </x:c>
      <x:c r="B7440" s="12" t="str">
        <x:v>Globant</x:v>
      </x:c>
      <x:c r="C7440" s="12" t="str">
        <x:v>CORP-0421</x:v>
      </x:c>
      <x:c r="D7440" s="12" t="str">
        <x:v>Bengaluru</x:v>
      </x:c>
      <x:c r="E7440" s="12" t="str">
        <x:v>International Tech Park (ITPB)</x:v>
      </x:c>
      <x:c r="F7440" s="12" t="str">
        <x:v>55 inch</x:v>
      </x:c>
      <x:c r="G7440" s="20" t="n">
        <x:v>1</x:v>
      </x:c>
      <x:c r="H7440" s="12" t="str">
        <x:v>Campus/portfolio roster; individual building occupancy unverified</x:v>
      </x:c>
      <x:c r="I7440" s="12" t="str">
        <x:v>Mixed business audience</x:v>
      </x:c>
      <x:c r="J7440" s="12" t="str">
        <x:v>IT &amp; digital</x:v>
      </x:c>
      <x:c r="K7440" s="2" t="str">
        <x:v>PARTNER-M002</x:v>
      </x:c>
    </x:row>
    <x:row r="7441" ht="46" customHeight="1">
      <x:c r="A7441" s="2" t="str">
        <x:v>TEN-A9B3E7D54A8C</x:v>
      </x:c>
      <x:c r="B7441" s="12" t="str">
        <x:v>First advantage Global</x:v>
      </x:c>
      <x:c r="C7441" s="12" t="str">
        <x:v>CORP-0421</x:v>
      </x:c>
      <x:c r="D7441" s="12" t="str">
        <x:v>Bengaluru</x:v>
      </x:c>
      <x:c r="E7441" s="12" t="str">
        <x:v>International Tech Park (ITPB)</x:v>
      </x:c>
      <x:c r="F7441" s="12" t="str">
        <x:v>55 inch</x:v>
      </x:c>
      <x:c r="G7441" s="20" t="n">
        <x:v>1</x:v>
      </x:c>
      <x:c r="H7441" s="12" t="str">
        <x:v>Campus/portfolio roster; individual building occupancy unverified</x:v>
      </x:c>
      <x:c r="I7441" s="12" t="str">
        <x:v>Mixed business audience</x:v>
      </x:c>
      <x:c r="J7441" s="12" t="str">
        <x:v>Professional services</x:v>
      </x:c>
      <x:c r="K7441" s="2" t="str">
        <x:v>PARTNER-M002</x:v>
      </x:c>
    </x:row>
    <x:row r="7442" ht="46" customHeight="1">
      <x:c r="A7442" s="2" t="str">
        <x:v>TEN-AFB51487B347</x:v>
      </x:c>
      <x:c r="B7442" s="12" t="str">
        <x:v>Happy Visitor Esoutions</x:v>
      </x:c>
      <x:c r="C7442" s="12" t="str">
        <x:v>CORP-0421</x:v>
      </x:c>
      <x:c r="D7442" s="12" t="str">
        <x:v>Bengaluru</x:v>
      </x:c>
      <x:c r="E7442" s="12" t="str">
        <x:v>International Tech Park (ITPB)</x:v>
      </x:c>
      <x:c r="F7442" s="12" t="str">
        <x:v>55 inch</x:v>
      </x:c>
      <x:c r="G7442" s="20" t="n">
        <x:v>1</x:v>
      </x:c>
      <x:c r="H7442" s="12" t="str">
        <x:v>Campus/portfolio roster; individual building occupancy unverified</x:v>
      </x:c>
      <x:c r="I7442" s="12" t="str">
        <x:v>Mixed business audience</x:v>
      </x:c>
      <x:c r="J7442" s="12" t="str">
        <x:v>Unresolved</x:v>
      </x:c>
      <x:c r="K7442" s="2" t="str">
        <x:v>PARTNER-M002</x:v>
      </x:c>
    </x:row>
    <x:row r="7443" ht="46" customHeight="1">
      <x:c r="A7443" s="2" t="str">
        <x:v>TEN-B1E1798527DF</x:v>
      </x:c>
      <x:c r="B7443" s="12" t="str">
        <x:v>Carnation</x:v>
      </x:c>
      <x:c r="C7443" s="12" t="str">
        <x:v>CORP-0421</x:v>
      </x:c>
      <x:c r="D7443" s="12" t="str">
        <x:v>Bengaluru</x:v>
      </x:c>
      <x:c r="E7443" s="12" t="str">
        <x:v>International Tech Park (ITPB)</x:v>
      </x:c>
      <x:c r="F7443" s="12" t="str">
        <x:v>55 inch</x:v>
      </x:c>
      <x:c r="G7443" s="20" t="n">
        <x:v>1</x:v>
      </x:c>
      <x:c r="H7443" s="12" t="str">
        <x:v>Campus/portfolio roster; individual building occupancy unverified</x:v>
      </x:c>
      <x:c r="I7443" s="12" t="str">
        <x:v>Mixed business audience</x:v>
      </x:c>
      <x:c r="J7443" s="12" t="str">
        <x:v>Unresolved</x:v>
      </x:c>
      <x:c r="K7443" s="2" t="str">
        <x:v>PARTNER-M002</x:v>
      </x:c>
    </x:row>
    <x:row r="7444" ht="46" customHeight="1">
      <x:c r="A7444" s="2" t="str">
        <x:v>TEN-B431E151D906</x:v>
      </x:c>
      <x:c r="B7444" s="12" t="str">
        <x:v>Longhorns labs</x:v>
      </x:c>
      <x:c r="C7444" s="12" t="str">
        <x:v>CORP-0421</x:v>
      </x:c>
      <x:c r="D7444" s="12" t="str">
        <x:v>Bengaluru</x:v>
      </x:c>
      <x:c r="E7444" s="12" t="str">
        <x:v>International Tech Park (ITPB)</x:v>
      </x:c>
      <x:c r="F7444" s="12" t="str">
        <x:v>55 inch</x:v>
      </x:c>
      <x:c r="G7444" s="20" t="n">
        <x:v>1</x:v>
      </x:c>
      <x:c r="H7444" s="12" t="str">
        <x:v>Campus/portfolio roster; individual building occupancy unverified</x:v>
      </x:c>
      <x:c r="I7444" s="12" t="str">
        <x:v>Mixed business audience</x:v>
      </x:c>
      <x:c r="J7444" s="12" t="str">
        <x:v>Unresolved</x:v>
      </x:c>
      <x:c r="K7444" s="2" t="str">
        <x:v>PARTNER-M002</x:v>
      </x:c>
    </x:row>
    <x:row r="7445" ht="46" customHeight="1">
      <x:c r="A7445" s="2" t="str">
        <x:v>TEN-B73878E16AE9</x:v>
      </x:c>
      <x:c r="B7445" s="12" t="str">
        <x:v>Truspeq</x:v>
      </x:c>
      <x:c r="C7445" s="12" t="str">
        <x:v>CORP-0421</x:v>
      </x:c>
      <x:c r="D7445" s="12" t="str">
        <x:v>Bengaluru</x:v>
      </x:c>
      <x:c r="E7445" s="12" t="str">
        <x:v>International Tech Park (ITPB)</x:v>
      </x:c>
      <x:c r="F7445" s="12" t="str">
        <x:v>55 inch</x:v>
      </x:c>
      <x:c r="G7445" s="20" t="n">
        <x:v>1</x:v>
      </x:c>
      <x:c r="H7445" s="12" t="str">
        <x:v>Campus/portfolio roster; individual building occupancy unverified</x:v>
      </x:c>
      <x:c r="I7445" s="12" t="str">
        <x:v>Small-scale prospects</x:v>
      </x:c>
      <x:c r="J7445" s="12" t="str">
        <x:v>IT &amp; digital</x:v>
      </x:c>
      <x:c r="K7445" s="2" t="str">
        <x:v>PARTNER-M002</x:v>
      </x:c>
    </x:row>
    <x:row r="7446" ht="46" customHeight="1">
      <x:c r="A7446" s="2" t="str">
        <x:v>TEN-B73A39ADECC4</x:v>
      </x:c>
      <x:c r="B7446" s="12" t="str">
        <x:v>ATOS IT</x:v>
      </x:c>
      <x:c r="C7446" s="12" t="str">
        <x:v>CORP-0421</x:v>
      </x:c>
      <x:c r="D7446" s="12" t="str">
        <x:v>Bengaluru</x:v>
      </x:c>
      <x:c r="E7446" s="12" t="str">
        <x:v>International Tech Park (ITPB)</x:v>
      </x:c>
      <x:c r="F7446" s="12" t="str">
        <x:v>55 inch</x:v>
      </x:c>
      <x:c r="G7446" s="20" t="n">
        <x:v>1</x:v>
      </x:c>
      <x:c r="H7446" s="12" t="str">
        <x:v>Campus/portfolio roster; individual building occupancy unverified</x:v>
      </x:c>
      <x:c r="I7446" s="12" t="str">
        <x:v>Large enterprise</x:v>
      </x:c>
      <x:c r="J7446" s="12" t="str">
        <x:v>IT &amp; digital</x:v>
      </x:c>
      <x:c r="K7446" s="2" t="str">
        <x:v>PARTNER-M002</x:v>
      </x:c>
    </x:row>
    <x:row r="7447" ht="46" customHeight="1">
      <x:c r="A7447" s="2" t="str">
        <x:v>TEN-B9223DF94855</x:v>
      </x:c>
      <x:c r="B7447" s="12" t="str">
        <x:v>ECI Telecom</x:v>
      </x:c>
      <x:c r="C7447" s="12" t="str">
        <x:v>CORP-0421</x:v>
      </x:c>
      <x:c r="D7447" s="12" t="str">
        <x:v>Bengaluru</x:v>
      </x:c>
      <x:c r="E7447" s="12" t="str">
        <x:v>International Tech Park (ITPB)</x:v>
      </x:c>
      <x:c r="F7447" s="12" t="str">
        <x:v>55 inch</x:v>
      </x:c>
      <x:c r="G7447" s="20" t="n">
        <x:v>1</x:v>
      </x:c>
      <x:c r="H7447" s="12" t="str">
        <x:v>Campus/portfolio roster; individual building occupancy unverified</x:v>
      </x:c>
      <x:c r="I7447" s="12" t="str">
        <x:v>Mixed business audience</x:v>
      </x:c>
      <x:c r="J7447" s="12" t="str">
        <x:v>IT &amp; digital</x:v>
      </x:c>
      <x:c r="K7447" s="2" t="str">
        <x:v>PARTNER-M002</x:v>
      </x:c>
    </x:row>
    <x:row r="7448" ht="46" customHeight="1">
      <x:c r="A7448" s="2" t="str">
        <x:v>TEN-BDA4D17476FE</x:v>
      </x:c>
      <x:c r="B7448" s="12" t="str">
        <x:v>Cognisure</x:v>
      </x:c>
      <x:c r="C7448" s="12" t="str">
        <x:v>CORP-0421</x:v>
      </x:c>
      <x:c r="D7448" s="12" t="str">
        <x:v>Bengaluru</x:v>
      </x:c>
      <x:c r="E7448" s="12" t="str">
        <x:v>International Tech Park (ITPB)</x:v>
      </x:c>
      <x:c r="F7448" s="12" t="str">
        <x:v>55 inch</x:v>
      </x:c>
      <x:c r="G7448" s="20" t="n">
        <x:v>1</x:v>
      </x:c>
      <x:c r="H7448" s="12" t="str">
        <x:v>Campus/portfolio roster; individual building occupancy unverified</x:v>
      </x:c>
      <x:c r="I7448" s="12" t="str">
        <x:v>Small-scale prospects</x:v>
      </x:c>
      <x:c r="J7448" s="12" t="str">
        <x:v>IT &amp; digital</x:v>
      </x:c>
      <x:c r="K7448" s="2" t="str">
        <x:v>PARTNER-M002</x:v>
      </x:c>
    </x:row>
    <x:row r="7449" ht="46" customHeight="1">
      <x:c r="A7449" s="2" t="str">
        <x:v>TEN-BE234565AEEE</x:v>
      </x:c>
      <x:c r="B7449" s="12" t="str">
        <x:v>Incred Financial</x:v>
      </x:c>
      <x:c r="C7449" s="12" t="str">
        <x:v>CORP-0421</x:v>
      </x:c>
      <x:c r="D7449" s="12" t="str">
        <x:v>Bengaluru</x:v>
      </x:c>
      <x:c r="E7449" s="12" t="str">
        <x:v>International Tech Park (ITPB)</x:v>
      </x:c>
      <x:c r="F7449" s="12" t="str">
        <x:v>55 inch</x:v>
      </x:c>
      <x:c r="G7449" s="20" t="n">
        <x:v>1</x:v>
      </x:c>
      <x:c r="H7449" s="12" t="str">
        <x:v>Campus/portfolio roster; individual building occupancy unverified</x:v>
      </x:c>
      <x:c r="I7449" s="12" t="str">
        <x:v>Mixed business audience</x:v>
      </x:c>
      <x:c r="J7449" s="12" t="str">
        <x:v>Finance &amp; insurance</x:v>
      </x:c>
      <x:c r="K7449" s="2" t="str">
        <x:v>PARTNER-M002</x:v>
      </x:c>
    </x:row>
    <x:row r="7450" ht="46" customHeight="1">
      <x:c r="A7450" s="2" t="str">
        <x:v>TEN-BFE647B51B50</x:v>
      </x:c>
      <x:c r="B7450" s="12" t="str">
        <x:v>V4U</x:v>
      </x:c>
      <x:c r="C7450" s="12" t="str">
        <x:v>CORP-0421</x:v>
      </x:c>
      <x:c r="D7450" s="12" t="str">
        <x:v>Bengaluru</x:v>
      </x:c>
      <x:c r="E7450" s="12" t="str">
        <x:v>International Tech Park (ITPB)</x:v>
      </x:c>
      <x:c r="F7450" s="12" t="str">
        <x:v>55 inch</x:v>
      </x:c>
      <x:c r="G7450" s="20" t="n">
        <x:v>1</x:v>
      </x:c>
      <x:c r="H7450" s="12" t="str">
        <x:v>Campus/portfolio roster; individual building occupancy unverified</x:v>
      </x:c>
      <x:c r="I7450" s="12" t="str">
        <x:v>Mixed business audience</x:v>
      </x:c>
      <x:c r="J7450" s="12" t="str">
        <x:v>Unresolved</x:v>
      </x:c>
      <x:c r="K7450" s="2" t="str">
        <x:v>PARTNER-M002</x:v>
      </x:c>
    </x:row>
    <x:row r="7451" ht="46" customHeight="1">
      <x:c r="A7451" s="2" t="str">
        <x:v>TEN-C27FF66117D5</x:v>
      </x:c>
      <x:c r="B7451" s="12" t="str">
        <x:v>Index Lithigraphy</x:v>
      </x:c>
      <x:c r="C7451" s="12" t="str">
        <x:v>CORP-0421</x:v>
      </x:c>
      <x:c r="D7451" s="12" t="str">
        <x:v>Bengaluru</x:v>
      </x:c>
      <x:c r="E7451" s="12" t="str">
        <x:v>International Tech Park (ITPB)</x:v>
      </x:c>
      <x:c r="F7451" s="12" t="str">
        <x:v>55 inch</x:v>
      </x:c>
      <x:c r="G7451" s="20" t="n">
        <x:v>1</x:v>
      </x:c>
      <x:c r="H7451" s="12" t="str">
        <x:v>Campus/portfolio roster; individual building occupancy unverified</x:v>
      </x:c>
      <x:c r="I7451" s="12" t="str">
        <x:v>Medium-scale prospects</x:v>
      </x:c>
      <x:c r="J7451" s="12" t="str">
        <x:v>Engineering &amp; manufacturing</x:v>
      </x:c>
      <x:c r="K7451" s="2" t="str">
        <x:v>PARTNER-M002</x:v>
      </x:c>
    </x:row>
    <x:row r="7452" ht="46" customHeight="1">
      <x:c r="A7452" s="2" t="str">
        <x:v>TEN-CC2C556FA10A</x:v>
      </x:c>
      <x:c r="B7452" s="12" t="str">
        <x:v>Kingslake</x:v>
      </x:c>
      <x:c r="C7452" s="12" t="str">
        <x:v>CORP-0421</x:v>
      </x:c>
      <x:c r="D7452" s="12" t="str">
        <x:v>Bengaluru</x:v>
      </x:c>
      <x:c r="E7452" s="12" t="str">
        <x:v>International Tech Park (ITPB)</x:v>
      </x:c>
      <x:c r="F7452" s="12" t="str">
        <x:v>55 inch</x:v>
      </x:c>
      <x:c r="G7452" s="20" t="n">
        <x:v>1</x:v>
      </x:c>
      <x:c r="H7452" s="12" t="str">
        <x:v>Campus/portfolio roster; individual building occupancy unverified</x:v>
      </x:c>
      <x:c r="I7452" s="12" t="str">
        <x:v>Mixed business audience</x:v>
      </x:c>
      <x:c r="J7452" s="12" t="str">
        <x:v>Unresolved</x:v>
      </x:c>
      <x:c r="K7452" s="2" t="str">
        <x:v>PARTNER-M002</x:v>
      </x:c>
    </x:row>
    <x:row r="7453" ht="46" customHeight="1">
      <x:c r="A7453" s="2" t="str">
        <x:v>TEN-CDDAE2627D47</x:v>
      </x:c>
      <x:c r="B7453" s="12" t="str">
        <x:v>Institute Bio informatis</x:v>
      </x:c>
      <x:c r="C7453" s="12" t="str">
        <x:v>CORP-0421</x:v>
      </x:c>
      <x:c r="D7453" s="12" t="str">
        <x:v>Bengaluru</x:v>
      </x:c>
      <x:c r="E7453" s="12" t="str">
        <x:v>International Tech Park (ITPB)</x:v>
      </x:c>
      <x:c r="F7453" s="12" t="str">
        <x:v>55 inch</x:v>
      </x:c>
      <x:c r="G7453" s="20" t="n">
        <x:v>1</x:v>
      </x:c>
      <x:c r="H7453" s="12" t="str">
        <x:v>Campus/portfolio roster; individual building occupancy unverified</x:v>
      </x:c>
      <x:c r="I7453" s="12" t="str">
        <x:v>Small-scale prospects</x:v>
      </x:c>
      <x:c r="J7453" s="12" t="str">
        <x:v>Education</x:v>
      </x:c>
      <x:c r="K7453" s="2" t="str">
        <x:v>PARTNER-M002</x:v>
      </x:c>
    </x:row>
    <x:row r="7454" ht="46" customHeight="1">
      <x:c r="A7454" s="2" t="str">
        <x:v>TEN-D04CE1F77A17</x:v>
      </x:c>
      <x:c r="B7454" s="12" t="str">
        <x:v>Fiorano</x:v>
      </x:c>
      <x:c r="C7454" s="12" t="str">
        <x:v>CORP-0421</x:v>
      </x:c>
      <x:c r="D7454" s="12" t="str">
        <x:v>Bengaluru</x:v>
      </x:c>
      <x:c r="E7454" s="12" t="str">
        <x:v>International Tech Park (ITPB)</x:v>
      </x:c>
      <x:c r="F7454" s="12" t="str">
        <x:v>55 inch</x:v>
      </x:c>
      <x:c r="G7454" s="20" t="n">
        <x:v>1</x:v>
      </x:c>
      <x:c r="H7454" s="12" t="str">
        <x:v>Campus/portfolio roster; individual building occupancy unverified</x:v>
      </x:c>
      <x:c r="I7454" s="12" t="str">
        <x:v>Small-scale prospects</x:v>
      </x:c>
      <x:c r="J7454" s="12" t="str">
        <x:v>IT &amp; digital</x:v>
      </x:c>
      <x:c r="K7454" s="2" t="str">
        <x:v>PARTNER-M002</x:v>
      </x:c>
    </x:row>
    <x:row r="7455" ht="46" customHeight="1">
      <x:c r="A7455" s="2" t="str">
        <x:v>TEN-D1C7C99C6E2E</x:v>
      </x:c>
      <x:c r="B7455" s="12" t="str">
        <x:v>Tata</x:v>
      </x:c>
      <x:c r="C7455" s="12" t="str">
        <x:v>CORP-0421</x:v>
      </x:c>
      <x:c r="D7455" s="12" t="str">
        <x:v>Bengaluru</x:v>
      </x:c>
      <x:c r="E7455" s="12" t="str">
        <x:v>International Tech Park (ITPB)</x:v>
      </x:c>
      <x:c r="F7455" s="12" t="str">
        <x:v>55 inch</x:v>
      </x:c>
      <x:c r="G7455" s="20" t="n">
        <x:v>1</x:v>
      </x:c>
      <x:c r="H7455" s="12" t="str">
        <x:v>Campus/portfolio roster; individual building occupancy unverified</x:v>
      </x:c>
      <x:c r="I7455" s="12" t="str">
        <x:v>Large enterprise</x:v>
      </x:c>
      <x:c r="J7455" s="12" t="str">
        <x:v>Unresolved</x:v>
      </x:c>
      <x:c r="K7455" s="2" t="str">
        <x:v>PARTNER-M002</x:v>
      </x:c>
    </x:row>
    <x:row r="7456" ht="46" customHeight="1">
      <x:c r="A7456" s="2" t="str">
        <x:v>TEN-D2E269F83158</x:v>
      </x:c>
      <x:c r="B7456" s="12" t="str">
        <x:v>MBB Labs</x:v>
      </x:c>
      <x:c r="C7456" s="12" t="str">
        <x:v>CORP-0421</x:v>
      </x:c>
      <x:c r="D7456" s="12" t="str">
        <x:v>Bengaluru</x:v>
      </x:c>
      <x:c r="E7456" s="12" t="str">
        <x:v>International Tech Park (ITPB)</x:v>
      </x:c>
      <x:c r="F7456" s="12" t="str">
        <x:v>55 inch</x:v>
      </x:c>
      <x:c r="G7456" s="20" t="n">
        <x:v>1</x:v>
      </x:c>
      <x:c r="H7456" s="12" t="str">
        <x:v>Campus/portfolio roster; individual building occupancy unverified</x:v>
      </x:c>
      <x:c r="I7456" s="12" t="str">
        <x:v>Mixed business audience</x:v>
      </x:c>
      <x:c r="J7456" s="12" t="str">
        <x:v>Unresolved</x:v>
      </x:c>
      <x:c r="K7456" s="2" t="str">
        <x:v>PARTNER-M002</x:v>
      </x:c>
    </x:row>
    <x:row r="7457" ht="46" customHeight="1">
      <x:c r="A7457" s="2" t="str">
        <x:v>TEN-D72EAD2E3D44</x:v>
      </x:c>
      <x:c r="B7457" s="12" t="str">
        <x:v>Tech Mahindra</x:v>
      </x:c>
      <x:c r="C7457" s="12" t="str">
        <x:v>CORP-0421</x:v>
      </x:c>
      <x:c r="D7457" s="12" t="str">
        <x:v>Bengaluru</x:v>
      </x:c>
      <x:c r="E7457" s="12" t="str">
        <x:v>International Tech Park (ITPB)</x:v>
      </x:c>
      <x:c r="F7457" s="12" t="str">
        <x:v>55 inch</x:v>
      </x:c>
      <x:c r="G7457" s="20" t="n">
        <x:v>1</x:v>
      </x:c>
      <x:c r="H7457" s="12" t="str">
        <x:v>Campus/portfolio roster; individual building occupancy unverified</x:v>
      </x:c>
      <x:c r="I7457" s="12" t="str">
        <x:v>Large enterprise</x:v>
      </x:c>
      <x:c r="J7457" s="12" t="str">
        <x:v>IT &amp; digital</x:v>
      </x:c>
      <x:c r="K7457" s="2" t="str">
        <x:v>PARTNER-M002</x:v>
      </x:c>
    </x:row>
    <x:row r="7458" ht="46" customHeight="1">
      <x:c r="A7458" s="2" t="str">
        <x:v>TEN-D817CF92B660</x:v>
      </x:c>
      <x:c r="B7458" s="12" t="str">
        <x:v>Innoactive</x:v>
      </x:c>
      <x:c r="C7458" s="12" t="str">
        <x:v>CORP-0421</x:v>
      </x:c>
      <x:c r="D7458" s="12" t="str">
        <x:v>Bengaluru</x:v>
      </x:c>
      <x:c r="E7458" s="12" t="str">
        <x:v>International Tech Park (ITPB)</x:v>
      </x:c>
      <x:c r="F7458" s="12" t="str">
        <x:v>55 inch</x:v>
      </x:c>
      <x:c r="G7458" s="20" t="n">
        <x:v>1</x:v>
      </x:c>
      <x:c r="H7458" s="12" t="str">
        <x:v>Campus/portfolio roster; individual building occupancy unverified</x:v>
      </x:c>
      <x:c r="I7458" s="12" t="str">
        <x:v>Mixed business audience</x:v>
      </x:c>
      <x:c r="J7458" s="12" t="str">
        <x:v>Unresolved</x:v>
      </x:c>
      <x:c r="K7458" s="2" t="str">
        <x:v>PARTNER-M002</x:v>
      </x:c>
    </x:row>
    <x:row r="7459" ht="46" customHeight="1">
      <x:c r="A7459" s="2" t="str">
        <x:v>TEN-D820F7EB8DD2</x:v>
      </x:c>
      <x:c r="B7459" s="12" t="str">
        <x:v>Hireright</x:v>
      </x:c>
      <x:c r="C7459" s="12" t="str">
        <x:v>CORP-0421</x:v>
      </x:c>
      <x:c r="D7459" s="12" t="str">
        <x:v>Bengaluru</x:v>
      </x:c>
      <x:c r="E7459" s="12" t="str">
        <x:v>International Tech Park (ITPB)</x:v>
      </x:c>
      <x:c r="F7459" s="12" t="str">
        <x:v>55 inch</x:v>
      </x:c>
      <x:c r="G7459" s="20" t="n">
        <x:v>1</x:v>
      </x:c>
      <x:c r="H7459" s="12" t="str">
        <x:v>Campus/portfolio roster; individual building occupancy unverified</x:v>
      </x:c>
      <x:c r="I7459" s="12" t="str">
        <x:v>Mixed business audience</x:v>
      </x:c>
      <x:c r="J7459" s="12" t="str">
        <x:v>Professional services</x:v>
      </x:c>
      <x:c r="K7459" s="2" t="str">
        <x:v>PARTNER-M002</x:v>
      </x:c>
    </x:row>
    <x:row r="7460" ht="46" customHeight="1">
      <x:c r="A7460" s="2" t="str">
        <x:v>TEN-D886B2C883A6</x:v>
      </x:c>
      <x:c r="B7460" s="12" t="str">
        <x:v>Citi Bank</x:v>
      </x:c>
      <x:c r="C7460" s="12" t="str">
        <x:v>CORP-0421</x:v>
      </x:c>
      <x:c r="D7460" s="12" t="str">
        <x:v>Bengaluru</x:v>
      </x:c>
      <x:c r="E7460" s="12" t="str">
        <x:v>International Tech Park (ITPB)</x:v>
      </x:c>
      <x:c r="F7460" s="12" t="str">
        <x:v>55 inch</x:v>
      </x:c>
      <x:c r="G7460" s="20" t="n">
        <x:v>1</x:v>
      </x:c>
      <x:c r="H7460" s="12" t="str">
        <x:v>Campus/portfolio roster; individual building occupancy unverified</x:v>
      </x:c>
      <x:c r="I7460" s="12" t="str">
        <x:v>Large enterprise</x:v>
      </x:c>
      <x:c r="J7460" s="12" t="str">
        <x:v>Finance &amp; insurance</x:v>
      </x:c>
      <x:c r="K7460" s="2" t="str">
        <x:v>PARTNER-M002</x:v>
      </x:c>
    </x:row>
    <x:row r="7461" ht="46" customHeight="1">
      <x:c r="A7461" s="2" t="str">
        <x:v>TEN-DA7A5218187E</x:v>
      </x:c>
      <x:c r="B7461" s="12" t="str">
        <x:v>Certes</x:v>
      </x:c>
      <x:c r="C7461" s="12" t="str">
        <x:v>CORP-0421</x:v>
      </x:c>
      <x:c r="D7461" s="12" t="str">
        <x:v>Bengaluru</x:v>
      </x:c>
      <x:c r="E7461" s="12" t="str">
        <x:v>International Tech Park (ITPB)</x:v>
      </x:c>
      <x:c r="F7461" s="12" t="str">
        <x:v>55 inch</x:v>
      </x:c>
      <x:c r="G7461" s="20" t="n">
        <x:v>1</x:v>
      </x:c>
      <x:c r="H7461" s="12" t="str">
        <x:v>Campus/portfolio roster; individual building occupancy unverified</x:v>
      </x:c>
      <x:c r="I7461" s="12" t="str">
        <x:v>Mixed business audience</x:v>
      </x:c>
      <x:c r="J7461" s="12" t="str">
        <x:v>Unresolved</x:v>
      </x:c>
      <x:c r="K7461" s="2" t="str">
        <x:v>PARTNER-M002</x:v>
      </x:c>
    </x:row>
    <x:row r="7462" ht="46" customHeight="1">
      <x:c r="A7462" s="2" t="str">
        <x:v>TEN-E1F279A6A033</x:v>
      </x:c>
      <x:c r="B7462" s="12" t="str">
        <x:v>Applied Materials</x:v>
      </x:c>
      <x:c r="C7462" s="12" t="str">
        <x:v>CORP-0421</x:v>
      </x:c>
      <x:c r="D7462" s="12" t="str">
        <x:v>Bengaluru</x:v>
      </x:c>
      <x:c r="E7462" s="12" t="str">
        <x:v>International Tech Park (ITPB)</x:v>
      </x:c>
      <x:c r="F7462" s="12" t="str">
        <x:v>55 inch</x:v>
      </x:c>
      <x:c r="G7462" s="20" t="n">
        <x:v>1</x:v>
      </x:c>
      <x:c r="H7462" s="12" t="str">
        <x:v>Campus/portfolio roster; individual building occupancy unverified</x:v>
      </x:c>
      <x:c r="I7462" s="12" t="str">
        <x:v>Mixed business audience</x:v>
      </x:c>
      <x:c r="J7462" s="12" t="str">
        <x:v>Engineering &amp; manufacturing</x:v>
      </x:c>
      <x:c r="K7462" s="2" t="str">
        <x:v>PARTNER-M002</x:v>
      </x:c>
    </x:row>
    <x:row r="7463" ht="46" customHeight="1">
      <x:c r="A7463" s="2" t="str">
        <x:v>TEN-EA30894BD53C</x:v>
      </x:c>
      <x:c r="B7463" s="12" t="str">
        <x:v>Alcatel-Lucent</x:v>
      </x:c>
      <x:c r="C7463" s="12" t="str">
        <x:v>CORP-0421</x:v>
      </x:c>
      <x:c r="D7463" s="12" t="str">
        <x:v>Bengaluru</x:v>
      </x:c>
      <x:c r="E7463" s="12" t="str">
        <x:v>International Tech Park (ITPB)</x:v>
      </x:c>
      <x:c r="F7463" s="12" t="str">
        <x:v>55 inch</x:v>
      </x:c>
      <x:c r="G7463" s="20" t="n">
        <x:v>1</x:v>
      </x:c>
      <x:c r="H7463" s="12" t="str">
        <x:v>Campus/portfolio roster; individual building occupancy unverified</x:v>
      </x:c>
      <x:c r="I7463" s="12" t="str">
        <x:v>Mixed business audience</x:v>
      </x:c>
      <x:c r="J7463" s="12" t="str">
        <x:v>IT &amp; digital</x:v>
      </x:c>
      <x:c r="K7463" s="2" t="str">
        <x:v>PARTNER-M002</x:v>
      </x:c>
    </x:row>
    <x:row r="7464" ht="46" customHeight="1">
      <x:c r="A7464" s="2" t="str">
        <x:v>TEN-EB2197E38208</x:v>
      </x:c>
      <x:c r="B7464" s="12" t="str">
        <x:v>Sycomp Technologies</x:v>
      </x:c>
      <x:c r="C7464" s="12" t="str">
        <x:v>CORP-0421</x:v>
      </x:c>
      <x:c r="D7464" s="12" t="str">
        <x:v>Bengaluru</x:v>
      </x:c>
      <x:c r="E7464" s="12" t="str">
        <x:v>International Tech Park (ITPB)</x:v>
      </x:c>
      <x:c r="F7464" s="12" t="str">
        <x:v>55 inch</x:v>
      </x:c>
      <x:c r="G7464" s="20" t="n">
        <x:v>1</x:v>
      </x:c>
      <x:c r="H7464" s="12" t="str">
        <x:v>Campus/portfolio roster; individual building occupancy unverified</x:v>
      </x:c>
      <x:c r="I7464" s="12" t="str">
        <x:v>Small-scale prospects</x:v>
      </x:c>
      <x:c r="J7464" s="12" t="str">
        <x:v>IT &amp; digital</x:v>
      </x:c>
      <x:c r="K7464" s="2" t="str">
        <x:v>PARTNER-M002</x:v>
      </x:c>
    </x:row>
    <x:row r="7465" ht="46" customHeight="1">
      <x:c r="A7465" s="2" t="str">
        <x:v>TEN-F4FDCAC4C72C</x:v>
      </x:c>
      <x:c r="B7465" s="12" t="str">
        <x:v>Mindsprint</x:v>
      </x:c>
      <x:c r="C7465" s="12" t="str">
        <x:v>CORP-0421</x:v>
      </x:c>
      <x:c r="D7465" s="12" t="str">
        <x:v>Bengaluru</x:v>
      </x:c>
      <x:c r="E7465" s="12" t="str">
        <x:v>International Tech Park (ITPB)</x:v>
      </x:c>
      <x:c r="F7465" s="12" t="str">
        <x:v>55 inch</x:v>
      </x:c>
      <x:c r="G7465" s="20" t="n">
        <x:v>1</x:v>
      </x:c>
      <x:c r="H7465" s="12" t="str">
        <x:v>Campus/portfolio roster; individual building occupancy unverified</x:v>
      </x:c>
      <x:c r="I7465" s="12" t="str">
        <x:v>Mixed business audience</x:v>
      </x:c>
      <x:c r="J7465" s="12" t="str">
        <x:v>IT &amp; digital</x:v>
      </x:c>
      <x:c r="K7465" s="2" t="str">
        <x:v>PARTNER-M002</x:v>
      </x:c>
    </x:row>
    <x:row r="7466" ht="46" customHeight="1">
      <x:c r="A7466" s="2" t="str">
        <x:v>TEN-0B63EF31808A</x:v>
      </x:c>
      <x:c r="B7466" s="12" t="str">
        <x:v>Marriott Revenue Management Remote Solutions</x:v>
      </x:c>
      <x:c r="C7466" s="12" t="str">
        <x:v>CORP-0475</x:v>
      </x:c>
      <x:c r="D7466" s="12" t="str">
        <x:v>Bengaluru</x:v>
      </x:c>
      <x:c r="E7466" s="12" t="str">
        <x:v>Brigade IRV</x:v>
      </x:c>
      <x:c r="F7466" s="12" t="str">
        <x:v>55 inch</x:v>
      </x:c>
      <x:c r="G7466" s="20" t="n">
        <x:v>1</x:v>
      </x:c>
      <x:c r="H7466" s="12" t="str">
        <x:v>Campus/portfolio roster; individual building occupancy unverified</x:v>
      </x:c>
      <x:c r="I7466" s="12" t="str">
        <x:v>Mixed business audience</x:v>
      </x:c>
      <x:c r="J7466" s="12" t="str">
        <x:v>Trade, consumer &amp; logistics</x:v>
      </x:c>
      <x:c r="K7466" s="2" t="str">
        <x:v>PARTNER-M056</x:v>
      </x:c>
    </x:row>
    <x:row r="7467" ht="46" customHeight="1">
      <x:c r="A7467" s="2" t="str">
        <x:v>TEN-3FB64171B8B2</x:v>
      </x:c>
      <x:c r="B7467" s="12" t="str">
        <x:v>Y axis</x:v>
      </x:c>
      <x:c r="C7467" s="12" t="str">
        <x:v>CORP-0475</x:v>
      </x:c>
      <x:c r="D7467" s="12" t="str">
        <x:v>Bengaluru</x:v>
      </x:c>
      <x:c r="E7467" s="12" t="str">
        <x:v>Brigade IRV</x:v>
      </x:c>
      <x:c r="F7467" s="12" t="str">
        <x:v>55 inch</x:v>
      </x:c>
      <x:c r="G7467" s="20" t="n">
        <x:v>1</x:v>
      </x:c>
      <x:c r="H7467" s="12" t="str">
        <x:v>Campus/portfolio roster; individual building occupancy unverified</x:v>
      </x:c>
      <x:c r="I7467" s="12" t="str">
        <x:v>Mixed business audience</x:v>
      </x:c>
      <x:c r="J7467" s="12" t="str">
        <x:v>Professional services</x:v>
      </x:c>
      <x:c r="K7467" s="2" t="str">
        <x:v>PARTNER-M056</x:v>
      </x:c>
    </x:row>
    <x:row r="7468" ht="46" customHeight="1">
      <x:c r="A7468" s="2" t="str">
        <x:v>TEN-4031B527A5B1</x:v>
      </x:c>
      <x:c r="B7468" s="12" t="str">
        <x:v>Factonity Systems Pvt Ltd</x:v>
      </x:c>
      <x:c r="C7468" s="12" t="str">
        <x:v>CORP-0475</x:v>
      </x:c>
      <x:c r="D7468" s="12" t="str">
        <x:v>Bengaluru</x:v>
      </x:c>
      <x:c r="E7468" s="12" t="str">
        <x:v>Brigade IRV</x:v>
      </x:c>
      <x:c r="F7468" s="12" t="str">
        <x:v>55 inch</x:v>
      </x:c>
      <x:c r="G7468" s="20" t="n">
        <x:v>1</x:v>
      </x:c>
      <x:c r="H7468" s="12" t="str">
        <x:v>Campus/portfolio roster; individual building occupancy unverified</x:v>
      </x:c>
      <x:c r="I7468" s="12" t="str">
        <x:v>Mixed business audience</x:v>
      </x:c>
      <x:c r="J7468" s="12" t="str">
        <x:v>Unresolved</x:v>
      </x:c>
      <x:c r="K7468" s="2" t="str">
        <x:v>PARTNER-M056</x:v>
      </x:c>
    </x:row>
    <x:row r="7469" ht="46" customHeight="1">
      <x:c r="A7469" s="2" t="str">
        <x:v>TEN-454101807C26</x:v>
      </x:c>
      <x:c r="B7469" s="12" t="str">
        <x:v>SROTRA TECHNOLOGIES PVT LTD</x:v>
      </x:c>
      <x:c r="C7469" s="12" t="str">
        <x:v>CORP-0475</x:v>
      </x:c>
      <x:c r="D7469" s="12" t="str">
        <x:v>Bengaluru</x:v>
      </x:c>
      <x:c r="E7469" s="12" t="str">
        <x:v>Brigade IRV</x:v>
      </x:c>
      <x:c r="F7469" s="12" t="str">
        <x:v>55 inch</x:v>
      </x:c>
      <x:c r="G7469" s="20" t="n">
        <x:v>1</x:v>
      </x:c>
      <x:c r="H7469" s="12" t="str">
        <x:v>Campus/portfolio roster; individual building occupancy unverified</x:v>
      </x:c>
      <x:c r="I7469" s="12" t="str">
        <x:v>Mixed business audience</x:v>
      </x:c>
      <x:c r="J7469" s="12" t="str">
        <x:v>Unresolved</x:v>
      </x:c>
      <x:c r="K7469" s="2" t="str">
        <x:v>PARTNER-M056</x:v>
      </x:c>
    </x:row>
    <x:row r="7470" ht="46" customHeight="1">
      <x:c r="A7470" s="2" t="str">
        <x:v>TEN-555A2C40B555</x:v>
      </x:c>
      <x:c r="B7470" s="12" t="str">
        <x:v>Aimtron Technologies</x:v>
      </x:c>
      <x:c r="C7470" s="12" t="str">
        <x:v>CORP-0475</x:v>
      </x:c>
      <x:c r="D7470" s="12" t="str">
        <x:v>Bengaluru</x:v>
      </x:c>
      <x:c r="E7470" s="12" t="str">
        <x:v>Brigade IRV</x:v>
      </x:c>
      <x:c r="F7470" s="12" t="str">
        <x:v>55 inch</x:v>
      </x:c>
      <x:c r="G7470" s="20" t="n">
        <x:v>1</x:v>
      </x:c>
      <x:c r="H7470" s="12" t="str">
        <x:v>Campus/portfolio roster; individual building occupancy unverified</x:v>
      </x:c>
      <x:c r="I7470" s="12" t="str">
        <x:v>Medium-scale prospects</x:v>
      </x:c>
      <x:c r="J7470" s="12" t="str">
        <x:v>Engineering &amp; manufacturing</x:v>
      </x:c>
      <x:c r="K7470" s="2" t="str">
        <x:v>PARTNER-M056</x:v>
      </x:c>
    </x:row>
    <x:row r="7471" ht="46" customHeight="1">
      <x:c r="A7471" s="2" t="str">
        <x:v>TEN-6EC3A7285B02</x:v>
      </x:c>
      <x:c r="B7471" s="12" t="str">
        <x:v>Electrono Solutions Private Limited</x:v>
      </x:c>
      <x:c r="C7471" s="12" t="str">
        <x:v>CORP-0475</x:v>
      </x:c>
      <x:c r="D7471" s="12" t="str">
        <x:v>Bengaluru</x:v>
      </x:c>
      <x:c r="E7471" s="12" t="str">
        <x:v>Brigade IRV</x:v>
      </x:c>
      <x:c r="F7471" s="12" t="str">
        <x:v>55 inch</x:v>
      </x:c>
      <x:c r="G7471" s="20" t="n">
        <x:v>1</x:v>
      </x:c>
      <x:c r="H7471" s="12" t="str">
        <x:v>Campus/portfolio roster; individual building occupancy unverified</x:v>
      </x:c>
      <x:c r="I7471" s="12" t="str">
        <x:v>Medium-scale prospects</x:v>
      </x:c>
      <x:c r="J7471" s="12" t="str">
        <x:v>Engineering &amp; manufacturing</x:v>
      </x:c>
      <x:c r="K7471" s="2" t="str">
        <x:v>PARTNER-M056</x:v>
      </x:c>
    </x:row>
    <x:row r="7472" ht="46" customHeight="1">
      <x:c r="A7472" s="2" t="str">
        <x:v>TEN-6F7359803DF1</x:v>
      </x:c>
      <x:c r="B7472" s="12" t="str">
        <x:v>ATCS</x:v>
      </x:c>
      <x:c r="C7472" s="12" t="str">
        <x:v>CORP-0475</x:v>
      </x:c>
      <x:c r="D7472" s="12" t="str">
        <x:v>Bengaluru</x:v>
      </x:c>
      <x:c r="E7472" s="12" t="str">
        <x:v>Brigade IRV</x:v>
      </x:c>
      <x:c r="F7472" s="12" t="str">
        <x:v>55 inch</x:v>
      </x:c>
      <x:c r="G7472" s="20" t="n">
        <x:v>1</x:v>
      </x:c>
      <x:c r="H7472" s="12" t="str">
        <x:v>Campus/portfolio roster; individual building occupancy unverified</x:v>
      </x:c>
      <x:c r="I7472" s="12" t="str">
        <x:v>Small-scale prospects</x:v>
      </x:c>
      <x:c r="J7472" s="12" t="str">
        <x:v>IT &amp; digital</x:v>
      </x:c>
      <x:c r="K7472" s="2" t="str">
        <x:v>PARTNER-M056</x:v>
      </x:c>
    </x:row>
    <x:row r="7473" ht="46" customHeight="1">
      <x:c r="A7473" s="2" t="str">
        <x:v>TEN-6FC71948C40F</x:v>
      </x:c>
      <x:c r="B7473" s="12" t="str">
        <x:v>Regus</x:v>
      </x:c>
      <x:c r="C7473" s="12" t="str">
        <x:v>CORP-0475</x:v>
      </x:c>
      <x:c r="D7473" s="12" t="str">
        <x:v>Bengaluru</x:v>
      </x:c>
      <x:c r="E7473" s="12" t="str">
        <x:v>Brigade IRV</x:v>
      </x:c>
      <x:c r="F7473" s="12" t="str">
        <x:v>55 inch</x:v>
      </x:c>
      <x:c r="G7473" s="20" t="n">
        <x:v>1</x:v>
      </x:c>
      <x:c r="H7473" s="12" t="str">
        <x:v>Campus/portfolio roster; individual building occupancy unverified</x:v>
      </x:c>
      <x:c r="I7473" s="12" t="str">
        <x:v>Mixed business audience</x:v>
      </x:c>
      <x:c r="J7473" s="12" t="str">
        <x:v>Workspace &amp; property operations</x:v>
      </x:c>
      <x:c r="K7473" s="2" t="str">
        <x:v>PARTNER-M056</x:v>
      </x:c>
    </x:row>
    <x:row r="7474" ht="46" customHeight="1">
      <x:c r="A7474" s="2" t="str">
        <x:v>TEN-81D3880C31B1</x:v>
      </x:c>
      <x:c r="B7474" s="12" t="str">
        <x:v>Nisent Global Solutions Pvt. Ltd</x:v>
      </x:c>
      <x:c r="C7474" s="12" t="str">
        <x:v>CORP-0475</x:v>
      </x:c>
      <x:c r="D7474" s="12" t="str">
        <x:v>Bengaluru</x:v>
      </x:c>
      <x:c r="E7474" s="12" t="str">
        <x:v>Brigade IRV</x:v>
      </x:c>
      <x:c r="F7474" s="12" t="str">
        <x:v>55 inch</x:v>
      </x:c>
      <x:c r="G7474" s="20" t="n">
        <x:v>1</x:v>
      </x:c>
      <x:c r="H7474" s="12" t="str">
        <x:v>Campus/portfolio roster; individual building occupancy unverified</x:v>
      </x:c>
      <x:c r="I7474" s="12" t="str">
        <x:v>Mixed business audience</x:v>
      </x:c>
      <x:c r="J7474" s="12" t="str">
        <x:v>Unresolved</x:v>
      </x:c>
      <x:c r="K7474" s="2" t="str">
        <x:v>PARTNER-M056</x:v>
      </x:c>
    </x:row>
    <x:row r="7475" ht="46" customHeight="1">
      <x:c r="A7475" s="2" t="str">
        <x:v>TEN-8811AC206AD4</x:v>
      </x:c>
      <x:c r="B7475" s="12" t="str">
        <x:v>Chainalytics</x:v>
      </x:c>
      <x:c r="C7475" s="12" t="str">
        <x:v>CORP-0475</x:v>
      </x:c>
      <x:c r="D7475" s="12" t="str">
        <x:v>Bengaluru</x:v>
      </x:c>
      <x:c r="E7475" s="12" t="str">
        <x:v>Brigade IRV</x:v>
      </x:c>
      <x:c r="F7475" s="12" t="str">
        <x:v>55 inch</x:v>
      </x:c>
      <x:c r="G7475" s="20" t="n">
        <x:v>1</x:v>
      </x:c>
      <x:c r="H7475" s="12" t="str">
        <x:v>Campus/portfolio roster; individual building occupancy unverified</x:v>
      </x:c>
      <x:c r="I7475" s="12" t="str">
        <x:v>Small-scale prospects</x:v>
      </x:c>
      <x:c r="J7475" s="12" t="str">
        <x:v>Professional services</x:v>
      </x:c>
      <x:c r="K7475" s="2" t="str">
        <x:v>PARTNER-M056</x:v>
      </x:c>
    </x:row>
    <x:row r="7476" ht="46" customHeight="1">
      <x:c r="A7476" s="2" t="str">
        <x:v>TEN-A761DC481A8A</x:v>
      </x:c>
      <x:c r="B7476" s="12" t="str">
        <x:v>Vassco Furniture &amp; Home Decors Private Limited</x:v>
      </x:c>
      <x:c r="C7476" s="12" t="str">
        <x:v>CORP-0475</x:v>
      </x:c>
      <x:c r="D7476" s="12" t="str">
        <x:v>Bengaluru</x:v>
      </x:c>
      <x:c r="E7476" s="12" t="str">
        <x:v>Brigade IRV</x:v>
      </x:c>
      <x:c r="F7476" s="12" t="str">
        <x:v>55 inch</x:v>
      </x:c>
      <x:c r="G7476" s="20" t="n">
        <x:v>1</x:v>
      </x:c>
      <x:c r="H7476" s="12" t="str">
        <x:v>Campus/portfolio roster; individual building occupancy unverified</x:v>
      </x:c>
      <x:c r="I7476" s="12" t="str">
        <x:v>Small-scale prospects</x:v>
      </x:c>
      <x:c r="J7476" s="12" t="str">
        <x:v>Trade, consumer &amp; logistics</x:v>
      </x:c>
      <x:c r="K7476" s="2" t="str">
        <x:v>PARTNER-M056</x:v>
      </x:c>
    </x:row>
    <x:row r="7477" ht="46" customHeight="1">
      <x:c r="A7477" s="2" t="str">
        <x:v>TEN-B56496626EEE</x:v>
      </x:c>
      <x:c r="B7477" s="12" t="str">
        <x:v>Mobile Programming India Pvt. Ltd</x:v>
      </x:c>
      <x:c r="C7477" s="12" t="str">
        <x:v>CORP-0475</x:v>
      </x:c>
      <x:c r="D7477" s="12" t="str">
        <x:v>Bengaluru</x:v>
      </x:c>
      <x:c r="E7477" s="12" t="str">
        <x:v>Brigade IRV</x:v>
      </x:c>
      <x:c r="F7477" s="12" t="str">
        <x:v>55 inch</x:v>
      </x:c>
      <x:c r="G7477" s="20" t="n">
        <x:v>1</x:v>
      </x:c>
      <x:c r="H7477" s="12" t="str">
        <x:v>Campus/portfolio roster; individual building occupancy unverified</x:v>
      </x:c>
      <x:c r="I7477" s="12" t="str">
        <x:v>Small-scale prospects</x:v>
      </x:c>
      <x:c r="J7477" s="12" t="str">
        <x:v>IT &amp; digital</x:v>
      </x:c>
      <x:c r="K7477" s="2" t="str">
        <x:v>PARTNER-M056</x:v>
      </x:c>
    </x:row>
    <x:row r="7478" ht="46" customHeight="1">
      <x:c r="A7478" s="2" t="str">
        <x:v>TEN-BBD4EEA83943</x:v>
      </x:c>
      <x:c r="B7478" s="12" t="str">
        <x:v>Sunovaa Tech Pvt. Ltd</x:v>
      </x:c>
      <x:c r="C7478" s="12" t="str">
        <x:v>CORP-0475</x:v>
      </x:c>
      <x:c r="D7478" s="12" t="str">
        <x:v>Bengaluru</x:v>
      </x:c>
      <x:c r="E7478" s="12" t="str">
        <x:v>Brigade IRV</x:v>
      </x:c>
      <x:c r="F7478" s="12" t="str">
        <x:v>55 inch</x:v>
      </x:c>
      <x:c r="G7478" s="20" t="n">
        <x:v>1</x:v>
      </x:c>
      <x:c r="H7478" s="12" t="str">
        <x:v>Campus/portfolio roster; individual building occupancy unverified</x:v>
      </x:c>
      <x:c r="I7478" s="12" t="str">
        <x:v>Small-scale prospects</x:v>
      </x:c>
      <x:c r="J7478" s="12" t="str">
        <x:v>IT &amp; digital</x:v>
      </x:c>
      <x:c r="K7478" s="2" t="str">
        <x:v>PARTNER-M056</x:v>
      </x:c>
    </x:row>
    <x:row r="7479" ht="46" customHeight="1">
      <x:c r="A7479" s="2" t="str">
        <x:v>TEN-BBD5210C1E57</x:v>
      </x:c>
      <x:c r="B7479" s="12" t="str">
        <x:v>WorkX Coworking Spaces</x:v>
      </x:c>
      <x:c r="C7479" s="12" t="str">
        <x:v>CORP-0475</x:v>
      </x:c>
      <x:c r="D7479" s="12" t="str">
        <x:v>Bengaluru</x:v>
      </x:c>
      <x:c r="E7479" s="12" t="str">
        <x:v>Brigade IRV</x:v>
      </x:c>
      <x:c r="F7479" s="12" t="str">
        <x:v>55 inch</x:v>
      </x:c>
      <x:c r="G7479" s="20" t="n">
        <x:v>1</x:v>
      </x:c>
      <x:c r="H7479" s="12" t="str">
        <x:v>Campus/portfolio roster; individual building occupancy unverified</x:v>
      </x:c>
      <x:c r="I7479" s="12" t="str">
        <x:v>Mixed business audience</x:v>
      </x:c>
      <x:c r="J7479" s="12" t="str">
        <x:v>Workspace &amp; property operations</x:v>
      </x:c>
      <x:c r="K7479" s="2" t="str">
        <x:v>PARTNER-M056</x:v>
      </x:c>
    </x:row>
    <x:row r="7480" ht="46" customHeight="1">
      <x:c r="A7480" s="2" t="str">
        <x:v>TEN-C4FDA280D307</x:v>
      </x:c>
      <x:c r="B7480" s="12" t="str">
        <x:v>Cronbay Technologies</x:v>
      </x:c>
      <x:c r="C7480" s="12" t="str">
        <x:v>CORP-0475</x:v>
      </x:c>
      <x:c r="D7480" s="12" t="str">
        <x:v>Bengaluru</x:v>
      </x:c>
      <x:c r="E7480" s="12" t="str">
        <x:v>Brigade IRV</x:v>
      </x:c>
      <x:c r="F7480" s="12" t="str">
        <x:v>55 inch</x:v>
      </x:c>
      <x:c r="G7480" s="20" t="n">
        <x:v>1</x:v>
      </x:c>
      <x:c r="H7480" s="12" t="str">
        <x:v>Campus/portfolio roster; individual building occupancy unverified</x:v>
      </x:c>
      <x:c r="I7480" s="12" t="str">
        <x:v>Mixed business audience</x:v>
      </x:c>
      <x:c r="J7480" s="12" t="str">
        <x:v>Unresolved</x:v>
      </x:c>
      <x:c r="K7480" s="2" t="str">
        <x:v>PARTNER-M056</x:v>
      </x:c>
    </x:row>
    <x:row r="7481" ht="46" customHeight="1">
      <x:c r="A7481" s="2" t="str">
        <x:v>TEN-D4A1061B292B</x:v>
      </x:c>
      <x:c r="B7481" s="12" t="str">
        <x:v>UrbanPiper</x:v>
      </x:c>
      <x:c r="C7481" s="12" t="str">
        <x:v>CORP-0475</x:v>
      </x:c>
      <x:c r="D7481" s="12" t="str">
        <x:v>Bengaluru</x:v>
      </x:c>
      <x:c r="E7481" s="12" t="str">
        <x:v>Brigade IRV</x:v>
      </x:c>
      <x:c r="F7481" s="12" t="str">
        <x:v>55 inch</x:v>
      </x:c>
      <x:c r="G7481" s="20" t="n">
        <x:v>1</x:v>
      </x:c>
      <x:c r="H7481" s="12" t="str">
        <x:v>Campus/portfolio roster; individual building occupancy unverified</x:v>
      </x:c>
      <x:c r="I7481" s="12" t="str">
        <x:v>Small-scale prospects</x:v>
      </x:c>
      <x:c r="J7481" s="12" t="str">
        <x:v>IT &amp; digital</x:v>
      </x:c>
      <x:c r="K7481" s="2" t="str">
        <x:v>PARTNER-M056</x:v>
      </x:c>
    </x:row>
    <x:row r="7482" ht="46" customHeight="1">
      <x:c r="A7482" s="2" t="str">
        <x:v>TEN-D570183BA689</x:v>
      </x:c>
      <x:c r="B7482" s="12" t="str">
        <x:v>Accelalpha</x:v>
      </x:c>
      <x:c r="C7482" s="12" t="str">
        <x:v>CORP-0475</x:v>
      </x:c>
      <x:c r="D7482" s="12" t="str">
        <x:v>Bengaluru</x:v>
      </x:c>
      <x:c r="E7482" s="12" t="str">
        <x:v>Brigade IRV</x:v>
      </x:c>
      <x:c r="F7482" s="12" t="str">
        <x:v>55 inch</x:v>
      </x:c>
      <x:c r="G7482" s="20" t="n">
        <x:v>1</x:v>
      </x:c>
      <x:c r="H7482" s="12" t="str">
        <x:v>Campus/portfolio roster; individual building occupancy unverified</x:v>
      </x:c>
      <x:c r="I7482" s="12" t="str">
        <x:v>Mixed business audience</x:v>
      </x:c>
      <x:c r="J7482" s="12" t="str">
        <x:v>IT &amp; digital</x:v>
      </x:c>
      <x:c r="K7482" s="2" t="str">
        <x:v>PARTNER-M056</x:v>
      </x:c>
    </x:row>
    <x:row r="7483" ht="46" customHeight="1">
      <x:c r="A7483" s="2" t="str">
        <x:v>TEN-DF6860ED534A</x:v>
      </x:c>
      <x:c r="B7483" s="12" t="str">
        <x:v>SmartGig Technologies Private Limited</x:v>
      </x:c>
      <x:c r="C7483" s="12" t="str">
        <x:v>CORP-0475</x:v>
      </x:c>
      <x:c r="D7483" s="12" t="str">
        <x:v>Bengaluru</x:v>
      </x:c>
      <x:c r="E7483" s="12" t="str">
        <x:v>Brigade IRV</x:v>
      </x:c>
      <x:c r="F7483" s="12" t="str">
        <x:v>55 inch</x:v>
      </x:c>
      <x:c r="G7483" s="20" t="n">
        <x:v>1</x:v>
      </x:c>
      <x:c r="H7483" s="12" t="str">
        <x:v>Campus/portfolio roster; individual building occupancy unverified</x:v>
      </x:c>
      <x:c r="I7483" s="12" t="str">
        <x:v>Mixed business audience</x:v>
      </x:c>
      <x:c r="J7483" s="12" t="str">
        <x:v>Unresolved</x:v>
      </x:c>
      <x:c r="K7483" s="2" t="str">
        <x:v>PARTNER-M056</x:v>
      </x:c>
    </x:row>
    <x:row r="7484" ht="46" customHeight="1">
      <x:c r="A7484" s="2" t="str">
        <x:v>TEN-F13E5E75303C</x:v>
      </x:c>
      <x:c r="B7484" s="12" t="str">
        <x:v>Analyttica Datalab Pvt. Ltd</x:v>
      </x:c>
      <x:c r="C7484" s="12" t="str">
        <x:v>CORP-0475</x:v>
      </x:c>
      <x:c r="D7484" s="12" t="str">
        <x:v>Bengaluru</x:v>
      </x:c>
      <x:c r="E7484" s="12" t="str">
        <x:v>Brigade IRV</x:v>
      </x:c>
      <x:c r="F7484" s="12" t="str">
        <x:v>55 inch</x:v>
      </x:c>
      <x:c r="G7484" s="20" t="n">
        <x:v>1</x:v>
      </x:c>
      <x:c r="H7484" s="12" t="str">
        <x:v>Campus/portfolio roster; individual building occupancy unverified</x:v>
      </x:c>
      <x:c r="I7484" s="12" t="str">
        <x:v>Small-scale prospects</x:v>
      </x:c>
      <x:c r="J7484" s="12" t="str">
        <x:v>IT &amp; digital</x:v>
      </x:c>
      <x:c r="K7484" s="2" t="str">
        <x:v>PARTNER-M056</x:v>
      </x:c>
    </x:row>
    <x:row r="7485" ht="46" customHeight="1">
      <x:c r="A7485" s="2" t="str">
        <x:v>TEN-F3CC7F1E38DB</x:v>
      </x:c>
      <x:c r="B7485" s="12" t="str">
        <x:v>ARTOIES INTERNATIONAL PRIVATE LIMITED</x:v>
      </x:c>
      <x:c r="C7485" s="12" t="str">
        <x:v>CORP-0475</x:v>
      </x:c>
      <x:c r="D7485" s="12" t="str">
        <x:v>Bengaluru</x:v>
      </x:c>
      <x:c r="E7485" s="12" t="str">
        <x:v>Brigade IRV</x:v>
      </x:c>
      <x:c r="F7485" s="12" t="str">
        <x:v>55 inch</x:v>
      </x:c>
      <x:c r="G7485" s="20" t="n">
        <x:v>1</x:v>
      </x:c>
      <x:c r="H7485" s="12" t="str">
        <x:v>Campus/portfolio roster; individual building occupancy unverified</x:v>
      </x:c>
      <x:c r="I7485" s="12" t="str">
        <x:v>Mixed business audience</x:v>
      </x:c>
      <x:c r="J7485" s="12" t="str">
        <x:v>Unresolved</x:v>
      </x:c>
      <x:c r="K7485" s="2" t="str">
        <x:v>PARTNER-M056</x:v>
      </x:c>
    </x:row>
    <x:row r="7486" ht="46" customHeight="1">
      <x:c r="A7486" s="2" t="str">
        <x:v>TEN-0B63EF31808A</x:v>
      </x:c>
      <x:c r="B7486" s="12" t="str">
        <x:v>Marriott Revenue Management Remote Solutions</x:v>
      </x:c>
      <x:c r="C7486" s="12" t="str">
        <x:v>CORP-0476</x:v>
      </x:c>
      <x:c r="D7486" s="12" t="str">
        <x:v>Bengaluru</x:v>
      </x:c>
      <x:c r="E7486" s="12" t="str">
        <x:v>Brigade IRV</x:v>
      </x:c>
      <x:c r="F7486" s="12" t="str">
        <x:v>55 inch</x:v>
      </x:c>
      <x:c r="G7486" s="20" t="n">
        <x:v>1</x:v>
      </x:c>
      <x:c r="H7486" s="12" t="str">
        <x:v>Campus/portfolio roster; individual building occupancy unverified</x:v>
      </x:c>
      <x:c r="I7486" s="12" t="str">
        <x:v>Mixed business audience</x:v>
      </x:c>
      <x:c r="J7486" s="12" t="str">
        <x:v>Trade, consumer &amp; logistics</x:v>
      </x:c>
      <x:c r="K7486" s="2" t="str">
        <x:v>PARTNER-M056</x:v>
      </x:c>
    </x:row>
    <x:row r="7487" ht="46" customHeight="1">
      <x:c r="A7487" s="2" t="str">
        <x:v>TEN-3FB64171B8B2</x:v>
      </x:c>
      <x:c r="B7487" s="12" t="str">
        <x:v>Y axis</x:v>
      </x:c>
      <x:c r="C7487" s="12" t="str">
        <x:v>CORP-0476</x:v>
      </x:c>
      <x:c r="D7487" s="12" t="str">
        <x:v>Bengaluru</x:v>
      </x:c>
      <x:c r="E7487" s="12" t="str">
        <x:v>Brigade IRV</x:v>
      </x:c>
      <x:c r="F7487" s="12" t="str">
        <x:v>55 inch</x:v>
      </x:c>
      <x:c r="G7487" s="20" t="n">
        <x:v>1</x:v>
      </x:c>
      <x:c r="H7487" s="12" t="str">
        <x:v>Campus/portfolio roster; individual building occupancy unverified</x:v>
      </x:c>
      <x:c r="I7487" s="12" t="str">
        <x:v>Mixed business audience</x:v>
      </x:c>
      <x:c r="J7487" s="12" t="str">
        <x:v>Professional services</x:v>
      </x:c>
      <x:c r="K7487" s="2" t="str">
        <x:v>PARTNER-M056</x:v>
      </x:c>
    </x:row>
    <x:row r="7488" ht="46" customHeight="1">
      <x:c r="A7488" s="2" t="str">
        <x:v>TEN-4031B527A5B1</x:v>
      </x:c>
      <x:c r="B7488" s="12" t="str">
        <x:v>Factonity Systems Pvt Ltd</x:v>
      </x:c>
      <x:c r="C7488" s="12" t="str">
        <x:v>CORP-0476</x:v>
      </x:c>
      <x:c r="D7488" s="12" t="str">
        <x:v>Bengaluru</x:v>
      </x:c>
      <x:c r="E7488" s="12" t="str">
        <x:v>Brigade IRV</x:v>
      </x:c>
      <x:c r="F7488" s="12" t="str">
        <x:v>55 inch</x:v>
      </x:c>
      <x:c r="G7488" s="20" t="n">
        <x:v>1</x:v>
      </x:c>
      <x:c r="H7488" s="12" t="str">
        <x:v>Campus/portfolio roster; individual building occupancy unverified</x:v>
      </x:c>
      <x:c r="I7488" s="12" t="str">
        <x:v>Mixed business audience</x:v>
      </x:c>
      <x:c r="J7488" s="12" t="str">
        <x:v>Unresolved</x:v>
      </x:c>
      <x:c r="K7488" s="2" t="str">
        <x:v>PARTNER-M056</x:v>
      </x:c>
    </x:row>
    <x:row r="7489" ht="46" customHeight="1">
      <x:c r="A7489" s="2" t="str">
        <x:v>TEN-454101807C26</x:v>
      </x:c>
      <x:c r="B7489" s="12" t="str">
        <x:v>SROTRA TECHNOLOGIES PVT LTD</x:v>
      </x:c>
      <x:c r="C7489" s="12" t="str">
        <x:v>CORP-0476</x:v>
      </x:c>
      <x:c r="D7489" s="12" t="str">
        <x:v>Bengaluru</x:v>
      </x:c>
      <x:c r="E7489" s="12" t="str">
        <x:v>Brigade IRV</x:v>
      </x:c>
      <x:c r="F7489" s="12" t="str">
        <x:v>55 inch</x:v>
      </x:c>
      <x:c r="G7489" s="20" t="n">
        <x:v>1</x:v>
      </x:c>
      <x:c r="H7489" s="12" t="str">
        <x:v>Campus/portfolio roster; individual building occupancy unverified</x:v>
      </x:c>
      <x:c r="I7489" s="12" t="str">
        <x:v>Mixed business audience</x:v>
      </x:c>
      <x:c r="J7489" s="12" t="str">
        <x:v>Unresolved</x:v>
      </x:c>
      <x:c r="K7489" s="2" t="str">
        <x:v>PARTNER-M056</x:v>
      </x:c>
    </x:row>
    <x:row r="7490" ht="46" customHeight="1">
      <x:c r="A7490" s="2" t="str">
        <x:v>TEN-555A2C40B555</x:v>
      </x:c>
      <x:c r="B7490" s="12" t="str">
        <x:v>Aimtron Technologies</x:v>
      </x:c>
      <x:c r="C7490" s="12" t="str">
        <x:v>CORP-0476</x:v>
      </x:c>
      <x:c r="D7490" s="12" t="str">
        <x:v>Bengaluru</x:v>
      </x:c>
      <x:c r="E7490" s="12" t="str">
        <x:v>Brigade IRV</x:v>
      </x:c>
      <x:c r="F7490" s="12" t="str">
        <x:v>55 inch</x:v>
      </x:c>
      <x:c r="G7490" s="20" t="n">
        <x:v>1</x:v>
      </x:c>
      <x:c r="H7490" s="12" t="str">
        <x:v>Campus/portfolio roster; individual building occupancy unverified</x:v>
      </x:c>
      <x:c r="I7490" s="12" t="str">
        <x:v>Medium-scale prospects</x:v>
      </x:c>
      <x:c r="J7490" s="12" t="str">
        <x:v>Engineering &amp; manufacturing</x:v>
      </x:c>
      <x:c r="K7490" s="2" t="str">
        <x:v>PARTNER-M056</x:v>
      </x:c>
    </x:row>
    <x:row r="7491" ht="46" customHeight="1">
      <x:c r="A7491" s="2" t="str">
        <x:v>TEN-6EC3A7285B02</x:v>
      </x:c>
      <x:c r="B7491" s="12" t="str">
        <x:v>Electrono Solutions Private Limited</x:v>
      </x:c>
      <x:c r="C7491" s="12" t="str">
        <x:v>CORP-0476</x:v>
      </x:c>
      <x:c r="D7491" s="12" t="str">
        <x:v>Bengaluru</x:v>
      </x:c>
      <x:c r="E7491" s="12" t="str">
        <x:v>Brigade IRV</x:v>
      </x:c>
      <x:c r="F7491" s="12" t="str">
        <x:v>55 inch</x:v>
      </x:c>
      <x:c r="G7491" s="20" t="n">
        <x:v>1</x:v>
      </x:c>
      <x:c r="H7491" s="12" t="str">
        <x:v>Campus/portfolio roster; individual building occupancy unverified</x:v>
      </x:c>
      <x:c r="I7491" s="12" t="str">
        <x:v>Medium-scale prospects</x:v>
      </x:c>
      <x:c r="J7491" s="12" t="str">
        <x:v>Engineering &amp; manufacturing</x:v>
      </x:c>
      <x:c r="K7491" s="2" t="str">
        <x:v>PARTNER-M056</x:v>
      </x:c>
    </x:row>
    <x:row r="7492" ht="46" customHeight="1">
      <x:c r="A7492" s="2" t="str">
        <x:v>TEN-6F7359803DF1</x:v>
      </x:c>
      <x:c r="B7492" s="12" t="str">
        <x:v>ATCS</x:v>
      </x:c>
      <x:c r="C7492" s="12" t="str">
        <x:v>CORP-0476</x:v>
      </x:c>
      <x:c r="D7492" s="12" t="str">
        <x:v>Bengaluru</x:v>
      </x:c>
      <x:c r="E7492" s="12" t="str">
        <x:v>Brigade IRV</x:v>
      </x:c>
      <x:c r="F7492" s="12" t="str">
        <x:v>55 inch</x:v>
      </x:c>
      <x:c r="G7492" s="20" t="n">
        <x:v>1</x:v>
      </x:c>
      <x:c r="H7492" s="12" t="str">
        <x:v>Campus/portfolio roster; individual building occupancy unverified</x:v>
      </x:c>
      <x:c r="I7492" s="12" t="str">
        <x:v>Small-scale prospects</x:v>
      </x:c>
      <x:c r="J7492" s="12" t="str">
        <x:v>IT &amp; digital</x:v>
      </x:c>
      <x:c r="K7492" s="2" t="str">
        <x:v>PARTNER-M056</x:v>
      </x:c>
    </x:row>
    <x:row r="7493" ht="46" customHeight="1">
      <x:c r="A7493" s="2" t="str">
        <x:v>TEN-6FC71948C40F</x:v>
      </x:c>
      <x:c r="B7493" s="12" t="str">
        <x:v>Regus</x:v>
      </x:c>
      <x:c r="C7493" s="12" t="str">
        <x:v>CORP-0476</x:v>
      </x:c>
      <x:c r="D7493" s="12" t="str">
        <x:v>Bengaluru</x:v>
      </x:c>
      <x:c r="E7493" s="12" t="str">
        <x:v>Brigade IRV</x:v>
      </x:c>
      <x:c r="F7493" s="12" t="str">
        <x:v>55 inch</x:v>
      </x:c>
      <x:c r="G7493" s="20" t="n">
        <x:v>1</x:v>
      </x:c>
      <x:c r="H7493" s="12" t="str">
        <x:v>Campus/portfolio roster; individual building occupancy unverified</x:v>
      </x:c>
      <x:c r="I7493" s="12" t="str">
        <x:v>Mixed business audience</x:v>
      </x:c>
      <x:c r="J7493" s="12" t="str">
        <x:v>Workspace &amp; property operations</x:v>
      </x:c>
      <x:c r="K7493" s="2" t="str">
        <x:v>PARTNER-M056</x:v>
      </x:c>
    </x:row>
    <x:row r="7494" ht="46" customHeight="1">
      <x:c r="A7494" s="2" t="str">
        <x:v>TEN-81D3880C31B1</x:v>
      </x:c>
      <x:c r="B7494" s="12" t="str">
        <x:v>Nisent Global Solutions Pvt. Ltd</x:v>
      </x:c>
      <x:c r="C7494" s="12" t="str">
        <x:v>CORP-0476</x:v>
      </x:c>
      <x:c r="D7494" s="12" t="str">
        <x:v>Bengaluru</x:v>
      </x:c>
      <x:c r="E7494" s="12" t="str">
        <x:v>Brigade IRV</x:v>
      </x:c>
      <x:c r="F7494" s="12" t="str">
        <x:v>55 inch</x:v>
      </x:c>
      <x:c r="G7494" s="20" t="n">
        <x:v>1</x:v>
      </x:c>
      <x:c r="H7494" s="12" t="str">
        <x:v>Campus/portfolio roster; individual building occupancy unverified</x:v>
      </x:c>
      <x:c r="I7494" s="12" t="str">
        <x:v>Mixed business audience</x:v>
      </x:c>
      <x:c r="J7494" s="12" t="str">
        <x:v>Unresolved</x:v>
      </x:c>
      <x:c r="K7494" s="2" t="str">
        <x:v>PARTNER-M056</x:v>
      </x:c>
    </x:row>
    <x:row r="7495" ht="46" customHeight="1">
      <x:c r="A7495" s="2" t="str">
        <x:v>TEN-8811AC206AD4</x:v>
      </x:c>
      <x:c r="B7495" s="12" t="str">
        <x:v>Chainalytics</x:v>
      </x:c>
      <x:c r="C7495" s="12" t="str">
        <x:v>CORP-0476</x:v>
      </x:c>
      <x:c r="D7495" s="12" t="str">
        <x:v>Bengaluru</x:v>
      </x:c>
      <x:c r="E7495" s="12" t="str">
        <x:v>Brigade IRV</x:v>
      </x:c>
      <x:c r="F7495" s="12" t="str">
        <x:v>55 inch</x:v>
      </x:c>
      <x:c r="G7495" s="20" t="n">
        <x:v>1</x:v>
      </x:c>
      <x:c r="H7495" s="12" t="str">
        <x:v>Campus/portfolio roster; individual building occupancy unverified</x:v>
      </x:c>
      <x:c r="I7495" s="12" t="str">
        <x:v>Small-scale prospects</x:v>
      </x:c>
      <x:c r="J7495" s="12" t="str">
        <x:v>Professional services</x:v>
      </x:c>
      <x:c r="K7495" s="2" t="str">
        <x:v>PARTNER-M056</x:v>
      </x:c>
    </x:row>
    <x:row r="7496" ht="46" customHeight="1">
      <x:c r="A7496" s="2" t="str">
        <x:v>TEN-A761DC481A8A</x:v>
      </x:c>
      <x:c r="B7496" s="12" t="str">
        <x:v>Vassco Furniture &amp; Home Decors Private Limited</x:v>
      </x:c>
      <x:c r="C7496" s="12" t="str">
        <x:v>CORP-0476</x:v>
      </x:c>
      <x:c r="D7496" s="12" t="str">
        <x:v>Bengaluru</x:v>
      </x:c>
      <x:c r="E7496" s="12" t="str">
        <x:v>Brigade IRV</x:v>
      </x:c>
      <x:c r="F7496" s="12" t="str">
        <x:v>55 inch</x:v>
      </x:c>
      <x:c r="G7496" s="20" t="n">
        <x:v>1</x:v>
      </x:c>
      <x:c r="H7496" s="12" t="str">
        <x:v>Campus/portfolio roster; individual building occupancy unverified</x:v>
      </x:c>
      <x:c r="I7496" s="12" t="str">
        <x:v>Small-scale prospects</x:v>
      </x:c>
      <x:c r="J7496" s="12" t="str">
        <x:v>Trade, consumer &amp; logistics</x:v>
      </x:c>
      <x:c r="K7496" s="2" t="str">
        <x:v>PARTNER-M056</x:v>
      </x:c>
    </x:row>
    <x:row r="7497" ht="46" customHeight="1">
      <x:c r="A7497" s="2" t="str">
        <x:v>TEN-B56496626EEE</x:v>
      </x:c>
      <x:c r="B7497" s="12" t="str">
        <x:v>Mobile Programming India Pvt. Ltd</x:v>
      </x:c>
      <x:c r="C7497" s="12" t="str">
        <x:v>CORP-0476</x:v>
      </x:c>
      <x:c r="D7497" s="12" t="str">
        <x:v>Bengaluru</x:v>
      </x:c>
      <x:c r="E7497" s="12" t="str">
        <x:v>Brigade IRV</x:v>
      </x:c>
      <x:c r="F7497" s="12" t="str">
        <x:v>55 inch</x:v>
      </x:c>
      <x:c r="G7497" s="20" t="n">
        <x:v>1</x:v>
      </x:c>
      <x:c r="H7497" s="12" t="str">
        <x:v>Campus/portfolio roster; individual building occupancy unverified</x:v>
      </x:c>
      <x:c r="I7497" s="12" t="str">
        <x:v>Small-scale prospects</x:v>
      </x:c>
      <x:c r="J7497" s="12" t="str">
        <x:v>IT &amp; digital</x:v>
      </x:c>
      <x:c r="K7497" s="2" t="str">
        <x:v>PARTNER-M056</x:v>
      </x:c>
    </x:row>
    <x:row r="7498" ht="46" customHeight="1">
      <x:c r="A7498" s="2" t="str">
        <x:v>TEN-BBD4EEA83943</x:v>
      </x:c>
      <x:c r="B7498" s="12" t="str">
        <x:v>Sunovaa Tech Pvt. Ltd</x:v>
      </x:c>
      <x:c r="C7498" s="12" t="str">
        <x:v>CORP-0476</x:v>
      </x:c>
      <x:c r="D7498" s="12" t="str">
        <x:v>Bengaluru</x:v>
      </x:c>
      <x:c r="E7498" s="12" t="str">
        <x:v>Brigade IRV</x:v>
      </x:c>
      <x:c r="F7498" s="12" t="str">
        <x:v>55 inch</x:v>
      </x:c>
      <x:c r="G7498" s="20" t="n">
        <x:v>1</x:v>
      </x:c>
      <x:c r="H7498" s="12" t="str">
        <x:v>Campus/portfolio roster; individual building occupancy unverified</x:v>
      </x:c>
      <x:c r="I7498" s="12" t="str">
        <x:v>Small-scale prospects</x:v>
      </x:c>
      <x:c r="J7498" s="12" t="str">
        <x:v>IT &amp; digital</x:v>
      </x:c>
      <x:c r="K7498" s="2" t="str">
        <x:v>PARTNER-M056</x:v>
      </x:c>
    </x:row>
    <x:row r="7499" ht="46" customHeight="1">
      <x:c r="A7499" s="2" t="str">
        <x:v>TEN-BBD5210C1E57</x:v>
      </x:c>
      <x:c r="B7499" s="12" t="str">
        <x:v>WorkX Coworking Spaces</x:v>
      </x:c>
      <x:c r="C7499" s="12" t="str">
        <x:v>CORP-0476</x:v>
      </x:c>
      <x:c r="D7499" s="12" t="str">
        <x:v>Bengaluru</x:v>
      </x:c>
      <x:c r="E7499" s="12" t="str">
        <x:v>Brigade IRV</x:v>
      </x:c>
      <x:c r="F7499" s="12" t="str">
        <x:v>55 inch</x:v>
      </x:c>
      <x:c r="G7499" s="20" t="n">
        <x:v>1</x:v>
      </x:c>
      <x:c r="H7499" s="12" t="str">
        <x:v>Campus/portfolio roster; individual building occupancy unverified</x:v>
      </x:c>
      <x:c r="I7499" s="12" t="str">
        <x:v>Mixed business audience</x:v>
      </x:c>
      <x:c r="J7499" s="12" t="str">
        <x:v>Workspace &amp; property operations</x:v>
      </x:c>
      <x:c r="K7499" s="2" t="str">
        <x:v>PARTNER-M056</x:v>
      </x:c>
    </x:row>
    <x:row r="7500" ht="46" customHeight="1">
      <x:c r="A7500" s="2" t="str">
        <x:v>TEN-C4FDA280D307</x:v>
      </x:c>
      <x:c r="B7500" s="12" t="str">
        <x:v>Cronbay Technologies</x:v>
      </x:c>
      <x:c r="C7500" s="12" t="str">
        <x:v>CORP-0476</x:v>
      </x:c>
      <x:c r="D7500" s="12" t="str">
        <x:v>Bengaluru</x:v>
      </x:c>
      <x:c r="E7500" s="12" t="str">
        <x:v>Brigade IRV</x:v>
      </x:c>
      <x:c r="F7500" s="12" t="str">
        <x:v>55 inch</x:v>
      </x:c>
      <x:c r="G7500" s="20" t="n">
        <x:v>1</x:v>
      </x:c>
      <x:c r="H7500" s="12" t="str">
        <x:v>Campus/portfolio roster; individual building occupancy unverified</x:v>
      </x:c>
      <x:c r="I7500" s="12" t="str">
        <x:v>Mixed business audience</x:v>
      </x:c>
      <x:c r="J7500" s="12" t="str">
        <x:v>Unresolved</x:v>
      </x:c>
      <x:c r="K7500" s="2" t="str">
        <x:v>PARTNER-M056</x:v>
      </x:c>
    </x:row>
    <x:row r="7501" ht="46" customHeight="1">
      <x:c r="A7501" s="2" t="str">
        <x:v>TEN-D4A1061B292B</x:v>
      </x:c>
      <x:c r="B7501" s="12" t="str">
        <x:v>UrbanPiper</x:v>
      </x:c>
      <x:c r="C7501" s="12" t="str">
        <x:v>CORP-0476</x:v>
      </x:c>
      <x:c r="D7501" s="12" t="str">
        <x:v>Bengaluru</x:v>
      </x:c>
      <x:c r="E7501" s="12" t="str">
        <x:v>Brigade IRV</x:v>
      </x:c>
      <x:c r="F7501" s="12" t="str">
        <x:v>55 inch</x:v>
      </x:c>
      <x:c r="G7501" s="20" t="n">
        <x:v>1</x:v>
      </x:c>
      <x:c r="H7501" s="12" t="str">
        <x:v>Campus/portfolio roster; individual building occupancy unverified</x:v>
      </x:c>
      <x:c r="I7501" s="12" t="str">
        <x:v>Small-scale prospects</x:v>
      </x:c>
      <x:c r="J7501" s="12" t="str">
        <x:v>IT &amp; digital</x:v>
      </x:c>
      <x:c r="K7501" s="2" t="str">
        <x:v>PARTNER-M056</x:v>
      </x:c>
    </x:row>
    <x:row r="7502" ht="46" customHeight="1">
      <x:c r="A7502" s="2" t="str">
        <x:v>TEN-D570183BA689</x:v>
      </x:c>
      <x:c r="B7502" s="12" t="str">
        <x:v>Accelalpha</x:v>
      </x:c>
      <x:c r="C7502" s="12" t="str">
        <x:v>CORP-0476</x:v>
      </x:c>
      <x:c r="D7502" s="12" t="str">
        <x:v>Bengaluru</x:v>
      </x:c>
      <x:c r="E7502" s="12" t="str">
        <x:v>Brigade IRV</x:v>
      </x:c>
      <x:c r="F7502" s="12" t="str">
        <x:v>55 inch</x:v>
      </x:c>
      <x:c r="G7502" s="20" t="n">
        <x:v>1</x:v>
      </x:c>
      <x:c r="H7502" s="12" t="str">
        <x:v>Campus/portfolio roster; individual building occupancy unverified</x:v>
      </x:c>
      <x:c r="I7502" s="12" t="str">
        <x:v>Mixed business audience</x:v>
      </x:c>
      <x:c r="J7502" s="12" t="str">
        <x:v>IT &amp; digital</x:v>
      </x:c>
      <x:c r="K7502" s="2" t="str">
        <x:v>PARTNER-M056</x:v>
      </x:c>
    </x:row>
    <x:row r="7503" ht="46" customHeight="1">
      <x:c r="A7503" s="2" t="str">
        <x:v>TEN-DF6860ED534A</x:v>
      </x:c>
      <x:c r="B7503" s="12" t="str">
        <x:v>SmartGig Technologies Private Limited</x:v>
      </x:c>
      <x:c r="C7503" s="12" t="str">
        <x:v>CORP-0476</x:v>
      </x:c>
      <x:c r="D7503" s="12" t="str">
        <x:v>Bengaluru</x:v>
      </x:c>
      <x:c r="E7503" s="12" t="str">
        <x:v>Brigade IRV</x:v>
      </x:c>
      <x:c r="F7503" s="12" t="str">
        <x:v>55 inch</x:v>
      </x:c>
      <x:c r="G7503" s="20" t="n">
        <x:v>1</x:v>
      </x:c>
      <x:c r="H7503" s="12" t="str">
        <x:v>Campus/portfolio roster; individual building occupancy unverified</x:v>
      </x:c>
      <x:c r="I7503" s="12" t="str">
        <x:v>Mixed business audience</x:v>
      </x:c>
      <x:c r="J7503" s="12" t="str">
        <x:v>Unresolved</x:v>
      </x:c>
      <x:c r="K7503" s="2" t="str">
        <x:v>PARTNER-M056</x:v>
      </x:c>
    </x:row>
    <x:row r="7504" ht="46" customHeight="1">
      <x:c r="A7504" s="2" t="str">
        <x:v>TEN-F13E5E75303C</x:v>
      </x:c>
      <x:c r="B7504" s="12" t="str">
        <x:v>Analyttica Datalab Pvt. Ltd</x:v>
      </x:c>
      <x:c r="C7504" s="12" t="str">
        <x:v>CORP-0476</x:v>
      </x:c>
      <x:c r="D7504" s="12" t="str">
        <x:v>Bengaluru</x:v>
      </x:c>
      <x:c r="E7504" s="12" t="str">
        <x:v>Brigade IRV</x:v>
      </x:c>
      <x:c r="F7504" s="12" t="str">
        <x:v>55 inch</x:v>
      </x:c>
      <x:c r="G7504" s="20" t="n">
        <x:v>1</x:v>
      </x:c>
      <x:c r="H7504" s="12" t="str">
        <x:v>Campus/portfolio roster; individual building occupancy unverified</x:v>
      </x:c>
      <x:c r="I7504" s="12" t="str">
        <x:v>Small-scale prospects</x:v>
      </x:c>
      <x:c r="J7504" s="12" t="str">
        <x:v>IT &amp; digital</x:v>
      </x:c>
      <x:c r="K7504" s="2" t="str">
        <x:v>PARTNER-M056</x:v>
      </x:c>
    </x:row>
    <x:row r="7505" ht="46" customHeight="1">
      <x:c r="A7505" s="2" t="str">
        <x:v>TEN-F3CC7F1E38DB</x:v>
      </x:c>
      <x:c r="B7505" s="12" t="str">
        <x:v>ARTOIES INTERNATIONAL PRIVATE LIMITED</x:v>
      </x:c>
      <x:c r="C7505" s="12" t="str">
        <x:v>CORP-0476</x:v>
      </x:c>
      <x:c r="D7505" s="12" t="str">
        <x:v>Bengaluru</x:v>
      </x:c>
      <x:c r="E7505" s="12" t="str">
        <x:v>Brigade IRV</x:v>
      </x:c>
      <x:c r="F7505" s="12" t="str">
        <x:v>55 inch</x:v>
      </x:c>
      <x:c r="G7505" s="20" t="n">
        <x:v>1</x:v>
      </x:c>
      <x:c r="H7505" s="12" t="str">
        <x:v>Campus/portfolio roster; individual building occupancy unverified</x:v>
      </x:c>
      <x:c r="I7505" s="12" t="str">
        <x:v>Mixed business audience</x:v>
      </x:c>
      <x:c r="J7505" s="12" t="str">
        <x:v>Unresolved</x:v>
      </x:c>
      <x:c r="K7505" s="2" t="str">
        <x:v>PARTNER-M056</x:v>
      </x:c>
    </x:row>
    <x:row r="7506" ht="46" customHeight="1">
      <x:c r="A7506" s="2" t="str">
        <x:v>TEN-0B63EF31808A</x:v>
      </x:c>
      <x:c r="B7506" s="12" t="str">
        <x:v>Marriott Revenue Management Remote Solutions</x:v>
      </x:c>
      <x:c r="C7506" s="12" t="str">
        <x:v>CORP-0477</x:v>
      </x:c>
      <x:c r="D7506" s="12" t="str">
        <x:v>Bengaluru</x:v>
      </x:c>
      <x:c r="E7506" s="12" t="str">
        <x:v>Brigade IRV</x:v>
      </x:c>
      <x:c r="F7506" s="12" t="str">
        <x:v>55 inch</x:v>
      </x:c>
      <x:c r="G7506" s="20" t="n">
        <x:v>1</x:v>
      </x:c>
      <x:c r="H7506" s="12" t="str">
        <x:v>Campus/portfolio roster; individual building occupancy unverified</x:v>
      </x:c>
      <x:c r="I7506" s="12" t="str">
        <x:v>Mixed business audience</x:v>
      </x:c>
      <x:c r="J7506" s="12" t="str">
        <x:v>Trade, consumer &amp; logistics</x:v>
      </x:c>
      <x:c r="K7506" s="2" t="str">
        <x:v>PARTNER-M056</x:v>
      </x:c>
    </x:row>
    <x:row r="7507" ht="46" customHeight="1">
      <x:c r="A7507" s="2" t="str">
        <x:v>TEN-3FB64171B8B2</x:v>
      </x:c>
      <x:c r="B7507" s="12" t="str">
        <x:v>Y axis</x:v>
      </x:c>
      <x:c r="C7507" s="12" t="str">
        <x:v>CORP-0477</x:v>
      </x:c>
      <x:c r="D7507" s="12" t="str">
        <x:v>Bengaluru</x:v>
      </x:c>
      <x:c r="E7507" s="12" t="str">
        <x:v>Brigade IRV</x:v>
      </x:c>
      <x:c r="F7507" s="12" t="str">
        <x:v>55 inch</x:v>
      </x:c>
      <x:c r="G7507" s="20" t="n">
        <x:v>1</x:v>
      </x:c>
      <x:c r="H7507" s="12" t="str">
        <x:v>Campus/portfolio roster; individual building occupancy unverified</x:v>
      </x:c>
      <x:c r="I7507" s="12" t="str">
        <x:v>Mixed business audience</x:v>
      </x:c>
      <x:c r="J7507" s="12" t="str">
        <x:v>Professional services</x:v>
      </x:c>
      <x:c r="K7507" s="2" t="str">
        <x:v>PARTNER-M056</x:v>
      </x:c>
    </x:row>
    <x:row r="7508" ht="46" customHeight="1">
      <x:c r="A7508" s="2" t="str">
        <x:v>TEN-4031B527A5B1</x:v>
      </x:c>
      <x:c r="B7508" s="12" t="str">
        <x:v>Factonity Systems Pvt Ltd</x:v>
      </x:c>
      <x:c r="C7508" s="12" t="str">
        <x:v>CORP-0477</x:v>
      </x:c>
      <x:c r="D7508" s="12" t="str">
        <x:v>Bengaluru</x:v>
      </x:c>
      <x:c r="E7508" s="12" t="str">
        <x:v>Brigade IRV</x:v>
      </x:c>
      <x:c r="F7508" s="12" t="str">
        <x:v>55 inch</x:v>
      </x:c>
      <x:c r="G7508" s="20" t="n">
        <x:v>1</x:v>
      </x:c>
      <x:c r="H7508" s="12" t="str">
        <x:v>Campus/portfolio roster; individual building occupancy unverified</x:v>
      </x:c>
      <x:c r="I7508" s="12" t="str">
        <x:v>Mixed business audience</x:v>
      </x:c>
      <x:c r="J7508" s="12" t="str">
        <x:v>Unresolved</x:v>
      </x:c>
      <x:c r="K7508" s="2" t="str">
        <x:v>PARTNER-M056</x:v>
      </x:c>
    </x:row>
    <x:row r="7509" ht="46" customHeight="1">
      <x:c r="A7509" s="2" t="str">
        <x:v>TEN-454101807C26</x:v>
      </x:c>
      <x:c r="B7509" s="12" t="str">
        <x:v>SROTRA TECHNOLOGIES PVT LTD</x:v>
      </x:c>
      <x:c r="C7509" s="12" t="str">
        <x:v>CORP-0477</x:v>
      </x:c>
      <x:c r="D7509" s="12" t="str">
        <x:v>Bengaluru</x:v>
      </x:c>
      <x:c r="E7509" s="12" t="str">
        <x:v>Brigade IRV</x:v>
      </x:c>
      <x:c r="F7509" s="12" t="str">
        <x:v>55 inch</x:v>
      </x:c>
      <x:c r="G7509" s="20" t="n">
        <x:v>1</x:v>
      </x:c>
      <x:c r="H7509" s="12" t="str">
        <x:v>Campus/portfolio roster; individual building occupancy unverified</x:v>
      </x:c>
      <x:c r="I7509" s="12" t="str">
        <x:v>Mixed business audience</x:v>
      </x:c>
      <x:c r="J7509" s="12" t="str">
        <x:v>Unresolved</x:v>
      </x:c>
      <x:c r="K7509" s="2" t="str">
        <x:v>PARTNER-M056</x:v>
      </x:c>
    </x:row>
    <x:row r="7510" ht="46" customHeight="1">
      <x:c r="A7510" s="2" t="str">
        <x:v>TEN-555A2C40B555</x:v>
      </x:c>
      <x:c r="B7510" s="12" t="str">
        <x:v>Aimtron Technologies</x:v>
      </x:c>
      <x:c r="C7510" s="12" t="str">
        <x:v>CORP-0477</x:v>
      </x:c>
      <x:c r="D7510" s="12" t="str">
        <x:v>Bengaluru</x:v>
      </x:c>
      <x:c r="E7510" s="12" t="str">
        <x:v>Brigade IRV</x:v>
      </x:c>
      <x:c r="F7510" s="12" t="str">
        <x:v>55 inch</x:v>
      </x:c>
      <x:c r="G7510" s="20" t="n">
        <x:v>1</x:v>
      </x:c>
      <x:c r="H7510" s="12" t="str">
        <x:v>Campus/portfolio roster; individual building occupancy unverified</x:v>
      </x:c>
      <x:c r="I7510" s="12" t="str">
        <x:v>Medium-scale prospects</x:v>
      </x:c>
      <x:c r="J7510" s="12" t="str">
        <x:v>Engineering &amp; manufacturing</x:v>
      </x:c>
      <x:c r="K7510" s="2" t="str">
        <x:v>PARTNER-M056</x:v>
      </x:c>
    </x:row>
    <x:row r="7511" ht="46" customHeight="1">
      <x:c r="A7511" s="2" t="str">
        <x:v>TEN-6EC3A7285B02</x:v>
      </x:c>
      <x:c r="B7511" s="12" t="str">
        <x:v>Electrono Solutions Private Limited</x:v>
      </x:c>
      <x:c r="C7511" s="12" t="str">
        <x:v>CORP-0477</x:v>
      </x:c>
      <x:c r="D7511" s="12" t="str">
        <x:v>Bengaluru</x:v>
      </x:c>
      <x:c r="E7511" s="12" t="str">
        <x:v>Brigade IRV</x:v>
      </x:c>
      <x:c r="F7511" s="12" t="str">
        <x:v>55 inch</x:v>
      </x:c>
      <x:c r="G7511" s="20" t="n">
        <x:v>1</x:v>
      </x:c>
      <x:c r="H7511" s="12" t="str">
        <x:v>Campus/portfolio roster; individual building occupancy unverified</x:v>
      </x:c>
      <x:c r="I7511" s="12" t="str">
        <x:v>Medium-scale prospects</x:v>
      </x:c>
      <x:c r="J7511" s="12" t="str">
        <x:v>Engineering &amp; manufacturing</x:v>
      </x:c>
      <x:c r="K7511" s="2" t="str">
        <x:v>PARTNER-M056</x:v>
      </x:c>
    </x:row>
    <x:row r="7512" ht="46" customHeight="1">
      <x:c r="A7512" s="2" t="str">
        <x:v>TEN-6F7359803DF1</x:v>
      </x:c>
      <x:c r="B7512" s="12" t="str">
        <x:v>ATCS</x:v>
      </x:c>
      <x:c r="C7512" s="12" t="str">
        <x:v>CORP-0477</x:v>
      </x:c>
      <x:c r="D7512" s="12" t="str">
        <x:v>Bengaluru</x:v>
      </x:c>
      <x:c r="E7512" s="12" t="str">
        <x:v>Brigade IRV</x:v>
      </x:c>
      <x:c r="F7512" s="12" t="str">
        <x:v>55 inch</x:v>
      </x:c>
      <x:c r="G7512" s="20" t="n">
        <x:v>1</x:v>
      </x:c>
      <x:c r="H7512" s="12" t="str">
        <x:v>Campus/portfolio roster; individual building occupancy unverified</x:v>
      </x:c>
      <x:c r="I7512" s="12" t="str">
        <x:v>Small-scale prospects</x:v>
      </x:c>
      <x:c r="J7512" s="12" t="str">
        <x:v>IT &amp; digital</x:v>
      </x:c>
      <x:c r="K7512" s="2" t="str">
        <x:v>PARTNER-M056</x:v>
      </x:c>
    </x:row>
    <x:row r="7513" ht="46" customHeight="1">
      <x:c r="A7513" s="2" t="str">
        <x:v>TEN-6FC71948C40F</x:v>
      </x:c>
      <x:c r="B7513" s="12" t="str">
        <x:v>Regus</x:v>
      </x:c>
      <x:c r="C7513" s="12" t="str">
        <x:v>CORP-0477</x:v>
      </x:c>
      <x:c r="D7513" s="12" t="str">
        <x:v>Bengaluru</x:v>
      </x:c>
      <x:c r="E7513" s="12" t="str">
        <x:v>Brigade IRV</x:v>
      </x:c>
      <x:c r="F7513" s="12" t="str">
        <x:v>55 inch</x:v>
      </x:c>
      <x:c r="G7513" s="20" t="n">
        <x:v>1</x:v>
      </x:c>
      <x:c r="H7513" s="12" t="str">
        <x:v>Campus/portfolio roster; individual building occupancy unverified</x:v>
      </x:c>
      <x:c r="I7513" s="12" t="str">
        <x:v>Mixed business audience</x:v>
      </x:c>
      <x:c r="J7513" s="12" t="str">
        <x:v>Workspace &amp; property operations</x:v>
      </x:c>
      <x:c r="K7513" s="2" t="str">
        <x:v>PARTNER-M056</x:v>
      </x:c>
    </x:row>
    <x:row r="7514" ht="46" customHeight="1">
      <x:c r="A7514" s="2" t="str">
        <x:v>TEN-81D3880C31B1</x:v>
      </x:c>
      <x:c r="B7514" s="12" t="str">
        <x:v>Nisent Global Solutions Pvt. Ltd</x:v>
      </x:c>
      <x:c r="C7514" s="12" t="str">
        <x:v>CORP-0477</x:v>
      </x:c>
      <x:c r="D7514" s="12" t="str">
        <x:v>Bengaluru</x:v>
      </x:c>
      <x:c r="E7514" s="12" t="str">
        <x:v>Brigade IRV</x:v>
      </x:c>
      <x:c r="F7514" s="12" t="str">
        <x:v>55 inch</x:v>
      </x:c>
      <x:c r="G7514" s="20" t="n">
        <x:v>1</x:v>
      </x:c>
      <x:c r="H7514" s="12" t="str">
        <x:v>Campus/portfolio roster; individual building occupancy unverified</x:v>
      </x:c>
      <x:c r="I7514" s="12" t="str">
        <x:v>Mixed business audience</x:v>
      </x:c>
      <x:c r="J7514" s="12" t="str">
        <x:v>Unresolved</x:v>
      </x:c>
      <x:c r="K7514" s="2" t="str">
        <x:v>PARTNER-M056</x:v>
      </x:c>
    </x:row>
    <x:row r="7515" ht="46" customHeight="1">
      <x:c r="A7515" s="2" t="str">
        <x:v>TEN-8811AC206AD4</x:v>
      </x:c>
      <x:c r="B7515" s="12" t="str">
        <x:v>Chainalytics</x:v>
      </x:c>
      <x:c r="C7515" s="12" t="str">
        <x:v>CORP-0477</x:v>
      </x:c>
      <x:c r="D7515" s="12" t="str">
        <x:v>Bengaluru</x:v>
      </x:c>
      <x:c r="E7515" s="12" t="str">
        <x:v>Brigade IRV</x:v>
      </x:c>
      <x:c r="F7515" s="12" t="str">
        <x:v>55 inch</x:v>
      </x:c>
      <x:c r="G7515" s="20" t="n">
        <x:v>1</x:v>
      </x:c>
      <x:c r="H7515" s="12" t="str">
        <x:v>Campus/portfolio roster; individual building occupancy unverified</x:v>
      </x:c>
      <x:c r="I7515" s="12" t="str">
        <x:v>Small-scale prospects</x:v>
      </x:c>
      <x:c r="J7515" s="12" t="str">
        <x:v>Professional services</x:v>
      </x:c>
      <x:c r="K7515" s="2" t="str">
        <x:v>PARTNER-M056</x:v>
      </x:c>
    </x:row>
    <x:row r="7516" ht="46" customHeight="1">
      <x:c r="A7516" s="2" t="str">
        <x:v>TEN-A761DC481A8A</x:v>
      </x:c>
      <x:c r="B7516" s="12" t="str">
        <x:v>Vassco Furniture &amp; Home Decors Private Limited</x:v>
      </x:c>
      <x:c r="C7516" s="12" t="str">
        <x:v>CORP-0477</x:v>
      </x:c>
      <x:c r="D7516" s="12" t="str">
        <x:v>Bengaluru</x:v>
      </x:c>
      <x:c r="E7516" s="12" t="str">
        <x:v>Brigade IRV</x:v>
      </x:c>
      <x:c r="F7516" s="12" t="str">
        <x:v>55 inch</x:v>
      </x:c>
      <x:c r="G7516" s="20" t="n">
        <x:v>1</x:v>
      </x:c>
      <x:c r="H7516" s="12" t="str">
        <x:v>Campus/portfolio roster; individual building occupancy unverified</x:v>
      </x:c>
      <x:c r="I7516" s="12" t="str">
        <x:v>Small-scale prospects</x:v>
      </x:c>
      <x:c r="J7516" s="12" t="str">
        <x:v>Trade, consumer &amp; logistics</x:v>
      </x:c>
      <x:c r="K7516" s="2" t="str">
        <x:v>PARTNER-M056</x:v>
      </x:c>
    </x:row>
    <x:row r="7517" ht="46" customHeight="1">
      <x:c r="A7517" s="2" t="str">
        <x:v>TEN-B56496626EEE</x:v>
      </x:c>
      <x:c r="B7517" s="12" t="str">
        <x:v>Mobile Programming India Pvt. Ltd</x:v>
      </x:c>
      <x:c r="C7517" s="12" t="str">
        <x:v>CORP-0477</x:v>
      </x:c>
      <x:c r="D7517" s="12" t="str">
        <x:v>Bengaluru</x:v>
      </x:c>
      <x:c r="E7517" s="12" t="str">
        <x:v>Brigade IRV</x:v>
      </x:c>
      <x:c r="F7517" s="12" t="str">
        <x:v>55 inch</x:v>
      </x:c>
      <x:c r="G7517" s="20" t="n">
        <x:v>1</x:v>
      </x:c>
      <x:c r="H7517" s="12" t="str">
        <x:v>Campus/portfolio roster; individual building occupancy unverified</x:v>
      </x:c>
      <x:c r="I7517" s="12" t="str">
        <x:v>Small-scale prospects</x:v>
      </x:c>
      <x:c r="J7517" s="12" t="str">
        <x:v>IT &amp; digital</x:v>
      </x:c>
      <x:c r="K7517" s="2" t="str">
        <x:v>PARTNER-M056</x:v>
      </x:c>
    </x:row>
    <x:row r="7518" ht="46" customHeight="1">
      <x:c r="A7518" s="2" t="str">
        <x:v>TEN-BBD4EEA83943</x:v>
      </x:c>
      <x:c r="B7518" s="12" t="str">
        <x:v>Sunovaa Tech Pvt. Ltd</x:v>
      </x:c>
      <x:c r="C7518" s="12" t="str">
        <x:v>CORP-0477</x:v>
      </x:c>
      <x:c r="D7518" s="12" t="str">
        <x:v>Bengaluru</x:v>
      </x:c>
      <x:c r="E7518" s="12" t="str">
        <x:v>Brigade IRV</x:v>
      </x:c>
      <x:c r="F7518" s="12" t="str">
        <x:v>55 inch</x:v>
      </x:c>
      <x:c r="G7518" s="20" t="n">
        <x:v>1</x:v>
      </x:c>
      <x:c r="H7518" s="12" t="str">
        <x:v>Campus/portfolio roster; individual building occupancy unverified</x:v>
      </x:c>
      <x:c r="I7518" s="12" t="str">
        <x:v>Small-scale prospects</x:v>
      </x:c>
      <x:c r="J7518" s="12" t="str">
        <x:v>IT &amp; digital</x:v>
      </x:c>
      <x:c r="K7518" s="2" t="str">
        <x:v>PARTNER-M056</x:v>
      </x:c>
    </x:row>
    <x:row r="7519" ht="46" customHeight="1">
      <x:c r="A7519" s="2" t="str">
        <x:v>TEN-BBD5210C1E57</x:v>
      </x:c>
      <x:c r="B7519" s="12" t="str">
        <x:v>WorkX Coworking Spaces</x:v>
      </x:c>
      <x:c r="C7519" s="12" t="str">
        <x:v>CORP-0477</x:v>
      </x:c>
      <x:c r="D7519" s="12" t="str">
        <x:v>Bengaluru</x:v>
      </x:c>
      <x:c r="E7519" s="12" t="str">
        <x:v>Brigade IRV</x:v>
      </x:c>
      <x:c r="F7519" s="12" t="str">
        <x:v>55 inch</x:v>
      </x:c>
      <x:c r="G7519" s="20" t="n">
        <x:v>1</x:v>
      </x:c>
      <x:c r="H7519" s="12" t="str">
        <x:v>Campus/portfolio roster; individual building occupancy unverified</x:v>
      </x:c>
      <x:c r="I7519" s="12" t="str">
        <x:v>Mixed business audience</x:v>
      </x:c>
      <x:c r="J7519" s="12" t="str">
        <x:v>Workspace &amp; property operations</x:v>
      </x:c>
      <x:c r="K7519" s="2" t="str">
        <x:v>PARTNER-M056</x:v>
      </x:c>
    </x:row>
    <x:row r="7520" ht="46" customHeight="1">
      <x:c r="A7520" s="2" t="str">
        <x:v>TEN-C4FDA280D307</x:v>
      </x:c>
      <x:c r="B7520" s="12" t="str">
        <x:v>Cronbay Technologies</x:v>
      </x:c>
      <x:c r="C7520" s="12" t="str">
        <x:v>CORP-0477</x:v>
      </x:c>
      <x:c r="D7520" s="12" t="str">
        <x:v>Bengaluru</x:v>
      </x:c>
      <x:c r="E7520" s="12" t="str">
        <x:v>Brigade IRV</x:v>
      </x:c>
      <x:c r="F7520" s="12" t="str">
        <x:v>55 inch</x:v>
      </x:c>
      <x:c r="G7520" s="20" t="n">
        <x:v>1</x:v>
      </x:c>
      <x:c r="H7520" s="12" t="str">
        <x:v>Campus/portfolio roster; individual building occupancy unverified</x:v>
      </x:c>
      <x:c r="I7520" s="12" t="str">
        <x:v>Mixed business audience</x:v>
      </x:c>
      <x:c r="J7520" s="12" t="str">
        <x:v>Unresolved</x:v>
      </x:c>
      <x:c r="K7520" s="2" t="str">
        <x:v>PARTNER-M056</x:v>
      </x:c>
    </x:row>
    <x:row r="7521" ht="46" customHeight="1">
      <x:c r="A7521" s="2" t="str">
        <x:v>TEN-D4A1061B292B</x:v>
      </x:c>
      <x:c r="B7521" s="12" t="str">
        <x:v>UrbanPiper</x:v>
      </x:c>
      <x:c r="C7521" s="12" t="str">
        <x:v>CORP-0477</x:v>
      </x:c>
      <x:c r="D7521" s="12" t="str">
        <x:v>Bengaluru</x:v>
      </x:c>
      <x:c r="E7521" s="12" t="str">
        <x:v>Brigade IRV</x:v>
      </x:c>
      <x:c r="F7521" s="12" t="str">
        <x:v>55 inch</x:v>
      </x:c>
      <x:c r="G7521" s="20" t="n">
        <x:v>1</x:v>
      </x:c>
      <x:c r="H7521" s="12" t="str">
        <x:v>Campus/portfolio roster; individual building occupancy unverified</x:v>
      </x:c>
      <x:c r="I7521" s="12" t="str">
        <x:v>Small-scale prospects</x:v>
      </x:c>
      <x:c r="J7521" s="12" t="str">
        <x:v>IT &amp; digital</x:v>
      </x:c>
      <x:c r="K7521" s="2" t="str">
        <x:v>PARTNER-M056</x:v>
      </x:c>
    </x:row>
    <x:row r="7522" ht="46" customHeight="1">
      <x:c r="A7522" s="2" t="str">
        <x:v>TEN-D570183BA689</x:v>
      </x:c>
      <x:c r="B7522" s="12" t="str">
        <x:v>Accelalpha</x:v>
      </x:c>
      <x:c r="C7522" s="12" t="str">
        <x:v>CORP-0477</x:v>
      </x:c>
      <x:c r="D7522" s="12" t="str">
        <x:v>Bengaluru</x:v>
      </x:c>
      <x:c r="E7522" s="12" t="str">
        <x:v>Brigade IRV</x:v>
      </x:c>
      <x:c r="F7522" s="12" t="str">
        <x:v>55 inch</x:v>
      </x:c>
      <x:c r="G7522" s="20" t="n">
        <x:v>1</x:v>
      </x:c>
      <x:c r="H7522" s="12" t="str">
        <x:v>Campus/portfolio roster; individual building occupancy unverified</x:v>
      </x:c>
      <x:c r="I7522" s="12" t="str">
        <x:v>Mixed business audience</x:v>
      </x:c>
      <x:c r="J7522" s="12" t="str">
        <x:v>IT &amp; digital</x:v>
      </x:c>
      <x:c r="K7522" s="2" t="str">
        <x:v>PARTNER-M056</x:v>
      </x:c>
    </x:row>
    <x:row r="7523" ht="46" customHeight="1">
      <x:c r="A7523" s="2" t="str">
        <x:v>TEN-DF6860ED534A</x:v>
      </x:c>
      <x:c r="B7523" s="12" t="str">
        <x:v>SmartGig Technologies Private Limited</x:v>
      </x:c>
      <x:c r="C7523" s="12" t="str">
        <x:v>CORP-0477</x:v>
      </x:c>
      <x:c r="D7523" s="12" t="str">
        <x:v>Bengaluru</x:v>
      </x:c>
      <x:c r="E7523" s="12" t="str">
        <x:v>Brigade IRV</x:v>
      </x:c>
      <x:c r="F7523" s="12" t="str">
        <x:v>55 inch</x:v>
      </x:c>
      <x:c r="G7523" s="20" t="n">
        <x:v>1</x:v>
      </x:c>
      <x:c r="H7523" s="12" t="str">
        <x:v>Campus/portfolio roster; individual building occupancy unverified</x:v>
      </x:c>
      <x:c r="I7523" s="12" t="str">
        <x:v>Mixed business audience</x:v>
      </x:c>
      <x:c r="J7523" s="12" t="str">
        <x:v>Unresolved</x:v>
      </x:c>
      <x:c r="K7523" s="2" t="str">
        <x:v>PARTNER-M056</x:v>
      </x:c>
    </x:row>
    <x:row r="7524" ht="46" customHeight="1">
      <x:c r="A7524" s="2" t="str">
        <x:v>TEN-F13E5E75303C</x:v>
      </x:c>
      <x:c r="B7524" s="12" t="str">
        <x:v>Analyttica Datalab Pvt. Ltd</x:v>
      </x:c>
      <x:c r="C7524" s="12" t="str">
        <x:v>CORP-0477</x:v>
      </x:c>
      <x:c r="D7524" s="12" t="str">
        <x:v>Bengaluru</x:v>
      </x:c>
      <x:c r="E7524" s="12" t="str">
        <x:v>Brigade IRV</x:v>
      </x:c>
      <x:c r="F7524" s="12" t="str">
        <x:v>55 inch</x:v>
      </x:c>
      <x:c r="G7524" s="20" t="n">
        <x:v>1</x:v>
      </x:c>
      <x:c r="H7524" s="12" t="str">
        <x:v>Campus/portfolio roster; individual building occupancy unverified</x:v>
      </x:c>
      <x:c r="I7524" s="12" t="str">
        <x:v>Small-scale prospects</x:v>
      </x:c>
      <x:c r="J7524" s="12" t="str">
        <x:v>IT &amp; digital</x:v>
      </x:c>
      <x:c r="K7524" s="2" t="str">
        <x:v>PARTNER-M056</x:v>
      </x:c>
    </x:row>
    <x:row r="7525" ht="46" customHeight="1">
      <x:c r="A7525" s="2" t="str">
        <x:v>TEN-F3CC7F1E38DB</x:v>
      </x:c>
      <x:c r="B7525" s="12" t="str">
        <x:v>ARTOIES INTERNATIONAL PRIVATE LIMITED</x:v>
      </x:c>
      <x:c r="C7525" s="12" t="str">
        <x:v>CORP-0477</x:v>
      </x:c>
      <x:c r="D7525" s="12" t="str">
        <x:v>Bengaluru</x:v>
      </x:c>
      <x:c r="E7525" s="12" t="str">
        <x:v>Brigade IRV</x:v>
      </x:c>
      <x:c r="F7525" s="12" t="str">
        <x:v>55 inch</x:v>
      </x:c>
      <x:c r="G7525" s="20" t="n">
        <x:v>1</x:v>
      </x:c>
      <x:c r="H7525" s="12" t="str">
        <x:v>Campus/portfolio roster; individual building occupancy unverified</x:v>
      </x:c>
      <x:c r="I7525" s="12" t="str">
        <x:v>Mixed business audience</x:v>
      </x:c>
      <x:c r="J7525" s="12" t="str">
        <x:v>Unresolved</x:v>
      </x:c>
      <x:c r="K7525" s="2" t="str">
        <x:v>PARTNER-M056</x:v>
      </x:c>
    </x:row>
    <x:row r="7526" ht="46" customHeight="1">
      <x:c r="A7526" s="2" t="str">
        <x:v>TEN-0D3128AFC517</x:v>
      </x:c>
      <x:c r="B7526" s="12" t="str">
        <x:v>Texila Educational &amp; Management Services Pvt Ltd</x:v>
      </x:c>
      <x:c r="C7526" s="12" t="str">
        <x:v>CORP-0478</x:v>
      </x:c>
      <x:c r="D7526" s="12" t="str">
        <x:v>Bengaluru</x:v>
      </x:c>
      <x:c r="E7526" s="12" t="str">
        <x:v>Global Tech Park</x:v>
      </x:c>
      <x:c r="F7526" s="12" t="str">
        <x:v>55 inch</x:v>
      </x:c>
      <x:c r="G7526" s="20" t="n">
        <x:v>1</x:v>
      </x:c>
      <x:c r="H7526" s="12" t="str">
        <x:v>Campus/portfolio roster; individual building occupancy unverified</x:v>
      </x:c>
      <x:c r="I7526" s="12" t="str">
        <x:v>Small-scale prospects</x:v>
      </x:c>
      <x:c r="J7526" s="12" t="str">
        <x:v>Education</x:v>
      </x:c>
      <x:c r="K7526" s="2" t="str">
        <x:v>PARTNER-M060</x:v>
      </x:c>
    </x:row>
    <x:row r="7527" ht="46" customHeight="1">
      <x:c r="A7527" s="2" t="str">
        <x:v>TEN-25DB5104E8F5</x:v>
      </x:c>
      <x:c r="B7527" s="12" t="str">
        <x:v>Kwalee India</x:v>
      </x:c>
      <x:c r="C7527" s="12" t="str">
        <x:v>CORP-0478</x:v>
      </x:c>
      <x:c r="D7527" s="12" t="str">
        <x:v>Bengaluru</x:v>
      </x:c>
      <x:c r="E7527" s="12" t="str">
        <x:v>Global Tech Park</x:v>
      </x:c>
      <x:c r="F7527" s="12" t="str">
        <x:v>55 inch</x:v>
      </x:c>
      <x:c r="G7527" s="20" t="n">
        <x:v>1</x:v>
      </x:c>
      <x:c r="H7527" s="12" t="str">
        <x:v>Campus/portfolio roster; individual building occupancy unverified</x:v>
      </x:c>
      <x:c r="I7527" s="12" t="str">
        <x:v>Mixed business audience</x:v>
      </x:c>
      <x:c r="J7527" s="12" t="str">
        <x:v>Trade, consumer &amp; logistics</x:v>
      </x:c>
      <x:c r="K7527" s="2" t="str">
        <x:v>PARTNER-M060</x:v>
      </x:c>
    </x:row>
    <x:row r="7528" ht="46" customHeight="1">
      <x:c r="A7528" s="2" t="str">
        <x:v>TEN-26B92272F90D</x:v>
      </x:c>
      <x:c r="B7528" s="12" t="str">
        <x:v>Marvell Semiconductors</x:v>
      </x:c>
      <x:c r="C7528" s="12" t="str">
        <x:v>CORP-0478</x:v>
      </x:c>
      <x:c r="D7528" s="12" t="str">
        <x:v>Bengaluru</x:v>
      </x:c>
      <x:c r="E7528" s="12" t="str">
        <x:v>Global Tech Park</x:v>
      </x:c>
      <x:c r="F7528" s="12" t="str">
        <x:v>55 inch</x:v>
      </x:c>
      <x:c r="G7528" s="20" t="n">
        <x:v>1</x:v>
      </x:c>
      <x:c r="H7528" s="12" t="str">
        <x:v>Campus/portfolio roster; individual building occupancy unverified</x:v>
      </x:c>
      <x:c r="I7528" s="12" t="str">
        <x:v>Mixed business audience</x:v>
      </x:c>
      <x:c r="J7528" s="12" t="str">
        <x:v>Engineering &amp; manufacturing</x:v>
      </x:c>
      <x:c r="K7528" s="2" t="str">
        <x:v>PARTNER-M060</x:v>
      </x:c>
    </x:row>
    <x:row r="7529" ht="46" customHeight="1">
      <x:c r="A7529" s="2" t="str">
        <x:v>TEN-3F5468F56323</x:v>
      </x:c>
      <x:c r="B7529" s="12" t="str">
        <x:v>Fastenal</x:v>
      </x:c>
      <x:c r="C7529" s="12" t="str">
        <x:v>CORP-0478</x:v>
      </x:c>
      <x:c r="D7529" s="12" t="str">
        <x:v>Bengaluru</x:v>
      </x:c>
      <x:c r="E7529" s="12" t="str">
        <x:v>Global Tech Park</x:v>
      </x:c>
      <x:c r="F7529" s="12" t="str">
        <x:v>55 inch</x:v>
      </x:c>
      <x:c r="G7529" s="20" t="n">
        <x:v>1</x:v>
      </x:c>
      <x:c r="H7529" s="12" t="str">
        <x:v>Campus/portfolio roster; individual building occupancy unverified</x:v>
      </x:c>
      <x:c r="I7529" s="12" t="str">
        <x:v>Mixed business audience</x:v>
      </x:c>
      <x:c r="J7529" s="12" t="str">
        <x:v>Engineering &amp; manufacturing</x:v>
      </x:c>
      <x:c r="K7529" s="2" t="str">
        <x:v>PARTNER-M060</x:v>
      </x:c>
    </x:row>
    <x:row r="7530" ht="46" customHeight="1">
      <x:c r="A7530" s="2" t="str">
        <x:v>TEN-44C551CDCABF</x:v>
      </x:c>
      <x:c r="B7530" s="12" t="str">
        <x:v>EPAM Bangalore</x:v>
      </x:c>
      <x:c r="C7530" s="12" t="str">
        <x:v>CORP-0478</x:v>
      </x:c>
      <x:c r="D7530" s="12" t="str">
        <x:v>Bengaluru</x:v>
      </x:c>
      <x:c r="E7530" s="12" t="str">
        <x:v>Global Tech Park</x:v>
      </x:c>
      <x:c r="F7530" s="12" t="str">
        <x:v>55 inch</x:v>
      </x:c>
      <x:c r="G7530" s="20" t="n">
        <x:v>1</x:v>
      </x:c>
      <x:c r="H7530" s="12" t="str">
        <x:v>Campus/portfolio roster; individual building occupancy unverified</x:v>
      </x:c>
      <x:c r="I7530" s="12" t="str">
        <x:v>Large enterprise</x:v>
      </x:c>
      <x:c r="J7530" s="12" t="str">
        <x:v>IT &amp; digital</x:v>
      </x:c>
      <x:c r="K7530" s="2" t="str">
        <x:v>PARTNER-M060</x:v>
      </x:c>
    </x:row>
    <x:row r="7531" ht="46" customHeight="1">
      <x:c r="A7531" s="2" t="str">
        <x:v>TEN-4DB2CCE9A521</x:v>
      </x:c>
      <x:c r="B7531" s="12" t="str">
        <x:v>KPMG Global Services</x:v>
      </x:c>
      <x:c r="C7531" s="12" t="str">
        <x:v>CORP-0478</x:v>
      </x:c>
      <x:c r="D7531" s="12" t="str">
        <x:v>Bengaluru</x:v>
      </x:c>
      <x:c r="E7531" s="12" t="str">
        <x:v>Global Tech Park</x:v>
      </x:c>
      <x:c r="F7531" s="12" t="str">
        <x:v>55 inch</x:v>
      </x:c>
      <x:c r="G7531" s="20" t="n">
        <x:v>1</x:v>
      </x:c>
      <x:c r="H7531" s="12" t="str">
        <x:v>Campus/portfolio roster; individual building occupancy unverified</x:v>
      </x:c>
      <x:c r="I7531" s="12" t="str">
        <x:v>Large enterprise</x:v>
      </x:c>
      <x:c r="J7531" s="12" t="str">
        <x:v>Professional services</x:v>
      </x:c>
      <x:c r="K7531" s="2" t="str">
        <x:v>PARTNER-M060</x:v>
      </x:c>
    </x:row>
    <x:row r="7532" ht="46" customHeight="1">
      <x:c r="A7532" s="2" t="str">
        <x:v>TEN-4E5768573B8D</x:v>
      </x:c>
      <x:c r="B7532" s="12" t="str">
        <x:v>Silverline India</x:v>
      </x:c>
      <x:c r="C7532" s="12" t="str">
        <x:v>CORP-0478</x:v>
      </x:c>
      <x:c r="D7532" s="12" t="str">
        <x:v>Bengaluru</x:v>
      </x:c>
      <x:c r="E7532" s="12" t="str">
        <x:v>Global Tech Park</x:v>
      </x:c>
      <x:c r="F7532" s="12" t="str">
        <x:v>55 inch</x:v>
      </x:c>
      <x:c r="G7532" s="20" t="n">
        <x:v>1</x:v>
      </x:c>
      <x:c r="H7532" s="12" t="str">
        <x:v>Campus/portfolio roster; individual building occupancy unverified</x:v>
      </x:c>
      <x:c r="I7532" s="12" t="str">
        <x:v>Small-scale prospects</x:v>
      </x:c>
      <x:c r="J7532" s="12" t="str">
        <x:v>IT &amp; digital</x:v>
      </x:c>
      <x:c r="K7532" s="2" t="str">
        <x:v>PARTNER-M060</x:v>
      </x:c>
    </x:row>
    <x:row r="7533" ht="46" customHeight="1">
      <x:c r="A7533" s="2" t="str">
        <x:v>TEN-508DF31D63FB</x:v>
      </x:c>
      <x:c r="B7533" s="12" t="str">
        <x:v>Vivero International</x:v>
      </x:c>
      <x:c r="C7533" s="12" t="str">
        <x:v>CORP-0478</x:v>
      </x:c>
      <x:c r="D7533" s="12" t="str">
        <x:v>Bengaluru</x:v>
      </x:c>
      <x:c r="E7533" s="12" t="str">
        <x:v>Global Tech Park</x:v>
      </x:c>
      <x:c r="F7533" s="12" t="str">
        <x:v>55 inch</x:v>
      </x:c>
      <x:c r="G7533" s="20" t="n">
        <x:v>1</x:v>
      </x:c>
      <x:c r="H7533" s="12" t="str">
        <x:v>Campus/portfolio roster; individual building occupancy unverified</x:v>
      </x:c>
      <x:c r="I7533" s="12" t="str">
        <x:v>Mixed business audience</x:v>
      </x:c>
      <x:c r="J7533" s="12" t="str">
        <x:v>Education</x:v>
      </x:c>
      <x:c r="K7533" s="2" t="str">
        <x:v>PARTNER-M060</x:v>
      </x:c>
    </x:row>
    <x:row r="7534" ht="46" customHeight="1">
      <x:c r="A7534" s="2" t="str">
        <x:v>TEN-592CC302663C</x:v>
      </x:c>
      <x:c r="B7534" s="12" t="str">
        <x:v>Vmware</x:v>
      </x:c>
      <x:c r="C7534" s="12" t="str">
        <x:v>CORP-0478</x:v>
      </x:c>
      <x:c r="D7534" s="12" t="str">
        <x:v>Bengaluru</x:v>
      </x:c>
      <x:c r="E7534" s="12" t="str">
        <x:v>Global Tech Park</x:v>
      </x:c>
      <x:c r="F7534" s="12" t="str">
        <x:v>55 inch</x:v>
      </x:c>
      <x:c r="G7534" s="20" t="n">
        <x:v>1</x:v>
      </x:c>
      <x:c r="H7534" s="12" t="str">
        <x:v>Campus/portfolio roster; individual building occupancy unverified</x:v>
      </x:c>
      <x:c r="I7534" s="12" t="str">
        <x:v>Mixed business audience</x:v>
      </x:c>
      <x:c r="J7534" s="12" t="str">
        <x:v>IT &amp; digital</x:v>
      </x:c>
      <x:c r="K7534" s="2" t="str">
        <x:v>PARTNER-M060</x:v>
      </x:c>
    </x:row>
    <x:row r="7535" ht="46" customHeight="1">
      <x:c r="A7535" s="2" t="str">
        <x:v>TEN-59997A67C490</x:v>
      </x:c>
      <x:c r="B7535" s="12" t="str">
        <x:v>West Pharmaceutical Services</x:v>
      </x:c>
      <x:c r="C7535" s="12" t="str">
        <x:v>CORP-0478</x:v>
      </x:c>
      <x:c r="D7535" s="12" t="str">
        <x:v>Bengaluru</x:v>
      </x:c>
      <x:c r="E7535" s="12" t="str">
        <x:v>Global Tech Park</x:v>
      </x:c>
      <x:c r="F7535" s="12" t="str">
        <x:v>55 inch</x:v>
      </x:c>
      <x:c r="G7535" s="20" t="n">
        <x:v>1</x:v>
      </x:c>
      <x:c r="H7535" s="12" t="str">
        <x:v>Campus/portfolio roster; individual building occupancy unverified</x:v>
      </x:c>
      <x:c r="I7535" s="12" t="str">
        <x:v>Mixed business audience</x:v>
      </x:c>
      <x:c r="J7535" s="12" t="str">
        <x:v>Healthcare &amp; life sciences</x:v>
      </x:c>
      <x:c r="K7535" s="2" t="str">
        <x:v>PARTNER-M060</x:v>
      </x:c>
    </x:row>
    <x:row r="7536" ht="46" customHeight="1">
      <x:c r="A7536" s="2" t="str">
        <x:v>TEN-746A33411251</x:v>
      </x:c>
      <x:c r="B7536" s="12" t="str">
        <x:v>Tangoe India Softek Services Pvt Ltd</x:v>
      </x:c>
      <x:c r="C7536" s="12" t="str">
        <x:v>CORP-0478</x:v>
      </x:c>
      <x:c r="D7536" s="12" t="str">
        <x:v>Bengaluru</x:v>
      </x:c>
      <x:c r="E7536" s="12" t="str">
        <x:v>Global Tech Park</x:v>
      </x:c>
      <x:c r="F7536" s="12" t="str">
        <x:v>55 inch</x:v>
      </x:c>
      <x:c r="G7536" s="20" t="n">
        <x:v>1</x:v>
      </x:c>
      <x:c r="H7536" s="12" t="str">
        <x:v>Campus/portfolio roster; individual building occupancy unverified</x:v>
      </x:c>
      <x:c r="I7536" s="12" t="str">
        <x:v>Mixed business audience</x:v>
      </x:c>
      <x:c r="J7536" s="12" t="str">
        <x:v>IT &amp; digital</x:v>
      </x:c>
      <x:c r="K7536" s="2" t="str">
        <x:v>PARTNER-M060</x:v>
      </x:c>
    </x:row>
    <x:row r="7537" ht="46" customHeight="1">
      <x:c r="A7537" s="2" t="str">
        <x:v>TEN-7E0E7F63D0E5</x:v>
      </x:c>
      <x:c r="B7537" s="12" t="str">
        <x:v>FP Tech Science Pvt. Ltd</x:v>
      </x:c>
      <x:c r="C7537" s="12" t="str">
        <x:v>CORP-0478</x:v>
      </x:c>
      <x:c r="D7537" s="12" t="str">
        <x:v>Bengaluru</x:v>
      </x:c>
      <x:c r="E7537" s="12" t="str">
        <x:v>Global Tech Park</x:v>
      </x:c>
      <x:c r="F7537" s="12" t="str">
        <x:v>55 inch</x:v>
      </x:c>
      <x:c r="G7537" s="20" t="n">
        <x:v>1</x:v>
      </x:c>
      <x:c r="H7537" s="12" t="str">
        <x:v>Campus/portfolio roster; individual building occupancy unverified</x:v>
      </x:c>
      <x:c r="I7537" s="12" t="str">
        <x:v>Mixed business audience</x:v>
      </x:c>
      <x:c r="J7537" s="12" t="str">
        <x:v>Unresolved</x:v>
      </x:c>
      <x:c r="K7537" s="2" t="str">
        <x:v>PARTNER-M060</x:v>
      </x:c>
    </x:row>
    <x:row r="7538" ht="46" customHeight="1">
      <x:c r="A7538" s="2" t="str">
        <x:v>TEN-84308BEA4540</x:v>
      </x:c>
      <x:c r="B7538" s="12" t="str">
        <x:v>LinkedIn</x:v>
      </x:c>
      <x:c r="C7538" s="12" t="str">
        <x:v>CORP-0478</x:v>
      </x:c>
      <x:c r="D7538" s="12" t="str">
        <x:v>Bengaluru</x:v>
      </x:c>
      <x:c r="E7538" s="12" t="str">
        <x:v>Global Tech Park</x:v>
      </x:c>
      <x:c r="F7538" s="12" t="str">
        <x:v>55 inch</x:v>
      </x:c>
      <x:c r="G7538" s="20" t="n">
        <x:v>1</x:v>
      </x:c>
      <x:c r="H7538" s="12" t="str">
        <x:v>Campus/portfolio roster; individual building occupancy unverified</x:v>
      </x:c>
      <x:c r="I7538" s="12" t="str">
        <x:v>Large enterprise</x:v>
      </x:c>
      <x:c r="J7538" s="12" t="str">
        <x:v>IT &amp; digital</x:v>
      </x:c>
      <x:c r="K7538" s="2" t="str">
        <x:v>PARTNER-M060</x:v>
      </x:c>
    </x:row>
    <x:row r="7539" ht="46" customHeight="1">
      <x:c r="A7539" s="2" t="str">
        <x:v>TEN-908C50BA6687</x:v>
      </x:c>
      <x:c r="B7539" s="12" t="str">
        <x:v>TalbotFORCE</x:v>
      </x:c>
      <x:c r="C7539" s="12" t="str">
        <x:v>CORP-0478</x:v>
      </x:c>
      <x:c r="D7539" s="12" t="str">
        <x:v>Bengaluru</x:v>
      </x:c>
      <x:c r="E7539" s="12" t="str">
        <x:v>Global Tech Park</x:v>
      </x:c>
      <x:c r="F7539" s="12" t="str">
        <x:v>55 inch</x:v>
      </x:c>
      <x:c r="G7539" s="20" t="n">
        <x:v>1</x:v>
      </x:c>
      <x:c r="H7539" s="12" t="str">
        <x:v>Campus/portfolio roster; individual building occupancy unverified</x:v>
      </x:c>
      <x:c r="I7539" s="12" t="str">
        <x:v>Small-scale prospects</x:v>
      </x:c>
      <x:c r="J7539" s="12" t="str">
        <x:v>IT &amp; digital</x:v>
      </x:c>
      <x:c r="K7539" s="2" t="str">
        <x:v>PARTNER-M060</x:v>
      </x:c>
    </x:row>
    <x:row r="7540" ht="46" customHeight="1">
      <x:c r="A7540" s="2" t="str">
        <x:v>TEN-91C2E0669804</x:v>
      </x:c>
      <x:c r="B7540" s="12" t="str">
        <x:v>Saviynt</x:v>
      </x:c>
      <x:c r="C7540" s="12" t="str">
        <x:v>CORP-0478</x:v>
      </x:c>
      <x:c r="D7540" s="12" t="str">
        <x:v>Bengaluru</x:v>
      </x:c>
      <x:c r="E7540" s="12" t="str">
        <x:v>Global Tech Park</x:v>
      </x:c>
      <x:c r="F7540" s="12" t="str">
        <x:v>55 inch</x:v>
      </x:c>
      <x:c r="G7540" s="20" t="n">
        <x:v>1</x:v>
      </x:c>
      <x:c r="H7540" s="12" t="str">
        <x:v>Campus/portfolio roster; individual building occupancy unverified</x:v>
      </x:c>
      <x:c r="I7540" s="12" t="str">
        <x:v>Small-scale prospects</x:v>
      </x:c>
      <x:c r="J7540" s="12" t="str">
        <x:v>IT &amp; digital</x:v>
      </x:c>
      <x:c r="K7540" s="2" t="str">
        <x:v>PARTNER-M060</x:v>
      </x:c>
    </x:row>
    <x:row r="7541" ht="46" customHeight="1">
      <x:c r="A7541" s="2" t="str">
        <x:v>TEN-93C4CDB211E2</x:v>
      </x:c>
      <x:c r="B7541" s="12" t="str">
        <x:v>Impact Analytics</x:v>
      </x:c>
      <x:c r="C7541" s="12" t="str">
        <x:v>CORP-0478</x:v>
      </x:c>
      <x:c r="D7541" s="12" t="str">
        <x:v>Bengaluru</x:v>
      </x:c>
      <x:c r="E7541" s="12" t="str">
        <x:v>Global Tech Park</x:v>
      </x:c>
      <x:c r="F7541" s="12" t="str">
        <x:v>55 inch</x:v>
      </x:c>
      <x:c r="G7541" s="20" t="n">
        <x:v>1</x:v>
      </x:c>
      <x:c r="H7541" s="12" t="str">
        <x:v>Campus/portfolio roster; individual building occupancy unverified</x:v>
      </x:c>
      <x:c r="I7541" s="12" t="str">
        <x:v>Small-scale prospects</x:v>
      </x:c>
      <x:c r="J7541" s="12" t="str">
        <x:v>IT &amp; digital</x:v>
      </x:c>
      <x:c r="K7541" s="2" t="str">
        <x:v>PARTNER-M060</x:v>
      </x:c>
    </x:row>
    <x:row r="7542" ht="46" customHeight="1">
      <x:c r="A7542" s="2" t="str">
        <x:v>TEN-97101BD39450</x:v>
      </x:c>
      <x:c r="B7542" s="12" t="str">
        <x:v>Marvell India Pvt. Ltd</x:v>
      </x:c>
      <x:c r="C7542" s="12" t="str">
        <x:v>CORP-0478</x:v>
      </x:c>
      <x:c r="D7542" s="12" t="str">
        <x:v>Bengaluru</x:v>
      </x:c>
      <x:c r="E7542" s="12" t="str">
        <x:v>Global Tech Park</x:v>
      </x:c>
      <x:c r="F7542" s="12" t="str">
        <x:v>55 inch</x:v>
      </x:c>
      <x:c r="G7542" s="20" t="n">
        <x:v>1</x:v>
      </x:c>
      <x:c r="H7542" s="12" t="str">
        <x:v>Campus/portfolio roster; individual building occupancy unverified</x:v>
      </x:c>
      <x:c r="I7542" s="12" t="str">
        <x:v>Mixed business audience</x:v>
      </x:c>
      <x:c r="J7542" s="12" t="str">
        <x:v>Engineering &amp; manufacturing</x:v>
      </x:c>
      <x:c r="K7542" s="2" t="str">
        <x:v>PARTNER-M060</x:v>
      </x:c>
    </x:row>
    <x:row r="7543" ht="46" customHeight="1">
      <x:c r="A7543" s="2" t="str">
        <x:v>TEN-B4E81D471B4A</x:v>
      </x:c>
      <x:c r="B7543" s="12" t="str">
        <x:v>Yazaki India Technical Center</x:v>
      </x:c>
      <x:c r="C7543" s="12" t="str">
        <x:v>CORP-0478</x:v>
      </x:c>
      <x:c r="D7543" s="12" t="str">
        <x:v>Bengaluru</x:v>
      </x:c>
      <x:c r="E7543" s="12" t="str">
        <x:v>Global Tech Park</x:v>
      </x:c>
      <x:c r="F7543" s="12" t="str">
        <x:v>55 inch</x:v>
      </x:c>
      <x:c r="G7543" s="20" t="n">
        <x:v>1</x:v>
      </x:c>
      <x:c r="H7543" s="12" t="str">
        <x:v>Campus/portfolio roster; individual building occupancy unverified</x:v>
      </x:c>
      <x:c r="I7543" s="12" t="str">
        <x:v>Mixed business audience</x:v>
      </x:c>
      <x:c r="J7543" s="12" t="str">
        <x:v>Engineering &amp; manufacturing</x:v>
      </x:c>
      <x:c r="K7543" s="2" t="str">
        <x:v>PARTNER-M060</x:v>
      </x:c>
    </x:row>
    <x:row r="7544" ht="46" customHeight="1">
      <x:c r="A7544" s="2" t="str">
        <x:v>TEN-B7B27EA467E4</x:v>
      </x:c>
      <x:c r="B7544" s="12" t="str">
        <x:v>Versa Networks</x:v>
      </x:c>
      <x:c r="C7544" s="12" t="str">
        <x:v>CORP-0478</x:v>
      </x:c>
      <x:c r="D7544" s="12" t="str">
        <x:v>Bengaluru</x:v>
      </x:c>
      <x:c r="E7544" s="12" t="str">
        <x:v>Global Tech Park</x:v>
      </x:c>
      <x:c r="F7544" s="12" t="str">
        <x:v>55 inch</x:v>
      </x:c>
      <x:c r="G7544" s="20" t="n">
        <x:v>1</x:v>
      </x:c>
      <x:c r="H7544" s="12" t="str">
        <x:v>Campus/portfolio roster; individual building occupancy unverified</x:v>
      </x:c>
      <x:c r="I7544" s="12" t="str">
        <x:v>Mixed business audience</x:v>
      </x:c>
      <x:c r="J7544" s="12" t="str">
        <x:v>IT &amp; digital</x:v>
      </x:c>
      <x:c r="K7544" s="2" t="str">
        <x:v>PARTNER-M060</x:v>
      </x:c>
    </x:row>
    <x:row r="7545" ht="46" customHeight="1">
      <x:c r="A7545" s="2" t="str">
        <x:v>TEN-C09DEE999673</x:v>
      </x:c>
      <x:c r="B7545" s="12" t="str">
        <x:v>Vodafone</x:v>
      </x:c>
      <x:c r="C7545" s="12" t="str">
        <x:v>CORP-0478</x:v>
      </x:c>
      <x:c r="D7545" s="12" t="str">
        <x:v>Bengaluru</x:v>
      </x:c>
      <x:c r="E7545" s="12" t="str">
        <x:v>Global Tech Park</x:v>
      </x:c>
      <x:c r="F7545" s="12" t="str">
        <x:v>55 inch</x:v>
      </x:c>
      <x:c r="G7545" s="20" t="n">
        <x:v>1</x:v>
      </x:c>
      <x:c r="H7545" s="12" t="str">
        <x:v>Campus/portfolio roster; individual building occupancy unverified</x:v>
      </x:c>
      <x:c r="I7545" s="12" t="str">
        <x:v>Mixed business audience</x:v>
      </x:c>
      <x:c r="J7545" s="12" t="str">
        <x:v>IT &amp; digital</x:v>
      </x:c>
      <x:c r="K7545" s="2" t="str">
        <x:v>PARTNER-M060</x:v>
      </x:c>
    </x:row>
    <x:row r="7546" ht="46" customHeight="1">
      <x:c r="A7546" s="2" t="str">
        <x:v>TEN-CA79984DBED3</x:v>
      </x:c>
      <x:c r="B7546" s="12" t="str">
        <x:v>Huron Eurasia India Private Limited</x:v>
      </x:c>
      <x:c r="C7546" s="12" t="str">
        <x:v>CORP-0478</x:v>
      </x:c>
      <x:c r="D7546" s="12" t="str">
        <x:v>Bengaluru</x:v>
      </x:c>
      <x:c r="E7546" s="12" t="str">
        <x:v>Global Tech Park</x:v>
      </x:c>
      <x:c r="F7546" s="12" t="str">
        <x:v>55 inch</x:v>
      </x:c>
      <x:c r="G7546" s="20" t="n">
        <x:v>1</x:v>
      </x:c>
      <x:c r="H7546" s="12" t="str">
        <x:v>Campus/portfolio roster; individual building occupancy unverified</x:v>
      </x:c>
      <x:c r="I7546" s="12" t="str">
        <x:v>Mixed business audience</x:v>
      </x:c>
      <x:c r="J7546" s="12" t="str">
        <x:v>Professional services</x:v>
      </x:c>
      <x:c r="K7546" s="2" t="str">
        <x:v>PARTNER-M060</x:v>
      </x:c>
    </x:row>
    <x:row r="7547" ht="46" customHeight="1">
      <x:c r="A7547" s="2" t="str">
        <x:v>TEN-E5E8BA3801BC</x:v>
      </x:c>
      <x:c r="B7547" s="12" t="str">
        <x:v>SkyPoint Cloud Inc</x:v>
      </x:c>
      <x:c r="C7547" s="12" t="str">
        <x:v>CORP-0478</x:v>
      </x:c>
      <x:c r="D7547" s="12" t="str">
        <x:v>Bengaluru</x:v>
      </x:c>
      <x:c r="E7547" s="12" t="str">
        <x:v>Global Tech Park</x:v>
      </x:c>
      <x:c r="F7547" s="12" t="str">
        <x:v>55 inch</x:v>
      </x:c>
      <x:c r="G7547" s="20" t="n">
        <x:v>1</x:v>
      </x:c>
      <x:c r="H7547" s="12" t="str">
        <x:v>Campus/portfolio roster; individual building occupancy unverified</x:v>
      </x:c>
      <x:c r="I7547" s="12" t="str">
        <x:v>Small-scale prospects</x:v>
      </x:c>
      <x:c r="J7547" s="12" t="str">
        <x:v>IT &amp; digital</x:v>
      </x:c>
      <x:c r="K7547" s="2" t="str">
        <x:v>PARTNER-M060</x:v>
      </x:c>
    </x:row>
    <x:row r="7548" ht="46" customHeight="1">
      <x:c r="A7548" s="2" t="str">
        <x:v>TEN-F9B7C2EA54C9</x:v>
      </x:c>
      <x:c r="B7548" s="12" t="str">
        <x:v>GSN Games</x:v>
      </x:c>
      <x:c r="C7548" s="12" t="str">
        <x:v>CORP-0478</x:v>
      </x:c>
      <x:c r="D7548" s="12" t="str">
        <x:v>Bengaluru</x:v>
      </x:c>
      <x:c r="E7548" s="12" t="str">
        <x:v>Global Tech Park</x:v>
      </x:c>
      <x:c r="F7548" s="12" t="str">
        <x:v>55 inch</x:v>
      </x:c>
      <x:c r="G7548" s="20" t="n">
        <x:v>1</x:v>
      </x:c>
      <x:c r="H7548" s="12" t="str">
        <x:v>Campus/portfolio roster; individual building occupancy unverified</x:v>
      </x:c>
      <x:c r="I7548" s="12" t="str">
        <x:v>Mixed business audience</x:v>
      </x:c>
      <x:c r="J7548" s="12" t="str">
        <x:v>Trade, consumer &amp; logistics</x:v>
      </x:c>
      <x:c r="K7548" s="2" t="str">
        <x:v>PARTNER-M060</x:v>
      </x:c>
    </x:row>
    <x:row r="7549" ht="46" customHeight="1">
      <x:c r="A7549" s="2" t="str">
        <x:v>TEN-0D3128AFC517</x:v>
      </x:c>
      <x:c r="B7549" s="12" t="str">
        <x:v>Texila Educational &amp; Management Services Pvt Ltd</x:v>
      </x:c>
      <x:c r="C7549" s="12" t="str">
        <x:v>CORP-0479</x:v>
      </x:c>
      <x:c r="D7549" s="12" t="str">
        <x:v>Bengaluru</x:v>
      </x:c>
      <x:c r="E7549" s="12" t="str">
        <x:v>Global Tech Park</x:v>
      </x:c>
      <x:c r="F7549" s="12" t="str">
        <x:v>55 inch</x:v>
      </x:c>
      <x:c r="G7549" s="20" t="n">
        <x:v>1</x:v>
      </x:c>
      <x:c r="H7549" s="12" t="str">
        <x:v>Campus/portfolio roster; individual building occupancy unverified</x:v>
      </x:c>
      <x:c r="I7549" s="12" t="str">
        <x:v>Small-scale prospects</x:v>
      </x:c>
      <x:c r="J7549" s="12" t="str">
        <x:v>Education</x:v>
      </x:c>
      <x:c r="K7549" s="2" t="str">
        <x:v>PARTNER-M060</x:v>
      </x:c>
    </x:row>
    <x:row r="7550" ht="46" customHeight="1">
      <x:c r="A7550" s="2" t="str">
        <x:v>TEN-25DB5104E8F5</x:v>
      </x:c>
      <x:c r="B7550" s="12" t="str">
        <x:v>Kwalee India</x:v>
      </x:c>
      <x:c r="C7550" s="12" t="str">
        <x:v>CORP-0479</x:v>
      </x:c>
      <x:c r="D7550" s="12" t="str">
        <x:v>Bengaluru</x:v>
      </x:c>
      <x:c r="E7550" s="12" t="str">
        <x:v>Global Tech Park</x:v>
      </x:c>
      <x:c r="F7550" s="12" t="str">
        <x:v>55 inch</x:v>
      </x:c>
      <x:c r="G7550" s="20" t="n">
        <x:v>1</x:v>
      </x:c>
      <x:c r="H7550" s="12" t="str">
        <x:v>Campus/portfolio roster; individual building occupancy unverified</x:v>
      </x:c>
      <x:c r="I7550" s="12" t="str">
        <x:v>Mixed business audience</x:v>
      </x:c>
      <x:c r="J7550" s="12" t="str">
        <x:v>Trade, consumer &amp; logistics</x:v>
      </x:c>
      <x:c r="K7550" s="2" t="str">
        <x:v>PARTNER-M060</x:v>
      </x:c>
    </x:row>
    <x:row r="7551" ht="46" customHeight="1">
      <x:c r="A7551" s="2" t="str">
        <x:v>TEN-26B92272F90D</x:v>
      </x:c>
      <x:c r="B7551" s="12" t="str">
        <x:v>Marvell Semiconductors</x:v>
      </x:c>
      <x:c r="C7551" s="12" t="str">
        <x:v>CORP-0479</x:v>
      </x:c>
      <x:c r="D7551" s="12" t="str">
        <x:v>Bengaluru</x:v>
      </x:c>
      <x:c r="E7551" s="12" t="str">
        <x:v>Global Tech Park</x:v>
      </x:c>
      <x:c r="F7551" s="12" t="str">
        <x:v>55 inch</x:v>
      </x:c>
      <x:c r="G7551" s="20" t="n">
        <x:v>1</x:v>
      </x:c>
      <x:c r="H7551" s="12" t="str">
        <x:v>Campus/portfolio roster; individual building occupancy unverified</x:v>
      </x:c>
      <x:c r="I7551" s="12" t="str">
        <x:v>Mixed business audience</x:v>
      </x:c>
      <x:c r="J7551" s="12" t="str">
        <x:v>Engineering &amp; manufacturing</x:v>
      </x:c>
      <x:c r="K7551" s="2" t="str">
        <x:v>PARTNER-M060</x:v>
      </x:c>
    </x:row>
    <x:row r="7552" ht="46" customHeight="1">
      <x:c r="A7552" s="2" t="str">
        <x:v>TEN-3F5468F56323</x:v>
      </x:c>
      <x:c r="B7552" s="12" t="str">
        <x:v>Fastenal</x:v>
      </x:c>
      <x:c r="C7552" s="12" t="str">
        <x:v>CORP-0479</x:v>
      </x:c>
      <x:c r="D7552" s="12" t="str">
        <x:v>Bengaluru</x:v>
      </x:c>
      <x:c r="E7552" s="12" t="str">
        <x:v>Global Tech Park</x:v>
      </x:c>
      <x:c r="F7552" s="12" t="str">
        <x:v>55 inch</x:v>
      </x:c>
      <x:c r="G7552" s="20" t="n">
        <x:v>1</x:v>
      </x:c>
      <x:c r="H7552" s="12" t="str">
        <x:v>Campus/portfolio roster; individual building occupancy unverified</x:v>
      </x:c>
      <x:c r="I7552" s="12" t="str">
        <x:v>Mixed business audience</x:v>
      </x:c>
      <x:c r="J7552" s="12" t="str">
        <x:v>Engineering &amp; manufacturing</x:v>
      </x:c>
      <x:c r="K7552" s="2" t="str">
        <x:v>PARTNER-M060</x:v>
      </x:c>
    </x:row>
    <x:row r="7553" ht="46" customHeight="1">
      <x:c r="A7553" s="2" t="str">
        <x:v>TEN-44C551CDCABF</x:v>
      </x:c>
      <x:c r="B7553" s="12" t="str">
        <x:v>EPAM Bangalore</x:v>
      </x:c>
      <x:c r="C7553" s="12" t="str">
        <x:v>CORP-0479</x:v>
      </x:c>
      <x:c r="D7553" s="12" t="str">
        <x:v>Bengaluru</x:v>
      </x:c>
      <x:c r="E7553" s="12" t="str">
        <x:v>Global Tech Park</x:v>
      </x:c>
      <x:c r="F7553" s="12" t="str">
        <x:v>55 inch</x:v>
      </x:c>
      <x:c r="G7553" s="20" t="n">
        <x:v>1</x:v>
      </x:c>
      <x:c r="H7553" s="12" t="str">
        <x:v>Campus/portfolio roster; individual building occupancy unverified</x:v>
      </x:c>
      <x:c r="I7553" s="12" t="str">
        <x:v>Large enterprise</x:v>
      </x:c>
      <x:c r="J7553" s="12" t="str">
        <x:v>IT &amp; digital</x:v>
      </x:c>
      <x:c r="K7553" s="2" t="str">
        <x:v>PARTNER-M060</x:v>
      </x:c>
    </x:row>
    <x:row r="7554" ht="46" customHeight="1">
      <x:c r="A7554" s="2" t="str">
        <x:v>TEN-4DB2CCE9A521</x:v>
      </x:c>
      <x:c r="B7554" s="12" t="str">
        <x:v>KPMG Global Services</x:v>
      </x:c>
      <x:c r="C7554" s="12" t="str">
        <x:v>CORP-0479</x:v>
      </x:c>
      <x:c r="D7554" s="12" t="str">
        <x:v>Bengaluru</x:v>
      </x:c>
      <x:c r="E7554" s="12" t="str">
        <x:v>Global Tech Park</x:v>
      </x:c>
      <x:c r="F7554" s="12" t="str">
        <x:v>55 inch</x:v>
      </x:c>
      <x:c r="G7554" s="20" t="n">
        <x:v>1</x:v>
      </x:c>
      <x:c r="H7554" s="12" t="str">
        <x:v>Campus/portfolio roster; individual building occupancy unverified</x:v>
      </x:c>
      <x:c r="I7554" s="12" t="str">
        <x:v>Large enterprise</x:v>
      </x:c>
      <x:c r="J7554" s="12" t="str">
        <x:v>Professional services</x:v>
      </x:c>
      <x:c r="K7554" s="2" t="str">
        <x:v>PARTNER-M060</x:v>
      </x:c>
    </x:row>
    <x:row r="7555" ht="46" customHeight="1">
      <x:c r="A7555" s="2" t="str">
        <x:v>TEN-4E5768573B8D</x:v>
      </x:c>
      <x:c r="B7555" s="12" t="str">
        <x:v>Silverline India</x:v>
      </x:c>
      <x:c r="C7555" s="12" t="str">
        <x:v>CORP-0479</x:v>
      </x:c>
      <x:c r="D7555" s="12" t="str">
        <x:v>Bengaluru</x:v>
      </x:c>
      <x:c r="E7555" s="12" t="str">
        <x:v>Global Tech Park</x:v>
      </x:c>
      <x:c r="F7555" s="12" t="str">
        <x:v>55 inch</x:v>
      </x:c>
      <x:c r="G7555" s="20" t="n">
        <x:v>1</x:v>
      </x:c>
      <x:c r="H7555" s="12" t="str">
        <x:v>Campus/portfolio roster; individual building occupancy unverified</x:v>
      </x:c>
      <x:c r="I7555" s="12" t="str">
        <x:v>Small-scale prospects</x:v>
      </x:c>
      <x:c r="J7555" s="12" t="str">
        <x:v>IT &amp; digital</x:v>
      </x:c>
      <x:c r="K7555" s="2" t="str">
        <x:v>PARTNER-M060</x:v>
      </x:c>
    </x:row>
    <x:row r="7556" ht="46" customHeight="1">
      <x:c r="A7556" s="2" t="str">
        <x:v>TEN-508DF31D63FB</x:v>
      </x:c>
      <x:c r="B7556" s="12" t="str">
        <x:v>Vivero International</x:v>
      </x:c>
      <x:c r="C7556" s="12" t="str">
        <x:v>CORP-0479</x:v>
      </x:c>
      <x:c r="D7556" s="12" t="str">
        <x:v>Bengaluru</x:v>
      </x:c>
      <x:c r="E7556" s="12" t="str">
        <x:v>Global Tech Park</x:v>
      </x:c>
      <x:c r="F7556" s="12" t="str">
        <x:v>55 inch</x:v>
      </x:c>
      <x:c r="G7556" s="20" t="n">
        <x:v>1</x:v>
      </x:c>
      <x:c r="H7556" s="12" t="str">
        <x:v>Campus/portfolio roster; individual building occupancy unverified</x:v>
      </x:c>
      <x:c r="I7556" s="12" t="str">
        <x:v>Mixed business audience</x:v>
      </x:c>
      <x:c r="J7556" s="12" t="str">
        <x:v>Education</x:v>
      </x:c>
      <x:c r="K7556" s="2" t="str">
        <x:v>PARTNER-M060</x:v>
      </x:c>
    </x:row>
    <x:row r="7557" ht="46" customHeight="1">
      <x:c r="A7557" s="2" t="str">
        <x:v>TEN-592CC302663C</x:v>
      </x:c>
      <x:c r="B7557" s="12" t="str">
        <x:v>Vmware</x:v>
      </x:c>
      <x:c r="C7557" s="12" t="str">
        <x:v>CORP-0479</x:v>
      </x:c>
      <x:c r="D7557" s="12" t="str">
        <x:v>Bengaluru</x:v>
      </x:c>
      <x:c r="E7557" s="12" t="str">
        <x:v>Global Tech Park</x:v>
      </x:c>
      <x:c r="F7557" s="12" t="str">
        <x:v>55 inch</x:v>
      </x:c>
      <x:c r="G7557" s="20" t="n">
        <x:v>1</x:v>
      </x:c>
      <x:c r="H7557" s="12" t="str">
        <x:v>Campus/portfolio roster; individual building occupancy unverified</x:v>
      </x:c>
      <x:c r="I7557" s="12" t="str">
        <x:v>Mixed business audience</x:v>
      </x:c>
      <x:c r="J7557" s="12" t="str">
        <x:v>IT &amp; digital</x:v>
      </x:c>
      <x:c r="K7557" s="2" t="str">
        <x:v>PARTNER-M060</x:v>
      </x:c>
    </x:row>
    <x:row r="7558" ht="46" customHeight="1">
      <x:c r="A7558" s="2" t="str">
        <x:v>TEN-59997A67C490</x:v>
      </x:c>
      <x:c r="B7558" s="12" t="str">
        <x:v>West Pharmaceutical Services</x:v>
      </x:c>
      <x:c r="C7558" s="12" t="str">
        <x:v>CORP-0479</x:v>
      </x:c>
      <x:c r="D7558" s="12" t="str">
        <x:v>Bengaluru</x:v>
      </x:c>
      <x:c r="E7558" s="12" t="str">
        <x:v>Global Tech Park</x:v>
      </x:c>
      <x:c r="F7558" s="12" t="str">
        <x:v>55 inch</x:v>
      </x:c>
      <x:c r="G7558" s="20" t="n">
        <x:v>1</x:v>
      </x:c>
      <x:c r="H7558" s="12" t="str">
        <x:v>Campus/portfolio roster; individual building occupancy unverified</x:v>
      </x:c>
      <x:c r="I7558" s="12" t="str">
        <x:v>Mixed business audience</x:v>
      </x:c>
      <x:c r="J7558" s="12" t="str">
        <x:v>Healthcare &amp; life sciences</x:v>
      </x:c>
      <x:c r="K7558" s="2" t="str">
        <x:v>PARTNER-M060</x:v>
      </x:c>
    </x:row>
    <x:row r="7559" ht="46" customHeight="1">
      <x:c r="A7559" s="2" t="str">
        <x:v>TEN-746A33411251</x:v>
      </x:c>
      <x:c r="B7559" s="12" t="str">
        <x:v>Tangoe India Softek Services Pvt Ltd</x:v>
      </x:c>
      <x:c r="C7559" s="12" t="str">
        <x:v>CORP-0479</x:v>
      </x:c>
      <x:c r="D7559" s="12" t="str">
        <x:v>Bengaluru</x:v>
      </x:c>
      <x:c r="E7559" s="12" t="str">
        <x:v>Global Tech Park</x:v>
      </x:c>
      <x:c r="F7559" s="12" t="str">
        <x:v>55 inch</x:v>
      </x:c>
      <x:c r="G7559" s="20" t="n">
        <x:v>1</x:v>
      </x:c>
      <x:c r="H7559" s="12" t="str">
        <x:v>Campus/portfolio roster; individual building occupancy unverified</x:v>
      </x:c>
      <x:c r="I7559" s="12" t="str">
        <x:v>Mixed business audience</x:v>
      </x:c>
      <x:c r="J7559" s="12" t="str">
        <x:v>IT &amp; digital</x:v>
      </x:c>
      <x:c r="K7559" s="2" t="str">
        <x:v>PARTNER-M060</x:v>
      </x:c>
    </x:row>
    <x:row r="7560" ht="46" customHeight="1">
      <x:c r="A7560" s="2" t="str">
        <x:v>TEN-7E0E7F63D0E5</x:v>
      </x:c>
      <x:c r="B7560" s="12" t="str">
        <x:v>FP Tech Science Pvt. Ltd</x:v>
      </x:c>
      <x:c r="C7560" s="12" t="str">
        <x:v>CORP-0479</x:v>
      </x:c>
      <x:c r="D7560" s="12" t="str">
        <x:v>Bengaluru</x:v>
      </x:c>
      <x:c r="E7560" s="12" t="str">
        <x:v>Global Tech Park</x:v>
      </x:c>
      <x:c r="F7560" s="12" t="str">
        <x:v>55 inch</x:v>
      </x:c>
      <x:c r="G7560" s="20" t="n">
        <x:v>1</x:v>
      </x:c>
      <x:c r="H7560" s="12" t="str">
        <x:v>Campus/portfolio roster; individual building occupancy unverified</x:v>
      </x:c>
      <x:c r="I7560" s="12" t="str">
        <x:v>Mixed business audience</x:v>
      </x:c>
      <x:c r="J7560" s="12" t="str">
        <x:v>Unresolved</x:v>
      </x:c>
      <x:c r="K7560" s="2" t="str">
        <x:v>PARTNER-M060</x:v>
      </x:c>
    </x:row>
    <x:row r="7561" ht="46" customHeight="1">
      <x:c r="A7561" s="2" t="str">
        <x:v>TEN-84308BEA4540</x:v>
      </x:c>
      <x:c r="B7561" s="12" t="str">
        <x:v>LinkedIn</x:v>
      </x:c>
      <x:c r="C7561" s="12" t="str">
        <x:v>CORP-0479</x:v>
      </x:c>
      <x:c r="D7561" s="12" t="str">
        <x:v>Bengaluru</x:v>
      </x:c>
      <x:c r="E7561" s="12" t="str">
        <x:v>Global Tech Park</x:v>
      </x:c>
      <x:c r="F7561" s="12" t="str">
        <x:v>55 inch</x:v>
      </x:c>
      <x:c r="G7561" s="20" t="n">
        <x:v>1</x:v>
      </x:c>
      <x:c r="H7561" s="12" t="str">
        <x:v>Campus/portfolio roster; individual building occupancy unverified</x:v>
      </x:c>
      <x:c r="I7561" s="12" t="str">
        <x:v>Large enterprise</x:v>
      </x:c>
      <x:c r="J7561" s="12" t="str">
        <x:v>IT &amp; digital</x:v>
      </x:c>
      <x:c r="K7561" s="2" t="str">
        <x:v>PARTNER-M060</x:v>
      </x:c>
    </x:row>
    <x:row r="7562" ht="46" customHeight="1">
      <x:c r="A7562" s="2" t="str">
        <x:v>TEN-908C50BA6687</x:v>
      </x:c>
      <x:c r="B7562" s="12" t="str">
        <x:v>TalbotFORCE</x:v>
      </x:c>
      <x:c r="C7562" s="12" t="str">
        <x:v>CORP-0479</x:v>
      </x:c>
      <x:c r="D7562" s="12" t="str">
        <x:v>Bengaluru</x:v>
      </x:c>
      <x:c r="E7562" s="12" t="str">
        <x:v>Global Tech Park</x:v>
      </x:c>
      <x:c r="F7562" s="12" t="str">
        <x:v>55 inch</x:v>
      </x:c>
      <x:c r="G7562" s="20" t="n">
        <x:v>1</x:v>
      </x:c>
      <x:c r="H7562" s="12" t="str">
        <x:v>Campus/portfolio roster; individual building occupancy unverified</x:v>
      </x:c>
      <x:c r="I7562" s="12" t="str">
        <x:v>Small-scale prospects</x:v>
      </x:c>
      <x:c r="J7562" s="12" t="str">
        <x:v>IT &amp; digital</x:v>
      </x:c>
      <x:c r="K7562" s="2" t="str">
        <x:v>PARTNER-M060</x:v>
      </x:c>
    </x:row>
    <x:row r="7563" ht="46" customHeight="1">
      <x:c r="A7563" s="2" t="str">
        <x:v>TEN-91C2E0669804</x:v>
      </x:c>
      <x:c r="B7563" s="12" t="str">
        <x:v>Saviynt</x:v>
      </x:c>
      <x:c r="C7563" s="12" t="str">
        <x:v>CORP-0479</x:v>
      </x:c>
      <x:c r="D7563" s="12" t="str">
        <x:v>Bengaluru</x:v>
      </x:c>
      <x:c r="E7563" s="12" t="str">
        <x:v>Global Tech Park</x:v>
      </x:c>
      <x:c r="F7563" s="12" t="str">
        <x:v>55 inch</x:v>
      </x:c>
      <x:c r="G7563" s="20" t="n">
        <x:v>1</x:v>
      </x:c>
      <x:c r="H7563" s="12" t="str">
        <x:v>Campus/portfolio roster; individual building occupancy unverified</x:v>
      </x:c>
      <x:c r="I7563" s="12" t="str">
        <x:v>Small-scale prospects</x:v>
      </x:c>
      <x:c r="J7563" s="12" t="str">
        <x:v>IT &amp; digital</x:v>
      </x:c>
      <x:c r="K7563" s="2" t="str">
        <x:v>PARTNER-M060</x:v>
      </x:c>
    </x:row>
    <x:row r="7564" ht="46" customHeight="1">
      <x:c r="A7564" s="2" t="str">
        <x:v>TEN-93C4CDB211E2</x:v>
      </x:c>
      <x:c r="B7564" s="12" t="str">
        <x:v>Impact Analytics</x:v>
      </x:c>
      <x:c r="C7564" s="12" t="str">
        <x:v>CORP-0479</x:v>
      </x:c>
      <x:c r="D7564" s="12" t="str">
        <x:v>Bengaluru</x:v>
      </x:c>
      <x:c r="E7564" s="12" t="str">
        <x:v>Global Tech Park</x:v>
      </x:c>
      <x:c r="F7564" s="12" t="str">
        <x:v>55 inch</x:v>
      </x:c>
      <x:c r="G7564" s="20" t="n">
        <x:v>1</x:v>
      </x:c>
      <x:c r="H7564" s="12" t="str">
        <x:v>Campus/portfolio roster; individual building occupancy unverified</x:v>
      </x:c>
      <x:c r="I7564" s="12" t="str">
        <x:v>Small-scale prospects</x:v>
      </x:c>
      <x:c r="J7564" s="12" t="str">
        <x:v>IT &amp; digital</x:v>
      </x:c>
      <x:c r="K7564" s="2" t="str">
        <x:v>PARTNER-M060</x:v>
      </x:c>
    </x:row>
    <x:row r="7565" ht="46" customHeight="1">
      <x:c r="A7565" s="2" t="str">
        <x:v>TEN-97101BD39450</x:v>
      </x:c>
      <x:c r="B7565" s="12" t="str">
        <x:v>Marvell India Pvt. Ltd</x:v>
      </x:c>
      <x:c r="C7565" s="12" t="str">
        <x:v>CORP-0479</x:v>
      </x:c>
      <x:c r="D7565" s="12" t="str">
        <x:v>Bengaluru</x:v>
      </x:c>
      <x:c r="E7565" s="12" t="str">
        <x:v>Global Tech Park</x:v>
      </x:c>
      <x:c r="F7565" s="12" t="str">
        <x:v>55 inch</x:v>
      </x:c>
      <x:c r="G7565" s="20" t="n">
        <x:v>1</x:v>
      </x:c>
      <x:c r="H7565" s="12" t="str">
        <x:v>Campus/portfolio roster; individual building occupancy unverified</x:v>
      </x:c>
      <x:c r="I7565" s="12" t="str">
        <x:v>Mixed business audience</x:v>
      </x:c>
      <x:c r="J7565" s="12" t="str">
        <x:v>Engineering &amp; manufacturing</x:v>
      </x:c>
      <x:c r="K7565" s="2" t="str">
        <x:v>PARTNER-M060</x:v>
      </x:c>
    </x:row>
    <x:row r="7566" ht="46" customHeight="1">
      <x:c r="A7566" s="2" t="str">
        <x:v>TEN-B4E81D471B4A</x:v>
      </x:c>
      <x:c r="B7566" s="12" t="str">
        <x:v>Yazaki India Technical Center</x:v>
      </x:c>
      <x:c r="C7566" s="12" t="str">
        <x:v>CORP-0479</x:v>
      </x:c>
      <x:c r="D7566" s="12" t="str">
        <x:v>Bengaluru</x:v>
      </x:c>
      <x:c r="E7566" s="12" t="str">
        <x:v>Global Tech Park</x:v>
      </x:c>
      <x:c r="F7566" s="12" t="str">
        <x:v>55 inch</x:v>
      </x:c>
      <x:c r="G7566" s="20" t="n">
        <x:v>1</x:v>
      </x:c>
      <x:c r="H7566" s="12" t="str">
        <x:v>Campus/portfolio roster; individual building occupancy unverified</x:v>
      </x:c>
      <x:c r="I7566" s="12" t="str">
        <x:v>Mixed business audience</x:v>
      </x:c>
      <x:c r="J7566" s="12" t="str">
        <x:v>Engineering &amp; manufacturing</x:v>
      </x:c>
      <x:c r="K7566" s="2" t="str">
        <x:v>PARTNER-M060</x:v>
      </x:c>
    </x:row>
    <x:row r="7567" ht="46" customHeight="1">
      <x:c r="A7567" s="2" t="str">
        <x:v>TEN-B7B27EA467E4</x:v>
      </x:c>
      <x:c r="B7567" s="12" t="str">
        <x:v>Versa Networks</x:v>
      </x:c>
      <x:c r="C7567" s="12" t="str">
        <x:v>CORP-0479</x:v>
      </x:c>
      <x:c r="D7567" s="12" t="str">
        <x:v>Bengaluru</x:v>
      </x:c>
      <x:c r="E7567" s="12" t="str">
        <x:v>Global Tech Park</x:v>
      </x:c>
      <x:c r="F7567" s="12" t="str">
        <x:v>55 inch</x:v>
      </x:c>
      <x:c r="G7567" s="20" t="n">
        <x:v>1</x:v>
      </x:c>
      <x:c r="H7567" s="12" t="str">
        <x:v>Campus/portfolio roster; individual building occupancy unverified</x:v>
      </x:c>
      <x:c r="I7567" s="12" t="str">
        <x:v>Mixed business audience</x:v>
      </x:c>
      <x:c r="J7567" s="12" t="str">
        <x:v>IT &amp; digital</x:v>
      </x:c>
      <x:c r="K7567" s="2" t="str">
        <x:v>PARTNER-M060</x:v>
      </x:c>
    </x:row>
    <x:row r="7568" ht="46" customHeight="1">
      <x:c r="A7568" s="2" t="str">
        <x:v>TEN-C09DEE999673</x:v>
      </x:c>
      <x:c r="B7568" s="12" t="str">
        <x:v>Vodafone</x:v>
      </x:c>
      <x:c r="C7568" s="12" t="str">
        <x:v>CORP-0479</x:v>
      </x:c>
      <x:c r="D7568" s="12" t="str">
        <x:v>Bengaluru</x:v>
      </x:c>
      <x:c r="E7568" s="12" t="str">
        <x:v>Global Tech Park</x:v>
      </x:c>
      <x:c r="F7568" s="12" t="str">
        <x:v>55 inch</x:v>
      </x:c>
      <x:c r="G7568" s="20" t="n">
        <x:v>1</x:v>
      </x:c>
      <x:c r="H7568" s="12" t="str">
        <x:v>Campus/portfolio roster; individual building occupancy unverified</x:v>
      </x:c>
      <x:c r="I7568" s="12" t="str">
        <x:v>Mixed business audience</x:v>
      </x:c>
      <x:c r="J7568" s="12" t="str">
        <x:v>IT &amp; digital</x:v>
      </x:c>
      <x:c r="K7568" s="2" t="str">
        <x:v>PARTNER-M060</x:v>
      </x:c>
    </x:row>
    <x:row r="7569" ht="46" customHeight="1">
      <x:c r="A7569" s="2" t="str">
        <x:v>TEN-CA79984DBED3</x:v>
      </x:c>
      <x:c r="B7569" s="12" t="str">
        <x:v>Huron Eurasia India Private Limited</x:v>
      </x:c>
      <x:c r="C7569" s="12" t="str">
        <x:v>CORP-0479</x:v>
      </x:c>
      <x:c r="D7569" s="12" t="str">
        <x:v>Bengaluru</x:v>
      </x:c>
      <x:c r="E7569" s="12" t="str">
        <x:v>Global Tech Park</x:v>
      </x:c>
      <x:c r="F7569" s="12" t="str">
        <x:v>55 inch</x:v>
      </x:c>
      <x:c r="G7569" s="20" t="n">
        <x:v>1</x:v>
      </x:c>
      <x:c r="H7569" s="12" t="str">
        <x:v>Campus/portfolio roster; individual building occupancy unverified</x:v>
      </x:c>
      <x:c r="I7569" s="12" t="str">
        <x:v>Mixed business audience</x:v>
      </x:c>
      <x:c r="J7569" s="12" t="str">
        <x:v>Professional services</x:v>
      </x:c>
      <x:c r="K7569" s="2" t="str">
        <x:v>PARTNER-M060</x:v>
      </x:c>
    </x:row>
    <x:row r="7570" ht="46" customHeight="1">
      <x:c r="A7570" s="2" t="str">
        <x:v>TEN-E5E8BA3801BC</x:v>
      </x:c>
      <x:c r="B7570" s="12" t="str">
        <x:v>SkyPoint Cloud Inc</x:v>
      </x:c>
      <x:c r="C7570" s="12" t="str">
        <x:v>CORP-0479</x:v>
      </x:c>
      <x:c r="D7570" s="12" t="str">
        <x:v>Bengaluru</x:v>
      </x:c>
      <x:c r="E7570" s="12" t="str">
        <x:v>Global Tech Park</x:v>
      </x:c>
      <x:c r="F7570" s="12" t="str">
        <x:v>55 inch</x:v>
      </x:c>
      <x:c r="G7570" s="20" t="n">
        <x:v>1</x:v>
      </x:c>
      <x:c r="H7570" s="12" t="str">
        <x:v>Campus/portfolio roster; individual building occupancy unverified</x:v>
      </x:c>
      <x:c r="I7570" s="12" t="str">
        <x:v>Small-scale prospects</x:v>
      </x:c>
      <x:c r="J7570" s="12" t="str">
        <x:v>IT &amp; digital</x:v>
      </x:c>
      <x:c r="K7570" s="2" t="str">
        <x:v>PARTNER-M060</x:v>
      </x:c>
    </x:row>
    <x:row r="7571" ht="46" customHeight="1">
      <x:c r="A7571" s="2" t="str">
        <x:v>TEN-F9B7C2EA54C9</x:v>
      </x:c>
      <x:c r="B7571" s="12" t="str">
        <x:v>GSN Games</x:v>
      </x:c>
      <x:c r="C7571" s="12" t="str">
        <x:v>CORP-0479</x:v>
      </x:c>
      <x:c r="D7571" s="12" t="str">
        <x:v>Bengaluru</x:v>
      </x:c>
      <x:c r="E7571" s="12" t="str">
        <x:v>Global Tech Park</x:v>
      </x:c>
      <x:c r="F7571" s="12" t="str">
        <x:v>55 inch</x:v>
      </x:c>
      <x:c r="G7571" s="20" t="n">
        <x:v>1</x:v>
      </x:c>
      <x:c r="H7571" s="12" t="str">
        <x:v>Campus/portfolio roster; individual building occupancy unverified</x:v>
      </x:c>
      <x:c r="I7571" s="12" t="str">
        <x:v>Mixed business audience</x:v>
      </x:c>
      <x:c r="J7571" s="12" t="str">
        <x:v>Trade, consumer &amp; logistics</x:v>
      </x:c>
      <x:c r="K7571" s="2" t="str">
        <x:v>PARTNER-M060</x:v>
      </x:c>
    </x:row>
    <x:row r="7572" ht="46" customHeight="1">
      <x:c r="A7572" s="2" t="str">
        <x:v>TEN-0D3128AFC517</x:v>
      </x:c>
      <x:c r="B7572" s="12" t="str">
        <x:v>Texila Educational &amp; Management Services Pvt Ltd</x:v>
      </x:c>
      <x:c r="C7572" s="12" t="str">
        <x:v>CORP-0480</x:v>
      </x:c>
      <x:c r="D7572" s="12" t="str">
        <x:v>Bengaluru</x:v>
      </x:c>
      <x:c r="E7572" s="12" t="str">
        <x:v>Global Tech Park</x:v>
      </x:c>
      <x:c r="F7572" s="12" t="str">
        <x:v>55 inch</x:v>
      </x:c>
      <x:c r="G7572" s="20" t="n">
        <x:v>1</x:v>
      </x:c>
      <x:c r="H7572" s="12" t="str">
        <x:v>Campus/portfolio roster; individual building occupancy unverified</x:v>
      </x:c>
      <x:c r="I7572" s="12" t="str">
        <x:v>Small-scale prospects</x:v>
      </x:c>
      <x:c r="J7572" s="12" t="str">
        <x:v>Education</x:v>
      </x:c>
      <x:c r="K7572" s="2" t="str">
        <x:v>PARTNER-M060</x:v>
      </x:c>
    </x:row>
    <x:row r="7573" ht="46" customHeight="1">
      <x:c r="A7573" s="2" t="str">
        <x:v>TEN-25DB5104E8F5</x:v>
      </x:c>
      <x:c r="B7573" s="12" t="str">
        <x:v>Kwalee India</x:v>
      </x:c>
      <x:c r="C7573" s="12" t="str">
        <x:v>CORP-0480</x:v>
      </x:c>
      <x:c r="D7573" s="12" t="str">
        <x:v>Bengaluru</x:v>
      </x:c>
      <x:c r="E7573" s="12" t="str">
        <x:v>Global Tech Park</x:v>
      </x:c>
      <x:c r="F7573" s="12" t="str">
        <x:v>55 inch</x:v>
      </x:c>
      <x:c r="G7573" s="20" t="n">
        <x:v>1</x:v>
      </x:c>
      <x:c r="H7573" s="12" t="str">
        <x:v>Campus/portfolio roster; individual building occupancy unverified</x:v>
      </x:c>
      <x:c r="I7573" s="12" t="str">
        <x:v>Mixed business audience</x:v>
      </x:c>
      <x:c r="J7573" s="12" t="str">
        <x:v>Trade, consumer &amp; logistics</x:v>
      </x:c>
      <x:c r="K7573" s="2" t="str">
        <x:v>PARTNER-M060</x:v>
      </x:c>
    </x:row>
    <x:row r="7574" ht="46" customHeight="1">
      <x:c r="A7574" s="2" t="str">
        <x:v>TEN-26B92272F90D</x:v>
      </x:c>
      <x:c r="B7574" s="12" t="str">
        <x:v>Marvell Semiconductors</x:v>
      </x:c>
      <x:c r="C7574" s="12" t="str">
        <x:v>CORP-0480</x:v>
      </x:c>
      <x:c r="D7574" s="12" t="str">
        <x:v>Bengaluru</x:v>
      </x:c>
      <x:c r="E7574" s="12" t="str">
        <x:v>Global Tech Park</x:v>
      </x:c>
      <x:c r="F7574" s="12" t="str">
        <x:v>55 inch</x:v>
      </x:c>
      <x:c r="G7574" s="20" t="n">
        <x:v>1</x:v>
      </x:c>
      <x:c r="H7574" s="12" t="str">
        <x:v>Campus/portfolio roster; individual building occupancy unverified</x:v>
      </x:c>
      <x:c r="I7574" s="12" t="str">
        <x:v>Mixed business audience</x:v>
      </x:c>
      <x:c r="J7574" s="12" t="str">
        <x:v>Engineering &amp; manufacturing</x:v>
      </x:c>
      <x:c r="K7574" s="2" t="str">
        <x:v>PARTNER-M060</x:v>
      </x:c>
    </x:row>
    <x:row r="7575" ht="46" customHeight="1">
      <x:c r="A7575" s="2" t="str">
        <x:v>TEN-3F5468F56323</x:v>
      </x:c>
      <x:c r="B7575" s="12" t="str">
        <x:v>Fastenal</x:v>
      </x:c>
      <x:c r="C7575" s="12" t="str">
        <x:v>CORP-0480</x:v>
      </x:c>
      <x:c r="D7575" s="12" t="str">
        <x:v>Bengaluru</x:v>
      </x:c>
      <x:c r="E7575" s="12" t="str">
        <x:v>Global Tech Park</x:v>
      </x:c>
      <x:c r="F7575" s="12" t="str">
        <x:v>55 inch</x:v>
      </x:c>
      <x:c r="G7575" s="20" t="n">
        <x:v>1</x:v>
      </x:c>
      <x:c r="H7575" s="12" t="str">
        <x:v>Campus/portfolio roster; individual building occupancy unverified</x:v>
      </x:c>
      <x:c r="I7575" s="12" t="str">
        <x:v>Mixed business audience</x:v>
      </x:c>
      <x:c r="J7575" s="12" t="str">
        <x:v>Engineering &amp; manufacturing</x:v>
      </x:c>
      <x:c r="K7575" s="2" t="str">
        <x:v>PARTNER-M060</x:v>
      </x:c>
    </x:row>
    <x:row r="7576" ht="46" customHeight="1">
      <x:c r="A7576" s="2" t="str">
        <x:v>TEN-44C551CDCABF</x:v>
      </x:c>
      <x:c r="B7576" s="12" t="str">
        <x:v>EPAM Bangalore</x:v>
      </x:c>
      <x:c r="C7576" s="12" t="str">
        <x:v>CORP-0480</x:v>
      </x:c>
      <x:c r="D7576" s="12" t="str">
        <x:v>Bengaluru</x:v>
      </x:c>
      <x:c r="E7576" s="12" t="str">
        <x:v>Global Tech Park</x:v>
      </x:c>
      <x:c r="F7576" s="12" t="str">
        <x:v>55 inch</x:v>
      </x:c>
      <x:c r="G7576" s="20" t="n">
        <x:v>1</x:v>
      </x:c>
      <x:c r="H7576" s="12" t="str">
        <x:v>Campus/portfolio roster; individual building occupancy unverified</x:v>
      </x:c>
      <x:c r="I7576" s="12" t="str">
        <x:v>Large enterprise</x:v>
      </x:c>
      <x:c r="J7576" s="12" t="str">
        <x:v>IT &amp; digital</x:v>
      </x:c>
      <x:c r="K7576" s="2" t="str">
        <x:v>PARTNER-M060</x:v>
      </x:c>
    </x:row>
    <x:row r="7577" ht="46" customHeight="1">
      <x:c r="A7577" s="2" t="str">
        <x:v>TEN-4DB2CCE9A521</x:v>
      </x:c>
      <x:c r="B7577" s="12" t="str">
        <x:v>KPMG Global Services</x:v>
      </x:c>
      <x:c r="C7577" s="12" t="str">
        <x:v>CORP-0480</x:v>
      </x:c>
      <x:c r="D7577" s="12" t="str">
        <x:v>Bengaluru</x:v>
      </x:c>
      <x:c r="E7577" s="12" t="str">
        <x:v>Global Tech Park</x:v>
      </x:c>
      <x:c r="F7577" s="12" t="str">
        <x:v>55 inch</x:v>
      </x:c>
      <x:c r="G7577" s="20" t="n">
        <x:v>1</x:v>
      </x:c>
      <x:c r="H7577" s="12" t="str">
        <x:v>Campus/portfolio roster; individual building occupancy unverified</x:v>
      </x:c>
      <x:c r="I7577" s="12" t="str">
        <x:v>Large enterprise</x:v>
      </x:c>
      <x:c r="J7577" s="12" t="str">
        <x:v>Professional services</x:v>
      </x:c>
      <x:c r="K7577" s="2" t="str">
        <x:v>PARTNER-M060</x:v>
      </x:c>
    </x:row>
    <x:row r="7578" ht="46" customHeight="1">
      <x:c r="A7578" s="2" t="str">
        <x:v>TEN-4E5768573B8D</x:v>
      </x:c>
      <x:c r="B7578" s="12" t="str">
        <x:v>Silverline India</x:v>
      </x:c>
      <x:c r="C7578" s="12" t="str">
        <x:v>CORP-0480</x:v>
      </x:c>
      <x:c r="D7578" s="12" t="str">
        <x:v>Bengaluru</x:v>
      </x:c>
      <x:c r="E7578" s="12" t="str">
        <x:v>Global Tech Park</x:v>
      </x:c>
      <x:c r="F7578" s="12" t="str">
        <x:v>55 inch</x:v>
      </x:c>
      <x:c r="G7578" s="20" t="n">
        <x:v>1</x:v>
      </x:c>
      <x:c r="H7578" s="12" t="str">
        <x:v>Campus/portfolio roster; individual building occupancy unverified</x:v>
      </x:c>
      <x:c r="I7578" s="12" t="str">
        <x:v>Small-scale prospects</x:v>
      </x:c>
      <x:c r="J7578" s="12" t="str">
        <x:v>IT &amp; digital</x:v>
      </x:c>
      <x:c r="K7578" s="2" t="str">
        <x:v>PARTNER-M060</x:v>
      </x:c>
    </x:row>
    <x:row r="7579" ht="46" customHeight="1">
      <x:c r="A7579" s="2" t="str">
        <x:v>TEN-508DF31D63FB</x:v>
      </x:c>
      <x:c r="B7579" s="12" t="str">
        <x:v>Vivero International</x:v>
      </x:c>
      <x:c r="C7579" s="12" t="str">
        <x:v>CORP-0480</x:v>
      </x:c>
      <x:c r="D7579" s="12" t="str">
        <x:v>Bengaluru</x:v>
      </x:c>
      <x:c r="E7579" s="12" t="str">
        <x:v>Global Tech Park</x:v>
      </x:c>
      <x:c r="F7579" s="12" t="str">
        <x:v>55 inch</x:v>
      </x:c>
      <x:c r="G7579" s="20" t="n">
        <x:v>1</x:v>
      </x:c>
      <x:c r="H7579" s="12" t="str">
        <x:v>Campus/portfolio roster; individual building occupancy unverified</x:v>
      </x:c>
      <x:c r="I7579" s="12" t="str">
        <x:v>Mixed business audience</x:v>
      </x:c>
      <x:c r="J7579" s="12" t="str">
        <x:v>Education</x:v>
      </x:c>
      <x:c r="K7579" s="2" t="str">
        <x:v>PARTNER-M060</x:v>
      </x:c>
    </x:row>
    <x:row r="7580" ht="46" customHeight="1">
      <x:c r="A7580" s="2" t="str">
        <x:v>TEN-592CC302663C</x:v>
      </x:c>
      <x:c r="B7580" s="12" t="str">
        <x:v>Vmware</x:v>
      </x:c>
      <x:c r="C7580" s="12" t="str">
        <x:v>CORP-0480</x:v>
      </x:c>
      <x:c r="D7580" s="12" t="str">
        <x:v>Bengaluru</x:v>
      </x:c>
      <x:c r="E7580" s="12" t="str">
        <x:v>Global Tech Park</x:v>
      </x:c>
      <x:c r="F7580" s="12" t="str">
        <x:v>55 inch</x:v>
      </x:c>
      <x:c r="G7580" s="20" t="n">
        <x:v>1</x:v>
      </x:c>
      <x:c r="H7580" s="12" t="str">
        <x:v>Campus/portfolio roster; individual building occupancy unverified</x:v>
      </x:c>
      <x:c r="I7580" s="12" t="str">
        <x:v>Mixed business audience</x:v>
      </x:c>
      <x:c r="J7580" s="12" t="str">
        <x:v>IT &amp; digital</x:v>
      </x:c>
      <x:c r="K7580" s="2" t="str">
        <x:v>PARTNER-M060</x:v>
      </x:c>
    </x:row>
    <x:row r="7581" ht="46" customHeight="1">
      <x:c r="A7581" s="2" t="str">
        <x:v>TEN-59997A67C490</x:v>
      </x:c>
      <x:c r="B7581" s="12" t="str">
        <x:v>West Pharmaceutical Services</x:v>
      </x:c>
      <x:c r="C7581" s="12" t="str">
        <x:v>CORP-0480</x:v>
      </x:c>
      <x:c r="D7581" s="12" t="str">
        <x:v>Bengaluru</x:v>
      </x:c>
      <x:c r="E7581" s="12" t="str">
        <x:v>Global Tech Park</x:v>
      </x:c>
      <x:c r="F7581" s="12" t="str">
        <x:v>55 inch</x:v>
      </x:c>
      <x:c r="G7581" s="20" t="n">
        <x:v>1</x:v>
      </x:c>
      <x:c r="H7581" s="12" t="str">
        <x:v>Campus/portfolio roster; individual building occupancy unverified</x:v>
      </x:c>
      <x:c r="I7581" s="12" t="str">
        <x:v>Mixed business audience</x:v>
      </x:c>
      <x:c r="J7581" s="12" t="str">
        <x:v>Healthcare &amp; life sciences</x:v>
      </x:c>
      <x:c r="K7581" s="2" t="str">
        <x:v>PARTNER-M060</x:v>
      </x:c>
    </x:row>
    <x:row r="7582" ht="46" customHeight="1">
      <x:c r="A7582" s="2" t="str">
        <x:v>TEN-746A33411251</x:v>
      </x:c>
      <x:c r="B7582" s="12" t="str">
        <x:v>Tangoe India Softek Services Pvt Ltd</x:v>
      </x:c>
      <x:c r="C7582" s="12" t="str">
        <x:v>CORP-0480</x:v>
      </x:c>
      <x:c r="D7582" s="12" t="str">
        <x:v>Bengaluru</x:v>
      </x:c>
      <x:c r="E7582" s="12" t="str">
        <x:v>Global Tech Park</x:v>
      </x:c>
      <x:c r="F7582" s="12" t="str">
        <x:v>55 inch</x:v>
      </x:c>
      <x:c r="G7582" s="20" t="n">
        <x:v>1</x:v>
      </x:c>
      <x:c r="H7582" s="12" t="str">
        <x:v>Campus/portfolio roster; individual building occupancy unverified</x:v>
      </x:c>
      <x:c r="I7582" s="12" t="str">
        <x:v>Mixed business audience</x:v>
      </x:c>
      <x:c r="J7582" s="12" t="str">
        <x:v>IT &amp; digital</x:v>
      </x:c>
      <x:c r="K7582" s="2" t="str">
        <x:v>PARTNER-M060</x:v>
      </x:c>
    </x:row>
    <x:row r="7583" ht="46" customHeight="1">
      <x:c r="A7583" s="2" t="str">
        <x:v>TEN-7E0E7F63D0E5</x:v>
      </x:c>
      <x:c r="B7583" s="12" t="str">
        <x:v>FP Tech Science Pvt. Ltd</x:v>
      </x:c>
      <x:c r="C7583" s="12" t="str">
        <x:v>CORP-0480</x:v>
      </x:c>
      <x:c r="D7583" s="12" t="str">
        <x:v>Bengaluru</x:v>
      </x:c>
      <x:c r="E7583" s="12" t="str">
        <x:v>Global Tech Park</x:v>
      </x:c>
      <x:c r="F7583" s="12" t="str">
        <x:v>55 inch</x:v>
      </x:c>
      <x:c r="G7583" s="20" t="n">
        <x:v>1</x:v>
      </x:c>
      <x:c r="H7583" s="12" t="str">
        <x:v>Campus/portfolio roster; individual building occupancy unverified</x:v>
      </x:c>
      <x:c r="I7583" s="12" t="str">
        <x:v>Mixed business audience</x:v>
      </x:c>
      <x:c r="J7583" s="12" t="str">
        <x:v>Unresolved</x:v>
      </x:c>
      <x:c r="K7583" s="2" t="str">
        <x:v>PARTNER-M060</x:v>
      </x:c>
    </x:row>
    <x:row r="7584" ht="46" customHeight="1">
      <x:c r="A7584" s="2" t="str">
        <x:v>TEN-84308BEA4540</x:v>
      </x:c>
      <x:c r="B7584" s="12" t="str">
        <x:v>LinkedIn</x:v>
      </x:c>
      <x:c r="C7584" s="12" t="str">
        <x:v>CORP-0480</x:v>
      </x:c>
      <x:c r="D7584" s="12" t="str">
        <x:v>Bengaluru</x:v>
      </x:c>
      <x:c r="E7584" s="12" t="str">
        <x:v>Global Tech Park</x:v>
      </x:c>
      <x:c r="F7584" s="12" t="str">
        <x:v>55 inch</x:v>
      </x:c>
      <x:c r="G7584" s="20" t="n">
        <x:v>1</x:v>
      </x:c>
      <x:c r="H7584" s="12" t="str">
        <x:v>Campus/portfolio roster; individual building occupancy unverified</x:v>
      </x:c>
      <x:c r="I7584" s="12" t="str">
        <x:v>Large enterprise</x:v>
      </x:c>
      <x:c r="J7584" s="12" t="str">
        <x:v>IT &amp; digital</x:v>
      </x:c>
      <x:c r="K7584" s="2" t="str">
        <x:v>PARTNER-M060</x:v>
      </x:c>
    </x:row>
    <x:row r="7585" ht="46" customHeight="1">
      <x:c r="A7585" s="2" t="str">
        <x:v>TEN-908C50BA6687</x:v>
      </x:c>
      <x:c r="B7585" s="12" t="str">
        <x:v>TalbotFORCE</x:v>
      </x:c>
      <x:c r="C7585" s="12" t="str">
        <x:v>CORP-0480</x:v>
      </x:c>
      <x:c r="D7585" s="12" t="str">
        <x:v>Bengaluru</x:v>
      </x:c>
      <x:c r="E7585" s="12" t="str">
        <x:v>Global Tech Park</x:v>
      </x:c>
      <x:c r="F7585" s="12" t="str">
        <x:v>55 inch</x:v>
      </x:c>
      <x:c r="G7585" s="20" t="n">
        <x:v>1</x:v>
      </x:c>
      <x:c r="H7585" s="12" t="str">
        <x:v>Campus/portfolio roster; individual building occupancy unverified</x:v>
      </x:c>
      <x:c r="I7585" s="12" t="str">
        <x:v>Small-scale prospects</x:v>
      </x:c>
      <x:c r="J7585" s="12" t="str">
        <x:v>IT &amp; digital</x:v>
      </x:c>
      <x:c r="K7585" s="2" t="str">
        <x:v>PARTNER-M060</x:v>
      </x:c>
    </x:row>
    <x:row r="7586" ht="46" customHeight="1">
      <x:c r="A7586" s="2" t="str">
        <x:v>TEN-91C2E0669804</x:v>
      </x:c>
      <x:c r="B7586" s="12" t="str">
        <x:v>Saviynt</x:v>
      </x:c>
      <x:c r="C7586" s="12" t="str">
        <x:v>CORP-0480</x:v>
      </x:c>
      <x:c r="D7586" s="12" t="str">
        <x:v>Bengaluru</x:v>
      </x:c>
      <x:c r="E7586" s="12" t="str">
        <x:v>Global Tech Park</x:v>
      </x:c>
      <x:c r="F7586" s="12" t="str">
        <x:v>55 inch</x:v>
      </x:c>
      <x:c r="G7586" s="20" t="n">
        <x:v>1</x:v>
      </x:c>
      <x:c r="H7586" s="12" t="str">
        <x:v>Campus/portfolio roster; individual building occupancy unverified</x:v>
      </x:c>
      <x:c r="I7586" s="12" t="str">
        <x:v>Small-scale prospects</x:v>
      </x:c>
      <x:c r="J7586" s="12" t="str">
        <x:v>IT &amp; digital</x:v>
      </x:c>
      <x:c r="K7586" s="2" t="str">
        <x:v>PARTNER-M060</x:v>
      </x:c>
    </x:row>
    <x:row r="7587" ht="46" customHeight="1">
      <x:c r="A7587" s="2" t="str">
        <x:v>TEN-93C4CDB211E2</x:v>
      </x:c>
      <x:c r="B7587" s="12" t="str">
        <x:v>Impact Analytics</x:v>
      </x:c>
      <x:c r="C7587" s="12" t="str">
        <x:v>CORP-0480</x:v>
      </x:c>
      <x:c r="D7587" s="12" t="str">
        <x:v>Bengaluru</x:v>
      </x:c>
      <x:c r="E7587" s="12" t="str">
        <x:v>Global Tech Park</x:v>
      </x:c>
      <x:c r="F7587" s="12" t="str">
        <x:v>55 inch</x:v>
      </x:c>
      <x:c r="G7587" s="20" t="n">
        <x:v>1</x:v>
      </x:c>
      <x:c r="H7587" s="12" t="str">
        <x:v>Campus/portfolio roster; individual building occupancy unverified</x:v>
      </x:c>
      <x:c r="I7587" s="12" t="str">
        <x:v>Small-scale prospects</x:v>
      </x:c>
      <x:c r="J7587" s="12" t="str">
        <x:v>IT &amp; digital</x:v>
      </x:c>
      <x:c r="K7587" s="2" t="str">
        <x:v>PARTNER-M060</x:v>
      </x:c>
    </x:row>
    <x:row r="7588" ht="46" customHeight="1">
      <x:c r="A7588" s="2" t="str">
        <x:v>TEN-97101BD39450</x:v>
      </x:c>
      <x:c r="B7588" s="12" t="str">
        <x:v>Marvell India Pvt. Ltd</x:v>
      </x:c>
      <x:c r="C7588" s="12" t="str">
        <x:v>CORP-0480</x:v>
      </x:c>
      <x:c r="D7588" s="12" t="str">
        <x:v>Bengaluru</x:v>
      </x:c>
      <x:c r="E7588" s="12" t="str">
        <x:v>Global Tech Park</x:v>
      </x:c>
      <x:c r="F7588" s="12" t="str">
        <x:v>55 inch</x:v>
      </x:c>
      <x:c r="G7588" s="20" t="n">
        <x:v>1</x:v>
      </x:c>
      <x:c r="H7588" s="12" t="str">
        <x:v>Campus/portfolio roster; individual building occupancy unverified</x:v>
      </x:c>
      <x:c r="I7588" s="12" t="str">
        <x:v>Mixed business audience</x:v>
      </x:c>
      <x:c r="J7588" s="12" t="str">
        <x:v>Engineering &amp; manufacturing</x:v>
      </x:c>
      <x:c r="K7588" s="2" t="str">
        <x:v>PARTNER-M060</x:v>
      </x:c>
    </x:row>
    <x:row r="7589" ht="46" customHeight="1">
      <x:c r="A7589" s="2" t="str">
        <x:v>TEN-B4E81D471B4A</x:v>
      </x:c>
      <x:c r="B7589" s="12" t="str">
        <x:v>Yazaki India Technical Center</x:v>
      </x:c>
      <x:c r="C7589" s="12" t="str">
        <x:v>CORP-0480</x:v>
      </x:c>
      <x:c r="D7589" s="12" t="str">
        <x:v>Bengaluru</x:v>
      </x:c>
      <x:c r="E7589" s="12" t="str">
        <x:v>Global Tech Park</x:v>
      </x:c>
      <x:c r="F7589" s="12" t="str">
        <x:v>55 inch</x:v>
      </x:c>
      <x:c r="G7589" s="20" t="n">
        <x:v>1</x:v>
      </x:c>
      <x:c r="H7589" s="12" t="str">
        <x:v>Campus/portfolio roster; individual building occupancy unverified</x:v>
      </x:c>
      <x:c r="I7589" s="12" t="str">
        <x:v>Mixed business audience</x:v>
      </x:c>
      <x:c r="J7589" s="12" t="str">
        <x:v>Engineering &amp; manufacturing</x:v>
      </x:c>
      <x:c r="K7589" s="2" t="str">
        <x:v>PARTNER-M060</x:v>
      </x:c>
    </x:row>
    <x:row r="7590" ht="46" customHeight="1">
      <x:c r="A7590" s="2" t="str">
        <x:v>TEN-B7B27EA467E4</x:v>
      </x:c>
      <x:c r="B7590" s="12" t="str">
        <x:v>Versa Networks</x:v>
      </x:c>
      <x:c r="C7590" s="12" t="str">
        <x:v>CORP-0480</x:v>
      </x:c>
      <x:c r="D7590" s="12" t="str">
        <x:v>Bengaluru</x:v>
      </x:c>
      <x:c r="E7590" s="12" t="str">
        <x:v>Global Tech Park</x:v>
      </x:c>
      <x:c r="F7590" s="12" t="str">
        <x:v>55 inch</x:v>
      </x:c>
      <x:c r="G7590" s="20" t="n">
        <x:v>1</x:v>
      </x:c>
      <x:c r="H7590" s="12" t="str">
        <x:v>Campus/portfolio roster; individual building occupancy unverified</x:v>
      </x:c>
      <x:c r="I7590" s="12" t="str">
        <x:v>Mixed business audience</x:v>
      </x:c>
      <x:c r="J7590" s="12" t="str">
        <x:v>IT &amp; digital</x:v>
      </x:c>
      <x:c r="K7590" s="2" t="str">
        <x:v>PARTNER-M060</x:v>
      </x:c>
    </x:row>
    <x:row r="7591" ht="46" customHeight="1">
      <x:c r="A7591" s="2" t="str">
        <x:v>TEN-C09DEE999673</x:v>
      </x:c>
      <x:c r="B7591" s="12" t="str">
        <x:v>Vodafone</x:v>
      </x:c>
      <x:c r="C7591" s="12" t="str">
        <x:v>CORP-0480</x:v>
      </x:c>
      <x:c r="D7591" s="12" t="str">
        <x:v>Bengaluru</x:v>
      </x:c>
      <x:c r="E7591" s="12" t="str">
        <x:v>Global Tech Park</x:v>
      </x:c>
      <x:c r="F7591" s="12" t="str">
        <x:v>55 inch</x:v>
      </x:c>
      <x:c r="G7591" s="20" t="n">
        <x:v>1</x:v>
      </x:c>
      <x:c r="H7591" s="12" t="str">
        <x:v>Campus/portfolio roster; individual building occupancy unverified</x:v>
      </x:c>
      <x:c r="I7591" s="12" t="str">
        <x:v>Mixed business audience</x:v>
      </x:c>
      <x:c r="J7591" s="12" t="str">
        <x:v>IT &amp; digital</x:v>
      </x:c>
      <x:c r="K7591" s="2" t="str">
        <x:v>PARTNER-M060</x:v>
      </x:c>
    </x:row>
    <x:row r="7592" ht="46" customHeight="1">
      <x:c r="A7592" s="2" t="str">
        <x:v>TEN-CA79984DBED3</x:v>
      </x:c>
      <x:c r="B7592" s="12" t="str">
        <x:v>Huron Eurasia India Private Limited</x:v>
      </x:c>
      <x:c r="C7592" s="12" t="str">
        <x:v>CORP-0480</x:v>
      </x:c>
      <x:c r="D7592" s="12" t="str">
        <x:v>Bengaluru</x:v>
      </x:c>
      <x:c r="E7592" s="12" t="str">
        <x:v>Global Tech Park</x:v>
      </x:c>
      <x:c r="F7592" s="12" t="str">
        <x:v>55 inch</x:v>
      </x:c>
      <x:c r="G7592" s="20" t="n">
        <x:v>1</x:v>
      </x:c>
      <x:c r="H7592" s="12" t="str">
        <x:v>Campus/portfolio roster; individual building occupancy unverified</x:v>
      </x:c>
      <x:c r="I7592" s="12" t="str">
        <x:v>Mixed business audience</x:v>
      </x:c>
      <x:c r="J7592" s="12" t="str">
        <x:v>Professional services</x:v>
      </x:c>
      <x:c r="K7592" s="2" t="str">
        <x:v>PARTNER-M060</x:v>
      </x:c>
    </x:row>
    <x:row r="7593" ht="46" customHeight="1">
      <x:c r="A7593" s="2" t="str">
        <x:v>TEN-E5E8BA3801BC</x:v>
      </x:c>
      <x:c r="B7593" s="12" t="str">
        <x:v>SkyPoint Cloud Inc</x:v>
      </x:c>
      <x:c r="C7593" s="12" t="str">
        <x:v>CORP-0480</x:v>
      </x:c>
      <x:c r="D7593" s="12" t="str">
        <x:v>Bengaluru</x:v>
      </x:c>
      <x:c r="E7593" s="12" t="str">
        <x:v>Global Tech Park</x:v>
      </x:c>
      <x:c r="F7593" s="12" t="str">
        <x:v>55 inch</x:v>
      </x:c>
      <x:c r="G7593" s="20" t="n">
        <x:v>1</x:v>
      </x:c>
      <x:c r="H7593" s="12" t="str">
        <x:v>Campus/portfolio roster; individual building occupancy unverified</x:v>
      </x:c>
      <x:c r="I7593" s="12" t="str">
        <x:v>Small-scale prospects</x:v>
      </x:c>
      <x:c r="J7593" s="12" t="str">
        <x:v>IT &amp; digital</x:v>
      </x:c>
      <x:c r="K7593" s="2" t="str">
        <x:v>PARTNER-M060</x:v>
      </x:c>
    </x:row>
    <x:row r="7594" ht="46" customHeight="1">
      <x:c r="A7594" s="2" t="str">
        <x:v>TEN-F9B7C2EA54C9</x:v>
      </x:c>
      <x:c r="B7594" s="12" t="str">
        <x:v>GSN Games</x:v>
      </x:c>
      <x:c r="C7594" s="12" t="str">
        <x:v>CORP-0480</x:v>
      </x:c>
      <x:c r="D7594" s="12" t="str">
        <x:v>Bengaluru</x:v>
      </x:c>
      <x:c r="E7594" s="12" t="str">
        <x:v>Global Tech Park</x:v>
      </x:c>
      <x:c r="F7594" s="12" t="str">
        <x:v>55 inch</x:v>
      </x:c>
      <x:c r="G7594" s="20" t="n">
        <x:v>1</x:v>
      </x:c>
      <x:c r="H7594" s="12" t="str">
        <x:v>Campus/portfolio roster; individual building occupancy unverified</x:v>
      </x:c>
      <x:c r="I7594" s="12" t="str">
        <x:v>Mixed business audience</x:v>
      </x:c>
      <x:c r="J7594" s="12" t="str">
        <x:v>Trade, consumer &amp; logistics</x:v>
      </x:c>
      <x:c r="K7594" s="2" t="str">
        <x:v>PARTNER-M060</x:v>
      </x:c>
    </x:row>
    <x:row r="7595" ht="46" customHeight="1">
      <x:c r="A7595" s="2" t="str">
        <x:v>TEN-0D3128AFC517</x:v>
      </x:c>
      <x:c r="B7595" s="12" t="str">
        <x:v>Texila Educational &amp; Management Services Pvt Ltd</x:v>
      </x:c>
      <x:c r="C7595" s="12" t="str">
        <x:v>CORP-0481</x:v>
      </x:c>
      <x:c r="D7595" s="12" t="str">
        <x:v>Bengaluru</x:v>
      </x:c>
      <x:c r="E7595" s="12" t="str">
        <x:v>Global Tech Park</x:v>
      </x:c>
      <x:c r="F7595" s="12" t="str">
        <x:v>55 inch</x:v>
      </x:c>
      <x:c r="G7595" s="20" t="n">
        <x:v>1</x:v>
      </x:c>
      <x:c r="H7595" s="12" t="str">
        <x:v>Campus/portfolio roster; individual building occupancy unverified</x:v>
      </x:c>
      <x:c r="I7595" s="12" t="str">
        <x:v>Small-scale prospects</x:v>
      </x:c>
      <x:c r="J7595" s="12" t="str">
        <x:v>Education</x:v>
      </x:c>
      <x:c r="K7595" s="2" t="str">
        <x:v>PARTNER-M060</x:v>
      </x:c>
    </x:row>
    <x:row r="7596" ht="46" customHeight="1">
      <x:c r="A7596" s="2" t="str">
        <x:v>TEN-25DB5104E8F5</x:v>
      </x:c>
      <x:c r="B7596" s="12" t="str">
        <x:v>Kwalee India</x:v>
      </x:c>
      <x:c r="C7596" s="12" t="str">
        <x:v>CORP-0481</x:v>
      </x:c>
      <x:c r="D7596" s="12" t="str">
        <x:v>Bengaluru</x:v>
      </x:c>
      <x:c r="E7596" s="12" t="str">
        <x:v>Global Tech Park</x:v>
      </x:c>
      <x:c r="F7596" s="12" t="str">
        <x:v>55 inch</x:v>
      </x:c>
      <x:c r="G7596" s="20" t="n">
        <x:v>1</x:v>
      </x:c>
      <x:c r="H7596" s="12" t="str">
        <x:v>Campus/portfolio roster; individual building occupancy unverified</x:v>
      </x:c>
      <x:c r="I7596" s="12" t="str">
        <x:v>Mixed business audience</x:v>
      </x:c>
      <x:c r="J7596" s="12" t="str">
        <x:v>Trade, consumer &amp; logistics</x:v>
      </x:c>
      <x:c r="K7596" s="2" t="str">
        <x:v>PARTNER-M060</x:v>
      </x:c>
    </x:row>
    <x:row r="7597" ht="46" customHeight="1">
      <x:c r="A7597" s="2" t="str">
        <x:v>TEN-26B92272F90D</x:v>
      </x:c>
      <x:c r="B7597" s="12" t="str">
        <x:v>Marvell Semiconductors</x:v>
      </x:c>
      <x:c r="C7597" s="12" t="str">
        <x:v>CORP-0481</x:v>
      </x:c>
      <x:c r="D7597" s="12" t="str">
        <x:v>Bengaluru</x:v>
      </x:c>
      <x:c r="E7597" s="12" t="str">
        <x:v>Global Tech Park</x:v>
      </x:c>
      <x:c r="F7597" s="12" t="str">
        <x:v>55 inch</x:v>
      </x:c>
      <x:c r="G7597" s="20" t="n">
        <x:v>1</x:v>
      </x:c>
      <x:c r="H7597" s="12" t="str">
        <x:v>Campus/portfolio roster; individual building occupancy unverified</x:v>
      </x:c>
      <x:c r="I7597" s="12" t="str">
        <x:v>Mixed business audience</x:v>
      </x:c>
      <x:c r="J7597" s="12" t="str">
        <x:v>Engineering &amp; manufacturing</x:v>
      </x:c>
      <x:c r="K7597" s="2" t="str">
        <x:v>PARTNER-M060</x:v>
      </x:c>
    </x:row>
    <x:row r="7598" ht="46" customHeight="1">
      <x:c r="A7598" s="2" t="str">
        <x:v>TEN-3F5468F56323</x:v>
      </x:c>
      <x:c r="B7598" s="12" t="str">
        <x:v>Fastenal</x:v>
      </x:c>
      <x:c r="C7598" s="12" t="str">
        <x:v>CORP-0481</x:v>
      </x:c>
      <x:c r="D7598" s="12" t="str">
        <x:v>Bengaluru</x:v>
      </x:c>
      <x:c r="E7598" s="12" t="str">
        <x:v>Global Tech Park</x:v>
      </x:c>
      <x:c r="F7598" s="12" t="str">
        <x:v>55 inch</x:v>
      </x:c>
      <x:c r="G7598" s="20" t="n">
        <x:v>1</x:v>
      </x:c>
      <x:c r="H7598" s="12" t="str">
        <x:v>Campus/portfolio roster; individual building occupancy unverified</x:v>
      </x:c>
      <x:c r="I7598" s="12" t="str">
        <x:v>Mixed business audience</x:v>
      </x:c>
      <x:c r="J7598" s="12" t="str">
        <x:v>Engineering &amp; manufacturing</x:v>
      </x:c>
      <x:c r="K7598" s="2" t="str">
        <x:v>PARTNER-M060</x:v>
      </x:c>
    </x:row>
    <x:row r="7599" ht="46" customHeight="1">
      <x:c r="A7599" s="2" t="str">
        <x:v>TEN-44C551CDCABF</x:v>
      </x:c>
      <x:c r="B7599" s="12" t="str">
        <x:v>EPAM Bangalore</x:v>
      </x:c>
      <x:c r="C7599" s="12" t="str">
        <x:v>CORP-0481</x:v>
      </x:c>
      <x:c r="D7599" s="12" t="str">
        <x:v>Bengaluru</x:v>
      </x:c>
      <x:c r="E7599" s="12" t="str">
        <x:v>Global Tech Park</x:v>
      </x:c>
      <x:c r="F7599" s="12" t="str">
        <x:v>55 inch</x:v>
      </x:c>
      <x:c r="G7599" s="20" t="n">
        <x:v>1</x:v>
      </x:c>
      <x:c r="H7599" s="12" t="str">
        <x:v>Campus/portfolio roster; individual building occupancy unverified</x:v>
      </x:c>
      <x:c r="I7599" s="12" t="str">
        <x:v>Large enterprise</x:v>
      </x:c>
      <x:c r="J7599" s="12" t="str">
        <x:v>IT &amp; digital</x:v>
      </x:c>
      <x:c r="K7599" s="2" t="str">
        <x:v>PARTNER-M060</x:v>
      </x:c>
    </x:row>
    <x:row r="7600" ht="46" customHeight="1">
      <x:c r="A7600" s="2" t="str">
        <x:v>TEN-4DB2CCE9A521</x:v>
      </x:c>
      <x:c r="B7600" s="12" t="str">
        <x:v>KPMG Global Services</x:v>
      </x:c>
      <x:c r="C7600" s="12" t="str">
        <x:v>CORP-0481</x:v>
      </x:c>
      <x:c r="D7600" s="12" t="str">
        <x:v>Bengaluru</x:v>
      </x:c>
      <x:c r="E7600" s="12" t="str">
        <x:v>Global Tech Park</x:v>
      </x:c>
      <x:c r="F7600" s="12" t="str">
        <x:v>55 inch</x:v>
      </x:c>
      <x:c r="G7600" s="20" t="n">
        <x:v>1</x:v>
      </x:c>
      <x:c r="H7600" s="12" t="str">
        <x:v>Campus/portfolio roster; individual building occupancy unverified</x:v>
      </x:c>
      <x:c r="I7600" s="12" t="str">
        <x:v>Large enterprise</x:v>
      </x:c>
      <x:c r="J7600" s="12" t="str">
        <x:v>Professional services</x:v>
      </x:c>
      <x:c r="K7600" s="2" t="str">
        <x:v>PARTNER-M060</x:v>
      </x:c>
    </x:row>
    <x:row r="7601" ht="46" customHeight="1">
      <x:c r="A7601" s="2" t="str">
        <x:v>TEN-4E5768573B8D</x:v>
      </x:c>
      <x:c r="B7601" s="12" t="str">
        <x:v>Silverline India</x:v>
      </x:c>
      <x:c r="C7601" s="12" t="str">
        <x:v>CORP-0481</x:v>
      </x:c>
      <x:c r="D7601" s="12" t="str">
        <x:v>Bengaluru</x:v>
      </x:c>
      <x:c r="E7601" s="12" t="str">
        <x:v>Global Tech Park</x:v>
      </x:c>
      <x:c r="F7601" s="12" t="str">
        <x:v>55 inch</x:v>
      </x:c>
      <x:c r="G7601" s="20" t="n">
        <x:v>1</x:v>
      </x:c>
      <x:c r="H7601" s="12" t="str">
        <x:v>Campus/portfolio roster; individual building occupancy unverified</x:v>
      </x:c>
      <x:c r="I7601" s="12" t="str">
        <x:v>Small-scale prospects</x:v>
      </x:c>
      <x:c r="J7601" s="12" t="str">
        <x:v>IT &amp; digital</x:v>
      </x:c>
      <x:c r="K7601" s="2" t="str">
        <x:v>PARTNER-M060</x:v>
      </x:c>
    </x:row>
    <x:row r="7602" ht="46" customHeight="1">
      <x:c r="A7602" s="2" t="str">
        <x:v>TEN-508DF31D63FB</x:v>
      </x:c>
      <x:c r="B7602" s="12" t="str">
        <x:v>Vivero International</x:v>
      </x:c>
      <x:c r="C7602" s="12" t="str">
        <x:v>CORP-0481</x:v>
      </x:c>
      <x:c r="D7602" s="12" t="str">
        <x:v>Bengaluru</x:v>
      </x:c>
      <x:c r="E7602" s="12" t="str">
        <x:v>Global Tech Park</x:v>
      </x:c>
      <x:c r="F7602" s="12" t="str">
        <x:v>55 inch</x:v>
      </x:c>
      <x:c r="G7602" s="20" t="n">
        <x:v>1</x:v>
      </x:c>
      <x:c r="H7602" s="12" t="str">
        <x:v>Campus/portfolio roster; individual building occupancy unverified</x:v>
      </x:c>
      <x:c r="I7602" s="12" t="str">
        <x:v>Mixed business audience</x:v>
      </x:c>
      <x:c r="J7602" s="12" t="str">
        <x:v>Education</x:v>
      </x:c>
      <x:c r="K7602" s="2" t="str">
        <x:v>PARTNER-M060</x:v>
      </x:c>
    </x:row>
    <x:row r="7603" ht="46" customHeight="1">
      <x:c r="A7603" s="2" t="str">
        <x:v>TEN-592CC302663C</x:v>
      </x:c>
      <x:c r="B7603" s="12" t="str">
        <x:v>Vmware</x:v>
      </x:c>
      <x:c r="C7603" s="12" t="str">
        <x:v>CORP-0481</x:v>
      </x:c>
      <x:c r="D7603" s="12" t="str">
        <x:v>Bengaluru</x:v>
      </x:c>
      <x:c r="E7603" s="12" t="str">
        <x:v>Global Tech Park</x:v>
      </x:c>
      <x:c r="F7603" s="12" t="str">
        <x:v>55 inch</x:v>
      </x:c>
      <x:c r="G7603" s="20" t="n">
        <x:v>1</x:v>
      </x:c>
      <x:c r="H7603" s="12" t="str">
        <x:v>Campus/portfolio roster; individual building occupancy unverified</x:v>
      </x:c>
      <x:c r="I7603" s="12" t="str">
        <x:v>Mixed business audience</x:v>
      </x:c>
      <x:c r="J7603" s="12" t="str">
        <x:v>IT &amp; digital</x:v>
      </x:c>
      <x:c r="K7603" s="2" t="str">
        <x:v>PARTNER-M060</x:v>
      </x:c>
    </x:row>
    <x:row r="7604" ht="46" customHeight="1">
      <x:c r="A7604" s="2" t="str">
        <x:v>TEN-59997A67C490</x:v>
      </x:c>
      <x:c r="B7604" s="12" t="str">
        <x:v>West Pharmaceutical Services</x:v>
      </x:c>
      <x:c r="C7604" s="12" t="str">
        <x:v>CORP-0481</x:v>
      </x:c>
      <x:c r="D7604" s="12" t="str">
        <x:v>Bengaluru</x:v>
      </x:c>
      <x:c r="E7604" s="12" t="str">
        <x:v>Global Tech Park</x:v>
      </x:c>
      <x:c r="F7604" s="12" t="str">
        <x:v>55 inch</x:v>
      </x:c>
      <x:c r="G7604" s="20" t="n">
        <x:v>1</x:v>
      </x:c>
      <x:c r="H7604" s="12" t="str">
        <x:v>Campus/portfolio roster; individual building occupancy unverified</x:v>
      </x:c>
      <x:c r="I7604" s="12" t="str">
        <x:v>Mixed business audience</x:v>
      </x:c>
      <x:c r="J7604" s="12" t="str">
        <x:v>Healthcare &amp; life sciences</x:v>
      </x:c>
      <x:c r="K7604" s="2" t="str">
        <x:v>PARTNER-M060</x:v>
      </x:c>
    </x:row>
    <x:row r="7605" ht="46" customHeight="1">
      <x:c r="A7605" s="2" t="str">
        <x:v>TEN-746A33411251</x:v>
      </x:c>
      <x:c r="B7605" s="12" t="str">
        <x:v>Tangoe India Softek Services Pvt Ltd</x:v>
      </x:c>
      <x:c r="C7605" s="12" t="str">
        <x:v>CORP-0481</x:v>
      </x:c>
      <x:c r="D7605" s="12" t="str">
        <x:v>Bengaluru</x:v>
      </x:c>
      <x:c r="E7605" s="12" t="str">
        <x:v>Global Tech Park</x:v>
      </x:c>
      <x:c r="F7605" s="12" t="str">
        <x:v>55 inch</x:v>
      </x:c>
      <x:c r="G7605" s="20" t="n">
        <x:v>1</x:v>
      </x:c>
      <x:c r="H7605" s="12" t="str">
        <x:v>Campus/portfolio roster; individual building occupancy unverified</x:v>
      </x:c>
      <x:c r="I7605" s="12" t="str">
        <x:v>Mixed business audience</x:v>
      </x:c>
      <x:c r="J7605" s="12" t="str">
        <x:v>IT &amp; digital</x:v>
      </x:c>
      <x:c r="K7605" s="2" t="str">
        <x:v>PARTNER-M060</x:v>
      </x:c>
    </x:row>
    <x:row r="7606" ht="46" customHeight="1">
      <x:c r="A7606" s="2" t="str">
        <x:v>TEN-7E0E7F63D0E5</x:v>
      </x:c>
      <x:c r="B7606" s="12" t="str">
        <x:v>FP Tech Science Pvt. Ltd</x:v>
      </x:c>
      <x:c r="C7606" s="12" t="str">
        <x:v>CORP-0481</x:v>
      </x:c>
      <x:c r="D7606" s="12" t="str">
        <x:v>Bengaluru</x:v>
      </x:c>
      <x:c r="E7606" s="12" t="str">
        <x:v>Global Tech Park</x:v>
      </x:c>
      <x:c r="F7606" s="12" t="str">
        <x:v>55 inch</x:v>
      </x:c>
      <x:c r="G7606" s="20" t="n">
        <x:v>1</x:v>
      </x:c>
      <x:c r="H7606" s="12" t="str">
        <x:v>Campus/portfolio roster; individual building occupancy unverified</x:v>
      </x:c>
      <x:c r="I7606" s="12" t="str">
        <x:v>Mixed business audience</x:v>
      </x:c>
      <x:c r="J7606" s="12" t="str">
        <x:v>Unresolved</x:v>
      </x:c>
      <x:c r="K7606" s="2" t="str">
        <x:v>PARTNER-M060</x:v>
      </x:c>
    </x:row>
    <x:row r="7607" ht="46" customHeight="1">
      <x:c r="A7607" s="2" t="str">
        <x:v>TEN-84308BEA4540</x:v>
      </x:c>
      <x:c r="B7607" s="12" t="str">
        <x:v>LinkedIn</x:v>
      </x:c>
      <x:c r="C7607" s="12" t="str">
        <x:v>CORP-0481</x:v>
      </x:c>
      <x:c r="D7607" s="12" t="str">
        <x:v>Bengaluru</x:v>
      </x:c>
      <x:c r="E7607" s="12" t="str">
        <x:v>Global Tech Park</x:v>
      </x:c>
      <x:c r="F7607" s="12" t="str">
        <x:v>55 inch</x:v>
      </x:c>
      <x:c r="G7607" s="20" t="n">
        <x:v>1</x:v>
      </x:c>
      <x:c r="H7607" s="12" t="str">
        <x:v>Campus/portfolio roster; individual building occupancy unverified</x:v>
      </x:c>
      <x:c r="I7607" s="12" t="str">
        <x:v>Large enterprise</x:v>
      </x:c>
      <x:c r="J7607" s="12" t="str">
        <x:v>IT &amp; digital</x:v>
      </x:c>
      <x:c r="K7607" s="2" t="str">
        <x:v>PARTNER-M060</x:v>
      </x:c>
    </x:row>
    <x:row r="7608" ht="46" customHeight="1">
      <x:c r="A7608" s="2" t="str">
        <x:v>TEN-908C50BA6687</x:v>
      </x:c>
      <x:c r="B7608" s="12" t="str">
        <x:v>TalbotFORCE</x:v>
      </x:c>
      <x:c r="C7608" s="12" t="str">
        <x:v>CORP-0481</x:v>
      </x:c>
      <x:c r="D7608" s="12" t="str">
        <x:v>Bengaluru</x:v>
      </x:c>
      <x:c r="E7608" s="12" t="str">
        <x:v>Global Tech Park</x:v>
      </x:c>
      <x:c r="F7608" s="12" t="str">
        <x:v>55 inch</x:v>
      </x:c>
      <x:c r="G7608" s="20" t="n">
        <x:v>1</x:v>
      </x:c>
      <x:c r="H7608" s="12" t="str">
        <x:v>Campus/portfolio roster; individual building occupancy unverified</x:v>
      </x:c>
      <x:c r="I7608" s="12" t="str">
        <x:v>Small-scale prospects</x:v>
      </x:c>
      <x:c r="J7608" s="12" t="str">
        <x:v>IT &amp; digital</x:v>
      </x:c>
      <x:c r="K7608" s="2" t="str">
        <x:v>PARTNER-M060</x:v>
      </x:c>
    </x:row>
    <x:row r="7609" ht="46" customHeight="1">
      <x:c r="A7609" s="2" t="str">
        <x:v>TEN-91C2E0669804</x:v>
      </x:c>
      <x:c r="B7609" s="12" t="str">
        <x:v>Saviynt</x:v>
      </x:c>
      <x:c r="C7609" s="12" t="str">
        <x:v>CORP-0481</x:v>
      </x:c>
      <x:c r="D7609" s="12" t="str">
        <x:v>Bengaluru</x:v>
      </x:c>
      <x:c r="E7609" s="12" t="str">
        <x:v>Global Tech Park</x:v>
      </x:c>
      <x:c r="F7609" s="12" t="str">
        <x:v>55 inch</x:v>
      </x:c>
      <x:c r="G7609" s="20" t="n">
        <x:v>1</x:v>
      </x:c>
      <x:c r="H7609" s="12" t="str">
        <x:v>Campus/portfolio roster; individual building occupancy unverified</x:v>
      </x:c>
      <x:c r="I7609" s="12" t="str">
        <x:v>Small-scale prospects</x:v>
      </x:c>
      <x:c r="J7609" s="12" t="str">
        <x:v>IT &amp; digital</x:v>
      </x:c>
      <x:c r="K7609" s="2" t="str">
        <x:v>PARTNER-M060</x:v>
      </x:c>
    </x:row>
    <x:row r="7610" ht="46" customHeight="1">
      <x:c r="A7610" s="2" t="str">
        <x:v>TEN-93C4CDB211E2</x:v>
      </x:c>
      <x:c r="B7610" s="12" t="str">
        <x:v>Impact Analytics</x:v>
      </x:c>
      <x:c r="C7610" s="12" t="str">
        <x:v>CORP-0481</x:v>
      </x:c>
      <x:c r="D7610" s="12" t="str">
        <x:v>Bengaluru</x:v>
      </x:c>
      <x:c r="E7610" s="12" t="str">
        <x:v>Global Tech Park</x:v>
      </x:c>
      <x:c r="F7610" s="12" t="str">
        <x:v>55 inch</x:v>
      </x:c>
      <x:c r="G7610" s="20" t="n">
        <x:v>1</x:v>
      </x:c>
      <x:c r="H7610" s="12" t="str">
        <x:v>Campus/portfolio roster; individual building occupancy unverified</x:v>
      </x:c>
      <x:c r="I7610" s="12" t="str">
        <x:v>Small-scale prospects</x:v>
      </x:c>
      <x:c r="J7610" s="12" t="str">
        <x:v>IT &amp; digital</x:v>
      </x:c>
      <x:c r="K7610" s="2" t="str">
        <x:v>PARTNER-M060</x:v>
      </x:c>
    </x:row>
    <x:row r="7611" ht="46" customHeight="1">
      <x:c r="A7611" s="2" t="str">
        <x:v>TEN-97101BD39450</x:v>
      </x:c>
      <x:c r="B7611" s="12" t="str">
        <x:v>Marvell India Pvt. Ltd</x:v>
      </x:c>
      <x:c r="C7611" s="12" t="str">
        <x:v>CORP-0481</x:v>
      </x:c>
      <x:c r="D7611" s="12" t="str">
        <x:v>Bengaluru</x:v>
      </x:c>
      <x:c r="E7611" s="12" t="str">
        <x:v>Global Tech Park</x:v>
      </x:c>
      <x:c r="F7611" s="12" t="str">
        <x:v>55 inch</x:v>
      </x:c>
      <x:c r="G7611" s="20" t="n">
        <x:v>1</x:v>
      </x:c>
      <x:c r="H7611" s="12" t="str">
        <x:v>Campus/portfolio roster; individual building occupancy unverified</x:v>
      </x:c>
      <x:c r="I7611" s="12" t="str">
        <x:v>Mixed business audience</x:v>
      </x:c>
      <x:c r="J7611" s="12" t="str">
        <x:v>Engineering &amp; manufacturing</x:v>
      </x:c>
      <x:c r="K7611" s="2" t="str">
        <x:v>PARTNER-M060</x:v>
      </x:c>
    </x:row>
    <x:row r="7612" ht="46" customHeight="1">
      <x:c r="A7612" s="2" t="str">
        <x:v>TEN-B4E81D471B4A</x:v>
      </x:c>
      <x:c r="B7612" s="12" t="str">
        <x:v>Yazaki India Technical Center</x:v>
      </x:c>
      <x:c r="C7612" s="12" t="str">
        <x:v>CORP-0481</x:v>
      </x:c>
      <x:c r="D7612" s="12" t="str">
        <x:v>Bengaluru</x:v>
      </x:c>
      <x:c r="E7612" s="12" t="str">
        <x:v>Global Tech Park</x:v>
      </x:c>
      <x:c r="F7612" s="12" t="str">
        <x:v>55 inch</x:v>
      </x:c>
      <x:c r="G7612" s="20" t="n">
        <x:v>1</x:v>
      </x:c>
      <x:c r="H7612" s="12" t="str">
        <x:v>Campus/portfolio roster; individual building occupancy unverified</x:v>
      </x:c>
      <x:c r="I7612" s="12" t="str">
        <x:v>Mixed business audience</x:v>
      </x:c>
      <x:c r="J7612" s="12" t="str">
        <x:v>Engineering &amp; manufacturing</x:v>
      </x:c>
      <x:c r="K7612" s="2" t="str">
        <x:v>PARTNER-M060</x:v>
      </x:c>
    </x:row>
    <x:row r="7613" ht="46" customHeight="1">
      <x:c r="A7613" s="2" t="str">
        <x:v>TEN-B7B27EA467E4</x:v>
      </x:c>
      <x:c r="B7613" s="12" t="str">
        <x:v>Versa Networks</x:v>
      </x:c>
      <x:c r="C7613" s="12" t="str">
        <x:v>CORP-0481</x:v>
      </x:c>
      <x:c r="D7613" s="12" t="str">
        <x:v>Bengaluru</x:v>
      </x:c>
      <x:c r="E7613" s="12" t="str">
        <x:v>Global Tech Park</x:v>
      </x:c>
      <x:c r="F7613" s="12" t="str">
        <x:v>55 inch</x:v>
      </x:c>
      <x:c r="G7613" s="20" t="n">
        <x:v>1</x:v>
      </x:c>
      <x:c r="H7613" s="12" t="str">
        <x:v>Campus/portfolio roster; individual building occupancy unverified</x:v>
      </x:c>
      <x:c r="I7613" s="12" t="str">
        <x:v>Mixed business audience</x:v>
      </x:c>
      <x:c r="J7613" s="12" t="str">
        <x:v>IT &amp; digital</x:v>
      </x:c>
      <x:c r="K7613" s="2" t="str">
        <x:v>PARTNER-M060</x:v>
      </x:c>
    </x:row>
    <x:row r="7614" ht="46" customHeight="1">
      <x:c r="A7614" s="2" t="str">
        <x:v>TEN-C09DEE999673</x:v>
      </x:c>
      <x:c r="B7614" s="12" t="str">
        <x:v>Vodafone</x:v>
      </x:c>
      <x:c r="C7614" s="12" t="str">
        <x:v>CORP-0481</x:v>
      </x:c>
      <x:c r="D7614" s="12" t="str">
        <x:v>Bengaluru</x:v>
      </x:c>
      <x:c r="E7614" s="12" t="str">
        <x:v>Global Tech Park</x:v>
      </x:c>
      <x:c r="F7614" s="12" t="str">
        <x:v>55 inch</x:v>
      </x:c>
      <x:c r="G7614" s="20" t="n">
        <x:v>1</x:v>
      </x:c>
      <x:c r="H7614" s="12" t="str">
        <x:v>Campus/portfolio roster; individual building occupancy unverified</x:v>
      </x:c>
      <x:c r="I7614" s="12" t="str">
        <x:v>Mixed business audience</x:v>
      </x:c>
      <x:c r="J7614" s="12" t="str">
        <x:v>IT &amp; digital</x:v>
      </x:c>
      <x:c r="K7614" s="2" t="str">
        <x:v>PARTNER-M060</x:v>
      </x:c>
    </x:row>
    <x:row r="7615" ht="46" customHeight="1">
      <x:c r="A7615" s="2" t="str">
        <x:v>TEN-CA79984DBED3</x:v>
      </x:c>
      <x:c r="B7615" s="12" t="str">
        <x:v>Huron Eurasia India Private Limited</x:v>
      </x:c>
      <x:c r="C7615" s="12" t="str">
        <x:v>CORP-0481</x:v>
      </x:c>
      <x:c r="D7615" s="12" t="str">
        <x:v>Bengaluru</x:v>
      </x:c>
      <x:c r="E7615" s="12" t="str">
        <x:v>Global Tech Park</x:v>
      </x:c>
      <x:c r="F7615" s="12" t="str">
        <x:v>55 inch</x:v>
      </x:c>
      <x:c r="G7615" s="20" t="n">
        <x:v>1</x:v>
      </x:c>
      <x:c r="H7615" s="12" t="str">
        <x:v>Campus/portfolio roster; individual building occupancy unverified</x:v>
      </x:c>
      <x:c r="I7615" s="12" t="str">
        <x:v>Mixed business audience</x:v>
      </x:c>
      <x:c r="J7615" s="12" t="str">
        <x:v>Professional services</x:v>
      </x:c>
      <x:c r="K7615" s="2" t="str">
        <x:v>PARTNER-M060</x:v>
      </x:c>
    </x:row>
    <x:row r="7616" ht="46" customHeight="1">
      <x:c r="A7616" s="2" t="str">
        <x:v>TEN-E5E8BA3801BC</x:v>
      </x:c>
      <x:c r="B7616" s="12" t="str">
        <x:v>SkyPoint Cloud Inc</x:v>
      </x:c>
      <x:c r="C7616" s="12" t="str">
        <x:v>CORP-0481</x:v>
      </x:c>
      <x:c r="D7616" s="12" t="str">
        <x:v>Bengaluru</x:v>
      </x:c>
      <x:c r="E7616" s="12" t="str">
        <x:v>Global Tech Park</x:v>
      </x:c>
      <x:c r="F7616" s="12" t="str">
        <x:v>55 inch</x:v>
      </x:c>
      <x:c r="G7616" s="20" t="n">
        <x:v>1</x:v>
      </x:c>
      <x:c r="H7616" s="12" t="str">
        <x:v>Campus/portfolio roster; individual building occupancy unverified</x:v>
      </x:c>
      <x:c r="I7616" s="12" t="str">
        <x:v>Small-scale prospects</x:v>
      </x:c>
      <x:c r="J7616" s="12" t="str">
        <x:v>IT &amp; digital</x:v>
      </x:c>
      <x:c r="K7616" s="2" t="str">
        <x:v>PARTNER-M060</x:v>
      </x:c>
    </x:row>
    <x:row r="7617" ht="46" customHeight="1">
      <x:c r="A7617" s="2" t="str">
        <x:v>TEN-F9B7C2EA54C9</x:v>
      </x:c>
      <x:c r="B7617" s="12" t="str">
        <x:v>GSN Games</x:v>
      </x:c>
      <x:c r="C7617" s="12" t="str">
        <x:v>CORP-0481</x:v>
      </x:c>
      <x:c r="D7617" s="12" t="str">
        <x:v>Bengaluru</x:v>
      </x:c>
      <x:c r="E7617" s="12" t="str">
        <x:v>Global Tech Park</x:v>
      </x:c>
      <x:c r="F7617" s="12" t="str">
        <x:v>55 inch</x:v>
      </x:c>
      <x:c r="G7617" s="20" t="n">
        <x:v>1</x:v>
      </x:c>
      <x:c r="H7617" s="12" t="str">
        <x:v>Campus/portfolio roster; individual building occupancy unverified</x:v>
      </x:c>
      <x:c r="I7617" s="12" t="str">
        <x:v>Mixed business audience</x:v>
      </x:c>
      <x:c r="J7617" s="12" t="str">
        <x:v>Trade, consumer &amp; logistics</x:v>
      </x:c>
      <x:c r="K7617" s="2" t="str">
        <x:v>PARTNER-M060</x:v>
      </x:c>
    </x:row>
    <x:row r="7618" ht="46" customHeight="1">
      <x:c r="A7618" s="2" t="str">
        <x:v>TEN-0D3128AFC517</x:v>
      </x:c>
      <x:c r="B7618" s="12" t="str">
        <x:v>Texila Educational &amp; Management Services Pvt Ltd</x:v>
      </x:c>
      <x:c r="C7618" s="12" t="str">
        <x:v>CORP-0482</x:v>
      </x:c>
      <x:c r="D7618" s="12" t="str">
        <x:v>Bengaluru</x:v>
      </x:c>
      <x:c r="E7618" s="12" t="str">
        <x:v>Global Tech Park</x:v>
      </x:c>
      <x:c r="F7618" s="12" t="str">
        <x:v>55 inch</x:v>
      </x:c>
      <x:c r="G7618" s="20" t="n">
        <x:v>1</x:v>
      </x:c>
      <x:c r="H7618" s="12" t="str">
        <x:v>Campus/portfolio roster; individual building occupancy unverified</x:v>
      </x:c>
      <x:c r="I7618" s="12" t="str">
        <x:v>Small-scale prospects</x:v>
      </x:c>
      <x:c r="J7618" s="12" t="str">
        <x:v>Education</x:v>
      </x:c>
      <x:c r="K7618" s="2" t="str">
        <x:v>PARTNER-M060</x:v>
      </x:c>
    </x:row>
    <x:row r="7619" ht="46" customHeight="1">
      <x:c r="A7619" s="2" t="str">
        <x:v>TEN-25DB5104E8F5</x:v>
      </x:c>
      <x:c r="B7619" s="12" t="str">
        <x:v>Kwalee India</x:v>
      </x:c>
      <x:c r="C7619" s="12" t="str">
        <x:v>CORP-0482</x:v>
      </x:c>
      <x:c r="D7619" s="12" t="str">
        <x:v>Bengaluru</x:v>
      </x:c>
      <x:c r="E7619" s="12" t="str">
        <x:v>Global Tech Park</x:v>
      </x:c>
      <x:c r="F7619" s="12" t="str">
        <x:v>55 inch</x:v>
      </x:c>
      <x:c r="G7619" s="20" t="n">
        <x:v>1</x:v>
      </x:c>
      <x:c r="H7619" s="12" t="str">
        <x:v>Campus/portfolio roster; individual building occupancy unverified</x:v>
      </x:c>
      <x:c r="I7619" s="12" t="str">
        <x:v>Mixed business audience</x:v>
      </x:c>
      <x:c r="J7619" s="12" t="str">
        <x:v>Trade, consumer &amp; logistics</x:v>
      </x:c>
      <x:c r="K7619" s="2" t="str">
        <x:v>PARTNER-M060</x:v>
      </x:c>
    </x:row>
    <x:row r="7620" ht="46" customHeight="1">
      <x:c r="A7620" s="2" t="str">
        <x:v>TEN-26B92272F90D</x:v>
      </x:c>
      <x:c r="B7620" s="12" t="str">
        <x:v>Marvell Semiconductors</x:v>
      </x:c>
      <x:c r="C7620" s="12" t="str">
        <x:v>CORP-0482</x:v>
      </x:c>
      <x:c r="D7620" s="12" t="str">
        <x:v>Bengaluru</x:v>
      </x:c>
      <x:c r="E7620" s="12" t="str">
        <x:v>Global Tech Park</x:v>
      </x:c>
      <x:c r="F7620" s="12" t="str">
        <x:v>55 inch</x:v>
      </x:c>
      <x:c r="G7620" s="20" t="n">
        <x:v>1</x:v>
      </x:c>
      <x:c r="H7620" s="12" t="str">
        <x:v>Campus/portfolio roster; individual building occupancy unverified</x:v>
      </x:c>
      <x:c r="I7620" s="12" t="str">
        <x:v>Mixed business audience</x:v>
      </x:c>
      <x:c r="J7620" s="12" t="str">
        <x:v>Engineering &amp; manufacturing</x:v>
      </x:c>
      <x:c r="K7620" s="2" t="str">
        <x:v>PARTNER-M060</x:v>
      </x:c>
    </x:row>
    <x:row r="7621" ht="46" customHeight="1">
      <x:c r="A7621" s="2" t="str">
        <x:v>TEN-3F5468F56323</x:v>
      </x:c>
      <x:c r="B7621" s="12" t="str">
        <x:v>Fastenal</x:v>
      </x:c>
      <x:c r="C7621" s="12" t="str">
        <x:v>CORP-0482</x:v>
      </x:c>
      <x:c r="D7621" s="12" t="str">
        <x:v>Bengaluru</x:v>
      </x:c>
      <x:c r="E7621" s="12" t="str">
        <x:v>Global Tech Park</x:v>
      </x:c>
      <x:c r="F7621" s="12" t="str">
        <x:v>55 inch</x:v>
      </x:c>
      <x:c r="G7621" s="20" t="n">
        <x:v>1</x:v>
      </x:c>
      <x:c r="H7621" s="12" t="str">
        <x:v>Campus/portfolio roster; individual building occupancy unverified</x:v>
      </x:c>
      <x:c r="I7621" s="12" t="str">
        <x:v>Mixed business audience</x:v>
      </x:c>
      <x:c r="J7621" s="12" t="str">
        <x:v>Engineering &amp; manufacturing</x:v>
      </x:c>
      <x:c r="K7621" s="2" t="str">
        <x:v>PARTNER-M060</x:v>
      </x:c>
    </x:row>
    <x:row r="7622" ht="46" customHeight="1">
      <x:c r="A7622" s="2" t="str">
        <x:v>TEN-44C551CDCABF</x:v>
      </x:c>
      <x:c r="B7622" s="12" t="str">
        <x:v>EPAM Bangalore</x:v>
      </x:c>
      <x:c r="C7622" s="12" t="str">
        <x:v>CORP-0482</x:v>
      </x:c>
      <x:c r="D7622" s="12" t="str">
        <x:v>Bengaluru</x:v>
      </x:c>
      <x:c r="E7622" s="12" t="str">
        <x:v>Global Tech Park</x:v>
      </x:c>
      <x:c r="F7622" s="12" t="str">
        <x:v>55 inch</x:v>
      </x:c>
      <x:c r="G7622" s="20" t="n">
        <x:v>1</x:v>
      </x:c>
      <x:c r="H7622" s="12" t="str">
        <x:v>Campus/portfolio roster; individual building occupancy unverified</x:v>
      </x:c>
      <x:c r="I7622" s="12" t="str">
        <x:v>Large enterprise</x:v>
      </x:c>
      <x:c r="J7622" s="12" t="str">
        <x:v>IT &amp; digital</x:v>
      </x:c>
      <x:c r="K7622" s="2" t="str">
        <x:v>PARTNER-M060</x:v>
      </x:c>
    </x:row>
    <x:row r="7623" ht="46" customHeight="1">
      <x:c r="A7623" s="2" t="str">
        <x:v>TEN-4DB2CCE9A521</x:v>
      </x:c>
      <x:c r="B7623" s="12" t="str">
        <x:v>KPMG Global Services</x:v>
      </x:c>
      <x:c r="C7623" s="12" t="str">
        <x:v>CORP-0482</x:v>
      </x:c>
      <x:c r="D7623" s="12" t="str">
        <x:v>Bengaluru</x:v>
      </x:c>
      <x:c r="E7623" s="12" t="str">
        <x:v>Global Tech Park</x:v>
      </x:c>
      <x:c r="F7623" s="12" t="str">
        <x:v>55 inch</x:v>
      </x:c>
      <x:c r="G7623" s="20" t="n">
        <x:v>1</x:v>
      </x:c>
      <x:c r="H7623" s="12" t="str">
        <x:v>Campus/portfolio roster; individual building occupancy unverified</x:v>
      </x:c>
      <x:c r="I7623" s="12" t="str">
        <x:v>Large enterprise</x:v>
      </x:c>
      <x:c r="J7623" s="12" t="str">
        <x:v>Professional services</x:v>
      </x:c>
      <x:c r="K7623" s="2" t="str">
        <x:v>PARTNER-M060</x:v>
      </x:c>
    </x:row>
    <x:row r="7624" ht="46" customHeight="1">
      <x:c r="A7624" s="2" t="str">
        <x:v>TEN-4E5768573B8D</x:v>
      </x:c>
      <x:c r="B7624" s="12" t="str">
        <x:v>Silverline India</x:v>
      </x:c>
      <x:c r="C7624" s="12" t="str">
        <x:v>CORP-0482</x:v>
      </x:c>
      <x:c r="D7624" s="12" t="str">
        <x:v>Bengaluru</x:v>
      </x:c>
      <x:c r="E7624" s="12" t="str">
        <x:v>Global Tech Park</x:v>
      </x:c>
      <x:c r="F7624" s="12" t="str">
        <x:v>55 inch</x:v>
      </x:c>
      <x:c r="G7624" s="20" t="n">
        <x:v>1</x:v>
      </x:c>
      <x:c r="H7624" s="12" t="str">
        <x:v>Campus/portfolio roster; individual building occupancy unverified</x:v>
      </x:c>
      <x:c r="I7624" s="12" t="str">
        <x:v>Small-scale prospects</x:v>
      </x:c>
      <x:c r="J7624" s="12" t="str">
        <x:v>IT &amp; digital</x:v>
      </x:c>
      <x:c r="K7624" s="2" t="str">
        <x:v>PARTNER-M060</x:v>
      </x:c>
    </x:row>
    <x:row r="7625" ht="46" customHeight="1">
      <x:c r="A7625" s="2" t="str">
        <x:v>TEN-508DF31D63FB</x:v>
      </x:c>
      <x:c r="B7625" s="12" t="str">
        <x:v>Vivero International</x:v>
      </x:c>
      <x:c r="C7625" s="12" t="str">
        <x:v>CORP-0482</x:v>
      </x:c>
      <x:c r="D7625" s="12" t="str">
        <x:v>Bengaluru</x:v>
      </x:c>
      <x:c r="E7625" s="12" t="str">
        <x:v>Global Tech Park</x:v>
      </x:c>
      <x:c r="F7625" s="12" t="str">
        <x:v>55 inch</x:v>
      </x:c>
      <x:c r="G7625" s="20" t="n">
        <x:v>1</x:v>
      </x:c>
      <x:c r="H7625" s="12" t="str">
        <x:v>Campus/portfolio roster; individual building occupancy unverified</x:v>
      </x:c>
      <x:c r="I7625" s="12" t="str">
        <x:v>Mixed business audience</x:v>
      </x:c>
      <x:c r="J7625" s="12" t="str">
        <x:v>Education</x:v>
      </x:c>
      <x:c r="K7625" s="2" t="str">
        <x:v>PARTNER-M060</x:v>
      </x:c>
    </x:row>
    <x:row r="7626" ht="46" customHeight="1">
      <x:c r="A7626" s="2" t="str">
        <x:v>TEN-592CC302663C</x:v>
      </x:c>
      <x:c r="B7626" s="12" t="str">
        <x:v>Vmware</x:v>
      </x:c>
      <x:c r="C7626" s="12" t="str">
        <x:v>CORP-0482</x:v>
      </x:c>
      <x:c r="D7626" s="12" t="str">
        <x:v>Bengaluru</x:v>
      </x:c>
      <x:c r="E7626" s="12" t="str">
        <x:v>Global Tech Park</x:v>
      </x:c>
      <x:c r="F7626" s="12" t="str">
        <x:v>55 inch</x:v>
      </x:c>
      <x:c r="G7626" s="20" t="n">
        <x:v>1</x:v>
      </x:c>
      <x:c r="H7626" s="12" t="str">
        <x:v>Campus/portfolio roster; individual building occupancy unverified</x:v>
      </x:c>
      <x:c r="I7626" s="12" t="str">
        <x:v>Mixed business audience</x:v>
      </x:c>
      <x:c r="J7626" s="12" t="str">
        <x:v>IT &amp; digital</x:v>
      </x:c>
      <x:c r="K7626" s="2" t="str">
        <x:v>PARTNER-M060</x:v>
      </x:c>
    </x:row>
    <x:row r="7627" ht="46" customHeight="1">
      <x:c r="A7627" s="2" t="str">
        <x:v>TEN-59997A67C490</x:v>
      </x:c>
      <x:c r="B7627" s="12" t="str">
        <x:v>West Pharmaceutical Services</x:v>
      </x:c>
      <x:c r="C7627" s="12" t="str">
        <x:v>CORP-0482</x:v>
      </x:c>
      <x:c r="D7627" s="12" t="str">
        <x:v>Bengaluru</x:v>
      </x:c>
      <x:c r="E7627" s="12" t="str">
        <x:v>Global Tech Park</x:v>
      </x:c>
      <x:c r="F7627" s="12" t="str">
        <x:v>55 inch</x:v>
      </x:c>
      <x:c r="G7627" s="20" t="n">
        <x:v>1</x:v>
      </x:c>
      <x:c r="H7627" s="12" t="str">
        <x:v>Campus/portfolio roster; individual building occupancy unverified</x:v>
      </x:c>
      <x:c r="I7627" s="12" t="str">
        <x:v>Mixed business audience</x:v>
      </x:c>
      <x:c r="J7627" s="12" t="str">
        <x:v>Healthcare &amp; life sciences</x:v>
      </x:c>
      <x:c r="K7627" s="2" t="str">
        <x:v>PARTNER-M060</x:v>
      </x:c>
    </x:row>
    <x:row r="7628" ht="46" customHeight="1">
      <x:c r="A7628" s="2" t="str">
        <x:v>TEN-746A33411251</x:v>
      </x:c>
      <x:c r="B7628" s="12" t="str">
        <x:v>Tangoe India Softek Services Pvt Ltd</x:v>
      </x:c>
      <x:c r="C7628" s="12" t="str">
        <x:v>CORP-0482</x:v>
      </x:c>
      <x:c r="D7628" s="12" t="str">
        <x:v>Bengaluru</x:v>
      </x:c>
      <x:c r="E7628" s="12" t="str">
        <x:v>Global Tech Park</x:v>
      </x:c>
      <x:c r="F7628" s="12" t="str">
        <x:v>55 inch</x:v>
      </x:c>
      <x:c r="G7628" s="20" t="n">
        <x:v>1</x:v>
      </x:c>
      <x:c r="H7628" s="12" t="str">
        <x:v>Campus/portfolio roster; individual building occupancy unverified</x:v>
      </x:c>
      <x:c r="I7628" s="12" t="str">
        <x:v>Mixed business audience</x:v>
      </x:c>
      <x:c r="J7628" s="12" t="str">
        <x:v>IT &amp; digital</x:v>
      </x:c>
      <x:c r="K7628" s="2" t="str">
        <x:v>PARTNER-M060</x:v>
      </x:c>
    </x:row>
    <x:row r="7629" ht="46" customHeight="1">
      <x:c r="A7629" s="2" t="str">
        <x:v>TEN-7E0E7F63D0E5</x:v>
      </x:c>
      <x:c r="B7629" s="12" t="str">
        <x:v>FP Tech Science Pvt. Ltd</x:v>
      </x:c>
      <x:c r="C7629" s="12" t="str">
        <x:v>CORP-0482</x:v>
      </x:c>
      <x:c r="D7629" s="12" t="str">
        <x:v>Bengaluru</x:v>
      </x:c>
      <x:c r="E7629" s="12" t="str">
        <x:v>Global Tech Park</x:v>
      </x:c>
      <x:c r="F7629" s="12" t="str">
        <x:v>55 inch</x:v>
      </x:c>
      <x:c r="G7629" s="20" t="n">
        <x:v>1</x:v>
      </x:c>
      <x:c r="H7629" s="12" t="str">
        <x:v>Campus/portfolio roster; individual building occupancy unverified</x:v>
      </x:c>
      <x:c r="I7629" s="12" t="str">
        <x:v>Mixed business audience</x:v>
      </x:c>
      <x:c r="J7629" s="12" t="str">
        <x:v>Unresolved</x:v>
      </x:c>
      <x:c r="K7629" s="2" t="str">
        <x:v>PARTNER-M060</x:v>
      </x:c>
    </x:row>
    <x:row r="7630" ht="46" customHeight="1">
      <x:c r="A7630" s="2" t="str">
        <x:v>TEN-84308BEA4540</x:v>
      </x:c>
      <x:c r="B7630" s="12" t="str">
        <x:v>LinkedIn</x:v>
      </x:c>
      <x:c r="C7630" s="12" t="str">
        <x:v>CORP-0482</x:v>
      </x:c>
      <x:c r="D7630" s="12" t="str">
        <x:v>Bengaluru</x:v>
      </x:c>
      <x:c r="E7630" s="12" t="str">
        <x:v>Global Tech Park</x:v>
      </x:c>
      <x:c r="F7630" s="12" t="str">
        <x:v>55 inch</x:v>
      </x:c>
      <x:c r="G7630" s="20" t="n">
        <x:v>1</x:v>
      </x:c>
      <x:c r="H7630" s="12" t="str">
        <x:v>Campus/portfolio roster; individual building occupancy unverified</x:v>
      </x:c>
      <x:c r="I7630" s="12" t="str">
        <x:v>Large enterprise</x:v>
      </x:c>
      <x:c r="J7630" s="12" t="str">
        <x:v>IT &amp; digital</x:v>
      </x:c>
      <x:c r="K7630" s="2" t="str">
        <x:v>PARTNER-M060</x:v>
      </x:c>
    </x:row>
    <x:row r="7631" ht="46" customHeight="1">
      <x:c r="A7631" s="2" t="str">
        <x:v>TEN-908C50BA6687</x:v>
      </x:c>
      <x:c r="B7631" s="12" t="str">
        <x:v>TalbotFORCE</x:v>
      </x:c>
      <x:c r="C7631" s="12" t="str">
        <x:v>CORP-0482</x:v>
      </x:c>
      <x:c r="D7631" s="12" t="str">
        <x:v>Bengaluru</x:v>
      </x:c>
      <x:c r="E7631" s="12" t="str">
        <x:v>Global Tech Park</x:v>
      </x:c>
      <x:c r="F7631" s="12" t="str">
        <x:v>55 inch</x:v>
      </x:c>
      <x:c r="G7631" s="20" t="n">
        <x:v>1</x:v>
      </x:c>
      <x:c r="H7631" s="12" t="str">
        <x:v>Campus/portfolio roster; individual building occupancy unverified</x:v>
      </x:c>
      <x:c r="I7631" s="12" t="str">
        <x:v>Small-scale prospects</x:v>
      </x:c>
      <x:c r="J7631" s="12" t="str">
        <x:v>IT &amp; digital</x:v>
      </x:c>
      <x:c r="K7631" s="2" t="str">
        <x:v>PARTNER-M060</x:v>
      </x:c>
    </x:row>
    <x:row r="7632" ht="46" customHeight="1">
      <x:c r="A7632" s="2" t="str">
        <x:v>TEN-91C2E0669804</x:v>
      </x:c>
      <x:c r="B7632" s="12" t="str">
        <x:v>Saviynt</x:v>
      </x:c>
      <x:c r="C7632" s="12" t="str">
        <x:v>CORP-0482</x:v>
      </x:c>
      <x:c r="D7632" s="12" t="str">
        <x:v>Bengaluru</x:v>
      </x:c>
      <x:c r="E7632" s="12" t="str">
        <x:v>Global Tech Park</x:v>
      </x:c>
      <x:c r="F7632" s="12" t="str">
        <x:v>55 inch</x:v>
      </x:c>
      <x:c r="G7632" s="20" t="n">
        <x:v>1</x:v>
      </x:c>
      <x:c r="H7632" s="12" t="str">
        <x:v>Campus/portfolio roster; individual building occupancy unverified</x:v>
      </x:c>
      <x:c r="I7632" s="12" t="str">
        <x:v>Small-scale prospects</x:v>
      </x:c>
      <x:c r="J7632" s="12" t="str">
        <x:v>IT &amp; digital</x:v>
      </x:c>
      <x:c r="K7632" s="2" t="str">
        <x:v>PARTNER-M060</x:v>
      </x:c>
    </x:row>
    <x:row r="7633" ht="46" customHeight="1">
      <x:c r="A7633" s="2" t="str">
        <x:v>TEN-93C4CDB211E2</x:v>
      </x:c>
      <x:c r="B7633" s="12" t="str">
        <x:v>Impact Analytics</x:v>
      </x:c>
      <x:c r="C7633" s="12" t="str">
        <x:v>CORP-0482</x:v>
      </x:c>
      <x:c r="D7633" s="12" t="str">
        <x:v>Bengaluru</x:v>
      </x:c>
      <x:c r="E7633" s="12" t="str">
        <x:v>Global Tech Park</x:v>
      </x:c>
      <x:c r="F7633" s="12" t="str">
        <x:v>55 inch</x:v>
      </x:c>
      <x:c r="G7633" s="20" t="n">
        <x:v>1</x:v>
      </x:c>
      <x:c r="H7633" s="12" t="str">
        <x:v>Campus/portfolio roster; individual building occupancy unverified</x:v>
      </x:c>
      <x:c r="I7633" s="12" t="str">
        <x:v>Small-scale prospects</x:v>
      </x:c>
      <x:c r="J7633" s="12" t="str">
        <x:v>IT &amp; digital</x:v>
      </x:c>
      <x:c r="K7633" s="2" t="str">
        <x:v>PARTNER-M060</x:v>
      </x:c>
    </x:row>
    <x:row r="7634" ht="46" customHeight="1">
      <x:c r="A7634" s="2" t="str">
        <x:v>TEN-97101BD39450</x:v>
      </x:c>
      <x:c r="B7634" s="12" t="str">
        <x:v>Marvell India Pvt. Ltd</x:v>
      </x:c>
      <x:c r="C7634" s="12" t="str">
        <x:v>CORP-0482</x:v>
      </x:c>
      <x:c r="D7634" s="12" t="str">
        <x:v>Bengaluru</x:v>
      </x:c>
      <x:c r="E7634" s="12" t="str">
        <x:v>Global Tech Park</x:v>
      </x:c>
      <x:c r="F7634" s="12" t="str">
        <x:v>55 inch</x:v>
      </x:c>
      <x:c r="G7634" s="20" t="n">
        <x:v>1</x:v>
      </x:c>
      <x:c r="H7634" s="12" t="str">
        <x:v>Campus/portfolio roster; individual building occupancy unverified</x:v>
      </x:c>
      <x:c r="I7634" s="12" t="str">
        <x:v>Mixed business audience</x:v>
      </x:c>
      <x:c r="J7634" s="12" t="str">
        <x:v>Engineering &amp; manufacturing</x:v>
      </x:c>
      <x:c r="K7634" s="2" t="str">
        <x:v>PARTNER-M060</x:v>
      </x:c>
    </x:row>
    <x:row r="7635" ht="46" customHeight="1">
      <x:c r="A7635" s="2" t="str">
        <x:v>TEN-B4E81D471B4A</x:v>
      </x:c>
      <x:c r="B7635" s="12" t="str">
        <x:v>Yazaki India Technical Center</x:v>
      </x:c>
      <x:c r="C7635" s="12" t="str">
        <x:v>CORP-0482</x:v>
      </x:c>
      <x:c r="D7635" s="12" t="str">
        <x:v>Bengaluru</x:v>
      </x:c>
      <x:c r="E7635" s="12" t="str">
        <x:v>Global Tech Park</x:v>
      </x:c>
      <x:c r="F7635" s="12" t="str">
        <x:v>55 inch</x:v>
      </x:c>
      <x:c r="G7635" s="20" t="n">
        <x:v>1</x:v>
      </x:c>
      <x:c r="H7635" s="12" t="str">
        <x:v>Campus/portfolio roster; individual building occupancy unverified</x:v>
      </x:c>
      <x:c r="I7635" s="12" t="str">
        <x:v>Mixed business audience</x:v>
      </x:c>
      <x:c r="J7635" s="12" t="str">
        <x:v>Engineering &amp; manufacturing</x:v>
      </x:c>
      <x:c r="K7635" s="2" t="str">
        <x:v>PARTNER-M060</x:v>
      </x:c>
    </x:row>
    <x:row r="7636" ht="46" customHeight="1">
      <x:c r="A7636" s="2" t="str">
        <x:v>TEN-B7B27EA467E4</x:v>
      </x:c>
      <x:c r="B7636" s="12" t="str">
        <x:v>Versa Networks</x:v>
      </x:c>
      <x:c r="C7636" s="12" t="str">
        <x:v>CORP-0482</x:v>
      </x:c>
      <x:c r="D7636" s="12" t="str">
        <x:v>Bengaluru</x:v>
      </x:c>
      <x:c r="E7636" s="12" t="str">
        <x:v>Global Tech Park</x:v>
      </x:c>
      <x:c r="F7636" s="12" t="str">
        <x:v>55 inch</x:v>
      </x:c>
      <x:c r="G7636" s="20" t="n">
        <x:v>1</x:v>
      </x:c>
      <x:c r="H7636" s="12" t="str">
        <x:v>Campus/portfolio roster; individual building occupancy unverified</x:v>
      </x:c>
      <x:c r="I7636" s="12" t="str">
        <x:v>Mixed business audience</x:v>
      </x:c>
      <x:c r="J7636" s="12" t="str">
        <x:v>IT &amp; digital</x:v>
      </x:c>
      <x:c r="K7636" s="2" t="str">
        <x:v>PARTNER-M060</x:v>
      </x:c>
    </x:row>
    <x:row r="7637" ht="46" customHeight="1">
      <x:c r="A7637" s="2" t="str">
        <x:v>TEN-C09DEE999673</x:v>
      </x:c>
      <x:c r="B7637" s="12" t="str">
        <x:v>Vodafone</x:v>
      </x:c>
      <x:c r="C7637" s="12" t="str">
        <x:v>CORP-0482</x:v>
      </x:c>
      <x:c r="D7637" s="12" t="str">
        <x:v>Bengaluru</x:v>
      </x:c>
      <x:c r="E7637" s="12" t="str">
        <x:v>Global Tech Park</x:v>
      </x:c>
      <x:c r="F7637" s="12" t="str">
        <x:v>55 inch</x:v>
      </x:c>
      <x:c r="G7637" s="20" t="n">
        <x:v>1</x:v>
      </x:c>
      <x:c r="H7637" s="12" t="str">
        <x:v>Campus/portfolio roster; individual building occupancy unverified</x:v>
      </x:c>
      <x:c r="I7637" s="12" t="str">
        <x:v>Mixed business audience</x:v>
      </x:c>
      <x:c r="J7637" s="12" t="str">
        <x:v>IT &amp; digital</x:v>
      </x:c>
      <x:c r="K7637" s="2" t="str">
        <x:v>PARTNER-M060</x:v>
      </x:c>
    </x:row>
    <x:row r="7638" ht="46" customHeight="1">
      <x:c r="A7638" s="2" t="str">
        <x:v>TEN-CA79984DBED3</x:v>
      </x:c>
      <x:c r="B7638" s="12" t="str">
        <x:v>Huron Eurasia India Private Limited</x:v>
      </x:c>
      <x:c r="C7638" s="12" t="str">
        <x:v>CORP-0482</x:v>
      </x:c>
      <x:c r="D7638" s="12" t="str">
        <x:v>Bengaluru</x:v>
      </x:c>
      <x:c r="E7638" s="12" t="str">
        <x:v>Global Tech Park</x:v>
      </x:c>
      <x:c r="F7638" s="12" t="str">
        <x:v>55 inch</x:v>
      </x:c>
      <x:c r="G7638" s="20" t="n">
        <x:v>1</x:v>
      </x:c>
      <x:c r="H7638" s="12" t="str">
        <x:v>Campus/portfolio roster; individual building occupancy unverified</x:v>
      </x:c>
      <x:c r="I7638" s="12" t="str">
        <x:v>Mixed business audience</x:v>
      </x:c>
      <x:c r="J7638" s="12" t="str">
        <x:v>Professional services</x:v>
      </x:c>
      <x:c r="K7638" s="2" t="str">
        <x:v>PARTNER-M060</x:v>
      </x:c>
    </x:row>
    <x:row r="7639" ht="46" customHeight="1">
      <x:c r="A7639" s="2" t="str">
        <x:v>TEN-E5E8BA3801BC</x:v>
      </x:c>
      <x:c r="B7639" s="12" t="str">
        <x:v>SkyPoint Cloud Inc</x:v>
      </x:c>
      <x:c r="C7639" s="12" t="str">
        <x:v>CORP-0482</x:v>
      </x:c>
      <x:c r="D7639" s="12" t="str">
        <x:v>Bengaluru</x:v>
      </x:c>
      <x:c r="E7639" s="12" t="str">
        <x:v>Global Tech Park</x:v>
      </x:c>
      <x:c r="F7639" s="12" t="str">
        <x:v>55 inch</x:v>
      </x:c>
      <x:c r="G7639" s="20" t="n">
        <x:v>1</x:v>
      </x:c>
      <x:c r="H7639" s="12" t="str">
        <x:v>Campus/portfolio roster; individual building occupancy unverified</x:v>
      </x:c>
      <x:c r="I7639" s="12" t="str">
        <x:v>Small-scale prospects</x:v>
      </x:c>
      <x:c r="J7639" s="12" t="str">
        <x:v>IT &amp; digital</x:v>
      </x:c>
      <x:c r="K7639" s="2" t="str">
        <x:v>PARTNER-M060</x:v>
      </x:c>
    </x:row>
    <x:row r="7640" ht="46" customHeight="1">
      <x:c r="A7640" s="2" t="str">
        <x:v>TEN-F9B7C2EA54C9</x:v>
      </x:c>
      <x:c r="B7640" s="12" t="str">
        <x:v>GSN Games</x:v>
      </x:c>
      <x:c r="C7640" s="12" t="str">
        <x:v>CORP-0482</x:v>
      </x:c>
      <x:c r="D7640" s="12" t="str">
        <x:v>Bengaluru</x:v>
      </x:c>
      <x:c r="E7640" s="12" t="str">
        <x:v>Global Tech Park</x:v>
      </x:c>
      <x:c r="F7640" s="12" t="str">
        <x:v>55 inch</x:v>
      </x:c>
      <x:c r="G7640" s="20" t="n">
        <x:v>1</x:v>
      </x:c>
      <x:c r="H7640" s="12" t="str">
        <x:v>Campus/portfolio roster; individual building occupancy unverified</x:v>
      </x:c>
      <x:c r="I7640" s="12" t="str">
        <x:v>Mixed business audience</x:v>
      </x:c>
      <x:c r="J7640" s="12" t="str">
        <x:v>Trade, consumer &amp; logistics</x:v>
      </x:c>
      <x:c r="K7640" s="2" t="str">
        <x:v>PARTNER-M060</x:v>
      </x:c>
    </x:row>
    <x:row r="7641" ht="46" customHeight="1">
      <x:c r="A7641" s="2" t="str">
        <x:v>TEN-1A1CF91802DC</x:v>
      </x:c>
      <x:c r="B7641" s="12" t="str">
        <x:v>Akamai Technologies Solutions India Pvt Ltd</x:v>
      </x:c>
      <x:c r="C7641" s="12" t="str">
        <x:v>CORP-0483</x:v>
      </x:c>
      <x:c r="D7641" s="12" t="str">
        <x:v>Bengaluru</x:v>
      </x:c>
      <x:c r="E7641" s="12" t="str">
        <x:v>First Technology Park</x:v>
      </x:c>
      <x:c r="F7641" s="12" t="str">
        <x:v>55 inch</x:v>
      </x:c>
      <x:c r="G7641" s="20" t="n">
        <x:v>1</x:v>
      </x:c>
      <x:c r="H7641" s="12" t="str">
        <x:v>Campus/portfolio roster; individual building occupancy unverified</x:v>
      </x:c>
      <x:c r="I7641" s="12" t="str">
        <x:v>Mixed business audience</x:v>
      </x:c>
      <x:c r="J7641" s="12" t="str">
        <x:v>IT &amp; digital</x:v>
      </x:c>
      <x:c r="K7641" s="2" t="str">
        <x:v>PARTNER-M065</x:v>
      </x:c>
    </x:row>
    <x:row r="7642" ht="46" customHeight="1">
      <x:c r="A7642" s="2" t="str">
        <x:v>TEN-4DAB11405DF8</x:v>
      </x:c>
      <x:c r="B7642" s="12" t="str">
        <x:v>Wipro Technologies Limited</x:v>
      </x:c>
      <x:c r="C7642" s="12" t="str">
        <x:v>CORP-0483</x:v>
      </x:c>
      <x:c r="D7642" s="12" t="str">
        <x:v>Bengaluru</x:v>
      </x:c>
      <x:c r="E7642" s="12" t="str">
        <x:v>First Technology Park</x:v>
      </x:c>
      <x:c r="F7642" s="12" t="str">
        <x:v>55 inch</x:v>
      </x:c>
      <x:c r="G7642" s="20" t="n">
        <x:v>1</x:v>
      </x:c>
      <x:c r="H7642" s="12" t="str">
        <x:v>Campus/portfolio roster; individual building occupancy unverified</x:v>
      </x:c>
      <x:c r="I7642" s="12" t="str">
        <x:v>Large enterprise</x:v>
      </x:c>
      <x:c r="J7642" s="12" t="str">
        <x:v>IT &amp; digital</x:v>
      </x:c>
      <x:c r="K7642" s="2" t="str">
        <x:v>PARTNER-M065</x:v>
      </x:c>
    </x:row>
    <x:row r="7643" ht="46" customHeight="1">
      <x:c r="A7643" s="2" t="str">
        <x:v>TEN-55FE7B7567AF</x:v>
      </x:c>
      <x:c r="B7643" s="12" t="str">
        <x:v>Nirvigna.com</x:v>
      </x:c>
      <x:c r="C7643" s="12" t="str">
        <x:v>CORP-0483</x:v>
      </x:c>
      <x:c r="D7643" s="12" t="str">
        <x:v>Bengaluru</x:v>
      </x:c>
      <x:c r="E7643" s="12" t="str">
        <x:v>First Technology Park</x:v>
      </x:c>
      <x:c r="F7643" s="12" t="str">
        <x:v>55 inch</x:v>
      </x:c>
      <x:c r="G7643" s="20" t="n">
        <x:v>1</x:v>
      </x:c>
      <x:c r="H7643" s="12" t="str">
        <x:v>Campus/portfolio roster; individual building occupancy unverified</x:v>
      </x:c>
      <x:c r="I7643" s="12" t="str">
        <x:v>Mixed business audience</x:v>
      </x:c>
      <x:c r="J7643" s="12" t="str">
        <x:v>Unresolved</x:v>
      </x:c>
      <x:c r="K7643" s="2" t="str">
        <x:v>PARTNER-M065</x:v>
      </x:c>
    </x:row>
    <x:row r="7644" ht="46" customHeight="1">
      <x:c r="A7644" s="2" t="str">
        <x:v>TEN-678FB4E04FCE</x:v>
      </x:c>
      <x:c r="B7644" s="12" t="str">
        <x:v>Infosys Technologies Limited</x:v>
      </x:c>
      <x:c r="C7644" s="12" t="str">
        <x:v>CORP-0483</x:v>
      </x:c>
      <x:c r="D7644" s="12" t="str">
        <x:v>Bengaluru</x:v>
      </x:c>
      <x:c r="E7644" s="12" t="str">
        <x:v>First Technology Park</x:v>
      </x:c>
      <x:c r="F7644" s="12" t="str">
        <x:v>55 inch</x:v>
      </x:c>
      <x:c r="G7644" s="20" t="n">
        <x:v>1</x:v>
      </x:c>
      <x:c r="H7644" s="12" t="str">
        <x:v>Campus/portfolio roster; individual building occupancy unverified</x:v>
      </x:c>
      <x:c r="I7644" s="12" t="str">
        <x:v>Large enterprise</x:v>
      </x:c>
      <x:c r="J7644" s="12" t="str">
        <x:v>IT &amp; digital</x:v>
      </x:c>
      <x:c r="K7644" s="2" t="str">
        <x:v>PARTNER-M065</x:v>
      </x:c>
    </x:row>
    <x:row r="7645" ht="46" customHeight="1">
      <x:c r="A7645" s="2" t="str">
        <x:v>TEN-6D01BFE28329</x:v>
      </x:c>
      <x:c r="B7645" s="12" t="str">
        <x:v>Cognexa Business Solutions</x:v>
      </x:c>
      <x:c r="C7645" s="12" t="str">
        <x:v>CORP-0483</x:v>
      </x:c>
      <x:c r="D7645" s="12" t="str">
        <x:v>Bengaluru</x:v>
      </x:c>
      <x:c r="E7645" s="12" t="str">
        <x:v>First Technology Park</x:v>
      </x:c>
      <x:c r="F7645" s="12" t="str">
        <x:v>55 inch</x:v>
      </x:c>
      <x:c r="G7645" s="20" t="n">
        <x:v>1</x:v>
      </x:c>
      <x:c r="H7645" s="12" t="str">
        <x:v>Campus/portfolio roster; individual building occupancy unverified</x:v>
      </x:c>
      <x:c r="I7645" s="12" t="str">
        <x:v>Mixed business audience</x:v>
      </x:c>
      <x:c r="J7645" s="12" t="str">
        <x:v>Unresolved</x:v>
      </x:c>
      <x:c r="K7645" s="2" t="str">
        <x:v>PARTNER-M065</x:v>
      </x:c>
    </x:row>
    <x:row r="7646" ht="46" customHeight="1">
      <x:c r="A7646" s="2" t="str">
        <x:v>TEN-816AAFE58551</x:v>
      </x:c>
      <x:c r="B7646" s="12" t="str">
        <x:v>Jyeshtha Solutions Pvt Ltd</x:v>
      </x:c>
      <x:c r="C7646" s="12" t="str">
        <x:v>CORP-0483</x:v>
      </x:c>
      <x:c r="D7646" s="12" t="str">
        <x:v>Bengaluru</x:v>
      </x:c>
      <x:c r="E7646" s="12" t="str">
        <x:v>First Technology Park</x:v>
      </x:c>
      <x:c r="F7646" s="12" t="str">
        <x:v>55 inch</x:v>
      </x:c>
      <x:c r="G7646" s="20" t="n">
        <x:v>1</x:v>
      </x:c>
      <x:c r="H7646" s="12" t="str">
        <x:v>Campus/portfolio roster; individual building occupancy unverified</x:v>
      </x:c>
      <x:c r="I7646" s="12" t="str">
        <x:v>Mixed business audience</x:v>
      </x:c>
      <x:c r="J7646" s="12" t="str">
        <x:v>Unresolved</x:v>
      </x:c>
      <x:c r="K7646" s="2" t="str">
        <x:v>PARTNER-M065</x:v>
      </x:c>
    </x:row>
    <x:row r="7647" ht="46" customHeight="1">
      <x:c r="A7647" s="2" t="str">
        <x:v>TEN-91BEEC88DDAF</x:v>
      </x:c>
      <x:c r="B7647" s="12" t="str">
        <x:v>Atsiro Pvt Ltd</x:v>
      </x:c>
      <x:c r="C7647" s="12" t="str">
        <x:v>CORP-0483</x:v>
      </x:c>
      <x:c r="D7647" s="12" t="str">
        <x:v>Bengaluru</x:v>
      </x:c>
      <x:c r="E7647" s="12" t="str">
        <x:v>First Technology Park</x:v>
      </x:c>
      <x:c r="F7647" s="12" t="str">
        <x:v>55 inch</x:v>
      </x:c>
      <x:c r="G7647" s="20" t="n">
        <x:v>1</x:v>
      </x:c>
      <x:c r="H7647" s="12" t="str">
        <x:v>Campus/portfolio roster; individual building occupancy unverified</x:v>
      </x:c>
      <x:c r="I7647" s="12" t="str">
        <x:v>Mixed business audience</x:v>
      </x:c>
      <x:c r="J7647" s="12" t="str">
        <x:v>Unresolved</x:v>
      </x:c>
      <x:c r="K7647" s="2" t="str">
        <x:v>PARTNER-M065</x:v>
      </x:c>
    </x:row>
    <x:row r="7648" ht="46" customHeight="1">
      <x:c r="A7648" s="2" t="str">
        <x:v>TEN-A845A7DB23BB</x:v>
      </x:c>
      <x:c r="B7648" s="12" t="str">
        <x:v>Cahfad Technologies</x:v>
      </x:c>
      <x:c r="C7648" s="12" t="str">
        <x:v>CORP-0483</x:v>
      </x:c>
      <x:c r="D7648" s="12" t="str">
        <x:v>Bengaluru</x:v>
      </x:c>
      <x:c r="E7648" s="12" t="str">
        <x:v>First Technology Park</x:v>
      </x:c>
      <x:c r="F7648" s="12" t="str">
        <x:v>55 inch</x:v>
      </x:c>
      <x:c r="G7648" s="20" t="n">
        <x:v>1</x:v>
      </x:c>
      <x:c r="H7648" s="12" t="str">
        <x:v>Campus/portfolio roster; individual building occupancy unverified</x:v>
      </x:c>
      <x:c r="I7648" s="12" t="str">
        <x:v>Mixed business audience</x:v>
      </x:c>
      <x:c r="J7648" s="12" t="str">
        <x:v>Unresolved</x:v>
      </x:c>
      <x:c r="K7648" s="2" t="str">
        <x:v>PARTNER-M065</x:v>
      </x:c>
    </x:row>
    <x:row r="7649" ht="46" customHeight="1">
      <x:c r="A7649" s="2" t="str">
        <x:v>TEN-AF4588398C1D</x:v>
      </x:c>
      <x:c r="B7649" s="12" t="str">
        <x:v>Ifortis Worldwide</x:v>
      </x:c>
      <x:c r="C7649" s="12" t="str">
        <x:v>CORP-0483</x:v>
      </x:c>
      <x:c r="D7649" s="12" t="str">
        <x:v>Bengaluru</x:v>
      </x:c>
      <x:c r="E7649" s="12" t="str">
        <x:v>First Technology Park</x:v>
      </x:c>
      <x:c r="F7649" s="12" t="str">
        <x:v>55 inch</x:v>
      </x:c>
      <x:c r="G7649" s="20" t="n">
        <x:v>1</x:v>
      </x:c>
      <x:c r="H7649" s="12" t="str">
        <x:v>Campus/portfolio roster; individual building occupancy unverified</x:v>
      </x:c>
      <x:c r="I7649" s="12" t="str">
        <x:v>Mixed business audience</x:v>
      </x:c>
      <x:c r="J7649" s="12" t="str">
        <x:v>Unresolved</x:v>
      </x:c>
      <x:c r="K7649" s="2" t="str">
        <x:v>PARTNER-M065</x:v>
      </x:c>
    </x:row>
    <x:row r="7650" ht="46" customHeight="1">
      <x:c r="A7650" s="2" t="str">
        <x:v>TEN-EAE936FEE92F</x:v>
      </x:c>
      <x:c r="B7650" s="12" t="str">
        <x:v>Ejl Tech</x:v>
      </x:c>
      <x:c r="C7650" s="12" t="str">
        <x:v>CORP-0483</x:v>
      </x:c>
      <x:c r="D7650" s="12" t="str">
        <x:v>Bengaluru</x:v>
      </x:c>
      <x:c r="E7650" s="12" t="str">
        <x:v>First Technology Park</x:v>
      </x:c>
      <x:c r="F7650" s="12" t="str">
        <x:v>55 inch</x:v>
      </x:c>
      <x:c r="G7650" s="20" t="n">
        <x:v>1</x:v>
      </x:c>
      <x:c r="H7650" s="12" t="str">
        <x:v>Campus/portfolio roster; individual building occupancy unverified</x:v>
      </x:c>
      <x:c r="I7650" s="12" t="str">
        <x:v>Mixed business audience</x:v>
      </x:c>
      <x:c r="J7650" s="12" t="str">
        <x:v>Unresolved</x:v>
      </x:c>
      <x:c r="K7650" s="2" t="str">
        <x:v>PARTNER-M065</x:v>
      </x:c>
    </x:row>
    <x:row r="7651" ht="46" customHeight="1">
      <x:c r="A7651" s="2" t="str">
        <x:v>TEN-1A1CF91802DC</x:v>
      </x:c>
      <x:c r="B7651" s="12" t="str">
        <x:v>Akamai Technologies Solutions India Pvt Ltd</x:v>
      </x:c>
      <x:c r="C7651" s="12" t="str">
        <x:v>CORP-0484</x:v>
      </x:c>
      <x:c r="D7651" s="12" t="str">
        <x:v>Bengaluru</x:v>
      </x:c>
      <x:c r="E7651" s="12" t="str">
        <x:v>First Technology Park</x:v>
      </x:c>
      <x:c r="F7651" s="12" t="str">
        <x:v>55 inch</x:v>
      </x:c>
      <x:c r="G7651" s="20" t="n">
        <x:v>1</x:v>
      </x:c>
      <x:c r="H7651" s="12" t="str">
        <x:v>Campus/portfolio roster; individual building occupancy unverified</x:v>
      </x:c>
      <x:c r="I7651" s="12" t="str">
        <x:v>Mixed business audience</x:v>
      </x:c>
      <x:c r="J7651" s="12" t="str">
        <x:v>IT &amp; digital</x:v>
      </x:c>
      <x:c r="K7651" s="2" t="str">
        <x:v>PARTNER-M065</x:v>
      </x:c>
    </x:row>
    <x:row r="7652" ht="46" customHeight="1">
      <x:c r="A7652" s="2" t="str">
        <x:v>TEN-4DAB11405DF8</x:v>
      </x:c>
      <x:c r="B7652" s="12" t="str">
        <x:v>Wipro Technologies Limited</x:v>
      </x:c>
      <x:c r="C7652" s="12" t="str">
        <x:v>CORP-0484</x:v>
      </x:c>
      <x:c r="D7652" s="12" t="str">
        <x:v>Bengaluru</x:v>
      </x:c>
      <x:c r="E7652" s="12" t="str">
        <x:v>First Technology Park</x:v>
      </x:c>
      <x:c r="F7652" s="12" t="str">
        <x:v>55 inch</x:v>
      </x:c>
      <x:c r="G7652" s="20" t="n">
        <x:v>1</x:v>
      </x:c>
      <x:c r="H7652" s="12" t="str">
        <x:v>Campus/portfolio roster; individual building occupancy unverified</x:v>
      </x:c>
      <x:c r="I7652" s="12" t="str">
        <x:v>Large enterprise</x:v>
      </x:c>
      <x:c r="J7652" s="12" t="str">
        <x:v>IT &amp; digital</x:v>
      </x:c>
      <x:c r="K7652" s="2" t="str">
        <x:v>PARTNER-M065</x:v>
      </x:c>
    </x:row>
    <x:row r="7653" ht="46" customHeight="1">
      <x:c r="A7653" s="2" t="str">
        <x:v>TEN-55FE7B7567AF</x:v>
      </x:c>
      <x:c r="B7653" s="12" t="str">
        <x:v>Nirvigna.com</x:v>
      </x:c>
      <x:c r="C7653" s="12" t="str">
        <x:v>CORP-0484</x:v>
      </x:c>
      <x:c r="D7653" s="12" t="str">
        <x:v>Bengaluru</x:v>
      </x:c>
      <x:c r="E7653" s="12" t="str">
        <x:v>First Technology Park</x:v>
      </x:c>
      <x:c r="F7653" s="12" t="str">
        <x:v>55 inch</x:v>
      </x:c>
      <x:c r="G7653" s="20" t="n">
        <x:v>1</x:v>
      </x:c>
      <x:c r="H7653" s="12" t="str">
        <x:v>Campus/portfolio roster; individual building occupancy unverified</x:v>
      </x:c>
      <x:c r="I7653" s="12" t="str">
        <x:v>Mixed business audience</x:v>
      </x:c>
      <x:c r="J7653" s="12" t="str">
        <x:v>Unresolved</x:v>
      </x:c>
      <x:c r="K7653" s="2" t="str">
        <x:v>PARTNER-M065</x:v>
      </x:c>
    </x:row>
    <x:row r="7654" ht="46" customHeight="1">
      <x:c r="A7654" s="2" t="str">
        <x:v>TEN-678FB4E04FCE</x:v>
      </x:c>
      <x:c r="B7654" s="12" t="str">
        <x:v>Infosys Technologies Limited</x:v>
      </x:c>
      <x:c r="C7654" s="12" t="str">
        <x:v>CORP-0484</x:v>
      </x:c>
      <x:c r="D7654" s="12" t="str">
        <x:v>Bengaluru</x:v>
      </x:c>
      <x:c r="E7654" s="12" t="str">
        <x:v>First Technology Park</x:v>
      </x:c>
      <x:c r="F7654" s="12" t="str">
        <x:v>55 inch</x:v>
      </x:c>
      <x:c r="G7654" s="20" t="n">
        <x:v>1</x:v>
      </x:c>
      <x:c r="H7654" s="12" t="str">
        <x:v>Campus/portfolio roster; individual building occupancy unverified</x:v>
      </x:c>
      <x:c r="I7654" s="12" t="str">
        <x:v>Large enterprise</x:v>
      </x:c>
      <x:c r="J7654" s="12" t="str">
        <x:v>IT &amp; digital</x:v>
      </x:c>
      <x:c r="K7654" s="2" t="str">
        <x:v>PARTNER-M065</x:v>
      </x:c>
    </x:row>
    <x:row r="7655" ht="46" customHeight="1">
      <x:c r="A7655" s="2" t="str">
        <x:v>TEN-6D01BFE28329</x:v>
      </x:c>
      <x:c r="B7655" s="12" t="str">
        <x:v>Cognexa Business Solutions</x:v>
      </x:c>
      <x:c r="C7655" s="12" t="str">
        <x:v>CORP-0484</x:v>
      </x:c>
      <x:c r="D7655" s="12" t="str">
        <x:v>Bengaluru</x:v>
      </x:c>
      <x:c r="E7655" s="12" t="str">
        <x:v>First Technology Park</x:v>
      </x:c>
      <x:c r="F7655" s="12" t="str">
        <x:v>55 inch</x:v>
      </x:c>
      <x:c r="G7655" s="20" t="n">
        <x:v>1</x:v>
      </x:c>
      <x:c r="H7655" s="12" t="str">
        <x:v>Campus/portfolio roster; individual building occupancy unverified</x:v>
      </x:c>
      <x:c r="I7655" s="12" t="str">
        <x:v>Mixed business audience</x:v>
      </x:c>
      <x:c r="J7655" s="12" t="str">
        <x:v>Unresolved</x:v>
      </x:c>
      <x:c r="K7655" s="2" t="str">
        <x:v>PARTNER-M065</x:v>
      </x:c>
    </x:row>
    <x:row r="7656" ht="46" customHeight="1">
      <x:c r="A7656" s="2" t="str">
        <x:v>TEN-816AAFE58551</x:v>
      </x:c>
      <x:c r="B7656" s="12" t="str">
        <x:v>Jyeshtha Solutions Pvt Ltd</x:v>
      </x:c>
      <x:c r="C7656" s="12" t="str">
        <x:v>CORP-0484</x:v>
      </x:c>
      <x:c r="D7656" s="12" t="str">
        <x:v>Bengaluru</x:v>
      </x:c>
      <x:c r="E7656" s="12" t="str">
        <x:v>First Technology Park</x:v>
      </x:c>
      <x:c r="F7656" s="12" t="str">
        <x:v>55 inch</x:v>
      </x:c>
      <x:c r="G7656" s="20" t="n">
        <x:v>1</x:v>
      </x:c>
      <x:c r="H7656" s="12" t="str">
        <x:v>Campus/portfolio roster; individual building occupancy unverified</x:v>
      </x:c>
      <x:c r="I7656" s="12" t="str">
        <x:v>Mixed business audience</x:v>
      </x:c>
      <x:c r="J7656" s="12" t="str">
        <x:v>Unresolved</x:v>
      </x:c>
      <x:c r="K7656" s="2" t="str">
        <x:v>PARTNER-M065</x:v>
      </x:c>
    </x:row>
    <x:row r="7657" ht="46" customHeight="1">
      <x:c r="A7657" s="2" t="str">
        <x:v>TEN-91BEEC88DDAF</x:v>
      </x:c>
      <x:c r="B7657" s="12" t="str">
        <x:v>Atsiro Pvt Ltd</x:v>
      </x:c>
      <x:c r="C7657" s="12" t="str">
        <x:v>CORP-0484</x:v>
      </x:c>
      <x:c r="D7657" s="12" t="str">
        <x:v>Bengaluru</x:v>
      </x:c>
      <x:c r="E7657" s="12" t="str">
        <x:v>First Technology Park</x:v>
      </x:c>
      <x:c r="F7657" s="12" t="str">
        <x:v>55 inch</x:v>
      </x:c>
      <x:c r="G7657" s="20" t="n">
        <x:v>1</x:v>
      </x:c>
      <x:c r="H7657" s="12" t="str">
        <x:v>Campus/portfolio roster; individual building occupancy unverified</x:v>
      </x:c>
      <x:c r="I7657" s="12" t="str">
        <x:v>Mixed business audience</x:v>
      </x:c>
      <x:c r="J7657" s="12" t="str">
        <x:v>Unresolved</x:v>
      </x:c>
      <x:c r="K7657" s="2" t="str">
        <x:v>PARTNER-M065</x:v>
      </x:c>
    </x:row>
    <x:row r="7658" ht="46" customHeight="1">
      <x:c r="A7658" s="2" t="str">
        <x:v>TEN-A845A7DB23BB</x:v>
      </x:c>
      <x:c r="B7658" s="12" t="str">
        <x:v>Cahfad Technologies</x:v>
      </x:c>
      <x:c r="C7658" s="12" t="str">
        <x:v>CORP-0484</x:v>
      </x:c>
      <x:c r="D7658" s="12" t="str">
        <x:v>Bengaluru</x:v>
      </x:c>
      <x:c r="E7658" s="12" t="str">
        <x:v>First Technology Park</x:v>
      </x:c>
      <x:c r="F7658" s="12" t="str">
        <x:v>55 inch</x:v>
      </x:c>
      <x:c r="G7658" s="20" t="n">
        <x:v>1</x:v>
      </x:c>
      <x:c r="H7658" s="12" t="str">
        <x:v>Campus/portfolio roster; individual building occupancy unverified</x:v>
      </x:c>
      <x:c r="I7658" s="12" t="str">
        <x:v>Mixed business audience</x:v>
      </x:c>
      <x:c r="J7658" s="12" t="str">
        <x:v>Unresolved</x:v>
      </x:c>
      <x:c r="K7658" s="2" t="str">
        <x:v>PARTNER-M065</x:v>
      </x:c>
    </x:row>
    <x:row r="7659" ht="46" customHeight="1">
      <x:c r="A7659" s="2" t="str">
        <x:v>TEN-AF4588398C1D</x:v>
      </x:c>
      <x:c r="B7659" s="12" t="str">
        <x:v>Ifortis Worldwide</x:v>
      </x:c>
      <x:c r="C7659" s="12" t="str">
        <x:v>CORP-0484</x:v>
      </x:c>
      <x:c r="D7659" s="12" t="str">
        <x:v>Bengaluru</x:v>
      </x:c>
      <x:c r="E7659" s="12" t="str">
        <x:v>First Technology Park</x:v>
      </x:c>
      <x:c r="F7659" s="12" t="str">
        <x:v>55 inch</x:v>
      </x:c>
      <x:c r="G7659" s="20" t="n">
        <x:v>1</x:v>
      </x:c>
      <x:c r="H7659" s="12" t="str">
        <x:v>Campus/portfolio roster; individual building occupancy unverified</x:v>
      </x:c>
      <x:c r="I7659" s="12" t="str">
        <x:v>Mixed business audience</x:v>
      </x:c>
      <x:c r="J7659" s="12" t="str">
        <x:v>Unresolved</x:v>
      </x:c>
      <x:c r="K7659" s="2" t="str">
        <x:v>PARTNER-M065</x:v>
      </x:c>
    </x:row>
    <x:row r="7660" ht="46" customHeight="1">
      <x:c r="A7660" s="2" t="str">
        <x:v>TEN-EAE936FEE92F</x:v>
      </x:c>
      <x:c r="B7660" s="12" t="str">
        <x:v>Ejl Tech</x:v>
      </x:c>
      <x:c r="C7660" s="12" t="str">
        <x:v>CORP-0484</x:v>
      </x:c>
      <x:c r="D7660" s="12" t="str">
        <x:v>Bengaluru</x:v>
      </x:c>
      <x:c r="E7660" s="12" t="str">
        <x:v>First Technology Park</x:v>
      </x:c>
      <x:c r="F7660" s="12" t="str">
        <x:v>55 inch</x:v>
      </x:c>
      <x:c r="G7660" s="20" t="n">
        <x:v>1</x:v>
      </x:c>
      <x:c r="H7660" s="12" t="str">
        <x:v>Campus/portfolio roster; individual building occupancy unverified</x:v>
      </x:c>
      <x:c r="I7660" s="12" t="str">
        <x:v>Mixed business audience</x:v>
      </x:c>
      <x:c r="J7660" s="12" t="str">
        <x:v>Unresolved</x:v>
      </x:c>
      <x:c r="K7660" s="2" t="str">
        <x:v>PARTNER-M065</x:v>
      </x:c>
    </x:row>
    <x:row r="7661" ht="46" customHeight="1">
      <x:c r="A7661" s="2" t="str">
        <x:v>TEN-020941631166</x:v>
      </x:c>
      <x:c r="B7661" s="12" t="str">
        <x:v>EXA-AG</x:v>
      </x:c>
      <x:c r="C7661" s="12" t="str">
        <x:v>CORP-0422</x:v>
      </x:c>
      <x:c r="D7661" s="12" t="str">
        <x:v>Bengaluru</x:v>
      </x:c>
      <x:c r="E7661" s="12" t="str">
        <x:v>International Tech Park (ITPB)</x:v>
      </x:c>
      <x:c r="F7661" s="12" t="str">
        <x:v>55 inch</x:v>
      </x:c>
      <x:c r="G7661" s="20" t="n">
        <x:v>1</x:v>
      </x:c>
      <x:c r="H7661" s="12" t="str">
        <x:v>Campus/portfolio roster; individual building occupancy unverified</x:v>
      </x:c>
      <x:c r="I7661" s="12" t="str">
        <x:v>Small-scale prospects</x:v>
      </x:c>
      <x:c r="J7661" s="12" t="str">
        <x:v>IT &amp; digital</x:v>
      </x:c>
      <x:c r="K7661" s="2" t="str">
        <x:v>PARTNER-M002</x:v>
      </x:c>
    </x:row>
    <x:row r="7662" ht="46" customHeight="1">
      <x:c r="A7662" s="2" t="str">
        <x:v>TEN-046FCB362D0A</x:v>
      </x:c>
      <x:c r="B7662" s="12" t="str">
        <x:v>judge India</x:v>
      </x:c>
      <x:c r="C7662" s="12" t="str">
        <x:v>CORP-0422</x:v>
      </x:c>
      <x:c r="D7662" s="12" t="str">
        <x:v>Bengaluru</x:v>
      </x:c>
      <x:c r="E7662" s="12" t="str">
        <x:v>International Tech Park (ITPB)</x:v>
      </x:c>
      <x:c r="F7662" s="12" t="str">
        <x:v>55 inch</x:v>
      </x:c>
      <x:c r="G7662" s="20" t="n">
        <x:v>1</x:v>
      </x:c>
      <x:c r="H7662" s="12" t="str">
        <x:v>Campus/portfolio roster; individual building occupancy unverified</x:v>
      </x:c>
      <x:c r="I7662" s="12" t="str">
        <x:v>Mixed business audience</x:v>
      </x:c>
      <x:c r="J7662" s="12" t="str">
        <x:v>Unresolved</x:v>
      </x:c>
      <x:c r="K7662" s="2" t="str">
        <x:v>PARTNER-M002</x:v>
      </x:c>
    </x:row>
    <x:row r="7663" ht="46" customHeight="1">
      <x:c r="A7663" s="2" t="str">
        <x:v>TEN-06DF4DFB01BE</x:v>
      </x:c>
      <x:c r="B7663" s="12" t="str">
        <x:v>Gyansys Infotech</x:v>
      </x:c>
      <x:c r="C7663" s="12" t="str">
        <x:v>CORP-0422</x:v>
      </x:c>
      <x:c r="D7663" s="12" t="str">
        <x:v>Bengaluru</x:v>
      </x:c>
      <x:c r="E7663" s="12" t="str">
        <x:v>International Tech Park (ITPB)</x:v>
      </x:c>
      <x:c r="F7663" s="12" t="str">
        <x:v>55 inch</x:v>
      </x:c>
      <x:c r="G7663" s="20" t="n">
        <x:v>1</x:v>
      </x:c>
      <x:c r="H7663" s="12" t="str">
        <x:v>Campus/portfolio roster; individual building occupancy unverified</x:v>
      </x:c>
      <x:c r="I7663" s="12" t="str">
        <x:v>Small-scale prospects</x:v>
      </x:c>
      <x:c r="J7663" s="12" t="str">
        <x:v>IT &amp; digital</x:v>
      </x:c>
      <x:c r="K7663" s="2" t="str">
        <x:v>PARTNER-M002</x:v>
      </x:c>
    </x:row>
    <x:row r="7664" ht="46" customHeight="1">
      <x:c r="A7664" s="2" t="str">
        <x:v>TEN-0716830D1238</x:v>
      </x:c>
      <x:c r="B7664" s="12" t="str">
        <x:v>Kaalari Capital</x:v>
      </x:c>
      <x:c r="C7664" s="12" t="str">
        <x:v>CORP-0422</x:v>
      </x:c>
      <x:c r="D7664" s="12" t="str">
        <x:v>Bengaluru</x:v>
      </x:c>
      <x:c r="E7664" s="12" t="str">
        <x:v>International Tech Park (ITPB)</x:v>
      </x:c>
      <x:c r="F7664" s="12" t="str">
        <x:v>55 inch</x:v>
      </x:c>
      <x:c r="G7664" s="20" t="n">
        <x:v>1</x:v>
      </x:c>
      <x:c r="H7664" s="12" t="str">
        <x:v>Campus/portfolio roster; individual building occupancy unverified</x:v>
      </x:c>
      <x:c r="I7664" s="12" t="str">
        <x:v>Medium-scale prospects</x:v>
      </x:c>
      <x:c r="J7664" s="12" t="str">
        <x:v>Finance &amp; insurance</x:v>
      </x:c>
      <x:c r="K7664" s="2" t="str">
        <x:v>PARTNER-M002</x:v>
      </x:c>
    </x:row>
    <x:row r="7665" ht="46" customHeight="1">
      <x:c r="A7665" s="2" t="str">
        <x:v>TEN-095DAC44FBD3</x:v>
      </x:c>
      <x:c r="B7665" s="12" t="str">
        <x:v>SOA IT</x:v>
      </x:c>
      <x:c r="C7665" s="12" t="str">
        <x:v>CORP-0422</x:v>
      </x:c>
      <x:c r="D7665" s="12" t="str">
        <x:v>Bengaluru</x:v>
      </x:c>
      <x:c r="E7665" s="12" t="str">
        <x:v>International Tech Park (ITPB)</x:v>
      </x:c>
      <x:c r="F7665" s="12" t="str">
        <x:v>55 inch</x:v>
      </x:c>
      <x:c r="G7665" s="20" t="n">
        <x:v>1</x:v>
      </x:c>
      <x:c r="H7665" s="12" t="str">
        <x:v>Campus/portfolio roster; individual building occupancy unverified</x:v>
      </x:c>
      <x:c r="I7665" s="12" t="str">
        <x:v>Small-scale prospects</x:v>
      </x:c>
      <x:c r="J7665" s="12" t="str">
        <x:v>IT &amp; digital</x:v>
      </x:c>
      <x:c r="K7665" s="2" t="str">
        <x:v>PARTNER-M002</x:v>
      </x:c>
    </x:row>
    <x:row r="7666" ht="46" customHeight="1">
      <x:c r="A7666" s="2" t="str">
        <x:v>TEN-0B9EE0B94DB9</x:v>
      </x:c>
      <x:c r="B7666" s="12" t="str">
        <x:v>Kyndryl</x:v>
      </x:c>
      <x:c r="C7666" s="12" t="str">
        <x:v>CORP-0422</x:v>
      </x:c>
      <x:c r="D7666" s="12" t="str">
        <x:v>Bengaluru</x:v>
      </x:c>
      <x:c r="E7666" s="12" t="str">
        <x:v>International Tech Park (ITPB)</x:v>
      </x:c>
      <x:c r="F7666" s="12" t="str">
        <x:v>55 inch</x:v>
      </x:c>
      <x:c r="G7666" s="20" t="n">
        <x:v>1</x:v>
      </x:c>
      <x:c r="H7666" s="12" t="str">
        <x:v>Campus/portfolio roster; individual building occupancy unverified</x:v>
      </x:c>
      <x:c r="I7666" s="12" t="str">
        <x:v>Mixed business audience</x:v>
      </x:c>
      <x:c r="J7666" s="12" t="str">
        <x:v>IT &amp; digital</x:v>
      </x:c>
      <x:c r="K7666" s="2" t="str">
        <x:v>PARTNER-M002</x:v>
      </x:c>
    </x:row>
    <x:row r="7667" ht="46" customHeight="1">
      <x:c r="A7667" s="2" t="str">
        <x:v>TEN-0BF923F90AB2</x:v>
      </x:c>
      <x:c r="B7667" s="12" t="str">
        <x:v>Reliance</x:v>
      </x:c>
      <x:c r="C7667" s="12" t="str">
        <x:v>CORP-0422</x:v>
      </x:c>
      <x:c r="D7667" s="12" t="str">
        <x:v>Bengaluru</x:v>
      </x:c>
      <x:c r="E7667" s="12" t="str">
        <x:v>International Tech Park (ITPB)</x:v>
      </x:c>
      <x:c r="F7667" s="12" t="str">
        <x:v>55 inch</x:v>
      </x:c>
      <x:c r="G7667" s="20" t="n">
        <x:v>1</x:v>
      </x:c>
      <x:c r="H7667" s="12" t="str">
        <x:v>Campus/portfolio roster; individual building occupancy unverified</x:v>
      </x:c>
      <x:c r="I7667" s="12" t="str">
        <x:v>Mixed business audience</x:v>
      </x:c>
      <x:c r="J7667" s="12" t="str">
        <x:v>Unresolved</x:v>
      </x:c>
      <x:c r="K7667" s="2" t="str">
        <x:v>PARTNER-M002</x:v>
      </x:c>
    </x:row>
    <x:row r="7668" ht="46" customHeight="1">
      <x:c r="A7668" s="2" t="str">
        <x:v>TEN-0EFAB3176540</x:v>
      </x:c>
      <x:c r="B7668" s="12" t="str">
        <x:v>Sycomp</x:v>
      </x:c>
      <x:c r="C7668" s="12" t="str">
        <x:v>CORP-0422</x:v>
      </x:c>
      <x:c r="D7668" s="12" t="str">
        <x:v>Bengaluru</x:v>
      </x:c>
      <x:c r="E7668" s="12" t="str">
        <x:v>International Tech Park (ITPB)</x:v>
      </x:c>
      <x:c r="F7668" s="12" t="str">
        <x:v>55 inch</x:v>
      </x:c>
      <x:c r="G7668" s="20" t="n">
        <x:v>1</x:v>
      </x:c>
      <x:c r="H7668" s="12" t="str">
        <x:v>Campus/portfolio roster; individual building occupancy unverified</x:v>
      </x:c>
      <x:c r="I7668" s="12" t="str">
        <x:v>Small-scale prospects</x:v>
      </x:c>
      <x:c r="J7668" s="12" t="str">
        <x:v>IT &amp; digital</x:v>
      </x:c>
      <x:c r="K7668" s="2" t="str">
        <x:v>PARTNER-M002</x:v>
      </x:c>
    </x:row>
    <x:row r="7669" ht="46" customHeight="1">
      <x:c r="A7669" s="2" t="str">
        <x:v>TEN-0F0E714E580D</x:v>
      </x:c>
      <x:c r="B7669" s="12" t="str">
        <x:v>Scientific Games</x:v>
      </x:c>
      <x:c r="C7669" s="12" t="str">
        <x:v>CORP-0422</x:v>
      </x:c>
      <x:c r="D7669" s="12" t="str">
        <x:v>Bengaluru</x:v>
      </x:c>
      <x:c r="E7669" s="12" t="str">
        <x:v>International Tech Park (ITPB)</x:v>
      </x:c>
      <x:c r="F7669" s="12" t="str">
        <x:v>55 inch</x:v>
      </x:c>
      <x:c r="G7669" s="20" t="n">
        <x:v>1</x:v>
      </x:c>
      <x:c r="H7669" s="12" t="str">
        <x:v>Campus/portfolio roster; individual building occupancy unverified</x:v>
      </x:c>
      <x:c r="I7669" s="12" t="str">
        <x:v>Mixed business audience</x:v>
      </x:c>
      <x:c r="J7669" s="12" t="str">
        <x:v>Trade, consumer &amp; logistics</x:v>
      </x:c>
      <x:c r="K7669" s="2" t="str">
        <x:v>PARTNER-M002</x:v>
      </x:c>
    </x:row>
    <x:row r="7670" ht="46" customHeight="1">
      <x:c r="A7670" s="2" t="str">
        <x:v>TEN-184C1AE98B51</x:v>
      </x:c>
      <x:c r="B7670" s="12" t="str">
        <x:v>N.F Simth</x:v>
      </x:c>
      <x:c r="C7670" s="12" t="str">
        <x:v>CORP-0422</x:v>
      </x:c>
      <x:c r="D7670" s="12" t="str">
        <x:v>Bengaluru</x:v>
      </x:c>
      <x:c r="E7670" s="12" t="str">
        <x:v>International Tech Park (ITPB)</x:v>
      </x:c>
      <x:c r="F7670" s="12" t="str">
        <x:v>55 inch</x:v>
      </x:c>
      <x:c r="G7670" s="20" t="n">
        <x:v>1</x:v>
      </x:c>
      <x:c r="H7670" s="12" t="str">
        <x:v>Campus/portfolio roster; individual building occupancy unverified</x:v>
      </x:c>
      <x:c r="I7670" s="12" t="str">
        <x:v>Mixed business audience</x:v>
      </x:c>
      <x:c r="J7670" s="12" t="str">
        <x:v>Unresolved</x:v>
      </x:c>
      <x:c r="K7670" s="2" t="str">
        <x:v>PARTNER-M002</x:v>
      </x:c>
    </x:row>
    <x:row r="7671" ht="46" customHeight="1">
      <x:c r="A7671" s="2" t="str">
        <x:v>TEN-1B4CDA7D6285</x:v>
      </x:c>
      <x:c r="B7671" s="12" t="str">
        <x:v>Jupiter Intergrated</x:v>
      </x:c>
      <x:c r="C7671" s="12" t="str">
        <x:v>CORP-0422</x:v>
      </x:c>
      <x:c r="D7671" s="12" t="str">
        <x:v>Bengaluru</x:v>
      </x:c>
      <x:c r="E7671" s="12" t="str">
        <x:v>International Tech Park (ITPB)</x:v>
      </x:c>
      <x:c r="F7671" s="12" t="str">
        <x:v>55 inch</x:v>
      </x:c>
      <x:c r="G7671" s="20" t="n">
        <x:v>1</x:v>
      </x:c>
      <x:c r="H7671" s="12" t="str">
        <x:v>Campus/portfolio roster; individual building occupancy unverified</x:v>
      </x:c>
      <x:c r="I7671" s="12" t="str">
        <x:v>Mixed business audience</x:v>
      </x:c>
      <x:c r="J7671" s="12" t="str">
        <x:v>Unresolved</x:v>
      </x:c>
      <x:c r="K7671" s="2" t="str">
        <x:v>PARTNER-M002</x:v>
      </x:c>
    </x:row>
    <x:row r="7672" ht="46" customHeight="1">
      <x:c r="A7672" s="2" t="str">
        <x:v>TEN-2026E5F6610A</x:v>
      </x:c>
      <x:c r="B7672" s="12" t="str">
        <x:v>PPalc Networks</x:v>
      </x:c>
      <x:c r="C7672" s="12" t="str">
        <x:v>CORP-0422</x:v>
      </x:c>
      <x:c r="D7672" s="12" t="str">
        <x:v>Bengaluru</x:v>
      </x:c>
      <x:c r="E7672" s="12" t="str">
        <x:v>International Tech Park (ITPB)</x:v>
      </x:c>
      <x:c r="F7672" s="12" t="str">
        <x:v>55 inch</x:v>
      </x:c>
      <x:c r="G7672" s="20" t="n">
        <x:v>1</x:v>
      </x:c>
      <x:c r="H7672" s="12" t="str">
        <x:v>Campus/portfolio roster; individual building occupancy unverified</x:v>
      </x:c>
      <x:c r="I7672" s="12" t="str">
        <x:v>Small-scale prospects</x:v>
      </x:c>
      <x:c r="J7672" s="12" t="str">
        <x:v>IT &amp; digital</x:v>
      </x:c>
      <x:c r="K7672" s="2" t="str">
        <x:v>PARTNER-M002</x:v>
      </x:c>
    </x:row>
    <x:row r="7673" ht="46" customHeight="1">
      <x:c r="A7673" s="2" t="str">
        <x:v>TEN-20DEB070372D</x:v>
      </x:c>
      <x:c r="B7673" s="12" t="str">
        <x:v>Thoucentric</x:v>
      </x:c>
      <x:c r="C7673" s="12" t="str">
        <x:v>CORP-0422</x:v>
      </x:c>
      <x:c r="D7673" s="12" t="str">
        <x:v>Bengaluru</x:v>
      </x:c>
      <x:c r="E7673" s="12" t="str">
        <x:v>International Tech Park (ITPB)</x:v>
      </x:c>
      <x:c r="F7673" s="12" t="str">
        <x:v>55 inch</x:v>
      </x:c>
      <x:c r="G7673" s="20" t="n">
        <x:v>1</x:v>
      </x:c>
      <x:c r="H7673" s="12" t="str">
        <x:v>Campus/portfolio roster; individual building occupancy unverified</x:v>
      </x:c>
      <x:c r="I7673" s="12" t="str">
        <x:v>Mixed business audience</x:v>
      </x:c>
      <x:c r="J7673" s="12" t="str">
        <x:v>IT &amp; digital</x:v>
      </x:c>
      <x:c r="K7673" s="2" t="str">
        <x:v>PARTNER-M002</x:v>
      </x:c>
    </x:row>
    <x:row r="7674" ht="46" customHeight="1">
      <x:c r="A7674" s="2" t="str">
        <x:v>TEN-21972B078EB5</x:v>
      </x:c>
      <x:c r="B7674" s="12" t="str">
        <x:v>Denso International</x:v>
      </x:c>
      <x:c r="C7674" s="12" t="str">
        <x:v>CORP-0422</x:v>
      </x:c>
      <x:c r="D7674" s="12" t="str">
        <x:v>Bengaluru</x:v>
      </x:c>
      <x:c r="E7674" s="12" t="str">
        <x:v>International Tech Park (ITPB)</x:v>
      </x:c>
      <x:c r="F7674" s="12" t="str">
        <x:v>55 inch</x:v>
      </x:c>
      <x:c r="G7674" s="20" t="n">
        <x:v>1</x:v>
      </x:c>
      <x:c r="H7674" s="12" t="str">
        <x:v>Campus/portfolio roster; individual building occupancy unverified</x:v>
      </x:c>
      <x:c r="I7674" s="12" t="str">
        <x:v>Mixed business audience</x:v>
      </x:c>
      <x:c r="J7674" s="12" t="str">
        <x:v>Engineering &amp; manufacturing</x:v>
      </x:c>
      <x:c r="K7674" s="2" t="str">
        <x:v>PARTNER-M002</x:v>
      </x:c>
    </x:row>
    <x:row r="7675" ht="46" customHeight="1">
      <x:c r="A7675" s="2" t="str">
        <x:v>TEN-22A366EB6CEC</x:v>
      </x:c>
      <x:c r="B7675" s="12" t="str">
        <x:v>Xandr India</x:v>
      </x:c>
      <x:c r="C7675" s="12" t="str">
        <x:v>CORP-0422</x:v>
      </x:c>
      <x:c r="D7675" s="12" t="str">
        <x:v>Bengaluru</x:v>
      </x:c>
      <x:c r="E7675" s="12" t="str">
        <x:v>International Tech Park (ITPB)</x:v>
      </x:c>
      <x:c r="F7675" s="12" t="str">
        <x:v>55 inch</x:v>
      </x:c>
      <x:c r="G7675" s="20" t="n">
        <x:v>1</x:v>
      </x:c>
      <x:c r="H7675" s="12" t="str">
        <x:v>Campus/portfolio roster; individual building occupancy unverified</x:v>
      </x:c>
      <x:c r="I7675" s="12" t="str">
        <x:v>Mixed business audience</x:v>
      </x:c>
      <x:c r="J7675" s="12" t="str">
        <x:v>IT &amp; digital</x:v>
      </x:c>
      <x:c r="K7675" s="2" t="str">
        <x:v>PARTNER-M002</x:v>
      </x:c>
    </x:row>
    <x:row r="7676" ht="46" customHeight="1">
      <x:c r="A7676" s="2" t="str">
        <x:v>TEN-2417E5B2BCE7</x:v>
      </x:c>
      <x:c r="B7676" s="12" t="str">
        <x:v>Galax E Solutions</x:v>
      </x:c>
      <x:c r="C7676" s="12" t="str">
        <x:v>CORP-0422</x:v>
      </x:c>
      <x:c r="D7676" s="12" t="str">
        <x:v>Bengaluru</x:v>
      </x:c>
      <x:c r="E7676" s="12" t="str">
        <x:v>International Tech Park (ITPB)</x:v>
      </x:c>
      <x:c r="F7676" s="12" t="str">
        <x:v>55 inch</x:v>
      </x:c>
      <x:c r="G7676" s="20" t="n">
        <x:v>1</x:v>
      </x:c>
      <x:c r="H7676" s="12" t="str">
        <x:v>Campus/portfolio roster; individual building occupancy unverified</x:v>
      </x:c>
      <x:c r="I7676" s="12" t="str">
        <x:v>Mixed business audience</x:v>
      </x:c>
      <x:c r="J7676" s="12" t="str">
        <x:v>IT &amp; digital</x:v>
      </x:c>
      <x:c r="K7676" s="2" t="str">
        <x:v>PARTNER-M002</x:v>
      </x:c>
    </x:row>
    <x:row r="7677" ht="46" customHeight="1">
      <x:c r="A7677" s="2" t="str">
        <x:v>TEN-2AB6D53E717A</x:v>
      </x:c>
      <x:c r="B7677" s="12" t="str">
        <x:v>Nokia</x:v>
      </x:c>
      <x:c r="C7677" s="12" t="str">
        <x:v>CORP-0422</x:v>
      </x:c>
      <x:c r="D7677" s="12" t="str">
        <x:v>Bengaluru</x:v>
      </x:c>
      <x:c r="E7677" s="12" t="str">
        <x:v>International Tech Park (ITPB)</x:v>
      </x:c>
      <x:c r="F7677" s="12" t="str">
        <x:v>55 inch</x:v>
      </x:c>
      <x:c r="G7677" s="20" t="n">
        <x:v>1</x:v>
      </x:c>
      <x:c r="H7677" s="12" t="str">
        <x:v>Campus/portfolio roster; individual building occupancy unverified</x:v>
      </x:c>
      <x:c r="I7677" s="12" t="str">
        <x:v>Large enterprise</x:v>
      </x:c>
      <x:c r="J7677" s="12" t="str">
        <x:v>IT &amp; digital</x:v>
      </x:c>
      <x:c r="K7677" s="2" t="str">
        <x:v>PARTNER-M002</x:v>
      </x:c>
    </x:row>
    <x:row r="7678" ht="46" customHeight="1">
      <x:c r="A7678" s="2" t="str">
        <x:v>TEN-2DBBBD8AD08B</x:v>
      </x:c>
      <x:c r="B7678" s="12" t="str">
        <x:v>Zenmonics Software</x:v>
      </x:c>
      <x:c r="C7678" s="12" t="str">
        <x:v>CORP-0422</x:v>
      </x:c>
      <x:c r="D7678" s="12" t="str">
        <x:v>Bengaluru</x:v>
      </x:c>
      <x:c r="E7678" s="12" t="str">
        <x:v>International Tech Park (ITPB)</x:v>
      </x:c>
      <x:c r="F7678" s="12" t="str">
        <x:v>55 inch</x:v>
      </x:c>
      <x:c r="G7678" s="20" t="n">
        <x:v>1</x:v>
      </x:c>
      <x:c r="H7678" s="12" t="str">
        <x:v>Campus/portfolio roster; individual building occupancy unverified</x:v>
      </x:c>
      <x:c r="I7678" s="12" t="str">
        <x:v>Small-scale prospects</x:v>
      </x:c>
      <x:c r="J7678" s="12" t="str">
        <x:v>IT &amp; digital</x:v>
      </x:c>
      <x:c r="K7678" s="2" t="str">
        <x:v>PARTNER-M002</x:v>
      </x:c>
    </x:row>
    <x:row r="7679" ht="46" customHeight="1">
      <x:c r="A7679" s="2" t="str">
        <x:v>TEN-2E737C2291BC</x:v>
      </x:c>
      <x:c r="B7679" s="12" t="str">
        <x:v>Nextgen</x:v>
      </x:c>
      <x:c r="C7679" s="12" t="str">
        <x:v>CORP-0422</x:v>
      </x:c>
      <x:c r="D7679" s="12" t="str">
        <x:v>Bengaluru</x:v>
      </x:c>
      <x:c r="E7679" s="12" t="str">
        <x:v>International Tech Park (ITPB)</x:v>
      </x:c>
      <x:c r="F7679" s="12" t="str">
        <x:v>55 inch</x:v>
      </x:c>
      <x:c r="G7679" s="20" t="n">
        <x:v>1</x:v>
      </x:c>
      <x:c r="H7679" s="12" t="str">
        <x:v>Campus/portfolio roster; individual building occupancy unverified</x:v>
      </x:c>
      <x:c r="I7679" s="12" t="str">
        <x:v>Mixed business audience</x:v>
      </x:c>
      <x:c r="J7679" s="12" t="str">
        <x:v>Unresolved</x:v>
      </x:c>
      <x:c r="K7679" s="2" t="str">
        <x:v>PARTNER-M002</x:v>
      </x:c>
    </x:row>
    <x:row r="7680" ht="46" customHeight="1">
      <x:c r="A7680" s="2" t="str">
        <x:v>TEN-2EDD47EC3C4F</x:v>
      </x:c>
      <x:c r="B7680" s="12" t="str">
        <x:v>Technicolor India</x:v>
      </x:c>
      <x:c r="C7680" s="12" t="str">
        <x:v>CORP-0422</x:v>
      </x:c>
      <x:c r="D7680" s="12" t="str">
        <x:v>Bengaluru</x:v>
      </x:c>
      <x:c r="E7680" s="12" t="str">
        <x:v>International Tech Park (ITPB)</x:v>
      </x:c>
      <x:c r="F7680" s="12" t="str">
        <x:v>55 inch</x:v>
      </x:c>
      <x:c r="G7680" s="20" t="n">
        <x:v>1</x:v>
      </x:c>
      <x:c r="H7680" s="12" t="str">
        <x:v>Campus/portfolio roster; individual building occupancy unverified</x:v>
      </x:c>
      <x:c r="I7680" s="12" t="str">
        <x:v>Mixed business audience</x:v>
      </x:c>
      <x:c r="J7680" s="12" t="str">
        <x:v>Trade, consumer &amp; logistics</x:v>
      </x:c>
      <x:c r="K7680" s="2" t="str">
        <x:v>PARTNER-M002</x:v>
      </x:c>
    </x:row>
    <x:row r="7681" ht="46" customHeight="1">
      <x:c r="A7681" s="2" t="str">
        <x:v>TEN-30E363D3E8C5</x:v>
      </x:c>
      <x:c r="B7681" s="12" t="str">
        <x:v>Siemens</x:v>
      </x:c>
      <x:c r="C7681" s="12" t="str">
        <x:v>CORP-0422</x:v>
      </x:c>
      <x:c r="D7681" s="12" t="str">
        <x:v>Bengaluru</x:v>
      </x:c>
      <x:c r="E7681" s="12" t="str">
        <x:v>International Tech Park (ITPB)</x:v>
      </x:c>
      <x:c r="F7681" s="12" t="str">
        <x:v>55 inch</x:v>
      </x:c>
      <x:c r="G7681" s="20" t="n">
        <x:v>1</x:v>
      </x:c>
      <x:c r="H7681" s="12" t="str">
        <x:v>Campus/portfolio roster; individual building occupancy unverified</x:v>
      </x:c>
      <x:c r="I7681" s="12" t="str">
        <x:v>Large enterprise</x:v>
      </x:c>
      <x:c r="J7681" s="12" t="str">
        <x:v>Engineering &amp; manufacturing</x:v>
      </x:c>
      <x:c r="K7681" s="2" t="str">
        <x:v>PARTNER-M002</x:v>
      </x:c>
    </x:row>
    <x:row r="7682" ht="46" customHeight="1">
      <x:c r="A7682" s="2" t="str">
        <x:v>TEN-316635638FCB</x:v>
      </x:c>
      <x:c r="B7682" s="12" t="str">
        <x:v>Sabre Travel</x:v>
      </x:c>
      <x:c r="C7682" s="12" t="str">
        <x:v>CORP-0422</x:v>
      </x:c>
      <x:c r="D7682" s="12" t="str">
        <x:v>Bengaluru</x:v>
      </x:c>
      <x:c r="E7682" s="12" t="str">
        <x:v>International Tech Park (ITPB)</x:v>
      </x:c>
      <x:c r="F7682" s="12" t="str">
        <x:v>55 inch</x:v>
      </x:c>
      <x:c r="G7682" s="20" t="n">
        <x:v>1</x:v>
      </x:c>
      <x:c r="H7682" s="12" t="str">
        <x:v>Campus/portfolio roster; individual building occupancy unverified</x:v>
      </x:c>
      <x:c r="I7682" s="12" t="str">
        <x:v>Mixed business audience</x:v>
      </x:c>
      <x:c r="J7682" s="12" t="str">
        <x:v>IT &amp; digital</x:v>
      </x:c>
      <x:c r="K7682" s="2" t="str">
        <x:v>PARTNER-M002</x:v>
      </x:c>
    </x:row>
    <x:row r="7683" ht="46" customHeight="1">
      <x:c r="A7683" s="2" t="str">
        <x:v>TEN-330E380FC660</x:v>
      </x:c>
      <x:c r="B7683" s="12" t="str">
        <x:v>The Dhanalakshmi Bank</x:v>
      </x:c>
      <x:c r="C7683" s="12" t="str">
        <x:v>CORP-0422</x:v>
      </x:c>
      <x:c r="D7683" s="12" t="str">
        <x:v>Bengaluru</x:v>
      </x:c>
      <x:c r="E7683" s="12" t="str">
        <x:v>International Tech Park (ITPB)</x:v>
      </x:c>
      <x:c r="F7683" s="12" t="str">
        <x:v>55 inch</x:v>
      </x:c>
      <x:c r="G7683" s="20" t="n">
        <x:v>1</x:v>
      </x:c>
      <x:c r="H7683" s="12" t="str">
        <x:v>Campus/portfolio roster; individual building occupancy unverified</x:v>
      </x:c>
      <x:c r="I7683" s="12" t="str">
        <x:v>Mixed business audience</x:v>
      </x:c>
      <x:c r="J7683" s="12" t="str">
        <x:v>Finance &amp; insurance</x:v>
      </x:c>
      <x:c r="K7683" s="2" t="str">
        <x:v>PARTNER-M002</x:v>
      </x:c>
    </x:row>
    <x:row r="7684" ht="46" customHeight="1">
      <x:c r="A7684" s="2" t="str">
        <x:v>TEN-3338D6A28C63</x:v>
      </x:c>
      <x:c r="B7684" s="12" t="str">
        <x:v>NTT Cloud</x:v>
      </x:c>
      <x:c r="C7684" s="12" t="str">
        <x:v>CORP-0422</x:v>
      </x:c>
      <x:c r="D7684" s="12" t="str">
        <x:v>Bengaluru</x:v>
      </x:c>
      <x:c r="E7684" s="12" t="str">
        <x:v>International Tech Park (ITPB)</x:v>
      </x:c>
      <x:c r="F7684" s="12" t="str">
        <x:v>55 inch</x:v>
      </x:c>
      <x:c r="G7684" s="20" t="n">
        <x:v>1</x:v>
      </x:c>
      <x:c r="H7684" s="12" t="str">
        <x:v>Campus/portfolio roster; individual building occupancy unverified</x:v>
      </x:c>
      <x:c r="I7684" s="12" t="str">
        <x:v>Large enterprise</x:v>
      </x:c>
      <x:c r="J7684" s="12" t="str">
        <x:v>IT &amp; digital</x:v>
      </x:c>
      <x:c r="K7684" s="2" t="str">
        <x:v>PARTNER-M002</x:v>
      </x:c>
    </x:row>
    <x:row r="7685" ht="46" customHeight="1">
      <x:c r="A7685" s="2" t="str">
        <x:v>TEN-33DF04958DCA</x:v>
      </x:c>
      <x:c r="B7685" s="12" t="str">
        <x:v>Panasoni Life</x:v>
      </x:c>
      <x:c r="C7685" s="12" t="str">
        <x:v>CORP-0422</x:v>
      </x:c>
      <x:c r="D7685" s="12" t="str">
        <x:v>Bengaluru</x:v>
      </x:c>
      <x:c r="E7685" s="12" t="str">
        <x:v>International Tech Park (ITPB)</x:v>
      </x:c>
      <x:c r="F7685" s="12" t="str">
        <x:v>55 inch</x:v>
      </x:c>
      <x:c r="G7685" s="20" t="n">
        <x:v>1</x:v>
      </x:c>
      <x:c r="H7685" s="12" t="str">
        <x:v>Campus/portfolio roster; individual building occupancy unverified</x:v>
      </x:c>
      <x:c r="I7685" s="12" t="str">
        <x:v>Mixed business audience</x:v>
      </x:c>
      <x:c r="J7685" s="12" t="str">
        <x:v>Unresolved</x:v>
      </x:c>
      <x:c r="K7685" s="2" t="str">
        <x:v>PARTNER-M002</x:v>
      </x:c>
    </x:row>
    <x:row r="7686" ht="46" customHeight="1">
      <x:c r="A7686" s="2" t="str">
        <x:v>TEN-34185282371F</x:v>
      </x:c>
      <x:c r="B7686" s="12" t="str">
        <x:v>Glenburn</x:v>
      </x:c>
      <x:c r="C7686" s="12" t="str">
        <x:v>CORP-0422</x:v>
      </x:c>
      <x:c r="D7686" s="12" t="str">
        <x:v>Bengaluru</x:v>
      </x:c>
      <x:c r="E7686" s="12" t="str">
        <x:v>International Tech Park (ITPB)</x:v>
      </x:c>
      <x:c r="F7686" s="12" t="str">
        <x:v>55 inch</x:v>
      </x:c>
      <x:c r="G7686" s="20" t="n">
        <x:v>1</x:v>
      </x:c>
      <x:c r="H7686" s="12" t="str">
        <x:v>Campus/portfolio roster; individual building occupancy unverified</x:v>
      </x:c>
      <x:c r="I7686" s="12" t="str">
        <x:v>Mixed business audience</x:v>
      </x:c>
      <x:c r="J7686" s="12" t="str">
        <x:v>Unresolved</x:v>
      </x:c>
      <x:c r="K7686" s="2" t="str">
        <x:v>PARTNER-M002</x:v>
      </x:c>
    </x:row>
    <x:row r="7687" ht="46" customHeight="1">
      <x:c r="A7687" s="2" t="str">
        <x:v>TEN-356AAB6A94F0</x:v>
      </x:c>
      <x:c r="B7687" s="12" t="str">
        <x:v>Infovision</x:v>
      </x:c>
      <x:c r="C7687" s="12" t="str">
        <x:v>CORP-0422</x:v>
      </x:c>
      <x:c r="D7687" s="12" t="str">
        <x:v>Bengaluru</x:v>
      </x:c>
      <x:c r="E7687" s="12" t="str">
        <x:v>International Tech Park (ITPB)</x:v>
      </x:c>
      <x:c r="F7687" s="12" t="str">
        <x:v>55 inch</x:v>
      </x:c>
      <x:c r="G7687" s="20" t="n">
        <x:v>1</x:v>
      </x:c>
      <x:c r="H7687" s="12" t="str">
        <x:v>Campus/portfolio roster; individual building occupancy unverified</x:v>
      </x:c>
      <x:c r="I7687" s="12" t="str">
        <x:v>Small-scale prospects</x:v>
      </x:c>
      <x:c r="J7687" s="12" t="str">
        <x:v>IT &amp; digital</x:v>
      </x:c>
      <x:c r="K7687" s="2" t="str">
        <x:v>PARTNER-M002</x:v>
      </x:c>
    </x:row>
    <x:row r="7688" ht="46" customHeight="1">
      <x:c r="A7688" s="2" t="str">
        <x:v>TEN-3669A97CEE08</x:v>
      </x:c>
      <x:c r="B7688" s="12" t="str">
        <x:v>DBA xcom labs</x:v>
      </x:c>
      <x:c r="C7688" s="12" t="str">
        <x:v>CORP-0422</x:v>
      </x:c>
      <x:c r="D7688" s="12" t="str">
        <x:v>Bengaluru</x:v>
      </x:c>
      <x:c r="E7688" s="12" t="str">
        <x:v>International Tech Park (ITPB)</x:v>
      </x:c>
      <x:c r="F7688" s="12" t="str">
        <x:v>55 inch</x:v>
      </x:c>
      <x:c r="G7688" s="20" t="n">
        <x:v>1</x:v>
      </x:c>
      <x:c r="H7688" s="12" t="str">
        <x:v>Campus/portfolio roster; individual building occupancy unverified</x:v>
      </x:c>
      <x:c r="I7688" s="12" t="str">
        <x:v>Mixed business audience</x:v>
      </x:c>
      <x:c r="J7688" s="12" t="str">
        <x:v>Unresolved</x:v>
      </x:c>
      <x:c r="K7688" s="2" t="str">
        <x:v>PARTNER-M002</x:v>
      </x:c>
    </x:row>
    <x:row r="7689" ht="46" customHeight="1">
      <x:c r="A7689" s="2" t="str">
        <x:v>TEN-3CCDB2E97517</x:v>
      </x:c>
      <x:c r="B7689" s="12" t="str">
        <x:v>Mentora</x:v>
      </x:c>
      <x:c r="C7689" s="12" t="str">
        <x:v>CORP-0422</x:v>
      </x:c>
      <x:c r="D7689" s="12" t="str">
        <x:v>Bengaluru</x:v>
      </x:c>
      <x:c r="E7689" s="12" t="str">
        <x:v>International Tech Park (ITPB)</x:v>
      </x:c>
      <x:c r="F7689" s="12" t="str">
        <x:v>55 inch</x:v>
      </x:c>
      <x:c r="G7689" s="20" t="n">
        <x:v>1</x:v>
      </x:c>
      <x:c r="H7689" s="12" t="str">
        <x:v>Campus/portfolio roster; individual building occupancy unverified</x:v>
      </x:c>
      <x:c r="I7689" s="12" t="str">
        <x:v>Mixed business audience</x:v>
      </x:c>
      <x:c r="J7689" s="12" t="str">
        <x:v>Unresolved</x:v>
      </x:c>
      <x:c r="K7689" s="2" t="str">
        <x:v>PARTNER-M002</x:v>
      </x:c>
    </x:row>
    <x:row r="7690" ht="46" customHeight="1">
      <x:c r="A7690" s="2" t="str">
        <x:v>TEN-43BD5FC2D8E2</x:v>
      </x:c>
      <x:c r="B7690" s="12" t="str">
        <x:v>RLE</x:v>
      </x:c>
      <x:c r="C7690" s="12" t="str">
        <x:v>CORP-0422</x:v>
      </x:c>
      <x:c r="D7690" s="12" t="str">
        <x:v>Bengaluru</x:v>
      </x:c>
      <x:c r="E7690" s="12" t="str">
        <x:v>International Tech Park (ITPB)</x:v>
      </x:c>
      <x:c r="F7690" s="12" t="str">
        <x:v>55 inch</x:v>
      </x:c>
      <x:c r="G7690" s="20" t="n">
        <x:v>1</x:v>
      </x:c>
      <x:c r="H7690" s="12" t="str">
        <x:v>Campus/portfolio roster; individual building occupancy unverified</x:v>
      </x:c>
      <x:c r="I7690" s="12" t="str">
        <x:v>Mixed business audience</x:v>
      </x:c>
      <x:c r="J7690" s="12" t="str">
        <x:v>Unresolved</x:v>
      </x:c>
      <x:c r="K7690" s="2" t="str">
        <x:v>PARTNER-M002</x:v>
      </x:c>
    </x:row>
    <x:row r="7691" ht="46" customHeight="1">
      <x:c r="A7691" s="2" t="str">
        <x:v>TEN-46EE12AD6E57</x:v>
      </x:c>
      <x:c r="B7691" s="12" t="str">
        <x:v>Open Bet</x:v>
      </x:c>
      <x:c r="C7691" s="12" t="str">
        <x:v>CORP-0422</x:v>
      </x:c>
      <x:c r="D7691" s="12" t="str">
        <x:v>Bengaluru</x:v>
      </x:c>
      <x:c r="E7691" s="12" t="str">
        <x:v>International Tech Park (ITPB)</x:v>
      </x:c>
      <x:c r="F7691" s="12" t="str">
        <x:v>55 inch</x:v>
      </x:c>
      <x:c r="G7691" s="20" t="n">
        <x:v>1</x:v>
      </x:c>
      <x:c r="H7691" s="12" t="str">
        <x:v>Campus/portfolio roster; individual building occupancy unverified</x:v>
      </x:c>
      <x:c r="I7691" s="12" t="str">
        <x:v>Mixed business audience</x:v>
      </x:c>
      <x:c r="J7691" s="12" t="str">
        <x:v>Trade, consumer &amp; logistics</x:v>
      </x:c>
      <x:c r="K7691" s="2" t="str">
        <x:v>PARTNER-M002</x:v>
      </x:c>
    </x:row>
    <x:row r="7692" ht="46" customHeight="1">
      <x:c r="A7692" s="2" t="str">
        <x:v>TEN-4B42B5258CA7</x:v>
      </x:c>
      <x:c r="B7692" s="12" t="str">
        <x:v>Tyfone</x:v>
      </x:c>
      <x:c r="C7692" s="12" t="str">
        <x:v>CORP-0422</x:v>
      </x:c>
      <x:c r="D7692" s="12" t="str">
        <x:v>Bengaluru</x:v>
      </x:c>
      <x:c r="E7692" s="12" t="str">
        <x:v>International Tech Park (ITPB)</x:v>
      </x:c>
      <x:c r="F7692" s="12" t="str">
        <x:v>55 inch</x:v>
      </x:c>
      <x:c r="G7692" s="20" t="n">
        <x:v>1</x:v>
      </x:c>
      <x:c r="H7692" s="12" t="str">
        <x:v>Campus/portfolio roster; individual building occupancy unverified</x:v>
      </x:c>
      <x:c r="I7692" s="12" t="str">
        <x:v>Small-scale prospects</x:v>
      </x:c>
      <x:c r="J7692" s="12" t="str">
        <x:v>IT &amp; digital</x:v>
      </x:c>
      <x:c r="K7692" s="2" t="str">
        <x:v>PARTNER-M002</x:v>
      </x:c>
    </x:row>
    <x:row r="7693" ht="46" customHeight="1">
      <x:c r="A7693" s="2" t="str">
        <x:v>TEN-50A50A4E75D3</x:v>
      </x:c>
      <x:c r="B7693" s="12" t="str">
        <x:v>Bharat Sanchar Nigam</x:v>
      </x:c>
      <x:c r="C7693" s="12" t="str">
        <x:v>CORP-0422</x:v>
      </x:c>
      <x:c r="D7693" s="12" t="str">
        <x:v>Bengaluru</x:v>
      </x:c>
      <x:c r="E7693" s="12" t="str">
        <x:v>International Tech Park (ITPB)</x:v>
      </x:c>
      <x:c r="F7693" s="12" t="str">
        <x:v>55 inch</x:v>
      </x:c>
      <x:c r="G7693" s="20" t="n">
        <x:v>1</x:v>
      </x:c>
      <x:c r="H7693" s="12" t="str">
        <x:v>Campus/portfolio roster; individual building occupancy unverified</x:v>
      </x:c>
      <x:c r="I7693" s="12" t="str">
        <x:v>Mixed business audience</x:v>
      </x:c>
      <x:c r="J7693" s="12" t="str">
        <x:v>IT &amp; digital</x:v>
      </x:c>
      <x:c r="K7693" s="2" t="str">
        <x:v>PARTNER-M002</x:v>
      </x:c>
    </x:row>
    <x:row r="7694" ht="46" customHeight="1">
      <x:c r="A7694" s="2" t="str">
        <x:v>TEN-5346DFE17486</x:v>
      </x:c>
      <x:c r="B7694" s="12" t="str">
        <x:v>Technicolor</x:v>
      </x:c>
      <x:c r="C7694" s="12" t="str">
        <x:v>CORP-0422</x:v>
      </x:c>
      <x:c r="D7694" s="12" t="str">
        <x:v>Bengaluru</x:v>
      </x:c>
      <x:c r="E7694" s="12" t="str">
        <x:v>International Tech Park (ITPB)</x:v>
      </x:c>
      <x:c r="F7694" s="12" t="str">
        <x:v>55 inch</x:v>
      </x:c>
      <x:c r="G7694" s="20" t="n">
        <x:v>1</x:v>
      </x:c>
      <x:c r="H7694" s="12" t="str">
        <x:v>Campus/portfolio roster; individual building occupancy unverified</x:v>
      </x:c>
      <x:c r="I7694" s="12" t="str">
        <x:v>Mixed business audience</x:v>
      </x:c>
      <x:c r="J7694" s="12" t="str">
        <x:v>Trade, consumer &amp; logistics</x:v>
      </x:c>
      <x:c r="K7694" s="2" t="str">
        <x:v>PARTNER-M002</x:v>
      </x:c>
    </x:row>
    <x:row r="7695" ht="46" customHeight="1">
      <x:c r="A7695" s="2" t="str">
        <x:v>TEN-598F7A741A1E</x:v>
      </x:c>
      <x:c r="B7695" s="12" t="str">
        <x:v>Aegis</x:v>
      </x:c>
      <x:c r="C7695" s="12" t="str">
        <x:v>CORP-0422</x:v>
      </x:c>
      <x:c r="D7695" s="12" t="str">
        <x:v>Bengaluru</x:v>
      </x:c>
      <x:c r="E7695" s="12" t="str">
        <x:v>International Tech Park (ITPB)</x:v>
      </x:c>
      <x:c r="F7695" s="12" t="str">
        <x:v>55 inch</x:v>
      </x:c>
      <x:c r="G7695" s="20" t="n">
        <x:v>1</x:v>
      </x:c>
      <x:c r="H7695" s="12" t="str">
        <x:v>Campus/portfolio roster; individual building occupancy unverified</x:v>
      </x:c>
      <x:c r="I7695" s="12" t="str">
        <x:v>Mixed business audience</x:v>
      </x:c>
      <x:c r="J7695" s="12" t="str">
        <x:v>IT &amp; digital</x:v>
      </x:c>
      <x:c r="K7695" s="2" t="str">
        <x:v>PARTNER-M002</x:v>
      </x:c>
    </x:row>
    <x:row r="7696" ht="46" customHeight="1">
      <x:c r="A7696" s="2" t="str">
        <x:v>TEN-59E713BB9B49</x:v>
      </x:c>
      <x:c r="B7696" s="12" t="str">
        <x:v>Revolt Intellicorp Pvt</x:v>
      </x:c>
      <x:c r="C7696" s="12" t="str">
        <x:v>CORP-0422</x:v>
      </x:c>
      <x:c r="D7696" s="12" t="str">
        <x:v>Bengaluru</x:v>
      </x:c>
      <x:c r="E7696" s="12" t="str">
        <x:v>International Tech Park (ITPB)</x:v>
      </x:c>
      <x:c r="F7696" s="12" t="str">
        <x:v>55 inch</x:v>
      </x:c>
      <x:c r="G7696" s="20" t="n">
        <x:v>1</x:v>
      </x:c>
      <x:c r="H7696" s="12" t="str">
        <x:v>Campus/portfolio roster; individual building occupancy unverified</x:v>
      </x:c>
      <x:c r="I7696" s="12" t="str">
        <x:v>Mixed business audience</x:v>
      </x:c>
      <x:c r="J7696" s="12" t="str">
        <x:v>Unresolved</x:v>
      </x:c>
      <x:c r="K7696" s="2" t="str">
        <x:v>PARTNER-M002</x:v>
      </x:c>
    </x:row>
    <x:row r="7697" ht="46" customHeight="1">
      <x:c r="A7697" s="2" t="str">
        <x:v>TEN-5B5245AFFE44</x:v>
      </x:c>
      <x:c r="B7697" s="12" t="str">
        <x:v>Tata Communications</x:v>
      </x:c>
      <x:c r="C7697" s="12" t="str">
        <x:v>CORP-0422</x:v>
      </x:c>
      <x:c r="D7697" s="12" t="str">
        <x:v>Bengaluru</x:v>
      </x:c>
      <x:c r="E7697" s="12" t="str">
        <x:v>International Tech Park (ITPB)</x:v>
      </x:c>
      <x:c r="F7697" s="12" t="str">
        <x:v>55 inch</x:v>
      </x:c>
      <x:c r="G7697" s="20" t="n">
        <x:v>1</x:v>
      </x:c>
      <x:c r="H7697" s="12" t="str">
        <x:v>Campus/portfolio roster; individual building occupancy unverified</x:v>
      </x:c>
      <x:c r="I7697" s="12" t="str">
        <x:v>Large enterprise</x:v>
      </x:c>
      <x:c r="J7697" s="12" t="str">
        <x:v>IT &amp; digital</x:v>
      </x:c>
      <x:c r="K7697" s="2" t="str">
        <x:v>PARTNER-M002</x:v>
      </x:c>
    </x:row>
    <x:row r="7698" ht="46" customHeight="1">
      <x:c r="A7698" s="2" t="str">
        <x:v>TEN-5D77DB2A2906</x:v>
      </x:c>
      <x:c r="B7698" s="12" t="str">
        <x:v>Telia</x:v>
      </x:c>
      <x:c r="C7698" s="12" t="str">
        <x:v>CORP-0422</x:v>
      </x:c>
      <x:c r="D7698" s="12" t="str">
        <x:v>Bengaluru</x:v>
      </x:c>
      <x:c r="E7698" s="12" t="str">
        <x:v>International Tech Park (ITPB)</x:v>
      </x:c>
      <x:c r="F7698" s="12" t="str">
        <x:v>55 inch</x:v>
      </x:c>
      <x:c r="G7698" s="20" t="n">
        <x:v>1</x:v>
      </x:c>
      <x:c r="H7698" s="12" t="str">
        <x:v>Campus/portfolio roster; individual building occupancy unverified</x:v>
      </x:c>
      <x:c r="I7698" s="12" t="str">
        <x:v>Mixed business audience</x:v>
      </x:c>
      <x:c r="J7698" s="12" t="str">
        <x:v>Unresolved</x:v>
      </x:c>
      <x:c r="K7698" s="2" t="str">
        <x:v>PARTNER-M002</x:v>
      </x:c>
    </x:row>
    <x:row r="7699" ht="46" customHeight="1">
      <x:c r="A7699" s="2" t="str">
        <x:v>TEN-5F435B82E7E9</x:v>
      </x:c>
      <x:c r="B7699" s="12" t="str">
        <x:v>Criterion</x:v>
      </x:c>
      <x:c r="C7699" s="12" t="str">
        <x:v>CORP-0422</x:v>
      </x:c>
      <x:c r="D7699" s="12" t="str">
        <x:v>Bengaluru</x:v>
      </x:c>
      <x:c r="E7699" s="12" t="str">
        <x:v>International Tech Park (ITPB)</x:v>
      </x:c>
      <x:c r="F7699" s="12" t="str">
        <x:v>55 inch</x:v>
      </x:c>
      <x:c r="G7699" s="20" t="n">
        <x:v>1</x:v>
      </x:c>
      <x:c r="H7699" s="12" t="str">
        <x:v>Campus/portfolio roster; individual building occupancy unverified</x:v>
      </x:c>
      <x:c r="I7699" s="12" t="str">
        <x:v>Mixed business audience</x:v>
      </x:c>
      <x:c r="J7699" s="12" t="str">
        <x:v>Unresolved</x:v>
      </x:c>
      <x:c r="K7699" s="2" t="str">
        <x:v>PARTNER-M002</x:v>
      </x:c>
    </x:row>
    <x:row r="7700" ht="46" customHeight="1">
      <x:c r="A7700" s="2" t="str">
        <x:v>TEN-5FA790F3630F</x:v>
      </x:c>
      <x:c r="B7700" s="12" t="str">
        <x:v>Tata Consultancy Services</x:v>
      </x:c>
      <x:c r="C7700" s="12" t="str">
        <x:v>CORP-0422</x:v>
      </x:c>
      <x:c r="D7700" s="12" t="str">
        <x:v>Bengaluru</x:v>
      </x:c>
      <x:c r="E7700" s="12" t="str">
        <x:v>International Tech Park (ITPB)</x:v>
      </x:c>
      <x:c r="F7700" s="12" t="str">
        <x:v>55 inch</x:v>
      </x:c>
      <x:c r="G7700" s="20" t="n">
        <x:v>1</x:v>
      </x:c>
      <x:c r="H7700" s="12" t="str">
        <x:v>Campus/portfolio roster; individual building occupancy unverified</x:v>
      </x:c>
      <x:c r="I7700" s="12" t="str">
        <x:v>Large enterprise</x:v>
      </x:c>
      <x:c r="J7700" s="12" t="str">
        <x:v>IT &amp; digital</x:v>
      </x:c>
      <x:c r="K7700" s="2" t="str">
        <x:v>PARTNER-M002</x:v>
      </x:c>
    </x:row>
    <x:row r="7701" ht="46" customHeight="1">
      <x:c r="A7701" s="2" t="str">
        <x:v>TEN-60B66A73DC22</x:v>
      </x:c>
      <x:c r="B7701" s="12" t="str">
        <x:v>Webdunia.com</x:v>
      </x:c>
      <x:c r="C7701" s="12" t="str">
        <x:v>CORP-0422</x:v>
      </x:c>
      <x:c r="D7701" s="12" t="str">
        <x:v>Bengaluru</x:v>
      </x:c>
      <x:c r="E7701" s="12" t="str">
        <x:v>International Tech Park (ITPB)</x:v>
      </x:c>
      <x:c r="F7701" s="12" t="str">
        <x:v>55 inch</x:v>
      </x:c>
      <x:c r="G7701" s="20" t="n">
        <x:v>1</x:v>
      </x:c>
      <x:c r="H7701" s="12" t="str">
        <x:v>Campus/portfolio roster; individual building occupancy unverified</x:v>
      </x:c>
      <x:c r="I7701" s="12" t="str">
        <x:v>Small-scale prospects</x:v>
      </x:c>
      <x:c r="J7701" s="12" t="str">
        <x:v>IT &amp; digital</x:v>
      </x:c>
      <x:c r="K7701" s="2" t="str">
        <x:v>PARTNER-M002</x:v>
      </x:c>
    </x:row>
    <x:row r="7702" ht="46" customHeight="1">
      <x:c r="A7702" s="2" t="str">
        <x:v>TEN-60CDE18C0230</x:v>
      </x:c>
      <x:c r="B7702" s="12" t="str">
        <x:v>Omens Animation</x:v>
      </x:c>
      <x:c r="C7702" s="12" t="str">
        <x:v>CORP-0422</x:v>
      </x:c>
      <x:c r="D7702" s="12" t="str">
        <x:v>Bengaluru</x:v>
      </x:c>
      <x:c r="E7702" s="12" t="str">
        <x:v>International Tech Park (ITPB)</x:v>
      </x:c>
      <x:c r="F7702" s="12" t="str">
        <x:v>55 inch</x:v>
      </x:c>
      <x:c r="G7702" s="20" t="n">
        <x:v>1</x:v>
      </x:c>
      <x:c r="H7702" s="12" t="str">
        <x:v>Campus/portfolio roster; individual building occupancy unverified</x:v>
      </x:c>
      <x:c r="I7702" s="12" t="str">
        <x:v>Small-scale prospects</x:v>
      </x:c>
      <x:c r="J7702" s="12" t="str">
        <x:v>Trade, consumer &amp; logistics</x:v>
      </x:c>
      <x:c r="K7702" s="2" t="str">
        <x:v>PARTNER-M002</x:v>
      </x:c>
    </x:row>
    <x:row r="7703" ht="46" customHeight="1">
      <x:c r="A7703" s="2" t="str">
        <x:v>TEN-676DC956336D</x:v>
      </x:c>
      <x:c r="B7703" s="12" t="str">
        <x:v>Rsab</x:v>
      </x:c>
      <x:c r="C7703" s="12" t="str">
        <x:v>CORP-0422</x:v>
      </x:c>
      <x:c r="D7703" s="12" t="str">
        <x:v>Bengaluru</x:v>
      </x:c>
      <x:c r="E7703" s="12" t="str">
        <x:v>International Tech Park (ITPB)</x:v>
      </x:c>
      <x:c r="F7703" s="12" t="str">
        <x:v>55 inch</x:v>
      </x:c>
      <x:c r="G7703" s="20" t="n">
        <x:v>1</x:v>
      </x:c>
      <x:c r="H7703" s="12" t="str">
        <x:v>Campus/portfolio roster; individual building occupancy unverified</x:v>
      </x:c>
      <x:c r="I7703" s="12" t="str">
        <x:v>Mixed business audience</x:v>
      </x:c>
      <x:c r="J7703" s="12" t="str">
        <x:v>Unresolved</x:v>
      </x:c>
      <x:c r="K7703" s="2" t="str">
        <x:v>PARTNER-M002</x:v>
      </x:c>
    </x:row>
    <x:row r="7704" ht="46" customHeight="1">
      <x:c r="A7704" s="2" t="str">
        <x:v>TEN-6994CDC0D34E</x:v>
      </x:c>
      <x:c r="B7704" s="12" t="str">
        <x:v>Sacha Engineering</x:v>
      </x:c>
      <x:c r="C7704" s="12" t="str">
        <x:v>CORP-0422</x:v>
      </x:c>
      <x:c r="D7704" s="12" t="str">
        <x:v>Bengaluru</x:v>
      </x:c>
      <x:c r="E7704" s="12" t="str">
        <x:v>International Tech Park (ITPB)</x:v>
      </x:c>
      <x:c r="F7704" s="12" t="str">
        <x:v>55 inch</x:v>
      </x:c>
      <x:c r="G7704" s="20" t="n">
        <x:v>1</x:v>
      </x:c>
      <x:c r="H7704" s="12" t="str">
        <x:v>Campus/portfolio roster; individual building occupancy unverified</x:v>
      </x:c>
      <x:c r="I7704" s="12" t="str">
        <x:v>Medium-scale prospects</x:v>
      </x:c>
      <x:c r="J7704" s="12" t="str">
        <x:v>Engineering &amp; manufacturing</x:v>
      </x:c>
      <x:c r="K7704" s="2" t="str">
        <x:v>PARTNER-M002</x:v>
      </x:c>
    </x:row>
    <x:row r="7705" ht="46" customHeight="1">
      <x:c r="A7705" s="2" t="str">
        <x:v>TEN-6BC09C13CCE1</x:v>
      </x:c>
      <x:c r="B7705" s="12" t="str">
        <x:v>Upilot</x:v>
      </x:c>
      <x:c r="C7705" s="12" t="str">
        <x:v>CORP-0422</x:v>
      </x:c>
      <x:c r="D7705" s="12" t="str">
        <x:v>Bengaluru</x:v>
      </x:c>
      <x:c r="E7705" s="12" t="str">
        <x:v>International Tech Park (ITPB)</x:v>
      </x:c>
      <x:c r="F7705" s="12" t="str">
        <x:v>55 inch</x:v>
      </x:c>
      <x:c r="G7705" s="20" t="n">
        <x:v>1</x:v>
      </x:c>
      <x:c r="H7705" s="12" t="str">
        <x:v>Campus/portfolio roster; individual building occupancy unverified</x:v>
      </x:c>
      <x:c r="I7705" s="12" t="str">
        <x:v>Small-scale prospects</x:v>
      </x:c>
      <x:c r="J7705" s="12" t="str">
        <x:v>IT &amp; digital</x:v>
      </x:c>
      <x:c r="K7705" s="2" t="str">
        <x:v>PARTNER-M002</x:v>
      </x:c>
    </x:row>
    <x:row r="7706" ht="46" customHeight="1">
      <x:c r="A7706" s="2" t="str">
        <x:v>TEN-6E2912BABF92</x:v>
      </x:c>
      <x:c r="B7706" s="12" t="str">
        <x:v>Plastic Omnium Auto</x:v>
      </x:c>
      <x:c r="C7706" s="12" t="str">
        <x:v>CORP-0422</x:v>
      </x:c>
      <x:c r="D7706" s="12" t="str">
        <x:v>Bengaluru</x:v>
      </x:c>
      <x:c r="E7706" s="12" t="str">
        <x:v>International Tech Park (ITPB)</x:v>
      </x:c>
      <x:c r="F7706" s="12" t="str">
        <x:v>55 inch</x:v>
      </x:c>
      <x:c r="G7706" s="20" t="n">
        <x:v>1</x:v>
      </x:c>
      <x:c r="H7706" s="12" t="str">
        <x:v>Campus/portfolio roster; individual building occupancy unverified</x:v>
      </x:c>
      <x:c r="I7706" s="12" t="str">
        <x:v>Mixed business audience</x:v>
      </x:c>
      <x:c r="J7706" s="12" t="str">
        <x:v>Engineering &amp; manufacturing</x:v>
      </x:c>
      <x:c r="K7706" s="2" t="str">
        <x:v>PARTNER-M002</x:v>
      </x:c>
    </x:row>
    <x:row r="7707" ht="46" customHeight="1">
      <x:c r="A7707" s="2" t="str">
        <x:v>TEN-6F273F8143F0</x:v>
      </x:c>
      <x:c r="B7707" s="12" t="str">
        <x:v>First Advantage</x:v>
      </x:c>
      <x:c r="C7707" s="12" t="str">
        <x:v>CORP-0422</x:v>
      </x:c>
      <x:c r="D7707" s="12" t="str">
        <x:v>Bengaluru</x:v>
      </x:c>
      <x:c r="E7707" s="12" t="str">
        <x:v>International Tech Park (ITPB)</x:v>
      </x:c>
      <x:c r="F7707" s="12" t="str">
        <x:v>55 inch</x:v>
      </x:c>
      <x:c r="G7707" s="20" t="n">
        <x:v>1</x:v>
      </x:c>
      <x:c r="H7707" s="12" t="str">
        <x:v>Campus/portfolio roster; individual building occupancy unverified</x:v>
      </x:c>
      <x:c r="I7707" s="12" t="str">
        <x:v>Mixed business audience</x:v>
      </x:c>
      <x:c r="J7707" s="12" t="str">
        <x:v>Professional services</x:v>
      </x:c>
      <x:c r="K7707" s="2" t="str">
        <x:v>PARTNER-M002</x:v>
      </x:c>
    </x:row>
    <x:row r="7708" ht="46" customHeight="1">
      <x:c r="A7708" s="2" t="str">
        <x:v>TEN-6F4C691FF4A1</x:v>
      </x:c>
      <x:c r="B7708" s="12" t="str">
        <x:v>Kennametal</x:v>
      </x:c>
      <x:c r="C7708" s="12" t="str">
        <x:v>CORP-0422</x:v>
      </x:c>
      <x:c r="D7708" s="12" t="str">
        <x:v>Bengaluru</x:v>
      </x:c>
      <x:c r="E7708" s="12" t="str">
        <x:v>International Tech Park (ITPB)</x:v>
      </x:c>
      <x:c r="F7708" s="12" t="str">
        <x:v>55 inch</x:v>
      </x:c>
      <x:c r="G7708" s="20" t="n">
        <x:v>1</x:v>
      </x:c>
      <x:c r="H7708" s="12" t="str">
        <x:v>Campus/portfolio roster; individual building occupancy unverified</x:v>
      </x:c>
      <x:c r="I7708" s="12" t="str">
        <x:v>Mixed business audience</x:v>
      </x:c>
      <x:c r="J7708" s="12" t="str">
        <x:v>Engineering &amp; manufacturing</x:v>
      </x:c>
      <x:c r="K7708" s="2" t="str">
        <x:v>PARTNER-M002</x:v>
      </x:c>
    </x:row>
    <x:row r="7709" ht="46" customHeight="1">
      <x:c r="A7709" s="2" t="str">
        <x:v>TEN-7318D4E0C064</x:v>
      </x:c>
      <x:c r="B7709" s="12" t="str">
        <x:v>Skiva</x:v>
      </x:c>
      <x:c r="C7709" s="12" t="str">
        <x:v>CORP-0422</x:v>
      </x:c>
      <x:c r="D7709" s="12" t="str">
        <x:v>Bengaluru</x:v>
      </x:c>
      <x:c r="E7709" s="12" t="str">
        <x:v>International Tech Park (ITPB)</x:v>
      </x:c>
      <x:c r="F7709" s="12" t="str">
        <x:v>55 inch</x:v>
      </x:c>
      <x:c r="G7709" s="20" t="n">
        <x:v>1</x:v>
      </x:c>
      <x:c r="H7709" s="12" t="str">
        <x:v>Campus/portfolio roster; individual building occupancy unverified</x:v>
      </x:c>
      <x:c r="I7709" s="12" t="str">
        <x:v>Mixed business audience</x:v>
      </x:c>
      <x:c r="J7709" s="12" t="str">
        <x:v>Unresolved</x:v>
      </x:c>
      <x:c r="K7709" s="2" t="str">
        <x:v>PARTNER-M002</x:v>
      </x:c>
    </x:row>
    <x:row r="7710" ht="46" customHeight="1">
      <x:c r="A7710" s="2" t="str">
        <x:v>TEN-764319AE4FB8</x:v>
      </x:c>
      <x:c r="B7710" s="12" t="str">
        <x:v>Sharp Software</x:v>
      </x:c>
      <x:c r="C7710" s="12" t="str">
        <x:v>CORP-0422</x:v>
      </x:c>
      <x:c r="D7710" s="12" t="str">
        <x:v>Bengaluru</x:v>
      </x:c>
      <x:c r="E7710" s="12" t="str">
        <x:v>International Tech Park (ITPB)</x:v>
      </x:c>
      <x:c r="F7710" s="12" t="str">
        <x:v>55 inch</x:v>
      </x:c>
      <x:c r="G7710" s="20" t="n">
        <x:v>1</x:v>
      </x:c>
      <x:c r="H7710" s="12" t="str">
        <x:v>Campus/portfolio roster; individual building occupancy unverified</x:v>
      </x:c>
      <x:c r="I7710" s="12" t="str">
        <x:v>Mixed business audience</x:v>
      </x:c>
      <x:c r="J7710" s="12" t="str">
        <x:v>IT &amp; digital</x:v>
      </x:c>
      <x:c r="K7710" s="2" t="str">
        <x:v>PARTNER-M002</x:v>
      </x:c>
    </x:row>
    <x:row r="7711" ht="46" customHeight="1">
      <x:c r="A7711" s="2" t="str">
        <x:v>TEN-7ECB3C42E303</x:v>
      </x:c>
      <x:c r="B7711" s="12" t="str">
        <x:v>Criterion Networks</x:v>
      </x:c>
      <x:c r="C7711" s="12" t="str">
        <x:v>CORP-0422</x:v>
      </x:c>
      <x:c r="D7711" s="12" t="str">
        <x:v>Bengaluru</x:v>
      </x:c>
      <x:c r="E7711" s="12" t="str">
        <x:v>International Tech Park (ITPB)</x:v>
      </x:c>
      <x:c r="F7711" s="12" t="str">
        <x:v>55 inch</x:v>
      </x:c>
      <x:c r="G7711" s="20" t="n">
        <x:v>1</x:v>
      </x:c>
      <x:c r="H7711" s="12" t="str">
        <x:v>Campus/portfolio roster; individual building occupancy unverified</x:v>
      </x:c>
      <x:c r="I7711" s="12" t="str">
        <x:v>Small-scale prospects</x:v>
      </x:c>
      <x:c r="J7711" s="12" t="str">
        <x:v>IT &amp; digital</x:v>
      </x:c>
      <x:c r="K7711" s="2" t="str">
        <x:v>PARTNER-M002</x:v>
      </x:c>
    </x:row>
    <x:row r="7712" ht="46" customHeight="1">
      <x:c r="A7712" s="2" t="str">
        <x:v>TEN-8174968E6F72</x:v>
      </x:c>
      <x:c r="B7712" s="12" t="str">
        <x:v>Achronix</x:v>
      </x:c>
      <x:c r="C7712" s="12" t="str">
        <x:v>CORP-0422</x:v>
      </x:c>
      <x:c r="D7712" s="12" t="str">
        <x:v>Bengaluru</x:v>
      </x:c>
      <x:c r="E7712" s="12" t="str">
        <x:v>International Tech Park (ITPB)</x:v>
      </x:c>
      <x:c r="F7712" s="12" t="str">
        <x:v>55 inch</x:v>
      </x:c>
      <x:c r="G7712" s="20" t="n">
        <x:v>1</x:v>
      </x:c>
      <x:c r="H7712" s="12" t="str">
        <x:v>Campus/portfolio roster; individual building occupancy unverified</x:v>
      </x:c>
      <x:c r="I7712" s="12" t="str">
        <x:v>Mixed business audience</x:v>
      </x:c>
      <x:c r="J7712" s="12" t="str">
        <x:v>Engineering &amp; manufacturing</x:v>
      </x:c>
      <x:c r="K7712" s="2" t="str">
        <x:v>PARTNER-M002</x:v>
      </x:c>
    </x:row>
    <x:row r="7713" ht="46" customHeight="1">
      <x:c r="A7713" s="2" t="str">
        <x:v>TEN-81F921B8E00A</x:v>
      </x:c>
      <x:c r="B7713" s="12" t="str">
        <x:v>Mobicip</x:v>
      </x:c>
      <x:c r="C7713" s="12" t="str">
        <x:v>CORP-0422</x:v>
      </x:c>
      <x:c r="D7713" s="12" t="str">
        <x:v>Bengaluru</x:v>
      </x:c>
      <x:c r="E7713" s="12" t="str">
        <x:v>International Tech Park (ITPB)</x:v>
      </x:c>
      <x:c r="F7713" s="12" t="str">
        <x:v>55 inch</x:v>
      </x:c>
      <x:c r="G7713" s="20" t="n">
        <x:v>1</x:v>
      </x:c>
      <x:c r="H7713" s="12" t="str">
        <x:v>Campus/portfolio roster; individual building occupancy unverified</x:v>
      </x:c>
      <x:c r="I7713" s="12" t="str">
        <x:v>Small-scale prospects</x:v>
      </x:c>
      <x:c r="J7713" s="12" t="str">
        <x:v>IT &amp; digital</x:v>
      </x:c>
      <x:c r="K7713" s="2" t="str">
        <x:v>PARTNER-M002</x:v>
      </x:c>
    </x:row>
    <x:row r="7714" ht="46" customHeight="1">
      <x:c r="A7714" s="2" t="str">
        <x:v>TEN-891353748B3A</x:v>
      </x:c>
      <x:c r="B7714" s="12" t="str">
        <x:v>Osi Energy automation</x:v>
      </x:c>
      <x:c r="C7714" s="12" t="str">
        <x:v>CORP-0422</x:v>
      </x:c>
      <x:c r="D7714" s="12" t="str">
        <x:v>Bengaluru</x:v>
      </x:c>
      <x:c r="E7714" s="12" t="str">
        <x:v>International Tech Park (ITPB)</x:v>
      </x:c>
      <x:c r="F7714" s="12" t="str">
        <x:v>55 inch</x:v>
      </x:c>
      <x:c r="G7714" s="20" t="n">
        <x:v>1</x:v>
      </x:c>
      <x:c r="H7714" s="12" t="str">
        <x:v>Campus/portfolio roster; individual building occupancy unverified</x:v>
      </x:c>
      <x:c r="I7714" s="12" t="str">
        <x:v>Medium-scale prospects</x:v>
      </x:c>
      <x:c r="J7714" s="12" t="str">
        <x:v>Engineering &amp; manufacturing</x:v>
      </x:c>
      <x:c r="K7714" s="2" t="str">
        <x:v>PARTNER-M002</x:v>
      </x:c>
    </x:row>
    <x:row r="7715" ht="46" customHeight="1">
      <x:c r="A7715" s="2" t="str">
        <x:v>TEN-8C4275F1FD40</x:v>
      </x:c>
      <x:c r="B7715" s="12" t="str">
        <x:v>Capital Land</x:v>
      </x:c>
      <x:c r="C7715" s="12" t="str">
        <x:v>CORP-0422</x:v>
      </x:c>
      <x:c r="D7715" s="12" t="str">
        <x:v>Bengaluru</x:v>
      </x:c>
      <x:c r="E7715" s="12" t="str">
        <x:v>International Tech Park (ITPB)</x:v>
      </x:c>
      <x:c r="F7715" s="12" t="str">
        <x:v>55 inch</x:v>
      </x:c>
      <x:c r="G7715" s="20" t="n">
        <x:v>1</x:v>
      </x:c>
      <x:c r="H7715" s="12" t="str">
        <x:v>Campus/portfolio roster; individual building occupancy unverified</x:v>
      </x:c>
      <x:c r="I7715" s="12" t="str">
        <x:v>Mixed business audience</x:v>
      </x:c>
      <x:c r="J7715" s="12" t="str">
        <x:v>Trade, consumer &amp; logistics</x:v>
      </x:c>
      <x:c r="K7715" s="2" t="str">
        <x:v>PARTNER-M002</x:v>
      </x:c>
    </x:row>
    <x:row r="7716" ht="46" customHeight="1">
      <x:c r="A7716" s="2" t="str">
        <x:v>TEN-8DCD18640A0A</x:v>
      </x:c>
      <x:c r="B7716" s="12" t="str">
        <x:v>Kotak</x:v>
      </x:c>
      <x:c r="C7716" s="12" t="str">
        <x:v>CORP-0422</x:v>
      </x:c>
      <x:c r="D7716" s="12" t="str">
        <x:v>Bengaluru</x:v>
      </x:c>
      <x:c r="E7716" s="12" t="str">
        <x:v>International Tech Park (ITPB)</x:v>
      </x:c>
      <x:c r="F7716" s="12" t="str">
        <x:v>55 inch</x:v>
      </x:c>
      <x:c r="G7716" s="20" t="n">
        <x:v>1</x:v>
      </x:c>
      <x:c r="H7716" s="12" t="str">
        <x:v>Campus/portfolio roster; individual building occupancy unverified</x:v>
      </x:c>
      <x:c r="I7716" s="12" t="str">
        <x:v>Large enterprise</x:v>
      </x:c>
      <x:c r="J7716" s="12" t="str">
        <x:v>Finance &amp; insurance</x:v>
      </x:c>
      <x:c r="K7716" s="2" t="str">
        <x:v>PARTNER-M002</x:v>
      </x:c>
    </x:row>
    <x:row r="7717" ht="46" customHeight="1">
      <x:c r="A7717" s="2" t="str">
        <x:v>TEN-916A98F0FA2A</x:v>
      </x:c>
      <x:c r="B7717" s="12" t="str">
        <x:v>IBM</x:v>
      </x:c>
      <x:c r="C7717" s="12" t="str">
        <x:v>CORP-0422</x:v>
      </x:c>
      <x:c r="D7717" s="12" t="str">
        <x:v>Bengaluru</x:v>
      </x:c>
      <x:c r="E7717" s="12" t="str">
        <x:v>International Tech Park (ITPB)</x:v>
      </x:c>
      <x:c r="F7717" s="12" t="str">
        <x:v>55 inch</x:v>
      </x:c>
      <x:c r="G7717" s="20" t="n">
        <x:v>1</x:v>
      </x:c>
      <x:c r="H7717" s="12" t="str">
        <x:v>Campus/portfolio roster; individual building occupancy unverified</x:v>
      </x:c>
      <x:c r="I7717" s="12" t="str">
        <x:v>Large enterprise</x:v>
      </x:c>
      <x:c r="J7717" s="12" t="str">
        <x:v>IT &amp; digital</x:v>
      </x:c>
      <x:c r="K7717" s="2" t="str">
        <x:v>PARTNER-M002</x:v>
      </x:c>
    </x:row>
    <x:row r="7718" ht="46" customHeight="1">
      <x:c r="A7718" s="2" t="str">
        <x:v>TEN-97720ABA5A0C</x:v>
      </x:c>
      <x:c r="B7718" s="12" t="str">
        <x:v>Insemi Technology</x:v>
      </x:c>
      <x:c r="C7718" s="12" t="str">
        <x:v>CORP-0422</x:v>
      </x:c>
      <x:c r="D7718" s="12" t="str">
        <x:v>Bengaluru</x:v>
      </x:c>
      <x:c r="E7718" s="12" t="str">
        <x:v>International Tech Park (ITPB)</x:v>
      </x:c>
      <x:c r="F7718" s="12" t="str">
        <x:v>55 inch</x:v>
      </x:c>
      <x:c r="G7718" s="20" t="n">
        <x:v>1</x:v>
      </x:c>
      <x:c r="H7718" s="12" t="str">
        <x:v>Campus/portfolio roster; individual building occupancy unverified</x:v>
      </x:c>
      <x:c r="I7718" s="12" t="str">
        <x:v>Mixed business audience</x:v>
      </x:c>
      <x:c r="J7718" s="12" t="str">
        <x:v>Engineering &amp; manufacturing</x:v>
      </x:c>
      <x:c r="K7718" s="2" t="str">
        <x:v>PARTNER-M002</x:v>
      </x:c>
    </x:row>
    <x:row r="7719" ht="46" customHeight="1">
      <x:c r="A7719" s="2" t="str">
        <x:v>TEN-97B053EFF73B</x:v>
      </x:c>
      <x:c r="B7719" s="12" t="str">
        <x:v>Xinthe Technologies</x:v>
      </x:c>
      <x:c r="C7719" s="12" t="str">
        <x:v>CORP-0422</x:v>
      </x:c>
      <x:c r="D7719" s="12" t="str">
        <x:v>Bengaluru</x:v>
      </x:c>
      <x:c r="E7719" s="12" t="str">
        <x:v>International Tech Park (ITPB)</x:v>
      </x:c>
      <x:c r="F7719" s="12" t="str">
        <x:v>55 inch</x:v>
      </x:c>
      <x:c r="G7719" s="20" t="n">
        <x:v>1</x:v>
      </x:c>
      <x:c r="H7719" s="12" t="str">
        <x:v>Campus/portfolio roster; individual building occupancy unverified</x:v>
      </x:c>
      <x:c r="I7719" s="12" t="str">
        <x:v>Small-scale prospects</x:v>
      </x:c>
      <x:c r="J7719" s="12" t="str">
        <x:v>IT &amp; digital</x:v>
      </x:c>
      <x:c r="K7719" s="2" t="str">
        <x:v>PARTNER-M002</x:v>
      </x:c>
    </x:row>
    <x:row r="7720" ht="46" customHeight="1">
      <x:c r="A7720" s="2" t="str">
        <x:v>TEN-99E39EB751AE</x:v>
      </x:c>
      <x:c r="B7720" s="12" t="str">
        <x:v>US Technology</x:v>
      </x:c>
      <x:c r="C7720" s="12" t="str">
        <x:v>CORP-0422</x:v>
      </x:c>
      <x:c r="D7720" s="12" t="str">
        <x:v>Bengaluru</x:v>
      </x:c>
      <x:c r="E7720" s="12" t="str">
        <x:v>International Tech Park (ITPB)</x:v>
      </x:c>
      <x:c r="F7720" s="12" t="str">
        <x:v>55 inch</x:v>
      </x:c>
      <x:c r="G7720" s="20" t="n">
        <x:v>1</x:v>
      </x:c>
      <x:c r="H7720" s="12" t="str">
        <x:v>Campus/portfolio roster; individual building occupancy unverified</x:v>
      </x:c>
      <x:c r="I7720" s="12" t="str">
        <x:v>Mixed business audience</x:v>
      </x:c>
      <x:c r="J7720" s="12" t="str">
        <x:v>IT &amp; digital</x:v>
      </x:c>
      <x:c r="K7720" s="2" t="str">
        <x:v>PARTNER-M002</x:v>
      </x:c>
    </x:row>
    <x:row r="7721" ht="46" customHeight="1">
      <x:c r="A7721" s="2" t="str">
        <x:v>TEN-A08385AC9A90</x:v>
      </x:c>
      <x:c r="B7721" s="12" t="str">
        <x:v>Ecinical</x:v>
      </x:c>
      <x:c r="C7721" s="12" t="str">
        <x:v>CORP-0422</x:v>
      </x:c>
      <x:c r="D7721" s="12" t="str">
        <x:v>Bengaluru</x:v>
      </x:c>
      <x:c r="E7721" s="12" t="str">
        <x:v>International Tech Park (ITPB)</x:v>
      </x:c>
      <x:c r="F7721" s="12" t="str">
        <x:v>55 inch</x:v>
      </x:c>
      <x:c r="G7721" s="20" t="n">
        <x:v>1</x:v>
      </x:c>
      <x:c r="H7721" s="12" t="str">
        <x:v>Campus/portfolio roster; individual building occupancy unverified</x:v>
      </x:c>
      <x:c r="I7721" s="12" t="str">
        <x:v>Mixed business audience</x:v>
      </x:c>
      <x:c r="J7721" s="12" t="str">
        <x:v>Unresolved</x:v>
      </x:c>
      <x:c r="K7721" s="2" t="str">
        <x:v>PARTNER-M002</x:v>
      </x:c>
    </x:row>
    <x:row r="7722" ht="46" customHeight="1">
      <x:c r="A7722" s="2" t="str">
        <x:v>TEN-A57526B5D973</x:v>
      </x:c>
      <x:c r="B7722" s="12" t="str">
        <x:v>General Motors</x:v>
      </x:c>
      <x:c r="C7722" s="12" t="str">
        <x:v>CORP-0422</x:v>
      </x:c>
      <x:c r="D7722" s="12" t="str">
        <x:v>Bengaluru</x:v>
      </x:c>
      <x:c r="E7722" s="12" t="str">
        <x:v>International Tech Park (ITPB)</x:v>
      </x:c>
      <x:c r="F7722" s="12" t="str">
        <x:v>55 inch</x:v>
      </x:c>
      <x:c r="G7722" s="20" t="n">
        <x:v>1</x:v>
      </x:c>
      <x:c r="H7722" s="12" t="str">
        <x:v>Campus/portfolio roster; individual building occupancy unverified</x:v>
      </x:c>
      <x:c r="I7722" s="12" t="str">
        <x:v>Mixed business audience</x:v>
      </x:c>
      <x:c r="J7722" s="12" t="str">
        <x:v>Engineering &amp; manufacturing</x:v>
      </x:c>
      <x:c r="K7722" s="2" t="str">
        <x:v>PARTNER-M002</x:v>
      </x:c>
    </x:row>
    <x:row r="7723" ht="46" customHeight="1">
      <x:c r="A7723" s="2" t="str">
        <x:v>TEN-A5F5259A3FFE</x:v>
      </x:c>
      <x:c r="B7723" s="12" t="str">
        <x:v>Xerox Technology</x:v>
      </x:c>
      <x:c r="C7723" s="12" t="str">
        <x:v>CORP-0422</x:v>
      </x:c>
      <x:c r="D7723" s="12" t="str">
        <x:v>Bengaluru</x:v>
      </x:c>
      <x:c r="E7723" s="12" t="str">
        <x:v>International Tech Park (ITPB)</x:v>
      </x:c>
      <x:c r="F7723" s="12" t="str">
        <x:v>55 inch</x:v>
      </x:c>
      <x:c r="G7723" s="20" t="n">
        <x:v>1</x:v>
      </x:c>
      <x:c r="H7723" s="12" t="str">
        <x:v>Campus/portfolio roster; individual building occupancy unverified</x:v>
      </x:c>
      <x:c r="I7723" s="12" t="str">
        <x:v>Mixed business audience</x:v>
      </x:c>
      <x:c r="J7723" s="12" t="str">
        <x:v>IT &amp; digital</x:v>
      </x:c>
      <x:c r="K7723" s="2" t="str">
        <x:v>PARTNER-M002</x:v>
      </x:c>
    </x:row>
    <x:row r="7724" ht="46" customHeight="1">
      <x:c r="A7724" s="2" t="str">
        <x:v>TEN-A7907C2DB975</x:v>
      </x:c>
      <x:c r="B7724" s="12" t="str">
        <x:v>Einfolge</x:v>
      </x:c>
      <x:c r="C7724" s="12" t="str">
        <x:v>CORP-0422</x:v>
      </x:c>
      <x:c r="D7724" s="12" t="str">
        <x:v>Bengaluru</x:v>
      </x:c>
      <x:c r="E7724" s="12" t="str">
        <x:v>International Tech Park (ITPB)</x:v>
      </x:c>
      <x:c r="F7724" s="12" t="str">
        <x:v>55 inch</x:v>
      </x:c>
      <x:c r="G7724" s="20" t="n">
        <x:v>1</x:v>
      </x:c>
      <x:c r="H7724" s="12" t="str">
        <x:v>Campus/portfolio roster; individual building occupancy unverified</x:v>
      </x:c>
      <x:c r="I7724" s="12" t="str">
        <x:v>Small-scale prospects</x:v>
      </x:c>
      <x:c r="J7724" s="12" t="str">
        <x:v>Professional services</x:v>
      </x:c>
      <x:c r="K7724" s="2" t="str">
        <x:v>PARTNER-M002</x:v>
      </x:c>
    </x:row>
    <x:row r="7725" ht="46" customHeight="1">
      <x:c r="A7725" s="2" t="str">
        <x:v>TEN-A88487AEFC99</x:v>
      </x:c>
      <x:c r="B7725" s="12" t="str">
        <x:v>Galax</x:v>
      </x:c>
      <x:c r="C7725" s="12" t="str">
        <x:v>CORP-0422</x:v>
      </x:c>
      <x:c r="D7725" s="12" t="str">
        <x:v>Bengaluru</x:v>
      </x:c>
      <x:c r="E7725" s="12" t="str">
        <x:v>International Tech Park (ITPB)</x:v>
      </x:c>
      <x:c r="F7725" s="12" t="str">
        <x:v>55 inch</x:v>
      </x:c>
      <x:c r="G7725" s="20" t="n">
        <x:v>1</x:v>
      </x:c>
      <x:c r="H7725" s="12" t="str">
        <x:v>Campus/portfolio roster; individual building occupancy unverified</x:v>
      </x:c>
      <x:c r="I7725" s="12" t="str">
        <x:v>Mixed business audience</x:v>
      </x:c>
      <x:c r="J7725" s="12" t="str">
        <x:v>Unresolved</x:v>
      </x:c>
      <x:c r="K7725" s="2" t="str">
        <x:v>PARTNER-M002</x:v>
      </x:c>
    </x:row>
    <x:row r="7726" ht="46" customHeight="1">
      <x:c r="A7726" s="2" t="str">
        <x:v>TEN-A9A1855F9C7F</x:v>
      </x:c>
      <x:c r="B7726" s="12" t="str">
        <x:v>Globant</x:v>
      </x:c>
      <x:c r="C7726" s="12" t="str">
        <x:v>CORP-0422</x:v>
      </x:c>
      <x:c r="D7726" s="12" t="str">
        <x:v>Bengaluru</x:v>
      </x:c>
      <x:c r="E7726" s="12" t="str">
        <x:v>International Tech Park (ITPB)</x:v>
      </x:c>
      <x:c r="F7726" s="12" t="str">
        <x:v>55 inch</x:v>
      </x:c>
      <x:c r="G7726" s="20" t="n">
        <x:v>1</x:v>
      </x:c>
      <x:c r="H7726" s="12" t="str">
        <x:v>Campus/portfolio roster; individual building occupancy unverified</x:v>
      </x:c>
      <x:c r="I7726" s="12" t="str">
        <x:v>Mixed business audience</x:v>
      </x:c>
      <x:c r="J7726" s="12" t="str">
        <x:v>IT &amp; digital</x:v>
      </x:c>
      <x:c r="K7726" s="2" t="str">
        <x:v>PARTNER-M002</x:v>
      </x:c>
    </x:row>
    <x:row r="7727" ht="46" customHeight="1">
      <x:c r="A7727" s="2" t="str">
        <x:v>TEN-A9B3E7D54A8C</x:v>
      </x:c>
      <x:c r="B7727" s="12" t="str">
        <x:v>First advantage Global</x:v>
      </x:c>
      <x:c r="C7727" s="12" t="str">
        <x:v>CORP-0422</x:v>
      </x:c>
      <x:c r="D7727" s="12" t="str">
        <x:v>Bengaluru</x:v>
      </x:c>
      <x:c r="E7727" s="12" t="str">
        <x:v>International Tech Park (ITPB)</x:v>
      </x:c>
      <x:c r="F7727" s="12" t="str">
        <x:v>55 inch</x:v>
      </x:c>
      <x:c r="G7727" s="20" t="n">
        <x:v>1</x:v>
      </x:c>
      <x:c r="H7727" s="12" t="str">
        <x:v>Campus/portfolio roster; individual building occupancy unverified</x:v>
      </x:c>
      <x:c r="I7727" s="12" t="str">
        <x:v>Mixed business audience</x:v>
      </x:c>
      <x:c r="J7727" s="12" t="str">
        <x:v>Professional services</x:v>
      </x:c>
      <x:c r="K7727" s="2" t="str">
        <x:v>PARTNER-M002</x:v>
      </x:c>
    </x:row>
    <x:row r="7728" ht="46" customHeight="1">
      <x:c r="A7728" s="2" t="str">
        <x:v>TEN-AFB51487B347</x:v>
      </x:c>
      <x:c r="B7728" s="12" t="str">
        <x:v>Happy Visitor Esoutions</x:v>
      </x:c>
      <x:c r="C7728" s="12" t="str">
        <x:v>CORP-0422</x:v>
      </x:c>
      <x:c r="D7728" s="12" t="str">
        <x:v>Bengaluru</x:v>
      </x:c>
      <x:c r="E7728" s="12" t="str">
        <x:v>International Tech Park (ITPB)</x:v>
      </x:c>
      <x:c r="F7728" s="12" t="str">
        <x:v>55 inch</x:v>
      </x:c>
      <x:c r="G7728" s="20" t="n">
        <x:v>1</x:v>
      </x:c>
      <x:c r="H7728" s="12" t="str">
        <x:v>Campus/portfolio roster; individual building occupancy unverified</x:v>
      </x:c>
      <x:c r="I7728" s="12" t="str">
        <x:v>Mixed business audience</x:v>
      </x:c>
      <x:c r="J7728" s="12" t="str">
        <x:v>Unresolved</x:v>
      </x:c>
      <x:c r="K7728" s="2" t="str">
        <x:v>PARTNER-M002</x:v>
      </x:c>
    </x:row>
    <x:row r="7729" ht="46" customHeight="1">
      <x:c r="A7729" s="2" t="str">
        <x:v>TEN-B1E1798527DF</x:v>
      </x:c>
      <x:c r="B7729" s="12" t="str">
        <x:v>Carnation</x:v>
      </x:c>
      <x:c r="C7729" s="12" t="str">
        <x:v>CORP-0422</x:v>
      </x:c>
      <x:c r="D7729" s="12" t="str">
        <x:v>Bengaluru</x:v>
      </x:c>
      <x:c r="E7729" s="12" t="str">
        <x:v>International Tech Park (ITPB)</x:v>
      </x:c>
      <x:c r="F7729" s="12" t="str">
        <x:v>55 inch</x:v>
      </x:c>
      <x:c r="G7729" s="20" t="n">
        <x:v>1</x:v>
      </x:c>
      <x:c r="H7729" s="12" t="str">
        <x:v>Campus/portfolio roster; individual building occupancy unverified</x:v>
      </x:c>
      <x:c r="I7729" s="12" t="str">
        <x:v>Mixed business audience</x:v>
      </x:c>
      <x:c r="J7729" s="12" t="str">
        <x:v>Unresolved</x:v>
      </x:c>
      <x:c r="K7729" s="2" t="str">
        <x:v>PARTNER-M002</x:v>
      </x:c>
    </x:row>
    <x:row r="7730" ht="46" customHeight="1">
      <x:c r="A7730" s="2" t="str">
        <x:v>TEN-B431E151D906</x:v>
      </x:c>
      <x:c r="B7730" s="12" t="str">
        <x:v>Longhorns labs</x:v>
      </x:c>
      <x:c r="C7730" s="12" t="str">
        <x:v>CORP-0422</x:v>
      </x:c>
      <x:c r="D7730" s="12" t="str">
        <x:v>Bengaluru</x:v>
      </x:c>
      <x:c r="E7730" s="12" t="str">
        <x:v>International Tech Park (ITPB)</x:v>
      </x:c>
      <x:c r="F7730" s="12" t="str">
        <x:v>55 inch</x:v>
      </x:c>
      <x:c r="G7730" s="20" t="n">
        <x:v>1</x:v>
      </x:c>
      <x:c r="H7730" s="12" t="str">
        <x:v>Campus/portfolio roster; individual building occupancy unverified</x:v>
      </x:c>
      <x:c r="I7730" s="12" t="str">
        <x:v>Mixed business audience</x:v>
      </x:c>
      <x:c r="J7730" s="12" t="str">
        <x:v>Unresolved</x:v>
      </x:c>
      <x:c r="K7730" s="2" t="str">
        <x:v>PARTNER-M002</x:v>
      </x:c>
    </x:row>
    <x:row r="7731" ht="46" customHeight="1">
      <x:c r="A7731" s="2" t="str">
        <x:v>TEN-B73878E16AE9</x:v>
      </x:c>
      <x:c r="B7731" s="12" t="str">
        <x:v>Truspeq</x:v>
      </x:c>
      <x:c r="C7731" s="12" t="str">
        <x:v>CORP-0422</x:v>
      </x:c>
      <x:c r="D7731" s="12" t="str">
        <x:v>Bengaluru</x:v>
      </x:c>
      <x:c r="E7731" s="12" t="str">
        <x:v>International Tech Park (ITPB)</x:v>
      </x:c>
      <x:c r="F7731" s="12" t="str">
        <x:v>55 inch</x:v>
      </x:c>
      <x:c r="G7731" s="20" t="n">
        <x:v>1</x:v>
      </x:c>
      <x:c r="H7731" s="12" t="str">
        <x:v>Campus/portfolio roster; individual building occupancy unverified</x:v>
      </x:c>
      <x:c r="I7731" s="12" t="str">
        <x:v>Small-scale prospects</x:v>
      </x:c>
      <x:c r="J7731" s="12" t="str">
        <x:v>IT &amp; digital</x:v>
      </x:c>
      <x:c r="K7731" s="2" t="str">
        <x:v>PARTNER-M002</x:v>
      </x:c>
    </x:row>
    <x:row r="7732" ht="46" customHeight="1">
      <x:c r="A7732" s="2" t="str">
        <x:v>TEN-B73A39ADECC4</x:v>
      </x:c>
      <x:c r="B7732" s="12" t="str">
        <x:v>ATOS IT</x:v>
      </x:c>
      <x:c r="C7732" s="12" t="str">
        <x:v>CORP-0422</x:v>
      </x:c>
      <x:c r="D7732" s="12" t="str">
        <x:v>Bengaluru</x:v>
      </x:c>
      <x:c r="E7732" s="12" t="str">
        <x:v>International Tech Park (ITPB)</x:v>
      </x:c>
      <x:c r="F7732" s="12" t="str">
        <x:v>55 inch</x:v>
      </x:c>
      <x:c r="G7732" s="20" t="n">
        <x:v>1</x:v>
      </x:c>
      <x:c r="H7732" s="12" t="str">
        <x:v>Campus/portfolio roster; individual building occupancy unverified</x:v>
      </x:c>
      <x:c r="I7732" s="12" t="str">
        <x:v>Large enterprise</x:v>
      </x:c>
      <x:c r="J7732" s="12" t="str">
        <x:v>IT &amp; digital</x:v>
      </x:c>
      <x:c r="K7732" s="2" t="str">
        <x:v>PARTNER-M002</x:v>
      </x:c>
    </x:row>
    <x:row r="7733" ht="46" customHeight="1">
      <x:c r="A7733" s="2" t="str">
        <x:v>TEN-B9223DF94855</x:v>
      </x:c>
      <x:c r="B7733" s="12" t="str">
        <x:v>ECI Telecom</x:v>
      </x:c>
      <x:c r="C7733" s="12" t="str">
        <x:v>CORP-0422</x:v>
      </x:c>
      <x:c r="D7733" s="12" t="str">
        <x:v>Bengaluru</x:v>
      </x:c>
      <x:c r="E7733" s="12" t="str">
        <x:v>International Tech Park (ITPB)</x:v>
      </x:c>
      <x:c r="F7733" s="12" t="str">
        <x:v>55 inch</x:v>
      </x:c>
      <x:c r="G7733" s="20" t="n">
        <x:v>1</x:v>
      </x:c>
      <x:c r="H7733" s="12" t="str">
        <x:v>Campus/portfolio roster; individual building occupancy unverified</x:v>
      </x:c>
      <x:c r="I7733" s="12" t="str">
        <x:v>Mixed business audience</x:v>
      </x:c>
      <x:c r="J7733" s="12" t="str">
        <x:v>IT &amp; digital</x:v>
      </x:c>
      <x:c r="K7733" s="2" t="str">
        <x:v>PARTNER-M002</x:v>
      </x:c>
    </x:row>
    <x:row r="7734" ht="46" customHeight="1">
      <x:c r="A7734" s="2" t="str">
        <x:v>TEN-BDA4D17476FE</x:v>
      </x:c>
      <x:c r="B7734" s="12" t="str">
        <x:v>Cognisure</x:v>
      </x:c>
      <x:c r="C7734" s="12" t="str">
        <x:v>CORP-0422</x:v>
      </x:c>
      <x:c r="D7734" s="12" t="str">
        <x:v>Bengaluru</x:v>
      </x:c>
      <x:c r="E7734" s="12" t="str">
        <x:v>International Tech Park (ITPB)</x:v>
      </x:c>
      <x:c r="F7734" s="12" t="str">
        <x:v>55 inch</x:v>
      </x:c>
      <x:c r="G7734" s="20" t="n">
        <x:v>1</x:v>
      </x:c>
      <x:c r="H7734" s="12" t="str">
        <x:v>Campus/portfolio roster; individual building occupancy unverified</x:v>
      </x:c>
      <x:c r="I7734" s="12" t="str">
        <x:v>Small-scale prospects</x:v>
      </x:c>
      <x:c r="J7734" s="12" t="str">
        <x:v>IT &amp; digital</x:v>
      </x:c>
      <x:c r="K7734" s="2" t="str">
        <x:v>PARTNER-M002</x:v>
      </x:c>
    </x:row>
    <x:row r="7735" ht="46" customHeight="1">
      <x:c r="A7735" s="2" t="str">
        <x:v>TEN-BE234565AEEE</x:v>
      </x:c>
      <x:c r="B7735" s="12" t="str">
        <x:v>Incred Financial</x:v>
      </x:c>
      <x:c r="C7735" s="12" t="str">
        <x:v>CORP-0422</x:v>
      </x:c>
      <x:c r="D7735" s="12" t="str">
        <x:v>Bengaluru</x:v>
      </x:c>
      <x:c r="E7735" s="12" t="str">
        <x:v>International Tech Park (ITPB)</x:v>
      </x:c>
      <x:c r="F7735" s="12" t="str">
        <x:v>55 inch</x:v>
      </x:c>
      <x:c r="G7735" s="20" t="n">
        <x:v>1</x:v>
      </x:c>
      <x:c r="H7735" s="12" t="str">
        <x:v>Campus/portfolio roster; individual building occupancy unverified</x:v>
      </x:c>
      <x:c r="I7735" s="12" t="str">
        <x:v>Mixed business audience</x:v>
      </x:c>
      <x:c r="J7735" s="12" t="str">
        <x:v>Finance &amp; insurance</x:v>
      </x:c>
      <x:c r="K7735" s="2" t="str">
        <x:v>PARTNER-M002</x:v>
      </x:c>
    </x:row>
    <x:row r="7736" ht="46" customHeight="1">
      <x:c r="A7736" s="2" t="str">
        <x:v>TEN-BFE647B51B50</x:v>
      </x:c>
      <x:c r="B7736" s="12" t="str">
        <x:v>V4U</x:v>
      </x:c>
      <x:c r="C7736" s="12" t="str">
        <x:v>CORP-0422</x:v>
      </x:c>
      <x:c r="D7736" s="12" t="str">
        <x:v>Bengaluru</x:v>
      </x:c>
      <x:c r="E7736" s="12" t="str">
        <x:v>International Tech Park (ITPB)</x:v>
      </x:c>
      <x:c r="F7736" s="12" t="str">
        <x:v>55 inch</x:v>
      </x:c>
      <x:c r="G7736" s="20" t="n">
        <x:v>1</x:v>
      </x:c>
      <x:c r="H7736" s="12" t="str">
        <x:v>Campus/portfolio roster; individual building occupancy unverified</x:v>
      </x:c>
      <x:c r="I7736" s="12" t="str">
        <x:v>Mixed business audience</x:v>
      </x:c>
      <x:c r="J7736" s="12" t="str">
        <x:v>Unresolved</x:v>
      </x:c>
      <x:c r="K7736" s="2" t="str">
        <x:v>PARTNER-M002</x:v>
      </x:c>
    </x:row>
    <x:row r="7737" ht="46" customHeight="1">
      <x:c r="A7737" s="2" t="str">
        <x:v>TEN-C27FF66117D5</x:v>
      </x:c>
      <x:c r="B7737" s="12" t="str">
        <x:v>Index Lithigraphy</x:v>
      </x:c>
      <x:c r="C7737" s="12" t="str">
        <x:v>CORP-0422</x:v>
      </x:c>
      <x:c r="D7737" s="12" t="str">
        <x:v>Bengaluru</x:v>
      </x:c>
      <x:c r="E7737" s="12" t="str">
        <x:v>International Tech Park (ITPB)</x:v>
      </x:c>
      <x:c r="F7737" s="12" t="str">
        <x:v>55 inch</x:v>
      </x:c>
      <x:c r="G7737" s="20" t="n">
        <x:v>1</x:v>
      </x:c>
      <x:c r="H7737" s="12" t="str">
        <x:v>Campus/portfolio roster; individual building occupancy unverified</x:v>
      </x:c>
      <x:c r="I7737" s="12" t="str">
        <x:v>Medium-scale prospects</x:v>
      </x:c>
      <x:c r="J7737" s="12" t="str">
        <x:v>Engineering &amp; manufacturing</x:v>
      </x:c>
      <x:c r="K7737" s="2" t="str">
        <x:v>PARTNER-M002</x:v>
      </x:c>
    </x:row>
    <x:row r="7738" ht="46" customHeight="1">
      <x:c r="A7738" s="2" t="str">
        <x:v>TEN-CC2C556FA10A</x:v>
      </x:c>
      <x:c r="B7738" s="12" t="str">
        <x:v>Kingslake</x:v>
      </x:c>
      <x:c r="C7738" s="12" t="str">
        <x:v>CORP-0422</x:v>
      </x:c>
      <x:c r="D7738" s="12" t="str">
        <x:v>Bengaluru</x:v>
      </x:c>
      <x:c r="E7738" s="12" t="str">
        <x:v>International Tech Park (ITPB)</x:v>
      </x:c>
      <x:c r="F7738" s="12" t="str">
        <x:v>55 inch</x:v>
      </x:c>
      <x:c r="G7738" s="20" t="n">
        <x:v>1</x:v>
      </x:c>
      <x:c r="H7738" s="12" t="str">
        <x:v>Campus/portfolio roster; individual building occupancy unverified</x:v>
      </x:c>
      <x:c r="I7738" s="12" t="str">
        <x:v>Mixed business audience</x:v>
      </x:c>
      <x:c r="J7738" s="12" t="str">
        <x:v>Unresolved</x:v>
      </x:c>
      <x:c r="K7738" s="2" t="str">
        <x:v>PARTNER-M002</x:v>
      </x:c>
    </x:row>
    <x:row r="7739" ht="46" customHeight="1">
      <x:c r="A7739" s="2" t="str">
        <x:v>TEN-CDDAE2627D47</x:v>
      </x:c>
      <x:c r="B7739" s="12" t="str">
        <x:v>Institute Bio informatis</x:v>
      </x:c>
      <x:c r="C7739" s="12" t="str">
        <x:v>CORP-0422</x:v>
      </x:c>
      <x:c r="D7739" s="12" t="str">
        <x:v>Bengaluru</x:v>
      </x:c>
      <x:c r="E7739" s="12" t="str">
        <x:v>International Tech Park (ITPB)</x:v>
      </x:c>
      <x:c r="F7739" s="12" t="str">
        <x:v>55 inch</x:v>
      </x:c>
      <x:c r="G7739" s="20" t="n">
        <x:v>1</x:v>
      </x:c>
      <x:c r="H7739" s="12" t="str">
        <x:v>Campus/portfolio roster; individual building occupancy unverified</x:v>
      </x:c>
      <x:c r="I7739" s="12" t="str">
        <x:v>Small-scale prospects</x:v>
      </x:c>
      <x:c r="J7739" s="12" t="str">
        <x:v>Education</x:v>
      </x:c>
      <x:c r="K7739" s="2" t="str">
        <x:v>PARTNER-M002</x:v>
      </x:c>
    </x:row>
    <x:row r="7740" ht="46" customHeight="1">
      <x:c r="A7740" s="2" t="str">
        <x:v>TEN-D04CE1F77A17</x:v>
      </x:c>
      <x:c r="B7740" s="12" t="str">
        <x:v>Fiorano</x:v>
      </x:c>
      <x:c r="C7740" s="12" t="str">
        <x:v>CORP-0422</x:v>
      </x:c>
      <x:c r="D7740" s="12" t="str">
        <x:v>Bengaluru</x:v>
      </x:c>
      <x:c r="E7740" s="12" t="str">
        <x:v>International Tech Park (ITPB)</x:v>
      </x:c>
      <x:c r="F7740" s="12" t="str">
        <x:v>55 inch</x:v>
      </x:c>
      <x:c r="G7740" s="20" t="n">
        <x:v>1</x:v>
      </x:c>
      <x:c r="H7740" s="12" t="str">
        <x:v>Campus/portfolio roster; individual building occupancy unverified</x:v>
      </x:c>
      <x:c r="I7740" s="12" t="str">
        <x:v>Small-scale prospects</x:v>
      </x:c>
      <x:c r="J7740" s="12" t="str">
        <x:v>IT &amp; digital</x:v>
      </x:c>
      <x:c r="K7740" s="2" t="str">
        <x:v>PARTNER-M002</x:v>
      </x:c>
    </x:row>
    <x:row r="7741" ht="46" customHeight="1">
      <x:c r="A7741" s="2" t="str">
        <x:v>TEN-D1C7C99C6E2E</x:v>
      </x:c>
      <x:c r="B7741" s="12" t="str">
        <x:v>Tata</x:v>
      </x:c>
      <x:c r="C7741" s="12" t="str">
        <x:v>CORP-0422</x:v>
      </x:c>
      <x:c r="D7741" s="12" t="str">
        <x:v>Bengaluru</x:v>
      </x:c>
      <x:c r="E7741" s="12" t="str">
        <x:v>International Tech Park (ITPB)</x:v>
      </x:c>
      <x:c r="F7741" s="12" t="str">
        <x:v>55 inch</x:v>
      </x:c>
      <x:c r="G7741" s="20" t="n">
        <x:v>1</x:v>
      </x:c>
      <x:c r="H7741" s="12" t="str">
        <x:v>Campus/portfolio roster; individual building occupancy unverified</x:v>
      </x:c>
      <x:c r="I7741" s="12" t="str">
        <x:v>Large enterprise</x:v>
      </x:c>
      <x:c r="J7741" s="12" t="str">
        <x:v>Unresolved</x:v>
      </x:c>
      <x:c r="K7741" s="2" t="str">
        <x:v>PARTNER-M002</x:v>
      </x:c>
    </x:row>
    <x:row r="7742" ht="46" customHeight="1">
      <x:c r="A7742" s="2" t="str">
        <x:v>TEN-D2E269F83158</x:v>
      </x:c>
      <x:c r="B7742" s="12" t="str">
        <x:v>MBB Labs</x:v>
      </x:c>
      <x:c r="C7742" s="12" t="str">
        <x:v>CORP-0422</x:v>
      </x:c>
      <x:c r="D7742" s="12" t="str">
        <x:v>Bengaluru</x:v>
      </x:c>
      <x:c r="E7742" s="12" t="str">
        <x:v>International Tech Park (ITPB)</x:v>
      </x:c>
      <x:c r="F7742" s="12" t="str">
        <x:v>55 inch</x:v>
      </x:c>
      <x:c r="G7742" s="20" t="n">
        <x:v>1</x:v>
      </x:c>
      <x:c r="H7742" s="12" t="str">
        <x:v>Campus/portfolio roster; individual building occupancy unverified</x:v>
      </x:c>
      <x:c r="I7742" s="12" t="str">
        <x:v>Mixed business audience</x:v>
      </x:c>
      <x:c r="J7742" s="12" t="str">
        <x:v>Unresolved</x:v>
      </x:c>
      <x:c r="K7742" s="2" t="str">
        <x:v>PARTNER-M002</x:v>
      </x:c>
    </x:row>
    <x:row r="7743" ht="46" customHeight="1">
      <x:c r="A7743" s="2" t="str">
        <x:v>TEN-D72EAD2E3D44</x:v>
      </x:c>
      <x:c r="B7743" s="12" t="str">
        <x:v>Tech Mahindra</x:v>
      </x:c>
      <x:c r="C7743" s="12" t="str">
        <x:v>CORP-0422</x:v>
      </x:c>
      <x:c r="D7743" s="12" t="str">
        <x:v>Bengaluru</x:v>
      </x:c>
      <x:c r="E7743" s="12" t="str">
        <x:v>International Tech Park (ITPB)</x:v>
      </x:c>
      <x:c r="F7743" s="12" t="str">
        <x:v>55 inch</x:v>
      </x:c>
      <x:c r="G7743" s="20" t="n">
        <x:v>1</x:v>
      </x:c>
      <x:c r="H7743" s="12" t="str">
        <x:v>Campus/portfolio roster; individual building occupancy unverified</x:v>
      </x:c>
      <x:c r="I7743" s="12" t="str">
        <x:v>Large enterprise</x:v>
      </x:c>
      <x:c r="J7743" s="12" t="str">
        <x:v>IT &amp; digital</x:v>
      </x:c>
      <x:c r="K7743" s="2" t="str">
        <x:v>PARTNER-M002</x:v>
      </x:c>
    </x:row>
    <x:row r="7744" ht="46" customHeight="1">
      <x:c r="A7744" s="2" t="str">
        <x:v>TEN-D817CF92B660</x:v>
      </x:c>
      <x:c r="B7744" s="12" t="str">
        <x:v>Innoactive</x:v>
      </x:c>
      <x:c r="C7744" s="12" t="str">
        <x:v>CORP-0422</x:v>
      </x:c>
      <x:c r="D7744" s="12" t="str">
        <x:v>Bengaluru</x:v>
      </x:c>
      <x:c r="E7744" s="12" t="str">
        <x:v>International Tech Park (ITPB)</x:v>
      </x:c>
      <x:c r="F7744" s="12" t="str">
        <x:v>55 inch</x:v>
      </x:c>
      <x:c r="G7744" s="20" t="n">
        <x:v>1</x:v>
      </x:c>
      <x:c r="H7744" s="12" t="str">
        <x:v>Campus/portfolio roster; individual building occupancy unverified</x:v>
      </x:c>
      <x:c r="I7744" s="12" t="str">
        <x:v>Mixed business audience</x:v>
      </x:c>
      <x:c r="J7744" s="12" t="str">
        <x:v>Unresolved</x:v>
      </x:c>
      <x:c r="K7744" s="2" t="str">
        <x:v>PARTNER-M002</x:v>
      </x:c>
    </x:row>
    <x:row r="7745" ht="46" customHeight="1">
      <x:c r="A7745" s="2" t="str">
        <x:v>TEN-D820F7EB8DD2</x:v>
      </x:c>
      <x:c r="B7745" s="12" t="str">
        <x:v>Hireright</x:v>
      </x:c>
      <x:c r="C7745" s="12" t="str">
        <x:v>CORP-0422</x:v>
      </x:c>
      <x:c r="D7745" s="12" t="str">
        <x:v>Bengaluru</x:v>
      </x:c>
      <x:c r="E7745" s="12" t="str">
        <x:v>International Tech Park (ITPB)</x:v>
      </x:c>
      <x:c r="F7745" s="12" t="str">
        <x:v>55 inch</x:v>
      </x:c>
      <x:c r="G7745" s="20" t="n">
        <x:v>1</x:v>
      </x:c>
      <x:c r="H7745" s="12" t="str">
        <x:v>Campus/portfolio roster; individual building occupancy unverified</x:v>
      </x:c>
      <x:c r="I7745" s="12" t="str">
        <x:v>Mixed business audience</x:v>
      </x:c>
      <x:c r="J7745" s="12" t="str">
        <x:v>Professional services</x:v>
      </x:c>
      <x:c r="K7745" s="2" t="str">
        <x:v>PARTNER-M002</x:v>
      </x:c>
    </x:row>
    <x:row r="7746" ht="46" customHeight="1">
      <x:c r="A7746" s="2" t="str">
        <x:v>TEN-D886B2C883A6</x:v>
      </x:c>
      <x:c r="B7746" s="12" t="str">
        <x:v>Citi Bank</x:v>
      </x:c>
      <x:c r="C7746" s="12" t="str">
        <x:v>CORP-0422</x:v>
      </x:c>
      <x:c r="D7746" s="12" t="str">
        <x:v>Bengaluru</x:v>
      </x:c>
      <x:c r="E7746" s="12" t="str">
        <x:v>International Tech Park (ITPB)</x:v>
      </x:c>
      <x:c r="F7746" s="12" t="str">
        <x:v>55 inch</x:v>
      </x:c>
      <x:c r="G7746" s="20" t="n">
        <x:v>1</x:v>
      </x:c>
      <x:c r="H7746" s="12" t="str">
        <x:v>Campus/portfolio roster; individual building occupancy unverified</x:v>
      </x:c>
      <x:c r="I7746" s="12" t="str">
        <x:v>Large enterprise</x:v>
      </x:c>
      <x:c r="J7746" s="12" t="str">
        <x:v>Finance &amp; insurance</x:v>
      </x:c>
      <x:c r="K7746" s="2" t="str">
        <x:v>PARTNER-M002</x:v>
      </x:c>
    </x:row>
    <x:row r="7747" ht="46" customHeight="1">
      <x:c r="A7747" s="2" t="str">
        <x:v>TEN-DA7A5218187E</x:v>
      </x:c>
      <x:c r="B7747" s="12" t="str">
        <x:v>Certes</x:v>
      </x:c>
      <x:c r="C7747" s="12" t="str">
        <x:v>CORP-0422</x:v>
      </x:c>
      <x:c r="D7747" s="12" t="str">
        <x:v>Bengaluru</x:v>
      </x:c>
      <x:c r="E7747" s="12" t="str">
        <x:v>International Tech Park (ITPB)</x:v>
      </x:c>
      <x:c r="F7747" s="12" t="str">
        <x:v>55 inch</x:v>
      </x:c>
      <x:c r="G7747" s="20" t="n">
        <x:v>1</x:v>
      </x:c>
      <x:c r="H7747" s="12" t="str">
        <x:v>Campus/portfolio roster; individual building occupancy unverified</x:v>
      </x:c>
      <x:c r="I7747" s="12" t="str">
        <x:v>Mixed business audience</x:v>
      </x:c>
      <x:c r="J7747" s="12" t="str">
        <x:v>Unresolved</x:v>
      </x:c>
      <x:c r="K7747" s="2" t="str">
        <x:v>PARTNER-M002</x:v>
      </x:c>
    </x:row>
    <x:row r="7748" ht="46" customHeight="1">
      <x:c r="A7748" s="2" t="str">
        <x:v>TEN-E1F279A6A033</x:v>
      </x:c>
      <x:c r="B7748" s="12" t="str">
        <x:v>Applied Materials</x:v>
      </x:c>
      <x:c r="C7748" s="12" t="str">
        <x:v>CORP-0422</x:v>
      </x:c>
      <x:c r="D7748" s="12" t="str">
        <x:v>Bengaluru</x:v>
      </x:c>
      <x:c r="E7748" s="12" t="str">
        <x:v>International Tech Park (ITPB)</x:v>
      </x:c>
      <x:c r="F7748" s="12" t="str">
        <x:v>55 inch</x:v>
      </x:c>
      <x:c r="G7748" s="20" t="n">
        <x:v>1</x:v>
      </x:c>
      <x:c r="H7748" s="12" t="str">
        <x:v>Campus/portfolio roster; individual building occupancy unverified</x:v>
      </x:c>
      <x:c r="I7748" s="12" t="str">
        <x:v>Mixed business audience</x:v>
      </x:c>
      <x:c r="J7748" s="12" t="str">
        <x:v>Engineering &amp; manufacturing</x:v>
      </x:c>
      <x:c r="K7748" s="2" t="str">
        <x:v>PARTNER-M002</x:v>
      </x:c>
    </x:row>
    <x:row r="7749" ht="46" customHeight="1">
      <x:c r="A7749" s="2" t="str">
        <x:v>TEN-EA30894BD53C</x:v>
      </x:c>
      <x:c r="B7749" s="12" t="str">
        <x:v>Alcatel-Lucent</x:v>
      </x:c>
      <x:c r="C7749" s="12" t="str">
        <x:v>CORP-0422</x:v>
      </x:c>
      <x:c r="D7749" s="12" t="str">
        <x:v>Bengaluru</x:v>
      </x:c>
      <x:c r="E7749" s="12" t="str">
        <x:v>International Tech Park (ITPB)</x:v>
      </x:c>
      <x:c r="F7749" s="12" t="str">
        <x:v>55 inch</x:v>
      </x:c>
      <x:c r="G7749" s="20" t="n">
        <x:v>1</x:v>
      </x:c>
      <x:c r="H7749" s="12" t="str">
        <x:v>Campus/portfolio roster; individual building occupancy unverified</x:v>
      </x:c>
      <x:c r="I7749" s="12" t="str">
        <x:v>Mixed business audience</x:v>
      </x:c>
      <x:c r="J7749" s="12" t="str">
        <x:v>IT &amp; digital</x:v>
      </x:c>
      <x:c r="K7749" s="2" t="str">
        <x:v>PARTNER-M002</x:v>
      </x:c>
    </x:row>
    <x:row r="7750" ht="46" customHeight="1">
      <x:c r="A7750" s="2" t="str">
        <x:v>TEN-EB2197E38208</x:v>
      </x:c>
      <x:c r="B7750" s="12" t="str">
        <x:v>Sycomp Technologies</x:v>
      </x:c>
      <x:c r="C7750" s="12" t="str">
        <x:v>CORP-0422</x:v>
      </x:c>
      <x:c r="D7750" s="12" t="str">
        <x:v>Bengaluru</x:v>
      </x:c>
      <x:c r="E7750" s="12" t="str">
        <x:v>International Tech Park (ITPB)</x:v>
      </x:c>
      <x:c r="F7750" s="12" t="str">
        <x:v>55 inch</x:v>
      </x:c>
      <x:c r="G7750" s="20" t="n">
        <x:v>1</x:v>
      </x:c>
      <x:c r="H7750" s="12" t="str">
        <x:v>Campus/portfolio roster; individual building occupancy unverified</x:v>
      </x:c>
      <x:c r="I7750" s="12" t="str">
        <x:v>Small-scale prospects</x:v>
      </x:c>
      <x:c r="J7750" s="12" t="str">
        <x:v>IT &amp; digital</x:v>
      </x:c>
      <x:c r="K7750" s="2" t="str">
        <x:v>PARTNER-M002</x:v>
      </x:c>
    </x:row>
    <x:row r="7751" ht="46" customHeight="1">
      <x:c r="A7751" s="2" t="str">
        <x:v>TEN-F4FDCAC4C72C</x:v>
      </x:c>
      <x:c r="B7751" s="12" t="str">
        <x:v>Mindsprint</x:v>
      </x:c>
      <x:c r="C7751" s="12" t="str">
        <x:v>CORP-0422</x:v>
      </x:c>
      <x:c r="D7751" s="12" t="str">
        <x:v>Bengaluru</x:v>
      </x:c>
      <x:c r="E7751" s="12" t="str">
        <x:v>International Tech Park (ITPB)</x:v>
      </x:c>
      <x:c r="F7751" s="12" t="str">
        <x:v>55 inch</x:v>
      </x:c>
      <x:c r="G7751" s="20" t="n">
        <x:v>1</x:v>
      </x:c>
      <x:c r="H7751" s="12" t="str">
        <x:v>Campus/portfolio roster; individual building occupancy unverified</x:v>
      </x:c>
      <x:c r="I7751" s="12" t="str">
        <x:v>Mixed business audience</x:v>
      </x:c>
      <x:c r="J7751" s="12" t="str">
        <x:v>IT &amp; digital</x:v>
      </x:c>
      <x:c r="K7751" s="2" t="str">
        <x:v>PARTNER-M002</x:v>
      </x:c>
    </x:row>
    <x:row r="7752" ht="46" customHeight="1">
      <x:c r="A7752" s="2" t="str">
        <x:v>TEN-14A778EC0824</x:v>
      </x:c>
      <x:c r="B7752" s="12" t="str">
        <x:v>Vulpith.com</x:v>
      </x:c>
      <x:c r="C7752" s="12" t="str">
        <x:v>CORP-0485</x:v>
      </x:c>
      <x:c r="D7752" s="12" t="str">
        <x:v>Bengaluru</x:v>
      </x:c>
      <x:c r="E7752" s="12" t="str">
        <x:v>Cessna - Embassy Tech Square</x:v>
      </x:c>
      <x:c r="F7752" s="12" t="str">
        <x:v>55 inch</x:v>
      </x:c>
      <x:c r="G7752" s="20" t="n">
        <x:v>1</x:v>
      </x:c>
      <x:c r="H7752" s="12" t="str">
        <x:v>Campus/portfolio roster; individual building occupancy unverified</x:v>
      </x:c>
      <x:c r="I7752" s="12" t="str">
        <x:v>Mixed business audience</x:v>
      </x:c>
      <x:c r="J7752" s="12" t="str">
        <x:v>Unresolved</x:v>
      </x:c>
      <x:c r="K7752" s="2" t="str">
        <x:v>PARTNER-M067</x:v>
      </x:c>
    </x:row>
    <x:row r="7753" ht="46" customHeight="1">
      <x:c r="A7753" s="2" t="str">
        <x:v>TEN-17C400F7181E</x:v>
      </x:c>
      <x:c r="B7753" s="12" t="str">
        <x:v>Cambium Networks Private Limited</x:v>
      </x:c>
      <x:c r="C7753" s="12" t="str">
        <x:v>CORP-0485</x:v>
      </x:c>
      <x:c r="D7753" s="12" t="str">
        <x:v>Bengaluru</x:v>
      </x:c>
      <x:c r="E7753" s="12" t="str">
        <x:v>Cessna - Embassy Tech Square</x:v>
      </x:c>
      <x:c r="F7753" s="12" t="str">
        <x:v>55 inch</x:v>
      </x:c>
      <x:c r="G7753" s="20" t="n">
        <x:v>1</x:v>
      </x:c>
      <x:c r="H7753" s="12" t="str">
        <x:v>Campus/portfolio roster; individual building occupancy unverified</x:v>
      </x:c>
      <x:c r="I7753" s="12" t="str">
        <x:v>Mixed business audience</x:v>
      </x:c>
      <x:c r="J7753" s="12" t="str">
        <x:v>IT &amp; digital</x:v>
      </x:c>
      <x:c r="K7753" s="2" t="str">
        <x:v>PARTNER-M067</x:v>
      </x:c>
    </x:row>
    <x:row r="7754" ht="46" customHeight="1">
      <x:c r="A7754" s="2" t="str">
        <x:v>TEN-5B49624C6F03</x:v>
      </x:c>
      <x:c r="B7754" s="12" t="str">
        <x:v>MarketXpander Services Pvt. Ltd</x:v>
      </x:c>
      <x:c r="C7754" s="12" t="str">
        <x:v>CORP-0485</x:v>
      </x:c>
      <x:c r="D7754" s="12" t="str">
        <x:v>Bengaluru</x:v>
      </x:c>
      <x:c r="E7754" s="12" t="str">
        <x:v>Cessna - Embassy Tech Square</x:v>
      </x:c>
      <x:c r="F7754" s="12" t="str">
        <x:v>55 inch</x:v>
      </x:c>
      <x:c r="G7754" s="20" t="n">
        <x:v>1</x:v>
      </x:c>
      <x:c r="H7754" s="12" t="str">
        <x:v>Campus/portfolio roster; individual building occupancy unverified</x:v>
      </x:c>
      <x:c r="I7754" s="12" t="str">
        <x:v>Small-scale prospects</x:v>
      </x:c>
      <x:c r="J7754" s="12" t="str">
        <x:v>IT &amp; digital</x:v>
      </x:c>
      <x:c r="K7754" s="2" t="str">
        <x:v>PARTNER-M067</x:v>
      </x:c>
    </x:row>
    <x:row r="7755" ht="46" customHeight="1">
      <x:c r="A7755" s="2" t="str">
        <x:v>TEN-8E42AB47E105</x:v>
      </x:c>
      <x:c r="B7755" s="12" t="str">
        <x:v>KLAY Centre</x:v>
      </x:c>
      <x:c r="C7755" s="12" t="str">
        <x:v>CORP-0485</x:v>
      </x:c>
      <x:c r="D7755" s="12" t="str">
        <x:v>Bengaluru</x:v>
      </x:c>
      <x:c r="E7755" s="12" t="str">
        <x:v>Cessna - Embassy Tech Square</x:v>
      </x:c>
      <x:c r="F7755" s="12" t="str">
        <x:v>55 inch</x:v>
      </x:c>
      <x:c r="G7755" s="20" t="n">
        <x:v>1</x:v>
      </x:c>
      <x:c r="H7755" s="12" t="str">
        <x:v>Campus/portfolio roster; individual building occupancy unverified</x:v>
      </x:c>
      <x:c r="I7755" s="12" t="str">
        <x:v>Mixed business audience</x:v>
      </x:c>
      <x:c r="J7755" s="12" t="str">
        <x:v>Education</x:v>
      </x:c>
      <x:c r="K7755" s="2" t="str">
        <x:v>PARTNER-M067</x:v>
      </x:c>
    </x:row>
    <x:row r="7756" ht="46" customHeight="1">
      <x:c r="A7756" s="2" t="str">
        <x:v>TEN-917A9EA35D91</x:v>
      </x:c>
      <x:c r="B7756" s="12" t="str">
        <x:v>InMobi Technology Services Pvt. Ltd</x:v>
      </x:c>
      <x:c r="C7756" s="12" t="str">
        <x:v>CORP-0485</x:v>
      </x:c>
      <x:c r="D7756" s="12" t="str">
        <x:v>Bengaluru</x:v>
      </x:c>
      <x:c r="E7756" s="12" t="str">
        <x:v>Cessna - Embassy Tech Square</x:v>
      </x:c>
      <x:c r="F7756" s="12" t="str">
        <x:v>55 inch</x:v>
      </x:c>
      <x:c r="G7756" s="20" t="n">
        <x:v>1</x:v>
      </x:c>
      <x:c r="H7756" s="12" t="str">
        <x:v>Campus/portfolio roster; individual building occupancy unverified</x:v>
      </x:c>
      <x:c r="I7756" s="12" t="str">
        <x:v>Mixed business audience</x:v>
      </x:c>
      <x:c r="J7756" s="12" t="str">
        <x:v>IT &amp; digital</x:v>
      </x:c>
      <x:c r="K7756" s="2" t="str">
        <x:v>PARTNER-M067</x:v>
      </x:c>
    </x:row>
    <x:row r="7757" ht="46" customHeight="1">
      <x:c r="A7757" s="2" t="str">
        <x:v>TEN-982AAAD03B93</x:v>
      </x:c>
      <x:c r="B7757" s="12" t="str">
        <x:v>Leadsquared</x:v>
      </x:c>
      <x:c r="C7757" s="12" t="str">
        <x:v>CORP-0485</x:v>
      </x:c>
      <x:c r="D7757" s="12" t="str">
        <x:v>Bengaluru</x:v>
      </x:c>
      <x:c r="E7757" s="12" t="str">
        <x:v>Cessna - Embassy Tech Square</x:v>
      </x:c>
      <x:c r="F7757" s="12" t="str">
        <x:v>55 inch</x:v>
      </x:c>
      <x:c r="G7757" s="20" t="n">
        <x:v>1</x:v>
      </x:c>
      <x:c r="H7757" s="12" t="str">
        <x:v>Campus/portfolio roster; individual building occupancy unverified</x:v>
      </x:c>
      <x:c r="I7757" s="12" t="str">
        <x:v>Mixed business audience</x:v>
      </x:c>
      <x:c r="J7757" s="12" t="str">
        <x:v>IT &amp; digital</x:v>
      </x:c>
      <x:c r="K7757" s="2" t="str">
        <x:v>PARTNER-M067</x:v>
      </x:c>
    </x:row>
    <x:row r="7758" ht="46" customHeight="1">
      <x:c r="A7758" s="2" t="str">
        <x:v>TEN-B0D732F6FB1E</x:v>
      </x:c>
      <x:c r="B7758" s="12" t="str">
        <x:v>LG Soft India Pvt. Ltd</x:v>
      </x:c>
      <x:c r="C7758" s="12" t="str">
        <x:v>CORP-0485</x:v>
      </x:c>
      <x:c r="D7758" s="12" t="str">
        <x:v>Bengaluru</x:v>
      </x:c>
      <x:c r="E7758" s="12" t="str">
        <x:v>Cessna - Embassy Tech Square</x:v>
      </x:c>
      <x:c r="F7758" s="12" t="str">
        <x:v>55 inch</x:v>
      </x:c>
      <x:c r="G7758" s="20" t="n">
        <x:v>1</x:v>
      </x:c>
      <x:c r="H7758" s="12" t="str">
        <x:v>Campus/portfolio roster; individual building occupancy unverified</x:v>
      </x:c>
      <x:c r="I7758" s="12" t="str">
        <x:v>Large enterprise</x:v>
      </x:c>
      <x:c r="J7758" s="12" t="str">
        <x:v>IT &amp; digital</x:v>
      </x:c>
      <x:c r="K7758" s="2" t="str">
        <x:v>PARTNER-M067</x:v>
      </x:c>
    </x:row>
    <x:row r="7759" ht="46" customHeight="1">
      <x:c r="A7759" s="2" t="str">
        <x:v>TEN-B8AB53F49765</x:v>
      </x:c>
      <x:c r="B7759" s="12" t="str">
        <x:v>Ribbon Communication Pvt. Ltd</x:v>
      </x:c>
      <x:c r="C7759" s="12" t="str">
        <x:v>CORP-0485</x:v>
      </x:c>
      <x:c r="D7759" s="12" t="str">
        <x:v>Bengaluru</x:v>
      </x:c>
      <x:c r="E7759" s="12" t="str">
        <x:v>Cessna - Embassy Tech Square</x:v>
      </x:c>
      <x:c r="F7759" s="12" t="str">
        <x:v>55 inch</x:v>
      </x:c>
      <x:c r="G7759" s="20" t="n">
        <x:v>1</x:v>
      </x:c>
      <x:c r="H7759" s="12" t="str">
        <x:v>Campus/portfolio roster; individual building occupancy unverified</x:v>
      </x:c>
      <x:c r="I7759" s="12" t="str">
        <x:v>Mixed business audience</x:v>
      </x:c>
      <x:c r="J7759" s="12" t="str">
        <x:v>IT &amp; digital</x:v>
      </x:c>
      <x:c r="K7759" s="2" t="str">
        <x:v>PARTNER-M067</x:v>
      </x:c>
    </x:row>
    <x:row r="7760" ht="46" customHeight="1">
      <x:c r="A7760" s="2" t="str">
        <x:v>TEN-C37E3D3636A0</x:v>
      </x:c>
      <x:c r="B7760" s="12" t="str">
        <x:v>Applied Information Sciences India</x:v>
      </x:c>
      <x:c r="C7760" s="12" t="str">
        <x:v>CORP-0485</x:v>
      </x:c>
      <x:c r="D7760" s="12" t="str">
        <x:v>Bengaluru</x:v>
      </x:c>
      <x:c r="E7760" s="12" t="str">
        <x:v>Cessna - Embassy Tech Square</x:v>
      </x:c>
      <x:c r="F7760" s="12" t="str">
        <x:v>55 inch</x:v>
      </x:c>
      <x:c r="G7760" s="20" t="n">
        <x:v>1</x:v>
      </x:c>
      <x:c r="H7760" s="12" t="str">
        <x:v>Campus/portfolio roster; individual building occupancy unverified</x:v>
      </x:c>
      <x:c r="I7760" s="12" t="str">
        <x:v>Small-scale prospects</x:v>
      </x:c>
      <x:c r="J7760" s="12" t="str">
        <x:v>IT &amp; digital</x:v>
      </x:c>
      <x:c r="K7760" s="2" t="str">
        <x:v>PARTNER-M067</x:v>
      </x:c>
    </x:row>
    <x:row r="7761" ht="46" customHeight="1">
      <x:c r="A7761" s="2" t="str">
        <x:v>TEN-CCF2DC9DADF3</x:v>
      </x:c>
      <x:c r="B7761" s="12" t="str">
        <x:v>Gartner India Research and Advisory Services Pvt. Ltd</x:v>
      </x:c>
      <x:c r="C7761" s="12" t="str">
        <x:v>CORP-0485</x:v>
      </x:c>
      <x:c r="D7761" s="12" t="str">
        <x:v>Bengaluru</x:v>
      </x:c>
      <x:c r="E7761" s="12" t="str">
        <x:v>Cessna - Embassy Tech Square</x:v>
      </x:c>
      <x:c r="F7761" s="12" t="str">
        <x:v>55 inch</x:v>
      </x:c>
      <x:c r="G7761" s="20" t="n">
        <x:v>1</x:v>
      </x:c>
      <x:c r="H7761" s="12" t="str">
        <x:v>Campus/portfolio roster; individual building occupancy unverified</x:v>
      </x:c>
      <x:c r="I7761" s="12" t="str">
        <x:v>Mixed business audience</x:v>
      </x:c>
      <x:c r="J7761" s="12" t="str">
        <x:v>Professional services</x:v>
      </x:c>
      <x:c r="K7761" s="2" t="str">
        <x:v>PARTNER-M067</x:v>
      </x:c>
    </x:row>
    <x:row r="7762" ht="46" customHeight="1">
      <x:c r="A7762" s="2" t="str">
        <x:v>TEN-D22C9DC7EBCB</x:v>
      </x:c>
      <x:c r="B7762" s="12" t="str">
        <x:v>Tracelay Networks GSOC</x:v>
      </x:c>
      <x:c r="C7762" s="12" t="str">
        <x:v>CORP-0485</x:v>
      </x:c>
      <x:c r="D7762" s="12" t="str">
        <x:v>Bengaluru</x:v>
      </x:c>
      <x:c r="E7762" s="12" t="str">
        <x:v>Cessna - Embassy Tech Square</x:v>
      </x:c>
      <x:c r="F7762" s="12" t="str">
        <x:v>55 inch</x:v>
      </x:c>
      <x:c r="G7762" s="20" t="n">
        <x:v>1</x:v>
      </x:c>
      <x:c r="H7762" s="12" t="str">
        <x:v>Campus/portfolio roster; individual building occupancy unverified</x:v>
      </x:c>
      <x:c r="I7762" s="12" t="str">
        <x:v>Small-scale prospects</x:v>
      </x:c>
      <x:c r="J7762" s="12" t="str">
        <x:v>IT &amp; digital</x:v>
      </x:c>
      <x:c r="K7762" s="2" t="str">
        <x:v>PARTNER-M067</x:v>
      </x:c>
    </x:row>
    <x:row r="7763" ht="46" customHeight="1">
      <x:c r="A7763" s="2" t="str">
        <x:v>TEN-DE86AC86417B</x:v>
      </x:c>
      <x:c r="B7763" s="12" t="str">
        <x:v>CrimsonLogic India Pvt. Ltd</x:v>
      </x:c>
      <x:c r="C7763" s="12" t="str">
        <x:v>CORP-0485</x:v>
      </x:c>
      <x:c r="D7763" s="12" t="str">
        <x:v>Bengaluru</x:v>
      </x:c>
      <x:c r="E7763" s="12" t="str">
        <x:v>Cessna - Embassy Tech Square</x:v>
      </x:c>
      <x:c r="F7763" s="12" t="str">
        <x:v>55 inch</x:v>
      </x:c>
      <x:c r="G7763" s="20" t="n">
        <x:v>1</x:v>
      </x:c>
      <x:c r="H7763" s="12" t="str">
        <x:v>Campus/portfolio roster; individual building occupancy unverified</x:v>
      </x:c>
      <x:c r="I7763" s="12" t="str">
        <x:v>Mixed business audience</x:v>
      </x:c>
      <x:c r="J7763" s="12" t="str">
        <x:v>IT &amp; digital</x:v>
      </x:c>
      <x:c r="K7763" s="2" t="str">
        <x:v>PARTNER-M067</x:v>
      </x:c>
    </x:row>
    <x:row r="7764" ht="46" customHeight="1">
      <x:c r="A7764" s="2" t="str">
        <x:v>TEN-E4737DBE1BA9</x:v>
      </x:c>
      <x:c r="B7764" s="12" t="str">
        <x:v>IQVIA</x:v>
      </x:c>
      <x:c r="C7764" s="12" t="str">
        <x:v>CORP-0485</x:v>
      </x:c>
      <x:c r="D7764" s="12" t="str">
        <x:v>Bengaluru</x:v>
      </x:c>
      <x:c r="E7764" s="12" t="str">
        <x:v>Cessna - Embassy Tech Square</x:v>
      </x:c>
      <x:c r="F7764" s="12" t="str">
        <x:v>55 inch</x:v>
      </x:c>
      <x:c r="G7764" s="20" t="n">
        <x:v>1</x:v>
      </x:c>
      <x:c r="H7764" s="12" t="str">
        <x:v>Campus/portfolio roster; individual building occupancy unverified</x:v>
      </x:c>
      <x:c r="I7764" s="12" t="str">
        <x:v>Mixed business audience</x:v>
      </x:c>
      <x:c r="J7764" s="12" t="str">
        <x:v>Healthcare &amp; life sciences</x:v>
      </x:c>
      <x:c r="K7764" s="2" t="str">
        <x:v>PARTNER-M067</x:v>
      </x:c>
    </x:row>
    <x:row r="7765" ht="46" customHeight="1">
      <x:c r="A7765" s="2" t="str">
        <x:v>TEN-E776A0709093</x:v>
      </x:c>
      <x:c r="B7765" s="12" t="str">
        <x:v>Glance</x:v>
      </x:c>
      <x:c r="C7765" s="12" t="str">
        <x:v>CORP-0485</x:v>
      </x:c>
      <x:c r="D7765" s="12" t="str">
        <x:v>Bengaluru</x:v>
      </x:c>
      <x:c r="E7765" s="12" t="str">
        <x:v>Cessna - Embassy Tech Square</x:v>
      </x:c>
      <x:c r="F7765" s="12" t="str">
        <x:v>55 inch</x:v>
      </x:c>
      <x:c r="G7765" s="20" t="n">
        <x:v>1</x:v>
      </x:c>
      <x:c r="H7765" s="12" t="str">
        <x:v>Campus/portfolio roster; individual building occupancy unverified</x:v>
      </x:c>
      <x:c r="I7765" s="12" t="str">
        <x:v>Mixed business audience</x:v>
      </x:c>
      <x:c r="J7765" s="12" t="str">
        <x:v>Trade, consumer &amp; logistics</x:v>
      </x:c>
      <x:c r="K7765" s="2" t="str">
        <x:v>PARTNER-M067</x:v>
      </x:c>
    </x:row>
    <x:row r="7766" ht="46" customHeight="1">
      <x:c r="A7766" s="2" t="str">
        <x:v>TEN-E9E8A907E060</x:v>
      </x:c>
      <x:c r="B7766" s="12" t="str">
        <x:v>Syniverse</x:v>
      </x:c>
      <x:c r="C7766" s="12" t="str">
        <x:v>CORP-0485</x:v>
      </x:c>
      <x:c r="D7766" s="12" t="str">
        <x:v>Bengaluru</x:v>
      </x:c>
      <x:c r="E7766" s="12" t="str">
        <x:v>Cessna - Embassy Tech Square</x:v>
      </x:c>
      <x:c r="F7766" s="12" t="str">
        <x:v>55 inch</x:v>
      </x:c>
      <x:c r="G7766" s="20" t="n">
        <x:v>1</x:v>
      </x:c>
      <x:c r="H7766" s="12" t="str">
        <x:v>Campus/portfolio roster; individual building occupancy unverified</x:v>
      </x:c>
      <x:c r="I7766" s="12" t="str">
        <x:v>Mixed business audience</x:v>
      </x:c>
      <x:c r="J7766" s="12" t="str">
        <x:v>IT &amp; digital</x:v>
      </x:c>
      <x:c r="K7766" s="2" t="str">
        <x:v>PARTNER-M067</x:v>
      </x:c>
    </x:row>
    <x:row r="7767" ht="46" customHeight="1">
      <x:c r="A7767" s="2" t="str">
        <x:v>TEN-EBC4D1888A03</x:v>
      </x:c>
      <x:c r="B7767" s="12" t="str">
        <x:v>Here Solutions India Pvt. Ltd</x:v>
      </x:c>
      <x:c r="C7767" s="12" t="str">
        <x:v>CORP-0485</x:v>
      </x:c>
      <x:c r="D7767" s="12" t="str">
        <x:v>Bengaluru</x:v>
      </x:c>
      <x:c r="E7767" s="12" t="str">
        <x:v>Cessna - Embassy Tech Square</x:v>
      </x:c>
      <x:c r="F7767" s="12" t="str">
        <x:v>55 inch</x:v>
      </x:c>
      <x:c r="G7767" s="20" t="n">
        <x:v>1</x:v>
      </x:c>
      <x:c r="H7767" s="12" t="str">
        <x:v>Campus/portfolio roster; individual building occupancy unverified</x:v>
      </x:c>
      <x:c r="I7767" s="12" t="str">
        <x:v>Mixed business audience</x:v>
      </x:c>
      <x:c r="J7767" s="12" t="str">
        <x:v>Unresolved</x:v>
      </x:c>
      <x:c r="K7767" s="2" t="str">
        <x:v>PARTNER-M067</x:v>
      </x:c>
    </x:row>
    <x:row r="7768" ht="46" customHeight="1">
      <x:c r="A7768" s="2" t="str">
        <x:v>TEN-14A778EC0824</x:v>
      </x:c>
      <x:c r="B7768" s="12" t="str">
        <x:v>Vulpith.com</x:v>
      </x:c>
      <x:c r="C7768" s="12" t="str">
        <x:v>CORP-0486</x:v>
      </x:c>
      <x:c r="D7768" s="12" t="str">
        <x:v>Bengaluru</x:v>
      </x:c>
      <x:c r="E7768" s="12" t="str">
        <x:v>Cessna - Embassy Tech Square</x:v>
      </x:c>
      <x:c r="F7768" s="12" t="str">
        <x:v>55 inch</x:v>
      </x:c>
      <x:c r="G7768" s="20" t="n">
        <x:v>1</x:v>
      </x:c>
      <x:c r="H7768" s="12" t="str">
        <x:v>Campus/portfolio roster; individual building occupancy unverified</x:v>
      </x:c>
      <x:c r="I7768" s="12" t="str">
        <x:v>Mixed business audience</x:v>
      </x:c>
      <x:c r="J7768" s="12" t="str">
        <x:v>Unresolved</x:v>
      </x:c>
      <x:c r="K7768" s="2" t="str">
        <x:v>PARTNER-M067</x:v>
      </x:c>
    </x:row>
    <x:row r="7769" ht="46" customHeight="1">
      <x:c r="A7769" s="2" t="str">
        <x:v>TEN-17C400F7181E</x:v>
      </x:c>
      <x:c r="B7769" s="12" t="str">
        <x:v>Cambium Networks Private Limited</x:v>
      </x:c>
      <x:c r="C7769" s="12" t="str">
        <x:v>CORP-0486</x:v>
      </x:c>
      <x:c r="D7769" s="12" t="str">
        <x:v>Bengaluru</x:v>
      </x:c>
      <x:c r="E7769" s="12" t="str">
        <x:v>Cessna - Embassy Tech Square</x:v>
      </x:c>
      <x:c r="F7769" s="12" t="str">
        <x:v>55 inch</x:v>
      </x:c>
      <x:c r="G7769" s="20" t="n">
        <x:v>1</x:v>
      </x:c>
      <x:c r="H7769" s="12" t="str">
        <x:v>Campus/portfolio roster; individual building occupancy unverified</x:v>
      </x:c>
      <x:c r="I7769" s="12" t="str">
        <x:v>Mixed business audience</x:v>
      </x:c>
      <x:c r="J7769" s="12" t="str">
        <x:v>IT &amp; digital</x:v>
      </x:c>
      <x:c r="K7769" s="2" t="str">
        <x:v>PARTNER-M067</x:v>
      </x:c>
    </x:row>
    <x:row r="7770" ht="46" customHeight="1">
      <x:c r="A7770" s="2" t="str">
        <x:v>TEN-5B49624C6F03</x:v>
      </x:c>
      <x:c r="B7770" s="12" t="str">
        <x:v>MarketXpander Services Pvt. Ltd</x:v>
      </x:c>
      <x:c r="C7770" s="12" t="str">
        <x:v>CORP-0486</x:v>
      </x:c>
      <x:c r="D7770" s="12" t="str">
        <x:v>Bengaluru</x:v>
      </x:c>
      <x:c r="E7770" s="12" t="str">
        <x:v>Cessna - Embassy Tech Square</x:v>
      </x:c>
      <x:c r="F7770" s="12" t="str">
        <x:v>55 inch</x:v>
      </x:c>
      <x:c r="G7770" s="20" t="n">
        <x:v>1</x:v>
      </x:c>
      <x:c r="H7770" s="12" t="str">
        <x:v>Campus/portfolio roster; individual building occupancy unverified</x:v>
      </x:c>
      <x:c r="I7770" s="12" t="str">
        <x:v>Small-scale prospects</x:v>
      </x:c>
      <x:c r="J7770" s="12" t="str">
        <x:v>IT &amp; digital</x:v>
      </x:c>
      <x:c r="K7770" s="2" t="str">
        <x:v>PARTNER-M067</x:v>
      </x:c>
    </x:row>
    <x:row r="7771" ht="46" customHeight="1">
      <x:c r="A7771" s="2" t="str">
        <x:v>TEN-8E42AB47E105</x:v>
      </x:c>
      <x:c r="B7771" s="12" t="str">
        <x:v>KLAY Centre</x:v>
      </x:c>
      <x:c r="C7771" s="12" t="str">
        <x:v>CORP-0486</x:v>
      </x:c>
      <x:c r="D7771" s="12" t="str">
        <x:v>Bengaluru</x:v>
      </x:c>
      <x:c r="E7771" s="12" t="str">
        <x:v>Cessna - Embassy Tech Square</x:v>
      </x:c>
      <x:c r="F7771" s="12" t="str">
        <x:v>55 inch</x:v>
      </x:c>
      <x:c r="G7771" s="20" t="n">
        <x:v>1</x:v>
      </x:c>
      <x:c r="H7771" s="12" t="str">
        <x:v>Campus/portfolio roster; individual building occupancy unverified</x:v>
      </x:c>
      <x:c r="I7771" s="12" t="str">
        <x:v>Mixed business audience</x:v>
      </x:c>
      <x:c r="J7771" s="12" t="str">
        <x:v>Education</x:v>
      </x:c>
      <x:c r="K7771" s="2" t="str">
        <x:v>PARTNER-M067</x:v>
      </x:c>
    </x:row>
    <x:row r="7772" ht="46" customHeight="1">
      <x:c r="A7772" s="2" t="str">
        <x:v>TEN-917A9EA35D91</x:v>
      </x:c>
      <x:c r="B7772" s="12" t="str">
        <x:v>InMobi Technology Services Pvt. Ltd</x:v>
      </x:c>
      <x:c r="C7772" s="12" t="str">
        <x:v>CORP-0486</x:v>
      </x:c>
      <x:c r="D7772" s="12" t="str">
        <x:v>Bengaluru</x:v>
      </x:c>
      <x:c r="E7772" s="12" t="str">
        <x:v>Cessna - Embassy Tech Square</x:v>
      </x:c>
      <x:c r="F7772" s="12" t="str">
        <x:v>55 inch</x:v>
      </x:c>
      <x:c r="G7772" s="20" t="n">
        <x:v>1</x:v>
      </x:c>
      <x:c r="H7772" s="12" t="str">
        <x:v>Campus/portfolio roster; individual building occupancy unverified</x:v>
      </x:c>
      <x:c r="I7772" s="12" t="str">
        <x:v>Mixed business audience</x:v>
      </x:c>
      <x:c r="J7772" s="12" t="str">
        <x:v>IT &amp; digital</x:v>
      </x:c>
      <x:c r="K7772" s="2" t="str">
        <x:v>PARTNER-M067</x:v>
      </x:c>
    </x:row>
    <x:row r="7773" ht="46" customHeight="1">
      <x:c r="A7773" s="2" t="str">
        <x:v>TEN-982AAAD03B93</x:v>
      </x:c>
      <x:c r="B7773" s="12" t="str">
        <x:v>Leadsquared</x:v>
      </x:c>
      <x:c r="C7773" s="12" t="str">
        <x:v>CORP-0486</x:v>
      </x:c>
      <x:c r="D7773" s="12" t="str">
        <x:v>Bengaluru</x:v>
      </x:c>
      <x:c r="E7773" s="12" t="str">
        <x:v>Cessna - Embassy Tech Square</x:v>
      </x:c>
      <x:c r="F7773" s="12" t="str">
        <x:v>55 inch</x:v>
      </x:c>
      <x:c r="G7773" s="20" t="n">
        <x:v>1</x:v>
      </x:c>
      <x:c r="H7773" s="12" t="str">
        <x:v>Campus/portfolio roster; individual building occupancy unverified</x:v>
      </x:c>
      <x:c r="I7773" s="12" t="str">
        <x:v>Mixed business audience</x:v>
      </x:c>
      <x:c r="J7773" s="12" t="str">
        <x:v>IT &amp; digital</x:v>
      </x:c>
      <x:c r="K7773" s="2" t="str">
        <x:v>PARTNER-M067</x:v>
      </x:c>
    </x:row>
    <x:row r="7774" ht="46" customHeight="1">
      <x:c r="A7774" s="2" t="str">
        <x:v>TEN-B0D732F6FB1E</x:v>
      </x:c>
      <x:c r="B7774" s="12" t="str">
        <x:v>LG Soft India Pvt. Ltd</x:v>
      </x:c>
      <x:c r="C7774" s="12" t="str">
        <x:v>CORP-0486</x:v>
      </x:c>
      <x:c r="D7774" s="12" t="str">
        <x:v>Bengaluru</x:v>
      </x:c>
      <x:c r="E7774" s="12" t="str">
        <x:v>Cessna - Embassy Tech Square</x:v>
      </x:c>
      <x:c r="F7774" s="12" t="str">
        <x:v>55 inch</x:v>
      </x:c>
      <x:c r="G7774" s="20" t="n">
        <x:v>1</x:v>
      </x:c>
      <x:c r="H7774" s="12" t="str">
        <x:v>Campus/portfolio roster; individual building occupancy unverified</x:v>
      </x:c>
      <x:c r="I7774" s="12" t="str">
        <x:v>Large enterprise</x:v>
      </x:c>
      <x:c r="J7774" s="12" t="str">
        <x:v>IT &amp; digital</x:v>
      </x:c>
      <x:c r="K7774" s="2" t="str">
        <x:v>PARTNER-M067</x:v>
      </x:c>
    </x:row>
    <x:row r="7775" ht="46" customHeight="1">
      <x:c r="A7775" s="2" t="str">
        <x:v>TEN-B8AB53F49765</x:v>
      </x:c>
      <x:c r="B7775" s="12" t="str">
        <x:v>Ribbon Communication Pvt. Ltd</x:v>
      </x:c>
      <x:c r="C7775" s="12" t="str">
        <x:v>CORP-0486</x:v>
      </x:c>
      <x:c r="D7775" s="12" t="str">
        <x:v>Bengaluru</x:v>
      </x:c>
      <x:c r="E7775" s="12" t="str">
        <x:v>Cessna - Embassy Tech Square</x:v>
      </x:c>
      <x:c r="F7775" s="12" t="str">
        <x:v>55 inch</x:v>
      </x:c>
      <x:c r="G7775" s="20" t="n">
        <x:v>1</x:v>
      </x:c>
      <x:c r="H7775" s="12" t="str">
        <x:v>Campus/portfolio roster; individual building occupancy unverified</x:v>
      </x:c>
      <x:c r="I7775" s="12" t="str">
        <x:v>Mixed business audience</x:v>
      </x:c>
      <x:c r="J7775" s="12" t="str">
        <x:v>IT &amp; digital</x:v>
      </x:c>
      <x:c r="K7775" s="2" t="str">
        <x:v>PARTNER-M067</x:v>
      </x:c>
    </x:row>
    <x:row r="7776" ht="46" customHeight="1">
      <x:c r="A7776" s="2" t="str">
        <x:v>TEN-C37E3D3636A0</x:v>
      </x:c>
      <x:c r="B7776" s="12" t="str">
        <x:v>Applied Information Sciences India</x:v>
      </x:c>
      <x:c r="C7776" s="12" t="str">
        <x:v>CORP-0486</x:v>
      </x:c>
      <x:c r="D7776" s="12" t="str">
        <x:v>Bengaluru</x:v>
      </x:c>
      <x:c r="E7776" s="12" t="str">
        <x:v>Cessna - Embassy Tech Square</x:v>
      </x:c>
      <x:c r="F7776" s="12" t="str">
        <x:v>55 inch</x:v>
      </x:c>
      <x:c r="G7776" s="20" t="n">
        <x:v>1</x:v>
      </x:c>
      <x:c r="H7776" s="12" t="str">
        <x:v>Campus/portfolio roster; individual building occupancy unverified</x:v>
      </x:c>
      <x:c r="I7776" s="12" t="str">
        <x:v>Small-scale prospects</x:v>
      </x:c>
      <x:c r="J7776" s="12" t="str">
        <x:v>IT &amp; digital</x:v>
      </x:c>
      <x:c r="K7776" s="2" t="str">
        <x:v>PARTNER-M067</x:v>
      </x:c>
    </x:row>
    <x:row r="7777" ht="46" customHeight="1">
      <x:c r="A7777" s="2" t="str">
        <x:v>TEN-CCF2DC9DADF3</x:v>
      </x:c>
      <x:c r="B7777" s="12" t="str">
        <x:v>Gartner India Research and Advisory Services Pvt. Ltd</x:v>
      </x:c>
      <x:c r="C7777" s="12" t="str">
        <x:v>CORP-0486</x:v>
      </x:c>
      <x:c r="D7777" s="12" t="str">
        <x:v>Bengaluru</x:v>
      </x:c>
      <x:c r="E7777" s="12" t="str">
        <x:v>Cessna - Embassy Tech Square</x:v>
      </x:c>
      <x:c r="F7777" s="12" t="str">
        <x:v>55 inch</x:v>
      </x:c>
      <x:c r="G7777" s="20" t="n">
        <x:v>1</x:v>
      </x:c>
      <x:c r="H7777" s="12" t="str">
        <x:v>Campus/portfolio roster; individual building occupancy unverified</x:v>
      </x:c>
      <x:c r="I7777" s="12" t="str">
        <x:v>Mixed business audience</x:v>
      </x:c>
      <x:c r="J7777" s="12" t="str">
        <x:v>Professional services</x:v>
      </x:c>
      <x:c r="K7777" s="2" t="str">
        <x:v>PARTNER-M067</x:v>
      </x:c>
    </x:row>
    <x:row r="7778" ht="46" customHeight="1">
      <x:c r="A7778" s="2" t="str">
        <x:v>TEN-D22C9DC7EBCB</x:v>
      </x:c>
      <x:c r="B7778" s="12" t="str">
        <x:v>Tracelay Networks GSOC</x:v>
      </x:c>
      <x:c r="C7778" s="12" t="str">
        <x:v>CORP-0486</x:v>
      </x:c>
      <x:c r="D7778" s="12" t="str">
        <x:v>Bengaluru</x:v>
      </x:c>
      <x:c r="E7778" s="12" t="str">
        <x:v>Cessna - Embassy Tech Square</x:v>
      </x:c>
      <x:c r="F7778" s="12" t="str">
        <x:v>55 inch</x:v>
      </x:c>
      <x:c r="G7778" s="20" t="n">
        <x:v>1</x:v>
      </x:c>
      <x:c r="H7778" s="12" t="str">
        <x:v>Campus/portfolio roster; individual building occupancy unverified</x:v>
      </x:c>
      <x:c r="I7778" s="12" t="str">
        <x:v>Small-scale prospects</x:v>
      </x:c>
      <x:c r="J7778" s="12" t="str">
        <x:v>IT &amp; digital</x:v>
      </x:c>
      <x:c r="K7778" s="2" t="str">
        <x:v>PARTNER-M067</x:v>
      </x:c>
    </x:row>
    <x:row r="7779" ht="46" customHeight="1">
      <x:c r="A7779" s="2" t="str">
        <x:v>TEN-DE86AC86417B</x:v>
      </x:c>
      <x:c r="B7779" s="12" t="str">
        <x:v>CrimsonLogic India Pvt. Ltd</x:v>
      </x:c>
      <x:c r="C7779" s="12" t="str">
        <x:v>CORP-0486</x:v>
      </x:c>
      <x:c r="D7779" s="12" t="str">
        <x:v>Bengaluru</x:v>
      </x:c>
      <x:c r="E7779" s="12" t="str">
        <x:v>Cessna - Embassy Tech Square</x:v>
      </x:c>
      <x:c r="F7779" s="12" t="str">
        <x:v>55 inch</x:v>
      </x:c>
      <x:c r="G7779" s="20" t="n">
        <x:v>1</x:v>
      </x:c>
      <x:c r="H7779" s="12" t="str">
        <x:v>Campus/portfolio roster; individual building occupancy unverified</x:v>
      </x:c>
      <x:c r="I7779" s="12" t="str">
        <x:v>Mixed business audience</x:v>
      </x:c>
      <x:c r="J7779" s="12" t="str">
        <x:v>IT &amp; digital</x:v>
      </x:c>
      <x:c r="K7779" s="2" t="str">
        <x:v>PARTNER-M067</x:v>
      </x:c>
    </x:row>
    <x:row r="7780" ht="46" customHeight="1">
      <x:c r="A7780" s="2" t="str">
        <x:v>TEN-E4737DBE1BA9</x:v>
      </x:c>
      <x:c r="B7780" s="12" t="str">
        <x:v>IQVIA</x:v>
      </x:c>
      <x:c r="C7780" s="12" t="str">
        <x:v>CORP-0486</x:v>
      </x:c>
      <x:c r="D7780" s="12" t="str">
        <x:v>Bengaluru</x:v>
      </x:c>
      <x:c r="E7780" s="12" t="str">
        <x:v>Cessna - Embassy Tech Square</x:v>
      </x:c>
      <x:c r="F7780" s="12" t="str">
        <x:v>55 inch</x:v>
      </x:c>
      <x:c r="G7780" s="20" t="n">
        <x:v>1</x:v>
      </x:c>
      <x:c r="H7780" s="12" t="str">
        <x:v>Campus/portfolio roster; individual building occupancy unverified</x:v>
      </x:c>
      <x:c r="I7780" s="12" t="str">
        <x:v>Mixed business audience</x:v>
      </x:c>
      <x:c r="J7780" s="12" t="str">
        <x:v>Healthcare &amp; life sciences</x:v>
      </x:c>
      <x:c r="K7780" s="2" t="str">
        <x:v>PARTNER-M067</x:v>
      </x:c>
    </x:row>
    <x:row r="7781" ht="46" customHeight="1">
      <x:c r="A7781" s="2" t="str">
        <x:v>TEN-E776A0709093</x:v>
      </x:c>
      <x:c r="B7781" s="12" t="str">
        <x:v>Glance</x:v>
      </x:c>
      <x:c r="C7781" s="12" t="str">
        <x:v>CORP-0486</x:v>
      </x:c>
      <x:c r="D7781" s="12" t="str">
        <x:v>Bengaluru</x:v>
      </x:c>
      <x:c r="E7781" s="12" t="str">
        <x:v>Cessna - Embassy Tech Square</x:v>
      </x:c>
      <x:c r="F7781" s="12" t="str">
        <x:v>55 inch</x:v>
      </x:c>
      <x:c r="G7781" s="20" t="n">
        <x:v>1</x:v>
      </x:c>
      <x:c r="H7781" s="12" t="str">
        <x:v>Campus/portfolio roster; individual building occupancy unverified</x:v>
      </x:c>
      <x:c r="I7781" s="12" t="str">
        <x:v>Mixed business audience</x:v>
      </x:c>
      <x:c r="J7781" s="12" t="str">
        <x:v>Trade, consumer &amp; logistics</x:v>
      </x:c>
      <x:c r="K7781" s="2" t="str">
        <x:v>PARTNER-M067</x:v>
      </x:c>
    </x:row>
    <x:row r="7782" ht="46" customHeight="1">
      <x:c r="A7782" s="2" t="str">
        <x:v>TEN-E9E8A907E060</x:v>
      </x:c>
      <x:c r="B7782" s="12" t="str">
        <x:v>Syniverse</x:v>
      </x:c>
      <x:c r="C7782" s="12" t="str">
        <x:v>CORP-0486</x:v>
      </x:c>
      <x:c r="D7782" s="12" t="str">
        <x:v>Bengaluru</x:v>
      </x:c>
      <x:c r="E7782" s="12" t="str">
        <x:v>Cessna - Embassy Tech Square</x:v>
      </x:c>
      <x:c r="F7782" s="12" t="str">
        <x:v>55 inch</x:v>
      </x:c>
      <x:c r="G7782" s="20" t="n">
        <x:v>1</x:v>
      </x:c>
      <x:c r="H7782" s="12" t="str">
        <x:v>Campus/portfolio roster; individual building occupancy unverified</x:v>
      </x:c>
      <x:c r="I7782" s="12" t="str">
        <x:v>Mixed business audience</x:v>
      </x:c>
      <x:c r="J7782" s="12" t="str">
        <x:v>IT &amp; digital</x:v>
      </x:c>
      <x:c r="K7782" s="2" t="str">
        <x:v>PARTNER-M067</x:v>
      </x:c>
    </x:row>
    <x:row r="7783" ht="46" customHeight="1">
      <x:c r="A7783" s="2" t="str">
        <x:v>TEN-EBC4D1888A03</x:v>
      </x:c>
      <x:c r="B7783" s="12" t="str">
        <x:v>Here Solutions India Pvt. Ltd</x:v>
      </x:c>
      <x:c r="C7783" s="12" t="str">
        <x:v>CORP-0486</x:v>
      </x:c>
      <x:c r="D7783" s="12" t="str">
        <x:v>Bengaluru</x:v>
      </x:c>
      <x:c r="E7783" s="12" t="str">
        <x:v>Cessna - Embassy Tech Square</x:v>
      </x:c>
      <x:c r="F7783" s="12" t="str">
        <x:v>55 inch</x:v>
      </x:c>
      <x:c r="G7783" s="20" t="n">
        <x:v>1</x:v>
      </x:c>
      <x:c r="H7783" s="12" t="str">
        <x:v>Campus/portfolio roster; individual building occupancy unverified</x:v>
      </x:c>
      <x:c r="I7783" s="12" t="str">
        <x:v>Mixed business audience</x:v>
      </x:c>
      <x:c r="J7783" s="12" t="str">
        <x:v>Unresolved</x:v>
      </x:c>
      <x:c r="K7783" s="2" t="str">
        <x:v>PARTNER-M067</x:v>
      </x:c>
    </x:row>
    <x:row r="7784" ht="46" customHeight="1">
      <x:c r="A7784" s="2" t="str">
        <x:v>TEN-14A778EC0824</x:v>
      </x:c>
      <x:c r="B7784" s="12" t="str">
        <x:v>Vulpith.com</x:v>
      </x:c>
      <x:c r="C7784" s="12" t="str">
        <x:v>CORP-0487</x:v>
      </x:c>
      <x:c r="D7784" s="12" t="str">
        <x:v>Bengaluru</x:v>
      </x:c>
      <x:c r="E7784" s="12" t="str">
        <x:v>Cessna - Embassy Tech Square</x:v>
      </x:c>
      <x:c r="F7784" s="12" t="str">
        <x:v>55 inch</x:v>
      </x:c>
      <x:c r="G7784" s="20" t="n">
        <x:v>1</x:v>
      </x:c>
      <x:c r="H7784" s="12" t="str">
        <x:v>Campus/portfolio roster; individual building occupancy unverified</x:v>
      </x:c>
      <x:c r="I7784" s="12" t="str">
        <x:v>Mixed business audience</x:v>
      </x:c>
      <x:c r="J7784" s="12" t="str">
        <x:v>Unresolved</x:v>
      </x:c>
      <x:c r="K7784" s="2" t="str">
        <x:v>PARTNER-M067</x:v>
      </x:c>
    </x:row>
    <x:row r="7785" ht="46" customHeight="1">
      <x:c r="A7785" s="2" t="str">
        <x:v>TEN-17C400F7181E</x:v>
      </x:c>
      <x:c r="B7785" s="12" t="str">
        <x:v>Cambium Networks Private Limited</x:v>
      </x:c>
      <x:c r="C7785" s="12" t="str">
        <x:v>CORP-0487</x:v>
      </x:c>
      <x:c r="D7785" s="12" t="str">
        <x:v>Bengaluru</x:v>
      </x:c>
      <x:c r="E7785" s="12" t="str">
        <x:v>Cessna - Embassy Tech Square</x:v>
      </x:c>
      <x:c r="F7785" s="12" t="str">
        <x:v>55 inch</x:v>
      </x:c>
      <x:c r="G7785" s="20" t="n">
        <x:v>1</x:v>
      </x:c>
      <x:c r="H7785" s="12" t="str">
        <x:v>Campus/portfolio roster; individual building occupancy unverified</x:v>
      </x:c>
      <x:c r="I7785" s="12" t="str">
        <x:v>Mixed business audience</x:v>
      </x:c>
      <x:c r="J7785" s="12" t="str">
        <x:v>IT &amp; digital</x:v>
      </x:c>
      <x:c r="K7785" s="2" t="str">
        <x:v>PARTNER-M067</x:v>
      </x:c>
    </x:row>
    <x:row r="7786" ht="46" customHeight="1">
      <x:c r="A7786" s="2" t="str">
        <x:v>TEN-5B49624C6F03</x:v>
      </x:c>
      <x:c r="B7786" s="12" t="str">
        <x:v>MarketXpander Services Pvt. Ltd</x:v>
      </x:c>
      <x:c r="C7786" s="12" t="str">
        <x:v>CORP-0487</x:v>
      </x:c>
      <x:c r="D7786" s="12" t="str">
        <x:v>Bengaluru</x:v>
      </x:c>
      <x:c r="E7786" s="12" t="str">
        <x:v>Cessna - Embassy Tech Square</x:v>
      </x:c>
      <x:c r="F7786" s="12" t="str">
        <x:v>55 inch</x:v>
      </x:c>
      <x:c r="G7786" s="20" t="n">
        <x:v>1</x:v>
      </x:c>
      <x:c r="H7786" s="12" t="str">
        <x:v>Campus/portfolio roster; individual building occupancy unverified</x:v>
      </x:c>
      <x:c r="I7786" s="12" t="str">
        <x:v>Small-scale prospects</x:v>
      </x:c>
      <x:c r="J7786" s="12" t="str">
        <x:v>IT &amp; digital</x:v>
      </x:c>
      <x:c r="K7786" s="2" t="str">
        <x:v>PARTNER-M067</x:v>
      </x:c>
    </x:row>
    <x:row r="7787" ht="46" customHeight="1">
      <x:c r="A7787" s="2" t="str">
        <x:v>TEN-8E42AB47E105</x:v>
      </x:c>
      <x:c r="B7787" s="12" t="str">
        <x:v>KLAY Centre</x:v>
      </x:c>
      <x:c r="C7787" s="12" t="str">
        <x:v>CORP-0487</x:v>
      </x:c>
      <x:c r="D7787" s="12" t="str">
        <x:v>Bengaluru</x:v>
      </x:c>
      <x:c r="E7787" s="12" t="str">
        <x:v>Cessna - Embassy Tech Square</x:v>
      </x:c>
      <x:c r="F7787" s="12" t="str">
        <x:v>55 inch</x:v>
      </x:c>
      <x:c r="G7787" s="20" t="n">
        <x:v>1</x:v>
      </x:c>
      <x:c r="H7787" s="12" t="str">
        <x:v>Campus/portfolio roster; individual building occupancy unverified</x:v>
      </x:c>
      <x:c r="I7787" s="12" t="str">
        <x:v>Mixed business audience</x:v>
      </x:c>
      <x:c r="J7787" s="12" t="str">
        <x:v>Education</x:v>
      </x:c>
      <x:c r="K7787" s="2" t="str">
        <x:v>PARTNER-M067</x:v>
      </x:c>
    </x:row>
    <x:row r="7788" ht="46" customHeight="1">
      <x:c r="A7788" s="2" t="str">
        <x:v>TEN-917A9EA35D91</x:v>
      </x:c>
      <x:c r="B7788" s="12" t="str">
        <x:v>InMobi Technology Services Pvt. Ltd</x:v>
      </x:c>
      <x:c r="C7788" s="12" t="str">
        <x:v>CORP-0487</x:v>
      </x:c>
      <x:c r="D7788" s="12" t="str">
        <x:v>Bengaluru</x:v>
      </x:c>
      <x:c r="E7788" s="12" t="str">
        <x:v>Cessna - Embassy Tech Square</x:v>
      </x:c>
      <x:c r="F7788" s="12" t="str">
        <x:v>55 inch</x:v>
      </x:c>
      <x:c r="G7788" s="20" t="n">
        <x:v>1</x:v>
      </x:c>
      <x:c r="H7788" s="12" t="str">
        <x:v>Campus/portfolio roster; individual building occupancy unverified</x:v>
      </x:c>
      <x:c r="I7788" s="12" t="str">
        <x:v>Mixed business audience</x:v>
      </x:c>
      <x:c r="J7788" s="12" t="str">
        <x:v>IT &amp; digital</x:v>
      </x:c>
      <x:c r="K7788" s="2" t="str">
        <x:v>PARTNER-M067</x:v>
      </x:c>
    </x:row>
    <x:row r="7789" ht="46" customHeight="1">
      <x:c r="A7789" s="2" t="str">
        <x:v>TEN-982AAAD03B93</x:v>
      </x:c>
      <x:c r="B7789" s="12" t="str">
        <x:v>Leadsquared</x:v>
      </x:c>
      <x:c r="C7789" s="12" t="str">
        <x:v>CORP-0487</x:v>
      </x:c>
      <x:c r="D7789" s="12" t="str">
        <x:v>Bengaluru</x:v>
      </x:c>
      <x:c r="E7789" s="12" t="str">
        <x:v>Cessna - Embassy Tech Square</x:v>
      </x:c>
      <x:c r="F7789" s="12" t="str">
        <x:v>55 inch</x:v>
      </x:c>
      <x:c r="G7789" s="20" t="n">
        <x:v>1</x:v>
      </x:c>
      <x:c r="H7789" s="12" t="str">
        <x:v>Campus/portfolio roster; individual building occupancy unverified</x:v>
      </x:c>
      <x:c r="I7789" s="12" t="str">
        <x:v>Mixed business audience</x:v>
      </x:c>
      <x:c r="J7789" s="12" t="str">
        <x:v>IT &amp; digital</x:v>
      </x:c>
      <x:c r="K7789" s="2" t="str">
        <x:v>PARTNER-M067</x:v>
      </x:c>
    </x:row>
    <x:row r="7790" ht="46" customHeight="1">
      <x:c r="A7790" s="2" t="str">
        <x:v>TEN-B0D732F6FB1E</x:v>
      </x:c>
      <x:c r="B7790" s="12" t="str">
        <x:v>LG Soft India Pvt. Ltd</x:v>
      </x:c>
      <x:c r="C7790" s="12" t="str">
        <x:v>CORP-0487</x:v>
      </x:c>
      <x:c r="D7790" s="12" t="str">
        <x:v>Bengaluru</x:v>
      </x:c>
      <x:c r="E7790" s="12" t="str">
        <x:v>Cessna - Embassy Tech Square</x:v>
      </x:c>
      <x:c r="F7790" s="12" t="str">
        <x:v>55 inch</x:v>
      </x:c>
      <x:c r="G7790" s="20" t="n">
        <x:v>1</x:v>
      </x:c>
      <x:c r="H7790" s="12" t="str">
        <x:v>Campus/portfolio roster; individual building occupancy unverified</x:v>
      </x:c>
      <x:c r="I7790" s="12" t="str">
        <x:v>Large enterprise</x:v>
      </x:c>
      <x:c r="J7790" s="12" t="str">
        <x:v>IT &amp; digital</x:v>
      </x:c>
      <x:c r="K7790" s="2" t="str">
        <x:v>PARTNER-M067</x:v>
      </x:c>
    </x:row>
    <x:row r="7791" ht="46" customHeight="1">
      <x:c r="A7791" s="2" t="str">
        <x:v>TEN-B8AB53F49765</x:v>
      </x:c>
      <x:c r="B7791" s="12" t="str">
        <x:v>Ribbon Communication Pvt. Ltd</x:v>
      </x:c>
      <x:c r="C7791" s="12" t="str">
        <x:v>CORP-0487</x:v>
      </x:c>
      <x:c r="D7791" s="12" t="str">
        <x:v>Bengaluru</x:v>
      </x:c>
      <x:c r="E7791" s="12" t="str">
        <x:v>Cessna - Embassy Tech Square</x:v>
      </x:c>
      <x:c r="F7791" s="12" t="str">
        <x:v>55 inch</x:v>
      </x:c>
      <x:c r="G7791" s="20" t="n">
        <x:v>1</x:v>
      </x:c>
      <x:c r="H7791" s="12" t="str">
        <x:v>Campus/portfolio roster; individual building occupancy unverified</x:v>
      </x:c>
      <x:c r="I7791" s="12" t="str">
        <x:v>Mixed business audience</x:v>
      </x:c>
      <x:c r="J7791" s="12" t="str">
        <x:v>IT &amp; digital</x:v>
      </x:c>
      <x:c r="K7791" s="2" t="str">
        <x:v>PARTNER-M067</x:v>
      </x:c>
    </x:row>
    <x:row r="7792" ht="46" customHeight="1">
      <x:c r="A7792" s="2" t="str">
        <x:v>TEN-C37E3D3636A0</x:v>
      </x:c>
      <x:c r="B7792" s="12" t="str">
        <x:v>Applied Information Sciences India</x:v>
      </x:c>
      <x:c r="C7792" s="12" t="str">
        <x:v>CORP-0487</x:v>
      </x:c>
      <x:c r="D7792" s="12" t="str">
        <x:v>Bengaluru</x:v>
      </x:c>
      <x:c r="E7792" s="12" t="str">
        <x:v>Cessna - Embassy Tech Square</x:v>
      </x:c>
      <x:c r="F7792" s="12" t="str">
        <x:v>55 inch</x:v>
      </x:c>
      <x:c r="G7792" s="20" t="n">
        <x:v>1</x:v>
      </x:c>
      <x:c r="H7792" s="12" t="str">
        <x:v>Campus/portfolio roster; individual building occupancy unverified</x:v>
      </x:c>
      <x:c r="I7792" s="12" t="str">
        <x:v>Small-scale prospects</x:v>
      </x:c>
      <x:c r="J7792" s="12" t="str">
        <x:v>IT &amp; digital</x:v>
      </x:c>
      <x:c r="K7792" s="2" t="str">
        <x:v>PARTNER-M067</x:v>
      </x:c>
    </x:row>
    <x:row r="7793" ht="46" customHeight="1">
      <x:c r="A7793" s="2" t="str">
        <x:v>TEN-CCF2DC9DADF3</x:v>
      </x:c>
      <x:c r="B7793" s="12" t="str">
        <x:v>Gartner India Research and Advisory Services Pvt. Ltd</x:v>
      </x:c>
      <x:c r="C7793" s="12" t="str">
        <x:v>CORP-0487</x:v>
      </x:c>
      <x:c r="D7793" s="12" t="str">
        <x:v>Bengaluru</x:v>
      </x:c>
      <x:c r="E7793" s="12" t="str">
        <x:v>Cessna - Embassy Tech Square</x:v>
      </x:c>
      <x:c r="F7793" s="12" t="str">
        <x:v>55 inch</x:v>
      </x:c>
      <x:c r="G7793" s="20" t="n">
        <x:v>1</x:v>
      </x:c>
      <x:c r="H7793" s="12" t="str">
        <x:v>Campus/portfolio roster; individual building occupancy unverified</x:v>
      </x:c>
      <x:c r="I7793" s="12" t="str">
        <x:v>Mixed business audience</x:v>
      </x:c>
      <x:c r="J7793" s="12" t="str">
        <x:v>Professional services</x:v>
      </x:c>
      <x:c r="K7793" s="2" t="str">
        <x:v>PARTNER-M067</x:v>
      </x:c>
    </x:row>
    <x:row r="7794" ht="46" customHeight="1">
      <x:c r="A7794" s="2" t="str">
        <x:v>TEN-D22C9DC7EBCB</x:v>
      </x:c>
      <x:c r="B7794" s="12" t="str">
        <x:v>Tracelay Networks GSOC</x:v>
      </x:c>
      <x:c r="C7794" s="12" t="str">
        <x:v>CORP-0487</x:v>
      </x:c>
      <x:c r="D7794" s="12" t="str">
        <x:v>Bengaluru</x:v>
      </x:c>
      <x:c r="E7794" s="12" t="str">
        <x:v>Cessna - Embassy Tech Square</x:v>
      </x:c>
      <x:c r="F7794" s="12" t="str">
        <x:v>55 inch</x:v>
      </x:c>
      <x:c r="G7794" s="20" t="n">
        <x:v>1</x:v>
      </x:c>
      <x:c r="H7794" s="12" t="str">
        <x:v>Campus/portfolio roster; individual building occupancy unverified</x:v>
      </x:c>
      <x:c r="I7794" s="12" t="str">
        <x:v>Small-scale prospects</x:v>
      </x:c>
      <x:c r="J7794" s="12" t="str">
        <x:v>IT &amp; digital</x:v>
      </x:c>
      <x:c r="K7794" s="2" t="str">
        <x:v>PARTNER-M067</x:v>
      </x:c>
    </x:row>
    <x:row r="7795" ht="46" customHeight="1">
      <x:c r="A7795" s="2" t="str">
        <x:v>TEN-DE86AC86417B</x:v>
      </x:c>
      <x:c r="B7795" s="12" t="str">
        <x:v>CrimsonLogic India Pvt. Ltd</x:v>
      </x:c>
      <x:c r="C7795" s="12" t="str">
        <x:v>CORP-0487</x:v>
      </x:c>
      <x:c r="D7795" s="12" t="str">
        <x:v>Bengaluru</x:v>
      </x:c>
      <x:c r="E7795" s="12" t="str">
        <x:v>Cessna - Embassy Tech Square</x:v>
      </x:c>
      <x:c r="F7795" s="12" t="str">
        <x:v>55 inch</x:v>
      </x:c>
      <x:c r="G7795" s="20" t="n">
        <x:v>1</x:v>
      </x:c>
      <x:c r="H7795" s="12" t="str">
        <x:v>Campus/portfolio roster; individual building occupancy unverified</x:v>
      </x:c>
      <x:c r="I7795" s="12" t="str">
        <x:v>Mixed business audience</x:v>
      </x:c>
      <x:c r="J7795" s="12" t="str">
        <x:v>IT &amp; digital</x:v>
      </x:c>
      <x:c r="K7795" s="2" t="str">
        <x:v>PARTNER-M067</x:v>
      </x:c>
    </x:row>
    <x:row r="7796" ht="46" customHeight="1">
      <x:c r="A7796" s="2" t="str">
        <x:v>TEN-E4737DBE1BA9</x:v>
      </x:c>
      <x:c r="B7796" s="12" t="str">
        <x:v>IQVIA</x:v>
      </x:c>
      <x:c r="C7796" s="12" t="str">
        <x:v>CORP-0487</x:v>
      </x:c>
      <x:c r="D7796" s="12" t="str">
        <x:v>Bengaluru</x:v>
      </x:c>
      <x:c r="E7796" s="12" t="str">
        <x:v>Cessna - Embassy Tech Square</x:v>
      </x:c>
      <x:c r="F7796" s="12" t="str">
        <x:v>55 inch</x:v>
      </x:c>
      <x:c r="G7796" s="20" t="n">
        <x:v>1</x:v>
      </x:c>
      <x:c r="H7796" s="12" t="str">
        <x:v>Campus/portfolio roster; individual building occupancy unverified</x:v>
      </x:c>
      <x:c r="I7796" s="12" t="str">
        <x:v>Mixed business audience</x:v>
      </x:c>
      <x:c r="J7796" s="12" t="str">
        <x:v>Healthcare &amp; life sciences</x:v>
      </x:c>
      <x:c r="K7796" s="2" t="str">
        <x:v>PARTNER-M067</x:v>
      </x:c>
    </x:row>
    <x:row r="7797" ht="46" customHeight="1">
      <x:c r="A7797" s="2" t="str">
        <x:v>TEN-E776A0709093</x:v>
      </x:c>
      <x:c r="B7797" s="12" t="str">
        <x:v>Glance</x:v>
      </x:c>
      <x:c r="C7797" s="12" t="str">
        <x:v>CORP-0487</x:v>
      </x:c>
      <x:c r="D7797" s="12" t="str">
        <x:v>Bengaluru</x:v>
      </x:c>
      <x:c r="E7797" s="12" t="str">
        <x:v>Cessna - Embassy Tech Square</x:v>
      </x:c>
      <x:c r="F7797" s="12" t="str">
        <x:v>55 inch</x:v>
      </x:c>
      <x:c r="G7797" s="20" t="n">
        <x:v>1</x:v>
      </x:c>
      <x:c r="H7797" s="12" t="str">
        <x:v>Campus/portfolio roster; individual building occupancy unverified</x:v>
      </x:c>
      <x:c r="I7797" s="12" t="str">
        <x:v>Mixed business audience</x:v>
      </x:c>
      <x:c r="J7797" s="12" t="str">
        <x:v>Trade, consumer &amp; logistics</x:v>
      </x:c>
      <x:c r="K7797" s="2" t="str">
        <x:v>PARTNER-M067</x:v>
      </x:c>
    </x:row>
    <x:row r="7798" ht="46" customHeight="1">
      <x:c r="A7798" s="2" t="str">
        <x:v>TEN-E9E8A907E060</x:v>
      </x:c>
      <x:c r="B7798" s="12" t="str">
        <x:v>Syniverse</x:v>
      </x:c>
      <x:c r="C7798" s="12" t="str">
        <x:v>CORP-0487</x:v>
      </x:c>
      <x:c r="D7798" s="12" t="str">
        <x:v>Bengaluru</x:v>
      </x:c>
      <x:c r="E7798" s="12" t="str">
        <x:v>Cessna - Embassy Tech Square</x:v>
      </x:c>
      <x:c r="F7798" s="12" t="str">
        <x:v>55 inch</x:v>
      </x:c>
      <x:c r="G7798" s="20" t="n">
        <x:v>1</x:v>
      </x:c>
      <x:c r="H7798" s="12" t="str">
        <x:v>Campus/portfolio roster; individual building occupancy unverified</x:v>
      </x:c>
      <x:c r="I7798" s="12" t="str">
        <x:v>Mixed business audience</x:v>
      </x:c>
      <x:c r="J7798" s="12" t="str">
        <x:v>IT &amp; digital</x:v>
      </x:c>
      <x:c r="K7798" s="2" t="str">
        <x:v>PARTNER-M067</x:v>
      </x:c>
    </x:row>
    <x:row r="7799" ht="46" customHeight="1">
      <x:c r="A7799" s="2" t="str">
        <x:v>TEN-EBC4D1888A03</x:v>
      </x:c>
      <x:c r="B7799" s="12" t="str">
        <x:v>Here Solutions India Pvt. Ltd</x:v>
      </x:c>
      <x:c r="C7799" s="12" t="str">
        <x:v>CORP-0487</x:v>
      </x:c>
      <x:c r="D7799" s="12" t="str">
        <x:v>Bengaluru</x:v>
      </x:c>
      <x:c r="E7799" s="12" t="str">
        <x:v>Cessna - Embassy Tech Square</x:v>
      </x:c>
      <x:c r="F7799" s="12" t="str">
        <x:v>55 inch</x:v>
      </x:c>
      <x:c r="G7799" s="20" t="n">
        <x:v>1</x:v>
      </x:c>
      <x:c r="H7799" s="12" t="str">
        <x:v>Campus/portfolio roster; individual building occupancy unverified</x:v>
      </x:c>
      <x:c r="I7799" s="12" t="str">
        <x:v>Mixed business audience</x:v>
      </x:c>
      <x:c r="J7799" s="12" t="str">
        <x:v>Unresolved</x:v>
      </x:c>
      <x:c r="K7799" s="2" t="str">
        <x:v>PARTNER-M067</x:v>
      </x:c>
    </x:row>
    <x:row r="7800" ht="46" customHeight="1">
      <x:c r="A7800" s="2" t="str">
        <x:v>TEN-33A6115B3EDA</x:v>
      </x:c>
      <x:c r="B7800" s="12" t="str">
        <x:v>Affirmed Networks</x:v>
      </x:c>
      <x:c r="C7800" s="12" t="str">
        <x:v>CORP-0488</x:v>
      </x:c>
      <x:c r="D7800" s="12" t="str">
        <x:v>Bengaluru</x:v>
      </x:c>
      <x:c r="E7800" s="12" t="str">
        <x:v>Roach Icon</x:v>
      </x:c>
      <x:c r="F7800" s="12" t="str">
        <x:v>55 inch</x:v>
      </x:c>
      <x:c r="G7800" s="20" t="n">
        <x:v>1</x:v>
      </x:c>
      <x:c r="H7800" s="12" t="str">
        <x:v>Campus/portfolio roster; individual building occupancy unverified</x:v>
      </x:c>
      <x:c r="I7800" s="12" t="str">
        <x:v>Mixed business audience</x:v>
      </x:c>
      <x:c r="J7800" s="12" t="str">
        <x:v>IT &amp; digital</x:v>
      </x:c>
      <x:c r="K7800" s="2" t="str">
        <x:v>PARTNER-M070</x:v>
      </x:c>
    </x:row>
    <x:row r="7801" ht="46" customHeight="1">
      <x:c r="A7801" s="2" t="str">
        <x:v>TEN-71F75C7E06F5</x:v>
      </x:c>
      <x:c r="B7801" s="12" t="str">
        <x:v>Continual Engine Pvt. Ltd</x:v>
      </x:c>
      <x:c r="C7801" s="12" t="str">
        <x:v>CORP-0488</x:v>
      </x:c>
      <x:c r="D7801" s="12" t="str">
        <x:v>Bengaluru</x:v>
      </x:c>
      <x:c r="E7801" s="12" t="str">
        <x:v>Roach Icon</x:v>
      </x:c>
      <x:c r="F7801" s="12" t="str">
        <x:v>55 inch</x:v>
      </x:c>
      <x:c r="G7801" s="20" t="n">
        <x:v>1</x:v>
      </x:c>
      <x:c r="H7801" s="12" t="str">
        <x:v>Campus/portfolio roster; individual building occupancy unverified</x:v>
      </x:c>
      <x:c r="I7801" s="12" t="str">
        <x:v>Small-scale prospects</x:v>
      </x:c>
      <x:c r="J7801" s="12" t="str">
        <x:v>IT &amp; digital</x:v>
      </x:c>
      <x:c r="K7801" s="2" t="str">
        <x:v>PARTNER-M070</x:v>
      </x:c>
    </x:row>
    <x:row r="7802" ht="46" customHeight="1">
      <x:c r="A7802" s="2" t="str">
        <x:v>TEN-8031945A9EFC</x:v>
      </x:c>
      <x:c r="B7802" s="12" t="str">
        <x:v>Qualitrix Technologies</x:v>
      </x:c>
      <x:c r="C7802" s="12" t="str">
        <x:v>CORP-0488</x:v>
      </x:c>
      <x:c r="D7802" s="12" t="str">
        <x:v>Bengaluru</x:v>
      </x:c>
      <x:c r="E7802" s="12" t="str">
        <x:v>Roach Icon</x:v>
      </x:c>
      <x:c r="F7802" s="12" t="str">
        <x:v>55 inch</x:v>
      </x:c>
      <x:c r="G7802" s="20" t="n">
        <x:v>1</x:v>
      </x:c>
      <x:c r="H7802" s="12" t="str">
        <x:v>Campus/portfolio roster; individual building occupancy unverified</x:v>
      </x:c>
      <x:c r="I7802" s="12" t="str">
        <x:v>Small-scale prospects</x:v>
      </x:c>
      <x:c r="J7802" s="12" t="str">
        <x:v>IT &amp; digital</x:v>
      </x:c>
      <x:c r="K7802" s="2" t="str">
        <x:v>PARTNER-M070</x:v>
      </x:c>
    </x:row>
    <x:row r="7803" ht="46" customHeight="1">
      <x:c r="A7803" s="2" t="str">
        <x:v>TEN-876678C243D4</x:v>
      </x:c>
      <x:c r="B7803" s="12" t="str">
        <x:v>Hcl Info system</x:v>
      </x:c>
      <x:c r="C7803" s="12" t="str">
        <x:v>CORP-0488</x:v>
      </x:c>
      <x:c r="D7803" s="12" t="str">
        <x:v>Bengaluru</x:v>
      </x:c>
      <x:c r="E7803" s="12" t="str">
        <x:v>Roach Icon</x:v>
      </x:c>
      <x:c r="F7803" s="12" t="str">
        <x:v>55 inch</x:v>
      </x:c>
      <x:c r="G7803" s="20" t="n">
        <x:v>1</x:v>
      </x:c>
      <x:c r="H7803" s="12" t="str">
        <x:v>Campus/portfolio roster; individual building occupancy unverified</x:v>
      </x:c>
      <x:c r="I7803" s="12" t="str">
        <x:v>Mixed business audience</x:v>
      </x:c>
      <x:c r="J7803" s="12" t="str">
        <x:v>IT &amp; digital</x:v>
      </x:c>
      <x:c r="K7803" s="2" t="str">
        <x:v>PARTNER-M070</x:v>
      </x:c>
    </x:row>
    <x:row r="7804" ht="46" customHeight="1">
      <x:c r="A7804" s="2" t="str">
        <x:v>TEN-B65975F044F3</x:v>
      </x:c>
      <x:c r="B7804" s="12" t="str">
        <x:v>Lenovo India Pvt Ltd</x:v>
      </x:c>
      <x:c r="C7804" s="12" t="str">
        <x:v>CORP-0488</x:v>
      </x:c>
      <x:c r="D7804" s="12" t="str">
        <x:v>Bengaluru</x:v>
      </x:c>
      <x:c r="E7804" s="12" t="str">
        <x:v>Roach Icon</x:v>
      </x:c>
      <x:c r="F7804" s="12" t="str">
        <x:v>55 inch</x:v>
      </x:c>
      <x:c r="G7804" s="20" t="n">
        <x:v>1</x:v>
      </x:c>
      <x:c r="H7804" s="12" t="str">
        <x:v>Campus/portfolio roster; individual building occupancy unverified</x:v>
      </x:c>
      <x:c r="I7804" s="12" t="str">
        <x:v>Mixed business audience</x:v>
      </x:c>
      <x:c r="J7804" s="12" t="str">
        <x:v>Engineering &amp; manufacturing</x:v>
      </x:c>
      <x:c r="K7804" s="2" t="str">
        <x:v>PARTNER-M070</x:v>
      </x:c>
    </x:row>
    <x:row r="7805" ht="46" customHeight="1">
      <x:c r="A7805" s="2" t="str">
        <x:v>TEN-EF60DF2E884D</x:v>
      </x:c>
      <x:c r="B7805" s="12" t="str">
        <x:v>Aspire Systems</x:v>
      </x:c>
      <x:c r="C7805" s="12" t="str">
        <x:v>CORP-0488</x:v>
      </x:c>
      <x:c r="D7805" s="12" t="str">
        <x:v>Bengaluru</x:v>
      </x:c>
      <x:c r="E7805" s="12" t="str">
        <x:v>Roach Icon</x:v>
      </x:c>
      <x:c r="F7805" s="12" t="str">
        <x:v>55 inch</x:v>
      </x:c>
      <x:c r="G7805" s="20" t="n">
        <x:v>1</x:v>
      </x:c>
      <x:c r="H7805" s="12" t="str">
        <x:v>Campus/portfolio roster; individual building occupancy unverified</x:v>
      </x:c>
      <x:c r="I7805" s="12" t="str">
        <x:v>Mixed business audience</x:v>
      </x:c>
      <x:c r="J7805" s="12" t="str">
        <x:v>IT &amp; digital</x:v>
      </x:c>
      <x:c r="K7805" s="2" t="str">
        <x:v>PARTNER-M070</x:v>
      </x:c>
    </x:row>
    <x:row r="7806" ht="46" customHeight="1">
      <x:c r="A7806" s="2" t="str">
        <x:v>TEN-33A6115B3EDA</x:v>
      </x:c>
      <x:c r="B7806" s="12" t="str">
        <x:v>Affirmed Networks</x:v>
      </x:c>
      <x:c r="C7806" s="12" t="str">
        <x:v>CORP-0489</x:v>
      </x:c>
      <x:c r="D7806" s="12" t="str">
        <x:v>Bengaluru</x:v>
      </x:c>
      <x:c r="E7806" s="12" t="str">
        <x:v>Roach Icon</x:v>
      </x:c>
      <x:c r="F7806" s="12" t="str">
        <x:v>55 inch</x:v>
      </x:c>
      <x:c r="G7806" s="20" t="n">
        <x:v>1</x:v>
      </x:c>
      <x:c r="H7806" s="12" t="str">
        <x:v>Campus/portfolio roster; individual building occupancy unverified</x:v>
      </x:c>
      <x:c r="I7806" s="12" t="str">
        <x:v>Mixed business audience</x:v>
      </x:c>
      <x:c r="J7806" s="12" t="str">
        <x:v>IT &amp; digital</x:v>
      </x:c>
      <x:c r="K7806" s="2" t="str">
        <x:v>PARTNER-M070</x:v>
      </x:c>
    </x:row>
    <x:row r="7807" ht="46" customHeight="1">
      <x:c r="A7807" s="2" t="str">
        <x:v>TEN-71F75C7E06F5</x:v>
      </x:c>
      <x:c r="B7807" s="12" t="str">
        <x:v>Continual Engine Pvt. Ltd</x:v>
      </x:c>
      <x:c r="C7807" s="12" t="str">
        <x:v>CORP-0489</x:v>
      </x:c>
      <x:c r="D7807" s="12" t="str">
        <x:v>Bengaluru</x:v>
      </x:c>
      <x:c r="E7807" s="12" t="str">
        <x:v>Roach Icon</x:v>
      </x:c>
      <x:c r="F7807" s="12" t="str">
        <x:v>55 inch</x:v>
      </x:c>
      <x:c r="G7807" s="20" t="n">
        <x:v>1</x:v>
      </x:c>
      <x:c r="H7807" s="12" t="str">
        <x:v>Campus/portfolio roster; individual building occupancy unverified</x:v>
      </x:c>
      <x:c r="I7807" s="12" t="str">
        <x:v>Small-scale prospects</x:v>
      </x:c>
      <x:c r="J7807" s="12" t="str">
        <x:v>IT &amp; digital</x:v>
      </x:c>
      <x:c r="K7807" s="2" t="str">
        <x:v>PARTNER-M070</x:v>
      </x:c>
    </x:row>
    <x:row r="7808" ht="46" customHeight="1">
      <x:c r="A7808" s="2" t="str">
        <x:v>TEN-8031945A9EFC</x:v>
      </x:c>
      <x:c r="B7808" s="12" t="str">
        <x:v>Qualitrix Technologies</x:v>
      </x:c>
      <x:c r="C7808" s="12" t="str">
        <x:v>CORP-0489</x:v>
      </x:c>
      <x:c r="D7808" s="12" t="str">
        <x:v>Bengaluru</x:v>
      </x:c>
      <x:c r="E7808" s="12" t="str">
        <x:v>Roach Icon</x:v>
      </x:c>
      <x:c r="F7808" s="12" t="str">
        <x:v>55 inch</x:v>
      </x:c>
      <x:c r="G7808" s="20" t="n">
        <x:v>1</x:v>
      </x:c>
      <x:c r="H7808" s="12" t="str">
        <x:v>Campus/portfolio roster; individual building occupancy unverified</x:v>
      </x:c>
      <x:c r="I7808" s="12" t="str">
        <x:v>Small-scale prospects</x:v>
      </x:c>
      <x:c r="J7808" s="12" t="str">
        <x:v>IT &amp; digital</x:v>
      </x:c>
      <x:c r="K7808" s="2" t="str">
        <x:v>PARTNER-M070</x:v>
      </x:c>
    </x:row>
    <x:row r="7809" ht="46" customHeight="1">
      <x:c r="A7809" s="2" t="str">
        <x:v>TEN-876678C243D4</x:v>
      </x:c>
      <x:c r="B7809" s="12" t="str">
        <x:v>Hcl Info system</x:v>
      </x:c>
      <x:c r="C7809" s="12" t="str">
        <x:v>CORP-0489</x:v>
      </x:c>
      <x:c r="D7809" s="12" t="str">
        <x:v>Bengaluru</x:v>
      </x:c>
      <x:c r="E7809" s="12" t="str">
        <x:v>Roach Icon</x:v>
      </x:c>
      <x:c r="F7809" s="12" t="str">
        <x:v>55 inch</x:v>
      </x:c>
      <x:c r="G7809" s="20" t="n">
        <x:v>1</x:v>
      </x:c>
      <x:c r="H7809" s="12" t="str">
        <x:v>Campus/portfolio roster; individual building occupancy unverified</x:v>
      </x:c>
      <x:c r="I7809" s="12" t="str">
        <x:v>Mixed business audience</x:v>
      </x:c>
      <x:c r="J7809" s="12" t="str">
        <x:v>IT &amp; digital</x:v>
      </x:c>
      <x:c r="K7809" s="2" t="str">
        <x:v>PARTNER-M070</x:v>
      </x:c>
    </x:row>
    <x:row r="7810" ht="46" customHeight="1">
      <x:c r="A7810" s="2" t="str">
        <x:v>TEN-B65975F044F3</x:v>
      </x:c>
      <x:c r="B7810" s="12" t="str">
        <x:v>Lenovo India Pvt Ltd</x:v>
      </x:c>
      <x:c r="C7810" s="12" t="str">
        <x:v>CORP-0489</x:v>
      </x:c>
      <x:c r="D7810" s="12" t="str">
        <x:v>Bengaluru</x:v>
      </x:c>
      <x:c r="E7810" s="12" t="str">
        <x:v>Roach Icon</x:v>
      </x:c>
      <x:c r="F7810" s="12" t="str">
        <x:v>55 inch</x:v>
      </x:c>
      <x:c r="G7810" s="20" t="n">
        <x:v>1</x:v>
      </x:c>
      <x:c r="H7810" s="12" t="str">
        <x:v>Campus/portfolio roster; individual building occupancy unverified</x:v>
      </x:c>
      <x:c r="I7810" s="12" t="str">
        <x:v>Mixed business audience</x:v>
      </x:c>
      <x:c r="J7810" s="12" t="str">
        <x:v>Engineering &amp; manufacturing</x:v>
      </x:c>
      <x:c r="K7810" s="2" t="str">
        <x:v>PARTNER-M070</x:v>
      </x:c>
    </x:row>
    <x:row r="7811" ht="46" customHeight="1">
      <x:c r="A7811" s="2" t="str">
        <x:v>TEN-EF60DF2E884D</x:v>
      </x:c>
      <x:c r="B7811" s="12" t="str">
        <x:v>Aspire Systems</x:v>
      </x:c>
      <x:c r="C7811" s="12" t="str">
        <x:v>CORP-0489</x:v>
      </x:c>
      <x:c r="D7811" s="12" t="str">
        <x:v>Bengaluru</x:v>
      </x:c>
      <x:c r="E7811" s="12" t="str">
        <x:v>Roach Icon</x:v>
      </x:c>
      <x:c r="F7811" s="12" t="str">
        <x:v>55 inch</x:v>
      </x:c>
      <x:c r="G7811" s="20" t="n">
        <x:v>1</x:v>
      </x:c>
      <x:c r="H7811" s="12" t="str">
        <x:v>Campus/portfolio roster; individual building occupancy unverified</x:v>
      </x:c>
      <x:c r="I7811" s="12" t="str">
        <x:v>Mixed business audience</x:v>
      </x:c>
      <x:c r="J7811" s="12" t="str">
        <x:v>IT &amp; digital</x:v>
      </x:c>
      <x:c r="K7811" s="2" t="str">
        <x:v>PARTNER-M070</x:v>
      </x:c>
    </x:row>
    <x:row r="7812" ht="46" customHeight="1">
      <x:c r="A7812" s="2" t="str">
        <x:v>TEN-04D3AC99C721</x:v>
      </x:c>
      <x:c r="B7812" s="12" t="str">
        <x:v>Noodle Analytics</x:v>
      </x:c>
      <x:c r="C7812" s="12" t="str">
        <x:v>CORP-0490</x:v>
      </x:c>
      <x:c r="D7812" s="12" t="str">
        <x:v>Bengaluru</x:v>
      </x:c>
      <x:c r="E7812" s="12" t="str">
        <x:v>Umiya Business Bay</x:v>
      </x:c>
      <x:c r="F7812" s="12" t="str">
        <x:v>55 inch</x:v>
      </x:c>
      <x:c r="G7812" s="20" t="n">
        <x:v>1</x:v>
      </x:c>
      <x:c r="H7812" s="12" t="str">
        <x:v>Campus/portfolio roster; individual building occupancy unverified</x:v>
      </x:c>
      <x:c r="I7812" s="12" t="str">
        <x:v>Small-scale prospects</x:v>
      </x:c>
      <x:c r="J7812" s="12" t="str">
        <x:v>IT &amp; digital</x:v>
      </x:c>
      <x:c r="K7812" s="2" t="str">
        <x:v>PARTNER-M072</x:v>
      </x:c>
    </x:row>
    <x:row r="7813" ht="46" customHeight="1">
      <x:c r="A7813" s="2" t="str">
        <x:v>TEN-1129162334DD</x:v>
      </x:c>
      <x:c r="B7813" s="12" t="str">
        <x:v>Servion Global Solutions</x:v>
      </x:c>
      <x:c r="C7813" s="12" t="str">
        <x:v>CORP-0490</x:v>
      </x:c>
      <x:c r="D7813" s="12" t="str">
        <x:v>Bengaluru</x:v>
      </x:c>
      <x:c r="E7813" s="12" t="str">
        <x:v>Umiya Business Bay</x:v>
      </x:c>
      <x:c r="F7813" s="12" t="str">
        <x:v>55 inch</x:v>
      </x:c>
      <x:c r="G7813" s="20" t="n">
        <x:v>1</x:v>
      </x:c>
      <x:c r="H7813" s="12" t="str">
        <x:v>Campus/portfolio roster; individual building occupancy unverified</x:v>
      </x:c>
      <x:c r="I7813" s="12" t="str">
        <x:v>Mixed business audience</x:v>
      </x:c>
      <x:c r="J7813" s="12" t="str">
        <x:v>IT &amp; digital</x:v>
      </x:c>
      <x:c r="K7813" s="2" t="str">
        <x:v>PARTNER-M072</x:v>
      </x:c>
    </x:row>
    <x:row r="7814" ht="46" customHeight="1">
      <x:c r="A7814" s="2" t="str">
        <x:v>TEN-13EBE574DFA2</x:v>
      </x:c>
      <x:c r="B7814" s="12" t="str">
        <x:v>Smartworks Business Centre</x:v>
      </x:c>
      <x:c r="C7814" s="12" t="str">
        <x:v>CORP-0490</x:v>
      </x:c>
      <x:c r="D7814" s="12" t="str">
        <x:v>Bengaluru</x:v>
      </x:c>
      <x:c r="E7814" s="12" t="str">
        <x:v>Umiya Business Bay</x:v>
      </x:c>
      <x:c r="F7814" s="12" t="str">
        <x:v>55 inch</x:v>
      </x:c>
      <x:c r="G7814" s="20" t="n">
        <x:v>1</x:v>
      </x:c>
      <x:c r="H7814" s="12" t="str">
        <x:v>Campus/portfolio roster; individual building occupancy unverified</x:v>
      </x:c>
      <x:c r="I7814" s="12" t="str">
        <x:v>Mixed business audience</x:v>
      </x:c>
      <x:c r="J7814" s="12" t="str">
        <x:v>Workspace &amp; property operations</x:v>
      </x:c>
      <x:c r="K7814" s="2" t="str">
        <x:v>PARTNER-M072</x:v>
      </x:c>
    </x:row>
    <x:row r="7815" ht="46" customHeight="1">
      <x:c r="A7815" s="2" t="str">
        <x:v>TEN-18E894A0A28F</x:v>
      </x:c>
      <x:c r="B7815" s="12" t="str">
        <x:v>Yazaki India</x:v>
      </x:c>
      <x:c r="C7815" s="12" t="str">
        <x:v>CORP-0490</x:v>
      </x:c>
      <x:c r="D7815" s="12" t="str">
        <x:v>Bengaluru</x:v>
      </x:c>
      <x:c r="E7815" s="12" t="str">
        <x:v>Umiya Business Bay</x:v>
      </x:c>
      <x:c r="F7815" s="12" t="str">
        <x:v>55 inch</x:v>
      </x:c>
      <x:c r="G7815" s="20" t="n">
        <x:v>1</x:v>
      </x:c>
      <x:c r="H7815" s="12" t="str">
        <x:v>Campus/portfolio roster; individual building occupancy unverified</x:v>
      </x:c>
      <x:c r="I7815" s="12" t="str">
        <x:v>Mixed business audience</x:v>
      </x:c>
      <x:c r="J7815" s="12" t="str">
        <x:v>Engineering &amp; manufacturing</x:v>
      </x:c>
      <x:c r="K7815" s="2" t="str">
        <x:v>PARTNER-M072</x:v>
      </x:c>
    </x:row>
    <x:row r="7816" ht="46" customHeight="1">
      <x:c r="A7816" s="2" t="str">
        <x:v>TEN-1D3CF023C580</x:v>
      </x:c>
      <x:c r="B7816" s="12" t="str">
        <x:v>Vlocity Cloud Applications</x:v>
      </x:c>
      <x:c r="C7816" s="12" t="str">
        <x:v>CORP-0490</x:v>
      </x:c>
      <x:c r="D7816" s="12" t="str">
        <x:v>Bengaluru</x:v>
      </x:c>
      <x:c r="E7816" s="12" t="str">
        <x:v>Umiya Business Bay</x:v>
      </x:c>
      <x:c r="F7816" s="12" t="str">
        <x:v>55 inch</x:v>
      </x:c>
      <x:c r="G7816" s="20" t="n">
        <x:v>1</x:v>
      </x:c>
      <x:c r="H7816" s="12" t="str">
        <x:v>Campus/portfolio roster; individual building occupancy unverified</x:v>
      </x:c>
      <x:c r="I7816" s="12" t="str">
        <x:v>Mixed business audience</x:v>
      </x:c>
      <x:c r="J7816" s="12" t="str">
        <x:v>IT &amp; digital</x:v>
      </x:c>
      <x:c r="K7816" s="2" t="str">
        <x:v>PARTNER-M072</x:v>
      </x:c>
    </x:row>
    <x:row r="7817" ht="46" customHeight="1">
      <x:c r="A7817" s="2" t="str">
        <x:v>TEN-1E09F269372F</x:v>
      </x:c>
      <x:c r="B7817" s="12" t="str">
        <x:v>Yokogawa IA Technologies</x:v>
      </x:c>
      <x:c r="C7817" s="12" t="str">
        <x:v>CORP-0490</x:v>
      </x:c>
      <x:c r="D7817" s="12" t="str">
        <x:v>Bengaluru</x:v>
      </x:c>
      <x:c r="E7817" s="12" t="str">
        <x:v>Umiya Business Bay</x:v>
      </x:c>
      <x:c r="F7817" s="12" t="str">
        <x:v>55 inch</x:v>
      </x:c>
      <x:c r="G7817" s="20" t="n">
        <x:v>1</x:v>
      </x:c>
      <x:c r="H7817" s="12" t="str">
        <x:v>Campus/portfolio roster; individual building occupancy unverified</x:v>
      </x:c>
      <x:c r="I7817" s="12" t="str">
        <x:v>Mixed business audience</x:v>
      </x:c>
      <x:c r="J7817" s="12" t="str">
        <x:v>Engineering &amp; manufacturing</x:v>
      </x:c>
      <x:c r="K7817" s="2" t="str">
        <x:v>PARTNER-M072</x:v>
      </x:c>
    </x:row>
    <x:row r="7818" ht="46" customHeight="1">
      <x:c r="A7818" s="2" t="str">
        <x:v>TEN-2074EEA1A383</x:v>
      </x:c>
      <x:c r="B7818" s="12" t="str">
        <x:v>Page Industries</x:v>
      </x:c>
      <x:c r="C7818" s="12" t="str">
        <x:v>CORP-0490</x:v>
      </x:c>
      <x:c r="D7818" s="12" t="str">
        <x:v>Bengaluru</x:v>
      </x:c>
      <x:c r="E7818" s="12" t="str">
        <x:v>Umiya Business Bay</x:v>
      </x:c>
      <x:c r="F7818" s="12" t="str">
        <x:v>55 inch</x:v>
      </x:c>
      <x:c r="G7818" s="20" t="n">
        <x:v>1</x:v>
      </x:c>
      <x:c r="H7818" s="12" t="str">
        <x:v>Campus/portfolio roster; individual building occupancy unverified</x:v>
      </x:c>
      <x:c r="I7818" s="12" t="str">
        <x:v>Mixed business audience</x:v>
      </x:c>
      <x:c r="J7818" s="12" t="str">
        <x:v>Trade, consumer &amp; logistics</x:v>
      </x:c>
      <x:c r="K7818" s="2" t="str">
        <x:v>PARTNER-M072</x:v>
      </x:c>
    </x:row>
    <x:row r="7819" ht="46" customHeight="1">
      <x:c r="A7819" s="2" t="str">
        <x:v>TEN-2B3CCB1CD4C0</x:v>
      </x:c>
      <x:c r="B7819" s="12" t="str">
        <x:v>Simeio Development Centre</x:v>
      </x:c>
      <x:c r="C7819" s="12" t="str">
        <x:v>CORP-0490</x:v>
      </x:c>
      <x:c r="D7819" s="12" t="str">
        <x:v>Bengaluru</x:v>
      </x:c>
      <x:c r="E7819" s="12" t="str">
        <x:v>Umiya Business Bay</x:v>
      </x:c>
      <x:c r="F7819" s="12" t="str">
        <x:v>55 inch</x:v>
      </x:c>
      <x:c r="G7819" s="20" t="n">
        <x:v>1</x:v>
      </x:c>
      <x:c r="H7819" s="12" t="str">
        <x:v>Campus/portfolio roster; individual building occupancy unverified</x:v>
      </x:c>
      <x:c r="I7819" s="12" t="str">
        <x:v>Small-scale prospects</x:v>
      </x:c>
      <x:c r="J7819" s="12" t="str">
        <x:v>IT &amp; digital</x:v>
      </x:c>
      <x:c r="K7819" s="2" t="str">
        <x:v>PARTNER-M072</x:v>
      </x:c>
    </x:row>
    <x:row r="7820" ht="46" customHeight="1">
      <x:c r="A7820" s="2" t="str">
        <x:v>TEN-33E655A82EEA</x:v>
      </x:c>
      <x:c r="B7820" s="12" t="str">
        <x:v>T-Systems ICT</x:v>
      </x:c>
      <x:c r="C7820" s="12" t="str">
        <x:v>CORP-0490</x:v>
      </x:c>
      <x:c r="D7820" s="12" t="str">
        <x:v>Bengaluru</x:v>
      </x:c>
      <x:c r="E7820" s="12" t="str">
        <x:v>Umiya Business Bay</x:v>
      </x:c>
      <x:c r="F7820" s="12" t="str">
        <x:v>55 inch</x:v>
      </x:c>
      <x:c r="G7820" s="20" t="n">
        <x:v>1</x:v>
      </x:c>
      <x:c r="H7820" s="12" t="str">
        <x:v>Campus/portfolio roster; individual building occupancy unverified</x:v>
      </x:c>
      <x:c r="I7820" s="12" t="str">
        <x:v>Large enterprise</x:v>
      </x:c>
      <x:c r="J7820" s="12" t="str">
        <x:v>IT &amp; digital</x:v>
      </x:c>
      <x:c r="K7820" s="2" t="str">
        <x:v>PARTNER-M072</x:v>
      </x:c>
    </x:row>
    <x:row r="7821" ht="46" customHeight="1">
      <x:c r="A7821" s="2" t="str">
        <x:v>TEN-345FC99B9620</x:v>
      </x:c>
      <x:c r="B7821" s="12" t="str">
        <x:v>Spirent Communications</x:v>
      </x:c>
      <x:c r="C7821" s="12" t="str">
        <x:v>CORP-0490</x:v>
      </x:c>
      <x:c r="D7821" s="12" t="str">
        <x:v>Bengaluru</x:v>
      </x:c>
      <x:c r="E7821" s="12" t="str">
        <x:v>Umiya Business Bay</x:v>
      </x:c>
      <x:c r="F7821" s="12" t="str">
        <x:v>55 inch</x:v>
      </x:c>
      <x:c r="G7821" s="20" t="n">
        <x:v>1</x:v>
      </x:c>
      <x:c r="H7821" s="12" t="str">
        <x:v>Campus/portfolio roster; individual building occupancy unverified</x:v>
      </x:c>
      <x:c r="I7821" s="12" t="str">
        <x:v>Mixed business audience</x:v>
      </x:c>
      <x:c r="J7821" s="12" t="str">
        <x:v>IT &amp; digital</x:v>
      </x:c>
      <x:c r="K7821" s="2" t="str">
        <x:v>PARTNER-M072</x:v>
      </x:c>
    </x:row>
    <x:row r="7822" ht="46" customHeight="1">
      <x:c r="A7822" s="2" t="str">
        <x:v>TEN-3546C13C4818</x:v>
      </x:c>
      <x:c r="B7822" s="12" t="str">
        <x:v>Sonus Networks</x:v>
      </x:c>
      <x:c r="C7822" s="12" t="str">
        <x:v>CORP-0490</x:v>
      </x:c>
      <x:c r="D7822" s="12" t="str">
        <x:v>Bengaluru</x:v>
      </x:c>
      <x:c r="E7822" s="12" t="str">
        <x:v>Umiya Business Bay</x:v>
      </x:c>
      <x:c r="F7822" s="12" t="str">
        <x:v>55 inch</x:v>
      </x:c>
      <x:c r="G7822" s="20" t="n">
        <x:v>1</x:v>
      </x:c>
      <x:c r="H7822" s="12" t="str">
        <x:v>Campus/portfolio roster; individual building occupancy unverified</x:v>
      </x:c>
      <x:c r="I7822" s="12" t="str">
        <x:v>Mixed business audience</x:v>
      </x:c>
      <x:c r="J7822" s="12" t="str">
        <x:v>IT &amp; digital</x:v>
      </x:c>
      <x:c r="K7822" s="2" t="str">
        <x:v>PARTNER-M072</x:v>
      </x:c>
    </x:row>
    <x:row r="7823" ht="46" customHeight="1">
      <x:c r="A7823" s="2" t="str">
        <x:v>TEN-394B4E545B9B</x:v>
      </x:c>
      <x:c r="B7823" s="12" t="str">
        <x:v>Fidelity National Financial</x:v>
      </x:c>
      <x:c r="C7823" s="12" t="str">
        <x:v>CORP-0490</x:v>
      </x:c>
      <x:c r="D7823" s="12" t="str">
        <x:v>Bengaluru</x:v>
      </x:c>
      <x:c r="E7823" s="12" t="str">
        <x:v>Umiya Business Bay</x:v>
      </x:c>
      <x:c r="F7823" s="12" t="str">
        <x:v>55 inch</x:v>
      </x:c>
      <x:c r="G7823" s="20" t="n">
        <x:v>1</x:v>
      </x:c>
      <x:c r="H7823" s="12" t="str">
        <x:v>Campus/portfolio roster; individual building occupancy unverified</x:v>
      </x:c>
      <x:c r="I7823" s="12" t="str">
        <x:v>Mixed business audience</x:v>
      </x:c>
      <x:c r="J7823" s="12" t="str">
        <x:v>Finance &amp; insurance</x:v>
      </x:c>
      <x:c r="K7823" s="2" t="str">
        <x:v>PARTNER-M072</x:v>
      </x:c>
    </x:row>
    <x:row r="7824" ht="46" customHeight="1">
      <x:c r="A7824" s="2" t="str">
        <x:v>TEN-434AF73F01EE</x:v>
      </x:c>
      <x:c r="B7824" s="12" t="str">
        <x:v>Accolite Software</x:v>
      </x:c>
      <x:c r="C7824" s="12" t="str">
        <x:v>CORP-0490</x:v>
      </x:c>
      <x:c r="D7824" s="12" t="str">
        <x:v>Bengaluru</x:v>
      </x:c>
      <x:c r="E7824" s="12" t="str">
        <x:v>Umiya Business Bay</x:v>
      </x:c>
      <x:c r="F7824" s="12" t="str">
        <x:v>55 inch</x:v>
      </x:c>
      <x:c r="G7824" s="20" t="n">
        <x:v>1</x:v>
      </x:c>
      <x:c r="H7824" s="12" t="str">
        <x:v>Campus/portfolio roster; individual building occupancy unverified</x:v>
      </x:c>
      <x:c r="I7824" s="12" t="str">
        <x:v>Mixed business audience</x:v>
      </x:c>
      <x:c r="J7824" s="12" t="str">
        <x:v>IT &amp; digital</x:v>
      </x:c>
      <x:c r="K7824" s="2" t="str">
        <x:v>PARTNER-M072</x:v>
      </x:c>
    </x:row>
    <x:row r="7825" ht="46" customHeight="1">
      <x:c r="A7825" s="2" t="str">
        <x:v>TEN-534169F77A0F</x:v>
      </x:c>
      <x:c r="B7825" s="12" t="str">
        <x:v>iKeva Business Centre</x:v>
      </x:c>
      <x:c r="C7825" s="12" t="str">
        <x:v>CORP-0490</x:v>
      </x:c>
      <x:c r="D7825" s="12" t="str">
        <x:v>Bengaluru</x:v>
      </x:c>
      <x:c r="E7825" s="12" t="str">
        <x:v>Umiya Business Bay</x:v>
      </x:c>
      <x:c r="F7825" s="12" t="str">
        <x:v>55 inch</x:v>
      </x:c>
      <x:c r="G7825" s="20" t="n">
        <x:v>1</x:v>
      </x:c>
      <x:c r="H7825" s="12" t="str">
        <x:v>Campus/portfolio roster; individual building occupancy unverified</x:v>
      </x:c>
      <x:c r="I7825" s="12" t="str">
        <x:v>Mixed business audience</x:v>
      </x:c>
      <x:c r="J7825" s="12" t="str">
        <x:v>Workspace &amp; property operations</x:v>
      </x:c>
      <x:c r="K7825" s="2" t="str">
        <x:v>PARTNER-M072</x:v>
      </x:c>
    </x:row>
    <x:row r="7826" ht="46" customHeight="1">
      <x:c r="A7826" s="2" t="str">
        <x:v>TEN-71A678C907B2</x:v>
      </x:c>
      <x:c r="B7826" s="12" t="str">
        <x:v>Xactly Technologies</x:v>
      </x:c>
      <x:c r="C7826" s="12" t="str">
        <x:v>CORP-0490</x:v>
      </x:c>
      <x:c r="D7826" s="12" t="str">
        <x:v>Bengaluru</x:v>
      </x:c>
      <x:c r="E7826" s="12" t="str">
        <x:v>Umiya Business Bay</x:v>
      </x:c>
      <x:c r="F7826" s="12" t="str">
        <x:v>55 inch</x:v>
      </x:c>
      <x:c r="G7826" s="20" t="n">
        <x:v>1</x:v>
      </x:c>
      <x:c r="H7826" s="12" t="str">
        <x:v>Campus/portfolio roster; individual building occupancy unverified</x:v>
      </x:c>
      <x:c r="I7826" s="12" t="str">
        <x:v>Mixed business audience</x:v>
      </x:c>
      <x:c r="J7826" s="12" t="str">
        <x:v>IT &amp; digital</x:v>
      </x:c>
      <x:c r="K7826" s="2" t="str">
        <x:v>PARTNER-M072</x:v>
      </x:c>
    </x:row>
    <x:row r="7827" ht="46" customHeight="1">
      <x:c r="A7827" s="2" t="str">
        <x:v>TEN-7C1C2E1FDB67</x:v>
      </x:c>
      <x:c r="B7827" s="12" t="str">
        <x:v>AT&amp;T Communication Services</x:v>
      </x:c>
      <x:c r="C7827" s="12" t="str">
        <x:v>CORP-0490</x:v>
      </x:c>
      <x:c r="D7827" s="12" t="str">
        <x:v>Bengaluru</x:v>
      </x:c>
      <x:c r="E7827" s="12" t="str">
        <x:v>Umiya Business Bay</x:v>
      </x:c>
      <x:c r="F7827" s="12" t="str">
        <x:v>55 inch</x:v>
      </x:c>
      <x:c r="G7827" s="20" t="n">
        <x:v>1</x:v>
      </x:c>
      <x:c r="H7827" s="12" t="str">
        <x:v>Campus/portfolio roster; individual building occupancy unverified</x:v>
      </x:c>
      <x:c r="I7827" s="12" t="str">
        <x:v>Mixed business audience</x:v>
      </x:c>
      <x:c r="J7827" s="12" t="str">
        <x:v>IT &amp; digital</x:v>
      </x:c>
      <x:c r="K7827" s="2" t="str">
        <x:v>PARTNER-M072</x:v>
      </x:c>
    </x:row>
    <x:row r="7828" ht="46" customHeight="1">
      <x:c r="A7828" s="2" t="str">
        <x:v>TEN-845733A0CA33</x:v>
      </x:c>
      <x:c r="B7828" s="12" t="str">
        <x:v>T-Systems</x:v>
      </x:c>
      <x:c r="C7828" s="12" t="str">
        <x:v>CORP-0490</x:v>
      </x:c>
      <x:c r="D7828" s="12" t="str">
        <x:v>Bengaluru</x:v>
      </x:c>
      <x:c r="E7828" s="12" t="str">
        <x:v>Umiya Business Bay</x:v>
      </x:c>
      <x:c r="F7828" s="12" t="str">
        <x:v>55 inch</x:v>
      </x:c>
      <x:c r="G7828" s="20" t="n">
        <x:v>1</x:v>
      </x:c>
      <x:c r="H7828" s="12" t="str">
        <x:v>Campus/portfolio roster; individual building occupancy unverified</x:v>
      </x:c>
      <x:c r="I7828" s="12" t="str">
        <x:v>Large enterprise</x:v>
      </x:c>
      <x:c r="J7828" s="12" t="str">
        <x:v>IT &amp; digital</x:v>
      </x:c>
      <x:c r="K7828" s="2" t="str">
        <x:v>PARTNER-M072</x:v>
      </x:c>
    </x:row>
    <x:row r="7829" ht="46" customHeight="1">
      <x:c r="A7829" s="2" t="str">
        <x:v>TEN-97B1AE253744</x:v>
      </x:c>
      <x:c r="B7829" s="12" t="str">
        <x:v>FNF India</x:v>
      </x:c>
      <x:c r="C7829" s="12" t="str">
        <x:v>CORP-0490</x:v>
      </x:c>
      <x:c r="D7829" s="12" t="str">
        <x:v>Bengaluru</x:v>
      </x:c>
      <x:c r="E7829" s="12" t="str">
        <x:v>Umiya Business Bay</x:v>
      </x:c>
      <x:c r="F7829" s="12" t="str">
        <x:v>55 inch</x:v>
      </x:c>
      <x:c r="G7829" s="20" t="n">
        <x:v>1</x:v>
      </x:c>
      <x:c r="H7829" s="12" t="str">
        <x:v>Campus/portfolio roster; individual building occupancy unverified</x:v>
      </x:c>
      <x:c r="I7829" s="12" t="str">
        <x:v>Mixed business audience</x:v>
      </x:c>
      <x:c r="J7829" s="12" t="str">
        <x:v>Finance &amp; insurance</x:v>
      </x:c>
      <x:c r="K7829" s="2" t="str">
        <x:v>PARTNER-M072</x:v>
      </x:c>
    </x:row>
    <x:row r="7830" ht="46" customHeight="1">
      <x:c r="A7830" s="2" t="str">
        <x:v>TEN-9FB259296B34</x:v>
      </x:c>
      <x:c r="B7830" s="12" t="str">
        <x:v>Bridgei2i Analytics Solutions</x:v>
      </x:c>
      <x:c r="C7830" s="12" t="str">
        <x:v>CORP-0490</x:v>
      </x:c>
      <x:c r="D7830" s="12" t="str">
        <x:v>Bengaluru</x:v>
      </x:c>
      <x:c r="E7830" s="12" t="str">
        <x:v>Umiya Business Bay</x:v>
      </x:c>
      <x:c r="F7830" s="12" t="str">
        <x:v>55 inch</x:v>
      </x:c>
      <x:c r="G7830" s="20" t="n">
        <x:v>1</x:v>
      </x:c>
      <x:c r="H7830" s="12" t="str">
        <x:v>Campus/portfolio roster; individual building occupancy unverified</x:v>
      </x:c>
      <x:c r="I7830" s="12" t="str">
        <x:v>Mixed business audience</x:v>
      </x:c>
      <x:c r="J7830" s="12" t="str">
        <x:v>IT &amp; digital</x:v>
      </x:c>
      <x:c r="K7830" s="2" t="str">
        <x:v>PARTNER-M072</x:v>
      </x:c>
    </x:row>
    <x:row r="7831" ht="46" customHeight="1">
      <x:c r="A7831" s="2" t="str">
        <x:v>TEN-DEFF9DF9AA15</x:v>
      </x:c>
      <x:c r="B7831" s="12" t="str">
        <x:v>Tieto Software</x:v>
      </x:c>
      <x:c r="C7831" s="12" t="str">
        <x:v>CORP-0490</x:v>
      </x:c>
      <x:c r="D7831" s="12" t="str">
        <x:v>Bengaluru</x:v>
      </x:c>
      <x:c r="E7831" s="12" t="str">
        <x:v>Umiya Business Bay</x:v>
      </x:c>
      <x:c r="F7831" s="12" t="str">
        <x:v>55 inch</x:v>
      </x:c>
      <x:c r="G7831" s="20" t="n">
        <x:v>1</x:v>
      </x:c>
      <x:c r="H7831" s="12" t="str">
        <x:v>Campus/portfolio roster; individual building occupancy unverified</x:v>
      </x:c>
      <x:c r="I7831" s="12" t="str">
        <x:v>Mixed business audience</x:v>
      </x:c>
      <x:c r="J7831" s="12" t="str">
        <x:v>IT &amp; digital</x:v>
      </x:c>
      <x:c r="K7831" s="2" t="str">
        <x:v>PARTNER-M072</x:v>
      </x:c>
    </x:row>
    <x:row r="7832" ht="46" customHeight="1">
      <x:c r="A7832" s="2" t="str">
        <x:v>TEN-F0E21574F5BD</x:v>
      </x:c>
      <x:c r="B7832" s="12" t="str">
        <x:v>Cambium Networks</x:v>
      </x:c>
      <x:c r="C7832" s="12" t="str">
        <x:v>CORP-0490</x:v>
      </x:c>
      <x:c r="D7832" s="12" t="str">
        <x:v>Bengaluru</x:v>
      </x:c>
      <x:c r="E7832" s="12" t="str">
        <x:v>Umiya Business Bay</x:v>
      </x:c>
      <x:c r="F7832" s="12" t="str">
        <x:v>55 inch</x:v>
      </x:c>
      <x:c r="G7832" s="20" t="n">
        <x:v>1</x:v>
      </x:c>
      <x:c r="H7832" s="12" t="str">
        <x:v>Campus/portfolio roster; individual building occupancy unverified</x:v>
      </x:c>
      <x:c r="I7832" s="12" t="str">
        <x:v>Mixed business audience</x:v>
      </x:c>
      <x:c r="J7832" s="12" t="str">
        <x:v>IT &amp; digital</x:v>
      </x:c>
      <x:c r="K7832" s="2" t="str">
        <x:v>PARTNER-M072</x:v>
      </x:c>
    </x:row>
    <x:row r="7833" ht="46" customHeight="1">
      <x:c r="A7833" s="2" t="str">
        <x:v>TEN-FFF9B8935849</x:v>
      </x:c>
      <x:c r="B7833" s="12" t="str">
        <x:v>Sophos Technologies</x:v>
      </x:c>
      <x:c r="C7833" s="12" t="str">
        <x:v>CORP-0490</x:v>
      </x:c>
      <x:c r="D7833" s="12" t="str">
        <x:v>Bengaluru</x:v>
      </x:c>
      <x:c r="E7833" s="12" t="str">
        <x:v>Umiya Business Bay</x:v>
      </x:c>
      <x:c r="F7833" s="12" t="str">
        <x:v>55 inch</x:v>
      </x:c>
      <x:c r="G7833" s="20" t="n">
        <x:v>1</x:v>
      </x:c>
      <x:c r="H7833" s="12" t="str">
        <x:v>Campus/portfolio roster; individual building occupancy unverified</x:v>
      </x:c>
      <x:c r="I7833" s="12" t="str">
        <x:v>Mixed business audience</x:v>
      </x:c>
      <x:c r="J7833" s="12" t="str">
        <x:v>IT &amp; digital</x:v>
      </x:c>
      <x:c r="K7833" s="2" t="str">
        <x:v>PARTNER-M072</x:v>
      </x:c>
    </x:row>
    <x:row r="7834" ht="46" customHeight="1">
      <x:c r="A7834" s="2" t="str">
        <x:v>TEN-04D3AC99C721</x:v>
      </x:c>
      <x:c r="B7834" s="12" t="str">
        <x:v>Noodle Analytics</x:v>
      </x:c>
      <x:c r="C7834" s="12" t="str">
        <x:v>CORP-0491</x:v>
      </x:c>
      <x:c r="D7834" s="12" t="str">
        <x:v>Bengaluru</x:v>
      </x:c>
      <x:c r="E7834" s="12" t="str">
        <x:v>Umiya Business Bay</x:v>
      </x:c>
      <x:c r="F7834" s="12" t="str">
        <x:v>55 inch</x:v>
      </x:c>
      <x:c r="G7834" s="20" t="n">
        <x:v>1</x:v>
      </x:c>
      <x:c r="H7834" s="12" t="str">
        <x:v>Campus/portfolio roster; individual building occupancy unverified</x:v>
      </x:c>
      <x:c r="I7834" s="12" t="str">
        <x:v>Small-scale prospects</x:v>
      </x:c>
      <x:c r="J7834" s="12" t="str">
        <x:v>IT &amp; digital</x:v>
      </x:c>
      <x:c r="K7834" s="2" t="str">
        <x:v>PARTNER-M072</x:v>
      </x:c>
    </x:row>
    <x:row r="7835" ht="46" customHeight="1">
      <x:c r="A7835" s="2" t="str">
        <x:v>TEN-1129162334DD</x:v>
      </x:c>
      <x:c r="B7835" s="12" t="str">
        <x:v>Servion Global Solutions</x:v>
      </x:c>
      <x:c r="C7835" s="12" t="str">
        <x:v>CORP-0491</x:v>
      </x:c>
      <x:c r="D7835" s="12" t="str">
        <x:v>Bengaluru</x:v>
      </x:c>
      <x:c r="E7835" s="12" t="str">
        <x:v>Umiya Business Bay</x:v>
      </x:c>
      <x:c r="F7835" s="12" t="str">
        <x:v>55 inch</x:v>
      </x:c>
      <x:c r="G7835" s="20" t="n">
        <x:v>1</x:v>
      </x:c>
      <x:c r="H7835" s="12" t="str">
        <x:v>Campus/portfolio roster; individual building occupancy unverified</x:v>
      </x:c>
      <x:c r="I7835" s="12" t="str">
        <x:v>Mixed business audience</x:v>
      </x:c>
      <x:c r="J7835" s="12" t="str">
        <x:v>IT &amp; digital</x:v>
      </x:c>
      <x:c r="K7835" s="2" t="str">
        <x:v>PARTNER-M072</x:v>
      </x:c>
    </x:row>
    <x:row r="7836" ht="46" customHeight="1">
      <x:c r="A7836" s="2" t="str">
        <x:v>TEN-13EBE574DFA2</x:v>
      </x:c>
      <x:c r="B7836" s="12" t="str">
        <x:v>Smartworks Business Centre</x:v>
      </x:c>
      <x:c r="C7836" s="12" t="str">
        <x:v>CORP-0491</x:v>
      </x:c>
      <x:c r="D7836" s="12" t="str">
        <x:v>Bengaluru</x:v>
      </x:c>
      <x:c r="E7836" s="12" t="str">
        <x:v>Umiya Business Bay</x:v>
      </x:c>
      <x:c r="F7836" s="12" t="str">
        <x:v>55 inch</x:v>
      </x:c>
      <x:c r="G7836" s="20" t="n">
        <x:v>1</x:v>
      </x:c>
      <x:c r="H7836" s="12" t="str">
        <x:v>Campus/portfolio roster; individual building occupancy unverified</x:v>
      </x:c>
      <x:c r="I7836" s="12" t="str">
        <x:v>Mixed business audience</x:v>
      </x:c>
      <x:c r="J7836" s="12" t="str">
        <x:v>Workspace &amp; property operations</x:v>
      </x:c>
      <x:c r="K7836" s="2" t="str">
        <x:v>PARTNER-M072</x:v>
      </x:c>
    </x:row>
    <x:row r="7837" ht="46" customHeight="1">
      <x:c r="A7837" s="2" t="str">
        <x:v>TEN-18E894A0A28F</x:v>
      </x:c>
      <x:c r="B7837" s="12" t="str">
        <x:v>Yazaki India</x:v>
      </x:c>
      <x:c r="C7837" s="12" t="str">
        <x:v>CORP-0491</x:v>
      </x:c>
      <x:c r="D7837" s="12" t="str">
        <x:v>Bengaluru</x:v>
      </x:c>
      <x:c r="E7837" s="12" t="str">
        <x:v>Umiya Business Bay</x:v>
      </x:c>
      <x:c r="F7837" s="12" t="str">
        <x:v>55 inch</x:v>
      </x:c>
      <x:c r="G7837" s="20" t="n">
        <x:v>1</x:v>
      </x:c>
      <x:c r="H7837" s="12" t="str">
        <x:v>Campus/portfolio roster; individual building occupancy unverified</x:v>
      </x:c>
      <x:c r="I7837" s="12" t="str">
        <x:v>Mixed business audience</x:v>
      </x:c>
      <x:c r="J7837" s="12" t="str">
        <x:v>Engineering &amp; manufacturing</x:v>
      </x:c>
      <x:c r="K7837" s="2" t="str">
        <x:v>PARTNER-M072</x:v>
      </x:c>
    </x:row>
    <x:row r="7838" ht="46" customHeight="1">
      <x:c r="A7838" s="2" t="str">
        <x:v>TEN-1D3CF023C580</x:v>
      </x:c>
      <x:c r="B7838" s="12" t="str">
        <x:v>Vlocity Cloud Applications</x:v>
      </x:c>
      <x:c r="C7838" s="12" t="str">
        <x:v>CORP-0491</x:v>
      </x:c>
      <x:c r="D7838" s="12" t="str">
        <x:v>Bengaluru</x:v>
      </x:c>
      <x:c r="E7838" s="12" t="str">
        <x:v>Umiya Business Bay</x:v>
      </x:c>
      <x:c r="F7838" s="12" t="str">
        <x:v>55 inch</x:v>
      </x:c>
      <x:c r="G7838" s="20" t="n">
        <x:v>1</x:v>
      </x:c>
      <x:c r="H7838" s="12" t="str">
        <x:v>Campus/portfolio roster; individual building occupancy unverified</x:v>
      </x:c>
      <x:c r="I7838" s="12" t="str">
        <x:v>Mixed business audience</x:v>
      </x:c>
      <x:c r="J7838" s="12" t="str">
        <x:v>IT &amp; digital</x:v>
      </x:c>
      <x:c r="K7838" s="2" t="str">
        <x:v>PARTNER-M072</x:v>
      </x:c>
    </x:row>
    <x:row r="7839" ht="46" customHeight="1">
      <x:c r="A7839" s="2" t="str">
        <x:v>TEN-1E09F269372F</x:v>
      </x:c>
      <x:c r="B7839" s="12" t="str">
        <x:v>Yokogawa IA Technologies</x:v>
      </x:c>
      <x:c r="C7839" s="12" t="str">
        <x:v>CORP-0491</x:v>
      </x:c>
      <x:c r="D7839" s="12" t="str">
        <x:v>Bengaluru</x:v>
      </x:c>
      <x:c r="E7839" s="12" t="str">
        <x:v>Umiya Business Bay</x:v>
      </x:c>
      <x:c r="F7839" s="12" t="str">
        <x:v>55 inch</x:v>
      </x:c>
      <x:c r="G7839" s="20" t="n">
        <x:v>1</x:v>
      </x:c>
      <x:c r="H7839" s="12" t="str">
        <x:v>Campus/portfolio roster; individual building occupancy unverified</x:v>
      </x:c>
      <x:c r="I7839" s="12" t="str">
        <x:v>Mixed business audience</x:v>
      </x:c>
      <x:c r="J7839" s="12" t="str">
        <x:v>Engineering &amp; manufacturing</x:v>
      </x:c>
      <x:c r="K7839" s="2" t="str">
        <x:v>PARTNER-M072</x:v>
      </x:c>
    </x:row>
    <x:row r="7840" ht="46" customHeight="1">
      <x:c r="A7840" s="2" t="str">
        <x:v>TEN-2074EEA1A383</x:v>
      </x:c>
      <x:c r="B7840" s="12" t="str">
        <x:v>Page Industries</x:v>
      </x:c>
      <x:c r="C7840" s="12" t="str">
        <x:v>CORP-0491</x:v>
      </x:c>
      <x:c r="D7840" s="12" t="str">
        <x:v>Bengaluru</x:v>
      </x:c>
      <x:c r="E7840" s="12" t="str">
        <x:v>Umiya Business Bay</x:v>
      </x:c>
      <x:c r="F7840" s="12" t="str">
        <x:v>55 inch</x:v>
      </x:c>
      <x:c r="G7840" s="20" t="n">
        <x:v>1</x:v>
      </x:c>
      <x:c r="H7840" s="12" t="str">
        <x:v>Campus/portfolio roster; individual building occupancy unverified</x:v>
      </x:c>
      <x:c r="I7840" s="12" t="str">
        <x:v>Mixed business audience</x:v>
      </x:c>
      <x:c r="J7840" s="12" t="str">
        <x:v>Trade, consumer &amp; logistics</x:v>
      </x:c>
      <x:c r="K7840" s="2" t="str">
        <x:v>PARTNER-M072</x:v>
      </x:c>
    </x:row>
    <x:row r="7841" ht="46" customHeight="1">
      <x:c r="A7841" s="2" t="str">
        <x:v>TEN-2B3CCB1CD4C0</x:v>
      </x:c>
      <x:c r="B7841" s="12" t="str">
        <x:v>Simeio Development Centre</x:v>
      </x:c>
      <x:c r="C7841" s="12" t="str">
        <x:v>CORP-0491</x:v>
      </x:c>
      <x:c r="D7841" s="12" t="str">
        <x:v>Bengaluru</x:v>
      </x:c>
      <x:c r="E7841" s="12" t="str">
        <x:v>Umiya Business Bay</x:v>
      </x:c>
      <x:c r="F7841" s="12" t="str">
        <x:v>55 inch</x:v>
      </x:c>
      <x:c r="G7841" s="20" t="n">
        <x:v>1</x:v>
      </x:c>
      <x:c r="H7841" s="12" t="str">
        <x:v>Campus/portfolio roster; individual building occupancy unverified</x:v>
      </x:c>
      <x:c r="I7841" s="12" t="str">
        <x:v>Small-scale prospects</x:v>
      </x:c>
      <x:c r="J7841" s="12" t="str">
        <x:v>IT &amp; digital</x:v>
      </x:c>
      <x:c r="K7841" s="2" t="str">
        <x:v>PARTNER-M072</x:v>
      </x:c>
    </x:row>
    <x:row r="7842" ht="46" customHeight="1">
      <x:c r="A7842" s="2" t="str">
        <x:v>TEN-33E655A82EEA</x:v>
      </x:c>
      <x:c r="B7842" s="12" t="str">
        <x:v>T-Systems ICT</x:v>
      </x:c>
      <x:c r="C7842" s="12" t="str">
        <x:v>CORP-0491</x:v>
      </x:c>
      <x:c r="D7842" s="12" t="str">
        <x:v>Bengaluru</x:v>
      </x:c>
      <x:c r="E7842" s="12" t="str">
        <x:v>Umiya Business Bay</x:v>
      </x:c>
      <x:c r="F7842" s="12" t="str">
        <x:v>55 inch</x:v>
      </x:c>
      <x:c r="G7842" s="20" t="n">
        <x:v>1</x:v>
      </x:c>
      <x:c r="H7842" s="12" t="str">
        <x:v>Campus/portfolio roster; individual building occupancy unverified</x:v>
      </x:c>
      <x:c r="I7842" s="12" t="str">
        <x:v>Large enterprise</x:v>
      </x:c>
      <x:c r="J7842" s="12" t="str">
        <x:v>IT &amp; digital</x:v>
      </x:c>
      <x:c r="K7842" s="2" t="str">
        <x:v>PARTNER-M072</x:v>
      </x:c>
    </x:row>
    <x:row r="7843" ht="46" customHeight="1">
      <x:c r="A7843" s="2" t="str">
        <x:v>TEN-345FC99B9620</x:v>
      </x:c>
      <x:c r="B7843" s="12" t="str">
        <x:v>Spirent Communications</x:v>
      </x:c>
      <x:c r="C7843" s="12" t="str">
        <x:v>CORP-0491</x:v>
      </x:c>
      <x:c r="D7843" s="12" t="str">
        <x:v>Bengaluru</x:v>
      </x:c>
      <x:c r="E7843" s="12" t="str">
        <x:v>Umiya Business Bay</x:v>
      </x:c>
      <x:c r="F7843" s="12" t="str">
        <x:v>55 inch</x:v>
      </x:c>
      <x:c r="G7843" s="20" t="n">
        <x:v>1</x:v>
      </x:c>
      <x:c r="H7843" s="12" t="str">
        <x:v>Campus/portfolio roster; individual building occupancy unverified</x:v>
      </x:c>
      <x:c r="I7843" s="12" t="str">
        <x:v>Mixed business audience</x:v>
      </x:c>
      <x:c r="J7843" s="12" t="str">
        <x:v>IT &amp; digital</x:v>
      </x:c>
      <x:c r="K7843" s="2" t="str">
        <x:v>PARTNER-M072</x:v>
      </x:c>
    </x:row>
    <x:row r="7844" ht="46" customHeight="1">
      <x:c r="A7844" s="2" t="str">
        <x:v>TEN-3546C13C4818</x:v>
      </x:c>
      <x:c r="B7844" s="12" t="str">
        <x:v>Sonus Networks</x:v>
      </x:c>
      <x:c r="C7844" s="12" t="str">
        <x:v>CORP-0491</x:v>
      </x:c>
      <x:c r="D7844" s="12" t="str">
        <x:v>Bengaluru</x:v>
      </x:c>
      <x:c r="E7844" s="12" t="str">
        <x:v>Umiya Business Bay</x:v>
      </x:c>
      <x:c r="F7844" s="12" t="str">
        <x:v>55 inch</x:v>
      </x:c>
      <x:c r="G7844" s="20" t="n">
        <x:v>1</x:v>
      </x:c>
      <x:c r="H7844" s="12" t="str">
        <x:v>Campus/portfolio roster; individual building occupancy unverified</x:v>
      </x:c>
      <x:c r="I7844" s="12" t="str">
        <x:v>Mixed business audience</x:v>
      </x:c>
      <x:c r="J7844" s="12" t="str">
        <x:v>IT &amp; digital</x:v>
      </x:c>
      <x:c r="K7844" s="2" t="str">
        <x:v>PARTNER-M072</x:v>
      </x:c>
    </x:row>
    <x:row r="7845" ht="46" customHeight="1">
      <x:c r="A7845" s="2" t="str">
        <x:v>TEN-394B4E545B9B</x:v>
      </x:c>
      <x:c r="B7845" s="12" t="str">
        <x:v>Fidelity National Financial</x:v>
      </x:c>
      <x:c r="C7845" s="12" t="str">
        <x:v>CORP-0491</x:v>
      </x:c>
      <x:c r="D7845" s="12" t="str">
        <x:v>Bengaluru</x:v>
      </x:c>
      <x:c r="E7845" s="12" t="str">
        <x:v>Umiya Business Bay</x:v>
      </x:c>
      <x:c r="F7845" s="12" t="str">
        <x:v>55 inch</x:v>
      </x:c>
      <x:c r="G7845" s="20" t="n">
        <x:v>1</x:v>
      </x:c>
      <x:c r="H7845" s="12" t="str">
        <x:v>Campus/portfolio roster; individual building occupancy unverified</x:v>
      </x:c>
      <x:c r="I7845" s="12" t="str">
        <x:v>Mixed business audience</x:v>
      </x:c>
      <x:c r="J7845" s="12" t="str">
        <x:v>Finance &amp; insurance</x:v>
      </x:c>
      <x:c r="K7845" s="2" t="str">
        <x:v>PARTNER-M072</x:v>
      </x:c>
    </x:row>
    <x:row r="7846" ht="46" customHeight="1">
      <x:c r="A7846" s="2" t="str">
        <x:v>TEN-434AF73F01EE</x:v>
      </x:c>
      <x:c r="B7846" s="12" t="str">
        <x:v>Accolite Software</x:v>
      </x:c>
      <x:c r="C7846" s="12" t="str">
        <x:v>CORP-0491</x:v>
      </x:c>
      <x:c r="D7846" s="12" t="str">
        <x:v>Bengaluru</x:v>
      </x:c>
      <x:c r="E7846" s="12" t="str">
        <x:v>Umiya Business Bay</x:v>
      </x:c>
      <x:c r="F7846" s="12" t="str">
        <x:v>55 inch</x:v>
      </x:c>
      <x:c r="G7846" s="20" t="n">
        <x:v>1</x:v>
      </x:c>
      <x:c r="H7846" s="12" t="str">
        <x:v>Campus/portfolio roster; individual building occupancy unverified</x:v>
      </x:c>
      <x:c r="I7846" s="12" t="str">
        <x:v>Mixed business audience</x:v>
      </x:c>
      <x:c r="J7846" s="12" t="str">
        <x:v>IT &amp; digital</x:v>
      </x:c>
      <x:c r="K7846" s="2" t="str">
        <x:v>PARTNER-M072</x:v>
      </x:c>
    </x:row>
    <x:row r="7847" ht="46" customHeight="1">
      <x:c r="A7847" s="2" t="str">
        <x:v>TEN-534169F77A0F</x:v>
      </x:c>
      <x:c r="B7847" s="12" t="str">
        <x:v>iKeva Business Centre</x:v>
      </x:c>
      <x:c r="C7847" s="12" t="str">
        <x:v>CORP-0491</x:v>
      </x:c>
      <x:c r="D7847" s="12" t="str">
        <x:v>Bengaluru</x:v>
      </x:c>
      <x:c r="E7847" s="12" t="str">
        <x:v>Umiya Business Bay</x:v>
      </x:c>
      <x:c r="F7847" s="12" t="str">
        <x:v>55 inch</x:v>
      </x:c>
      <x:c r="G7847" s="20" t="n">
        <x:v>1</x:v>
      </x:c>
      <x:c r="H7847" s="12" t="str">
        <x:v>Campus/portfolio roster; individual building occupancy unverified</x:v>
      </x:c>
      <x:c r="I7847" s="12" t="str">
        <x:v>Mixed business audience</x:v>
      </x:c>
      <x:c r="J7847" s="12" t="str">
        <x:v>Workspace &amp; property operations</x:v>
      </x:c>
      <x:c r="K7847" s="2" t="str">
        <x:v>PARTNER-M072</x:v>
      </x:c>
    </x:row>
    <x:row r="7848" ht="46" customHeight="1">
      <x:c r="A7848" s="2" t="str">
        <x:v>TEN-71A678C907B2</x:v>
      </x:c>
      <x:c r="B7848" s="12" t="str">
        <x:v>Xactly Technologies</x:v>
      </x:c>
      <x:c r="C7848" s="12" t="str">
        <x:v>CORP-0491</x:v>
      </x:c>
      <x:c r="D7848" s="12" t="str">
        <x:v>Bengaluru</x:v>
      </x:c>
      <x:c r="E7848" s="12" t="str">
        <x:v>Umiya Business Bay</x:v>
      </x:c>
      <x:c r="F7848" s="12" t="str">
        <x:v>55 inch</x:v>
      </x:c>
      <x:c r="G7848" s="20" t="n">
        <x:v>1</x:v>
      </x:c>
      <x:c r="H7848" s="12" t="str">
        <x:v>Campus/portfolio roster; individual building occupancy unverified</x:v>
      </x:c>
      <x:c r="I7848" s="12" t="str">
        <x:v>Mixed business audience</x:v>
      </x:c>
      <x:c r="J7848" s="12" t="str">
        <x:v>IT &amp; digital</x:v>
      </x:c>
      <x:c r="K7848" s="2" t="str">
        <x:v>PARTNER-M072</x:v>
      </x:c>
    </x:row>
    <x:row r="7849" ht="46" customHeight="1">
      <x:c r="A7849" s="2" t="str">
        <x:v>TEN-7C1C2E1FDB67</x:v>
      </x:c>
      <x:c r="B7849" s="12" t="str">
        <x:v>AT&amp;T Communication Services</x:v>
      </x:c>
      <x:c r="C7849" s="12" t="str">
        <x:v>CORP-0491</x:v>
      </x:c>
      <x:c r="D7849" s="12" t="str">
        <x:v>Bengaluru</x:v>
      </x:c>
      <x:c r="E7849" s="12" t="str">
        <x:v>Umiya Business Bay</x:v>
      </x:c>
      <x:c r="F7849" s="12" t="str">
        <x:v>55 inch</x:v>
      </x:c>
      <x:c r="G7849" s="20" t="n">
        <x:v>1</x:v>
      </x:c>
      <x:c r="H7849" s="12" t="str">
        <x:v>Campus/portfolio roster; individual building occupancy unverified</x:v>
      </x:c>
      <x:c r="I7849" s="12" t="str">
        <x:v>Mixed business audience</x:v>
      </x:c>
      <x:c r="J7849" s="12" t="str">
        <x:v>IT &amp; digital</x:v>
      </x:c>
      <x:c r="K7849" s="2" t="str">
        <x:v>PARTNER-M072</x:v>
      </x:c>
    </x:row>
    <x:row r="7850" ht="46" customHeight="1">
      <x:c r="A7850" s="2" t="str">
        <x:v>TEN-845733A0CA33</x:v>
      </x:c>
      <x:c r="B7850" s="12" t="str">
        <x:v>T-Systems</x:v>
      </x:c>
      <x:c r="C7850" s="12" t="str">
        <x:v>CORP-0491</x:v>
      </x:c>
      <x:c r="D7850" s="12" t="str">
        <x:v>Bengaluru</x:v>
      </x:c>
      <x:c r="E7850" s="12" t="str">
        <x:v>Umiya Business Bay</x:v>
      </x:c>
      <x:c r="F7850" s="12" t="str">
        <x:v>55 inch</x:v>
      </x:c>
      <x:c r="G7850" s="20" t="n">
        <x:v>1</x:v>
      </x:c>
      <x:c r="H7850" s="12" t="str">
        <x:v>Campus/portfolio roster; individual building occupancy unverified</x:v>
      </x:c>
      <x:c r="I7850" s="12" t="str">
        <x:v>Large enterprise</x:v>
      </x:c>
      <x:c r="J7850" s="12" t="str">
        <x:v>IT &amp; digital</x:v>
      </x:c>
      <x:c r="K7850" s="2" t="str">
        <x:v>PARTNER-M072</x:v>
      </x:c>
    </x:row>
    <x:row r="7851" ht="46" customHeight="1">
      <x:c r="A7851" s="2" t="str">
        <x:v>TEN-97B1AE253744</x:v>
      </x:c>
      <x:c r="B7851" s="12" t="str">
        <x:v>FNF India</x:v>
      </x:c>
      <x:c r="C7851" s="12" t="str">
        <x:v>CORP-0491</x:v>
      </x:c>
      <x:c r="D7851" s="12" t="str">
        <x:v>Bengaluru</x:v>
      </x:c>
      <x:c r="E7851" s="12" t="str">
        <x:v>Umiya Business Bay</x:v>
      </x:c>
      <x:c r="F7851" s="12" t="str">
        <x:v>55 inch</x:v>
      </x:c>
      <x:c r="G7851" s="20" t="n">
        <x:v>1</x:v>
      </x:c>
      <x:c r="H7851" s="12" t="str">
        <x:v>Campus/portfolio roster; individual building occupancy unverified</x:v>
      </x:c>
      <x:c r="I7851" s="12" t="str">
        <x:v>Mixed business audience</x:v>
      </x:c>
      <x:c r="J7851" s="12" t="str">
        <x:v>Finance &amp; insurance</x:v>
      </x:c>
      <x:c r="K7851" s="2" t="str">
        <x:v>PARTNER-M072</x:v>
      </x:c>
    </x:row>
    <x:row r="7852" ht="46" customHeight="1">
      <x:c r="A7852" s="2" t="str">
        <x:v>TEN-9FB259296B34</x:v>
      </x:c>
      <x:c r="B7852" s="12" t="str">
        <x:v>Bridgei2i Analytics Solutions</x:v>
      </x:c>
      <x:c r="C7852" s="12" t="str">
        <x:v>CORP-0491</x:v>
      </x:c>
      <x:c r="D7852" s="12" t="str">
        <x:v>Bengaluru</x:v>
      </x:c>
      <x:c r="E7852" s="12" t="str">
        <x:v>Umiya Business Bay</x:v>
      </x:c>
      <x:c r="F7852" s="12" t="str">
        <x:v>55 inch</x:v>
      </x:c>
      <x:c r="G7852" s="20" t="n">
        <x:v>1</x:v>
      </x:c>
      <x:c r="H7852" s="12" t="str">
        <x:v>Campus/portfolio roster; individual building occupancy unverified</x:v>
      </x:c>
      <x:c r="I7852" s="12" t="str">
        <x:v>Mixed business audience</x:v>
      </x:c>
      <x:c r="J7852" s="12" t="str">
        <x:v>IT &amp; digital</x:v>
      </x:c>
      <x:c r="K7852" s="2" t="str">
        <x:v>PARTNER-M072</x:v>
      </x:c>
    </x:row>
    <x:row r="7853" ht="46" customHeight="1">
      <x:c r="A7853" s="2" t="str">
        <x:v>TEN-DEFF9DF9AA15</x:v>
      </x:c>
      <x:c r="B7853" s="12" t="str">
        <x:v>Tieto Software</x:v>
      </x:c>
      <x:c r="C7853" s="12" t="str">
        <x:v>CORP-0491</x:v>
      </x:c>
      <x:c r="D7853" s="12" t="str">
        <x:v>Bengaluru</x:v>
      </x:c>
      <x:c r="E7853" s="12" t="str">
        <x:v>Umiya Business Bay</x:v>
      </x:c>
      <x:c r="F7853" s="12" t="str">
        <x:v>55 inch</x:v>
      </x:c>
      <x:c r="G7853" s="20" t="n">
        <x:v>1</x:v>
      </x:c>
      <x:c r="H7853" s="12" t="str">
        <x:v>Campus/portfolio roster; individual building occupancy unverified</x:v>
      </x:c>
      <x:c r="I7853" s="12" t="str">
        <x:v>Mixed business audience</x:v>
      </x:c>
      <x:c r="J7853" s="12" t="str">
        <x:v>IT &amp; digital</x:v>
      </x:c>
      <x:c r="K7853" s="2" t="str">
        <x:v>PARTNER-M072</x:v>
      </x:c>
    </x:row>
    <x:row r="7854" ht="46" customHeight="1">
      <x:c r="A7854" s="2" t="str">
        <x:v>TEN-F0E21574F5BD</x:v>
      </x:c>
      <x:c r="B7854" s="12" t="str">
        <x:v>Cambium Networks</x:v>
      </x:c>
      <x:c r="C7854" s="12" t="str">
        <x:v>CORP-0491</x:v>
      </x:c>
      <x:c r="D7854" s="12" t="str">
        <x:v>Bengaluru</x:v>
      </x:c>
      <x:c r="E7854" s="12" t="str">
        <x:v>Umiya Business Bay</x:v>
      </x:c>
      <x:c r="F7854" s="12" t="str">
        <x:v>55 inch</x:v>
      </x:c>
      <x:c r="G7854" s="20" t="n">
        <x:v>1</x:v>
      </x:c>
      <x:c r="H7854" s="12" t="str">
        <x:v>Campus/portfolio roster; individual building occupancy unverified</x:v>
      </x:c>
      <x:c r="I7854" s="12" t="str">
        <x:v>Mixed business audience</x:v>
      </x:c>
      <x:c r="J7854" s="12" t="str">
        <x:v>IT &amp; digital</x:v>
      </x:c>
      <x:c r="K7854" s="2" t="str">
        <x:v>PARTNER-M072</x:v>
      </x:c>
    </x:row>
    <x:row r="7855" ht="46" customHeight="1">
      <x:c r="A7855" s="2" t="str">
        <x:v>TEN-FFF9B8935849</x:v>
      </x:c>
      <x:c r="B7855" s="12" t="str">
        <x:v>Sophos Technologies</x:v>
      </x:c>
      <x:c r="C7855" s="12" t="str">
        <x:v>CORP-0491</x:v>
      </x:c>
      <x:c r="D7855" s="12" t="str">
        <x:v>Bengaluru</x:v>
      </x:c>
      <x:c r="E7855" s="12" t="str">
        <x:v>Umiya Business Bay</x:v>
      </x:c>
      <x:c r="F7855" s="12" t="str">
        <x:v>55 inch</x:v>
      </x:c>
      <x:c r="G7855" s="20" t="n">
        <x:v>1</x:v>
      </x:c>
      <x:c r="H7855" s="12" t="str">
        <x:v>Campus/portfolio roster; individual building occupancy unverified</x:v>
      </x:c>
      <x:c r="I7855" s="12" t="str">
        <x:v>Mixed business audience</x:v>
      </x:c>
      <x:c r="J7855" s="12" t="str">
        <x:v>IT &amp; digital</x:v>
      </x:c>
      <x:c r="K7855" s="2" t="str">
        <x:v>PARTNER-M072</x:v>
      </x:c>
    </x:row>
    <x:row r="7856" ht="46" customHeight="1">
      <x:c r="A7856" s="2" t="str">
        <x:v>TEN-04D3AC99C721</x:v>
      </x:c>
      <x:c r="B7856" s="12" t="str">
        <x:v>Noodle Analytics</x:v>
      </x:c>
      <x:c r="C7856" s="12" t="str">
        <x:v>CORP-0492</x:v>
      </x:c>
      <x:c r="D7856" s="12" t="str">
        <x:v>Bengaluru</x:v>
      </x:c>
      <x:c r="E7856" s="12" t="str">
        <x:v>Umiya Business Bay</x:v>
      </x:c>
      <x:c r="F7856" s="12" t="str">
        <x:v>55 inch</x:v>
      </x:c>
      <x:c r="G7856" s="20" t="n">
        <x:v>1</x:v>
      </x:c>
      <x:c r="H7856" s="12" t="str">
        <x:v>Campus/portfolio roster; individual building occupancy unverified</x:v>
      </x:c>
      <x:c r="I7856" s="12" t="str">
        <x:v>Small-scale prospects</x:v>
      </x:c>
      <x:c r="J7856" s="12" t="str">
        <x:v>IT &amp; digital</x:v>
      </x:c>
      <x:c r="K7856" s="2" t="str">
        <x:v>PARTNER-M072</x:v>
      </x:c>
    </x:row>
    <x:row r="7857" ht="46" customHeight="1">
      <x:c r="A7857" s="2" t="str">
        <x:v>TEN-1129162334DD</x:v>
      </x:c>
      <x:c r="B7857" s="12" t="str">
        <x:v>Servion Global Solutions</x:v>
      </x:c>
      <x:c r="C7857" s="12" t="str">
        <x:v>CORP-0492</x:v>
      </x:c>
      <x:c r="D7857" s="12" t="str">
        <x:v>Bengaluru</x:v>
      </x:c>
      <x:c r="E7857" s="12" t="str">
        <x:v>Umiya Business Bay</x:v>
      </x:c>
      <x:c r="F7857" s="12" t="str">
        <x:v>55 inch</x:v>
      </x:c>
      <x:c r="G7857" s="20" t="n">
        <x:v>1</x:v>
      </x:c>
      <x:c r="H7857" s="12" t="str">
        <x:v>Campus/portfolio roster; individual building occupancy unverified</x:v>
      </x:c>
      <x:c r="I7857" s="12" t="str">
        <x:v>Mixed business audience</x:v>
      </x:c>
      <x:c r="J7857" s="12" t="str">
        <x:v>IT &amp; digital</x:v>
      </x:c>
      <x:c r="K7857" s="2" t="str">
        <x:v>PARTNER-M072</x:v>
      </x:c>
    </x:row>
    <x:row r="7858" ht="46" customHeight="1">
      <x:c r="A7858" s="2" t="str">
        <x:v>TEN-13EBE574DFA2</x:v>
      </x:c>
      <x:c r="B7858" s="12" t="str">
        <x:v>Smartworks Business Centre</x:v>
      </x:c>
      <x:c r="C7858" s="12" t="str">
        <x:v>CORP-0492</x:v>
      </x:c>
      <x:c r="D7858" s="12" t="str">
        <x:v>Bengaluru</x:v>
      </x:c>
      <x:c r="E7858" s="12" t="str">
        <x:v>Umiya Business Bay</x:v>
      </x:c>
      <x:c r="F7858" s="12" t="str">
        <x:v>55 inch</x:v>
      </x:c>
      <x:c r="G7858" s="20" t="n">
        <x:v>1</x:v>
      </x:c>
      <x:c r="H7858" s="12" t="str">
        <x:v>Campus/portfolio roster; individual building occupancy unverified</x:v>
      </x:c>
      <x:c r="I7858" s="12" t="str">
        <x:v>Mixed business audience</x:v>
      </x:c>
      <x:c r="J7858" s="12" t="str">
        <x:v>Workspace &amp; property operations</x:v>
      </x:c>
      <x:c r="K7858" s="2" t="str">
        <x:v>PARTNER-M072</x:v>
      </x:c>
    </x:row>
    <x:row r="7859" ht="46" customHeight="1">
      <x:c r="A7859" s="2" t="str">
        <x:v>TEN-18E894A0A28F</x:v>
      </x:c>
      <x:c r="B7859" s="12" t="str">
        <x:v>Yazaki India</x:v>
      </x:c>
      <x:c r="C7859" s="12" t="str">
        <x:v>CORP-0492</x:v>
      </x:c>
      <x:c r="D7859" s="12" t="str">
        <x:v>Bengaluru</x:v>
      </x:c>
      <x:c r="E7859" s="12" t="str">
        <x:v>Umiya Business Bay</x:v>
      </x:c>
      <x:c r="F7859" s="12" t="str">
        <x:v>55 inch</x:v>
      </x:c>
      <x:c r="G7859" s="20" t="n">
        <x:v>1</x:v>
      </x:c>
      <x:c r="H7859" s="12" t="str">
        <x:v>Campus/portfolio roster; individual building occupancy unverified</x:v>
      </x:c>
      <x:c r="I7859" s="12" t="str">
        <x:v>Mixed business audience</x:v>
      </x:c>
      <x:c r="J7859" s="12" t="str">
        <x:v>Engineering &amp; manufacturing</x:v>
      </x:c>
      <x:c r="K7859" s="2" t="str">
        <x:v>PARTNER-M072</x:v>
      </x:c>
    </x:row>
    <x:row r="7860" ht="46" customHeight="1">
      <x:c r="A7860" s="2" t="str">
        <x:v>TEN-1D3CF023C580</x:v>
      </x:c>
      <x:c r="B7860" s="12" t="str">
        <x:v>Vlocity Cloud Applications</x:v>
      </x:c>
      <x:c r="C7860" s="12" t="str">
        <x:v>CORP-0492</x:v>
      </x:c>
      <x:c r="D7860" s="12" t="str">
        <x:v>Bengaluru</x:v>
      </x:c>
      <x:c r="E7860" s="12" t="str">
        <x:v>Umiya Business Bay</x:v>
      </x:c>
      <x:c r="F7860" s="12" t="str">
        <x:v>55 inch</x:v>
      </x:c>
      <x:c r="G7860" s="20" t="n">
        <x:v>1</x:v>
      </x:c>
      <x:c r="H7860" s="12" t="str">
        <x:v>Campus/portfolio roster; individual building occupancy unverified</x:v>
      </x:c>
      <x:c r="I7860" s="12" t="str">
        <x:v>Mixed business audience</x:v>
      </x:c>
      <x:c r="J7860" s="12" t="str">
        <x:v>IT &amp; digital</x:v>
      </x:c>
      <x:c r="K7860" s="2" t="str">
        <x:v>PARTNER-M072</x:v>
      </x:c>
    </x:row>
    <x:row r="7861" ht="46" customHeight="1">
      <x:c r="A7861" s="2" t="str">
        <x:v>TEN-1E09F269372F</x:v>
      </x:c>
      <x:c r="B7861" s="12" t="str">
        <x:v>Yokogawa IA Technologies</x:v>
      </x:c>
      <x:c r="C7861" s="12" t="str">
        <x:v>CORP-0492</x:v>
      </x:c>
      <x:c r="D7861" s="12" t="str">
        <x:v>Bengaluru</x:v>
      </x:c>
      <x:c r="E7861" s="12" t="str">
        <x:v>Umiya Business Bay</x:v>
      </x:c>
      <x:c r="F7861" s="12" t="str">
        <x:v>55 inch</x:v>
      </x:c>
      <x:c r="G7861" s="20" t="n">
        <x:v>1</x:v>
      </x:c>
      <x:c r="H7861" s="12" t="str">
        <x:v>Campus/portfolio roster; individual building occupancy unverified</x:v>
      </x:c>
      <x:c r="I7861" s="12" t="str">
        <x:v>Mixed business audience</x:v>
      </x:c>
      <x:c r="J7861" s="12" t="str">
        <x:v>Engineering &amp; manufacturing</x:v>
      </x:c>
      <x:c r="K7861" s="2" t="str">
        <x:v>PARTNER-M072</x:v>
      </x:c>
    </x:row>
    <x:row r="7862" ht="46" customHeight="1">
      <x:c r="A7862" s="2" t="str">
        <x:v>TEN-2074EEA1A383</x:v>
      </x:c>
      <x:c r="B7862" s="12" t="str">
        <x:v>Page Industries</x:v>
      </x:c>
      <x:c r="C7862" s="12" t="str">
        <x:v>CORP-0492</x:v>
      </x:c>
      <x:c r="D7862" s="12" t="str">
        <x:v>Bengaluru</x:v>
      </x:c>
      <x:c r="E7862" s="12" t="str">
        <x:v>Umiya Business Bay</x:v>
      </x:c>
      <x:c r="F7862" s="12" t="str">
        <x:v>55 inch</x:v>
      </x:c>
      <x:c r="G7862" s="20" t="n">
        <x:v>1</x:v>
      </x:c>
      <x:c r="H7862" s="12" t="str">
        <x:v>Campus/portfolio roster; individual building occupancy unverified</x:v>
      </x:c>
      <x:c r="I7862" s="12" t="str">
        <x:v>Mixed business audience</x:v>
      </x:c>
      <x:c r="J7862" s="12" t="str">
        <x:v>Trade, consumer &amp; logistics</x:v>
      </x:c>
      <x:c r="K7862" s="2" t="str">
        <x:v>PARTNER-M072</x:v>
      </x:c>
    </x:row>
    <x:row r="7863" ht="46" customHeight="1">
      <x:c r="A7863" s="2" t="str">
        <x:v>TEN-2B3CCB1CD4C0</x:v>
      </x:c>
      <x:c r="B7863" s="12" t="str">
        <x:v>Simeio Development Centre</x:v>
      </x:c>
      <x:c r="C7863" s="12" t="str">
        <x:v>CORP-0492</x:v>
      </x:c>
      <x:c r="D7863" s="12" t="str">
        <x:v>Bengaluru</x:v>
      </x:c>
      <x:c r="E7863" s="12" t="str">
        <x:v>Umiya Business Bay</x:v>
      </x:c>
      <x:c r="F7863" s="12" t="str">
        <x:v>55 inch</x:v>
      </x:c>
      <x:c r="G7863" s="20" t="n">
        <x:v>1</x:v>
      </x:c>
      <x:c r="H7863" s="12" t="str">
        <x:v>Campus/portfolio roster; individual building occupancy unverified</x:v>
      </x:c>
      <x:c r="I7863" s="12" t="str">
        <x:v>Small-scale prospects</x:v>
      </x:c>
      <x:c r="J7863" s="12" t="str">
        <x:v>IT &amp; digital</x:v>
      </x:c>
      <x:c r="K7863" s="2" t="str">
        <x:v>PARTNER-M072</x:v>
      </x:c>
    </x:row>
    <x:row r="7864" ht="46" customHeight="1">
      <x:c r="A7864" s="2" t="str">
        <x:v>TEN-33E655A82EEA</x:v>
      </x:c>
      <x:c r="B7864" s="12" t="str">
        <x:v>T-Systems ICT</x:v>
      </x:c>
      <x:c r="C7864" s="12" t="str">
        <x:v>CORP-0492</x:v>
      </x:c>
      <x:c r="D7864" s="12" t="str">
        <x:v>Bengaluru</x:v>
      </x:c>
      <x:c r="E7864" s="12" t="str">
        <x:v>Umiya Business Bay</x:v>
      </x:c>
      <x:c r="F7864" s="12" t="str">
        <x:v>55 inch</x:v>
      </x:c>
      <x:c r="G7864" s="20" t="n">
        <x:v>1</x:v>
      </x:c>
      <x:c r="H7864" s="12" t="str">
        <x:v>Campus/portfolio roster; individual building occupancy unverified</x:v>
      </x:c>
      <x:c r="I7864" s="12" t="str">
        <x:v>Large enterprise</x:v>
      </x:c>
      <x:c r="J7864" s="12" t="str">
        <x:v>IT &amp; digital</x:v>
      </x:c>
      <x:c r="K7864" s="2" t="str">
        <x:v>PARTNER-M072</x:v>
      </x:c>
    </x:row>
    <x:row r="7865" ht="46" customHeight="1">
      <x:c r="A7865" s="2" t="str">
        <x:v>TEN-345FC99B9620</x:v>
      </x:c>
      <x:c r="B7865" s="12" t="str">
        <x:v>Spirent Communications</x:v>
      </x:c>
      <x:c r="C7865" s="12" t="str">
        <x:v>CORP-0492</x:v>
      </x:c>
      <x:c r="D7865" s="12" t="str">
        <x:v>Bengaluru</x:v>
      </x:c>
      <x:c r="E7865" s="12" t="str">
        <x:v>Umiya Business Bay</x:v>
      </x:c>
      <x:c r="F7865" s="12" t="str">
        <x:v>55 inch</x:v>
      </x:c>
      <x:c r="G7865" s="20" t="n">
        <x:v>1</x:v>
      </x:c>
      <x:c r="H7865" s="12" t="str">
        <x:v>Campus/portfolio roster; individual building occupancy unverified</x:v>
      </x:c>
      <x:c r="I7865" s="12" t="str">
        <x:v>Mixed business audience</x:v>
      </x:c>
      <x:c r="J7865" s="12" t="str">
        <x:v>IT &amp; digital</x:v>
      </x:c>
      <x:c r="K7865" s="2" t="str">
        <x:v>PARTNER-M072</x:v>
      </x:c>
    </x:row>
    <x:row r="7866" ht="46" customHeight="1">
      <x:c r="A7866" s="2" t="str">
        <x:v>TEN-3546C13C4818</x:v>
      </x:c>
      <x:c r="B7866" s="12" t="str">
        <x:v>Sonus Networks</x:v>
      </x:c>
      <x:c r="C7866" s="12" t="str">
        <x:v>CORP-0492</x:v>
      </x:c>
      <x:c r="D7866" s="12" t="str">
        <x:v>Bengaluru</x:v>
      </x:c>
      <x:c r="E7866" s="12" t="str">
        <x:v>Umiya Business Bay</x:v>
      </x:c>
      <x:c r="F7866" s="12" t="str">
        <x:v>55 inch</x:v>
      </x:c>
      <x:c r="G7866" s="20" t="n">
        <x:v>1</x:v>
      </x:c>
      <x:c r="H7866" s="12" t="str">
        <x:v>Campus/portfolio roster; individual building occupancy unverified</x:v>
      </x:c>
      <x:c r="I7866" s="12" t="str">
        <x:v>Mixed business audience</x:v>
      </x:c>
      <x:c r="J7866" s="12" t="str">
        <x:v>IT &amp; digital</x:v>
      </x:c>
      <x:c r="K7866" s="2" t="str">
        <x:v>PARTNER-M072</x:v>
      </x:c>
    </x:row>
    <x:row r="7867" ht="46" customHeight="1">
      <x:c r="A7867" s="2" t="str">
        <x:v>TEN-394B4E545B9B</x:v>
      </x:c>
      <x:c r="B7867" s="12" t="str">
        <x:v>Fidelity National Financial</x:v>
      </x:c>
      <x:c r="C7867" s="12" t="str">
        <x:v>CORP-0492</x:v>
      </x:c>
      <x:c r="D7867" s="12" t="str">
        <x:v>Bengaluru</x:v>
      </x:c>
      <x:c r="E7867" s="12" t="str">
        <x:v>Umiya Business Bay</x:v>
      </x:c>
      <x:c r="F7867" s="12" t="str">
        <x:v>55 inch</x:v>
      </x:c>
      <x:c r="G7867" s="20" t="n">
        <x:v>1</x:v>
      </x:c>
      <x:c r="H7867" s="12" t="str">
        <x:v>Campus/portfolio roster; individual building occupancy unverified</x:v>
      </x:c>
      <x:c r="I7867" s="12" t="str">
        <x:v>Mixed business audience</x:v>
      </x:c>
      <x:c r="J7867" s="12" t="str">
        <x:v>Finance &amp; insurance</x:v>
      </x:c>
      <x:c r="K7867" s="2" t="str">
        <x:v>PARTNER-M072</x:v>
      </x:c>
    </x:row>
    <x:row r="7868" ht="46" customHeight="1">
      <x:c r="A7868" s="2" t="str">
        <x:v>TEN-434AF73F01EE</x:v>
      </x:c>
      <x:c r="B7868" s="12" t="str">
        <x:v>Accolite Software</x:v>
      </x:c>
      <x:c r="C7868" s="12" t="str">
        <x:v>CORP-0492</x:v>
      </x:c>
      <x:c r="D7868" s="12" t="str">
        <x:v>Bengaluru</x:v>
      </x:c>
      <x:c r="E7868" s="12" t="str">
        <x:v>Umiya Business Bay</x:v>
      </x:c>
      <x:c r="F7868" s="12" t="str">
        <x:v>55 inch</x:v>
      </x:c>
      <x:c r="G7868" s="20" t="n">
        <x:v>1</x:v>
      </x:c>
      <x:c r="H7868" s="12" t="str">
        <x:v>Campus/portfolio roster; individual building occupancy unverified</x:v>
      </x:c>
      <x:c r="I7868" s="12" t="str">
        <x:v>Mixed business audience</x:v>
      </x:c>
      <x:c r="J7868" s="12" t="str">
        <x:v>IT &amp; digital</x:v>
      </x:c>
      <x:c r="K7868" s="2" t="str">
        <x:v>PARTNER-M072</x:v>
      </x:c>
    </x:row>
    <x:row r="7869" ht="46" customHeight="1">
      <x:c r="A7869" s="2" t="str">
        <x:v>TEN-534169F77A0F</x:v>
      </x:c>
      <x:c r="B7869" s="12" t="str">
        <x:v>iKeva Business Centre</x:v>
      </x:c>
      <x:c r="C7869" s="12" t="str">
        <x:v>CORP-0492</x:v>
      </x:c>
      <x:c r="D7869" s="12" t="str">
        <x:v>Bengaluru</x:v>
      </x:c>
      <x:c r="E7869" s="12" t="str">
        <x:v>Umiya Business Bay</x:v>
      </x:c>
      <x:c r="F7869" s="12" t="str">
        <x:v>55 inch</x:v>
      </x:c>
      <x:c r="G7869" s="20" t="n">
        <x:v>1</x:v>
      </x:c>
      <x:c r="H7869" s="12" t="str">
        <x:v>Campus/portfolio roster; individual building occupancy unverified</x:v>
      </x:c>
      <x:c r="I7869" s="12" t="str">
        <x:v>Mixed business audience</x:v>
      </x:c>
      <x:c r="J7869" s="12" t="str">
        <x:v>Workspace &amp; property operations</x:v>
      </x:c>
      <x:c r="K7869" s="2" t="str">
        <x:v>PARTNER-M072</x:v>
      </x:c>
    </x:row>
    <x:row r="7870" ht="46" customHeight="1">
      <x:c r="A7870" s="2" t="str">
        <x:v>TEN-71A678C907B2</x:v>
      </x:c>
      <x:c r="B7870" s="12" t="str">
        <x:v>Xactly Technologies</x:v>
      </x:c>
      <x:c r="C7870" s="12" t="str">
        <x:v>CORP-0492</x:v>
      </x:c>
      <x:c r="D7870" s="12" t="str">
        <x:v>Bengaluru</x:v>
      </x:c>
      <x:c r="E7870" s="12" t="str">
        <x:v>Umiya Business Bay</x:v>
      </x:c>
      <x:c r="F7870" s="12" t="str">
        <x:v>55 inch</x:v>
      </x:c>
      <x:c r="G7870" s="20" t="n">
        <x:v>1</x:v>
      </x:c>
      <x:c r="H7870" s="12" t="str">
        <x:v>Campus/portfolio roster; individual building occupancy unverified</x:v>
      </x:c>
      <x:c r="I7870" s="12" t="str">
        <x:v>Mixed business audience</x:v>
      </x:c>
      <x:c r="J7870" s="12" t="str">
        <x:v>IT &amp; digital</x:v>
      </x:c>
      <x:c r="K7870" s="2" t="str">
        <x:v>PARTNER-M072</x:v>
      </x:c>
    </x:row>
    <x:row r="7871" ht="46" customHeight="1">
      <x:c r="A7871" s="2" t="str">
        <x:v>TEN-7C1C2E1FDB67</x:v>
      </x:c>
      <x:c r="B7871" s="12" t="str">
        <x:v>AT&amp;T Communication Services</x:v>
      </x:c>
      <x:c r="C7871" s="12" t="str">
        <x:v>CORP-0492</x:v>
      </x:c>
      <x:c r="D7871" s="12" t="str">
        <x:v>Bengaluru</x:v>
      </x:c>
      <x:c r="E7871" s="12" t="str">
        <x:v>Umiya Business Bay</x:v>
      </x:c>
      <x:c r="F7871" s="12" t="str">
        <x:v>55 inch</x:v>
      </x:c>
      <x:c r="G7871" s="20" t="n">
        <x:v>1</x:v>
      </x:c>
      <x:c r="H7871" s="12" t="str">
        <x:v>Campus/portfolio roster; individual building occupancy unverified</x:v>
      </x:c>
      <x:c r="I7871" s="12" t="str">
        <x:v>Mixed business audience</x:v>
      </x:c>
      <x:c r="J7871" s="12" t="str">
        <x:v>IT &amp; digital</x:v>
      </x:c>
      <x:c r="K7871" s="2" t="str">
        <x:v>PARTNER-M072</x:v>
      </x:c>
    </x:row>
    <x:row r="7872" ht="46" customHeight="1">
      <x:c r="A7872" s="2" t="str">
        <x:v>TEN-845733A0CA33</x:v>
      </x:c>
      <x:c r="B7872" s="12" t="str">
        <x:v>T-Systems</x:v>
      </x:c>
      <x:c r="C7872" s="12" t="str">
        <x:v>CORP-0492</x:v>
      </x:c>
      <x:c r="D7872" s="12" t="str">
        <x:v>Bengaluru</x:v>
      </x:c>
      <x:c r="E7872" s="12" t="str">
        <x:v>Umiya Business Bay</x:v>
      </x:c>
      <x:c r="F7872" s="12" t="str">
        <x:v>55 inch</x:v>
      </x:c>
      <x:c r="G7872" s="20" t="n">
        <x:v>1</x:v>
      </x:c>
      <x:c r="H7872" s="12" t="str">
        <x:v>Campus/portfolio roster; individual building occupancy unverified</x:v>
      </x:c>
      <x:c r="I7872" s="12" t="str">
        <x:v>Large enterprise</x:v>
      </x:c>
      <x:c r="J7872" s="12" t="str">
        <x:v>IT &amp; digital</x:v>
      </x:c>
      <x:c r="K7872" s="2" t="str">
        <x:v>PARTNER-M072</x:v>
      </x:c>
    </x:row>
    <x:row r="7873" ht="46" customHeight="1">
      <x:c r="A7873" s="2" t="str">
        <x:v>TEN-97B1AE253744</x:v>
      </x:c>
      <x:c r="B7873" s="12" t="str">
        <x:v>FNF India</x:v>
      </x:c>
      <x:c r="C7873" s="12" t="str">
        <x:v>CORP-0492</x:v>
      </x:c>
      <x:c r="D7873" s="12" t="str">
        <x:v>Bengaluru</x:v>
      </x:c>
      <x:c r="E7873" s="12" t="str">
        <x:v>Umiya Business Bay</x:v>
      </x:c>
      <x:c r="F7873" s="12" t="str">
        <x:v>55 inch</x:v>
      </x:c>
      <x:c r="G7873" s="20" t="n">
        <x:v>1</x:v>
      </x:c>
      <x:c r="H7873" s="12" t="str">
        <x:v>Campus/portfolio roster; individual building occupancy unverified</x:v>
      </x:c>
      <x:c r="I7873" s="12" t="str">
        <x:v>Mixed business audience</x:v>
      </x:c>
      <x:c r="J7873" s="12" t="str">
        <x:v>Finance &amp; insurance</x:v>
      </x:c>
      <x:c r="K7873" s="2" t="str">
        <x:v>PARTNER-M072</x:v>
      </x:c>
    </x:row>
    <x:row r="7874" ht="46" customHeight="1">
      <x:c r="A7874" s="2" t="str">
        <x:v>TEN-9FB259296B34</x:v>
      </x:c>
      <x:c r="B7874" s="12" t="str">
        <x:v>Bridgei2i Analytics Solutions</x:v>
      </x:c>
      <x:c r="C7874" s="12" t="str">
        <x:v>CORP-0492</x:v>
      </x:c>
      <x:c r="D7874" s="12" t="str">
        <x:v>Bengaluru</x:v>
      </x:c>
      <x:c r="E7874" s="12" t="str">
        <x:v>Umiya Business Bay</x:v>
      </x:c>
      <x:c r="F7874" s="12" t="str">
        <x:v>55 inch</x:v>
      </x:c>
      <x:c r="G7874" s="20" t="n">
        <x:v>1</x:v>
      </x:c>
      <x:c r="H7874" s="12" t="str">
        <x:v>Campus/portfolio roster; individual building occupancy unverified</x:v>
      </x:c>
      <x:c r="I7874" s="12" t="str">
        <x:v>Mixed business audience</x:v>
      </x:c>
      <x:c r="J7874" s="12" t="str">
        <x:v>IT &amp; digital</x:v>
      </x:c>
      <x:c r="K7874" s="2" t="str">
        <x:v>PARTNER-M072</x:v>
      </x:c>
    </x:row>
    <x:row r="7875" ht="46" customHeight="1">
      <x:c r="A7875" s="2" t="str">
        <x:v>TEN-DEFF9DF9AA15</x:v>
      </x:c>
      <x:c r="B7875" s="12" t="str">
        <x:v>Tieto Software</x:v>
      </x:c>
      <x:c r="C7875" s="12" t="str">
        <x:v>CORP-0492</x:v>
      </x:c>
      <x:c r="D7875" s="12" t="str">
        <x:v>Bengaluru</x:v>
      </x:c>
      <x:c r="E7875" s="12" t="str">
        <x:v>Umiya Business Bay</x:v>
      </x:c>
      <x:c r="F7875" s="12" t="str">
        <x:v>55 inch</x:v>
      </x:c>
      <x:c r="G7875" s="20" t="n">
        <x:v>1</x:v>
      </x:c>
      <x:c r="H7875" s="12" t="str">
        <x:v>Campus/portfolio roster; individual building occupancy unverified</x:v>
      </x:c>
      <x:c r="I7875" s="12" t="str">
        <x:v>Mixed business audience</x:v>
      </x:c>
      <x:c r="J7875" s="12" t="str">
        <x:v>IT &amp; digital</x:v>
      </x:c>
      <x:c r="K7875" s="2" t="str">
        <x:v>PARTNER-M072</x:v>
      </x:c>
    </x:row>
    <x:row r="7876" ht="46" customHeight="1">
      <x:c r="A7876" s="2" t="str">
        <x:v>TEN-F0E21574F5BD</x:v>
      </x:c>
      <x:c r="B7876" s="12" t="str">
        <x:v>Cambium Networks</x:v>
      </x:c>
      <x:c r="C7876" s="12" t="str">
        <x:v>CORP-0492</x:v>
      </x:c>
      <x:c r="D7876" s="12" t="str">
        <x:v>Bengaluru</x:v>
      </x:c>
      <x:c r="E7876" s="12" t="str">
        <x:v>Umiya Business Bay</x:v>
      </x:c>
      <x:c r="F7876" s="12" t="str">
        <x:v>55 inch</x:v>
      </x:c>
      <x:c r="G7876" s="20" t="n">
        <x:v>1</x:v>
      </x:c>
      <x:c r="H7876" s="12" t="str">
        <x:v>Campus/portfolio roster; individual building occupancy unverified</x:v>
      </x:c>
      <x:c r="I7876" s="12" t="str">
        <x:v>Mixed business audience</x:v>
      </x:c>
      <x:c r="J7876" s="12" t="str">
        <x:v>IT &amp; digital</x:v>
      </x:c>
      <x:c r="K7876" s="2" t="str">
        <x:v>PARTNER-M072</x:v>
      </x:c>
    </x:row>
    <x:row r="7877" ht="46" customHeight="1">
      <x:c r="A7877" s="2" t="str">
        <x:v>TEN-FFF9B8935849</x:v>
      </x:c>
      <x:c r="B7877" s="12" t="str">
        <x:v>Sophos Technologies</x:v>
      </x:c>
      <x:c r="C7877" s="12" t="str">
        <x:v>CORP-0492</x:v>
      </x:c>
      <x:c r="D7877" s="12" t="str">
        <x:v>Bengaluru</x:v>
      </x:c>
      <x:c r="E7877" s="12" t="str">
        <x:v>Umiya Business Bay</x:v>
      </x:c>
      <x:c r="F7877" s="12" t="str">
        <x:v>55 inch</x:v>
      </x:c>
      <x:c r="G7877" s="20" t="n">
        <x:v>1</x:v>
      </x:c>
      <x:c r="H7877" s="12" t="str">
        <x:v>Campus/portfolio roster; individual building occupancy unverified</x:v>
      </x:c>
      <x:c r="I7877" s="12" t="str">
        <x:v>Mixed business audience</x:v>
      </x:c>
      <x:c r="J7877" s="12" t="str">
        <x:v>IT &amp; digital</x:v>
      </x:c>
      <x:c r="K7877" s="2" t="str">
        <x:v>PARTNER-M072</x:v>
      </x:c>
    </x:row>
    <x:row r="7878" ht="46" customHeight="1">
      <x:c r="A7878" s="2" t="str">
        <x:v>TEN-04D3AC99C721</x:v>
      </x:c>
      <x:c r="B7878" s="12" t="str">
        <x:v>Noodle Analytics</x:v>
      </x:c>
      <x:c r="C7878" s="12" t="str">
        <x:v>CORP-0493</x:v>
      </x:c>
      <x:c r="D7878" s="12" t="str">
        <x:v>Bengaluru</x:v>
      </x:c>
      <x:c r="E7878" s="12" t="str">
        <x:v>Umiya Business Bay</x:v>
      </x:c>
      <x:c r="F7878" s="12" t="str">
        <x:v>55 inch</x:v>
      </x:c>
      <x:c r="G7878" s="20" t="n">
        <x:v>1</x:v>
      </x:c>
      <x:c r="H7878" s="12" t="str">
        <x:v>Campus/portfolio roster; individual building occupancy unverified</x:v>
      </x:c>
      <x:c r="I7878" s="12" t="str">
        <x:v>Small-scale prospects</x:v>
      </x:c>
      <x:c r="J7878" s="12" t="str">
        <x:v>IT &amp; digital</x:v>
      </x:c>
      <x:c r="K7878" s="2" t="str">
        <x:v>PARTNER-M072</x:v>
      </x:c>
    </x:row>
    <x:row r="7879" ht="46" customHeight="1">
      <x:c r="A7879" s="2" t="str">
        <x:v>TEN-1129162334DD</x:v>
      </x:c>
      <x:c r="B7879" s="12" t="str">
        <x:v>Servion Global Solutions</x:v>
      </x:c>
      <x:c r="C7879" s="12" t="str">
        <x:v>CORP-0493</x:v>
      </x:c>
      <x:c r="D7879" s="12" t="str">
        <x:v>Bengaluru</x:v>
      </x:c>
      <x:c r="E7879" s="12" t="str">
        <x:v>Umiya Business Bay</x:v>
      </x:c>
      <x:c r="F7879" s="12" t="str">
        <x:v>55 inch</x:v>
      </x:c>
      <x:c r="G7879" s="20" t="n">
        <x:v>1</x:v>
      </x:c>
      <x:c r="H7879" s="12" t="str">
        <x:v>Campus/portfolio roster; individual building occupancy unverified</x:v>
      </x:c>
      <x:c r="I7879" s="12" t="str">
        <x:v>Mixed business audience</x:v>
      </x:c>
      <x:c r="J7879" s="12" t="str">
        <x:v>IT &amp; digital</x:v>
      </x:c>
      <x:c r="K7879" s="2" t="str">
        <x:v>PARTNER-M072</x:v>
      </x:c>
    </x:row>
    <x:row r="7880" ht="46" customHeight="1">
      <x:c r="A7880" s="2" t="str">
        <x:v>TEN-13EBE574DFA2</x:v>
      </x:c>
      <x:c r="B7880" s="12" t="str">
        <x:v>Smartworks Business Centre</x:v>
      </x:c>
      <x:c r="C7880" s="12" t="str">
        <x:v>CORP-0493</x:v>
      </x:c>
      <x:c r="D7880" s="12" t="str">
        <x:v>Bengaluru</x:v>
      </x:c>
      <x:c r="E7880" s="12" t="str">
        <x:v>Umiya Business Bay</x:v>
      </x:c>
      <x:c r="F7880" s="12" t="str">
        <x:v>55 inch</x:v>
      </x:c>
      <x:c r="G7880" s="20" t="n">
        <x:v>1</x:v>
      </x:c>
      <x:c r="H7880" s="12" t="str">
        <x:v>Campus/portfolio roster; individual building occupancy unverified</x:v>
      </x:c>
      <x:c r="I7880" s="12" t="str">
        <x:v>Mixed business audience</x:v>
      </x:c>
      <x:c r="J7880" s="12" t="str">
        <x:v>Workspace &amp; property operations</x:v>
      </x:c>
      <x:c r="K7880" s="2" t="str">
        <x:v>PARTNER-M072</x:v>
      </x:c>
    </x:row>
    <x:row r="7881" ht="46" customHeight="1">
      <x:c r="A7881" s="2" t="str">
        <x:v>TEN-18E894A0A28F</x:v>
      </x:c>
      <x:c r="B7881" s="12" t="str">
        <x:v>Yazaki India</x:v>
      </x:c>
      <x:c r="C7881" s="12" t="str">
        <x:v>CORP-0493</x:v>
      </x:c>
      <x:c r="D7881" s="12" t="str">
        <x:v>Bengaluru</x:v>
      </x:c>
      <x:c r="E7881" s="12" t="str">
        <x:v>Umiya Business Bay</x:v>
      </x:c>
      <x:c r="F7881" s="12" t="str">
        <x:v>55 inch</x:v>
      </x:c>
      <x:c r="G7881" s="20" t="n">
        <x:v>1</x:v>
      </x:c>
      <x:c r="H7881" s="12" t="str">
        <x:v>Campus/portfolio roster; individual building occupancy unverified</x:v>
      </x:c>
      <x:c r="I7881" s="12" t="str">
        <x:v>Mixed business audience</x:v>
      </x:c>
      <x:c r="J7881" s="12" t="str">
        <x:v>Engineering &amp; manufacturing</x:v>
      </x:c>
      <x:c r="K7881" s="2" t="str">
        <x:v>PARTNER-M072</x:v>
      </x:c>
    </x:row>
    <x:row r="7882" ht="46" customHeight="1">
      <x:c r="A7882" s="2" t="str">
        <x:v>TEN-1D3CF023C580</x:v>
      </x:c>
      <x:c r="B7882" s="12" t="str">
        <x:v>Vlocity Cloud Applications</x:v>
      </x:c>
      <x:c r="C7882" s="12" t="str">
        <x:v>CORP-0493</x:v>
      </x:c>
      <x:c r="D7882" s="12" t="str">
        <x:v>Bengaluru</x:v>
      </x:c>
      <x:c r="E7882" s="12" t="str">
        <x:v>Umiya Business Bay</x:v>
      </x:c>
      <x:c r="F7882" s="12" t="str">
        <x:v>55 inch</x:v>
      </x:c>
      <x:c r="G7882" s="20" t="n">
        <x:v>1</x:v>
      </x:c>
      <x:c r="H7882" s="12" t="str">
        <x:v>Campus/portfolio roster; individual building occupancy unverified</x:v>
      </x:c>
      <x:c r="I7882" s="12" t="str">
        <x:v>Mixed business audience</x:v>
      </x:c>
      <x:c r="J7882" s="12" t="str">
        <x:v>IT &amp; digital</x:v>
      </x:c>
      <x:c r="K7882" s="2" t="str">
        <x:v>PARTNER-M072</x:v>
      </x:c>
    </x:row>
    <x:row r="7883" ht="46" customHeight="1">
      <x:c r="A7883" s="2" t="str">
        <x:v>TEN-1E09F269372F</x:v>
      </x:c>
      <x:c r="B7883" s="12" t="str">
        <x:v>Yokogawa IA Technologies</x:v>
      </x:c>
      <x:c r="C7883" s="12" t="str">
        <x:v>CORP-0493</x:v>
      </x:c>
      <x:c r="D7883" s="12" t="str">
        <x:v>Bengaluru</x:v>
      </x:c>
      <x:c r="E7883" s="12" t="str">
        <x:v>Umiya Business Bay</x:v>
      </x:c>
      <x:c r="F7883" s="12" t="str">
        <x:v>55 inch</x:v>
      </x:c>
      <x:c r="G7883" s="20" t="n">
        <x:v>1</x:v>
      </x:c>
      <x:c r="H7883" s="12" t="str">
        <x:v>Campus/portfolio roster; individual building occupancy unverified</x:v>
      </x:c>
      <x:c r="I7883" s="12" t="str">
        <x:v>Mixed business audience</x:v>
      </x:c>
      <x:c r="J7883" s="12" t="str">
        <x:v>Engineering &amp; manufacturing</x:v>
      </x:c>
      <x:c r="K7883" s="2" t="str">
        <x:v>PARTNER-M072</x:v>
      </x:c>
    </x:row>
    <x:row r="7884" ht="46" customHeight="1">
      <x:c r="A7884" s="2" t="str">
        <x:v>TEN-2074EEA1A383</x:v>
      </x:c>
      <x:c r="B7884" s="12" t="str">
        <x:v>Page Industries</x:v>
      </x:c>
      <x:c r="C7884" s="12" t="str">
        <x:v>CORP-0493</x:v>
      </x:c>
      <x:c r="D7884" s="12" t="str">
        <x:v>Bengaluru</x:v>
      </x:c>
      <x:c r="E7884" s="12" t="str">
        <x:v>Umiya Business Bay</x:v>
      </x:c>
      <x:c r="F7884" s="12" t="str">
        <x:v>55 inch</x:v>
      </x:c>
      <x:c r="G7884" s="20" t="n">
        <x:v>1</x:v>
      </x:c>
      <x:c r="H7884" s="12" t="str">
        <x:v>Campus/portfolio roster; individual building occupancy unverified</x:v>
      </x:c>
      <x:c r="I7884" s="12" t="str">
        <x:v>Mixed business audience</x:v>
      </x:c>
      <x:c r="J7884" s="12" t="str">
        <x:v>Trade, consumer &amp; logistics</x:v>
      </x:c>
      <x:c r="K7884" s="2" t="str">
        <x:v>PARTNER-M072</x:v>
      </x:c>
    </x:row>
    <x:row r="7885" ht="46" customHeight="1">
      <x:c r="A7885" s="2" t="str">
        <x:v>TEN-2B3CCB1CD4C0</x:v>
      </x:c>
      <x:c r="B7885" s="12" t="str">
        <x:v>Simeio Development Centre</x:v>
      </x:c>
      <x:c r="C7885" s="12" t="str">
        <x:v>CORP-0493</x:v>
      </x:c>
      <x:c r="D7885" s="12" t="str">
        <x:v>Bengaluru</x:v>
      </x:c>
      <x:c r="E7885" s="12" t="str">
        <x:v>Umiya Business Bay</x:v>
      </x:c>
      <x:c r="F7885" s="12" t="str">
        <x:v>55 inch</x:v>
      </x:c>
      <x:c r="G7885" s="20" t="n">
        <x:v>1</x:v>
      </x:c>
      <x:c r="H7885" s="12" t="str">
        <x:v>Campus/portfolio roster; individual building occupancy unverified</x:v>
      </x:c>
      <x:c r="I7885" s="12" t="str">
        <x:v>Small-scale prospects</x:v>
      </x:c>
      <x:c r="J7885" s="12" t="str">
        <x:v>IT &amp; digital</x:v>
      </x:c>
      <x:c r="K7885" s="2" t="str">
        <x:v>PARTNER-M072</x:v>
      </x:c>
    </x:row>
    <x:row r="7886" ht="46" customHeight="1">
      <x:c r="A7886" s="2" t="str">
        <x:v>TEN-33E655A82EEA</x:v>
      </x:c>
      <x:c r="B7886" s="12" t="str">
        <x:v>T-Systems ICT</x:v>
      </x:c>
      <x:c r="C7886" s="12" t="str">
        <x:v>CORP-0493</x:v>
      </x:c>
      <x:c r="D7886" s="12" t="str">
        <x:v>Bengaluru</x:v>
      </x:c>
      <x:c r="E7886" s="12" t="str">
        <x:v>Umiya Business Bay</x:v>
      </x:c>
      <x:c r="F7886" s="12" t="str">
        <x:v>55 inch</x:v>
      </x:c>
      <x:c r="G7886" s="20" t="n">
        <x:v>1</x:v>
      </x:c>
      <x:c r="H7886" s="12" t="str">
        <x:v>Campus/portfolio roster; individual building occupancy unverified</x:v>
      </x:c>
      <x:c r="I7886" s="12" t="str">
        <x:v>Large enterprise</x:v>
      </x:c>
      <x:c r="J7886" s="12" t="str">
        <x:v>IT &amp; digital</x:v>
      </x:c>
      <x:c r="K7886" s="2" t="str">
        <x:v>PARTNER-M072</x:v>
      </x:c>
    </x:row>
    <x:row r="7887" ht="46" customHeight="1">
      <x:c r="A7887" s="2" t="str">
        <x:v>TEN-345FC99B9620</x:v>
      </x:c>
      <x:c r="B7887" s="12" t="str">
        <x:v>Spirent Communications</x:v>
      </x:c>
      <x:c r="C7887" s="12" t="str">
        <x:v>CORP-0493</x:v>
      </x:c>
      <x:c r="D7887" s="12" t="str">
        <x:v>Bengaluru</x:v>
      </x:c>
      <x:c r="E7887" s="12" t="str">
        <x:v>Umiya Business Bay</x:v>
      </x:c>
      <x:c r="F7887" s="12" t="str">
        <x:v>55 inch</x:v>
      </x:c>
      <x:c r="G7887" s="20" t="n">
        <x:v>1</x:v>
      </x:c>
      <x:c r="H7887" s="12" t="str">
        <x:v>Campus/portfolio roster; individual building occupancy unverified</x:v>
      </x:c>
      <x:c r="I7887" s="12" t="str">
        <x:v>Mixed business audience</x:v>
      </x:c>
      <x:c r="J7887" s="12" t="str">
        <x:v>IT &amp; digital</x:v>
      </x:c>
      <x:c r="K7887" s="2" t="str">
        <x:v>PARTNER-M072</x:v>
      </x:c>
    </x:row>
    <x:row r="7888" ht="46" customHeight="1">
      <x:c r="A7888" s="2" t="str">
        <x:v>TEN-3546C13C4818</x:v>
      </x:c>
      <x:c r="B7888" s="12" t="str">
        <x:v>Sonus Networks</x:v>
      </x:c>
      <x:c r="C7888" s="12" t="str">
        <x:v>CORP-0493</x:v>
      </x:c>
      <x:c r="D7888" s="12" t="str">
        <x:v>Bengaluru</x:v>
      </x:c>
      <x:c r="E7888" s="12" t="str">
        <x:v>Umiya Business Bay</x:v>
      </x:c>
      <x:c r="F7888" s="12" t="str">
        <x:v>55 inch</x:v>
      </x:c>
      <x:c r="G7888" s="20" t="n">
        <x:v>1</x:v>
      </x:c>
      <x:c r="H7888" s="12" t="str">
        <x:v>Campus/portfolio roster; individual building occupancy unverified</x:v>
      </x:c>
      <x:c r="I7888" s="12" t="str">
        <x:v>Mixed business audience</x:v>
      </x:c>
      <x:c r="J7888" s="12" t="str">
        <x:v>IT &amp; digital</x:v>
      </x:c>
      <x:c r="K7888" s="2" t="str">
        <x:v>PARTNER-M072</x:v>
      </x:c>
    </x:row>
    <x:row r="7889" ht="46" customHeight="1">
      <x:c r="A7889" s="2" t="str">
        <x:v>TEN-394B4E545B9B</x:v>
      </x:c>
      <x:c r="B7889" s="12" t="str">
        <x:v>Fidelity National Financial</x:v>
      </x:c>
      <x:c r="C7889" s="12" t="str">
        <x:v>CORP-0493</x:v>
      </x:c>
      <x:c r="D7889" s="12" t="str">
        <x:v>Bengaluru</x:v>
      </x:c>
      <x:c r="E7889" s="12" t="str">
        <x:v>Umiya Business Bay</x:v>
      </x:c>
      <x:c r="F7889" s="12" t="str">
        <x:v>55 inch</x:v>
      </x:c>
      <x:c r="G7889" s="20" t="n">
        <x:v>1</x:v>
      </x:c>
      <x:c r="H7889" s="12" t="str">
        <x:v>Campus/portfolio roster; individual building occupancy unverified</x:v>
      </x:c>
      <x:c r="I7889" s="12" t="str">
        <x:v>Mixed business audience</x:v>
      </x:c>
      <x:c r="J7889" s="12" t="str">
        <x:v>Finance &amp; insurance</x:v>
      </x:c>
      <x:c r="K7889" s="2" t="str">
        <x:v>PARTNER-M072</x:v>
      </x:c>
    </x:row>
    <x:row r="7890" ht="46" customHeight="1">
      <x:c r="A7890" s="2" t="str">
        <x:v>TEN-434AF73F01EE</x:v>
      </x:c>
      <x:c r="B7890" s="12" t="str">
        <x:v>Accolite Software</x:v>
      </x:c>
      <x:c r="C7890" s="12" t="str">
        <x:v>CORP-0493</x:v>
      </x:c>
      <x:c r="D7890" s="12" t="str">
        <x:v>Bengaluru</x:v>
      </x:c>
      <x:c r="E7890" s="12" t="str">
        <x:v>Umiya Business Bay</x:v>
      </x:c>
      <x:c r="F7890" s="12" t="str">
        <x:v>55 inch</x:v>
      </x:c>
      <x:c r="G7890" s="20" t="n">
        <x:v>1</x:v>
      </x:c>
      <x:c r="H7890" s="12" t="str">
        <x:v>Campus/portfolio roster; individual building occupancy unverified</x:v>
      </x:c>
      <x:c r="I7890" s="12" t="str">
        <x:v>Mixed business audience</x:v>
      </x:c>
      <x:c r="J7890" s="12" t="str">
        <x:v>IT &amp; digital</x:v>
      </x:c>
      <x:c r="K7890" s="2" t="str">
        <x:v>PARTNER-M072</x:v>
      </x:c>
    </x:row>
    <x:row r="7891" ht="46" customHeight="1">
      <x:c r="A7891" s="2" t="str">
        <x:v>TEN-534169F77A0F</x:v>
      </x:c>
      <x:c r="B7891" s="12" t="str">
        <x:v>iKeva Business Centre</x:v>
      </x:c>
      <x:c r="C7891" s="12" t="str">
        <x:v>CORP-0493</x:v>
      </x:c>
      <x:c r="D7891" s="12" t="str">
        <x:v>Bengaluru</x:v>
      </x:c>
      <x:c r="E7891" s="12" t="str">
        <x:v>Umiya Business Bay</x:v>
      </x:c>
      <x:c r="F7891" s="12" t="str">
        <x:v>55 inch</x:v>
      </x:c>
      <x:c r="G7891" s="20" t="n">
        <x:v>1</x:v>
      </x:c>
      <x:c r="H7891" s="12" t="str">
        <x:v>Campus/portfolio roster; individual building occupancy unverified</x:v>
      </x:c>
      <x:c r="I7891" s="12" t="str">
        <x:v>Mixed business audience</x:v>
      </x:c>
      <x:c r="J7891" s="12" t="str">
        <x:v>Workspace &amp; property operations</x:v>
      </x:c>
      <x:c r="K7891" s="2" t="str">
        <x:v>PARTNER-M072</x:v>
      </x:c>
    </x:row>
    <x:row r="7892" ht="46" customHeight="1">
      <x:c r="A7892" s="2" t="str">
        <x:v>TEN-71A678C907B2</x:v>
      </x:c>
      <x:c r="B7892" s="12" t="str">
        <x:v>Xactly Technologies</x:v>
      </x:c>
      <x:c r="C7892" s="12" t="str">
        <x:v>CORP-0493</x:v>
      </x:c>
      <x:c r="D7892" s="12" t="str">
        <x:v>Bengaluru</x:v>
      </x:c>
      <x:c r="E7892" s="12" t="str">
        <x:v>Umiya Business Bay</x:v>
      </x:c>
      <x:c r="F7892" s="12" t="str">
        <x:v>55 inch</x:v>
      </x:c>
      <x:c r="G7892" s="20" t="n">
        <x:v>1</x:v>
      </x:c>
      <x:c r="H7892" s="12" t="str">
        <x:v>Campus/portfolio roster; individual building occupancy unverified</x:v>
      </x:c>
      <x:c r="I7892" s="12" t="str">
        <x:v>Mixed business audience</x:v>
      </x:c>
      <x:c r="J7892" s="12" t="str">
        <x:v>IT &amp; digital</x:v>
      </x:c>
      <x:c r="K7892" s="2" t="str">
        <x:v>PARTNER-M072</x:v>
      </x:c>
    </x:row>
    <x:row r="7893" ht="46" customHeight="1">
      <x:c r="A7893" s="2" t="str">
        <x:v>TEN-7C1C2E1FDB67</x:v>
      </x:c>
      <x:c r="B7893" s="12" t="str">
        <x:v>AT&amp;T Communication Services</x:v>
      </x:c>
      <x:c r="C7893" s="12" t="str">
        <x:v>CORP-0493</x:v>
      </x:c>
      <x:c r="D7893" s="12" t="str">
        <x:v>Bengaluru</x:v>
      </x:c>
      <x:c r="E7893" s="12" t="str">
        <x:v>Umiya Business Bay</x:v>
      </x:c>
      <x:c r="F7893" s="12" t="str">
        <x:v>55 inch</x:v>
      </x:c>
      <x:c r="G7893" s="20" t="n">
        <x:v>1</x:v>
      </x:c>
      <x:c r="H7893" s="12" t="str">
        <x:v>Campus/portfolio roster; individual building occupancy unverified</x:v>
      </x:c>
      <x:c r="I7893" s="12" t="str">
        <x:v>Mixed business audience</x:v>
      </x:c>
      <x:c r="J7893" s="12" t="str">
        <x:v>IT &amp; digital</x:v>
      </x:c>
      <x:c r="K7893" s="2" t="str">
        <x:v>PARTNER-M072</x:v>
      </x:c>
    </x:row>
    <x:row r="7894" ht="46" customHeight="1">
      <x:c r="A7894" s="2" t="str">
        <x:v>TEN-845733A0CA33</x:v>
      </x:c>
      <x:c r="B7894" s="12" t="str">
        <x:v>T-Systems</x:v>
      </x:c>
      <x:c r="C7894" s="12" t="str">
        <x:v>CORP-0493</x:v>
      </x:c>
      <x:c r="D7894" s="12" t="str">
        <x:v>Bengaluru</x:v>
      </x:c>
      <x:c r="E7894" s="12" t="str">
        <x:v>Umiya Business Bay</x:v>
      </x:c>
      <x:c r="F7894" s="12" t="str">
        <x:v>55 inch</x:v>
      </x:c>
      <x:c r="G7894" s="20" t="n">
        <x:v>1</x:v>
      </x:c>
      <x:c r="H7894" s="12" t="str">
        <x:v>Campus/portfolio roster; individual building occupancy unverified</x:v>
      </x:c>
      <x:c r="I7894" s="12" t="str">
        <x:v>Large enterprise</x:v>
      </x:c>
      <x:c r="J7894" s="12" t="str">
        <x:v>IT &amp; digital</x:v>
      </x:c>
      <x:c r="K7894" s="2" t="str">
        <x:v>PARTNER-M072</x:v>
      </x:c>
    </x:row>
    <x:row r="7895" ht="46" customHeight="1">
      <x:c r="A7895" s="2" t="str">
        <x:v>TEN-97B1AE253744</x:v>
      </x:c>
      <x:c r="B7895" s="12" t="str">
        <x:v>FNF India</x:v>
      </x:c>
      <x:c r="C7895" s="12" t="str">
        <x:v>CORP-0493</x:v>
      </x:c>
      <x:c r="D7895" s="12" t="str">
        <x:v>Bengaluru</x:v>
      </x:c>
      <x:c r="E7895" s="12" t="str">
        <x:v>Umiya Business Bay</x:v>
      </x:c>
      <x:c r="F7895" s="12" t="str">
        <x:v>55 inch</x:v>
      </x:c>
      <x:c r="G7895" s="20" t="n">
        <x:v>1</x:v>
      </x:c>
      <x:c r="H7895" s="12" t="str">
        <x:v>Campus/portfolio roster; individual building occupancy unverified</x:v>
      </x:c>
      <x:c r="I7895" s="12" t="str">
        <x:v>Mixed business audience</x:v>
      </x:c>
      <x:c r="J7895" s="12" t="str">
        <x:v>Finance &amp; insurance</x:v>
      </x:c>
      <x:c r="K7895" s="2" t="str">
        <x:v>PARTNER-M072</x:v>
      </x:c>
    </x:row>
    <x:row r="7896" ht="46" customHeight="1">
      <x:c r="A7896" s="2" t="str">
        <x:v>TEN-9FB259296B34</x:v>
      </x:c>
      <x:c r="B7896" s="12" t="str">
        <x:v>Bridgei2i Analytics Solutions</x:v>
      </x:c>
      <x:c r="C7896" s="12" t="str">
        <x:v>CORP-0493</x:v>
      </x:c>
      <x:c r="D7896" s="12" t="str">
        <x:v>Bengaluru</x:v>
      </x:c>
      <x:c r="E7896" s="12" t="str">
        <x:v>Umiya Business Bay</x:v>
      </x:c>
      <x:c r="F7896" s="12" t="str">
        <x:v>55 inch</x:v>
      </x:c>
      <x:c r="G7896" s="20" t="n">
        <x:v>1</x:v>
      </x:c>
      <x:c r="H7896" s="12" t="str">
        <x:v>Campus/portfolio roster; individual building occupancy unverified</x:v>
      </x:c>
      <x:c r="I7896" s="12" t="str">
        <x:v>Mixed business audience</x:v>
      </x:c>
      <x:c r="J7896" s="12" t="str">
        <x:v>IT &amp; digital</x:v>
      </x:c>
      <x:c r="K7896" s="2" t="str">
        <x:v>PARTNER-M072</x:v>
      </x:c>
    </x:row>
    <x:row r="7897" ht="46" customHeight="1">
      <x:c r="A7897" s="2" t="str">
        <x:v>TEN-DEFF9DF9AA15</x:v>
      </x:c>
      <x:c r="B7897" s="12" t="str">
        <x:v>Tieto Software</x:v>
      </x:c>
      <x:c r="C7897" s="12" t="str">
        <x:v>CORP-0493</x:v>
      </x:c>
      <x:c r="D7897" s="12" t="str">
        <x:v>Bengaluru</x:v>
      </x:c>
      <x:c r="E7897" s="12" t="str">
        <x:v>Umiya Business Bay</x:v>
      </x:c>
      <x:c r="F7897" s="12" t="str">
        <x:v>55 inch</x:v>
      </x:c>
      <x:c r="G7897" s="20" t="n">
        <x:v>1</x:v>
      </x:c>
      <x:c r="H7897" s="12" t="str">
        <x:v>Campus/portfolio roster; individual building occupancy unverified</x:v>
      </x:c>
      <x:c r="I7897" s="12" t="str">
        <x:v>Mixed business audience</x:v>
      </x:c>
      <x:c r="J7897" s="12" t="str">
        <x:v>IT &amp; digital</x:v>
      </x:c>
      <x:c r="K7897" s="2" t="str">
        <x:v>PARTNER-M072</x:v>
      </x:c>
    </x:row>
    <x:row r="7898" ht="46" customHeight="1">
      <x:c r="A7898" s="2" t="str">
        <x:v>TEN-F0E21574F5BD</x:v>
      </x:c>
      <x:c r="B7898" s="12" t="str">
        <x:v>Cambium Networks</x:v>
      </x:c>
      <x:c r="C7898" s="12" t="str">
        <x:v>CORP-0493</x:v>
      </x:c>
      <x:c r="D7898" s="12" t="str">
        <x:v>Bengaluru</x:v>
      </x:c>
      <x:c r="E7898" s="12" t="str">
        <x:v>Umiya Business Bay</x:v>
      </x:c>
      <x:c r="F7898" s="12" t="str">
        <x:v>55 inch</x:v>
      </x:c>
      <x:c r="G7898" s="20" t="n">
        <x:v>1</x:v>
      </x:c>
      <x:c r="H7898" s="12" t="str">
        <x:v>Campus/portfolio roster; individual building occupancy unverified</x:v>
      </x:c>
      <x:c r="I7898" s="12" t="str">
        <x:v>Mixed business audience</x:v>
      </x:c>
      <x:c r="J7898" s="12" t="str">
        <x:v>IT &amp; digital</x:v>
      </x:c>
      <x:c r="K7898" s="2" t="str">
        <x:v>PARTNER-M072</x:v>
      </x:c>
    </x:row>
    <x:row r="7899" ht="46" customHeight="1">
      <x:c r="A7899" s="2" t="str">
        <x:v>TEN-FFF9B8935849</x:v>
      </x:c>
      <x:c r="B7899" s="12" t="str">
        <x:v>Sophos Technologies</x:v>
      </x:c>
      <x:c r="C7899" s="12" t="str">
        <x:v>CORP-0493</x:v>
      </x:c>
      <x:c r="D7899" s="12" t="str">
        <x:v>Bengaluru</x:v>
      </x:c>
      <x:c r="E7899" s="12" t="str">
        <x:v>Umiya Business Bay</x:v>
      </x:c>
      <x:c r="F7899" s="12" t="str">
        <x:v>55 inch</x:v>
      </x:c>
      <x:c r="G7899" s="20" t="n">
        <x:v>1</x:v>
      </x:c>
      <x:c r="H7899" s="12" t="str">
        <x:v>Campus/portfolio roster; individual building occupancy unverified</x:v>
      </x:c>
      <x:c r="I7899" s="12" t="str">
        <x:v>Mixed business audience</x:v>
      </x:c>
      <x:c r="J7899" s="12" t="str">
        <x:v>IT &amp; digital</x:v>
      </x:c>
      <x:c r="K7899" s="2" t="str">
        <x:v>PARTNER-M072</x:v>
      </x:c>
    </x:row>
    <x:row r="7900" ht="46" customHeight="1">
      <x:c r="A7900" s="2" t="str">
        <x:v>TEN-04D3AC99C721</x:v>
      </x:c>
      <x:c r="B7900" s="12" t="str">
        <x:v>Noodle Analytics</x:v>
      </x:c>
      <x:c r="C7900" s="12" t="str">
        <x:v>CORP-0494</x:v>
      </x:c>
      <x:c r="D7900" s="12" t="str">
        <x:v>Bengaluru</x:v>
      </x:c>
      <x:c r="E7900" s="12" t="str">
        <x:v>Umiya Business Bay</x:v>
      </x:c>
      <x:c r="F7900" s="12" t="str">
        <x:v>55 inch</x:v>
      </x:c>
      <x:c r="G7900" s="20" t="n">
        <x:v>1</x:v>
      </x:c>
      <x:c r="H7900" s="12" t="str">
        <x:v>Campus/portfolio roster; individual building occupancy unverified</x:v>
      </x:c>
      <x:c r="I7900" s="12" t="str">
        <x:v>Small-scale prospects</x:v>
      </x:c>
      <x:c r="J7900" s="12" t="str">
        <x:v>IT &amp; digital</x:v>
      </x:c>
      <x:c r="K7900" s="2" t="str">
        <x:v>PARTNER-M072</x:v>
      </x:c>
    </x:row>
    <x:row r="7901" ht="46" customHeight="1">
      <x:c r="A7901" s="2" t="str">
        <x:v>TEN-1129162334DD</x:v>
      </x:c>
      <x:c r="B7901" s="12" t="str">
        <x:v>Servion Global Solutions</x:v>
      </x:c>
      <x:c r="C7901" s="12" t="str">
        <x:v>CORP-0494</x:v>
      </x:c>
      <x:c r="D7901" s="12" t="str">
        <x:v>Bengaluru</x:v>
      </x:c>
      <x:c r="E7901" s="12" t="str">
        <x:v>Umiya Business Bay</x:v>
      </x:c>
      <x:c r="F7901" s="12" t="str">
        <x:v>55 inch</x:v>
      </x:c>
      <x:c r="G7901" s="20" t="n">
        <x:v>1</x:v>
      </x:c>
      <x:c r="H7901" s="12" t="str">
        <x:v>Campus/portfolio roster; individual building occupancy unverified</x:v>
      </x:c>
      <x:c r="I7901" s="12" t="str">
        <x:v>Mixed business audience</x:v>
      </x:c>
      <x:c r="J7901" s="12" t="str">
        <x:v>IT &amp; digital</x:v>
      </x:c>
      <x:c r="K7901" s="2" t="str">
        <x:v>PARTNER-M072</x:v>
      </x:c>
    </x:row>
    <x:row r="7902" ht="46" customHeight="1">
      <x:c r="A7902" s="2" t="str">
        <x:v>TEN-13EBE574DFA2</x:v>
      </x:c>
      <x:c r="B7902" s="12" t="str">
        <x:v>Smartworks Business Centre</x:v>
      </x:c>
      <x:c r="C7902" s="12" t="str">
        <x:v>CORP-0494</x:v>
      </x:c>
      <x:c r="D7902" s="12" t="str">
        <x:v>Bengaluru</x:v>
      </x:c>
      <x:c r="E7902" s="12" t="str">
        <x:v>Umiya Business Bay</x:v>
      </x:c>
      <x:c r="F7902" s="12" t="str">
        <x:v>55 inch</x:v>
      </x:c>
      <x:c r="G7902" s="20" t="n">
        <x:v>1</x:v>
      </x:c>
      <x:c r="H7902" s="12" t="str">
        <x:v>Campus/portfolio roster; individual building occupancy unverified</x:v>
      </x:c>
      <x:c r="I7902" s="12" t="str">
        <x:v>Mixed business audience</x:v>
      </x:c>
      <x:c r="J7902" s="12" t="str">
        <x:v>Workspace &amp; property operations</x:v>
      </x:c>
      <x:c r="K7902" s="2" t="str">
        <x:v>PARTNER-M072</x:v>
      </x:c>
    </x:row>
    <x:row r="7903" ht="46" customHeight="1">
      <x:c r="A7903" s="2" t="str">
        <x:v>TEN-18E894A0A28F</x:v>
      </x:c>
      <x:c r="B7903" s="12" t="str">
        <x:v>Yazaki India</x:v>
      </x:c>
      <x:c r="C7903" s="12" t="str">
        <x:v>CORP-0494</x:v>
      </x:c>
      <x:c r="D7903" s="12" t="str">
        <x:v>Bengaluru</x:v>
      </x:c>
      <x:c r="E7903" s="12" t="str">
        <x:v>Umiya Business Bay</x:v>
      </x:c>
      <x:c r="F7903" s="12" t="str">
        <x:v>55 inch</x:v>
      </x:c>
      <x:c r="G7903" s="20" t="n">
        <x:v>1</x:v>
      </x:c>
      <x:c r="H7903" s="12" t="str">
        <x:v>Campus/portfolio roster; individual building occupancy unverified</x:v>
      </x:c>
      <x:c r="I7903" s="12" t="str">
        <x:v>Mixed business audience</x:v>
      </x:c>
      <x:c r="J7903" s="12" t="str">
        <x:v>Engineering &amp; manufacturing</x:v>
      </x:c>
      <x:c r="K7903" s="2" t="str">
        <x:v>PARTNER-M072</x:v>
      </x:c>
    </x:row>
    <x:row r="7904" ht="46" customHeight="1">
      <x:c r="A7904" s="2" t="str">
        <x:v>TEN-1D3CF023C580</x:v>
      </x:c>
      <x:c r="B7904" s="12" t="str">
        <x:v>Vlocity Cloud Applications</x:v>
      </x:c>
      <x:c r="C7904" s="12" t="str">
        <x:v>CORP-0494</x:v>
      </x:c>
      <x:c r="D7904" s="12" t="str">
        <x:v>Bengaluru</x:v>
      </x:c>
      <x:c r="E7904" s="12" t="str">
        <x:v>Umiya Business Bay</x:v>
      </x:c>
      <x:c r="F7904" s="12" t="str">
        <x:v>55 inch</x:v>
      </x:c>
      <x:c r="G7904" s="20" t="n">
        <x:v>1</x:v>
      </x:c>
      <x:c r="H7904" s="12" t="str">
        <x:v>Campus/portfolio roster; individual building occupancy unverified</x:v>
      </x:c>
      <x:c r="I7904" s="12" t="str">
        <x:v>Mixed business audience</x:v>
      </x:c>
      <x:c r="J7904" s="12" t="str">
        <x:v>IT &amp; digital</x:v>
      </x:c>
      <x:c r="K7904" s="2" t="str">
        <x:v>PARTNER-M072</x:v>
      </x:c>
    </x:row>
    <x:row r="7905" ht="46" customHeight="1">
      <x:c r="A7905" s="2" t="str">
        <x:v>TEN-1E09F269372F</x:v>
      </x:c>
      <x:c r="B7905" s="12" t="str">
        <x:v>Yokogawa IA Technologies</x:v>
      </x:c>
      <x:c r="C7905" s="12" t="str">
        <x:v>CORP-0494</x:v>
      </x:c>
      <x:c r="D7905" s="12" t="str">
        <x:v>Bengaluru</x:v>
      </x:c>
      <x:c r="E7905" s="12" t="str">
        <x:v>Umiya Business Bay</x:v>
      </x:c>
      <x:c r="F7905" s="12" t="str">
        <x:v>55 inch</x:v>
      </x:c>
      <x:c r="G7905" s="20" t="n">
        <x:v>1</x:v>
      </x:c>
      <x:c r="H7905" s="12" t="str">
        <x:v>Campus/portfolio roster; individual building occupancy unverified</x:v>
      </x:c>
      <x:c r="I7905" s="12" t="str">
        <x:v>Mixed business audience</x:v>
      </x:c>
      <x:c r="J7905" s="12" t="str">
        <x:v>Engineering &amp; manufacturing</x:v>
      </x:c>
      <x:c r="K7905" s="2" t="str">
        <x:v>PARTNER-M072</x:v>
      </x:c>
    </x:row>
    <x:row r="7906" ht="46" customHeight="1">
      <x:c r="A7906" s="2" t="str">
        <x:v>TEN-2074EEA1A383</x:v>
      </x:c>
      <x:c r="B7906" s="12" t="str">
        <x:v>Page Industries</x:v>
      </x:c>
      <x:c r="C7906" s="12" t="str">
        <x:v>CORP-0494</x:v>
      </x:c>
      <x:c r="D7906" s="12" t="str">
        <x:v>Bengaluru</x:v>
      </x:c>
      <x:c r="E7906" s="12" t="str">
        <x:v>Umiya Business Bay</x:v>
      </x:c>
      <x:c r="F7906" s="12" t="str">
        <x:v>55 inch</x:v>
      </x:c>
      <x:c r="G7906" s="20" t="n">
        <x:v>1</x:v>
      </x:c>
      <x:c r="H7906" s="12" t="str">
        <x:v>Campus/portfolio roster; individual building occupancy unverified</x:v>
      </x:c>
      <x:c r="I7906" s="12" t="str">
        <x:v>Mixed business audience</x:v>
      </x:c>
      <x:c r="J7906" s="12" t="str">
        <x:v>Trade, consumer &amp; logistics</x:v>
      </x:c>
      <x:c r="K7906" s="2" t="str">
        <x:v>PARTNER-M072</x:v>
      </x:c>
    </x:row>
    <x:row r="7907" ht="46" customHeight="1">
      <x:c r="A7907" s="2" t="str">
        <x:v>TEN-2B3CCB1CD4C0</x:v>
      </x:c>
      <x:c r="B7907" s="12" t="str">
        <x:v>Simeio Development Centre</x:v>
      </x:c>
      <x:c r="C7907" s="12" t="str">
        <x:v>CORP-0494</x:v>
      </x:c>
      <x:c r="D7907" s="12" t="str">
        <x:v>Bengaluru</x:v>
      </x:c>
      <x:c r="E7907" s="12" t="str">
        <x:v>Umiya Business Bay</x:v>
      </x:c>
      <x:c r="F7907" s="12" t="str">
        <x:v>55 inch</x:v>
      </x:c>
      <x:c r="G7907" s="20" t="n">
        <x:v>1</x:v>
      </x:c>
      <x:c r="H7907" s="12" t="str">
        <x:v>Campus/portfolio roster; individual building occupancy unverified</x:v>
      </x:c>
      <x:c r="I7907" s="12" t="str">
        <x:v>Small-scale prospects</x:v>
      </x:c>
      <x:c r="J7907" s="12" t="str">
        <x:v>IT &amp; digital</x:v>
      </x:c>
      <x:c r="K7907" s="2" t="str">
        <x:v>PARTNER-M072</x:v>
      </x:c>
    </x:row>
    <x:row r="7908" ht="46" customHeight="1">
      <x:c r="A7908" s="2" t="str">
        <x:v>TEN-33E655A82EEA</x:v>
      </x:c>
      <x:c r="B7908" s="12" t="str">
        <x:v>T-Systems ICT</x:v>
      </x:c>
      <x:c r="C7908" s="12" t="str">
        <x:v>CORP-0494</x:v>
      </x:c>
      <x:c r="D7908" s="12" t="str">
        <x:v>Bengaluru</x:v>
      </x:c>
      <x:c r="E7908" s="12" t="str">
        <x:v>Umiya Business Bay</x:v>
      </x:c>
      <x:c r="F7908" s="12" t="str">
        <x:v>55 inch</x:v>
      </x:c>
      <x:c r="G7908" s="20" t="n">
        <x:v>1</x:v>
      </x:c>
      <x:c r="H7908" s="12" t="str">
        <x:v>Campus/portfolio roster; individual building occupancy unverified</x:v>
      </x:c>
      <x:c r="I7908" s="12" t="str">
        <x:v>Large enterprise</x:v>
      </x:c>
      <x:c r="J7908" s="12" t="str">
        <x:v>IT &amp; digital</x:v>
      </x:c>
      <x:c r="K7908" s="2" t="str">
        <x:v>PARTNER-M072</x:v>
      </x:c>
    </x:row>
    <x:row r="7909" ht="46" customHeight="1">
      <x:c r="A7909" s="2" t="str">
        <x:v>TEN-345FC99B9620</x:v>
      </x:c>
      <x:c r="B7909" s="12" t="str">
        <x:v>Spirent Communications</x:v>
      </x:c>
      <x:c r="C7909" s="12" t="str">
        <x:v>CORP-0494</x:v>
      </x:c>
      <x:c r="D7909" s="12" t="str">
        <x:v>Bengaluru</x:v>
      </x:c>
      <x:c r="E7909" s="12" t="str">
        <x:v>Umiya Business Bay</x:v>
      </x:c>
      <x:c r="F7909" s="12" t="str">
        <x:v>55 inch</x:v>
      </x:c>
      <x:c r="G7909" s="20" t="n">
        <x:v>1</x:v>
      </x:c>
      <x:c r="H7909" s="12" t="str">
        <x:v>Campus/portfolio roster; individual building occupancy unverified</x:v>
      </x:c>
      <x:c r="I7909" s="12" t="str">
        <x:v>Mixed business audience</x:v>
      </x:c>
      <x:c r="J7909" s="12" t="str">
        <x:v>IT &amp; digital</x:v>
      </x:c>
      <x:c r="K7909" s="2" t="str">
        <x:v>PARTNER-M072</x:v>
      </x:c>
    </x:row>
    <x:row r="7910" ht="46" customHeight="1">
      <x:c r="A7910" s="2" t="str">
        <x:v>TEN-3546C13C4818</x:v>
      </x:c>
      <x:c r="B7910" s="12" t="str">
        <x:v>Sonus Networks</x:v>
      </x:c>
      <x:c r="C7910" s="12" t="str">
        <x:v>CORP-0494</x:v>
      </x:c>
      <x:c r="D7910" s="12" t="str">
        <x:v>Bengaluru</x:v>
      </x:c>
      <x:c r="E7910" s="12" t="str">
        <x:v>Umiya Business Bay</x:v>
      </x:c>
      <x:c r="F7910" s="12" t="str">
        <x:v>55 inch</x:v>
      </x:c>
      <x:c r="G7910" s="20" t="n">
        <x:v>1</x:v>
      </x:c>
      <x:c r="H7910" s="12" t="str">
        <x:v>Campus/portfolio roster; individual building occupancy unverified</x:v>
      </x:c>
      <x:c r="I7910" s="12" t="str">
        <x:v>Mixed business audience</x:v>
      </x:c>
      <x:c r="J7910" s="12" t="str">
        <x:v>IT &amp; digital</x:v>
      </x:c>
      <x:c r="K7910" s="2" t="str">
        <x:v>PARTNER-M072</x:v>
      </x:c>
    </x:row>
    <x:row r="7911" ht="46" customHeight="1">
      <x:c r="A7911" s="2" t="str">
        <x:v>TEN-394B4E545B9B</x:v>
      </x:c>
      <x:c r="B7911" s="12" t="str">
        <x:v>Fidelity National Financial</x:v>
      </x:c>
      <x:c r="C7911" s="12" t="str">
        <x:v>CORP-0494</x:v>
      </x:c>
      <x:c r="D7911" s="12" t="str">
        <x:v>Bengaluru</x:v>
      </x:c>
      <x:c r="E7911" s="12" t="str">
        <x:v>Umiya Business Bay</x:v>
      </x:c>
      <x:c r="F7911" s="12" t="str">
        <x:v>55 inch</x:v>
      </x:c>
      <x:c r="G7911" s="20" t="n">
        <x:v>1</x:v>
      </x:c>
      <x:c r="H7911" s="12" t="str">
        <x:v>Campus/portfolio roster; individual building occupancy unverified</x:v>
      </x:c>
      <x:c r="I7911" s="12" t="str">
        <x:v>Mixed business audience</x:v>
      </x:c>
      <x:c r="J7911" s="12" t="str">
        <x:v>Finance &amp; insurance</x:v>
      </x:c>
      <x:c r="K7911" s="2" t="str">
        <x:v>PARTNER-M072</x:v>
      </x:c>
    </x:row>
    <x:row r="7912" ht="46" customHeight="1">
      <x:c r="A7912" s="2" t="str">
        <x:v>TEN-434AF73F01EE</x:v>
      </x:c>
      <x:c r="B7912" s="12" t="str">
        <x:v>Accolite Software</x:v>
      </x:c>
      <x:c r="C7912" s="12" t="str">
        <x:v>CORP-0494</x:v>
      </x:c>
      <x:c r="D7912" s="12" t="str">
        <x:v>Bengaluru</x:v>
      </x:c>
      <x:c r="E7912" s="12" t="str">
        <x:v>Umiya Business Bay</x:v>
      </x:c>
      <x:c r="F7912" s="12" t="str">
        <x:v>55 inch</x:v>
      </x:c>
      <x:c r="G7912" s="20" t="n">
        <x:v>1</x:v>
      </x:c>
      <x:c r="H7912" s="12" t="str">
        <x:v>Campus/portfolio roster; individual building occupancy unverified</x:v>
      </x:c>
      <x:c r="I7912" s="12" t="str">
        <x:v>Mixed business audience</x:v>
      </x:c>
      <x:c r="J7912" s="12" t="str">
        <x:v>IT &amp; digital</x:v>
      </x:c>
      <x:c r="K7912" s="2" t="str">
        <x:v>PARTNER-M072</x:v>
      </x:c>
    </x:row>
    <x:row r="7913" ht="46" customHeight="1">
      <x:c r="A7913" s="2" t="str">
        <x:v>TEN-534169F77A0F</x:v>
      </x:c>
      <x:c r="B7913" s="12" t="str">
        <x:v>iKeva Business Centre</x:v>
      </x:c>
      <x:c r="C7913" s="12" t="str">
        <x:v>CORP-0494</x:v>
      </x:c>
      <x:c r="D7913" s="12" t="str">
        <x:v>Bengaluru</x:v>
      </x:c>
      <x:c r="E7913" s="12" t="str">
        <x:v>Umiya Business Bay</x:v>
      </x:c>
      <x:c r="F7913" s="12" t="str">
        <x:v>55 inch</x:v>
      </x:c>
      <x:c r="G7913" s="20" t="n">
        <x:v>1</x:v>
      </x:c>
      <x:c r="H7913" s="12" t="str">
        <x:v>Campus/portfolio roster; individual building occupancy unverified</x:v>
      </x:c>
      <x:c r="I7913" s="12" t="str">
        <x:v>Mixed business audience</x:v>
      </x:c>
      <x:c r="J7913" s="12" t="str">
        <x:v>Workspace &amp; property operations</x:v>
      </x:c>
      <x:c r="K7913" s="2" t="str">
        <x:v>PARTNER-M072</x:v>
      </x:c>
    </x:row>
    <x:row r="7914" ht="46" customHeight="1">
      <x:c r="A7914" s="2" t="str">
        <x:v>TEN-71A678C907B2</x:v>
      </x:c>
      <x:c r="B7914" s="12" t="str">
        <x:v>Xactly Technologies</x:v>
      </x:c>
      <x:c r="C7914" s="12" t="str">
        <x:v>CORP-0494</x:v>
      </x:c>
      <x:c r="D7914" s="12" t="str">
        <x:v>Bengaluru</x:v>
      </x:c>
      <x:c r="E7914" s="12" t="str">
        <x:v>Umiya Business Bay</x:v>
      </x:c>
      <x:c r="F7914" s="12" t="str">
        <x:v>55 inch</x:v>
      </x:c>
      <x:c r="G7914" s="20" t="n">
        <x:v>1</x:v>
      </x:c>
      <x:c r="H7914" s="12" t="str">
        <x:v>Campus/portfolio roster; individual building occupancy unverified</x:v>
      </x:c>
      <x:c r="I7914" s="12" t="str">
        <x:v>Mixed business audience</x:v>
      </x:c>
      <x:c r="J7914" s="12" t="str">
        <x:v>IT &amp; digital</x:v>
      </x:c>
      <x:c r="K7914" s="2" t="str">
        <x:v>PARTNER-M072</x:v>
      </x:c>
    </x:row>
    <x:row r="7915" ht="46" customHeight="1">
      <x:c r="A7915" s="2" t="str">
        <x:v>TEN-7C1C2E1FDB67</x:v>
      </x:c>
      <x:c r="B7915" s="12" t="str">
        <x:v>AT&amp;T Communication Services</x:v>
      </x:c>
      <x:c r="C7915" s="12" t="str">
        <x:v>CORP-0494</x:v>
      </x:c>
      <x:c r="D7915" s="12" t="str">
        <x:v>Bengaluru</x:v>
      </x:c>
      <x:c r="E7915" s="12" t="str">
        <x:v>Umiya Business Bay</x:v>
      </x:c>
      <x:c r="F7915" s="12" t="str">
        <x:v>55 inch</x:v>
      </x:c>
      <x:c r="G7915" s="20" t="n">
        <x:v>1</x:v>
      </x:c>
      <x:c r="H7915" s="12" t="str">
        <x:v>Campus/portfolio roster; individual building occupancy unverified</x:v>
      </x:c>
      <x:c r="I7915" s="12" t="str">
        <x:v>Mixed business audience</x:v>
      </x:c>
      <x:c r="J7915" s="12" t="str">
        <x:v>IT &amp; digital</x:v>
      </x:c>
      <x:c r="K7915" s="2" t="str">
        <x:v>PARTNER-M072</x:v>
      </x:c>
    </x:row>
    <x:row r="7916" ht="46" customHeight="1">
      <x:c r="A7916" s="2" t="str">
        <x:v>TEN-845733A0CA33</x:v>
      </x:c>
      <x:c r="B7916" s="12" t="str">
        <x:v>T-Systems</x:v>
      </x:c>
      <x:c r="C7916" s="12" t="str">
        <x:v>CORP-0494</x:v>
      </x:c>
      <x:c r="D7916" s="12" t="str">
        <x:v>Bengaluru</x:v>
      </x:c>
      <x:c r="E7916" s="12" t="str">
        <x:v>Umiya Business Bay</x:v>
      </x:c>
      <x:c r="F7916" s="12" t="str">
        <x:v>55 inch</x:v>
      </x:c>
      <x:c r="G7916" s="20" t="n">
        <x:v>1</x:v>
      </x:c>
      <x:c r="H7916" s="12" t="str">
        <x:v>Campus/portfolio roster; individual building occupancy unverified</x:v>
      </x:c>
      <x:c r="I7916" s="12" t="str">
        <x:v>Large enterprise</x:v>
      </x:c>
      <x:c r="J7916" s="12" t="str">
        <x:v>IT &amp; digital</x:v>
      </x:c>
      <x:c r="K7916" s="2" t="str">
        <x:v>PARTNER-M072</x:v>
      </x:c>
    </x:row>
    <x:row r="7917" ht="46" customHeight="1">
      <x:c r="A7917" s="2" t="str">
        <x:v>TEN-97B1AE253744</x:v>
      </x:c>
      <x:c r="B7917" s="12" t="str">
        <x:v>FNF India</x:v>
      </x:c>
      <x:c r="C7917" s="12" t="str">
        <x:v>CORP-0494</x:v>
      </x:c>
      <x:c r="D7917" s="12" t="str">
        <x:v>Bengaluru</x:v>
      </x:c>
      <x:c r="E7917" s="12" t="str">
        <x:v>Umiya Business Bay</x:v>
      </x:c>
      <x:c r="F7917" s="12" t="str">
        <x:v>55 inch</x:v>
      </x:c>
      <x:c r="G7917" s="20" t="n">
        <x:v>1</x:v>
      </x:c>
      <x:c r="H7917" s="12" t="str">
        <x:v>Campus/portfolio roster; individual building occupancy unverified</x:v>
      </x:c>
      <x:c r="I7917" s="12" t="str">
        <x:v>Mixed business audience</x:v>
      </x:c>
      <x:c r="J7917" s="12" t="str">
        <x:v>Finance &amp; insurance</x:v>
      </x:c>
      <x:c r="K7917" s="2" t="str">
        <x:v>PARTNER-M072</x:v>
      </x:c>
    </x:row>
    <x:row r="7918" ht="46" customHeight="1">
      <x:c r="A7918" s="2" t="str">
        <x:v>TEN-9FB259296B34</x:v>
      </x:c>
      <x:c r="B7918" s="12" t="str">
        <x:v>Bridgei2i Analytics Solutions</x:v>
      </x:c>
      <x:c r="C7918" s="12" t="str">
        <x:v>CORP-0494</x:v>
      </x:c>
      <x:c r="D7918" s="12" t="str">
        <x:v>Bengaluru</x:v>
      </x:c>
      <x:c r="E7918" s="12" t="str">
        <x:v>Umiya Business Bay</x:v>
      </x:c>
      <x:c r="F7918" s="12" t="str">
        <x:v>55 inch</x:v>
      </x:c>
      <x:c r="G7918" s="20" t="n">
        <x:v>1</x:v>
      </x:c>
      <x:c r="H7918" s="12" t="str">
        <x:v>Campus/portfolio roster; individual building occupancy unverified</x:v>
      </x:c>
      <x:c r="I7918" s="12" t="str">
        <x:v>Mixed business audience</x:v>
      </x:c>
      <x:c r="J7918" s="12" t="str">
        <x:v>IT &amp; digital</x:v>
      </x:c>
      <x:c r="K7918" s="2" t="str">
        <x:v>PARTNER-M072</x:v>
      </x:c>
    </x:row>
    <x:row r="7919" ht="46" customHeight="1">
      <x:c r="A7919" s="2" t="str">
        <x:v>TEN-DEFF9DF9AA15</x:v>
      </x:c>
      <x:c r="B7919" s="12" t="str">
        <x:v>Tieto Software</x:v>
      </x:c>
      <x:c r="C7919" s="12" t="str">
        <x:v>CORP-0494</x:v>
      </x:c>
      <x:c r="D7919" s="12" t="str">
        <x:v>Bengaluru</x:v>
      </x:c>
      <x:c r="E7919" s="12" t="str">
        <x:v>Umiya Business Bay</x:v>
      </x:c>
      <x:c r="F7919" s="12" t="str">
        <x:v>55 inch</x:v>
      </x:c>
      <x:c r="G7919" s="20" t="n">
        <x:v>1</x:v>
      </x:c>
      <x:c r="H7919" s="12" t="str">
        <x:v>Campus/portfolio roster; individual building occupancy unverified</x:v>
      </x:c>
      <x:c r="I7919" s="12" t="str">
        <x:v>Mixed business audience</x:v>
      </x:c>
      <x:c r="J7919" s="12" t="str">
        <x:v>IT &amp; digital</x:v>
      </x:c>
      <x:c r="K7919" s="2" t="str">
        <x:v>PARTNER-M072</x:v>
      </x:c>
    </x:row>
    <x:row r="7920" ht="46" customHeight="1">
      <x:c r="A7920" s="2" t="str">
        <x:v>TEN-F0E21574F5BD</x:v>
      </x:c>
      <x:c r="B7920" s="12" t="str">
        <x:v>Cambium Networks</x:v>
      </x:c>
      <x:c r="C7920" s="12" t="str">
        <x:v>CORP-0494</x:v>
      </x:c>
      <x:c r="D7920" s="12" t="str">
        <x:v>Bengaluru</x:v>
      </x:c>
      <x:c r="E7920" s="12" t="str">
        <x:v>Umiya Business Bay</x:v>
      </x:c>
      <x:c r="F7920" s="12" t="str">
        <x:v>55 inch</x:v>
      </x:c>
      <x:c r="G7920" s="20" t="n">
        <x:v>1</x:v>
      </x:c>
      <x:c r="H7920" s="12" t="str">
        <x:v>Campus/portfolio roster; individual building occupancy unverified</x:v>
      </x:c>
      <x:c r="I7920" s="12" t="str">
        <x:v>Mixed business audience</x:v>
      </x:c>
      <x:c r="J7920" s="12" t="str">
        <x:v>IT &amp; digital</x:v>
      </x:c>
      <x:c r="K7920" s="2" t="str">
        <x:v>PARTNER-M072</x:v>
      </x:c>
    </x:row>
    <x:row r="7921" ht="46" customHeight="1">
      <x:c r="A7921" s="2" t="str">
        <x:v>TEN-FFF9B8935849</x:v>
      </x:c>
      <x:c r="B7921" s="12" t="str">
        <x:v>Sophos Technologies</x:v>
      </x:c>
      <x:c r="C7921" s="12" t="str">
        <x:v>CORP-0494</x:v>
      </x:c>
      <x:c r="D7921" s="12" t="str">
        <x:v>Bengaluru</x:v>
      </x:c>
      <x:c r="E7921" s="12" t="str">
        <x:v>Umiya Business Bay</x:v>
      </x:c>
      <x:c r="F7921" s="12" t="str">
        <x:v>55 inch</x:v>
      </x:c>
      <x:c r="G7921" s="20" t="n">
        <x:v>1</x:v>
      </x:c>
      <x:c r="H7921" s="12" t="str">
        <x:v>Campus/portfolio roster; individual building occupancy unverified</x:v>
      </x:c>
      <x:c r="I7921" s="12" t="str">
        <x:v>Mixed business audience</x:v>
      </x:c>
      <x:c r="J7921" s="12" t="str">
        <x:v>IT &amp; digital</x:v>
      </x:c>
      <x:c r="K7921" s="2" t="str">
        <x:v>PARTNER-M072</x:v>
      </x:c>
    </x:row>
    <x:row r="7922" ht="46" customHeight="1">
      <x:c r="A7922" s="2" t="str">
        <x:v>TEN-020941631166</x:v>
      </x:c>
      <x:c r="B7922" s="12" t="str">
        <x:v>EXA-AG</x:v>
      </x:c>
      <x:c r="C7922" s="12" t="str">
        <x:v>CORP-0423</x:v>
      </x:c>
      <x:c r="D7922" s="12" t="str">
        <x:v>Bengaluru</x:v>
      </x:c>
      <x:c r="E7922" s="12" t="str">
        <x:v>International Tech Park (ITPB)</x:v>
      </x:c>
      <x:c r="F7922" s="12" t="str">
        <x:v>55 inch</x:v>
      </x:c>
      <x:c r="G7922" s="20" t="n">
        <x:v>1</x:v>
      </x:c>
      <x:c r="H7922" s="12" t="str">
        <x:v>Campus/portfolio roster; individual building occupancy unverified</x:v>
      </x:c>
      <x:c r="I7922" s="12" t="str">
        <x:v>Small-scale prospects</x:v>
      </x:c>
      <x:c r="J7922" s="12" t="str">
        <x:v>IT &amp; digital</x:v>
      </x:c>
      <x:c r="K7922" s="2" t="str">
        <x:v>PARTNER-M002</x:v>
      </x:c>
    </x:row>
    <x:row r="7923" ht="46" customHeight="1">
      <x:c r="A7923" s="2" t="str">
        <x:v>TEN-046FCB362D0A</x:v>
      </x:c>
      <x:c r="B7923" s="12" t="str">
        <x:v>judge India</x:v>
      </x:c>
      <x:c r="C7923" s="12" t="str">
        <x:v>CORP-0423</x:v>
      </x:c>
      <x:c r="D7923" s="12" t="str">
        <x:v>Bengaluru</x:v>
      </x:c>
      <x:c r="E7923" s="12" t="str">
        <x:v>International Tech Park (ITPB)</x:v>
      </x:c>
      <x:c r="F7923" s="12" t="str">
        <x:v>55 inch</x:v>
      </x:c>
      <x:c r="G7923" s="20" t="n">
        <x:v>1</x:v>
      </x:c>
      <x:c r="H7923" s="12" t="str">
        <x:v>Campus/portfolio roster; individual building occupancy unverified</x:v>
      </x:c>
      <x:c r="I7923" s="12" t="str">
        <x:v>Mixed business audience</x:v>
      </x:c>
      <x:c r="J7923" s="12" t="str">
        <x:v>Unresolved</x:v>
      </x:c>
      <x:c r="K7923" s="2" t="str">
        <x:v>PARTNER-M002</x:v>
      </x:c>
    </x:row>
    <x:row r="7924" ht="46" customHeight="1">
      <x:c r="A7924" s="2" t="str">
        <x:v>TEN-06DF4DFB01BE</x:v>
      </x:c>
      <x:c r="B7924" s="12" t="str">
        <x:v>Gyansys Infotech</x:v>
      </x:c>
      <x:c r="C7924" s="12" t="str">
        <x:v>CORP-0423</x:v>
      </x:c>
      <x:c r="D7924" s="12" t="str">
        <x:v>Bengaluru</x:v>
      </x:c>
      <x:c r="E7924" s="12" t="str">
        <x:v>International Tech Park (ITPB)</x:v>
      </x:c>
      <x:c r="F7924" s="12" t="str">
        <x:v>55 inch</x:v>
      </x:c>
      <x:c r="G7924" s="20" t="n">
        <x:v>1</x:v>
      </x:c>
      <x:c r="H7924" s="12" t="str">
        <x:v>Campus/portfolio roster; individual building occupancy unverified</x:v>
      </x:c>
      <x:c r="I7924" s="12" t="str">
        <x:v>Small-scale prospects</x:v>
      </x:c>
      <x:c r="J7924" s="12" t="str">
        <x:v>IT &amp; digital</x:v>
      </x:c>
      <x:c r="K7924" s="2" t="str">
        <x:v>PARTNER-M002</x:v>
      </x:c>
    </x:row>
    <x:row r="7925" ht="46" customHeight="1">
      <x:c r="A7925" s="2" t="str">
        <x:v>TEN-0716830D1238</x:v>
      </x:c>
      <x:c r="B7925" s="12" t="str">
        <x:v>Kaalari Capital</x:v>
      </x:c>
      <x:c r="C7925" s="12" t="str">
        <x:v>CORP-0423</x:v>
      </x:c>
      <x:c r="D7925" s="12" t="str">
        <x:v>Bengaluru</x:v>
      </x:c>
      <x:c r="E7925" s="12" t="str">
        <x:v>International Tech Park (ITPB)</x:v>
      </x:c>
      <x:c r="F7925" s="12" t="str">
        <x:v>55 inch</x:v>
      </x:c>
      <x:c r="G7925" s="20" t="n">
        <x:v>1</x:v>
      </x:c>
      <x:c r="H7925" s="12" t="str">
        <x:v>Campus/portfolio roster; individual building occupancy unverified</x:v>
      </x:c>
      <x:c r="I7925" s="12" t="str">
        <x:v>Medium-scale prospects</x:v>
      </x:c>
      <x:c r="J7925" s="12" t="str">
        <x:v>Finance &amp; insurance</x:v>
      </x:c>
      <x:c r="K7925" s="2" t="str">
        <x:v>PARTNER-M002</x:v>
      </x:c>
    </x:row>
    <x:row r="7926" ht="46" customHeight="1">
      <x:c r="A7926" s="2" t="str">
        <x:v>TEN-095DAC44FBD3</x:v>
      </x:c>
      <x:c r="B7926" s="12" t="str">
        <x:v>SOA IT</x:v>
      </x:c>
      <x:c r="C7926" s="12" t="str">
        <x:v>CORP-0423</x:v>
      </x:c>
      <x:c r="D7926" s="12" t="str">
        <x:v>Bengaluru</x:v>
      </x:c>
      <x:c r="E7926" s="12" t="str">
        <x:v>International Tech Park (ITPB)</x:v>
      </x:c>
      <x:c r="F7926" s="12" t="str">
        <x:v>55 inch</x:v>
      </x:c>
      <x:c r="G7926" s="20" t="n">
        <x:v>1</x:v>
      </x:c>
      <x:c r="H7926" s="12" t="str">
        <x:v>Campus/portfolio roster; individual building occupancy unverified</x:v>
      </x:c>
      <x:c r="I7926" s="12" t="str">
        <x:v>Small-scale prospects</x:v>
      </x:c>
      <x:c r="J7926" s="12" t="str">
        <x:v>IT &amp; digital</x:v>
      </x:c>
      <x:c r="K7926" s="2" t="str">
        <x:v>PARTNER-M002</x:v>
      </x:c>
    </x:row>
    <x:row r="7927" ht="46" customHeight="1">
      <x:c r="A7927" s="2" t="str">
        <x:v>TEN-0B9EE0B94DB9</x:v>
      </x:c>
      <x:c r="B7927" s="12" t="str">
        <x:v>Kyndryl</x:v>
      </x:c>
      <x:c r="C7927" s="12" t="str">
        <x:v>CORP-0423</x:v>
      </x:c>
      <x:c r="D7927" s="12" t="str">
        <x:v>Bengaluru</x:v>
      </x:c>
      <x:c r="E7927" s="12" t="str">
        <x:v>International Tech Park (ITPB)</x:v>
      </x:c>
      <x:c r="F7927" s="12" t="str">
        <x:v>55 inch</x:v>
      </x:c>
      <x:c r="G7927" s="20" t="n">
        <x:v>1</x:v>
      </x:c>
      <x:c r="H7927" s="12" t="str">
        <x:v>Campus/portfolio roster; individual building occupancy unverified</x:v>
      </x:c>
      <x:c r="I7927" s="12" t="str">
        <x:v>Mixed business audience</x:v>
      </x:c>
      <x:c r="J7927" s="12" t="str">
        <x:v>IT &amp; digital</x:v>
      </x:c>
      <x:c r="K7927" s="2" t="str">
        <x:v>PARTNER-M002</x:v>
      </x:c>
    </x:row>
    <x:row r="7928" ht="46" customHeight="1">
      <x:c r="A7928" s="2" t="str">
        <x:v>TEN-0BF923F90AB2</x:v>
      </x:c>
      <x:c r="B7928" s="12" t="str">
        <x:v>Reliance</x:v>
      </x:c>
      <x:c r="C7928" s="12" t="str">
        <x:v>CORP-0423</x:v>
      </x:c>
      <x:c r="D7928" s="12" t="str">
        <x:v>Bengaluru</x:v>
      </x:c>
      <x:c r="E7928" s="12" t="str">
        <x:v>International Tech Park (ITPB)</x:v>
      </x:c>
      <x:c r="F7928" s="12" t="str">
        <x:v>55 inch</x:v>
      </x:c>
      <x:c r="G7928" s="20" t="n">
        <x:v>1</x:v>
      </x:c>
      <x:c r="H7928" s="12" t="str">
        <x:v>Campus/portfolio roster; individual building occupancy unverified</x:v>
      </x:c>
      <x:c r="I7928" s="12" t="str">
        <x:v>Mixed business audience</x:v>
      </x:c>
      <x:c r="J7928" s="12" t="str">
        <x:v>Unresolved</x:v>
      </x:c>
      <x:c r="K7928" s="2" t="str">
        <x:v>PARTNER-M002</x:v>
      </x:c>
    </x:row>
    <x:row r="7929" ht="46" customHeight="1">
      <x:c r="A7929" s="2" t="str">
        <x:v>TEN-0EFAB3176540</x:v>
      </x:c>
      <x:c r="B7929" s="12" t="str">
        <x:v>Sycomp</x:v>
      </x:c>
      <x:c r="C7929" s="12" t="str">
        <x:v>CORP-0423</x:v>
      </x:c>
      <x:c r="D7929" s="12" t="str">
        <x:v>Bengaluru</x:v>
      </x:c>
      <x:c r="E7929" s="12" t="str">
        <x:v>International Tech Park (ITPB)</x:v>
      </x:c>
      <x:c r="F7929" s="12" t="str">
        <x:v>55 inch</x:v>
      </x:c>
      <x:c r="G7929" s="20" t="n">
        <x:v>1</x:v>
      </x:c>
      <x:c r="H7929" s="12" t="str">
        <x:v>Campus/portfolio roster; individual building occupancy unverified</x:v>
      </x:c>
      <x:c r="I7929" s="12" t="str">
        <x:v>Small-scale prospects</x:v>
      </x:c>
      <x:c r="J7929" s="12" t="str">
        <x:v>IT &amp; digital</x:v>
      </x:c>
      <x:c r="K7929" s="2" t="str">
        <x:v>PARTNER-M002</x:v>
      </x:c>
    </x:row>
    <x:row r="7930" ht="46" customHeight="1">
      <x:c r="A7930" s="2" t="str">
        <x:v>TEN-0F0E714E580D</x:v>
      </x:c>
      <x:c r="B7930" s="12" t="str">
        <x:v>Scientific Games</x:v>
      </x:c>
      <x:c r="C7930" s="12" t="str">
        <x:v>CORP-0423</x:v>
      </x:c>
      <x:c r="D7930" s="12" t="str">
        <x:v>Bengaluru</x:v>
      </x:c>
      <x:c r="E7930" s="12" t="str">
        <x:v>International Tech Park (ITPB)</x:v>
      </x:c>
      <x:c r="F7930" s="12" t="str">
        <x:v>55 inch</x:v>
      </x:c>
      <x:c r="G7930" s="20" t="n">
        <x:v>1</x:v>
      </x:c>
      <x:c r="H7930" s="12" t="str">
        <x:v>Campus/portfolio roster; individual building occupancy unverified</x:v>
      </x:c>
      <x:c r="I7930" s="12" t="str">
        <x:v>Mixed business audience</x:v>
      </x:c>
      <x:c r="J7930" s="12" t="str">
        <x:v>Trade, consumer &amp; logistics</x:v>
      </x:c>
      <x:c r="K7930" s="2" t="str">
        <x:v>PARTNER-M002</x:v>
      </x:c>
    </x:row>
    <x:row r="7931" ht="46" customHeight="1">
      <x:c r="A7931" s="2" t="str">
        <x:v>TEN-184C1AE98B51</x:v>
      </x:c>
      <x:c r="B7931" s="12" t="str">
        <x:v>N.F Simth</x:v>
      </x:c>
      <x:c r="C7931" s="12" t="str">
        <x:v>CORP-0423</x:v>
      </x:c>
      <x:c r="D7931" s="12" t="str">
        <x:v>Bengaluru</x:v>
      </x:c>
      <x:c r="E7931" s="12" t="str">
        <x:v>International Tech Park (ITPB)</x:v>
      </x:c>
      <x:c r="F7931" s="12" t="str">
        <x:v>55 inch</x:v>
      </x:c>
      <x:c r="G7931" s="20" t="n">
        <x:v>1</x:v>
      </x:c>
      <x:c r="H7931" s="12" t="str">
        <x:v>Campus/portfolio roster; individual building occupancy unverified</x:v>
      </x:c>
      <x:c r="I7931" s="12" t="str">
        <x:v>Mixed business audience</x:v>
      </x:c>
      <x:c r="J7931" s="12" t="str">
        <x:v>Unresolved</x:v>
      </x:c>
      <x:c r="K7931" s="2" t="str">
        <x:v>PARTNER-M002</x:v>
      </x:c>
    </x:row>
    <x:row r="7932" ht="46" customHeight="1">
      <x:c r="A7932" s="2" t="str">
        <x:v>TEN-1B4CDA7D6285</x:v>
      </x:c>
      <x:c r="B7932" s="12" t="str">
        <x:v>Jupiter Intergrated</x:v>
      </x:c>
      <x:c r="C7932" s="12" t="str">
        <x:v>CORP-0423</x:v>
      </x:c>
      <x:c r="D7932" s="12" t="str">
        <x:v>Bengaluru</x:v>
      </x:c>
      <x:c r="E7932" s="12" t="str">
        <x:v>International Tech Park (ITPB)</x:v>
      </x:c>
      <x:c r="F7932" s="12" t="str">
        <x:v>55 inch</x:v>
      </x:c>
      <x:c r="G7932" s="20" t="n">
        <x:v>1</x:v>
      </x:c>
      <x:c r="H7932" s="12" t="str">
        <x:v>Campus/portfolio roster; individual building occupancy unverified</x:v>
      </x:c>
      <x:c r="I7932" s="12" t="str">
        <x:v>Mixed business audience</x:v>
      </x:c>
      <x:c r="J7932" s="12" t="str">
        <x:v>Unresolved</x:v>
      </x:c>
      <x:c r="K7932" s="2" t="str">
        <x:v>PARTNER-M002</x:v>
      </x:c>
    </x:row>
    <x:row r="7933" ht="46" customHeight="1">
      <x:c r="A7933" s="2" t="str">
        <x:v>TEN-2026E5F6610A</x:v>
      </x:c>
      <x:c r="B7933" s="12" t="str">
        <x:v>PPalc Networks</x:v>
      </x:c>
      <x:c r="C7933" s="12" t="str">
        <x:v>CORP-0423</x:v>
      </x:c>
      <x:c r="D7933" s="12" t="str">
        <x:v>Bengaluru</x:v>
      </x:c>
      <x:c r="E7933" s="12" t="str">
        <x:v>International Tech Park (ITPB)</x:v>
      </x:c>
      <x:c r="F7933" s="12" t="str">
        <x:v>55 inch</x:v>
      </x:c>
      <x:c r="G7933" s="20" t="n">
        <x:v>1</x:v>
      </x:c>
      <x:c r="H7933" s="12" t="str">
        <x:v>Campus/portfolio roster; individual building occupancy unverified</x:v>
      </x:c>
      <x:c r="I7933" s="12" t="str">
        <x:v>Small-scale prospects</x:v>
      </x:c>
      <x:c r="J7933" s="12" t="str">
        <x:v>IT &amp; digital</x:v>
      </x:c>
      <x:c r="K7933" s="2" t="str">
        <x:v>PARTNER-M002</x:v>
      </x:c>
    </x:row>
    <x:row r="7934" ht="46" customHeight="1">
      <x:c r="A7934" s="2" t="str">
        <x:v>TEN-20DEB070372D</x:v>
      </x:c>
      <x:c r="B7934" s="12" t="str">
        <x:v>Thoucentric</x:v>
      </x:c>
      <x:c r="C7934" s="12" t="str">
        <x:v>CORP-0423</x:v>
      </x:c>
      <x:c r="D7934" s="12" t="str">
        <x:v>Bengaluru</x:v>
      </x:c>
      <x:c r="E7934" s="12" t="str">
        <x:v>International Tech Park (ITPB)</x:v>
      </x:c>
      <x:c r="F7934" s="12" t="str">
        <x:v>55 inch</x:v>
      </x:c>
      <x:c r="G7934" s="20" t="n">
        <x:v>1</x:v>
      </x:c>
      <x:c r="H7934" s="12" t="str">
        <x:v>Campus/portfolio roster; individual building occupancy unverified</x:v>
      </x:c>
      <x:c r="I7934" s="12" t="str">
        <x:v>Mixed business audience</x:v>
      </x:c>
      <x:c r="J7934" s="12" t="str">
        <x:v>IT &amp; digital</x:v>
      </x:c>
      <x:c r="K7934" s="2" t="str">
        <x:v>PARTNER-M002</x:v>
      </x:c>
    </x:row>
    <x:row r="7935" ht="46" customHeight="1">
      <x:c r="A7935" s="2" t="str">
        <x:v>TEN-21972B078EB5</x:v>
      </x:c>
      <x:c r="B7935" s="12" t="str">
        <x:v>Denso International</x:v>
      </x:c>
      <x:c r="C7935" s="12" t="str">
        <x:v>CORP-0423</x:v>
      </x:c>
      <x:c r="D7935" s="12" t="str">
        <x:v>Bengaluru</x:v>
      </x:c>
      <x:c r="E7935" s="12" t="str">
        <x:v>International Tech Park (ITPB)</x:v>
      </x:c>
      <x:c r="F7935" s="12" t="str">
        <x:v>55 inch</x:v>
      </x:c>
      <x:c r="G7935" s="20" t="n">
        <x:v>1</x:v>
      </x:c>
      <x:c r="H7935" s="12" t="str">
        <x:v>Campus/portfolio roster; individual building occupancy unverified</x:v>
      </x:c>
      <x:c r="I7935" s="12" t="str">
        <x:v>Mixed business audience</x:v>
      </x:c>
      <x:c r="J7935" s="12" t="str">
        <x:v>Engineering &amp; manufacturing</x:v>
      </x:c>
      <x:c r="K7935" s="2" t="str">
        <x:v>PARTNER-M002</x:v>
      </x:c>
    </x:row>
    <x:row r="7936" ht="46" customHeight="1">
      <x:c r="A7936" s="2" t="str">
        <x:v>TEN-22A366EB6CEC</x:v>
      </x:c>
      <x:c r="B7936" s="12" t="str">
        <x:v>Xandr India</x:v>
      </x:c>
      <x:c r="C7936" s="12" t="str">
        <x:v>CORP-0423</x:v>
      </x:c>
      <x:c r="D7936" s="12" t="str">
        <x:v>Bengaluru</x:v>
      </x:c>
      <x:c r="E7936" s="12" t="str">
        <x:v>International Tech Park (ITPB)</x:v>
      </x:c>
      <x:c r="F7936" s="12" t="str">
        <x:v>55 inch</x:v>
      </x:c>
      <x:c r="G7936" s="20" t="n">
        <x:v>1</x:v>
      </x:c>
      <x:c r="H7936" s="12" t="str">
        <x:v>Campus/portfolio roster; individual building occupancy unverified</x:v>
      </x:c>
      <x:c r="I7936" s="12" t="str">
        <x:v>Mixed business audience</x:v>
      </x:c>
      <x:c r="J7936" s="12" t="str">
        <x:v>IT &amp; digital</x:v>
      </x:c>
      <x:c r="K7936" s="2" t="str">
        <x:v>PARTNER-M002</x:v>
      </x:c>
    </x:row>
    <x:row r="7937" ht="46" customHeight="1">
      <x:c r="A7937" s="2" t="str">
        <x:v>TEN-2417E5B2BCE7</x:v>
      </x:c>
      <x:c r="B7937" s="12" t="str">
        <x:v>Galax E Solutions</x:v>
      </x:c>
      <x:c r="C7937" s="12" t="str">
        <x:v>CORP-0423</x:v>
      </x:c>
      <x:c r="D7937" s="12" t="str">
        <x:v>Bengaluru</x:v>
      </x:c>
      <x:c r="E7937" s="12" t="str">
        <x:v>International Tech Park (ITPB)</x:v>
      </x:c>
      <x:c r="F7937" s="12" t="str">
        <x:v>55 inch</x:v>
      </x:c>
      <x:c r="G7937" s="20" t="n">
        <x:v>1</x:v>
      </x:c>
      <x:c r="H7937" s="12" t="str">
        <x:v>Campus/portfolio roster; individual building occupancy unverified</x:v>
      </x:c>
      <x:c r="I7937" s="12" t="str">
        <x:v>Mixed business audience</x:v>
      </x:c>
      <x:c r="J7937" s="12" t="str">
        <x:v>IT &amp; digital</x:v>
      </x:c>
      <x:c r="K7937" s="2" t="str">
        <x:v>PARTNER-M002</x:v>
      </x:c>
    </x:row>
    <x:row r="7938" ht="46" customHeight="1">
      <x:c r="A7938" s="2" t="str">
        <x:v>TEN-2AB6D53E717A</x:v>
      </x:c>
      <x:c r="B7938" s="12" t="str">
        <x:v>Nokia</x:v>
      </x:c>
      <x:c r="C7938" s="12" t="str">
        <x:v>CORP-0423</x:v>
      </x:c>
      <x:c r="D7938" s="12" t="str">
        <x:v>Bengaluru</x:v>
      </x:c>
      <x:c r="E7938" s="12" t="str">
        <x:v>International Tech Park (ITPB)</x:v>
      </x:c>
      <x:c r="F7938" s="12" t="str">
        <x:v>55 inch</x:v>
      </x:c>
      <x:c r="G7938" s="20" t="n">
        <x:v>1</x:v>
      </x:c>
      <x:c r="H7938" s="12" t="str">
        <x:v>Campus/portfolio roster; individual building occupancy unverified</x:v>
      </x:c>
      <x:c r="I7938" s="12" t="str">
        <x:v>Large enterprise</x:v>
      </x:c>
      <x:c r="J7938" s="12" t="str">
        <x:v>IT &amp; digital</x:v>
      </x:c>
      <x:c r="K7938" s="2" t="str">
        <x:v>PARTNER-M002</x:v>
      </x:c>
    </x:row>
    <x:row r="7939" ht="46" customHeight="1">
      <x:c r="A7939" s="2" t="str">
        <x:v>TEN-2DBBBD8AD08B</x:v>
      </x:c>
      <x:c r="B7939" s="12" t="str">
        <x:v>Zenmonics Software</x:v>
      </x:c>
      <x:c r="C7939" s="12" t="str">
        <x:v>CORP-0423</x:v>
      </x:c>
      <x:c r="D7939" s="12" t="str">
        <x:v>Bengaluru</x:v>
      </x:c>
      <x:c r="E7939" s="12" t="str">
        <x:v>International Tech Park (ITPB)</x:v>
      </x:c>
      <x:c r="F7939" s="12" t="str">
        <x:v>55 inch</x:v>
      </x:c>
      <x:c r="G7939" s="20" t="n">
        <x:v>1</x:v>
      </x:c>
      <x:c r="H7939" s="12" t="str">
        <x:v>Campus/portfolio roster; individual building occupancy unverified</x:v>
      </x:c>
      <x:c r="I7939" s="12" t="str">
        <x:v>Small-scale prospects</x:v>
      </x:c>
      <x:c r="J7939" s="12" t="str">
        <x:v>IT &amp; digital</x:v>
      </x:c>
      <x:c r="K7939" s="2" t="str">
        <x:v>PARTNER-M002</x:v>
      </x:c>
    </x:row>
    <x:row r="7940" ht="46" customHeight="1">
      <x:c r="A7940" s="2" t="str">
        <x:v>TEN-2E737C2291BC</x:v>
      </x:c>
      <x:c r="B7940" s="12" t="str">
        <x:v>Nextgen</x:v>
      </x:c>
      <x:c r="C7940" s="12" t="str">
        <x:v>CORP-0423</x:v>
      </x:c>
      <x:c r="D7940" s="12" t="str">
        <x:v>Bengaluru</x:v>
      </x:c>
      <x:c r="E7940" s="12" t="str">
        <x:v>International Tech Park (ITPB)</x:v>
      </x:c>
      <x:c r="F7940" s="12" t="str">
        <x:v>55 inch</x:v>
      </x:c>
      <x:c r="G7940" s="20" t="n">
        <x:v>1</x:v>
      </x:c>
      <x:c r="H7940" s="12" t="str">
        <x:v>Campus/portfolio roster; individual building occupancy unverified</x:v>
      </x:c>
      <x:c r="I7940" s="12" t="str">
        <x:v>Mixed business audience</x:v>
      </x:c>
      <x:c r="J7940" s="12" t="str">
        <x:v>Unresolved</x:v>
      </x:c>
      <x:c r="K7940" s="2" t="str">
        <x:v>PARTNER-M002</x:v>
      </x:c>
    </x:row>
    <x:row r="7941" ht="46" customHeight="1">
      <x:c r="A7941" s="2" t="str">
        <x:v>TEN-2EDD47EC3C4F</x:v>
      </x:c>
      <x:c r="B7941" s="12" t="str">
        <x:v>Technicolor India</x:v>
      </x:c>
      <x:c r="C7941" s="12" t="str">
        <x:v>CORP-0423</x:v>
      </x:c>
      <x:c r="D7941" s="12" t="str">
        <x:v>Bengaluru</x:v>
      </x:c>
      <x:c r="E7941" s="12" t="str">
        <x:v>International Tech Park (ITPB)</x:v>
      </x:c>
      <x:c r="F7941" s="12" t="str">
        <x:v>55 inch</x:v>
      </x:c>
      <x:c r="G7941" s="20" t="n">
        <x:v>1</x:v>
      </x:c>
      <x:c r="H7941" s="12" t="str">
        <x:v>Campus/portfolio roster; individual building occupancy unverified</x:v>
      </x:c>
      <x:c r="I7941" s="12" t="str">
        <x:v>Mixed business audience</x:v>
      </x:c>
      <x:c r="J7941" s="12" t="str">
        <x:v>Trade, consumer &amp; logistics</x:v>
      </x:c>
      <x:c r="K7941" s="2" t="str">
        <x:v>PARTNER-M002</x:v>
      </x:c>
    </x:row>
    <x:row r="7942" ht="46" customHeight="1">
      <x:c r="A7942" s="2" t="str">
        <x:v>TEN-30E363D3E8C5</x:v>
      </x:c>
      <x:c r="B7942" s="12" t="str">
        <x:v>Siemens</x:v>
      </x:c>
      <x:c r="C7942" s="12" t="str">
        <x:v>CORP-0423</x:v>
      </x:c>
      <x:c r="D7942" s="12" t="str">
        <x:v>Bengaluru</x:v>
      </x:c>
      <x:c r="E7942" s="12" t="str">
        <x:v>International Tech Park (ITPB)</x:v>
      </x:c>
      <x:c r="F7942" s="12" t="str">
        <x:v>55 inch</x:v>
      </x:c>
      <x:c r="G7942" s="20" t="n">
        <x:v>1</x:v>
      </x:c>
      <x:c r="H7942" s="12" t="str">
        <x:v>Campus/portfolio roster; individual building occupancy unverified</x:v>
      </x:c>
      <x:c r="I7942" s="12" t="str">
        <x:v>Large enterprise</x:v>
      </x:c>
      <x:c r="J7942" s="12" t="str">
        <x:v>Engineering &amp; manufacturing</x:v>
      </x:c>
      <x:c r="K7942" s="2" t="str">
        <x:v>PARTNER-M002</x:v>
      </x:c>
    </x:row>
    <x:row r="7943" ht="46" customHeight="1">
      <x:c r="A7943" s="2" t="str">
        <x:v>TEN-316635638FCB</x:v>
      </x:c>
      <x:c r="B7943" s="12" t="str">
        <x:v>Sabre Travel</x:v>
      </x:c>
      <x:c r="C7943" s="12" t="str">
        <x:v>CORP-0423</x:v>
      </x:c>
      <x:c r="D7943" s="12" t="str">
        <x:v>Bengaluru</x:v>
      </x:c>
      <x:c r="E7943" s="12" t="str">
        <x:v>International Tech Park (ITPB)</x:v>
      </x:c>
      <x:c r="F7943" s="12" t="str">
        <x:v>55 inch</x:v>
      </x:c>
      <x:c r="G7943" s="20" t="n">
        <x:v>1</x:v>
      </x:c>
      <x:c r="H7943" s="12" t="str">
        <x:v>Campus/portfolio roster; individual building occupancy unverified</x:v>
      </x:c>
      <x:c r="I7943" s="12" t="str">
        <x:v>Mixed business audience</x:v>
      </x:c>
      <x:c r="J7943" s="12" t="str">
        <x:v>IT &amp; digital</x:v>
      </x:c>
      <x:c r="K7943" s="2" t="str">
        <x:v>PARTNER-M002</x:v>
      </x:c>
    </x:row>
    <x:row r="7944" ht="46" customHeight="1">
      <x:c r="A7944" s="2" t="str">
        <x:v>TEN-330E380FC660</x:v>
      </x:c>
      <x:c r="B7944" s="12" t="str">
        <x:v>The Dhanalakshmi Bank</x:v>
      </x:c>
      <x:c r="C7944" s="12" t="str">
        <x:v>CORP-0423</x:v>
      </x:c>
      <x:c r="D7944" s="12" t="str">
        <x:v>Bengaluru</x:v>
      </x:c>
      <x:c r="E7944" s="12" t="str">
        <x:v>International Tech Park (ITPB)</x:v>
      </x:c>
      <x:c r="F7944" s="12" t="str">
        <x:v>55 inch</x:v>
      </x:c>
      <x:c r="G7944" s="20" t="n">
        <x:v>1</x:v>
      </x:c>
      <x:c r="H7944" s="12" t="str">
        <x:v>Campus/portfolio roster; individual building occupancy unverified</x:v>
      </x:c>
      <x:c r="I7944" s="12" t="str">
        <x:v>Mixed business audience</x:v>
      </x:c>
      <x:c r="J7944" s="12" t="str">
        <x:v>Finance &amp; insurance</x:v>
      </x:c>
      <x:c r="K7944" s="2" t="str">
        <x:v>PARTNER-M002</x:v>
      </x:c>
    </x:row>
    <x:row r="7945" ht="46" customHeight="1">
      <x:c r="A7945" s="2" t="str">
        <x:v>TEN-3338D6A28C63</x:v>
      </x:c>
      <x:c r="B7945" s="12" t="str">
        <x:v>NTT Cloud</x:v>
      </x:c>
      <x:c r="C7945" s="12" t="str">
        <x:v>CORP-0423</x:v>
      </x:c>
      <x:c r="D7945" s="12" t="str">
        <x:v>Bengaluru</x:v>
      </x:c>
      <x:c r="E7945" s="12" t="str">
        <x:v>International Tech Park (ITPB)</x:v>
      </x:c>
      <x:c r="F7945" s="12" t="str">
        <x:v>55 inch</x:v>
      </x:c>
      <x:c r="G7945" s="20" t="n">
        <x:v>1</x:v>
      </x:c>
      <x:c r="H7945" s="12" t="str">
        <x:v>Campus/portfolio roster; individual building occupancy unverified</x:v>
      </x:c>
      <x:c r="I7945" s="12" t="str">
        <x:v>Large enterprise</x:v>
      </x:c>
      <x:c r="J7945" s="12" t="str">
        <x:v>IT &amp; digital</x:v>
      </x:c>
      <x:c r="K7945" s="2" t="str">
        <x:v>PARTNER-M002</x:v>
      </x:c>
    </x:row>
    <x:row r="7946" ht="46" customHeight="1">
      <x:c r="A7946" s="2" t="str">
        <x:v>TEN-33DF04958DCA</x:v>
      </x:c>
      <x:c r="B7946" s="12" t="str">
        <x:v>Panasoni Life</x:v>
      </x:c>
      <x:c r="C7946" s="12" t="str">
        <x:v>CORP-0423</x:v>
      </x:c>
      <x:c r="D7946" s="12" t="str">
        <x:v>Bengaluru</x:v>
      </x:c>
      <x:c r="E7946" s="12" t="str">
        <x:v>International Tech Park (ITPB)</x:v>
      </x:c>
      <x:c r="F7946" s="12" t="str">
        <x:v>55 inch</x:v>
      </x:c>
      <x:c r="G7946" s="20" t="n">
        <x:v>1</x:v>
      </x:c>
      <x:c r="H7946" s="12" t="str">
        <x:v>Campus/portfolio roster; individual building occupancy unverified</x:v>
      </x:c>
      <x:c r="I7946" s="12" t="str">
        <x:v>Mixed business audience</x:v>
      </x:c>
      <x:c r="J7946" s="12" t="str">
        <x:v>Unresolved</x:v>
      </x:c>
      <x:c r="K7946" s="2" t="str">
        <x:v>PARTNER-M002</x:v>
      </x:c>
    </x:row>
    <x:row r="7947" ht="46" customHeight="1">
      <x:c r="A7947" s="2" t="str">
        <x:v>TEN-34185282371F</x:v>
      </x:c>
      <x:c r="B7947" s="12" t="str">
        <x:v>Glenburn</x:v>
      </x:c>
      <x:c r="C7947" s="12" t="str">
        <x:v>CORP-0423</x:v>
      </x:c>
      <x:c r="D7947" s="12" t="str">
        <x:v>Bengaluru</x:v>
      </x:c>
      <x:c r="E7947" s="12" t="str">
        <x:v>International Tech Park (ITPB)</x:v>
      </x:c>
      <x:c r="F7947" s="12" t="str">
        <x:v>55 inch</x:v>
      </x:c>
      <x:c r="G7947" s="20" t="n">
        <x:v>1</x:v>
      </x:c>
      <x:c r="H7947" s="12" t="str">
        <x:v>Campus/portfolio roster; individual building occupancy unverified</x:v>
      </x:c>
      <x:c r="I7947" s="12" t="str">
        <x:v>Mixed business audience</x:v>
      </x:c>
      <x:c r="J7947" s="12" t="str">
        <x:v>Unresolved</x:v>
      </x:c>
      <x:c r="K7947" s="2" t="str">
        <x:v>PARTNER-M002</x:v>
      </x:c>
    </x:row>
    <x:row r="7948" ht="46" customHeight="1">
      <x:c r="A7948" s="2" t="str">
        <x:v>TEN-356AAB6A94F0</x:v>
      </x:c>
      <x:c r="B7948" s="12" t="str">
        <x:v>Infovision</x:v>
      </x:c>
      <x:c r="C7948" s="12" t="str">
        <x:v>CORP-0423</x:v>
      </x:c>
      <x:c r="D7948" s="12" t="str">
        <x:v>Bengaluru</x:v>
      </x:c>
      <x:c r="E7948" s="12" t="str">
        <x:v>International Tech Park (ITPB)</x:v>
      </x:c>
      <x:c r="F7948" s="12" t="str">
        <x:v>55 inch</x:v>
      </x:c>
      <x:c r="G7948" s="20" t="n">
        <x:v>1</x:v>
      </x:c>
      <x:c r="H7948" s="12" t="str">
        <x:v>Campus/portfolio roster; individual building occupancy unverified</x:v>
      </x:c>
      <x:c r="I7948" s="12" t="str">
        <x:v>Small-scale prospects</x:v>
      </x:c>
      <x:c r="J7948" s="12" t="str">
        <x:v>IT &amp; digital</x:v>
      </x:c>
      <x:c r="K7948" s="2" t="str">
        <x:v>PARTNER-M002</x:v>
      </x:c>
    </x:row>
    <x:row r="7949" ht="46" customHeight="1">
      <x:c r="A7949" s="2" t="str">
        <x:v>TEN-3669A97CEE08</x:v>
      </x:c>
      <x:c r="B7949" s="12" t="str">
        <x:v>DBA xcom labs</x:v>
      </x:c>
      <x:c r="C7949" s="12" t="str">
        <x:v>CORP-0423</x:v>
      </x:c>
      <x:c r="D7949" s="12" t="str">
        <x:v>Bengaluru</x:v>
      </x:c>
      <x:c r="E7949" s="12" t="str">
        <x:v>International Tech Park (ITPB)</x:v>
      </x:c>
      <x:c r="F7949" s="12" t="str">
        <x:v>55 inch</x:v>
      </x:c>
      <x:c r="G7949" s="20" t="n">
        <x:v>1</x:v>
      </x:c>
      <x:c r="H7949" s="12" t="str">
        <x:v>Campus/portfolio roster; individual building occupancy unverified</x:v>
      </x:c>
      <x:c r="I7949" s="12" t="str">
        <x:v>Mixed business audience</x:v>
      </x:c>
      <x:c r="J7949" s="12" t="str">
        <x:v>Unresolved</x:v>
      </x:c>
      <x:c r="K7949" s="2" t="str">
        <x:v>PARTNER-M002</x:v>
      </x:c>
    </x:row>
    <x:row r="7950" ht="46" customHeight="1">
      <x:c r="A7950" s="2" t="str">
        <x:v>TEN-3CCDB2E97517</x:v>
      </x:c>
      <x:c r="B7950" s="12" t="str">
        <x:v>Mentora</x:v>
      </x:c>
      <x:c r="C7950" s="12" t="str">
        <x:v>CORP-0423</x:v>
      </x:c>
      <x:c r="D7950" s="12" t="str">
        <x:v>Bengaluru</x:v>
      </x:c>
      <x:c r="E7950" s="12" t="str">
        <x:v>International Tech Park (ITPB)</x:v>
      </x:c>
      <x:c r="F7950" s="12" t="str">
        <x:v>55 inch</x:v>
      </x:c>
      <x:c r="G7950" s="20" t="n">
        <x:v>1</x:v>
      </x:c>
      <x:c r="H7950" s="12" t="str">
        <x:v>Campus/portfolio roster; individual building occupancy unverified</x:v>
      </x:c>
      <x:c r="I7950" s="12" t="str">
        <x:v>Mixed business audience</x:v>
      </x:c>
      <x:c r="J7950" s="12" t="str">
        <x:v>Unresolved</x:v>
      </x:c>
      <x:c r="K7950" s="2" t="str">
        <x:v>PARTNER-M002</x:v>
      </x:c>
    </x:row>
    <x:row r="7951" ht="46" customHeight="1">
      <x:c r="A7951" s="2" t="str">
        <x:v>TEN-43BD5FC2D8E2</x:v>
      </x:c>
      <x:c r="B7951" s="12" t="str">
        <x:v>RLE</x:v>
      </x:c>
      <x:c r="C7951" s="12" t="str">
        <x:v>CORP-0423</x:v>
      </x:c>
      <x:c r="D7951" s="12" t="str">
        <x:v>Bengaluru</x:v>
      </x:c>
      <x:c r="E7951" s="12" t="str">
        <x:v>International Tech Park (ITPB)</x:v>
      </x:c>
      <x:c r="F7951" s="12" t="str">
        <x:v>55 inch</x:v>
      </x:c>
      <x:c r="G7951" s="20" t="n">
        <x:v>1</x:v>
      </x:c>
      <x:c r="H7951" s="12" t="str">
        <x:v>Campus/portfolio roster; individual building occupancy unverified</x:v>
      </x:c>
      <x:c r="I7951" s="12" t="str">
        <x:v>Mixed business audience</x:v>
      </x:c>
      <x:c r="J7951" s="12" t="str">
        <x:v>Unresolved</x:v>
      </x:c>
      <x:c r="K7951" s="2" t="str">
        <x:v>PARTNER-M002</x:v>
      </x:c>
    </x:row>
    <x:row r="7952" ht="46" customHeight="1">
      <x:c r="A7952" s="2" t="str">
        <x:v>TEN-46EE12AD6E57</x:v>
      </x:c>
      <x:c r="B7952" s="12" t="str">
        <x:v>Open Bet</x:v>
      </x:c>
      <x:c r="C7952" s="12" t="str">
        <x:v>CORP-0423</x:v>
      </x:c>
      <x:c r="D7952" s="12" t="str">
        <x:v>Bengaluru</x:v>
      </x:c>
      <x:c r="E7952" s="12" t="str">
        <x:v>International Tech Park (ITPB)</x:v>
      </x:c>
      <x:c r="F7952" s="12" t="str">
        <x:v>55 inch</x:v>
      </x:c>
      <x:c r="G7952" s="20" t="n">
        <x:v>1</x:v>
      </x:c>
      <x:c r="H7952" s="12" t="str">
        <x:v>Campus/portfolio roster; individual building occupancy unverified</x:v>
      </x:c>
      <x:c r="I7952" s="12" t="str">
        <x:v>Mixed business audience</x:v>
      </x:c>
      <x:c r="J7952" s="12" t="str">
        <x:v>Trade, consumer &amp; logistics</x:v>
      </x:c>
      <x:c r="K7952" s="2" t="str">
        <x:v>PARTNER-M002</x:v>
      </x:c>
    </x:row>
    <x:row r="7953" ht="46" customHeight="1">
      <x:c r="A7953" s="2" t="str">
        <x:v>TEN-4B42B5258CA7</x:v>
      </x:c>
      <x:c r="B7953" s="12" t="str">
        <x:v>Tyfone</x:v>
      </x:c>
      <x:c r="C7953" s="12" t="str">
        <x:v>CORP-0423</x:v>
      </x:c>
      <x:c r="D7953" s="12" t="str">
        <x:v>Bengaluru</x:v>
      </x:c>
      <x:c r="E7953" s="12" t="str">
        <x:v>International Tech Park (ITPB)</x:v>
      </x:c>
      <x:c r="F7953" s="12" t="str">
        <x:v>55 inch</x:v>
      </x:c>
      <x:c r="G7953" s="20" t="n">
        <x:v>1</x:v>
      </x:c>
      <x:c r="H7953" s="12" t="str">
        <x:v>Campus/portfolio roster; individual building occupancy unverified</x:v>
      </x:c>
      <x:c r="I7953" s="12" t="str">
        <x:v>Small-scale prospects</x:v>
      </x:c>
      <x:c r="J7953" s="12" t="str">
        <x:v>IT &amp; digital</x:v>
      </x:c>
      <x:c r="K7953" s="2" t="str">
        <x:v>PARTNER-M002</x:v>
      </x:c>
    </x:row>
    <x:row r="7954" ht="46" customHeight="1">
      <x:c r="A7954" s="2" t="str">
        <x:v>TEN-50A50A4E75D3</x:v>
      </x:c>
      <x:c r="B7954" s="12" t="str">
        <x:v>Bharat Sanchar Nigam</x:v>
      </x:c>
      <x:c r="C7954" s="12" t="str">
        <x:v>CORP-0423</x:v>
      </x:c>
      <x:c r="D7954" s="12" t="str">
        <x:v>Bengaluru</x:v>
      </x:c>
      <x:c r="E7954" s="12" t="str">
        <x:v>International Tech Park (ITPB)</x:v>
      </x:c>
      <x:c r="F7954" s="12" t="str">
        <x:v>55 inch</x:v>
      </x:c>
      <x:c r="G7954" s="20" t="n">
        <x:v>1</x:v>
      </x:c>
      <x:c r="H7954" s="12" t="str">
        <x:v>Campus/portfolio roster; individual building occupancy unverified</x:v>
      </x:c>
      <x:c r="I7954" s="12" t="str">
        <x:v>Mixed business audience</x:v>
      </x:c>
      <x:c r="J7954" s="12" t="str">
        <x:v>IT &amp; digital</x:v>
      </x:c>
      <x:c r="K7954" s="2" t="str">
        <x:v>PARTNER-M002</x:v>
      </x:c>
    </x:row>
    <x:row r="7955" ht="46" customHeight="1">
      <x:c r="A7955" s="2" t="str">
        <x:v>TEN-5346DFE17486</x:v>
      </x:c>
      <x:c r="B7955" s="12" t="str">
        <x:v>Technicolor</x:v>
      </x:c>
      <x:c r="C7955" s="12" t="str">
        <x:v>CORP-0423</x:v>
      </x:c>
      <x:c r="D7955" s="12" t="str">
        <x:v>Bengaluru</x:v>
      </x:c>
      <x:c r="E7955" s="12" t="str">
        <x:v>International Tech Park (ITPB)</x:v>
      </x:c>
      <x:c r="F7955" s="12" t="str">
        <x:v>55 inch</x:v>
      </x:c>
      <x:c r="G7955" s="20" t="n">
        <x:v>1</x:v>
      </x:c>
      <x:c r="H7955" s="12" t="str">
        <x:v>Campus/portfolio roster; individual building occupancy unverified</x:v>
      </x:c>
      <x:c r="I7955" s="12" t="str">
        <x:v>Mixed business audience</x:v>
      </x:c>
      <x:c r="J7955" s="12" t="str">
        <x:v>Trade, consumer &amp; logistics</x:v>
      </x:c>
      <x:c r="K7955" s="2" t="str">
        <x:v>PARTNER-M002</x:v>
      </x:c>
    </x:row>
    <x:row r="7956" ht="46" customHeight="1">
      <x:c r="A7956" s="2" t="str">
        <x:v>TEN-598F7A741A1E</x:v>
      </x:c>
      <x:c r="B7956" s="12" t="str">
        <x:v>Aegis</x:v>
      </x:c>
      <x:c r="C7956" s="12" t="str">
        <x:v>CORP-0423</x:v>
      </x:c>
      <x:c r="D7956" s="12" t="str">
        <x:v>Bengaluru</x:v>
      </x:c>
      <x:c r="E7956" s="12" t="str">
        <x:v>International Tech Park (ITPB)</x:v>
      </x:c>
      <x:c r="F7956" s="12" t="str">
        <x:v>55 inch</x:v>
      </x:c>
      <x:c r="G7956" s="20" t="n">
        <x:v>1</x:v>
      </x:c>
      <x:c r="H7956" s="12" t="str">
        <x:v>Campus/portfolio roster; individual building occupancy unverified</x:v>
      </x:c>
      <x:c r="I7956" s="12" t="str">
        <x:v>Mixed business audience</x:v>
      </x:c>
      <x:c r="J7956" s="12" t="str">
        <x:v>IT &amp; digital</x:v>
      </x:c>
      <x:c r="K7956" s="2" t="str">
        <x:v>PARTNER-M002</x:v>
      </x:c>
    </x:row>
    <x:row r="7957" ht="46" customHeight="1">
      <x:c r="A7957" s="2" t="str">
        <x:v>TEN-59E713BB9B49</x:v>
      </x:c>
      <x:c r="B7957" s="12" t="str">
        <x:v>Revolt Intellicorp Pvt</x:v>
      </x:c>
      <x:c r="C7957" s="12" t="str">
        <x:v>CORP-0423</x:v>
      </x:c>
      <x:c r="D7957" s="12" t="str">
        <x:v>Bengaluru</x:v>
      </x:c>
      <x:c r="E7957" s="12" t="str">
        <x:v>International Tech Park (ITPB)</x:v>
      </x:c>
      <x:c r="F7957" s="12" t="str">
        <x:v>55 inch</x:v>
      </x:c>
      <x:c r="G7957" s="20" t="n">
        <x:v>1</x:v>
      </x:c>
      <x:c r="H7957" s="12" t="str">
        <x:v>Campus/portfolio roster; individual building occupancy unverified</x:v>
      </x:c>
      <x:c r="I7957" s="12" t="str">
        <x:v>Mixed business audience</x:v>
      </x:c>
      <x:c r="J7957" s="12" t="str">
        <x:v>Unresolved</x:v>
      </x:c>
      <x:c r="K7957" s="2" t="str">
        <x:v>PARTNER-M002</x:v>
      </x:c>
    </x:row>
    <x:row r="7958" ht="46" customHeight="1">
      <x:c r="A7958" s="2" t="str">
        <x:v>TEN-5B5245AFFE44</x:v>
      </x:c>
      <x:c r="B7958" s="12" t="str">
        <x:v>Tata Communications</x:v>
      </x:c>
      <x:c r="C7958" s="12" t="str">
        <x:v>CORP-0423</x:v>
      </x:c>
      <x:c r="D7958" s="12" t="str">
        <x:v>Bengaluru</x:v>
      </x:c>
      <x:c r="E7958" s="12" t="str">
        <x:v>International Tech Park (ITPB)</x:v>
      </x:c>
      <x:c r="F7958" s="12" t="str">
        <x:v>55 inch</x:v>
      </x:c>
      <x:c r="G7958" s="20" t="n">
        <x:v>1</x:v>
      </x:c>
      <x:c r="H7958" s="12" t="str">
        <x:v>Campus/portfolio roster; individual building occupancy unverified</x:v>
      </x:c>
      <x:c r="I7958" s="12" t="str">
        <x:v>Large enterprise</x:v>
      </x:c>
      <x:c r="J7958" s="12" t="str">
        <x:v>IT &amp; digital</x:v>
      </x:c>
      <x:c r="K7958" s="2" t="str">
        <x:v>PARTNER-M002</x:v>
      </x:c>
    </x:row>
    <x:row r="7959" ht="46" customHeight="1">
      <x:c r="A7959" s="2" t="str">
        <x:v>TEN-5D77DB2A2906</x:v>
      </x:c>
      <x:c r="B7959" s="12" t="str">
        <x:v>Telia</x:v>
      </x:c>
      <x:c r="C7959" s="12" t="str">
        <x:v>CORP-0423</x:v>
      </x:c>
      <x:c r="D7959" s="12" t="str">
        <x:v>Bengaluru</x:v>
      </x:c>
      <x:c r="E7959" s="12" t="str">
        <x:v>International Tech Park (ITPB)</x:v>
      </x:c>
      <x:c r="F7959" s="12" t="str">
        <x:v>55 inch</x:v>
      </x:c>
      <x:c r="G7959" s="20" t="n">
        <x:v>1</x:v>
      </x:c>
      <x:c r="H7959" s="12" t="str">
        <x:v>Campus/portfolio roster; individual building occupancy unverified</x:v>
      </x:c>
      <x:c r="I7959" s="12" t="str">
        <x:v>Mixed business audience</x:v>
      </x:c>
      <x:c r="J7959" s="12" t="str">
        <x:v>Unresolved</x:v>
      </x:c>
      <x:c r="K7959" s="2" t="str">
        <x:v>PARTNER-M002</x:v>
      </x:c>
    </x:row>
    <x:row r="7960" ht="46" customHeight="1">
      <x:c r="A7960" s="2" t="str">
        <x:v>TEN-5F435B82E7E9</x:v>
      </x:c>
      <x:c r="B7960" s="12" t="str">
        <x:v>Criterion</x:v>
      </x:c>
      <x:c r="C7960" s="12" t="str">
        <x:v>CORP-0423</x:v>
      </x:c>
      <x:c r="D7960" s="12" t="str">
        <x:v>Bengaluru</x:v>
      </x:c>
      <x:c r="E7960" s="12" t="str">
        <x:v>International Tech Park (ITPB)</x:v>
      </x:c>
      <x:c r="F7960" s="12" t="str">
        <x:v>55 inch</x:v>
      </x:c>
      <x:c r="G7960" s="20" t="n">
        <x:v>1</x:v>
      </x:c>
      <x:c r="H7960" s="12" t="str">
        <x:v>Campus/portfolio roster; individual building occupancy unverified</x:v>
      </x:c>
      <x:c r="I7960" s="12" t="str">
        <x:v>Mixed business audience</x:v>
      </x:c>
      <x:c r="J7960" s="12" t="str">
        <x:v>Unresolved</x:v>
      </x:c>
      <x:c r="K7960" s="2" t="str">
        <x:v>PARTNER-M002</x:v>
      </x:c>
    </x:row>
    <x:row r="7961" ht="46" customHeight="1">
      <x:c r="A7961" s="2" t="str">
        <x:v>TEN-5FA790F3630F</x:v>
      </x:c>
      <x:c r="B7961" s="12" t="str">
        <x:v>Tata Consultancy Services</x:v>
      </x:c>
      <x:c r="C7961" s="12" t="str">
        <x:v>CORP-0423</x:v>
      </x:c>
      <x:c r="D7961" s="12" t="str">
        <x:v>Bengaluru</x:v>
      </x:c>
      <x:c r="E7961" s="12" t="str">
        <x:v>International Tech Park (ITPB)</x:v>
      </x:c>
      <x:c r="F7961" s="12" t="str">
        <x:v>55 inch</x:v>
      </x:c>
      <x:c r="G7961" s="20" t="n">
        <x:v>1</x:v>
      </x:c>
      <x:c r="H7961" s="12" t="str">
        <x:v>Campus/portfolio roster; individual building occupancy unverified</x:v>
      </x:c>
      <x:c r="I7961" s="12" t="str">
        <x:v>Large enterprise</x:v>
      </x:c>
      <x:c r="J7961" s="12" t="str">
        <x:v>IT &amp; digital</x:v>
      </x:c>
      <x:c r="K7961" s="2" t="str">
        <x:v>PARTNER-M002</x:v>
      </x:c>
    </x:row>
    <x:row r="7962" ht="46" customHeight="1">
      <x:c r="A7962" s="2" t="str">
        <x:v>TEN-60B66A73DC22</x:v>
      </x:c>
      <x:c r="B7962" s="12" t="str">
        <x:v>Webdunia.com</x:v>
      </x:c>
      <x:c r="C7962" s="12" t="str">
        <x:v>CORP-0423</x:v>
      </x:c>
      <x:c r="D7962" s="12" t="str">
        <x:v>Bengaluru</x:v>
      </x:c>
      <x:c r="E7962" s="12" t="str">
        <x:v>International Tech Park (ITPB)</x:v>
      </x:c>
      <x:c r="F7962" s="12" t="str">
        <x:v>55 inch</x:v>
      </x:c>
      <x:c r="G7962" s="20" t="n">
        <x:v>1</x:v>
      </x:c>
      <x:c r="H7962" s="12" t="str">
        <x:v>Campus/portfolio roster; individual building occupancy unverified</x:v>
      </x:c>
      <x:c r="I7962" s="12" t="str">
        <x:v>Small-scale prospects</x:v>
      </x:c>
      <x:c r="J7962" s="12" t="str">
        <x:v>IT &amp; digital</x:v>
      </x:c>
      <x:c r="K7962" s="2" t="str">
        <x:v>PARTNER-M002</x:v>
      </x:c>
    </x:row>
    <x:row r="7963" ht="46" customHeight="1">
      <x:c r="A7963" s="2" t="str">
        <x:v>TEN-60CDE18C0230</x:v>
      </x:c>
      <x:c r="B7963" s="12" t="str">
        <x:v>Omens Animation</x:v>
      </x:c>
      <x:c r="C7963" s="12" t="str">
        <x:v>CORP-0423</x:v>
      </x:c>
      <x:c r="D7963" s="12" t="str">
        <x:v>Bengaluru</x:v>
      </x:c>
      <x:c r="E7963" s="12" t="str">
        <x:v>International Tech Park (ITPB)</x:v>
      </x:c>
      <x:c r="F7963" s="12" t="str">
        <x:v>55 inch</x:v>
      </x:c>
      <x:c r="G7963" s="20" t="n">
        <x:v>1</x:v>
      </x:c>
      <x:c r="H7963" s="12" t="str">
        <x:v>Campus/portfolio roster; individual building occupancy unverified</x:v>
      </x:c>
      <x:c r="I7963" s="12" t="str">
        <x:v>Small-scale prospects</x:v>
      </x:c>
      <x:c r="J7963" s="12" t="str">
        <x:v>Trade, consumer &amp; logistics</x:v>
      </x:c>
      <x:c r="K7963" s="2" t="str">
        <x:v>PARTNER-M002</x:v>
      </x:c>
    </x:row>
    <x:row r="7964" ht="46" customHeight="1">
      <x:c r="A7964" s="2" t="str">
        <x:v>TEN-676DC956336D</x:v>
      </x:c>
      <x:c r="B7964" s="12" t="str">
        <x:v>Rsab</x:v>
      </x:c>
      <x:c r="C7964" s="12" t="str">
        <x:v>CORP-0423</x:v>
      </x:c>
      <x:c r="D7964" s="12" t="str">
        <x:v>Bengaluru</x:v>
      </x:c>
      <x:c r="E7964" s="12" t="str">
        <x:v>International Tech Park (ITPB)</x:v>
      </x:c>
      <x:c r="F7964" s="12" t="str">
        <x:v>55 inch</x:v>
      </x:c>
      <x:c r="G7964" s="20" t="n">
        <x:v>1</x:v>
      </x:c>
      <x:c r="H7964" s="12" t="str">
        <x:v>Campus/portfolio roster; individual building occupancy unverified</x:v>
      </x:c>
      <x:c r="I7964" s="12" t="str">
        <x:v>Mixed business audience</x:v>
      </x:c>
      <x:c r="J7964" s="12" t="str">
        <x:v>Unresolved</x:v>
      </x:c>
      <x:c r="K7964" s="2" t="str">
        <x:v>PARTNER-M002</x:v>
      </x:c>
    </x:row>
    <x:row r="7965" ht="46" customHeight="1">
      <x:c r="A7965" s="2" t="str">
        <x:v>TEN-6994CDC0D34E</x:v>
      </x:c>
      <x:c r="B7965" s="12" t="str">
        <x:v>Sacha Engineering</x:v>
      </x:c>
      <x:c r="C7965" s="12" t="str">
        <x:v>CORP-0423</x:v>
      </x:c>
      <x:c r="D7965" s="12" t="str">
        <x:v>Bengaluru</x:v>
      </x:c>
      <x:c r="E7965" s="12" t="str">
        <x:v>International Tech Park (ITPB)</x:v>
      </x:c>
      <x:c r="F7965" s="12" t="str">
        <x:v>55 inch</x:v>
      </x:c>
      <x:c r="G7965" s="20" t="n">
        <x:v>1</x:v>
      </x:c>
      <x:c r="H7965" s="12" t="str">
        <x:v>Campus/portfolio roster; individual building occupancy unverified</x:v>
      </x:c>
      <x:c r="I7965" s="12" t="str">
        <x:v>Medium-scale prospects</x:v>
      </x:c>
      <x:c r="J7965" s="12" t="str">
        <x:v>Engineering &amp; manufacturing</x:v>
      </x:c>
      <x:c r="K7965" s="2" t="str">
        <x:v>PARTNER-M002</x:v>
      </x:c>
    </x:row>
    <x:row r="7966" ht="46" customHeight="1">
      <x:c r="A7966" s="2" t="str">
        <x:v>TEN-6BC09C13CCE1</x:v>
      </x:c>
      <x:c r="B7966" s="12" t="str">
        <x:v>Upilot</x:v>
      </x:c>
      <x:c r="C7966" s="12" t="str">
        <x:v>CORP-0423</x:v>
      </x:c>
      <x:c r="D7966" s="12" t="str">
        <x:v>Bengaluru</x:v>
      </x:c>
      <x:c r="E7966" s="12" t="str">
        <x:v>International Tech Park (ITPB)</x:v>
      </x:c>
      <x:c r="F7966" s="12" t="str">
        <x:v>55 inch</x:v>
      </x:c>
      <x:c r="G7966" s="20" t="n">
        <x:v>1</x:v>
      </x:c>
      <x:c r="H7966" s="12" t="str">
        <x:v>Campus/portfolio roster; individual building occupancy unverified</x:v>
      </x:c>
      <x:c r="I7966" s="12" t="str">
        <x:v>Small-scale prospects</x:v>
      </x:c>
      <x:c r="J7966" s="12" t="str">
        <x:v>IT &amp; digital</x:v>
      </x:c>
      <x:c r="K7966" s="2" t="str">
        <x:v>PARTNER-M002</x:v>
      </x:c>
    </x:row>
    <x:row r="7967" ht="46" customHeight="1">
      <x:c r="A7967" s="2" t="str">
        <x:v>TEN-6E2912BABF92</x:v>
      </x:c>
      <x:c r="B7967" s="12" t="str">
        <x:v>Plastic Omnium Auto</x:v>
      </x:c>
      <x:c r="C7967" s="12" t="str">
        <x:v>CORP-0423</x:v>
      </x:c>
      <x:c r="D7967" s="12" t="str">
        <x:v>Bengaluru</x:v>
      </x:c>
      <x:c r="E7967" s="12" t="str">
        <x:v>International Tech Park (ITPB)</x:v>
      </x:c>
      <x:c r="F7967" s="12" t="str">
        <x:v>55 inch</x:v>
      </x:c>
      <x:c r="G7967" s="20" t="n">
        <x:v>1</x:v>
      </x:c>
      <x:c r="H7967" s="12" t="str">
        <x:v>Campus/portfolio roster; individual building occupancy unverified</x:v>
      </x:c>
      <x:c r="I7967" s="12" t="str">
        <x:v>Mixed business audience</x:v>
      </x:c>
      <x:c r="J7967" s="12" t="str">
        <x:v>Engineering &amp; manufacturing</x:v>
      </x:c>
      <x:c r="K7967" s="2" t="str">
        <x:v>PARTNER-M002</x:v>
      </x:c>
    </x:row>
    <x:row r="7968" ht="46" customHeight="1">
      <x:c r="A7968" s="2" t="str">
        <x:v>TEN-6F273F8143F0</x:v>
      </x:c>
      <x:c r="B7968" s="12" t="str">
        <x:v>First Advantage</x:v>
      </x:c>
      <x:c r="C7968" s="12" t="str">
        <x:v>CORP-0423</x:v>
      </x:c>
      <x:c r="D7968" s="12" t="str">
        <x:v>Bengaluru</x:v>
      </x:c>
      <x:c r="E7968" s="12" t="str">
        <x:v>International Tech Park (ITPB)</x:v>
      </x:c>
      <x:c r="F7968" s="12" t="str">
        <x:v>55 inch</x:v>
      </x:c>
      <x:c r="G7968" s="20" t="n">
        <x:v>1</x:v>
      </x:c>
      <x:c r="H7968" s="12" t="str">
        <x:v>Campus/portfolio roster; individual building occupancy unverified</x:v>
      </x:c>
      <x:c r="I7968" s="12" t="str">
        <x:v>Mixed business audience</x:v>
      </x:c>
      <x:c r="J7968" s="12" t="str">
        <x:v>Professional services</x:v>
      </x:c>
      <x:c r="K7968" s="2" t="str">
        <x:v>PARTNER-M002</x:v>
      </x:c>
    </x:row>
    <x:row r="7969" ht="46" customHeight="1">
      <x:c r="A7969" s="2" t="str">
        <x:v>TEN-6F4C691FF4A1</x:v>
      </x:c>
      <x:c r="B7969" s="12" t="str">
        <x:v>Kennametal</x:v>
      </x:c>
      <x:c r="C7969" s="12" t="str">
        <x:v>CORP-0423</x:v>
      </x:c>
      <x:c r="D7969" s="12" t="str">
        <x:v>Bengaluru</x:v>
      </x:c>
      <x:c r="E7969" s="12" t="str">
        <x:v>International Tech Park (ITPB)</x:v>
      </x:c>
      <x:c r="F7969" s="12" t="str">
        <x:v>55 inch</x:v>
      </x:c>
      <x:c r="G7969" s="20" t="n">
        <x:v>1</x:v>
      </x:c>
      <x:c r="H7969" s="12" t="str">
        <x:v>Campus/portfolio roster; individual building occupancy unverified</x:v>
      </x:c>
      <x:c r="I7969" s="12" t="str">
        <x:v>Mixed business audience</x:v>
      </x:c>
      <x:c r="J7969" s="12" t="str">
        <x:v>Engineering &amp; manufacturing</x:v>
      </x:c>
      <x:c r="K7969" s="2" t="str">
        <x:v>PARTNER-M002</x:v>
      </x:c>
    </x:row>
    <x:row r="7970" ht="46" customHeight="1">
      <x:c r="A7970" s="2" t="str">
        <x:v>TEN-7318D4E0C064</x:v>
      </x:c>
      <x:c r="B7970" s="12" t="str">
        <x:v>Skiva</x:v>
      </x:c>
      <x:c r="C7970" s="12" t="str">
        <x:v>CORP-0423</x:v>
      </x:c>
      <x:c r="D7970" s="12" t="str">
        <x:v>Bengaluru</x:v>
      </x:c>
      <x:c r="E7970" s="12" t="str">
        <x:v>International Tech Park (ITPB)</x:v>
      </x:c>
      <x:c r="F7970" s="12" t="str">
        <x:v>55 inch</x:v>
      </x:c>
      <x:c r="G7970" s="20" t="n">
        <x:v>1</x:v>
      </x:c>
      <x:c r="H7970" s="12" t="str">
        <x:v>Campus/portfolio roster; individual building occupancy unverified</x:v>
      </x:c>
      <x:c r="I7970" s="12" t="str">
        <x:v>Mixed business audience</x:v>
      </x:c>
      <x:c r="J7970" s="12" t="str">
        <x:v>Unresolved</x:v>
      </x:c>
      <x:c r="K7970" s="2" t="str">
        <x:v>PARTNER-M002</x:v>
      </x:c>
    </x:row>
    <x:row r="7971" ht="46" customHeight="1">
      <x:c r="A7971" s="2" t="str">
        <x:v>TEN-764319AE4FB8</x:v>
      </x:c>
      <x:c r="B7971" s="12" t="str">
        <x:v>Sharp Software</x:v>
      </x:c>
      <x:c r="C7971" s="12" t="str">
        <x:v>CORP-0423</x:v>
      </x:c>
      <x:c r="D7971" s="12" t="str">
        <x:v>Bengaluru</x:v>
      </x:c>
      <x:c r="E7971" s="12" t="str">
        <x:v>International Tech Park (ITPB)</x:v>
      </x:c>
      <x:c r="F7971" s="12" t="str">
        <x:v>55 inch</x:v>
      </x:c>
      <x:c r="G7971" s="20" t="n">
        <x:v>1</x:v>
      </x:c>
      <x:c r="H7971" s="12" t="str">
        <x:v>Campus/portfolio roster; individual building occupancy unverified</x:v>
      </x:c>
      <x:c r="I7971" s="12" t="str">
        <x:v>Mixed business audience</x:v>
      </x:c>
      <x:c r="J7971" s="12" t="str">
        <x:v>IT &amp; digital</x:v>
      </x:c>
      <x:c r="K7971" s="2" t="str">
        <x:v>PARTNER-M002</x:v>
      </x:c>
    </x:row>
    <x:row r="7972" ht="46" customHeight="1">
      <x:c r="A7972" s="2" t="str">
        <x:v>TEN-7ECB3C42E303</x:v>
      </x:c>
      <x:c r="B7972" s="12" t="str">
        <x:v>Criterion Networks</x:v>
      </x:c>
      <x:c r="C7972" s="12" t="str">
        <x:v>CORP-0423</x:v>
      </x:c>
      <x:c r="D7972" s="12" t="str">
        <x:v>Bengaluru</x:v>
      </x:c>
      <x:c r="E7972" s="12" t="str">
        <x:v>International Tech Park (ITPB)</x:v>
      </x:c>
      <x:c r="F7972" s="12" t="str">
        <x:v>55 inch</x:v>
      </x:c>
      <x:c r="G7972" s="20" t="n">
        <x:v>1</x:v>
      </x:c>
      <x:c r="H7972" s="12" t="str">
        <x:v>Campus/portfolio roster; individual building occupancy unverified</x:v>
      </x:c>
      <x:c r="I7972" s="12" t="str">
        <x:v>Small-scale prospects</x:v>
      </x:c>
      <x:c r="J7972" s="12" t="str">
        <x:v>IT &amp; digital</x:v>
      </x:c>
      <x:c r="K7972" s="2" t="str">
        <x:v>PARTNER-M002</x:v>
      </x:c>
    </x:row>
    <x:row r="7973" ht="46" customHeight="1">
      <x:c r="A7973" s="2" t="str">
        <x:v>TEN-8174968E6F72</x:v>
      </x:c>
      <x:c r="B7973" s="12" t="str">
        <x:v>Achronix</x:v>
      </x:c>
      <x:c r="C7973" s="12" t="str">
        <x:v>CORP-0423</x:v>
      </x:c>
      <x:c r="D7973" s="12" t="str">
        <x:v>Bengaluru</x:v>
      </x:c>
      <x:c r="E7973" s="12" t="str">
        <x:v>International Tech Park (ITPB)</x:v>
      </x:c>
      <x:c r="F7973" s="12" t="str">
        <x:v>55 inch</x:v>
      </x:c>
      <x:c r="G7973" s="20" t="n">
        <x:v>1</x:v>
      </x:c>
      <x:c r="H7973" s="12" t="str">
        <x:v>Campus/portfolio roster; individual building occupancy unverified</x:v>
      </x:c>
      <x:c r="I7973" s="12" t="str">
        <x:v>Mixed business audience</x:v>
      </x:c>
      <x:c r="J7973" s="12" t="str">
        <x:v>Engineering &amp; manufacturing</x:v>
      </x:c>
      <x:c r="K7973" s="2" t="str">
        <x:v>PARTNER-M002</x:v>
      </x:c>
    </x:row>
    <x:row r="7974" ht="46" customHeight="1">
      <x:c r="A7974" s="2" t="str">
        <x:v>TEN-81F921B8E00A</x:v>
      </x:c>
      <x:c r="B7974" s="12" t="str">
        <x:v>Mobicip</x:v>
      </x:c>
      <x:c r="C7974" s="12" t="str">
        <x:v>CORP-0423</x:v>
      </x:c>
      <x:c r="D7974" s="12" t="str">
        <x:v>Bengaluru</x:v>
      </x:c>
      <x:c r="E7974" s="12" t="str">
        <x:v>International Tech Park (ITPB)</x:v>
      </x:c>
      <x:c r="F7974" s="12" t="str">
        <x:v>55 inch</x:v>
      </x:c>
      <x:c r="G7974" s="20" t="n">
        <x:v>1</x:v>
      </x:c>
      <x:c r="H7974" s="12" t="str">
        <x:v>Campus/portfolio roster; individual building occupancy unverified</x:v>
      </x:c>
      <x:c r="I7974" s="12" t="str">
        <x:v>Small-scale prospects</x:v>
      </x:c>
      <x:c r="J7974" s="12" t="str">
        <x:v>IT &amp; digital</x:v>
      </x:c>
      <x:c r="K7974" s="2" t="str">
        <x:v>PARTNER-M002</x:v>
      </x:c>
    </x:row>
    <x:row r="7975" ht="46" customHeight="1">
      <x:c r="A7975" s="2" t="str">
        <x:v>TEN-891353748B3A</x:v>
      </x:c>
      <x:c r="B7975" s="12" t="str">
        <x:v>Osi Energy automation</x:v>
      </x:c>
      <x:c r="C7975" s="12" t="str">
        <x:v>CORP-0423</x:v>
      </x:c>
      <x:c r="D7975" s="12" t="str">
        <x:v>Bengaluru</x:v>
      </x:c>
      <x:c r="E7975" s="12" t="str">
        <x:v>International Tech Park (ITPB)</x:v>
      </x:c>
      <x:c r="F7975" s="12" t="str">
        <x:v>55 inch</x:v>
      </x:c>
      <x:c r="G7975" s="20" t="n">
        <x:v>1</x:v>
      </x:c>
      <x:c r="H7975" s="12" t="str">
        <x:v>Campus/portfolio roster; individual building occupancy unverified</x:v>
      </x:c>
      <x:c r="I7975" s="12" t="str">
        <x:v>Medium-scale prospects</x:v>
      </x:c>
      <x:c r="J7975" s="12" t="str">
        <x:v>Engineering &amp; manufacturing</x:v>
      </x:c>
      <x:c r="K7975" s="2" t="str">
        <x:v>PARTNER-M002</x:v>
      </x:c>
    </x:row>
    <x:row r="7976" ht="46" customHeight="1">
      <x:c r="A7976" s="2" t="str">
        <x:v>TEN-8C4275F1FD40</x:v>
      </x:c>
      <x:c r="B7976" s="12" t="str">
        <x:v>Capital Land</x:v>
      </x:c>
      <x:c r="C7976" s="12" t="str">
        <x:v>CORP-0423</x:v>
      </x:c>
      <x:c r="D7976" s="12" t="str">
        <x:v>Bengaluru</x:v>
      </x:c>
      <x:c r="E7976" s="12" t="str">
        <x:v>International Tech Park (ITPB)</x:v>
      </x:c>
      <x:c r="F7976" s="12" t="str">
        <x:v>55 inch</x:v>
      </x:c>
      <x:c r="G7976" s="20" t="n">
        <x:v>1</x:v>
      </x:c>
      <x:c r="H7976" s="12" t="str">
        <x:v>Campus/portfolio roster; individual building occupancy unverified</x:v>
      </x:c>
      <x:c r="I7976" s="12" t="str">
        <x:v>Mixed business audience</x:v>
      </x:c>
      <x:c r="J7976" s="12" t="str">
        <x:v>Trade, consumer &amp; logistics</x:v>
      </x:c>
      <x:c r="K7976" s="2" t="str">
        <x:v>PARTNER-M002</x:v>
      </x:c>
    </x:row>
    <x:row r="7977" ht="46" customHeight="1">
      <x:c r="A7977" s="2" t="str">
        <x:v>TEN-8DCD18640A0A</x:v>
      </x:c>
      <x:c r="B7977" s="12" t="str">
        <x:v>Kotak</x:v>
      </x:c>
      <x:c r="C7977" s="12" t="str">
        <x:v>CORP-0423</x:v>
      </x:c>
      <x:c r="D7977" s="12" t="str">
        <x:v>Bengaluru</x:v>
      </x:c>
      <x:c r="E7977" s="12" t="str">
        <x:v>International Tech Park (ITPB)</x:v>
      </x:c>
      <x:c r="F7977" s="12" t="str">
        <x:v>55 inch</x:v>
      </x:c>
      <x:c r="G7977" s="20" t="n">
        <x:v>1</x:v>
      </x:c>
      <x:c r="H7977" s="12" t="str">
        <x:v>Campus/portfolio roster; individual building occupancy unverified</x:v>
      </x:c>
      <x:c r="I7977" s="12" t="str">
        <x:v>Large enterprise</x:v>
      </x:c>
      <x:c r="J7977" s="12" t="str">
        <x:v>Finance &amp; insurance</x:v>
      </x:c>
      <x:c r="K7977" s="2" t="str">
        <x:v>PARTNER-M002</x:v>
      </x:c>
    </x:row>
    <x:row r="7978" ht="46" customHeight="1">
      <x:c r="A7978" s="2" t="str">
        <x:v>TEN-916A98F0FA2A</x:v>
      </x:c>
      <x:c r="B7978" s="12" t="str">
        <x:v>IBM</x:v>
      </x:c>
      <x:c r="C7978" s="12" t="str">
        <x:v>CORP-0423</x:v>
      </x:c>
      <x:c r="D7978" s="12" t="str">
        <x:v>Bengaluru</x:v>
      </x:c>
      <x:c r="E7978" s="12" t="str">
        <x:v>International Tech Park (ITPB)</x:v>
      </x:c>
      <x:c r="F7978" s="12" t="str">
        <x:v>55 inch</x:v>
      </x:c>
      <x:c r="G7978" s="20" t="n">
        <x:v>1</x:v>
      </x:c>
      <x:c r="H7978" s="12" t="str">
        <x:v>Campus/portfolio roster; individual building occupancy unverified</x:v>
      </x:c>
      <x:c r="I7978" s="12" t="str">
        <x:v>Large enterprise</x:v>
      </x:c>
      <x:c r="J7978" s="12" t="str">
        <x:v>IT &amp; digital</x:v>
      </x:c>
      <x:c r="K7978" s="2" t="str">
        <x:v>PARTNER-M002</x:v>
      </x:c>
    </x:row>
    <x:row r="7979" ht="46" customHeight="1">
      <x:c r="A7979" s="2" t="str">
        <x:v>TEN-97720ABA5A0C</x:v>
      </x:c>
      <x:c r="B7979" s="12" t="str">
        <x:v>Insemi Technology</x:v>
      </x:c>
      <x:c r="C7979" s="12" t="str">
        <x:v>CORP-0423</x:v>
      </x:c>
      <x:c r="D7979" s="12" t="str">
        <x:v>Bengaluru</x:v>
      </x:c>
      <x:c r="E7979" s="12" t="str">
        <x:v>International Tech Park (ITPB)</x:v>
      </x:c>
      <x:c r="F7979" s="12" t="str">
        <x:v>55 inch</x:v>
      </x:c>
      <x:c r="G7979" s="20" t="n">
        <x:v>1</x:v>
      </x:c>
      <x:c r="H7979" s="12" t="str">
        <x:v>Campus/portfolio roster; individual building occupancy unverified</x:v>
      </x:c>
      <x:c r="I7979" s="12" t="str">
        <x:v>Mixed business audience</x:v>
      </x:c>
      <x:c r="J7979" s="12" t="str">
        <x:v>Engineering &amp; manufacturing</x:v>
      </x:c>
      <x:c r="K7979" s="2" t="str">
        <x:v>PARTNER-M002</x:v>
      </x:c>
    </x:row>
    <x:row r="7980" ht="46" customHeight="1">
      <x:c r="A7980" s="2" t="str">
        <x:v>TEN-97B053EFF73B</x:v>
      </x:c>
      <x:c r="B7980" s="12" t="str">
        <x:v>Xinthe Technologies</x:v>
      </x:c>
      <x:c r="C7980" s="12" t="str">
        <x:v>CORP-0423</x:v>
      </x:c>
      <x:c r="D7980" s="12" t="str">
        <x:v>Bengaluru</x:v>
      </x:c>
      <x:c r="E7980" s="12" t="str">
        <x:v>International Tech Park (ITPB)</x:v>
      </x:c>
      <x:c r="F7980" s="12" t="str">
        <x:v>55 inch</x:v>
      </x:c>
      <x:c r="G7980" s="20" t="n">
        <x:v>1</x:v>
      </x:c>
      <x:c r="H7980" s="12" t="str">
        <x:v>Campus/portfolio roster; individual building occupancy unverified</x:v>
      </x:c>
      <x:c r="I7980" s="12" t="str">
        <x:v>Small-scale prospects</x:v>
      </x:c>
      <x:c r="J7980" s="12" t="str">
        <x:v>IT &amp; digital</x:v>
      </x:c>
      <x:c r="K7980" s="2" t="str">
        <x:v>PARTNER-M002</x:v>
      </x:c>
    </x:row>
    <x:row r="7981" ht="46" customHeight="1">
      <x:c r="A7981" s="2" t="str">
        <x:v>TEN-99E39EB751AE</x:v>
      </x:c>
      <x:c r="B7981" s="12" t="str">
        <x:v>US Technology</x:v>
      </x:c>
      <x:c r="C7981" s="12" t="str">
        <x:v>CORP-0423</x:v>
      </x:c>
      <x:c r="D7981" s="12" t="str">
        <x:v>Bengaluru</x:v>
      </x:c>
      <x:c r="E7981" s="12" t="str">
        <x:v>International Tech Park (ITPB)</x:v>
      </x:c>
      <x:c r="F7981" s="12" t="str">
        <x:v>55 inch</x:v>
      </x:c>
      <x:c r="G7981" s="20" t="n">
        <x:v>1</x:v>
      </x:c>
      <x:c r="H7981" s="12" t="str">
        <x:v>Campus/portfolio roster; individual building occupancy unverified</x:v>
      </x:c>
      <x:c r="I7981" s="12" t="str">
        <x:v>Mixed business audience</x:v>
      </x:c>
      <x:c r="J7981" s="12" t="str">
        <x:v>IT &amp; digital</x:v>
      </x:c>
      <x:c r="K7981" s="2" t="str">
        <x:v>PARTNER-M002</x:v>
      </x:c>
    </x:row>
    <x:row r="7982" ht="46" customHeight="1">
      <x:c r="A7982" s="2" t="str">
        <x:v>TEN-A08385AC9A90</x:v>
      </x:c>
      <x:c r="B7982" s="12" t="str">
        <x:v>Ecinical</x:v>
      </x:c>
      <x:c r="C7982" s="12" t="str">
        <x:v>CORP-0423</x:v>
      </x:c>
      <x:c r="D7982" s="12" t="str">
        <x:v>Bengaluru</x:v>
      </x:c>
      <x:c r="E7982" s="12" t="str">
        <x:v>International Tech Park (ITPB)</x:v>
      </x:c>
      <x:c r="F7982" s="12" t="str">
        <x:v>55 inch</x:v>
      </x:c>
      <x:c r="G7982" s="20" t="n">
        <x:v>1</x:v>
      </x:c>
      <x:c r="H7982" s="12" t="str">
        <x:v>Campus/portfolio roster; individual building occupancy unverified</x:v>
      </x:c>
      <x:c r="I7982" s="12" t="str">
        <x:v>Mixed business audience</x:v>
      </x:c>
      <x:c r="J7982" s="12" t="str">
        <x:v>Unresolved</x:v>
      </x:c>
      <x:c r="K7982" s="2" t="str">
        <x:v>PARTNER-M002</x:v>
      </x:c>
    </x:row>
    <x:row r="7983" ht="46" customHeight="1">
      <x:c r="A7983" s="2" t="str">
        <x:v>TEN-A57526B5D973</x:v>
      </x:c>
      <x:c r="B7983" s="12" t="str">
        <x:v>General Motors</x:v>
      </x:c>
      <x:c r="C7983" s="12" t="str">
        <x:v>CORP-0423</x:v>
      </x:c>
      <x:c r="D7983" s="12" t="str">
        <x:v>Bengaluru</x:v>
      </x:c>
      <x:c r="E7983" s="12" t="str">
        <x:v>International Tech Park (ITPB)</x:v>
      </x:c>
      <x:c r="F7983" s="12" t="str">
        <x:v>55 inch</x:v>
      </x:c>
      <x:c r="G7983" s="20" t="n">
        <x:v>1</x:v>
      </x:c>
      <x:c r="H7983" s="12" t="str">
        <x:v>Campus/portfolio roster; individual building occupancy unverified</x:v>
      </x:c>
      <x:c r="I7983" s="12" t="str">
        <x:v>Mixed business audience</x:v>
      </x:c>
      <x:c r="J7983" s="12" t="str">
        <x:v>Engineering &amp; manufacturing</x:v>
      </x:c>
      <x:c r="K7983" s="2" t="str">
        <x:v>PARTNER-M002</x:v>
      </x:c>
    </x:row>
    <x:row r="7984" ht="46" customHeight="1">
      <x:c r="A7984" s="2" t="str">
        <x:v>TEN-A5F5259A3FFE</x:v>
      </x:c>
      <x:c r="B7984" s="12" t="str">
        <x:v>Xerox Technology</x:v>
      </x:c>
      <x:c r="C7984" s="12" t="str">
        <x:v>CORP-0423</x:v>
      </x:c>
      <x:c r="D7984" s="12" t="str">
        <x:v>Bengaluru</x:v>
      </x:c>
      <x:c r="E7984" s="12" t="str">
        <x:v>International Tech Park (ITPB)</x:v>
      </x:c>
      <x:c r="F7984" s="12" t="str">
        <x:v>55 inch</x:v>
      </x:c>
      <x:c r="G7984" s="20" t="n">
        <x:v>1</x:v>
      </x:c>
      <x:c r="H7984" s="12" t="str">
        <x:v>Campus/portfolio roster; individual building occupancy unverified</x:v>
      </x:c>
      <x:c r="I7984" s="12" t="str">
        <x:v>Mixed business audience</x:v>
      </x:c>
      <x:c r="J7984" s="12" t="str">
        <x:v>IT &amp; digital</x:v>
      </x:c>
      <x:c r="K7984" s="2" t="str">
        <x:v>PARTNER-M002</x:v>
      </x:c>
    </x:row>
    <x:row r="7985" ht="46" customHeight="1">
      <x:c r="A7985" s="2" t="str">
        <x:v>TEN-A7907C2DB975</x:v>
      </x:c>
      <x:c r="B7985" s="12" t="str">
        <x:v>Einfolge</x:v>
      </x:c>
      <x:c r="C7985" s="12" t="str">
        <x:v>CORP-0423</x:v>
      </x:c>
      <x:c r="D7985" s="12" t="str">
        <x:v>Bengaluru</x:v>
      </x:c>
      <x:c r="E7985" s="12" t="str">
        <x:v>International Tech Park (ITPB)</x:v>
      </x:c>
      <x:c r="F7985" s="12" t="str">
        <x:v>55 inch</x:v>
      </x:c>
      <x:c r="G7985" s="20" t="n">
        <x:v>1</x:v>
      </x:c>
      <x:c r="H7985" s="12" t="str">
        <x:v>Campus/portfolio roster; individual building occupancy unverified</x:v>
      </x:c>
      <x:c r="I7985" s="12" t="str">
        <x:v>Small-scale prospects</x:v>
      </x:c>
      <x:c r="J7985" s="12" t="str">
        <x:v>Professional services</x:v>
      </x:c>
      <x:c r="K7985" s="2" t="str">
        <x:v>PARTNER-M002</x:v>
      </x:c>
    </x:row>
    <x:row r="7986" ht="46" customHeight="1">
      <x:c r="A7986" s="2" t="str">
        <x:v>TEN-A88487AEFC99</x:v>
      </x:c>
      <x:c r="B7986" s="12" t="str">
        <x:v>Galax</x:v>
      </x:c>
      <x:c r="C7986" s="12" t="str">
        <x:v>CORP-0423</x:v>
      </x:c>
      <x:c r="D7986" s="12" t="str">
        <x:v>Bengaluru</x:v>
      </x:c>
      <x:c r="E7986" s="12" t="str">
        <x:v>International Tech Park (ITPB)</x:v>
      </x:c>
      <x:c r="F7986" s="12" t="str">
        <x:v>55 inch</x:v>
      </x:c>
      <x:c r="G7986" s="20" t="n">
        <x:v>1</x:v>
      </x:c>
      <x:c r="H7986" s="12" t="str">
        <x:v>Campus/portfolio roster; individual building occupancy unverified</x:v>
      </x:c>
      <x:c r="I7986" s="12" t="str">
        <x:v>Mixed business audience</x:v>
      </x:c>
      <x:c r="J7986" s="12" t="str">
        <x:v>Unresolved</x:v>
      </x:c>
      <x:c r="K7986" s="2" t="str">
        <x:v>PARTNER-M002</x:v>
      </x:c>
    </x:row>
    <x:row r="7987" ht="46" customHeight="1">
      <x:c r="A7987" s="2" t="str">
        <x:v>TEN-A9A1855F9C7F</x:v>
      </x:c>
      <x:c r="B7987" s="12" t="str">
        <x:v>Globant</x:v>
      </x:c>
      <x:c r="C7987" s="12" t="str">
        <x:v>CORP-0423</x:v>
      </x:c>
      <x:c r="D7987" s="12" t="str">
        <x:v>Bengaluru</x:v>
      </x:c>
      <x:c r="E7987" s="12" t="str">
        <x:v>International Tech Park (ITPB)</x:v>
      </x:c>
      <x:c r="F7987" s="12" t="str">
        <x:v>55 inch</x:v>
      </x:c>
      <x:c r="G7987" s="20" t="n">
        <x:v>1</x:v>
      </x:c>
      <x:c r="H7987" s="12" t="str">
        <x:v>Campus/portfolio roster; individual building occupancy unverified</x:v>
      </x:c>
      <x:c r="I7987" s="12" t="str">
        <x:v>Mixed business audience</x:v>
      </x:c>
      <x:c r="J7987" s="12" t="str">
        <x:v>IT &amp; digital</x:v>
      </x:c>
      <x:c r="K7987" s="2" t="str">
        <x:v>PARTNER-M002</x:v>
      </x:c>
    </x:row>
    <x:row r="7988" ht="46" customHeight="1">
      <x:c r="A7988" s="2" t="str">
        <x:v>TEN-A9B3E7D54A8C</x:v>
      </x:c>
      <x:c r="B7988" s="12" t="str">
        <x:v>First advantage Global</x:v>
      </x:c>
      <x:c r="C7988" s="12" t="str">
        <x:v>CORP-0423</x:v>
      </x:c>
      <x:c r="D7988" s="12" t="str">
        <x:v>Bengaluru</x:v>
      </x:c>
      <x:c r="E7988" s="12" t="str">
        <x:v>International Tech Park (ITPB)</x:v>
      </x:c>
      <x:c r="F7988" s="12" t="str">
        <x:v>55 inch</x:v>
      </x:c>
      <x:c r="G7988" s="20" t="n">
        <x:v>1</x:v>
      </x:c>
      <x:c r="H7988" s="12" t="str">
        <x:v>Campus/portfolio roster; individual building occupancy unverified</x:v>
      </x:c>
      <x:c r="I7988" s="12" t="str">
        <x:v>Mixed business audience</x:v>
      </x:c>
      <x:c r="J7988" s="12" t="str">
        <x:v>Professional services</x:v>
      </x:c>
      <x:c r="K7988" s="2" t="str">
        <x:v>PARTNER-M002</x:v>
      </x:c>
    </x:row>
    <x:row r="7989" ht="46" customHeight="1">
      <x:c r="A7989" s="2" t="str">
        <x:v>TEN-AFB51487B347</x:v>
      </x:c>
      <x:c r="B7989" s="12" t="str">
        <x:v>Happy Visitor Esoutions</x:v>
      </x:c>
      <x:c r="C7989" s="12" t="str">
        <x:v>CORP-0423</x:v>
      </x:c>
      <x:c r="D7989" s="12" t="str">
        <x:v>Bengaluru</x:v>
      </x:c>
      <x:c r="E7989" s="12" t="str">
        <x:v>International Tech Park (ITPB)</x:v>
      </x:c>
      <x:c r="F7989" s="12" t="str">
        <x:v>55 inch</x:v>
      </x:c>
      <x:c r="G7989" s="20" t="n">
        <x:v>1</x:v>
      </x:c>
      <x:c r="H7989" s="12" t="str">
        <x:v>Campus/portfolio roster; individual building occupancy unverified</x:v>
      </x:c>
      <x:c r="I7989" s="12" t="str">
        <x:v>Mixed business audience</x:v>
      </x:c>
      <x:c r="J7989" s="12" t="str">
        <x:v>Unresolved</x:v>
      </x:c>
      <x:c r="K7989" s="2" t="str">
        <x:v>PARTNER-M002</x:v>
      </x:c>
    </x:row>
    <x:row r="7990" ht="46" customHeight="1">
      <x:c r="A7990" s="2" t="str">
        <x:v>TEN-B1E1798527DF</x:v>
      </x:c>
      <x:c r="B7990" s="12" t="str">
        <x:v>Carnation</x:v>
      </x:c>
      <x:c r="C7990" s="12" t="str">
        <x:v>CORP-0423</x:v>
      </x:c>
      <x:c r="D7990" s="12" t="str">
        <x:v>Bengaluru</x:v>
      </x:c>
      <x:c r="E7990" s="12" t="str">
        <x:v>International Tech Park (ITPB)</x:v>
      </x:c>
      <x:c r="F7990" s="12" t="str">
        <x:v>55 inch</x:v>
      </x:c>
      <x:c r="G7990" s="20" t="n">
        <x:v>1</x:v>
      </x:c>
      <x:c r="H7990" s="12" t="str">
        <x:v>Campus/portfolio roster; individual building occupancy unverified</x:v>
      </x:c>
      <x:c r="I7990" s="12" t="str">
        <x:v>Mixed business audience</x:v>
      </x:c>
      <x:c r="J7990" s="12" t="str">
        <x:v>Unresolved</x:v>
      </x:c>
      <x:c r="K7990" s="2" t="str">
        <x:v>PARTNER-M002</x:v>
      </x:c>
    </x:row>
    <x:row r="7991" ht="46" customHeight="1">
      <x:c r="A7991" s="2" t="str">
        <x:v>TEN-B431E151D906</x:v>
      </x:c>
      <x:c r="B7991" s="12" t="str">
        <x:v>Longhorns labs</x:v>
      </x:c>
      <x:c r="C7991" s="12" t="str">
        <x:v>CORP-0423</x:v>
      </x:c>
      <x:c r="D7991" s="12" t="str">
        <x:v>Bengaluru</x:v>
      </x:c>
      <x:c r="E7991" s="12" t="str">
        <x:v>International Tech Park (ITPB)</x:v>
      </x:c>
      <x:c r="F7991" s="12" t="str">
        <x:v>55 inch</x:v>
      </x:c>
      <x:c r="G7991" s="20" t="n">
        <x:v>1</x:v>
      </x:c>
      <x:c r="H7991" s="12" t="str">
        <x:v>Campus/portfolio roster; individual building occupancy unverified</x:v>
      </x:c>
      <x:c r="I7991" s="12" t="str">
        <x:v>Mixed business audience</x:v>
      </x:c>
      <x:c r="J7991" s="12" t="str">
        <x:v>Unresolved</x:v>
      </x:c>
      <x:c r="K7991" s="2" t="str">
        <x:v>PARTNER-M002</x:v>
      </x:c>
    </x:row>
    <x:row r="7992" ht="46" customHeight="1">
      <x:c r="A7992" s="2" t="str">
        <x:v>TEN-B73878E16AE9</x:v>
      </x:c>
      <x:c r="B7992" s="12" t="str">
        <x:v>Truspeq</x:v>
      </x:c>
      <x:c r="C7992" s="12" t="str">
        <x:v>CORP-0423</x:v>
      </x:c>
      <x:c r="D7992" s="12" t="str">
        <x:v>Bengaluru</x:v>
      </x:c>
      <x:c r="E7992" s="12" t="str">
        <x:v>International Tech Park (ITPB)</x:v>
      </x:c>
      <x:c r="F7992" s="12" t="str">
        <x:v>55 inch</x:v>
      </x:c>
      <x:c r="G7992" s="20" t="n">
        <x:v>1</x:v>
      </x:c>
      <x:c r="H7992" s="12" t="str">
        <x:v>Campus/portfolio roster; individual building occupancy unverified</x:v>
      </x:c>
      <x:c r="I7992" s="12" t="str">
        <x:v>Small-scale prospects</x:v>
      </x:c>
      <x:c r="J7992" s="12" t="str">
        <x:v>IT &amp; digital</x:v>
      </x:c>
      <x:c r="K7992" s="2" t="str">
        <x:v>PARTNER-M002</x:v>
      </x:c>
    </x:row>
    <x:row r="7993" ht="46" customHeight="1">
      <x:c r="A7993" s="2" t="str">
        <x:v>TEN-B73A39ADECC4</x:v>
      </x:c>
      <x:c r="B7993" s="12" t="str">
        <x:v>ATOS IT</x:v>
      </x:c>
      <x:c r="C7993" s="12" t="str">
        <x:v>CORP-0423</x:v>
      </x:c>
      <x:c r="D7993" s="12" t="str">
        <x:v>Bengaluru</x:v>
      </x:c>
      <x:c r="E7993" s="12" t="str">
        <x:v>International Tech Park (ITPB)</x:v>
      </x:c>
      <x:c r="F7993" s="12" t="str">
        <x:v>55 inch</x:v>
      </x:c>
      <x:c r="G7993" s="20" t="n">
        <x:v>1</x:v>
      </x:c>
      <x:c r="H7993" s="12" t="str">
        <x:v>Campus/portfolio roster; individual building occupancy unverified</x:v>
      </x:c>
      <x:c r="I7993" s="12" t="str">
        <x:v>Large enterprise</x:v>
      </x:c>
      <x:c r="J7993" s="12" t="str">
        <x:v>IT &amp; digital</x:v>
      </x:c>
      <x:c r="K7993" s="2" t="str">
        <x:v>PARTNER-M002</x:v>
      </x:c>
    </x:row>
    <x:row r="7994" ht="46" customHeight="1">
      <x:c r="A7994" s="2" t="str">
        <x:v>TEN-B9223DF94855</x:v>
      </x:c>
      <x:c r="B7994" s="12" t="str">
        <x:v>ECI Telecom</x:v>
      </x:c>
      <x:c r="C7994" s="12" t="str">
        <x:v>CORP-0423</x:v>
      </x:c>
      <x:c r="D7994" s="12" t="str">
        <x:v>Bengaluru</x:v>
      </x:c>
      <x:c r="E7994" s="12" t="str">
        <x:v>International Tech Park (ITPB)</x:v>
      </x:c>
      <x:c r="F7994" s="12" t="str">
        <x:v>55 inch</x:v>
      </x:c>
      <x:c r="G7994" s="20" t="n">
        <x:v>1</x:v>
      </x:c>
      <x:c r="H7994" s="12" t="str">
        <x:v>Campus/portfolio roster; individual building occupancy unverified</x:v>
      </x:c>
      <x:c r="I7994" s="12" t="str">
        <x:v>Mixed business audience</x:v>
      </x:c>
      <x:c r="J7994" s="12" t="str">
        <x:v>IT &amp; digital</x:v>
      </x:c>
      <x:c r="K7994" s="2" t="str">
        <x:v>PARTNER-M002</x:v>
      </x:c>
    </x:row>
    <x:row r="7995" ht="46" customHeight="1">
      <x:c r="A7995" s="2" t="str">
        <x:v>TEN-BDA4D17476FE</x:v>
      </x:c>
      <x:c r="B7995" s="12" t="str">
        <x:v>Cognisure</x:v>
      </x:c>
      <x:c r="C7995" s="12" t="str">
        <x:v>CORP-0423</x:v>
      </x:c>
      <x:c r="D7995" s="12" t="str">
        <x:v>Bengaluru</x:v>
      </x:c>
      <x:c r="E7995" s="12" t="str">
        <x:v>International Tech Park (ITPB)</x:v>
      </x:c>
      <x:c r="F7995" s="12" t="str">
        <x:v>55 inch</x:v>
      </x:c>
      <x:c r="G7995" s="20" t="n">
        <x:v>1</x:v>
      </x:c>
      <x:c r="H7995" s="12" t="str">
        <x:v>Campus/portfolio roster; individual building occupancy unverified</x:v>
      </x:c>
      <x:c r="I7995" s="12" t="str">
        <x:v>Small-scale prospects</x:v>
      </x:c>
      <x:c r="J7995" s="12" t="str">
        <x:v>IT &amp; digital</x:v>
      </x:c>
      <x:c r="K7995" s="2" t="str">
        <x:v>PARTNER-M002</x:v>
      </x:c>
    </x:row>
    <x:row r="7996" ht="46" customHeight="1">
      <x:c r="A7996" s="2" t="str">
        <x:v>TEN-BE234565AEEE</x:v>
      </x:c>
      <x:c r="B7996" s="12" t="str">
        <x:v>Incred Financial</x:v>
      </x:c>
      <x:c r="C7996" s="12" t="str">
        <x:v>CORP-0423</x:v>
      </x:c>
      <x:c r="D7996" s="12" t="str">
        <x:v>Bengaluru</x:v>
      </x:c>
      <x:c r="E7996" s="12" t="str">
        <x:v>International Tech Park (ITPB)</x:v>
      </x:c>
      <x:c r="F7996" s="12" t="str">
        <x:v>55 inch</x:v>
      </x:c>
      <x:c r="G7996" s="20" t="n">
        <x:v>1</x:v>
      </x:c>
      <x:c r="H7996" s="12" t="str">
        <x:v>Campus/portfolio roster; individual building occupancy unverified</x:v>
      </x:c>
      <x:c r="I7996" s="12" t="str">
        <x:v>Mixed business audience</x:v>
      </x:c>
      <x:c r="J7996" s="12" t="str">
        <x:v>Finance &amp; insurance</x:v>
      </x:c>
      <x:c r="K7996" s="2" t="str">
        <x:v>PARTNER-M002</x:v>
      </x:c>
    </x:row>
    <x:row r="7997" ht="46" customHeight="1">
      <x:c r="A7997" s="2" t="str">
        <x:v>TEN-BFE647B51B50</x:v>
      </x:c>
      <x:c r="B7997" s="12" t="str">
        <x:v>V4U</x:v>
      </x:c>
      <x:c r="C7997" s="12" t="str">
        <x:v>CORP-0423</x:v>
      </x:c>
      <x:c r="D7997" s="12" t="str">
        <x:v>Bengaluru</x:v>
      </x:c>
      <x:c r="E7997" s="12" t="str">
        <x:v>International Tech Park (ITPB)</x:v>
      </x:c>
      <x:c r="F7997" s="12" t="str">
        <x:v>55 inch</x:v>
      </x:c>
      <x:c r="G7997" s="20" t="n">
        <x:v>1</x:v>
      </x:c>
      <x:c r="H7997" s="12" t="str">
        <x:v>Campus/portfolio roster; individual building occupancy unverified</x:v>
      </x:c>
      <x:c r="I7997" s="12" t="str">
        <x:v>Mixed business audience</x:v>
      </x:c>
      <x:c r="J7997" s="12" t="str">
        <x:v>Unresolved</x:v>
      </x:c>
      <x:c r="K7997" s="2" t="str">
        <x:v>PARTNER-M002</x:v>
      </x:c>
    </x:row>
    <x:row r="7998" ht="46" customHeight="1">
      <x:c r="A7998" s="2" t="str">
        <x:v>TEN-C27FF66117D5</x:v>
      </x:c>
      <x:c r="B7998" s="12" t="str">
        <x:v>Index Lithigraphy</x:v>
      </x:c>
      <x:c r="C7998" s="12" t="str">
        <x:v>CORP-0423</x:v>
      </x:c>
      <x:c r="D7998" s="12" t="str">
        <x:v>Bengaluru</x:v>
      </x:c>
      <x:c r="E7998" s="12" t="str">
        <x:v>International Tech Park (ITPB)</x:v>
      </x:c>
      <x:c r="F7998" s="12" t="str">
        <x:v>55 inch</x:v>
      </x:c>
      <x:c r="G7998" s="20" t="n">
        <x:v>1</x:v>
      </x:c>
      <x:c r="H7998" s="12" t="str">
        <x:v>Campus/portfolio roster; individual building occupancy unverified</x:v>
      </x:c>
      <x:c r="I7998" s="12" t="str">
        <x:v>Medium-scale prospects</x:v>
      </x:c>
      <x:c r="J7998" s="12" t="str">
        <x:v>Engineering &amp; manufacturing</x:v>
      </x:c>
      <x:c r="K7998" s="2" t="str">
        <x:v>PARTNER-M002</x:v>
      </x:c>
    </x:row>
    <x:row r="7999" ht="46" customHeight="1">
      <x:c r="A7999" s="2" t="str">
        <x:v>TEN-CC2C556FA10A</x:v>
      </x:c>
      <x:c r="B7999" s="12" t="str">
        <x:v>Kingslake</x:v>
      </x:c>
      <x:c r="C7999" s="12" t="str">
        <x:v>CORP-0423</x:v>
      </x:c>
      <x:c r="D7999" s="12" t="str">
        <x:v>Bengaluru</x:v>
      </x:c>
      <x:c r="E7999" s="12" t="str">
        <x:v>International Tech Park (ITPB)</x:v>
      </x:c>
      <x:c r="F7999" s="12" t="str">
        <x:v>55 inch</x:v>
      </x:c>
      <x:c r="G7999" s="20" t="n">
        <x:v>1</x:v>
      </x:c>
      <x:c r="H7999" s="12" t="str">
        <x:v>Campus/portfolio roster; individual building occupancy unverified</x:v>
      </x:c>
      <x:c r="I7999" s="12" t="str">
        <x:v>Mixed business audience</x:v>
      </x:c>
      <x:c r="J7999" s="12" t="str">
        <x:v>Unresolved</x:v>
      </x:c>
      <x:c r="K7999" s="2" t="str">
        <x:v>PARTNER-M002</x:v>
      </x:c>
    </x:row>
    <x:row r="8000" ht="46" customHeight="1">
      <x:c r="A8000" s="2" t="str">
        <x:v>TEN-CDDAE2627D47</x:v>
      </x:c>
      <x:c r="B8000" s="12" t="str">
        <x:v>Institute Bio informatis</x:v>
      </x:c>
      <x:c r="C8000" s="12" t="str">
        <x:v>CORP-0423</x:v>
      </x:c>
      <x:c r="D8000" s="12" t="str">
        <x:v>Bengaluru</x:v>
      </x:c>
      <x:c r="E8000" s="12" t="str">
        <x:v>International Tech Park (ITPB)</x:v>
      </x:c>
      <x:c r="F8000" s="12" t="str">
        <x:v>55 inch</x:v>
      </x:c>
      <x:c r="G8000" s="20" t="n">
        <x:v>1</x:v>
      </x:c>
      <x:c r="H8000" s="12" t="str">
        <x:v>Campus/portfolio roster; individual building occupancy unverified</x:v>
      </x:c>
      <x:c r="I8000" s="12" t="str">
        <x:v>Small-scale prospects</x:v>
      </x:c>
      <x:c r="J8000" s="12" t="str">
        <x:v>Education</x:v>
      </x:c>
      <x:c r="K8000" s="2" t="str">
        <x:v>PARTNER-M002</x:v>
      </x:c>
    </x:row>
    <x:row r="8001" ht="46" customHeight="1">
      <x:c r="A8001" s="2" t="str">
        <x:v>TEN-D04CE1F77A17</x:v>
      </x:c>
      <x:c r="B8001" s="12" t="str">
        <x:v>Fiorano</x:v>
      </x:c>
      <x:c r="C8001" s="12" t="str">
        <x:v>CORP-0423</x:v>
      </x:c>
      <x:c r="D8001" s="12" t="str">
        <x:v>Bengaluru</x:v>
      </x:c>
      <x:c r="E8001" s="12" t="str">
        <x:v>International Tech Park (ITPB)</x:v>
      </x:c>
      <x:c r="F8001" s="12" t="str">
        <x:v>55 inch</x:v>
      </x:c>
      <x:c r="G8001" s="20" t="n">
        <x:v>1</x:v>
      </x:c>
      <x:c r="H8001" s="12" t="str">
        <x:v>Campus/portfolio roster; individual building occupancy unverified</x:v>
      </x:c>
      <x:c r="I8001" s="12" t="str">
        <x:v>Small-scale prospects</x:v>
      </x:c>
      <x:c r="J8001" s="12" t="str">
        <x:v>IT &amp; digital</x:v>
      </x:c>
      <x:c r="K8001" s="2" t="str">
        <x:v>PARTNER-M002</x:v>
      </x:c>
    </x:row>
    <x:row r="8002" ht="46" customHeight="1">
      <x:c r="A8002" s="2" t="str">
        <x:v>TEN-D1C7C99C6E2E</x:v>
      </x:c>
      <x:c r="B8002" s="12" t="str">
        <x:v>Tata</x:v>
      </x:c>
      <x:c r="C8002" s="12" t="str">
        <x:v>CORP-0423</x:v>
      </x:c>
      <x:c r="D8002" s="12" t="str">
        <x:v>Bengaluru</x:v>
      </x:c>
      <x:c r="E8002" s="12" t="str">
        <x:v>International Tech Park (ITPB)</x:v>
      </x:c>
      <x:c r="F8002" s="12" t="str">
        <x:v>55 inch</x:v>
      </x:c>
      <x:c r="G8002" s="20" t="n">
        <x:v>1</x:v>
      </x:c>
      <x:c r="H8002" s="12" t="str">
        <x:v>Campus/portfolio roster; individual building occupancy unverified</x:v>
      </x:c>
      <x:c r="I8002" s="12" t="str">
        <x:v>Large enterprise</x:v>
      </x:c>
      <x:c r="J8002" s="12" t="str">
        <x:v>Unresolved</x:v>
      </x:c>
      <x:c r="K8002" s="2" t="str">
        <x:v>PARTNER-M002</x:v>
      </x:c>
    </x:row>
    <x:row r="8003" ht="46" customHeight="1">
      <x:c r="A8003" s="2" t="str">
        <x:v>TEN-D2E269F83158</x:v>
      </x:c>
      <x:c r="B8003" s="12" t="str">
        <x:v>MBB Labs</x:v>
      </x:c>
      <x:c r="C8003" s="12" t="str">
        <x:v>CORP-0423</x:v>
      </x:c>
      <x:c r="D8003" s="12" t="str">
        <x:v>Bengaluru</x:v>
      </x:c>
      <x:c r="E8003" s="12" t="str">
        <x:v>International Tech Park (ITPB)</x:v>
      </x:c>
      <x:c r="F8003" s="12" t="str">
        <x:v>55 inch</x:v>
      </x:c>
      <x:c r="G8003" s="20" t="n">
        <x:v>1</x:v>
      </x:c>
      <x:c r="H8003" s="12" t="str">
        <x:v>Campus/portfolio roster; individual building occupancy unverified</x:v>
      </x:c>
      <x:c r="I8003" s="12" t="str">
        <x:v>Mixed business audience</x:v>
      </x:c>
      <x:c r="J8003" s="12" t="str">
        <x:v>Unresolved</x:v>
      </x:c>
      <x:c r="K8003" s="2" t="str">
        <x:v>PARTNER-M002</x:v>
      </x:c>
    </x:row>
    <x:row r="8004" ht="46" customHeight="1">
      <x:c r="A8004" s="2" t="str">
        <x:v>TEN-D72EAD2E3D44</x:v>
      </x:c>
      <x:c r="B8004" s="12" t="str">
        <x:v>Tech Mahindra</x:v>
      </x:c>
      <x:c r="C8004" s="12" t="str">
        <x:v>CORP-0423</x:v>
      </x:c>
      <x:c r="D8004" s="12" t="str">
        <x:v>Bengaluru</x:v>
      </x:c>
      <x:c r="E8004" s="12" t="str">
        <x:v>International Tech Park (ITPB)</x:v>
      </x:c>
      <x:c r="F8004" s="12" t="str">
        <x:v>55 inch</x:v>
      </x:c>
      <x:c r="G8004" s="20" t="n">
        <x:v>1</x:v>
      </x:c>
      <x:c r="H8004" s="12" t="str">
        <x:v>Campus/portfolio roster; individual building occupancy unverified</x:v>
      </x:c>
      <x:c r="I8004" s="12" t="str">
        <x:v>Large enterprise</x:v>
      </x:c>
      <x:c r="J8004" s="12" t="str">
        <x:v>IT &amp; digital</x:v>
      </x:c>
      <x:c r="K8004" s="2" t="str">
        <x:v>PARTNER-M002</x:v>
      </x:c>
    </x:row>
    <x:row r="8005" ht="46" customHeight="1">
      <x:c r="A8005" s="2" t="str">
        <x:v>TEN-D817CF92B660</x:v>
      </x:c>
      <x:c r="B8005" s="12" t="str">
        <x:v>Innoactive</x:v>
      </x:c>
      <x:c r="C8005" s="12" t="str">
        <x:v>CORP-0423</x:v>
      </x:c>
      <x:c r="D8005" s="12" t="str">
        <x:v>Bengaluru</x:v>
      </x:c>
      <x:c r="E8005" s="12" t="str">
        <x:v>International Tech Park (ITPB)</x:v>
      </x:c>
      <x:c r="F8005" s="12" t="str">
        <x:v>55 inch</x:v>
      </x:c>
      <x:c r="G8005" s="20" t="n">
        <x:v>1</x:v>
      </x:c>
      <x:c r="H8005" s="12" t="str">
        <x:v>Campus/portfolio roster; individual building occupancy unverified</x:v>
      </x:c>
      <x:c r="I8005" s="12" t="str">
        <x:v>Mixed business audience</x:v>
      </x:c>
      <x:c r="J8005" s="12" t="str">
        <x:v>Unresolved</x:v>
      </x:c>
      <x:c r="K8005" s="2" t="str">
        <x:v>PARTNER-M002</x:v>
      </x:c>
    </x:row>
    <x:row r="8006" ht="46" customHeight="1">
      <x:c r="A8006" s="2" t="str">
        <x:v>TEN-D820F7EB8DD2</x:v>
      </x:c>
      <x:c r="B8006" s="12" t="str">
        <x:v>Hireright</x:v>
      </x:c>
      <x:c r="C8006" s="12" t="str">
        <x:v>CORP-0423</x:v>
      </x:c>
      <x:c r="D8006" s="12" t="str">
        <x:v>Bengaluru</x:v>
      </x:c>
      <x:c r="E8006" s="12" t="str">
        <x:v>International Tech Park (ITPB)</x:v>
      </x:c>
      <x:c r="F8006" s="12" t="str">
        <x:v>55 inch</x:v>
      </x:c>
      <x:c r="G8006" s="20" t="n">
        <x:v>1</x:v>
      </x:c>
      <x:c r="H8006" s="12" t="str">
        <x:v>Campus/portfolio roster; individual building occupancy unverified</x:v>
      </x:c>
      <x:c r="I8006" s="12" t="str">
        <x:v>Mixed business audience</x:v>
      </x:c>
      <x:c r="J8006" s="12" t="str">
        <x:v>Professional services</x:v>
      </x:c>
      <x:c r="K8006" s="2" t="str">
        <x:v>PARTNER-M002</x:v>
      </x:c>
    </x:row>
    <x:row r="8007" ht="46" customHeight="1">
      <x:c r="A8007" s="2" t="str">
        <x:v>TEN-D886B2C883A6</x:v>
      </x:c>
      <x:c r="B8007" s="12" t="str">
        <x:v>Citi Bank</x:v>
      </x:c>
      <x:c r="C8007" s="12" t="str">
        <x:v>CORP-0423</x:v>
      </x:c>
      <x:c r="D8007" s="12" t="str">
        <x:v>Bengaluru</x:v>
      </x:c>
      <x:c r="E8007" s="12" t="str">
        <x:v>International Tech Park (ITPB)</x:v>
      </x:c>
      <x:c r="F8007" s="12" t="str">
        <x:v>55 inch</x:v>
      </x:c>
      <x:c r="G8007" s="20" t="n">
        <x:v>1</x:v>
      </x:c>
      <x:c r="H8007" s="12" t="str">
        <x:v>Campus/portfolio roster; individual building occupancy unverified</x:v>
      </x:c>
      <x:c r="I8007" s="12" t="str">
        <x:v>Large enterprise</x:v>
      </x:c>
      <x:c r="J8007" s="12" t="str">
        <x:v>Finance &amp; insurance</x:v>
      </x:c>
      <x:c r="K8007" s="2" t="str">
        <x:v>PARTNER-M002</x:v>
      </x:c>
    </x:row>
    <x:row r="8008" ht="46" customHeight="1">
      <x:c r="A8008" s="2" t="str">
        <x:v>TEN-DA7A5218187E</x:v>
      </x:c>
      <x:c r="B8008" s="12" t="str">
        <x:v>Certes</x:v>
      </x:c>
      <x:c r="C8008" s="12" t="str">
        <x:v>CORP-0423</x:v>
      </x:c>
      <x:c r="D8008" s="12" t="str">
        <x:v>Bengaluru</x:v>
      </x:c>
      <x:c r="E8008" s="12" t="str">
        <x:v>International Tech Park (ITPB)</x:v>
      </x:c>
      <x:c r="F8008" s="12" t="str">
        <x:v>55 inch</x:v>
      </x:c>
      <x:c r="G8008" s="20" t="n">
        <x:v>1</x:v>
      </x:c>
      <x:c r="H8008" s="12" t="str">
        <x:v>Campus/portfolio roster; individual building occupancy unverified</x:v>
      </x:c>
      <x:c r="I8008" s="12" t="str">
        <x:v>Mixed business audience</x:v>
      </x:c>
      <x:c r="J8008" s="12" t="str">
        <x:v>Unresolved</x:v>
      </x:c>
      <x:c r="K8008" s="2" t="str">
        <x:v>PARTNER-M002</x:v>
      </x:c>
    </x:row>
    <x:row r="8009" ht="46" customHeight="1">
      <x:c r="A8009" s="2" t="str">
        <x:v>TEN-E1F279A6A033</x:v>
      </x:c>
      <x:c r="B8009" s="12" t="str">
        <x:v>Applied Materials</x:v>
      </x:c>
      <x:c r="C8009" s="12" t="str">
        <x:v>CORP-0423</x:v>
      </x:c>
      <x:c r="D8009" s="12" t="str">
        <x:v>Bengaluru</x:v>
      </x:c>
      <x:c r="E8009" s="12" t="str">
        <x:v>International Tech Park (ITPB)</x:v>
      </x:c>
      <x:c r="F8009" s="12" t="str">
        <x:v>55 inch</x:v>
      </x:c>
      <x:c r="G8009" s="20" t="n">
        <x:v>1</x:v>
      </x:c>
      <x:c r="H8009" s="12" t="str">
        <x:v>Campus/portfolio roster; individual building occupancy unverified</x:v>
      </x:c>
      <x:c r="I8009" s="12" t="str">
        <x:v>Mixed business audience</x:v>
      </x:c>
      <x:c r="J8009" s="12" t="str">
        <x:v>Engineering &amp; manufacturing</x:v>
      </x:c>
      <x:c r="K8009" s="2" t="str">
        <x:v>PARTNER-M002</x:v>
      </x:c>
    </x:row>
    <x:row r="8010" ht="46" customHeight="1">
      <x:c r="A8010" s="2" t="str">
        <x:v>TEN-EA30894BD53C</x:v>
      </x:c>
      <x:c r="B8010" s="12" t="str">
        <x:v>Alcatel-Lucent</x:v>
      </x:c>
      <x:c r="C8010" s="12" t="str">
        <x:v>CORP-0423</x:v>
      </x:c>
      <x:c r="D8010" s="12" t="str">
        <x:v>Bengaluru</x:v>
      </x:c>
      <x:c r="E8010" s="12" t="str">
        <x:v>International Tech Park (ITPB)</x:v>
      </x:c>
      <x:c r="F8010" s="12" t="str">
        <x:v>55 inch</x:v>
      </x:c>
      <x:c r="G8010" s="20" t="n">
        <x:v>1</x:v>
      </x:c>
      <x:c r="H8010" s="12" t="str">
        <x:v>Campus/portfolio roster; individual building occupancy unverified</x:v>
      </x:c>
      <x:c r="I8010" s="12" t="str">
        <x:v>Mixed business audience</x:v>
      </x:c>
      <x:c r="J8010" s="12" t="str">
        <x:v>IT &amp; digital</x:v>
      </x:c>
      <x:c r="K8010" s="2" t="str">
        <x:v>PARTNER-M002</x:v>
      </x:c>
    </x:row>
    <x:row r="8011" ht="46" customHeight="1">
      <x:c r="A8011" s="2" t="str">
        <x:v>TEN-EB2197E38208</x:v>
      </x:c>
      <x:c r="B8011" s="12" t="str">
        <x:v>Sycomp Technologies</x:v>
      </x:c>
      <x:c r="C8011" s="12" t="str">
        <x:v>CORP-0423</x:v>
      </x:c>
      <x:c r="D8011" s="12" t="str">
        <x:v>Bengaluru</x:v>
      </x:c>
      <x:c r="E8011" s="12" t="str">
        <x:v>International Tech Park (ITPB)</x:v>
      </x:c>
      <x:c r="F8011" s="12" t="str">
        <x:v>55 inch</x:v>
      </x:c>
      <x:c r="G8011" s="20" t="n">
        <x:v>1</x:v>
      </x:c>
      <x:c r="H8011" s="12" t="str">
        <x:v>Campus/portfolio roster; individual building occupancy unverified</x:v>
      </x:c>
      <x:c r="I8011" s="12" t="str">
        <x:v>Small-scale prospects</x:v>
      </x:c>
      <x:c r="J8011" s="12" t="str">
        <x:v>IT &amp; digital</x:v>
      </x:c>
      <x:c r="K8011" s="2" t="str">
        <x:v>PARTNER-M002</x:v>
      </x:c>
    </x:row>
    <x:row r="8012" ht="46" customHeight="1">
      <x:c r="A8012" s="2" t="str">
        <x:v>TEN-F4FDCAC4C72C</x:v>
      </x:c>
      <x:c r="B8012" s="12" t="str">
        <x:v>Mindsprint</x:v>
      </x:c>
      <x:c r="C8012" s="12" t="str">
        <x:v>CORP-0423</x:v>
      </x:c>
      <x:c r="D8012" s="12" t="str">
        <x:v>Bengaluru</x:v>
      </x:c>
      <x:c r="E8012" s="12" t="str">
        <x:v>International Tech Park (ITPB)</x:v>
      </x:c>
      <x:c r="F8012" s="12" t="str">
        <x:v>55 inch</x:v>
      </x:c>
      <x:c r="G8012" s="20" t="n">
        <x:v>1</x:v>
      </x:c>
      <x:c r="H8012" s="12" t="str">
        <x:v>Campus/portfolio roster; individual building occupancy unverified</x:v>
      </x:c>
      <x:c r="I8012" s="12" t="str">
        <x:v>Mixed business audience</x:v>
      </x:c>
      <x:c r="J8012" s="12" t="str">
        <x:v>IT &amp; digital</x:v>
      </x:c>
      <x:c r="K8012" s="2" t="str">
        <x:v>PARTNER-M002</x:v>
      </x:c>
    </x:row>
    <x:row r="8013" ht="46" customHeight="1">
      <x:c r="A8013" s="2" t="str">
        <x:v>TEN-04D3AC99C721</x:v>
      </x:c>
      <x:c r="B8013" s="12" t="str">
        <x:v>Noodle Analytics</x:v>
      </x:c>
      <x:c r="C8013" s="12" t="str">
        <x:v>CORP-0495</x:v>
      </x:c>
      <x:c r="D8013" s="12" t="str">
        <x:v>Bengaluru</x:v>
      </x:c>
      <x:c r="E8013" s="12" t="str">
        <x:v>Umiya Business Bay</x:v>
      </x:c>
      <x:c r="F8013" s="12" t="str">
        <x:v>55 inch</x:v>
      </x:c>
      <x:c r="G8013" s="20" t="n">
        <x:v>1</x:v>
      </x:c>
      <x:c r="H8013" s="12" t="str">
        <x:v>Campus/portfolio roster; individual building occupancy unverified</x:v>
      </x:c>
      <x:c r="I8013" s="12" t="str">
        <x:v>Small-scale prospects</x:v>
      </x:c>
      <x:c r="J8013" s="12" t="str">
        <x:v>IT &amp; digital</x:v>
      </x:c>
      <x:c r="K8013" s="2" t="str">
        <x:v>PARTNER-M072</x:v>
      </x:c>
    </x:row>
    <x:row r="8014" ht="46" customHeight="1">
      <x:c r="A8014" s="2" t="str">
        <x:v>TEN-1129162334DD</x:v>
      </x:c>
      <x:c r="B8014" s="12" t="str">
        <x:v>Servion Global Solutions</x:v>
      </x:c>
      <x:c r="C8014" s="12" t="str">
        <x:v>CORP-0495</x:v>
      </x:c>
      <x:c r="D8014" s="12" t="str">
        <x:v>Bengaluru</x:v>
      </x:c>
      <x:c r="E8014" s="12" t="str">
        <x:v>Umiya Business Bay</x:v>
      </x:c>
      <x:c r="F8014" s="12" t="str">
        <x:v>55 inch</x:v>
      </x:c>
      <x:c r="G8014" s="20" t="n">
        <x:v>1</x:v>
      </x:c>
      <x:c r="H8014" s="12" t="str">
        <x:v>Campus/portfolio roster; individual building occupancy unverified</x:v>
      </x:c>
      <x:c r="I8014" s="12" t="str">
        <x:v>Mixed business audience</x:v>
      </x:c>
      <x:c r="J8014" s="12" t="str">
        <x:v>IT &amp; digital</x:v>
      </x:c>
      <x:c r="K8014" s="2" t="str">
        <x:v>PARTNER-M072</x:v>
      </x:c>
    </x:row>
    <x:row r="8015" ht="46" customHeight="1">
      <x:c r="A8015" s="2" t="str">
        <x:v>TEN-13EBE574DFA2</x:v>
      </x:c>
      <x:c r="B8015" s="12" t="str">
        <x:v>Smartworks Business Centre</x:v>
      </x:c>
      <x:c r="C8015" s="12" t="str">
        <x:v>CORP-0495</x:v>
      </x:c>
      <x:c r="D8015" s="12" t="str">
        <x:v>Bengaluru</x:v>
      </x:c>
      <x:c r="E8015" s="12" t="str">
        <x:v>Umiya Business Bay</x:v>
      </x:c>
      <x:c r="F8015" s="12" t="str">
        <x:v>55 inch</x:v>
      </x:c>
      <x:c r="G8015" s="20" t="n">
        <x:v>1</x:v>
      </x:c>
      <x:c r="H8015" s="12" t="str">
        <x:v>Campus/portfolio roster; individual building occupancy unverified</x:v>
      </x:c>
      <x:c r="I8015" s="12" t="str">
        <x:v>Mixed business audience</x:v>
      </x:c>
      <x:c r="J8015" s="12" t="str">
        <x:v>Workspace &amp; property operations</x:v>
      </x:c>
      <x:c r="K8015" s="2" t="str">
        <x:v>PARTNER-M072</x:v>
      </x:c>
    </x:row>
    <x:row r="8016" ht="46" customHeight="1">
      <x:c r="A8016" s="2" t="str">
        <x:v>TEN-18E894A0A28F</x:v>
      </x:c>
      <x:c r="B8016" s="12" t="str">
        <x:v>Yazaki India</x:v>
      </x:c>
      <x:c r="C8016" s="12" t="str">
        <x:v>CORP-0495</x:v>
      </x:c>
      <x:c r="D8016" s="12" t="str">
        <x:v>Bengaluru</x:v>
      </x:c>
      <x:c r="E8016" s="12" t="str">
        <x:v>Umiya Business Bay</x:v>
      </x:c>
      <x:c r="F8016" s="12" t="str">
        <x:v>55 inch</x:v>
      </x:c>
      <x:c r="G8016" s="20" t="n">
        <x:v>1</x:v>
      </x:c>
      <x:c r="H8016" s="12" t="str">
        <x:v>Campus/portfolio roster; individual building occupancy unverified</x:v>
      </x:c>
      <x:c r="I8016" s="12" t="str">
        <x:v>Mixed business audience</x:v>
      </x:c>
      <x:c r="J8016" s="12" t="str">
        <x:v>Engineering &amp; manufacturing</x:v>
      </x:c>
      <x:c r="K8016" s="2" t="str">
        <x:v>PARTNER-M072</x:v>
      </x:c>
    </x:row>
    <x:row r="8017" ht="46" customHeight="1">
      <x:c r="A8017" s="2" t="str">
        <x:v>TEN-1D3CF023C580</x:v>
      </x:c>
      <x:c r="B8017" s="12" t="str">
        <x:v>Vlocity Cloud Applications</x:v>
      </x:c>
      <x:c r="C8017" s="12" t="str">
        <x:v>CORP-0495</x:v>
      </x:c>
      <x:c r="D8017" s="12" t="str">
        <x:v>Bengaluru</x:v>
      </x:c>
      <x:c r="E8017" s="12" t="str">
        <x:v>Umiya Business Bay</x:v>
      </x:c>
      <x:c r="F8017" s="12" t="str">
        <x:v>55 inch</x:v>
      </x:c>
      <x:c r="G8017" s="20" t="n">
        <x:v>1</x:v>
      </x:c>
      <x:c r="H8017" s="12" t="str">
        <x:v>Campus/portfolio roster; individual building occupancy unverified</x:v>
      </x:c>
      <x:c r="I8017" s="12" t="str">
        <x:v>Mixed business audience</x:v>
      </x:c>
      <x:c r="J8017" s="12" t="str">
        <x:v>IT &amp; digital</x:v>
      </x:c>
      <x:c r="K8017" s="2" t="str">
        <x:v>PARTNER-M072</x:v>
      </x:c>
    </x:row>
    <x:row r="8018" ht="46" customHeight="1">
      <x:c r="A8018" s="2" t="str">
        <x:v>TEN-1E09F269372F</x:v>
      </x:c>
      <x:c r="B8018" s="12" t="str">
        <x:v>Yokogawa IA Technologies</x:v>
      </x:c>
      <x:c r="C8018" s="12" t="str">
        <x:v>CORP-0495</x:v>
      </x:c>
      <x:c r="D8018" s="12" t="str">
        <x:v>Bengaluru</x:v>
      </x:c>
      <x:c r="E8018" s="12" t="str">
        <x:v>Umiya Business Bay</x:v>
      </x:c>
      <x:c r="F8018" s="12" t="str">
        <x:v>55 inch</x:v>
      </x:c>
      <x:c r="G8018" s="20" t="n">
        <x:v>1</x:v>
      </x:c>
      <x:c r="H8018" s="12" t="str">
        <x:v>Campus/portfolio roster; individual building occupancy unverified</x:v>
      </x:c>
      <x:c r="I8018" s="12" t="str">
        <x:v>Mixed business audience</x:v>
      </x:c>
      <x:c r="J8018" s="12" t="str">
        <x:v>Engineering &amp; manufacturing</x:v>
      </x:c>
      <x:c r="K8018" s="2" t="str">
        <x:v>PARTNER-M072</x:v>
      </x:c>
    </x:row>
    <x:row r="8019" ht="46" customHeight="1">
      <x:c r="A8019" s="2" t="str">
        <x:v>TEN-2074EEA1A383</x:v>
      </x:c>
      <x:c r="B8019" s="12" t="str">
        <x:v>Page Industries</x:v>
      </x:c>
      <x:c r="C8019" s="12" t="str">
        <x:v>CORP-0495</x:v>
      </x:c>
      <x:c r="D8019" s="12" t="str">
        <x:v>Bengaluru</x:v>
      </x:c>
      <x:c r="E8019" s="12" t="str">
        <x:v>Umiya Business Bay</x:v>
      </x:c>
      <x:c r="F8019" s="12" t="str">
        <x:v>55 inch</x:v>
      </x:c>
      <x:c r="G8019" s="20" t="n">
        <x:v>1</x:v>
      </x:c>
      <x:c r="H8019" s="12" t="str">
        <x:v>Campus/portfolio roster; individual building occupancy unverified</x:v>
      </x:c>
      <x:c r="I8019" s="12" t="str">
        <x:v>Mixed business audience</x:v>
      </x:c>
      <x:c r="J8019" s="12" t="str">
        <x:v>Trade, consumer &amp; logistics</x:v>
      </x:c>
      <x:c r="K8019" s="2" t="str">
        <x:v>PARTNER-M072</x:v>
      </x:c>
    </x:row>
    <x:row r="8020" ht="46" customHeight="1">
      <x:c r="A8020" s="2" t="str">
        <x:v>TEN-2B3CCB1CD4C0</x:v>
      </x:c>
      <x:c r="B8020" s="12" t="str">
        <x:v>Simeio Development Centre</x:v>
      </x:c>
      <x:c r="C8020" s="12" t="str">
        <x:v>CORP-0495</x:v>
      </x:c>
      <x:c r="D8020" s="12" t="str">
        <x:v>Bengaluru</x:v>
      </x:c>
      <x:c r="E8020" s="12" t="str">
        <x:v>Umiya Business Bay</x:v>
      </x:c>
      <x:c r="F8020" s="12" t="str">
        <x:v>55 inch</x:v>
      </x:c>
      <x:c r="G8020" s="20" t="n">
        <x:v>1</x:v>
      </x:c>
      <x:c r="H8020" s="12" t="str">
        <x:v>Campus/portfolio roster; individual building occupancy unverified</x:v>
      </x:c>
      <x:c r="I8020" s="12" t="str">
        <x:v>Small-scale prospects</x:v>
      </x:c>
      <x:c r="J8020" s="12" t="str">
        <x:v>IT &amp; digital</x:v>
      </x:c>
      <x:c r="K8020" s="2" t="str">
        <x:v>PARTNER-M072</x:v>
      </x:c>
    </x:row>
    <x:row r="8021" ht="46" customHeight="1">
      <x:c r="A8021" s="2" t="str">
        <x:v>TEN-33E655A82EEA</x:v>
      </x:c>
      <x:c r="B8021" s="12" t="str">
        <x:v>T-Systems ICT</x:v>
      </x:c>
      <x:c r="C8021" s="12" t="str">
        <x:v>CORP-0495</x:v>
      </x:c>
      <x:c r="D8021" s="12" t="str">
        <x:v>Bengaluru</x:v>
      </x:c>
      <x:c r="E8021" s="12" t="str">
        <x:v>Umiya Business Bay</x:v>
      </x:c>
      <x:c r="F8021" s="12" t="str">
        <x:v>55 inch</x:v>
      </x:c>
      <x:c r="G8021" s="20" t="n">
        <x:v>1</x:v>
      </x:c>
      <x:c r="H8021" s="12" t="str">
        <x:v>Campus/portfolio roster; individual building occupancy unverified</x:v>
      </x:c>
      <x:c r="I8021" s="12" t="str">
        <x:v>Large enterprise</x:v>
      </x:c>
      <x:c r="J8021" s="12" t="str">
        <x:v>IT &amp; digital</x:v>
      </x:c>
      <x:c r="K8021" s="2" t="str">
        <x:v>PARTNER-M072</x:v>
      </x:c>
    </x:row>
    <x:row r="8022" ht="46" customHeight="1">
      <x:c r="A8022" s="2" t="str">
        <x:v>TEN-345FC99B9620</x:v>
      </x:c>
      <x:c r="B8022" s="12" t="str">
        <x:v>Spirent Communications</x:v>
      </x:c>
      <x:c r="C8022" s="12" t="str">
        <x:v>CORP-0495</x:v>
      </x:c>
      <x:c r="D8022" s="12" t="str">
        <x:v>Bengaluru</x:v>
      </x:c>
      <x:c r="E8022" s="12" t="str">
        <x:v>Umiya Business Bay</x:v>
      </x:c>
      <x:c r="F8022" s="12" t="str">
        <x:v>55 inch</x:v>
      </x:c>
      <x:c r="G8022" s="20" t="n">
        <x:v>1</x:v>
      </x:c>
      <x:c r="H8022" s="12" t="str">
        <x:v>Campus/portfolio roster; individual building occupancy unverified</x:v>
      </x:c>
      <x:c r="I8022" s="12" t="str">
        <x:v>Mixed business audience</x:v>
      </x:c>
      <x:c r="J8022" s="12" t="str">
        <x:v>IT &amp; digital</x:v>
      </x:c>
      <x:c r="K8022" s="2" t="str">
        <x:v>PARTNER-M072</x:v>
      </x:c>
    </x:row>
    <x:row r="8023" ht="46" customHeight="1">
      <x:c r="A8023" s="2" t="str">
        <x:v>TEN-3546C13C4818</x:v>
      </x:c>
      <x:c r="B8023" s="12" t="str">
        <x:v>Sonus Networks</x:v>
      </x:c>
      <x:c r="C8023" s="12" t="str">
        <x:v>CORP-0495</x:v>
      </x:c>
      <x:c r="D8023" s="12" t="str">
        <x:v>Bengaluru</x:v>
      </x:c>
      <x:c r="E8023" s="12" t="str">
        <x:v>Umiya Business Bay</x:v>
      </x:c>
      <x:c r="F8023" s="12" t="str">
        <x:v>55 inch</x:v>
      </x:c>
      <x:c r="G8023" s="20" t="n">
        <x:v>1</x:v>
      </x:c>
      <x:c r="H8023" s="12" t="str">
        <x:v>Campus/portfolio roster; individual building occupancy unverified</x:v>
      </x:c>
      <x:c r="I8023" s="12" t="str">
        <x:v>Mixed business audience</x:v>
      </x:c>
      <x:c r="J8023" s="12" t="str">
        <x:v>IT &amp; digital</x:v>
      </x:c>
      <x:c r="K8023" s="2" t="str">
        <x:v>PARTNER-M072</x:v>
      </x:c>
    </x:row>
    <x:row r="8024" ht="46" customHeight="1">
      <x:c r="A8024" s="2" t="str">
        <x:v>TEN-394B4E545B9B</x:v>
      </x:c>
      <x:c r="B8024" s="12" t="str">
        <x:v>Fidelity National Financial</x:v>
      </x:c>
      <x:c r="C8024" s="12" t="str">
        <x:v>CORP-0495</x:v>
      </x:c>
      <x:c r="D8024" s="12" t="str">
        <x:v>Bengaluru</x:v>
      </x:c>
      <x:c r="E8024" s="12" t="str">
        <x:v>Umiya Business Bay</x:v>
      </x:c>
      <x:c r="F8024" s="12" t="str">
        <x:v>55 inch</x:v>
      </x:c>
      <x:c r="G8024" s="20" t="n">
        <x:v>1</x:v>
      </x:c>
      <x:c r="H8024" s="12" t="str">
        <x:v>Campus/portfolio roster; individual building occupancy unverified</x:v>
      </x:c>
      <x:c r="I8024" s="12" t="str">
        <x:v>Mixed business audience</x:v>
      </x:c>
      <x:c r="J8024" s="12" t="str">
        <x:v>Finance &amp; insurance</x:v>
      </x:c>
      <x:c r="K8024" s="2" t="str">
        <x:v>PARTNER-M072</x:v>
      </x:c>
    </x:row>
    <x:row r="8025" ht="46" customHeight="1">
      <x:c r="A8025" s="2" t="str">
        <x:v>TEN-434AF73F01EE</x:v>
      </x:c>
      <x:c r="B8025" s="12" t="str">
        <x:v>Accolite Software</x:v>
      </x:c>
      <x:c r="C8025" s="12" t="str">
        <x:v>CORP-0495</x:v>
      </x:c>
      <x:c r="D8025" s="12" t="str">
        <x:v>Bengaluru</x:v>
      </x:c>
      <x:c r="E8025" s="12" t="str">
        <x:v>Umiya Business Bay</x:v>
      </x:c>
      <x:c r="F8025" s="12" t="str">
        <x:v>55 inch</x:v>
      </x:c>
      <x:c r="G8025" s="20" t="n">
        <x:v>1</x:v>
      </x:c>
      <x:c r="H8025" s="12" t="str">
        <x:v>Campus/portfolio roster; individual building occupancy unverified</x:v>
      </x:c>
      <x:c r="I8025" s="12" t="str">
        <x:v>Mixed business audience</x:v>
      </x:c>
      <x:c r="J8025" s="12" t="str">
        <x:v>IT &amp; digital</x:v>
      </x:c>
      <x:c r="K8025" s="2" t="str">
        <x:v>PARTNER-M072</x:v>
      </x:c>
    </x:row>
    <x:row r="8026" ht="46" customHeight="1">
      <x:c r="A8026" s="2" t="str">
        <x:v>TEN-534169F77A0F</x:v>
      </x:c>
      <x:c r="B8026" s="12" t="str">
        <x:v>iKeva Business Centre</x:v>
      </x:c>
      <x:c r="C8026" s="12" t="str">
        <x:v>CORP-0495</x:v>
      </x:c>
      <x:c r="D8026" s="12" t="str">
        <x:v>Bengaluru</x:v>
      </x:c>
      <x:c r="E8026" s="12" t="str">
        <x:v>Umiya Business Bay</x:v>
      </x:c>
      <x:c r="F8026" s="12" t="str">
        <x:v>55 inch</x:v>
      </x:c>
      <x:c r="G8026" s="20" t="n">
        <x:v>1</x:v>
      </x:c>
      <x:c r="H8026" s="12" t="str">
        <x:v>Campus/portfolio roster; individual building occupancy unverified</x:v>
      </x:c>
      <x:c r="I8026" s="12" t="str">
        <x:v>Mixed business audience</x:v>
      </x:c>
      <x:c r="J8026" s="12" t="str">
        <x:v>Workspace &amp; property operations</x:v>
      </x:c>
      <x:c r="K8026" s="2" t="str">
        <x:v>PARTNER-M072</x:v>
      </x:c>
    </x:row>
    <x:row r="8027" ht="46" customHeight="1">
      <x:c r="A8027" s="2" t="str">
        <x:v>TEN-71A678C907B2</x:v>
      </x:c>
      <x:c r="B8027" s="12" t="str">
        <x:v>Xactly Technologies</x:v>
      </x:c>
      <x:c r="C8027" s="12" t="str">
        <x:v>CORP-0495</x:v>
      </x:c>
      <x:c r="D8027" s="12" t="str">
        <x:v>Bengaluru</x:v>
      </x:c>
      <x:c r="E8027" s="12" t="str">
        <x:v>Umiya Business Bay</x:v>
      </x:c>
      <x:c r="F8027" s="12" t="str">
        <x:v>55 inch</x:v>
      </x:c>
      <x:c r="G8027" s="20" t="n">
        <x:v>1</x:v>
      </x:c>
      <x:c r="H8027" s="12" t="str">
        <x:v>Campus/portfolio roster; individual building occupancy unverified</x:v>
      </x:c>
      <x:c r="I8027" s="12" t="str">
        <x:v>Mixed business audience</x:v>
      </x:c>
      <x:c r="J8027" s="12" t="str">
        <x:v>IT &amp; digital</x:v>
      </x:c>
      <x:c r="K8027" s="2" t="str">
        <x:v>PARTNER-M072</x:v>
      </x:c>
    </x:row>
    <x:row r="8028" ht="46" customHeight="1">
      <x:c r="A8028" s="2" t="str">
        <x:v>TEN-7C1C2E1FDB67</x:v>
      </x:c>
      <x:c r="B8028" s="12" t="str">
        <x:v>AT&amp;T Communication Services</x:v>
      </x:c>
      <x:c r="C8028" s="12" t="str">
        <x:v>CORP-0495</x:v>
      </x:c>
      <x:c r="D8028" s="12" t="str">
        <x:v>Bengaluru</x:v>
      </x:c>
      <x:c r="E8028" s="12" t="str">
        <x:v>Umiya Business Bay</x:v>
      </x:c>
      <x:c r="F8028" s="12" t="str">
        <x:v>55 inch</x:v>
      </x:c>
      <x:c r="G8028" s="20" t="n">
        <x:v>1</x:v>
      </x:c>
      <x:c r="H8028" s="12" t="str">
        <x:v>Campus/portfolio roster; individual building occupancy unverified</x:v>
      </x:c>
      <x:c r="I8028" s="12" t="str">
        <x:v>Mixed business audience</x:v>
      </x:c>
      <x:c r="J8028" s="12" t="str">
        <x:v>IT &amp; digital</x:v>
      </x:c>
      <x:c r="K8028" s="2" t="str">
        <x:v>PARTNER-M072</x:v>
      </x:c>
    </x:row>
    <x:row r="8029" ht="46" customHeight="1">
      <x:c r="A8029" s="2" t="str">
        <x:v>TEN-845733A0CA33</x:v>
      </x:c>
      <x:c r="B8029" s="12" t="str">
        <x:v>T-Systems</x:v>
      </x:c>
      <x:c r="C8029" s="12" t="str">
        <x:v>CORP-0495</x:v>
      </x:c>
      <x:c r="D8029" s="12" t="str">
        <x:v>Bengaluru</x:v>
      </x:c>
      <x:c r="E8029" s="12" t="str">
        <x:v>Umiya Business Bay</x:v>
      </x:c>
      <x:c r="F8029" s="12" t="str">
        <x:v>55 inch</x:v>
      </x:c>
      <x:c r="G8029" s="20" t="n">
        <x:v>1</x:v>
      </x:c>
      <x:c r="H8029" s="12" t="str">
        <x:v>Campus/portfolio roster; individual building occupancy unverified</x:v>
      </x:c>
      <x:c r="I8029" s="12" t="str">
        <x:v>Large enterprise</x:v>
      </x:c>
      <x:c r="J8029" s="12" t="str">
        <x:v>IT &amp; digital</x:v>
      </x:c>
      <x:c r="K8029" s="2" t="str">
        <x:v>PARTNER-M072</x:v>
      </x:c>
    </x:row>
    <x:row r="8030" ht="46" customHeight="1">
      <x:c r="A8030" s="2" t="str">
        <x:v>TEN-97B1AE253744</x:v>
      </x:c>
      <x:c r="B8030" s="12" t="str">
        <x:v>FNF India</x:v>
      </x:c>
      <x:c r="C8030" s="12" t="str">
        <x:v>CORP-0495</x:v>
      </x:c>
      <x:c r="D8030" s="12" t="str">
        <x:v>Bengaluru</x:v>
      </x:c>
      <x:c r="E8030" s="12" t="str">
        <x:v>Umiya Business Bay</x:v>
      </x:c>
      <x:c r="F8030" s="12" t="str">
        <x:v>55 inch</x:v>
      </x:c>
      <x:c r="G8030" s="20" t="n">
        <x:v>1</x:v>
      </x:c>
      <x:c r="H8030" s="12" t="str">
        <x:v>Campus/portfolio roster; individual building occupancy unverified</x:v>
      </x:c>
      <x:c r="I8030" s="12" t="str">
        <x:v>Mixed business audience</x:v>
      </x:c>
      <x:c r="J8030" s="12" t="str">
        <x:v>Finance &amp; insurance</x:v>
      </x:c>
      <x:c r="K8030" s="2" t="str">
        <x:v>PARTNER-M072</x:v>
      </x:c>
    </x:row>
    <x:row r="8031" ht="46" customHeight="1">
      <x:c r="A8031" s="2" t="str">
        <x:v>TEN-9FB259296B34</x:v>
      </x:c>
      <x:c r="B8031" s="12" t="str">
        <x:v>Bridgei2i Analytics Solutions</x:v>
      </x:c>
      <x:c r="C8031" s="12" t="str">
        <x:v>CORP-0495</x:v>
      </x:c>
      <x:c r="D8031" s="12" t="str">
        <x:v>Bengaluru</x:v>
      </x:c>
      <x:c r="E8031" s="12" t="str">
        <x:v>Umiya Business Bay</x:v>
      </x:c>
      <x:c r="F8031" s="12" t="str">
        <x:v>55 inch</x:v>
      </x:c>
      <x:c r="G8031" s="20" t="n">
        <x:v>1</x:v>
      </x:c>
      <x:c r="H8031" s="12" t="str">
        <x:v>Campus/portfolio roster; individual building occupancy unverified</x:v>
      </x:c>
      <x:c r="I8031" s="12" t="str">
        <x:v>Mixed business audience</x:v>
      </x:c>
      <x:c r="J8031" s="12" t="str">
        <x:v>IT &amp; digital</x:v>
      </x:c>
      <x:c r="K8031" s="2" t="str">
        <x:v>PARTNER-M072</x:v>
      </x:c>
    </x:row>
    <x:row r="8032" ht="46" customHeight="1">
      <x:c r="A8032" s="2" t="str">
        <x:v>TEN-DEFF9DF9AA15</x:v>
      </x:c>
      <x:c r="B8032" s="12" t="str">
        <x:v>Tieto Software</x:v>
      </x:c>
      <x:c r="C8032" s="12" t="str">
        <x:v>CORP-0495</x:v>
      </x:c>
      <x:c r="D8032" s="12" t="str">
        <x:v>Bengaluru</x:v>
      </x:c>
      <x:c r="E8032" s="12" t="str">
        <x:v>Umiya Business Bay</x:v>
      </x:c>
      <x:c r="F8032" s="12" t="str">
        <x:v>55 inch</x:v>
      </x:c>
      <x:c r="G8032" s="20" t="n">
        <x:v>1</x:v>
      </x:c>
      <x:c r="H8032" s="12" t="str">
        <x:v>Campus/portfolio roster; individual building occupancy unverified</x:v>
      </x:c>
      <x:c r="I8032" s="12" t="str">
        <x:v>Mixed business audience</x:v>
      </x:c>
      <x:c r="J8032" s="12" t="str">
        <x:v>IT &amp; digital</x:v>
      </x:c>
      <x:c r="K8032" s="2" t="str">
        <x:v>PARTNER-M072</x:v>
      </x:c>
    </x:row>
    <x:row r="8033" ht="46" customHeight="1">
      <x:c r="A8033" s="2" t="str">
        <x:v>TEN-F0E21574F5BD</x:v>
      </x:c>
      <x:c r="B8033" s="12" t="str">
        <x:v>Cambium Networks</x:v>
      </x:c>
      <x:c r="C8033" s="12" t="str">
        <x:v>CORP-0495</x:v>
      </x:c>
      <x:c r="D8033" s="12" t="str">
        <x:v>Bengaluru</x:v>
      </x:c>
      <x:c r="E8033" s="12" t="str">
        <x:v>Umiya Business Bay</x:v>
      </x:c>
      <x:c r="F8033" s="12" t="str">
        <x:v>55 inch</x:v>
      </x:c>
      <x:c r="G8033" s="20" t="n">
        <x:v>1</x:v>
      </x:c>
      <x:c r="H8033" s="12" t="str">
        <x:v>Campus/portfolio roster; individual building occupancy unverified</x:v>
      </x:c>
      <x:c r="I8033" s="12" t="str">
        <x:v>Mixed business audience</x:v>
      </x:c>
      <x:c r="J8033" s="12" t="str">
        <x:v>IT &amp; digital</x:v>
      </x:c>
      <x:c r="K8033" s="2" t="str">
        <x:v>PARTNER-M072</x:v>
      </x:c>
    </x:row>
    <x:row r="8034" ht="46" customHeight="1">
      <x:c r="A8034" s="2" t="str">
        <x:v>TEN-FFF9B8935849</x:v>
      </x:c>
      <x:c r="B8034" s="12" t="str">
        <x:v>Sophos Technologies</x:v>
      </x:c>
      <x:c r="C8034" s="12" t="str">
        <x:v>CORP-0495</x:v>
      </x:c>
      <x:c r="D8034" s="12" t="str">
        <x:v>Bengaluru</x:v>
      </x:c>
      <x:c r="E8034" s="12" t="str">
        <x:v>Umiya Business Bay</x:v>
      </x:c>
      <x:c r="F8034" s="12" t="str">
        <x:v>55 inch</x:v>
      </x:c>
      <x:c r="G8034" s="20" t="n">
        <x:v>1</x:v>
      </x:c>
      <x:c r="H8034" s="12" t="str">
        <x:v>Campus/portfolio roster; individual building occupancy unverified</x:v>
      </x:c>
      <x:c r="I8034" s="12" t="str">
        <x:v>Mixed business audience</x:v>
      </x:c>
      <x:c r="J8034" s="12" t="str">
        <x:v>IT &amp; digital</x:v>
      </x:c>
      <x:c r="K8034" s="2" t="str">
        <x:v>PARTNER-M072</x:v>
      </x:c>
    </x:row>
    <x:row r="8035" ht="46" customHeight="1">
      <x:c r="A8035" s="2" t="str">
        <x:v>TEN-0BA55CDDBBF9</x:v>
      </x:c>
      <x:c r="B8035" s="12" t="str">
        <x:v>Sanchar india news</x:v>
      </x:c>
      <x:c r="C8035" s="12" t="str">
        <x:v>CORP-0496</x:v>
      </x:c>
      <x:c r="D8035" s="12" t="str">
        <x:v>Bengaluru</x:v>
      </x:c>
      <x:c r="E8035" s="12" t="str">
        <x:v>Umiya Velociti</x:v>
      </x:c>
      <x:c r="F8035" s="12" t="str">
        <x:v>55 inch</x:v>
      </x:c>
      <x:c r="G8035" s="20" t="n">
        <x:v>1</x:v>
      </x:c>
      <x:c r="H8035" s="12" t="str">
        <x:v>Campus/portfolio roster; individual building occupancy unverified</x:v>
      </x:c>
      <x:c r="I8035" s="12" t="str">
        <x:v>Small-scale prospects</x:v>
      </x:c>
      <x:c r="J8035" s="12" t="str">
        <x:v>Trade, consumer &amp; logistics</x:v>
      </x:c>
      <x:c r="K8035" s="2" t="str">
        <x:v>PARTNER-M078</x:v>
      </x:c>
    </x:row>
    <x:row r="8036" ht="46" customHeight="1">
      <x:c r="A8036" s="2" t="str">
        <x:v>TEN-8EA2D17361FE</x:v>
      </x:c>
      <x:c r="B8036" s="12" t="str">
        <x:v>Lucky Chan</x:v>
      </x:c>
      <x:c r="C8036" s="12" t="str">
        <x:v>CORP-0496</x:v>
      </x:c>
      <x:c r="D8036" s="12" t="str">
        <x:v>Bengaluru</x:v>
      </x:c>
      <x:c r="E8036" s="12" t="str">
        <x:v>Umiya Velociti</x:v>
      </x:c>
      <x:c r="F8036" s="12" t="str">
        <x:v>55 inch</x:v>
      </x:c>
      <x:c r="G8036" s="20" t="n">
        <x:v>1</x:v>
      </x:c>
      <x:c r="H8036" s="12" t="str">
        <x:v>Campus/portfolio roster; individual building occupancy unverified</x:v>
      </x:c>
      <x:c r="I8036" s="12" t="str">
        <x:v>Small-scale prospects</x:v>
      </x:c>
      <x:c r="J8036" s="12" t="str">
        <x:v>Trade, consumer &amp; logistics</x:v>
      </x:c>
      <x:c r="K8036" s="2" t="str">
        <x:v>PARTNER-M078</x:v>
      </x:c>
    </x:row>
    <x:row r="8037" ht="46" customHeight="1">
      <x:c r="A8037" s="2" t="str">
        <x:v>TEN-0BA55CDDBBF9</x:v>
      </x:c>
      <x:c r="B8037" s="12" t="str">
        <x:v>Sanchar india news</x:v>
      </x:c>
      <x:c r="C8037" s="12" t="str">
        <x:v>CORP-0497</x:v>
      </x:c>
      <x:c r="D8037" s="12" t="str">
        <x:v>Bengaluru</x:v>
      </x:c>
      <x:c r="E8037" s="12" t="str">
        <x:v>Umiya Velociti</x:v>
      </x:c>
      <x:c r="F8037" s="12" t="str">
        <x:v>55 inch</x:v>
      </x:c>
      <x:c r="G8037" s="20" t="n">
        <x:v>1</x:v>
      </x:c>
      <x:c r="H8037" s="12" t="str">
        <x:v>Campus/portfolio roster; individual building occupancy unverified</x:v>
      </x:c>
      <x:c r="I8037" s="12" t="str">
        <x:v>Small-scale prospects</x:v>
      </x:c>
      <x:c r="J8037" s="12" t="str">
        <x:v>Trade, consumer &amp; logistics</x:v>
      </x:c>
      <x:c r="K8037" s="2" t="str">
        <x:v>PARTNER-M078</x:v>
      </x:c>
    </x:row>
    <x:row r="8038" ht="46" customHeight="1">
      <x:c r="A8038" s="2" t="str">
        <x:v>TEN-8EA2D17361FE</x:v>
      </x:c>
      <x:c r="B8038" s="12" t="str">
        <x:v>Lucky Chan</x:v>
      </x:c>
      <x:c r="C8038" s="12" t="str">
        <x:v>CORP-0497</x:v>
      </x:c>
      <x:c r="D8038" s="12" t="str">
        <x:v>Bengaluru</x:v>
      </x:c>
      <x:c r="E8038" s="12" t="str">
        <x:v>Umiya Velociti</x:v>
      </x:c>
      <x:c r="F8038" s="12" t="str">
        <x:v>55 inch</x:v>
      </x:c>
      <x:c r="G8038" s="20" t="n">
        <x:v>1</x:v>
      </x:c>
      <x:c r="H8038" s="12" t="str">
        <x:v>Campus/portfolio roster; individual building occupancy unverified</x:v>
      </x:c>
      <x:c r="I8038" s="12" t="str">
        <x:v>Small-scale prospects</x:v>
      </x:c>
      <x:c r="J8038" s="12" t="str">
        <x:v>Trade, consumer &amp; logistics</x:v>
      </x:c>
      <x:c r="K8038" s="2" t="str">
        <x:v>PARTNER-M078</x:v>
      </x:c>
    </x:row>
    <x:row r="8039" ht="46" customHeight="1">
      <x:c r="A8039" s="2" t="str">
        <x:v>TEN-0BA55CDDBBF9</x:v>
      </x:c>
      <x:c r="B8039" s="12" t="str">
        <x:v>Sanchar india news</x:v>
      </x:c>
      <x:c r="C8039" s="12" t="str">
        <x:v>CORP-0498</x:v>
      </x:c>
      <x:c r="D8039" s="12" t="str">
        <x:v>Bengaluru</x:v>
      </x:c>
      <x:c r="E8039" s="12" t="str">
        <x:v>Umiya Velociti</x:v>
      </x:c>
      <x:c r="F8039" s="12" t="str">
        <x:v>55 inch</x:v>
      </x:c>
      <x:c r="G8039" s="20" t="n">
        <x:v>1</x:v>
      </x:c>
      <x:c r="H8039" s="12" t="str">
        <x:v>Campus/portfolio roster; individual building occupancy unverified</x:v>
      </x:c>
      <x:c r="I8039" s="12" t="str">
        <x:v>Small-scale prospects</x:v>
      </x:c>
      <x:c r="J8039" s="12" t="str">
        <x:v>Trade, consumer &amp; logistics</x:v>
      </x:c>
      <x:c r="K8039" s="2" t="str">
        <x:v>PARTNER-M078</x:v>
      </x:c>
    </x:row>
    <x:row r="8040" ht="46" customHeight="1">
      <x:c r="A8040" s="2" t="str">
        <x:v>TEN-8EA2D17361FE</x:v>
      </x:c>
      <x:c r="B8040" s="12" t="str">
        <x:v>Lucky Chan</x:v>
      </x:c>
      <x:c r="C8040" s="12" t="str">
        <x:v>CORP-0498</x:v>
      </x:c>
      <x:c r="D8040" s="12" t="str">
        <x:v>Bengaluru</x:v>
      </x:c>
      <x:c r="E8040" s="12" t="str">
        <x:v>Umiya Velociti</x:v>
      </x:c>
      <x:c r="F8040" s="12" t="str">
        <x:v>55 inch</x:v>
      </x:c>
      <x:c r="G8040" s="20" t="n">
        <x:v>1</x:v>
      </x:c>
      <x:c r="H8040" s="12" t="str">
        <x:v>Campus/portfolio roster; individual building occupancy unverified</x:v>
      </x:c>
      <x:c r="I8040" s="12" t="str">
        <x:v>Small-scale prospects</x:v>
      </x:c>
      <x:c r="J8040" s="12" t="str">
        <x:v>Trade, consumer &amp; logistics</x:v>
      </x:c>
      <x:c r="K8040" s="2" t="str">
        <x:v>PARTNER-M078</x:v>
      </x:c>
    </x:row>
    <x:row r="8041" ht="46" customHeight="1">
      <x:c r="A8041" s="2" t="str">
        <x:v>TEN-0BA55CDDBBF9</x:v>
      </x:c>
      <x:c r="B8041" s="12" t="str">
        <x:v>Sanchar india news</x:v>
      </x:c>
      <x:c r="C8041" s="12" t="str">
        <x:v>CORP-0499</x:v>
      </x:c>
      <x:c r="D8041" s="12" t="str">
        <x:v>Bengaluru</x:v>
      </x:c>
      <x:c r="E8041" s="12" t="str">
        <x:v>Umiya Velociti</x:v>
      </x:c>
      <x:c r="F8041" s="12" t="str">
        <x:v>55 inch</x:v>
      </x:c>
      <x:c r="G8041" s="20" t="n">
        <x:v>1</x:v>
      </x:c>
      <x:c r="H8041" s="12" t="str">
        <x:v>Campus/portfolio roster; individual building occupancy unverified</x:v>
      </x:c>
      <x:c r="I8041" s="12" t="str">
        <x:v>Small-scale prospects</x:v>
      </x:c>
      <x:c r="J8041" s="12" t="str">
        <x:v>Trade, consumer &amp; logistics</x:v>
      </x:c>
      <x:c r="K8041" s="2" t="str">
        <x:v>PARTNER-M078</x:v>
      </x:c>
    </x:row>
    <x:row r="8042" ht="46" customHeight="1">
      <x:c r="A8042" s="2" t="str">
        <x:v>TEN-8EA2D17361FE</x:v>
      </x:c>
      <x:c r="B8042" s="12" t="str">
        <x:v>Lucky Chan</x:v>
      </x:c>
      <x:c r="C8042" s="12" t="str">
        <x:v>CORP-0499</x:v>
      </x:c>
      <x:c r="D8042" s="12" t="str">
        <x:v>Bengaluru</x:v>
      </x:c>
      <x:c r="E8042" s="12" t="str">
        <x:v>Umiya Velociti</x:v>
      </x:c>
      <x:c r="F8042" s="12" t="str">
        <x:v>55 inch</x:v>
      </x:c>
      <x:c r="G8042" s="20" t="n">
        <x:v>1</x:v>
      </x:c>
      <x:c r="H8042" s="12" t="str">
        <x:v>Campus/portfolio roster; individual building occupancy unverified</x:v>
      </x:c>
      <x:c r="I8042" s="12" t="str">
        <x:v>Small-scale prospects</x:v>
      </x:c>
      <x:c r="J8042" s="12" t="str">
        <x:v>Trade, consumer &amp; logistics</x:v>
      </x:c>
      <x:c r="K8042" s="2" t="str">
        <x:v>PARTNER-M078</x:v>
      </x:c>
    </x:row>
    <x:row r="8043" ht="46" customHeight="1">
      <x:c r="A8043" s="2" t="str">
        <x:v>TEN-08E64C0D11C6</x:v>
      </x:c>
      <x:c r="B8043" s="12" t="str">
        <x:v>Icon Clinical Research</x:v>
      </x:c>
      <x:c r="C8043" s="12" t="str">
        <x:v>CORP-0500</x:v>
      </x:c>
      <x:c r="D8043" s="12" t="str">
        <x:v>Bengaluru</x:v>
      </x:c>
      <x:c r="E8043" s="12" t="str">
        <x:v>Prestige Sterling Square</x:v>
      </x:c>
      <x:c r="F8043" s="12" t="str">
        <x:v>55 inch</x:v>
      </x:c>
      <x:c r="G8043" s="20" t="n">
        <x:v>1</x:v>
      </x:c>
      <x:c r="H8043" s="12" t="str">
        <x:v>Campus/portfolio roster; individual building occupancy unverified</x:v>
      </x:c>
      <x:c r="I8043" s="12" t="str">
        <x:v>Mixed business audience</x:v>
      </x:c>
      <x:c r="J8043" s="12" t="str">
        <x:v>Healthcare &amp; life sciences</x:v>
      </x:c>
      <x:c r="K8043" s="2" t="str">
        <x:v>PARTNER-M082</x:v>
      </x:c>
    </x:row>
    <x:row r="8044" ht="46" customHeight="1">
      <x:c r="A8044" s="2" t="str">
        <x:v>TEN-15EFD5F168D9</x:v>
      </x:c>
      <x:c r="B8044" s="12" t="str">
        <x:v>IndiQube Innovent Spaces Pvt. Ltd</x:v>
      </x:c>
      <x:c r="C8044" s="12" t="str">
        <x:v>CORP-0500</x:v>
      </x:c>
      <x:c r="D8044" s="12" t="str">
        <x:v>Bengaluru</x:v>
      </x:c>
      <x:c r="E8044" s="12" t="str">
        <x:v>Prestige Sterling Square</x:v>
      </x:c>
      <x:c r="F8044" s="12" t="str">
        <x:v>55 inch</x:v>
      </x:c>
      <x:c r="G8044" s="20" t="n">
        <x:v>1</x:v>
      </x:c>
      <x:c r="H8044" s="12" t="str">
        <x:v>Campus/portfolio roster; individual building occupancy unverified</x:v>
      </x:c>
      <x:c r="I8044" s="12" t="str">
        <x:v>Mixed business audience</x:v>
      </x:c>
      <x:c r="J8044" s="12" t="str">
        <x:v>Workspace &amp; property operations</x:v>
      </x:c>
      <x:c r="K8044" s="2" t="str">
        <x:v>PARTNER-M082</x:v>
      </x:c>
    </x:row>
    <x:row r="8045" ht="46" customHeight="1">
      <x:c r="A8045" s="2" t="str">
        <x:v>TEN-2B4B9D0C8F84</x:v>
      </x:c>
      <x:c r="B8045" s="12" t="str">
        <x:v>NTT DATA FA Insurance Systems</x:v>
      </x:c>
      <x:c r="C8045" s="12" t="str">
        <x:v>CORP-0500</x:v>
      </x:c>
      <x:c r="D8045" s="12" t="str">
        <x:v>Bengaluru</x:v>
      </x:c>
      <x:c r="E8045" s="12" t="str">
        <x:v>Prestige Sterling Square</x:v>
      </x:c>
      <x:c r="F8045" s="12" t="str">
        <x:v>55 inch</x:v>
      </x:c>
      <x:c r="G8045" s="20" t="n">
        <x:v>1</x:v>
      </x:c>
      <x:c r="H8045" s="12" t="str">
        <x:v>Campus/portfolio roster; individual building occupancy unverified</x:v>
      </x:c>
      <x:c r="I8045" s="12" t="str">
        <x:v>Large enterprise</x:v>
      </x:c>
      <x:c r="J8045" s="12" t="str">
        <x:v>IT &amp; digital</x:v>
      </x:c>
      <x:c r="K8045" s="2" t="str">
        <x:v>PARTNER-M082</x:v>
      </x:c>
    </x:row>
    <x:row r="8046" ht="46" customHeight="1">
      <x:c r="A8046" s="2" t="str">
        <x:v>TEN-4F6598371E30</x:v>
      </x:c>
      <x:c r="B8046" s="12" t="str">
        <x:v>Godrej Properties</x:v>
      </x:c>
      <x:c r="C8046" s="12" t="str">
        <x:v>CORP-0500</x:v>
      </x:c>
      <x:c r="D8046" s="12" t="str">
        <x:v>Bengaluru</x:v>
      </x:c>
      <x:c r="E8046" s="12" t="str">
        <x:v>Prestige Sterling Square</x:v>
      </x:c>
      <x:c r="F8046" s="12" t="str">
        <x:v>55 inch</x:v>
      </x:c>
      <x:c r="G8046" s="20" t="n">
        <x:v>1</x:v>
      </x:c>
      <x:c r="H8046" s="12" t="str">
        <x:v>Campus/portfolio roster; individual building occupancy unverified</x:v>
      </x:c>
      <x:c r="I8046" s="12" t="str">
        <x:v>Mixed business audience</x:v>
      </x:c>
      <x:c r="J8046" s="12" t="str">
        <x:v>Trade, consumer &amp; logistics</x:v>
      </x:c>
      <x:c r="K8046" s="2" t="str">
        <x:v>PARTNER-M082</x:v>
      </x:c>
    </x:row>
    <x:row r="8047" ht="46" customHeight="1">
      <x:c r="A8047" s="2" t="str">
        <x:v>TEN-58FBF46B6AEC</x:v>
      </x:c>
      <x:c r="B8047" s="12" t="str">
        <x:v>Allergan India</x:v>
      </x:c>
      <x:c r="C8047" s="12" t="str">
        <x:v>CORP-0500</x:v>
      </x:c>
      <x:c r="D8047" s="12" t="str">
        <x:v>Bengaluru</x:v>
      </x:c>
      <x:c r="E8047" s="12" t="str">
        <x:v>Prestige Sterling Square</x:v>
      </x:c>
      <x:c r="F8047" s="12" t="str">
        <x:v>55 inch</x:v>
      </x:c>
      <x:c r="G8047" s="20" t="n">
        <x:v>1</x:v>
      </x:c>
      <x:c r="H8047" s="12" t="str">
        <x:v>Campus/portfolio roster; individual building occupancy unverified</x:v>
      </x:c>
      <x:c r="I8047" s="12" t="str">
        <x:v>Mixed business audience</x:v>
      </x:c>
      <x:c r="J8047" s="12" t="str">
        <x:v>Healthcare &amp; life sciences</x:v>
      </x:c>
      <x:c r="K8047" s="2" t="str">
        <x:v>PARTNER-M082</x:v>
      </x:c>
    </x:row>
    <x:row r="8048" ht="46" customHeight="1">
      <x:c r="A8048" s="2" t="str">
        <x:v>TEN-661026F81014</x:v>
      </x:c>
      <x:c r="B8048" s="12" t="str">
        <x:v>Frost and Sullivan India Pvt. Ltd</x:v>
      </x:c>
      <x:c r="C8048" s="12" t="str">
        <x:v>CORP-0500</x:v>
      </x:c>
      <x:c r="D8048" s="12" t="str">
        <x:v>Bengaluru</x:v>
      </x:c>
      <x:c r="E8048" s="12" t="str">
        <x:v>Prestige Sterling Square</x:v>
      </x:c>
      <x:c r="F8048" s="12" t="str">
        <x:v>55 inch</x:v>
      </x:c>
      <x:c r="G8048" s="20" t="n">
        <x:v>1</x:v>
      </x:c>
      <x:c r="H8048" s="12" t="str">
        <x:v>Campus/portfolio roster; individual building occupancy unverified</x:v>
      </x:c>
      <x:c r="I8048" s="12" t="str">
        <x:v>Mixed business audience</x:v>
      </x:c>
      <x:c r="J8048" s="12" t="str">
        <x:v>Professional services</x:v>
      </x:c>
      <x:c r="K8048" s="2" t="str">
        <x:v>PARTNER-M082</x:v>
      </x:c>
    </x:row>
    <x:row r="8049" ht="46" customHeight="1">
      <x:c r="A8049" s="2" t="str">
        <x:v>TEN-67064F8C6165</x:v>
      </x:c>
      <x:c r="B8049" s="12" t="str">
        <x:v>iPass India</x:v>
      </x:c>
      <x:c r="C8049" s="12" t="str">
        <x:v>CORP-0500</x:v>
      </x:c>
      <x:c r="D8049" s="12" t="str">
        <x:v>Bengaluru</x:v>
      </x:c>
      <x:c r="E8049" s="12" t="str">
        <x:v>Prestige Sterling Square</x:v>
      </x:c>
      <x:c r="F8049" s="12" t="str">
        <x:v>55 inch</x:v>
      </x:c>
      <x:c r="G8049" s="20" t="n">
        <x:v>1</x:v>
      </x:c>
      <x:c r="H8049" s="12" t="str">
        <x:v>Campus/portfolio roster; individual building occupancy unverified</x:v>
      </x:c>
      <x:c r="I8049" s="12" t="str">
        <x:v>Mixed business audience</x:v>
      </x:c>
      <x:c r="J8049" s="12" t="str">
        <x:v>IT &amp; digital</x:v>
      </x:c>
      <x:c r="K8049" s="2" t="str">
        <x:v>PARTNER-M082</x:v>
      </x:c>
    </x:row>
    <x:row r="8050" ht="46" customHeight="1">
      <x:c r="A8050" s="2" t="str">
        <x:v>TEN-6F67A144F472</x:v>
      </x:c>
      <x:c r="B8050" s="12" t="str">
        <x:v>Infinera India</x:v>
      </x:c>
      <x:c r="C8050" s="12" t="str">
        <x:v>CORP-0500</x:v>
      </x:c>
      <x:c r="D8050" s="12" t="str">
        <x:v>Bengaluru</x:v>
      </x:c>
      <x:c r="E8050" s="12" t="str">
        <x:v>Prestige Sterling Square</x:v>
      </x:c>
      <x:c r="F8050" s="12" t="str">
        <x:v>55 inch</x:v>
      </x:c>
      <x:c r="G8050" s="20" t="n">
        <x:v>1</x:v>
      </x:c>
      <x:c r="H8050" s="12" t="str">
        <x:v>Campus/portfolio roster; individual building occupancy unverified</x:v>
      </x:c>
      <x:c r="I8050" s="12" t="str">
        <x:v>Mixed business audience</x:v>
      </x:c>
      <x:c r="J8050" s="12" t="str">
        <x:v>IT &amp; digital</x:v>
      </x:c>
      <x:c r="K8050" s="2" t="str">
        <x:v>PARTNER-M082</x:v>
      </x:c>
    </x:row>
    <x:row r="8051" ht="46" customHeight="1">
      <x:c r="A8051" s="2" t="str">
        <x:v>TEN-76F6B4C9D608</x:v>
      </x:c>
      <x:c r="B8051" s="12" t="str">
        <x:v>Saama Capital India Advisors LLP</x:v>
      </x:c>
      <x:c r="C8051" s="12" t="str">
        <x:v>CORP-0500</x:v>
      </x:c>
      <x:c r="D8051" s="12" t="str">
        <x:v>Bengaluru</x:v>
      </x:c>
      <x:c r="E8051" s="12" t="str">
        <x:v>Prestige Sterling Square</x:v>
      </x:c>
      <x:c r="F8051" s="12" t="str">
        <x:v>55 inch</x:v>
      </x:c>
      <x:c r="G8051" s="20" t="n">
        <x:v>1</x:v>
      </x:c>
      <x:c r="H8051" s="12" t="str">
        <x:v>Campus/portfolio roster; individual building occupancy unverified</x:v>
      </x:c>
      <x:c r="I8051" s="12" t="str">
        <x:v>Small-scale prospects</x:v>
      </x:c>
      <x:c r="J8051" s="12" t="str">
        <x:v>Finance &amp; insurance</x:v>
      </x:c>
      <x:c r="K8051" s="2" t="str">
        <x:v>PARTNER-M082</x:v>
      </x:c>
    </x:row>
    <x:row r="8052" ht="46" customHeight="1">
      <x:c r="A8052" s="2" t="str">
        <x:v>TEN-805ACF45AED6</x:v>
      </x:c>
      <x:c r="B8052" s="12" t="str">
        <x:v>Mpowered Health Infotech</x:v>
      </x:c>
      <x:c r="C8052" s="12" t="str">
        <x:v>CORP-0500</x:v>
      </x:c>
      <x:c r="D8052" s="12" t="str">
        <x:v>Bengaluru</x:v>
      </x:c>
      <x:c r="E8052" s="12" t="str">
        <x:v>Prestige Sterling Square</x:v>
      </x:c>
      <x:c r="F8052" s="12" t="str">
        <x:v>55 inch</x:v>
      </x:c>
      <x:c r="G8052" s="20" t="n">
        <x:v>1</x:v>
      </x:c>
      <x:c r="H8052" s="12" t="str">
        <x:v>Campus/portfolio roster; individual building occupancy unverified</x:v>
      </x:c>
      <x:c r="I8052" s="12" t="str">
        <x:v>Small-scale prospects</x:v>
      </x:c>
      <x:c r="J8052" s="12" t="str">
        <x:v>IT &amp; digital</x:v>
      </x:c>
      <x:c r="K8052" s="2" t="str">
        <x:v>PARTNER-M082</x:v>
      </x:c>
    </x:row>
    <x:row r="8053" ht="46" customHeight="1">
      <x:c r="A8053" s="2" t="str">
        <x:v>TEN-A186C4689964</x:v>
      </x:c>
      <x:c r="B8053" s="12" t="str">
        <x:v>IPpro Services India LLP</x:v>
      </x:c>
      <x:c r="C8053" s="12" t="str">
        <x:v>CORP-0500</x:v>
      </x:c>
      <x:c r="D8053" s="12" t="str">
        <x:v>Bengaluru</x:v>
      </x:c>
      <x:c r="E8053" s="12" t="str">
        <x:v>Prestige Sterling Square</x:v>
      </x:c>
      <x:c r="F8053" s="12" t="str">
        <x:v>55 inch</x:v>
      </x:c>
      <x:c r="G8053" s="20" t="n">
        <x:v>1</x:v>
      </x:c>
      <x:c r="H8053" s="12" t="str">
        <x:v>Campus/portfolio roster; individual building occupancy unverified</x:v>
      </x:c>
      <x:c r="I8053" s="12" t="str">
        <x:v>Small-scale prospects</x:v>
      </x:c>
      <x:c r="J8053" s="12" t="str">
        <x:v>Professional services</x:v>
      </x:c>
      <x:c r="K8053" s="2" t="str">
        <x:v>PARTNER-M082</x:v>
      </x:c>
    </x:row>
    <x:row r="8054" ht="46" customHeight="1">
      <x:c r="A8054" s="2" t="str">
        <x:v>TEN-A1964DB0508A</x:v>
      </x:c>
      <x:c r="B8054" s="12" t="str">
        <x:v>an Awfis coworking space</x:v>
      </x:c>
      <x:c r="C8054" s="12" t="str">
        <x:v>CORP-0500</x:v>
      </x:c>
      <x:c r="D8054" s="12" t="str">
        <x:v>Bengaluru</x:v>
      </x:c>
      <x:c r="E8054" s="12" t="str">
        <x:v>Prestige Sterling Square</x:v>
      </x:c>
      <x:c r="F8054" s="12" t="str">
        <x:v>55 inch</x:v>
      </x:c>
      <x:c r="G8054" s="20" t="n">
        <x:v>1</x:v>
      </x:c>
      <x:c r="H8054" s="12" t="str">
        <x:v>Campus/portfolio roster; individual building occupancy unverified</x:v>
      </x:c>
      <x:c r="I8054" s="12" t="str">
        <x:v>Mixed business audience</x:v>
      </x:c>
      <x:c r="J8054" s="12" t="str">
        <x:v>Workspace &amp; property operations</x:v>
      </x:c>
      <x:c r="K8054" s="2" t="str">
        <x:v>PARTNER-M082</x:v>
      </x:c>
    </x:row>
    <x:row r="8055" ht="46" customHeight="1">
      <x:c r="A8055" s="2" t="str">
        <x:v>TEN-A4AC77C95ACC</x:v>
      </x:c>
      <x:c r="B8055" s="12" t="str">
        <x:v>TRUGlobal Software India</x:v>
      </x:c>
      <x:c r="C8055" s="12" t="str">
        <x:v>CORP-0500</x:v>
      </x:c>
      <x:c r="D8055" s="12" t="str">
        <x:v>Bengaluru</x:v>
      </x:c>
      <x:c r="E8055" s="12" t="str">
        <x:v>Prestige Sterling Square</x:v>
      </x:c>
      <x:c r="F8055" s="12" t="str">
        <x:v>55 inch</x:v>
      </x:c>
      <x:c r="G8055" s="20" t="n">
        <x:v>1</x:v>
      </x:c>
      <x:c r="H8055" s="12" t="str">
        <x:v>Campus/portfolio roster; individual building occupancy unverified</x:v>
      </x:c>
      <x:c r="I8055" s="12" t="str">
        <x:v>Small-scale prospects</x:v>
      </x:c>
      <x:c r="J8055" s="12" t="str">
        <x:v>IT &amp; digital</x:v>
      </x:c>
      <x:c r="K8055" s="2" t="str">
        <x:v>PARTNER-M082</x:v>
      </x:c>
    </x:row>
    <x:row r="8056" ht="46" customHeight="1">
      <x:c r="A8056" s="2" t="str">
        <x:v>TEN-AD63796AF1FB</x:v>
      </x:c>
      <x:c r="B8056" s="12" t="str">
        <x:v>Nishith Desai Associates</x:v>
      </x:c>
      <x:c r="C8056" s="12" t="str">
        <x:v>CORP-0500</x:v>
      </x:c>
      <x:c r="D8056" s="12" t="str">
        <x:v>Bengaluru</x:v>
      </x:c>
      <x:c r="E8056" s="12" t="str">
        <x:v>Prestige Sterling Square</x:v>
      </x:c>
      <x:c r="F8056" s="12" t="str">
        <x:v>55 inch</x:v>
      </x:c>
      <x:c r="G8056" s="20" t="n">
        <x:v>1</x:v>
      </x:c>
      <x:c r="H8056" s="12" t="str">
        <x:v>Campus/portfolio roster; individual building occupancy unverified</x:v>
      </x:c>
      <x:c r="I8056" s="12" t="str">
        <x:v>Large enterprise</x:v>
      </x:c>
      <x:c r="J8056" s="12" t="str">
        <x:v>Professional services</x:v>
      </x:c>
      <x:c r="K8056" s="2" t="str">
        <x:v>PARTNER-M082</x:v>
      </x:c>
    </x:row>
    <x:row r="8057" ht="46" customHeight="1">
      <x:c r="A8057" s="2" t="str">
        <x:v>TEN-C4BDE5AF5978</x:v>
      </x:c>
      <x:c r="B8057" s="12" t="str">
        <x:v>Barracuda Networks</x:v>
      </x:c>
      <x:c r="C8057" s="12" t="str">
        <x:v>CORP-0500</x:v>
      </x:c>
      <x:c r="D8057" s="12" t="str">
        <x:v>Bengaluru</x:v>
      </x:c>
      <x:c r="E8057" s="12" t="str">
        <x:v>Prestige Sterling Square</x:v>
      </x:c>
      <x:c r="F8057" s="12" t="str">
        <x:v>55 inch</x:v>
      </x:c>
      <x:c r="G8057" s="20" t="n">
        <x:v>1</x:v>
      </x:c>
      <x:c r="H8057" s="12" t="str">
        <x:v>Campus/portfolio roster; individual building occupancy unverified</x:v>
      </x:c>
      <x:c r="I8057" s="12" t="str">
        <x:v>Mixed business audience</x:v>
      </x:c>
      <x:c r="J8057" s="12" t="str">
        <x:v>IT &amp; digital</x:v>
      </x:c>
      <x:c r="K8057" s="2" t="str">
        <x:v>PARTNER-M082</x:v>
      </x:c>
    </x:row>
    <x:row r="8058" ht="46" customHeight="1">
      <x:c r="A8058" s="2" t="str">
        <x:v>TEN-CC5491F71AF2</x:v>
      </x:c>
      <x:c r="B8058" s="12" t="str">
        <x:v>Marlabs Software</x:v>
      </x:c>
      <x:c r="C8058" s="12" t="str">
        <x:v>CORP-0500</x:v>
      </x:c>
      <x:c r="D8058" s="12" t="str">
        <x:v>Bengaluru</x:v>
      </x:c>
      <x:c r="E8058" s="12" t="str">
        <x:v>Prestige Sterling Square</x:v>
      </x:c>
      <x:c r="F8058" s="12" t="str">
        <x:v>55 inch</x:v>
      </x:c>
      <x:c r="G8058" s="20" t="n">
        <x:v>1</x:v>
      </x:c>
      <x:c r="H8058" s="12" t="str">
        <x:v>Campus/portfolio roster; individual building occupancy unverified</x:v>
      </x:c>
      <x:c r="I8058" s="12" t="str">
        <x:v>Mixed business audience</x:v>
      </x:c>
      <x:c r="J8058" s="12" t="str">
        <x:v>IT &amp; digital</x:v>
      </x:c>
      <x:c r="K8058" s="2" t="str">
        <x:v>PARTNER-M082</x:v>
      </x:c>
    </x:row>
    <x:row r="8059" ht="46" customHeight="1">
      <x:c r="A8059" s="2" t="str">
        <x:v>TEN-D5193353E49E</x:v>
      </x:c>
      <x:c r="B8059" s="12" t="str">
        <x:v>SVB India Advisors Ltd</x:v>
      </x:c>
      <x:c r="C8059" s="12" t="str">
        <x:v>CORP-0500</x:v>
      </x:c>
      <x:c r="D8059" s="12" t="str">
        <x:v>Bengaluru</x:v>
      </x:c>
      <x:c r="E8059" s="12" t="str">
        <x:v>Prestige Sterling Square</x:v>
      </x:c>
      <x:c r="F8059" s="12" t="str">
        <x:v>55 inch</x:v>
      </x:c>
      <x:c r="G8059" s="20" t="n">
        <x:v>1</x:v>
      </x:c>
      <x:c r="H8059" s="12" t="str">
        <x:v>Campus/portfolio roster; individual building occupancy unverified</x:v>
      </x:c>
      <x:c r="I8059" s="12" t="str">
        <x:v>Mixed business audience</x:v>
      </x:c>
      <x:c r="J8059" s="12" t="str">
        <x:v>Finance &amp; insurance</x:v>
      </x:c>
      <x:c r="K8059" s="2" t="str">
        <x:v>PARTNER-M082</x:v>
      </x:c>
    </x:row>
    <x:row r="8060" ht="46" customHeight="1">
      <x:c r="A8060" s="2" t="str">
        <x:v>TEN-DEE80628077C</x:v>
      </x:c>
      <x:c r="B8060" s="12" t="str">
        <x:v>Indeed.co.in</x:v>
      </x:c>
      <x:c r="C8060" s="12" t="str">
        <x:v>CORP-0500</x:v>
      </x:c>
      <x:c r="D8060" s="12" t="str">
        <x:v>Bengaluru</x:v>
      </x:c>
      <x:c r="E8060" s="12" t="str">
        <x:v>Prestige Sterling Square</x:v>
      </x:c>
      <x:c r="F8060" s="12" t="str">
        <x:v>55 inch</x:v>
      </x:c>
      <x:c r="G8060" s="20" t="n">
        <x:v>1</x:v>
      </x:c>
      <x:c r="H8060" s="12" t="str">
        <x:v>Campus/portfolio roster; individual building occupancy unverified</x:v>
      </x:c>
      <x:c r="I8060" s="12" t="str">
        <x:v>Mixed business audience</x:v>
      </x:c>
      <x:c r="J8060" s="12" t="str">
        <x:v>Professional services</x:v>
      </x:c>
      <x:c r="K8060" s="2" t="str">
        <x:v>PARTNER-M082</x:v>
      </x:c>
    </x:row>
    <x:row r="8061" ht="46" customHeight="1">
      <x:c r="A8061" s="2" t="str">
        <x:v>TEN-08E64C0D11C6</x:v>
      </x:c>
      <x:c r="B8061" s="12" t="str">
        <x:v>Icon Clinical Research</x:v>
      </x:c>
      <x:c r="C8061" s="12" t="str">
        <x:v>CORP-0501</x:v>
      </x:c>
      <x:c r="D8061" s="12" t="str">
        <x:v>Bengaluru</x:v>
      </x:c>
      <x:c r="E8061" s="12" t="str">
        <x:v>Prestige Sterling Square</x:v>
      </x:c>
      <x:c r="F8061" s="12" t="str">
        <x:v>55 inch</x:v>
      </x:c>
      <x:c r="G8061" s="20" t="n">
        <x:v>1</x:v>
      </x:c>
      <x:c r="H8061" s="12" t="str">
        <x:v>Campus/portfolio roster; individual building occupancy unverified</x:v>
      </x:c>
      <x:c r="I8061" s="12" t="str">
        <x:v>Mixed business audience</x:v>
      </x:c>
      <x:c r="J8061" s="12" t="str">
        <x:v>Healthcare &amp; life sciences</x:v>
      </x:c>
      <x:c r="K8061" s="2" t="str">
        <x:v>PARTNER-M082</x:v>
      </x:c>
    </x:row>
    <x:row r="8062" ht="46" customHeight="1">
      <x:c r="A8062" s="2" t="str">
        <x:v>TEN-15EFD5F168D9</x:v>
      </x:c>
      <x:c r="B8062" s="12" t="str">
        <x:v>IndiQube Innovent Spaces Pvt. Ltd</x:v>
      </x:c>
      <x:c r="C8062" s="12" t="str">
        <x:v>CORP-0501</x:v>
      </x:c>
      <x:c r="D8062" s="12" t="str">
        <x:v>Bengaluru</x:v>
      </x:c>
      <x:c r="E8062" s="12" t="str">
        <x:v>Prestige Sterling Square</x:v>
      </x:c>
      <x:c r="F8062" s="12" t="str">
        <x:v>55 inch</x:v>
      </x:c>
      <x:c r="G8062" s="20" t="n">
        <x:v>1</x:v>
      </x:c>
      <x:c r="H8062" s="12" t="str">
        <x:v>Campus/portfolio roster; individual building occupancy unverified</x:v>
      </x:c>
      <x:c r="I8062" s="12" t="str">
        <x:v>Mixed business audience</x:v>
      </x:c>
      <x:c r="J8062" s="12" t="str">
        <x:v>Workspace &amp; property operations</x:v>
      </x:c>
      <x:c r="K8062" s="2" t="str">
        <x:v>PARTNER-M082</x:v>
      </x:c>
    </x:row>
    <x:row r="8063" ht="46" customHeight="1">
      <x:c r="A8063" s="2" t="str">
        <x:v>TEN-2B4B9D0C8F84</x:v>
      </x:c>
      <x:c r="B8063" s="12" t="str">
        <x:v>NTT DATA FA Insurance Systems</x:v>
      </x:c>
      <x:c r="C8063" s="12" t="str">
        <x:v>CORP-0501</x:v>
      </x:c>
      <x:c r="D8063" s="12" t="str">
        <x:v>Bengaluru</x:v>
      </x:c>
      <x:c r="E8063" s="12" t="str">
        <x:v>Prestige Sterling Square</x:v>
      </x:c>
      <x:c r="F8063" s="12" t="str">
        <x:v>55 inch</x:v>
      </x:c>
      <x:c r="G8063" s="20" t="n">
        <x:v>1</x:v>
      </x:c>
      <x:c r="H8063" s="12" t="str">
        <x:v>Campus/portfolio roster; individual building occupancy unverified</x:v>
      </x:c>
      <x:c r="I8063" s="12" t="str">
        <x:v>Large enterprise</x:v>
      </x:c>
      <x:c r="J8063" s="12" t="str">
        <x:v>IT &amp; digital</x:v>
      </x:c>
      <x:c r="K8063" s="2" t="str">
        <x:v>PARTNER-M082</x:v>
      </x:c>
    </x:row>
    <x:row r="8064" ht="46" customHeight="1">
      <x:c r="A8064" s="2" t="str">
        <x:v>TEN-4F6598371E30</x:v>
      </x:c>
      <x:c r="B8064" s="12" t="str">
        <x:v>Godrej Properties</x:v>
      </x:c>
      <x:c r="C8064" s="12" t="str">
        <x:v>CORP-0501</x:v>
      </x:c>
      <x:c r="D8064" s="12" t="str">
        <x:v>Bengaluru</x:v>
      </x:c>
      <x:c r="E8064" s="12" t="str">
        <x:v>Prestige Sterling Square</x:v>
      </x:c>
      <x:c r="F8064" s="12" t="str">
        <x:v>55 inch</x:v>
      </x:c>
      <x:c r="G8064" s="20" t="n">
        <x:v>1</x:v>
      </x:c>
      <x:c r="H8064" s="12" t="str">
        <x:v>Campus/portfolio roster; individual building occupancy unverified</x:v>
      </x:c>
      <x:c r="I8064" s="12" t="str">
        <x:v>Mixed business audience</x:v>
      </x:c>
      <x:c r="J8064" s="12" t="str">
        <x:v>Trade, consumer &amp; logistics</x:v>
      </x:c>
      <x:c r="K8064" s="2" t="str">
        <x:v>PARTNER-M082</x:v>
      </x:c>
    </x:row>
    <x:row r="8065" ht="46" customHeight="1">
      <x:c r="A8065" s="2" t="str">
        <x:v>TEN-58FBF46B6AEC</x:v>
      </x:c>
      <x:c r="B8065" s="12" t="str">
        <x:v>Allergan India</x:v>
      </x:c>
      <x:c r="C8065" s="12" t="str">
        <x:v>CORP-0501</x:v>
      </x:c>
      <x:c r="D8065" s="12" t="str">
        <x:v>Bengaluru</x:v>
      </x:c>
      <x:c r="E8065" s="12" t="str">
        <x:v>Prestige Sterling Square</x:v>
      </x:c>
      <x:c r="F8065" s="12" t="str">
        <x:v>55 inch</x:v>
      </x:c>
      <x:c r="G8065" s="20" t="n">
        <x:v>1</x:v>
      </x:c>
      <x:c r="H8065" s="12" t="str">
        <x:v>Campus/portfolio roster; individual building occupancy unverified</x:v>
      </x:c>
      <x:c r="I8065" s="12" t="str">
        <x:v>Mixed business audience</x:v>
      </x:c>
      <x:c r="J8065" s="12" t="str">
        <x:v>Healthcare &amp; life sciences</x:v>
      </x:c>
      <x:c r="K8065" s="2" t="str">
        <x:v>PARTNER-M082</x:v>
      </x:c>
    </x:row>
    <x:row r="8066" ht="46" customHeight="1">
      <x:c r="A8066" s="2" t="str">
        <x:v>TEN-661026F81014</x:v>
      </x:c>
      <x:c r="B8066" s="12" t="str">
        <x:v>Frost and Sullivan India Pvt. Ltd</x:v>
      </x:c>
      <x:c r="C8066" s="12" t="str">
        <x:v>CORP-0501</x:v>
      </x:c>
      <x:c r="D8066" s="12" t="str">
        <x:v>Bengaluru</x:v>
      </x:c>
      <x:c r="E8066" s="12" t="str">
        <x:v>Prestige Sterling Square</x:v>
      </x:c>
      <x:c r="F8066" s="12" t="str">
        <x:v>55 inch</x:v>
      </x:c>
      <x:c r="G8066" s="20" t="n">
        <x:v>1</x:v>
      </x:c>
      <x:c r="H8066" s="12" t="str">
        <x:v>Campus/portfolio roster; individual building occupancy unverified</x:v>
      </x:c>
      <x:c r="I8066" s="12" t="str">
        <x:v>Mixed business audience</x:v>
      </x:c>
      <x:c r="J8066" s="12" t="str">
        <x:v>Professional services</x:v>
      </x:c>
      <x:c r="K8066" s="2" t="str">
        <x:v>PARTNER-M082</x:v>
      </x:c>
    </x:row>
    <x:row r="8067" ht="46" customHeight="1">
      <x:c r="A8067" s="2" t="str">
        <x:v>TEN-67064F8C6165</x:v>
      </x:c>
      <x:c r="B8067" s="12" t="str">
        <x:v>iPass India</x:v>
      </x:c>
      <x:c r="C8067" s="12" t="str">
        <x:v>CORP-0501</x:v>
      </x:c>
      <x:c r="D8067" s="12" t="str">
        <x:v>Bengaluru</x:v>
      </x:c>
      <x:c r="E8067" s="12" t="str">
        <x:v>Prestige Sterling Square</x:v>
      </x:c>
      <x:c r="F8067" s="12" t="str">
        <x:v>55 inch</x:v>
      </x:c>
      <x:c r="G8067" s="20" t="n">
        <x:v>1</x:v>
      </x:c>
      <x:c r="H8067" s="12" t="str">
        <x:v>Campus/portfolio roster; individual building occupancy unverified</x:v>
      </x:c>
      <x:c r="I8067" s="12" t="str">
        <x:v>Mixed business audience</x:v>
      </x:c>
      <x:c r="J8067" s="12" t="str">
        <x:v>IT &amp; digital</x:v>
      </x:c>
      <x:c r="K8067" s="2" t="str">
        <x:v>PARTNER-M082</x:v>
      </x:c>
    </x:row>
    <x:row r="8068" ht="46" customHeight="1">
      <x:c r="A8068" s="2" t="str">
        <x:v>TEN-6F67A144F472</x:v>
      </x:c>
      <x:c r="B8068" s="12" t="str">
        <x:v>Infinera India</x:v>
      </x:c>
      <x:c r="C8068" s="12" t="str">
        <x:v>CORP-0501</x:v>
      </x:c>
      <x:c r="D8068" s="12" t="str">
        <x:v>Bengaluru</x:v>
      </x:c>
      <x:c r="E8068" s="12" t="str">
        <x:v>Prestige Sterling Square</x:v>
      </x:c>
      <x:c r="F8068" s="12" t="str">
        <x:v>55 inch</x:v>
      </x:c>
      <x:c r="G8068" s="20" t="n">
        <x:v>1</x:v>
      </x:c>
      <x:c r="H8068" s="12" t="str">
        <x:v>Campus/portfolio roster; individual building occupancy unverified</x:v>
      </x:c>
      <x:c r="I8068" s="12" t="str">
        <x:v>Mixed business audience</x:v>
      </x:c>
      <x:c r="J8068" s="12" t="str">
        <x:v>IT &amp; digital</x:v>
      </x:c>
      <x:c r="K8068" s="2" t="str">
        <x:v>PARTNER-M082</x:v>
      </x:c>
    </x:row>
    <x:row r="8069" ht="46" customHeight="1">
      <x:c r="A8069" s="2" t="str">
        <x:v>TEN-76F6B4C9D608</x:v>
      </x:c>
      <x:c r="B8069" s="12" t="str">
        <x:v>Saama Capital India Advisors LLP</x:v>
      </x:c>
      <x:c r="C8069" s="12" t="str">
        <x:v>CORP-0501</x:v>
      </x:c>
      <x:c r="D8069" s="12" t="str">
        <x:v>Bengaluru</x:v>
      </x:c>
      <x:c r="E8069" s="12" t="str">
        <x:v>Prestige Sterling Square</x:v>
      </x:c>
      <x:c r="F8069" s="12" t="str">
        <x:v>55 inch</x:v>
      </x:c>
      <x:c r="G8069" s="20" t="n">
        <x:v>1</x:v>
      </x:c>
      <x:c r="H8069" s="12" t="str">
        <x:v>Campus/portfolio roster; individual building occupancy unverified</x:v>
      </x:c>
      <x:c r="I8069" s="12" t="str">
        <x:v>Small-scale prospects</x:v>
      </x:c>
      <x:c r="J8069" s="12" t="str">
        <x:v>Finance &amp; insurance</x:v>
      </x:c>
      <x:c r="K8069" s="2" t="str">
        <x:v>PARTNER-M082</x:v>
      </x:c>
    </x:row>
    <x:row r="8070" ht="46" customHeight="1">
      <x:c r="A8070" s="2" t="str">
        <x:v>TEN-805ACF45AED6</x:v>
      </x:c>
      <x:c r="B8070" s="12" t="str">
        <x:v>Mpowered Health Infotech</x:v>
      </x:c>
      <x:c r="C8070" s="12" t="str">
        <x:v>CORP-0501</x:v>
      </x:c>
      <x:c r="D8070" s="12" t="str">
        <x:v>Bengaluru</x:v>
      </x:c>
      <x:c r="E8070" s="12" t="str">
        <x:v>Prestige Sterling Square</x:v>
      </x:c>
      <x:c r="F8070" s="12" t="str">
        <x:v>55 inch</x:v>
      </x:c>
      <x:c r="G8070" s="20" t="n">
        <x:v>1</x:v>
      </x:c>
      <x:c r="H8070" s="12" t="str">
        <x:v>Campus/portfolio roster; individual building occupancy unverified</x:v>
      </x:c>
      <x:c r="I8070" s="12" t="str">
        <x:v>Small-scale prospects</x:v>
      </x:c>
      <x:c r="J8070" s="12" t="str">
        <x:v>IT &amp; digital</x:v>
      </x:c>
      <x:c r="K8070" s="2" t="str">
        <x:v>PARTNER-M082</x:v>
      </x:c>
    </x:row>
    <x:row r="8071" ht="46" customHeight="1">
      <x:c r="A8071" s="2" t="str">
        <x:v>TEN-A186C4689964</x:v>
      </x:c>
      <x:c r="B8071" s="12" t="str">
        <x:v>IPpro Services India LLP</x:v>
      </x:c>
      <x:c r="C8071" s="12" t="str">
        <x:v>CORP-0501</x:v>
      </x:c>
      <x:c r="D8071" s="12" t="str">
        <x:v>Bengaluru</x:v>
      </x:c>
      <x:c r="E8071" s="12" t="str">
        <x:v>Prestige Sterling Square</x:v>
      </x:c>
      <x:c r="F8071" s="12" t="str">
        <x:v>55 inch</x:v>
      </x:c>
      <x:c r="G8071" s="20" t="n">
        <x:v>1</x:v>
      </x:c>
      <x:c r="H8071" s="12" t="str">
        <x:v>Campus/portfolio roster; individual building occupancy unverified</x:v>
      </x:c>
      <x:c r="I8071" s="12" t="str">
        <x:v>Small-scale prospects</x:v>
      </x:c>
      <x:c r="J8071" s="12" t="str">
        <x:v>Professional services</x:v>
      </x:c>
      <x:c r="K8071" s="2" t="str">
        <x:v>PARTNER-M082</x:v>
      </x:c>
    </x:row>
    <x:row r="8072" ht="46" customHeight="1">
      <x:c r="A8072" s="2" t="str">
        <x:v>TEN-A1964DB0508A</x:v>
      </x:c>
      <x:c r="B8072" s="12" t="str">
        <x:v>an Awfis coworking space</x:v>
      </x:c>
      <x:c r="C8072" s="12" t="str">
        <x:v>CORP-0501</x:v>
      </x:c>
      <x:c r="D8072" s="12" t="str">
        <x:v>Bengaluru</x:v>
      </x:c>
      <x:c r="E8072" s="12" t="str">
        <x:v>Prestige Sterling Square</x:v>
      </x:c>
      <x:c r="F8072" s="12" t="str">
        <x:v>55 inch</x:v>
      </x:c>
      <x:c r="G8072" s="20" t="n">
        <x:v>1</x:v>
      </x:c>
      <x:c r="H8072" s="12" t="str">
        <x:v>Campus/portfolio roster; individual building occupancy unverified</x:v>
      </x:c>
      <x:c r="I8072" s="12" t="str">
        <x:v>Mixed business audience</x:v>
      </x:c>
      <x:c r="J8072" s="12" t="str">
        <x:v>Workspace &amp; property operations</x:v>
      </x:c>
      <x:c r="K8072" s="2" t="str">
        <x:v>PARTNER-M082</x:v>
      </x:c>
    </x:row>
    <x:row r="8073" ht="46" customHeight="1">
      <x:c r="A8073" s="2" t="str">
        <x:v>TEN-A4AC77C95ACC</x:v>
      </x:c>
      <x:c r="B8073" s="12" t="str">
        <x:v>TRUGlobal Software India</x:v>
      </x:c>
      <x:c r="C8073" s="12" t="str">
        <x:v>CORP-0501</x:v>
      </x:c>
      <x:c r="D8073" s="12" t="str">
        <x:v>Bengaluru</x:v>
      </x:c>
      <x:c r="E8073" s="12" t="str">
        <x:v>Prestige Sterling Square</x:v>
      </x:c>
      <x:c r="F8073" s="12" t="str">
        <x:v>55 inch</x:v>
      </x:c>
      <x:c r="G8073" s="20" t="n">
        <x:v>1</x:v>
      </x:c>
      <x:c r="H8073" s="12" t="str">
        <x:v>Campus/portfolio roster; individual building occupancy unverified</x:v>
      </x:c>
      <x:c r="I8073" s="12" t="str">
        <x:v>Small-scale prospects</x:v>
      </x:c>
      <x:c r="J8073" s="12" t="str">
        <x:v>IT &amp; digital</x:v>
      </x:c>
      <x:c r="K8073" s="2" t="str">
        <x:v>PARTNER-M082</x:v>
      </x:c>
    </x:row>
    <x:row r="8074" ht="46" customHeight="1">
      <x:c r="A8074" s="2" t="str">
        <x:v>TEN-AD63796AF1FB</x:v>
      </x:c>
      <x:c r="B8074" s="12" t="str">
        <x:v>Nishith Desai Associates</x:v>
      </x:c>
      <x:c r="C8074" s="12" t="str">
        <x:v>CORP-0501</x:v>
      </x:c>
      <x:c r="D8074" s="12" t="str">
        <x:v>Bengaluru</x:v>
      </x:c>
      <x:c r="E8074" s="12" t="str">
        <x:v>Prestige Sterling Square</x:v>
      </x:c>
      <x:c r="F8074" s="12" t="str">
        <x:v>55 inch</x:v>
      </x:c>
      <x:c r="G8074" s="20" t="n">
        <x:v>1</x:v>
      </x:c>
      <x:c r="H8074" s="12" t="str">
        <x:v>Campus/portfolio roster; individual building occupancy unverified</x:v>
      </x:c>
      <x:c r="I8074" s="12" t="str">
        <x:v>Large enterprise</x:v>
      </x:c>
      <x:c r="J8074" s="12" t="str">
        <x:v>Professional services</x:v>
      </x:c>
      <x:c r="K8074" s="2" t="str">
        <x:v>PARTNER-M082</x:v>
      </x:c>
    </x:row>
    <x:row r="8075" ht="46" customHeight="1">
      <x:c r="A8075" s="2" t="str">
        <x:v>TEN-C4BDE5AF5978</x:v>
      </x:c>
      <x:c r="B8075" s="12" t="str">
        <x:v>Barracuda Networks</x:v>
      </x:c>
      <x:c r="C8075" s="12" t="str">
        <x:v>CORP-0501</x:v>
      </x:c>
      <x:c r="D8075" s="12" t="str">
        <x:v>Bengaluru</x:v>
      </x:c>
      <x:c r="E8075" s="12" t="str">
        <x:v>Prestige Sterling Square</x:v>
      </x:c>
      <x:c r="F8075" s="12" t="str">
        <x:v>55 inch</x:v>
      </x:c>
      <x:c r="G8075" s="20" t="n">
        <x:v>1</x:v>
      </x:c>
      <x:c r="H8075" s="12" t="str">
        <x:v>Campus/portfolio roster; individual building occupancy unverified</x:v>
      </x:c>
      <x:c r="I8075" s="12" t="str">
        <x:v>Mixed business audience</x:v>
      </x:c>
      <x:c r="J8075" s="12" t="str">
        <x:v>IT &amp; digital</x:v>
      </x:c>
      <x:c r="K8075" s="2" t="str">
        <x:v>PARTNER-M082</x:v>
      </x:c>
    </x:row>
    <x:row r="8076" ht="46" customHeight="1">
      <x:c r="A8076" s="2" t="str">
        <x:v>TEN-CC5491F71AF2</x:v>
      </x:c>
      <x:c r="B8076" s="12" t="str">
        <x:v>Marlabs Software</x:v>
      </x:c>
      <x:c r="C8076" s="12" t="str">
        <x:v>CORP-0501</x:v>
      </x:c>
      <x:c r="D8076" s="12" t="str">
        <x:v>Bengaluru</x:v>
      </x:c>
      <x:c r="E8076" s="12" t="str">
        <x:v>Prestige Sterling Square</x:v>
      </x:c>
      <x:c r="F8076" s="12" t="str">
        <x:v>55 inch</x:v>
      </x:c>
      <x:c r="G8076" s="20" t="n">
        <x:v>1</x:v>
      </x:c>
      <x:c r="H8076" s="12" t="str">
        <x:v>Campus/portfolio roster; individual building occupancy unverified</x:v>
      </x:c>
      <x:c r="I8076" s="12" t="str">
        <x:v>Mixed business audience</x:v>
      </x:c>
      <x:c r="J8076" s="12" t="str">
        <x:v>IT &amp; digital</x:v>
      </x:c>
      <x:c r="K8076" s="2" t="str">
        <x:v>PARTNER-M082</x:v>
      </x:c>
    </x:row>
    <x:row r="8077" ht="46" customHeight="1">
      <x:c r="A8077" s="2" t="str">
        <x:v>TEN-D5193353E49E</x:v>
      </x:c>
      <x:c r="B8077" s="12" t="str">
        <x:v>SVB India Advisors Ltd</x:v>
      </x:c>
      <x:c r="C8077" s="12" t="str">
        <x:v>CORP-0501</x:v>
      </x:c>
      <x:c r="D8077" s="12" t="str">
        <x:v>Bengaluru</x:v>
      </x:c>
      <x:c r="E8077" s="12" t="str">
        <x:v>Prestige Sterling Square</x:v>
      </x:c>
      <x:c r="F8077" s="12" t="str">
        <x:v>55 inch</x:v>
      </x:c>
      <x:c r="G8077" s="20" t="n">
        <x:v>1</x:v>
      </x:c>
      <x:c r="H8077" s="12" t="str">
        <x:v>Campus/portfolio roster; individual building occupancy unverified</x:v>
      </x:c>
      <x:c r="I8077" s="12" t="str">
        <x:v>Mixed business audience</x:v>
      </x:c>
      <x:c r="J8077" s="12" t="str">
        <x:v>Finance &amp; insurance</x:v>
      </x:c>
      <x:c r="K8077" s="2" t="str">
        <x:v>PARTNER-M082</x:v>
      </x:c>
    </x:row>
    <x:row r="8078" ht="46" customHeight="1">
      <x:c r="A8078" s="2" t="str">
        <x:v>TEN-DEE80628077C</x:v>
      </x:c>
      <x:c r="B8078" s="12" t="str">
        <x:v>Indeed.co.in</x:v>
      </x:c>
      <x:c r="C8078" s="12" t="str">
        <x:v>CORP-0501</x:v>
      </x:c>
      <x:c r="D8078" s="12" t="str">
        <x:v>Bengaluru</x:v>
      </x:c>
      <x:c r="E8078" s="12" t="str">
        <x:v>Prestige Sterling Square</x:v>
      </x:c>
      <x:c r="F8078" s="12" t="str">
        <x:v>55 inch</x:v>
      </x:c>
      <x:c r="G8078" s="20" t="n">
        <x:v>1</x:v>
      </x:c>
      <x:c r="H8078" s="12" t="str">
        <x:v>Campus/portfolio roster; individual building occupancy unverified</x:v>
      </x:c>
      <x:c r="I8078" s="12" t="str">
        <x:v>Mixed business audience</x:v>
      </x:c>
      <x:c r="J8078" s="12" t="str">
        <x:v>Professional services</x:v>
      </x:c>
      <x:c r="K8078" s="2" t="str">
        <x:v>PARTNER-M082</x:v>
      </x:c>
    </x:row>
    <x:row r="8079" ht="46" customHeight="1">
      <x:c r="A8079" s="2" t="str">
        <x:v>TEN-08E64C0D11C6</x:v>
      </x:c>
      <x:c r="B8079" s="12" t="str">
        <x:v>Icon Clinical Research</x:v>
      </x:c>
      <x:c r="C8079" s="12" t="str">
        <x:v>CORP-0502</x:v>
      </x:c>
      <x:c r="D8079" s="12" t="str">
        <x:v>Bengaluru</x:v>
      </x:c>
      <x:c r="E8079" s="12" t="str">
        <x:v>Prestige Sterling Square</x:v>
      </x:c>
      <x:c r="F8079" s="12" t="str">
        <x:v>55 inch</x:v>
      </x:c>
      <x:c r="G8079" s="20" t="n">
        <x:v>1</x:v>
      </x:c>
      <x:c r="H8079" s="12" t="str">
        <x:v>Campus/portfolio roster; individual building occupancy unverified</x:v>
      </x:c>
      <x:c r="I8079" s="12" t="str">
        <x:v>Mixed business audience</x:v>
      </x:c>
      <x:c r="J8079" s="12" t="str">
        <x:v>Healthcare &amp; life sciences</x:v>
      </x:c>
      <x:c r="K8079" s="2" t="str">
        <x:v>PARTNER-M082</x:v>
      </x:c>
    </x:row>
    <x:row r="8080" ht="46" customHeight="1">
      <x:c r="A8080" s="2" t="str">
        <x:v>TEN-15EFD5F168D9</x:v>
      </x:c>
      <x:c r="B8080" s="12" t="str">
        <x:v>IndiQube Innovent Spaces Pvt. Ltd</x:v>
      </x:c>
      <x:c r="C8080" s="12" t="str">
        <x:v>CORP-0502</x:v>
      </x:c>
      <x:c r="D8080" s="12" t="str">
        <x:v>Bengaluru</x:v>
      </x:c>
      <x:c r="E8080" s="12" t="str">
        <x:v>Prestige Sterling Square</x:v>
      </x:c>
      <x:c r="F8080" s="12" t="str">
        <x:v>55 inch</x:v>
      </x:c>
      <x:c r="G8080" s="20" t="n">
        <x:v>1</x:v>
      </x:c>
      <x:c r="H8080" s="12" t="str">
        <x:v>Campus/portfolio roster; individual building occupancy unverified</x:v>
      </x:c>
      <x:c r="I8080" s="12" t="str">
        <x:v>Mixed business audience</x:v>
      </x:c>
      <x:c r="J8080" s="12" t="str">
        <x:v>Workspace &amp; property operations</x:v>
      </x:c>
      <x:c r="K8080" s="2" t="str">
        <x:v>PARTNER-M082</x:v>
      </x:c>
    </x:row>
    <x:row r="8081" ht="46" customHeight="1">
      <x:c r="A8081" s="2" t="str">
        <x:v>TEN-2B4B9D0C8F84</x:v>
      </x:c>
      <x:c r="B8081" s="12" t="str">
        <x:v>NTT DATA FA Insurance Systems</x:v>
      </x:c>
      <x:c r="C8081" s="12" t="str">
        <x:v>CORP-0502</x:v>
      </x:c>
      <x:c r="D8081" s="12" t="str">
        <x:v>Bengaluru</x:v>
      </x:c>
      <x:c r="E8081" s="12" t="str">
        <x:v>Prestige Sterling Square</x:v>
      </x:c>
      <x:c r="F8081" s="12" t="str">
        <x:v>55 inch</x:v>
      </x:c>
      <x:c r="G8081" s="20" t="n">
        <x:v>1</x:v>
      </x:c>
      <x:c r="H8081" s="12" t="str">
        <x:v>Campus/portfolio roster; individual building occupancy unverified</x:v>
      </x:c>
      <x:c r="I8081" s="12" t="str">
        <x:v>Large enterprise</x:v>
      </x:c>
      <x:c r="J8081" s="12" t="str">
        <x:v>IT &amp; digital</x:v>
      </x:c>
      <x:c r="K8081" s="2" t="str">
        <x:v>PARTNER-M082</x:v>
      </x:c>
    </x:row>
    <x:row r="8082" ht="46" customHeight="1">
      <x:c r="A8082" s="2" t="str">
        <x:v>TEN-4F6598371E30</x:v>
      </x:c>
      <x:c r="B8082" s="12" t="str">
        <x:v>Godrej Properties</x:v>
      </x:c>
      <x:c r="C8082" s="12" t="str">
        <x:v>CORP-0502</x:v>
      </x:c>
      <x:c r="D8082" s="12" t="str">
        <x:v>Bengaluru</x:v>
      </x:c>
      <x:c r="E8082" s="12" t="str">
        <x:v>Prestige Sterling Square</x:v>
      </x:c>
      <x:c r="F8082" s="12" t="str">
        <x:v>55 inch</x:v>
      </x:c>
      <x:c r="G8082" s="20" t="n">
        <x:v>1</x:v>
      </x:c>
      <x:c r="H8082" s="12" t="str">
        <x:v>Campus/portfolio roster; individual building occupancy unverified</x:v>
      </x:c>
      <x:c r="I8082" s="12" t="str">
        <x:v>Mixed business audience</x:v>
      </x:c>
      <x:c r="J8082" s="12" t="str">
        <x:v>Trade, consumer &amp; logistics</x:v>
      </x:c>
      <x:c r="K8082" s="2" t="str">
        <x:v>PARTNER-M082</x:v>
      </x:c>
    </x:row>
    <x:row r="8083" ht="46" customHeight="1">
      <x:c r="A8083" s="2" t="str">
        <x:v>TEN-58FBF46B6AEC</x:v>
      </x:c>
      <x:c r="B8083" s="12" t="str">
        <x:v>Allergan India</x:v>
      </x:c>
      <x:c r="C8083" s="12" t="str">
        <x:v>CORP-0502</x:v>
      </x:c>
      <x:c r="D8083" s="12" t="str">
        <x:v>Bengaluru</x:v>
      </x:c>
      <x:c r="E8083" s="12" t="str">
        <x:v>Prestige Sterling Square</x:v>
      </x:c>
      <x:c r="F8083" s="12" t="str">
        <x:v>55 inch</x:v>
      </x:c>
      <x:c r="G8083" s="20" t="n">
        <x:v>1</x:v>
      </x:c>
      <x:c r="H8083" s="12" t="str">
        <x:v>Campus/portfolio roster; individual building occupancy unverified</x:v>
      </x:c>
      <x:c r="I8083" s="12" t="str">
        <x:v>Mixed business audience</x:v>
      </x:c>
      <x:c r="J8083" s="12" t="str">
        <x:v>Healthcare &amp; life sciences</x:v>
      </x:c>
      <x:c r="K8083" s="2" t="str">
        <x:v>PARTNER-M082</x:v>
      </x:c>
    </x:row>
    <x:row r="8084" ht="46" customHeight="1">
      <x:c r="A8084" s="2" t="str">
        <x:v>TEN-661026F81014</x:v>
      </x:c>
      <x:c r="B8084" s="12" t="str">
        <x:v>Frost and Sullivan India Pvt. Ltd</x:v>
      </x:c>
      <x:c r="C8084" s="12" t="str">
        <x:v>CORP-0502</x:v>
      </x:c>
      <x:c r="D8084" s="12" t="str">
        <x:v>Bengaluru</x:v>
      </x:c>
      <x:c r="E8084" s="12" t="str">
        <x:v>Prestige Sterling Square</x:v>
      </x:c>
      <x:c r="F8084" s="12" t="str">
        <x:v>55 inch</x:v>
      </x:c>
      <x:c r="G8084" s="20" t="n">
        <x:v>1</x:v>
      </x:c>
      <x:c r="H8084" s="12" t="str">
        <x:v>Campus/portfolio roster; individual building occupancy unverified</x:v>
      </x:c>
      <x:c r="I8084" s="12" t="str">
        <x:v>Mixed business audience</x:v>
      </x:c>
      <x:c r="J8084" s="12" t="str">
        <x:v>Professional services</x:v>
      </x:c>
      <x:c r="K8084" s="2" t="str">
        <x:v>PARTNER-M082</x:v>
      </x:c>
    </x:row>
    <x:row r="8085" ht="46" customHeight="1">
      <x:c r="A8085" s="2" t="str">
        <x:v>TEN-67064F8C6165</x:v>
      </x:c>
      <x:c r="B8085" s="12" t="str">
        <x:v>iPass India</x:v>
      </x:c>
      <x:c r="C8085" s="12" t="str">
        <x:v>CORP-0502</x:v>
      </x:c>
      <x:c r="D8085" s="12" t="str">
        <x:v>Bengaluru</x:v>
      </x:c>
      <x:c r="E8085" s="12" t="str">
        <x:v>Prestige Sterling Square</x:v>
      </x:c>
      <x:c r="F8085" s="12" t="str">
        <x:v>55 inch</x:v>
      </x:c>
      <x:c r="G8085" s="20" t="n">
        <x:v>1</x:v>
      </x:c>
      <x:c r="H8085" s="12" t="str">
        <x:v>Campus/portfolio roster; individual building occupancy unverified</x:v>
      </x:c>
      <x:c r="I8085" s="12" t="str">
        <x:v>Mixed business audience</x:v>
      </x:c>
      <x:c r="J8085" s="12" t="str">
        <x:v>IT &amp; digital</x:v>
      </x:c>
      <x:c r="K8085" s="2" t="str">
        <x:v>PARTNER-M082</x:v>
      </x:c>
    </x:row>
    <x:row r="8086" ht="46" customHeight="1">
      <x:c r="A8086" s="2" t="str">
        <x:v>TEN-6F67A144F472</x:v>
      </x:c>
      <x:c r="B8086" s="12" t="str">
        <x:v>Infinera India</x:v>
      </x:c>
      <x:c r="C8086" s="12" t="str">
        <x:v>CORP-0502</x:v>
      </x:c>
      <x:c r="D8086" s="12" t="str">
        <x:v>Bengaluru</x:v>
      </x:c>
      <x:c r="E8086" s="12" t="str">
        <x:v>Prestige Sterling Square</x:v>
      </x:c>
      <x:c r="F8086" s="12" t="str">
        <x:v>55 inch</x:v>
      </x:c>
      <x:c r="G8086" s="20" t="n">
        <x:v>1</x:v>
      </x:c>
      <x:c r="H8086" s="12" t="str">
        <x:v>Campus/portfolio roster; individual building occupancy unverified</x:v>
      </x:c>
      <x:c r="I8086" s="12" t="str">
        <x:v>Mixed business audience</x:v>
      </x:c>
      <x:c r="J8086" s="12" t="str">
        <x:v>IT &amp; digital</x:v>
      </x:c>
      <x:c r="K8086" s="2" t="str">
        <x:v>PARTNER-M082</x:v>
      </x:c>
    </x:row>
    <x:row r="8087" ht="46" customHeight="1">
      <x:c r="A8087" s="2" t="str">
        <x:v>TEN-76F6B4C9D608</x:v>
      </x:c>
      <x:c r="B8087" s="12" t="str">
        <x:v>Saama Capital India Advisors LLP</x:v>
      </x:c>
      <x:c r="C8087" s="12" t="str">
        <x:v>CORP-0502</x:v>
      </x:c>
      <x:c r="D8087" s="12" t="str">
        <x:v>Bengaluru</x:v>
      </x:c>
      <x:c r="E8087" s="12" t="str">
        <x:v>Prestige Sterling Square</x:v>
      </x:c>
      <x:c r="F8087" s="12" t="str">
        <x:v>55 inch</x:v>
      </x:c>
      <x:c r="G8087" s="20" t="n">
        <x:v>1</x:v>
      </x:c>
      <x:c r="H8087" s="12" t="str">
        <x:v>Campus/portfolio roster; individual building occupancy unverified</x:v>
      </x:c>
      <x:c r="I8087" s="12" t="str">
        <x:v>Small-scale prospects</x:v>
      </x:c>
      <x:c r="J8087" s="12" t="str">
        <x:v>Finance &amp; insurance</x:v>
      </x:c>
      <x:c r="K8087" s="2" t="str">
        <x:v>PARTNER-M082</x:v>
      </x:c>
    </x:row>
    <x:row r="8088" ht="46" customHeight="1">
      <x:c r="A8088" s="2" t="str">
        <x:v>TEN-805ACF45AED6</x:v>
      </x:c>
      <x:c r="B8088" s="12" t="str">
        <x:v>Mpowered Health Infotech</x:v>
      </x:c>
      <x:c r="C8088" s="12" t="str">
        <x:v>CORP-0502</x:v>
      </x:c>
      <x:c r="D8088" s="12" t="str">
        <x:v>Bengaluru</x:v>
      </x:c>
      <x:c r="E8088" s="12" t="str">
        <x:v>Prestige Sterling Square</x:v>
      </x:c>
      <x:c r="F8088" s="12" t="str">
        <x:v>55 inch</x:v>
      </x:c>
      <x:c r="G8088" s="20" t="n">
        <x:v>1</x:v>
      </x:c>
      <x:c r="H8088" s="12" t="str">
        <x:v>Campus/portfolio roster; individual building occupancy unverified</x:v>
      </x:c>
      <x:c r="I8088" s="12" t="str">
        <x:v>Small-scale prospects</x:v>
      </x:c>
      <x:c r="J8088" s="12" t="str">
        <x:v>IT &amp; digital</x:v>
      </x:c>
      <x:c r="K8088" s="2" t="str">
        <x:v>PARTNER-M082</x:v>
      </x:c>
    </x:row>
    <x:row r="8089" ht="46" customHeight="1">
      <x:c r="A8089" s="2" t="str">
        <x:v>TEN-A186C4689964</x:v>
      </x:c>
      <x:c r="B8089" s="12" t="str">
        <x:v>IPpro Services India LLP</x:v>
      </x:c>
      <x:c r="C8089" s="12" t="str">
        <x:v>CORP-0502</x:v>
      </x:c>
      <x:c r="D8089" s="12" t="str">
        <x:v>Bengaluru</x:v>
      </x:c>
      <x:c r="E8089" s="12" t="str">
        <x:v>Prestige Sterling Square</x:v>
      </x:c>
      <x:c r="F8089" s="12" t="str">
        <x:v>55 inch</x:v>
      </x:c>
      <x:c r="G8089" s="20" t="n">
        <x:v>1</x:v>
      </x:c>
      <x:c r="H8089" s="12" t="str">
        <x:v>Campus/portfolio roster; individual building occupancy unverified</x:v>
      </x:c>
      <x:c r="I8089" s="12" t="str">
        <x:v>Small-scale prospects</x:v>
      </x:c>
      <x:c r="J8089" s="12" t="str">
        <x:v>Professional services</x:v>
      </x:c>
      <x:c r="K8089" s="2" t="str">
        <x:v>PARTNER-M082</x:v>
      </x:c>
    </x:row>
    <x:row r="8090" ht="46" customHeight="1">
      <x:c r="A8090" s="2" t="str">
        <x:v>TEN-A1964DB0508A</x:v>
      </x:c>
      <x:c r="B8090" s="12" t="str">
        <x:v>an Awfis coworking space</x:v>
      </x:c>
      <x:c r="C8090" s="12" t="str">
        <x:v>CORP-0502</x:v>
      </x:c>
      <x:c r="D8090" s="12" t="str">
        <x:v>Bengaluru</x:v>
      </x:c>
      <x:c r="E8090" s="12" t="str">
        <x:v>Prestige Sterling Square</x:v>
      </x:c>
      <x:c r="F8090" s="12" t="str">
        <x:v>55 inch</x:v>
      </x:c>
      <x:c r="G8090" s="20" t="n">
        <x:v>1</x:v>
      </x:c>
      <x:c r="H8090" s="12" t="str">
        <x:v>Campus/portfolio roster; individual building occupancy unverified</x:v>
      </x:c>
      <x:c r="I8090" s="12" t="str">
        <x:v>Mixed business audience</x:v>
      </x:c>
      <x:c r="J8090" s="12" t="str">
        <x:v>Workspace &amp; property operations</x:v>
      </x:c>
      <x:c r="K8090" s="2" t="str">
        <x:v>PARTNER-M082</x:v>
      </x:c>
    </x:row>
    <x:row r="8091" ht="46" customHeight="1">
      <x:c r="A8091" s="2" t="str">
        <x:v>TEN-A4AC77C95ACC</x:v>
      </x:c>
      <x:c r="B8091" s="12" t="str">
        <x:v>TRUGlobal Software India</x:v>
      </x:c>
      <x:c r="C8091" s="12" t="str">
        <x:v>CORP-0502</x:v>
      </x:c>
      <x:c r="D8091" s="12" t="str">
        <x:v>Bengaluru</x:v>
      </x:c>
      <x:c r="E8091" s="12" t="str">
        <x:v>Prestige Sterling Square</x:v>
      </x:c>
      <x:c r="F8091" s="12" t="str">
        <x:v>55 inch</x:v>
      </x:c>
      <x:c r="G8091" s="20" t="n">
        <x:v>1</x:v>
      </x:c>
      <x:c r="H8091" s="12" t="str">
        <x:v>Campus/portfolio roster; individual building occupancy unverified</x:v>
      </x:c>
      <x:c r="I8091" s="12" t="str">
        <x:v>Small-scale prospects</x:v>
      </x:c>
      <x:c r="J8091" s="12" t="str">
        <x:v>IT &amp; digital</x:v>
      </x:c>
      <x:c r="K8091" s="2" t="str">
        <x:v>PARTNER-M082</x:v>
      </x:c>
    </x:row>
    <x:row r="8092" ht="46" customHeight="1">
      <x:c r="A8092" s="2" t="str">
        <x:v>TEN-AD63796AF1FB</x:v>
      </x:c>
      <x:c r="B8092" s="12" t="str">
        <x:v>Nishith Desai Associates</x:v>
      </x:c>
      <x:c r="C8092" s="12" t="str">
        <x:v>CORP-0502</x:v>
      </x:c>
      <x:c r="D8092" s="12" t="str">
        <x:v>Bengaluru</x:v>
      </x:c>
      <x:c r="E8092" s="12" t="str">
        <x:v>Prestige Sterling Square</x:v>
      </x:c>
      <x:c r="F8092" s="12" t="str">
        <x:v>55 inch</x:v>
      </x:c>
      <x:c r="G8092" s="20" t="n">
        <x:v>1</x:v>
      </x:c>
      <x:c r="H8092" s="12" t="str">
        <x:v>Campus/portfolio roster; individual building occupancy unverified</x:v>
      </x:c>
      <x:c r="I8092" s="12" t="str">
        <x:v>Large enterprise</x:v>
      </x:c>
      <x:c r="J8092" s="12" t="str">
        <x:v>Professional services</x:v>
      </x:c>
      <x:c r="K8092" s="2" t="str">
        <x:v>PARTNER-M082</x:v>
      </x:c>
    </x:row>
    <x:row r="8093" ht="46" customHeight="1">
      <x:c r="A8093" s="2" t="str">
        <x:v>TEN-C4BDE5AF5978</x:v>
      </x:c>
      <x:c r="B8093" s="12" t="str">
        <x:v>Barracuda Networks</x:v>
      </x:c>
      <x:c r="C8093" s="12" t="str">
        <x:v>CORP-0502</x:v>
      </x:c>
      <x:c r="D8093" s="12" t="str">
        <x:v>Bengaluru</x:v>
      </x:c>
      <x:c r="E8093" s="12" t="str">
        <x:v>Prestige Sterling Square</x:v>
      </x:c>
      <x:c r="F8093" s="12" t="str">
        <x:v>55 inch</x:v>
      </x:c>
      <x:c r="G8093" s="20" t="n">
        <x:v>1</x:v>
      </x:c>
      <x:c r="H8093" s="12" t="str">
        <x:v>Campus/portfolio roster; individual building occupancy unverified</x:v>
      </x:c>
      <x:c r="I8093" s="12" t="str">
        <x:v>Mixed business audience</x:v>
      </x:c>
      <x:c r="J8093" s="12" t="str">
        <x:v>IT &amp; digital</x:v>
      </x:c>
      <x:c r="K8093" s="2" t="str">
        <x:v>PARTNER-M082</x:v>
      </x:c>
    </x:row>
    <x:row r="8094" ht="46" customHeight="1">
      <x:c r="A8094" s="2" t="str">
        <x:v>TEN-CC5491F71AF2</x:v>
      </x:c>
      <x:c r="B8094" s="12" t="str">
        <x:v>Marlabs Software</x:v>
      </x:c>
      <x:c r="C8094" s="12" t="str">
        <x:v>CORP-0502</x:v>
      </x:c>
      <x:c r="D8094" s="12" t="str">
        <x:v>Bengaluru</x:v>
      </x:c>
      <x:c r="E8094" s="12" t="str">
        <x:v>Prestige Sterling Square</x:v>
      </x:c>
      <x:c r="F8094" s="12" t="str">
        <x:v>55 inch</x:v>
      </x:c>
      <x:c r="G8094" s="20" t="n">
        <x:v>1</x:v>
      </x:c>
      <x:c r="H8094" s="12" t="str">
        <x:v>Campus/portfolio roster; individual building occupancy unverified</x:v>
      </x:c>
      <x:c r="I8094" s="12" t="str">
        <x:v>Mixed business audience</x:v>
      </x:c>
      <x:c r="J8094" s="12" t="str">
        <x:v>IT &amp; digital</x:v>
      </x:c>
      <x:c r="K8094" s="2" t="str">
        <x:v>PARTNER-M082</x:v>
      </x:c>
    </x:row>
    <x:row r="8095" ht="46" customHeight="1">
      <x:c r="A8095" s="2" t="str">
        <x:v>TEN-D5193353E49E</x:v>
      </x:c>
      <x:c r="B8095" s="12" t="str">
        <x:v>SVB India Advisors Ltd</x:v>
      </x:c>
      <x:c r="C8095" s="12" t="str">
        <x:v>CORP-0502</x:v>
      </x:c>
      <x:c r="D8095" s="12" t="str">
        <x:v>Bengaluru</x:v>
      </x:c>
      <x:c r="E8095" s="12" t="str">
        <x:v>Prestige Sterling Square</x:v>
      </x:c>
      <x:c r="F8095" s="12" t="str">
        <x:v>55 inch</x:v>
      </x:c>
      <x:c r="G8095" s="20" t="n">
        <x:v>1</x:v>
      </x:c>
      <x:c r="H8095" s="12" t="str">
        <x:v>Campus/portfolio roster; individual building occupancy unverified</x:v>
      </x:c>
      <x:c r="I8095" s="12" t="str">
        <x:v>Mixed business audience</x:v>
      </x:c>
      <x:c r="J8095" s="12" t="str">
        <x:v>Finance &amp; insurance</x:v>
      </x:c>
      <x:c r="K8095" s="2" t="str">
        <x:v>PARTNER-M082</x:v>
      </x:c>
    </x:row>
    <x:row r="8096" ht="46" customHeight="1">
      <x:c r="A8096" s="2" t="str">
        <x:v>TEN-DEE80628077C</x:v>
      </x:c>
      <x:c r="B8096" s="12" t="str">
        <x:v>Indeed.co.in</x:v>
      </x:c>
      <x:c r="C8096" s="12" t="str">
        <x:v>CORP-0502</x:v>
      </x:c>
      <x:c r="D8096" s="12" t="str">
        <x:v>Bengaluru</x:v>
      </x:c>
      <x:c r="E8096" s="12" t="str">
        <x:v>Prestige Sterling Square</x:v>
      </x:c>
      <x:c r="F8096" s="12" t="str">
        <x:v>55 inch</x:v>
      </x:c>
      <x:c r="G8096" s="20" t="n">
        <x:v>1</x:v>
      </x:c>
      <x:c r="H8096" s="12" t="str">
        <x:v>Campus/portfolio roster; individual building occupancy unverified</x:v>
      </x:c>
      <x:c r="I8096" s="12" t="str">
        <x:v>Mixed business audience</x:v>
      </x:c>
      <x:c r="J8096" s="12" t="str">
        <x:v>Professional services</x:v>
      </x:c>
      <x:c r="K8096" s="2" t="str">
        <x:v>PARTNER-M082</x:v>
      </x:c>
    </x:row>
    <x:row r="8097" ht="46" customHeight="1">
      <x:c r="A8097" s="2" t="str">
        <x:v>TEN-08E64C0D11C6</x:v>
      </x:c>
      <x:c r="B8097" s="12" t="str">
        <x:v>Icon Clinical Research</x:v>
      </x:c>
      <x:c r="C8097" s="12" t="str">
        <x:v>CORP-0503</x:v>
      </x:c>
      <x:c r="D8097" s="12" t="str">
        <x:v>Bengaluru</x:v>
      </x:c>
      <x:c r="E8097" s="12" t="str">
        <x:v>Prestige Solitaire</x:v>
      </x:c>
      <x:c r="F8097" s="12" t="str">
        <x:v>55 inch</x:v>
      </x:c>
      <x:c r="G8097" s="20" t="n">
        <x:v>1</x:v>
      </x:c>
      <x:c r="H8097" s="12" t="str">
        <x:v>Campus/portfolio roster; individual building occupancy unverified</x:v>
      </x:c>
      <x:c r="I8097" s="12" t="str">
        <x:v>Mixed business audience</x:v>
      </x:c>
      <x:c r="J8097" s="12" t="str">
        <x:v>Healthcare &amp; life sciences</x:v>
      </x:c>
      <x:c r="K8097" s="2" t="str">
        <x:v>PARTNER-M082</x:v>
      </x:c>
    </x:row>
    <x:row r="8098" ht="46" customHeight="1">
      <x:c r="A8098" s="2" t="str">
        <x:v>TEN-15EFD5F168D9</x:v>
      </x:c>
      <x:c r="B8098" s="12" t="str">
        <x:v>IndiQube Innovent Spaces Pvt. Ltd</x:v>
      </x:c>
      <x:c r="C8098" s="12" t="str">
        <x:v>CORP-0503</x:v>
      </x:c>
      <x:c r="D8098" s="12" t="str">
        <x:v>Bengaluru</x:v>
      </x:c>
      <x:c r="E8098" s="12" t="str">
        <x:v>Prestige Solitaire</x:v>
      </x:c>
      <x:c r="F8098" s="12" t="str">
        <x:v>55 inch</x:v>
      </x:c>
      <x:c r="G8098" s="20" t="n">
        <x:v>1</x:v>
      </x:c>
      <x:c r="H8098" s="12" t="str">
        <x:v>Campus/portfolio roster; individual building occupancy unverified</x:v>
      </x:c>
      <x:c r="I8098" s="12" t="str">
        <x:v>Mixed business audience</x:v>
      </x:c>
      <x:c r="J8098" s="12" t="str">
        <x:v>Workspace &amp; property operations</x:v>
      </x:c>
      <x:c r="K8098" s="2" t="str">
        <x:v>PARTNER-M082</x:v>
      </x:c>
    </x:row>
    <x:row r="8099" ht="46" customHeight="1">
      <x:c r="A8099" s="2" t="str">
        <x:v>TEN-2B4B9D0C8F84</x:v>
      </x:c>
      <x:c r="B8099" s="12" t="str">
        <x:v>NTT DATA FA Insurance Systems</x:v>
      </x:c>
      <x:c r="C8099" s="12" t="str">
        <x:v>CORP-0503</x:v>
      </x:c>
      <x:c r="D8099" s="12" t="str">
        <x:v>Bengaluru</x:v>
      </x:c>
      <x:c r="E8099" s="12" t="str">
        <x:v>Prestige Solitaire</x:v>
      </x:c>
      <x:c r="F8099" s="12" t="str">
        <x:v>55 inch</x:v>
      </x:c>
      <x:c r="G8099" s="20" t="n">
        <x:v>1</x:v>
      </x:c>
      <x:c r="H8099" s="12" t="str">
        <x:v>Campus/portfolio roster; individual building occupancy unverified</x:v>
      </x:c>
      <x:c r="I8099" s="12" t="str">
        <x:v>Large enterprise</x:v>
      </x:c>
      <x:c r="J8099" s="12" t="str">
        <x:v>IT &amp; digital</x:v>
      </x:c>
      <x:c r="K8099" s="2" t="str">
        <x:v>PARTNER-M082</x:v>
      </x:c>
    </x:row>
    <x:row r="8100" ht="46" customHeight="1">
      <x:c r="A8100" s="2" t="str">
        <x:v>TEN-4F6598371E30</x:v>
      </x:c>
      <x:c r="B8100" s="12" t="str">
        <x:v>Godrej Properties</x:v>
      </x:c>
      <x:c r="C8100" s="12" t="str">
        <x:v>CORP-0503</x:v>
      </x:c>
      <x:c r="D8100" s="12" t="str">
        <x:v>Bengaluru</x:v>
      </x:c>
      <x:c r="E8100" s="12" t="str">
        <x:v>Prestige Solitaire</x:v>
      </x:c>
      <x:c r="F8100" s="12" t="str">
        <x:v>55 inch</x:v>
      </x:c>
      <x:c r="G8100" s="20" t="n">
        <x:v>1</x:v>
      </x:c>
      <x:c r="H8100" s="12" t="str">
        <x:v>Campus/portfolio roster; individual building occupancy unverified</x:v>
      </x:c>
      <x:c r="I8100" s="12" t="str">
        <x:v>Mixed business audience</x:v>
      </x:c>
      <x:c r="J8100" s="12" t="str">
        <x:v>Trade, consumer &amp; logistics</x:v>
      </x:c>
      <x:c r="K8100" s="2" t="str">
        <x:v>PARTNER-M082</x:v>
      </x:c>
    </x:row>
    <x:row r="8101" ht="46" customHeight="1">
      <x:c r="A8101" s="2" t="str">
        <x:v>TEN-58FBF46B6AEC</x:v>
      </x:c>
      <x:c r="B8101" s="12" t="str">
        <x:v>Allergan India</x:v>
      </x:c>
      <x:c r="C8101" s="12" t="str">
        <x:v>CORP-0503</x:v>
      </x:c>
      <x:c r="D8101" s="12" t="str">
        <x:v>Bengaluru</x:v>
      </x:c>
      <x:c r="E8101" s="12" t="str">
        <x:v>Prestige Solitaire</x:v>
      </x:c>
      <x:c r="F8101" s="12" t="str">
        <x:v>55 inch</x:v>
      </x:c>
      <x:c r="G8101" s="20" t="n">
        <x:v>1</x:v>
      </x:c>
      <x:c r="H8101" s="12" t="str">
        <x:v>Campus/portfolio roster; individual building occupancy unverified</x:v>
      </x:c>
      <x:c r="I8101" s="12" t="str">
        <x:v>Mixed business audience</x:v>
      </x:c>
      <x:c r="J8101" s="12" t="str">
        <x:v>Healthcare &amp; life sciences</x:v>
      </x:c>
      <x:c r="K8101" s="2" t="str">
        <x:v>PARTNER-M082</x:v>
      </x:c>
    </x:row>
    <x:row r="8102" ht="46" customHeight="1">
      <x:c r="A8102" s="2" t="str">
        <x:v>TEN-661026F81014</x:v>
      </x:c>
      <x:c r="B8102" s="12" t="str">
        <x:v>Frost and Sullivan India Pvt. Ltd</x:v>
      </x:c>
      <x:c r="C8102" s="12" t="str">
        <x:v>CORP-0503</x:v>
      </x:c>
      <x:c r="D8102" s="12" t="str">
        <x:v>Bengaluru</x:v>
      </x:c>
      <x:c r="E8102" s="12" t="str">
        <x:v>Prestige Solitaire</x:v>
      </x:c>
      <x:c r="F8102" s="12" t="str">
        <x:v>55 inch</x:v>
      </x:c>
      <x:c r="G8102" s="20" t="n">
        <x:v>1</x:v>
      </x:c>
      <x:c r="H8102" s="12" t="str">
        <x:v>Campus/portfolio roster; individual building occupancy unverified</x:v>
      </x:c>
      <x:c r="I8102" s="12" t="str">
        <x:v>Mixed business audience</x:v>
      </x:c>
      <x:c r="J8102" s="12" t="str">
        <x:v>Professional services</x:v>
      </x:c>
      <x:c r="K8102" s="2" t="str">
        <x:v>PARTNER-M082</x:v>
      </x:c>
    </x:row>
    <x:row r="8103" ht="46" customHeight="1">
      <x:c r="A8103" s="2" t="str">
        <x:v>TEN-67064F8C6165</x:v>
      </x:c>
      <x:c r="B8103" s="12" t="str">
        <x:v>iPass India</x:v>
      </x:c>
      <x:c r="C8103" s="12" t="str">
        <x:v>CORP-0503</x:v>
      </x:c>
      <x:c r="D8103" s="12" t="str">
        <x:v>Bengaluru</x:v>
      </x:c>
      <x:c r="E8103" s="12" t="str">
        <x:v>Prestige Solitaire</x:v>
      </x:c>
      <x:c r="F8103" s="12" t="str">
        <x:v>55 inch</x:v>
      </x:c>
      <x:c r="G8103" s="20" t="n">
        <x:v>1</x:v>
      </x:c>
      <x:c r="H8103" s="12" t="str">
        <x:v>Campus/portfolio roster; individual building occupancy unverified</x:v>
      </x:c>
      <x:c r="I8103" s="12" t="str">
        <x:v>Mixed business audience</x:v>
      </x:c>
      <x:c r="J8103" s="12" t="str">
        <x:v>IT &amp; digital</x:v>
      </x:c>
      <x:c r="K8103" s="2" t="str">
        <x:v>PARTNER-M082</x:v>
      </x:c>
    </x:row>
    <x:row r="8104" ht="46" customHeight="1">
      <x:c r="A8104" s="2" t="str">
        <x:v>TEN-6F67A144F472</x:v>
      </x:c>
      <x:c r="B8104" s="12" t="str">
        <x:v>Infinera India</x:v>
      </x:c>
      <x:c r="C8104" s="12" t="str">
        <x:v>CORP-0503</x:v>
      </x:c>
      <x:c r="D8104" s="12" t="str">
        <x:v>Bengaluru</x:v>
      </x:c>
      <x:c r="E8104" s="12" t="str">
        <x:v>Prestige Solitaire</x:v>
      </x:c>
      <x:c r="F8104" s="12" t="str">
        <x:v>55 inch</x:v>
      </x:c>
      <x:c r="G8104" s="20" t="n">
        <x:v>1</x:v>
      </x:c>
      <x:c r="H8104" s="12" t="str">
        <x:v>Campus/portfolio roster; individual building occupancy unverified</x:v>
      </x:c>
      <x:c r="I8104" s="12" t="str">
        <x:v>Mixed business audience</x:v>
      </x:c>
      <x:c r="J8104" s="12" t="str">
        <x:v>IT &amp; digital</x:v>
      </x:c>
      <x:c r="K8104" s="2" t="str">
        <x:v>PARTNER-M082</x:v>
      </x:c>
    </x:row>
    <x:row r="8105" ht="46" customHeight="1">
      <x:c r="A8105" s="2" t="str">
        <x:v>TEN-76F6B4C9D608</x:v>
      </x:c>
      <x:c r="B8105" s="12" t="str">
        <x:v>Saama Capital India Advisors LLP</x:v>
      </x:c>
      <x:c r="C8105" s="12" t="str">
        <x:v>CORP-0503</x:v>
      </x:c>
      <x:c r="D8105" s="12" t="str">
        <x:v>Bengaluru</x:v>
      </x:c>
      <x:c r="E8105" s="12" t="str">
        <x:v>Prestige Solitaire</x:v>
      </x:c>
      <x:c r="F8105" s="12" t="str">
        <x:v>55 inch</x:v>
      </x:c>
      <x:c r="G8105" s="20" t="n">
        <x:v>1</x:v>
      </x:c>
      <x:c r="H8105" s="12" t="str">
        <x:v>Campus/portfolio roster; individual building occupancy unverified</x:v>
      </x:c>
      <x:c r="I8105" s="12" t="str">
        <x:v>Small-scale prospects</x:v>
      </x:c>
      <x:c r="J8105" s="12" t="str">
        <x:v>Finance &amp; insurance</x:v>
      </x:c>
      <x:c r="K8105" s="2" t="str">
        <x:v>PARTNER-M082</x:v>
      </x:c>
    </x:row>
    <x:row r="8106" ht="46" customHeight="1">
      <x:c r="A8106" s="2" t="str">
        <x:v>TEN-805ACF45AED6</x:v>
      </x:c>
      <x:c r="B8106" s="12" t="str">
        <x:v>Mpowered Health Infotech</x:v>
      </x:c>
      <x:c r="C8106" s="12" t="str">
        <x:v>CORP-0503</x:v>
      </x:c>
      <x:c r="D8106" s="12" t="str">
        <x:v>Bengaluru</x:v>
      </x:c>
      <x:c r="E8106" s="12" t="str">
        <x:v>Prestige Solitaire</x:v>
      </x:c>
      <x:c r="F8106" s="12" t="str">
        <x:v>55 inch</x:v>
      </x:c>
      <x:c r="G8106" s="20" t="n">
        <x:v>1</x:v>
      </x:c>
      <x:c r="H8106" s="12" t="str">
        <x:v>Campus/portfolio roster; individual building occupancy unverified</x:v>
      </x:c>
      <x:c r="I8106" s="12" t="str">
        <x:v>Small-scale prospects</x:v>
      </x:c>
      <x:c r="J8106" s="12" t="str">
        <x:v>IT &amp; digital</x:v>
      </x:c>
      <x:c r="K8106" s="2" t="str">
        <x:v>PARTNER-M082</x:v>
      </x:c>
    </x:row>
    <x:row r="8107" ht="46" customHeight="1">
      <x:c r="A8107" s="2" t="str">
        <x:v>TEN-A186C4689964</x:v>
      </x:c>
      <x:c r="B8107" s="12" t="str">
        <x:v>IPpro Services India LLP</x:v>
      </x:c>
      <x:c r="C8107" s="12" t="str">
        <x:v>CORP-0503</x:v>
      </x:c>
      <x:c r="D8107" s="12" t="str">
        <x:v>Bengaluru</x:v>
      </x:c>
      <x:c r="E8107" s="12" t="str">
        <x:v>Prestige Solitaire</x:v>
      </x:c>
      <x:c r="F8107" s="12" t="str">
        <x:v>55 inch</x:v>
      </x:c>
      <x:c r="G8107" s="20" t="n">
        <x:v>1</x:v>
      </x:c>
      <x:c r="H8107" s="12" t="str">
        <x:v>Campus/portfolio roster; individual building occupancy unverified</x:v>
      </x:c>
      <x:c r="I8107" s="12" t="str">
        <x:v>Small-scale prospects</x:v>
      </x:c>
      <x:c r="J8107" s="12" t="str">
        <x:v>Professional services</x:v>
      </x:c>
      <x:c r="K8107" s="2" t="str">
        <x:v>PARTNER-M082</x:v>
      </x:c>
    </x:row>
    <x:row r="8108" ht="46" customHeight="1">
      <x:c r="A8108" s="2" t="str">
        <x:v>TEN-A1964DB0508A</x:v>
      </x:c>
      <x:c r="B8108" s="12" t="str">
        <x:v>an Awfis coworking space</x:v>
      </x:c>
      <x:c r="C8108" s="12" t="str">
        <x:v>CORP-0503</x:v>
      </x:c>
      <x:c r="D8108" s="12" t="str">
        <x:v>Bengaluru</x:v>
      </x:c>
      <x:c r="E8108" s="12" t="str">
        <x:v>Prestige Solitaire</x:v>
      </x:c>
      <x:c r="F8108" s="12" t="str">
        <x:v>55 inch</x:v>
      </x:c>
      <x:c r="G8108" s="20" t="n">
        <x:v>1</x:v>
      </x:c>
      <x:c r="H8108" s="12" t="str">
        <x:v>Campus/portfolio roster; individual building occupancy unverified</x:v>
      </x:c>
      <x:c r="I8108" s="12" t="str">
        <x:v>Mixed business audience</x:v>
      </x:c>
      <x:c r="J8108" s="12" t="str">
        <x:v>Workspace &amp; property operations</x:v>
      </x:c>
      <x:c r="K8108" s="2" t="str">
        <x:v>PARTNER-M082</x:v>
      </x:c>
    </x:row>
    <x:row r="8109" ht="46" customHeight="1">
      <x:c r="A8109" s="2" t="str">
        <x:v>TEN-A4AC77C95ACC</x:v>
      </x:c>
      <x:c r="B8109" s="12" t="str">
        <x:v>TRUGlobal Software India</x:v>
      </x:c>
      <x:c r="C8109" s="12" t="str">
        <x:v>CORP-0503</x:v>
      </x:c>
      <x:c r="D8109" s="12" t="str">
        <x:v>Bengaluru</x:v>
      </x:c>
      <x:c r="E8109" s="12" t="str">
        <x:v>Prestige Solitaire</x:v>
      </x:c>
      <x:c r="F8109" s="12" t="str">
        <x:v>55 inch</x:v>
      </x:c>
      <x:c r="G8109" s="20" t="n">
        <x:v>1</x:v>
      </x:c>
      <x:c r="H8109" s="12" t="str">
        <x:v>Campus/portfolio roster; individual building occupancy unverified</x:v>
      </x:c>
      <x:c r="I8109" s="12" t="str">
        <x:v>Small-scale prospects</x:v>
      </x:c>
      <x:c r="J8109" s="12" t="str">
        <x:v>IT &amp; digital</x:v>
      </x:c>
      <x:c r="K8109" s="2" t="str">
        <x:v>PARTNER-M082</x:v>
      </x:c>
    </x:row>
    <x:row r="8110" ht="46" customHeight="1">
      <x:c r="A8110" s="2" t="str">
        <x:v>TEN-AD63796AF1FB</x:v>
      </x:c>
      <x:c r="B8110" s="12" t="str">
        <x:v>Nishith Desai Associates</x:v>
      </x:c>
      <x:c r="C8110" s="12" t="str">
        <x:v>CORP-0503</x:v>
      </x:c>
      <x:c r="D8110" s="12" t="str">
        <x:v>Bengaluru</x:v>
      </x:c>
      <x:c r="E8110" s="12" t="str">
        <x:v>Prestige Solitaire</x:v>
      </x:c>
      <x:c r="F8110" s="12" t="str">
        <x:v>55 inch</x:v>
      </x:c>
      <x:c r="G8110" s="20" t="n">
        <x:v>1</x:v>
      </x:c>
      <x:c r="H8110" s="12" t="str">
        <x:v>Campus/portfolio roster; individual building occupancy unverified</x:v>
      </x:c>
      <x:c r="I8110" s="12" t="str">
        <x:v>Large enterprise</x:v>
      </x:c>
      <x:c r="J8110" s="12" t="str">
        <x:v>Professional services</x:v>
      </x:c>
      <x:c r="K8110" s="2" t="str">
        <x:v>PARTNER-M082</x:v>
      </x:c>
    </x:row>
    <x:row r="8111" ht="46" customHeight="1">
      <x:c r="A8111" s="2" t="str">
        <x:v>TEN-C4BDE5AF5978</x:v>
      </x:c>
      <x:c r="B8111" s="12" t="str">
        <x:v>Barracuda Networks</x:v>
      </x:c>
      <x:c r="C8111" s="12" t="str">
        <x:v>CORP-0503</x:v>
      </x:c>
      <x:c r="D8111" s="12" t="str">
        <x:v>Bengaluru</x:v>
      </x:c>
      <x:c r="E8111" s="12" t="str">
        <x:v>Prestige Solitaire</x:v>
      </x:c>
      <x:c r="F8111" s="12" t="str">
        <x:v>55 inch</x:v>
      </x:c>
      <x:c r="G8111" s="20" t="n">
        <x:v>1</x:v>
      </x:c>
      <x:c r="H8111" s="12" t="str">
        <x:v>Campus/portfolio roster; individual building occupancy unverified</x:v>
      </x:c>
      <x:c r="I8111" s="12" t="str">
        <x:v>Mixed business audience</x:v>
      </x:c>
      <x:c r="J8111" s="12" t="str">
        <x:v>IT &amp; digital</x:v>
      </x:c>
      <x:c r="K8111" s="2" t="str">
        <x:v>PARTNER-M082</x:v>
      </x:c>
    </x:row>
    <x:row r="8112" ht="46" customHeight="1">
      <x:c r="A8112" s="2" t="str">
        <x:v>TEN-CC5491F71AF2</x:v>
      </x:c>
      <x:c r="B8112" s="12" t="str">
        <x:v>Marlabs Software</x:v>
      </x:c>
      <x:c r="C8112" s="12" t="str">
        <x:v>CORP-0503</x:v>
      </x:c>
      <x:c r="D8112" s="12" t="str">
        <x:v>Bengaluru</x:v>
      </x:c>
      <x:c r="E8112" s="12" t="str">
        <x:v>Prestige Solitaire</x:v>
      </x:c>
      <x:c r="F8112" s="12" t="str">
        <x:v>55 inch</x:v>
      </x:c>
      <x:c r="G8112" s="20" t="n">
        <x:v>1</x:v>
      </x:c>
      <x:c r="H8112" s="12" t="str">
        <x:v>Campus/portfolio roster; individual building occupancy unverified</x:v>
      </x:c>
      <x:c r="I8112" s="12" t="str">
        <x:v>Mixed business audience</x:v>
      </x:c>
      <x:c r="J8112" s="12" t="str">
        <x:v>IT &amp; digital</x:v>
      </x:c>
      <x:c r="K8112" s="2" t="str">
        <x:v>PARTNER-M082</x:v>
      </x:c>
    </x:row>
    <x:row r="8113" ht="46" customHeight="1">
      <x:c r="A8113" s="2" t="str">
        <x:v>TEN-D5193353E49E</x:v>
      </x:c>
      <x:c r="B8113" s="12" t="str">
        <x:v>SVB India Advisors Ltd</x:v>
      </x:c>
      <x:c r="C8113" s="12" t="str">
        <x:v>CORP-0503</x:v>
      </x:c>
      <x:c r="D8113" s="12" t="str">
        <x:v>Bengaluru</x:v>
      </x:c>
      <x:c r="E8113" s="12" t="str">
        <x:v>Prestige Solitaire</x:v>
      </x:c>
      <x:c r="F8113" s="12" t="str">
        <x:v>55 inch</x:v>
      </x:c>
      <x:c r="G8113" s="20" t="n">
        <x:v>1</x:v>
      </x:c>
      <x:c r="H8113" s="12" t="str">
        <x:v>Campus/portfolio roster; individual building occupancy unverified</x:v>
      </x:c>
      <x:c r="I8113" s="12" t="str">
        <x:v>Mixed business audience</x:v>
      </x:c>
      <x:c r="J8113" s="12" t="str">
        <x:v>Finance &amp; insurance</x:v>
      </x:c>
      <x:c r="K8113" s="2" t="str">
        <x:v>PARTNER-M082</x:v>
      </x:c>
    </x:row>
    <x:row r="8114" ht="46" customHeight="1">
      <x:c r="A8114" s="2" t="str">
        <x:v>TEN-DEE80628077C</x:v>
      </x:c>
      <x:c r="B8114" s="12" t="str">
        <x:v>Indeed.co.in</x:v>
      </x:c>
      <x:c r="C8114" s="12" t="str">
        <x:v>CORP-0503</x:v>
      </x:c>
      <x:c r="D8114" s="12" t="str">
        <x:v>Bengaluru</x:v>
      </x:c>
      <x:c r="E8114" s="12" t="str">
        <x:v>Prestige Solitaire</x:v>
      </x:c>
      <x:c r="F8114" s="12" t="str">
        <x:v>55 inch</x:v>
      </x:c>
      <x:c r="G8114" s="20" t="n">
        <x:v>1</x:v>
      </x:c>
      <x:c r="H8114" s="12" t="str">
        <x:v>Campus/portfolio roster; individual building occupancy unverified</x:v>
      </x:c>
      <x:c r="I8114" s="12" t="str">
        <x:v>Mixed business audience</x:v>
      </x:c>
      <x:c r="J8114" s="12" t="str">
        <x:v>Professional services</x:v>
      </x:c>
      <x:c r="K8114" s="2" t="str">
        <x:v>PARTNER-M082</x:v>
      </x:c>
    </x:row>
    <x:row r="8115" ht="46" customHeight="1">
      <x:c r="A8115" s="2" t="str">
        <x:v>TEN-08E64C0D11C6</x:v>
      </x:c>
      <x:c r="B8115" s="12" t="str">
        <x:v>Icon Clinical Research</x:v>
      </x:c>
      <x:c r="C8115" s="12" t="str">
        <x:v>CORP-0504</x:v>
      </x:c>
      <x:c r="D8115" s="12" t="str">
        <x:v>Bengaluru</x:v>
      </x:c>
      <x:c r="E8115" s="12" t="str">
        <x:v>Prestige Sigma</x:v>
      </x:c>
      <x:c r="F8115" s="12" t="str">
        <x:v>55 inch</x:v>
      </x:c>
      <x:c r="G8115" s="20" t="n">
        <x:v>1</x:v>
      </x:c>
      <x:c r="H8115" s="12" t="str">
        <x:v>Campus/portfolio roster; individual building occupancy unverified</x:v>
      </x:c>
      <x:c r="I8115" s="12" t="str">
        <x:v>Mixed business audience</x:v>
      </x:c>
      <x:c r="J8115" s="12" t="str">
        <x:v>Healthcare &amp; life sciences</x:v>
      </x:c>
      <x:c r="K8115" s="2" t="str">
        <x:v>PARTNER-M082</x:v>
      </x:c>
    </x:row>
    <x:row r="8116" ht="46" customHeight="1">
      <x:c r="A8116" s="2" t="str">
        <x:v>TEN-15EFD5F168D9</x:v>
      </x:c>
      <x:c r="B8116" s="12" t="str">
        <x:v>IndiQube Innovent Spaces Pvt. Ltd</x:v>
      </x:c>
      <x:c r="C8116" s="12" t="str">
        <x:v>CORP-0504</x:v>
      </x:c>
      <x:c r="D8116" s="12" t="str">
        <x:v>Bengaluru</x:v>
      </x:c>
      <x:c r="E8116" s="12" t="str">
        <x:v>Prestige Sigma</x:v>
      </x:c>
      <x:c r="F8116" s="12" t="str">
        <x:v>55 inch</x:v>
      </x:c>
      <x:c r="G8116" s="20" t="n">
        <x:v>1</x:v>
      </x:c>
      <x:c r="H8116" s="12" t="str">
        <x:v>Campus/portfolio roster; individual building occupancy unverified</x:v>
      </x:c>
      <x:c r="I8116" s="12" t="str">
        <x:v>Mixed business audience</x:v>
      </x:c>
      <x:c r="J8116" s="12" t="str">
        <x:v>Workspace &amp; property operations</x:v>
      </x:c>
      <x:c r="K8116" s="2" t="str">
        <x:v>PARTNER-M082</x:v>
      </x:c>
    </x:row>
    <x:row r="8117" ht="46" customHeight="1">
      <x:c r="A8117" s="2" t="str">
        <x:v>TEN-2B4B9D0C8F84</x:v>
      </x:c>
      <x:c r="B8117" s="12" t="str">
        <x:v>NTT DATA FA Insurance Systems</x:v>
      </x:c>
      <x:c r="C8117" s="12" t="str">
        <x:v>CORP-0504</x:v>
      </x:c>
      <x:c r="D8117" s="12" t="str">
        <x:v>Bengaluru</x:v>
      </x:c>
      <x:c r="E8117" s="12" t="str">
        <x:v>Prestige Sigma</x:v>
      </x:c>
      <x:c r="F8117" s="12" t="str">
        <x:v>55 inch</x:v>
      </x:c>
      <x:c r="G8117" s="20" t="n">
        <x:v>1</x:v>
      </x:c>
      <x:c r="H8117" s="12" t="str">
        <x:v>Campus/portfolio roster; individual building occupancy unverified</x:v>
      </x:c>
      <x:c r="I8117" s="12" t="str">
        <x:v>Large enterprise</x:v>
      </x:c>
      <x:c r="J8117" s="12" t="str">
        <x:v>IT &amp; digital</x:v>
      </x:c>
      <x:c r="K8117" s="2" t="str">
        <x:v>PARTNER-M082</x:v>
      </x:c>
    </x:row>
    <x:row r="8118" ht="46" customHeight="1">
      <x:c r="A8118" s="2" t="str">
        <x:v>TEN-4F6598371E30</x:v>
      </x:c>
      <x:c r="B8118" s="12" t="str">
        <x:v>Godrej Properties</x:v>
      </x:c>
      <x:c r="C8118" s="12" t="str">
        <x:v>CORP-0504</x:v>
      </x:c>
      <x:c r="D8118" s="12" t="str">
        <x:v>Bengaluru</x:v>
      </x:c>
      <x:c r="E8118" s="12" t="str">
        <x:v>Prestige Sigma</x:v>
      </x:c>
      <x:c r="F8118" s="12" t="str">
        <x:v>55 inch</x:v>
      </x:c>
      <x:c r="G8118" s="20" t="n">
        <x:v>1</x:v>
      </x:c>
      <x:c r="H8118" s="12" t="str">
        <x:v>Campus/portfolio roster; individual building occupancy unverified</x:v>
      </x:c>
      <x:c r="I8118" s="12" t="str">
        <x:v>Mixed business audience</x:v>
      </x:c>
      <x:c r="J8118" s="12" t="str">
        <x:v>Trade, consumer &amp; logistics</x:v>
      </x:c>
      <x:c r="K8118" s="2" t="str">
        <x:v>PARTNER-M082</x:v>
      </x:c>
    </x:row>
    <x:row r="8119" ht="46" customHeight="1">
      <x:c r="A8119" s="2" t="str">
        <x:v>TEN-58FBF46B6AEC</x:v>
      </x:c>
      <x:c r="B8119" s="12" t="str">
        <x:v>Allergan India</x:v>
      </x:c>
      <x:c r="C8119" s="12" t="str">
        <x:v>CORP-0504</x:v>
      </x:c>
      <x:c r="D8119" s="12" t="str">
        <x:v>Bengaluru</x:v>
      </x:c>
      <x:c r="E8119" s="12" t="str">
        <x:v>Prestige Sigma</x:v>
      </x:c>
      <x:c r="F8119" s="12" t="str">
        <x:v>55 inch</x:v>
      </x:c>
      <x:c r="G8119" s="20" t="n">
        <x:v>1</x:v>
      </x:c>
      <x:c r="H8119" s="12" t="str">
        <x:v>Campus/portfolio roster; individual building occupancy unverified</x:v>
      </x:c>
      <x:c r="I8119" s="12" t="str">
        <x:v>Mixed business audience</x:v>
      </x:c>
      <x:c r="J8119" s="12" t="str">
        <x:v>Healthcare &amp; life sciences</x:v>
      </x:c>
      <x:c r="K8119" s="2" t="str">
        <x:v>PARTNER-M082</x:v>
      </x:c>
    </x:row>
    <x:row r="8120" ht="46" customHeight="1">
      <x:c r="A8120" s="2" t="str">
        <x:v>TEN-661026F81014</x:v>
      </x:c>
      <x:c r="B8120" s="12" t="str">
        <x:v>Frost and Sullivan India Pvt. Ltd</x:v>
      </x:c>
      <x:c r="C8120" s="12" t="str">
        <x:v>CORP-0504</x:v>
      </x:c>
      <x:c r="D8120" s="12" t="str">
        <x:v>Bengaluru</x:v>
      </x:c>
      <x:c r="E8120" s="12" t="str">
        <x:v>Prestige Sigma</x:v>
      </x:c>
      <x:c r="F8120" s="12" t="str">
        <x:v>55 inch</x:v>
      </x:c>
      <x:c r="G8120" s="20" t="n">
        <x:v>1</x:v>
      </x:c>
      <x:c r="H8120" s="12" t="str">
        <x:v>Campus/portfolio roster; individual building occupancy unverified</x:v>
      </x:c>
      <x:c r="I8120" s="12" t="str">
        <x:v>Mixed business audience</x:v>
      </x:c>
      <x:c r="J8120" s="12" t="str">
        <x:v>Professional services</x:v>
      </x:c>
      <x:c r="K8120" s="2" t="str">
        <x:v>PARTNER-M082</x:v>
      </x:c>
    </x:row>
    <x:row r="8121" ht="46" customHeight="1">
      <x:c r="A8121" s="2" t="str">
        <x:v>TEN-67064F8C6165</x:v>
      </x:c>
      <x:c r="B8121" s="12" t="str">
        <x:v>iPass India</x:v>
      </x:c>
      <x:c r="C8121" s="12" t="str">
        <x:v>CORP-0504</x:v>
      </x:c>
      <x:c r="D8121" s="12" t="str">
        <x:v>Bengaluru</x:v>
      </x:c>
      <x:c r="E8121" s="12" t="str">
        <x:v>Prestige Sigma</x:v>
      </x:c>
      <x:c r="F8121" s="12" t="str">
        <x:v>55 inch</x:v>
      </x:c>
      <x:c r="G8121" s="20" t="n">
        <x:v>1</x:v>
      </x:c>
      <x:c r="H8121" s="12" t="str">
        <x:v>Campus/portfolio roster; individual building occupancy unverified</x:v>
      </x:c>
      <x:c r="I8121" s="12" t="str">
        <x:v>Mixed business audience</x:v>
      </x:c>
      <x:c r="J8121" s="12" t="str">
        <x:v>IT &amp; digital</x:v>
      </x:c>
      <x:c r="K8121" s="2" t="str">
        <x:v>PARTNER-M082</x:v>
      </x:c>
    </x:row>
    <x:row r="8122" ht="46" customHeight="1">
      <x:c r="A8122" s="2" t="str">
        <x:v>TEN-6F67A144F472</x:v>
      </x:c>
      <x:c r="B8122" s="12" t="str">
        <x:v>Infinera India</x:v>
      </x:c>
      <x:c r="C8122" s="12" t="str">
        <x:v>CORP-0504</x:v>
      </x:c>
      <x:c r="D8122" s="12" t="str">
        <x:v>Bengaluru</x:v>
      </x:c>
      <x:c r="E8122" s="12" t="str">
        <x:v>Prestige Sigma</x:v>
      </x:c>
      <x:c r="F8122" s="12" t="str">
        <x:v>55 inch</x:v>
      </x:c>
      <x:c r="G8122" s="20" t="n">
        <x:v>1</x:v>
      </x:c>
      <x:c r="H8122" s="12" t="str">
        <x:v>Campus/portfolio roster; individual building occupancy unverified</x:v>
      </x:c>
      <x:c r="I8122" s="12" t="str">
        <x:v>Mixed business audience</x:v>
      </x:c>
      <x:c r="J8122" s="12" t="str">
        <x:v>IT &amp; digital</x:v>
      </x:c>
      <x:c r="K8122" s="2" t="str">
        <x:v>PARTNER-M082</x:v>
      </x:c>
    </x:row>
    <x:row r="8123" ht="46" customHeight="1">
      <x:c r="A8123" s="2" t="str">
        <x:v>TEN-76F6B4C9D608</x:v>
      </x:c>
      <x:c r="B8123" s="12" t="str">
        <x:v>Saama Capital India Advisors LLP</x:v>
      </x:c>
      <x:c r="C8123" s="12" t="str">
        <x:v>CORP-0504</x:v>
      </x:c>
      <x:c r="D8123" s="12" t="str">
        <x:v>Bengaluru</x:v>
      </x:c>
      <x:c r="E8123" s="12" t="str">
        <x:v>Prestige Sigma</x:v>
      </x:c>
      <x:c r="F8123" s="12" t="str">
        <x:v>55 inch</x:v>
      </x:c>
      <x:c r="G8123" s="20" t="n">
        <x:v>1</x:v>
      </x:c>
      <x:c r="H8123" s="12" t="str">
        <x:v>Campus/portfolio roster; individual building occupancy unverified</x:v>
      </x:c>
      <x:c r="I8123" s="12" t="str">
        <x:v>Small-scale prospects</x:v>
      </x:c>
      <x:c r="J8123" s="12" t="str">
        <x:v>Finance &amp; insurance</x:v>
      </x:c>
      <x:c r="K8123" s="2" t="str">
        <x:v>PARTNER-M082</x:v>
      </x:c>
    </x:row>
    <x:row r="8124" ht="46" customHeight="1">
      <x:c r="A8124" s="2" t="str">
        <x:v>TEN-805ACF45AED6</x:v>
      </x:c>
      <x:c r="B8124" s="12" t="str">
        <x:v>Mpowered Health Infotech</x:v>
      </x:c>
      <x:c r="C8124" s="12" t="str">
        <x:v>CORP-0504</x:v>
      </x:c>
      <x:c r="D8124" s="12" t="str">
        <x:v>Bengaluru</x:v>
      </x:c>
      <x:c r="E8124" s="12" t="str">
        <x:v>Prestige Sigma</x:v>
      </x:c>
      <x:c r="F8124" s="12" t="str">
        <x:v>55 inch</x:v>
      </x:c>
      <x:c r="G8124" s="20" t="n">
        <x:v>1</x:v>
      </x:c>
      <x:c r="H8124" s="12" t="str">
        <x:v>Campus/portfolio roster; individual building occupancy unverified</x:v>
      </x:c>
      <x:c r="I8124" s="12" t="str">
        <x:v>Small-scale prospects</x:v>
      </x:c>
      <x:c r="J8124" s="12" t="str">
        <x:v>IT &amp; digital</x:v>
      </x:c>
      <x:c r="K8124" s="2" t="str">
        <x:v>PARTNER-M082</x:v>
      </x:c>
    </x:row>
    <x:row r="8125" ht="46" customHeight="1">
      <x:c r="A8125" s="2" t="str">
        <x:v>TEN-A186C4689964</x:v>
      </x:c>
      <x:c r="B8125" s="12" t="str">
        <x:v>IPpro Services India LLP</x:v>
      </x:c>
      <x:c r="C8125" s="12" t="str">
        <x:v>CORP-0504</x:v>
      </x:c>
      <x:c r="D8125" s="12" t="str">
        <x:v>Bengaluru</x:v>
      </x:c>
      <x:c r="E8125" s="12" t="str">
        <x:v>Prestige Sigma</x:v>
      </x:c>
      <x:c r="F8125" s="12" t="str">
        <x:v>55 inch</x:v>
      </x:c>
      <x:c r="G8125" s="20" t="n">
        <x:v>1</x:v>
      </x:c>
      <x:c r="H8125" s="12" t="str">
        <x:v>Campus/portfolio roster; individual building occupancy unverified</x:v>
      </x:c>
      <x:c r="I8125" s="12" t="str">
        <x:v>Small-scale prospects</x:v>
      </x:c>
      <x:c r="J8125" s="12" t="str">
        <x:v>Professional services</x:v>
      </x:c>
      <x:c r="K8125" s="2" t="str">
        <x:v>PARTNER-M082</x:v>
      </x:c>
    </x:row>
    <x:row r="8126" ht="46" customHeight="1">
      <x:c r="A8126" s="2" t="str">
        <x:v>TEN-A1964DB0508A</x:v>
      </x:c>
      <x:c r="B8126" s="12" t="str">
        <x:v>an Awfis coworking space</x:v>
      </x:c>
      <x:c r="C8126" s="12" t="str">
        <x:v>CORP-0504</x:v>
      </x:c>
      <x:c r="D8126" s="12" t="str">
        <x:v>Bengaluru</x:v>
      </x:c>
      <x:c r="E8126" s="12" t="str">
        <x:v>Prestige Sigma</x:v>
      </x:c>
      <x:c r="F8126" s="12" t="str">
        <x:v>55 inch</x:v>
      </x:c>
      <x:c r="G8126" s="20" t="n">
        <x:v>1</x:v>
      </x:c>
      <x:c r="H8126" s="12" t="str">
        <x:v>Campus/portfolio roster; individual building occupancy unverified</x:v>
      </x:c>
      <x:c r="I8126" s="12" t="str">
        <x:v>Mixed business audience</x:v>
      </x:c>
      <x:c r="J8126" s="12" t="str">
        <x:v>Workspace &amp; property operations</x:v>
      </x:c>
      <x:c r="K8126" s="2" t="str">
        <x:v>PARTNER-M082</x:v>
      </x:c>
    </x:row>
    <x:row r="8127" ht="46" customHeight="1">
      <x:c r="A8127" s="2" t="str">
        <x:v>TEN-A4AC77C95ACC</x:v>
      </x:c>
      <x:c r="B8127" s="12" t="str">
        <x:v>TRUGlobal Software India</x:v>
      </x:c>
      <x:c r="C8127" s="12" t="str">
        <x:v>CORP-0504</x:v>
      </x:c>
      <x:c r="D8127" s="12" t="str">
        <x:v>Bengaluru</x:v>
      </x:c>
      <x:c r="E8127" s="12" t="str">
        <x:v>Prestige Sigma</x:v>
      </x:c>
      <x:c r="F8127" s="12" t="str">
        <x:v>55 inch</x:v>
      </x:c>
      <x:c r="G8127" s="20" t="n">
        <x:v>1</x:v>
      </x:c>
      <x:c r="H8127" s="12" t="str">
        <x:v>Campus/portfolio roster; individual building occupancy unverified</x:v>
      </x:c>
      <x:c r="I8127" s="12" t="str">
        <x:v>Small-scale prospects</x:v>
      </x:c>
      <x:c r="J8127" s="12" t="str">
        <x:v>IT &amp; digital</x:v>
      </x:c>
      <x:c r="K8127" s="2" t="str">
        <x:v>PARTNER-M082</x:v>
      </x:c>
    </x:row>
    <x:row r="8128" ht="46" customHeight="1">
      <x:c r="A8128" s="2" t="str">
        <x:v>TEN-AD63796AF1FB</x:v>
      </x:c>
      <x:c r="B8128" s="12" t="str">
        <x:v>Nishith Desai Associates</x:v>
      </x:c>
      <x:c r="C8128" s="12" t="str">
        <x:v>CORP-0504</x:v>
      </x:c>
      <x:c r="D8128" s="12" t="str">
        <x:v>Bengaluru</x:v>
      </x:c>
      <x:c r="E8128" s="12" t="str">
        <x:v>Prestige Sigma</x:v>
      </x:c>
      <x:c r="F8128" s="12" t="str">
        <x:v>55 inch</x:v>
      </x:c>
      <x:c r="G8128" s="20" t="n">
        <x:v>1</x:v>
      </x:c>
      <x:c r="H8128" s="12" t="str">
        <x:v>Campus/portfolio roster; individual building occupancy unverified</x:v>
      </x:c>
      <x:c r="I8128" s="12" t="str">
        <x:v>Large enterprise</x:v>
      </x:c>
      <x:c r="J8128" s="12" t="str">
        <x:v>Professional services</x:v>
      </x:c>
      <x:c r="K8128" s="2" t="str">
        <x:v>PARTNER-M082</x:v>
      </x:c>
    </x:row>
    <x:row r="8129" ht="46" customHeight="1">
      <x:c r="A8129" s="2" t="str">
        <x:v>TEN-C4BDE5AF5978</x:v>
      </x:c>
      <x:c r="B8129" s="12" t="str">
        <x:v>Barracuda Networks</x:v>
      </x:c>
      <x:c r="C8129" s="12" t="str">
        <x:v>CORP-0504</x:v>
      </x:c>
      <x:c r="D8129" s="12" t="str">
        <x:v>Bengaluru</x:v>
      </x:c>
      <x:c r="E8129" s="12" t="str">
        <x:v>Prestige Sigma</x:v>
      </x:c>
      <x:c r="F8129" s="12" t="str">
        <x:v>55 inch</x:v>
      </x:c>
      <x:c r="G8129" s="20" t="n">
        <x:v>1</x:v>
      </x:c>
      <x:c r="H8129" s="12" t="str">
        <x:v>Campus/portfolio roster; individual building occupancy unverified</x:v>
      </x:c>
      <x:c r="I8129" s="12" t="str">
        <x:v>Mixed business audience</x:v>
      </x:c>
      <x:c r="J8129" s="12" t="str">
        <x:v>IT &amp; digital</x:v>
      </x:c>
      <x:c r="K8129" s="2" t="str">
        <x:v>PARTNER-M082</x:v>
      </x:c>
    </x:row>
    <x:row r="8130" ht="46" customHeight="1">
      <x:c r="A8130" s="2" t="str">
        <x:v>TEN-CC5491F71AF2</x:v>
      </x:c>
      <x:c r="B8130" s="12" t="str">
        <x:v>Marlabs Software</x:v>
      </x:c>
      <x:c r="C8130" s="12" t="str">
        <x:v>CORP-0504</x:v>
      </x:c>
      <x:c r="D8130" s="12" t="str">
        <x:v>Bengaluru</x:v>
      </x:c>
      <x:c r="E8130" s="12" t="str">
        <x:v>Prestige Sigma</x:v>
      </x:c>
      <x:c r="F8130" s="12" t="str">
        <x:v>55 inch</x:v>
      </x:c>
      <x:c r="G8130" s="20" t="n">
        <x:v>1</x:v>
      </x:c>
      <x:c r="H8130" s="12" t="str">
        <x:v>Campus/portfolio roster; individual building occupancy unverified</x:v>
      </x:c>
      <x:c r="I8130" s="12" t="str">
        <x:v>Mixed business audience</x:v>
      </x:c>
      <x:c r="J8130" s="12" t="str">
        <x:v>IT &amp; digital</x:v>
      </x:c>
      <x:c r="K8130" s="2" t="str">
        <x:v>PARTNER-M082</x:v>
      </x:c>
    </x:row>
    <x:row r="8131" ht="46" customHeight="1">
      <x:c r="A8131" s="2" t="str">
        <x:v>TEN-D5193353E49E</x:v>
      </x:c>
      <x:c r="B8131" s="12" t="str">
        <x:v>SVB India Advisors Ltd</x:v>
      </x:c>
      <x:c r="C8131" s="12" t="str">
        <x:v>CORP-0504</x:v>
      </x:c>
      <x:c r="D8131" s="12" t="str">
        <x:v>Bengaluru</x:v>
      </x:c>
      <x:c r="E8131" s="12" t="str">
        <x:v>Prestige Sigma</x:v>
      </x:c>
      <x:c r="F8131" s="12" t="str">
        <x:v>55 inch</x:v>
      </x:c>
      <x:c r="G8131" s="20" t="n">
        <x:v>1</x:v>
      </x:c>
      <x:c r="H8131" s="12" t="str">
        <x:v>Campus/portfolio roster; individual building occupancy unverified</x:v>
      </x:c>
      <x:c r="I8131" s="12" t="str">
        <x:v>Mixed business audience</x:v>
      </x:c>
      <x:c r="J8131" s="12" t="str">
        <x:v>Finance &amp; insurance</x:v>
      </x:c>
      <x:c r="K8131" s="2" t="str">
        <x:v>PARTNER-M082</x:v>
      </x:c>
    </x:row>
    <x:row r="8132" ht="46" customHeight="1">
      <x:c r="A8132" s="2" t="str">
        <x:v>TEN-DEE80628077C</x:v>
      </x:c>
      <x:c r="B8132" s="12" t="str">
        <x:v>Indeed.co.in</x:v>
      </x:c>
      <x:c r="C8132" s="12" t="str">
        <x:v>CORP-0504</x:v>
      </x:c>
      <x:c r="D8132" s="12" t="str">
        <x:v>Bengaluru</x:v>
      </x:c>
      <x:c r="E8132" s="12" t="str">
        <x:v>Prestige Sigma</x:v>
      </x:c>
      <x:c r="F8132" s="12" t="str">
        <x:v>55 inch</x:v>
      </x:c>
      <x:c r="G8132" s="20" t="n">
        <x:v>1</x:v>
      </x:c>
      <x:c r="H8132" s="12" t="str">
        <x:v>Campus/portfolio roster; individual building occupancy unverified</x:v>
      </x:c>
      <x:c r="I8132" s="12" t="str">
        <x:v>Mixed business audience</x:v>
      </x:c>
      <x:c r="J8132" s="12" t="str">
        <x:v>Professional services</x:v>
      </x:c>
      <x:c r="K8132" s="2" t="str">
        <x:v>PARTNER-M082</x:v>
      </x:c>
    </x:row>
    <x:row r="8133" ht="46" customHeight="1">
      <x:c r="A8133" s="2" t="str">
        <x:v>TEN-020941631166</x:v>
      </x:c>
      <x:c r="B8133" s="12" t="str">
        <x:v>EXA-AG</x:v>
      </x:c>
      <x:c r="C8133" s="12" t="str">
        <x:v>CORP-0424</x:v>
      </x:c>
      <x:c r="D8133" s="12" t="str">
        <x:v>Bengaluru</x:v>
      </x:c>
      <x:c r="E8133" s="12" t="str">
        <x:v>International Tech Park (ITPB)</x:v>
      </x:c>
      <x:c r="F8133" s="12" t="str">
        <x:v>55 inch</x:v>
      </x:c>
      <x:c r="G8133" s="20" t="n">
        <x:v>1</x:v>
      </x:c>
      <x:c r="H8133" s="12" t="str">
        <x:v>Campus/portfolio roster; individual building occupancy unverified</x:v>
      </x:c>
      <x:c r="I8133" s="12" t="str">
        <x:v>Small-scale prospects</x:v>
      </x:c>
      <x:c r="J8133" s="12" t="str">
        <x:v>IT &amp; digital</x:v>
      </x:c>
      <x:c r="K8133" s="2" t="str">
        <x:v>PARTNER-M002</x:v>
      </x:c>
    </x:row>
    <x:row r="8134" ht="46" customHeight="1">
      <x:c r="A8134" s="2" t="str">
        <x:v>TEN-046FCB362D0A</x:v>
      </x:c>
      <x:c r="B8134" s="12" t="str">
        <x:v>judge India</x:v>
      </x:c>
      <x:c r="C8134" s="12" t="str">
        <x:v>CORP-0424</x:v>
      </x:c>
      <x:c r="D8134" s="12" t="str">
        <x:v>Bengaluru</x:v>
      </x:c>
      <x:c r="E8134" s="12" t="str">
        <x:v>International Tech Park (ITPB)</x:v>
      </x:c>
      <x:c r="F8134" s="12" t="str">
        <x:v>55 inch</x:v>
      </x:c>
      <x:c r="G8134" s="20" t="n">
        <x:v>1</x:v>
      </x:c>
      <x:c r="H8134" s="12" t="str">
        <x:v>Campus/portfolio roster; individual building occupancy unverified</x:v>
      </x:c>
      <x:c r="I8134" s="12" t="str">
        <x:v>Mixed business audience</x:v>
      </x:c>
      <x:c r="J8134" s="12" t="str">
        <x:v>Unresolved</x:v>
      </x:c>
      <x:c r="K8134" s="2" t="str">
        <x:v>PARTNER-M002</x:v>
      </x:c>
    </x:row>
    <x:row r="8135" ht="46" customHeight="1">
      <x:c r="A8135" s="2" t="str">
        <x:v>TEN-06DF4DFB01BE</x:v>
      </x:c>
      <x:c r="B8135" s="12" t="str">
        <x:v>Gyansys Infotech</x:v>
      </x:c>
      <x:c r="C8135" s="12" t="str">
        <x:v>CORP-0424</x:v>
      </x:c>
      <x:c r="D8135" s="12" t="str">
        <x:v>Bengaluru</x:v>
      </x:c>
      <x:c r="E8135" s="12" t="str">
        <x:v>International Tech Park (ITPB)</x:v>
      </x:c>
      <x:c r="F8135" s="12" t="str">
        <x:v>55 inch</x:v>
      </x:c>
      <x:c r="G8135" s="20" t="n">
        <x:v>1</x:v>
      </x:c>
      <x:c r="H8135" s="12" t="str">
        <x:v>Campus/portfolio roster; individual building occupancy unverified</x:v>
      </x:c>
      <x:c r="I8135" s="12" t="str">
        <x:v>Small-scale prospects</x:v>
      </x:c>
      <x:c r="J8135" s="12" t="str">
        <x:v>IT &amp; digital</x:v>
      </x:c>
      <x:c r="K8135" s="2" t="str">
        <x:v>PARTNER-M002</x:v>
      </x:c>
    </x:row>
    <x:row r="8136" ht="46" customHeight="1">
      <x:c r="A8136" s="2" t="str">
        <x:v>TEN-0716830D1238</x:v>
      </x:c>
      <x:c r="B8136" s="12" t="str">
        <x:v>Kaalari Capital</x:v>
      </x:c>
      <x:c r="C8136" s="12" t="str">
        <x:v>CORP-0424</x:v>
      </x:c>
      <x:c r="D8136" s="12" t="str">
        <x:v>Bengaluru</x:v>
      </x:c>
      <x:c r="E8136" s="12" t="str">
        <x:v>International Tech Park (ITPB)</x:v>
      </x:c>
      <x:c r="F8136" s="12" t="str">
        <x:v>55 inch</x:v>
      </x:c>
      <x:c r="G8136" s="20" t="n">
        <x:v>1</x:v>
      </x:c>
      <x:c r="H8136" s="12" t="str">
        <x:v>Campus/portfolio roster; individual building occupancy unverified</x:v>
      </x:c>
      <x:c r="I8136" s="12" t="str">
        <x:v>Medium-scale prospects</x:v>
      </x:c>
      <x:c r="J8136" s="12" t="str">
        <x:v>Finance &amp; insurance</x:v>
      </x:c>
      <x:c r="K8136" s="2" t="str">
        <x:v>PARTNER-M002</x:v>
      </x:c>
    </x:row>
    <x:row r="8137" ht="46" customHeight="1">
      <x:c r="A8137" s="2" t="str">
        <x:v>TEN-095DAC44FBD3</x:v>
      </x:c>
      <x:c r="B8137" s="12" t="str">
        <x:v>SOA IT</x:v>
      </x:c>
      <x:c r="C8137" s="12" t="str">
        <x:v>CORP-0424</x:v>
      </x:c>
      <x:c r="D8137" s="12" t="str">
        <x:v>Bengaluru</x:v>
      </x:c>
      <x:c r="E8137" s="12" t="str">
        <x:v>International Tech Park (ITPB)</x:v>
      </x:c>
      <x:c r="F8137" s="12" t="str">
        <x:v>55 inch</x:v>
      </x:c>
      <x:c r="G8137" s="20" t="n">
        <x:v>1</x:v>
      </x:c>
      <x:c r="H8137" s="12" t="str">
        <x:v>Campus/portfolio roster; individual building occupancy unverified</x:v>
      </x:c>
      <x:c r="I8137" s="12" t="str">
        <x:v>Small-scale prospects</x:v>
      </x:c>
      <x:c r="J8137" s="12" t="str">
        <x:v>IT &amp; digital</x:v>
      </x:c>
      <x:c r="K8137" s="2" t="str">
        <x:v>PARTNER-M002</x:v>
      </x:c>
    </x:row>
    <x:row r="8138" ht="46" customHeight="1">
      <x:c r="A8138" s="2" t="str">
        <x:v>TEN-0B9EE0B94DB9</x:v>
      </x:c>
      <x:c r="B8138" s="12" t="str">
        <x:v>Kyndryl</x:v>
      </x:c>
      <x:c r="C8138" s="12" t="str">
        <x:v>CORP-0424</x:v>
      </x:c>
      <x:c r="D8138" s="12" t="str">
        <x:v>Bengaluru</x:v>
      </x:c>
      <x:c r="E8138" s="12" t="str">
        <x:v>International Tech Park (ITPB)</x:v>
      </x:c>
      <x:c r="F8138" s="12" t="str">
        <x:v>55 inch</x:v>
      </x:c>
      <x:c r="G8138" s="20" t="n">
        <x:v>1</x:v>
      </x:c>
      <x:c r="H8138" s="12" t="str">
        <x:v>Campus/portfolio roster; individual building occupancy unverified</x:v>
      </x:c>
      <x:c r="I8138" s="12" t="str">
        <x:v>Mixed business audience</x:v>
      </x:c>
      <x:c r="J8138" s="12" t="str">
        <x:v>IT &amp; digital</x:v>
      </x:c>
      <x:c r="K8138" s="2" t="str">
        <x:v>PARTNER-M002</x:v>
      </x:c>
    </x:row>
    <x:row r="8139" ht="46" customHeight="1">
      <x:c r="A8139" s="2" t="str">
        <x:v>TEN-0BF923F90AB2</x:v>
      </x:c>
      <x:c r="B8139" s="12" t="str">
        <x:v>Reliance</x:v>
      </x:c>
      <x:c r="C8139" s="12" t="str">
        <x:v>CORP-0424</x:v>
      </x:c>
      <x:c r="D8139" s="12" t="str">
        <x:v>Bengaluru</x:v>
      </x:c>
      <x:c r="E8139" s="12" t="str">
        <x:v>International Tech Park (ITPB)</x:v>
      </x:c>
      <x:c r="F8139" s="12" t="str">
        <x:v>55 inch</x:v>
      </x:c>
      <x:c r="G8139" s="20" t="n">
        <x:v>1</x:v>
      </x:c>
      <x:c r="H8139" s="12" t="str">
        <x:v>Campus/portfolio roster; individual building occupancy unverified</x:v>
      </x:c>
      <x:c r="I8139" s="12" t="str">
        <x:v>Mixed business audience</x:v>
      </x:c>
      <x:c r="J8139" s="12" t="str">
        <x:v>Unresolved</x:v>
      </x:c>
      <x:c r="K8139" s="2" t="str">
        <x:v>PARTNER-M002</x:v>
      </x:c>
    </x:row>
    <x:row r="8140" ht="46" customHeight="1">
      <x:c r="A8140" s="2" t="str">
        <x:v>TEN-0EFAB3176540</x:v>
      </x:c>
      <x:c r="B8140" s="12" t="str">
        <x:v>Sycomp</x:v>
      </x:c>
      <x:c r="C8140" s="12" t="str">
        <x:v>CORP-0424</x:v>
      </x:c>
      <x:c r="D8140" s="12" t="str">
        <x:v>Bengaluru</x:v>
      </x:c>
      <x:c r="E8140" s="12" t="str">
        <x:v>International Tech Park (ITPB)</x:v>
      </x:c>
      <x:c r="F8140" s="12" t="str">
        <x:v>55 inch</x:v>
      </x:c>
      <x:c r="G8140" s="20" t="n">
        <x:v>1</x:v>
      </x:c>
      <x:c r="H8140" s="12" t="str">
        <x:v>Campus/portfolio roster; individual building occupancy unverified</x:v>
      </x:c>
      <x:c r="I8140" s="12" t="str">
        <x:v>Small-scale prospects</x:v>
      </x:c>
      <x:c r="J8140" s="12" t="str">
        <x:v>IT &amp; digital</x:v>
      </x:c>
      <x:c r="K8140" s="2" t="str">
        <x:v>PARTNER-M002</x:v>
      </x:c>
    </x:row>
    <x:row r="8141" ht="46" customHeight="1">
      <x:c r="A8141" s="2" t="str">
        <x:v>TEN-0F0E714E580D</x:v>
      </x:c>
      <x:c r="B8141" s="12" t="str">
        <x:v>Scientific Games</x:v>
      </x:c>
      <x:c r="C8141" s="12" t="str">
        <x:v>CORP-0424</x:v>
      </x:c>
      <x:c r="D8141" s="12" t="str">
        <x:v>Bengaluru</x:v>
      </x:c>
      <x:c r="E8141" s="12" t="str">
        <x:v>International Tech Park (ITPB)</x:v>
      </x:c>
      <x:c r="F8141" s="12" t="str">
        <x:v>55 inch</x:v>
      </x:c>
      <x:c r="G8141" s="20" t="n">
        <x:v>1</x:v>
      </x:c>
      <x:c r="H8141" s="12" t="str">
        <x:v>Campus/portfolio roster; individual building occupancy unverified</x:v>
      </x:c>
      <x:c r="I8141" s="12" t="str">
        <x:v>Mixed business audience</x:v>
      </x:c>
      <x:c r="J8141" s="12" t="str">
        <x:v>Trade, consumer &amp; logistics</x:v>
      </x:c>
      <x:c r="K8141" s="2" t="str">
        <x:v>PARTNER-M002</x:v>
      </x:c>
    </x:row>
    <x:row r="8142" ht="46" customHeight="1">
      <x:c r="A8142" s="2" t="str">
        <x:v>TEN-184C1AE98B51</x:v>
      </x:c>
      <x:c r="B8142" s="12" t="str">
        <x:v>N.F Simth</x:v>
      </x:c>
      <x:c r="C8142" s="12" t="str">
        <x:v>CORP-0424</x:v>
      </x:c>
      <x:c r="D8142" s="12" t="str">
        <x:v>Bengaluru</x:v>
      </x:c>
      <x:c r="E8142" s="12" t="str">
        <x:v>International Tech Park (ITPB)</x:v>
      </x:c>
      <x:c r="F8142" s="12" t="str">
        <x:v>55 inch</x:v>
      </x:c>
      <x:c r="G8142" s="20" t="n">
        <x:v>1</x:v>
      </x:c>
      <x:c r="H8142" s="12" t="str">
        <x:v>Campus/portfolio roster; individual building occupancy unverified</x:v>
      </x:c>
      <x:c r="I8142" s="12" t="str">
        <x:v>Mixed business audience</x:v>
      </x:c>
      <x:c r="J8142" s="12" t="str">
        <x:v>Unresolved</x:v>
      </x:c>
      <x:c r="K8142" s="2" t="str">
        <x:v>PARTNER-M002</x:v>
      </x:c>
    </x:row>
    <x:row r="8143" ht="46" customHeight="1">
      <x:c r="A8143" s="2" t="str">
        <x:v>TEN-1B4CDA7D6285</x:v>
      </x:c>
      <x:c r="B8143" s="12" t="str">
        <x:v>Jupiter Intergrated</x:v>
      </x:c>
      <x:c r="C8143" s="12" t="str">
        <x:v>CORP-0424</x:v>
      </x:c>
      <x:c r="D8143" s="12" t="str">
        <x:v>Bengaluru</x:v>
      </x:c>
      <x:c r="E8143" s="12" t="str">
        <x:v>International Tech Park (ITPB)</x:v>
      </x:c>
      <x:c r="F8143" s="12" t="str">
        <x:v>55 inch</x:v>
      </x:c>
      <x:c r="G8143" s="20" t="n">
        <x:v>1</x:v>
      </x:c>
      <x:c r="H8143" s="12" t="str">
        <x:v>Campus/portfolio roster; individual building occupancy unverified</x:v>
      </x:c>
      <x:c r="I8143" s="12" t="str">
        <x:v>Mixed business audience</x:v>
      </x:c>
      <x:c r="J8143" s="12" t="str">
        <x:v>Unresolved</x:v>
      </x:c>
      <x:c r="K8143" s="2" t="str">
        <x:v>PARTNER-M002</x:v>
      </x:c>
    </x:row>
    <x:row r="8144" ht="46" customHeight="1">
      <x:c r="A8144" s="2" t="str">
        <x:v>TEN-2026E5F6610A</x:v>
      </x:c>
      <x:c r="B8144" s="12" t="str">
        <x:v>PPalc Networks</x:v>
      </x:c>
      <x:c r="C8144" s="12" t="str">
        <x:v>CORP-0424</x:v>
      </x:c>
      <x:c r="D8144" s="12" t="str">
        <x:v>Bengaluru</x:v>
      </x:c>
      <x:c r="E8144" s="12" t="str">
        <x:v>International Tech Park (ITPB)</x:v>
      </x:c>
      <x:c r="F8144" s="12" t="str">
        <x:v>55 inch</x:v>
      </x:c>
      <x:c r="G8144" s="20" t="n">
        <x:v>1</x:v>
      </x:c>
      <x:c r="H8144" s="12" t="str">
        <x:v>Campus/portfolio roster; individual building occupancy unverified</x:v>
      </x:c>
      <x:c r="I8144" s="12" t="str">
        <x:v>Small-scale prospects</x:v>
      </x:c>
      <x:c r="J8144" s="12" t="str">
        <x:v>IT &amp; digital</x:v>
      </x:c>
      <x:c r="K8144" s="2" t="str">
        <x:v>PARTNER-M002</x:v>
      </x:c>
    </x:row>
    <x:row r="8145" ht="46" customHeight="1">
      <x:c r="A8145" s="2" t="str">
        <x:v>TEN-20DEB070372D</x:v>
      </x:c>
      <x:c r="B8145" s="12" t="str">
        <x:v>Thoucentric</x:v>
      </x:c>
      <x:c r="C8145" s="12" t="str">
        <x:v>CORP-0424</x:v>
      </x:c>
      <x:c r="D8145" s="12" t="str">
        <x:v>Bengaluru</x:v>
      </x:c>
      <x:c r="E8145" s="12" t="str">
        <x:v>International Tech Park (ITPB)</x:v>
      </x:c>
      <x:c r="F8145" s="12" t="str">
        <x:v>55 inch</x:v>
      </x:c>
      <x:c r="G8145" s="20" t="n">
        <x:v>1</x:v>
      </x:c>
      <x:c r="H8145" s="12" t="str">
        <x:v>Campus/portfolio roster; individual building occupancy unverified</x:v>
      </x:c>
      <x:c r="I8145" s="12" t="str">
        <x:v>Mixed business audience</x:v>
      </x:c>
      <x:c r="J8145" s="12" t="str">
        <x:v>IT &amp; digital</x:v>
      </x:c>
      <x:c r="K8145" s="2" t="str">
        <x:v>PARTNER-M002</x:v>
      </x:c>
    </x:row>
    <x:row r="8146" ht="46" customHeight="1">
      <x:c r="A8146" s="2" t="str">
        <x:v>TEN-21972B078EB5</x:v>
      </x:c>
      <x:c r="B8146" s="12" t="str">
        <x:v>Denso International</x:v>
      </x:c>
      <x:c r="C8146" s="12" t="str">
        <x:v>CORP-0424</x:v>
      </x:c>
      <x:c r="D8146" s="12" t="str">
        <x:v>Bengaluru</x:v>
      </x:c>
      <x:c r="E8146" s="12" t="str">
        <x:v>International Tech Park (ITPB)</x:v>
      </x:c>
      <x:c r="F8146" s="12" t="str">
        <x:v>55 inch</x:v>
      </x:c>
      <x:c r="G8146" s="20" t="n">
        <x:v>1</x:v>
      </x:c>
      <x:c r="H8146" s="12" t="str">
        <x:v>Campus/portfolio roster; individual building occupancy unverified</x:v>
      </x:c>
      <x:c r="I8146" s="12" t="str">
        <x:v>Mixed business audience</x:v>
      </x:c>
      <x:c r="J8146" s="12" t="str">
        <x:v>Engineering &amp; manufacturing</x:v>
      </x:c>
      <x:c r="K8146" s="2" t="str">
        <x:v>PARTNER-M002</x:v>
      </x:c>
    </x:row>
    <x:row r="8147" ht="46" customHeight="1">
      <x:c r="A8147" s="2" t="str">
        <x:v>TEN-22A366EB6CEC</x:v>
      </x:c>
      <x:c r="B8147" s="12" t="str">
        <x:v>Xandr India</x:v>
      </x:c>
      <x:c r="C8147" s="12" t="str">
        <x:v>CORP-0424</x:v>
      </x:c>
      <x:c r="D8147" s="12" t="str">
        <x:v>Bengaluru</x:v>
      </x:c>
      <x:c r="E8147" s="12" t="str">
        <x:v>International Tech Park (ITPB)</x:v>
      </x:c>
      <x:c r="F8147" s="12" t="str">
        <x:v>55 inch</x:v>
      </x:c>
      <x:c r="G8147" s="20" t="n">
        <x:v>1</x:v>
      </x:c>
      <x:c r="H8147" s="12" t="str">
        <x:v>Campus/portfolio roster; individual building occupancy unverified</x:v>
      </x:c>
      <x:c r="I8147" s="12" t="str">
        <x:v>Mixed business audience</x:v>
      </x:c>
      <x:c r="J8147" s="12" t="str">
        <x:v>IT &amp; digital</x:v>
      </x:c>
      <x:c r="K8147" s="2" t="str">
        <x:v>PARTNER-M002</x:v>
      </x:c>
    </x:row>
    <x:row r="8148" ht="46" customHeight="1">
      <x:c r="A8148" s="2" t="str">
        <x:v>TEN-2417E5B2BCE7</x:v>
      </x:c>
      <x:c r="B8148" s="12" t="str">
        <x:v>Galax E Solutions</x:v>
      </x:c>
      <x:c r="C8148" s="12" t="str">
        <x:v>CORP-0424</x:v>
      </x:c>
      <x:c r="D8148" s="12" t="str">
        <x:v>Bengaluru</x:v>
      </x:c>
      <x:c r="E8148" s="12" t="str">
        <x:v>International Tech Park (ITPB)</x:v>
      </x:c>
      <x:c r="F8148" s="12" t="str">
        <x:v>55 inch</x:v>
      </x:c>
      <x:c r="G8148" s="20" t="n">
        <x:v>1</x:v>
      </x:c>
      <x:c r="H8148" s="12" t="str">
        <x:v>Campus/portfolio roster; individual building occupancy unverified</x:v>
      </x:c>
      <x:c r="I8148" s="12" t="str">
        <x:v>Mixed business audience</x:v>
      </x:c>
      <x:c r="J8148" s="12" t="str">
        <x:v>IT &amp; digital</x:v>
      </x:c>
      <x:c r="K8148" s="2" t="str">
        <x:v>PARTNER-M002</x:v>
      </x:c>
    </x:row>
    <x:row r="8149" ht="46" customHeight="1">
      <x:c r="A8149" s="2" t="str">
        <x:v>TEN-2AB6D53E717A</x:v>
      </x:c>
      <x:c r="B8149" s="12" t="str">
        <x:v>Nokia</x:v>
      </x:c>
      <x:c r="C8149" s="12" t="str">
        <x:v>CORP-0424</x:v>
      </x:c>
      <x:c r="D8149" s="12" t="str">
        <x:v>Bengaluru</x:v>
      </x:c>
      <x:c r="E8149" s="12" t="str">
        <x:v>International Tech Park (ITPB)</x:v>
      </x:c>
      <x:c r="F8149" s="12" t="str">
        <x:v>55 inch</x:v>
      </x:c>
      <x:c r="G8149" s="20" t="n">
        <x:v>1</x:v>
      </x:c>
      <x:c r="H8149" s="12" t="str">
        <x:v>Campus/portfolio roster; individual building occupancy unverified</x:v>
      </x:c>
      <x:c r="I8149" s="12" t="str">
        <x:v>Large enterprise</x:v>
      </x:c>
      <x:c r="J8149" s="12" t="str">
        <x:v>IT &amp; digital</x:v>
      </x:c>
      <x:c r="K8149" s="2" t="str">
        <x:v>PARTNER-M002</x:v>
      </x:c>
    </x:row>
    <x:row r="8150" ht="46" customHeight="1">
      <x:c r="A8150" s="2" t="str">
        <x:v>TEN-2DBBBD8AD08B</x:v>
      </x:c>
      <x:c r="B8150" s="12" t="str">
        <x:v>Zenmonics Software</x:v>
      </x:c>
      <x:c r="C8150" s="12" t="str">
        <x:v>CORP-0424</x:v>
      </x:c>
      <x:c r="D8150" s="12" t="str">
        <x:v>Bengaluru</x:v>
      </x:c>
      <x:c r="E8150" s="12" t="str">
        <x:v>International Tech Park (ITPB)</x:v>
      </x:c>
      <x:c r="F8150" s="12" t="str">
        <x:v>55 inch</x:v>
      </x:c>
      <x:c r="G8150" s="20" t="n">
        <x:v>1</x:v>
      </x:c>
      <x:c r="H8150" s="12" t="str">
        <x:v>Campus/portfolio roster; individual building occupancy unverified</x:v>
      </x:c>
      <x:c r="I8150" s="12" t="str">
        <x:v>Small-scale prospects</x:v>
      </x:c>
      <x:c r="J8150" s="12" t="str">
        <x:v>IT &amp; digital</x:v>
      </x:c>
      <x:c r="K8150" s="2" t="str">
        <x:v>PARTNER-M002</x:v>
      </x:c>
    </x:row>
    <x:row r="8151" ht="46" customHeight="1">
      <x:c r="A8151" s="2" t="str">
        <x:v>TEN-2E737C2291BC</x:v>
      </x:c>
      <x:c r="B8151" s="12" t="str">
        <x:v>Nextgen</x:v>
      </x:c>
      <x:c r="C8151" s="12" t="str">
        <x:v>CORP-0424</x:v>
      </x:c>
      <x:c r="D8151" s="12" t="str">
        <x:v>Bengaluru</x:v>
      </x:c>
      <x:c r="E8151" s="12" t="str">
        <x:v>International Tech Park (ITPB)</x:v>
      </x:c>
      <x:c r="F8151" s="12" t="str">
        <x:v>55 inch</x:v>
      </x:c>
      <x:c r="G8151" s="20" t="n">
        <x:v>1</x:v>
      </x:c>
      <x:c r="H8151" s="12" t="str">
        <x:v>Campus/portfolio roster; individual building occupancy unverified</x:v>
      </x:c>
      <x:c r="I8151" s="12" t="str">
        <x:v>Mixed business audience</x:v>
      </x:c>
      <x:c r="J8151" s="12" t="str">
        <x:v>Unresolved</x:v>
      </x:c>
      <x:c r="K8151" s="2" t="str">
        <x:v>PARTNER-M002</x:v>
      </x:c>
    </x:row>
    <x:row r="8152" ht="46" customHeight="1">
      <x:c r="A8152" s="2" t="str">
        <x:v>TEN-2EDD47EC3C4F</x:v>
      </x:c>
      <x:c r="B8152" s="12" t="str">
        <x:v>Technicolor India</x:v>
      </x:c>
      <x:c r="C8152" s="12" t="str">
        <x:v>CORP-0424</x:v>
      </x:c>
      <x:c r="D8152" s="12" t="str">
        <x:v>Bengaluru</x:v>
      </x:c>
      <x:c r="E8152" s="12" t="str">
        <x:v>International Tech Park (ITPB)</x:v>
      </x:c>
      <x:c r="F8152" s="12" t="str">
        <x:v>55 inch</x:v>
      </x:c>
      <x:c r="G8152" s="20" t="n">
        <x:v>1</x:v>
      </x:c>
      <x:c r="H8152" s="12" t="str">
        <x:v>Campus/portfolio roster; individual building occupancy unverified</x:v>
      </x:c>
      <x:c r="I8152" s="12" t="str">
        <x:v>Mixed business audience</x:v>
      </x:c>
      <x:c r="J8152" s="12" t="str">
        <x:v>Trade, consumer &amp; logistics</x:v>
      </x:c>
      <x:c r="K8152" s="2" t="str">
        <x:v>PARTNER-M002</x:v>
      </x:c>
    </x:row>
    <x:row r="8153" ht="46" customHeight="1">
      <x:c r="A8153" s="2" t="str">
        <x:v>TEN-30E363D3E8C5</x:v>
      </x:c>
      <x:c r="B8153" s="12" t="str">
        <x:v>Siemens</x:v>
      </x:c>
      <x:c r="C8153" s="12" t="str">
        <x:v>CORP-0424</x:v>
      </x:c>
      <x:c r="D8153" s="12" t="str">
        <x:v>Bengaluru</x:v>
      </x:c>
      <x:c r="E8153" s="12" t="str">
        <x:v>International Tech Park (ITPB)</x:v>
      </x:c>
      <x:c r="F8153" s="12" t="str">
        <x:v>55 inch</x:v>
      </x:c>
      <x:c r="G8153" s="20" t="n">
        <x:v>1</x:v>
      </x:c>
      <x:c r="H8153" s="12" t="str">
        <x:v>Campus/portfolio roster; individual building occupancy unverified</x:v>
      </x:c>
      <x:c r="I8153" s="12" t="str">
        <x:v>Large enterprise</x:v>
      </x:c>
      <x:c r="J8153" s="12" t="str">
        <x:v>Engineering &amp; manufacturing</x:v>
      </x:c>
      <x:c r="K8153" s="2" t="str">
        <x:v>PARTNER-M002</x:v>
      </x:c>
    </x:row>
    <x:row r="8154" ht="46" customHeight="1">
      <x:c r="A8154" s="2" t="str">
        <x:v>TEN-316635638FCB</x:v>
      </x:c>
      <x:c r="B8154" s="12" t="str">
        <x:v>Sabre Travel</x:v>
      </x:c>
      <x:c r="C8154" s="12" t="str">
        <x:v>CORP-0424</x:v>
      </x:c>
      <x:c r="D8154" s="12" t="str">
        <x:v>Bengaluru</x:v>
      </x:c>
      <x:c r="E8154" s="12" t="str">
        <x:v>International Tech Park (ITPB)</x:v>
      </x:c>
      <x:c r="F8154" s="12" t="str">
        <x:v>55 inch</x:v>
      </x:c>
      <x:c r="G8154" s="20" t="n">
        <x:v>1</x:v>
      </x:c>
      <x:c r="H8154" s="12" t="str">
        <x:v>Campus/portfolio roster; individual building occupancy unverified</x:v>
      </x:c>
      <x:c r="I8154" s="12" t="str">
        <x:v>Mixed business audience</x:v>
      </x:c>
      <x:c r="J8154" s="12" t="str">
        <x:v>IT &amp; digital</x:v>
      </x:c>
      <x:c r="K8154" s="2" t="str">
        <x:v>PARTNER-M002</x:v>
      </x:c>
    </x:row>
    <x:row r="8155" ht="46" customHeight="1">
      <x:c r="A8155" s="2" t="str">
        <x:v>TEN-330E380FC660</x:v>
      </x:c>
      <x:c r="B8155" s="12" t="str">
        <x:v>The Dhanalakshmi Bank</x:v>
      </x:c>
      <x:c r="C8155" s="12" t="str">
        <x:v>CORP-0424</x:v>
      </x:c>
      <x:c r="D8155" s="12" t="str">
        <x:v>Bengaluru</x:v>
      </x:c>
      <x:c r="E8155" s="12" t="str">
        <x:v>International Tech Park (ITPB)</x:v>
      </x:c>
      <x:c r="F8155" s="12" t="str">
        <x:v>55 inch</x:v>
      </x:c>
      <x:c r="G8155" s="20" t="n">
        <x:v>1</x:v>
      </x:c>
      <x:c r="H8155" s="12" t="str">
        <x:v>Campus/portfolio roster; individual building occupancy unverified</x:v>
      </x:c>
      <x:c r="I8155" s="12" t="str">
        <x:v>Mixed business audience</x:v>
      </x:c>
      <x:c r="J8155" s="12" t="str">
        <x:v>Finance &amp; insurance</x:v>
      </x:c>
      <x:c r="K8155" s="2" t="str">
        <x:v>PARTNER-M002</x:v>
      </x:c>
    </x:row>
    <x:row r="8156" ht="46" customHeight="1">
      <x:c r="A8156" s="2" t="str">
        <x:v>TEN-3338D6A28C63</x:v>
      </x:c>
      <x:c r="B8156" s="12" t="str">
        <x:v>NTT Cloud</x:v>
      </x:c>
      <x:c r="C8156" s="12" t="str">
        <x:v>CORP-0424</x:v>
      </x:c>
      <x:c r="D8156" s="12" t="str">
        <x:v>Bengaluru</x:v>
      </x:c>
      <x:c r="E8156" s="12" t="str">
        <x:v>International Tech Park (ITPB)</x:v>
      </x:c>
      <x:c r="F8156" s="12" t="str">
        <x:v>55 inch</x:v>
      </x:c>
      <x:c r="G8156" s="20" t="n">
        <x:v>1</x:v>
      </x:c>
      <x:c r="H8156" s="12" t="str">
        <x:v>Campus/portfolio roster; individual building occupancy unverified</x:v>
      </x:c>
      <x:c r="I8156" s="12" t="str">
        <x:v>Large enterprise</x:v>
      </x:c>
      <x:c r="J8156" s="12" t="str">
        <x:v>IT &amp; digital</x:v>
      </x:c>
      <x:c r="K8156" s="2" t="str">
        <x:v>PARTNER-M002</x:v>
      </x:c>
    </x:row>
    <x:row r="8157" ht="46" customHeight="1">
      <x:c r="A8157" s="2" t="str">
        <x:v>TEN-33DF04958DCA</x:v>
      </x:c>
      <x:c r="B8157" s="12" t="str">
        <x:v>Panasoni Life</x:v>
      </x:c>
      <x:c r="C8157" s="12" t="str">
        <x:v>CORP-0424</x:v>
      </x:c>
      <x:c r="D8157" s="12" t="str">
        <x:v>Bengaluru</x:v>
      </x:c>
      <x:c r="E8157" s="12" t="str">
        <x:v>International Tech Park (ITPB)</x:v>
      </x:c>
      <x:c r="F8157" s="12" t="str">
        <x:v>55 inch</x:v>
      </x:c>
      <x:c r="G8157" s="20" t="n">
        <x:v>1</x:v>
      </x:c>
      <x:c r="H8157" s="12" t="str">
        <x:v>Campus/portfolio roster; individual building occupancy unverified</x:v>
      </x:c>
      <x:c r="I8157" s="12" t="str">
        <x:v>Mixed business audience</x:v>
      </x:c>
      <x:c r="J8157" s="12" t="str">
        <x:v>Unresolved</x:v>
      </x:c>
      <x:c r="K8157" s="2" t="str">
        <x:v>PARTNER-M002</x:v>
      </x:c>
    </x:row>
    <x:row r="8158" ht="46" customHeight="1">
      <x:c r="A8158" s="2" t="str">
        <x:v>TEN-34185282371F</x:v>
      </x:c>
      <x:c r="B8158" s="12" t="str">
        <x:v>Glenburn</x:v>
      </x:c>
      <x:c r="C8158" s="12" t="str">
        <x:v>CORP-0424</x:v>
      </x:c>
      <x:c r="D8158" s="12" t="str">
        <x:v>Bengaluru</x:v>
      </x:c>
      <x:c r="E8158" s="12" t="str">
        <x:v>International Tech Park (ITPB)</x:v>
      </x:c>
      <x:c r="F8158" s="12" t="str">
        <x:v>55 inch</x:v>
      </x:c>
      <x:c r="G8158" s="20" t="n">
        <x:v>1</x:v>
      </x:c>
      <x:c r="H8158" s="12" t="str">
        <x:v>Campus/portfolio roster; individual building occupancy unverified</x:v>
      </x:c>
      <x:c r="I8158" s="12" t="str">
        <x:v>Mixed business audience</x:v>
      </x:c>
      <x:c r="J8158" s="12" t="str">
        <x:v>Unresolved</x:v>
      </x:c>
      <x:c r="K8158" s="2" t="str">
        <x:v>PARTNER-M002</x:v>
      </x:c>
    </x:row>
    <x:row r="8159" ht="46" customHeight="1">
      <x:c r="A8159" s="2" t="str">
        <x:v>TEN-356AAB6A94F0</x:v>
      </x:c>
      <x:c r="B8159" s="12" t="str">
        <x:v>Infovision</x:v>
      </x:c>
      <x:c r="C8159" s="12" t="str">
        <x:v>CORP-0424</x:v>
      </x:c>
      <x:c r="D8159" s="12" t="str">
        <x:v>Bengaluru</x:v>
      </x:c>
      <x:c r="E8159" s="12" t="str">
        <x:v>International Tech Park (ITPB)</x:v>
      </x:c>
      <x:c r="F8159" s="12" t="str">
        <x:v>55 inch</x:v>
      </x:c>
      <x:c r="G8159" s="20" t="n">
        <x:v>1</x:v>
      </x:c>
      <x:c r="H8159" s="12" t="str">
        <x:v>Campus/portfolio roster; individual building occupancy unverified</x:v>
      </x:c>
      <x:c r="I8159" s="12" t="str">
        <x:v>Small-scale prospects</x:v>
      </x:c>
      <x:c r="J8159" s="12" t="str">
        <x:v>IT &amp; digital</x:v>
      </x:c>
      <x:c r="K8159" s="2" t="str">
        <x:v>PARTNER-M002</x:v>
      </x:c>
    </x:row>
    <x:row r="8160" ht="46" customHeight="1">
      <x:c r="A8160" s="2" t="str">
        <x:v>TEN-3669A97CEE08</x:v>
      </x:c>
      <x:c r="B8160" s="12" t="str">
        <x:v>DBA xcom labs</x:v>
      </x:c>
      <x:c r="C8160" s="12" t="str">
        <x:v>CORP-0424</x:v>
      </x:c>
      <x:c r="D8160" s="12" t="str">
        <x:v>Bengaluru</x:v>
      </x:c>
      <x:c r="E8160" s="12" t="str">
        <x:v>International Tech Park (ITPB)</x:v>
      </x:c>
      <x:c r="F8160" s="12" t="str">
        <x:v>55 inch</x:v>
      </x:c>
      <x:c r="G8160" s="20" t="n">
        <x:v>1</x:v>
      </x:c>
      <x:c r="H8160" s="12" t="str">
        <x:v>Campus/portfolio roster; individual building occupancy unverified</x:v>
      </x:c>
      <x:c r="I8160" s="12" t="str">
        <x:v>Mixed business audience</x:v>
      </x:c>
      <x:c r="J8160" s="12" t="str">
        <x:v>Unresolved</x:v>
      </x:c>
      <x:c r="K8160" s="2" t="str">
        <x:v>PARTNER-M002</x:v>
      </x:c>
    </x:row>
    <x:row r="8161" ht="46" customHeight="1">
      <x:c r="A8161" s="2" t="str">
        <x:v>TEN-3CCDB2E97517</x:v>
      </x:c>
      <x:c r="B8161" s="12" t="str">
        <x:v>Mentora</x:v>
      </x:c>
      <x:c r="C8161" s="12" t="str">
        <x:v>CORP-0424</x:v>
      </x:c>
      <x:c r="D8161" s="12" t="str">
        <x:v>Bengaluru</x:v>
      </x:c>
      <x:c r="E8161" s="12" t="str">
        <x:v>International Tech Park (ITPB)</x:v>
      </x:c>
      <x:c r="F8161" s="12" t="str">
        <x:v>55 inch</x:v>
      </x:c>
      <x:c r="G8161" s="20" t="n">
        <x:v>1</x:v>
      </x:c>
      <x:c r="H8161" s="12" t="str">
        <x:v>Campus/portfolio roster; individual building occupancy unverified</x:v>
      </x:c>
      <x:c r="I8161" s="12" t="str">
        <x:v>Mixed business audience</x:v>
      </x:c>
      <x:c r="J8161" s="12" t="str">
        <x:v>Unresolved</x:v>
      </x:c>
      <x:c r="K8161" s="2" t="str">
        <x:v>PARTNER-M002</x:v>
      </x:c>
    </x:row>
    <x:row r="8162" ht="46" customHeight="1">
      <x:c r="A8162" s="2" t="str">
        <x:v>TEN-43BD5FC2D8E2</x:v>
      </x:c>
      <x:c r="B8162" s="12" t="str">
        <x:v>RLE</x:v>
      </x:c>
      <x:c r="C8162" s="12" t="str">
        <x:v>CORP-0424</x:v>
      </x:c>
      <x:c r="D8162" s="12" t="str">
        <x:v>Bengaluru</x:v>
      </x:c>
      <x:c r="E8162" s="12" t="str">
        <x:v>International Tech Park (ITPB)</x:v>
      </x:c>
      <x:c r="F8162" s="12" t="str">
        <x:v>55 inch</x:v>
      </x:c>
      <x:c r="G8162" s="20" t="n">
        <x:v>1</x:v>
      </x:c>
      <x:c r="H8162" s="12" t="str">
        <x:v>Campus/portfolio roster; individual building occupancy unverified</x:v>
      </x:c>
      <x:c r="I8162" s="12" t="str">
        <x:v>Mixed business audience</x:v>
      </x:c>
      <x:c r="J8162" s="12" t="str">
        <x:v>Unresolved</x:v>
      </x:c>
      <x:c r="K8162" s="2" t="str">
        <x:v>PARTNER-M002</x:v>
      </x:c>
    </x:row>
    <x:row r="8163" ht="46" customHeight="1">
      <x:c r="A8163" s="2" t="str">
        <x:v>TEN-46EE12AD6E57</x:v>
      </x:c>
      <x:c r="B8163" s="12" t="str">
        <x:v>Open Bet</x:v>
      </x:c>
      <x:c r="C8163" s="12" t="str">
        <x:v>CORP-0424</x:v>
      </x:c>
      <x:c r="D8163" s="12" t="str">
        <x:v>Bengaluru</x:v>
      </x:c>
      <x:c r="E8163" s="12" t="str">
        <x:v>International Tech Park (ITPB)</x:v>
      </x:c>
      <x:c r="F8163" s="12" t="str">
        <x:v>55 inch</x:v>
      </x:c>
      <x:c r="G8163" s="20" t="n">
        <x:v>1</x:v>
      </x:c>
      <x:c r="H8163" s="12" t="str">
        <x:v>Campus/portfolio roster; individual building occupancy unverified</x:v>
      </x:c>
      <x:c r="I8163" s="12" t="str">
        <x:v>Mixed business audience</x:v>
      </x:c>
      <x:c r="J8163" s="12" t="str">
        <x:v>Trade, consumer &amp; logistics</x:v>
      </x:c>
      <x:c r="K8163" s="2" t="str">
        <x:v>PARTNER-M002</x:v>
      </x:c>
    </x:row>
    <x:row r="8164" ht="46" customHeight="1">
      <x:c r="A8164" s="2" t="str">
        <x:v>TEN-4B42B5258CA7</x:v>
      </x:c>
      <x:c r="B8164" s="12" t="str">
        <x:v>Tyfone</x:v>
      </x:c>
      <x:c r="C8164" s="12" t="str">
        <x:v>CORP-0424</x:v>
      </x:c>
      <x:c r="D8164" s="12" t="str">
        <x:v>Bengaluru</x:v>
      </x:c>
      <x:c r="E8164" s="12" t="str">
        <x:v>International Tech Park (ITPB)</x:v>
      </x:c>
      <x:c r="F8164" s="12" t="str">
        <x:v>55 inch</x:v>
      </x:c>
      <x:c r="G8164" s="20" t="n">
        <x:v>1</x:v>
      </x:c>
      <x:c r="H8164" s="12" t="str">
        <x:v>Campus/portfolio roster; individual building occupancy unverified</x:v>
      </x:c>
      <x:c r="I8164" s="12" t="str">
        <x:v>Small-scale prospects</x:v>
      </x:c>
      <x:c r="J8164" s="12" t="str">
        <x:v>IT &amp; digital</x:v>
      </x:c>
      <x:c r="K8164" s="2" t="str">
        <x:v>PARTNER-M002</x:v>
      </x:c>
    </x:row>
    <x:row r="8165" ht="46" customHeight="1">
      <x:c r="A8165" s="2" t="str">
        <x:v>TEN-50A50A4E75D3</x:v>
      </x:c>
      <x:c r="B8165" s="12" t="str">
        <x:v>Bharat Sanchar Nigam</x:v>
      </x:c>
      <x:c r="C8165" s="12" t="str">
        <x:v>CORP-0424</x:v>
      </x:c>
      <x:c r="D8165" s="12" t="str">
        <x:v>Bengaluru</x:v>
      </x:c>
      <x:c r="E8165" s="12" t="str">
        <x:v>International Tech Park (ITPB)</x:v>
      </x:c>
      <x:c r="F8165" s="12" t="str">
        <x:v>55 inch</x:v>
      </x:c>
      <x:c r="G8165" s="20" t="n">
        <x:v>1</x:v>
      </x:c>
      <x:c r="H8165" s="12" t="str">
        <x:v>Campus/portfolio roster; individual building occupancy unverified</x:v>
      </x:c>
      <x:c r="I8165" s="12" t="str">
        <x:v>Mixed business audience</x:v>
      </x:c>
      <x:c r="J8165" s="12" t="str">
        <x:v>IT &amp; digital</x:v>
      </x:c>
      <x:c r="K8165" s="2" t="str">
        <x:v>PARTNER-M002</x:v>
      </x:c>
    </x:row>
    <x:row r="8166" ht="46" customHeight="1">
      <x:c r="A8166" s="2" t="str">
        <x:v>TEN-5346DFE17486</x:v>
      </x:c>
      <x:c r="B8166" s="12" t="str">
        <x:v>Technicolor</x:v>
      </x:c>
      <x:c r="C8166" s="12" t="str">
        <x:v>CORP-0424</x:v>
      </x:c>
      <x:c r="D8166" s="12" t="str">
        <x:v>Bengaluru</x:v>
      </x:c>
      <x:c r="E8166" s="12" t="str">
        <x:v>International Tech Park (ITPB)</x:v>
      </x:c>
      <x:c r="F8166" s="12" t="str">
        <x:v>55 inch</x:v>
      </x:c>
      <x:c r="G8166" s="20" t="n">
        <x:v>1</x:v>
      </x:c>
      <x:c r="H8166" s="12" t="str">
        <x:v>Campus/portfolio roster; individual building occupancy unverified</x:v>
      </x:c>
      <x:c r="I8166" s="12" t="str">
        <x:v>Mixed business audience</x:v>
      </x:c>
      <x:c r="J8166" s="12" t="str">
        <x:v>Trade, consumer &amp; logistics</x:v>
      </x:c>
      <x:c r="K8166" s="2" t="str">
        <x:v>PARTNER-M002</x:v>
      </x:c>
    </x:row>
    <x:row r="8167" ht="46" customHeight="1">
      <x:c r="A8167" s="2" t="str">
        <x:v>TEN-598F7A741A1E</x:v>
      </x:c>
      <x:c r="B8167" s="12" t="str">
        <x:v>Aegis</x:v>
      </x:c>
      <x:c r="C8167" s="12" t="str">
        <x:v>CORP-0424</x:v>
      </x:c>
      <x:c r="D8167" s="12" t="str">
        <x:v>Bengaluru</x:v>
      </x:c>
      <x:c r="E8167" s="12" t="str">
        <x:v>International Tech Park (ITPB)</x:v>
      </x:c>
      <x:c r="F8167" s="12" t="str">
        <x:v>55 inch</x:v>
      </x:c>
      <x:c r="G8167" s="20" t="n">
        <x:v>1</x:v>
      </x:c>
      <x:c r="H8167" s="12" t="str">
        <x:v>Campus/portfolio roster; individual building occupancy unverified</x:v>
      </x:c>
      <x:c r="I8167" s="12" t="str">
        <x:v>Mixed business audience</x:v>
      </x:c>
      <x:c r="J8167" s="12" t="str">
        <x:v>IT &amp; digital</x:v>
      </x:c>
      <x:c r="K8167" s="2" t="str">
        <x:v>PARTNER-M002</x:v>
      </x:c>
    </x:row>
    <x:row r="8168" ht="46" customHeight="1">
      <x:c r="A8168" s="2" t="str">
        <x:v>TEN-59E713BB9B49</x:v>
      </x:c>
      <x:c r="B8168" s="12" t="str">
        <x:v>Revolt Intellicorp Pvt</x:v>
      </x:c>
      <x:c r="C8168" s="12" t="str">
        <x:v>CORP-0424</x:v>
      </x:c>
      <x:c r="D8168" s="12" t="str">
        <x:v>Bengaluru</x:v>
      </x:c>
      <x:c r="E8168" s="12" t="str">
        <x:v>International Tech Park (ITPB)</x:v>
      </x:c>
      <x:c r="F8168" s="12" t="str">
        <x:v>55 inch</x:v>
      </x:c>
      <x:c r="G8168" s="20" t="n">
        <x:v>1</x:v>
      </x:c>
      <x:c r="H8168" s="12" t="str">
        <x:v>Campus/portfolio roster; individual building occupancy unverified</x:v>
      </x:c>
      <x:c r="I8168" s="12" t="str">
        <x:v>Mixed business audience</x:v>
      </x:c>
      <x:c r="J8168" s="12" t="str">
        <x:v>Unresolved</x:v>
      </x:c>
      <x:c r="K8168" s="2" t="str">
        <x:v>PARTNER-M002</x:v>
      </x:c>
    </x:row>
    <x:row r="8169" ht="46" customHeight="1">
      <x:c r="A8169" s="2" t="str">
        <x:v>TEN-5B5245AFFE44</x:v>
      </x:c>
      <x:c r="B8169" s="12" t="str">
        <x:v>Tata Communications</x:v>
      </x:c>
      <x:c r="C8169" s="12" t="str">
        <x:v>CORP-0424</x:v>
      </x:c>
      <x:c r="D8169" s="12" t="str">
        <x:v>Bengaluru</x:v>
      </x:c>
      <x:c r="E8169" s="12" t="str">
        <x:v>International Tech Park (ITPB)</x:v>
      </x:c>
      <x:c r="F8169" s="12" t="str">
        <x:v>55 inch</x:v>
      </x:c>
      <x:c r="G8169" s="20" t="n">
        <x:v>1</x:v>
      </x:c>
      <x:c r="H8169" s="12" t="str">
        <x:v>Campus/portfolio roster; individual building occupancy unverified</x:v>
      </x:c>
      <x:c r="I8169" s="12" t="str">
        <x:v>Large enterprise</x:v>
      </x:c>
      <x:c r="J8169" s="12" t="str">
        <x:v>IT &amp; digital</x:v>
      </x:c>
      <x:c r="K8169" s="2" t="str">
        <x:v>PARTNER-M002</x:v>
      </x:c>
    </x:row>
    <x:row r="8170" ht="46" customHeight="1">
      <x:c r="A8170" s="2" t="str">
        <x:v>TEN-5D77DB2A2906</x:v>
      </x:c>
      <x:c r="B8170" s="12" t="str">
        <x:v>Telia</x:v>
      </x:c>
      <x:c r="C8170" s="12" t="str">
        <x:v>CORP-0424</x:v>
      </x:c>
      <x:c r="D8170" s="12" t="str">
        <x:v>Bengaluru</x:v>
      </x:c>
      <x:c r="E8170" s="12" t="str">
        <x:v>International Tech Park (ITPB)</x:v>
      </x:c>
      <x:c r="F8170" s="12" t="str">
        <x:v>55 inch</x:v>
      </x:c>
      <x:c r="G8170" s="20" t="n">
        <x:v>1</x:v>
      </x:c>
      <x:c r="H8170" s="12" t="str">
        <x:v>Campus/portfolio roster; individual building occupancy unverified</x:v>
      </x:c>
      <x:c r="I8170" s="12" t="str">
        <x:v>Mixed business audience</x:v>
      </x:c>
      <x:c r="J8170" s="12" t="str">
        <x:v>Unresolved</x:v>
      </x:c>
      <x:c r="K8170" s="2" t="str">
        <x:v>PARTNER-M002</x:v>
      </x:c>
    </x:row>
    <x:row r="8171" ht="46" customHeight="1">
      <x:c r="A8171" s="2" t="str">
        <x:v>TEN-5F435B82E7E9</x:v>
      </x:c>
      <x:c r="B8171" s="12" t="str">
        <x:v>Criterion</x:v>
      </x:c>
      <x:c r="C8171" s="12" t="str">
        <x:v>CORP-0424</x:v>
      </x:c>
      <x:c r="D8171" s="12" t="str">
        <x:v>Bengaluru</x:v>
      </x:c>
      <x:c r="E8171" s="12" t="str">
        <x:v>International Tech Park (ITPB)</x:v>
      </x:c>
      <x:c r="F8171" s="12" t="str">
        <x:v>55 inch</x:v>
      </x:c>
      <x:c r="G8171" s="20" t="n">
        <x:v>1</x:v>
      </x:c>
      <x:c r="H8171" s="12" t="str">
        <x:v>Campus/portfolio roster; individual building occupancy unverified</x:v>
      </x:c>
      <x:c r="I8171" s="12" t="str">
        <x:v>Mixed business audience</x:v>
      </x:c>
      <x:c r="J8171" s="12" t="str">
        <x:v>Unresolved</x:v>
      </x:c>
      <x:c r="K8171" s="2" t="str">
        <x:v>PARTNER-M002</x:v>
      </x:c>
    </x:row>
    <x:row r="8172" ht="46" customHeight="1">
      <x:c r="A8172" s="2" t="str">
        <x:v>TEN-5FA790F3630F</x:v>
      </x:c>
      <x:c r="B8172" s="12" t="str">
        <x:v>Tata Consultancy Services</x:v>
      </x:c>
      <x:c r="C8172" s="12" t="str">
        <x:v>CORP-0424</x:v>
      </x:c>
      <x:c r="D8172" s="12" t="str">
        <x:v>Bengaluru</x:v>
      </x:c>
      <x:c r="E8172" s="12" t="str">
        <x:v>International Tech Park (ITPB)</x:v>
      </x:c>
      <x:c r="F8172" s="12" t="str">
        <x:v>55 inch</x:v>
      </x:c>
      <x:c r="G8172" s="20" t="n">
        <x:v>1</x:v>
      </x:c>
      <x:c r="H8172" s="12" t="str">
        <x:v>Campus/portfolio roster; individual building occupancy unverified</x:v>
      </x:c>
      <x:c r="I8172" s="12" t="str">
        <x:v>Large enterprise</x:v>
      </x:c>
      <x:c r="J8172" s="12" t="str">
        <x:v>IT &amp; digital</x:v>
      </x:c>
      <x:c r="K8172" s="2" t="str">
        <x:v>PARTNER-M002</x:v>
      </x:c>
    </x:row>
    <x:row r="8173" ht="46" customHeight="1">
      <x:c r="A8173" s="2" t="str">
        <x:v>TEN-60B66A73DC22</x:v>
      </x:c>
      <x:c r="B8173" s="12" t="str">
        <x:v>Webdunia.com</x:v>
      </x:c>
      <x:c r="C8173" s="12" t="str">
        <x:v>CORP-0424</x:v>
      </x:c>
      <x:c r="D8173" s="12" t="str">
        <x:v>Bengaluru</x:v>
      </x:c>
      <x:c r="E8173" s="12" t="str">
        <x:v>International Tech Park (ITPB)</x:v>
      </x:c>
      <x:c r="F8173" s="12" t="str">
        <x:v>55 inch</x:v>
      </x:c>
      <x:c r="G8173" s="20" t="n">
        <x:v>1</x:v>
      </x:c>
      <x:c r="H8173" s="12" t="str">
        <x:v>Campus/portfolio roster; individual building occupancy unverified</x:v>
      </x:c>
      <x:c r="I8173" s="12" t="str">
        <x:v>Small-scale prospects</x:v>
      </x:c>
      <x:c r="J8173" s="12" t="str">
        <x:v>IT &amp; digital</x:v>
      </x:c>
      <x:c r="K8173" s="2" t="str">
        <x:v>PARTNER-M002</x:v>
      </x:c>
    </x:row>
    <x:row r="8174" ht="46" customHeight="1">
      <x:c r="A8174" s="2" t="str">
        <x:v>TEN-60CDE18C0230</x:v>
      </x:c>
      <x:c r="B8174" s="12" t="str">
        <x:v>Omens Animation</x:v>
      </x:c>
      <x:c r="C8174" s="12" t="str">
        <x:v>CORP-0424</x:v>
      </x:c>
      <x:c r="D8174" s="12" t="str">
        <x:v>Bengaluru</x:v>
      </x:c>
      <x:c r="E8174" s="12" t="str">
        <x:v>International Tech Park (ITPB)</x:v>
      </x:c>
      <x:c r="F8174" s="12" t="str">
        <x:v>55 inch</x:v>
      </x:c>
      <x:c r="G8174" s="20" t="n">
        <x:v>1</x:v>
      </x:c>
      <x:c r="H8174" s="12" t="str">
        <x:v>Campus/portfolio roster; individual building occupancy unverified</x:v>
      </x:c>
      <x:c r="I8174" s="12" t="str">
        <x:v>Small-scale prospects</x:v>
      </x:c>
      <x:c r="J8174" s="12" t="str">
        <x:v>Trade, consumer &amp; logistics</x:v>
      </x:c>
      <x:c r="K8174" s="2" t="str">
        <x:v>PARTNER-M002</x:v>
      </x:c>
    </x:row>
    <x:row r="8175" ht="46" customHeight="1">
      <x:c r="A8175" s="2" t="str">
        <x:v>TEN-676DC956336D</x:v>
      </x:c>
      <x:c r="B8175" s="12" t="str">
        <x:v>Rsab</x:v>
      </x:c>
      <x:c r="C8175" s="12" t="str">
        <x:v>CORP-0424</x:v>
      </x:c>
      <x:c r="D8175" s="12" t="str">
        <x:v>Bengaluru</x:v>
      </x:c>
      <x:c r="E8175" s="12" t="str">
        <x:v>International Tech Park (ITPB)</x:v>
      </x:c>
      <x:c r="F8175" s="12" t="str">
        <x:v>55 inch</x:v>
      </x:c>
      <x:c r="G8175" s="20" t="n">
        <x:v>1</x:v>
      </x:c>
      <x:c r="H8175" s="12" t="str">
        <x:v>Campus/portfolio roster; individual building occupancy unverified</x:v>
      </x:c>
      <x:c r="I8175" s="12" t="str">
        <x:v>Mixed business audience</x:v>
      </x:c>
      <x:c r="J8175" s="12" t="str">
        <x:v>Unresolved</x:v>
      </x:c>
      <x:c r="K8175" s="2" t="str">
        <x:v>PARTNER-M002</x:v>
      </x:c>
    </x:row>
    <x:row r="8176" ht="46" customHeight="1">
      <x:c r="A8176" s="2" t="str">
        <x:v>TEN-6994CDC0D34E</x:v>
      </x:c>
      <x:c r="B8176" s="12" t="str">
        <x:v>Sacha Engineering</x:v>
      </x:c>
      <x:c r="C8176" s="12" t="str">
        <x:v>CORP-0424</x:v>
      </x:c>
      <x:c r="D8176" s="12" t="str">
        <x:v>Bengaluru</x:v>
      </x:c>
      <x:c r="E8176" s="12" t="str">
        <x:v>International Tech Park (ITPB)</x:v>
      </x:c>
      <x:c r="F8176" s="12" t="str">
        <x:v>55 inch</x:v>
      </x:c>
      <x:c r="G8176" s="20" t="n">
        <x:v>1</x:v>
      </x:c>
      <x:c r="H8176" s="12" t="str">
        <x:v>Campus/portfolio roster; individual building occupancy unverified</x:v>
      </x:c>
      <x:c r="I8176" s="12" t="str">
        <x:v>Medium-scale prospects</x:v>
      </x:c>
      <x:c r="J8176" s="12" t="str">
        <x:v>Engineering &amp; manufacturing</x:v>
      </x:c>
      <x:c r="K8176" s="2" t="str">
        <x:v>PARTNER-M002</x:v>
      </x:c>
    </x:row>
    <x:row r="8177" ht="46" customHeight="1">
      <x:c r="A8177" s="2" t="str">
        <x:v>TEN-6BC09C13CCE1</x:v>
      </x:c>
      <x:c r="B8177" s="12" t="str">
        <x:v>Upilot</x:v>
      </x:c>
      <x:c r="C8177" s="12" t="str">
        <x:v>CORP-0424</x:v>
      </x:c>
      <x:c r="D8177" s="12" t="str">
        <x:v>Bengaluru</x:v>
      </x:c>
      <x:c r="E8177" s="12" t="str">
        <x:v>International Tech Park (ITPB)</x:v>
      </x:c>
      <x:c r="F8177" s="12" t="str">
        <x:v>55 inch</x:v>
      </x:c>
      <x:c r="G8177" s="20" t="n">
        <x:v>1</x:v>
      </x:c>
      <x:c r="H8177" s="12" t="str">
        <x:v>Campus/portfolio roster; individual building occupancy unverified</x:v>
      </x:c>
      <x:c r="I8177" s="12" t="str">
        <x:v>Small-scale prospects</x:v>
      </x:c>
      <x:c r="J8177" s="12" t="str">
        <x:v>IT &amp; digital</x:v>
      </x:c>
      <x:c r="K8177" s="2" t="str">
        <x:v>PARTNER-M002</x:v>
      </x:c>
    </x:row>
    <x:row r="8178" ht="46" customHeight="1">
      <x:c r="A8178" s="2" t="str">
        <x:v>TEN-6E2912BABF92</x:v>
      </x:c>
      <x:c r="B8178" s="12" t="str">
        <x:v>Plastic Omnium Auto</x:v>
      </x:c>
      <x:c r="C8178" s="12" t="str">
        <x:v>CORP-0424</x:v>
      </x:c>
      <x:c r="D8178" s="12" t="str">
        <x:v>Bengaluru</x:v>
      </x:c>
      <x:c r="E8178" s="12" t="str">
        <x:v>International Tech Park (ITPB)</x:v>
      </x:c>
      <x:c r="F8178" s="12" t="str">
        <x:v>55 inch</x:v>
      </x:c>
      <x:c r="G8178" s="20" t="n">
        <x:v>1</x:v>
      </x:c>
      <x:c r="H8178" s="12" t="str">
        <x:v>Campus/portfolio roster; individual building occupancy unverified</x:v>
      </x:c>
      <x:c r="I8178" s="12" t="str">
        <x:v>Mixed business audience</x:v>
      </x:c>
      <x:c r="J8178" s="12" t="str">
        <x:v>Engineering &amp; manufacturing</x:v>
      </x:c>
      <x:c r="K8178" s="2" t="str">
        <x:v>PARTNER-M002</x:v>
      </x:c>
    </x:row>
    <x:row r="8179" ht="46" customHeight="1">
      <x:c r="A8179" s="2" t="str">
        <x:v>TEN-6F273F8143F0</x:v>
      </x:c>
      <x:c r="B8179" s="12" t="str">
        <x:v>First Advantage</x:v>
      </x:c>
      <x:c r="C8179" s="12" t="str">
        <x:v>CORP-0424</x:v>
      </x:c>
      <x:c r="D8179" s="12" t="str">
        <x:v>Bengaluru</x:v>
      </x:c>
      <x:c r="E8179" s="12" t="str">
        <x:v>International Tech Park (ITPB)</x:v>
      </x:c>
      <x:c r="F8179" s="12" t="str">
        <x:v>55 inch</x:v>
      </x:c>
      <x:c r="G8179" s="20" t="n">
        <x:v>1</x:v>
      </x:c>
      <x:c r="H8179" s="12" t="str">
        <x:v>Campus/portfolio roster; individual building occupancy unverified</x:v>
      </x:c>
      <x:c r="I8179" s="12" t="str">
        <x:v>Mixed business audience</x:v>
      </x:c>
      <x:c r="J8179" s="12" t="str">
        <x:v>Professional services</x:v>
      </x:c>
      <x:c r="K8179" s="2" t="str">
        <x:v>PARTNER-M002</x:v>
      </x:c>
    </x:row>
    <x:row r="8180" ht="46" customHeight="1">
      <x:c r="A8180" s="2" t="str">
        <x:v>TEN-6F4C691FF4A1</x:v>
      </x:c>
      <x:c r="B8180" s="12" t="str">
        <x:v>Kennametal</x:v>
      </x:c>
      <x:c r="C8180" s="12" t="str">
        <x:v>CORP-0424</x:v>
      </x:c>
      <x:c r="D8180" s="12" t="str">
        <x:v>Bengaluru</x:v>
      </x:c>
      <x:c r="E8180" s="12" t="str">
        <x:v>International Tech Park (ITPB)</x:v>
      </x:c>
      <x:c r="F8180" s="12" t="str">
        <x:v>55 inch</x:v>
      </x:c>
      <x:c r="G8180" s="20" t="n">
        <x:v>1</x:v>
      </x:c>
      <x:c r="H8180" s="12" t="str">
        <x:v>Campus/portfolio roster; individual building occupancy unverified</x:v>
      </x:c>
      <x:c r="I8180" s="12" t="str">
        <x:v>Mixed business audience</x:v>
      </x:c>
      <x:c r="J8180" s="12" t="str">
        <x:v>Engineering &amp; manufacturing</x:v>
      </x:c>
      <x:c r="K8180" s="2" t="str">
        <x:v>PARTNER-M002</x:v>
      </x:c>
    </x:row>
    <x:row r="8181" ht="46" customHeight="1">
      <x:c r="A8181" s="2" t="str">
        <x:v>TEN-7318D4E0C064</x:v>
      </x:c>
      <x:c r="B8181" s="12" t="str">
        <x:v>Skiva</x:v>
      </x:c>
      <x:c r="C8181" s="12" t="str">
        <x:v>CORP-0424</x:v>
      </x:c>
      <x:c r="D8181" s="12" t="str">
        <x:v>Bengaluru</x:v>
      </x:c>
      <x:c r="E8181" s="12" t="str">
        <x:v>International Tech Park (ITPB)</x:v>
      </x:c>
      <x:c r="F8181" s="12" t="str">
        <x:v>55 inch</x:v>
      </x:c>
      <x:c r="G8181" s="20" t="n">
        <x:v>1</x:v>
      </x:c>
      <x:c r="H8181" s="12" t="str">
        <x:v>Campus/portfolio roster; individual building occupancy unverified</x:v>
      </x:c>
      <x:c r="I8181" s="12" t="str">
        <x:v>Mixed business audience</x:v>
      </x:c>
      <x:c r="J8181" s="12" t="str">
        <x:v>Unresolved</x:v>
      </x:c>
      <x:c r="K8181" s="2" t="str">
        <x:v>PARTNER-M002</x:v>
      </x:c>
    </x:row>
    <x:row r="8182" ht="46" customHeight="1">
      <x:c r="A8182" s="2" t="str">
        <x:v>TEN-764319AE4FB8</x:v>
      </x:c>
      <x:c r="B8182" s="12" t="str">
        <x:v>Sharp Software</x:v>
      </x:c>
      <x:c r="C8182" s="12" t="str">
        <x:v>CORP-0424</x:v>
      </x:c>
      <x:c r="D8182" s="12" t="str">
        <x:v>Bengaluru</x:v>
      </x:c>
      <x:c r="E8182" s="12" t="str">
        <x:v>International Tech Park (ITPB)</x:v>
      </x:c>
      <x:c r="F8182" s="12" t="str">
        <x:v>55 inch</x:v>
      </x:c>
      <x:c r="G8182" s="20" t="n">
        <x:v>1</x:v>
      </x:c>
      <x:c r="H8182" s="12" t="str">
        <x:v>Campus/portfolio roster; individual building occupancy unverified</x:v>
      </x:c>
      <x:c r="I8182" s="12" t="str">
        <x:v>Mixed business audience</x:v>
      </x:c>
      <x:c r="J8182" s="12" t="str">
        <x:v>IT &amp; digital</x:v>
      </x:c>
      <x:c r="K8182" s="2" t="str">
        <x:v>PARTNER-M002</x:v>
      </x:c>
    </x:row>
    <x:row r="8183" ht="46" customHeight="1">
      <x:c r="A8183" s="2" t="str">
        <x:v>TEN-7ECB3C42E303</x:v>
      </x:c>
      <x:c r="B8183" s="12" t="str">
        <x:v>Criterion Networks</x:v>
      </x:c>
      <x:c r="C8183" s="12" t="str">
        <x:v>CORP-0424</x:v>
      </x:c>
      <x:c r="D8183" s="12" t="str">
        <x:v>Bengaluru</x:v>
      </x:c>
      <x:c r="E8183" s="12" t="str">
        <x:v>International Tech Park (ITPB)</x:v>
      </x:c>
      <x:c r="F8183" s="12" t="str">
        <x:v>55 inch</x:v>
      </x:c>
      <x:c r="G8183" s="20" t="n">
        <x:v>1</x:v>
      </x:c>
      <x:c r="H8183" s="12" t="str">
        <x:v>Campus/portfolio roster; individual building occupancy unverified</x:v>
      </x:c>
      <x:c r="I8183" s="12" t="str">
        <x:v>Small-scale prospects</x:v>
      </x:c>
      <x:c r="J8183" s="12" t="str">
        <x:v>IT &amp; digital</x:v>
      </x:c>
      <x:c r="K8183" s="2" t="str">
        <x:v>PARTNER-M002</x:v>
      </x:c>
    </x:row>
    <x:row r="8184" ht="46" customHeight="1">
      <x:c r="A8184" s="2" t="str">
        <x:v>TEN-8174968E6F72</x:v>
      </x:c>
      <x:c r="B8184" s="12" t="str">
        <x:v>Achronix</x:v>
      </x:c>
      <x:c r="C8184" s="12" t="str">
        <x:v>CORP-0424</x:v>
      </x:c>
      <x:c r="D8184" s="12" t="str">
        <x:v>Bengaluru</x:v>
      </x:c>
      <x:c r="E8184" s="12" t="str">
        <x:v>International Tech Park (ITPB)</x:v>
      </x:c>
      <x:c r="F8184" s="12" t="str">
        <x:v>55 inch</x:v>
      </x:c>
      <x:c r="G8184" s="20" t="n">
        <x:v>1</x:v>
      </x:c>
      <x:c r="H8184" s="12" t="str">
        <x:v>Campus/portfolio roster; individual building occupancy unverified</x:v>
      </x:c>
      <x:c r="I8184" s="12" t="str">
        <x:v>Mixed business audience</x:v>
      </x:c>
      <x:c r="J8184" s="12" t="str">
        <x:v>Engineering &amp; manufacturing</x:v>
      </x:c>
      <x:c r="K8184" s="2" t="str">
        <x:v>PARTNER-M002</x:v>
      </x:c>
    </x:row>
    <x:row r="8185" ht="46" customHeight="1">
      <x:c r="A8185" s="2" t="str">
        <x:v>TEN-81F921B8E00A</x:v>
      </x:c>
      <x:c r="B8185" s="12" t="str">
        <x:v>Mobicip</x:v>
      </x:c>
      <x:c r="C8185" s="12" t="str">
        <x:v>CORP-0424</x:v>
      </x:c>
      <x:c r="D8185" s="12" t="str">
        <x:v>Bengaluru</x:v>
      </x:c>
      <x:c r="E8185" s="12" t="str">
        <x:v>International Tech Park (ITPB)</x:v>
      </x:c>
      <x:c r="F8185" s="12" t="str">
        <x:v>55 inch</x:v>
      </x:c>
      <x:c r="G8185" s="20" t="n">
        <x:v>1</x:v>
      </x:c>
      <x:c r="H8185" s="12" t="str">
        <x:v>Campus/portfolio roster; individual building occupancy unverified</x:v>
      </x:c>
      <x:c r="I8185" s="12" t="str">
        <x:v>Small-scale prospects</x:v>
      </x:c>
      <x:c r="J8185" s="12" t="str">
        <x:v>IT &amp; digital</x:v>
      </x:c>
      <x:c r="K8185" s="2" t="str">
        <x:v>PARTNER-M002</x:v>
      </x:c>
    </x:row>
    <x:row r="8186" ht="46" customHeight="1">
      <x:c r="A8186" s="2" t="str">
        <x:v>TEN-891353748B3A</x:v>
      </x:c>
      <x:c r="B8186" s="12" t="str">
        <x:v>Osi Energy automation</x:v>
      </x:c>
      <x:c r="C8186" s="12" t="str">
        <x:v>CORP-0424</x:v>
      </x:c>
      <x:c r="D8186" s="12" t="str">
        <x:v>Bengaluru</x:v>
      </x:c>
      <x:c r="E8186" s="12" t="str">
        <x:v>International Tech Park (ITPB)</x:v>
      </x:c>
      <x:c r="F8186" s="12" t="str">
        <x:v>55 inch</x:v>
      </x:c>
      <x:c r="G8186" s="20" t="n">
        <x:v>1</x:v>
      </x:c>
      <x:c r="H8186" s="12" t="str">
        <x:v>Campus/portfolio roster; individual building occupancy unverified</x:v>
      </x:c>
      <x:c r="I8186" s="12" t="str">
        <x:v>Medium-scale prospects</x:v>
      </x:c>
      <x:c r="J8186" s="12" t="str">
        <x:v>Engineering &amp; manufacturing</x:v>
      </x:c>
      <x:c r="K8186" s="2" t="str">
        <x:v>PARTNER-M002</x:v>
      </x:c>
    </x:row>
    <x:row r="8187" ht="46" customHeight="1">
      <x:c r="A8187" s="2" t="str">
        <x:v>TEN-8C4275F1FD40</x:v>
      </x:c>
      <x:c r="B8187" s="12" t="str">
        <x:v>Capital Land</x:v>
      </x:c>
      <x:c r="C8187" s="12" t="str">
        <x:v>CORP-0424</x:v>
      </x:c>
      <x:c r="D8187" s="12" t="str">
        <x:v>Bengaluru</x:v>
      </x:c>
      <x:c r="E8187" s="12" t="str">
        <x:v>International Tech Park (ITPB)</x:v>
      </x:c>
      <x:c r="F8187" s="12" t="str">
        <x:v>55 inch</x:v>
      </x:c>
      <x:c r="G8187" s="20" t="n">
        <x:v>1</x:v>
      </x:c>
      <x:c r="H8187" s="12" t="str">
        <x:v>Campus/portfolio roster; individual building occupancy unverified</x:v>
      </x:c>
      <x:c r="I8187" s="12" t="str">
        <x:v>Mixed business audience</x:v>
      </x:c>
      <x:c r="J8187" s="12" t="str">
        <x:v>Trade, consumer &amp; logistics</x:v>
      </x:c>
      <x:c r="K8187" s="2" t="str">
        <x:v>PARTNER-M002</x:v>
      </x:c>
    </x:row>
    <x:row r="8188" ht="46" customHeight="1">
      <x:c r="A8188" s="2" t="str">
        <x:v>TEN-8DCD18640A0A</x:v>
      </x:c>
      <x:c r="B8188" s="12" t="str">
        <x:v>Kotak</x:v>
      </x:c>
      <x:c r="C8188" s="12" t="str">
        <x:v>CORP-0424</x:v>
      </x:c>
      <x:c r="D8188" s="12" t="str">
        <x:v>Bengaluru</x:v>
      </x:c>
      <x:c r="E8188" s="12" t="str">
        <x:v>International Tech Park (ITPB)</x:v>
      </x:c>
      <x:c r="F8188" s="12" t="str">
        <x:v>55 inch</x:v>
      </x:c>
      <x:c r="G8188" s="20" t="n">
        <x:v>1</x:v>
      </x:c>
      <x:c r="H8188" s="12" t="str">
        <x:v>Campus/portfolio roster; individual building occupancy unverified</x:v>
      </x:c>
      <x:c r="I8188" s="12" t="str">
        <x:v>Large enterprise</x:v>
      </x:c>
      <x:c r="J8188" s="12" t="str">
        <x:v>Finance &amp; insurance</x:v>
      </x:c>
      <x:c r="K8188" s="2" t="str">
        <x:v>PARTNER-M002</x:v>
      </x:c>
    </x:row>
    <x:row r="8189" ht="46" customHeight="1">
      <x:c r="A8189" s="2" t="str">
        <x:v>TEN-916A98F0FA2A</x:v>
      </x:c>
      <x:c r="B8189" s="12" t="str">
        <x:v>IBM</x:v>
      </x:c>
      <x:c r="C8189" s="12" t="str">
        <x:v>CORP-0424</x:v>
      </x:c>
      <x:c r="D8189" s="12" t="str">
        <x:v>Bengaluru</x:v>
      </x:c>
      <x:c r="E8189" s="12" t="str">
        <x:v>International Tech Park (ITPB)</x:v>
      </x:c>
      <x:c r="F8189" s="12" t="str">
        <x:v>55 inch</x:v>
      </x:c>
      <x:c r="G8189" s="20" t="n">
        <x:v>1</x:v>
      </x:c>
      <x:c r="H8189" s="12" t="str">
        <x:v>Campus/portfolio roster; individual building occupancy unverified</x:v>
      </x:c>
      <x:c r="I8189" s="12" t="str">
        <x:v>Large enterprise</x:v>
      </x:c>
      <x:c r="J8189" s="12" t="str">
        <x:v>IT &amp; digital</x:v>
      </x:c>
      <x:c r="K8189" s="2" t="str">
        <x:v>PARTNER-M002</x:v>
      </x:c>
    </x:row>
    <x:row r="8190" ht="46" customHeight="1">
      <x:c r="A8190" s="2" t="str">
        <x:v>TEN-97720ABA5A0C</x:v>
      </x:c>
      <x:c r="B8190" s="12" t="str">
        <x:v>Insemi Technology</x:v>
      </x:c>
      <x:c r="C8190" s="12" t="str">
        <x:v>CORP-0424</x:v>
      </x:c>
      <x:c r="D8190" s="12" t="str">
        <x:v>Bengaluru</x:v>
      </x:c>
      <x:c r="E8190" s="12" t="str">
        <x:v>International Tech Park (ITPB)</x:v>
      </x:c>
      <x:c r="F8190" s="12" t="str">
        <x:v>55 inch</x:v>
      </x:c>
      <x:c r="G8190" s="20" t="n">
        <x:v>1</x:v>
      </x:c>
      <x:c r="H8190" s="12" t="str">
        <x:v>Campus/portfolio roster; individual building occupancy unverified</x:v>
      </x:c>
      <x:c r="I8190" s="12" t="str">
        <x:v>Mixed business audience</x:v>
      </x:c>
      <x:c r="J8190" s="12" t="str">
        <x:v>Engineering &amp; manufacturing</x:v>
      </x:c>
      <x:c r="K8190" s="2" t="str">
        <x:v>PARTNER-M002</x:v>
      </x:c>
    </x:row>
    <x:row r="8191" ht="46" customHeight="1">
      <x:c r="A8191" s="2" t="str">
        <x:v>TEN-97B053EFF73B</x:v>
      </x:c>
      <x:c r="B8191" s="12" t="str">
        <x:v>Xinthe Technologies</x:v>
      </x:c>
      <x:c r="C8191" s="12" t="str">
        <x:v>CORP-0424</x:v>
      </x:c>
      <x:c r="D8191" s="12" t="str">
        <x:v>Bengaluru</x:v>
      </x:c>
      <x:c r="E8191" s="12" t="str">
        <x:v>International Tech Park (ITPB)</x:v>
      </x:c>
      <x:c r="F8191" s="12" t="str">
        <x:v>55 inch</x:v>
      </x:c>
      <x:c r="G8191" s="20" t="n">
        <x:v>1</x:v>
      </x:c>
      <x:c r="H8191" s="12" t="str">
        <x:v>Campus/portfolio roster; individual building occupancy unverified</x:v>
      </x:c>
      <x:c r="I8191" s="12" t="str">
        <x:v>Small-scale prospects</x:v>
      </x:c>
      <x:c r="J8191" s="12" t="str">
        <x:v>IT &amp; digital</x:v>
      </x:c>
      <x:c r="K8191" s="2" t="str">
        <x:v>PARTNER-M002</x:v>
      </x:c>
    </x:row>
    <x:row r="8192" ht="46" customHeight="1">
      <x:c r="A8192" s="2" t="str">
        <x:v>TEN-99E39EB751AE</x:v>
      </x:c>
      <x:c r="B8192" s="12" t="str">
        <x:v>US Technology</x:v>
      </x:c>
      <x:c r="C8192" s="12" t="str">
        <x:v>CORP-0424</x:v>
      </x:c>
      <x:c r="D8192" s="12" t="str">
        <x:v>Bengaluru</x:v>
      </x:c>
      <x:c r="E8192" s="12" t="str">
        <x:v>International Tech Park (ITPB)</x:v>
      </x:c>
      <x:c r="F8192" s="12" t="str">
        <x:v>55 inch</x:v>
      </x:c>
      <x:c r="G8192" s="20" t="n">
        <x:v>1</x:v>
      </x:c>
      <x:c r="H8192" s="12" t="str">
        <x:v>Campus/portfolio roster; individual building occupancy unverified</x:v>
      </x:c>
      <x:c r="I8192" s="12" t="str">
        <x:v>Mixed business audience</x:v>
      </x:c>
      <x:c r="J8192" s="12" t="str">
        <x:v>IT &amp; digital</x:v>
      </x:c>
      <x:c r="K8192" s="2" t="str">
        <x:v>PARTNER-M002</x:v>
      </x:c>
    </x:row>
    <x:row r="8193" ht="46" customHeight="1">
      <x:c r="A8193" s="2" t="str">
        <x:v>TEN-A08385AC9A90</x:v>
      </x:c>
      <x:c r="B8193" s="12" t="str">
        <x:v>Ecinical</x:v>
      </x:c>
      <x:c r="C8193" s="12" t="str">
        <x:v>CORP-0424</x:v>
      </x:c>
      <x:c r="D8193" s="12" t="str">
        <x:v>Bengaluru</x:v>
      </x:c>
      <x:c r="E8193" s="12" t="str">
        <x:v>International Tech Park (ITPB)</x:v>
      </x:c>
      <x:c r="F8193" s="12" t="str">
        <x:v>55 inch</x:v>
      </x:c>
      <x:c r="G8193" s="20" t="n">
        <x:v>1</x:v>
      </x:c>
      <x:c r="H8193" s="12" t="str">
        <x:v>Campus/portfolio roster; individual building occupancy unverified</x:v>
      </x:c>
      <x:c r="I8193" s="12" t="str">
        <x:v>Mixed business audience</x:v>
      </x:c>
      <x:c r="J8193" s="12" t="str">
        <x:v>Unresolved</x:v>
      </x:c>
      <x:c r="K8193" s="2" t="str">
        <x:v>PARTNER-M002</x:v>
      </x:c>
    </x:row>
    <x:row r="8194" ht="46" customHeight="1">
      <x:c r="A8194" s="2" t="str">
        <x:v>TEN-A57526B5D973</x:v>
      </x:c>
      <x:c r="B8194" s="12" t="str">
        <x:v>General Motors</x:v>
      </x:c>
      <x:c r="C8194" s="12" t="str">
        <x:v>CORP-0424</x:v>
      </x:c>
      <x:c r="D8194" s="12" t="str">
        <x:v>Bengaluru</x:v>
      </x:c>
      <x:c r="E8194" s="12" t="str">
        <x:v>International Tech Park (ITPB)</x:v>
      </x:c>
      <x:c r="F8194" s="12" t="str">
        <x:v>55 inch</x:v>
      </x:c>
      <x:c r="G8194" s="20" t="n">
        <x:v>1</x:v>
      </x:c>
      <x:c r="H8194" s="12" t="str">
        <x:v>Campus/portfolio roster; individual building occupancy unverified</x:v>
      </x:c>
      <x:c r="I8194" s="12" t="str">
        <x:v>Mixed business audience</x:v>
      </x:c>
      <x:c r="J8194" s="12" t="str">
        <x:v>Engineering &amp; manufacturing</x:v>
      </x:c>
      <x:c r="K8194" s="2" t="str">
        <x:v>PARTNER-M002</x:v>
      </x:c>
    </x:row>
    <x:row r="8195" ht="46" customHeight="1">
      <x:c r="A8195" s="2" t="str">
        <x:v>TEN-A5F5259A3FFE</x:v>
      </x:c>
      <x:c r="B8195" s="12" t="str">
        <x:v>Xerox Technology</x:v>
      </x:c>
      <x:c r="C8195" s="12" t="str">
        <x:v>CORP-0424</x:v>
      </x:c>
      <x:c r="D8195" s="12" t="str">
        <x:v>Bengaluru</x:v>
      </x:c>
      <x:c r="E8195" s="12" t="str">
        <x:v>International Tech Park (ITPB)</x:v>
      </x:c>
      <x:c r="F8195" s="12" t="str">
        <x:v>55 inch</x:v>
      </x:c>
      <x:c r="G8195" s="20" t="n">
        <x:v>1</x:v>
      </x:c>
      <x:c r="H8195" s="12" t="str">
        <x:v>Campus/portfolio roster; individual building occupancy unverified</x:v>
      </x:c>
      <x:c r="I8195" s="12" t="str">
        <x:v>Mixed business audience</x:v>
      </x:c>
      <x:c r="J8195" s="12" t="str">
        <x:v>IT &amp; digital</x:v>
      </x:c>
      <x:c r="K8195" s="2" t="str">
        <x:v>PARTNER-M002</x:v>
      </x:c>
    </x:row>
    <x:row r="8196" ht="46" customHeight="1">
      <x:c r="A8196" s="2" t="str">
        <x:v>TEN-A7907C2DB975</x:v>
      </x:c>
      <x:c r="B8196" s="12" t="str">
        <x:v>Einfolge</x:v>
      </x:c>
      <x:c r="C8196" s="12" t="str">
        <x:v>CORP-0424</x:v>
      </x:c>
      <x:c r="D8196" s="12" t="str">
        <x:v>Bengaluru</x:v>
      </x:c>
      <x:c r="E8196" s="12" t="str">
        <x:v>International Tech Park (ITPB)</x:v>
      </x:c>
      <x:c r="F8196" s="12" t="str">
        <x:v>55 inch</x:v>
      </x:c>
      <x:c r="G8196" s="20" t="n">
        <x:v>1</x:v>
      </x:c>
      <x:c r="H8196" s="12" t="str">
        <x:v>Campus/portfolio roster; individual building occupancy unverified</x:v>
      </x:c>
      <x:c r="I8196" s="12" t="str">
        <x:v>Small-scale prospects</x:v>
      </x:c>
      <x:c r="J8196" s="12" t="str">
        <x:v>Professional services</x:v>
      </x:c>
      <x:c r="K8196" s="2" t="str">
        <x:v>PARTNER-M002</x:v>
      </x:c>
    </x:row>
    <x:row r="8197" ht="46" customHeight="1">
      <x:c r="A8197" s="2" t="str">
        <x:v>TEN-A88487AEFC99</x:v>
      </x:c>
      <x:c r="B8197" s="12" t="str">
        <x:v>Galax</x:v>
      </x:c>
      <x:c r="C8197" s="12" t="str">
        <x:v>CORP-0424</x:v>
      </x:c>
      <x:c r="D8197" s="12" t="str">
        <x:v>Bengaluru</x:v>
      </x:c>
      <x:c r="E8197" s="12" t="str">
        <x:v>International Tech Park (ITPB)</x:v>
      </x:c>
      <x:c r="F8197" s="12" t="str">
        <x:v>55 inch</x:v>
      </x:c>
      <x:c r="G8197" s="20" t="n">
        <x:v>1</x:v>
      </x:c>
      <x:c r="H8197" s="12" t="str">
        <x:v>Campus/portfolio roster; individual building occupancy unverified</x:v>
      </x:c>
      <x:c r="I8197" s="12" t="str">
        <x:v>Mixed business audience</x:v>
      </x:c>
      <x:c r="J8197" s="12" t="str">
        <x:v>Unresolved</x:v>
      </x:c>
      <x:c r="K8197" s="2" t="str">
        <x:v>PARTNER-M002</x:v>
      </x:c>
    </x:row>
    <x:row r="8198" ht="46" customHeight="1">
      <x:c r="A8198" s="2" t="str">
        <x:v>TEN-A9A1855F9C7F</x:v>
      </x:c>
      <x:c r="B8198" s="12" t="str">
        <x:v>Globant</x:v>
      </x:c>
      <x:c r="C8198" s="12" t="str">
        <x:v>CORP-0424</x:v>
      </x:c>
      <x:c r="D8198" s="12" t="str">
        <x:v>Bengaluru</x:v>
      </x:c>
      <x:c r="E8198" s="12" t="str">
        <x:v>International Tech Park (ITPB)</x:v>
      </x:c>
      <x:c r="F8198" s="12" t="str">
        <x:v>55 inch</x:v>
      </x:c>
      <x:c r="G8198" s="20" t="n">
        <x:v>1</x:v>
      </x:c>
      <x:c r="H8198" s="12" t="str">
        <x:v>Campus/portfolio roster; individual building occupancy unverified</x:v>
      </x:c>
      <x:c r="I8198" s="12" t="str">
        <x:v>Mixed business audience</x:v>
      </x:c>
      <x:c r="J8198" s="12" t="str">
        <x:v>IT &amp; digital</x:v>
      </x:c>
      <x:c r="K8198" s="2" t="str">
        <x:v>PARTNER-M002</x:v>
      </x:c>
    </x:row>
    <x:row r="8199" ht="46" customHeight="1">
      <x:c r="A8199" s="2" t="str">
        <x:v>TEN-A9B3E7D54A8C</x:v>
      </x:c>
      <x:c r="B8199" s="12" t="str">
        <x:v>First advantage Global</x:v>
      </x:c>
      <x:c r="C8199" s="12" t="str">
        <x:v>CORP-0424</x:v>
      </x:c>
      <x:c r="D8199" s="12" t="str">
        <x:v>Bengaluru</x:v>
      </x:c>
      <x:c r="E8199" s="12" t="str">
        <x:v>International Tech Park (ITPB)</x:v>
      </x:c>
      <x:c r="F8199" s="12" t="str">
        <x:v>55 inch</x:v>
      </x:c>
      <x:c r="G8199" s="20" t="n">
        <x:v>1</x:v>
      </x:c>
      <x:c r="H8199" s="12" t="str">
        <x:v>Campus/portfolio roster; individual building occupancy unverified</x:v>
      </x:c>
      <x:c r="I8199" s="12" t="str">
        <x:v>Mixed business audience</x:v>
      </x:c>
      <x:c r="J8199" s="12" t="str">
        <x:v>Professional services</x:v>
      </x:c>
      <x:c r="K8199" s="2" t="str">
        <x:v>PARTNER-M002</x:v>
      </x:c>
    </x:row>
    <x:row r="8200" ht="46" customHeight="1">
      <x:c r="A8200" s="2" t="str">
        <x:v>TEN-AFB51487B347</x:v>
      </x:c>
      <x:c r="B8200" s="12" t="str">
        <x:v>Happy Visitor Esoutions</x:v>
      </x:c>
      <x:c r="C8200" s="12" t="str">
        <x:v>CORP-0424</x:v>
      </x:c>
      <x:c r="D8200" s="12" t="str">
        <x:v>Bengaluru</x:v>
      </x:c>
      <x:c r="E8200" s="12" t="str">
        <x:v>International Tech Park (ITPB)</x:v>
      </x:c>
      <x:c r="F8200" s="12" t="str">
        <x:v>55 inch</x:v>
      </x:c>
      <x:c r="G8200" s="20" t="n">
        <x:v>1</x:v>
      </x:c>
      <x:c r="H8200" s="12" t="str">
        <x:v>Campus/portfolio roster; individual building occupancy unverified</x:v>
      </x:c>
      <x:c r="I8200" s="12" t="str">
        <x:v>Mixed business audience</x:v>
      </x:c>
      <x:c r="J8200" s="12" t="str">
        <x:v>Unresolved</x:v>
      </x:c>
      <x:c r="K8200" s="2" t="str">
        <x:v>PARTNER-M002</x:v>
      </x:c>
    </x:row>
    <x:row r="8201" ht="46" customHeight="1">
      <x:c r="A8201" s="2" t="str">
        <x:v>TEN-B1E1798527DF</x:v>
      </x:c>
      <x:c r="B8201" s="12" t="str">
        <x:v>Carnation</x:v>
      </x:c>
      <x:c r="C8201" s="12" t="str">
        <x:v>CORP-0424</x:v>
      </x:c>
      <x:c r="D8201" s="12" t="str">
        <x:v>Bengaluru</x:v>
      </x:c>
      <x:c r="E8201" s="12" t="str">
        <x:v>International Tech Park (ITPB)</x:v>
      </x:c>
      <x:c r="F8201" s="12" t="str">
        <x:v>55 inch</x:v>
      </x:c>
      <x:c r="G8201" s="20" t="n">
        <x:v>1</x:v>
      </x:c>
      <x:c r="H8201" s="12" t="str">
        <x:v>Campus/portfolio roster; individual building occupancy unverified</x:v>
      </x:c>
      <x:c r="I8201" s="12" t="str">
        <x:v>Mixed business audience</x:v>
      </x:c>
      <x:c r="J8201" s="12" t="str">
        <x:v>Unresolved</x:v>
      </x:c>
      <x:c r="K8201" s="2" t="str">
        <x:v>PARTNER-M002</x:v>
      </x:c>
    </x:row>
    <x:row r="8202" ht="46" customHeight="1">
      <x:c r="A8202" s="2" t="str">
        <x:v>TEN-B431E151D906</x:v>
      </x:c>
      <x:c r="B8202" s="12" t="str">
        <x:v>Longhorns labs</x:v>
      </x:c>
      <x:c r="C8202" s="12" t="str">
        <x:v>CORP-0424</x:v>
      </x:c>
      <x:c r="D8202" s="12" t="str">
        <x:v>Bengaluru</x:v>
      </x:c>
      <x:c r="E8202" s="12" t="str">
        <x:v>International Tech Park (ITPB)</x:v>
      </x:c>
      <x:c r="F8202" s="12" t="str">
        <x:v>55 inch</x:v>
      </x:c>
      <x:c r="G8202" s="20" t="n">
        <x:v>1</x:v>
      </x:c>
      <x:c r="H8202" s="12" t="str">
        <x:v>Campus/portfolio roster; individual building occupancy unverified</x:v>
      </x:c>
      <x:c r="I8202" s="12" t="str">
        <x:v>Mixed business audience</x:v>
      </x:c>
      <x:c r="J8202" s="12" t="str">
        <x:v>Unresolved</x:v>
      </x:c>
      <x:c r="K8202" s="2" t="str">
        <x:v>PARTNER-M002</x:v>
      </x:c>
    </x:row>
    <x:row r="8203" ht="46" customHeight="1">
      <x:c r="A8203" s="2" t="str">
        <x:v>TEN-B73878E16AE9</x:v>
      </x:c>
      <x:c r="B8203" s="12" t="str">
        <x:v>Truspeq</x:v>
      </x:c>
      <x:c r="C8203" s="12" t="str">
        <x:v>CORP-0424</x:v>
      </x:c>
      <x:c r="D8203" s="12" t="str">
        <x:v>Bengaluru</x:v>
      </x:c>
      <x:c r="E8203" s="12" t="str">
        <x:v>International Tech Park (ITPB)</x:v>
      </x:c>
      <x:c r="F8203" s="12" t="str">
        <x:v>55 inch</x:v>
      </x:c>
      <x:c r="G8203" s="20" t="n">
        <x:v>1</x:v>
      </x:c>
      <x:c r="H8203" s="12" t="str">
        <x:v>Campus/portfolio roster; individual building occupancy unverified</x:v>
      </x:c>
      <x:c r="I8203" s="12" t="str">
        <x:v>Small-scale prospects</x:v>
      </x:c>
      <x:c r="J8203" s="12" t="str">
        <x:v>IT &amp; digital</x:v>
      </x:c>
      <x:c r="K8203" s="2" t="str">
        <x:v>PARTNER-M002</x:v>
      </x:c>
    </x:row>
    <x:row r="8204" ht="46" customHeight="1">
      <x:c r="A8204" s="2" t="str">
        <x:v>TEN-B73A39ADECC4</x:v>
      </x:c>
      <x:c r="B8204" s="12" t="str">
        <x:v>ATOS IT</x:v>
      </x:c>
      <x:c r="C8204" s="12" t="str">
        <x:v>CORP-0424</x:v>
      </x:c>
      <x:c r="D8204" s="12" t="str">
        <x:v>Bengaluru</x:v>
      </x:c>
      <x:c r="E8204" s="12" t="str">
        <x:v>International Tech Park (ITPB)</x:v>
      </x:c>
      <x:c r="F8204" s="12" t="str">
        <x:v>55 inch</x:v>
      </x:c>
      <x:c r="G8204" s="20" t="n">
        <x:v>1</x:v>
      </x:c>
      <x:c r="H8204" s="12" t="str">
        <x:v>Campus/portfolio roster; individual building occupancy unverified</x:v>
      </x:c>
      <x:c r="I8204" s="12" t="str">
        <x:v>Large enterprise</x:v>
      </x:c>
      <x:c r="J8204" s="12" t="str">
        <x:v>IT &amp; digital</x:v>
      </x:c>
      <x:c r="K8204" s="2" t="str">
        <x:v>PARTNER-M002</x:v>
      </x:c>
    </x:row>
    <x:row r="8205" ht="46" customHeight="1">
      <x:c r="A8205" s="2" t="str">
        <x:v>TEN-B9223DF94855</x:v>
      </x:c>
      <x:c r="B8205" s="12" t="str">
        <x:v>ECI Telecom</x:v>
      </x:c>
      <x:c r="C8205" s="12" t="str">
        <x:v>CORP-0424</x:v>
      </x:c>
      <x:c r="D8205" s="12" t="str">
        <x:v>Bengaluru</x:v>
      </x:c>
      <x:c r="E8205" s="12" t="str">
        <x:v>International Tech Park (ITPB)</x:v>
      </x:c>
      <x:c r="F8205" s="12" t="str">
        <x:v>55 inch</x:v>
      </x:c>
      <x:c r="G8205" s="20" t="n">
        <x:v>1</x:v>
      </x:c>
      <x:c r="H8205" s="12" t="str">
        <x:v>Campus/portfolio roster; individual building occupancy unverified</x:v>
      </x:c>
      <x:c r="I8205" s="12" t="str">
        <x:v>Mixed business audience</x:v>
      </x:c>
      <x:c r="J8205" s="12" t="str">
        <x:v>IT &amp; digital</x:v>
      </x:c>
      <x:c r="K8205" s="2" t="str">
        <x:v>PARTNER-M002</x:v>
      </x:c>
    </x:row>
    <x:row r="8206" ht="46" customHeight="1">
      <x:c r="A8206" s="2" t="str">
        <x:v>TEN-BDA4D17476FE</x:v>
      </x:c>
      <x:c r="B8206" s="12" t="str">
        <x:v>Cognisure</x:v>
      </x:c>
      <x:c r="C8206" s="12" t="str">
        <x:v>CORP-0424</x:v>
      </x:c>
      <x:c r="D8206" s="12" t="str">
        <x:v>Bengaluru</x:v>
      </x:c>
      <x:c r="E8206" s="12" t="str">
        <x:v>International Tech Park (ITPB)</x:v>
      </x:c>
      <x:c r="F8206" s="12" t="str">
        <x:v>55 inch</x:v>
      </x:c>
      <x:c r="G8206" s="20" t="n">
        <x:v>1</x:v>
      </x:c>
      <x:c r="H8206" s="12" t="str">
        <x:v>Campus/portfolio roster; individual building occupancy unverified</x:v>
      </x:c>
      <x:c r="I8206" s="12" t="str">
        <x:v>Small-scale prospects</x:v>
      </x:c>
      <x:c r="J8206" s="12" t="str">
        <x:v>IT &amp; digital</x:v>
      </x:c>
      <x:c r="K8206" s="2" t="str">
        <x:v>PARTNER-M002</x:v>
      </x:c>
    </x:row>
    <x:row r="8207" ht="46" customHeight="1">
      <x:c r="A8207" s="2" t="str">
        <x:v>TEN-BE234565AEEE</x:v>
      </x:c>
      <x:c r="B8207" s="12" t="str">
        <x:v>Incred Financial</x:v>
      </x:c>
      <x:c r="C8207" s="12" t="str">
        <x:v>CORP-0424</x:v>
      </x:c>
      <x:c r="D8207" s="12" t="str">
        <x:v>Bengaluru</x:v>
      </x:c>
      <x:c r="E8207" s="12" t="str">
        <x:v>International Tech Park (ITPB)</x:v>
      </x:c>
      <x:c r="F8207" s="12" t="str">
        <x:v>55 inch</x:v>
      </x:c>
      <x:c r="G8207" s="20" t="n">
        <x:v>1</x:v>
      </x:c>
      <x:c r="H8207" s="12" t="str">
        <x:v>Campus/portfolio roster; individual building occupancy unverified</x:v>
      </x:c>
      <x:c r="I8207" s="12" t="str">
        <x:v>Mixed business audience</x:v>
      </x:c>
      <x:c r="J8207" s="12" t="str">
        <x:v>Finance &amp; insurance</x:v>
      </x:c>
      <x:c r="K8207" s="2" t="str">
        <x:v>PARTNER-M002</x:v>
      </x:c>
    </x:row>
    <x:row r="8208" ht="46" customHeight="1">
      <x:c r="A8208" s="2" t="str">
        <x:v>TEN-BFE647B51B50</x:v>
      </x:c>
      <x:c r="B8208" s="12" t="str">
        <x:v>V4U</x:v>
      </x:c>
      <x:c r="C8208" s="12" t="str">
        <x:v>CORP-0424</x:v>
      </x:c>
      <x:c r="D8208" s="12" t="str">
        <x:v>Bengaluru</x:v>
      </x:c>
      <x:c r="E8208" s="12" t="str">
        <x:v>International Tech Park (ITPB)</x:v>
      </x:c>
      <x:c r="F8208" s="12" t="str">
        <x:v>55 inch</x:v>
      </x:c>
      <x:c r="G8208" s="20" t="n">
        <x:v>1</x:v>
      </x:c>
      <x:c r="H8208" s="12" t="str">
        <x:v>Campus/portfolio roster; individual building occupancy unverified</x:v>
      </x:c>
      <x:c r="I8208" s="12" t="str">
        <x:v>Mixed business audience</x:v>
      </x:c>
      <x:c r="J8208" s="12" t="str">
        <x:v>Unresolved</x:v>
      </x:c>
      <x:c r="K8208" s="2" t="str">
        <x:v>PARTNER-M002</x:v>
      </x:c>
    </x:row>
    <x:row r="8209" ht="46" customHeight="1">
      <x:c r="A8209" s="2" t="str">
        <x:v>TEN-C27FF66117D5</x:v>
      </x:c>
      <x:c r="B8209" s="12" t="str">
        <x:v>Index Lithigraphy</x:v>
      </x:c>
      <x:c r="C8209" s="12" t="str">
        <x:v>CORP-0424</x:v>
      </x:c>
      <x:c r="D8209" s="12" t="str">
        <x:v>Bengaluru</x:v>
      </x:c>
      <x:c r="E8209" s="12" t="str">
        <x:v>International Tech Park (ITPB)</x:v>
      </x:c>
      <x:c r="F8209" s="12" t="str">
        <x:v>55 inch</x:v>
      </x:c>
      <x:c r="G8209" s="20" t="n">
        <x:v>1</x:v>
      </x:c>
      <x:c r="H8209" s="12" t="str">
        <x:v>Campus/portfolio roster; individual building occupancy unverified</x:v>
      </x:c>
      <x:c r="I8209" s="12" t="str">
        <x:v>Medium-scale prospects</x:v>
      </x:c>
      <x:c r="J8209" s="12" t="str">
        <x:v>Engineering &amp; manufacturing</x:v>
      </x:c>
      <x:c r="K8209" s="2" t="str">
        <x:v>PARTNER-M002</x:v>
      </x:c>
    </x:row>
    <x:row r="8210" ht="46" customHeight="1">
      <x:c r="A8210" s="2" t="str">
        <x:v>TEN-CC2C556FA10A</x:v>
      </x:c>
      <x:c r="B8210" s="12" t="str">
        <x:v>Kingslake</x:v>
      </x:c>
      <x:c r="C8210" s="12" t="str">
        <x:v>CORP-0424</x:v>
      </x:c>
      <x:c r="D8210" s="12" t="str">
        <x:v>Bengaluru</x:v>
      </x:c>
      <x:c r="E8210" s="12" t="str">
        <x:v>International Tech Park (ITPB)</x:v>
      </x:c>
      <x:c r="F8210" s="12" t="str">
        <x:v>55 inch</x:v>
      </x:c>
      <x:c r="G8210" s="20" t="n">
        <x:v>1</x:v>
      </x:c>
      <x:c r="H8210" s="12" t="str">
        <x:v>Campus/portfolio roster; individual building occupancy unverified</x:v>
      </x:c>
      <x:c r="I8210" s="12" t="str">
        <x:v>Mixed business audience</x:v>
      </x:c>
      <x:c r="J8210" s="12" t="str">
        <x:v>Unresolved</x:v>
      </x:c>
      <x:c r="K8210" s="2" t="str">
        <x:v>PARTNER-M002</x:v>
      </x:c>
    </x:row>
    <x:row r="8211" ht="46" customHeight="1">
      <x:c r="A8211" s="2" t="str">
        <x:v>TEN-CDDAE2627D47</x:v>
      </x:c>
      <x:c r="B8211" s="12" t="str">
        <x:v>Institute Bio informatis</x:v>
      </x:c>
      <x:c r="C8211" s="12" t="str">
        <x:v>CORP-0424</x:v>
      </x:c>
      <x:c r="D8211" s="12" t="str">
        <x:v>Bengaluru</x:v>
      </x:c>
      <x:c r="E8211" s="12" t="str">
        <x:v>International Tech Park (ITPB)</x:v>
      </x:c>
      <x:c r="F8211" s="12" t="str">
        <x:v>55 inch</x:v>
      </x:c>
      <x:c r="G8211" s="20" t="n">
        <x:v>1</x:v>
      </x:c>
      <x:c r="H8211" s="12" t="str">
        <x:v>Campus/portfolio roster; individual building occupancy unverified</x:v>
      </x:c>
      <x:c r="I8211" s="12" t="str">
        <x:v>Small-scale prospects</x:v>
      </x:c>
      <x:c r="J8211" s="12" t="str">
        <x:v>Education</x:v>
      </x:c>
      <x:c r="K8211" s="2" t="str">
        <x:v>PARTNER-M002</x:v>
      </x:c>
    </x:row>
    <x:row r="8212" ht="46" customHeight="1">
      <x:c r="A8212" s="2" t="str">
        <x:v>TEN-D04CE1F77A17</x:v>
      </x:c>
      <x:c r="B8212" s="12" t="str">
        <x:v>Fiorano</x:v>
      </x:c>
      <x:c r="C8212" s="12" t="str">
        <x:v>CORP-0424</x:v>
      </x:c>
      <x:c r="D8212" s="12" t="str">
        <x:v>Bengaluru</x:v>
      </x:c>
      <x:c r="E8212" s="12" t="str">
        <x:v>International Tech Park (ITPB)</x:v>
      </x:c>
      <x:c r="F8212" s="12" t="str">
        <x:v>55 inch</x:v>
      </x:c>
      <x:c r="G8212" s="20" t="n">
        <x:v>1</x:v>
      </x:c>
      <x:c r="H8212" s="12" t="str">
        <x:v>Campus/portfolio roster; individual building occupancy unverified</x:v>
      </x:c>
      <x:c r="I8212" s="12" t="str">
        <x:v>Small-scale prospects</x:v>
      </x:c>
      <x:c r="J8212" s="12" t="str">
        <x:v>IT &amp; digital</x:v>
      </x:c>
      <x:c r="K8212" s="2" t="str">
        <x:v>PARTNER-M002</x:v>
      </x:c>
    </x:row>
    <x:row r="8213" ht="46" customHeight="1">
      <x:c r="A8213" s="2" t="str">
        <x:v>TEN-D1C7C99C6E2E</x:v>
      </x:c>
      <x:c r="B8213" s="12" t="str">
        <x:v>Tata</x:v>
      </x:c>
      <x:c r="C8213" s="12" t="str">
        <x:v>CORP-0424</x:v>
      </x:c>
      <x:c r="D8213" s="12" t="str">
        <x:v>Bengaluru</x:v>
      </x:c>
      <x:c r="E8213" s="12" t="str">
        <x:v>International Tech Park (ITPB)</x:v>
      </x:c>
      <x:c r="F8213" s="12" t="str">
        <x:v>55 inch</x:v>
      </x:c>
      <x:c r="G8213" s="20" t="n">
        <x:v>1</x:v>
      </x:c>
      <x:c r="H8213" s="12" t="str">
        <x:v>Campus/portfolio roster; individual building occupancy unverified</x:v>
      </x:c>
      <x:c r="I8213" s="12" t="str">
        <x:v>Large enterprise</x:v>
      </x:c>
      <x:c r="J8213" s="12" t="str">
        <x:v>Unresolved</x:v>
      </x:c>
      <x:c r="K8213" s="2" t="str">
        <x:v>PARTNER-M002</x:v>
      </x:c>
    </x:row>
    <x:row r="8214" ht="46" customHeight="1">
      <x:c r="A8214" s="2" t="str">
        <x:v>TEN-D2E269F83158</x:v>
      </x:c>
      <x:c r="B8214" s="12" t="str">
        <x:v>MBB Labs</x:v>
      </x:c>
      <x:c r="C8214" s="12" t="str">
        <x:v>CORP-0424</x:v>
      </x:c>
      <x:c r="D8214" s="12" t="str">
        <x:v>Bengaluru</x:v>
      </x:c>
      <x:c r="E8214" s="12" t="str">
        <x:v>International Tech Park (ITPB)</x:v>
      </x:c>
      <x:c r="F8214" s="12" t="str">
        <x:v>55 inch</x:v>
      </x:c>
      <x:c r="G8214" s="20" t="n">
        <x:v>1</x:v>
      </x:c>
      <x:c r="H8214" s="12" t="str">
        <x:v>Campus/portfolio roster; individual building occupancy unverified</x:v>
      </x:c>
      <x:c r="I8214" s="12" t="str">
        <x:v>Mixed business audience</x:v>
      </x:c>
      <x:c r="J8214" s="12" t="str">
        <x:v>Unresolved</x:v>
      </x:c>
      <x:c r="K8214" s="2" t="str">
        <x:v>PARTNER-M002</x:v>
      </x:c>
    </x:row>
    <x:row r="8215" ht="46" customHeight="1">
      <x:c r="A8215" s="2" t="str">
        <x:v>TEN-D72EAD2E3D44</x:v>
      </x:c>
      <x:c r="B8215" s="12" t="str">
        <x:v>Tech Mahindra</x:v>
      </x:c>
      <x:c r="C8215" s="12" t="str">
        <x:v>CORP-0424</x:v>
      </x:c>
      <x:c r="D8215" s="12" t="str">
        <x:v>Bengaluru</x:v>
      </x:c>
      <x:c r="E8215" s="12" t="str">
        <x:v>International Tech Park (ITPB)</x:v>
      </x:c>
      <x:c r="F8215" s="12" t="str">
        <x:v>55 inch</x:v>
      </x:c>
      <x:c r="G8215" s="20" t="n">
        <x:v>1</x:v>
      </x:c>
      <x:c r="H8215" s="12" t="str">
        <x:v>Campus/portfolio roster; individual building occupancy unverified</x:v>
      </x:c>
      <x:c r="I8215" s="12" t="str">
        <x:v>Large enterprise</x:v>
      </x:c>
      <x:c r="J8215" s="12" t="str">
        <x:v>IT &amp; digital</x:v>
      </x:c>
      <x:c r="K8215" s="2" t="str">
        <x:v>PARTNER-M002</x:v>
      </x:c>
    </x:row>
    <x:row r="8216" ht="46" customHeight="1">
      <x:c r="A8216" s="2" t="str">
        <x:v>TEN-D817CF92B660</x:v>
      </x:c>
      <x:c r="B8216" s="12" t="str">
        <x:v>Innoactive</x:v>
      </x:c>
      <x:c r="C8216" s="12" t="str">
        <x:v>CORP-0424</x:v>
      </x:c>
      <x:c r="D8216" s="12" t="str">
        <x:v>Bengaluru</x:v>
      </x:c>
      <x:c r="E8216" s="12" t="str">
        <x:v>International Tech Park (ITPB)</x:v>
      </x:c>
      <x:c r="F8216" s="12" t="str">
        <x:v>55 inch</x:v>
      </x:c>
      <x:c r="G8216" s="20" t="n">
        <x:v>1</x:v>
      </x:c>
      <x:c r="H8216" s="12" t="str">
        <x:v>Campus/portfolio roster; individual building occupancy unverified</x:v>
      </x:c>
      <x:c r="I8216" s="12" t="str">
        <x:v>Mixed business audience</x:v>
      </x:c>
      <x:c r="J8216" s="12" t="str">
        <x:v>Unresolved</x:v>
      </x:c>
      <x:c r="K8216" s="2" t="str">
        <x:v>PARTNER-M002</x:v>
      </x:c>
    </x:row>
    <x:row r="8217" ht="46" customHeight="1">
      <x:c r="A8217" s="2" t="str">
        <x:v>TEN-D820F7EB8DD2</x:v>
      </x:c>
      <x:c r="B8217" s="12" t="str">
        <x:v>Hireright</x:v>
      </x:c>
      <x:c r="C8217" s="12" t="str">
        <x:v>CORP-0424</x:v>
      </x:c>
      <x:c r="D8217" s="12" t="str">
        <x:v>Bengaluru</x:v>
      </x:c>
      <x:c r="E8217" s="12" t="str">
        <x:v>International Tech Park (ITPB)</x:v>
      </x:c>
      <x:c r="F8217" s="12" t="str">
        <x:v>55 inch</x:v>
      </x:c>
      <x:c r="G8217" s="20" t="n">
        <x:v>1</x:v>
      </x:c>
      <x:c r="H8217" s="12" t="str">
        <x:v>Campus/portfolio roster; individual building occupancy unverified</x:v>
      </x:c>
      <x:c r="I8217" s="12" t="str">
        <x:v>Mixed business audience</x:v>
      </x:c>
      <x:c r="J8217" s="12" t="str">
        <x:v>Professional services</x:v>
      </x:c>
      <x:c r="K8217" s="2" t="str">
        <x:v>PARTNER-M002</x:v>
      </x:c>
    </x:row>
    <x:row r="8218" ht="46" customHeight="1">
      <x:c r="A8218" s="2" t="str">
        <x:v>TEN-D886B2C883A6</x:v>
      </x:c>
      <x:c r="B8218" s="12" t="str">
        <x:v>Citi Bank</x:v>
      </x:c>
      <x:c r="C8218" s="12" t="str">
        <x:v>CORP-0424</x:v>
      </x:c>
      <x:c r="D8218" s="12" t="str">
        <x:v>Bengaluru</x:v>
      </x:c>
      <x:c r="E8218" s="12" t="str">
        <x:v>International Tech Park (ITPB)</x:v>
      </x:c>
      <x:c r="F8218" s="12" t="str">
        <x:v>55 inch</x:v>
      </x:c>
      <x:c r="G8218" s="20" t="n">
        <x:v>1</x:v>
      </x:c>
      <x:c r="H8218" s="12" t="str">
        <x:v>Campus/portfolio roster; individual building occupancy unverified</x:v>
      </x:c>
      <x:c r="I8218" s="12" t="str">
        <x:v>Large enterprise</x:v>
      </x:c>
      <x:c r="J8218" s="12" t="str">
        <x:v>Finance &amp; insurance</x:v>
      </x:c>
      <x:c r="K8218" s="2" t="str">
        <x:v>PARTNER-M002</x:v>
      </x:c>
    </x:row>
    <x:row r="8219" ht="46" customHeight="1">
      <x:c r="A8219" s="2" t="str">
        <x:v>TEN-DA7A5218187E</x:v>
      </x:c>
      <x:c r="B8219" s="12" t="str">
        <x:v>Certes</x:v>
      </x:c>
      <x:c r="C8219" s="12" t="str">
        <x:v>CORP-0424</x:v>
      </x:c>
      <x:c r="D8219" s="12" t="str">
        <x:v>Bengaluru</x:v>
      </x:c>
      <x:c r="E8219" s="12" t="str">
        <x:v>International Tech Park (ITPB)</x:v>
      </x:c>
      <x:c r="F8219" s="12" t="str">
        <x:v>55 inch</x:v>
      </x:c>
      <x:c r="G8219" s="20" t="n">
        <x:v>1</x:v>
      </x:c>
      <x:c r="H8219" s="12" t="str">
        <x:v>Campus/portfolio roster; individual building occupancy unverified</x:v>
      </x:c>
      <x:c r="I8219" s="12" t="str">
        <x:v>Mixed business audience</x:v>
      </x:c>
      <x:c r="J8219" s="12" t="str">
        <x:v>Unresolved</x:v>
      </x:c>
      <x:c r="K8219" s="2" t="str">
        <x:v>PARTNER-M002</x:v>
      </x:c>
    </x:row>
    <x:row r="8220" ht="46" customHeight="1">
      <x:c r="A8220" s="2" t="str">
        <x:v>TEN-E1F279A6A033</x:v>
      </x:c>
      <x:c r="B8220" s="12" t="str">
        <x:v>Applied Materials</x:v>
      </x:c>
      <x:c r="C8220" s="12" t="str">
        <x:v>CORP-0424</x:v>
      </x:c>
      <x:c r="D8220" s="12" t="str">
        <x:v>Bengaluru</x:v>
      </x:c>
      <x:c r="E8220" s="12" t="str">
        <x:v>International Tech Park (ITPB)</x:v>
      </x:c>
      <x:c r="F8220" s="12" t="str">
        <x:v>55 inch</x:v>
      </x:c>
      <x:c r="G8220" s="20" t="n">
        <x:v>1</x:v>
      </x:c>
      <x:c r="H8220" s="12" t="str">
        <x:v>Campus/portfolio roster; individual building occupancy unverified</x:v>
      </x:c>
      <x:c r="I8220" s="12" t="str">
        <x:v>Mixed business audience</x:v>
      </x:c>
      <x:c r="J8220" s="12" t="str">
        <x:v>Engineering &amp; manufacturing</x:v>
      </x:c>
      <x:c r="K8220" s="2" t="str">
        <x:v>PARTNER-M002</x:v>
      </x:c>
    </x:row>
    <x:row r="8221" ht="46" customHeight="1">
      <x:c r="A8221" s="2" t="str">
        <x:v>TEN-EA30894BD53C</x:v>
      </x:c>
      <x:c r="B8221" s="12" t="str">
        <x:v>Alcatel-Lucent</x:v>
      </x:c>
      <x:c r="C8221" s="12" t="str">
        <x:v>CORP-0424</x:v>
      </x:c>
      <x:c r="D8221" s="12" t="str">
        <x:v>Bengaluru</x:v>
      </x:c>
      <x:c r="E8221" s="12" t="str">
        <x:v>International Tech Park (ITPB)</x:v>
      </x:c>
      <x:c r="F8221" s="12" t="str">
        <x:v>55 inch</x:v>
      </x:c>
      <x:c r="G8221" s="20" t="n">
        <x:v>1</x:v>
      </x:c>
      <x:c r="H8221" s="12" t="str">
        <x:v>Campus/portfolio roster; individual building occupancy unverified</x:v>
      </x:c>
      <x:c r="I8221" s="12" t="str">
        <x:v>Mixed business audience</x:v>
      </x:c>
      <x:c r="J8221" s="12" t="str">
        <x:v>IT &amp; digital</x:v>
      </x:c>
      <x:c r="K8221" s="2" t="str">
        <x:v>PARTNER-M002</x:v>
      </x:c>
    </x:row>
    <x:row r="8222" ht="46" customHeight="1">
      <x:c r="A8222" s="2" t="str">
        <x:v>TEN-EB2197E38208</x:v>
      </x:c>
      <x:c r="B8222" s="12" t="str">
        <x:v>Sycomp Technologies</x:v>
      </x:c>
      <x:c r="C8222" s="12" t="str">
        <x:v>CORP-0424</x:v>
      </x:c>
      <x:c r="D8222" s="12" t="str">
        <x:v>Bengaluru</x:v>
      </x:c>
      <x:c r="E8222" s="12" t="str">
        <x:v>International Tech Park (ITPB)</x:v>
      </x:c>
      <x:c r="F8222" s="12" t="str">
        <x:v>55 inch</x:v>
      </x:c>
      <x:c r="G8222" s="20" t="n">
        <x:v>1</x:v>
      </x:c>
      <x:c r="H8222" s="12" t="str">
        <x:v>Campus/portfolio roster; individual building occupancy unverified</x:v>
      </x:c>
      <x:c r="I8222" s="12" t="str">
        <x:v>Small-scale prospects</x:v>
      </x:c>
      <x:c r="J8222" s="12" t="str">
        <x:v>IT &amp; digital</x:v>
      </x:c>
      <x:c r="K8222" s="2" t="str">
        <x:v>PARTNER-M002</x:v>
      </x:c>
    </x:row>
    <x:row r="8223" ht="46" customHeight="1">
      <x:c r="A8223" s="2" t="str">
        <x:v>TEN-F4FDCAC4C72C</x:v>
      </x:c>
      <x:c r="B8223" s="12" t="str">
        <x:v>Mindsprint</x:v>
      </x:c>
      <x:c r="C8223" s="12" t="str">
        <x:v>CORP-0424</x:v>
      </x:c>
      <x:c r="D8223" s="12" t="str">
        <x:v>Bengaluru</x:v>
      </x:c>
      <x:c r="E8223" s="12" t="str">
        <x:v>International Tech Park (ITPB)</x:v>
      </x:c>
      <x:c r="F8223" s="12" t="str">
        <x:v>55 inch</x:v>
      </x:c>
      <x:c r="G8223" s="20" t="n">
        <x:v>1</x:v>
      </x:c>
      <x:c r="H8223" s="12" t="str">
        <x:v>Campus/portfolio roster; individual building occupancy unverified</x:v>
      </x:c>
      <x:c r="I8223" s="12" t="str">
        <x:v>Mixed business audience</x:v>
      </x:c>
      <x:c r="J8223" s="12" t="str">
        <x:v>IT &amp; digital</x:v>
      </x:c>
      <x:c r="K8223" s="2" t="str">
        <x:v>PARTNER-M002</x:v>
      </x:c>
    </x:row>
    <x:row r="8224" ht="46" customHeight="1">
      <x:c r="A8224" s="2" t="str">
        <x:v>TEN-08E64C0D11C6</x:v>
      </x:c>
      <x:c r="B8224" s="12" t="str">
        <x:v>Icon Clinical Research</x:v>
      </x:c>
      <x:c r="C8224" s="12" t="str">
        <x:v>CORP-0505</x:v>
      </x:c>
      <x:c r="D8224" s="12" t="str">
        <x:v>Bengaluru</x:v>
      </x:c>
      <x:c r="E8224" s="12" t="str">
        <x:v>Prestige Loka</x:v>
      </x:c>
      <x:c r="F8224" s="12" t="str">
        <x:v>55 inch</x:v>
      </x:c>
      <x:c r="G8224" s="20" t="n">
        <x:v>1</x:v>
      </x:c>
      <x:c r="H8224" s="12" t="str">
        <x:v>Campus/portfolio roster; individual building occupancy unverified</x:v>
      </x:c>
      <x:c r="I8224" s="12" t="str">
        <x:v>Mixed business audience</x:v>
      </x:c>
      <x:c r="J8224" s="12" t="str">
        <x:v>Healthcare &amp; life sciences</x:v>
      </x:c>
      <x:c r="K8224" s="2" t="str">
        <x:v>PARTNER-M082</x:v>
      </x:c>
    </x:row>
    <x:row r="8225" ht="46" customHeight="1">
      <x:c r="A8225" s="2" t="str">
        <x:v>TEN-15EFD5F168D9</x:v>
      </x:c>
      <x:c r="B8225" s="12" t="str">
        <x:v>IndiQube Innovent Spaces Pvt. Ltd</x:v>
      </x:c>
      <x:c r="C8225" s="12" t="str">
        <x:v>CORP-0505</x:v>
      </x:c>
      <x:c r="D8225" s="12" t="str">
        <x:v>Bengaluru</x:v>
      </x:c>
      <x:c r="E8225" s="12" t="str">
        <x:v>Prestige Loka</x:v>
      </x:c>
      <x:c r="F8225" s="12" t="str">
        <x:v>55 inch</x:v>
      </x:c>
      <x:c r="G8225" s="20" t="n">
        <x:v>1</x:v>
      </x:c>
      <x:c r="H8225" s="12" t="str">
        <x:v>Campus/portfolio roster; individual building occupancy unverified</x:v>
      </x:c>
      <x:c r="I8225" s="12" t="str">
        <x:v>Mixed business audience</x:v>
      </x:c>
      <x:c r="J8225" s="12" t="str">
        <x:v>Workspace &amp; property operations</x:v>
      </x:c>
      <x:c r="K8225" s="2" t="str">
        <x:v>PARTNER-M082</x:v>
      </x:c>
    </x:row>
    <x:row r="8226" ht="46" customHeight="1">
      <x:c r="A8226" s="2" t="str">
        <x:v>TEN-2B4B9D0C8F84</x:v>
      </x:c>
      <x:c r="B8226" s="12" t="str">
        <x:v>NTT DATA FA Insurance Systems</x:v>
      </x:c>
      <x:c r="C8226" s="12" t="str">
        <x:v>CORP-0505</x:v>
      </x:c>
      <x:c r="D8226" s="12" t="str">
        <x:v>Bengaluru</x:v>
      </x:c>
      <x:c r="E8226" s="12" t="str">
        <x:v>Prestige Loka</x:v>
      </x:c>
      <x:c r="F8226" s="12" t="str">
        <x:v>55 inch</x:v>
      </x:c>
      <x:c r="G8226" s="20" t="n">
        <x:v>1</x:v>
      </x:c>
      <x:c r="H8226" s="12" t="str">
        <x:v>Campus/portfolio roster; individual building occupancy unverified</x:v>
      </x:c>
      <x:c r="I8226" s="12" t="str">
        <x:v>Large enterprise</x:v>
      </x:c>
      <x:c r="J8226" s="12" t="str">
        <x:v>IT &amp; digital</x:v>
      </x:c>
      <x:c r="K8226" s="2" t="str">
        <x:v>PARTNER-M082</x:v>
      </x:c>
    </x:row>
    <x:row r="8227" ht="46" customHeight="1">
      <x:c r="A8227" s="2" t="str">
        <x:v>TEN-4F6598371E30</x:v>
      </x:c>
      <x:c r="B8227" s="12" t="str">
        <x:v>Godrej Properties</x:v>
      </x:c>
      <x:c r="C8227" s="12" t="str">
        <x:v>CORP-0505</x:v>
      </x:c>
      <x:c r="D8227" s="12" t="str">
        <x:v>Bengaluru</x:v>
      </x:c>
      <x:c r="E8227" s="12" t="str">
        <x:v>Prestige Loka</x:v>
      </x:c>
      <x:c r="F8227" s="12" t="str">
        <x:v>55 inch</x:v>
      </x:c>
      <x:c r="G8227" s="20" t="n">
        <x:v>1</x:v>
      </x:c>
      <x:c r="H8227" s="12" t="str">
        <x:v>Campus/portfolio roster; individual building occupancy unverified</x:v>
      </x:c>
      <x:c r="I8227" s="12" t="str">
        <x:v>Mixed business audience</x:v>
      </x:c>
      <x:c r="J8227" s="12" t="str">
        <x:v>Trade, consumer &amp; logistics</x:v>
      </x:c>
      <x:c r="K8227" s="2" t="str">
        <x:v>PARTNER-M082</x:v>
      </x:c>
    </x:row>
    <x:row r="8228" ht="46" customHeight="1">
      <x:c r="A8228" s="2" t="str">
        <x:v>TEN-58FBF46B6AEC</x:v>
      </x:c>
      <x:c r="B8228" s="12" t="str">
        <x:v>Allergan India</x:v>
      </x:c>
      <x:c r="C8228" s="12" t="str">
        <x:v>CORP-0505</x:v>
      </x:c>
      <x:c r="D8228" s="12" t="str">
        <x:v>Bengaluru</x:v>
      </x:c>
      <x:c r="E8228" s="12" t="str">
        <x:v>Prestige Loka</x:v>
      </x:c>
      <x:c r="F8228" s="12" t="str">
        <x:v>55 inch</x:v>
      </x:c>
      <x:c r="G8228" s="20" t="n">
        <x:v>1</x:v>
      </x:c>
      <x:c r="H8228" s="12" t="str">
        <x:v>Campus/portfolio roster; individual building occupancy unverified</x:v>
      </x:c>
      <x:c r="I8228" s="12" t="str">
        <x:v>Mixed business audience</x:v>
      </x:c>
      <x:c r="J8228" s="12" t="str">
        <x:v>Healthcare &amp; life sciences</x:v>
      </x:c>
      <x:c r="K8228" s="2" t="str">
        <x:v>PARTNER-M082</x:v>
      </x:c>
    </x:row>
    <x:row r="8229" ht="46" customHeight="1">
      <x:c r="A8229" s="2" t="str">
        <x:v>TEN-661026F81014</x:v>
      </x:c>
      <x:c r="B8229" s="12" t="str">
        <x:v>Frost and Sullivan India Pvt. Ltd</x:v>
      </x:c>
      <x:c r="C8229" s="12" t="str">
        <x:v>CORP-0505</x:v>
      </x:c>
      <x:c r="D8229" s="12" t="str">
        <x:v>Bengaluru</x:v>
      </x:c>
      <x:c r="E8229" s="12" t="str">
        <x:v>Prestige Loka</x:v>
      </x:c>
      <x:c r="F8229" s="12" t="str">
        <x:v>55 inch</x:v>
      </x:c>
      <x:c r="G8229" s="20" t="n">
        <x:v>1</x:v>
      </x:c>
      <x:c r="H8229" s="12" t="str">
        <x:v>Campus/portfolio roster; individual building occupancy unverified</x:v>
      </x:c>
      <x:c r="I8229" s="12" t="str">
        <x:v>Mixed business audience</x:v>
      </x:c>
      <x:c r="J8229" s="12" t="str">
        <x:v>Professional services</x:v>
      </x:c>
      <x:c r="K8229" s="2" t="str">
        <x:v>PARTNER-M082</x:v>
      </x:c>
    </x:row>
    <x:row r="8230" ht="46" customHeight="1">
      <x:c r="A8230" s="2" t="str">
        <x:v>TEN-67064F8C6165</x:v>
      </x:c>
      <x:c r="B8230" s="12" t="str">
        <x:v>iPass India</x:v>
      </x:c>
      <x:c r="C8230" s="12" t="str">
        <x:v>CORP-0505</x:v>
      </x:c>
      <x:c r="D8230" s="12" t="str">
        <x:v>Bengaluru</x:v>
      </x:c>
      <x:c r="E8230" s="12" t="str">
        <x:v>Prestige Loka</x:v>
      </x:c>
      <x:c r="F8230" s="12" t="str">
        <x:v>55 inch</x:v>
      </x:c>
      <x:c r="G8230" s="20" t="n">
        <x:v>1</x:v>
      </x:c>
      <x:c r="H8230" s="12" t="str">
        <x:v>Campus/portfolio roster; individual building occupancy unverified</x:v>
      </x:c>
      <x:c r="I8230" s="12" t="str">
        <x:v>Mixed business audience</x:v>
      </x:c>
      <x:c r="J8230" s="12" t="str">
        <x:v>IT &amp; digital</x:v>
      </x:c>
      <x:c r="K8230" s="2" t="str">
        <x:v>PARTNER-M082</x:v>
      </x:c>
    </x:row>
    <x:row r="8231" ht="46" customHeight="1">
      <x:c r="A8231" s="2" t="str">
        <x:v>TEN-6F67A144F472</x:v>
      </x:c>
      <x:c r="B8231" s="12" t="str">
        <x:v>Infinera India</x:v>
      </x:c>
      <x:c r="C8231" s="12" t="str">
        <x:v>CORP-0505</x:v>
      </x:c>
      <x:c r="D8231" s="12" t="str">
        <x:v>Bengaluru</x:v>
      </x:c>
      <x:c r="E8231" s="12" t="str">
        <x:v>Prestige Loka</x:v>
      </x:c>
      <x:c r="F8231" s="12" t="str">
        <x:v>55 inch</x:v>
      </x:c>
      <x:c r="G8231" s="20" t="n">
        <x:v>1</x:v>
      </x:c>
      <x:c r="H8231" s="12" t="str">
        <x:v>Campus/portfolio roster; individual building occupancy unverified</x:v>
      </x:c>
      <x:c r="I8231" s="12" t="str">
        <x:v>Mixed business audience</x:v>
      </x:c>
      <x:c r="J8231" s="12" t="str">
        <x:v>IT &amp; digital</x:v>
      </x:c>
      <x:c r="K8231" s="2" t="str">
        <x:v>PARTNER-M082</x:v>
      </x:c>
    </x:row>
    <x:row r="8232" ht="46" customHeight="1">
      <x:c r="A8232" s="2" t="str">
        <x:v>TEN-76F6B4C9D608</x:v>
      </x:c>
      <x:c r="B8232" s="12" t="str">
        <x:v>Saama Capital India Advisors LLP</x:v>
      </x:c>
      <x:c r="C8232" s="12" t="str">
        <x:v>CORP-0505</x:v>
      </x:c>
      <x:c r="D8232" s="12" t="str">
        <x:v>Bengaluru</x:v>
      </x:c>
      <x:c r="E8232" s="12" t="str">
        <x:v>Prestige Loka</x:v>
      </x:c>
      <x:c r="F8232" s="12" t="str">
        <x:v>55 inch</x:v>
      </x:c>
      <x:c r="G8232" s="20" t="n">
        <x:v>1</x:v>
      </x:c>
      <x:c r="H8232" s="12" t="str">
        <x:v>Campus/portfolio roster; individual building occupancy unverified</x:v>
      </x:c>
      <x:c r="I8232" s="12" t="str">
        <x:v>Small-scale prospects</x:v>
      </x:c>
      <x:c r="J8232" s="12" t="str">
        <x:v>Finance &amp; insurance</x:v>
      </x:c>
      <x:c r="K8232" s="2" t="str">
        <x:v>PARTNER-M082</x:v>
      </x:c>
    </x:row>
    <x:row r="8233" ht="46" customHeight="1">
      <x:c r="A8233" s="2" t="str">
        <x:v>TEN-805ACF45AED6</x:v>
      </x:c>
      <x:c r="B8233" s="12" t="str">
        <x:v>Mpowered Health Infotech</x:v>
      </x:c>
      <x:c r="C8233" s="12" t="str">
        <x:v>CORP-0505</x:v>
      </x:c>
      <x:c r="D8233" s="12" t="str">
        <x:v>Bengaluru</x:v>
      </x:c>
      <x:c r="E8233" s="12" t="str">
        <x:v>Prestige Loka</x:v>
      </x:c>
      <x:c r="F8233" s="12" t="str">
        <x:v>55 inch</x:v>
      </x:c>
      <x:c r="G8233" s="20" t="n">
        <x:v>1</x:v>
      </x:c>
      <x:c r="H8233" s="12" t="str">
        <x:v>Campus/portfolio roster; individual building occupancy unverified</x:v>
      </x:c>
      <x:c r="I8233" s="12" t="str">
        <x:v>Small-scale prospects</x:v>
      </x:c>
      <x:c r="J8233" s="12" t="str">
        <x:v>IT &amp; digital</x:v>
      </x:c>
      <x:c r="K8233" s="2" t="str">
        <x:v>PARTNER-M082</x:v>
      </x:c>
    </x:row>
    <x:row r="8234" ht="46" customHeight="1">
      <x:c r="A8234" s="2" t="str">
        <x:v>TEN-A186C4689964</x:v>
      </x:c>
      <x:c r="B8234" s="12" t="str">
        <x:v>IPpro Services India LLP</x:v>
      </x:c>
      <x:c r="C8234" s="12" t="str">
        <x:v>CORP-0505</x:v>
      </x:c>
      <x:c r="D8234" s="12" t="str">
        <x:v>Bengaluru</x:v>
      </x:c>
      <x:c r="E8234" s="12" t="str">
        <x:v>Prestige Loka</x:v>
      </x:c>
      <x:c r="F8234" s="12" t="str">
        <x:v>55 inch</x:v>
      </x:c>
      <x:c r="G8234" s="20" t="n">
        <x:v>1</x:v>
      </x:c>
      <x:c r="H8234" s="12" t="str">
        <x:v>Campus/portfolio roster; individual building occupancy unverified</x:v>
      </x:c>
      <x:c r="I8234" s="12" t="str">
        <x:v>Small-scale prospects</x:v>
      </x:c>
      <x:c r="J8234" s="12" t="str">
        <x:v>Professional services</x:v>
      </x:c>
      <x:c r="K8234" s="2" t="str">
        <x:v>PARTNER-M082</x:v>
      </x:c>
    </x:row>
    <x:row r="8235" ht="46" customHeight="1">
      <x:c r="A8235" s="2" t="str">
        <x:v>TEN-A1964DB0508A</x:v>
      </x:c>
      <x:c r="B8235" s="12" t="str">
        <x:v>an Awfis coworking space</x:v>
      </x:c>
      <x:c r="C8235" s="12" t="str">
        <x:v>CORP-0505</x:v>
      </x:c>
      <x:c r="D8235" s="12" t="str">
        <x:v>Bengaluru</x:v>
      </x:c>
      <x:c r="E8235" s="12" t="str">
        <x:v>Prestige Loka</x:v>
      </x:c>
      <x:c r="F8235" s="12" t="str">
        <x:v>55 inch</x:v>
      </x:c>
      <x:c r="G8235" s="20" t="n">
        <x:v>1</x:v>
      </x:c>
      <x:c r="H8235" s="12" t="str">
        <x:v>Campus/portfolio roster; individual building occupancy unverified</x:v>
      </x:c>
      <x:c r="I8235" s="12" t="str">
        <x:v>Mixed business audience</x:v>
      </x:c>
      <x:c r="J8235" s="12" t="str">
        <x:v>Workspace &amp; property operations</x:v>
      </x:c>
      <x:c r="K8235" s="2" t="str">
        <x:v>PARTNER-M082</x:v>
      </x:c>
    </x:row>
    <x:row r="8236" ht="46" customHeight="1">
      <x:c r="A8236" s="2" t="str">
        <x:v>TEN-A4AC77C95ACC</x:v>
      </x:c>
      <x:c r="B8236" s="12" t="str">
        <x:v>TRUGlobal Software India</x:v>
      </x:c>
      <x:c r="C8236" s="12" t="str">
        <x:v>CORP-0505</x:v>
      </x:c>
      <x:c r="D8236" s="12" t="str">
        <x:v>Bengaluru</x:v>
      </x:c>
      <x:c r="E8236" s="12" t="str">
        <x:v>Prestige Loka</x:v>
      </x:c>
      <x:c r="F8236" s="12" t="str">
        <x:v>55 inch</x:v>
      </x:c>
      <x:c r="G8236" s="20" t="n">
        <x:v>1</x:v>
      </x:c>
      <x:c r="H8236" s="12" t="str">
        <x:v>Campus/portfolio roster; individual building occupancy unverified</x:v>
      </x:c>
      <x:c r="I8236" s="12" t="str">
        <x:v>Small-scale prospects</x:v>
      </x:c>
      <x:c r="J8236" s="12" t="str">
        <x:v>IT &amp; digital</x:v>
      </x:c>
      <x:c r="K8236" s="2" t="str">
        <x:v>PARTNER-M082</x:v>
      </x:c>
    </x:row>
    <x:row r="8237" ht="46" customHeight="1">
      <x:c r="A8237" s="2" t="str">
        <x:v>TEN-AD63796AF1FB</x:v>
      </x:c>
      <x:c r="B8237" s="12" t="str">
        <x:v>Nishith Desai Associates</x:v>
      </x:c>
      <x:c r="C8237" s="12" t="str">
        <x:v>CORP-0505</x:v>
      </x:c>
      <x:c r="D8237" s="12" t="str">
        <x:v>Bengaluru</x:v>
      </x:c>
      <x:c r="E8237" s="12" t="str">
        <x:v>Prestige Loka</x:v>
      </x:c>
      <x:c r="F8237" s="12" t="str">
        <x:v>55 inch</x:v>
      </x:c>
      <x:c r="G8237" s="20" t="n">
        <x:v>1</x:v>
      </x:c>
      <x:c r="H8237" s="12" t="str">
        <x:v>Campus/portfolio roster; individual building occupancy unverified</x:v>
      </x:c>
      <x:c r="I8237" s="12" t="str">
        <x:v>Large enterprise</x:v>
      </x:c>
      <x:c r="J8237" s="12" t="str">
        <x:v>Professional services</x:v>
      </x:c>
      <x:c r="K8237" s="2" t="str">
        <x:v>PARTNER-M082</x:v>
      </x:c>
    </x:row>
    <x:row r="8238" ht="46" customHeight="1">
      <x:c r="A8238" s="2" t="str">
        <x:v>TEN-C4BDE5AF5978</x:v>
      </x:c>
      <x:c r="B8238" s="12" t="str">
        <x:v>Barracuda Networks</x:v>
      </x:c>
      <x:c r="C8238" s="12" t="str">
        <x:v>CORP-0505</x:v>
      </x:c>
      <x:c r="D8238" s="12" t="str">
        <x:v>Bengaluru</x:v>
      </x:c>
      <x:c r="E8238" s="12" t="str">
        <x:v>Prestige Loka</x:v>
      </x:c>
      <x:c r="F8238" s="12" t="str">
        <x:v>55 inch</x:v>
      </x:c>
      <x:c r="G8238" s="20" t="n">
        <x:v>1</x:v>
      </x:c>
      <x:c r="H8238" s="12" t="str">
        <x:v>Campus/portfolio roster; individual building occupancy unverified</x:v>
      </x:c>
      <x:c r="I8238" s="12" t="str">
        <x:v>Mixed business audience</x:v>
      </x:c>
      <x:c r="J8238" s="12" t="str">
        <x:v>IT &amp; digital</x:v>
      </x:c>
      <x:c r="K8238" s="2" t="str">
        <x:v>PARTNER-M082</x:v>
      </x:c>
    </x:row>
    <x:row r="8239" ht="46" customHeight="1">
      <x:c r="A8239" s="2" t="str">
        <x:v>TEN-CC5491F71AF2</x:v>
      </x:c>
      <x:c r="B8239" s="12" t="str">
        <x:v>Marlabs Software</x:v>
      </x:c>
      <x:c r="C8239" s="12" t="str">
        <x:v>CORP-0505</x:v>
      </x:c>
      <x:c r="D8239" s="12" t="str">
        <x:v>Bengaluru</x:v>
      </x:c>
      <x:c r="E8239" s="12" t="str">
        <x:v>Prestige Loka</x:v>
      </x:c>
      <x:c r="F8239" s="12" t="str">
        <x:v>55 inch</x:v>
      </x:c>
      <x:c r="G8239" s="20" t="n">
        <x:v>1</x:v>
      </x:c>
      <x:c r="H8239" s="12" t="str">
        <x:v>Campus/portfolio roster; individual building occupancy unverified</x:v>
      </x:c>
      <x:c r="I8239" s="12" t="str">
        <x:v>Mixed business audience</x:v>
      </x:c>
      <x:c r="J8239" s="12" t="str">
        <x:v>IT &amp; digital</x:v>
      </x:c>
      <x:c r="K8239" s="2" t="str">
        <x:v>PARTNER-M082</x:v>
      </x:c>
    </x:row>
    <x:row r="8240" ht="46" customHeight="1">
      <x:c r="A8240" s="2" t="str">
        <x:v>TEN-D5193353E49E</x:v>
      </x:c>
      <x:c r="B8240" s="12" t="str">
        <x:v>SVB India Advisors Ltd</x:v>
      </x:c>
      <x:c r="C8240" s="12" t="str">
        <x:v>CORP-0505</x:v>
      </x:c>
      <x:c r="D8240" s="12" t="str">
        <x:v>Bengaluru</x:v>
      </x:c>
      <x:c r="E8240" s="12" t="str">
        <x:v>Prestige Loka</x:v>
      </x:c>
      <x:c r="F8240" s="12" t="str">
        <x:v>55 inch</x:v>
      </x:c>
      <x:c r="G8240" s="20" t="n">
        <x:v>1</x:v>
      </x:c>
      <x:c r="H8240" s="12" t="str">
        <x:v>Campus/portfolio roster; individual building occupancy unverified</x:v>
      </x:c>
      <x:c r="I8240" s="12" t="str">
        <x:v>Mixed business audience</x:v>
      </x:c>
      <x:c r="J8240" s="12" t="str">
        <x:v>Finance &amp; insurance</x:v>
      </x:c>
      <x:c r="K8240" s="2" t="str">
        <x:v>PARTNER-M082</x:v>
      </x:c>
    </x:row>
    <x:row r="8241" ht="46" customHeight="1">
      <x:c r="A8241" s="2" t="str">
        <x:v>TEN-DEE80628077C</x:v>
      </x:c>
      <x:c r="B8241" s="12" t="str">
        <x:v>Indeed.co.in</x:v>
      </x:c>
      <x:c r="C8241" s="12" t="str">
        <x:v>CORP-0505</x:v>
      </x:c>
      <x:c r="D8241" s="12" t="str">
        <x:v>Bengaluru</x:v>
      </x:c>
      <x:c r="E8241" s="12" t="str">
        <x:v>Prestige Loka</x:v>
      </x:c>
      <x:c r="F8241" s="12" t="str">
        <x:v>55 inch</x:v>
      </x:c>
      <x:c r="G8241" s="20" t="n">
        <x:v>1</x:v>
      </x:c>
      <x:c r="H8241" s="12" t="str">
        <x:v>Campus/portfolio roster; individual building occupancy unverified</x:v>
      </x:c>
      <x:c r="I8241" s="12" t="str">
        <x:v>Mixed business audience</x:v>
      </x:c>
      <x:c r="J8241" s="12" t="str">
        <x:v>Professional services</x:v>
      </x:c>
      <x:c r="K8241" s="2" t="str">
        <x:v>PARTNER-M082</x:v>
      </x:c>
    </x:row>
    <x:row r="8242" ht="46" customHeight="1">
      <x:c r="A8242" s="2" t="str">
        <x:v>TEN-08E64C0D11C6</x:v>
      </x:c>
      <x:c r="B8242" s="12" t="str">
        <x:v>Icon Clinical Research</x:v>
      </x:c>
      <x:c r="C8242" s="12" t="str">
        <x:v>CORP-0506</x:v>
      </x:c>
      <x:c r="D8242" s="12" t="str">
        <x:v>Bengaluru</x:v>
      </x:c>
      <x:c r="E8242" s="12" t="str">
        <x:v>Prestige Emerald</x:v>
      </x:c>
      <x:c r="F8242" s="12" t="str">
        <x:v>55 inch</x:v>
      </x:c>
      <x:c r="G8242" s="20" t="n">
        <x:v>1</x:v>
      </x:c>
      <x:c r="H8242" s="12" t="str">
        <x:v>Campus/portfolio roster; individual building occupancy unverified</x:v>
      </x:c>
      <x:c r="I8242" s="12" t="str">
        <x:v>Mixed business audience</x:v>
      </x:c>
      <x:c r="J8242" s="12" t="str">
        <x:v>Healthcare &amp; life sciences</x:v>
      </x:c>
      <x:c r="K8242" s="2" t="str">
        <x:v>PARTNER-M082</x:v>
      </x:c>
    </x:row>
    <x:row r="8243" ht="46" customHeight="1">
      <x:c r="A8243" s="2" t="str">
        <x:v>TEN-15EFD5F168D9</x:v>
      </x:c>
      <x:c r="B8243" s="12" t="str">
        <x:v>IndiQube Innovent Spaces Pvt. Ltd</x:v>
      </x:c>
      <x:c r="C8243" s="12" t="str">
        <x:v>CORP-0506</x:v>
      </x:c>
      <x:c r="D8243" s="12" t="str">
        <x:v>Bengaluru</x:v>
      </x:c>
      <x:c r="E8243" s="12" t="str">
        <x:v>Prestige Emerald</x:v>
      </x:c>
      <x:c r="F8243" s="12" t="str">
        <x:v>55 inch</x:v>
      </x:c>
      <x:c r="G8243" s="20" t="n">
        <x:v>1</x:v>
      </x:c>
      <x:c r="H8243" s="12" t="str">
        <x:v>Campus/portfolio roster; individual building occupancy unverified</x:v>
      </x:c>
      <x:c r="I8243" s="12" t="str">
        <x:v>Mixed business audience</x:v>
      </x:c>
      <x:c r="J8243" s="12" t="str">
        <x:v>Workspace &amp; property operations</x:v>
      </x:c>
      <x:c r="K8243" s="2" t="str">
        <x:v>PARTNER-M082</x:v>
      </x:c>
    </x:row>
    <x:row r="8244" ht="46" customHeight="1">
      <x:c r="A8244" s="2" t="str">
        <x:v>TEN-2B4B9D0C8F84</x:v>
      </x:c>
      <x:c r="B8244" s="12" t="str">
        <x:v>NTT DATA FA Insurance Systems</x:v>
      </x:c>
      <x:c r="C8244" s="12" t="str">
        <x:v>CORP-0506</x:v>
      </x:c>
      <x:c r="D8244" s="12" t="str">
        <x:v>Bengaluru</x:v>
      </x:c>
      <x:c r="E8244" s="12" t="str">
        <x:v>Prestige Emerald</x:v>
      </x:c>
      <x:c r="F8244" s="12" t="str">
        <x:v>55 inch</x:v>
      </x:c>
      <x:c r="G8244" s="20" t="n">
        <x:v>1</x:v>
      </x:c>
      <x:c r="H8244" s="12" t="str">
        <x:v>Campus/portfolio roster; individual building occupancy unverified</x:v>
      </x:c>
      <x:c r="I8244" s="12" t="str">
        <x:v>Large enterprise</x:v>
      </x:c>
      <x:c r="J8244" s="12" t="str">
        <x:v>IT &amp; digital</x:v>
      </x:c>
      <x:c r="K8244" s="2" t="str">
        <x:v>PARTNER-M082</x:v>
      </x:c>
    </x:row>
    <x:row r="8245" ht="46" customHeight="1">
      <x:c r="A8245" s="2" t="str">
        <x:v>TEN-4F6598371E30</x:v>
      </x:c>
      <x:c r="B8245" s="12" t="str">
        <x:v>Godrej Properties</x:v>
      </x:c>
      <x:c r="C8245" s="12" t="str">
        <x:v>CORP-0506</x:v>
      </x:c>
      <x:c r="D8245" s="12" t="str">
        <x:v>Bengaluru</x:v>
      </x:c>
      <x:c r="E8245" s="12" t="str">
        <x:v>Prestige Emerald</x:v>
      </x:c>
      <x:c r="F8245" s="12" t="str">
        <x:v>55 inch</x:v>
      </x:c>
      <x:c r="G8245" s="20" t="n">
        <x:v>1</x:v>
      </x:c>
      <x:c r="H8245" s="12" t="str">
        <x:v>Campus/portfolio roster; individual building occupancy unverified</x:v>
      </x:c>
      <x:c r="I8245" s="12" t="str">
        <x:v>Mixed business audience</x:v>
      </x:c>
      <x:c r="J8245" s="12" t="str">
        <x:v>Trade, consumer &amp; logistics</x:v>
      </x:c>
      <x:c r="K8245" s="2" t="str">
        <x:v>PARTNER-M082</x:v>
      </x:c>
    </x:row>
    <x:row r="8246" ht="46" customHeight="1">
      <x:c r="A8246" s="2" t="str">
        <x:v>TEN-58FBF46B6AEC</x:v>
      </x:c>
      <x:c r="B8246" s="12" t="str">
        <x:v>Allergan India</x:v>
      </x:c>
      <x:c r="C8246" s="12" t="str">
        <x:v>CORP-0506</x:v>
      </x:c>
      <x:c r="D8246" s="12" t="str">
        <x:v>Bengaluru</x:v>
      </x:c>
      <x:c r="E8246" s="12" t="str">
        <x:v>Prestige Emerald</x:v>
      </x:c>
      <x:c r="F8246" s="12" t="str">
        <x:v>55 inch</x:v>
      </x:c>
      <x:c r="G8246" s="20" t="n">
        <x:v>1</x:v>
      </x:c>
      <x:c r="H8246" s="12" t="str">
        <x:v>Campus/portfolio roster; individual building occupancy unverified</x:v>
      </x:c>
      <x:c r="I8246" s="12" t="str">
        <x:v>Mixed business audience</x:v>
      </x:c>
      <x:c r="J8246" s="12" t="str">
        <x:v>Healthcare &amp; life sciences</x:v>
      </x:c>
      <x:c r="K8246" s="2" t="str">
        <x:v>PARTNER-M082</x:v>
      </x:c>
    </x:row>
    <x:row r="8247" ht="46" customHeight="1">
      <x:c r="A8247" s="2" t="str">
        <x:v>TEN-661026F81014</x:v>
      </x:c>
      <x:c r="B8247" s="12" t="str">
        <x:v>Frost and Sullivan India Pvt. Ltd</x:v>
      </x:c>
      <x:c r="C8247" s="12" t="str">
        <x:v>CORP-0506</x:v>
      </x:c>
      <x:c r="D8247" s="12" t="str">
        <x:v>Bengaluru</x:v>
      </x:c>
      <x:c r="E8247" s="12" t="str">
        <x:v>Prestige Emerald</x:v>
      </x:c>
      <x:c r="F8247" s="12" t="str">
        <x:v>55 inch</x:v>
      </x:c>
      <x:c r="G8247" s="20" t="n">
        <x:v>1</x:v>
      </x:c>
      <x:c r="H8247" s="12" t="str">
        <x:v>Campus/portfolio roster; individual building occupancy unverified</x:v>
      </x:c>
      <x:c r="I8247" s="12" t="str">
        <x:v>Mixed business audience</x:v>
      </x:c>
      <x:c r="J8247" s="12" t="str">
        <x:v>Professional services</x:v>
      </x:c>
      <x:c r="K8247" s="2" t="str">
        <x:v>PARTNER-M082</x:v>
      </x:c>
    </x:row>
    <x:row r="8248" ht="46" customHeight="1">
      <x:c r="A8248" s="2" t="str">
        <x:v>TEN-67064F8C6165</x:v>
      </x:c>
      <x:c r="B8248" s="12" t="str">
        <x:v>iPass India</x:v>
      </x:c>
      <x:c r="C8248" s="12" t="str">
        <x:v>CORP-0506</x:v>
      </x:c>
      <x:c r="D8248" s="12" t="str">
        <x:v>Bengaluru</x:v>
      </x:c>
      <x:c r="E8248" s="12" t="str">
        <x:v>Prestige Emerald</x:v>
      </x:c>
      <x:c r="F8248" s="12" t="str">
        <x:v>55 inch</x:v>
      </x:c>
      <x:c r="G8248" s="20" t="n">
        <x:v>1</x:v>
      </x:c>
      <x:c r="H8248" s="12" t="str">
        <x:v>Campus/portfolio roster; individual building occupancy unverified</x:v>
      </x:c>
      <x:c r="I8248" s="12" t="str">
        <x:v>Mixed business audience</x:v>
      </x:c>
      <x:c r="J8248" s="12" t="str">
        <x:v>IT &amp; digital</x:v>
      </x:c>
      <x:c r="K8248" s="2" t="str">
        <x:v>PARTNER-M082</x:v>
      </x:c>
    </x:row>
    <x:row r="8249" ht="46" customHeight="1">
      <x:c r="A8249" s="2" t="str">
        <x:v>TEN-6F67A144F472</x:v>
      </x:c>
      <x:c r="B8249" s="12" t="str">
        <x:v>Infinera India</x:v>
      </x:c>
      <x:c r="C8249" s="12" t="str">
        <x:v>CORP-0506</x:v>
      </x:c>
      <x:c r="D8249" s="12" t="str">
        <x:v>Bengaluru</x:v>
      </x:c>
      <x:c r="E8249" s="12" t="str">
        <x:v>Prestige Emerald</x:v>
      </x:c>
      <x:c r="F8249" s="12" t="str">
        <x:v>55 inch</x:v>
      </x:c>
      <x:c r="G8249" s="20" t="n">
        <x:v>1</x:v>
      </x:c>
      <x:c r="H8249" s="12" t="str">
        <x:v>Campus/portfolio roster; individual building occupancy unverified</x:v>
      </x:c>
      <x:c r="I8249" s="12" t="str">
        <x:v>Mixed business audience</x:v>
      </x:c>
      <x:c r="J8249" s="12" t="str">
        <x:v>IT &amp; digital</x:v>
      </x:c>
      <x:c r="K8249" s="2" t="str">
        <x:v>PARTNER-M082</x:v>
      </x:c>
    </x:row>
    <x:row r="8250" ht="46" customHeight="1">
      <x:c r="A8250" s="2" t="str">
        <x:v>TEN-76F6B4C9D608</x:v>
      </x:c>
      <x:c r="B8250" s="12" t="str">
        <x:v>Saama Capital India Advisors LLP</x:v>
      </x:c>
      <x:c r="C8250" s="12" t="str">
        <x:v>CORP-0506</x:v>
      </x:c>
      <x:c r="D8250" s="12" t="str">
        <x:v>Bengaluru</x:v>
      </x:c>
      <x:c r="E8250" s="12" t="str">
        <x:v>Prestige Emerald</x:v>
      </x:c>
      <x:c r="F8250" s="12" t="str">
        <x:v>55 inch</x:v>
      </x:c>
      <x:c r="G8250" s="20" t="n">
        <x:v>1</x:v>
      </x:c>
      <x:c r="H8250" s="12" t="str">
        <x:v>Campus/portfolio roster; individual building occupancy unverified</x:v>
      </x:c>
      <x:c r="I8250" s="12" t="str">
        <x:v>Small-scale prospects</x:v>
      </x:c>
      <x:c r="J8250" s="12" t="str">
        <x:v>Finance &amp; insurance</x:v>
      </x:c>
      <x:c r="K8250" s="2" t="str">
        <x:v>PARTNER-M082</x:v>
      </x:c>
    </x:row>
    <x:row r="8251" ht="46" customHeight="1">
      <x:c r="A8251" s="2" t="str">
        <x:v>TEN-805ACF45AED6</x:v>
      </x:c>
      <x:c r="B8251" s="12" t="str">
        <x:v>Mpowered Health Infotech</x:v>
      </x:c>
      <x:c r="C8251" s="12" t="str">
        <x:v>CORP-0506</x:v>
      </x:c>
      <x:c r="D8251" s="12" t="str">
        <x:v>Bengaluru</x:v>
      </x:c>
      <x:c r="E8251" s="12" t="str">
        <x:v>Prestige Emerald</x:v>
      </x:c>
      <x:c r="F8251" s="12" t="str">
        <x:v>55 inch</x:v>
      </x:c>
      <x:c r="G8251" s="20" t="n">
        <x:v>1</x:v>
      </x:c>
      <x:c r="H8251" s="12" t="str">
        <x:v>Campus/portfolio roster; individual building occupancy unverified</x:v>
      </x:c>
      <x:c r="I8251" s="12" t="str">
        <x:v>Small-scale prospects</x:v>
      </x:c>
      <x:c r="J8251" s="12" t="str">
        <x:v>IT &amp; digital</x:v>
      </x:c>
      <x:c r="K8251" s="2" t="str">
        <x:v>PARTNER-M082</x:v>
      </x:c>
    </x:row>
    <x:row r="8252" ht="46" customHeight="1">
      <x:c r="A8252" s="2" t="str">
        <x:v>TEN-A186C4689964</x:v>
      </x:c>
      <x:c r="B8252" s="12" t="str">
        <x:v>IPpro Services India LLP</x:v>
      </x:c>
      <x:c r="C8252" s="12" t="str">
        <x:v>CORP-0506</x:v>
      </x:c>
      <x:c r="D8252" s="12" t="str">
        <x:v>Bengaluru</x:v>
      </x:c>
      <x:c r="E8252" s="12" t="str">
        <x:v>Prestige Emerald</x:v>
      </x:c>
      <x:c r="F8252" s="12" t="str">
        <x:v>55 inch</x:v>
      </x:c>
      <x:c r="G8252" s="20" t="n">
        <x:v>1</x:v>
      </x:c>
      <x:c r="H8252" s="12" t="str">
        <x:v>Campus/portfolio roster; individual building occupancy unverified</x:v>
      </x:c>
      <x:c r="I8252" s="12" t="str">
        <x:v>Small-scale prospects</x:v>
      </x:c>
      <x:c r="J8252" s="12" t="str">
        <x:v>Professional services</x:v>
      </x:c>
      <x:c r="K8252" s="2" t="str">
        <x:v>PARTNER-M082</x:v>
      </x:c>
    </x:row>
    <x:row r="8253" ht="46" customHeight="1">
      <x:c r="A8253" s="2" t="str">
        <x:v>TEN-A1964DB0508A</x:v>
      </x:c>
      <x:c r="B8253" s="12" t="str">
        <x:v>an Awfis coworking space</x:v>
      </x:c>
      <x:c r="C8253" s="12" t="str">
        <x:v>CORP-0506</x:v>
      </x:c>
      <x:c r="D8253" s="12" t="str">
        <x:v>Bengaluru</x:v>
      </x:c>
      <x:c r="E8253" s="12" t="str">
        <x:v>Prestige Emerald</x:v>
      </x:c>
      <x:c r="F8253" s="12" t="str">
        <x:v>55 inch</x:v>
      </x:c>
      <x:c r="G8253" s="20" t="n">
        <x:v>1</x:v>
      </x:c>
      <x:c r="H8253" s="12" t="str">
        <x:v>Campus/portfolio roster; individual building occupancy unverified</x:v>
      </x:c>
      <x:c r="I8253" s="12" t="str">
        <x:v>Mixed business audience</x:v>
      </x:c>
      <x:c r="J8253" s="12" t="str">
        <x:v>Workspace &amp; property operations</x:v>
      </x:c>
      <x:c r="K8253" s="2" t="str">
        <x:v>PARTNER-M082</x:v>
      </x:c>
    </x:row>
    <x:row r="8254" ht="46" customHeight="1">
      <x:c r="A8254" s="2" t="str">
        <x:v>TEN-A4AC77C95ACC</x:v>
      </x:c>
      <x:c r="B8254" s="12" t="str">
        <x:v>TRUGlobal Software India</x:v>
      </x:c>
      <x:c r="C8254" s="12" t="str">
        <x:v>CORP-0506</x:v>
      </x:c>
      <x:c r="D8254" s="12" t="str">
        <x:v>Bengaluru</x:v>
      </x:c>
      <x:c r="E8254" s="12" t="str">
        <x:v>Prestige Emerald</x:v>
      </x:c>
      <x:c r="F8254" s="12" t="str">
        <x:v>55 inch</x:v>
      </x:c>
      <x:c r="G8254" s="20" t="n">
        <x:v>1</x:v>
      </x:c>
      <x:c r="H8254" s="12" t="str">
        <x:v>Campus/portfolio roster; individual building occupancy unverified</x:v>
      </x:c>
      <x:c r="I8254" s="12" t="str">
        <x:v>Small-scale prospects</x:v>
      </x:c>
      <x:c r="J8254" s="12" t="str">
        <x:v>IT &amp; digital</x:v>
      </x:c>
      <x:c r="K8254" s="2" t="str">
        <x:v>PARTNER-M082</x:v>
      </x:c>
    </x:row>
    <x:row r="8255" ht="46" customHeight="1">
      <x:c r="A8255" s="2" t="str">
        <x:v>TEN-AD63796AF1FB</x:v>
      </x:c>
      <x:c r="B8255" s="12" t="str">
        <x:v>Nishith Desai Associates</x:v>
      </x:c>
      <x:c r="C8255" s="12" t="str">
        <x:v>CORP-0506</x:v>
      </x:c>
      <x:c r="D8255" s="12" t="str">
        <x:v>Bengaluru</x:v>
      </x:c>
      <x:c r="E8255" s="12" t="str">
        <x:v>Prestige Emerald</x:v>
      </x:c>
      <x:c r="F8255" s="12" t="str">
        <x:v>55 inch</x:v>
      </x:c>
      <x:c r="G8255" s="20" t="n">
        <x:v>1</x:v>
      </x:c>
      <x:c r="H8255" s="12" t="str">
        <x:v>Campus/portfolio roster; individual building occupancy unverified</x:v>
      </x:c>
      <x:c r="I8255" s="12" t="str">
        <x:v>Large enterprise</x:v>
      </x:c>
      <x:c r="J8255" s="12" t="str">
        <x:v>Professional services</x:v>
      </x:c>
      <x:c r="K8255" s="2" t="str">
        <x:v>PARTNER-M082</x:v>
      </x:c>
    </x:row>
    <x:row r="8256" ht="46" customHeight="1">
      <x:c r="A8256" s="2" t="str">
        <x:v>TEN-C4BDE5AF5978</x:v>
      </x:c>
      <x:c r="B8256" s="12" t="str">
        <x:v>Barracuda Networks</x:v>
      </x:c>
      <x:c r="C8256" s="12" t="str">
        <x:v>CORP-0506</x:v>
      </x:c>
      <x:c r="D8256" s="12" t="str">
        <x:v>Bengaluru</x:v>
      </x:c>
      <x:c r="E8256" s="12" t="str">
        <x:v>Prestige Emerald</x:v>
      </x:c>
      <x:c r="F8256" s="12" t="str">
        <x:v>55 inch</x:v>
      </x:c>
      <x:c r="G8256" s="20" t="n">
        <x:v>1</x:v>
      </x:c>
      <x:c r="H8256" s="12" t="str">
        <x:v>Campus/portfolio roster; individual building occupancy unverified</x:v>
      </x:c>
      <x:c r="I8256" s="12" t="str">
        <x:v>Mixed business audience</x:v>
      </x:c>
      <x:c r="J8256" s="12" t="str">
        <x:v>IT &amp; digital</x:v>
      </x:c>
      <x:c r="K8256" s="2" t="str">
        <x:v>PARTNER-M082</x:v>
      </x:c>
    </x:row>
    <x:row r="8257" ht="46" customHeight="1">
      <x:c r="A8257" s="2" t="str">
        <x:v>TEN-CC5491F71AF2</x:v>
      </x:c>
      <x:c r="B8257" s="12" t="str">
        <x:v>Marlabs Software</x:v>
      </x:c>
      <x:c r="C8257" s="12" t="str">
        <x:v>CORP-0506</x:v>
      </x:c>
      <x:c r="D8257" s="12" t="str">
        <x:v>Bengaluru</x:v>
      </x:c>
      <x:c r="E8257" s="12" t="str">
        <x:v>Prestige Emerald</x:v>
      </x:c>
      <x:c r="F8257" s="12" t="str">
        <x:v>55 inch</x:v>
      </x:c>
      <x:c r="G8257" s="20" t="n">
        <x:v>1</x:v>
      </x:c>
      <x:c r="H8257" s="12" t="str">
        <x:v>Campus/portfolio roster; individual building occupancy unverified</x:v>
      </x:c>
      <x:c r="I8257" s="12" t="str">
        <x:v>Mixed business audience</x:v>
      </x:c>
      <x:c r="J8257" s="12" t="str">
        <x:v>IT &amp; digital</x:v>
      </x:c>
      <x:c r="K8257" s="2" t="str">
        <x:v>PARTNER-M082</x:v>
      </x:c>
    </x:row>
    <x:row r="8258" ht="46" customHeight="1">
      <x:c r="A8258" s="2" t="str">
        <x:v>TEN-D5193353E49E</x:v>
      </x:c>
      <x:c r="B8258" s="12" t="str">
        <x:v>SVB India Advisors Ltd</x:v>
      </x:c>
      <x:c r="C8258" s="12" t="str">
        <x:v>CORP-0506</x:v>
      </x:c>
      <x:c r="D8258" s="12" t="str">
        <x:v>Bengaluru</x:v>
      </x:c>
      <x:c r="E8258" s="12" t="str">
        <x:v>Prestige Emerald</x:v>
      </x:c>
      <x:c r="F8258" s="12" t="str">
        <x:v>55 inch</x:v>
      </x:c>
      <x:c r="G8258" s="20" t="n">
        <x:v>1</x:v>
      </x:c>
      <x:c r="H8258" s="12" t="str">
        <x:v>Campus/portfolio roster; individual building occupancy unverified</x:v>
      </x:c>
      <x:c r="I8258" s="12" t="str">
        <x:v>Mixed business audience</x:v>
      </x:c>
      <x:c r="J8258" s="12" t="str">
        <x:v>Finance &amp; insurance</x:v>
      </x:c>
      <x:c r="K8258" s="2" t="str">
        <x:v>PARTNER-M082</x:v>
      </x:c>
    </x:row>
    <x:row r="8259" ht="46" customHeight="1">
      <x:c r="A8259" s="2" t="str">
        <x:v>TEN-DEE80628077C</x:v>
      </x:c>
      <x:c r="B8259" s="12" t="str">
        <x:v>Indeed.co.in</x:v>
      </x:c>
      <x:c r="C8259" s="12" t="str">
        <x:v>CORP-0506</x:v>
      </x:c>
      <x:c r="D8259" s="12" t="str">
        <x:v>Bengaluru</x:v>
      </x:c>
      <x:c r="E8259" s="12" t="str">
        <x:v>Prestige Emerald</x:v>
      </x:c>
      <x:c r="F8259" s="12" t="str">
        <x:v>55 inch</x:v>
      </x:c>
      <x:c r="G8259" s="20" t="n">
        <x:v>1</x:v>
      </x:c>
      <x:c r="H8259" s="12" t="str">
        <x:v>Campus/portfolio roster; individual building occupancy unverified</x:v>
      </x:c>
      <x:c r="I8259" s="12" t="str">
        <x:v>Mixed business audience</x:v>
      </x:c>
      <x:c r="J8259" s="12" t="str">
        <x:v>Professional services</x:v>
      </x:c>
      <x:c r="K8259" s="2" t="str">
        <x:v>PARTNER-M082</x:v>
      </x:c>
    </x:row>
    <x:row r="8260" ht="46" customHeight="1">
      <x:c r="A8260" s="2" t="str">
        <x:v>TEN-08E64C0D11C6</x:v>
      </x:c>
      <x:c r="B8260" s="12" t="str">
        <x:v>Icon Clinical Research</x:v>
      </x:c>
      <x:c r="C8260" s="12" t="str">
        <x:v>CORP-0507</x:v>
      </x:c>
      <x:c r="D8260" s="12" t="str">
        <x:v>Bengaluru</x:v>
      </x:c>
      <x:c r="E8260" s="12" t="str">
        <x:v>Prestige Emerald</x:v>
      </x:c>
      <x:c r="F8260" s="12" t="str">
        <x:v>55 inch</x:v>
      </x:c>
      <x:c r="G8260" s="20" t="n">
        <x:v>1</x:v>
      </x:c>
      <x:c r="H8260" s="12" t="str">
        <x:v>Campus/portfolio roster; individual building occupancy unverified</x:v>
      </x:c>
      <x:c r="I8260" s="12" t="str">
        <x:v>Mixed business audience</x:v>
      </x:c>
      <x:c r="J8260" s="12" t="str">
        <x:v>Healthcare &amp; life sciences</x:v>
      </x:c>
      <x:c r="K8260" s="2" t="str">
        <x:v>PARTNER-M082</x:v>
      </x:c>
    </x:row>
    <x:row r="8261" ht="46" customHeight="1">
      <x:c r="A8261" s="2" t="str">
        <x:v>TEN-15EFD5F168D9</x:v>
      </x:c>
      <x:c r="B8261" s="12" t="str">
        <x:v>IndiQube Innovent Spaces Pvt. Ltd</x:v>
      </x:c>
      <x:c r="C8261" s="12" t="str">
        <x:v>CORP-0507</x:v>
      </x:c>
      <x:c r="D8261" s="12" t="str">
        <x:v>Bengaluru</x:v>
      </x:c>
      <x:c r="E8261" s="12" t="str">
        <x:v>Prestige Emerald</x:v>
      </x:c>
      <x:c r="F8261" s="12" t="str">
        <x:v>55 inch</x:v>
      </x:c>
      <x:c r="G8261" s="20" t="n">
        <x:v>1</x:v>
      </x:c>
      <x:c r="H8261" s="12" t="str">
        <x:v>Campus/portfolio roster; individual building occupancy unverified</x:v>
      </x:c>
      <x:c r="I8261" s="12" t="str">
        <x:v>Mixed business audience</x:v>
      </x:c>
      <x:c r="J8261" s="12" t="str">
        <x:v>Workspace &amp; property operations</x:v>
      </x:c>
      <x:c r="K8261" s="2" t="str">
        <x:v>PARTNER-M082</x:v>
      </x:c>
    </x:row>
    <x:row r="8262" ht="46" customHeight="1">
      <x:c r="A8262" s="2" t="str">
        <x:v>TEN-2B4B9D0C8F84</x:v>
      </x:c>
      <x:c r="B8262" s="12" t="str">
        <x:v>NTT DATA FA Insurance Systems</x:v>
      </x:c>
      <x:c r="C8262" s="12" t="str">
        <x:v>CORP-0507</x:v>
      </x:c>
      <x:c r="D8262" s="12" t="str">
        <x:v>Bengaluru</x:v>
      </x:c>
      <x:c r="E8262" s="12" t="str">
        <x:v>Prestige Emerald</x:v>
      </x:c>
      <x:c r="F8262" s="12" t="str">
        <x:v>55 inch</x:v>
      </x:c>
      <x:c r="G8262" s="20" t="n">
        <x:v>1</x:v>
      </x:c>
      <x:c r="H8262" s="12" t="str">
        <x:v>Campus/portfolio roster; individual building occupancy unverified</x:v>
      </x:c>
      <x:c r="I8262" s="12" t="str">
        <x:v>Large enterprise</x:v>
      </x:c>
      <x:c r="J8262" s="12" t="str">
        <x:v>IT &amp; digital</x:v>
      </x:c>
      <x:c r="K8262" s="2" t="str">
        <x:v>PARTNER-M082</x:v>
      </x:c>
    </x:row>
    <x:row r="8263" ht="46" customHeight="1">
      <x:c r="A8263" s="2" t="str">
        <x:v>TEN-4F6598371E30</x:v>
      </x:c>
      <x:c r="B8263" s="12" t="str">
        <x:v>Godrej Properties</x:v>
      </x:c>
      <x:c r="C8263" s="12" t="str">
        <x:v>CORP-0507</x:v>
      </x:c>
      <x:c r="D8263" s="12" t="str">
        <x:v>Bengaluru</x:v>
      </x:c>
      <x:c r="E8263" s="12" t="str">
        <x:v>Prestige Emerald</x:v>
      </x:c>
      <x:c r="F8263" s="12" t="str">
        <x:v>55 inch</x:v>
      </x:c>
      <x:c r="G8263" s="20" t="n">
        <x:v>1</x:v>
      </x:c>
      <x:c r="H8263" s="12" t="str">
        <x:v>Campus/portfolio roster; individual building occupancy unverified</x:v>
      </x:c>
      <x:c r="I8263" s="12" t="str">
        <x:v>Mixed business audience</x:v>
      </x:c>
      <x:c r="J8263" s="12" t="str">
        <x:v>Trade, consumer &amp; logistics</x:v>
      </x:c>
      <x:c r="K8263" s="2" t="str">
        <x:v>PARTNER-M082</x:v>
      </x:c>
    </x:row>
    <x:row r="8264" ht="46" customHeight="1">
      <x:c r="A8264" s="2" t="str">
        <x:v>TEN-58FBF46B6AEC</x:v>
      </x:c>
      <x:c r="B8264" s="12" t="str">
        <x:v>Allergan India</x:v>
      </x:c>
      <x:c r="C8264" s="12" t="str">
        <x:v>CORP-0507</x:v>
      </x:c>
      <x:c r="D8264" s="12" t="str">
        <x:v>Bengaluru</x:v>
      </x:c>
      <x:c r="E8264" s="12" t="str">
        <x:v>Prestige Emerald</x:v>
      </x:c>
      <x:c r="F8264" s="12" t="str">
        <x:v>55 inch</x:v>
      </x:c>
      <x:c r="G8264" s="20" t="n">
        <x:v>1</x:v>
      </x:c>
      <x:c r="H8264" s="12" t="str">
        <x:v>Campus/portfolio roster; individual building occupancy unverified</x:v>
      </x:c>
      <x:c r="I8264" s="12" t="str">
        <x:v>Mixed business audience</x:v>
      </x:c>
      <x:c r="J8264" s="12" t="str">
        <x:v>Healthcare &amp; life sciences</x:v>
      </x:c>
      <x:c r="K8264" s="2" t="str">
        <x:v>PARTNER-M082</x:v>
      </x:c>
    </x:row>
    <x:row r="8265" ht="46" customHeight="1">
      <x:c r="A8265" s="2" t="str">
        <x:v>TEN-661026F81014</x:v>
      </x:c>
      <x:c r="B8265" s="12" t="str">
        <x:v>Frost and Sullivan India Pvt. Ltd</x:v>
      </x:c>
      <x:c r="C8265" s="12" t="str">
        <x:v>CORP-0507</x:v>
      </x:c>
      <x:c r="D8265" s="12" t="str">
        <x:v>Bengaluru</x:v>
      </x:c>
      <x:c r="E8265" s="12" t="str">
        <x:v>Prestige Emerald</x:v>
      </x:c>
      <x:c r="F8265" s="12" t="str">
        <x:v>55 inch</x:v>
      </x:c>
      <x:c r="G8265" s="20" t="n">
        <x:v>1</x:v>
      </x:c>
      <x:c r="H8265" s="12" t="str">
        <x:v>Campus/portfolio roster; individual building occupancy unverified</x:v>
      </x:c>
      <x:c r="I8265" s="12" t="str">
        <x:v>Mixed business audience</x:v>
      </x:c>
      <x:c r="J8265" s="12" t="str">
        <x:v>Professional services</x:v>
      </x:c>
      <x:c r="K8265" s="2" t="str">
        <x:v>PARTNER-M082</x:v>
      </x:c>
    </x:row>
    <x:row r="8266" ht="46" customHeight="1">
      <x:c r="A8266" s="2" t="str">
        <x:v>TEN-67064F8C6165</x:v>
      </x:c>
      <x:c r="B8266" s="12" t="str">
        <x:v>iPass India</x:v>
      </x:c>
      <x:c r="C8266" s="12" t="str">
        <x:v>CORP-0507</x:v>
      </x:c>
      <x:c r="D8266" s="12" t="str">
        <x:v>Bengaluru</x:v>
      </x:c>
      <x:c r="E8266" s="12" t="str">
        <x:v>Prestige Emerald</x:v>
      </x:c>
      <x:c r="F8266" s="12" t="str">
        <x:v>55 inch</x:v>
      </x:c>
      <x:c r="G8266" s="20" t="n">
        <x:v>1</x:v>
      </x:c>
      <x:c r="H8266" s="12" t="str">
        <x:v>Campus/portfolio roster; individual building occupancy unverified</x:v>
      </x:c>
      <x:c r="I8266" s="12" t="str">
        <x:v>Mixed business audience</x:v>
      </x:c>
      <x:c r="J8266" s="12" t="str">
        <x:v>IT &amp; digital</x:v>
      </x:c>
      <x:c r="K8266" s="2" t="str">
        <x:v>PARTNER-M082</x:v>
      </x:c>
    </x:row>
    <x:row r="8267" ht="46" customHeight="1">
      <x:c r="A8267" s="2" t="str">
        <x:v>TEN-6F67A144F472</x:v>
      </x:c>
      <x:c r="B8267" s="12" t="str">
        <x:v>Infinera India</x:v>
      </x:c>
      <x:c r="C8267" s="12" t="str">
        <x:v>CORP-0507</x:v>
      </x:c>
      <x:c r="D8267" s="12" t="str">
        <x:v>Bengaluru</x:v>
      </x:c>
      <x:c r="E8267" s="12" t="str">
        <x:v>Prestige Emerald</x:v>
      </x:c>
      <x:c r="F8267" s="12" t="str">
        <x:v>55 inch</x:v>
      </x:c>
      <x:c r="G8267" s="20" t="n">
        <x:v>1</x:v>
      </x:c>
      <x:c r="H8267" s="12" t="str">
        <x:v>Campus/portfolio roster; individual building occupancy unverified</x:v>
      </x:c>
      <x:c r="I8267" s="12" t="str">
        <x:v>Mixed business audience</x:v>
      </x:c>
      <x:c r="J8267" s="12" t="str">
        <x:v>IT &amp; digital</x:v>
      </x:c>
      <x:c r="K8267" s="2" t="str">
        <x:v>PARTNER-M082</x:v>
      </x:c>
    </x:row>
    <x:row r="8268" ht="46" customHeight="1">
      <x:c r="A8268" s="2" t="str">
        <x:v>TEN-76F6B4C9D608</x:v>
      </x:c>
      <x:c r="B8268" s="12" t="str">
        <x:v>Saama Capital India Advisors LLP</x:v>
      </x:c>
      <x:c r="C8268" s="12" t="str">
        <x:v>CORP-0507</x:v>
      </x:c>
      <x:c r="D8268" s="12" t="str">
        <x:v>Bengaluru</x:v>
      </x:c>
      <x:c r="E8268" s="12" t="str">
        <x:v>Prestige Emerald</x:v>
      </x:c>
      <x:c r="F8268" s="12" t="str">
        <x:v>55 inch</x:v>
      </x:c>
      <x:c r="G8268" s="20" t="n">
        <x:v>1</x:v>
      </x:c>
      <x:c r="H8268" s="12" t="str">
        <x:v>Campus/portfolio roster; individual building occupancy unverified</x:v>
      </x:c>
      <x:c r="I8268" s="12" t="str">
        <x:v>Small-scale prospects</x:v>
      </x:c>
      <x:c r="J8268" s="12" t="str">
        <x:v>Finance &amp; insurance</x:v>
      </x:c>
      <x:c r="K8268" s="2" t="str">
        <x:v>PARTNER-M082</x:v>
      </x:c>
    </x:row>
    <x:row r="8269" ht="46" customHeight="1">
      <x:c r="A8269" s="2" t="str">
        <x:v>TEN-805ACF45AED6</x:v>
      </x:c>
      <x:c r="B8269" s="12" t="str">
        <x:v>Mpowered Health Infotech</x:v>
      </x:c>
      <x:c r="C8269" s="12" t="str">
        <x:v>CORP-0507</x:v>
      </x:c>
      <x:c r="D8269" s="12" t="str">
        <x:v>Bengaluru</x:v>
      </x:c>
      <x:c r="E8269" s="12" t="str">
        <x:v>Prestige Emerald</x:v>
      </x:c>
      <x:c r="F8269" s="12" t="str">
        <x:v>55 inch</x:v>
      </x:c>
      <x:c r="G8269" s="20" t="n">
        <x:v>1</x:v>
      </x:c>
      <x:c r="H8269" s="12" t="str">
        <x:v>Campus/portfolio roster; individual building occupancy unverified</x:v>
      </x:c>
      <x:c r="I8269" s="12" t="str">
        <x:v>Small-scale prospects</x:v>
      </x:c>
      <x:c r="J8269" s="12" t="str">
        <x:v>IT &amp; digital</x:v>
      </x:c>
      <x:c r="K8269" s="2" t="str">
        <x:v>PARTNER-M082</x:v>
      </x:c>
    </x:row>
    <x:row r="8270" ht="46" customHeight="1">
      <x:c r="A8270" s="2" t="str">
        <x:v>TEN-A186C4689964</x:v>
      </x:c>
      <x:c r="B8270" s="12" t="str">
        <x:v>IPpro Services India LLP</x:v>
      </x:c>
      <x:c r="C8270" s="12" t="str">
        <x:v>CORP-0507</x:v>
      </x:c>
      <x:c r="D8270" s="12" t="str">
        <x:v>Bengaluru</x:v>
      </x:c>
      <x:c r="E8270" s="12" t="str">
        <x:v>Prestige Emerald</x:v>
      </x:c>
      <x:c r="F8270" s="12" t="str">
        <x:v>55 inch</x:v>
      </x:c>
      <x:c r="G8270" s="20" t="n">
        <x:v>1</x:v>
      </x:c>
      <x:c r="H8270" s="12" t="str">
        <x:v>Campus/portfolio roster; individual building occupancy unverified</x:v>
      </x:c>
      <x:c r="I8270" s="12" t="str">
        <x:v>Small-scale prospects</x:v>
      </x:c>
      <x:c r="J8270" s="12" t="str">
        <x:v>Professional services</x:v>
      </x:c>
      <x:c r="K8270" s="2" t="str">
        <x:v>PARTNER-M082</x:v>
      </x:c>
    </x:row>
    <x:row r="8271" ht="46" customHeight="1">
      <x:c r="A8271" s="2" t="str">
        <x:v>TEN-A1964DB0508A</x:v>
      </x:c>
      <x:c r="B8271" s="12" t="str">
        <x:v>an Awfis coworking space</x:v>
      </x:c>
      <x:c r="C8271" s="12" t="str">
        <x:v>CORP-0507</x:v>
      </x:c>
      <x:c r="D8271" s="12" t="str">
        <x:v>Bengaluru</x:v>
      </x:c>
      <x:c r="E8271" s="12" t="str">
        <x:v>Prestige Emerald</x:v>
      </x:c>
      <x:c r="F8271" s="12" t="str">
        <x:v>55 inch</x:v>
      </x:c>
      <x:c r="G8271" s="20" t="n">
        <x:v>1</x:v>
      </x:c>
      <x:c r="H8271" s="12" t="str">
        <x:v>Campus/portfolio roster; individual building occupancy unverified</x:v>
      </x:c>
      <x:c r="I8271" s="12" t="str">
        <x:v>Mixed business audience</x:v>
      </x:c>
      <x:c r="J8271" s="12" t="str">
        <x:v>Workspace &amp; property operations</x:v>
      </x:c>
      <x:c r="K8271" s="2" t="str">
        <x:v>PARTNER-M082</x:v>
      </x:c>
    </x:row>
    <x:row r="8272" ht="46" customHeight="1">
      <x:c r="A8272" s="2" t="str">
        <x:v>TEN-A4AC77C95ACC</x:v>
      </x:c>
      <x:c r="B8272" s="12" t="str">
        <x:v>TRUGlobal Software India</x:v>
      </x:c>
      <x:c r="C8272" s="12" t="str">
        <x:v>CORP-0507</x:v>
      </x:c>
      <x:c r="D8272" s="12" t="str">
        <x:v>Bengaluru</x:v>
      </x:c>
      <x:c r="E8272" s="12" t="str">
        <x:v>Prestige Emerald</x:v>
      </x:c>
      <x:c r="F8272" s="12" t="str">
        <x:v>55 inch</x:v>
      </x:c>
      <x:c r="G8272" s="20" t="n">
        <x:v>1</x:v>
      </x:c>
      <x:c r="H8272" s="12" t="str">
        <x:v>Campus/portfolio roster; individual building occupancy unverified</x:v>
      </x:c>
      <x:c r="I8272" s="12" t="str">
        <x:v>Small-scale prospects</x:v>
      </x:c>
      <x:c r="J8272" s="12" t="str">
        <x:v>IT &amp; digital</x:v>
      </x:c>
      <x:c r="K8272" s="2" t="str">
        <x:v>PARTNER-M082</x:v>
      </x:c>
    </x:row>
    <x:row r="8273" ht="46" customHeight="1">
      <x:c r="A8273" s="2" t="str">
        <x:v>TEN-AD63796AF1FB</x:v>
      </x:c>
      <x:c r="B8273" s="12" t="str">
        <x:v>Nishith Desai Associates</x:v>
      </x:c>
      <x:c r="C8273" s="12" t="str">
        <x:v>CORP-0507</x:v>
      </x:c>
      <x:c r="D8273" s="12" t="str">
        <x:v>Bengaluru</x:v>
      </x:c>
      <x:c r="E8273" s="12" t="str">
        <x:v>Prestige Emerald</x:v>
      </x:c>
      <x:c r="F8273" s="12" t="str">
        <x:v>55 inch</x:v>
      </x:c>
      <x:c r="G8273" s="20" t="n">
        <x:v>1</x:v>
      </x:c>
      <x:c r="H8273" s="12" t="str">
        <x:v>Campus/portfolio roster; individual building occupancy unverified</x:v>
      </x:c>
      <x:c r="I8273" s="12" t="str">
        <x:v>Large enterprise</x:v>
      </x:c>
      <x:c r="J8273" s="12" t="str">
        <x:v>Professional services</x:v>
      </x:c>
      <x:c r="K8273" s="2" t="str">
        <x:v>PARTNER-M082</x:v>
      </x:c>
    </x:row>
    <x:row r="8274" ht="46" customHeight="1">
      <x:c r="A8274" s="2" t="str">
        <x:v>TEN-C4BDE5AF5978</x:v>
      </x:c>
      <x:c r="B8274" s="12" t="str">
        <x:v>Barracuda Networks</x:v>
      </x:c>
      <x:c r="C8274" s="12" t="str">
        <x:v>CORP-0507</x:v>
      </x:c>
      <x:c r="D8274" s="12" t="str">
        <x:v>Bengaluru</x:v>
      </x:c>
      <x:c r="E8274" s="12" t="str">
        <x:v>Prestige Emerald</x:v>
      </x:c>
      <x:c r="F8274" s="12" t="str">
        <x:v>55 inch</x:v>
      </x:c>
      <x:c r="G8274" s="20" t="n">
        <x:v>1</x:v>
      </x:c>
      <x:c r="H8274" s="12" t="str">
        <x:v>Campus/portfolio roster; individual building occupancy unverified</x:v>
      </x:c>
      <x:c r="I8274" s="12" t="str">
        <x:v>Mixed business audience</x:v>
      </x:c>
      <x:c r="J8274" s="12" t="str">
        <x:v>IT &amp; digital</x:v>
      </x:c>
      <x:c r="K8274" s="2" t="str">
        <x:v>PARTNER-M082</x:v>
      </x:c>
    </x:row>
    <x:row r="8275" ht="46" customHeight="1">
      <x:c r="A8275" s="2" t="str">
        <x:v>TEN-CC5491F71AF2</x:v>
      </x:c>
      <x:c r="B8275" s="12" t="str">
        <x:v>Marlabs Software</x:v>
      </x:c>
      <x:c r="C8275" s="12" t="str">
        <x:v>CORP-0507</x:v>
      </x:c>
      <x:c r="D8275" s="12" t="str">
        <x:v>Bengaluru</x:v>
      </x:c>
      <x:c r="E8275" s="12" t="str">
        <x:v>Prestige Emerald</x:v>
      </x:c>
      <x:c r="F8275" s="12" t="str">
        <x:v>55 inch</x:v>
      </x:c>
      <x:c r="G8275" s="20" t="n">
        <x:v>1</x:v>
      </x:c>
      <x:c r="H8275" s="12" t="str">
        <x:v>Campus/portfolio roster; individual building occupancy unverified</x:v>
      </x:c>
      <x:c r="I8275" s="12" t="str">
        <x:v>Mixed business audience</x:v>
      </x:c>
      <x:c r="J8275" s="12" t="str">
        <x:v>IT &amp; digital</x:v>
      </x:c>
      <x:c r="K8275" s="2" t="str">
        <x:v>PARTNER-M082</x:v>
      </x:c>
    </x:row>
    <x:row r="8276" ht="46" customHeight="1">
      <x:c r="A8276" s="2" t="str">
        <x:v>TEN-D5193353E49E</x:v>
      </x:c>
      <x:c r="B8276" s="12" t="str">
        <x:v>SVB India Advisors Ltd</x:v>
      </x:c>
      <x:c r="C8276" s="12" t="str">
        <x:v>CORP-0507</x:v>
      </x:c>
      <x:c r="D8276" s="12" t="str">
        <x:v>Bengaluru</x:v>
      </x:c>
      <x:c r="E8276" s="12" t="str">
        <x:v>Prestige Emerald</x:v>
      </x:c>
      <x:c r="F8276" s="12" t="str">
        <x:v>55 inch</x:v>
      </x:c>
      <x:c r="G8276" s="20" t="n">
        <x:v>1</x:v>
      </x:c>
      <x:c r="H8276" s="12" t="str">
        <x:v>Campus/portfolio roster; individual building occupancy unverified</x:v>
      </x:c>
      <x:c r="I8276" s="12" t="str">
        <x:v>Mixed business audience</x:v>
      </x:c>
      <x:c r="J8276" s="12" t="str">
        <x:v>Finance &amp; insurance</x:v>
      </x:c>
      <x:c r="K8276" s="2" t="str">
        <x:v>PARTNER-M082</x:v>
      </x:c>
    </x:row>
    <x:row r="8277" ht="46" customHeight="1">
      <x:c r="A8277" s="2" t="str">
        <x:v>TEN-DEE80628077C</x:v>
      </x:c>
      <x:c r="B8277" s="12" t="str">
        <x:v>Indeed.co.in</x:v>
      </x:c>
      <x:c r="C8277" s="12" t="str">
        <x:v>CORP-0507</x:v>
      </x:c>
      <x:c r="D8277" s="12" t="str">
        <x:v>Bengaluru</x:v>
      </x:c>
      <x:c r="E8277" s="12" t="str">
        <x:v>Prestige Emerald</x:v>
      </x:c>
      <x:c r="F8277" s="12" t="str">
        <x:v>55 inch</x:v>
      </x:c>
      <x:c r="G8277" s="20" t="n">
        <x:v>1</x:v>
      </x:c>
      <x:c r="H8277" s="12" t="str">
        <x:v>Campus/portfolio roster; individual building occupancy unverified</x:v>
      </x:c>
      <x:c r="I8277" s="12" t="str">
        <x:v>Mixed business audience</x:v>
      </x:c>
      <x:c r="J8277" s="12" t="str">
        <x:v>Professional services</x:v>
      </x:c>
      <x:c r="K8277" s="2" t="str">
        <x:v>PARTNER-M082</x:v>
      </x:c>
    </x:row>
    <x:row r="8278" ht="46" customHeight="1">
      <x:c r="A8278" s="2" t="str">
        <x:v>TEN-08E64C0D11C6</x:v>
      </x:c>
      <x:c r="B8278" s="12" t="str">
        <x:v>Icon Clinical Research</x:v>
      </x:c>
      <x:c r="C8278" s="12" t="str">
        <x:v>CORP-0508</x:v>
      </x:c>
      <x:c r="D8278" s="12" t="str">
        <x:v>Bengaluru</x:v>
      </x:c>
      <x:c r="E8278" s="12" t="str">
        <x:v>Prestige Emerald</x:v>
      </x:c>
      <x:c r="F8278" s="12" t="str">
        <x:v>55 inch</x:v>
      </x:c>
      <x:c r="G8278" s="20" t="n">
        <x:v>1</x:v>
      </x:c>
      <x:c r="H8278" s="12" t="str">
        <x:v>Campus/portfolio roster; individual building occupancy unverified</x:v>
      </x:c>
      <x:c r="I8278" s="12" t="str">
        <x:v>Mixed business audience</x:v>
      </x:c>
      <x:c r="J8278" s="12" t="str">
        <x:v>Healthcare &amp; life sciences</x:v>
      </x:c>
      <x:c r="K8278" s="2" t="str">
        <x:v>PARTNER-M082</x:v>
      </x:c>
    </x:row>
    <x:row r="8279" ht="46" customHeight="1">
      <x:c r="A8279" s="2" t="str">
        <x:v>TEN-15EFD5F168D9</x:v>
      </x:c>
      <x:c r="B8279" s="12" t="str">
        <x:v>IndiQube Innovent Spaces Pvt. Ltd</x:v>
      </x:c>
      <x:c r="C8279" s="12" t="str">
        <x:v>CORP-0508</x:v>
      </x:c>
      <x:c r="D8279" s="12" t="str">
        <x:v>Bengaluru</x:v>
      </x:c>
      <x:c r="E8279" s="12" t="str">
        <x:v>Prestige Emerald</x:v>
      </x:c>
      <x:c r="F8279" s="12" t="str">
        <x:v>55 inch</x:v>
      </x:c>
      <x:c r="G8279" s="20" t="n">
        <x:v>1</x:v>
      </x:c>
      <x:c r="H8279" s="12" t="str">
        <x:v>Campus/portfolio roster; individual building occupancy unverified</x:v>
      </x:c>
      <x:c r="I8279" s="12" t="str">
        <x:v>Mixed business audience</x:v>
      </x:c>
      <x:c r="J8279" s="12" t="str">
        <x:v>Workspace &amp; property operations</x:v>
      </x:c>
      <x:c r="K8279" s="2" t="str">
        <x:v>PARTNER-M082</x:v>
      </x:c>
    </x:row>
    <x:row r="8280" ht="46" customHeight="1">
      <x:c r="A8280" s="2" t="str">
        <x:v>TEN-2B4B9D0C8F84</x:v>
      </x:c>
      <x:c r="B8280" s="12" t="str">
        <x:v>NTT DATA FA Insurance Systems</x:v>
      </x:c>
      <x:c r="C8280" s="12" t="str">
        <x:v>CORP-0508</x:v>
      </x:c>
      <x:c r="D8280" s="12" t="str">
        <x:v>Bengaluru</x:v>
      </x:c>
      <x:c r="E8280" s="12" t="str">
        <x:v>Prestige Emerald</x:v>
      </x:c>
      <x:c r="F8280" s="12" t="str">
        <x:v>55 inch</x:v>
      </x:c>
      <x:c r="G8280" s="20" t="n">
        <x:v>1</x:v>
      </x:c>
      <x:c r="H8280" s="12" t="str">
        <x:v>Campus/portfolio roster; individual building occupancy unverified</x:v>
      </x:c>
      <x:c r="I8280" s="12" t="str">
        <x:v>Large enterprise</x:v>
      </x:c>
      <x:c r="J8280" s="12" t="str">
        <x:v>IT &amp; digital</x:v>
      </x:c>
      <x:c r="K8280" s="2" t="str">
        <x:v>PARTNER-M082</x:v>
      </x:c>
    </x:row>
    <x:row r="8281" ht="46" customHeight="1">
      <x:c r="A8281" s="2" t="str">
        <x:v>TEN-4F6598371E30</x:v>
      </x:c>
      <x:c r="B8281" s="12" t="str">
        <x:v>Godrej Properties</x:v>
      </x:c>
      <x:c r="C8281" s="12" t="str">
        <x:v>CORP-0508</x:v>
      </x:c>
      <x:c r="D8281" s="12" t="str">
        <x:v>Bengaluru</x:v>
      </x:c>
      <x:c r="E8281" s="12" t="str">
        <x:v>Prestige Emerald</x:v>
      </x:c>
      <x:c r="F8281" s="12" t="str">
        <x:v>55 inch</x:v>
      </x:c>
      <x:c r="G8281" s="20" t="n">
        <x:v>1</x:v>
      </x:c>
      <x:c r="H8281" s="12" t="str">
        <x:v>Campus/portfolio roster; individual building occupancy unverified</x:v>
      </x:c>
      <x:c r="I8281" s="12" t="str">
        <x:v>Mixed business audience</x:v>
      </x:c>
      <x:c r="J8281" s="12" t="str">
        <x:v>Trade, consumer &amp; logistics</x:v>
      </x:c>
      <x:c r="K8281" s="2" t="str">
        <x:v>PARTNER-M082</x:v>
      </x:c>
    </x:row>
    <x:row r="8282" ht="46" customHeight="1">
      <x:c r="A8282" s="2" t="str">
        <x:v>TEN-58FBF46B6AEC</x:v>
      </x:c>
      <x:c r="B8282" s="12" t="str">
        <x:v>Allergan India</x:v>
      </x:c>
      <x:c r="C8282" s="12" t="str">
        <x:v>CORP-0508</x:v>
      </x:c>
      <x:c r="D8282" s="12" t="str">
        <x:v>Bengaluru</x:v>
      </x:c>
      <x:c r="E8282" s="12" t="str">
        <x:v>Prestige Emerald</x:v>
      </x:c>
      <x:c r="F8282" s="12" t="str">
        <x:v>55 inch</x:v>
      </x:c>
      <x:c r="G8282" s="20" t="n">
        <x:v>1</x:v>
      </x:c>
      <x:c r="H8282" s="12" t="str">
        <x:v>Campus/portfolio roster; individual building occupancy unverified</x:v>
      </x:c>
      <x:c r="I8282" s="12" t="str">
        <x:v>Mixed business audience</x:v>
      </x:c>
      <x:c r="J8282" s="12" t="str">
        <x:v>Healthcare &amp; life sciences</x:v>
      </x:c>
      <x:c r="K8282" s="2" t="str">
        <x:v>PARTNER-M082</x:v>
      </x:c>
    </x:row>
    <x:row r="8283" ht="46" customHeight="1">
      <x:c r="A8283" s="2" t="str">
        <x:v>TEN-661026F81014</x:v>
      </x:c>
      <x:c r="B8283" s="12" t="str">
        <x:v>Frost and Sullivan India Pvt. Ltd</x:v>
      </x:c>
      <x:c r="C8283" s="12" t="str">
        <x:v>CORP-0508</x:v>
      </x:c>
      <x:c r="D8283" s="12" t="str">
        <x:v>Bengaluru</x:v>
      </x:c>
      <x:c r="E8283" s="12" t="str">
        <x:v>Prestige Emerald</x:v>
      </x:c>
      <x:c r="F8283" s="12" t="str">
        <x:v>55 inch</x:v>
      </x:c>
      <x:c r="G8283" s="20" t="n">
        <x:v>1</x:v>
      </x:c>
      <x:c r="H8283" s="12" t="str">
        <x:v>Campus/portfolio roster; individual building occupancy unverified</x:v>
      </x:c>
      <x:c r="I8283" s="12" t="str">
        <x:v>Mixed business audience</x:v>
      </x:c>
      <x:c r="J8283" s="12" t="str">
        <x:v>Professional services</x:v>
      </x:c>
      <x:c r="K8283" s="2" t="str">
        <x:v>PARTNER-M082</x:v>
      </x:c>
    </x:row>
    <x:row r="8284" ht="46" customHeight="1">
      <x:c r="A8284" s="2" t="str">
        <x:v>TEN-67064F8C6165</x:v>
      </x:c>
      <x:c r="B8284" s="12" t="str">
        <x:v>iPass India</x:v>
      </x:c>
      <x:c r="C8284" s="12" t="str">
        <x:v>CORP-0508</x:v>
      </x:c>
      <x:c r="D8284" s="12" t="str">
        <x:v>Bengaluru</x:v>
      </x:c>
      <x:c r="E8284" s="12" t="str">
        <x:v>Prestige Emerald</x:v>
      </x:c>
      <x:c r="F8284" s="12" t="str">
        <x:v>55 inch</x:v>
      </x:c>
      <x:c r="G8284" s="20" t="n">
        <x:v>1</x:v>
      </x:c>
      <x:c r="H8284" s="12" t="str">
        <x:v>Campus/portfolio roster; individual building occupancy unverified</x:v>
      </x:c>
      <x:c r="I8284" s="12" t="str">
        <x:v>Mixed business audience</x:v>
      </x:c>
      <x:c r="J8284" s="12" t="str">
        <x:v>IT &amp; digital</x:v>
      </x:c>
      <x:c r="K8284" s="2" t="str">
        <x:v>PARTNER-M082</x:v>
      </x:c>
    </x:row>
    <x:row r="8285" ht="46" customHeight="1">
      <x:c r="A8285" s="2" t="str">
        <x:v>TEN-6F67A144F472</x:v>
      </x:c>
      <x:c r="B8285" s="12" t="str">
        <x:v>Infinera India</x:v>
      </x:c>
      <x:c r="C8285" s="12" t="str">
        <x:v>CORP-0508</x:v>
      </x:c>
      <x:c r="D8285" s="12" t="str">
        <x:v>Bengaluru</x:v>
      </x:c>
      <x:c r="E8285" s="12" t="str">
        <x:v>Prestige Emerald</x:v>
      </x:c>
      <x:c r="F8285" s="12" t="str">
        <x:v>55 inch</x:v>
      </x:c>
      <x:c r="G8285" s="20" t="n">
        <x:v>1</x:v>
      </x:c>
      <x:c r="H8285" s="12" t="str">
        <x:v>Campus/portfolio roster; individual building occupancy unverified</x:v>
      </x:c>
      <x:c r="I8285" s="12" t="str">
        <x:v>Mixed business audience</x:v>
      </x:c>
      <x:c r="J8285" s="12" t="str">
        <x:v>IT &amp; digital</x:v>
      </x:c>
      <x:c r="K8285" s="2" t="str">
        <x:v>PARTNER-M082</x:v>
      </x:c>
    </x:row>
    <x:row r="8286" ht="46" customHeight="1">
      <x:c r="A8286" s="2" t="str">
        <x:v>TEN-76F6B4C9D608</x:v>
      </x:c>
      <x:c r="B8286" s="12" t="str">
        <x:v>Saama Capital India Advisors LLP</x:v>
      </x:c>
      <x:c r="C8286" s="12" t="str">
        <x:v>CORP-0508</x:v>
      </x:c>
      <x:c r="D8286" s="12" t="str">
        <x:v>Bengaluru</x:v>
      </x:c>
      <x:c r="E8286" s="12" t="str">
        <x:v>Prestige Emerald</x:v>
      </x:c>
      <x:c r="F8286" s="12" t="str">
        <x:v>55 inch</x:v>
      </x:c>
      <x:c r="G8286" s="20" t="n">
        <x:v>1</x:v>
      </x:c>
      <x:c r="H8286" s="12" t="str">
        <x:v>Campus/portfolio roster; individual building occupancy unverified</x:v>
      </x:c>
      <x:c r="I8286" s="12" t="str">
        <x:v>Small-scale prospects</x:v>
      </x:c>
      <x:c r="J8286" s="12" t="str">
        <x:v>Finance &amp; insurance</x:v>
      </x:c>
      <x:c r="K8286" s="2" t="str">
        <x:v>PARTNER-M082</x:v>
      </x:c>
    </x:row>
    <x:row r="8287" ht="46" customHeight="1">
      <x:c r="A8287" s="2" t="str">
        <x:v>TEN-805ACF45AED6</x:v>
      </x:c>
      <x:c r="B8287" s="12" t="str">
        <x:v>Mpowered Health Infotech</x:v>
      </x:c>
      <x:c r="C8287" s="12" t="str">
        <x:v>CORP-0508</x:v>
      </x:c>
      <x:c r="D8287" s="12" t="str">
        <x:v>Bengaluru</x:v>
      </x:c>
      <x:c r="E8287" s="12" t="str">
        <x:v>Prestige Emerald</x:v>
      </x:c>
      <x:c r="F8287" s="12" t="str">
        <x:v>55 inch</x:v>
      </x:c>
      <x:c r="G8287" s="20" t="n">
        <x:v>1</x:v>
      </x:c>
      <x:c r="H8287" s="12" t="str">
        <x:v>Campus/portfolio roster; individual building occupancy unverified</x:v>
      </x:c>
      <x:c r="I8287" s="12" t="str">
        <x:v>Small-scale prospects</x:v>
      </x:c>
      <x:c r="J8287" s="12" t="str">
        <x:v>IT &amp; digital</x:v>
      </x:c>
      <x:c r="K8287" s="2" t="str">
        <x:v>PARTNER-M082</x:v>
      </x:c>
    </x:row>
    <x:row r="8288" ht="46" customHeight="1">
      <x:c r="A8288" s="2" t="str">
        <x:v>TEN-A186C4689964</x:v>
      </x:c>
      <x:c r="B8288" s="12" t="str">
        <x:v>IPpro Services India LLP</x:v>
      </x:c>
      <x:c r="C8288" s="12" t="str">
        <x:v>CORP-0508</x:v>
      </x:c>
      <x:c r="D8288" s="12" t="str">
        <x:v>Bengaluru</x:v>
      </x:c>
      <x:c r="E8288" s="12" t="str">
        <x:v>Prestige Emerald</x:v>
      </x:c>
      <x:c r="F8288" s="12" t="str">
        <x:v>55 inch</x:v>
      </x:c>
      <x:c r="G8288" s="20" t="n">
        <x:v>1</x:v>
      </x:c>
      <x:c r="H8288" s="12" t="str">
        <x:v>Campus/portfolio roster; individual building occupancy unverified</x:v>
      </x:c>
      <x:c r="I8288" s="12" t="str">
        <x:v>Small-scale prospects</x:v>
      </x:c>
      <x:c r="J8288" s="12" t="str">
        <x:v>Professional services</x:v>
      </x:c>
      <x:c r="K8288" s="2" t="str">
        <x:v>PARTNER-M082</x:v>
      </x:c>
    </x:row>
    <x:row r="8289" ht="46" customHeight="1">
      <x:c r="A8289" s="2" t="str">
        <x:v>TEN-A1964DB0508A</x:v>
      </x:c>
      <x:c r="B8289" s="12" t="str">
        <x:v>an Awfis coworking space</x:v>
      </x:c>
      <x:c r="C8289" s="12" t="str">
        <x:v>CORP-0508</x:v>
      </x:c>
      <x:c r="D8289" s="12" t="str">
        <x:v>Bengaluru</x:v>
      </x:c>
      <x:c r="E8289" s="12" t="str">
        <x:v>Prestige Emerald</x:v>
      </x:c>
      <x:c r="F8289" s="12" t="str">
        <x:v>55 inch</x:v>
      </x:c>
      <x:c r="G8289" s="20" t="n">
        <x:v>1</x:v>
      </x:c>
      <x:c r="H8289" s="12" t="str">
        <x:v>Campus/portfolio roster; individual building occupancy unverified</x:v>
      </x:c>
      <x:c r="I8289" s="12" t="str">
        <x:v>Mixed business audience</x:v>
      </x:c>
      <x:c r="J8289" s="12" t="str">
        <x:v>Workspace &amp; property operations</x:v>
      </x:c>
      <x:c r="K8289" s="2" t="str">
        <x:v>PARTNER-M082</x:v>
      </x:c>
    </x:row>
    <x:row r="8290" ht="46" customHeight="1">
      <x:c r="A8290" s="2" t="str">
        <x:v>TEN-A4AC77C95ACC</x:v>
      </x:c>
      <x:c r="B8290" s="12" t="str">
        <x:v>TRUGlobal Software India</x:v>
      </x:c>
      <x:c r="C8290" s="12" t="str">
        <x:v>CORP-0508</x:v>
      </x:c>
      <x:c r="D8290" s="12" t="str">
        <x:v>Bengaluru</x:v>
      </x:c>
      <x:c r="E8290" s="12" t="str">
        <x:v>Prestige Emerald</x:v>
      </x:c>
      <x:c r="F8290" s="12" t="str">
        <x:v>55 inch</x:v>
      </x:c>
      <x:c r="G8290" s="20" t="n">
        <x:v>1</x:v>
      </x:c>
      <x:c r="H8290" s="12" t="str">
        <x:v>Campus/portfolio roster; individual building occupancy unverified</x:v>
      </x:c>
      <x:c r="I8290" s="12" t="str">
        <x:v>Small-scale prospects</x:v>
      </x:c>
      <x:c r="J8290" s="12" t="str">
        <x:v>IT &amp; digital</x:v>
      </x:c>
      <x:c r="K8290" s="2" t="str">
        <x:v>PARTNER-M082</x:v>
      </x:c>
    </x:row>
    <x:row r="8291" ht="46" customHeight="1">
      <x:c r="A8291" s="2" t="str">
        <x:v>TEN-AD63796AF1FB</x:v>
      </x:c>
      <x:c r="B8291" s="12" t="str">
        <x:v>Nishith Desai Associates</x:v>
      </x:c>
      <x:c r="C8291" s="12" t="str">
        <x:v>CORP-0508</x:v>
      </x:c>
      <x:c r="D8291" s="12" t="str">
        <x:v>Bengaluru</x:v>
      </x:c>
      <x:c r="E8291" s="12" t="str">
        <x:v>Prestige Emerald</x:v>
      </x:c>
      <x:c r="F8291" s="12" t="str">
        <x:v>55 inch</x:v>
      </x:c>
      <x:c r="G8291" s="20" t="n">
        <x:v>1</x:v>
      </x:c>
      <x:c r="H8291" s="12" t="str">
        <x:v>Campus/portfolio roster; individual building occupancy unverified</x:v>
      </x:c>
      <x:c r="I8291" s="12" t="str">
        <x:v>Large enterprise</x:v>
      </x:c>
      <x:c r="J8291" s="12" t="str">
        <x:v>Professional services</x:v>
      </x:c>
      <x:c r="K8291" s="2" t="str">
        <x:v>PARTNER-M082</x:v>
      </x:c>
    </x:row>
    <x:row r="8292" ht="46" customHeight="1">
      <x:c r="A8292" s="2" t="str">
        <x:v>TEN-C4BDE5AF5978</x:v>
      </x:c>
      <x:c r="B8292" s="12" t="str">
        <x:v>Barracuda Networks</x:v>
      </x:c>
      <x:c r="C8292" s="12" t="str">
        <x:v>CORP-0508</x:v>
      </x:c>
      <x:c r="D8292" s="12" t="str">
        <x:v>Bengaluru</x:v>
      </x:c>
      <x:c r="E8292" s="12" t="str">
        <x:v>Prestige Emerald</x:v>
      </x:c>
      <x:c r="F8292" s="12" t="str">
        <x:v>55 inch</x:v>
      </x:c>
      <x:c r="G8292" s="20" t="n">
        <x:v>1</x:v>
      </x:c>
      <x:c r="H8292" s="12" t="str">
        <x:v>Campus/portfolio roster; individual building occupancy unverified</x:v>
      </x:c>
      <x:c r="I8292" s="12" t="str">
        <x:v>Mixed business audience</x:v>
      </x:c>
      <x:c r="J8292" s="12" t="str">
        <x:v>IT &amp; digital</x:v>
      </x:c>
      <x:c r="K8292" s="2" t="str">
        <x:v>PARTNER-M082</x:v>
      </x:c>
    </x:row>
    <x:row r="8293" ht="46" customHeight="1">
      <x:c r="A8293" s="2" t="str">
        <x:v>TEN-CC5491F71AF2</x:v>
      </x:c>
      <x:c r="B8293" s="12" t="str">
        <x:v>Marlabs Software</x:v>
      </x:c>
      <x:c r="C8293" s="12" t="str">
        <x:v>CORP-0508</x:v>
      </x:c>
      <x:c r="D8293" s="12" t="str">
        <x:v>Bengaluru</x:v>
      </x:c>
      <x:c r="E8293" s="12" t="str">
        <x:v>Prestige Emerald</x:v>
      </x:c>
      <x:c r="F8293" s="12" t="str">
        <x:v>55 inch</x:v>
      </x:c>
      <x:c r="G8293" s="20" t="n">
        <x:v>1</x:v>
      </x:c>
      <x:c r="H8293" s="12" t="str">
        <x:v>Campus/portfolio roster; individual building occupancy unverified</x:v>
      </x:c>
      <x:c r="I8293" s="12" t="str">
        <x:v>Mixed business audience</x:v>
      </x:c>
      <x:c r="J8293" s="12" t="str">
        <x:v>IT &amp; digital</x:v>
      </x:c>
      <x:c r="K8293" s="2" t="str">
        <x:v>PARTNER-M082</x:v>
      </x:c>
    </x:row>
    <x:row r="8294" ht="46" customHeight="1">
      <x:c r="A8294" s="2" t="str">
        <x:v>TEN-D5193353E49E</x:v>
      </x:c>
      <x:c r="B8294" s="12" t="str">
        <x:v>SVB India Advisors Ltd</x:v>
      </x:c>
      <x:c r="C8294" s="12" t="str">
        <x:v>CORP-0508</x:v>
      </x:c>
      <x:c r="D8294" s="12" t="str">
        <x:v>Bengaluru</x:v>
      </x:c>
      <x:c r="E8294" s="12" t="str">
        <x:v>Prestige Emerald</x:v>
      </x:c>
      <x:c r="F8294" s="12" t="str">
        <x:v>55 inch</x:v>
      </x:c>
      <x:c r="G8294" s="20" t="n">
        <x:v>1</x:v>
      </x:c>
      <x:c r="H8294" s="12" t="str">
        <x:v>Campus/portfolio roster; individual building occupancy unverified</x:v>
      </x:c>
      <x:c r="I8294" s="12" t="str">
        <x:v>Mixed business audience</x:v>
      </x:c>
      <x:c r="J8294" s="12" t="str">
        <x:v>Finance &amp; insurance</x:v>
      </x:c>
      <x:c r="K8294" s="2" t="str">
        <x:v>PARTNER-M082</x:v>
      </x:c>
    </x:row>
    <x:row r="8295" ht="46" customHeight="1">
      <x:c r="A8295" s="2" t="str">
        <x:v>TEN-DEE80628077C</x:v>
      </x:c>
      <x:c r="B8295" s="12" t="str">
        <x:v>Indeed.co.in</x:v>
      </x:c>
      <x:c r="C8295" s="12" t="str">
        <x:v>CORP-0508</x:v>
      </x:c>
      <x:c r="D8295" s="12" t="str">
        <x:v>Bengaluru</x:v>
      </x:c>
      <x:c r="E8295" s="12" t="str">
        <x:v>Prestige Emerald</x:v>
      </x:c>
      <x:c r="F8295" s="12" t="str">
        <x:v>55 inch</x:v>
      </x:c>
      <x:c r="G8295" s="20" t="n">
        <x:v>1</x:v>
      </x:c>
      <x:c r="H8295" s="12" t="str">
        <x:v>Campus/portfolio roster; individual building occupancy unverified</x:v>
      </x:c>
      <x:c r="I8295" s="12" t="str">
        <x:v>Mixed business audience</x:v>
      </x:c>
      <x:c r="J8295" s="12" t="str">
        <x:v>Professional services</x:v>
      </x:c>
      <x:c r="K8295" s="2" t="str">
        <x:v>PARTNER-M082</x:v>
      </x:c>
    </x:row>
    <x:row r="8296" ht="46" customHeight="1">
      <x:c r="A8296" s="2" t="str">
        <x:v>TEN-08E64C0D11C6</x:v>
      </x:c>
      <x:c r="B8296" s="12" t="str">
        <x:v>Icon Clinical Research</x:v>
      </x:c>
      <x:c r="C8296" s="12" t="str">
        <x:v>CORP-0509</x:v>
      </x:c>
      <x:c r="D8296" s="12" t="str">
        <x:v>Bengaluru</x:v>
      </x:c>
      <x:c r="E8296" s="12" t="str">
        <x:v>Prestige Emerald</x:v>
      </x:c>
      <x:c r="F8296" s="12" t="str">
        <x:v>55 inch</x:v>
      </x:c>
      <x:c r="G8296" s="20" t="n">
        <x:v>1</x:v>
      </x:c>
      <x:c r="H8296" s="12" t="str">
        <x:v>Campus/portfolio roster; individual building occupancy unverified</x:v>
      </x:c>
      <x:c r="I8296" s="12" t="str">
        <x:v>Mixed business audience</x:v>
      </x:c>
      <x:c r="J8296" s="12" t="str">
        <x:v>Healthcare &amp; life sciences</x:v>
      </x:c>
      <x:c r="K8296" s="2" t="str">
        <x:v>PARTNER-M082</x:v>
      </x:c>
    </x:row>
    <x:row r="8297" ht="46" customHeight="1">
      <x:c r="A8297" s="2" t="str">
        <x:v>TEN-15EFD5F168D9</x:v>
      </x:c>
      <x:c r="B8297" s="12" t="str">
        <x:v>IndiQube Innovent Spaces Pvt. Ltd</x:v>
      </x:c>
      <x:c r="C8297" s="12" t="str">
        <x:v>CORP-0509</x:v>
      </x:c>
      <x:c r="D8297" s="12" t="str">
        <x:v>Bengaluru</x:v>
      </x:c>
      <x:c r="E8297" s="12" t="str">
        <x:v>Prestige Emerald</x:v>
      </x:c>
      <x:c r="F8297" s="12" t="str">
        <x:v>55 inch</x:v>
      </x:c>
      <x:c r="G8297" s="20" t="n">
        <x:v>1</x:v>
      </x:c>
      <x:c r="H8297" s="12" t="str">
        <x:v>Campus/portfolio roster; individual building occupancy unverified</x:v>
      </x:c>
      <x:c r="I8297" s="12" t="str">
        <x:v>Mixed business audience</x:v>
      </x:c>
      <x:c r="J8297" s="12" t="str">
        <x:v>Workspace &amp; property operations</x:v>
      </x:c>
      <x:c r="K8297" s="2" t="str">
        <x:v>PARTNER-M082</x:v>
      </x:c>
    </x:row>
    <x:row r="8298" ht="46" customHeight="1">
      <x:c r="A8298" s="2" t="str">
        <x:v>TEN-2B4B9D0C8F84</x:v>
      </x:c>
      <x:c r="B8298" s="12" t="str">
        <x:v>NTT DATA FA Insurance Systems</x:v>
      </x:c>
      <x:c r="C8298" s="12" t="str">
        <x:v>CORP-0509</x:v>
      </x:c>
      <x:c r="D8298" s="12" t="str">
        <x:v>Bengaluru</x:v>
      </x:c>
      <x:c r="E8298" s="12" t="str">
        <x:v>Prestige Emerald</x:v>
      </x:c>
      <x:c r="F8298" s="12" t="str">
        <x:v>55 inch</x:v>
      </x:c>
      <x:c r="G8298" s="20" t="n">
        <x:v>1</x:v>
      </x:c>
      <x:c r="H8298" s="12" t="str">
        <x:v>Campus/portfolio roster; individual building occupancy unverified</x:v>
      </x:c>
      <x:c r="I8298" s="12" t="str">
        <x:v>Large enterprise</x:v>
      </x:c>
      <x:c r="J8298" s="12" t="str">
        <x:v>IT &amp; digital</x:v>
      </x:c>
      <x:c r="K8298" s="2" t="str">
        <x:v>PARTNER-M082</x:v>
      </x:c>
    </x:row>
    <x:row r="8299" ht="46" customHeight="1">
      <x:c r="A8299" s="2" t="str">
        <x:v>TEN-4F6598371E30</x:v>
      </x:c>
      <x:c r="B8299" s="12" t="str">
        <x:v>Godrej Properties</x:v>
      </x:c>
      <x:c r="C8299" s="12" t="str">
        <x:v>CORP-0509</x:v>
      </x:c>
      <x:c r="D8299" s="12" t="str">
        <x:v>Bengaluru</x:v>
      </x:c>
      <x:c r="E8299" s="12" t="str">
        <x:v>Prestige Emerald</x:v>
      </x:c>
      <x:c r="F8299" s="12" t="str">
        <x:v>55 inch</x:v>
      </x:c>
      <x:c r="G8299" s="20" t="n">
        <x:v>1</x:v>
      </x:c>
      <x:c r="H8299" s="12" t="str">
        <x:v>Campus/portfolio roster; individual building occupancy unverified</x:v>
      </x:c>
      <x:c r="I8299" s="12" t="str">
        <x:v>Mixed business audience</x:v>
      </x:c>
      <x:c r="J8299" s="12" t="str">
        <x:v>Trade, consumer &amp; logistics</x:v>
      </x:c>
      <x:c r="K8299" s="2" t="str">
        <x:v>PARTNER-M082</x:v>
      </x:c>
    </x:row>
    <x:row r="8300" ht="46" customHeight="1">
      <x:c r="A8300" s="2" t="str">
        <x:v>TEN-58FBF46B6AEC</x:v>
      </x:c>
      <x:c r="B8300" s="12" t="str">
        <x:v>Allergan India</x:v>
      </x:c>
      <x:c r="C8300" s="12" t="str">
        <x:v>CORP-0509</x:v>
      </x:c>
      <x:c r="D8300" s="12" t="str">
        <x:v>Bengaluru</x:v>
      </x:c>
      <x:c r="E8300" s="12" t="str">
        <x:v>Prestige Emerald</x:v>
      </x:c>
      <x:c r="F8300" s="12" t="str">
        <x:v>55 inch</x:v>
      </x:c>
      <x:c r="G8300" s="20" t="n">
        <x:v>1</x:v>
      </x:c>
      <x:c r="H8300" s="12" t="str">
        <x:v>Campus/portfolio roster; individual building occupancy unverified</x:v>
      </x:c>
      <x:c r="I8300" s="12" t="str">
        <x:v>Mixed business audience</x:v>
      </x:c>
      <x:c r="J8300" s="12" t="str">
        <x:v>Healthcare &amp; life sciences</x:v>
      </x:c>
      <x:c r="K8300" s="2" t="str">
        <x:v>PARTNER-M082</x:v>
      </x:c>
    </x:row>
    <x:row r="8301" ht="46" customHeight="1">
      <x:c r="A8301" s="2" t="str">
        <x:v>TEN-661026F81014</x:v>
      </x:c>
      <x:c r="B8301" s="12" t="str">
        <x:v>Frost and Sullivan India Pvt. Ltd</x:v>
      </x:c>
      <x:c r="C8301" s="12" t="str">
        <x:v>CORP-0509</x:v>
      </x:c>
      <x:c r="D8301" s="12" t="str">
        <x:v>Bengaluru</x:v>
      </x:c>
      <x:c r="E8301" s="12" t="str">
        <x:v>Prestige Emerald</x:v>
      </x:c>
      <x:c r="F8301" s="12" t="str">
        <x:v>55 inch</x:v>
      </x:c>
      <x:c r="G8301" s="20" t="n">
        <x:v>1</x:v>
      </x:c>
      <x:c r="H8301" s="12" t="str">
        <x:v>Campus/portfolio roster; individual building occupancy unverified</x:v>
      </x:c>
      <x:c r="I8301" s="12" t="str">
        <x:v>Mixed business audience</x:v>
      </x:c>
      <x:c r="J8301" s="12" t="str">
        <x:v>Professional services</x:v>
      </x:c>
      <x:c r="K8301" s="2" t="str">
        <x:v>PARTNER-M082</x:v>
      </x:c>
    </x:row>
    <x:row r="8302" ht="46" customHeight="1">
      <x:c r="A8302" s="2" t="str">
        <x:v>TEN-67064F8C6165</x:v>
      </x:c>
      <x:c r="B8302" s="12" t="str">
        <x:v>iPass India</x:v>
      </x:c>
      <x:c r="C8302" s="12" t="str">
        <x:v>CORP-0509</x:v>
      </x:c>
      <x:c r="D8302" s="12" t="str">
        <x:v>Bengaluru</x:v>
      </x:c>
      <x:c r="E8302" s="12" t="str">
        <x:v>Prestige Emerald</x:v>
      </x:c>
      <x:c r="F8302" s="12" t="str">
        <x:v>55 inch</x:v>
      </x:c>
      <x:c r="G8302" s="20" t="n">
        <x:v>1</x:v>
      </x:c>
      <x:c r="H8302" s="12" t="str">
        <x:v>Campus/portfolio roster; individual building occupancy unverified</x:v>
      </x:c>
      <x:c r="I8302" s="12" t="str">
        <x:v>Mixed business audience</x:v>
      </x:c>
      <x:c r="J8302" s="12" t="str">
        <x:v>IT &amp; digital</x:v>
      </x:c>
      <x:c r="K8302" s="2" t="str">
        <x:v>PARTNER-M082</x:v>
      </x:c>
    </x:row>
    <x:row r="8303" ht="46" customHeight="1">
      <x:c r="A8303" s="2" t="str">
        <x:v>TEN-6F67A144F472</x:v>
      </x:c>
      <x:c r="B8303" s="12" t="str">
        <x:v>Infinera India</x:v>
      </x:c>
      <x:c r="C8303" s="12" t="str">
        <x:v>CORP-0509</x:v>
      </x:c>
      <x:c r="D8303" s="12" t="str">
        <x:v>Bengaluru</x:v>
      </x:c>
      <x:c r="E8303" s="12" t="str">
        <x:v>Prestige Emerald</x:v>
      </x:c>
      <x:c r="F8303" s="12" t="str">
        <x:v>55 inch</x:v>
      </x:c>
      <x:c r="G8303" s="20" t="n">
        <x:v>1</x:v>
      </x:c>
      <x:c r="H8303" s="12" t="str">
        <x:v>Campus/portfolio roster; individual building occupancy unverified</x:v>
      </x:c>
      <x:c r="I8303" s="12" t="str">
        <x:v>Mixed business audience</x:v>
      </x:c>
      <x:c r="J8303" s="12" t="str">
        <x:v>IT &amp; digital</x:v>
      </x:c>
      <x:c r="K8303" s="2" t="str">
        <x:v>PARTNER-M082</x:v>
      </x:c>
    </x:row>
    <x:row r="8304" ht="46" customHeight="1">
      <x:c r="A8304" s="2" t="str">
        <x:v>TEN-76F6B4C9D608</x:v>
      </x:c>
      <x:c r="B8304" s="12" t="str">
        <x:v>Saama Capital India Advisors LLP</x:v>
      </x:c>
      <x:c r="C8304" s="12" t="str">
        <x:v>CORP-0509</x:v>
      </x:c>
      <x:c r="D8304" s="12" t="str">
        <x:v>Bengaluru</x:v>
      </x:c>
      <x:c r="E8304" s="12" t="str">
        <x:v>Prestige Emerald</x:v>
      </x:c>
      <x:c r="F8304" s="12" t="str">
        <x:v>55 inch</x:v>
      </x:c>
      <x:c r="G8304" s="20" t="n">
        <x:v>1</x:v>
      </x:c>
      <x:c r="H8304" s="12" t="str">
        <x:v>Campus/portfolio roster; individual building occupancy unverified</x:v>
      </x:c>
      <x:c r="I8304" s="12" t="str">
        <x:v>Small-scale prospects</x:v>
      </x:c>
      <x:c r="J8304" s="12" t="str">
        <x:v>Finance &amp; insurance</x:v>
      </x:c>
      <x:c r="K8304" s="2" t="str">
        <x:v>PARTNER-M082</x:v>
      </x:c>
    </x:row>
    <x:row r="8305" ht="46" customHeight="1">
      <x:c r="A8305" s="2" t="str">
        <x:v>TEN-805ACF45AED6</x:v>
      </x:c>
      <x:c r="B8305" s="12" t="str">
        <x:v>Mpowered Health Infotech</x:v>
      </x:c>
      <x:c r="C8305" s="12" t="str">
        <x:v>CORP-0509</x:v>
      </x:c>
      <x:c r="D8305" s="12" t="str">
        <x:v>Bengaluru</x:v>
      </x:c>
      <x:c r="E8305" s="12" t="str">
        <x:v>Prestige Emerald</x:v>
      </x:c>
      <x:c r="F8305" s="12" t="str">
        <x:v>55 inch</x:v>
      </x:c>
      <x:c r="G8305" s="20" t="n">
        <x:v>1</x:v>
      </x:c>
      <x:c r="H8305" s="12" t="str">
        <x:v>Campus/portfolio roster; individual building occupancy unverified</x:v>
      </x:c>
      <x:c r="I8305" s="12" t="str">
        <x:v>Small-scale prospects</x:v>
      </x:c>
      <x:c r="J8305" s="12" t="str">
        <x:v>IT &amp; digital</x:v>
      </x:c>
      <x:c r="K8305" s="2" t="str">
        <x:v>PARTNER-M082</x:v>
      </x:c>
    </x:row>
    <x:row r="8306" ht="46" customHeight="1">
      <x:c r="A8306" s="2" t="str">
        <x:v>TEN-A186C4689964</x:v>
      </x:c>
      <x:c r="B8306" s="12" t="str">
        <x:v>IPpro Services India LLP</x:v>
      </x:c>
      <x:c r="C8306" s="12" t="str">
        <x:v>CORP-0509</x:v>
      </x:c>
      <x:c r="D8306" s="12" t="str">
        <x:v>Bengaluru</x:v>
      </x:c>
      <x:c r="E8306" s="12" t="str">
        <x:v>Prestige Emerald</x:v>
      </x:c>
      <x:c r="F8306" s="12" t="str">
        <x:v>55 inch</x:v>
      </x:c>
      <x:c r="G8306" s="20" t="n">
        <x:v>1</x:v>
      </x:c>
      <x:c r="H8306" s="12" t="str">
        <x:v>Campus/portfolio roster; individual building occupancy unverified</x:v>
      </x:c>
      <x:c r="I8306" s="12" t="str">
        <x:v>Small-scale prospects</x:v>
      </x:c>
      <x:c r="J8306" s="12" t="str">
        <x:v>Professional services</x:v>
      </x:c>
      <x:c r="K8306" s="2" t="str">
        <x:v>PARTNER-M082</x:v>
      </x:c>
    </x:row>
    <x:row r="8307" ht="46" customHeight="1">
      <x:c r="A8307" s="2" t="str">
        <x:v>TEN-A1964DB0508A</x:v>
      </x:c>
      <x:c r="B8307" s="12" t="str">
        <x:v>an Awfis coworking space</x:v>
      </x:c>
      <x:c r="C8307" s="12" t="str">
        <x:v>CORP-0509</x:v>
      </x:c>
      <x:c r="D8307" s="12" t="str">
        <x:v>Bengaluru</x:v>
      </x:c>
      <x:c r="E8307" s="12" t="str">
        <x:v>Prestige Emerald</x:v>
      </x:c>
      <x:c r="F8307" s="12" t="str">
        <x:v>55 inch</x:v>
      </x:c>
      <x:c r="G8307" s="20" t="n">
        <x:v>1</x:v>
      </x:c>
      <x:c r="H8307" s="12" t="str">
        <x:v>Campus/portfolio roster; individual building occupancy unverified</x:v>
      </x:c>
      <x:c r="I8307" s="12" t="str">
        <x:v>Mixed business audience</x:v>
      </x:c>
      <x:c r="J8307" s="12" t="str">
        <x:v>Workspace &amp; property operations</x:v>
      </x:c>
      <x:c r="K8307" s="2" t="str">
        <x:v>PARTNER-M082</x:v>
      </x:c>
    </x:row>
    <x:row r="8308" ht="46" customHeight="1">
      <x:c r="A8308" s="2" t="str">
        <x:v>TEN-A4AC77C95ACC</x:v>
      </x:c>
      <x:c r="B8308" s="12" t="str">
        <x:v>TRUGlobal Software India</x:v>
      </x:c>
      <x:c r="C8308" s="12" t="str">
        <x:v>CORP-0509</x:v>
      </x:c>
      <x:c r="D8308" s="12" t="str">
        <x:v>Bengaluru</x:v>
      </x:c>
      <x:c r="E8308" s="12" t="str">
        <x:v>Prestige Emerald</x:v>
      </x:c>
      <x:c r="F8308" s="12" t="str">
        <x:v>55 inch</x:v>
      </x:c>
      <x:c r="G8308" s="20" t="n">
        <x:v>1</x:v>
      </x:c>
      <x:c r="H8308" s="12" t="str">
        <x:v>Campus/portfolio roster; individual building occupancy unverified</x:v>
      </x:c>
      <x:c r="I8308" s="12" t="str">
        <x:v>Small-scale prospects</x:v>
      </x:c>
      <x:c r="J8308" s="12" t="str">
        <x:v>IT &amp; digital</x:v>
      </x:c>
      <x:c r="K8308" s="2" t="str">
        <x:v>PARTNER-M082</x:v>
      </x:c>
    </x:row>
    <x:row r="8309" ht="46" customHeight="1">
      <x:c r="A8309" s="2" t="str">
        <x:v>TEN-AD63796AF1FB</x:v>
      </x:c>
      <x:c r="B8309" s="12" t="str">
        <x:v>Nishith Desai Associates</x:v>
      </x:c>
      <x:c r="C8309" s="12" t="str">
        <x:v>CORP-0509</x:v>
      </x:c>
      <x:c r="D8309" s="12" t="str">
        <x:v>Bengaluru</x:v>
      </x:c>
      <x:c r="E8309" s="12" t="str">
        <x:v>Prestige Emerald</x:v>
      </x:c>
      <x:c r="F8309" s="12" t="str">
        <x:v>55 inch</x:v>
      </x:c>
      <x:c r="G8309" s="20" t="n">
        <x:v>1</x:v>
      </x:c>
      <x:c r="H8309" s="12" t="str">
        <x:v>Campus/portfolio roster; individual building occupancy unverified</x:v>
      </x:c>
      <x:c r="I8309" s="12" t="str">
        <x:v>Large enterprise</x:v>
      </x:c>
      <x:c r="J8309" s="12" t="str">
        <x:v>Professional services</x:v>
      </x:c>
      <x:c r="K8309" s="2" t="str">
        <x:v>PARTNER-M082</x:v>
      </x:c>
    </x:row>
    <x:row r="8310" ht="46" customHeight="1">
      <x:c r="A8310" s="2" t="str">
        <x:v>TEN-C4BDE5AF5978</x:v>
      </x:c>
      <x:c r="B8310" s="12" t="str">
        <x:v>Barracuda Networks</x:v>
      </x:c>
      <x:c r="C8310" s="12" t="str">
        <x:v>CORP-0509</x:v>
      </x:c>
      <x:c r="D8310" s="12" t="str">
        <x:v>Bengaluru</x:v>
      </x:c>
      <x:c r="E8310" s="12" t="str">
        <x:v>Prestige Emerald</x:v>
      </x:c>
      <x:c r="F8310" s="12" t="str">
        <x:v>55 inch</x:v>
      </x:c>
      <x:c r="G8310" s="20" t="n">
        <x:v>1</x:v>
      </x:c>
      <x:c r="H8310" s="12" t="str">
        <x:v>Campus/portfolio roster; individual building occupancy unverified</x:v>
      </x:c>
      <x:c r="I8310" s="12" t="str">
        <x:v>Mixed business audience</x:v>
      </x:c>
      <x:c r="J8310" s="12" t="str">
        <x:v>IT &amp; digital</x:v>
      </x:c>
      <x:c r="K8310" s="2" t="str">
        <x:v>PARTNER-M082</x:v>
      </x:c>
    </x:row>
    <x:row r="8311" ht="46" customHeight="1">
      <x:c r="A8311" s="2" t="str">
        <x:v>TEN-CC5491F71AF2</x:v>
      </x:c>
      <x:c r="B8311" s="12" t="str">
        <x:v>Marlabs Software</x:v>
      </x:c>
      <x:c r="C8311" s="12" t="str">
        <x:v>CORP-0509</x:v>
      </x:c>
      <x:c r="D8311" s="12" t="str">
        <x:v>Bengaluru</x:v>
      </x:c>
      <x:c r="E8311" s="12" t="str">
        <x:v>Prestige Emerald</x:v>
      </x:c>
      <x:c r="F8311" s="12" t="str">
        <x:v>55 inch</x:v>
      </x:c>
      <x:c r="G8311" s="20" t="n">
        <x:v>1</x:v>
      </x:c>
      <x:c r="H8311" s="12" t="str">
        <x:v>Campus/portfolio roster; individual building occupancy unverified</x:v>
      </x:c>
      <x:c r="I8311" s="12" t="str">
        <x:v>Mixed business audience</x:v>
      </x:c>
      <x:c r="J8311" s="12" t="str">
        <x:v>IT &amp; digital</x:v>
      </x:c>
      <x:c r="K8311" s="2" t="str">
        <x:v>PARTNER-M082</x:v>
      </x:c>
    </x:row>
    <x:row r="8312" ht="46" customHeight="1">
      <x:c r="A8312" s="2" t="str">
        <x:v>TEN-D5193353E49E</x:v>
      </x:c>
      <x:c r="B8312" s="12" t="str">
        <x:v>SVB India Advisors Ltd</x:v>
      </x:c>
      <x:c r="C8312" s="12" t="str">
        <x:v>CORP-0509</x:v>
      </x:c>
      <x:c r="D8312" s="12" t="str">
        <x:v>Bengaluru</x:v>
      </x:c>
      <x:c r="E8312" s="12" t="str">
        <x:v>Prestige Emerald</x:v>
      </x:c>
      <x:c r="F8312" s="12" t="str">
        <x:v>55 inch</x:v>
      </x:c>
      <x:c r="G8312" s="20" t="n">
        <x:v>1</x:v>
      </x:c>
      <x:c r="H8312" s="12" t="str">
        <x:v>Campus/portfolio roster; individual building occupancy unverified</x:v>
      </x:c>
      <x:c r="I8312" s="12" t="str">
        <x:v>Mixed business audience</x:v>
      </x:c>
      <x:c r="J8312" s="12" t="str">
        <x:v>Finance &amp; insurance</x:v>
      </x:c>
      <x:c r="K8312" s="2" t="str">
        <x:v>PARTNER-M082</x:v>
      </x:c>
    </x:row>
    <x:row r="8313" ht="46" customHeight="1">
      <x:c r="A8313" s="2" t="str">
        <x:v>TEN-DEE80628077C</x:v>
      </x:c>
      <x:c r="B8313" s="12" t="str">
        <x:v>Indeed.co.in</x:v>
      </x:c>
      <x:c r="C8313" s="12" t="str">
        <x:v>CORP-0509</x:v>
      </x:c>
      <x:c r="D8313" s="12" t="str">
        <x:v>Bengaluru</x:v>
      </x:c>
      <x:c r="E8313" s="12" t="str">
        <x:v>Prestige Emerald</x:v>
      </x:c>
      <x:c r="F8313" s="12" t="str">
        <x:v>55 inch</x:v>
      </x:c>
      <x:c r="G8313" s="20" t="n">
        <x:v>1</x:v>
      </x:c>
      <x:c r="H8313" s="12" t="str">
        <x:v>Campus/portfolio roster; individual building occupancy unverified</x:v>
      </x:c>
      <x:c r="I8313" s="12" t="str">
        <x:v>Mixed business audience</x:v>
      </x:c>
      <x:c r="J8313" s="12" t="str">
        <x:v>Professional services</x:v>
      </x:c>
      <x:c r="K8313" s="2" t="str">
        <x:v>PARTNER-M082</x:v>
      </x:c>
    </x:row>
    <x:row r="8314" ht="46" customHeight="1">
      <x:c r="A8314" s="2" t="str">
        <x:v>TEN-08E64C0D11C6</x:v>
      </x:c>
      <x:c r="B8314" s="12" t="str">
        <x:v>Icon Clinical Research</x:v>
      </x:c>
      <x:c r="C8314" s="12" t="str">
        <x:v>CORP-0510</x:v>
      </x:c>
      <x:c r="D8314" s="12" t="str">
        <x:v>Bengaluru</x:v>
      </x:c>
      <x:c r="E8314" s="12" t="str">
        <x:v>Prestige Towers</x:v>
      </x:c>
      <x:c r="F8314" s="12" t="str">
        <x:v>55 inch</x:v>
      </x:c>
      <x:c r="G8314" s="20" t="n">
        <x:v>1</x:v>
      </x:c>
      <x:c r="H8314" s="12" t="str">
        <x:v>Campus/portfolio roster; individual building occupancy unverified</x:v>
      </x:c>
      <x:c r="I8314" s="12" t="str">
        <x:v>Mixed business audience</x:v>
      </x:c>
      <x:c r="J8314" s="12" t="str">
        <x:v>Healthcare &amp; life sciences</x:v>
      </x:c>
      <x:c r="K8314" s="2" t="str">
        <x:v>PARTNER-M082</x:v>
      </x:c>
    </x:row>
    <x:row r="8315" ht="46" customHeight="1">
      <x:c r="A8315" s="2" t="str">
        <x:v>TEN-15EFD5F168D9</x:v>
      </x:c>
      <x:c r="B8315" s="12" t="str">
        <x:v>IndiQube Innovent Spaces Pvt. Ltd</x:v>
      </x:c>
      <x:c r="C8315" s="12" t="str">
        <x:v>CORP-0510</x:v>
      </x:c>
      <x:c r="D8315" s="12" t="str">
        <x:v>Bengaluru</x:v>
      </x:c>
      <x:c r="E8315" s="12" t="str">
        <x:v>Prestige Towers</x:v>
      </x:c>
      <x:c r="F8315" s="12" t="str">
        <x:v>55 inch</x:v>
      </x:c>
      <x:c r="G8315" s="20" t="n">
        <x:v>1</x:v>
      </x:c>
      <x:c r="H8315" s="12" t="str">
        <x:v>Campus/portfolio roster; individual building occupancy unverified</x:v>
      </x:c>
      <x:c r="I8315" s="12" t="str">
        <x:v>Mixed business audience</x:v>
      </x:c>
      <x:c r="J8315" s="12" t="str">
        <x:v>Workspace &amp; property operations</x:v>
      </x:c>
      <x:c r="K8315" s="2" t="str">
        <x:v>PARTNER-M082</x:v>
      </x:c>
    </x:row>
    <x:row r="8316" ht="46" customHeight="1">
      <x:c r="A8316" s="2" t="str">
        <x:v>TEN-2B4B9D0C8F84</x:v>
      </x:c>
      <x:c r="B8316" s="12" t="str">
        <x:v>NTT DATA FA Insurance Systems</x:v>
      </x:c>
      <x:c r="C8316" s="12" t="str">
        <x:v>CORP-0510</x:v>
      </x:c>
      <x:c r="D8316" s="12" t="str">
        <x:v>Bengaluru</x:v>
      </x:c>
      <x:c r="E8316" s="12" t="str">
        <x:v>Prestige Towers</x:v>
      </x:c>
      <x:c r="F8316" s="12" t="str">
        <x:v>55 inch</x:v>
      </x:c>
      <x:c r="G8316" s="20" t="n">
        <x:v>1</x:v>
      </x:c>
      <x:c r="H8316" s="12" t="str">
        <x:v>Campus/portfolio roster; individual building occupancy unverified</x:v>
      </x:c>
      <x:c r="I8316" s="12" t="str">
        <x:v>Large enterprise</x:v>
      </x:c>
      <x:c r="J8316" s="12" t="str">
        <x:v>IT &amp; digital</x:v>
      </x:c>
      <x:c r="K8316" s="2" t="str">
        <x:v>PARTNER-M082</x:v>
      </x:c>
    </x:row>
    <x:row r="8317" ht="46" customHeight="1">
      <x:c r="A8317" s="2" t="str">
        <x:v>TEN-4F6598371E30</x:v>
      </x:c>
      <x:c r="B8317" s="12" t="str">
        <x:v>Godrej Properties</x:v>
      </x:c>
      <x:c r="C8317" s="12" t="str">
        <x:v>CORP-0510</x:v>
      </x:c>
      <x:c r="D8317" s="12" t="str">
        <x:v>Bengaluru</x:v>
      </x:c>
      <x:c r="E8317" s="12" t="str">
        <x:v>Prestige Towers</x:v>
      </x:c>
      <x:c r="F8317" s="12" t="str">
        <x:v>55 inch</x:v>
      </x:c>
      <x:c r="G8317" s="20" t="n">
        <x:v>1</x:v>
      </x:c>
      <x:c r="H8317" s="12" t="str">
        <x:v>Campus/portfolio roster; individual building occupancy unverified</x:v>
      </x:c>
      <x:c r="I8317" s="12" t="str">
        <x:v>Mixed business audience</x:v>
      </x:c>
      <x:c r="J8317" s="12" t="str">
        <x:v>Trade, consumer &amp; logistics</x:v>
      </x:c>
      <x:c r="K8317" s="2" t="str">
        <x:v>PARTNER-M082</x:v>
      </x:c>
    </x:row>
    <x:row r="8318" ht="46" customHeight="1">
      <x:c r="A8318" s="2" t="str">
        <x:v>TEN-58FBF46B6AEC</x:v>
      </x:c>
      <x:c r="B8318" s="12" t="str">
        <x:v>Allergan India</x:v>
      </x:c>
      <x:c r="C8318" s="12" t="str">
        <x:v>CORP-0510</x:v>
      </x:c>
      <x:c r="D8318" s="12" t="str">
        <x:v>Bengaluru</x:v>
      </x:c>
      <x:c r="E8318" s="12" t="str">
        <x:v>Prestige Towers</x:v>
      </x:c>
      <x:c r="F8318" s="12" t="str">
        <x:v>55 inch</x:v>
      </x:c>
      <x:c r="G8318" s="20" t="n">
        <x:v>1</x:v>
      </x:c>
      <x:c r="H8318" s="12" t="str">
        <x:v>Campus/portfolio roster; individual building occupancy unverified</x:v>
      </x:c>
      <x:c r="I8318" s="12" t="str">
        <x:v>Mixed business audience</x:v>
      </x:c>
      <x:c r="J8318" s="12" t="str">
        <x:v>Healthcare &amp; life sciences</x:v>
      </x:c>
      <x:c r="K8318" s="2" t="str">
        <x:v>PARTNER-M082</x:v>
      </x:c>
    </x:row>
    <x:row r="8319" ht="46" customHeight="1">
      <x:c r="A8319" s="2" t="str">
        <x:v>TEN-661026F81014</x:v>
      </x:c>
      <x:c r="B8319" s="12" t="str">
        <x:v>Frost and Sullivan India Pvt. Ltd</x:v>
      </x:c>
      <x:c r="C8319" s="12" t="str">
        <x:v>CORP-0510</x:v>
      </x:c>
      <x:c r="D8319" s="12" t="str">
        <x:v>Bengaluru</x:v>
      </x:c>
      <x:c r="E8319" s="12" t="str">
        <x:v>Prestige Towers</x:v>
      </x:c>
      <x:c r="F8319" s="12" t="str">
        <x:v>55 inch</x:v>
      </x:c>
      <x:c r="G8319" s="20" t="n">
        <x:v>1</x:v>
      </x:c>
      <x:c r="H8319" s="12" t="str">
        <x:v>Campus/portfolio roster; individual building occupancy unverified</x:v>
      </x:c>
      <x:c r="I8319" s="12" t="str">
        <x:v>Mixed business audience</x:v>
      </x:c>
      <x:c r="J8319" s="12" t="str">
        <x:v>Professional services</x:v>
      </x:c>
      <x:c r="K8319" s="2" t="str">
        <x:v>PARTNER-M082</x:v>
      </x:c>
    </x:row>
    <x:row r="8320" ht="46" customHeight="1">
      <x:c r="A8320" s="2" t="str">
        <x:v>TEN-67064F8C6165</x:v>
      </x:c>
      <x:c r="B8320" s="12" t="str">
        <x:v>iPass India</x:v>
      </x:c>
      <x:c r="C8320" s="12" t="str">
        <x:v>CORP-0510</x:v>
      </x:c>
      <x:c r="D8320" s="12" t="str">
        <x:v>Bengaluru</x:v>
      </x:c>
      <x:c r="E8320" s="12" t="str">
        <x:v>Prestige Towers</x:v>
      </x:c>
      <x:c r="F8320" s="12" t="str">
        <x:v>55 inch</x:v>
      </x:c>
      <x:c r="G8320" s="20" t="n">
        <x:v>1</x:v>
      </x:c>
      <x:c r="H8320" s="12" t="str">
        <x:v>Campus/portfolio roster; individual building occupancy unverified</x:v>
      </x:c>
      <x:c r="I8320" s="12" t="str">
        <x:v>Mixed business audience</x:v>
      </x:c>
      <x:c r="J8320" s="12" t="str">
        <x:v>IT &amp; digital</x:v>
      </x:c>
      <x:c r="K8320" s="2" t="str">
        <x:v>PARTNER-M082</x:v>
      </x:c>
    </x:row>
    <x:row r="8321" ht="46" customHeight="1">
      <x:c r="A8321" s="2" t="str">
        <x:v>TEN-6F67A144F472</x:v>
      </x:c>
      <x:c r="B8321" s="12" t="str">
        <x:v>Infinera India</x:v>
      </x:c>
      <x:c r="C8321" s="12" t="str">
        <x:v>CORP-0510</x:v>
      </x:c>
      <x:c r="D8321" s="12" t="str">
        <x:v>Bengaluru</x:v>
      </x:c>
      <x:c r="E8321" s="12" t="str">
        <x:v>Prestige Towers</x:v>
      </x:c>
      <x:c r="F8321" s="12" t="str">
        <x:v>55 inch</x:v>
      </x:c>
      <x:c r="G8321" s="20" t="n">
        <x:v>1</x:v>
      </x:c>
      <x:c r="H8321" s="12" t="str">
        <x:v>Campus/portfolio roster; individual building occupancy unverified</x:v>
      </x:c>
      <x:c r="I8321" s="12" t="str">
        <x:v>Mixed business audience</x:v>
      </x:c>
      <x:c r="J8321" s="12" t="str">
        <x:v>IT &amp; digital</x:v>
      </x:c>
      <x:c r="K8321" s="2" t="str">
        <x:v>PARTNER-M082</x:v>
      </x:c>
    </x:row>
    <x:row r="8322" ht="46" customHeight="1">
      <x:c r="A8322" s="2" t="str">
        <x:v>TEN-76F6B4C9D608</x:v>
      </x:c>
      <x:c r="B8322" s="12" t="str">
        <x:v>Saama Capital India Advisors LLP</x:v>
      </x:c>
      <x:c r="C8322" s="12" t="str">
        <x:v>CORP-0510</x:v>
      </x:c>
      <x:c r="D8322" s="12" t="str">
        <x:v>Bengaluru</x:v>
      </x:c>
      <x:c r="E8322" s="12" t="str">
        <x:v>Prestige Towers</x:v>
      </x:c>
      <x:c r="F8322" s="12" t="str">
        <x:v>55 inch</x:v>
      </x:c>
      <x:c r="G8322" s="20" t="n">
        <x:v>1</x:v>
      </x:c>
      <x:c r="H8322" s="12" t="str">
        <x:v>Campus/portfolio roster; individual building occupancy unverified</x:v>
      </x:c>
      <x:c r="I8322" s="12" t="str">
        <x:v>Small-scale prospects</x:v>
      </x:c>
      <x:c r="J8322" s="12" t="str">
        <x:v>Finance &amp; insurance</x:v>
      </x:c>
      <x:c r="K8322" s="2" t="str">
        <x:v>PARTNER-M082</x:v>
      </x:c>
    </x:row>
    <x:row r="8323" ht="46" customHeight="1">
      <x:c r="A8323" s="2" t="str">
        <x:v>TEN-805ACF45AED6</x:v>
      </x:c>
      <x:c r="B8323" s="12" t="str">
        <x:v>Mpowered Health Infotech</x:v>
      </x:c>
      <x:c r="C8323" s="12" t="str">
        <x:v>CORP-0510</x:v>
      </x:c>
      <x:c r="D8323" s="12" t="str">
        <x:v>Bengaluru</x:v>
      </x:c>
      <x:c r="E8323" s="12" t="str">
        <x:v>Prestige Towers</x:v>
      </x:c>
      <x:c r="F8323" s="12" t="str">
        <x:v>55 inch</x:v>
      </x:c>
      <x:c r="G8323" s="20" t="n">
        <x:v>1</x:v>
      </x:c>
      <x:c r="H8323" s="12" t="str">
        <x:v>Campus/portfolio roster; individual building occupancy unverified</x:v>
      </x:c>
      <x:c r="I8323" s="12" t="str">
        <x:v>Small-scale prospects</x:v>
      </x:c>
      <x:c r="J8323" s="12" t="str">
        <x:v>IT &amp; digital</x:v>
      </x:c>
      <x:c r="K8323" s="2" t="str">
        <x:v>PARTNER-M082</x:v>
      </x:c>
    </x:row>
    <x:row r="8324" ht="46" customHeight="1">
      <x:c r="A8324" s="2" t="str">
        <x:v>TEN-A186C4689964</x:v>
      </x:c>
      <x:c r="B8324" s="12" t="str">
        <x:v>IPpro Services India LLP</x:v>
      </x:c>
      <x:c r="C8324" s="12" t="str">
        <x:v>CORP-0510</x:v>
      </x:c>
      <x:c r="D8324" s="12" t="str">
        <x:v>Bengaluru</x:v>
      </x:c>
      <x:c r="E8324" s="12" t="str">
        <x:v>Prestige Towers</x:v>
      </x:c>
      <x:c r="F8324" s="12" t="str">
        <x:v>55 inch</x:v>
      </x:c>
      <x:c r="G8324" s="20" t="n">
        <x:v>1</x:v>
      </x:c>
      <x:c r="H8324" s="12" t="str">
        <x:v>Campus/portfolio roster; individual building occupancy unverified</x:v>
      </x:c>
      <x:c r="I8324" s="12" t="str">
        <x:v>Small-scale prospects</x:v>
      </x:c>
      <x:c r="J8324" s="12" t="str">
        <x:v>Professional services</x:v>
      </x:c>
      <x:c r="K8324" s="2" t="str">
        <x:v>PARTNER-M082</x:v>
      </x:c>
    </x:row>
    <x:row r="8325" ht="46" customHeight="1">
      <x:c r="A8325" s="2" t="str">
        <x:v>TEN-A1964DB0508A</x:v>
      </x:c>
      <x:c r="B8325" s="12" t="str">
        <x:v>an Awfis coworking space</x:v>
      </x:c>
      <x:c r="C8325" s="12" t="str">
        <x:v>CORP-0510</x:v>
      </x:c>
      <x:c r="D8325" s="12" t="str">
        <x:v>Bengaluru</x:v>
      </x:c>
      <x:c r="E8325" s="12" t="str">
        <x:v>Prestige Towers</x:v>
      </x:c>
      <x:c r="F8325" s="12" t="str">
        <x:v>55 inch</x:v>
      </x:c>
      <x:c r="G8325" s="20" t="n">
        <x:v>1</x:v>
      </x:c>
      <x:c r="H8325" s="12" t="str">
        <x:v>Campus/portfolio roster; individual building occupancy unverified</x:v>
      </x:c>
      <x:c r="I8325" s="12" t="str">
        <x:v>Mixed business audience</x:v>
      </x:c>
      <x:c r="J8325" s="12" t="str">
        <x:v>Workspace &amp; property operations</x:v>
      </x:c>
      <x:c r="K8325" s="2" t="str">
        <x:v>PARTNER-M082</x:v>
      </x:c>
    </x:row>
    <x:row r="8326" ht="46" customHeight="1">
      <x:c r="A8326" s="2" t="str">
        <x:v>TEN-A4AC77C95ACC</x:v>
      </x:c>
      <x:c r="B8326" s="12" t="str">
        <x:v>TRUGlobal Software India</x:v>
      </x:c>
      <x:c r="C8326" s="12" t="str">
        <x:v>CORP-0510</x:v>
      </x:c>
      <x:c r="D8326" s="12" t="str">
        <x:v>Bengaluru</x:v>
      </x:c>
      <x:c r="E8326" s="12" t="str">
        <x:v>Prestige Towers</x:v>
      </x:c>
      <x:c r="F8326" s="12" t="str">
        <x:v>55 inch</x:v>
      </x:c>
      <x:c r="G8326" s="20" t="n">
        <x:v>1</x:v>
      </x:c>
      <x:c r="H8326" s="12" t="str">
        <x:v>Campus/portfolio roster; individual building occupancy unverified</x:v>
      </x:c>
      <x:c r="I8326" s="12" t="str">
        <x:v>Small-scale prospects</x:v>
      </x:c>
      <x:c r="J8326" s="12" t="str">
        <x:v>IT &amp; digital</x:v>
      </x:c>
      <x:c r="K8326" s="2" t="str">
        <x:v>PARTNER-M082</x:v>
      </x:c>
    </x:row>
    <x:row r="8327" ht="46" customHeight="1">
      <x:c r="A8327" s="2" t="str">
        <x:v>TEN-AD63796AF1FB</x:v>
      </x:c>
      <x:c r="B8327" s="12" t="str">
        <x:v>Nishith Desai Associates</x:v>
      </x:c>
      <x:c r="C8327" s="12" t="str">
        <x:v>CORP-0510</x:v>
      </x:c>
      <x:c r="D8327" s="12" t="str">
        <x:v>Bengaluru</x:v>
      </x:c>
      <x:c r="E8327" s="12" t="str">
        <x:v>Prestige Towers</x:v>
      </x:c>
      <x:c r="F8327" s="12" t="str">
        <x:v>55 inch</x:v>
      </x:c>
      <x:c r="G8327" s="20" t="n">
        <x:v>1</x:v>
      </x:c>
      <x:c r="H8327" s="12" t="str">
        <x:v>Campus/portfolio roster; individual building occupancy unverified</x:v>
      </x:c>
      <x:c r="I8327" s="12" t="str">
        <x:v>Large enterprise</x:v>
      </x:c>
      <x:c r="J8327" s="12" t="str">
        <x:v>Professional services</x:v>
      </x:c>
      <x:c r="K8327" s="2" t="str">
        <x:v>PARTNER-M082</x:v>
      </x:c>
    </x:row>
    <x:row r="8328" ht="46" customHeight="1">
      <x:c r="A8328" s="2" t="str">
        <x:v>TEN-C4BDE5AF5978</x:v>
      </x:c>
      <x:c r="B8328" s="12" t="str">
        <x:v>Barracuda Networks</x:v>
      </x:c>
      <x:c r="C8328" s="12" t="str">
        <x:v>CORP-0510</x:v>
      </x:c>
      <x:c r="D8328" s="12" t="str">
        <x:v>Bengaluru</x:v>
      </x:c>
      <x:c r="E8328" s="12" t="str">
        <x:v>Prestige Towers</x:v>
      </x:c>
      <x:c r="F8328" s="12" t="str">
        <x:v>55 inch</x:v>
      </x:c>
      <x:c r="G8328" s="20" t="n">
        <x:v>1</x:v>
      </x:c>
      <x:c r="H8328" s="12" t="str">
        <x:v>Campus/portfolio roster; individual building occupancy unverified</x:v>
      </x:c>
      <x:c r="I8328" s="12" t="str">
        <x:v>Mixed business audience</x:v>
      </x:c>
      <x:c r="J8328" s="12" t="str">
        <x:v>IT &amp; digital</x:v>
      </x:c>
      <x:c r="K8328" s="2" t="str">
        <x:v>PARTNER-M082</x:v>
      </x:c>
    </x:row>
    <x:row r="8329" ht="46" customHeight="1">
      <x:c r="A8329" s="2" t="str">
        <x:v>TEN-CC5491F71AF2</x:v>
      </x:c>
      <x:c r="B8329" s="12" t="str">
        <x:v>Marlabs Software</x:v>
      </x:c>
      <x:c r="C8329" s="12" t="str">
        <x:v>CORP-0510</x:v>
      </x:c>
      <x:c r="D8329" s="12" t="str">
        <x:v>Bengaluru</x:v>
      </x:c>
      <x:c r="E8329" s="12" t="str">
        <x:v>Prestige Towers</x:v>
      </x:c>
      <x:c r="F8329" s="12" t="str">
        <x:v>55 inch</x:v>
      </x:c>
      <x:c r="G8329" s="20" t="n">
        <x:v>1</x:v>
      </x:c>
      <x:c r="H8329" s="12" t="str">
        <x:v>Campus/portfolio roster; individual building occupancy unverified</x:v>
      </x:c>
      <x:c r="I8329" s="12" t="str">
        <x:v>Mixed business audience</x:v>
      </x:c>
      <x:c r="J8329" s="12" t="str">
        <x:v>IT &amp; digital</x:v>
      </x:c>
      <x:c r="K8329" s="2" t="str">
        <x:v>PARTNER-M082</x:v>
      </x:c>
    </x:row>
    <x:row r="8330" ht="46" customHeight="1">
      <x:c r="A8330" s="2" t="str">
        <x:v>TEN-D5193353E49E</x:v>
      </x:c>
      <x:c r="B8330" s="12" t="str">
        <x:v>SVB India Advisors Ltd</x:v>
      </x:c>
      <x:c r="C8330" s="12" t="str">
        <x:v>CORP-0510</x:v>
      </x:c>
      <x:c r="D8330" s="12" t="str">
        <x:v>Bengaluru</x:v>
      </x:c>
      <x:c r="E8330" s="12" t="str">
        <x:v>Prestige Towers</x:v>
      </x:c>
      <x:c r="F8330" s="12" t="str">
        <x:v>55 inch</x:v>
      </x:c>
      <x:c r="G8330" s="20" t="n">
        <x:v>1</x:v>
      </x:c>
      <x:c r="H8330" s="12" t="str">
        <x:v>Campus/portfolio roster; individual building occupancy unverified</x:v>
      </x:c>
      <x:c r="I8330" s="12" t="str">
        <x:v>Mixed business audience</x:v>
      </x:c>
      <x:c r="J8330" s="12" t="str">
        <x:v>Finance &amp; insurance</x:v>
      </x:c>
      <x:c r="K8330" s="2" t="str">
        <x:v>PARTNER-M082</x:v>
      </x:c>
    </x:row>
    <x:row r="8331" ht="46" customHeight="1">
      <x:c r="A8331" s="2" t="str">
        <x:v>TEN-DEE80628077C</x:v>
      </x:c>
      <x:c r="B8331" s="12" t="str">
        <x:v>Indeed.co.in</x:v>
      </x:c>
      <x:c r="C8331" s="12" t="str">
        <x:v>CORP-0510</x:v>
      </x:c>
      <x:c r="D8331" s="12" t="str">
        <x:v>Bengaluru</x:v>
      </x:c>
      <x:c r="E8331" s="12" t="str">
        <x:v>Prestige Towers</x:v>
      </x:c>
      <x:c r="F8331" s="12" t="str">
        <x:v>55 inch</x:v>
      </x:c>
      <x:c r="G8331" s="20" t="n">
        <x:v>1</x:v>
      </x:c>
      <x:c r="H8331" s="12" t="str">
        <x:v>Campus/portfolio roster; individual building occupancy unverified</x:v>
      </x:c>
      <x:c r="I8331" s="12" t="str">
        <x:v>Mixed business audience</x:v>
      </x:c>
      <x:c r="J8331" s="12" t="str">
        <x:v>Professional services</x:v>
      </x:c>
      <x:c r="K8331" s="2" t="str">
        <x:v>PARTNER-M082</x:v>
      </x:c>
    </x:row>
    <x:row r="8332" ht="46" customHeight="1">
      <x:c r="A8332" s="2" t="str">
        <x:v>TEN-1FAA12305EE7</x:v>
      </x:c>
      <x:c r="B8332" s="12" t="str">
        <x:v>Cambridge University Press &amp; Assessment</x:v>
      </x:c>
      <x:c r="C8332" s="12" t="str">
        <x:v>CORP-0511</x:v>
      </x:c>
      <x:c r="D8332" s="12" t="str">
        <x:v>Bengaluru</x:v>
      </x:c>
      <x:c r="E8332" s="12" t="str">
        <x:v>Prestige Summit</x:v>
      </x:c>
      <x:c r="F8332" s="12" t="str">
        <x:v>55 inch</x:v>
      </x:c>
      <x:c r="G8332" s="20" t="n">
        <x:v>1</x:v>
      </x:c>
      <x:c r="H8332" s="12" t="str">
        <x:v>Campus/portfolio roster; individual building occupancy unverified</x:v>
      </x:c>
      <x:c r="I8332" s="12" t="str">
        <x:v>Institutional</x:v>
      </x:c>
      <x:c r="J8332" s="12" t="str">
        <x:v>Education</x:v>
      </x:c>
      <x:c r="K8332" s="2" t="str">
        <x:v>PARTNER-M093</x:v>
      </x:c>
    </x:row>
    <x:row r="8333" ht="46" customHeight="1">
      <x:c r="A8333" s="2" t="str">
        <x:v>TEN-20A53682F801</x:v>
      </x:c>
      <x:c r="B8333" s="12" t="str">
        <x:v>Shardul Amarchand Mangaldas &amp; Company</x:v>
      </x:c>
      <x:c r="C8333" s="12" t="str">
        <x:v>CORP-0511</x:v>
      </x:c>
      <x:c r="D8333" s="12" t="str">
        <x:v>Bengaluru</x:v>
      </x:c>
      <x:c r="E8333" s="12" t="str">
        <x:v>Prestige Summit</x:v>
      </x:c>
      <x:c r="F8333" s="12" t="str">
        <x:v>55 inch</x:v>
      </x:c>
      <x:c r="G8333" s="20" t="n">
        <x:v>1</x:v>
      </x:c>
      <x:c r="H8333" s="12" t="str">
        <x:v>Campus/portfolio roster; individual building occupancy unverified</x:v>
      </x:c>
      <x:c r="I8333" s="12" t="str">
        <x:v>Mixed business audience</x:v>
      </x:c>
      <x:c r="J8333" s="12" t="str">
        <x:v>Professional services</x:v>
      </x:c>
      <x:c r="K8333" s="2" t="str">
        <x:v>PARTNER-M093</x:v>
      </x:c>
    </x:row>
    <x:row r="8334" ht="46" customHeight="1">
      <x:c r="A8334" s="2" t="str">
        <x:v>TEN-655B077590B2</x:v>
      </x:c>
      <x:c r="B8334" s="12" t="str">
        <x:v>Clicktech Retail</x:v>
      </x:c>
      <x:c r="C8334" s="12" t="str">
        <x:v>CORP-0511</x:v>
      </x:c>
      <x:c r="D8334" s="12" t="str">
        <x:v>Bengaluru</x:v>
      </x:c>
      <x:c r="E8334" s="12" t="str">
        <x:v>Prestige Summit</x:v>
      </x:c>
      <x:c r="F8334" s="12" t="str">
        <x:v>55 inch</x:v>
      </x:c>
      <x:c r="G8334" s="20" t="n">
        <x:v>1</x:v>
      </x:c>
      <x:c r="H8334" s="12" t="str">
        <x:v>Campus/portfolio roster; individual building occupancy unverified</x:v>
      </x:c>
      <x:c r="I8334" s="12" t="str">
        <x:v>Small-scale prospects</x:v>
      </x:c>
      <x:c r="J8334" s="12" t="str">
        <x:v>Trade, consumer &amp; logistics</x:v>
      </x:c>
      <x:c r="K8334" s="2" t="str">
        <x:v>PARTNER-M093</x:v>
      </x:c>
    </x:row>
    <x:row r="8335" ht="46" customHeight="1">
      <x:c r="A8335" s="2" t="str">
        <x:v>TEN-74F3676D4320</x:v>
      </x:c>
      <x:c r="B8335" s="12" t="str">
        <x:v>Bliss Chocolates (Smoor)</x:v>
      </x:c>
      <x:c r="C8335" s="12" t="str">
        <x:v>CORP-0511</x:v>
      </x:c>
      <x:c r="D8335" s="12" t="str">
        <x:v>Bengaluru</x:v>
      </x:c>
      <x:c r="E8335" s="12" t="str">
        <x:v>Prestige Summit</x:v>
      </x:c>
      <x:c r="F8335" s="12" t="str">
        <x:v>55 inch</x:v>
      </x:c>
      <x:c r="G8335" s="20" t="n">
        <x:v>1</x:v>
      </x:c>
      <x:c r="H8335" s="12" t="str">
        <x:v>Campus/portfolio roster; individual building occupancy unverified</x:v>
      </x:c>
      <x:c r="I8335" s="12" t="str">
        <x:v>Mixed business audience</x:v>
      </x:c>
      <x:c r="J8335" s="12" t="str">
        <x:v>Trade, consumer &amp; logistics</x:v>
      </x:c>
      <x:c r="K8335" s="2" t="str">
        <x:v>PARTNER-M093</x:v>
      </x:c>
    </x:row>
    <x:row r="8336" ht="46" customHeight="1">
      <x:c r="A8336" s="2" t="str">
        <x:v>TEN-B9BB35EF1CC5</x:v>
      </x:c>
      <x:c r="B8336" s="12" t="str">
        <x:v>BMC Software</x:v>
      </x:c>
      <x:c r="C8336" s="12" t="str">
        <x:v>CORP-0511</x:v>
      </x:c>
      <x:c r="D8336" s="12" t="str">
        <x:v>Bengaluru</x:v>
      </x:c>
      <x:c r="E8336" s="12" t="str">
        <x:v>Prestige Summit</x:v>
      </x:c>
      <x:c r="F8336" s="12" t="str">
        <x:v>55 inch</x:v>
      </x:c>
      <x:c r="G8336" s="20" t="n">
        <x:v>1</x:v>
      </x:c>
      <x:c r="H8336" s="12" t="str">
        <x:v>Campus/portfolio roster; individual building occupancy unverified</x:v>
      </x:c>
      <x:c r="I8336" s="12" t="str">
        <x:v>Mixed business audience</x:v>
      </x:c>
      <x:c r="J8336" s="12" t="str">
        <x:v>IT &amp; digital</x:v>
      </x:c>
      <x:c r="K8336" s="2" t="str">
        <x:v>PARTNER-M093</x:v>
      </x:c>
    </x:row>
    <x:row r="8337" ht="46" customHeight="1">
      <x:c r="A8337" s="2" t="str">
        <x:v>TEN-D8116CD7573C</x:v>
      </x:c>
      <x:c r="B8337" s="12" t="str">
        <x:v>Elevar Venture Partners</x:v>
      </x:c>
      <x:c r="C8337" s="12" t="str">
        <x:v>CORP-0511</x:v>
      </x:c>
      <x:c r="D8337" s="12" t="str">
        <x:v>Bengaluru</x:v>
      </x:c>
      <x:c r="E8337" s="12" t="str">
        <x:v>Prestige Summit</x:v>
      </x:c>
      <x:c r="F8337" s="12" t="str">
        <x:v>55 inch</x:v>
      </x:c>
      <x:c r="G8337" s="20" t="n">
        <x:v>1</x:v>
      </x:c>
      <x:c r="H8337" s="12" t="str">
        <x:v>Campus/portfolio roster; individual building occupancy unverified</x:v>
      </x:c>
      <x:c r="I8337" s="12" t="str">
        <x:v>Medium-scale prospects</x:v>
      </x:c>
      <x:c r="J8337" s="12" t="str">
        <x:v>Finance &amp; insurance</x:v>
      </x:c>
      <x:c r="K8337" s="2" t="str">
        <x:v>PARTNER-M093</x:v>
      </x:c>
    </x:row>
    <x:row r="8338" ht="46" customHeight="1">
      <x:c r="A8338" s="2" t="str">
        <x:v>TEN-FF3CC4256021</x:v>
      </x:c>
      <x:c r="B8338" s="12" t="str">
        <x:v>Nexus Business Solutions</x:v>
      </x:c>
      <x:c r="C8338" s="12" t="str">
        <x:v>CORP-0511</x:v>
      </x:c>
      <x:c r="D8338" s="12" t="str">
        <x:v>Bengaluru</x:v>
      </x:c>
      <x:c r="E8338" s="12" t="str">
        <x:v>Prestige Summit</x:v>
      </x:c>
      <x:c r="F8338" s="12" t="str">
        <x:v>55 inch</x:v>
      </x:c>
      <x:c r="G8338" s="20" t="n">
        <x:v>1</x:v>
      </x:c>
      <x:c r="H8338" s="12" t="str">
        <x:v>Campus/portfolio roster; individual building occupancy unverified</x:v>
      </x:c>
      <x:c r="I8338" s="12" t="str">
        <x:v>Mixed business audience</x:v>
      </x:c>
      <x:c r="J8338" s="12" t="str">
        <x:v>Unresolved</x:v>
      </x:c>
      <x:c r="K8338" s="2" t="str">
        <x:v>PARTNER-M093</x:v>
      </x:c>
    </x:row>
    <x:row r="8339" ht="46" customHeight="1">
      <x:c r="A8339" s="2" t="str">
        <x:v>TEN-1FAA12305EE7</x:v>
      </x:c>
      <x:c r="B8339" s="12" t="str">
        <x:v>Cambridge University Press &amp; Assessment</x:v>
      </x:c>
      <x:c r="C8339" s="12" t="str">
        <x:v>CORP-0512</x:v>
      </x:c>
      <x:c r="D8339" s="12" t="str">
        <x:v>Bengaluru</x:v>
      </x:c>
      <x:c r="E8339" s="12" t="str">
        <x:v>Prestige Summit</x:v>
      </x:c>
      <x:c r="F8339" s="12" t="str">
        <x:v>55 inch</x:v>
      </x:c>
      <x:c r="G8339" s="20" t="n">
        <x:v>1</x:v>
      </x:c>
      <x:c r="H8339" s="12" t="str">
        <x:v>Campus/portfolio roster; individual building occupancy unverified</x:v>
      </x:c>
      <x:c r="I8339" s="12" t="str">
        <x:v>Institutional</x:v>
      </x:c>
      <x:c r="J8339" s="12" t="str">
        <x:v>Education</x:v>
      </x:c>
      <x:c r="K8339" s="2" t="str">
        <x:v>PARTNER-M093</x:v>
      </x:c>
    </x:row>
    <x:row r="8340" ht="46" customHeight="1">
      <x:c r="A8340" s="2" t="str">
        <x:v>TEN-20A53682F801</x:v>
      </x:c>
      <x:c r="B8340" s="12" t="str">
        <x:v>Shardul Amarchand Mangaldas &amp; Company</x:v>
      </x:c>
      <x:c r="C8340" s="12" t="str">
        <x:v>CORP-0512</x:v>
      </x:c>
      <x:c r="D8340" s="12" t="str">
        <x:v>Bengaluru</x:v>
      </x:c>
      <x:c r="E8340" s="12" t="str">
        <x:v>Prestige Summit</x:v>
      </x:c>
      <x:c r="F8340" s="12" t="str">
        <x:v>55 inch</x:v>
      </x:c>
      <x:c r="G8340" s="20" t="n">
        <x:v>1</x:v>
      </x:c>
      <x:c r="H8340" s="12" t="str">
        <x:v>Campus/portfolio roster; individual building occupancy unverified</x:v>
      </x:c>
      <x:c r="I8340" s="12" t="str">
        <x:v>Mixed business audience</x:v>
      </x:c>
      <x:c r="J8340" s="12" t="str">
        <x:v>Professional services</x:v>
      </x:c>
      <x:c r="K8340" s="2" t="str">
        <x:v>PARTNER-M093</x:v>
      </x:c>
    </x:row>
    <x:row r="8341" ht="46" customHeight="1">
      <x:c r="A8341" s="2" t="str">
        <x:v>TEN-655B077590B2</x:v>
      </x:c>
      <x:c r="B8341" s="12" t="str">
        <x:v>Clicktech Retail</x:v>
      </x:c>
      <x:c r="C8341" s="12" t="str">
        <x:v>CORP-0512</x:v>
      </x:c>
      <x:c r="D8341" s="12" t="str">
        <x:v>Bengaluru</x:v>
      </x:c>
      <x:c r="E8341" s="12" t="str">
        <x:v>Prestige Summit</x:v>
      </x:c>
      <x:c r="F8341" s="12" t="str">
        <x:v>55 inch</x:v>
      </x:c>
      <x:c r="G8341" s="20" t="n">
        <x:v>1</x:v>
      </x:c>
      <x:c r="H8341" s="12" t="str">
        <x:v>Campus/portfolio roster; individual building occupancy unverified</x:v>
      </x:c>
      <x:c r="I8341" s="12" t="str">
        <x:v>Small-scale prospects</x:v>
      </x:c>
      <x:c r="J8341" s="12" t="str">
        <x:v>Trade, consumer &amp; logistics</x:v>
      </x:c>
      <x:c r="K8341" s="2" t="str">
        <x:v>PARTNER-M093</x:v>
      </x:c>
    </x:row>
    <x:row r="8342" ht="46" customHeight="1">
      <x:c r="A8342" s="2" t="str">
        <x:v>TEN-74F3676D4320</x:v>
      </x:c>
      <x:c r="B8342" s="12" t="str">
        <x:v>Bliss Chocolates (Smoor)</x:v>
      </x:c>
      <x:c r="C8342" s="12" t="str">
        <x:v>CORP-0512</x:v>
      </x:c>
      <x:c r="D8342" s="12" t="str">
        <x:v>Bengaluru</x:v>
      </x:c>
      <x:c r="E8342" s="12" t="str">
        <x:v>Prestige Summit</x:v>
      </x:c>
      <x:c r="F8342" s="12" t="str">
        <x:v>55 inch</x:v>
      </x:c>
      <x:c r="G8342" s="20" t="n">
        <x:v>1</x:v>
      </x:c>
      <x:c r="H8342" s="12" t="str">
        <x:v>Campus/portfolio roster; individual building occupancy unverified</x:v>
      </x:c>
      <x:c r="I8342" s="12" t="str">
        <x:v>Mixed business audience</x:v>
      </x:c>
      <x:c r="J8342" s="12" t="str">
        <x:v>Trade, consumer &amp; logistics</x:v>
      </x:c>
      <x:c r="K8342" s="2" t="str">
        <x:v>PARTNER-M093</x:v>
      </x:c>
    </x:row>
    <x:row r="8343" ht="46" customHeight="1">
      <x:c r="A8343" s="2" t="str">
        <x:v>TEN-B9BB35EF1CC5</x:v>
      </x:c>
      <x:c r="B8343" s="12" t="str">
        <x:v>BMC Software</x:v>
      </x:c>
      <x:c r="C8343" s="12" t="str">
        <x:v>CORP-0512</x:v>
      </x:c>
      <x:c r="D8343" s="12" t="str">
        <x:v>Bengaluru</x:v>
      </x:c>
      <x:c r="E8343" s="12" t="str">
        <x:v>Prestige Summit</x:v>
      </x:c>
      <x:c r="F8343" s="12" t="str">
        <x:v>55 inch</x:v>
      </x:c>
      <x:c r="G8343" s="20" t="n">
        <x:v>1</x:v>
      </x:c>
      <x:c r="H8343" s="12" t="str">
        <x:v>Campus/portfolio roster; individual building occupancy unverified</x:v>
      </x:c>
      <x:c r="I8343" s="12" t="str">
        <x:v>Mixed business audience</x:v>
      </x:c>
      <x:c r="J8343" s="12" t="str">
        <x:v>IT &amp; digital</x:v>
      </x:c>
      <x:c r="K8343" s="2" t="str">
        <x:v>PARTNER-M093</x:v>
      </x:c>
    </x:row>
    <x:row r="8344" ht="46" customHeight="1">
      <x:c r="A8344" s="2" t="str">
        <x:v>TEN-D8116CD7573C</x:v>
      </x:c>
      <x:c r="B8344" s="12" t="str">
        <x:v>Elevar Venture Partners</x:v>
      </x:c>
      <x:c r="C8344" s="12" t="str">
        <x:v>CORP-0512</x:v>
      </x:c>
      <x:c r="D8344" s="12" t="str">
        <x:v>Bengaluru</x:v>
      </x:c>
      <x:c r="E8344" s="12" t="str">
        <x:v>Prestige Summit</x:v>
      </x:c>
      <x:c r="F8344" s="12" t="str">
        <x:v>55 inch</x:v>
      </x:c>
      <x:c r="G8344" s="20" t="n">
        <x:v>1</x:v>
      </x:c>
      <x:c r="H8344" s="12" t="str">
        <x:v>Campus/portfolio roster; individual building occupancy unverified</x:v>
      </x:c>
      <x:c r="I8344" s="12" t="str">
        <x:v>Medium-scale prospects</x:v>
      </x:c>
      <x:c r="J8344" s="12" t="str">
        <x:v>Finance &amp; insurance</x:v>
      </x:c>
      <x:c r="K8344" s="2" t="str">
        <x:v>PARTNER-M093</x:v>
      </x:c>
    </x:row>
    <x:row r="8345" ht="46" customHeight="1">
      <x:c r="A8345" s="2" t="str">
        <x:v>TEN-FF3CC4256021</x:v>
      </x:c>
      <x:c r="B8345" s="12" t="str">
        <x:v>Nexus Business Solutions</x:v>
      </x:c>
      <x:c r="C8345" s="12" t="str">
        <x:v>CORP-0512</x:v>
      </x:c>
      <x:c r="D8345" s="12" t="str">
        <x:v>Bengaluru</x:v>
      </x:c>
      <x:c r="E8345" s="12" t="str">
        <x:v>Prestige Summit</x:v>
      </x:c>
      <x:c r="F8345" s="12" t="str">
        <x:v>55 inch</x:v>
      </x:c>
      <x:c r="G8345" s="20" t="n">
        <x:v>1</x:v>
      </x:c>
      <x:c r="H8345" s="12" t="str">
        <x:v>Campus/portfolio roster; individual building occupancy unverified</x:v>
      </x:c>
      <x:c r="I8345" s="12" t="str">
        <x:v>Mixed business audience</x:v>
      </x:c>
      <x:c r="J8345" s="12" t="str">
        <x:v>Unresolved</x:v>
      </x:c>
      <x:c r="K8345" s="2" t="str">
        <x:v>PARTNER-M093</x:v>
      </x:c>
    </x:row>
    <x:row r="8346" ht="46" customHeight="1">
      <x:c r="A8346" s="2" t="str">
        <x:v>TEN-1FAA12305EE7</x:v>
      </x:c>
      <x:c r="B8346" s="12" t="str">
        <x:v>Cambridge University Press &amp; Assessment</x:v>
      </x:c>
      <x:c r="C8346" s="12" t="str">
        <x:v>CORP-0513</x:v>
      </x:c>
      <x:c r="D8346" s="12" t="str">
        <x:v>Bengaluru</x:v>
      </x:c>
      <x:c r="E8346" s="12" t="str">
        <x:v>Prestige Summit</x:v>
      </x:c>
      <x:c r="F8346" s="12" t="str">
        <x:v>55 inch</x:v>
      </x:c>
      <x:c r="G8346" s="20" t="n">
        <x:v>1</x:v>
      </x:c>
      <x:c r="H8346" s="12" t="str">
        <x:v>Campus/portfolio roster; individual building occupancy unverified</x:v>
      </x:c>
      <x:c r="I8346" s="12" t="str">
        <x:v>Institutional</x:v>
      </x:c>
      <x:c r="J8346" s="12" t="str">
        <x:v>Education</x:v>
      </x:c>
      <x:c r="K8346" s="2" t="str">
        <x:v>PARTNER-M093</x:v>
      </x:c>
    </x:row>
    <x:row r="8347" ht="46" customHeight="1">
      <x:c r="A8347" s="2" t="str">
        <x:v>TEN-20A53682F801</x:v>
      </x:c>
      <x:c r="B8347" s="12" t="str">
        <x:v>Shardul Amarchand Mangaldas &amp; Company</x:v>
      </x:c>
      <x:c r="C8347" s="12" t="str">
        <x:v>CORP-0513</x:v>
      </x:c>
      <x:c r="D8347" s="12" t="str">
        <x:v>Bengaluru</x:v>
      </x:c>
      <x:c r="E8347" s="12" t="str">
        <x:v>Prestige Summit</x:v>
      </x:c>
      <x:c r="F8347" s="12" t="str">
        <x:v>55 inch</x:v>
      </x:c>
      <x:c r="G8347" s="20" t="n">
        <x:v>1</x:v>
      </x:c>
      <x:c r="H8347" s="12" t="str">
        <x:v>Campus/portfolio roster; individual building occupancy unverified</x:v>
      </x:c>
      <x:c r="I8347" s="12" t="str">
        <x:v>Mixed business audience</x:v>
      </x:c>
      <x:c r="J8347" s="12" t="str">
        <x:v>Professional services</x:v>
      </x:c>
      <x:c r="K8347" s="2" t="str">
        <x:v>PARTNER-M093</x:v>
      </x:c>
    </x:row>
    <x:row r="8348" ht="46" customHeight="1">
      <x:c r="A8348" s="2" t="str">
        <x:v>TEN-655B077590B2</x:v>
      </x:c>
      <x:c r="B8348" s="12" t="str">
        <x:v>Clicktech Retail</x:v>
      </x:c>
      <x:c r="C8348" s="12" t="str">
        <x:v>CORP-0513</x:v>
      </x:c>
      <x:c r="D8348" s="12" t="str">
        <x:v>Bengaluru</x:v>
      </x:c>
      <x:c r="E8348" s="12" t="str">
        <x:v>Prestige Summit</x:v>
      </x:c>
      <x:c r="F8348" s="12" t="str">
        <x:v>55 inch</x:v>
      </x:c>
      <x:c r="G8348" s="20" t="n">
        <x:v>1</x:v>
      </x:c>
      <x:c r="H8348" s="12" t="str">
        <x:v>Campus/portfolio roster; individual building occupancy unverified</x:v>
      </x:c>
      <x:c r="I8348" s="12" t="str">
        <x:v>Small-scale prospects</x:v>
      </x:c>
      <x:c r="J8348" s="12" t="str">
        <x:v>Trade, consumer &amp; logistics</x:v>
      </x:c>
      <x:c r="K8348" s="2" t="str">
        <x:v>PARTNER-M093</x:v>
      </x:c>
    </x:row>
    <x:row r="8349" ht="46" customHeight="1">
      <x:c r="A8349" s="2" t="str">
        <x:v>TEN-74F3676D4320</x:v>
      </x:c>
      <x:c r="B8349" s="12" t="str">
        <x:v>Bliss Chocolates (Smoor)</x:v>
      </x:c>
      <x:c r="C8349" s="12" t="str">
        <x:v>CORP-0513</x:v>
      </x:c>
      <x:c r="D8349" s="12" t="str">
        <x:v>Bengaluru</x:v>
      </x:c>
      <x:c r="E8349" s="12" t="str">
        <x:v>Prestige Summit</x:v>
      </x:c>
      <x:c r="F8349" s="12" t="str">
        <x:v>55 inch</x:v>
      </x:c>
      <x:c r="G8349" s="20" t="n">
        <x:v>1</x:v>
      </x:c>
      <x:c r="H8349" s="12" t="str">
        <x:v>Campus/portfolio roster; individual building occupancy unverified</x:v>
      </x:c>
      <x:c r="I8349" s="12" t="str">
        <x:v>Mixed business audience</x:v>
      </x:c>
      <x:c r="J8349" s="12" t="str">
        <x:v>Trade, consumer &amp; logistics</x:v>
      </x:c>
      <x:c r="K8349" s="2" t="str">
        <x:v>PARTNER-M093</x:v>
      </x:c>
    </x:row>
    <x:row r="8350" ht="46" customHeight="1">
      <x:c r="A8350" s="2" t="str">
        <x:v>TEN-B9BB35EF1CC5</x:v>
      </x:c>
      <x:c r="B8350" s="12" t="str">
        <x:v>BMC Software</x:v>
      </x:c>
      <x:c r="C8350" s="12" t="str">
        <x:v>CORP-0513</x:v>
      </x:c>
      <x:c r="D8350" s="12" t="str">
        <x:v>Bengaluru</x:v>
      </x:c>
      <x:c r="E8350" s="12" t="str">
        <x:v>Prestige Summit</x:v>
      </x:c>
      <x:c r="F8350" s="12" t="str">
        <x:v>55 inch</x:v>
      </x:c>
      <x:c r="G8350" s="20" t="n">
        <x:v>1</x:v>
      </x:c>
      <x:c r="H8350" s="12" t="str">
        <x:v>Campus/portfolio roster; individual building occupancy unverified</x:v>
      </x:c>
      <x:c r="I8350" s="12" t="str">
        <x:v>Mixed business audience</x:v>
      </x:c>
      <x:c r="J8350" s="12" t="str">
        <x:v>IT &amp; digital</x:v>
      </x:c>
      <x:c r="K8350" s="2" t="str">
        <x:v>PARTNER-M093</x:v>
      </x:c>
    </x:row>
    <x:row r="8351" ht="46" customHeight="1">
      <x:c r="A8351" s="2" t="str">
        <x:v>TEN-D8116CD7573C</x:v>
      </x:c>
      <x:c r="B8351" s="12" t="str">
        <x:v>Elevar Venture Partners</x:v>
      </x:c>
      <x:c r="C8351" s="12" t="str">
        <x:v>CORP-0513</x:v>
      </x:c>
      <x:c r="D8351" s="12" t="str">
        <x:v>Bengaluru</x:v>
      </x:c>
      <x:c r="E8351" s="12" t="str">
        <x:v>Prestige Summit</x:v>
      </x:c>
      <x:c r="F8351" s="12" t="str">
        <x:v>55 inch</x:v>
      </x:c>
      <x:c r="G8351" s="20" t="n">
        <x:v>1</x:v>
      </x:c>
      <x:c r="H8351" s="12" t="str">
        <x:v>Campus/portfolio roster; individual building occupancy unverified</x:v>
      </x:c>
      <x:c r="I8351" s="12" t="str">
        <x:v>Medium-scale prospects</x:v>
      </x:c>
      <x:c r="J8351" s="12" t="str">
        <x:v>Finance &amp; insurance</x:v>
      </x:c>
      <x:c r="K8351" s="2" t="str">
        <x:v>PARTNER-M093</x:v>
      </x:c>
    </x:row>
    <x:row r="8352" ht="46" customHeight="1">
      <x:c r="A8352" s="2" t="str">
        <x:v>TEN-FF3CC4256021</x:v>
      </x:c>
      <x:c r="B8352" s="12" t="str">
        <x:v>Nexus Business Solutions</x:v>
      </x:c>
      <x:c r="C8352" s="12" t="str">
        <x:v>CORP-0513</x:v>
      </x:c>
      <x:c r="D8352" s="12" t="str">
        <x:v>Bengaluru</x:v>
      </x:c>
      <x:c r="E8352" s="12" t="str">
        <x:v>Prestige Summit</x:v>
      </x:c>
      <x:c r="F8352" s="12" t="str">
        <x:v>55 inch</x:v>
      </x:c>
      <x:c r="G8352" s="20" t="n">
        <x:v>1</x:v>
      </x:c>
      <x:c r="H8352" s="12" t="str">
        <x:v>Campus/portfolio roster; individual building occupancy unverified</x:v>
      </x:c>
      <x:c r="I8352" s="12" t="str">
        <x:v>Mixed business audience</x:v>
      </x:c>
      <x:c r="J8352" s="12" t="str">
        <x:v>Unresolved</x:v>
      </x:c>
      <x:c r="K8352" s="2" t="str">
        <x:v>PARTNER-M093</x:v>
      </x:c>
    </x:row>
    <x:row r="8353" ht="46" customHeight="1">
      <x:c r="A8353" s="2" t="str">
        <x:v>TEN-1FAA12305EE7</x:v>
      </x:c>
      <x:c r="B8353" s="12" t="str">
        <x:v>Cambridge University Press &amp; Assessment</x:v>
      </x:c>
      <x:c r="C8353" s="12" t="str">
        <x:v>CORP-0514</x:v>
      </x:c>
      <x:c r="D8353" s="12" t="str">
        <x:v>Bengaluru</x:v>
      </x:c>
      <x:c r="E8353" s="12" t="str">
        <x:v>Prestige Summit</x:v>
      </x:c>
      <x:c r="F8353" s="12" t="str">
        <x:v>55 inch</x:v>
      </x:c>
      <x:c r="G8353" s="20" t="n">
        <x:v>1</x:v>
      </x:c>
      <x:c r="H8353" s="12" t="str">
        <x:v>Campus/portfolio roster; individual building occupancy unverified</x:v>
      </x:c>
      <x:c r="I8353" s="12" t="str">
        <x:v>Institutional</x:v>
      </x:c>
      <x:c r="J8353" s="12" t="str">
        <x:v>Education</x:v>
      </x:c>
      <x:c r="K8353" s="2" t="str">
        <x:v>PARTNER-M093</x:v>
      </x:c>
    </x:row>
    <x:row r="8354" ht="46" customHeight="1">
      <x:c r="A8354" s="2" t="str">
        <x:v>TEN-20A53682F801</x:v>
      </x:c>
      <x:c r="B8354" s="12" t="str">
        <x:v>Shardul Amarchand Mangaldas &amp; Company</x:v>
      </x:c>
      <x:c r="C8354" s="12" t="str">
        <x:v>CORP-0514</x:v>
      </x:c>
      <x:c r="D8354" s="12" t="str">
        <x:v>Bengaluru</x:v>
      </x:c>
      <x:c r="E8354" s="12" t="str">
        <x:v>Prestige Summit</x:v>
      </x:c>
      <x:c r="F8354" s="12" t="str">
        <x:v>55 inch</x:v>
      </x:c>
      <x:c r="G8354" s="20" t="n">
        <x:v>1</x:v>
      </x:c>
      <x:c r="H8354" s="12" t="str">
        <x:v>Campus/portfolio roster; individual building occupancy unverified</x:v>
      </x:c>
      <x:c r="I8354" s="12" t="str">
        <x:v>Mixed business audience</x:v>
      </x:c>
      <x:c r="J8354" s="12" t="str">
        <x:v>Professional services</x:v>
      </x:c>
      <x:c r="K8354" s="2" t="str">
        <x:v>PARTNER-M093</x:v>
      </x:c>
    </x:row>
    <x:row r="8355" ht="46" customHeight="1">
      <x:c r="A8355" s="2" t="str">
        <x:v>TEN-655B077590B2</x:v>
      </x:c>
      <x:c r="B8355" s="12" t="str">
        <x:v>Clicktech Retail</x:v>
      </x:c>
      <x:c r="C8355" s="12" t="str">
        <x:v>CORP-0514</x:v>
      </x:c>
      <x:c r="D8355" s="12" t="str">
        <x:v>Bengaluru</x:v>
      </x:c>
      <x:c r="E8355" s="12" t="str">
        <x:v>Prestige Summit</x:v>
      </x:c>
      <x:c r="F8355" s="12" t="str">
        <x:v>55 inch</x:v>
      </x:c>
      <x:c r="G8355" s="20" t="n">
        <x:v>1</x:v>
      </x:c>
      <x:c r="H8355" s="12" t="str">
        <x:v>Campus/portfolio roster; individual building occupancy unverified</x:v>
      </x:c>
      <x:c r="I8355" s="12" t="str">
        <x:v>Small-scale prospects</x:v>
      </x:c>
      <x:c r="J8355" s="12" t="str">
        <x:v>Trade, consumer &amp; logistics</x:v>
      </x:c>
      <x:c r="K8355" s="2" t="str">
        <x:v>PARTNER-M093</x:v>
      </x:c>
    </x:row>
    <x:row r="8356" ht="46" customHeight="1">
      <x:c r="A8356" s="2" t="str">
        <x:v>TEN-74F3676D4320</x:v>
      </x:c>
      <x:c r="B8356" s="12" t="str">
        <x:v>Bliss Chocolates (Smoor)</x:v>
      </x:c>
      <x:c r="C8356" s="12" t="str">
        <x:v>CORP-0514</x:v>
      </x:c>
      <x:c r="D8356" s="12" t="str">
        <x:v>Bengaluru</x:v>
      </x:c>
      <x:c r="E8356" s="12" t="str">
        <x:v>Prestige Summit</x:v>
      </x:c>
      <x:c r="F8356" s="12" t="str">
        <x:v>55 inch</x:v>
      </x:c>
      <x:c r="G8356" s="20" t="n">
        <x:v>1</x:v>
      </x:c>
      <x:c r="H8356" s="12" t="str">
        <x:v>Campus/portfolio roster; individual building occupancy unverified</x:v>
      </x:c>
      <x:c r="I8356" s="12" t="str">
        <x:v>Mixed business audience</x:v>
      </x:c>
      <x:c r="J8356" s="12" t="str">
        <x:v>Trade, consumer &amp; logistics</x:v>
      </x:c>
      <x:c r="K8356" s="2" t="str">
        <x:v>PARTNER-M093</x:v>
      </x:c>
    </x:row>
    <x:row r="8357" ht="46" customHeight="1">
      <x:c r="A8357" s="2" t="str">
        <x:v>TEN-B9BB35EF1CC5</x:v>
      </x:c>
      <x:c r="B8357" s="12" t="str">
        <x:v>BMC Software</x:v>
      </x:c>
      <x:c r="C8357" s="12" t="str">
        <x:v>CORP-0514</x:v>
      </x:c>
      <x:c r="D8357" s="12" t="str">
        <x:v>Bengaluru</x:v>
      </x:c>
      <x:c r="E8357" s="12" t="str">
        <x:v>Prestige Summit</x:v>
      </x:c>
      <x:c r="F8357" s="12" t="str">
        <x:v>55 inch</x:v>
      </x:c>
      <x:c r="G8357" s="20" t="n">
        <x:v>1</x:v>
      </x:c>
      <x:c r="H8357" s="12" t="str">
        <x:v>Campus/portfolio roster; individual building occupancy unverified</x:v>
      </x:c>
      <x:c r="I8357" s="12" t="str">
        <x:v>Mixed business audience</x:v>
      </x:c>
      <x:c r="J8357" s="12" t="str">
        <x:v>IT &amp; digital</x:v>
      </x:c>
      <x:c r="K8357" s="2" t="str">
        <x:v>PARTNER-M093</x:v>
      </x:c>
    </x:row>
    <x:row r="8358" ht="46" customHeight="1">
      <x:c r="A8358" s="2" t="str">
        <x:v>TEN-D8116CD7573C</x:v>
      </x:c>
      <x:c r="B8358" s="12" t="str">
        <x:v>Elevar Venture Partners</x:v>
      </x:c>
      <x:c r="C8358" s="12" t="str">
        <x:v>CORP-0514</x:v>
      </x:c>
      <x:c r="D8358" s="12" t="str">
        <x:v>Bengaluru</x:v>
      </x:c>
      <x:c r="E8358" s="12" t="str">
        <x:v>Prestige Summit</x:v>
      </x:c>
      <x:c r="F8358" s="12" t="str">
        <x:v>55 inch</x:v>
      </x:c>
      <x:c r="G8358" s="20" t="n">
        <x:v>1</x:v>
      </x:c>
      <x:c r="H8358" s="12" t="str">
        <x:v>Campus/portfolio roster; individual building occupancy unverified</x:v>
      </x:c>
      <x:c r="I8358" s="12" t="str">
        <x:v>Medium-scale prospects</x:v>
      </x:c>
      <x:c r="J8358" s="12" t="str">
        <x:v>Finance &amp; insurance</x:v>
      </x:c>
      <x:c r="K8358" s="2" t="str">
        <x:v>PARTNER-M093</x:v>
      </x:c>
    </x:row>
    <x:row r="8359" ht="46" customHeight="1">
      <x:c r="A8359" s="2" t="str">
        <x:v>TEN-FF3CC4256021</x:v>
      </x:c>
      <x:c r="B8359" s="12" t="str">
        <x:v>Nexus Business Solutions</x:v>
      </x:c>
      <x:c r="C8359" s="12" t="str">
        <x:v>CORP-0514</x:v>
      </x:c>
      <x:c r="D8359" s="12" t="str">
        <x:v>Bengaluru</x:v>
      </x:c>
      <x:c r="E8359" s="12" t="str">
        <x:v>Prestige Summit</x:v>
      </x:c>
      <x:c r="F8359" s="12" t="str">
        <x:v>55 inch</x:v>
      </x:c>
      <x:c r="G8359" s="20" t="n">
        <x:v>1</x:v>
      </x:c>
      <x:c r="H8359" s="12" t="str">
        <x:v>Campus/portfolio roster; individual building occupancy unverified</x:v>
      </x:c>
      <x:c r="I8359" s="12" t="str">
        <x:v>Mixed business audience</x:v>
      </x:c>
      <x:c r="J8359" s="12" t="str">
        <x:v>Unresolved</x:v>
      </x:c>
      <x:c r="K8359" s="2" t="str">
        <x:v>PARTNER-M093</x:v>
      </x:c>
    </x:row>
  </x:sheetData>
  <x:pageMargins left="0.7" right="0.7" top="0.75" bottom="0.75" header="0.3" footer="0.3"/>
  <x:tableParts count="1">
    <x:tablePart xmlns:r="http://schemas.openxmlformats.org/officeDocument/2006/relationships" r:id="Rf70226de75ba4478"/>
  </x:tableParts>
</x:worksheet>
</file>

<file path=xl/worksheets/sheet7.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9" hidden="0" customWidth="1"/>
    <x:col min="2" max="2" width="38" hidden="0" customWidth="1"/>
    <x:col min="3" max="3" width="20" hidden="0" customWidth="1"/>
    <x:col min="4" max="4" width="23" hidden="0" customWidth="1"/>
    <x:col min="5" max="5" width="51" hidden="0" customWidth="1"/>
    <x:col min="6" max="6" width="17" hidden="0" customWidth="1"/>
    <x:col min="7" max="7" width="17" hidden="0" customWidth="1"/>
    <x:col min="8" max="8" width="18" hidden="0" customWidth="1"/>
    <x:col min="9" max="9" width="26" hidden="0" customWidth="1"/>
    <x:col min="10" max="10" width="22" hidden="0" customWidth="1"/>
    <x:col min="11" max="11" width="27" hidden="0" customWidth="1"/>
  </x:cols>
  <x:sheetData>
    <x:row r="1">
      <x:c r="A1" s="2"/>
      <x:c r="B1" s="2"/>
      <x:c r="C1" s="2"/>
      <x:c r="D1" s="2"/>
      <x:c r="E1" s="2"/>
      <x:c r="F1" s="2"/>
      <x:c r="G1" s="2"/>
      <x:c r="H1" s="2"/>
      <x:c r="I1" s="2"/>
      <x:c r="J1" s="2"/>
      <x:c r="K1" s="2"/>
    </x:row>
    <x:row r="2">
      <x:c r="A2" s="3" t="str">
        <x:v>Full-package options by category</x:v>
      </x:c>
      <x:c r="B2" s="2"/>
      <x:c r="C2" s="2"/>
      <x:c r="D2" s="2"/>
      <x:c r="E2" s="2"/>
      <x:c r="F2" s="2"/>
      <x:c r="G2" s="2"/>
      <x:c r="H2" s="2"/>
      <x:c r="I2" s="2"/>
      <x:c r="J2" s="2"/>
      <x:c r="K2" s="2"/>
    </x:row>
    <x:row r="3">
      <x:c r="A3" s="4"/>
      <x:c r="B3" s="4"/>
      <x:c r="C3" s="4"/>
      <x:c r="D3" s="4"/>
      <x:c r="E3" s="4"/>
      <x:c r="F3" s="4"/>
      <x:c r="G3" s="4"/>
      <x:c r="H3" s="4"/>
      <x:c r="I3" s="4"/>
      <x:c r="J3" s="4"/>
      <x:c r="K3" s="4"/>
    </x:row>
    <x:row r="4">
      <x:c r="A4" s="2" t="str">
        <x:v>Each group lists a cost unit once. These options overlap across groups and must not be added together.</x:v>
      </x:c>
      <x:c r="B4" s="2"/>
      <x:c r="C4" s="2"/>
      <x:c r="D4" s="2"/>
      <x:c r="E4" s="2"/>
      <x:c r="F4" s="2"/>
      <x:c r="G4" s="2"/>
      <x:c r="H4" s="2"/>
      <x:c r="I4" s="2"/>
      <x:c r="J4" s="2"/>
      <x:c r="K4" s="2"/>
    </x:row>
    <x:row r="5">
      <x:c r="A5" s="2"/>
      <x:c r="B5" s="2"/>
      <x:c r="C5" s="2"/>
      <x:c r="D5" s="2"/>
      <x:c r="E5" s="2"/>
      <x:c r="F5" s="2"/>
      <x:c r="G5" s="2"/>
      <x:c r="H5" s="2"/>
      <x:c r="I5" s="2"/>
      <x:c r="J5" s="2"/>
      <x:c r="K5" s="2"/>
    </x:row>
    <x:row r="6" ht="42" customHeight="1">
      <x:c r="A6" s="8" t="str">
        <x:v>Category type</x:v>
      </x:c>
      <x:c r="B6" s="8" t="str">
        <x:v>Category</x:v>
      </x:c>
      <x:c r="C6" s="8" t="str">
        <x:v>Market</x:v>
      </x:c>
      <x:c r="D6" s="8" t="str">
        <x:v>Cost unit</x:v>
      </x:c>
      <x:c r="E6" s="8" t="str">
        <x:v>Property / package</x:v>
      </x:c>
      <x:c r="F6" s="8" t="str">
        <x:v>Associated screens</x:v>
      </x:c>
      <x:c r="G6" s="8" t="str">
        <x:v>Delivery screens</x:v>
      </x:c>
      <x:c r="H6" s="8" t="str">
        <x:v>Additional screens</x:v>
      </x:c>
      <x:c r="I6" s="8" t="str">
        <x:v>Full-package option ex GST</x:v>
      </x:c>
      <x:c r="J6" s="8" t="str">
        <x:v>GST</x:v>
      </x:c>
      <x:c r="K6" s="8" t="str">
        <x:v>Full-package option incl GST</x:v>
      </x:c>
    </x:row>
    <x:row r="7" ht="46" customHeight="1">
      <x:c r="A7" s="2" t="str">
        <x:v>Indicative size</x:v>
      </x:c>
      <x:c r="B7" s="2" t="str">
        <x:v>Micro-scale prospects</x:v>
      </x:c>
      <x:c r="C7" s="12" t="str">
        <x:v>Ahmedabad</x:v>
      </x:c>
      <x:c r="D7" s="12" t="str">
        <x:v>MAIN-006</x:v>
      </x:c>
      <x:c r="E7" s="12" t="str">
        <x:v>Awfis - RE11</x:v>
      </x:c>
      <x:c r="F7" s="11" t="n">
        <x:v>1</x:v>
      </x:c>
      <x:c r="G7" s="11" t="n">
        <x:v>1</x:v>
      </x:c>
      <x:c r="H7" s="11" t="n">
        <x:v>0</x:v>
      </x:c>
      <x:c r="I7" s="17" t="n">
        <x:f>INDEX('Costing'!$P$9:$P$492,MATCH(D7,'Costing'!$A$9:$A$492,0))</x:f>
        <x:v>15000</x:v>
      </x:c>
      <x:c r="J7" s="17" t="n">
        <x:f>ROUND(I7*'Costing'!$C$4,2)</x:f>
        <x:v>2700</x:v>
      </x:c>
      <x:c r="K7" s="17" t="n">
        <x:f>I7+J7</x:f>
        <x:v>17700</x:v>
      </x:c>
    </x:row>
    <x:row r="8" ht="46" customHeight="1">
      <x:c r="A8" s="2" t="str">
        <x:v>Indicative size</x:v>
      </x:c>
      <x:c r="B8" s="2" t="str">
        <x:v>Micro-scale prospects</x:v>
      </x:c>
      <x:c r="C8" s="12" t="str">
        <x:v>Ahmedabad</x:v>
      </x:c>
      <x:c r="D8" s="12" t="str">
        <x:v>MAIN-007</x:v>
      </x:c>
      <x:c r="E8" s="12" t="str">
        <x:v>Oyo Workspace - Mauryansh Elanza</x:v>
      </x:c>
      <x:c r="F8" s="11" t="n">
        <x:v>2</x:v>
      </x:c>
      <x:c r="G8" s="11" t="n">
        <x:v>2</x:v>
      </x:c>
      <x:c r="H8" s="11" t="n">
        <x:v>0</x:v>
      </x:c>
      <x:c r="I8" s="17" t="n">
        <x:f>INDEX('Costing'!$P$9:$P$492,MATCH(D8,'Costing'!$A$9:$A$492,0))</x:f>
        <x:v>30000</x:v>
      </x:c>
      <x:c r="J8" s="17" t="n">
        <x:f>ROUND(I8*'Costing'!$C$4,2)</x:f>
        <x:v>5400</x:v>
      </x:c>
      <x:c r="K8" s="17" t="n">
        <x:f>I8+J8</x:f>
        <x:v>35400</x:v>
      </x:c>
    </x:row>
    <x:row r="9" ht="46" customHeight="1">
      <x:c r="A9" s="2" t="str">
        <x:v>Indicative size</x:v>
      </x:c>
      <x:c r="B9" s="2" t="str">
        <x:v>Micro-scale prospects</x:v>
      </x:c>
      <x:c r="C9" s="12" t="str">
        <x:v>Bengaluru</x:v>
      </x:c>
      <x:c r="D9" s="12" t="str">
        <x:v>MAIN-010</x:v>
      </x:c>
      <x:c r="E9" s="12" t="str">
        <x:v>Ataura Business Centre</x:v>
      </x:c>
      <x:c r="F9" s="11" t="n">
        <x:v>1</x:v>
      </x:c>
      <x:c r="G9" s="11" t="n">
        <x:v>1</x:v>
      </x:c>
      <x:c r="H9" s="11" t="n">
        <x:v>0</x:v>
      </x:c>
      <x:c r="I9" s="17" t="n">
        <x:f>INDEX('Costing'!$P$9:$P$492,MATCH(D9,'Costing'!$A$9:$A$492,0))</x:f>
        <x:v>15000</x:v>
      </x:c>
      <x:c r="J9" s="17" t="n">
        <x:f>ROUND(I9*'Costing'!$C$4,2)</x:f>
        <x:v>2700</x:v>
      </x:c>
      <x:c r="K9" s="17" t="n">
        <x:f>I9+J9</x:f>
        <x:v>17700</x:v>
      </x:c>
    </x:row>
    <x:row r="10" ht="46" customHeight="1">
      <x:c r="A10" s="2" t="str">
        <x:v>Indicative size</x:v>
      </x:c>
      <x:c r="B10" s="2" t="str">
        <x:v>Micro-scale prospects</x:v>
      </x:c>
      <x:c r="C10" s="12" t="str">
        <x:v>Bengaluru</x:v>
      </x:c>
      <x:c r="D10" s="12" t="str">
        <x:v>MAIN-072</x:v>
      </x:c>
      <x:c r="E10" s="12" t="str">
        <x:v>Prestige Etamin (Redbrick Offices)</x:v>
      </x:c>
      <x:c r="F10" s="11" t="n">
        <x:v>1</x:v>
      </x:c>
      <x:c r="G10" s="11" t="n">
        <x:v>1</x:v>
      </x:c>
      <x:c r="H10" s="11" t="n">
        <x:v>0</x:v>
      </x:c>
      <x:c r="I10" s="17" t="n">
        <x:f>INDEX('Costing'!$P$9:$P$492,MATCH(D10,'Costing'!$A$9:$A$492,0))</x:f>
        <x:v>15000</x:v>
      </x:c>
      <x:c r="J10" s="17" t="n">
        <x:f>ROUND(I10*'Costing'!$C$4,2)</x:f>
        <x:v>2700</x:v>
      </x:c>
      <x:c r="K10" s="17" t="n">
        <x:f>I10+J10</x:f>
        <x:v>17700</x:v>
      </x:c>
    </x:row>
    <x:row r="11" ht="46" customHeight="1">
      <x:c r="A11" s="2" t="str">
        <x:v>Indicative size</x:v>
      </x:c>
      <x:c r="B11" s="2" t="str">
        <x:v>Micro-scale prospects</x:v>
      </x:c>
      <x:c r="C11" s="12" t="str">
        <x:v>Bengaluru</x:v>
      </x:c>
      <x:c r="D11" s="12" t="str">
        <x:v>MAIN-111</x:v>
      </x:c>
      <x:c r="E11" s="12" t="str">
        <x:v>Urban Vault- Head Quarters</x:v>
      </x:c>
      <x:c r="F11" s="11" t="n">
        <x:v>1</x:v>
      </x:c>
      <x:c r="G11" s="11" t="n">
        <x:v>1</x:v>
      </x:c>
      <x:c r="H11" s="11" t="n">
        <x:v>0</x:v>
      </x:c>
      <x:c r="I11" s="17" t="n">
        <x:f>INDEX('Costing'!$P$9:$P$492,MATCH(D11,'Costing'!$A$9:$A$492,0))</x:f>
        <x:v>15000</x:v>
      </x:c>
      <x:c r="J11" s="17" t="n">
        <x:f>ROUND(I11*'Costing'!$C$4,2)</x:f>
        <x:v>2700</x:v>
      </x:c>
      <x:c r="K11" s="17" t="n">
        <x:f>I11+J11</x:f>
        <x:v>17700</x:v>
      </x:c>
    </x:row>
    <x:row r="12" ht="46" customHeight="1">
      <x:c r="A12" s="2" t="str">
        <x:v>Indicative size</x:v>
      </x:c>
      <x:c r="B12" s="2" t="str">
        <x:v>Micro-scale prospects</x:v>
      </x:c>
      <x:c r="C12" s="12" t="str">
        <x:v>Delhi NCR</x:v>
      </x:c>
      <x:c r="D12" s="12" t="str">
        <x:v>MAIN-210</x:v>
      </x:c>
      <x:c r="E12" s="12" t="str">
        <x:v>WeWork - Forum</x:v>
      </x:c>
      <x:c r="F12" s="11" t="n">
        <x:v>14</x:v>
      </x:c>
      <x:c r="G12" s="11" t="n">
        <x:v>14</x:v>
      </x:c>
      <x:c r="H12" s="11" t="n">
        <x:v>0</x:v>
      </x:c>
      <x:c r="I12" s="17" t="n">
        <x:f>INDEX('Costing'!$P$9:$P$492,MATCH(D12,'Costing'!$A$9:$A$492,0))</x:f>
        <x:v>350000</x:v>
      </x:c>
      <x:c r="J12" s="17" t="n">
        <x:f>ROUND(I12*'Costing'!$C$4,2)</x:f>
        <x:v>63000</x:v>
      </x:c>
      <x:c r="K12" s="17" t="n">
        <x:f>I12+J12</x:f>
        <x:v>413000</x:v>
      </x:c>
    </x:row>
    <x:row r="13" ht="46" customHeight="1">
      <x:c r="A13" s="2" t="str">
        <x:v>Indicative size</x:v>
      </x:c>
      <x:c r="B13" s="2" t="str">
        <x:v>Micro-scale prospects</x:v>
      </x:c>
      <x:c r="C13" s="12" t="str">
        <x:v>Indore</x:v>
      </x:c>
      <x:c r="D13" s="12" t="str">
        <x:v>MAIN-269</x:v>
      </x:c>
      <x:c r="E13" s="12" t="str">
        <x:v>Benchmark</x:v>
      </x:c>
      <x:c r="F13" s="11" t="n">
        <x:v>1</x:v>
      </x:c>
      <x:c r="G13" s="11" t="n">
        <x:v>1</x:v>
      </x:c>
      <x:c r="H13" s="11" t="n">
        <x:v>0</x:v>
      </x:c>
      <x:c r="I13" s="17" t="n">
        <x:f>INDEX('Costing'!$P$9:$P$492,MATCH(D13,'Costing'!$A$9:$A$492,0))</x:f>
        <x:v>40000</x:v>
      </x:c>
      <x:c r="J13" s="17" t="n">
        <x:f>ROUND(I13*'Costing'!$C$4,2)</x:f>
        <x:v>7200</x:v>
      </x:c>
      <x:c r="K13" s="17" t="n">
        <x:f>I13+J13</x:f>
        <x:v>47200</x:v>
      </x:c>
    </x:row>
    <x:row r="14" ht="46" customHeight="1">
      <x:c r="A14" s="2" t="str">
        <x:v>Indicative size</x:v>
      </x:c>
      <x:c r="B14" s="2" t="str">
        <x:v>Micro-scale prospects</x:v>
      </x:c>
      <x:c r="C14" s="12" t="str">
        <x:v>Mumbai</x:v>
      </x:c>
      <x:c r="D14" s="12" t="str">
        <x:v>MAIN-313</x:v>
      </x:c>
      <x:c r="E14" s="12" t="str">
        <x:v>Everest Nirwana</x:v>
      </x:c>
      <x:c r="F14" s="11" t="n">
        <x:v>21</x:v>
      </x:c>
      <x:c r="G14" s="11" t="n">
        <x:v>21</x:v>
      </x:c>
      <x:c r="H14" s="11" t="n">
        <x:v>0</x:v>
      </x:c>
      <x:c r="I14" s="17" t="n">
        <x:f>INDEX('Costing'!$P$9:$P$492,MATCH(D14,'Costing'!$A$9:$A$492,0))</x:f>
        <x:v>315000</x:v>
      </x:c>
      <x:c r="J14" s="17" t="n">
        <x:f>ROUND(I14*'Costing'!$C$4,2)</x:f>
        <x:v>56700</x:v>
      </x:c>
      <x:c r="K14" s="17" t="n">
        <x:f>I14+J14</x:f>
        <x:v>371700</x:v>
      </x:c>
    </x:row>
    <x:row r="15" ht="46" customHeight="1">
      <x:c r="A15" s="2" t="str">
        <x:v>Indicative size</x:v>
      </x:c>
      <x:c r="B15" s="2" t="str">
        <x:v>Micro-scale prospects</x:v>
      </x:c>
      <x:c r="C15" s="12" t="str">
        <x:v>Mumbai</x:v>
      </x:c>
      <x:c r="D15" s="12" t="str">
        <x:v>PARTNER-M243</x:v>
      </x:c>
      <x:c r="E15" s="12" t="str">
        <x:v>Kohinoor City</x:v>
      </x:c>
      <x:c r="F15" s="11" t="n">
        <x:v>2</x:v>
      </x:c>
      <x:c r="G15" s="11" t="n">
        <x:v>2</x:v>
      </x:c>
      <x:c r="H15" s="11" t="n">
        <x:v>0</x:v>
      </x:c>
      <x:c r="I15" s="17" t="n">
        <x:f>INDEX('Costing'!$P$9:$P$492,MATCH(D15,'Costing'!$A$9:$A$492,0))</x:f>
        <x:v>80000</x:v>
      </x:c>
      <x:c r="J15" s="17" t="n">
        <x:f>ROUND(I15*'Costing'!$C$4,2)</x:f>
        <x:v>14400</x:v>
      </x:c>
      <x:c r="K15" s="17" t="n">
        <x:f>I15+J15</x:f>
        <x:v>94400</x:v>
      </x:c>
    </x:row>
    <x:row r="16" ht="46" customHeight="1">
      <x:c r="A16" s="2" t="str">
        <x:v>Indicative size</x:v>
      </x:c>
      <x:c r="B16" s="2" t="str">
        <x:v>Micro-scale prospects</x:v>
      </x:c>
      <x:c r="C16" s="12" t="str">
        <x:v>Mumbai</x:v>
      </x:c>
      <x:c r="D16" s="12" t="str">
        <x:v>PARTNER-M223</x:v>
      </x:c>
      <x:c r="E16" s="12" t="str">
        <x:v>Technology Center IV</x:v>
      </x:c>
      <x:c r="F16" s="11" t="n">
        <x:v>4</x:v>
      </x:c>
      <x:c r="G16" s="11" t="n">
        <x:v>4</x:v>
      </x:c>
      <x:c r="H16" s="11" t="n">
        <x:v>0</x:v>
      </x:c>
      <x:c r="I16" s="17" t="n">
        <x:f>INDEX('Costing'!$P$9:$P$492,MATCH(D16,'Costing'!$A$9:$A$492,0))</x:f>
        <x:v>160000</x:v>
      </x:c>
      <x:c r="J16" s="17" t="n">
        <x:f>ROUND(I16*'Costing'!$C$4,2)</x:f>
        <x:v>28800</x:v>
      </x:c>
      <x:c r="K16" s="17" t="n">
        <x:f>I16+J16</x:f>
        <x:v>188800</x:v>
      </x:c>
    </x:row>
    <x:row r="17" ht="46" customHeight="1">
      <x:c r="A17" s="2" t="str">
        <x:v>Indicative size</x:v>
      </x:c>
      <x:c r="B17" s="2" t="str">
        <x:v>Small-scale prospects</x:v>
      </x:c>
      <x:c r="C17" s="12" t="str">
        <x:v>Ahmedabad</x:v>
      </x:c>
      <x:c r="D17" s="12" t="str">
        <x:v>MAIN-005</x:v>
      </x:c>
      <x:c r="E17" s="12" t="str">
        <x:v>Awfis - Krish Cubical</x:v>
      </x:c>
      <x:c r="F17" s="11" t="n">
        <x:v>1</x:v>
      </x:c>
      <x:c r="G17" s="11" t="n">
        <x:v>1</x:v>
      </x:c>
      <x:c r="H17" s="11" t="n">
        <x:v>0</x:v>
      </x:c>
      <x:c r="I17" s="17" t="n">
        <x:f>INDEX('Costing'!$P$9:$P$492,MATCH(D17,'Costing'!$A$9:$A$492,0))</x:f>
        <x:v>15000</x:v>
      </x:c>
      <x:c r="J17" s="17" t="n">
        <x:f>ROUND(I17*'Costing'!$C$4,2)</x:f>
        <x:v>2700</x:v>
      </x:c>
      <x:c r="K17" s="17" t="n">
        <x:f>I17+J17</x:f>
        <x:v>17700</x:v>
      </x:c>
    </x:row>
    <x:row r="18" ht="46" customHeight="1">
      <x:c r="A18" s="2" t="str">
        <x:v>Indicative size</x:v>
      </x:c>
      <x:c r="B18" s="2" t="str">
        <x:v>Small-scale prospects</x:v>
      </x:c>
      <x:c r="C18" s="12" t="str">
        <x:v>Ahmedabad</x:v>
      </x:c>
      <x:c r="D18" s="12" t="str">
        <x:v>MAIN-006</x:v>
      </x:c>
      <x:c r="E18" s="12" t="str">
        <x:v>Awfis - RE11</x:v>
      </x:c>
      <x:c r="F18" s="11" t="n">
        <x:v>1</x:v>
      </x:c>
      <x:c r="G18" s="11" t="n">
        <x:v>1</x:v>
      </x:c>
      <x:c r="H18" s="11" t="n">
        <x:v>0</x:v>
      </x:c>
      <x:c r="I18" s="17" t="n">
        <x:f>INDEX('Costing'!$P$9:$P$492,MATCH(D18,'Costing'!$A$9:$A$492,0))</x:f>
        <x:v>15000</x:v>
      </x:c>
      <x:c r="J18" s="17" t="n">
        <x:f>ROUND(I18*'Costing'!$C$4,2)</x:f>
        <x:v>2700</x:v>
      </x:c>
      <x:c r="K18" s="17" t="n">
        <x:f>I18+J18</x:f>
        <x:v>17700</x:v>
      </x:c>
    </x:row>
    <x:row r="19" ht="46" customHeight="1">
      <x:c r="A19" s="2" t="str">
        <x:v>Indicative size</x:v>
      </x:c>
      <x:c r="B19" s="2" t="str">
        <x:v>Small-scale prospects</x:v>
      </x:c>
      <x:c r="C19" s="12" t="str">
        <x:v>Ahmedabad</x:v>
      </x:c>
      <x:c r="D19" s="12" t="str">
        <x:v>MAIN-007</x:v>
      </x:c>
      <x:c r="E19" s="12" t="str">
        <x:v>Oyo Workspace - Mauryansh Elanza</x:v>
      </x:c>
      <x:c r="F19" s="11" t="n">
        <x:v>2</x:v>
      </x:c>
      <x:c r="G19" s="11" t="n">
        <x:v>2</x:v>
      </x:c>
      <x:c r="H19" s="11" t="n">
        <x:v>0</x:v>
      </x:c>
      <x:c r="I19" s="17" t="n">
        <x:f>INDEX('Costing'!$P$9:$P$492,MATCH(D19,'Costing'!$A$9:$A$492,0))</x:f>
        <x:v>30000</x:v>
      </x:c>
      <x:c r="J19" s="17" t="n">
        <x:f>ROUND(I19*'Costing'!$C$4,2)</x:f>
        <x:v>5400</x:v>
      </x:c>
      <x:c r="K19" s="17" t="n">
        <x:f>I19+J19</x:f>
        <x:v>35400</x:v>
      </x:c>
    </x:row>
    <x:row r="20" ht="46" customHeight="1">
      <x:c r="A20" s="2" t="str">
        <x:v>Indicative size</x:v>
      </x:c>
      <x:c r="B20" s="2" t="str">
        <x:v>Small-scale prospects</x:v>
      </x:c>
      <x:c r="C20" s="12" t="str">
        <x:v>Bengaluru</x:v>
      </x:c>
      <x:c r="D20" s="12" t="str">
        <x:v>MAIN-009</x:v>
      </x:c>
      <x:c r="E20" s="12" t="str">
        <x:v>Akshay Tech Park</x:v>
      </x:c>
      <x:c r="F20" s="11" t="n">
        <x:v>8</x:v>
      </x:c>
      <x:c r="G20" s="11" t="n">
        <x:v>8</x:v>
      </x:c>
      <x:c r="H20" s="11" t="n">
        <x:v>0</x:v>
      </x:c>
      <x:c r="I20" s="17" t="n">
        <x:f>INDEX('Costing'!$P$9:$P$492,MATCH(D20,'Costing'!$A$9:$A$492,0))</x:f>
        <x:v>120000</x:v>
      </x:c>
      <x:c r="J20" s="17" t="n">
        <x:f>ROUND(I20*'Costing'!$C$4,2)</x:f>
        <x:v>21600</x:v>
      </x:c>
      <x:c r="K20" s="17" t="n">
        <x:f>I20+J20</x:f>
        <x:v>141600</x:v>
      </x:c>
    </x:row>
    <x:row r="21" ht="46" customHeight="1">
      <x:c r="A21" s="2" t="str">
        <x:v>Indicative size</x:v>
      </x:c>
      <x:c r="B21" s="2" t="str">
        <x:v>Small-scale prospects</x:v>
      </x:c>
      <x:c r="C21" s="12" t="str">
        <x:v>Bengaluru</x:v>
      </x:c>
      <x:c r="D21" s="12" t="str">
        <x:v>MAIN-010</x:v>
      </x:c>
      <x:c r="E21" s="12" t="str">
        <x:v>Ataura Business Centre</x:v>
      </x:c>
      <x:c r="F21" s="11" t="n">
        <x:v>1</x:v>
      </x:c>
      <x:c r="G21" s="11" t="n">
        <x:v>1</x:v>
      </x:c>
      <x:c r="H21" s="11" t="n">
        <x:v>0</x:v>
      </x:c>
      <x:c r="I21" s="17" t="n">
        <x:f>INDEX('Costing'!$P$9:$P$492,MATCH(D21,'Costing'!$A$9:$A$492,0))</x:f>
        <x:v>15000</x:v>
      </x:c>
      <x:c r="J21" s="17" t="n">
        <x:f>ROUND(I21*'Costing'!$C$4,2)</x:f>
        <x:v>2700</x:v>
      </x:c>
      <x:c r="K21" s="17" t="n">
        <x:f>I21+J21</x:f>
        <x:v>17700</x:v>
      </x:c>
    </x:row>
    <x:row r="22" ht="46" customHeight="1">
      <x:c r="A22" s="2" t="str">
        <x:v>Indicative size</x:v>
      </x:c>
      <x:c r="B22" s="2" t="str">
        <x:v>Small-scale prospects</x:v>
      </x:c>
      <x:c r="C22" s="12" t="str">
        <x:v>Bengaluru</x:v>
      </x:c>
      <x:c r="D22" s="12" t="str">
        <x:v>MAIN-011</x:v>
      </x:c>
      <x:c r="E22" s="12" t="str">
        <x:v>Awfis - Brigade Metropolis</x:v>
      </x:c>
      <x:c r="F22" s="11" t="n">
        <x:v>1</x:v>
      </x:c>
      <x:c r="G22" s="11" t="n">
        <x:v>1</x:v>
      </x:c>
      <x:c r="H22" s="11" t="n">
        <x:v>0</x:v>
      </x:c>
      <x:c r="I22" s="17" t="n">
        <x:f>INDEX('Costing'!$P$9:$P$492,MATCH(D22,'Costing'!$A$9:$A$492,0))</x:f>
        <x:v>15000</x:v>
      </x:c>
      <x:c r="J22" s="17" t="n">
        <x:f>ROUND(I22*'Costing'!$C$4,2)</x:f>
        <x:v>2700</x:v>
      </x:c>
      <x:c r="K22" s="17" t="n">
        <x:f>I22+J22</x:f>
        <x:v>17700</x:v>
      </x:c>
    </x:row>
    <x:row r="23" ht="46" customHeight="1">
      <x:c r="A23" s="2" t="str">
        <x:v>Indicative size</x:v>
      </x:c>
      <x:c r="B23" s="2" t="str">
        <x:v>Small-scale prospects</x:v>
      </x:c>
      <x:c r="C23" s="12" t="str">
        <x:v>Bengaluru</x:v>
      </x:c>
      <x:c r="D23" s="12" t="str">
        <x:v>MAIN-012</x:v>
      </x:c>
      <x:c r="E23" s="12" t="str">
        <x:v>Awfis - Kirloskar Tech Park</x:v>
      </x:c>
      <x:c r="F23" s="11" t="n">
        <x:v>2</x:v>
      </x:c>
      <x:c r="G23" s="11" t="n">
        <x:v>2</x:v>
      </x:c>
      <x:c r="H23" s="11" t="n">
        <x:v>0</x:v>
      </x:c>
      <x:c r="I23" s="17" t="n">
        <x:f>INDEX('Costing'!$P$9:$P$492,MATCH(D23,'Costing'!$A$9:$A$492,0))</x:f>
        <x:v>30000</x:v>
      </x:c>
      <x:c r="J23" s="17" t="n">
        <x:f>ROUND(I23*'Costing'!$C$4,2)</x:f>
        <x:v>5400</x:v>
      </x:c>
      <x:c r="K23" s="17" t="n">
        <x:f>I23+J23</x:f>
        <x:v>35400</x:v>
      </x:c>
    </x:row>
    <x:row r="24" ht="46" customHeight="1">
      <x:c r="A24" s="2" t="str">
        <x:v>Indicative size</x:v>
      </x:c>
      <x:c r="B24" s="2" t="str">
        <x:v>Small-scale prospects</x:v>
      </x:c>
      <x:c r="C24" s="12" t="str">
        <x:v>Bengaluru</x:v>
      </x:c>
      <x:c r="D24" s="12" t="str">
        <x:v>MAIN-014</x:v>
      </x:c>
      <x:c r="E24" s="12" t="str">
        <x:v>Awfis - Mission Road</x:v>
      </x:c>
      <x:c r="F24" s="11" t="n">
        <x:v>4</x:v>
      </x:c>
      <x:c r="G24" s="11" t="n">
        <x:v>4</x:v>
      </x:c>
      <x:c r="H24" s="11" t="n">
        <x:v>0</x:v>
      </x:c>
      <x:c r="I24" s="17" t="n">
        <x:f>INDEX('Costing'!$P$9:$P$492,MATCH(D24,'Costing'!$A$9:$A$492,0))</x:f>
        <x:v>60000</x:v>
      </x:c>
      <x:c r="J24" s="17" t="n">
        <x:f>ROUND(I24*'Costing'!$C$4,2)</x:f>
        <x:v>10800</x:v>
      </x:c>
      <x:c r="K24" s="17" t="n">
        <x:f>I24+J24</x:f>
        <x:v>70800</x:v>
      </x:c>
    </x:row>
    <x:row r="25" ht="46" customHeight="1">
      <x:c r="A25" s="2" t="str">
        <x:v>Indicative size</x:v>
      </x:c>
      <x:c r="B25" s="2" t="str">
        <x:v>Small-scale prospects</x:v>
      </x:c>
      <x:c r="C25" s="12" t="str">
        <x:v>Bengaluru</x:v>
      </x:c>
      <x:c r="D25" s="12" t="str">
        <x:v>MAIN-017</x:v>
      </x:c>
      <x:c r="E25" s="12" t="str">
        <x:v>Awfis - Prestige Shantiniketan</x:v>
      </x:c>
      <x:c r="F25" s="11" t="n">
        <x:v>2</x:v>
      </x:c>
      <x:c r="G25" s="11" t="n">
        <x:v>2</x:v>
      </x:c>
      <x:c r="H25" s="11" t="n">
        <x:v>0</x:v>
      </x:c>
      <x:c r="I25" s="17" t="n">
        <x:f>INDEX('Costing'!$P$9:$P$492,MATCH(D25,'Costing'!$A$9:$A$492,0))</x:f>
        <x:v>30000</x:v>
      </x:c>
      <x:c r="J25" s="17" t="n">
        <x:f>ROUND(I25*'Costing'!$C$4,2)</x:f>
        <x:v>5400</x:v>
      </x:c>
      <x:c r="K25" s="17" t="n">
        <x:f>I25+J25</x:f>
        <x:v>35400</x:v>
      </x:c>
    </x:row>
    <x:row r="26" ht="46" customHeight="1">
      <x:c r="A26" s="2" t="str">
        <x:v>Indicative size</x:v>
      </x:c>
      <x:c r="B26" s="2" t="str">
        <x:v>Small-scale prospects</x:v>
      </x:c>
      <x:c r="C26" s="12" t="str">
        <x:v>Bengaluru</x:v>
      </x:c>
      <x:c r="D26" s="12" t="str">
        <x:v>MAIN-019</x:v>
      </x:c>
      <x:c r="E26" s="12" t="str">
        <x:v>Awfis - Prestige Tech Park 2 (Mercury)</x:v>
      </x:c>
      <x:c r="F26" s="11" t="n">
        <x:v>4</x:v>
      </x:c>
      <x:c r="G26" s="11" t="n">
        <x:v>4</x:v>
      </x:c>
      <x:c r="H26" s="11" t="n">
        <x:v>0</x:v>
      </x:c>
      <x:c r="I26" s="17" t="n">
        <x:f>INDEX('Costing'!$P$9:$P$492,MATCH(D26,'Costing'!$A$9:$A$492,0))</x:f>
        <x:v>60000</x:v>
      </x:c>
      <x:c r="J26" s="17" t="n">
        <x:f>ROUND(I26*'Costing'!$C$4,2)</x:f>
        <x:v>10800</x:v>
      </x:c>
      <x:c r="K26" s="17" t="n">
        <x:f>I26+J26</x:f>
        <x:v>70800</x:v>
      </x:c>
    </x:row>
    <x:row r="27" ht="46" customHeight="1">
      <x:c r="A27" s="2" t="str">
        <x:v>Indicative size</x:v>
      </x:c>
      <x:c r="B27" s="2" t="str">
        <x:v>Small-scale prospects</x:v>
      </x:c>
      <x:c r="C27" s="12" t="str">
        <x:v>Bengaluru</x:v>
      </x:c>
      <x:c r="D27" s="12" t="str">
        <x:v>MAIN-022</x:v>
      </x:c>
      <x:c r="E27" s="12" t="str">
        <x:v>Awfis - Residency Road</x:v>
      </x:c>
      <x:c r="F27" s="11" t="n">
        <x:v>2</x:v>
      </x:c>
      <x:c r="G27" s="11" t="n">
        <x:v>2</x:v>
      </x:c>
      <x:c r="H27" s="11" t="n">
        <x:v>0</x:v>
      </x:c>
      <x:c r="I27" s="17" t="n">
        <x:f>INDEX('Costing'!$P$9:$P$492,MATCH(D27,'Costing'!$A$9:$A$492,0))</x:f>
        <x:v>30000</x:v>
      </x:c>
      <x:c r="J27" s="17" t="n">
        <x:f>ROUND(I27*'Costing'!$C$4,2)</x:f>
        <x:v>5400</x:v>
      </x:c>
      <x:c r="K27" s="17" t="n">
        <x:f>I27+J27</x:f>
        <x:v>35400</x:v>
      </x:c>
    </x:row>
    <x:row r="28" ht="46" customHeight="1">
      <x:c r="A28" s="2" t="str">
        <x:v>Indicative size</x:v>
      </x:c>
      <x:c r="B28" s="2" t="str">
        <x:v>Small-scale prospects</x:v>
      </x:c>
      <x:c r="C28" s="12" t="str">
        <x:v>Bengaluru</x:v>
      </x:c>
      <x:c r="D28" s="12" t="str">
        <x:v>MAIN-023</x:v>
      </x:c>
      <x:c r="E28" s="12" t="str">
        <x:v>Awfis - Residency Square</x:v>
      </x:c>
      <x:c r="F28" s="11" t="n">
        <x:v>6</x:v>
      </x:c>
      <x:c r="G28" s="11" t="n">
        <x:v>6</x:v>
      </x:c>
      <x:c r="H28" s="11" t="n">
        <x:v>0</x:v>
      </x:c>
      <x:c r="I28" s="17" t="n">
        <x:f>INDEX('Costing'!$P$9:$P$492,MATCH(D28,'Costing'!$A$9:$A$492,0))</x:f>
        <x:v>90000</x:v>
      </x:c>
      <x:c r="J28" s="17" t="n">
        <x:f>ROUND(I28*'Costing'!$C$4,2)</x:f>
        <x:v>16200</x:v>
      </x:c>
      <x:c r="K28" s="17" t="n">
        <x:f>I28+J28</x:f>
        <x:v>106200</x:v>
      </x:c>
    </x:row>
    <x:row r="29" ht="46" customHeight="1">
      <x:c r="A29" s="2" t="str">
        <x:v>Indicative size</x:v>
      </x:c>
      <x:c r="B29" s="2" t="str">
        <x:v>Small-scale prospects</x:v>
      </x:c>
      <x:c r="C29" s="12" t="str">
        <x:v>Bengaluru</x:v>
      </x:c>
      <x:c r="D29" s="12" t="str">
        <x:v>MAIN-024</x:v>
      </x:c>
      <x:c r="E29" s="12" t="str">
        <x:v>Awfis - Soul Space Paradigm</x:v>
      </x:c>
      <x:c r="F29" s="11" t="n">
        <x:v>2</x:v>
      </x:c>
      <x:c r="G29" s="11" t="n">
        <x:v>2</x:v>
      </x:c>
      <x:c r="H29" s="11" t="n">
        <x:v>0</x:v>
      </x:c>
      <x:c r="I29" s="17" t="n">
        <x:f>INDEX('Costing'!$P$9:$P$492,MATCH(D29,'Costing'!$A$9:$A$492,0))</x:f>
        <x:v>30000</x:v>
      </x:c>
      <x:c r="J29" s="17" t="n">
        <x:f>ROUND(I29*'Costing'!$C$4,2)</x:f>
        <x:v>5400</x:v>
      </x:c>
      <x:c r="K29" s="17" t="n">
        <x:f>I29+J29</x:f>
        <x:v>35400</x:v>
      </x:c>
    </x:row>
    <x:row r="30" ht="46" customHeight="1">
      <x:c r="A30" s="2" t="str">
        <x:v>Indicative size</x:v>
      </x:c>
      <x:c r="B30" s="2" t="str">
        <x:v>Small-scale prospects</x:v>
      </x:c>
      <x:c r="C30" s="12" t="str">
        <x:v>Bengaluru</x:v>
      </x:c>
      <x:c r="D30" s="12" t="str">
        <x:v>MAIN-025</x:v>
      </x:c>
      <x:c r="E30" s="12" t="str">
        <x:v>Awfis - ST Mark's Road</x:v>
      </x:c>
      <x:c r="F30" s="11" t="n">
        <x:v>5</x:v>
      </x:c>
      <x:c r="G30" s="11" t="n">
        <x:v>5</x:v>
      </x:c>
      <x:c r="H30" s="11" t="n">
        <x:v>0</x:v>
      </x:c>
      <x:c r="I30" s="17" t="n">
        <x:f>INDEX('Costing'!$P$9:$P$492,MATCH(D30,'Costing'!$A$9:$A$492,0))</x:f>
        <x:v>75000</x:v>
      </x:c>
      <x:c r="J30" s="17" t="n">
        <x:f>ROUND(I30*'Costing'!$C$4,2)</x:f>
        <x:v>13500</x:v>
      </x:c>
      <x:c r="K30" s="17" t="n">
        <x:f>I30+J30</x:f>
        <x:v>88500</x:v>
      </x:c>
    </x:row>
    <x:row r="31" ht="46" customHeight="1">
      <x:c r="A31" s="2" t="str">
        <x:v>Indicative size</x:v>
      </x:c>
      <x:c r="B31" s="2" t="str">
        <x:v>Small-scale prospects</x:v>
      </x:c>
      <x:c r="C31" s="12" t="str">
        <x:v>Bengaluru</x:v>
      </x:c>
      <x:c r="D31" s="12" t="str">
        <x:v>MAIN-026</x:v>
      </x:c>
      <x:c r="E31" s="12" t="str">
        <x:v>Awfis - Vajram Esteva</x:v>
      </x:c>
      <x:c r="F31" s="11" t="n">
        <x:v>4</x:v>
      </x:c>
      <x:c r="G31" s="11" t="n">
        <x:v>4</x:v>
      </x:c>
      <x:c r="H31" s="11" t="n">
        <x:v>0</x:v>
      </x:c>
      <x:c r="I31" s="17" t="n">
        <x:f>INDEX('Costing'!$P$9:$P$492,MATCH(D31,'Costing'!$A$9:$A$492,0))</x:f>
        <x:v>60000</x:v>
      </x:c>
      <x:c r="J31" s="17" t="n">
        <x:f>ROUND(I31*'Costing'!$C$4,2)</x:f>
        <x:v>10800</x:v>
      </x:c>
      <x:c r="K31" s="17" t="n">
        <x:f>I31+J31</x:f>
        <x:v>70800</x:v>
      </x:c>
    </x:row>
    <x:row r="32" ht="46" customHeight="1">
      <x:c r="A32" s="2" t="str">
        <x:v>Indicative size</x:v>
      </x:c>
      <x:c r="B32" s="2" t="str">
        <x:v>Small-scale prospects</x:v>
      </x:c>
      <x:c r="C32" s="12" t="str">
        <x:v>Bengaluru</x:v>
      </x:c>
      <x:c r="D32" s="12" t="str">
        <x:v>MAIN-027</x:v>
      </x:c>
      <x:c r="E32" s="12" t="str">
        <x:v>Bhive Workspace - AKR Tech Park</x:v>
      </x:c>
      <x:c r="F32" s="11" t="n">
        <x:v>6</x:v>
      </x:c>
      <x:c r="G32" s="11" t="n">
        <x:v>6</x:v>
      </x:c>
      <x:c r="H32" s="11" t="n">
        <x:v>0</x:v>
      </x:c>
      <x:c r="I32" s="17" t="n">
        <x:f>INDEX('Costing'!$P$9:$P$492,MATCH(D32,'Costing'!$A$9:$A$492,0))</x:f>
        <x:v>90000</x:v>
      </x:c>
      <x:c r="J32" s="17" t="n">
        <x:f>ROUND(I32*'Costing'!$C$4,2)</x:f>
        <x:v>16200</x:v>
      </x:c>
      <x:c r="K32" s="17" t="n">
        <x:f>I32+J32</x:f>
        <x:v>106200</x:v>
      </x:c>
    </x:row>
    <x:row r="33" ht="46" customHeight="1">
      <x:c r="A33" s="2" t="str">
        <x:v>Indicative size</x:v>
      </x:c>
      <x:c r="B33" s="2" t="str">
        <x:v>Small-scale prospects</x:v>
      </x:c>
      <x:c r="C33" s="12" t="str">
        <x:v>Bengaluru</x:v>
      </x:c>
      <x:c r="D33" s="12" t="str">
        <x:v>MAIN-028</x:v>
      </x:c>
      <x:c r="E33" s="12" t="str">
        <x:v>Bhive Workspace - HSR Layout 27Th Main</x:v>
      </x:c>
      <x:c r="F33" s="11" t="n">
        <x:v>1</x:v>
      </x:c>
      <x:c r="G33" s="11" t="n">
        <x:v>1</x:v>
      </x:c>
      <x:c r="H33" s="11" t="n">
        <x:v>0</x:v>
      </x:c>
      <x:c r="I33" s="17" t="n">
        <x:f>INDEX('Costing'!$P$9:$P$492,MATCH(D33,'Costing'!$A$9:$A$492,0))</x:f>
        <x:v>15000</x:v>
      </x:c>
      <x:c r="J33" s="17" t="n">
        <x:f>ROUND(I33*'Costing'!$C$4,2)</x:f>
        <x:v>2700</x:v>
      </x:c>
      <x:c r="K33" s="17" t="n">
        <x:f>I33+J33</x:f>
        <x:v>17700</x:v>
      </x:c>
    </x:row>
    <x:row r="34" ht="46" customHeight="1">
      <x:c r="A34" s="2" t="str">
        <x:v>Indicative size</x:v>
      </x:c>
      <x:c r="B34" s="2" t="str">
        <x:v>Small-scale prospects</x:v>
      </x:c>
      <x:c r="C34" s="12" t="str">
        <x:v>Bengaluru</x:v>
      </x:c>
      <x:c r="D34" s="12" t="str">
        <x:v>MAIN-029</x:v>
      </x:c>
      <x:c r="E34" s="12" t="str">
        <x:v>Bhive Workspace - HSR Sector 6 Service Road Unit A</x:v>
      </x:c>
      <x:c r="F34" s="11" t="n">
        <x:v>3</x:v>
      </x:c>
      <x:c r="G34" s="11" t="n">
        <x:v>3</x:v>
      </x:c>
      <x:c r="H34" s="11" t="n">
        <x:v>0</x:v>
      </x:c>
      <x:c r="I34" s="17" t="n">
        <x:f>INDEX('Costing'!$P$9:$P$492,MATCH(D34,'Costing'!$A$9:$A$492,0))</x:f>
        <x:v>45000</x:v>
      </x:c>
      <x:c r="J34" s="17" t="n">
        <x:f>ROUND(I34*'Costing'!$C$4,2)</x:f>
        <x:v>8100</x:v>
      </x:c>
      <x:c r="K34" s="17" t="n">
        <x:f>I34+J34</x:f>
        <x:v>53100</x:v>
      </x:c>
    </x:row>
    <x:row r="35" ht="46" customHeight="1">
      <x:c r="A35" s="2" t="str">
        <x:v>Indicative size</x:v>
      </x:c>
      <x:c r="B35" s="2" t="str">
        <x:v>Small-scale prospects</x:v>
      </x:c>
      <x:c r="C35" s="12" t="str">
        <x:v>Bengaluru</x:v>
      </x:c>
      <x:c r="D35" s="12" t="str">
        <x:v>MAIN-030</x:v>
      </x:c>
      <x:c r="E35" s="12" t="str">
        <x:v>Bhive Workspace - Indiranagar</x:v>
      </x:c>
      <x:c r="F35" s="11" t="n">
        <x:v>6</x:v>
      </x:c>
      <x:c r="G35" s="11" t="n">
        <x:v>6</x:v>
      </x:c>
      <x:c r="H35" s="11" t="n">
        <x:v>0</x:v>
      </x:c>
      <x:c r="I35" s="17" t="n">
        <x:f>INDEX('Costing'!$P$9:$P$492,MATCH(D35,'Costing'!$A$9:$A$492,0))</x:f>
        <x:v>90000</x:v>
      </x:c>
      <x:c r="J35" s="17" t="n">
        <x:f>ROUND(I35*'Costing'!$C$4,2)</x:f>
        <x:v>16200</x:v>
      </x:c>
      <x:c r="K35" s="17" t="n">
        <x:f>I35+J35</x:f>
        <x:v>106200</x:v>
      </x:c>
    </x:row>
    <x:row r="36" ht="46" customHeight="1">
      <x:c r="A36" s="2" t="str">
        <x:v>Indicative size</x:v>
      </x:c>
      <x:c r="B36" s="2" t="str">
        <x:v>Small-scale prospects</x:v>
      </x:c>
      <x:c r="C36" s="12" t="str">
        <x:v>Bengaluru</x:v>
      </x:c>
      <x:c r="D36" s="12" t="str">
        <x:v>MAIN-031</x:v>
      </x:c>
      <x:c r="E36" s="12" t="str">
        <x:v>Bhive Workspace - Koramangala 5TH Block</x:v>
      </x:c>
      <x:c r="F36" s="11" t="n">
        <x:v>2</x:v>
      </x:c>
      <x:c r="G36" s="11" t="n">
        <x:v>2</x:v>
      </x:c>
      <x:c r="H36" s="11" t="n">
        <x:v>0</x:v>
      </x:c>
      <x:c r="I36" s="17" t="n">
        <x:f>INDEX('Costing'!$P$9:$P$492,MATCH(D36,'Costing'!$A$9:$A$492,0))</x:f>
        <x:v>30000</x:v>
      </x:c>
      <x:c r="J36" s="17" t="n">
        <x:f>ROUND(I36*'Costing'!$C$4,2)</x:f>
        <x:v>5400</x:v>
      </x:c>
      <x:c r="K36" s="17" t="n">
        <x:f>I36+J36</x:f>
        <x:v>35400</x:v>
      </x:c>
    </x:row>
    <x:row r="37" ht="46" customHeight="1">
      <x:c r="A37" s="2" t="str">
        <x:v>Indicative size</x:v>
      </x:c>
      <x:c r="B37" s="2" t="str">
        <x:v>Small-scale prospects</x:v>
      </x:c>
      <x:c r="C37" s="12" t="str">
        <x:v>Bengaluru</x:v>
      </x:c>
      <x:c r="D37" s="12" t="str">
        <x:v>MAIN-032</x:v>
      </x:c>
      <x:c r="E37" s="12" t="str">
        <x:v>Bhive Workspace - MG Road</x:v>
      </x:c>
      <x:c r="F37" s="11" t="n">
        <x:v>2</x:v>
      </x:c>
      <x:c r="G37" s="11" t="n">
        <x:v>2</x:v>
      </x:c>
      <x:c r="H37" s="11" t="n">
        <x:v>0</x:v>
      </x:c>
      <x:c r="I37" s="17" t="n">
        <x:f>INDEX('Costing'!$P$9:$P$492,MATCH(D37,'Costing'!$A$9:$A$492,0))</x:f>
        <x:v>30000</x:v>
      </x:c>
      <x:c r="J37" s="17" t="n">
        <x:f>ROUND(I37*'Costing'!$C$4,2)</x:f>
        <x:v>5400</x:v>
      </x:c>
      <x:c r="K37" s="17" t="n">
        <x:f>I37+J37</x:f>
        <x:v>35400</x:v>
      </x:c>
    </x:row>
    <x:row r="38" ht="46" customHeight="1">
      <x:c r="A38" s="2" t="str">
        <x:v>Indicative size</x:v>
      </x:c>
      <x:c r="B38" s="2" t="str">
        <x:v>Small-scale prospects</x:v>
      </x:c>
      <x:c r="C38" s="12" t="str">
        <x:v>Bengaluru</x:v>
      </x:c>
      <x:c r="D38" s="12" t="str">
        <x:v>MAIN-035</x:v>
      </x:c>
      <x:c r="E38" s="12" t="str">
        <x:v>Bridge - Work 365 Space</x:v>
      </x:c>
      <x:c r="F38" s="11" t="n">
        <x:v>1</x:v>
      </x:c>
      <x:c r="G38" s="11" t="n">
        <x:v>1</x:v>
      </x:c>
      <x:c r="H38" s="11" t="n">
        <x:v>0</x:v>
      </x:c>
      <x:c r="I38" s="17" t="n">
        <x:f>INDEX('Costing'!$P$9:$P$492,MATCH(D38,'Costing'!$A$9:$A$492,0))</x:f>
        <x:v>15000</x:v>
      </x:c>
      <x:c r="J38" s="17" t="n">
        <x:f>ROUND(I38*'Costing'!$C$4,2)</x:f>
        <x:v>2700</x:v>
      </x:c>
      <x:c r="K38" s="17" t="n">
        <x:f>I38+J38</x:f>
        <x:v>17700</x:v>
      </x:c>
    </x:row>
    <x:row r="39" ht="46" customHeight="1">
      <x:c r="A39" s="2" t="str">
        <x:v>Indicative size</x:v>
      </x:c>
      <x:c r="B39" s="2" t="str">
        <x:v>Small-scale prospects</x:v>
      </x:c>
      <x:c r="C39" s="12" t="str">
        <x:v>Bengaluru</x:v>
      </x:c>
      <x:c r="D39" s="12" t="str">
        <x:v>MAIN-044</x:v>
      </x:c>
      <x:c r="E39" s="12" t="str">
        <x:v>DSR Techno Cube IT Park</x:v>
      </x:c>
      <x:c r="F39" s="11" t="n">
        <x:v>2</x:v>
      </x:c>
      <x:c r="G39" s="11" t="n">
        <x:v>2</x:v>
      </x:c>
      <x:c r="H39" s="11" t="n">
        <x:v>0</x:v>
      </x:c>
      <x:c r="I39" s="17" t="n">
        <x:f>INDEX('Costing'!$P$9:$P$492,MATCH(D39,'Costing'!$A$9:$A$492,0))</x:f>
        <x:v>40000</x:v>
      </x:c>
      <x:c r="J39" s="17" t="n">
        <x:f>ROUND(I39*'Costing'!$C$4,2)</x:f>
        <x:v>7200</x:v>
      </x:c>
      <x:c r="K39" s="17" t="n">
        <x:f>I39+J39</x:f>
        <x:v>47200</x:v>
      </x:c>
    </x:row>
    <x:row r="40" ht="46" customHeight="1">
      <x:c r="A40" s="2" t="str">
        <x:v>Indicative size</x:v>
      </x:c>
      <x:c r="B40" s="2" t="str">
        <x:v>Small-scale prospects</x:v>
      </x:c>
      <x:c r="C40" s="12" t="str">
        <x:v>Bengaluru</x:v>
      </x:c>
      <x:c r="D40" s="12" t="str">
        <x:v>MAIN-045</x:v>
      </x:c>
      <x:c r="E40" s="12" t="str">
        <x:v>Ecradle Coworking Space</x:v>
      </x:c>
      <x:c r="F40" s="11" t="n">
        <x:v>2</x:v>
      </x:c>
      <x:c r="G40" s="11" t="n">
        <x:v>2</x:v>
      </x:c>
      <x:c r="H40" s="11" t="n">
        <x:v>0</x:v>
      </x:c>
      <x:c r="I40" s="17" t="n">
        <x:f>INDEX('Costing'!$P$9:$P$492,MATCH(D40,'Costing'!$A$9:$A$492,0))</x:f>
        <x:v>30000</x:v>
      </x:c>
      <x:c r="J40" s="17" t="n">
        <x:f>ROUND(I40*'Costing'!$C$4,2)</x:f>
        <x:v>5400</x:v>
      </x:c>
      <x:c r="K40" s="17" t="n">
        <x:f>I40+J40</x:f>
        <x:v>35400</x:v>
      </x:c>
    </x:row>
    <x:row r="41" ht="46" customHeight="1">
      <x:c r="A41" s="2" t="str">
        <x:v>Indicative size</x:v>
      </x:c>
      <x:c r="B41" s="2" t="str">
        <x:v>Small-scale prospects</x:v>
      </x:c>
      <x:c r="C41" s="12" t="str">
        <x:v>Bengaluru</x:v>
      </x:c>
      <x:c r="D41" s="12" t="str">
        <x:v>MAIN-048</x:v>
      </x:c>
      <x:c r="E41" s="12" t="str">
        <x:v>Golden Millenium Tech Park</x:v>
      </x:c>
      <x:c r="F41" s="11" t="n">
        <x:v>3</x:v>
      </x:c>
      <x:c r="G41" s="11" t="n">
        <x:v>3</x:v>
      </x:c>
      <x:c r="H41" s="11" t="n">
        <x:v>0</x:v>
      </x:c>
      <x:c r="I41" s="17" t="n">
        <x:f>INDEX('Costing'!$P$9:$P$492,MATCH(D41,'Costing'!$A$9:$A$492,0))</x:f>
        <x:v>60000</x:v>
      </x:c>
      <x:c r="J41" s="17" t="n">
        <x:f>ROUND(I41*'Costing'!$C$4,2)</x:f>
        <x:v>10800</x:v>
      </x:c>
      <x:c r="K41" s="17" t="n">
        <x:f>I41+J41</x:f>
        <x:v>70800</x:v>
      </x:c>
    </x:row>
    <x:row r="42" ht="46" customHeight="1">
      <x:c r="A42" s="2" t="str">
        <x:v>Indicative size</x:v>
      </x:c>
      <x:c r="B42" s="2" t="str">
        <x:v>Small-scale prospects</x:v>
      </x:c>
      <x:c r="C42" s="12" t="str">
        <x:v>Bengaluru</x:v>
      </x:c>
      <x:c r="D42" s="12" t="str">
        <x:v>MAIN-049</x:v>
      </x:c>
      <x:c r="E42" s="12" t="str">
        <x:v>Golden Millenium Tech Park (Pod Screens)</x:v>
      </x:c>
      <x:c r="F42" s="11" t="n">
        <x:v>2</x:v>
      </x:c>
      <x:c r="G42" s="11" t="n">
        <x:v>2</x:v>
      </x:c>
      <x:c r="H42" s="11" t="n">
        <x:v>0</x:v>
      </x:c>
      <x:c r="I42" s="17" t="n">
        <x:f>INDEX('Costing'!$P$9:$P$492,MATCH(D42,'Costing'!$A$9:$A$492,0))</x:f>
        <x:v>40000</x:v>
      </x:c>
      <x:c r="J42" s="17" t="n">
        <x:f>ROUND(I42*'Costing'!$C$4,2)</x:f>
        <x:v>7200</x:v>
      </x:c>
      <x:c r="K42" s="17" t="n">
        <x:f>I42+J42</x:f>
        <x:v>47200</x:v>
      </x:c>
    </x:row>
    <x:row r="43" ht="46" customHeight="1">
      <x:c r="A43" s="2" t="str">
        <x:v>Indicative size</x:v>
      </x:c>
      <x:c r="B43" s="2" t="str">
        <x:v>Small-scale prospects</x:v>
      </x:c>
      <x:c r="C43" s="12" t="str">
        <x:v>Bengaluru</x:v>
      </x:c>
      <x:c r="D43" s="12" t="str">
        <x:v>MAIN-050</x:v>
      </x:c>
      <x:c r="E43" s="12" t="str">
        <x:v>Golden Square</x:v>
      </x:c>
      <x:c r="F43" s="11" t="n">
        <x:v>1</x:v>
      </x:c>
      <x:c r="G43" s="11" t="n">
        <x:v>1</x:v>
      </x:c>
      <x:c r="H43" s="11" t="n">
        <x:v>0</x:v>
      </x:c>
      <x:c r="I43" s="17" t="n">
        <x:f>INDEX('Costing'!$P$9:$P$492,MATCH(D43,'Costing'!$A$9:$A$492,0))</x:f>
        <x:v>15000</x:v>
      </x:c>
      <x:c r="J43" s="17" t="n">
        <x:f>ROUND(I43*'Costing'!$C$4,2)</x:f>
        <x:v>2700</x:v>
      </x:c>
      <x:c r="K43" s="17" t="n">
        <x:f>I43+J43</x:f>
        <x:v>17700</x:v>
      </x:c>
    </x:row>
    <x:row r="44" ht="46" customHeight="1">
      <x:c r="A44" s="2" t="str">
        <x:v>Indicative size</x:v>
      </x:c>
      <x:c r="B44" s="2" t="str">
        <x:v>Small-scale prospects</x:v>
      </x:c>
      <x:c r="C44" s="12" t="str">
        <x:v>Bengaluru</x:v>
      </x:c>
      <x:c r="D44" s="12" t="str">
        <x:v>MAIN-054</x:v>
      </x:c>
      <x:c r="E44" s="12" t="str">
        <x:v>Maruthi Platinum</x:v>
      </x:c>
      <x:c r="F44" s="11" t="n">
        <x:v>19</x:v>
      </x:c>
      <x:c r="G44" s="11" t="n">
        <x:v>19</x:v>
      </x:c>
      <x:c r="H44" s="11" t="n">
        <x:v>0</x:v>
      </x:c>
      <x:c r="I44" s="17" t="n">
        <x:f>INDEX('Costing'!$P$9:$P$492,MATCH(D44,'Costing'!$A$9:$A$492,0))</x:f>
        <x:v>285000</x:v>
      </x:c>
      <x:c r="J44" s="17" t="n">
        <x:f>ROUND(I44*'Costing'!$C$4,2)</x:f>
        <x:v>51300</x:v>
      </x:c>
      <x:c r="K44" s="17" t="n">
        <x:f>I44+J44</x:f>
        <x:v>336300</x:v>
      </x:c>
    </x:row>
    <x:row r="45" ht="46" customHeight="1">
      <x:c r="A45" s="2" t="str">
        <x:v>Indicative size</x:v>
      </x:c>
      <x:c r="B45" s="2" t="str">
        <x:v>Small-scale prospects</x:v>
      </x:c>
      <x:c r="C45" s="12" t="str">
        <x:v>Bengaluru</x:v>
      </x:c>
      <x:c r="D45" s="12" t="str">
        <x:v>MAIN-MSRY7ANC</x:v>
      </x:c>
      <x:c r="E45" s="12" t="str">
        <x:v>Novel Offices - MSR Novel</x:v>
      </x:c>
      <x:c r="F45" s="11" t="n">
        <x:v>6</x:v>
      </x:c>
      <x:c r="G45" s="11" t="n">
        <x:v>6</x:v>
      </x:c>
      <x:c r="H45" s="11" t="n">
        <x:v>0</x:v>
      </x:c>
      <x:c r="I45" s="17" t="n">
        <x:f>INDEX('Costing'!$P$9:$P$492,MATCH(D45,'Costing'!$A$9:$A$492,0))</x:f>
        <x:v>120000</x:v>
      </x:c>
      <x:c r="J45" s="17" t="n">
        <x:f>ROUND(I45*'Costing'!$C$4,2)</x:f>
        <x:v>21600</x:v>
      </x:c>
      <x:c r="K45" s="17" t="n">
        <x:f>I45+J45</x:f>
        <x:v>141600</x:v>
      </x:c>
    </x:row>
    <x:row r="46" ht="46" customHeight="1">
      <x:c r="A46" s="2" t="str">
        <x:v>Indicative size</x:v>
      </x:c>
      <x:c r="B46" s="2" t="str">
        <x:v>Small-scale prospects</x:v>
      </x:c>
      <x:c r="C46" s="12" t="str">
        <x:v>Bengaluru</x:v>
      </x:c>
      <x:c r="D46" s="12" t="str">
        <x:v>MAIN-059</x:v>
      </x:c>
      <x:c r="E46" s="12" t="str">
        <x:v>Novel Tech Park</x:v>
      </x:c>
      <x:c r="F46" s="11" t="n">
        <x:v>8</x:v>
      </x:c>
      <x:c r="G46" s="11" t="n">
        <x:v>8</x:v>
      </x:c>
      <x:c r="H46" s="11" t="n">
        <x:v>0</x:v>
      </x:c>
      <x:c r="I46" s="17" t="n">
        <x:f>INDEX('Costing'!$P$9:$P$492,MATCH(D46,'Costing'!$A$9:$A$492,0))</x:f>
        <x:v>120000</x:v>
      </x:c>
      <x:c r="J46" s="17" t="n">
        <x:f>ROUND(I46*'Costing'!$C$4,2)</x:f>
        <x:v>21600</x:v>
      </x:c>
      <x:c r="K46" s="17" t="n">
        <x:f>I46+J46</x:f>
        <x:v>141600</x:v>
      </x:c>
    </x:row>
    <x:row r="47" ht="46" customHeight="1">
      <x:c r="A47" s="2" t="str">
        <x:v>Indicative size</x:v>
      </x:c>
      <x:c r="B47" s="2" t="str">
        <x:v>Small-scale prospects</x:v>
      </x:c>
      <x:c r="C47" s="12" t="str">
        <x:v>Bengaluru</x:v>
      </x:c>
      <x:c r="D47" s="12" t="str">
        <x:v>MAIN-063</x:v>
      </x:c>
      <x:c r="E47" s="12" t="str">
        <x:v>Nucleus - Prestige One Trade Tower</x:v>
      </x:c>
      <x:c r="F47" s="11" t="n">
        <x:v>2</x:v>
      </x:c>
      <x:c r="G47" s="11" t="n">
        <x:v>2</x:v>
      </x:c>
      <x:c r="H47" s="11" t="n">
        <x:v>0</x:v>
      </x:c>
      <x:c r="I47" s="17" t="n">
        <x:f>INDEX('Costing'!$P$9:$P$492,MATCH(D47,'Costing'!$A$9:$A$492,0))</x:f>
        <x:v>80000</x:v>
      </x:c>
      <x:c r="J47" s="17" t="n">
        <x:f>ROUND(I47*'Costing'!$C$4,2)</x:f>
        <x:v>14400</x:v>
      </x:c>
      <x:c r="K47" s="17" t="n">
        <x:f>I47+J47</x:f>
        <x:v>94400</x:v>
      </x:c>
    </x:row>
    <x:row r="48" ht="46" customHeight="1">
      <x:c r="A48" s="2" t="str">
        <x:v>Indicative size</x:v>
      </x:c>
      <x:c r="B48" s="2" t="str">
        <x:v>Small-scale prospects</x:v>
      </x:c>
      <x:c r="C48" s="12" t="str">
        <x:v>Bengaluru</x:v>
      </x:c>
      <x:c r="D48" s="12" t="str">
        <x:v>MAIN-064</x:v>
      </x:c>
      <x:c r="E48" s="12" t="str">
        <x:v>Obeya - Brio</x:v>
      </x:c>
      <x:c r="F48" s="11" t="n">
        <x:v>1</x:v>
      </x:c>
      <x:c r="G48" s="11" t="n">
        <x:v>1</x:v>
      </x:c>
      <x:c r="H48" s="11" t="n">
        <x:v>0</x:v>
      </x:c>
      <x:c r="I48" s="17" t="n">
        <x:f>INDEX('Costing'!$P$9:$P$492,MATCH(D48,'Costing'!$A$9:$A$492,0))</x:f>
        <x:v>15000</x:v>
      </x:c>
      <x:c r="J48" s="17" t="n">
        <x:f>ROUND(I48*'Costing'!$C$4,2)</x:f>
        <x:v>2700</x:v>
      </x:c>
      <x:c r="K48" s="17" t="n">
        <x:f>I48+J48</x:f>
        <x:v>17700</x:v>
      </x:c>
    </x:row>
    <x:row r="49" ht="46" customHeight="1">
      <x:c r="A49" s="2" t="str">
        <x:v>Indicative size</x:v>
      </x:c>
      <x:c r="B49" s="2" t="str">
        <x:v>Small-scale prospects</x:v>
      </x:c>
      <x:c r="C49" s="12" t="str">
        <x:v>Bengaluru</x:v>
      </x:c>
      <x:c r="D49" s="12" t="str">
        <x:v>MAIN-065</x:v>
      </x:c>
      <x:c r="E49" s="12" t="str">
        <x:v>Obeya - Elan</x:v>
      </x:c>
      <x:c r="F49" s="11" t="n">
        <x:v>1</x:v>
      </x:c>
      <x:c r="G49" s="11" t="n">
        <x:v>1</x:v>
      </x:c>
      <x:c r="H49" s="11" t="n">
        <x:v>0</x:v>
      </x:c>
      <x:c r="I49" s="17" t="n">
        <x:f>INDEX('Costing'!$P$9:$P$492,MATCH(D49,'Costing'!$A$9:$A$492,0))</x:f>
        <x:v>15000</x:v>
      </x:c>
      <x:c r="J49" s="17" t="n">
        <x:f>ROUND(I49*'Costing'!$C$4,2)</x:f>
        <x:v>2700</x:v>
      </x:c>
      <x:c r="K49" s="17" t="n">
        <x:f>I49+J49</x:f>
        <x:v>17700</x:v>
      </x:c>
    </x:row>
    <x:row r="50" ht="46" customHeight="1">
      <x:c r="A50" s="2" t="str">
        <x:v>Indicative size</x:v>
      </x:c>
      <x:c r="B50" s="2" t="str">
        <x:v>Small-scale prospects</x:v>
      </x:c>
      <x:c r="C50" s="12" t="str">
        <x:v>Bengaluru</x:v>
      </x:c>
      <x:c r="D50" s="12" t="str">
        <x:v>MAIN-066</x:v>
      </x:c>
      <x:c r="E50" s="12" t="str">
        <x:v>Obeya - Gusto</x:v>
      </x:c>
      <x:c r="F50" s="11" t="n">
        <x:v>1</x:v>
      </x:c>
      <x:c r="G50" s="11" t="n">
        <x:v>1</x:v>
      </x:c>
      <x:c r="H50" s="11" t="n">
        <x:v>0</x:v>
      </x:c>
      <x:c r="I50" s="17" t="n">
        <x:f>INDEX('Costing'!$P$9:$P$492,MATCH(D50,'Costing'!$A$9:$A$492,0))</x:f>
        <x:v>15000</x:v>
      </x:c>
      <x:c r="J50" s="17" t="n">
        <x:f>ROUND(I50*'Costing'!$C$4,2)</x:f>
        <x:v>2700</x:v>
      </x:c>
      <x:c r="K50" s="17" t="n">
        <x:f>I50+J50</x:f>
        <x:v>17700</x:v>
      </x:c>
    </x:row>
    <x:row r="51" ht="46" customHeight="1">
      <x:c r="A51" s="2" t="str">
        <x:v>Indicative size</x:v>
      </x:c>
      <x:c r="B51" s="2" t="str">
        <x:v>Small-scale prospects</x:v>
      </x:c>
      <x:c r="C51" s="12" t="str">
        <x:v>Bengaluru</x:v>
      </x:c>
      <x:c r="D51" s="12" t="str">
        <x:v>MAIN-067</x:v>
      </x:c>
      <x:c r="E51" s="12" t="str">
        <x:v>Obeya - Pulse</x:v>
      </x:c>
      <x:c r="F51" s="11" t="n">
        <x:v>2</x:v>
      </x:c>
      <x:c r="G51" s="11" t="n">
        <x:v>2</x:v>
      </x:c>
      <x:c r="H51" s="11" t="n">
        <x:v>0</x:v>
      </x:c>
      <x:c r="I51" s="17" t="n">
        <x:f>INDEX('Costing'!$P$9:$P$492,MATCH(D51,'Costing'!$A$9:$A$492,0))</x:f>
        <x:v>30000</x:v>
      </x:c>
      <x:c r="J51" s="17" t="n">
        <x:f>ROUND(I51*'Costing'!$C$4,2)</x:f>
        <x:v>5400</x:v>
      </x:c>
      <x:c r="K51" s="17" t="n">
        <x:f>I51+J51</x:f>
        <x:v>35400</x:v>
      </x:c>
    </x:row>
    <x:row r="52" ht="46" customHeight="1">
      <x:c r="A52" s="2" t="str">
        <x:v>Indicative size</x:v>
      </x:c>
      <x:c r="B52" s="2" t="str">
        <x:v>Small-scale prospects</x:v>
      </x:c>
      <x:c r="C52" s="12" t="str">
        <x:v>Bengaluru</x:v>
      </x:c>
      <x:c r="D52" s="12" t="str">
        <x:v>MAIN-068</x:v>
      </x:c>
      <x:c r="E52" s="12" t="str">
        <x:v>Obeya - Roses</x:v>
      </x:c>
      <x:c r="F52" s="11" t="n">
        <x:v>1</x:v>
      </x:c>
      <x:c r="G52" s="11" t="n">
        <x:v>1</x:v>
      </x:c>
      <x:c r="H52" s="11" t="n">
        <x:v>0</x:v>
      </x:c>
      <x:c r="I52" s="17" t="n">
        <x:f>INDEX('Costing'!$P$9:$P$492,MATCH(D52,'Costing'!$A$9:$A$492,0))</x:f>
        <x:v>15000</x:v>
      </x:c>
      <x:c r="J52" s="17" t="n">
        <x:f>ROUND(I52*'Costing'!$C$4,2)</x:f>
        <x:v>2700</x:v>
      </x:c>
      <x:c r="K52" s="17" t="n">
        <x:f>I52+J52</x:f>
        <x:v>17700</x:v>
      </x:c>
    </x:row>
    <x:row r="53" ht="46" customHeight="1">
      <x:c r="A53" s="2" t="str">
        <x:v>Indicative size</x:v>
      </x:c>
      <x:c r="B53" s="2" t="str">
        <x:v>Small-scale prospects</x:v>
      </x:c>
      <x:c r="C53" s="12" t="str">
        <x:v>Bengaluru</x:v>
      </x:c>
      <x:c r="D53" s="12" t="str">
        <x:v>MAIN-069</x:v>
      </x:c>
      <x:c r="E53" s="12" t="str">
        <x:v>Obeya - Spurce</x:v>
      </x:c>
      <x:c r="F53" s="11" t="n">
        <x:v>2</x:v>
      </x:c>
      <x:c r="G53" s="11" t="n">
        <x:v>2</x:v>
      </x:c>
      <x:c r="H53" s="11" t="n">
        <x:v>0</x:v>
      </x:c>
      <x:c r="I53" s="17" t="n">
        <x:f>INDEX('Costing'!$P$9:$P$492,MATCH(D53,'Costing'!$A$9:$A$492,0))</x:f>
        <x:v>30000</x:v>
      </x:c>
      <x:c r="J53" s="17" t="n">
        <x:f>ROUND(I53*'Costing'!$C$4,2)</x:f>
        <x:v>5400</x:v>
      </x:c>
      <x:c r="K53" s="17" t="n">
        <x:f>I53+J53</x:f>
        <x:v>35400</x:v>
      </x:c>
    </x:row>
    <x:row r="54" ht="46" customHeight="1">
      <x:c r="A54" s="2" t="str">
        <x:v>Indicative size</x:v>
      </x:c>
      <x:c r="B54" s="2" t="str">
        <x:v>Small-scale prospects</x:v>
      </x:c>
      <x:c r="C54" s="12" t="str">
        <x:v>Bengaluru</x:v>
      </x:c>
      <x:c r="D54" s="12" t="str">
        <x:v>MAIN-071</x:v>
      </x:c>
      <x:c r="E54" s="12" t="str">
        <x:v>Obeya - Verve</x:v>
      </x:c>
      <x:c r="F54" s="11" t="n">
        <x:v>1</x:v>
      </x:c>
      <x:c r="G54" s="11" t="n">
        <x:v>1</x:v>
      </x:c>
      <x:c r="H54" s="11" t="n">
        <x:v>0</x:v>
      </x:c>
      <x:c r="I54" s="17" t="n">
        <x:f>INDEX('Costing'!$P$9:$P$492,MATCH(D54,'Costing'!$A$9:$A$492,0))</x:f>
        <x:v>15000</x:v>
      </x:c>
      <x:c r="J54" s="17" t="n">
        <x:f>ROUND(I54*'Costing'!$C$4,2)</x:f>
        <x:v>2700</x:v>
      </x:c>
      <x:c r="K54" s="17" t="n">
        <x:f>I54+J54</x:f>
        <x:v>17700</x:v>
      </x:c>
    </x:row>
    <x:row r="55" ht="46" customHeight="1">
      <x:c r="A55" s="2" t="str">
        <x:v>Indicative size</x:v>
      </x:c>
      <x:c r="B55" s="2" t="str">
        <x:v>Small-scale prospects</x:v>
      </x:c>
      <x:c r="C55" s="12" t="str">
        <x:v>Bengaluru</x:v>
      </x:c>
      <x:c r="D55" s="12" t="str">
        <x:v>MAIN-073</x:v>
      </x:c>
      <x:c r="E55" s="12" t="str">
        <x:v>Prestige Obelisk</x:v>
      </x:c>
      <x:c r="F55" s="11" t="n">
        <x:v>1</x:v>
      </x:c>
      <x:c r="G55" s="11" t="n">
        <x:v>1</x:v>
      </x:c>
      <x:c r="H55" s="11" t="n">
        <x:v>0</x:v>
      </x:c>
      <x:c r="I55" s="17" t="n">
        <x:f>INDEX('Costing'!$P$9:$P$492,MATCH(D55,'Costing'!$A$9:$A$492,0))</x:f>
        <x:v>40000</x:v>
      </x:c>
      <x:c r="J55" s="17" t="n">
        <x:f>ROUND(I55*'Costing'!$C$4,2)</x:f>
        <x:v>7200</x:v>
      </x:c>
      <x:c r="K55" s="17" t="n">
        <x:f>I55+J55</x:f>
        <x:v>47200</x:v>
      </x:c>
    </x:row>
    <x:row r="56" ht="46" customHeight="1">
      <x:c r="A56" s="2" t="str">
        <x:v>Indicative size</x:v>
      </x:c>
      <x:c r="B56" s="2" t="str">
        <x:v>Small-scale prospects</x:v>
      </x:c>
      <x:c r="C56" s="12" t="str">
        <x:v>Bengaluru</x:v>
      </x:c>
      <x:c r="D56" s="12" t="str">
        <x:v>MAIN-077</x:v>
      </x:c>
      <x:c r="E56" s="12" t="str">
        <x:v>Raheja Towers</x:v>
      </x:c>
      <x:c r="F56" s="11" t="n">
        <x:v>11</x:v>
      </x:c>
      <x:c r="G56" s="11" t="n">
        <x:v>11</x:v>
      </x:c>
      <x:c r="H56" s="11" t="n">
        <x:v>0</x:v>
      </x:c>
      <x:c r="I56" s="17" t="n">
        <x:f>INDEX('Costing'!$P$9:$P$492,MATCH(D56,'Costing'!$A$9:$A$492,0))</x:f>
        <x:v>165000</x:v>
      </x:c>
      <x:c r="J56" s="17" t="n">
        <x:f>ROUND(I56*'Costing'!$C$4,2)</x:f>
        <x:v>29700</x:v>
      </x:c>
      <x:c r="K56" s="17" t="n">
        <x:f>I56+J56</x:f>
        <x:v>194700</x:v>
      </x:c>
    </x:row>
    <x:row r="57" ht="46" customHeight="1">
      <x:c r="A57" s="2" t="str">
        <x:v>Indicative size</x:v>
      </x:c>
      <x:c r="B57" s="2" t="str">
        <x:v>Small-scale prospects</x:v>
      </x:c>
      <x:c r="C57" s="12" t="str">
        <x:v>Bengaluru</x:v>
      </x:c>
      <x:c r="D57" s="12" t="str">
        <x:v>MAIN-081</x:v>
      </x:c>
      <x:c r="E57" s="12" t="str">
        <x:v>Sierra Cartel</x:v>
      </x:c>
      <x:c r="F57" s="11" t="n">
        <x:v>2</x:v>
      </x:c>
      <x:c r="G57" s="11" t="n">
        <x:v>2</x:v>
      </x:c>
      <x:c r="H57" s="11" t="n">
        <x:v>0</x:v>
      </x:c>
      <x:c r="I57" s="17" t="n">
        <x:f>INDEX('Costing'!$P$9:$P$492,MATCH(D57,'Costing'!$A$9:$A$492,0))</x:f>
        <x:v>30000</x:v>
      </x:c>
      <x:c r="J57" s="17" t="n">
        <x:f>ROUND(I57*'Costing'!$C$4,2)</x:f>
        <x:v>5400</x:v>
      </x:c>
      <x:c r="K57" s="17" t="n">
        <x:f>I57+J57</x:f>
        <x:v>35400</x:v>
      </x:c>
    </x:row>
    <x:row r="58" ht="46" customHeight="1">
      <x:c r="A58" s="2" t="str">
        <x:v>Indicative size</x:v>
      </x:c>
      <x:c r="B58" s="2" t="str">
        <x:v>Small-scale prospects</x:v>
      </x:c>
      <x:c r="C58" s="12" t="str">
        <x:v>Bengaluru</x:v>
      </x:c>
      <x:c r="D58" s="12" t="str">
        <x:v>MAIN-082</x:v>
      </x:c>
      <x:c r="E58" s="12" t="str">
        <x:v>Sirius Building (Pod Screens)</x:v>
      </x:c>
      <x:c r="F58" s="11" t="n">
        <x:v>2</x:v>
      </x:c>
      <x:c r="G58" s="11" t="n">
        <x:v>2</x:v>
      </x:c>
      <x:c r="H58" s="11" t="n">
        <x:v>0</x:v>
      </x:c>
      <x:c r="I58" s="17" t="n">
        <x:f>INDEX('Costing'!$P$9:$P$492,MATCH(D58,'Costing'!$A$9:$A$492,0))</x:f>
        <x:v>40000</x:v>
      </x:c>
      <x:c r="J58" s="17" t="n">
        <x:f>ROUND(I58*'Costing'!$C$4,2)</x:f>
        <x:v>7200</x:v>
      </x:c>
      <x:c r="K58" s="17" t="n">
        <x:f>I58+J58</x:f>
        <x:v>47200</x:v>
      </x:c>
    </x:row>
    <x:row r="59" ht="46" customHeight="1">
      <x:c r="A59" s="2" t="str">
        <x:v>Indicative size</x:v>
      </x:c>
      <x:c r="B59" s="2" t="str">
        <x:v>Small-scale prospects</x:v>
      </x:c>
      <x:c r="C59" s="12" t="str">
        <x:v>Bengaluru</x:v>
      </x:c>
      <x:c r="D59" s="12" t="str">
        <x:v>MAIN-083</x:v>
      </x:c>
      <x:c r="E59" s="12" t="str">
        <x:v>Sirius Building Tech Park</x:v>
      </x:c>
      <x:c r="F59" s="11" t="n">
        <x:v>3</x:v>
      </x:c>
      <x:c r="G59" s="11" t="n">
        <x:v>3</x:v>
      </x:c>
      <x:c r="H59" s="11" t="n">
        <x:v>0</x:v>
      </x:c>
      <x:c r="I59" s="17" t="n">
        <x:f>INDEX('Costing'!$P$9:$P$492,MATCH(D59,'Costing'!$A$9:$A$492,0))</x:f>
        <x:v>97500</x:v>
      </x:c>
      <x:c r="J59" s="17" t="n">
        <x:f>ROUND(I59*'Costing'!$C$4,2)</x:f>
        <x:v>17550</x:v>
      </x:c>
      <x:c r="K59" s="17" t="n">
        <x:f>I59+J59</x:f>
        <x:v>115050</x:v>
      </x:c>
    </x:row>
    <x:row r="60" ht="46" customHeight="1">
      <x:c r="A60" s="2" t="str">
        <x:v>Indicative size</x:v>
      </x:c>
      <x:c r="B60" s="2" t="str">
        <x:v>Small-scale prospects</x:v>
      </x:c>
      <x:c r="C60" s="12" t="str">
        <x:v>Bengaluru</x:v>
      </x:c>
      <x:c r="D60" s="12" t="str">
        <x:v>MAIN-085</x:v>
      </x:c>
      <x:c r="E60" s="12" t="str">
        <x:v>Smartworks The Cube</x:v>
      </x:c>
      <x:c r="F60" s="11" t="n">
        <x:v>3</x:v>
      </x:c>
      <x:c r="G60" s="11" t="n">
        <x:v>3</x:v>
      </x:c>
      <x:c r="H60" s="11" t="n">
        <x:v>0</x:v>
      </x:c>
      <x:c r="I60" s="17" t="n">
        <x:f>INDEX('Costing'!$P$9:$P$492,MATCH(D60,'Costing'!$A$9:$A$492,0))</x:f>
        <x:v>60000</x:v>
      </x:c>
      <x:c r="J60" s="17" t="n">
        <x:f>ROUND(I60*'Costing'!$C$4,2)</x:f>
        <x:v>10800</x:v>
      </x:c>
      <x:c r="K60" s="17" t="n">
        <x:f>I60+J60</x:f>
        <x:v>70800</x:v>
      </x:c>
    </x:row>
    <x:row r="61" ht="46" customHeight="1">
      <x:c r="A61" s="2" t="str">
        <x:v>Indicative size</x:v>
      </x:c>
      <x:c r="B61" s="2" t="str">
        <x:v>Small-scale prospects</x:v>
      </x:c>
      <x:c r="C61" s="12" t="str">
        <x:v>Bengaluru</x:v>
      </x:c>
      <x:c r="D61" s="12" t="str">
        <x:v>MAIN-086</x:v>
      </x:c>
      <x:c r="E61" s="12" t="str">
        <x:v>Startuphuts- Unit 1</x:v>
      </x:c>
      <x:c r="F61" s="11" t="n">
        <x:v>1</x:v>
      </x:c>
      <x:c r="G61" s="11" t="n">
        <x:v>1</x:v>
      </x:c>
      <x:c r="H61" s="11" t="n">
        <x:v>0</x:v>
      </x:c>
      <x:c r="I61" s="17" t="n">
        <x:f>INDEX('Costing'!$P$9:$P$492,MATCH(D61,'Costing'!$A$9:$A$492,0))</x:f>
        <x:v>15000</x:v>
      </x:c>
      <x:c r="J61" s="17" t="n">
        <x:f>ROUND(I61*'Costing'!$C$4,2)</x:f>
        <x:v>2700</x:v>
      </x:c>
      <x:c r="K61" s="17" t="n">
        <x:f>I61+J61</x:f>
        <x:v>17700</x:v>
      </x:c>
    </x:row>
    <x:row r="62" ht="46" customHeight="1">
      <x:c r="A62" s="2" t="str">
        <x:v>Indicative size</x:v>
      </x:c>
      <x:c r="B62" s="2" t="str">
        <x:v>Small-scale prospects</x:v>
      </x:c>
      <x:c r="C62" s="12" t="str">
        <x:v>Bengaluru</x:v>
      </x:c>
      <x:c r="D62" s="12" t="str">
        <x:v>MAIN-088</x:v>
      </x:c>
      <x:c r="E62" s="12" t="str">
        <x:v>Startuphuts- Unit 4</x:v>
      </x:c>
      <x:c r="F62" s="11" t="n">
        <x:v>2</x:v>
      </x:c>
      <x:c r="G62" s="11" t="n">
        <x:v>2</x:v>
      </x:c>
      <x:c r="H62" s="11" t="n">
        <x:v>0</x:v>
      </x:c>
      <x:c r="I62" s="17" t="n">
        <x:f>INDEX('Costing'!$P$9:$P$492,MATCH(D62,'Costing'!$A$9:$A$492,0))</x:f>
        <x:v>30000</x:v>
      </x:c>
      <x:c r="J62" s="17" t="n">
        <x:f>ROUND(I62*'Costing'!$C$4,2)</x:f>
        <x:v>5400</x:v>
      </x:c>
      <x:c r="K62" s="17" t="n">
        <x:f>I62+J62</x:f>
        <x:v>35400</x:v>
      </x:c>
    </x:row>
    <x:row r="63" ht="46" customHeight="1">
      <x:c r="A63" s="2" t="str">
        <x:v>Indicative size</x:v>
      </x:c>
      <x:c r="B63" s="2" t="str">
        <x:v>Small-scale prospects</x:v>
      </x:c>
      <x:c r="C63" s="12" t="str">
        <x:v>Bengaluru</x:v>
      </x:c>
      <x:c r="D63" s="12" t="str">
        <x:v>MAIN-089</x:v>
      </x:c>
      <x:c r="E63" s="12" t="str">
        <x:v>Startuphuts- Unit 6</x:v>
      </x:c>
      <x:c r="F63" s="11" t="n">
        <x:v>1</x:v>
      </x:c>
      <x:c r="G63" s="11" t="n">
        <x:v>1</x:v>
      </x:c>
      <x:c r="H63" s="11" t="n">
        <x:v>0</x:v>
      </x:c>
      <x:c r="I63" s="17" t="n">
        <x:f>INDEX('Costing'!$P$9:$P$492,MATCH(D63,'Costing'!$A$9:$A$492,0))</x:f>
        <x:v>15000</x:v>
      </x:c>
      <x:c r="J63" s="17" t="n">
        <x:f>ROUND(I63*'Costing'!$C$4,2)</x:f>
        <x:v>2700</x:v>
      </x:c>
      <x:c r="K63" s="17" t="n">
        <x:f>I63+J63</x:f>
        <x:v>17700</x:v>
      </x:c>
    </x:row>
    <x:row r="64" ht="46" customHeight="1">
      <x:c r="A64" s="2" t="str">
        <x:v>Indicative size</x:v>
      </x:c>
      <x:c r="B64" s="2" t="str">
        <x:v>Small-scale prospects</x:v>
      </x:c>
      <x:c r="C64" s="12" t="str">
        <x:v>Bengaluru</x:v>
      </x:c>
      <x:c r="D64" s="12" t="str">
        <x:v>MAIN-090</x:v>
      </x:c>
      <x:c r="E64" s="12" t="str">
        <x:v>Startuphuts- Unit 7</x:v>
      </x:c>
      <x:c r="F64" s="11" t="n">
        <x:v>2</x:v>
      </x:c>
      <x:c r="G64" s="11" t="n">
        <x:v>2</x:v>
      </x:c>
      <x:c r="H64" s="11" t="n">
        <x:v>0</x:v>
      </x:c>
      <x:c r="I64" s="17" t="n">
        <x:f>INDEX('Costing'!$P$9:$P$492,MATCH(D64,'Costing'!$A$9:$A$492,0))</x:f>
        <x:v>30000</x:v>
      </x:c>
      <x:c r="J64" s="17" t="n">
        <x:f>ROUND(I64*'Costing'!$C$4,2)</x:f>
        <x:v>5400</x:v>
      </x:c>
      <x:c r="K64" s="17" t="n">
        <x:f>I64+J64</x:f>
        <x:v>35400</x:v>
      </x:c>
    </x:row>
    <x:row r="65" ht="46" customHeight="1">
      <x:c r="A65" s="2" t="str">
        <x:v>Indicative size</x:v>
      </x:c>
      <x:c r="B65" s="2" t="str">
        <x:v>Small-scale prospects</x:v>
      </x:c>
      <x:c r="C65" s="12" t="str">
        <x:v>Bengaluru</x:v>
      </x:c>
      <x:c r="D65" s="12" t="str">
        <x:v>MAIN-091</x:v>
      </x:c>
      <x:c r="E65" s="12" t="str">
        <x:v>Startuphuts- Unit 8</x:v>
      </x:c>
      <x:c r="F65" s="11" t="n">
        <x:v>2</x:v>
      </x:c>
      <x:c r="G65" s="11" t="n">
        <x:v>2</x:v>
      </x:c>
      <x:c r="H65" s="11" t="n">
        <x:v>0</x:v>
      </x:c>
      <x:c r="I65" s="17" t="n">
        <x:f>INDEX('Costing'!$P$9:$P$492,MATCH(D65,'Costing'!$A$9:$A$492,0))</x:f>
        <x:v>30000</x:v>
      </x:c>
      <x:c r="J65" s="17" t="n">
        <x:f>ROUND(I65*'Costing'!$C$4,2)</x:f>
        <x:v>5400</x:v>
      </x:c>
      <x:c r="K65" s="17" t="n">
        <x:f>I65+J65</x:f>
        <x:v>35400</x:v>
      </x:c>
    </x:row>
    <x:row r="66" ht="46" customHeight="1">
      <x:c r="A66" s="2" t="str">
        <x:v>Indicative size</x:v>
      </x:c>
      <x:c r="B66" s="2" t="str">
        <x:v>Small-scale prospects</x:v>
      </x:c>
      <x:c r="C66" s="12" t="str">
        <x:v>Bengaluru</x:v>
      </x:c>
      <x:c r="D66" s="12" t="str">
        <x:v>MAIN-092</x:v>
      </x:c>
      <x:c r="E66" s="12" t="str">
        <x:v>The Cube (Karle)It Park (Pod Screens)</x:v>
      </x:c>
      <x:c r="F66" s="11" t="n">
        <x:v>2</x:v>
      </x:c>
      <x:c r="G66" s="11" t="n">
        <x:v>2</x:v>
      </x:c>
      <x:c r="H66" s="11" t="n">
        <x:v>0</x:v>
      </x:c>
      <x:c r="I66" s="17" t="n">
        <x:f>INDEX('Costing'!$P$9:$P$492,MATCH(D66,'Costing'!$A$9:$A$492,0))</x:f>
        <x:v>40000</x:v>
      </x:c>
      <x:c r="J66" s="17" t="n">
        <x:f>ROUND(I66*'Costing'!$C$4,2)</x:f>
        <x:v>7200</x:v>
      </x:c>
      <x:c r="K66" s="17" t="n">
        <x:f>I66+J66</x:f>
        <x:v>47200</x:v>
      </x:c>
    </x:row>
    <x:row r="67" ht="46" customHeight="1">
      <x:c r="A67" s="2" t="str">
        <x:v>Indicative size</x:v>
      </x:c>
      <x:c r="B67" s="2" t="str">
        <x:v>Small-scale prospects</x:v>
      </x:c>
      <x:c r="C67" s="12" t="str">
        <x:v>Bengaluru</x:v>
      </x:c>
      <x:c r="D67" s="12" t="str">
        <x:v>MAIN-093</x:v>
      </x:c>
      <x:c r="E67" s="12" t="str">
        <x:v>The Venture Studios</x:v>
      </x:c>
      <x:c r="F67" s="11" t="n">
        <x:v>1</x:v>
      </x:c>
      <x:c r="G67" s="11" t="n">
        <x:v>1</x:v>
      </x:c>
      <x:c r="H67" s="11" t="n">
        <x:v>0</x:v>
      </x:c>
      <x:c r="I67" s="17" t="n">
        <x:f>INDEX('Costing'!$P$9:$P$492,MATCH(D67,'Costing'!$A$9:$A$492,0))</x:f>
        <x:v>15000</x:v>
      </x:c>
      <x:c r="J67" s="17" t="n">
        <x:f>ROUND(I67*'Costing'!$C$4,2)</x:f>
        <x:v>2700</x:v>
      </x:c>
      <x:c r="K67" s="17" t="n">
        <x:f>I67+J67</x:f>
        <x:v>17700</x:v>
      </x:c>
    </x:row>
    <x:row r="68" ht="46" customHeight="1">
      <x:c r="A68" s="2" t="str">
        <x:v>Indicative size</x:v>
      </x:c>
      <x:c r="B68" s="2" t="str">
        <x:v>Small-scale prospects</x:v>
      </x:c>
      <x:c r="C68" s="12" t="str">
        <x:v>Bengaluru</x:v>
      </x:c>
      <x:c r="D68" s="12" t="str">
        <x:v>MAIN-103</x:v>
      </x:c>
      <x:c r="E68" s="12" t="str">
        <x:v>Urban Vault- 1086</x:v>
      </x:c>
      <x:c r="F68" s="11" t="n">
        <x:v>1</x:v>
      </x:c>
      <x:c r="G68" s="11" t="n">
        <x:v>1</x:v>
      </x:c>
      <x:c r="H68" s="11" t="n">
        <x:v>0</x:v>
      </x:c>
      <x:c r="I68" s="17" t="n">
        <x:f>INDEX('Costing'!$P$9:$P$492,MATCH(D68,'Costing'!$A$9:$A$492,0))</x:f>
        <x:v>15000</x:v>
      </x:c>
      <x:c r="J68" s="17" t="n">
        <x:f>ROUND(I68*'Costing'!$C$4,2)</x:f>
        <x:v>2700</x:v>
      </x:c>
      <x:c r="K68" s="17" t="n">
        <x:f>I68+J68</x:f>
        <x:v>17700</x:v>
      </x:c>
    </x:row>
    <x:row r="69" ht="46" customHeight="1">
      <x:c r="A69" s="2" t="str">
        <x:v>Indicative size</x:v>
      </x:c>
      <x:c r="B69" s="2" t="str">
        <x:v>Small-scale prospects</x:v>
      </x:c>
      <x:c r="C69" s="12" t="str">
        <x:v>Bengaluru</x:v>
      </x:c>
      <x:c r="D69" s="12" t="str">
        <x:v>MAIN-104</x:v>
      </x:c>
      <x:c r="E69" s="12" t="str">
        <x:v>Urban Vault- 1090/A</x:v>
      </x:c>
      <x:c r="F69" s="11" t="n">
        <x:v>1</x:v>
      </x:c>
      <x:c r="G69" s="11" t="n">
        <x:v>1</x:v>
      </x:c>
      <x:c r="H69" s="11" t="n">
        <x:v>0</x:v>
      </x:c>
      <x:c r="I69" s="17" t="n">
        <x:f>INDEX('Costing'!$P$9:$P$492,MATCH(D69,'Costing'!$A$9:$A$492,0))</x:f>
        <x:v>15000</x:v>
      </x:c>
      <x:c r="J69" s="17" t="n">
        <x:f>ROUND(I69*'Costing'!$C$4,2)</x:f>
        <x:v>2700</x:v>
      </x:c>
      <x:c r="K69" s="17" t="n">
        <x:f>I69+J69</x:f>
        <x:v>17700</x:v>
      </x:c>
    </x:row>
    <x:row r="70" ht="46" customHeight="1">
      <x:c r="A70" s="2" t="str">
        <x:v>Indicative size</x:v>
      </x:c>
      <x:c r="B70" s="2" t="str">
        <x:v>Small-scale prospects</x:v>
      </x:c>
      <x:c r="C70" s="12" t="str">
        <x:v>Bengaluru</x:v>
      </x:c>
      <x:c r="D70" s="12" t="str">
        <x:v>MAIN-098</x:v>
      </x:c>
      <x:c r="E70" s="12" t="str">
        <x:v>Urban Vault- 145</x:v>
      </x:c>
      <x:c r="F70" s="11" t="n">
        <x:v>2</x:v>
      </x:c>
      <x:c r="G70" s="11" t="n">
        <x:v>2</x:v>
      </x:c>
      <x:c r="H70" s="11" t="n">
        <x:v>0</x:v>
      </x:c>
      <x:c r="I70" s="17" t="n">
        <x:f>INDEX('Costing'!$P$9:$P$492,MATCH(D70,'Costing'!$A$9:$A$492,0))</x:f>
        <x:v>30000</x:v>
      </x:c>
      <x:c r="J70" s="17" t="n">
        <x:f>ROUND(I70*'Costing'!$C$4,2)</x:f>
        <x:v>5400</x:v>
      </x:c>
      <x:c r="K70" s="17" t="n">
        <x:f>I70+J70</x:f>
        <x:v>35400</x:v>
      </x:c>
    </x:row>
    <x:row r="71" ht="46" customHeight="1">
      <x:c r="A71" s="2" t="str">
        <x:v>Indicative size</x:v>
      </x:c>
      <x:c r="B71" s="2" t="str">
        <x:v>Small-scale prospects</x:v>
      </x:c>
      <x:c r="C71" s="12" t="str">
        <x:v>Bengaluru</x:v>
      </x:c>
      <x:c r="D71" s="12" t="str">
        <x:v>MAIN-105</x:v>
      </x:c>
      <x:c r="E71" s="12" t="str">
        <x:v>Urban Vault- 1498</x:v>
      </x:c>
      <x:c r="F71" s="11" t="n">
        <x:v>1</x:v>
      </x:c>
      <x:c r="G71" s="11" t="n">
        <x:v>1</x:v>
      </x:c>
      <x:c r="H71" s="11" t="n">
        <x:v>0</x:v>
      </x:c>
      <x:c r="I71" s="17" t="n">
        <x:f>INDEX('Costing'!$P$9:$P$492,MATCH(D71,'Costing'!$A$9:$A$492,0))</x:f>
        <x:v>15000</x:v>
      </x:c>
      <x:c r="J71" s="17" t="n">
        <x:f>ROUND(I71*'Costing'!$C$4,2)</x:f>
        <x:v>2700</x:v>
      </x:c>
      <x:c r="K71" s="17" t="n">
        <x:f>I71+J71</x:f>
        <x:v>17700</x:v>
      </x:c>
    </x:row>
    <x:row r="72" ht="46" customHeight="1">
      <x:c r="A72" s="2" t="str">
        <x:v>Indicative size</x:v>
      </x:c>
      <x:c r="B72" s="2" t="str">
        <x:v>Small-scale prospects</x:v>
      </x:c>
      <x:c r="C72" s="12" t="str">
        <x:v>Bengaluru</x:v>
      </x:c>
      <x:c r="D72" s="12" t="str">
        <x:v>MAIN-106</x:v>
      </x:c>
      <x:c r="E72" s="12" t="str">
        <x:v>Urban Vault- 1515</x:v>
      </x:c>
      <x:c r="F72" s="11" t="n">
        <x:v>2</x:v>
      </x:c>
      <x:c r="G72" s="11" t="n">
        <x:v>2</x:v>
      </x:c>
      <x:c r="H72" s="11" t="n">
        <x:v>0</x:v>
      </x:c>
      <x:c r="I72" s="17" t="n">
        <x:f>INDEX('Costing'!$P$9:$P$492,MATCH(D72,'Costing'!$A$9:$A$492,0))</x:f>
        <x:v>30000</x:v>
      </x:c>
      <x:c r="J72" s="17" t="n">
        <x:f>ROUND(I72*'Costing'!$C$4,2)</x:f>
        <x:v>5400</x:v>
      </x:c>
      <x:c r="K72" s="17" t="n">
        <x:f>I72+J72</x:f>
        <x:v>35400</x:v>
      </x:c>
    </x:row>
    <x:row r="73" ht="46" customHeight="1">
      <x:c r="A73" s="2" t="str">
        <x:v>Indicative size</x:v>
      </x:c>
      <x:c r="B73" s="2" t="str">
        <x:v>Small-scale prospects</x:v>
      </x:c>
      <x:c r="C73" s="12" t="str">
        <x:v>Bengaluru</x:v>
      </x:c>
      <x:c r="D73" s="12" t="str">
        <x:v>MAIN-107</x:v>
      </x:c>
      <x:c r="E73" s="12" t="str">
        <x:v>Urban Vault- 1608</x:v>
      </x:c>
      <x:c r="F73" s="11" t="n">
        <x:v>2</x:v>
      </x:c>
      <x:c r="G73" s="11" t="n">
        <x:v>2</x:v>
      </x:c>
      <x:c r="H73" s="11" t="n">
        <x:v>0</x:v>
      </x:c>
      <x:c r="I73" s="17" t="n">
        <x:f>INDEX('Costing'!$P$9:$P$492,MATCH(D73,'Costing'!$A$9:$A$492,0))</x:f>
        <x:v>30000</x:v>
      </x:c>
      <x:c r="J73" s="17" t="n">
        <x:f>ROUND(I73*'Costing'!$C$4,2)</x:f>
        <x:v>5400</x:v>
      </x:c>
      <x:c r="K73" s="17" t="n">
        <x:f>I73+J73</x:f>
        <x:v>35400</x:v>
      </x:c>
    </x:row>
    <x:row r="74" ht="46" customHeight="1">
      <x:c r="A74" s="2" t="str">
        <x:v>Indicative size</x:v>
      </x:c>
      <x:c r="B74" s="2" t="str">
        <x:v>Small-scale prospects</x:v>
      </x:c>
      <x:c r="C74" s="12" t="str">
        <x:v>Bengaluru</x:v>
      </x:c>
      <x:c r="D74" s="12" t="str">
        <x:v>MAIN-108</x:v>
      </x:c>
      <x:c r="E74" s="12" t="str">
        <x:v>Urban Vault- 1781</x:v>
      </x:c>
      <x:c r="F74" s="11" t="n">
        <x:v>2</x:v>
      </x:c>
      <x:c r="G74" s="11" t="n">
        <x:v>2</x:v>
      </x:c>
      <x:c r="H74" s="11" t="n">
        <x:v>0</x:v>
      </x:c>
      <x:c r="I74" s="17" t="n">
        <x:f>INDEX('Costing'!$P$9:$P$492,MATCH(D74,'Costing'!$A$9:$A$492,0))</x:f>
        <x:v>30000</x:v>
      </x:c>
      <x:c r="J74" s="17" t="n">
        <x:f>ROUND(I74*'Costing'!$C$4,2)</x:f>
        <x:v>5400</x:v>
      </x:c>
      <x:c r="K74" s="17" t="n">
        <x:f>I74+J74</x:f>
        <x:v>35400</x:v>
      </x:c>
    </x:row>
    <x:row r="75" ht="46" customHeight="1">
      <x:c r="A75" s="2" t="str">
        <x:v>Indicative size</x:v>
      </x:c>
      <x:c r="B75" s="2" t="str">
        <x:v>Small-scale prospects</x:v>
      </x:c>
      <x:c r="C75" s="12" t="str">
        <x:v>Bengaluru</x:v>
      </x:c>
      <x:c r="D75" s="12" t="str">
        <x:v>MAIN-110</x:v>
      </x:c>
      <x:c r="E75" s="12" t="str">
        <x:v>Urban Vault- 2908</x:v>
      </x:c>
      <x:c r="F75" s="11" t="n">
        <x:v>2</x:v>
      </x:c>
      <x:c r="G75" s="11" t="n">
        <x:v>2</x:v>
      </x:c>
      <x:c r="H75" s="11" t="n">
        <x:v>0</x:v>
      </x:c>
      <x:c r="I75" s="17" t="n">
        <x:f>INDEX('Costing'!$P$9:$P$492,MATCH(D75,'Costing'!$A$9:$A$492,0))</x:f>
        <x:v>30000</x:v>
      </x:c>
      <x:c r="J75" s="17" t="n">
        <x:f>ROUND(I75*'Costing'!$C$4,2)</x:f>
        <x:v>5400</x:v>
      </x:c>
      <x:c r="K75" s="17" t="n">
        <x:f>I75+J75</x:f>
        <x:v>35400</x:v>
      </x:c>
    </x:row>
    <x:row r="76" ht="46" customHeight="1">
      <x:c r="A76" s="2" t="str">
        <x:v>Indicative size</x:v>
      </x:c>
      <x:c r="B76" s="2" t="str">
        <x:v>Small-scale prospects</x:v>
      </x:c>
      <x:c r="C76" s="12" t="str">
        <x:v>Bengaluru</x:v>
      </x:c>
      <x:c r="D76" s="12" t="str">
        <x:v>MAIN-099</x:v>
      </x:c>
      <x:c r="E76" s="12" t="str">
        <x:v>Urban Vault- 316</x:v>
      </x:c>
      <x:c r="F76" s="11" t="n">
        <x:v>2</x:v>
      </x:c>
      <x:c r="G76" s="11" t="n">
        <x:v>2</x:v>
      </x:c>
      <x:c r="H76" s="11" t="n">
        <x:v>0</x:v>
      </x:c>
      <x:c r="I76" s="17" t="n">
        <x:f>INDEX('Costing'!$P$9:$P$492,MATCH(D76,'Costing'!$A$9:$A$492,0))</x:f>
        <x:v>30000</x:v>
      </x:c>
      <x:c r="J76" s="17" t="n">
        <x:f>ROUND(I76*'Costing'!$C$4,2)</x:f>
        <x:v>5400</x:v>
      </x:c>
      <x:c r="K76" s="17" t="n">
        <x:f>I76+J76</x:f>
        <x:v>35400</x:v>
      </x:c>
    </x:row>
    <x:row r="77" ht="46" customHeight="1">
      <x:c r="A77" s="2" t="str">
        <x:v>Indicative size</x:v>
      </x:c>
      <x:c r="B77" s="2" t="str">
        <x:v>Small-scale prospects</x:v>
      </x:c>
      <x:c r="C77" s="12" t="str">
        <x:v>Bengaluru</x:v>
      </x:c>
      <x:c r="D77" s="12" t="str">
        <x:v>MAIN-100</x:v>
      </x:c>
      <x:c r="E77" s="12" t="str">
        <x:v>Urban Vault- 591</x:v>
      </x:c>
      <x:c r="F77" s="11" t="n">
        <x:v>2</x:v>
      </x:c>
      <x:c r="G77" s="11" t="n">
        <x:v>2</x:v>
      </x:c>
      <x:c r="H77" s="11" t="n">
        <x:v>0</x:v>
      </x:c>
      <x:c r="I77" s="17" t="n">
        <x:f>INDEX('Costing'!$P$9:$P$492,MATCH(D77,'Costing'!$A$9:$A$492,0))</x:f>
        <x:v>30000</x:v>
      </x:c>
      <x:c r="J77" s="17" t="n">
        <x:f>ROUND(I77*'Costing'!$C$4,2)</x:f>
        <x:v>5400</x:v>
      </x:c>
      <x:c r="K77" s="17" t="n">
        <x:f>I77+J77</x:f>
        <x:v>35400</x:v>
      </x:c>
    </x:row>
    <x:row r="78" ht="46" customHeight="1">
      <x:c r="A78" s="2" t="str">
        <x:v>Indicative size</x:v>
      </x:c>
      <x:c r="B78" s="2" t="str">
        <x:v>Small-scale prospects</x:v>
      </x:c>
      <x:c r="C78" s="12" t="str">
        <x:v>Bengaluru</x:v>
      </x:c>
      <x:c r="D78" s="12" t="str">
        <x:v>MAIN-096</x:v>
      </x:c>
      <x:c r="E78" s="12" t="str">
        <x:v>Urban Vault- 65</x:v>
      </x:c>
      <x:c r="F78" s="11" t="n">
        <x:v>2</x:v>
      </x:c>
      <x:c r="G78" s="11" t="n">
        <x:v>2</x:v>
      </x:c>
      <x:c r="H78" s="11" t="n">
        <x:v>0</x:v>
      </x:c>
      <x:c r="I78" s="17" t="n">
        <x:f>INDEX('Costing'!$P$9:$P$492,MATCH(D78,'Costing'!$A$9:$A$492,0))</x:f>
        <x:v>30000</x:v>
      </x:c>
      <x:c r="J78" s="17" t="n">
        <x:f>ROUND(I78*'Costing'!$C$4,2)</x:f>
        <x:v>5400</x:v>
      </x:c>
      <x:c r="K78" s="17" t="n">
        <x:f>I78+J78</x:f>
        <x:v>35400</x:v>
      </x:c>
    </x:row>
    <x:row r="79" ht="46" customHeight="1">
      <x:c r="A79" s="2" t="str">
        <x:v>Indicative size</x:v>
      </x:c>
      <x:c r="B79" s="2" t="str">
        <x:v>Small-scale prospects</x:v>
      </x:c>
      <x:c r="C79" s="12" t="str">
        <x:v>Bengaluru</x:v>
      </x:c>
      <x:c r="D79" s="12" t="str">
        <x:v>MAIN-101</x:v>
      </x:c>
      <x:c r="E79" s="12" t="str">
        <x:v>Urban Vault- 761</x:v>
      </x:c>
      <x:c r="F79" s="11" t="n">
        <x:v>2</x:v>
      </x:c>
      <x:c r="G79" s="11" t="n">
        <x:v>2</x:v>
      </x:c>
      <x:c r="H79" s="11" t="n">
        <x:v>0</x:v>
      </x:c>
      <x:c r="I79" s="17" t="n">
        <x:f>INDEX('Costing'!$P$9:$P$492,MATCH(D79,'Costing'!$A$9:$A$492,0))</x:f>
        <x:v>30000</x:v>
      </x:c>
      <x:c r="J79" s="17" t="n">
        <x:f>ROUND(I79*'Costing'!$C$4,2)</x:f>
        <x:v>5400</x:v>
      </x:c>
      <x:c r="K79" s="17" t="n">
        <x:f>I79+J79</x:f>
        <x:v>35400</x:v>
      </x:c>
    </x:row>
    <x:row r="80" ht="46" customHeight="1">
      <x:c r="A80" s="2" t="str">
        <x:v>Indicative size</x:v>
      </x:c>
      <x:c r="B80" s="2" t="str">
        <x:v>Small-scale prospects</x:v>
      </x:c>
      <x:c r="C80" s="12" t="str">
        <x:v>Bengaluru</x:v>
      </x:c>
      <x:c r="D80" s="12" t="str">
        <x:v>MAIN-102</x:v>
      </x:c>
      <x:c r="E80" s="12" t="str">
        <x:v>Urban Vault- 762</x:v>
      </x:c>
      <x:c r="F80" s="11" t="n">
        <x:v>2</x:v>
      </x:c>
      <x:c r="G80" s="11" t="n">
        <x:v>2</x:v>
      </x:c>
      <x:c r="H80" s="11" t="n">
        <x:v>0</x:v>
      </x:c>
      <x:c r="I80" s="17" t="n">
        <x:f>INDEX('Costing'!$P$9:$P$492,MATCH(D80,'Costing'!$A$9:$A$492,0))</x:f>
        <x:v>30000</x:v>
      </x:c>
      <x:c r="J80" s="17" t="n">
        <x:f>ROUND(I80*'Costing'!$C$4,2)</x:f>
        <x:v>5400</x:v>
      </x:c>
      <x:c r="K80" s="17" t="n">
        <x:f>I80+J80</x:f>
        <x:v>35400</x:v>
      </x:c>
    </x:row>
    <x:row r="81" ht="46" customHeight="1">
      <x:c r="A81" s="2" t="str">
        <x:v>Indicative size</x:v>
      </x:c>
      <x:c r="B81" s="2" t="str">
        <x:v>Small-scale prospects</x:v>
      </x:c>
      <x:c r="C81" s="12" t="str">
        <x:v>Bengaluru</x:v>
      </x:c>
      <x:c r="D81" s="12" t="str">
        <x:v>MAIN-097</x:v>
      </x:c>
      <x:c r="E81" s="12" t="str">
        <x:v>Urban Vault- 97</x:v>
      </x:c>
      <x:c r="F81" s="11" t="n">
        <x:v>1</x:v>
      </x:c>
      <x:c r="G81" s="11" t="n">
        <x:v>1</x:v>
      </x:c>
      <x:c r="H81" s="11" t="n">
        <x:v>0</x:v>
      </x:c>
      <x:c r="I81" s="17" t="n">
        <x:f>INDEX('Costing'!$P$9:$P$492,MATCH(D81,'Costing'!$A$9:$A$492,0))</x:f>
        <x:v>15000</x:v>
      </x:c>
      <x:c r="J81" s="17" t="n">
        <x:f>ROUND(I81*'Costing'!$C$4,2)</x:f>
        <x:v>2700</x:v>
      </x:c>
      <x:c r="K81" s="17" t="n">
        <x:f>I81+J81</x:f>
        <x:v>17700</x:v>
      </x:c>
    </x:row>
    <x:row r="82" ht="46" customHeight="1">
      <x:c r="A82" s="2" t="str">
        <x:v>Indicative size</x:v>
      </x:c>
      <x:c r="B82" s="2" t="str">
        <x:v>Small-scale prospects</x:v>
      </x:c>
      <x:c r="C82" s="12" t="str">
        <x:v>Bengaluru</x:v>
      </x:c>
      <x:c r="D82" s="12" t="str">
        <x:v>MAIN-111</x:v>
      </x:c>
      <x:c r="E82" s="12" t="str">
        <x:v>Urban Vault- Head Quarters</x:v>
      </x:c>
      <x:c r="F82" s="11" t="n">
        <x:v>1</x:v>
      </x:c>
      <x:c r="G82" s="11" t="n">
        <x:v>1</x:v>
      </x:c>
      <x:c r="H82" s="11" t="n">
        <x:v>0</x:v>
      </x:c>
      <x:c r="I82" s="17" t="n">
        <x:f>INDEX('Costing'!$P$9:$P$492,MATCH(D82,'Costing'!$A$9:$A$492,0))</x:f>
        <x:v>15000</x:v>
      </x:c>
      <x:c r="J82" s="17" t="n">
        <x:f>ROUND(I82*'Costing'!$C$4,2)</x:f>
        <x:v>2700</x:v>
      </x:c>
      <x:c r="K82" s="17" t="n">
        <x:f>I82+J82</x:f>
        <x:v>17700</x:v>
      </x:c>
    </x:row>
    <x:row r="83" ht="46" customHeight="1">
      <x:c r="A83" s="2" t="str">
        <x:v>Indicative size</x:v>
      </x:c>
      <x:c r="B83" s="2" t="str">
        <x:v>Small-scale prospects</x:v>
      </x:c>
      <x:c r="C83" s="12" t="str">
        <x:v>Bengaluru</x:v>
      </x:c>
      <x:c r="D83" s="12" t="str">
        <x:v>MAIN-113</x:v>
      </x:c>
      <x:c r="E83" s="12" t="str">
        <x:v>WeWork - EGL</x:v>
      </x:c>
      <x:c r="F83" s="11" t="n">
        <x:v>4</x:v>
      </x:c>
      <x:c r="G83" s="11" t="n">
        <x:v>4</x:v>
      </x:c>
      <x:c r="H83" s="11" t="n">
        <x:v>0</x:v>
      </x:c>
      <x:c r="I83" s="17" t="n">
        <x:f>INDEX('Costing'!$P$9:$P$492,MATCH(D83,'Costing'!$A$9:$A$492,0))</x:f>
        <x:v>100000</x:v>
      </x:c>
      <x:c r="J83" s="17" t="n">
        <x:f>ROUND(I83*'Costing'!$C$4,2)</x:f>
        <x:v>18000</x:v>
      </x:c>
      <x:c r="K83" s="17" t="n">
        <x:f>I83+J83</x:f>
        <x:v>118000</x:v>
      </x:c>
    </x:row>
    <x:row r="84" ht="46" customHeight="1">
      <x:c r="A84" s="2" t="str">
        <x:v>Indicative size</x:v>
      </x:c>
      <x:c r="B84" s="2" t="str">
        <x:v>Small-scale prospects</x:v>
      </x:c>
      <x:c r="C84" s="12" t="str">
        <x:v>Bengaluru</x:v>
      </x:c>
      <x:c r="D84" s="12" t="str">
        <x:v>MAIN-115</x:v>
      </x:c>
      <x:c r="E84" s="12" t="str">
        <x:v>Wework - Embassy Quest</x:v>
      </x:c>
      <x:c r="F84" s="11" t="n">
        <x:v>4</x:v>
      </x:c>
      <x:c r="G84" s="11" t="n">
        <x:v>4</x:v>
      </x:c>
      <x:c r="H84" s="11" t="n">
        <x:v>0</x:v>
      </x:c>
      <x:c r="I84" s="17" t="n">
        <x:f>INDEX('Costing'!$P$9:$P$492,MATCH(D84,'Costing'!$A$9:$A$492,0))</x:f>
        <x:v>100000</x:v>
      </x:c>
      <x:c r="J84" s="17" t="n">
        <x:f>ROUND(I84*'Costing'!$C$4,2)</x:f>
        <x:v>18000</x:v>
      </x:c>
      <x:c r="K84" s="17" t="n">
        <x:f>I84+J84</x:f>
        <x:v>118000</x:v>
      </x:c>
    </x:row>
    <x:row r="85" ht="46" customHeight="1">
      <x:c r="A85" s="2" t="str">
        <x:v>Indicative size</x:v>
      </x:c>
      <x:c r="B85" s="2" t="str">
        <x:v>Small-scale prospects</x:v>
      </x:c>
      <x:c r="C85" s="12" t="str">
        <x:v>Bengaluru</x:v>
      </x:c>
      <x:c r="D85" s="12" t="str">
        <x:v>MAIN-116</x:v>
      </x:c>
      <x:c r="E85" s="12" t="str">
        <x:v>WeWork - ETV</x:v>
      </x:c>
      <x:c r="F85" s="11" t="n">
        <x:v>7</x:v>
      </x:c>
      <x:c r="G85" s="11" t="n">
        <x:v>7</x:v>
      </x:c>
      <x:c r="H85" s="11" t="n">
        <x:v>0</x:v>
      </x:c>
      <x:c r="I85" s="17" t="n">
        <x:f>INDEX('Costing'!$P$9:$P$492,MATCH(D85,'Costing'!$A$9:$A$492,0))</x:f>
        <x:v>175000</x:v>
      </x:c>
      <x:c r="J85" s="17" t="n">
        <x:f>ROUND(I85*'Costing'!$C$4,2)</x:f>
        <x:v>31500</x:v>
      </x:c>
      <x:c r="K85" s="17" t="n">
        <x:f>I85+J85</x:f>
        <x:v>206500</x:v>
      </x:c>
    </x:row>
    <x:row r="86" ht="46" customHeight="1">
      <x:c r="A86" s="2" t="str">
        <x:v>Indicative size</x:v>
      </x:c>
      <x:c r="B86" s="2" t="str">
        <x:v>Small-scale prospects</x:v>
      </x:c>
      <x:c r="C86" s="12" t="str">
        <x:v>Bengaluru</x:v>
      </x:c>
      <x:c r="D86" s="12" t="str">
        <x:v>MAIN-118</x:v>
      </x:c>
      <x:c r="E86" s="12" t="str">
        <x:v>WeWork - Manyata Mahogany</x:v>
      </x:c>
      <x:c r="F86" s="11" t="n">
        <x:v>2</x:v>
      </x:c>
      <x:c r="G86" s="11" t="n">
        <x:v>2</x:v>
      </x:c>
      <x:c r="H86" s="11" t="n">
        <x:v>0</x:v>
      </x:c>
      <x:c r="I86" s="17" t="n">
        <x:f>INDEX('Costing'!$P$9:$P$492,MATCH(D86,'Costing'!$A$9:$A$492,0))</x:f>
        <x:v>50000</x:v>
      </x:c>
      <x:c r="J86" s="17" t="n">
        <x:f>ROUND(I86*'Costing'!$C$4,2)</x:f>
        <x:v>9000</x:v>
      </x:c>
      <x:c r="K86" s="17" t="n">
        <x:f>I86+J86</x:f>
        <x:v>59000</x:v>
      </x:c>
    </x:row>
    <x:row r="87" ht="46" customHeight="1">
      <x:c r="A87" s="2" t="str">
        <x:v>Indicative size</x:v>
      </x:c>
      <x:c r="B87" s="2" t="str">
        <x:v>Small-scale prospects</x:v>
      </x:c>
      <x:c r="C87" s="12" t="str">
        <x:v>Bengaluru</x:v>
      </x:c>
      <x:c r="D87" s="12" t="str">
        <x:v>MAIN-119</x:v>
      </x:c>
      <x:c r="E87" s="12" t="str">
        <x:v>WeWork - Prestige Atlanta</x:v>
      </x:c>
      <x:c r="F87" s="11" t="n">
        <x:v>5</x:v>
      </x:c>
      <x:c r="G87" s="11" t="n">
        <x:v>5</x:v>
      </x:c>
      <x:c r="H87" s="11" t="n">
        <x:v>0</x:v>
      </x:c>
      <x:c r="I87" s="17" t="n">
        <x:f>INDEX('Costing'!$P$9:$P$492,MATCH(D87,'Costing'!$A$9:$A$492,0))</x:f>
        <x:v>125000</x:v>
      </x:c>
      <x:c r="J87" s="17" t="n">
        <x:f>ROUND(I87*'Costing'!$C$4,2)</x:f>
        <x:v>22500</x:v>
      </x:c>
      <x:c r="K87" s="17" t="n">
        <x:f>I87+J87</x:f>
        <x:v>147500</x:v>
      </x:c>
    </x:row>
    <x:row r="88" ht="46" customHeight="1">
      <x:c r="A88" s="2" t="str">
        <x:v>Indicative size</x:v>
      </x:c>
      <x:c r="B88" s="2" t="str">
        <x:v>Small-scale prospects</x:v>
      </x:c>
      <x:c r="C88" s="12" t="str">
        <x:v>Bengaluru</x:v>
      </x:c>
      <x:c r="D88" s="12" t="str">
        <x:v>MAIN-121</x:v>
      </x:c>
      <x:c r="E88" s="12" t="str">
        <x:v>Wework - Prestige Cube</x:v>
      </x:c>
      <x:c r="F88" s="11" t="n">
        <x:v>4</x:v>
      </x:c>
      <x:c r="G88" s="11" t="n">
        <x:v>4</x:v>
      </x:c>
      <x:c r="H88" s="11" t="n">
        <x:v>0</x:v>
      </x:c>
      <x:c r="I88" s="17" t="n">
        <x:f>INDEX('Costing'!$P$9:$P$492,MATCH(D88,'Costing'!$A$9:$A$492,0))</x:f>
        <x:v>100000</x:v>
      </x:c>
      <x:c r="J88" s="17" t="n">
        <x:f>ROUND(I88*'Costing'!$C$4,2)</x:f>
        <x:v>18000</x:v>
      </x:c>
      <x:c r="K88" s="17" t="n">
        <x:f>I88+J88</x:f>
        <x:v>118000</x:v>
      </x:c>
    </x:row>
    <x:row r="89" ht="46" customHeight="1">
      <x:c r="A89" s="2" t="str">
        <x:v>Indicative size</x:v>
      </x:c>
      <x:c r="B89" s="2" t="str">
        <x:v>Small-scale prospects</x:v>
      </x:c>
      <x:c r="C89" s="12" t="str">
        <x:v>Bengaluru</x:v>
      </x:c>
      <x:c r="D89" s="12" t="str">
        <x:v>MAIN-122</x:v>
      </x:c>
      <x:c r="E89" s="12" t="str">
        <x:v>Wework - Princeville</x:v>
      </x:c>
      <x:c r="F89" s="11" t="n">
        <x:v>3</x:v>
      </x:c>
      <x:c r="G89" s="11" t="n">
        <x:v>3</x:v>
      </x:c>
      <x:c r="H89" s="11" t="n">
        <x:v>0</x:v>
      </x:c>
      <x:c r="I89" s="17" t="n">
        <x:f>INDEX('Costing'!$P$9:$P$492,MATCH(D89,'Costing'!$A$9:$A$492,0))</x:f>
        <x:v>75000</x:v>
      </x:c>
      <x:c r="J89" s="17" t="n">
        <x:f>ROUND(I89*'Costing'!$C$4,2)</x:f>
        <x:v>13500</x:v>
      </x:c>
      <x:c r="K89" s="17" t="n">
        <x:f>I89+J89</x:f>
        <x:v>88500</x:v>
      </x:c>
    </x:row>
    <x:row r="90" ht="46" customHeight="1">
      <x:c r="A90" s="2" t="str">
        <x:v>Indicative size</x:v>
      </x:c>
      <x:c r="B90" s="2" t="str">
        <x:v>Small-scale prospects</x:v>
      </x:c>
      <x:c r="C90" s="12" t="str">
        <x:v>Bengaluru</x:v>
      </x:c>
      <x:c r="D90" s="12" t="str">
        <x:v>MAIN-124</x:v>
      </x:c>
      <x:c r="E90" s="12" t="str">
        <x:v>WeWork - RMZ Latitude</x:v>
      </x:c>
      <x:c r="F90" s="11" t="n">
        <x:v>4</x:v>
      </x:c>
      <x:c r="G90" s="11" t="n">
        <x:v>4</x:v>
      </x:c>
      <x:c r="H90" s="11" t="n">
        <x:v>0</x:v>
      </x:c>
      <x:c r="I90" s="17" t="n">
        <x:f>INDEX('Costing'!$P$9:$P$492,MATCH(D90,'Costing'!$A$9:$A$492,0))</x:f>
        <x:v>100000</x:v>
      </x:c>
      <x:c r="J90" s="17" t="n">
        <x:f>ROUND(I90*'Costing'!$C$4,2)</x:f>
        <x:v>18000</x:v>
      </x:c>
      <x:c r="K90" s="17" t="n">
        <x:f>I90+J90</x:f>
        <x:v>118000</x:v>
      </x:c>
    </x:row>
    <x:row r="91" ht="46" customHeight="1">
      <x:c r="A91" s="2" t="str">
        <x:v>Indicative size</x:v>
      </x:c>
      <x:c r="B91" s="2" t="str">
        <x:v>Small-scale prospects</x:v>
      </x:c>
      <x:c r="C91" s="12" t="str">
        <x:v>Bengaluru</x:v>
      </x:c>
      <x:c r="D91" s="12" t="str">
        <x:v>MAIN-126</x:v>
      </x:c>
      <x:c r="E91" s="12" t="str">
        <x:v>WeWork - Salarpuria Magnificia</x:v>
      </x:c>
      <x:c r="F91" s="11" t="n">
        <x:v>8</x:v>
      </x:c>
      <x:c r="G91" s="11" t="n">
        <x:v>8</x:v>
      </x:c>
      <x:c r="H91" s="11" t="n">
        <x:v>0</x:v>
      </x:c>
      <x:c r="I91" s="17" t="n">
        <x:f>INDEX('Costing'!$P$9:$P$492,MATCH(D91,'Costing'!$A$9:$A$492,0))</x:f>
        <x:v>200000</x:v>
      </x:c>
      <x:c r="J91" s="17" t="n">
        <x:f>ROUND(I91*'Costing'!$C$4,2)</x:f>
        <x:v>36000</x:v>
      </x:c>
      <x:c r="K91" s="17" t="n">
        <x:f>I91+J91</x:f>
        <x:v>236000</x:v>
      </x:c>
    </x:row>
    <x:row r="92" ht="46" customHeight="1">
      <x:c r="A92" s="2" t="str">
        <x:v>Indicative size</x:v>
      </x:c>
      <x:c r="B92" s="2" t="str">
        <x:v>Small-scale prospects</x:v>
      </x:c>
      <x:c r="C92" s="12" t="str">
        <x:v>Bengaluru</x:v>
      </x:c>
      <x:c r="D92" s="12" t="str">
        <x:v>MAIN-127</x:v>
      </x:c>
      <x:c r="E92" s="12" t="str">
        <x:v>WeWork - Salarpuria Symbiosis</x:v>
      </x:c>
      <x:c r="F92" s="11" t="n">
        <x:v>5</x:v>
      </x:c>
      <x:c r="G92" s="11" t="n">
        <x:v>5</x:v>
      </x:c>
      <x:c r="H92" s="11" t="n">
        <x:v>0</x:v>
      </x:c>
      <x:c r="I92" s="17" t="n">
        <x:f>INDEX('Costing'!$P$9:$P$492,MATCH(D92,'Costing'!$A$9:$A$492,0))</x:f>
        <x:v>125000</x:v>
      </x:c>
      <x:c r="J92" s="17" t="n">
        <x:f>ROUND(I92*'Costing'!$C$4,2)</x:f>
        <x:v>22500</x:v>
      </x:c>
      <x:c r="K92" s="17" t="n">
        <x:f>I92+J92</x:f>
        <x:v>147500</x:v>
      </x:c>
    </x:row>
    <x:row r="93" ht="46" customHeight="1">
      <x:c r="A93" s="2" t="str">
        <x:v>Indicative size</x:v>
      </x:c>
      <x:c r="B93" s="2" t="str">
        <x:v>Small-scale prospects</x:v>
      </x:c>
      <x:c r="C93" s="12" t="str">
        <x:v>Bengaluru</x:v>
      </x:c>
      <x:c r="D93" s="12" t="str">
        <x:v>MAIN-128</x:v>
      </x:c>
      <x:c r="E93" s="12" t="str">
        <x:v>Wework - Sunriver</x:v>
      </x:c>
      <x:c r="F93" s="11" t="n">
        <x:v>1</x:v>
      </x:c>
      <x:c r="G93" s="11" t="n">
        <x:v>1</x:v>
      </x:c>
      <x:c r="H93" s="11" t="n">
        <x:v>0</x:v>
      </x:c>
      <x:c r="I93" s="17" t="n">
        <x:f>INDEX('Costing'!$P$9:$P$492,MATCH(D93,'Costing'!$A$9:$A$492,0))</x:f>
        <x:v>25000</x:v>
      </x:c>
      <x:c r="J93" s="17" t="n">
        <x:f>ROUND(I93*'Costing'!$C$4,2)</x:f>
        <x:v>4500</x:v>
      </x:c>
      <x:c r="K93" s="17" t="n">
        <x:f>I93+J93</x:f>
        <x:v>29500</x:v>
      </x:c>
    </x:row>
    <x:row r="94" ht="46" customHeight="1">
      <x:c r="A94" s="2" t="str">
        <x:v>Indicative size</x:v>
      </x:c>
      <x:c r="B94" s="2" t="str">
        <x:v>Small-scale prospects</x:v>
      </x:c>
      <x:c r="C94" s="12" t="str">
        <x:v>Bengaluru</x:v>
      </x:c>
      <x:c r="D94" s="12" t="str">
        <x:v>MAIN-129</x:v>
      </x:c>
      <x:c r="E94" s="12" t="str">
        <x:v>WeWork - The Galaxy</x:v>
      </x:c>
      <x:c r="F94" s="11" t="n">
        <x:v>7</x:v>
      </x:c>
      <x:c r="G94" s="11" t="n">
        <x:v>7</x:v>
      </x:c>
      <x:c r="H94" s="11" t="n">
        <x:v>0</x:v>
      </x:c>
      <x:c r="I94" s="17" t="n">
        <x:f>INDEX('Costing'!$P$9:$P$492,MATCH(D94,'Costing'!$A$9:$A$492,0))</x:f>
        <x:v>175000</x:v>
      </x:c>
      <x:c r="J94" s="17" t="n">
        <x:f>ROUND(I94*'Costing'!$C$4,2)</x:f>
        <x:v>31500</x:v>
      </x:c>
      <x:c r="K94" s="17" t="n">
        <x:f>I94+J94</x:f>
        <x:v>206500</x:v>
      </x:c>
    </x:row>
    <x:row r="95" ht="46" customHeight="1">
      <x:c r="A95" s="2" t="str">
        <x:v>Indicative size</x:v>
      </x:c>
      <x:c r="B95" s="2" t="str">
        <x:v>Small-scale prospects</x:v>
      </x:c>
      <x:c r="C95" s="12" t="str">
        <x:v>Bengaluru</x:v>
      </x:c>
      <x:c r="D95" s="12" t="str">
        <x:v>MAIN-130</x:v>
      </x:c>
      <x:c r="E95" s="12" t="str">
        <x:v>WeWork - The Pavilion</x:v>
      </x:c>
      <x:c r="F95" s="11" t="n">
        <x:v>4</x:v>
      </x:c>
      <x:c r="G95" s="11" t="n">
        <x:v>4</x:v>
      </x:c>
      <x:c r="H95" s="11" t="n">
        <x:v>0</x:v>
      </x:c>
      <x:c r="I95" s="17" t="n">
        <x:f>INDEX('Costing'!$P$9:$P$492,MATCH(D95,'Costing'!$A$9:$A$492,0))</x:f>
        <x:v>100000</x:v>
      </x:c>
      <x:c r="J95" s="17" t="n">
        <x:f>ROUND(I95*'Costing'!$C$4,2)</x:f>
        <x:v>18000</x:v>
      </x:c>
      <x:c r="K95" s="17" t="n">
        <x:f>I95+J95</x:f>
        <x:v>118000</x:v>
      </x:c>
    </x:row>
    <x:row r="96" ht="46" customHeight="1">
      <x:c r="A96" s="2" t="str">
        <x:v>Indicative size</x:v>
      </x:c>
      <x:c r="B96" s="2" t="str">
        <x:v>Small-scale prospects</x:v>
      </x:c>
      <x:c r="C96" s="12" t="str">
        <x:v>Bengaluru</x:v>
      </x:c>
      <x:c r="D96" s="12" t="str">
        <x:v>MAIN-131</x:v>
      </x:c>
      <x:c r="E96" s="12" t="str">
        <x:v>Wework - Vaishnavi Signature</x:v>
      </x:c>
      <x:c r="F96" s="11" t="n">
        <x:v>11</x:v>
      </x:c>
      <x:c r="G96" s="11" t="n">
        <x:v>11</x:v>
      </x:c>
      <x:c r="H96" s="11" t="n">
        <x:v>0</x:v>
      </x:c>
      <x:c r="I96" s="17" t="n">
        <x:f>INDEX('Costing'!$P$9:$P$492,MATCH(D96,'Costing'!$A$9:$A$492,0))</x:f>
        <x:v>275000</x:v>
      </x:c>
      <x:c r="J96" s="17" t="n">
        <x:f>ROUND(I96*'Costing'!$C$4,2)</x:f>
        <x:v>49500</x:v>
      </x:c>
      <x:c r="K96" s="17" t="n">
        <x:f>I96+J96</x:f>
        <x:v>324500</x:v>
      </x:c>
    </x:row>
    <x:row r="97" ht="46" customHeight="1">
      <x:c r="A97" s="2" t="str">
        <x:v>Indicative size</x:v>
      </x:c>
      <x:c r="B97" s="2" t="str">
        <x:v>Small-scale prospects</x:v>
      </x:c>
      <x:c r="C97" s="12" t="str">
        <x:v>Bengaluru</x:v>
      </x:c>
      <x:c r="D97" s="12" t="str">
        <x:v>MAIN-133</x:v>
      </x:c>
      <x:c r="E97" s="12" t="str">
        <x:v>Workflow by Oyo - Ranka</x:v>
      </x:c>
      <x:c r="F97" s="11" t="n">
        <x:v>2</x:v>
      </x:c>
      <x:c r="G97" s="11" t="n">
        <x:v>2</x:v>
      </x:c>
      <x:c r="H97" s="11" t="n">
        <x:v>0</x:v>
      </x:c>
      <x:c r="I97" s="17" t="n">
        <x:f>INDEX('Costing'!$P$9:$P$492,MATCH(D97,'Costing'!$A$9:$A$492,0))</x:f>
        <x:v>30000</x:v>
      </x:c>
      <x:c r="J97" s="17" t="n">
        <x:f>ROUND(I97*'Costing'!$C$4,2)</x:f>
        <x:v>5400</x:v>
      </x:c>
      <x:c r="K97" s="17" t="n">
        <x:f>I97+J97</x:f>
        <x:v>35400</x:v>
      </x:c>
    </x:row>
    <x:row r="98" ht="46" customHeight="1">
      <x:c r="A98" s="2" t="str">
        <x:v>Indicative size</x:v>
      </x:c>
      <x:c r="B98" s="2" t="str">
        <x:v>Small-scale prospects</x:v>
      </x:c>
      <x:c r="C98" s="12" t="str">
        <x:v>Bengaluru</x:v>
      </x:c>
      <x:c r="D98" s="12" t="str">
        <x:v>MAIN-134</x:v>
      </x:c>
      <x:c r="E98" s="12" t="str">
        <x:v>Workhome - Coworking Space</x:v>
      </x:c>
      <x:c r="F98" s="11" t="n">
        <x:v>2</x:v>
      </x:c>
      <x:c r="G98" s="11" t="n">
        <x:v>2</x:v>
      </x:c>
      <x:c r="H98" s="11" t="n">
        <x:v>0</x:v>
      </x:c>
      <x:c r="I98" s="17" t="n">
        <x:f>INDEX('Costing'!$P$9:$P$492,MATCH(D98,'Costing'!$A$9:$A$492,0))</x:f>
        <x:v>30000</x:v>
      </x:c>
      <x:c r="J98" s="17" t="n">
        <x:f>ROUND(I98*'Costing'!$C$4,2)</x:f>
        <x:v>5400</x:v>
      </x:c>
      <x:c r="K98" s="17" t="n">
        <x:f>I98+J98</x:f>
        <x:v>35400</x:v>
      </x:c>
    </x:row>
    <x:row r="99" ht="46" customHeight="1">
      <x:c r="A99" s="2" t="str">
        <x:v>Indicative size</x:v>
      </x:c>
      <x:c r="B99" s="2" t="str">
        <x:v>Small-scale prospects</x:v>
      </x:c>
      <x:c r="C99" s="12" t="str">
        <x:v>Bengaluru</x:v>
      </x:c>
      <x:c r="D99" s="12" t="str">
        <x:v>MAIN-135</x:v>
      </x:c>
      <x:c r="E99" s="12" t="str">
        <x:v>Zonasha Frontier</x:v>
      </x:c>
      <x:c r="F99" s="11" t="n">
        <x:v>1</x:v>
      </x:c>
      <x:c r="G99" s="11" t="n">
        <x:v>1</x:v>
      </x:c>
      <x:c r="H99" s="11" t="n">
        <x:v>0</x:v>
      </x:c>
      <x:c r="I99" s="17" t="n">
        <x:f>INDEX('Costing'!$P$9:$P$492,MATCH(D99,'Costing'!$A$9:$A$492,0))</x:f>
        <x:v>40000</x:v>
      </x:c>
      <x:c r="J99" s="17" t="n">
        <x:f>ROUND(I99*'Costing'!$C$4,2)</x:f>
        <x:v>7200</x:v>
      </x:c>
      <x:c r="K99" s="17" t="n">
        <x:f>I99+J99</x:f>
        <x:v>47200</x:v>
      </x:c>
    </x:row>
    <x:row r="100" ht="46" customHeight="1">
      <x:c r="A100" s="2" t="str">
        <x:v>Indicative size</x:v>
      </x:c>
      <x:c r="B100" s="2" t="str">
        <x:v>Small-scale prospects</x:v>
      </x:c>
      <x:c r="C100" s="12" t="str">
        <x:v>Bhubaneswar</x:v>
      </x:c>
      <x:c r="D100" s="12" t="str">
        <x:v>MAIN-137</x:v>
      </x:c>
      <x:c r="E100" s="12" t="str">
        <x:v>Awfis - SRB Tower</x:v>
      </x:c>
      <x:c r="F100" s="11" t="n">
        <x:v>2</x:v>
      </x:c>
      <x:c r="G100" s="11" t="n">
        <x:v>2</x:v>
      </x:c>
      <x:c r="H100" s="11" t="n">
        <x:v>0</x:v>
      </x:c>
      <x:c r="I100" s="17" t="n">
        <x:f>INDEX('Costing'!$P$9:$P$492,MATCH(D100,'Costing'!$A$9:$A$492,0))</x:f>
        <x:v>30000</x:v>
      </x:c>
      <x:c r="J100" s="17" t="n">
        <x:f>ROUND(I100*'Costing'!$C$4,2)</x:f>
        <x:v>5400</x:v>
      </x:c>
      <x:c r="K100" s="17" t="n">
        <x:f>I100+J100</x:f>
        <x:v>35400</x:v>
      </x:c>
    </x:row>
    <x:row r="101" ht="46" customHeight="1">
      <x:c r="A101" s="2" t="str">
        <x:v>Indicative size</x:v>
      </x:c>
      <x:c r="B101" s="2" t="str">
        <x:v>Small-scale prospects</x:v>
      </x:c>
      <x:c r="C101" s="12" t="str">
        <x:v>Chennai</x:v>
      </x:c>
      <x:c r="D101" s="12" t="str">
        <x:v>MAIN-139</x:v>
      </x:c>
      <x:c r="E101" s="12" t="str">
        <x:v>Awfis - Gemini Circle</x:v>
      </x:c>
      <x:c r="F101" s="11" t="n">
        <x:v>5</x:v>
      </x:c>
      <x:c r="G101" s="11" t="n">
        <x:v>5</x:v>
      </x:c>
      <x:c r="H101" s="11" t="n">
        <x:v>0</x:v>
      </x:c>
      <x:c r="I101" s="17" t="n">
        <x:f>INDEX('Costing'!$P$9:$P$492,MATCH(D101,'Costing'!$A$9:$A$492,0))</x:f>
        <x:v>75000</x:v>
      </x:c>
      <x:c r="J101" s="17" t="n">
        <x:f>ROUND(I101*'Costing'!$C$4,2)</x:f>
        <x:v>13500</x:v>
      </x:c>
      <x:c r="K101" s="17" t="n">
        <x:f>I101+J101</x:f>
        <x:v>88500</x:v>
      </x:c>
    </x:row>
    <x:row r="102" ht="46" customHeight="1">
      <x:c r="A102" s="2" t="str">
        <x:v>Indicative size</x:v>
      </x:c>
      <x:c r="B102" s="2" t="str">
        <x:v>Small-scale prospects</x:v>
      </x:c>
      <x:c r="C102" s="12" t="str">
        <x:v>Chennai</x:v>
      </x:c>
      <x:c r="D102" s="12" t="str">
        <x:v>MAIN-140</x:v>
      </x:c>
      <x:c r="E102" s="12" t="str">
        <x:v>Awfis - OMR</x:v>
      </x:c>
      <x:c r="F102" s="11" t="n">
        <x:v>7</x:v>
      </x:c>
      <x:c r="G102" s="11" t="n">
        <x:v>7</x:v>
      </x:c>
      <x:c r="H102" s="11" t="n">
        <x:v>0</x:v>
      </x:c>
      <x:c r="I102" s="17" t="n">
        <x:f>INDEX('Costing'!$P$9:$P$492,MATCH(D102,'Costing'!$A$9:$A$492,0))</x:f>
        <x:v>105000</x:v>
      </x:c>
      <x:c r="J102" s="17" t="n">
        <x:f>ROUND(I102*'Costing'!$C$4,2)</x:f>
        <x:v>18900</x:v>
      </x:c>
      <x:c r="K102" s="17" t="n">
        <x:f>I102+J102</x:f>
        <x:v>123900</x:v>
      </x:c>
    </x:row>
    <x:row r="103" ht="46" customHeight="1">
      <x:c r="A103" s="2" t="str">
        <x:v>Indicative size</x:v>
      </x:c>
      <x:c r="B103" s="2" t="str">
        <x:v>Small-scale prospects</x:v>
      </x:c>
      <x:c r="C103" s="12" t="str">
        <x:v>Chennai</x:v>
      </x:c>
      <x:c r="D103" s="12" t="str">
        <x:v>MAIN-141</x:v>
      </x:c>
      <x:c r="E103" s="12" t="str">
        <x:v>Awfis - Prestige Cosmopolitan-I</x:v>
      </x:c>
      <x:c r="F103" s="11" t="n">
        <x:v>4</x:v>
      </x:c>
      <x:c r="G103" s="11" t="n">
        <x:v>4</x:v>
      </x:c>
      <x:c r="H103" s="11" t="n">
        <x:v>0</x:v>
      </x:c>
      <x:c r="I103" s="17" t="n">
        <x:f>INDEX('Costing'!$P$9:$P$492,MATCH(D103,'Costing'!$A$9:$A$492,0))</x:f>
        <x:v>60000</x:v>
      </x:c>
      <x:c r="J103" s="17" t="n">
        <x:f>ROUND(I103*'Costing'!$C$4,2)</x:f>
        <x:v>10800</x:v>
      </x:c>
      <x:c r="K103" s="17" t="n">
        <x:f>I103+J103</x:f>
        <x:v>70800</x:v>
      </x:c>
    </x:row>
    <x:row r="104" ht="46" customHeight="1">
      <x:c r="A104" s="2" t="str">
        <x:v>Indicative size</x:v>
      </x:c>
      <x:c r="B104" s="2" t="str">
        <x:v>Small-scale prospects</x:v>
      </x:c>
      <x:c r="C104" s="12" t="str">
        <x:v>Chennai</x:v>
      </x:c>
      <x:c r="D104" s="12" t="str">
        <x:v>MAIN-143</x:v>
      </x:c>
      <x:c r="E104" s="12" t="str">
        <x:v>Bharati Vilas Tech Park</x:v>
      </x:c>
      <x:c r="F104" s="11" t="n">
        <x:v>2</x:v>
      </x:c>
      <x:c r="G104" s="11" t="n">
        <x:v>2</x:v>
      </x:c>
      <x:c r="H104" s="11" t="n">
        <x:v>0</x:v>
      </x:c>
      <x:c r="I104" s="17" t="n">
        <x:f>INDEX('Costing'!$P$9:$P$492,MATCH(D104,'Costing'!$A$9:$A$492,0))</x:f>
        <x:v>40000</x:v>
      </x:c>
      <x:c r="J104" s="17" t="n">
        <x:f>ROUND(I104*'Costing'!$C$4,2)</x:f>
        <x:v>7200</x:v>
      </x:c>
      <x:c r="K104" s="17" t="n">
        <x:f>I104+J104</x:f>
        <x:v>47200</x:v>
      </x:c>
    </x:row>
    <x:row r="105" ht="46" customHeight="1">
      <x:c r="A105" s="2" t="str">
        <x:v>Indicative size</x:v>
      </x:c>
      <x:c r="B105" s="2" t="str">
        <x:v>Small-scale prospects</x:v>
      </x:c>
      <x:c r="C105" s="12" t="str">
        <x:v>Chennai</x:v>
      </x:c>
      <x:c r="D105" s="12" t="str">
        <x:v>MAIN-144</x:v>
      </x:c>
      <x:c r="E105" s="12" t="str">
        <x:v>Bharati Vilas Tech Park(POD Screens)</x:v>
      </x:c>
      <x:c r="F105" s="11" t="n">
        <x:v>1</x:v>
      </x:c>
      <x:c r="G105" s="11" t="n">
        <x:v>1</x:v>
      </x:c>
      <x:c r="H105" s="11" t="n">
        <x:v>0</x:v>
      </x:c>
      <x:c r="I105" s="17" t="n">
        <x:f>INDEX('Costing'!$P$9:$P$492,MATCH(D105,'Costing'!$A$9:$A$492,0))</x:f>
        <x:v>20000</x:v>
      </x:c>
      <x:c r="J105" s="17" t="n">
        <x:f>ROUND(I105*'Costing'!$C$4,2)</x:f>
        <x:v>3600</x:v>
      </x:c>
      <x:c r="K105" s="17" t="n">
        <x:f>I105+J105</x:f>
        <x:v>23600</x:v>
      </x:c>
    </x:row>
    <x:row r="106" ht="46" customHeight="1">
      <x:c r="A106" s="2" t="str">
        <x:v>Indicative size</x:v>
      </x:c>
      <x:c r="B106" s="2" t="str">
        <x:v>Small-scale prospects</x:v>
      </x:c>
      <x:c r="C106" s="12" t="str">
        <x:v>Chennai</x:v>
      </x:c>
      <x:c r="D106" s="12" t="str">
        <x:v>MAIN-146</x:v>
      </x:c>
      <x:c r="E106" s="12" t="str">
        <x:v>Global Infocity Park</x:v>
      </x:c>
      <x:c r="F106" s="11" t="n">
        <x:v>4</x:v>
      </x:c>
      <x:c r="G106" s="11" t="n">
        <x:v>4</x:v>
      </x:c>
      <x:c r="H106" s="11" t="n">
        <x:v>0</x:v>
      </x:c>
      <x:c r="I106" s="17" t="n">
        <x:f>INDEX('Costing'!$P$9:$P$492,MATCH(D106,'Costing'!$A$9:$A$492,0))</x:f>
        <x:v>160000</x:v>
      </x:c>
      <x:c r="J106" s="17" t="n">
        <x:f>ROUND(I106*'Costing'!$C$4,2)</x:f>
        <x:v>28800</x:v>
      </x:c>
      <x:c r="K106" s="17" t="n">
        <x:f>I106+J106</x:f>
        <x:v>188800</x:v>
      </x:c>
    </x:row>
    <x:row r="107" ht="46" customHeight="1">
      <x:c r="A107" s="2" t="str">
        <x:v>Indicative size</x:v>
      </x:c>
      <x:c r="B107" s="2" t="str">
        <x:v>Small-scale prospects</x:v>
      </x:c>
      <x:c r="C107" s="12" t="str">
        <x:v>Chennai</x:v>
      </x:c>
      <x:c r="D107" s="12" t="str">
        <x:v>MAIN-148</x:v>
      </x:c>
      <x:c r="E107" s="12" t="str">
        <x:v>Kochar Globe Tech Park</x:v>
      </x:c>
      <x:c r="F107" s="11" t="n">
        <x:v>4</x:v>
      </x:c>
      <x:c r="G107" s="11" t="n">
        <x:v>4</x:v>
      </x:c>
      <x:c r="H107" s="11" t="n">
        <x:v>0</x:v>
      </x:c>
      <x:c r="I107" s="17" t="n">
        <x:f>INDEX('Costing'!$P$9:$P$492,MATCH(D107,'Costing'!$A$9:$A$492,0))</x:f>
        <x:v>80000</x:v>
      </x:c>
      <x:c r="J107" s="17" t="n">
        <x:f>ROUND(I107*'Costing'!$C$4,2)</x:f>
        <x:v>14400</x:v>
      </x:c>
      <x:c r="K107" s="17" t="n">
        <x:f>I107+J107</x:f>
        <x:v>94400</x:v>
      </x:c>
    </x:row>
    <x:row r="108" ht="46" customHeight="1">
      <x:c r="A108" s="2" t="str">
        <x:v>Indicative size</x:v>
      </x:c>
      <x:c r="B108" s="2" t="str">
        <x:v>Small-scale prospects</x:v>
      </x:c>
      <x:c r="C108" s="12" t="str">
        <x:v>Chennai</x:v>
      </x:c>
      <x:c r="D108" s="12" t="str">
        <x:v>MAIN-149</x:v>
      </x:c>
      <x:c r="E108" s="12" t="str">
        <x:v>Kochar Globe Tech Park (Pod Screens)</x:v>
      </x:c>
      <x:c r="F108" s="11" t="n">
        <x:v>2</x:v>
      </x:c>
      <x:c r="G108" s="11" t="n">
        <x:v>2</x:v>
      </x:c>
      <x:c r="H108" s="11" t="n">
        <x:v>0</x:v>
      </x:c>
      <x:c r="I108" s="17" t="n">
        <x:f>INDEX('Costing'!$P$9:$P$492,MATCH(D108,'Costing'!$A$9:$A$492,0))</x:f>
        <x:v>40000</x:v>
      </x:c>
      <x:c r="J108" s="17" t="n">
        <x:f>ROUND(I108*'Costing'!$C$4,2)</x:f>
        <x:v>7200</x:v>
      </x:c>
      <x:c r="K108" s="17" t="n">
        <x:f>I108+J108</x:f>
        <x:v>47200</x:v>
      </x:c>
    </x:row>
    <x:row r="109" ht="46" customHeight="1">
      <x:c r="A109" s="2" t="str">
        <x:v>Indicative size</x:v>
      </x:c>
      <x:c r="B109" s="2" t="str">
        <x:v>Small-scale prospects</x:v>
      </x:c>
      <x:c r="C109" s="12" t="str">
        <x:v>Chennai</x:v>
      </x:c>
      <x:c r="D109" s="12" t="str">
        <x:v>MAIN-150</x:v>
      </x:c>
      <x:c r="E109" s="12" t="str">
        <x:v>Millenia Business Park 2</x:v>
      </x:c>
      <x:c r="F109" s="11" t="n">
        <x:v>2</x:v>
      </x:c>
      <x:c r="G109" s="11" t="n">
        <x:v>2</x:v>
      </x:c>
      <x:c r="H109" s="11" t="n">
        <x:v>0</x:v>
      </x:c>
      <x:c r="I109" s="17" t="n">
        <x:f>INDEX('Costing'!$P$9:$P$492,MATCH(D109,'Costing'!$A$9:$A$492,0))</x:f>
        <x:v>40000</x:v>
      </x:c>
      <x:c r="J109" s="17" t="n">
        <x:f>ROUND(I109*'Costing'!$C$4,2)</x:f>
        <x:v>7200</x:v>
      </x:c>
      <x:c r="K109" s="17" t="n">
        <x:f>I109+J109</x:f>
        <x:v>47200</x:v>
      </x:c>
    </x:row>
    <x:row r="110" ht="46" customHeight="1">
      <x:c r="A110" s="2" t="str">
        <x:v>Indicative size</x:v>
      </x:c>
      <x:c r="B110" s="2" t="str">
        <x:v>Small-scale prospects</x:v>
      </x:c>
      <x:c r="C110" s="12" t="str">
        <x:v>Chennai</x:v>
      </x:c>
      <x:c r="D110" s="12" t="str">
        <x:v>MAIN-151</x:v>
      </x:c>
      <x:c r="E110" s="12" t="str">
        <x:v>Nucleus - Kosmo One</x:v>
      </x:c>
      <x:c r="F110" s="11" t="n">
        <x:v>4</x:v>
      </x:c>
      <x:c r="G110" s="11" t="n">
        <x:v>4</x:v>
      </x:c>
      <x:c r="H110" s="11" t="n">
        <x:v>0</x:v>
      </x:c>
      <x:c r="I110" s="17" t="n">
        <x:f>INDEX('Costing'!$P$9:$P$492,MATCH(D110,'Costing'!$A$9:$A$492,0))</x:f>
        <x:v>160000</x:v>
      </x:c>
      <x:c r="J110" s="17" t="n">
        <x:f>ROUND(I110*'Costing'!$C$4,2)</x:f>
        <x:v>28800</x:v>
      </x:c>
      <x:c r="K110" s="17" t="n">
        <x:f>I110+J110</x:f>
        <x:v>188800</x:v>
      </x:c>
    </x:row>
    <x:row r="111" ht="46" customHeight="1">
      <x:c r="A111" s="2" t="str">
        <x:v>Indicative size</x:v>
      </x:c>
      <x:c r="B111" s="2" t="str">
        <x:v>Small-scale prospects</x:v>
      </x:c>
      <x:c r="C111" s="12" t="str">
        <x:v>Chennai</x:v>
      </x:c>
      <x:c r="D111" s="12" t="str">
        <x:v>MAIN-152</x:v>
      </x:c>
      <x:c r="E111" s="12" t="str">
        <x:v>Olympia Cyberspace</x:v>
      </x:c>
      <x:c r="F111" s="11" t="n">
        <x:v>2</x:v>
      </x:c>
      <x:c r="G111" s="11" t="n">
        <x:v>2</x:v>
      </x:c>
      <x:c r="H111" s="11" t="n">
        <x:v>0</x:v>
      </x:c>
      <x:c r="I111" s="17" t="n">
        <x:f>INDEX('Costing'!$P$9:$P$492,MATCH(D111,'Costing'!$A$9:$A$492,0))</x:f>
        <x:v>40000</x:v>
      </x:c>
      <x:c r="J111" s="17" t="n">
        <x:f>ROUND(I111*'Costing'!$C$4,2)</x:f>
        <x:v>7200</x:v>
      </x:c>
      <x:c r="K111" s="17" t="n">
        <x:f>I111+J111</x:f>
        <x:v>47200</x:v>
      </x:c>
    </x:row>
    <x:row r="112" ht="46" customHeight="1">
      <x:c r="A112" s="2" t="str">
        <x:v>Indicative size</x:v>
      </x:c>
      <x:c r="B112" s="2" t="str">
        <x:v>Small-scale prospects</x:v>
      </x:c>
      <x:c r="C112" s="12" t="str">
        <x:v>Chennai</x:v>
      </x:c>
      <x:c r="D112" s="12" t="str">
        <x:v>MAIN-153</x:v>
      </x:c>
      <x:c r="E112" s="12" t="str">
        <x:v>Olympia National Tower</x:v>
      </x:c>
      <x:c r="F112" s="11" t="n">
        <x:v>4</x:v>
      </x:c>
      <x:c r="G112" s="11" t="n">
        <x:v>4</x:v>
      </x:c>
      <x:c r="H112" s="11" t="n">
        <x:v>0</x:v>
      </x:c>
      <x:c r="I112" s="17" t="n">
        <x:f>INDEX('Costing'!$P$9:$P$492,MATCH(D112,'Costing'!$A$9:$A$492,0))</x:f>
        <x:v>80000</x:v>
      </x:c>
      <x:c r="J112" s="17" t="n">
        <x:f>ROUND(I112*'Costing'!$C$4,2)</x:f>
        <x:v>14400</x:v>
      </x:c>
      <x:c r="K112" s="17" t="n">
        <x:f>I112+J112</x:f>
        <x:v>94400</x:v>
      </x:c>
    </x:row>
    <x:row r="113" ht="46" customHeight="1">
      <x:c r="A113" s="2" t="str">
        <x:v>Indicative size</x:v>
      </x:c>
      <x:c r="B113" s="2" t="str">
        <x:v>Small-scale prospects</x:v>
      </x:c>
      <x:c r="C113" s="12" t="str">
        <x:v>Chennai</x:v>
      </x:c>
      <x:c r="D113" s="12" t="str">
        <x:v>MAIN-154</x:v>
      </x:c>
      <x:c r="E113" s="12" t="str">
        <x:v>Olympia National Tower (Pod Screens)</x:v>
      </x:c>
      <x:c r="F113" s="11" t="n">
        <x:v>2</x:v>
      </x:c>
      <x:c r="G113" s="11" t="n">
        <x:v>2</x:v>
      </x:c>
      <x:c r="H113" s="11" t="n">
        <x:v>0</x:v>
      </x:c>
      <x:c r="I113" s="17" t="n">
        <x:f>INDEX('Costing'!$P$9:$P$492,MATCH(D113,'Costing'!$A$9:$A$492,0))</x:f>
        <x:v>40000</x:v>
      </x:c>
      <x:c r="J113" s="17" t="n">
        <x:f>ROUND(I113*'Costing'!$C$4,2)</x:f>
        <x:v>7200</x:v>
      </x:c>
      <x:c r="K113" s="17" t="n">
        <x:f>I113+J113</x:f>
        <x:v>47200</x:v>
      </x:c>
    </x:row>
    <x:row r="114" ht="46" customHeight="1">
      <x:c r="A114" s="2" t="str">
        <x:v>Indicative size</x:v>
      </x:c>
      <x:c r="B114" s="2" t="str">
        <x:v>Small-scale prospects</x:v>
      </x:c>
      <x:c r="C114" s="12" t="str">
        <x:v>Chennai</x:v>
      </x:c>
      <x:c r="D114" s="12" t="str">
        <x:v>MAIN-155</x:v>
      </x:c>
      <x:c r="E114" s="12" t="str">
        <x:v>Olympia Pinnacle Technology Park</x:v>
      </x:c>
      <x:c r="F114" s="11" t="n">
        <x:v>1</x:v>
      </x:c>
      <x:c r="G114" s="11" t="n">
        <x:v>1</x:v>
      </x:c>
      <x:c r="H114" s="11" t="n">
        <x:v>0</x:v>
      </x:c>
      <x:c r="I114" s="17" t="n">
        <x:f>INDEX('Costing'!$P$9:$P$492,MATCH(D114,'Costing'!$A$9:$A$492,0))</x:f>
        <x:v>20000</x:v>
      </x:c>
      <x:c r="J114" s="17" t="n">
        <x:f>ROUND(I114*'Costing'!$C$4,2)</x:f>
        <x:v>3600</x:v>
      </x:c>
      <x:c r="K114" s="17" t="n">
        <x:f>I114+J114</x:f>
        <x:v>23600</x:v>
      </x:c>
    </x:row>
    <x:row r="115" ht="46" customHeight="1">
      <x:c r="A115" s="2" t="str">
        <x:v>Indicative size</x:v>
      </x:c>
      <x:c r="B115" s="2" t="str">
        <x:v>Small-scale prospects</x:v>
      </x:c>
      <x:c r="C115" s="12" t="str">
        <x:v>Chennai</x:v>
      </x:c>
      <x:c r="D115" s="12" t="str">
        <x:v>MAIN-156</x:v>
      </x:c>
      <x:c r="E115" s="12" t="str">
        <x:v>Prestige Polygon IT Park</x:v>
      </x:c>
      <x:c r="F115" s="11" t="n">
        <x:v>1</x:v>
      </x:c>
      <x:c r="G115" s="11" t="n">
        <x:v>1</x:v>
      </x:c>
      <x:c r="H115" s="11" t="n">
        <x:v>0</x:v>
      </x:c>
      <x:c r="I115" s="17" t="n">
        <x:f>INDEX('Costing'!$P$9:$P$492,MATCH(D115,'Costing'!$A$9:$A$492,0))</x:f>
        <x:v>20000</x:v>
      </x:c>
      <x:c r="J115" s="17" t="n">
        <x:f>ROUND(I115*'Costing'!$C$4,2)</x:f>
        <x:v>3600</x:v>
      </x:c>
      <x:c r="K115" s="17" t="n">
        <x:f>I115+J115</x:f>
        <x:v>23600</x:v>
      </x:c>
    </x:row>
    <x:row r="116" ht="46" customHeight="1">
      <x:c r="A116" s="2" t="str">
        <x:v>Indicative size</x:v>
      </x:c>
      <x:c r="B116" s="2" t="str">
        <x:v>Small-scale prospects</x:v>
      </x:c>
      <x:c r="C116" s="12" t="str">
        <x:v>Chennai</x:v>
      </x:c>
      <x:c r="D116" s="12" t="str">
        <x:v>MAIN-157</x:v>
      </x:c>
      <x:c r="E116" s="12" t="str">
        <x:v>Prestige Polygon Tech Park (Pod Screens)</x:v>
      </x:c>
      <x:c r="F116" s="11" t="n">
        <x:v>3</x:v>
      </x:c>
      <x:c r="G116" s="11" t="n">
        <x:v>3</x:v>
      </x:c>
      <x:c r="H116" s="11" t="n">
        <x:v>0</x:v>
      </x:c>
      <x:c r="I116" s="17" t="n">
        <x:f>INDEX('Costing'!$P$9:$P$492,MATCH(D116,'Costing'!$A$9:$A$492,0))</x:f>
        <x:v>97500</x:v>
      </x:c>
      <x:c r="J116" s="17" t="n">
        <x:f>ROUND(I116*'Costing'!$C$4,2)</x:f>
        <x:v>17550</x:v>
      </x:c>
      <x:c r="K116" s="17" t="n">
        <x:f>I116+J116</x:f>
        <x:v>115050</x:v>
      </x:c>
    </x:row>
    <x:row r="117" ht="46" customHeight="1">
      <x:c r="A117" s="2" t="str">
        <x:v>Indicative size</x:v>
      </x:c>
      <x:c r="B117" s="2" t="str">
        <x:v>Small-scale prospects</x:v>
      </x:c>
      <x:c r="C117" s="12" t="str">
        <x:v>Chennai</x:v>
      </x:c>
      <x:c r="D117" s="12" t="str">
        <x:v>MAIN-159</x:v>
      </x:c>
      <x:c r="E117" s="12" t="str">
        <x:v>Wingspace - Coworking Space IN Perungudi</x:v>
      </x:c>
      <x:c r="F117" s="11" t="n">
        <x:v>1</x:v>
      </x:c>
      <x:c r="G117" s="11" t="n">
        <x:v>1</x:v>
      </x:c>
      <x:c r="H117" s="11" t="n">
        <x:v>0</x:v>
      </x:c>
      <x:c r="I117" s="17" t="n">
        <x:f>INDEX('Costing'!$P$9:$P$492,MATCH(D117,'Costing'!$A$9:$A$492,0))</x:f>
        <x:v>15000</x:v>
      </x:c>
      <x:c r="J117" s="17" t="n">
        <x:f>ROUND(I117*'Costing'!$C$4,2)</x:f>
        <x:v>2700</x:v>
      </x:c>
      <x:c r="K117" s="17" t="n">
        <x:f>I117+J117</x:f>
        <x:v>17700</x:v>
      </x:c>
    </x:row>
    <x:row r="118" ht="46" customHeight="1">
      <x:c r="A118" s="2" t="str">
        <x:v>Indicative size</x:v>
      </x:c>
      <x:c r="B118" s="2" t="str">
        <x:v>Small-scale prospects</x:v>
      </x:c>
      <x:c r="C118" s="12" t="str">
        <x:v>Chennai</x:v>
      </x:c>
      <x:c r="D118" s="12" t="str">
        <x:v>MAIN-160</x:v>
      </x:c>
      <x:c r="E118" s="12" t="str">
        <x:v>Workflo by Oyo - Innov8 Millenia</x:v>
      </x:c>
      <x:c r="F118" s="11" t="n">
        <x:v>1</x:v>
      </x:c>
      <x:c r="G118" s="11" t="n">
        <x:v>1</x:v>
      </x:c>
      <x:c r="H118" s="11" t="n">
        <x:v>0</x:v>
      </x:c>
      <x:c r="I118" s="17" t="n">
        <x:f>INDEX('Costing'!$P$9:$P$492,MATCH(D118,'Costing'!$A$9:$A$492,0))</x:f>
        <x:v>15000</x:v>
      </x:c>
      <x:c r="J118" s="17" t="n">
        <x:f>ROUND(I118*'Costing'!$C$4,2)</x:f>
        <x:v>2700</x:v>
      </x:c>
      <x:c r="K118" s="17" t="n">
        <x:f>I118+J118</x:f>
        <x:v>17700</x:v>
      </x:c>
    </x:row>
    <x:row r="119" ht="46" customHeight="1">
      <x:c r="A119" s="2" t="str">
        <x:v>Indicative size</x:v>
      </x:c>
      <x:c r="B119" s="2" t="str">
        <x:v>Small-scale prospects</x:v>
      </x:c>
      <x:c r="C119" s="12" t="str">
        <x:v>Chennai</x:v>
      </x:c>
      <x:c r="D119" s="12" t="str">
        <x:v>MAIN-161</x:v>
      </x:c>
      <x:c r="E119" s="12" t="str">
        <x:v>Workflow by Oyo - Guindy</x:v>
      </x:c>
      <x:c r="F119" s="11" t="n">
        <x:v>1</x:v>
      </x:c>
      <x:c r="G119" s="11" t="n">
        <x:v>1</x:v>
      </x:c>
      <x:c r="H119" s="11" t="n">
        <x:v>0</x:v>
      </x:c>
      <x:c r="I119" s="17" t="n">
        <x:f>INDEX('Costing'!$P$9:$P$492,MATCH(D119,'Costing'!$A$9:$A$492,0))</x:f>
        <x:v>15000</x:v>
      </x:c>
      <x:c r="J119" s="17" t="n">
        <x:f>ROUND(I119*'Costing'!$C$4,2)</x:f>
        <x:v>2700</x:v>
      </x:c>
      <x:c r="K119" s="17" t="n">
        <x:f>I119+J119</x:f>
        <x:v>17700</x:v>
      </x:c>
    </x:row>
    <x:row r="120" ht="46" customHeight="1">
      <x:c r="A120" s="2" t="str">
        <x:v>Indicative size</x:v>
      </x:c>
      <x:c r="B120" s="2" t="str">
        <x:v>Small-scale prospects</x:v>
      </x:c>
      <x:c r="C120" s="12" t="str">
        <x:v>Delhi NCR</x:v>
      </x:c>
      <x:c r="D120" s="12" t="str">
        <x:v>MAIN-367</x:v>
      </x:c>
      <x:c r="E120" s="12" t="str">
        <x:v>Awfis - Majestic Signia</x:v>
      </x:c>
      <x:c r="F120" s="11" t="n">
        <x:v>2</x:v>
      </x:c>
      <x:c r="G120" s="11" t="n">
        <x:v>2</x:v>
      </x:c>
      <x:c r="H120" s="11" t="n">
        <x:v>0</x:v>
      </x:c>
      <x:c r="I120" s="17" t="n">
        <x:f>INDEX('Costing'!$P$9:$P$492,MATCH(D120,'Costing'!$A$9:$A$492,0))</x:f>
        <x:v>30000</x:v>
      </x:c>
      <x:c r="J120" s="17" t="n">
        <x:f>ROUND(I120*'Costing'!$C$4,2)</x:f>
        <x:v>5400</x:v>
      </x:c>
      <x:c r="K120" s="17" t="n">
        <x:f>I120+J120</x:f>
        <x:v>35400</x:v>
      </x:c>
    </x:row>
    <x:row r="121" ht="46" customHeight="1">
      <x:c r="A121" s="2" t="str">
        <x:v>Indicative size</x:v>
      </x:c>
      <x:c r="B121" s="2" t="str">
        <x:v>Small-scale prospects</x:v>
      </x:c>
      <x:c r="C121" s="12" t="str">
        <x:v>Delhi NCR</x:v>
      </x:c>
      <x:c r="D121" s="12" t="str">
        <x:v>MAIN-163</x:v>
      </x:c>
      <x:c r="E121" s="12" t="str">
        <x:v>Awfis - Mohan Cooperative</x:v>
      </x:c>
      <x:c r="F121" s="11" t="n">
        <x:v>3</x:v>
      </x:c>
      <x:c r="G121" s="11" t="n">
        <x:v>3</x:v>
      </x:c>
      <x:c r="H121" s="11" t="n">
        <x:v>0</x:v>
      </x:c>
      <x:c r="I121" s="17" t="n">
        <x:f>INDEX('Costing'!$P$9:$P$492,MATCH(D121,'Costing'!$A$9:$A$492,0))</x:f>
        <x:v>45000</x:v>
      </x:c>
      <x:c r="J121" s="17" t="n">
        <x:f>ROUND(I121*'Costing'!$C$4,2)</x:f>
        <x:v>8100</x:v>
      </x:c>
      <x:c r="K121" s="17" t="n">
        <x:f>I121+J121</x:f>
        <x:v>53100</x:v>
      </x:c>
    </x:row>
    <x:row r="122" ht="46" customHeight="1">
      <x:c r="A122" s="2" t="str">
        <x:v>Indicative size</x:v>
      </x:c>
      <x:c r="B122" s="2" t="str">
        <x:v>Small-scale prospects</x:v>
      </x:c>
      <x:c r="C122" s="12" t="str">
        <x:v>Delhi NCR</x:v>
      </x:c>
      <x:c r="D122" s="12" t="str">
        <x:v>MAIN-164</x:v>
      </x:c>
      <x:c r="E122" s="12" t="str">
        <x:v>Awfis - Mohan Cooperative 2</x:v>
      </x:c>
      <x:c r="F122" s="11" t="n">
        <x:v>1</x:v>
      </x:c>
      <x:c r="G122" s="11" t="n">
        <x:v>1</x:v>
      </x:c>
      <x:c r="H122" s="11" t="n">
        <x:v>0</x:v>
      </x:c>
      <x:c r="I122" s="17" t="n">
        <x:f>INDEX('Costing'!$P$9:$P$492,MATCH(D122,'Costing'!$A$9:$A$492,0))</x:f>
        <x:v>15000</x:v>
      </x:c>
      <x:c r="J122" s="17" t="n">
        <x:f>ROUND(I122*'Costing'!$C$4,2)</x:f>
        <x:v>2700</x:v>
      </x:c>
      <x:c r="K122" s="17" t="n">
        <x:f>I122+J122</x:f>
        <x:v>17700</x:v>
      </x:c>
    </x:row>
    <x:row r="123" ht="46" customHeight="1">
      <x:c r="A123" s="2" t="str">
        <x:v>Indicative size</x:v>
      </x:c>
      <x:c r="B123" s="2" t="str">
        <x:v>Small-scale prospects</x:v>
      </x:c>
      <x:c r="C123" s="12" t="str">
        <x:v>Delhi NCR</x:v>
      </x:c>
      <x:c r="D123" s="12" t="str">
        <x:v>MAIN-180</x:v>
      </x:c>
      <x:c r="E123" s="12" t="str">
        <x:v>Awfis - Paras Trinity</x:v>
      </x:c>
      <x:c r="F123" s="11" t="n">
        <x:v>3</x:v>
      </x:c>
      <x:c r="G123" s="11" t="n">
        <x:v>3</x:v>
      </x:c>
      <x:c r="H123" s="11" t="n">
        <x:v>0</x:v>
      </x:c>
      <x:c r="I123" s="17" t="n">
        <x:f>INDEX('Costing'!$P$9:$P$492,MATCH(D123,'Costing'!$A$9:$A$492,0))</x:f>
        <x:v>45000</x:v>
      </x:c>
      <x:c r="J123" s="17" t="n">
        <x:f>ROUND(I123*'Costing'!$C$4,2)</x:f>
        <x:v>8100</x:v>
      </x:c>
      <x:c r="K123" s="17" t="n">
        <x:f>I123+J123</x:f>
        <x:v>53100</x:v>
      </x:c>
    </x:row>
    <x:row r="124" ht="46" customHeight="1">
      <x:c r="A124" s="2" t="str">
        <x:v>Indicative size</x:v>
      </x:c>
      <x:c r="B124" s="2" t="str">
        <x:v>Small-scale prospects</x:v>
      </x:c>
      <x:c r="C124" s="12" t="str">
        <x:v>Delhi NCR</x:v>
      </x:c>
      <x:c r="D124" s="12" t="str">
        <x:v>MAIN-181</x:v>
      </x:c>
      <x:c r="E124" s="12" t="str">
        <x:v>Awfis - Suncity Success Tower</x:v>
      </x:c>
      <x:c r="F124" s="11" t="n">
        <x:v>2</x:v>
      </x:c>
      <x:c r="G124" s="11" t="n">
        <x:v>2</x:v>
      </x:c>
      <x:c r="H124" s="11" t="n">
        <x:v>0</x:v>
      </x:c>
      <x:c r="I124" s="17" t="n">
        <x:f>INDEX('Costing'!$P$9:$P$492,MATCH(D124,'Costing'!$A$9:$A$492,0))</x:f>
        <x:v>30000</x:v>
      </x:c>
      <x:c r="J124" s="17" t="n">
        <x:f>ROUND(I124*'Costing'!$C$4,2)</x:f>
        <x:v>5400</x:v>
      </x:c>
      <x:c r="K124" s="17" t="n">
        <x:f>I124+J124</x:f>
        <x:v>35400</x:v>
      </x:c>
    </x:row>
    <x:row r="125" ht="46" customHeight="1">
      <x:c r="A125" s="2" t="str">
        <x:v>Indicative size</x:v>
      </x:c>
      <x:c r="B125" s="2" t="str">
        <x:v>Small-scale prospects</x:v>
      </x:c>
      <x:c r="C125" s="12" t="str">
        <x:v>Delhi NCR</x:v>
      </x:c>
      <x:c r="D125" s="12" t="str">
        <x:v>MAIN-182</x:v>
      </x:c>
      <x:c r="E125" s="12" t="str">
        <x:v>Awfis - Unitech Cyber Park - 2</x:v>
      </x:c>
      <x:c r="F125" s="11" t="n">
        <x:v>2</x:v>
      </x:c>
      <x:c r="G125" s="11" t="n">
        <x:v>2</x:v>
      </x:c>
      <x:c r="H125" s="11" t="n">
        <x:v>0</x:v>
      </x:c>
      <x:c r="I125" s="17" t="n">
        <x:f>INDEX('Costing'!$P$9:$P$492,MATCH(D125,'Costing'!$A$9:$A$492,0))</x:f>
        <x:v>30000</x:v>
      </x:c>
      <x:c r="J125" s="17" t="n">
        <x:f>ROUND(I125*'Costing'!$C$4,2)</x:f>
        <x:v>5400</x:v>
      </x:c>
      <x:c r="K125" s="17" t="n">
        <x:f>I125+J125</x:f>
        <x:v>35400</x:v>
      </x:c>
    </x:row>
    <x:row r="126" ht="46" customHeight="1">
      <x:c r="A126" s="2" t="str">
        <x:v>Indicative size</x:v>
      </x:c>
      <x:c r="B126" s="2" t="str">
        <x:v>Small-scale prospects</x:v>
      </x:c>
      <x:c r="C126" s="12" t="str">
        <x:v>Delhi NCR</x:v>
      </x:c>
      <x:c r="D126" s="12" t="str">
        <x:v>MAIN-183</x:v>
      </x:c>
      <x:c r="E126" s="12" t="str">
        <x:v>Centrum Plaza</x:v>
      </x:c>
      <x:c r="F126" s="11" t="n">
        <x:v>1</x:v>
      </x:c>
      <x:c r="G126" s="11" t="n">
        <x:v>1</x:v>
      </x:c>
      <x:c r="H126" s="11" t="n">
        <x:v>0</x:v>
      </x:c>
      <x:c r="I126" s="17" t="n">
        <x:f>INDEX('Costing'!$P$9:$P$492,MATCH(D126,'Costing'!$A$9:$A$492,0))</x:f>
        <x:v>15000</x:v>
      </x:c>
      <x:c r="J126" s="17" t="n">
        <x:f>ROUND(I126*'Costing'!$C$4,2)</x:f>
        <x:v>2700</x:v>
      </x:c>
      <x:c r="K126" s="17" t="n">
        <x:f>I126+J126</x:f>
        <x:v>17700</x:v>
      </x:c>
    </x:row>
    <x:row r="127" ht="46" customHeight="1">
      <x:c r="A127" s="2" t="str">
        <x:v>Indicative size</x:v>
      </x:c>
      <x:c r="B127" s="2" t="str">
        <x:v>Small-scale prospects</x:v>
      </x:c>
      <x:c r="C127" s="12" t="str">
        <x:v>Delhi NCR</x:v>
      </x:c>
      <x:c r="D127" s="12" t="str">
        <x:v>MAIN-184</x:v>
      </x:c>
      <x:c r="E127" s="12" t="str">
        <x:v>Centrum Plaza</x:v>
      </x:c>
      <x:c r="F127" s="11" t="n">
        <x:v>3</x:v>
      </x:c>
      <x:c r="G127" s="11" t="n">
        <x:v>3</x:v>
      </x:c>
      <x:c r="H127" s="11" t="n">
        <x:v>0</x:v>
      </x:c>
      <x:c r="I127" s="17" t="n">
        <x:f>INDEX('Costing'!$P$9:$P$492,MATCH(D127,'Costing'!$A$9:$A$492,0))</x:f>
        <x:v>60000</x:v>
      </x:c>
      <x:c r="J127" s="17" t="n">
        <x:f>ROUND(I127*'Costing'!$C$4,2)</x:f>
        <x:v>10800</x:v>
      </x:c>
      <x:c r="K127" s="17" t="n">
        <x:f>I127+J127</x:f>
        <x:v>70800</x:v>
      </x:c>
    </x:row>
    <x:row r="128" ht="46" customHeight="1">
      <x:c r="A128" s="2" t="str">
        <x:v>Indicative size</x:v>
      </x:c>
      <x:c r="B128" s="2" t="str">
        <x:v>Small-scale prospects</x:v>
      </x:c>
      <x:c r="C128" s="12" t="str">
        <x:v>Delhi NCR</x:v>
      </x:c>
      <x:c r="D128" s="12" t="str">
        <x:v>MAIN-166</x:v>
      </x:c>
      <x:c r="E128" s="12" t="str">
        <x:v>Corporate Park</x:v>
      </x:c>
      <x:c r="F128" s="11" t="n">
        <x:v>2</x:v>
      </x:c>
      <x:c r="G128" s="11" t="n">
        <x:v>2</x:v>
      </x:c>
      <x:c r="H128" s="11" t="n">
        <x:v>0</x:v>
      </x:c>
      <x:c r="I128" s="17" t="n">
        <x:f>INDEX('Costing'!$P$9:$P$492,MATCH(D128,'Costing'!$A$9:$A$492,0))</x:f>
        <x:v>40000</x:v>
      </x:c>
      <x:c r="J128" s="17" t="n">
        <x:f>ROUND(I128*'Costing'!$C$4,2)</x:f>
        <x:v>7200</x:v>
      </x:c>
      <x:c r="K128" s="17" t="n">
        <x:f>I128+J128</x:f>
        <x:v>47200</x:v>
      </x:c>
    </x:row>
    <x:row r="129" ht="46" customHeight="1">
      <x:c r="A129" s="2" t="str">
        <x:v>Indicative size</x:v>
      </x:c>
      <x:c r="B129" s="2" t="str">
        <x:v>Small-scale prospects</x:v>
      </x:c>
      <x:c r="C129" s="12" t="str">
        <x:v>Delhi NCR</x:v>
      </x:c>
      <x:c r="D129" s="12" t="str">
        <x:v>MAIN-167</x:v>
      </x:c>
      <x:c r="E129" s="12" t="str">
        <x:v>Emaar Colonnade</x:v>
      </x:c>
      <x:c r="F129" s="11" t="n">
        <x:v>5</x:v>
      </x:c>
      <x:c r="G129" s="11" t="n">
        <x:v>5</x:v>
      </x:c>
      <x:c r="H129" s="11" t="n">
        <x:v>0</x:v>
      </x:c>
      <x:c r="I129" s="17" t="n">
        <x:f>INDEX('Costing'!$P$9:$P$492,MATCH(D129,'Costing'!$A$9:$A$492,0))</x:f>
        <x:v>200000</x:v>
      </x:c>
      <x:c r="J129" s="17" t="n">
        <x:f>ROUND(I129*'Costing'!$C$4,2)</x:f>
        <x:v>36000</x:v>
      </x:c>
      <x:c r="K129" s="17" t="n">
        <x:f>I129+J129</x:f>
        <x:v>236000</x:v>
      </x:c>
    </x:row>
    <x:row r="130" ht="46" customHeight="1">
      <x:c r="A130" s="2" t="str">
        <x:v>Indicative size</x:v>
      </x:c>
      <x:c r="B130" s="2" t="str">
        <x:v>Small-scale prospects</x:v>
      </x:c>
      <x:c r="C130" s="12" t="str">
        <x:v>Delhi NCR</x:v>
      </x:c>
      <x:c r="D130" s="12" t="str">
        <x:v>MAIN-191</x:v>
      </x:c>
      <x:c r="E130" s="12" t="str">
        <x:v>ILD Trade Centre</x:v>
      </x:c>
      <x:c r="F130" s="11" t="n">
        <x:v>1</x:v>
      </x:c>
      <x:c r="G130" s="11" t="n">
        <x:v>1</x:v>
      </x:c>
      <x:c r="H130" s="11" t="n">
        <x:v>0</x:v>
      </x:c>
      <x:c r="I130" s="17" t="n">
        <x:f>INDEX('Costing'!$P$9:$P$492,MATCH(D130,'Costing'!$A$9:$A$492,0))</x:f>
        <x:v>40000</x:v>
      </x:c>
      <x:c r="J130" s="17" t="n">
        <x:f>ROUND(I130*'Costing'!$C$4,2)</x:f>
        <x:v>7200</x:v>
      </x:c>
      <x:c r="K130" s="17" t="n">
        <x:f>I130+J130</x:f>
        <x:v>47200</x:v>
      </x:c>
    </x:row>
    <x:row r="131" ht="46" customHeight="1">
      <x:c r="A131" s="2" t="str">
        <x:v>Indicative size</x:v>
      </x:c>
      <x:c r="B131" s="2" t="str">
        <x:v>Small-scale prospects</x:v>
      </x:c>
      <x:c r="C131" s="12" t="str">
        <x:v>Delhi NCR</x:v>
      </x:c>
      <x:c r="D131" s="12" t="str">
        <x:v>MAIN-168</x:v>
      </x:c>
      <x:c r="E131" s="12" t="str">
        <x:v>India Accelerator Coworking - BPTP Centra One</x:v>
      </x:c>
      <x:c r="F131" s="11" t="n">
        <x:v>5</x:v>
      </x:c>
      <x:c r="G131" s="11" t="n">
        <x:v>5</x:v>
      </x:c>
      <x:c r="H131" s="11" t="n">
        <x:v>0</x:v>
      </x:c>
      <x:c r="I131" s="17" t="n">
        <x:f>INDEX('Costing'!$P$9:$P$492,MATCH(D131,'Costing'!$A$9:$A$492,0))</x:f>
        <x:v>200000</x:v>
      </x:c>
      <x:c r="J131" s="17" t="n">
        <x:f>ROUND(I131*'Costing'!$C$4,2)</x:f>
        <x:v>36000</x:v>
      </x:c>
      <x:c r="K131" s="17" t="n">
        <x:f>I131+J131</x:f>
        <x:v>236000</x:v>
      </x:c>
    </x:row>
    <x:row r="132" ht="46" customHeight="1">
      <x:c r="A132" s="2" t="str">
        <x:v>Indicative size</x:v>
      </x:c>
      <x:c r="B132" s="2" t="str">
        <x:v>Small-scale prospects</x:v>
      </x:c>
      <x:c r="C132" s="12" t="str">
        <x:v>Delhi NCR</x:v>
      </x:c>
      <x:c r="D132" s="12" t="str">
        <x:v>MAIN-194</x:v>
      </x:c>
      <x:c r="E132" s="12" t="str">
        <x:v>India Accelerator Coworking - MGF Metropolis Mall</x:v>
      </x:c>
      <x:c r="F132" s="11" t="n">
        <x:v>6</x:v>
      </x:c>
      <x:c r="G132" s="11" t="n">
        <x:v>6</x:v>
      </x:c>
      <x:c r="H132" s="11" t="n">
        <x:v>0</x:v>
      </x:c>
      <x:c r="I132" s="17" t="n">
        <x:f>INDEX('Costing'!$P$9:$P$492,MATCH(D132,'Costing'!$A$9:$A$492,0))</x:f>
        <x:v>240000</x:v>
      </x:c>
      <x:c r="J132" s="17" t="n">
        <x:f>ROUND(I132*'Costing'!$C$4,2)</x:f>
        <x:v>43200</x:v>
      </x:c>
      <x:c r="K132" s="17" t="n">
        <x:f>I132+J132</x:f>
        <x:v>283200</x:v>
      </x:c>
    </x:row>
    <x:row r="133" ht="46" customHeight="1">
      <x:c r="A133" s="2" t="str">
        <x:v>Indicative size</x:v>
      </x:c>
      <x:c r="B133" s="2" t="str">
        <x:v>Small-scale prospects</x:v>
      </x:c>
      <x:c r="C133" s="12" t="str">
        <x:v>Delhi NCR</x:v>
      </x:c>
      <x:c r="D133" s="12" t="str">
        <x:v>MAIN-373</x:v>
      </x:c>
      <x:c r="E133" s="12" t="str">
        <x:v>India Accelerator Coworking - The Iconic Corenthum</x:v>
      </x:c>
      <x:c r="F133" s="11" t="n">
        <x:v>6</x:v>
      </x:c>
      <x:c r="G133" s="11" t="n">
        <x:v>6</x:v>
      </x:c>
      <x:c r="H133" s="11" t="n">
        <x:v>0</x:v>
      </x:c>
      <x:c r="I133" s="17" t="n">
        <x:f>INDEX('Costing'!$P$9:$P$492,MATCH(D133,'Costing'!$A$9:$A$492,0))</x:f>
        <x:v>240000</x:v>
      </x:c>
      <x:c r="J133" s="17" t="n">
        <x:f>ROUND(I133*'Costing'!$C$4,2)</x:f>
        <x:v>43200</x:v>
      </x:c>
      <x:c r="K133" s="17" t="n">
        <x:f>I133+J133</x:f>
        <x:v>283200</x:v>
      </x:c>
    </x:row>
    <x:row r="134" ht="46" customHeight="1">
      <x:c r="A134" s="2" t="str">
        <x:v>Indicative size</x:v>
      </x:c>
      <x:c r="B134" s="2" t="str">
        <x:v>Small-scale prospects</x:v>
      </x:c>
      <x:c r="C134" s="12" t="str">
        <x:v>Delhi NCR</x:v>
      </x:c>
      <x:c r="D134" s="12" t="str">
        <x:v>MAIN-195</x:v>
      </x:c>
      <x:c r="E134" s="12" t="str">
        <x:v>India Accelerator Coworking - Vatika Triangle</x:v>
      </x:c>
      <x:c r="F134" s="11" t="n">
        <x:v>3</x:v>
      </x:c>
      <x:c r="G134" s="11" t="n">
        <x:v>3</x:v>
      </x:c>
      <x:c r="H134" s="11" t="n">
        <x:v>0</x:v>
      </x:c>
      <x:c r="I134" s="17" t="n">
        <x:f>INDEX('Costing'!$P$9:$P$492,MATCH(D134,'Costing'!$A$9:$A$492,0))</x:f>
        <x:v>60000</x:v>
      </x:c>
      <x:c r="J134" s="17" t="n">
        <x:f>ROUND(I134*'Costing'!$C$4,2)</x:f>
        <x:v>10800</x:v>
      </x:c>
      <x:c r="K134" s="17" t="n">
        <x:f>I134+J134</x:f>
        <x:v>70800</x:v>
      </x:c>
    </x:row>
    <x:row r="135" ht="46" customHeight="1">
      <x:c r="A135" s="2" t="str">
        <x:v>Indicative size</x:v>
      </x:c>
      <x:c r="B135" s="2" t="str">
        <x:v>Small-scale prospects</x:v>
      </x:c>
      <x:c r="C135" s="12" t="str">
        <x:v>Delhi NCR</x:v>
      </x:c>
      <x:c r="D135" s="12" t="str">
        <x:v>MAIN-196</x:v>
      </x:c>
      <x:c r="E135" s="12" t="str">
        <x:v>Kallton</x:v>
      </x:c>
      <x:c r="F135" s="11" t="n">
        <x:v>5</x:v>
      </x:c>
      <x:c r="G135" s="11" t="n">
        <x:v>5</x:v>
      </x:c>
      <x:c r="H135" s="11" t="n">
        <x:v>0</x:v>
      </x:c>
      <x:c r="I135" s="17" t="n">
        <x:f>INDEX('Costing'!$P$9:$P$492,MATCH(D135,'Costing'!$A$9:$A$492,0))</x:f>
        <x:v>200000</x:v>
      </x:c>
      <x:c r="J135" s="17" t="n">
        <x:f>ROUND(I135*'Costing'!$C$4,2)</x:f>
        <x:v>36000</x:v>
      </x:c>
      <x:c r="K135" s="17" t="n">
        <x:f>I135+J135</x:f>
        <x:v>236000</x:v>
      </x:c>
    </x:row>
    <x:row r="136" ht="46" customHeight="1">
      <x:c r="A136" s="2" t="str">
        <x:v>Indicative size</x:v>
      </x:c>
      <x:c r="B136" s="2" t="str">
        <x:v>Small-scale prospects</x:v>
      </x:c>
      <x:c r="C136" s="12" t="str">
        <x:v>Delhi NCR</x:v>
      </x:c>
      <x:c r="D136" s="12" t="str">
        <x:v>MAIN-169</x:v>
      </x:c>
      <x:c r="E136" s="12" t="str">
        <x:v>Logix Cyber Park</x:v>
      </x:c>
      <x:c r="F136" s="11" t="n">
        <x:v>15</x:v>
      </x:c>
      <x:c r="G136" s="11" t="n">
        <x:v>15</x:v>
      </x:c>
      <x:c r="H136" s="11" t="n">
        <x:v>0</x:v>
      </x:c>
      <x:c r="I136" s="17" t="n">
        <x:f>INDEX('Costing'!$P$9:$P$492,MATCH(D136,'Costing'!$A$9:$A$492,0))</x:f>
        <x:v>300000</x:v>
      </x:c>
      <x:c r="J136" s="17" t="n">
        <x:f>ROUND(I136*'Costing'!$C$4,2)</x:f>
        <x:v>54000</x:v>
      </x:c>
      <x:c r="K136" s="17" t="n">
        <x:f>I136+J136</x:f>
        <x:v>354000</x:v>
      </x:c>
    </x:row>
    <x:row r="137" ht="46" customHeight="1">
      <x:c r="A137" s="2" t="str">
        <x:v>Indicative size</x:v>
      </x:c>
      <x:c r="B137" s="2" t="str">
        <x:v>Small-scale prospects</x:v>
      </x:c>
      <x:c r="C137" s="12" t="str">
        <x:v>Delhi NCR</x:v>
      </x:c>
      <x:c r="D137" s="12" t="str">
        <x:v>MAIN-374</x:v>
      </x:c>
      <x:c r="E137" s="12" t="str">
        <x:v>Logix Infotech Park</x:v>
      </x:c>
      <x:c r="F137" s="11" t="n">
        <x:v>2</x:v>
      </x:c>
      <x:c r="G137" s="11" t="n">
        <x:v>2</x:v>
      </x:c>
      <x:c r="H137" s="11" t="n">
        <x:v>0</x:v>
      </x:c>
      <x:c r="I137" s="17" t="n">
        <x:f>INDEX('Costing'!$P$9:$P$492,MATCH(D137,'Costing'!$A$9:$A$492,0))</x:f>
        <x:v>80000</x:v>
      </x:c>
      <x:c r="J137" s="17" t="n">
        <x:f>ROUND(I137*'Costing'!$C$4,2)</x:f>
        <x:v>14400</x:v>
      </x:c>
      <x:c r="K137" s="17" t="n">
        <x:f>I137+J137</x:f>
        <x:v>94400</x:v>
      </x:c>
    </x:row>
    <x:row r="138" ht="46" customHeight="1">
      <x:c r="A138" s="2" t="str">
        <x:v>Indicative size</x:v>
      </x:c>
      <x:c r="B138" s="2" t="str">
        <x:v>Small-scale prospects</x:v>
      </x:c>
      <x:c r="C138" s="12" t="str">
        <x:v>Delhi NCR</x:v>
      </x:c>
      <x:c r="D138" s="12" t="str">
        <x:v>MAIN-375</x:v>
      </x:c>
      <x:c r="E138" s="12" t="str">
        <x:v>Logix Infotech Park</x:v>
      </x:c>
      <x:c r="F138" s="11" t="n">
        <x:v>4</x:v>
      </x:c>
      <x:c r="G138" s="11" t="n">
        <x:v>4</x:v>
      </x:c>
      <x:c r="H138" s="11" t="n">
        <x:v>0</x:v>
      </x:c>
      <x:c r="I138" s="17" t="n">
        <x:f>INDEX('Costing'!$P$9:$P$492,MATCH(D138,'Costing'!$A$9:$A$492,0))</x:f>
        <x:v>60000</x:v>
      </x:c>
      <x:c r="J138" s="17" t="n">
        <x:f>ROUND(I138*'Costing'!$C$4,2)</x:f>
        <x:v>10800</x:v>
      </x:c>
      <x:c r="K138" s="17" t="n">
        <x:f>I138+J138</x:f>
        <x:v>70800</x:v>
      </x:c>
    </x:row>
    <x:row r="139" ht="46" customHeight="1">
      <x:c r="A139" s="2" t="str">
        <x:v>Indicative size</x:v>
      </x:c>
      <x:c r="B139" s="2" t="str">
        <x:v>Small-scale prospects</x:v>
      </x:c>
      <x:c r="C139" s="12" t="str">
        <x:v>Delhi NCR</x:v>
      </x:c>
      <x:c r="D139" s="12" t="str">
        <x:v>MAIN-198</x:v>
      </x:c>
      <x:c r="E139" s="12" t="str">
        <x:v>Satya The Element One</x:v>
      </x:c>
      <x:c r="F139" s="11" t="n">
        <x:v>4</x:v>
      </x:c>
      <x:c r="G139" s="11" t="n">
        <x:v>4</x:v>
      </x:c>
      <x:c r="H139" s="11" t="n">
        <x:v>0</x:v>
      </x:c>
      <x:c r="I139" s="17" t="n">
        <x:f>INDEX('Costing'!$P$9:$P$492,MATCH(D139,'Costing'!$A$9:$A$492,0))</x:f>
        <x:v>60000</x:v>
      </x:c>
      <x:c r="J139" s="17" t="n">
        <x:f>ROUND(I139*'Costing'!$C$4,2)</x:f>
        <x:v>10800</x:v>
      </x:c>
      <x:c r="K139" s="17" t="n">
        <x:f>I139+J139</x:f>
        <x:v>70800</x:v>
      </x:c>
    </x:row>
    <x:row r="140" ht="46" customHeight="1">
      <x:c r="A140" s="2" t="str">
        <x:v>Indicative size</x:v>
      </x:c>
      <x:c r="B140" s="2" t="str">
        <x:v>Small-scale prospects</x:v>
      </x:c>
      <x:c r="C140" s="12" t="str">
        <x:v>Delhi NCR</x:v>
      </x:c>
      <x:c r="D140" s="12" t="str">
        <x:v>MAIN-199</x:v>
      </x:c>
      <x:c r="E140" s="12" t="str">
        <x:v>Satya The Hive</x:v>
      </x:c>
      <x:c r="F140" s="11" t="n">
        <x:v>1</x:v>
      </x:c>
      <x:c r="G140" s="11" t="n">
        <x:v>1</x:v>
      </x:c>
      <x:c r="H140" s="11" t="n">
        <x:v>0</x:v>
      </x:c>
      <x:c r="I140" s="17" t="n">
        <x:f>INDEX('Costing'!$P$9:$P$492,MATCH(D140,'Costing'!$A$9:$A$492,0))</x:f>
        <x:v>40000</x:v>
      </x:c>
      <x:c r="J140" s="17" t="n">
        <x:f>ROUND(I140*'Costing'!$C$4,2)</x:f>
        <x:v>7200</x:v>
      </x:c>
      <x:c r="K140" s="17" t="n">
        <x:f>I140+J140</x:f>
        <x:v>47200</x:v>
      </x:c>
    </x:row>
    <x:row r="141" ht="46" customHeight="1">
      <x:c r="A141" s="2" t="str">
        <x:v>Indicative size</x:v>
      </x:c>
      <x:c r="B141" s="2" t="str">
        <x:v>Small-scale prospects</x:v>
      </x:c>
      <x:c r="C141" s="12" t="str">
        <x:v>Delhi NCR</x:v>
      </x:c>
      <x:c r="D141" s="12" t="str">
        <x:v>MAIN-200</x:v>
      </x:c>
      <x:c r="E141" s="12" t="str">
        <x:v>Satya The Hive {IE}</x:v>
      </x:c>
      <x:c r="F141" s="11" t="n">
        <x:v>7</x:v>
      </x:c>
      <x:c r="G141" s="11" t="n">
        <x:v>7</x:v>
      </x:c>
      <x:c r="H141" s="11" t="n">
        <x:v>0</x:v>
      </x:c>
      <x:c r="I141" s="17" t="n">
        <x:f>INDEX('Costing'!$P$9:$P$492,MATCH(D141,'Costing'!$A$9:$A$492,0))</x:f>
        <x:v>105000</x:v>
      </x:c>
      <x:c r="J141" s="17" t="n">
        <x:f>ROUND(I141*'Costing'!$C$4,2)</x:f>
        <x:v>18900</x:v>
      </x:c>
      <x:c r="K141" s="17" t="n">
        <x:f>I141+J141</x:f>
        <x:v>123900</x:v>
      </x:c>
    </x:row>
    <x:row r="142" ht="46" customHeight="1">
      <x:c r="A142" s="2" t="str">
        <x:v>Indicative size</x:v>
      </x:c>
      <x:c r="B142" s="2" t="str">
        <x:v>Small-scale prospects</x:v>
      </x:c>
      <x:c r="C142" s="12" t="str">
        <x:v>Delhi NCR</x:v>
      </x:c>
      <x:c r="D142" s="12" t="str">
        <x:v>MAIN-201</x:v>
      </x:c>
      <x:c r="E142" s="12" t="str">
        <x:v>Unitech - Business Park</x:v>
      </x:c>
      <x:c r="F142" s="11" t="n">
        <x:v>2</x:v>
      </x:c>
      <x:c r="G142" s="11" t="n">
        <x:v>2</x:v>
      </x:c>
      <x:c r="H142" s="11" t="n">
        <x:v>0</x:v>
      </x:c>
      <x:c r="I142" s="17" t="n">
        <x:f>INDEX('Costing'!$P$9:$P$492,MATCH(D142,'Costing'!$A$9:$A$492,0))</x:f>
        <x:v>80000</x:v>
      </x:c>
      <x:c r="J142" s="17" t="n">
        <x:f>ROUND(I142*'Costing'!$C$4,2)</x:f>
        <x:v>14400</x:v>
      </x:c>
      <x:c r="K142" s="17" t="n">
        <x:f>I142+J142</x:f>
        <x:v>94400</x:v>
      </x:c>
    </x:row>
    <x:row r="143" ht="46" customHeight="1">
      <x:c r="A143" s="2" t="str">
        <x:v>Indicative size</x:v>
      </x:c>
      <x:c r="B143" s="2" t="str">
        <x:v>Small-scale prospects</x:v>
      </x:c>
      <x:c r="C143" s="12" t="str">
        <x:v>Delhi NCR</x:v>
      </x:c>
      <x:c r="D143" s="12" t="str">
        <x:v>MAIN-202</x:v>
      </x:c>
      <x:c r="E143" s="12" t="str">
        <x:v>Unitech - Business Zone</x:v>
      </x:c>
      <x:c r="F143" s="11" t="n">
        <x:v>4</x:v>
      </x:c>
      <x:c r="G143" s="11" t="n">
        <x:v>4</x:v>
      </x:c>
      <x:c r="H143" s="11" t="n">
        <x:v>0</x:v>
      </x:c>
      <x:c r="I143" s="17" t="n">
        <x:f>INDEX('Costing'!$P$9:$P$492,MATCH(D143,'Costing'!$A$9:$A$492,0))</x:f>
        <x:v>160000</x:v>
      </x:c>
      <x:c r="J143" s="17" t="n">
        <x:f>ROUND(I143*'Costing'!$C$4,2)</x:f>
        <x:v>28800</x:v>
      </x:c>
      <x:c r="K143" s="17" t="n">
        <x:f>I143+J143</x:f>
        <x:v>188800</x:v>
      </x:c>
    </x:row>
    <x:row r="144" ht="46" customHeight="1">
      <x:c r="A144" s="2" t="str">
        <x:v>Indicative size</x:v>
      </x:c>
      <x:c r="B144" s="2" t="str">
        <x:v>Small-scale prospects</x:v>
      </x:c>
      <x:c r="C144" s="12" t="str">
        <x:v>Delhi NCR</x:v>
      </x:c>
      <x:c r="D144" s="12" t="str">
        <x:v>MAIN-203</x:v>
      </x:c>
      <x:c r="E144" s="12" t="str">
        <x:v>Unitech - Commercial Tower 2</x:v>
      </x:c>
      <x:c r="F144" s="11" t="n">
        <x:v>1</x:v>
      </x:c>
      <x:c r="G144" s="11" t="n">
        <x:v>1</x:v>
      </x:c>
      <x:c r="H144" s="11" t="n">
        <x:v>0</x:v>
      </x:c>
      <x:c r="I144" s="17" t="n">
        <x:f>INDEX('Costing'!$P$9:$P$492,MATCH(D144,'Costing'!$A$9:$A$492,0))</x:f>
        <x:v>40000</x:v>
      </x:c>
      <x:c r="J144" s="17" t="n">
        <x:f>ROUND(I144*'Costing'!$C$4,2)</x:f>
        <x:v>7200</x:v>
      </x:c>
      <x:c r="K144" s="17" t="n">
        <x:f>I144+J144</x:f>
        <x:v>47200</x:v>
      </x:c>
    </x:row>
    <x:row r="145" ht="46" customHeight="1">
      <x:c r="A145" s="2" t="str">
        <x:v>Indicative size</x:v>
      </x:c>
      <x:c r="B145" s="2" t="str">
        <x:v>Small-scale prospects</x:v>
      </x:c>
      <x:c r="C145" s="12" t="str">
        <x:v>Delhi NCR</x:v>
      </x:c>
      <x:c r="D145" s="12" t="str">
        <x:v>MAIN-204</x:v>
      </x:c>
      <x:c r="E145" s="12" t="str">
        <x:v>Unitech - Cyber Park</x:v>
      </x:c>
      <x:c r="F145" s="11" t="n">
        <x:v>4</x:v>
      </x:c>
      <x:c r="G145" s="11" t="n">
        <x:v>4</x:v>
      </x:c>
      <x:c r="H145" s="11" t="n">
        <x:v>0</x:v>
      </x:c>
      <x:c r="I145" s="17" t="n">
        <x:f>INDEX('Costing'!$P$9:$P$492,MATCH(D145,'Costing'!$A$9:$A$492,0))</x:f>
        <x:v>160000</x:v>
      </x:c>
      <x:c r="J145" s="17" t="n">
        <x:f>ROUND(I145*'Costing'!$C$4,2)</x:f>
        <x:v>28800</x:v>
      </x:c>
      <x:c r="K145" s="17" t="n">
        <x:f>I145+J145</x:f>
        <x:v>188800</x:v>
      </x:c>
    </x:row>
    <x:row r="146" ht="46" customHeight="1">
      <x:c r="A146" s="2" t="str">
        <x:v>Indicative size</x:v>
      </x:c>
      <x:c r="B146" s="2" t="str">
        <x:v>Small-scale prospects</x:v>
      </x:c>
      <x:c r="C146" s="12" t="str">
        <x:v>Delhi NCR</x:v>
      </x:c>
      <x:c r="D146" s="12" t="str">
        <x:v>MAIN-206</x:v>
      </x:c>
      <x:c r="E146" s="12" t="str">
        <x:v>Unitech - Global Business Park</x:v>
      </x:c>
      <x:c r="F146" s="11" t="n">
        <x:v>3</x:v>
      </x:c>
      <x:c r="G146" s="11" t="n">
        <x:v>3</x:v>
      </x:c>
      <x:c r="H146" s="11" t="n">
        <x:v>0</x:v>
      </x:c>
      <x:c r="I146" s="17" t="n">
        <x:f>INDEX('Costing'!$P$9:$P$492,MATCH(D146,'Costing'!$A$9:$A$492,0))</x:f>
        <x:v>120000</x:v>
      </x:c>
      <x:c r="J146" s="17" t="n">
        <x:f>ROUND(I146*'Costing'!$C$4,2)</x:f>
        <x:v>21600</x:v>
      </x:c>
      <x:c r="K146" s="17" t="n">
        <x:f>I146+J146</x:f>
        <x:v>141600</x:v>
      </x:c>
    </x:row>
    <x:row r="147" ht="46" customHeight="1">
      <x:c r="A147" s="2" t="str">
        <x:v>Indicative size</x:v>
      </x:c>
      <x:c r="B147" s="2" t="str">
        <x:v>Small-scale prospects</x:v>
      </x:c>
      <x:c r="C147" s="12" t="str">
        <x:v>Delhi NCR</x:v>
      </x:c>
      <x:c r="D147" s="12" t="str">
        <x:v>MAIN-207</x:v>
      </x:c>
      <x:c r="E147" s="12" t="str">
        <x:v>Unitech - Signature Tower</x:v>
      </x:c>
      <x:c r="F147" s="11" t="n">
        <x:v>2</x:v>
      </x:c>
      <x:c r="G147" s="11" t="n">
        <x:v>2</x:v>
      </x:c>
      <x:c r="H147" s="11" t="n">
        <x:v>0</x:v>
      </x:c>
      <x:c r="I147" s="17" t="n">
        <x:f>INDEX('Costing'!$P$9:$P$492,MATCH(D147,'Costing'!$A$9:$A$492,0))</x:f>
        <x:v>80000</x:v>
      </x:c>
      <x:c r="J147" s="17" t="n">
        <x:f>ROUND(I147*'Costing'!$C$4,2)</x:f>
        <x:v>14400</x:v>
      </x:c>
      <x:c r="K147" s="17" t="n">
        <x:f>I147+J147</x:f>
        <x:v>94400</x:v>
      </x:c>
    </x:row>
    <x:row r="148" ht="46" customHeight="1">
      <x:c r="A148" s="2" t="str">
        <x:v>Indicative size</x:v>
      </x:c>
      <x:c r="B148" s="2" t="str">
        <x:v>Small-scale prospects</x:v>
      </x:c>
      <x:c r="C148" s="12" t="str">
        <x:v>Delhi NCR</x:v>
      </x:c>
      <x:c r="D148" s="12" t="str">
        <x:v>MAIN-208</x:v>
      </x:c>
      <x:c r="E148" s="12" t="str">
        <x:v>Unitech - Trade Center</x:v>
      </x:c>
      <x:c r="F148" s="11" t="n">
        <x:v>1</x:v>
      </x:c>
      <x:c r="G148" s="11" t="n">
        <x:v>1</x:v>
      </x:c>
      <x:c r="H148" s="11" t="n">
        <x:v>0</x:v>
      </x:c>
      <x:c r="I148" s="17" t="n">
        <x:f>INDEX('Costing'!$P$9:$P$492,MATCH(D148,'Costing'!$A$9:$A$492,0))</x:f>
        <x:v>40000</x:v>
      </x:c>
      <x:c r="J148" s="17" t="n">
        <x:f>ROUND(I148*'Costing'!$C$4,2)</x:f>
        <x:v>7200</x:v>
      </x:c>
      <x:c r="K148" s="17" t="n">
        <x:f>I148+J148</x:f>
        <x:v>47200</x:v>
      </x:c>
    </x:row>
    <x:row r="149" ht="46" customHeight="1">
      <x:c r="A149" s="2" t="str">
        <x:v>Indicative size</x:v>
      </x:c>
      <x:c r="B149" s="2" t="str">
        <x:v>Small-scale prospects</x:v>
      </x:c>
      <x:c r="C149" s="12" t="str">
        <x:v>Delhi NCR</x:v>
      </x:c>
      <x:c r="D149" s="12" t="str">
        <x:v>MAIN-209</x:v>
      </x:c>
      <x:c r="E149" s="12" t="str">
        <x:v>WeWork - Blue One Square</x:v>
      </x:c>
      <x:c r="F149" s="11" t="n">
        <x:v>10</x:v>
      </x:c>
      <x:c r="G149" s="11" t="n">
        <x:v>10</x:v>
      </x:c>
      <x:c r="H149" s="11" t="n">
        <x:v>0</x:v>
      </x:c>
      <x:c r="I149" s="17" t="n">
        <x:f>INDEX('Costing'!$P$9:$P$492,MATCH(D149,'Costing'!$A$9:$A$492,0))</x:f>
        <x:v>250000</x:v>
      </x:c>
      <x:c r="J149" s="17" t="n">
        <x:f>ROUND(I149*'Costing'!$C$4,2)</x:f>
        <x:v>45000</x:v>
      </x:c>
      <x:c r="K149" s="17" t="n">
        <x:f>I149+J149</x:f>
        <x:v>295000</x:v>
      </x:c>
    </x:row>
    <x:row r="150" ht="46" customHeight="1">
      <x:c r="A150" s="2" t="str">
        <x:v>Indicative size</x:v>
      </x:c>
      <x:c r="B150" s="2" t="str">
        <x:v>Small-scale prospects</x:v>
      </x:c>
      <x:c r="C150" s="12" t="str">
        <x:v>Delhi NCR</x:v>
      </x:c>
      <x:c r="D150" s="12" t="str">
        <x:v>MAIN-210</x:v>
      </x:c>
      <x:c r="E150" s="12" t="str">
        <x:v>WeWork - Forum</x:v>
      </x:c>
      <x:c r="F150" s="11" t="n">
        <x:v>14</x:v>
      </x:c>
      <x:c r="G150" s="11" t="n">
        <x:v>14</x:v>
      </x:c>
      <x:c r="H150" s="11" t="n">
        <x:v>0</x:v>
      </x:c>
      <x:c r="I150" s="17" t="n">
        <x:f>INDEX('Costing'!$P$9:$P$492,MATCH(D150,'Costing'!$A$9:$A$492,0))</x:f>
        <x:v>350000</x:v>
      </x:c>
      <x:c r="J150" s="17" t="n">
        <x:f>ROUND(I150*'Costing'!$C$4,2)</x:f>
        <x:v>63000</x:v>
      </x:c>
      <x:c r="K150" s="17" t="n">
        <x:f>I150+J150</x:f>
        <x:v>413000</x:v>
      </x:c>
    </x:row>
    <x:row r="151" ht="46" customHeight="1">
      <x:c r="A151" s="2" t="str">
        <x:v>Indicative size</x:v>
      </x:c>
      <x:c r="B151" s="2" t="str">
        <x:v>Small-scale prospects</x:v>
      </x:c>
      <x:c r="C151" s="12" t="str">
        <x:v>Delhi NCR</x:v>
      </x:c>
      <x:c r="D151" s="12" t="str">
        <x:v>MAIN-211</x:v>
      </x:c>
      <x:c r="E151" s="12" t="str">
        <x:v>Wework - VI John</x:v>
      </x:c>
      <x:c r="F151" s="11" t="n">
        <x:v>8</x:v>
      </x:c>
      <x:c r="G151" s="11" t="n">
        <x:v>8</x:v>
      </x:c>
      <x:c r="H151" s="11" t="n">
        <x:v>0</x:v>
      </x:c>
      <x:c r="I151" s="17" t="n">
        <x:f>INDEX('Costing'!$P$9:$P$492,MATCH(D151,'Costing'!$A$9:$A$492,0))</x:f>
        <x:v>200000</x:v>
      </x:c>
      <x:c r="J151" s="17" t="n">
        <x:f>ROUND(I151*'Costing'!$C$4,2)</x:f>
        <x:v>36000</x:v>
      </x:c>
      <x:c r="K151" s="17" t="n">
        <x:f>I151+J151</x:f>
        <x:v>236000</x:v>
      </x:c>
    </x:row>
    <x:row r="152" ht="46" customHeight="1">
      <x:c r="A152" s="2" t="str">
        <x:v>Indicative size</x:v>
      </x:c>
      <x:c r="B152" s="2" t="str">
        <x:v>Small-scale prospects</x:v>
      </x:c>
      <x:c r="C152" s="12" t="str">
        <x:v>Delhi NCR</x:v>
      </x:c>
      <x:c r="D152" s="12" t="str">
        <x:v>MAIN-173</x:v>
      </x:c>
      <x:c r="E152" s="12" t="str">
        <x:v>Workflow by Oyo - CP Regal</x:v>
      </x:c>
      <x:c r="F152" s="11" t="n">
        <x:v>1</x:v>
      </x:c>
      <x:c r="G152" s="11" t="n">
        <x:v>1</x:v>
      </x:c>
      <x:c r="H152" s="11" t="n">
        <x:v>0</x:v>
      </x:c>
      <x:c r="I152" s="17" t="n">
        <x:f>INDEX('Costing'!$P$9:$P$492,MATCH(D152,'Costing'!$A$9:$A$492,0))</x:f>
        <x:v>15000</x:v>
      </x:c>
      <x:c r="J152" s="17" t="n">
        <x:f>ROUND(I152*'Costing'!$C$4,2)</x:f>
        <x:v>2700</x:v>
      </x:c>
      <x:c r="K152" s="17" t="n">
        <x:f>I152+J152</x:f>
        <x:v>17700</x:v>
      </x:c>
    </x:row>
    <x:row r="153" ht="46" customHeight="1">
      <x:c r="A153" s="2" t="str">
        <x:v>Indicative size</x:v>
      </x:c>
      <x:c r="B153" s="2" t="str">
        <x:v>Small-scale prospects</x:v>
      </x:c>
      <x:c r="C153" s="12" t="str">
        <x:v>Delhi NCR</x:v>
      </x:c>
      <x:c r="D153" s="12" t="str">
        <x:v>MAIN-212</x:v>
      </x:c>
      <x:c r="E153" s="12" t="str">
        <x:v>Workflow by Oyo - Golf Course Road</x:v>
      </x:c>
      <x:c r="F153" s="11" t="n">
        <x:v>2</x:v>
      </x:c>
      <x:c r="G153" s="11" t="n">
        <x:v>2</x:v>
      </x:c>
      <x:c r="H153" s="11" t="n">
        <x:v>0</x:v>
      </x:c>
      <x:c r="I153" s="17" t="n">
        <x:f>INDEX('Costing'!$P$9:$P$492,MATCH(D153,'Costing'!$A$9:$A$492,0))</x:f>
        <x:v>30000</x:v>
      </x:c>
      <x:c r="J153" s="17" t="n">
        <x:f>ROUND(I153*'Costing'!$C$4,2)</x:f>
        <x:v>5400</x:v>
      </x:c>
      <x:c r="K153" s="17" t="n">
        <x:f>I153+J153</x:f>
        <x:v>35400</x:v>
      </x:c>
    </x:row>
    <x:row r="154" ht="46" customHeight="1">
      <x:c r="A154" s="2" t="str">
        <x:v>Indicative size</x:v>
      </x:c>
      <x:c r="B154" s="2" t="str">
        <x:v>Small-scale prospects</x:v>
      </x:c>
      <x:c r="C154" s="12" t="str">
        <x:v>Delhi NCR</x:v>
      </x:c>
      <x:c r="D154" s="12" t="str">
        <x:v>MAIN-175</x:v>
      </x:c>
      <x:c r="E154" s="12" t="str">
        <x:v>Workflow by Oyo - Old Fort Saket</x:v>
      </x:c>
      <x:c r="F154" s="11" t="n">
        <x:v>1</x:v>
      </x:c>
      <x:c r="G154" s="11" t="n">
        <x:v>1</x:v>
      </x:c>
      <x:c r="H154" s="11" t="n">
        <x:v>0</x:v>
      </x:c>
      <x:c r="I154" s="17" t="n">
        <x:f>INDEX('Costing'!$P$9:$P$492,MATCH(D154,'Costing'!$A$9:$A$492,0))</x:f>
        <x:v>15000</x:v>
      </x:c>
      <x:c r="J154" s="17" t="n">
        <x:f>ROUND(I154*'Costing'!$C$4,2)</x:f>
        <x:v>2700</x:v>
      </x:c>
      <x:c r="K154" s="17" t="n">
        <x:f>I154+J154</x:f>
        <x:v>17700</x:v>
      </x:c>
    </x:row>
    <x:row r="155" ht="46" customHeight="1">
      <x:c r="A155" s="2" t="str">
        <x:v>Indicative size</x:v>
      </x:c>
      <x:c r="B155" s="2" t="str">
        <x:v>Small-scale prospects</x:v>
      </x:c>
      <x:c r="C155" s="12" t="str">
        <x:v>Delhi NCR</x:v>
      </x:c>
      <x:c r="D155" s="12" t="str">
        <x:v>MAIN-378</x:v>
      </x:c>
      <x:c r="E155" s="12" t="str">
        <x:v>World Trade Tower</x:v>
      </x:c>
      <x:c r="F155" s="11" t="n">
        <x:v>13</x:v>
      </x:c>
      <x:c r="G155" s="11" t="n">
        <x:v>13</x:v>
      </x:c>
      <x:c r="H155" s="11" t="n">
        <x:v>0</x:v>
      </x:c>
      <x:c r="I155" s="17" t="n">
        <x:f>INDEX('Costing'!$P$9:$P$492,MATCH(D155,'Costing'!$A$9:$A$492,0))</x:f>
        <x:v>260000</x:v>
      </x:c>
      <x:c r="J155" s="17" t="n">
        <x:f>ROUND(I155*'Costing'!$C$4,2)</x:f>
        <x:v>46800</x:v>
      </x:c>
      <x:c r="K155" s="17" t="n">
        <x:f>I155+J155</x:f>
        <x:v>306800</x:v>
      </x:c>
    </x:row>
    <x:row r="156" ht="46" customHeight="1">
      <x:c r="A156" s="2" t="str">
        <x:v>Indicative size</x:v>
      </x:c>
      <x:c r="B156" s="2" t="str">
        <x:v>Small-scale prospects</x:v>
      </x:c>
      <x:c r="C156" s="12" t="str">
        <x:v>Hyderabad</x:v>
      </x:c>
      <x:c r="D156" s="12" t="str">
        <x:v>MAIN-215</x:v>
      </x:c>
      <x:c r="E156" s="12" t="str">
        <x:v>Awfis - B144Lorven Tiara</x:v>
      </x:c>
      <x:c r="F156" s="11" t="n">
        <x:v>8</x:v>
      </x:c>
      <x:c r="G156" s="11" t="n">
        <x:v>8</x:v>
      </x:c>
      <x:c r="H156" s="11" t="n">
        <x:v>0</x:v>
      </x:c>
      <x:c r="I156" s="17" t="n">
        <x:f>INDEX('Costing'!$P$9:$P$492,MATCH(D156,'Costing'!$A$9:$A$492,0))</x:f>
        <x:v>120000</x:v>
      </x:c>
      <x:c r="J156" s="17" t="n">
        <x:f>ROUND(I156*'Costing'!$C$4,2)</x:f>
        <x:v>21600</x:v>
      </x:c>
      <x:c r="K156" s="17" t="n">
        <x:f>I156+J156</x:f>
        <x:v>141600</x:v>
      </x:c>
    </x:row>
    <x:row r="157" ht="46" customHeight="1">
      <x:c r="A157" s="2" t="str">
        <x:v>Indicative size</x:v>
      </x:c>
      <x:c r="B157" s="2" t="str">
        <x:v>Small-scale prospects</x:v>
      </x:c>
      <x:c r="C157" s="12" t="str">
        <x:v>Hyderabad</x:v>
      </x:c>
      <x:c r="D157" s="12" t="str">
        <x:v>MAIN-216</x:v>
      </x:c>
      <x:c r="E157" s="12" t="str">
        <x:v>Awfis - DSL Abacus IT Park</x:v>
      </x:c>
      <x:c r="F157" s="11" t="n">
        <x:v>2</x:v>
      </x:c>
      <x:c r="G157" s="11" t="n">
        <x:v>2</x:v>
      </x:c>
      <x:c r="H157" s="11" t="n">
        <x:v>0</x:v>
      </x:c>
      <x:c r="I157" s="17" t="n">
        <x:f>INDEX('Costing'!$P$9:$P$492,MATCH(D157,'Costing'!$A$9:$A$492,0))</x:f>
        <x:v>30000</x:v>
      </x:c>
      <x:c r="J157" s="17" t="n">
        <x:f>ROUND(I157*'Costing'!$C$4,2)</x:f>
        <x:v>5400</x:v>
      </x:c>
      <x:c r="K157" s="17" t="n">
        <x:f>I157+J157</x:f>
        <x:v>35400</x:v>
      </x:c>
    </x:row>
    <x:row r="158" ht="46" customHeight="1">
      <x:c r="A158" s="2" t="str">
        <x:v>Indicative size</x:v>
      </x:c>
      <x:c r="B158" s="2" t="str">
        <x:v>Small-scale prospects</x:v>
      </x:c>
      <x:c r="C158" s="12" t="str">
        <x:v>Hyderabad</x:v>
      </x:c>
      <x:c r="D158" s="12" t="str">
        <x:v>MAIN-217</x:v>
      </x:c>
      <x:c r="E158" s="12" t="str">
        <x:v>Awfis - Hitech City 1st</x:v>
      </x:c>
      <x:c r="F158" s="11" t="n">
        <x:v>3</x:v>
      </x:c>
      <x:c r="G158" s="11" t="n">
        <x:v>3</x:v>
      </x:c>
      <x:c r="H158" s="11" t="n">
        <x:v>0</x:v>
      </x:c>
      <x:c r="I158" s="17" t="n">
        <x:f>INDEX('Costing'!$P$9:$P$492,MATCH(D158,'Costing'!$A$9:$A$492,0))</x:f>
        <x:v>45000</x:v>
      </x:c>
      <x:c r="J158" s="17" t="n">
        <x:f>ROUND(I158*'Costing'!$C$4,2)</x:f>
        <x:v>8100</x:v>
      </x:c>
      <x:c r="K158" s="17" t="n">
        <x:f>I158+J158</x:f>
        <x:v>53100</x:v>
      </x:c>
    </x:row>
    <x:row r="159" ht="46" customHeight="1">
      <x:c r="A159" s="2" t="str">
        <x:v>Indicative size</x:v>
      </x:c>
      <x:c r="B159" s="2" t="str">
        <x:v>Small-scale prospects</x:v>
      </x:c>
      <x:c r="C159" s="12" t="str">
        <x:v>Hyderabad</x:v>
      </x:c>
      <x:c r="D159" s="12" t="str">
        <x:v>MAIN-219</x:v>
      </x:c>
      <x:c r="E159" s="12" t="str">
        <x:v>Awfis - Hitech City 6th</x:v>
      </x:c>
      <x:c r="F159" s="11" t="n">
        <x:v>2</x:v>
      </x:c>
      <x:c r="G159" s="11" t="n">
        <x:v>2</x:v>
      </x:c>
      <x:c r="H159" s="11" t="n">
        <x:v>0</x:v>
      </x:c>
      <x:c r="I159" s="17" t="n">
        <x:f>INDEX('Costing'!$P$9:$P$492,MATCH(D159,'Costing'!$A$9:$A$492,0))</x:f>
        <x:v>30000</x:v>
      </x:c>
      <x:c r="J159" s="17" t="n">
        <x:f>ROUND(I159*'Costing'!$C$4,2)</x:f>
        <x:v>5400</x:v>
      </x:c>
      <x:c r="K159" s="17" t="n">
        <x:f>I159+J159</x:f>
        <x:v>35400</x:v>
      </x:c>
    </x:row>
    <x:row r="160" ht="46" customHeight="1">
      <x:c r="A160" s="2" t="str">
        <x:v>Indicative size</x:v>
      </x:c>
      <x:c r="B160" s="2" t="str">
        <x:v>Small-scale prospects</x:v>
      </x:c>
      <x:c r="C160" s="12" t="str">
        <x:v>Hyderabad</x:v>
      </x:c>
      <x:c r="D160" s="12" t="str">
        <x:v>MAIN-220</x:v>
      </x:c>
      <x:c r="E160" s="12" t="str">
        <x:v>Awfis - Myscape Weave</x:v>
      </x:c>
      <x:c r="F160" s="11" t="n">
        <x:v>2</x:v>
      </x:c>
      <x:c r="G160" s="11" t="n">
        <x:v>2</x:v>
      </x:c>
      <x:c r="H160" s="11" t="n">
        <x:v>0</x:v>
      </x:c>
      <x:c r="I160" s="17" t="n">
        <x:f>INDEX('Costing'!$P$9:$P$492,MATCH(D160,'Costing'!$A$9:$A$492,0))</x:f>
        <x:v>30000</x:v>
      </x:c>
      <x:c r="J160" s="17" t="n">
        <x:f>ROUND(I160*'Costing'!$C$4,2)</x:f>
        <x:v>5400</x:v>
      </x:c>
      <x:c r="K160" s="17" t="n">
        <x:f>I160+J160</x:f>
        <x:v>35400</x:v>
      </x:c>
    </x:row>
    <x:row r="161" ht="46" customHeight="1">
      <x:c r="A161" s="2" t="str">
        <x:v>Indicative size</x:v>
      </x:c>
      <x:c r="B161" s="2" t="str">
        <x:v>Small-scale prospects</x:v>
      </x:c>
      <x:c r="C161" s="12" t="str">
        <x:v>Hyderabad</x:v>
      </x:c>
      <x:c r="D161" s="12" t="str">
        <x:v>MAIN-221</x:v>
      </x:c>
      <x:c r="E161" s="12" t="str">
        <x:v>Awfis - Oyster Complex</x:v>
      </x:c>
      <x:c r="F161" s="11" t="n">
        <x:v>3</x:v>
      </x:c>
      <x:c r="G161" s="11" t="n">
        <x:v>3</x:v>
      </x:c>
      <x:c r="H161" s="11" t="n">
        <x:v>0</x:v>
      </x:c>
      <x:c r="I161" s="17" t="n">
        <x:f>INDEX('Costing'!$P$9:$P$492,MATCH(D161,'Costing'!$A$9:$A$492,0))</x:f>
        <x:v>45000</x:v>
      </x:c>
      <x:c r="J161" s="17" t="n">
        <x:f>ROUND(I161*'Costing'!$C$4,2)</x:f>
        <x:v>8100</x:v>
      </x:c>
      <x:c r="K161" s="17" t="n">
        <x:f>I161+J161</x:f>
        <x:v>53100</x:v>
      </x:c>
    </x:row>
    <x:row r="162" ht="46" customHeight="1">
      <x:c r="A162" s="2" t="str">
        <x:v>Indicative size</x:v>
      </x:c>
      <x:c r="B162" s="2" t="str">
        <x:v>Small-scale prospects</x:v>
      </x:c>
      <x:c r="C162" s="12" t="str">
        <x:v>Hyderabad</x:v>
      </x:c>
      <x:c r="D162" s="12" t="str">
        <x:v>MAIN-223</x:v>
      </x:c>
      <x:c r="E162" s="12" t="str">
        <x:v>Awfis - Prestige Skytech</x:v>
      </x:c>
      <x:c r="F162" s="11" t="n">
        <x:v>2</x:v>
      </x:c>
      <x:c r="G162" s="11" t="n">
        <x:v>2</x:v>
      </x:c>
      <x:c r="H162" s="11" t="n">
        <x:v>0</x:v>
      </x:c>
      <x:c r="I162" s="17" t="n">
        <x:f>INDEX('Costing'!$P$9:$P$492,MATCH(D162,'Costing'!$A$9:$A$492,0))</x:f>
        <x:v>30000</x:v>
      </x:c>
      <x:c r="J162" s="17" t="n">
        <x:f>ROUND(I162*'Costing'!$C$4,2)</x:f>
        <x:v>5400</x:v>
      </x:c>
      <x:c r="K162" s="17" t="n">
        <x:f>I162+J162</x:f>
        <x:v>35400</x:v>
      </x:c>
    </x:row>
    <x:row r="163" ht="46" customHeight="1">
      <x:c r="A163" s="2" t="str">
        <x:v>Indicative size</x:v>
      </x:c>
      <x:c r="B163" s="2" t="str">
        <x:v>Small-scale prospects</x:v>
      </x:c>
      <x:c r="C163" s="12" t="str">
        <x:v>Hyderabad</x:v>
      </x:c>
      <x:c r="D163" s="12" t="str">
        <x:v>MAIN-224</x:v>
      </x:c>
      <x:c r="E163" s="12" t="str">
        <x:v>Awfis - Rajapushpa Summit</x:v>
      </x:c>
      <x:c r="F163" s="11" t="n">
        <x:v>3</x:v>
      </x:c>
      <x:c r="G163" s="11" t="n">
        <x:v>3</x:v>
      </x:c>
      <x:c r="H163" s="11" t="n">
        <x:v>0</x:v>
      </x:c>
      <x:c r="I163" s="17" t="n">
        <x:f>INDEX('Costing'!$P$9:$P$492,MATCH(D163,'Costing'!$A$9:$A$492,0))</x:f>
        <x:v>45000</x:v>
      </x:c>
      <x:c r="J163" s="17" t="n">
        <x:f>ROUND(I163*'Costing'!$C$4,2)</x:f>
        <x:v>8100</x:v>
      </x:c>
      <x:c r="K163" s="17" t="n">
        <x:f>I163+J163</x:f>
        <x:v>53100</x:v>
      </x:c>
    </x:row>
    <x:row r="164" ht="46" customHeight="1">
      <x:c r="A164" s="2" t="str">
        <x:v>Indicative size</x:v>
      </x:c>
      <x:c r="B164" s="2" t="str">
        <x:v>Small-scale prospects</x:v>
      </x:c>
      <x:c r="C164" s="12" t="str">
        <x:v>Hyderabad</x:v>
      </x:c>
      <x:c r="D164" s="12" t="str">
        <x:v>MAIN-225</x:v>
      </x:c>
      <x:c r="E164" s="12" t="str">
        <x:v>Awfis - Vasavi MPM Mall</x:v>
      </x:c>
      <x:c r="F164" s="11" t="n">
        <x:v>2</x:v>
      </x:c>
      <x:c r="G164" s="11" t="n">
        <x:v>2</x:v>
      </x:c>
      <x:c r="H164" s="11" t="n">
        <x:v>0</x:v>
      </x:c>
      <x:c r="I164" s="17" t="n">
        <x:f>INDEX('Costing'!$P$9:$P$492,MATCH(D164,'Costing'!$A$9:$A$492,0))</x:f>
        <x:v>30000</x:v>
      </x:c>
      <x:c r="J164" s="17" t="n">
        <x:f>ROUND(I164*'Costing'!$C$4,2)</x:f>
        <x:v>5400</x:v>
      </x:c>
      <x:c r="K164" s="17" t="n">
        <x:f>I164+J164</x:f>
        <x:v>35400</x:v>
      </x:c>
    </x:row>
    <x:row r="165" ht="46" customHeight="1">
      <x:c r="A165" s="2" t="str">
        <x:v>Indicative size</x:v>
      </x:c>
      <x:c r="B165" s="2" t="str">
        <x:v>Small-scale prospects</x:v>
      </x:c>
      <x:c r="C165" s="12" t="str">
        <x:v>Hyderabad</x:v>
      </x:c>
      <x:c r="D165" s="12" t="str">
        <x:v>MAIN-226</x:v>
      </x:c>
      <x:c r="E165" s="12" t="str">
        <x:v>CIE Office Space</x:v>
      </x:c>
      <x:c r="F165" s="11" t="n">
        <x:v>4</x:v>
      </x:c>
      <x:c r="G165" s="11" t="n">
        <x:v>4</x:v>
      </x:c>
      <x:c r="H165" s="11" t="n">
        <x:v>0</x:v>
      </x:c>
      <x:c r="I165" s="17" t="n">
        <x:f>INDEX('Costing'!$P$9:$P$492,MATCH(D165,'Costing'!$A$9:$A$492,0))</x:f>
        <x:v>60000</x:v>
      </x:c>
      <x:c r="J165" s="17" t="n">
        <x:f>ROUND(I165*'Costing'!$C$4,2)</x:f>
        <x:v>10800</x:v>
      </x:c>
      <x:c r="K165" s="17" t="n">
        <x:f>I165+J165</x:f>
        <x:v>70800</x:v>
      </x:c>
    </x:row>
    <x:row r="166" ht="46" customHeight="1">
      <x:c r="A166" s="2" t="str">
        <x:v>Indicative size</x:v>
      </x:c>
      <x:c r="B166" s="2" t="str">
        <x:v>Small-scale prospects</x:v>
      </x:c>
      <x:c r="C166" s="12" t="str">
        <x:v>Hyderabad</x:v>
      </x:c>
      <x:c r="D166" s="12" t="str">
        <x:v>MAIN-230</x:v>
      </x:c>
      <x:c r="E166" s="12" t="str">
        <x:v>Elemental</x:v>
      </x:c>
      <x:c r="F166" s="11" t="n">
        <x:v>4</x:v>
      </x:c>
      <x:c r="G166" s="11" t="n">
        <x:v>4</x:v>
      </x:c>
      <x:c r="H166" s="11" t="n">
        <x:v>0</x:v>
      </x:c>
      <x:c r="I166" s="17" t="n">
        <x:f>INDEX('Costing'!$P$9:$P$492,MATCH(D166,'Costing'!$A$9:$A$492,0))</x:f>
        <x:v>80000</x:v>
      </x:c>
      <x:c r="J166" s="17" t="n">
        <x:f>ROUND(I166*'Costing'!$C$4,2)</x:f>
        <x:v>14400</x:v>
      </x:c>
      <x:c r="K166" s="17" t="n">
        <x:f>I166+J166</x:f>
        <x:v>94400</x:v>
      </x:c>
    </x:row>
    <x:row r="167" ht="46" customHeight="1">
      <x:c r="A167" s="2" t="str">
        <x:v>Indicative size</x:v>
      </x:c>
      <x:c r="B167" s="2" t="str">
        <x:v>Small-scale prospects</x:v>
      </x:c>
      <x:c r="C167" s="12" t="str">
        <x:v>Hyderabad</x:v>
      </x:c>
      <x:c r="D167" s="12" t="str">
        <x:v>MAIN-235</x:v>
      </x:c>
      <x:c r="E167" s="12" t="str">
        <x:v>GAR Laxmi Infobahn (T5, T6)</x:v>
      </x:c>
      <x:c r="F167" s="11" t="n">
        <x:v>9</x:v>
      </x:c>
      <x:c r="G167" s="11" t="n">
        <x:v>9</x:v>
      </x:c>
      <x:c r="H167" s="11" t="n">
        <x:v>0</x:v>
      </x:c>
      <x:c r="I167" s="17" t="n">
        <x:f>INDEX('Costing'!$P$9:$P$492,MATCH(D167,'Costing'!$A$9:$A$492,0))</x:f>
        <x:v>360000</x:v>
      </x:c>
      <x:c r="J167" s="17" t="n">
        <x:f>ROUND(I167*'Costing'!$C$4,2)</x:f>
        <x:v>64800</x:v>
      </x:c>
      <x:c r="K167" s="17" t="n">
        <x:f>I167+J167</x:f>
        <x:v>424800</x:v>
      </x:c>
    </x:row>
    <x:row r="168" ht="46" customHeight="1">
      <x:c r="A168" s="2" t="str">
        <x:v>Indicative size</x:v>
      </x:c>
      <x:c r="B168" s="2" t="str">
        <x:v>Small-scale prospects</x:v>
      </x:c>
      <x:c r="C168" s="12" t="str">
        <x:v>Hyderabad</x:v>
      </x:c>
      <x:c r="D168" s="12" t="str">
        <x:v>MAIN-236</x:v>
      </x:c>
      <x:c r="E168" s="12" t="str">
        <x:v>GAR Laxmi Infobahn (T5, T6){IE}</x:v>
      </x:c>
      <x:c r="F168" s="11" t="n">
        <x:v>27</x:v>
      </x:c>
      <x:c r="G168" s="11" t="n">
        <x:v>27</x:v>
      </x:c>
      <x:c r="H168" s="11" t="n">
        <x:v>0</x:v>
      </x:c>
      <x:c r="I168" s="17" t="n">
        <x:f>INDEX('Costing'!$P$9:$P$492,MATCH(D168,'Costing'!$A$9:$A$492,0))</x:f>
        <x:v>405000</x:v>
      </x:c>
      <x:c r="J168" s="17" t="n">
        <x:f>ROUND(I168*'Costing'!$C$4,2)</x:f>
        <x:v>72900</x:v>
      </x:c>
      <x:c r="K168" s="17" t="n">
        <x:f>I168+J168</x:f>
        <x:v>477900</x:v>
      </x:c>
    </x:row>
    <x:row r="169" ht="46" customHeight="1">
      <x:c r="A169" s="2" t="str">
        <x:v>Indicative size</x:v>
      </x:c>
      <x:c r="B169" s="2" t="str">
        <x:v>Small-scale prospects</x:v>
      </x:c>
      <x:c r="C169" s="12" t="str">
        <x:v>Hyderabad</x:v>
      </x:c>
      <x:c r="D169" s="12" t="str">
        <x:v>MAIN-237</x:v>
      </x:c>
      <x:c r="E169" s="12" t="str">
        <x:v>Meenakshi Tech Park</x:v>
      </x:c>
      <x:c r="F169" s="11" t="n">
        <x:v>2</x:v>
      </x:c>
      <x:c r="G169" s="11" t="n">
        <x:v>2</x:v>
      </x:c>
      <x:c r="H169" s="11" t="n">
        <x:v>0</x:v>
      </x:c>
      <x:c r="I169" s="17" t="n">
        <x:f>INDEX('Costing'!$P$9:$P$492,MATCH(D169,'Costing'!$A$9:$A$492,0))</x:f>
        <x:v>80000</x:v>
      </x:c>
      <x:c r="J169" s="17" t="n">
        <x:f>ROUND(I169*'Costing'!$C$4,2)</x:f>
        <x:v>14400</x:v>
      </x:c>
      <x:c r="K169" s="17" t="n">
        <x:f>I169+J169</x:f>
        <x:v>94400</x:v>
      </x:c>
    </x:row>
    <x:row r="170" ht="46" customHeight="1">
      <x:c r="A170" s="2" t="str">
        <x:v>Indicative size</x:v>
      </x:c>
      <x:c r="B170" s="2" t="str">
        <x:v>Small-scale prospects</x:v>
      </x:c>
      <x:c r="C170" s="12" t="str">
        <x:v>Hyderabad</x:v>
      </x:c>
      <x:c r="D170" s="12" t="str">
        <x:v>MAIN-238</x:v>
      </x:c>
      <x:c r="E170" s="12" t="str">
        <x:v>Meenakshi Tech Park {IE}</x:v>
      </x:c>
      <x:c r="F170" s="11" t="n">
        <x:v>11</x:v>
      </x:c>
      <x:c r="G170" s="11" t="n">
        <x:v>11</x:v>
      </x:c>
      <x:c r="H170" s="11" t="n">
        <x:v>0</x:v>
      </x:c>
      <x:c r="I170" s="17" t="n">
        <x:f>INDEX('Costing'!$P$9:$P$492,MATCH(D170,'Costing'!$A$9:$A$492,0))</x:f>
        <x:v>165000</x:v>
      </x:c>
      <x:c r="J170" s="17" t="n">
        <x:f>ROUND(I170*'Costing'!$C$4,2)</x:f>
        <x:v>29700</x:v>
      </x:c>
      <x:c r="K170" s="17" t="n">
        <x:f>I170+J170</x:f>
        <x:v>194700</x:v>
      </x:c>
    </x:row>
    <x:row r="171" ht="46" customHeight="1">
      <x:c r="A171" s="2" t="str">
        <x:v>Indicative size</x:v>
      </x:c>
      <x:c r="B171" s="2" t="str">
        <x:v>Small-scale prospects</x:v>
      </x:c>
      <x:c r="C171" s="12" t="str">
        <x:v>Hyderabad</x:v>
      </x:c>
      <x:c r="D171" s="12" t="str">
        <x:v>MAIN-239</x:v>
      </x:c>
      <x:c r="E171" s="12" t="str">
        <x:v>Meenakshi Tech Park-43 Inch Pods</x:v>
      </x:c>
      <x:c r="F171" s="11" t="n">
        <x:v>12</x:v>
      </x:c>
      <x:c r="G171" s="11" t="n">
        <x:v>12</x:v>
      </x:c>
      <x:c r="H171" s="11" t="n">
        <x:v>0</x:v>
      </x:c>
      <x:c r="I171" s="17" t="n">
        <x:f>INDEX('Costing'!$P$9:$P$492,MATCH(D171,'Costing'!$A$9:$A$492,0))</x:f>
        <x:v>240000</x:v>
      </x:c>
      <x:c r="J171" s="17" t="n">
        <x:f>ROUND(I171*'Costing'!$C$4,2)</x:f>
        <x:v>43200</x:v>
      </x:c>
      <x:c r="K171" s="17" t="n">
        <x:f>I171+J171</x:f>
        <x:v>283200</x:v>
      </x:c>
    </x:row>
    <x:row r="172" ht="46" customHeight="1">
      <x:c r="A172" s="2" t="str">
        <x:v>Indicative size</x:v>
      </x:c>
      <x:c r="B172" s="2" t="str">
        <x:v>Small-scale prospects</x:v>
      </x:c>
      <x:c r="C172" s="12" t="str">
        <x:v>Hyderabad</x:v>
      </x:c>
      <x:c r="D172" s="12" t="str">
        <x:v>MAIN-240</x:v>
      </x:c>
      <x:c r="E172" s="12" t="str">
        <x:v>NSL Arena Tech Park</x:v>
      </x:c>
      <x:c r="F172" s="11" t="n">
        <x:v>13</x:v>
      </x:c>
      <x:c r="G172" s="11" t="n">
        <x:v>13</x:v>
      </x:c>
      <x:c r="H172" s="11" t="n">
        <x:v>0</x:v>
      </x:c>
      <x:c r="I172" s="17" t="n">
        <x:f>INDEX('Costing'!$P$9:$P$492,MATCH(D172,'Costing'!$A$9:$A$492,0))</x:f>
        <x:v>195000</x:v>
      </x:c>
      <x:c r="J172" s="17" t="n">
        <x:f>ROUND(I172*'Costing'!$C$4,2)</x:f>
        <x:v>35100</x:v>
      </x:c>
      <x:c r="K172" s="17" t="n">
        <x:f>I172+J172</x:f>
        <x:v>230100</x:v>
      </x:c>
    </x:row>
    <x:row r="173" ht="46" customHeight="1">
      <x:c r="A173" s="2" t="str">
        <x:v>Indicative size</x:v>
      </x:c>
      <x:c r="B173" s="2" t="str">
        <x:v>Small-scale prospects</x:v>
      </x:c>
      <x:c r="C173" s="12" t="str">
        <x:v>Hyderabad</x:v>
      </x:c>
      <x:c r="D173" s="12" t="str">
        <x:v>MAIN-243</x:v>
      </x:c>
      <x:c r="E173" s="12" t="str">
        <x:v>NSL Icon</x:v>
      </x:c>
      <x:c r="F173" s="11" t="n">
        <x:v>2</x:v>
      </x:c>
      <x:c r="G173" s="11" t="n">
        <x:v>2</x:v>
      </x:c>
      <x:c r="H173" s="11" t="n">
        <x:v>0</x:v>
      </x:c>
      <x:c r="I173" s="17" t="n">
        <x:f>INDEX('Costing'!$P$9:$P$492,MATCH(D173,'Costing'!$A$9:$A$492,0))</x:f>
        <x:v>40000</x:v>
      </x:c>
      <x:c r="J173" s="17" t="n">
        <x:f>ROUND(I173*'Costing'!$C$4,2)</x:f>
        <x:v>7200</x:v>
      </x:c>
      <x:c r="K173" s="17" t="n">
        <x:f>I173+J173</x:f>
        <x:v>47200</x:v>
      </x:c>
    </x:row>
    <x:row r="174" ht="46" customHeight="1">
      <x:c r="A174" s="2" t="str">
        <x:v>Indicative size</x:v>
      </x:c>
      <x:c r="B174" s="2" t="str">
        <x:v>Small-scale prospects</x:v>
      </x:c>
      <x:c r="C174" s="12" t="str">
        <x:v>Hyderabad</x:v>
      </x:c>
      <x:c r="D174" s="12" t="str">
        <x:v>MAIN-244</x:v>
      </x:c>
      <x:c r="E174" s="12" t="str">
        <x:v>Oyo Workspace - Hitech</x:v>
      </x:c>
      <x:c r="F174" s="11" t="n">
        <x:v>2</x:v>
      </x:c>
      <x:c r="G174" s="11" t="n">
        <x:v>2</x:v>
      </x:c>
      <x:c r="H174" s="11" t="n">
        <x:v>0</x:v>
      </x:c>
      <x:c r="I174" s="17" t="n">
        <x:f>INDEX('Costing'!$P$9:$P$492,MATCH(D174,'Costing'!$A$9:$A$492,0))</x:f>
        <x:v>30000</x:v>
      </x:c>
      <x:c r="J174" s="17" t="n">
        <x:f>ROUND(I174*'Costing'!$C$4,2)</x:f>
        <x:v>5400</x:v>
      </x:c>
      <x:c r="K174" s="17" t="n">
        <x:f>I174+J174</x:f>
        <x:v>35400</x:v>
      </x:c>
    </x:row>
    <x:row r="175" ht="46" customHeight="1">
      <x:c r="A175" s="2" t="str">
        <x:v>Indicative size</x:v>
      </x:c>
      <x:c r="B175" s="2" t="str">
        <x:v>Small-scale prospects</x:v>
      </x:c>
      <x:c r="C175" s="12" t="str">
        <x:v>Hyderabad</x:v>
      </x:c>
      <x:c r="D175" s="12" t="str">
        <x:v>MAIN-246</x:v>
      </x:c>
      <x:c r="E175" s="12" t="str">
        <x:v>Purva Summit Tech Park</x:v>
      </x:c>
      <x:c r="F175" s="11" t="n">
        <x:v>1</x:v>
      </x:c>
      <x:c r="G175" s="11" t="n">
        <x:v>1</x:v>
      </x:c>
      <x:c r="H175" s="11" t="n">
        <x:v>0</x:v>
      </x:c>
      <x:c r="I175" s="17" t="n">
        <x:f>INDEX('Costing'!$P$9:$P$492,MATCH(D175,'Costing'!$A$9:$A$492,0))</x:f>
        <x:v>20000</x:v>
      </x:c>
      <x:c r="J175" s="17" t="n">
        <x:f>ROUND(I175*'Costing'!$C$4,2)</x:f>
        <x:v>3600</x:v>
      </x:c>
      <x:c r="K175" s="17" t="n">
        <x:f>I175+J175</x:f>
        <x:v>23600</x:v>
      </x:c>
    </x:row>
    <x:row r="176" ht="46" customHeight="1">
      <x:c r="A176" s="2" t="str">
        <x:v>Indicative size</x:v>
      </x:c>
      <x:c r="B176" s="2" t="str">
        <x:v>Small-scale prospects</x:v>
      </x:c>
      <x:c r="C176" s="12" t="str">
        <x:v>Hyderabad</x:v>
      </x:c>
      <x:c r="D176" s="12" t="str">
        <x:v>MAIN-247</x:v>
      </x:c>
      <x:c r="E176" s="12" t="str">
        <x:v>Quick Start - Cynosure Gachibowli</x:v>
      </x:c>
      <x:c r="F176" s="11" t="n">
        <x:v>1</x:v>
      </x:c>
      <x:c r="G176" s="11" t="n">
        <x:v>1</x:v>
      </x:c>
      <x:c r="H176" s="11" t="n">
        <x:v>0</x:v>
      </x:c>
      <x:c r="I176" s="17" t="n">
        <x:f>INDEX('Costing'!$P$9:$P$492,MATCH(D176,'Costing'!$A$9:$A$492,0))</x:f>
        <x:v>15000</x:v>
      </x:c>
      <x:c r="J176" s="17" t="n">
        <x:f>ROUND(I176*'Costing'!$C$4,2)</x:f>
        <x:v>2700</x:v>
      </x:c>
      <x:c r="K176" s="17" t="n">
        <x:f>I176+J176</x:f>
        <x:v>17700</x:v>
      </x:c>
    </x:row>
    <x:row r="177" ht="46" customHeight="1">
      <x:c r="A177" s="2" t="str">
        <x:v>Indicative size</x:v>
      </x:c>
      <x:c r="B177" s="2" t="str">
        <x:v>Small-scale prospects</x:v>
      </x:c>
      <x:c r="C177" s="12" t="str">
        <x:v>Hyderabad</x:v>
      </x:c>
      <x:c r="D177" s="12" t="str">
        <x:v>MAIN-248</x:v>
      </x:c>
      <x:c r="E177" s="12" t="str">
        <x:v>Quick Start - Madhapur</x:v>
      </x:c>
      <x:c r="F177" s="11" t="n">
        <x:v>3</x:v>
      </x:c>
      <x:c r="G177" s="11" t="n">
        <x:v>3</x:v>
      </x:c>
      <x:c r="H177" s="11" t="n">
        <x:v>0</x:v>
      </x:c>
      <x:c r="I177" s="17" t="n">
        <x:f>INDEX('Costing'!$P$9:$P$492,MATCH(D177,'Costing'!$A$9:$A$492,0))</x:f>
        <x:v>45000</x:v>
      </x:c>
      <x:c r="J177" s="17" t="n">
        <x:f>ROUND(I177*'Costing'!$C$4,2)</x:f>
        <x:v>8100</x:v>
      </x:c>
      <x:c r="K177" s="17" t="n">
        <x:f>I177+J177</x:f>
        <x:v>53100</x:v>
      </x:c>
    </x:row>
    <x:row r="178" ht="46" customHeight="1">
      <x:c r="A178" s="2" t="str">
        <x:v>Indicative size</x:v>
      </x:c>
      <x:c r="B178" s="2" t="str">
        <x:v>Small-scale prospects</x:v>
      </x:c>
      <x:c r="C178" s="12" t="str">
        <x:v>Hyderabad</x:v>
      </x:c>
      <x:c r="D178" s="12" t="str">
        <x:v>MAIN-250</x:v>
      </x:c>
      <x:c r="E178" s="12" t="str">
        <x:v>Raheja 2A (Redbrick Offices)</x:v>
      </x:c>
      <x:c r="F178" s="11" t="n">
        <x:v>1</x:v>
      </x:c>
      <x:c r="G178" s="11" t="n">
        <x:v>1</x:v>
      </x:c>
      <x:c r="H178" s="11" t="n">
        <x:v>0</x:v>
      </x:c>
      <x:c r="I178" s="17" t="n">
        <x:f>INDEX('Costing'!$P$9:$P$492,MATCH(D178,'Costing'!$A$9:$A$492,0))</x:f>
        <x:v>15000</x:v>
      </x:c>
      <x:c r="J178" s="17" t="n">
        <x:f>ROUND(I178*'Costing'!$C$4,2)</x:f>
        <x:v>2700</x:v>
      </x:c>
      <x:c r="K178" s="17" t="n">
        <x:f>I178+J178</x:f>
        <x:v>17700</x:v>
      </x:c>
    </x:row>
    <x:row r="179" ht="46" customHeight="1">
      <x:c r="A179" s="2" t="str">
        <x:v>Indicative size</x:v>
      </x:c>
      <x:c r="B179" s="2" t="str">
        <x:v>Small-scale prospects</x:v>
      </x:c>
      <x:c r="C179" s="12" t="str">
        <x:v>Hyderabad</x:v>
      </x:c>
      <x:c r="D179" s="12" t="str">
        <x:v>MAIN-251</x:v>
      </x:c>
      <x:c r="E179" s="12" t="str">
        <x:v>Raheja IT Park Tower 3</x:v>
      </x:c>
      <x:c r="F179" s="11" t="n">
        <x:v>2</x:v>
      </x:c>
      <x:c r="G179" s="11" t="n">
        <x:v>2</x:v>
      </x:c>
      <x:c r="H179" s="11" t="n">
        <x:v>0</x:v>
      </x:c>
      <x:c r="I179" s="17" t="n">
        <x:f>INDEX('Costing'!$P$9:$P$492,MATCH(D179,'Costing'!$A$9:$A$492,0))</x:f>
        <x:v>40000</x:v>
      </x:c>
      <x:c r="J179" s="17" t="n">
        <x:f>ROUND(I179*'Costing'!$C$4,2)</x:f>
        <x:v>7200</x:v>
      </x:c>
      <x:c r="K179" s="17" t="n">
        <x:f>I179+J179</x:f>
        <x:v>47200</x:v>
      </x:c>
    </x:row>
    <x:row r="180" ht="46" customHeight="1">
      <x:c r="A180" s="2" t="str">
        <x:v>Indicative size</x:v>
      </x:c>
      <x:c r="B180" s="2" t="str">
        <x:v>Small-scale prospects</x:v>
      </x:c>
      <x:c r="C180" s="12" t="str">
        <x:v>Hyderabad</x:v>
      </x:c>
      <x:c r="D180" s="12" t="str">
        <x:v>MAIN-253</x:v>
      </x:c>
      <x:c r="E180" s="12" t="str">
        <x:v>Raheja Mindspace IT Park - Madhapur</x:v>
      </x:c>
      <x:c r="F180" s="11" t="n">
        <x:v>21</x:v>
      </x:c>
      <x:c r="G180" s="11" t="n">
        <x:v>21</x:v>
      </x:c>
      <x:c r="H180" s="11" t="n">
        <x:v>0</x:v>
      </x:c>
      <x:c r="I180" s="17" t="n">
        <x:f>INDEX('Costing'!$P$9:$P$492,MATCH(D180,'Costing'!$A$9:$A$492,0))</x:f>
        <x:v>840000</x:v>
      </x:c>
      <x:c r="J180" s="17" t="n">
        <x:f>ROUND(I180*'Costing'!$C$4,2)</x:f>
        <x:v>151200</x:v>
      </x:c>
      <x:c r="K180" s="17" t="n">
        <x:f>I180+J180</x:f>
        <x:v>991200</x:v>
      </x:c>
    </x:row>
    <x:row r="181" ht="46" customHeight="1">
      <x:c r="A181" s="2" t="str">
        <x:v>Indicative size</x:v>
      </x:c>
      <x:c r="B181" s="2" t="str">
        <x:v>Small-scale prospects</x:v>
      </x:c>
      <x:c r="C181" s="12" t="str">
        <x:v>Hyderabad</x:v>
      </x:c>
      <x:c r="D181" s="12" t="str">
        <x:v>MAIN-254</x:v>
      </x:c>
      <x:c r="E181" s="12" t="str">
        <x:v>Sattva Octave (Redbrick Offices)</x:v>
      </x:c>
      <x:c r="F181" s="11" t="n">
        <x:v>1</x:v>
      </x:c>
      <x:c r="G181" s="11" t="n">
        <x:v>1</x:v>
      </x:c>
      <x:c r="H181" s="11" t="n">
        <x:v>0</x:v>
      </x:c>
      <x:c r="I181" s="17" t="n">
        <x:f>INDEX('Costing'!$P$9:$P$492,MATCH(D181,'Costing'!$A$9:$A$492,0))</x:f>
        <x:v>15000</x:v>
      </x:c>
      <x:c r="J181" s="17" t="n">
        <x:f>ROUND(I181*'Costing'!$C$4,2)</x:f>
        <x:v>2700</x:v>
      </x:c>
      <x:c r="K181" s="17" t="n">
        <x:f>I181+J181</x:f>
        <x:v>17700</x:v>
      </x:c>
    </x:row>
    <x:row r="182" ht="46" customHeight="1">
      <x:c r="A182" s="2" t="str">
        <x:v>Indicative size</x:v>
      </x:c>
      <x:c r="B182" s="2" t="str">
        <x:v>Small-scale prospects</x:v>
      </x:c>
      <x:c r="C182" s="12" t="str">
        <x:v>Hyderabad</x:v>
      </x:c>
      <x:c r="D182" s="12" t="str">
        <x:v>MAIN-255</x:v>
      </x:c>
      <x:c r="E182" s="12" t="str">
        <x:v>Sattva Orwell (Redbrick Offices)</x:v>
      </x:c>
      <x:c r="F182" s="11" t="n">
        <x:v>3</x:v>
      </x:c>
      <x:c r="G182" s="11" t="n">
        <x:v>3</x:v>
      </x:c>
      <x:c r="H182" s="11" t="n">
        <x:v>0</x:v>
      </x:c>
      <x:c r="I182" s="17" t="n">
        <x:f>INDEX('Costing'!$P$9:$P$492,MATCH(D182,'Costing'!$A$9:$A$492,0))</x:f>
        <x:v>45000</x:v>
      </x:c>
      <x:c r="J182" s="17" t="n">
        <x:f>ROUND(I182*'Costing'!$C$4,2)</x:f>
        <x:v>8100</x:v>
      </x:c>
      <x:c r="K182" s="17" t="n">
        <x:f>I182+J182</x:f>
        <x:v>53100</x:v>
      </x:c>
    </x:row>
    <x:row r="183" ht="46" customHeight="1">
      <x:c r="A183" s="2" t="str">
        <x:v>Indicative size</x:v>
      </x:c>
      <x:c r="B183" s="2" t="str">
        <x:v>Small-scale prospects</x:v>
      </x:c>
      <x:c r="C183" s="12" t="str">
        <x:v>Hyderabad</x:v>
      </x:c>
      <x:c r="D183" s="12" t="str">
        <x:v>MAIN-256</x:v>
      </x:c>
      <x:c r="E183" s="12" t="str">
        <x:v>Sohini Tech Park (TS)</x:v>
      </x:c>
      <x:c r="F183" s="11" t="n">
        <x:v>2</x:v>
      </x:c>
      <x:c r="G183" s="11" t="n">
        <x:v>2</x:v>
      </x:c>
      <x:c r="H183" s="11" t="n">
        <x:v>0</x:v>
      </x:c>
      <x:c r="I183" s="17" t="n">
        <x:f>INDEX('Costing'!$P$9:$P$492,MATCH(D183,'Costing'!$A$9:$A$492,0))</x:f>
        <x:v>80000</x:v>
      </x:c>
      <x:c r="J183" s="17" t="n">
        <x:f>ROUND(I183*'Costing'!$C$4,2)</x:f>
        <x:v>14400</x:v>
      </x:c>
      <x:c r="K183" s="17" t="n">
        <x:f>I183+J183</x:f>
        <x:v>94400</x:v>
      </x:c>
    </x:row>
    <x:row r="184" ht="46" customHeight="1">
      <x:c r="A184" s="2" t="str">
        <x:v>Indicative size</x:v>
      </x:c>
      <x:c r="B184" s="2" t="str">
        <x:v>Small-scale prospects</x:v>
      </x:c>
      <x:c r="C184" s="12" t="str">
        <x:v>Hyderabad</x:v>
      </x:c>
      <x:c r="D184" s="12" t="str">
        <x:v>MAIN-257</x:v>
      </x:c>
      <x:c r="E184" s="12" t="str">
        <x:v>Symbyont Smart Space Aurobindo Orbit</x:v>
      </x:c>
      <x:c r="F184" s="11" t="n">
        <x:v>2</x:v>
      </x:c>
      <x:c r="G184" s="11" t="n">
        <x:v>2</x:v>
      </x:c>
      <x:c r="H184" s="11" t="n">
        <x:v>0</x:v>
      </x:c>
      <x:c r="I184" s="17" t="n">
        <x:f>INDEX('Costing'!$P$9:$P$492,MATCH(D184,'Costing'!$A$9:$A$492,0))</x:f>
        <x:v>40000</x:v>
      </x:c>
      <x:c r="J184" s="17" t="n">
        <x:f>ROUND(I184*'Costing'!$C$4,2)</x:f>
        <x:v>7200</x:v>
      </x:c>
      <x:c r="K184" s="17" t="n">
        <x:f>I184+J184</x:f>
        <x:v>47200</x:v>
      </x:c>
    </x:row>
    <x:row r="185" ht="46" customHeight="1">
      <x:c r="A185" s="2" t="str">
        <x:v>Indicative size</x:v>
      </x:c>
      <x:c r="B185" s="2" t="str">
        <x:v>Small-scale prospects</x:v>
      </x:c>
      <x:c r="C185" s="12" t="str">
        <x:v>Hyderabad</x:v>
      </x:c>
      <x:c r="D185" s="12" t="str">
        <x:v>MAIN-258</x:v>
      </x:c>
      <x:c r="E185" s="12" t="str">
        <x:v>Symbyont Smart Space Dallas Centre</x:v>
      </x:c>
      <x:c r="F185" s="11" t="n">
        <x:v>5</x:v>
      </x:c>
      <x:c r="G185" s="11" t="n">
        <x:v>5</x:v>
      </x:c>
      <x:c r="H185" s="11" t="n">
        <x:v>0</x:v>
      </x:c>
      <x:c r="I185" s="17" t="n">
        <x:f>INDEX('Costing'!$P$9:$P$492,MATCH(D185,'Costing'!$A$9:$A$492,0))</x:f>
        <x:v>200000</x:v>
      </x:c>
      <x:c r="J185" s="17" t="n">
        <x:f>ROUND(I185*'Costing'!$C$4,2)</x:f>
        <x:v>36000</x:v>
      </x:c>
      <x:c r="K185" s="17" t="n">
        <x:f>I185+J185</x:f>
        <x:v>236000</x:v>
      </x:c>
    </x:row>
    <x:row r="186" ht="46" customHeight="1">
      <x:c r="A186" s="2" t="str">
        <x:v>Indicative size</x:v>
      </x:c>
      <x:c r="B186" s="2" t="str">
        <x:v>Small-scale prospects</x:v>
      </x:c>
      <x:c r="C186" s="12" t="str">
        <x:v>Hyderabad</x:v>
      </x:c>
      <x:c r="D186" s="12" t="str">
        <x:v>MAIN-259</x:v>
      </x:c>
      <x:c r="E186" s="12" t="str">
        <x:v>Symbyont Smart Space Rajapushpa Summit</x:v>
      </x:c>
      <x:c r="F186" s="11" t="n">
        <x:v>1</x:v>
      </x:c>
      <x:c r="G186" s="11" t="n">
        <x:v>1</x:v>
      </x:c>
      <x:c r="H186" s="11" t="n">
        <x:v>0</x:v>
      </x:c>
      <x:c r="I186" s="17" t="n">
        <x:f>INDEX('Costing'!$P$9:$P$492,MATCH(D186,'Costing'!$A$9:$A$492,0))</x:f>
        <x:v>20000</x:v>
      </x:c>
      <x:c r="J186" s="17" t="n">
        <x:f>ROUND(I186*'Costing'!$C$4,2)</x:f>
        <x:v>3600</x:v>
      </x:c>
      <x:c r="K186" s="17" t="n">
        <x:f>I186+J186</x:f>
        <x:v>23600</x:v>
      </x:c>
    </x:row>
    <x:row r="187" ht="46" customHeight="1">
      <x:c r="A187" s="2" t="str">
        <x:v>Indicative size</x:v>
      </x:c>
      <x:c r="B187" s="2" t="str">
        <x:v>Small-scale prospects</x:v>
      </x:c>
      <x:c r="C187" s="12" t="str">
        <x:v>Hyderabad</x:v>
      </x:c>
      <x:c r="D187" s="12" t="str">
        <x:v>MAIN-260</x:v>
      </x:c>
      <x:c r="E187" s="12" t="str">
        <x:v>T-Hub</x:v>
      </x:c>
      <x:c r="F187" s="11" t="n">
        <x:v>22</x:v>
      </x:c>
      <x:c r="G187" s="11" t="n">
        <x:v>22</x:v>
      </x:c>
      <x:c r="H187" s="11" t="n">
        <x:v>0</x:v>
      </x:c>
      <x:c r="I187" s="17" t="n">
        <x:f>INDEX('Costing'!$P$9:$P$492,MATCH(D187,'Costing'!$A$9:$A$492,0))</x:f>
        <x:v>715000</x:v>
      </x:c>
      <x:c r="J187" s="17" t="n">
        <x:f>ROUND(I187*'Costing'!$C$4,2)</x:f>
        <x:v>128700</x:v>
      </x:c>
      <x:c r="K187" s="17" t="n">
        <x:f>I187+J187</x:f>
        <x:v>843700</x:v>
      </x:c>
    </x:row>
    <x:row r="188" ht="46" customHeight="1">
      <x:c r="A188" s="2" t="str">
        <x:v>Indicative size</x:v>
      </x:c>
      <x:c r="B188" s="2" t="str">
        <x:v>Small-scale prospects</x:v>
      </x:c>
      <x:c r="C188" s="12" t="str">
        <x:v>Hyderabad</x:v>
      </x:c>
      <x:c r="D188" s="12" t="str">
        <x:v>MAIN-261</x:v>
      </x:c>
      <x:c r="E188" s="12" t="str">
        <x:v>Vasavi Sky city</x:v>
      </x:c>
      <x:c r="F188" s="11" t="n">
        <x:v>10</x:v>
      </x:c>
      <x:c r="G188" s="11" t="n">
        <x:v>10</x:v>
      </x:c>
      <x:c r="H188" s="11" t="n">
        <x:v>0</x:v>
      </x:c>
      <x:c r="I188" s="17" t="n">
        <x:f>INDEX('Costing'!$P$9:$P$492,MATCH(D188,'Costing'!$A$9:$A$492,0))</x:f>
        <x:v>325000</x:v>
      </x:c>
      <x:c r="J188" s="17" t="n">
        <x:f>ROUND(I188*'Costing'!$C$4,2)</x:f>
        <x:v>58500</x:v>
      </x:c>
      <x:c r="K188" s="17" t="n">
        <x:f>I188+J188</x:f>
        <x:v>383500</x:v>
      </x:c>
    </x:row>
    <x:row r="189" ht="46" customHeight="1">
      <x:c r="A189" s="2" t="str">
        <x:v>Indicative size</x:v>
      </x:c>
      <x:c r="B189" s="2" t="str">
        <x:v>Small-scale prospects</x:v>
      </x:c>
      <x:c r="C189" s="12" t="str">
        <x:v>Hyderabad</x:v>
      </x:c>
      <x:c r="D189" s="12" t="str">
        <x:v>MAIN-262</x:v>
      </x:c>
      <x:c r="E189" s="12" t="str">
        <x:v>Wework - Krishe Emerald</x:v>
      </x:c>
      <x:c r="F189" s="11" t="n">
        <x:v>9</x:v>
      </x:c>
      <x:c r="G189" s="11" t="n">
        <x:v>9</x:v>
      </x:c>
      <x:c r="H189" s="11" t="n">
        <x:v>0</x:v>
      </x:c>
      <x:c r="I189" s="17" t="n">
        <x:f>INDEX('Costing'!$P$9:$P$492,MATCH(D189,'Costing'!$A$9:$A$492,0))</x:f>
        <x:v>225000</x:v>
      </x:c>
      <x:c r="J189" s="17" t="n">
        <x:f>ROUND(I189*'Costing'!$C$4,2)</x:f>
        <x:v>40500</x:v>
      </x:c>
      <x:c r="K189" s="17" t="n">
        <x:f>I189+J189</x:f>
        <x:v>265500</x:v>
      </x:c>
    </x:row>
    <x:row r="190" ht="46" customHeight="1">
      <x:c r="A190" s="2" t="str">
        <x:v>Indicative size</x:v>
      </x:c>
      <x:c r="B190" s="2" t="str">
        <x:v>Small-scale prospects</x:v>
      </x:c>
      <x:c r="C190" s="12" t="str">
        <x:v>Hyderabad</x:v>
      </x:c>
      <x:c r="D190" s="12" t="str">
        <x:v>MAIN-263</x:v>
      </x:c>
      <x:c r="E190" s="12" t="str">
        <x:v>WeWork - Mindspace</x:v>
      </x:c>
      <x:c r="F190" s="11" t="n">
        <x:v>1</x:v>
      </x:c>
      <x:c r="G190" s="11" t="n">
        <x:v>1</x:v>
      </x:c>
      <x:c r="H190" s="11" t="n">
        <x:v>0</x:v>
      </x:c>
      <x:c r="I190" s="17" t="n">
        <x:f>INDEX('Costing'!$P$9:$P$492,MATCH(D190,'Costing'!$A$9:$A$492,0))</x:f>
        <x:v>25000</x:v>
      </x:c>
      <x:c r="J190" s="17" t="n">
        <x:f>ROUND(I190*'Costing'!$C$4,2)</x:f>
        <x:v>4500</x:v>
      </x:c>
      <x:c r="K190" s="17" t="n">
        <x:f>I190+J190</x:f>
        <x:v>29500</x:v>
      </x:c>
    </x:row>
    <x:row r="191" ht="46" customHeight="1">
      <x:c r="A191" s="2" t="str">
        <x:v>Indicative size</x:v>
      </x:c>
      <x:c r="B191" s="2" t="str">
        <x:v>Small-scale prospects</x:v>
      </x:c>
      <x:c r="C191" s="12" t="str">
        <x:v>Hyderabad</x:v>
      </x:c>
      <x:c r="D191" s="12" t="str">
        <x:v>MAIN-264</x:v>
      </x:c>
      <x:c r="E191" s="12" t="str">
        <x:v>Wework - Rajapushpa Summit</x:v>
      </x:c>
      <x:c r="F191" s="11" t="n">
        <x:v>4</x:v>
      </x:c>
      <x:c r="G191" s="11" t="n">
        <x:v>4</x:v>
      </x:c>
      <x:c r="H191" s="11" t="n">
        <x:v>0</x:v>
      </x:c>
      <x:c r="I191" s="17" t="n">
        <x:f>INDEX('Costing'!$P$9:$P$492,MATCH(D191,'Costing'!$A$9:$A$492,0))</x:f>
        <x:v>100000</x:v>
      </x:c>
      <x:c r="J191" s="17" t="n">
        <x:f>ROUND(I191*'Costing'!$C$4,2)</x:f>
        <x:v>18000</x:v>
      </x:c>
      <x:c r="K191" s="17" t="n">
        <x:f>I191+J191</x:f>
        <x:v>118000</x:v>
      </x:c>
    </x:row>
    <x:row r="192" ht="46" customHeight="1">
      <x:c r="A192" s="2" t="str">
        <x:v>Indicative size</x:v>
      </x:c>
      <x:c r="B192" s="2" t="str">
        <x:v>Small-scale prospects</x:v>
      </x:c>
      <x:c r="C192" s="12" t="str">
        <x:v>Hyderabad</x:v>
      </x:c>
      <x:c r="D192" s="12" t="str">
        <x:v>MAIN-265</x:v>
      </x:c>
      <x:c r="E192" s="12" t="str">
        <x:v>WeWork - RMZ Spire</x:v>
      </x:c>
      <x:c r="F192" s="11" t="n">
        <x:v>4</x:v>
      </x:c>
      <x:c r="G192" s="11" t="n">
        <x:v>4</x:v>
      </x:c>
      <x:c r="H192" s="11" t="n">
        <x:v>0</x:v>
      </x:c>
      <x:c r="I192" s="17" t="n">
        <x:f>INDEX('Costing'!$P$9:$P$492,MATCH(D192,'Costing'!$A$9:$A$492,0))</x:f>
        <x:v>100000</x:v>
      </x:c>
      <x:c r="J192" s="17" t="n">
        <x:f>ROUND(I192*'Costing'!$C$4,2)</x:f>
        <x:v>18000</x:v>
      </x:c>
      <x:c r="K192" s="17" t="n">
        <x:f>I192+J192</x:f>
        <x:v>118000</x:v>
      </x:c>
    </x:row>
    <x:row r="193" ht="46" customHeight="1">
      <x:c r="A193" s="2" t="str">
        <x:v>Indicative size</x:v>
      </x:c>
      <x:c r="B193" s="2" t="str">
        <x:v>Small-scale prospects</x:v>
      </x:c>
      <x:c r="C193" s="12" t="str">
        <x:v>Indore</x:v>
      </x:c>
      <x:c r="D193" s="12" t="str">
        <x:v>MAIN-266</x:v>
      </x:c>
      <x:c r="E193" s="12" t="str">
        <x:v>Airen Heights</x:v>
      </x:c>
      <x:c r="F193" s="11" t="n">
        <x:v>1</x:v>
      </x:c>
      <x:c r="G193" s="11" t="n">
        <x:v>1</x:v>
      </x:c>
      <x:c r="H193" s="11" t="n">
        <x:v>0</x:v>
      </x:c>
      <x:c r="I193" s="17" t="n">
        <x:f>INDEX('Costing'!$P$9:$P$492,MATCH(D193,'Costing'!$A$9:$A$492,0))</x:f>
        <x:v>20000</x:v>
      </x:c>
      <x:c r="J193" s="17" t="n">
        <x:f>ROUND(I193*'Costing'!$C$4,2)</x:f>
        <x:v>3600</x:v>
      </x:c>
      <x:c r="K193" s="17" t="n">
        <x:f>I193+J193</x:f>
        <x:v>23600</x:v>
      </x:c>
    </x:row>
    <x:row r="194" ht="46" customHeight="1">
      <x:c r="A194" s="2" t="str">
        <x:v>Indicative size</x:v>
      </x:c>
      <x:c r="B194" s="2" t="str">
        <x:v>Small-scale prospects</x:v>
      </x:c>
      <x:c r="C194" s="12" t="str">
        <x:v>Indore</x:v>
      </x:c>
      <x:c r="D194" s="12" t="str">
        <x:v>MAIN-267</x:v>
      </x:c>
      <x:c r="E194" s="12" t="str">
        <x:v>Apollo Gold Plaza</x:v>
      </x:c>
      <x:c r="F194" s="11" t="n">
        <x:v>2</x:v>
      </x:c>
      <x:c r="G194" s="11" t="n">
        <x:v>2</x:v>
      </x:c>
      <x:c r="H194" s="11" t="n">
        <x:v>0</x:v>
      </x:c>
      <x:c r="I194" s="17" t="n">
        <x:f>INDEX('Costing'!$P$9:$P$492,MATCH(D194,'Costing'!$A$9:$A$492,0))</x:f>
        <x:v>40000</x:v>
      </x:c>
      <x:c r="J194" s="17" t="n">
        <x:f>ROUND(I194*'Costing'!$C$4,2)</x:f>
        <x:v>7200</x:v>
      </x:c>
      <x:c r="K194" s="17" t="n">
        <x:f>I194+J194</x:f>
        <x:v>47200</x:v>
      </x:c>
    </x:row>
    <x:row r="195" ht="46" customHeight="1">
      <x:c r="A195" s="2" t="str">
        <x:v>Indicative size</x:v>
      </x:c>
      <x:c r="B195" s="2" t="str">
        <x:v>Small-scale prospects</x:v>
      </x:c>
      <x:c r="C195" s="12" t="str">
        <x:v>Indore</x:v>
      </x:c>
      <x:c r="D195" s="12" t="str">
        <x:v>MAIN-268</x:v>
      </x:c>
      <x:c r="E195" s="12" t="str">
        <x:v>Apollo Premier</x:v>
      </x:c>
      <x:c r="F195" s="11" t="n">
        <x:v>2</x:v>
      </x:c>
      <x:c r="G195" s="11" t="n">
        <x:v>2</x:v>
      </x:c>
      <x:c r="H195" s="11" t="n">
        <x:v>0</x:v>
      </x:c>
      <x:c r="I195" s="17" t="n">
        <x:f>INDEX('Costing'!$P$9:$P$492,MATCH(D195,'Costing'!$A$9:$A$492,0))</x:f>
        <x:v>80000</x:v>
      </x:c>
      <x:c r="J195" s="17" t="n">
        <x:f>ROUND(I195*'Costing'!$C$4,2)</x:f>
        <x:v>14400</x:v>
      </x:c>
      <x:c r="K195" s="17" t="n">
        <x:f>I195+J195</x:f>
        <x:v>94400</x:v>
      </x:c>
    </x:row>
    <x:row r="196" ht="46" customHeight="1">
      <x:c r="A196" s="2" t="str">
        <x:v>Indicative size</x:v>
      </x:c>
      <x:c r="B196" s="2" t="str">
        <x:v>Small-scale prospects</x:v>
      </x:c>
      <x:c r="C196" s="12" t="str">
        <x:v>Indore</x:v>
      </x:c>
      <x:c r="D196" s="12" t="str">
        <x:v>MAIN-269</x:v>
      </x:c>
      <x:c r="E196" s="12" t="str">
        <x:v>Benchmark</x:v>
      </x:c>
      <x:c r="F196" s="11" t="n">
        <x:v>1</x:v>
      </x:c>
      <x:c r="G196" s="11" t="n">
        <x:v>1</x:v>
      </x:c>
      <x:c r="H196" s="11" t="n">
        <x:v>0</x:v>
      </x:c>
      <x:c r="I196" s="17" t="n">
        <x:f>INDEX('Costing'!$P$9:$P$492,MATCH(D196,'Costing'!$A$9:$A$492,0))</x:f>
        <x:v>40000</x:v>
      </x:c>
      <x:c r="J196" s="17" t="n">
        <x:f>ROUND(I196*'Costing'!$C$4,2)</x:f>
        <x:v>7200</x:v>
      </x:c>
      <x:c r="K196" s="17" t="n">
        <x:f>I196+J196</x:f>
        <x:v>47200</x:v>
      </x:c>
    </x:row>
    <x:row r="197" ht="46" customHeight="1">
      <x:c r="A197" s="2" t="str">
        <x:v>Indicative size</x:v>
      </x:c>
      <x:c r="B197" s="2" t="str">
        <x:v>Small-scale prospects</x:v>
      </x:c>
      <x:c r="C197" s="12" t="str">
        <x:v>Indore</x:v>
      </x:c>
      <x:c r="D197" s="12" t="str">
        <x:v>MAIN-270</x:v>
      </x:c>
      <x:c r="E197" s="12" t="str">
        <x:v>Cliffton Corporate</x:v>
      </x:c>
      <x:c r="F197" s="11" t="n">
        <x:v>1</x:v>
      </x:c>
      <x:c r="G197" s="11" t="n">
        <x:v>1</x:v>
      </x:c>
      <x:c r="H197" s="11" t="n">
        <x:v>0</x:v>
      </x:c>
      <x:c r="I197" s="17" t="n">
        <x:f>INDEX('Costing'!$P$9:$P$492,MATCH(D197,'Costing'!$A$9:$A$492,0))</x:f>
        <x:v>20000</x:v>
      </x:c>
      <x:c r="J197" s="17" t="n">
        <x:f>ROUND(I197*'Costing'!$C$4,2)</x:f>
        <x:v>3600</x:v>
      </x:c>
      <x:c r="K197" s="17" t="n">
        <x:f>I197+J197</x:f>
        <x:v>23600</x:v>
      </x:c>
    </x:row>
    <x:row r="198" ht="46" customHeight="1">
      <x:c r="A198" s="2" t="str">
        <x:v>Indicative size</x:v>
      </x:c>
      <x:c r="B198" s="2" t="str">
        <x:v>Small-scale prospects</x:v>
      </x:c>
      <x:c r="C198" s="12" t="str">
        <x:v>Indore</x:v>
      </x:c>
      <x:c r="D198" s="12" t="str">
        <x:v>MAIN-272</x:v>
      </x:c>
      <x:c r="E198" s="12" t="str">
        <x:v>Maloo - 01</x:v>
      </x:c>
      <x:c r="F198" s="11" t="n">
        <x:v>1</x:v>
      </x:c>
      <x:c r="G198" s="11" t="n">
        <x:v>1</x:v>
      </x:c>
      <x:c r="H198" s="11" t="n">
        <x:v>0</x:v>
      </x:c>
      <x:c r="I198" s="17" t="n">
        <x:f>INDEX('Costing'!$P$9:$P$492,MATCH(D198,'Costing'!$A$9:$A$492,0))</x:f>
        <x:v>20000</x:v>
      </x:c>
      <x:c r="J198" s="17" t="n">
        <x:f>ROUND(I198*'Costing'!$C$4,2)</x:f>
        <x:v>3600</x:v>
      </x:c>
      <x:c r="K198" s="17" t="n">
        <x:f>I198+J198</x:f>
        <x:v>23600</x:v>
      </x:c>
    </x:row>
    <x:row r="199" ht="46" customHeight="1">
      <x:c r="A199" s="2" t="str">
        <x:v>Indicative size</x:v>
      </x:c>
      <x:c r="B199" s="2" t="str">
        <x:v>Small-scale prospects</x:v>
      </x:c>
      <x:c r="C199" s="12" t="str">
        <x:v>Indore</x:v>
      </x:c>
      <x:c r="D199" s="12" t="str">
        <x:v>MAIN-273</x:v>
      </x:c>
      <x:c r="E199" s="12" t="str">
        <x:v>Metro Tower</x:v>
      </x:c>
      <x:c r="F199" s="11" t="n">
        <x:v>2</x:v>
      </x:c>
      <x:c r="G199" s="11" t="n">
        <x:v>2</x:v>
      </x:c>
      <x:c r="H199" s="11" t="n">
        <x:v>0</x:v>
      </x:c>
      <x:c r="I199" s="17" t="n">
        <x:f>INDEX('Costing'!$P$9:$P$492,MATCH(D199,'Costing'!$A$9:$A$492,0))</x:f>
        <x:v>40000</x:v>
      </x:c>
      <x:c r="J199" s="17" t="n">
        <x:f>ROUND(I199*'Costing'!$C$4,2)</x:f>
        <x:v>7200</x:v>
      </x:c>
      <x:c r="K199" s="17" t="n">
        <x:f>I199+J199</x:f>
        <x:v>47200</x:v>
      </x:c>
    </x:row>
    <x:row r="200" ht="46" customHeight="1">
      <x:c r="A200" s="2" t="str">
        <x:v>Indicative size</x:v>
      </x:c>
      <x:c r="B200" s="2" t="str">
        <x:v>Small-scale prospects</x:v>
      </x:c>
      <x:c r="C200" s="12" t="str">
        <x:v>Indore</x:v>
      </x:c>
      <x:c r="D200" s="12" t="str">
        <x:v>MAIN-274</x:v>
      </x:c>
      <x:c r="E200" s="12" t="str">
        <x:v>Princess Sky Line</x:v>
      </x:c>
      <x:c r="F200" s="11" t="n">
        <x:v>1</x:v>
      </x:c>
      <x:c r="G200" s="11" t="n">
        <x:v>1</x:v>
      </x:c>
      <x:c r="H200" s="11" t="n">
        <x:v>0</x:v>
      </x:c>
      <x:c r="I200" s="17" t="n">
        <x:f>INDEX('Costing'!$P$9:$P$492,MATCH(D200,'Costing'!$A$9:$A$492,0))</x:f>
        <x:v>40000</x:v>
      </x:c>
      <x:c r="J200" s="17" t="n">
        <x:f>ROUND(I200*'Costing'!$C$4,2)</x:f>
        <x:v>7200</x:v>
      </x:c>
      <x:c r="K200" s="17" t="n">
        <x:f>I200+J200</x:f>
        <x:v>47200</x:v>
      </x:c>
    </x:row>
    <x:row r="201" ht="46" customHeight="1">
      <x:c r="A201" s="2" t="str">
        <x:v>Indicative size</x:v>
      </x:c>
      <x:c r="B201" s="2" t="str">
        <x:v>Small-scale prospects</x:v>
      </x:c>
      <x:c r="C201" s="12" t="str">
        <x:v>Indore</x:v>
      </x:c>
      <x:c r="D201" s="12" t="str">
        <x:v>MAIN-275</x:v>
      </x:c>
      <x:c r="E201" s="12" t="str">
        <x:v>Princess Sky Park</x:v>
      </x:c>
      <x:c r="F201" s="11" t="n">
        <x:v>1</x:v>
      </x:c>
      <x:c r="G201" s="11" t="n">
        <x:v>1</x:v>
      </x:c>
      <x:c r="H201" s="11" t="n">
        <x:v>0</x:v>
      </x:c>
      <x:c r="I201" s="17" t="n">
        <x:f>INDEX('Costing'!$P$9:$P$492,MATCH(D201,'Costing'!$A$9:$A$492,0))</x:f>
        <x:v>40000</x:v>
      </x:c>
      <x:c r="J201" s="17" t="n">
        <x:f>ROUND(I201*'Costing'!$C$4,2)</x:f>
        <x:v>7200</x:v>
      </x:c>
      <x:c r="K201" s="17" t="n">
        <x:f>I201+J201</x:f>
        <x:v>47200</x:v>
      </x:c>
    </x:row>
    <x:row r="202" ht="46" customHeight="1">
      <x:c r="A202" s="2" t="str">
        <x:v>Indicative size</x:v>
      </x:c>
      <x:c r="B202" s="2" t="str">
        <x:v>Small-scale prospects</x:v>
      </x:c>
      <x:c r="C202" s="12" t="str">
        <x:v>Kochi</x:v>
      </x:c>
      <x:c r="D202" s="12" t="str">
        <x:v>MAIN-277</x:v>
      </x:c>
      <x:c r="E202" s="12" t="str">
        <x:v>Awfis - Mezmatrix</x:v>
      </x:c>
      <x:c r="F202" s="11" t="n">
        <x:v>2</x:v>
      </x:c>
      <x:c r="G202" s="11" t="n">
        <x:v>2</x:v>
      </x:c>
      <x:c r="H202" s="11" t="n">
        <x:v>0</x:v>
      </x:c>
      <x:c r="I202" s="17" t="n">
        <x:f>INDEX('Costing'!$P$9:$P$492,MATCH(D202,'Costing'!$A$9:$A$492,0))</x:f>
        <x:v>30000</x:v>
      </x:c>
      <x:c r="J202" s="17" t="n">
        <x:f>ROUND(I202*'Costing'!$C$4,2)</x:f>
        <x:v>5400</x:v>
      </x:c>
      <x:c r="K202" s="17" t="n">
        <x:f>I202+J202</x:f>
        <x:v>35400</x:v>
      </x:c>
    </x:row>
    <x:row r="203" ht="46" customHeight="1">
      <x:c r="A203" s="2" t="str">
        <x:v>Indicative size</x:v>
      </x:c>
      <x:c r="B203" s="2" t="str">
        <x:v>Small-scale prospects</x:v>
      </x:c>
      <x:c r="C203" s="12" t="str">
        <x:v>Kolkata</x:v>
      </x:c>
      <x:c r="D203" s="12" t="str">
        <x:v>MAIN-278</x:v>
      </x:c>
      <x:c r="E203" s="12" t="str">
        <x:v>Awfis - Acropolis Mall</x:v>
      </x:c>
      <x:c r="F203" s="11" t="n">
        <x:v>1</x:v>
      </x:c>
      <x:c r="G203" s="11" t="n">
        <x:v>1</x:v>
      </x:c>
      <x:c r="H203" s="11" t="n">
        <x:v>0</x:v>
      </x:c>
      <x:c r="I203" s="17" t="n">
        <x:f>INDEX('Costing'!$P$9:$P$492,MATCH(D203,'Costing'!$A$9:$A$492,0))</x:f>
        <x:v>15000</x:v>
      </x:c>
      <x:c r="J203" s="17" t="n">
        <x:f>ROUND(I203*'Costing'!$C$4,2)</x:f>
        <x:v>2700</x:v>
      </x:c>
      <x:c r="K203" s="17" t="n">
        <x:f>I203+J203</x:f>
        <x:v>17700</x:v>
      </x:c>
    </x:row>
    <x:row r="204" ht="46" customHeight="1">
      <x:c r="A204" s="2" t="str">
        <x:v>Indicative size</x:v>
      </x:c>
      <x:c r="B204" s="2" t="str">
        <x:v>Small-scale prospects</x:v>
      </x:c>
      <x:c r="C204" s="12" t="str">
        <x:v>Kolkata</x:v>
      </x:c>
      <x:c r="D204" s="12" t="str">
        <x:v>MAIN-280</x:v>
      </x:c>
      <x:c r="E204" s="12" t="str">
        <x:v>Awfis - Eco Center</x:v>
      </x:c>
      <x:c r="F204" s="11" t="n">
        <x:v>2</x:v>
      </x:c>
      <x:c r="G204" s="11" t="n">
        <x:v>2</x:v>
      </x:c>
      <x:c r="H204" s="11" t="n">
        <x:v>0</x:v>
      </x:c>
      <x:c r="I204" s="17" t="n">
        <x:f>INDEX('Costing'!$P$9:$P$492,MATCH(D204,'Costing'!$A$9:$A$492,0))</x:f>
        <x:v>30000</x:v>
      </x:c>
      <x:c r="J204" s="17" t="n">
        <x:f>ROUND(I204*'Costing'!$C$4,2)</x:f>
        <x:v>5400</x:v>
      </x:c>
      <x:c r="K204" s="17" t="n">
        <x:f>I204+J204</x:f>
        <x:v>35400</x:v>
      </x:c>
    </x:row>
    <x:row r="205" ht="46" customHeight="1">
      <x:c r="A205" s="2" t="str">
        <x:v>Indicative size</x:v>
      </x:c>
      <x:c r="B205" s="2" t="str">
        <x:v>Small-scale prospects</x:v>
      </x:c>
      <x:c r="C205" s="12" t="str">
        <x:v>Kolkata</x:v>
      </x:c>
      <x:c r="D205" s="12" t="str">
        <x:v>MAIN-281</x:v>
      </x:c>
      <x:c r="E205" s="12" t="str">
        <x:v>Awfis - Ecospace Business Park</x:v>
      </x:c>
      <x:c r="F205" s="11" t="n">
        <x:v>1</x:v>
      </x:c>
      <x:c r="G205" s="11" t="n">
        <x:v>1</x:v>
      </x:c>
      <x:c r="H205" s="11" t="n">
        <x:v>0</x:v>
      </x:c>
      <x:c r="I205" s="17" t="n">
        <x:f>INDEX('Costing'!$P$9:$P$492,MATCH(D205,'Costing'!$A$9:$A$492,0))</x:f>
        <x:v>15000</x:v>
      </x:c>
      <x:c r="J205" s="17" t="n">
        <x:f>ROUND(I205*'Costing'!$C$4,2)</x:f>
        <x:v>2700</x:v>
      </x:c>
      <x:c r="K205" s="17" t="n">
        <x:f>I205+J205</x:f>
        <x:v>17700</x:v>
      </x:c>
    </x:row>
    <x:row r="206" ht="46" customHeight="1">
      <x:c r="A206" s="2" t="str">
        <x:v>Indicative size</x:v>
      </x:c>
      <x:c r="B206" s="2" t="str">
        <x:v>Small-scale prospects</x:v>
      </x:c>
      <x:c r="C206" s="12" t="str">
        <x:v>Kolkata</x:v>
      </x:c>
      <x:c r="D206" s="12" t="str">
        <x:v>MAIN-282</x:v>
      </x:c>
      <x:c r="E206" s="12" t="str">
        <x:v>Awfis - Ecospace Business Park 2</x:v>
      </x:c>
      <x:c r="F206" s="11" t="n">
        <x:v>2</x:v>
      </x:c>
      <x:c r="G206" s="11" t="n">
        <x:v>2</x:v>
      </x:c>
      <x:c r="H206" s="11" t="n">
        <x:v>0</x:v>
      </x:c>
      <x:c r="I206" s="17" t="n">
        <x:f>INDEX('Costing'!$P$9:$P$492,MATCH(D206,'Costing'!$A$9:$A$492,0))</x:f>
        <x:v>30000</x:v>
      </x:c>
      <x:c r="J206" s="17" t="n">
        <x:f>ROUND(I206*'Costing'!$C$4,2)</x:f>
        <x:v>5400</x:v>
      </x:c>
      <x:c r="K206" s="17" t="n">
        <x:f>I206+J206</x:f>
        <x:v>35400</x:v>
      </x:c>
    </x:row>
    <x:row r="207" ht="46" customHeight="1">
      <x:c r="A207" s="2" t="str">
        <x:v>Indicative size</x:v>
      </x:c>
      <x:c r="B207" s="2" t="str">
        <x:v>Small-scale prospects</x:v>
      </x:c>
      <x:c r="C207" s="12" t="str">
        <x:v>Kolkata</x:v>
      </x:c>
      <x:c r="D207" s="12" t="str">
        <x:v>MAIN-286</x:v>
      </x:c>
      <x:c r="E207" s="12" t="str">
        <x:v>Awfis GWS</x:v>
      </x:c>
      <x:c r="F207" s="11" t="n">
        <x:v>8</x:v>
      </x:c>
      <x:c r="G207" s="11" t="n">
        <x:v>8</x:v>
      </x:c>
      <x:c r="H207" s="11" t="n">
        <x:v>0</x:v>
      </x:c>
      <x:c r="I207" s="17" t="n">
        <x:f>INDEX('Costing'!$P$9:$P$492,MATCH(D207,'Costing'!$A$9:$A$492,0))</x:f>
        <x:v>120000</x:v>
      </x:c>
      <x:c r="J207" s="17" t="n">
        <x:f>ROUND(I207*'Costing'!$C$4,2)</x:f>
        <x:v>21600</x:v>
      </x:c>
      <x:c r="K207" s="17" t="n">
        <x:f>I207+J207</x:f>
        <x:v>141600</x:v>
      </x:c>
    </x:row>
    <x:row r="208" ht="46" customHeight="1">
      <x:c r="A208" s="2" t="str">
        <x:v>Indicative size</x:v>
      </x:c>
      <x:c r="B208" s="2" t="str">
        <x:v>Small-scale prospects</x:v>
      </x:c>
      <x:c r="C208" s="12" t="str">
        <x:v>Kolkata</x:v>
      </x:c>
      <x:c r="D208" s="12" t="str">
        <x:v>MAIN-287</x:v>
      </x:c>
      <x:c r="E208" s="12" t="str">
        <x:v>DLF Galleria</x:v>
      </x:c>
      <x:c r="F208" s="11" t="n">
        <x:v>5</x:v>
      </x:c>
      <x:c r="G208" s="11" t="n">
        <x:v>5</x:v>
      </x:c>
      <x:c r="H208" s="11" t="n">
        <x:v>0</x:v>
      </x:c>
      <x:c r="I208" s="17" t="n">
        <x:f>INDEX('Costing'!$P$9:$P$492,MATCH(D208,'Costing'!$A$9:$A$492,0))</x:f>
        <x:v>75000</x:v>
      </x:c>
      <x:c r="J208" s="17" t="n">
        <x:f>ROUND(I208*'Costing'!$C$4,2)</x:f>
        <x:v>13500</x:v>
      </x:c>
      <x:c r="K208" s="17" t="n">
        <x:f>I208+J208</x:f>
        <x:v>88500</x:v>
      </x:c>
    </x:row>
    <x:row r="209" ht="46" customHeight="1">
      <x:c r="A209" s="2" t="str">
        <x:v>Indicative size</x:v>
      </x:c>
      <x:c r="B209" s="2" t="str">
        <x:v>Small-scale prospects</x:v>
      </x:c>
      <x:c r="C209" s="12" t="str">
        <x:v>Lucknow</x:v>
      </x:c>
      <x:c r="D209" s="12" t="str">
        <x:v>MAIN-288</x:v>
      </x:c>
      <x:c r="E209" s="12" t="str">
        <x:v>Bhavya Corporate Tower</x:v>
      </x:c>
      <x:c r="F209" s="11" t="n">
        <x:v>2</x:v>
      </x:c>
      <x:c r="G209" s="11" t="n">
        <x:v>2</x:v>
      </x:c>
      <x:c r="H209" s="11" t="n">
        <x:v>0</x:v>
      </x:c>
      <x:c r="I209" s="17" t="n">
        <x:f>INDEX('Costing'!$P$9:$P$492,MATCH(D209,'Costing'!$A$9:$A$492,0))</x:f>
        <x:v>40000</x:v>
      </x:c>
      <x:c r="J209" s="17" t="n">
        <x:f>ROUND(I209*'Costing'!$C$4,2)</x:f>
        <x:v>7200</x:v>
      </x:c>
      <x:c r="K209" s="17" t="n">
        <x:f>I209+J209</x:f>
        <x:v>47200</x:v>
      </x:c>
    </x:row>
    <x:row r="210" ht="46" customHeight="1">
      <x:c r="A210" s="2" t="str">
        <x:v>Indicative size</x:v>
      </x:c>
      <x:c r="B210" s="2" t="str">
        <x:v>Small-scale prospects</x:v>
      </x:c>
      <x:c r="C210" s="12" t="str">
        <x:v>Lucknow</x:v>
      </x:c>
      <x:c r="D210" s="12" t="str">
        <x:v>MAIN-290</x:v>
      </x:c>
      <x:c r="E210" s="12" t="str">
        <x:v>Eldeco Elegente</x:v>
      </x:c>
      <x:c r="F210" s="11" t="n">
        <x:v>1</x:v>
      </x:c>
      <x:c r="G210" s="11" t="n">
        <x:v>1</x:v>
      </x:c>
      <x:c r="H210" s="11" t="n">
        <x:v>0</x:v>
      </x:c>
      <x:c r="I210" s="17" t="n">
        <x:f>INDEX('Costing'!$P$9:$P$492,MATCH(D210,'Costing'!$A$9:$A$492,0))</x:f>
        <x:v>40000</x:v>
      </x:c>
      <x:c r="J210" s="17" t="n">
        <x:f>ROUND(I210*'Costing'!$C$4,2)</x:f>
        <x:v>7200</x:v>
      </x:c>
      <x:c r="K210" s="17" t="n">
        <x:f>I210+J210</x:f>
        <x:v>47200</x:v>
      </x:c>
    </x:row>
    <x:row r="211" ht="46" customHeight="1">
      <x:c r="A211" s="2" t="str">
        <x:v>Indicative size</x:v>
      </x:c>
      <x:c r="B211" s="2" t="str">
        <x:v>Small-scale prospects</x:v>
      </x:c>
      <x:c r="C211" s="12" t="str">
        <x:v>Lucknow</x:v>
      </x:c>
      <x:c r="D211" s="12" t="str">
        <x:v>MAIN-291</x:v>
      </x:c>
      <x:c r="E211" s="12" t="str">
        <x:v>Levana Cyber Heights</x:v>
      </x:c>
      <x:c r="F211" s="11" t="n">
        <x:v>4</x:v>
      </x:c>
      <x:c r="G211" s="11" t="n">
        <x:v>4</x:v>
      </x:c>
      <x:c r="H211" s="11" t="n">
        <x:v>0</x:v>
      </x:c>
      <x:c r="I211" s="17" t="n">
        <x:f>INDEX('Costing'!$P$9:$P$492,MATCH(D211,'Costing'!$A$9:$A$492,0))</x:f>
        <x:v>160000</x:v>
      </x:c>
      <x:c r="J211" s="17" t="n">
        <x:f>ROUND(I211*'Costing'!$C$4,2)</x:f>
        <x:v>28800</x:v>
      </x:c>
      <x:c r="K211" s="17" t="n">
        <x:f>I211+J211</x:f>
        <x:v>188800</x:v>
      </x:c>
    </x:row>
    <x:row r="212" ht="46" customHeight="1">
      <x:c r="A212" s="2" t="str">
        <x:v>Indicative size</x:v>
      </x:c>
      <x:c r="B212" s="2" t="str">
        <x:v>Small-scale prospects</x:v>
      </x:c>
      <x:c r="C212" s="12" t="str">
        <x:v>Mumbai</x:v>
      </x:c>
      <x:c r="D212" s="12" t="str">
        <x:v>MAIN-294</x:v>
      </x:c>
      <x:c r="E212" s="12" t="str">
        <x:v>Avior Corporate Park</x:v>
      </x:c>
      <x:c r="F212" s="11" t="n">
        <x:v>39</x:v>
      </x:c>
      <x:c r="G212" s="11" t="n">
        <x:v>39</x:v>
      </x:c>
      <x:c r="H212" s="11" t="n">
        <x:v>0</x:v>
      </x:c>
      <x:c r="I212" s="17" t="n">
        <x:f>INDEX('Costing'!$P$9:$P$492,MATCH(D212,'Costing'!$A$9:$A$492,0))</x:f>
        <x:v>585000</x:v>
      </x:c>
      <x:c r="J212" s="17" t="n">
        <x:f>ROUND(I212*'Costing'!$C$4,2)</x:f>
        <x:v>105300</x:v>
      </x:c>
      <x:c r="K212" s="17" t="n">
        <x:f>I212+J212</x:f>
        <x:v>690300</x:v>
      </x:c>
    </x:row>
    <x:row r="213" ht="46" customHeight="1">
      <x:c r="A213" s="2" t="str">
        <x:v>Indicative size</x:v>
      </x:c>
      <x:c r="B213" s="2" t="str">
        <x:v>Small-scale prospects</x:v>
      </x:c>
      <x:c r="C213" s="12" t="str">
        <x:v>Mumbai</x:v>
      </x:c>
      <x:c r="D213" s="12" t="str">
        <x:v>MAIN-296</x:v>
      </x:c>
      <x:c r="E213" s="12" t="str">
        <x:v>Awfis - Cyber One</x:v>
      </x:c>
      <x:c r="F213" s="11" t="n">
        <x:v>1</x:v>
      </x:c>
      <x:c r="G213" s="11" t="n">
        <x:v>1</x:v>
      </x:c>
      <x:c r="H213" s="11" t="n">
        <x:v>0</x:v>
      </x:c>
      <x:c r="I213" s="17" t="n">
        <x:f>INDEX('Costing'!$P$9:$P$492,MATCH(D213,'Costing'!$A$9:$A$492,0))</x:f>
        <x:v>15000</x:v>
      </x:c>
      <x:c r="J213" s="17" t="n">
        <x:f>ROUND(I213*'Costing'!$C$4,2)</x:f>
        <x:v>2700</x:v>
      </x:c>
      <x:c r="K213" s="17" t="n">
        <x:f>I213+J213</x:f>
        <x:v>17700</x:v>
      </x:c>
    </x:row>
    <x:row r="214" ht="46" customHeight="1">
      <x:c r="A214" s="2" t="str">
        <x:v>Indicative size</x:v>
      </x:c>
      <x:c r="B214" s="2" t="str">
        <x:v>Small-scale prospects</x:v>
      </x:c>
      <x:c r="C214" s="12" t="str">
        <x:v>Mumbai</x:v>
      </x:c>
      <x:c r="D214" s="12" t="str">
        <x:v>MAIN-300</x:v>
      </x:c>
      <x:c r="E214" s="12" t="str">
        <x:v>Awfis - Lokhandwala Aston Building</x:v>
      </x:c>
      <x:c r="F214" s="11" t="n">
        <x:v>1</x:v>
      </x:c>
      <x:c r="G214" s="11" t="n">
        <x:v>1</x:v>
      </x:c>
      <x:c r="H214" s="11" t="n">
        <x:v>0</x:v>
      </x:c>
      <x:c r="I214" s="17" t="n">
        <x:f>INDEX('Costing'!$P$9:$P$492,MATCH(D214,'Costing'!$A$9:$A$492,0))</x:f>
        <x:v>15000</x:v>
      </x:c>
      <x:c r="J214" s="17" t="n">
        <x:f>ROUND(I214*'Costing'!$C$4,2)</x:f>
        <x:v>2700</x:v>
      </x:c>
      <x:c r="K214" s="17" t="n">
        <x:f>I214+J214</x:f>
        <x:v>17700</x:v>
      </x:c>
    </x:row>
    <x:row r="215" ht="46" customHeight="1">
      <x:c r="A215" s="2" t="str">
        <x:v>Indicative size</x:v>
      </x:c>
      <x:c r="B215" s="2" t="str">
        <x:v>Small-scale prospects</x:v>
      </x:c>
      <x:c r="C215" s="12" t="str">
        <x:v>Mumbai</x:v>
      </x:c>
      <x:c r="D215" s="12" t="str">
        <x:v>MAIN-303</x:v>
      </x:c>
      <x:c r="E215" s="12" t="str">
        <x:v>Awfis - Schindler House</x:v>
      </x:c>
      <x:c r="F215" s="11" t="n">
        <x:v>1</x:v>
      </x:c>
      <x:c r="G215" s="11" t="n">
        <x:v>1</x:v>
      </x:c>
      <x:c r="H215" s="11" t="n">
        <x:v>0</x:v>
      </x:c>
      <x:c r="I215" s="17" t="n">
        <x:f>INDEX('Costing'!$P$9:$P$492,MATCH(D215,'Costing'!$A$9:$A$492,0))</x:f>
        <x:v>15000</x:v>
      </x:c>
      <x:c r="J215" s="17" t="n">
        <x:f>ROUND(I215*'Costing'!$C$4,2)</x:f>
        <x:v>2700</x:v>
      </x:c>
      <x:c r="K215" s="17" t="n">
        <x:f>I215+J215</x:f>
        <x:v>17700</x:v>
      </x:c>
    </x:row>
    <x:row r="216" ht="46" customHeight="1">
      <x:c r="A216" s="2" t="str">
        <x:v>Indicative size</x:v>
      </x:c>
      <x:c r="B216" s="2" t="str">
        <x:v>Small-scale prospects</x:v>
      </x:c>
      <x:c r="C216" s="12" t="str">
        <x:v>Mumbai</x:v>
      </x:c>
      <x:c r="D216" s="12" t="str">
        <x:v>MAIN-304</x:v>
      </x:c>
      <x:c r="E216" s="12" t="str">
        <x:v>Awfis - Skyline Icon</x:v>
      </x:c>
      <x:c r="F216" s="11" t="n">
        <x:v>2</x:v>
      </x:c>
      <x:c r="G216" s="11" t="n">
        <x:v>2</x:v>
      </x:c>
      <x:c r="H216" s="11" t="n">
        <x:v>0</x:v>
      </x:c>
      <x:c r="I216" s="17" t="n">
        <x:f>INDEX('Costing'!$P$9:$P$492,MATCH(D216,'Costing'!$A$9:$A$492,0))</x:f>
        <x:v>30000</x:v>
      </x:c>
      <x:c r="J216" s="17" t="n">
        <x:f>ROUND(I216*'Costing'!$C$4,2)</x:f>
        <x:v>5400</x:v>
      </x:c>
      <x:c r="K216" s="17" t="n">
        <x:f>I216+J216</x:f>
        <x:v>35400</x:v>
      </x:c>
    </x:row>
    <x:row r="217" ht="46" customHeight="1">
      <x:c r="A217" s="2" t="str">
        <x:v>Indicative size</x:v>
      </x:c>
      <x:c r="B217" s="2" t="str">
        <x:v>Small-scale prospects</x:v>
      </x:c>
      <x:c r="C217" s="12" t="str">
        <x:v>Mumbai</x:v>
      </x:c>
      <x:c r="D217" s="12" t="str">
        <x:v>MAIN-305</x:v>
      </x:c>
      <x:c r="E217" s="12" t="str">
        <x:v>Awfis - Vaman Techno Center</x:v>
      </x:c>
      <x:c r="F217" s="11" t="n">
        <x:v>2</x:v>
      </x:c>
      <x:c r="G217" s="11" t="n">
        <x:v>2</x:v>
      </x:c>
      <x:c r="H217" s="11" t="n">
        <x:v>0</x:v>
      </x:c>
      <x:c r="I217" s="17" t="n">
        <x:f>INDEX('Costing'!$P$9:$P$492,MATCH(D217,'Costing'!$A$9:$A$492,0))</x:f>
        <x:v>30000</x:v>
      </x:c>
      <x:c r="J217" s="17" t="n">
        <x:f>ROUND(I217*'Costing'!$C$4,2)</x:f>
        <x:v>5400</x:v>
      </x:c>
      <x:c r="K217" s="17" t="n">
        <x:f>I217+J217</x:f>
        <x:v>35400</x:v>
      </x:c>
    </x:row>
    <x:row r="218" ht="46" customHeight="1">
      <x:c r="A218" s="2" t="str">
        <x:v>Indicative size</x:v>
      </x:c>
      <x:c r="B218" s="2" t="str">
        <x:v>Small-scale prospects</x:v>
      </x:c>
      <x:c r="C218" s="12" t="str">
        <x:v>Mumbai</x:v>
      </x:c>
      <x:c r="D218" s="12" t="str">
        <x:v>MAIN-307</x:v>
      </x:c>
      <x:c r="E218" s="12" t="str">
        <x:v>Blue Rose IND</x:v>
      </x:c>
      <x:c r="F218" s="11" t="n">
        <x:v>22</x:v>
      </x:c>
      <x:c r="G218" s="11" t="n">
        <x:v>22</x:v>
      </x:c>
      <x:c r="H218" s="11" t="n">
        <x:v>0</x:v>
      </x:c>
      <x:c r="I218" s="17" t="n">
        <x:f>INDEX('Costing'!$P$9:$P$492,MATCH(D218,'Costing'!$A$9:$A$492,0))</x:f>
        <x:v>330000</x:v>
      </x:c>
      <x:c r="J218" s="17" t="n">
        <x:f>ROUND(I218*'Costing'!$C$4,2)</x:f>
        <x:v>59400</x:v>
      </x:c>
      <x:c r="K218" s="17" t="n">
        <x:f>I218+J218</x:f>
        <x:v>389400</x:v>
      </x:c>
    </x:row>
    <x:row r="219" ht="46" customHeight="1">
      <x:c r="A219" s="2" t="str">
        <x:v>Indicative size</x:v>
      </x:c>
      <x:c r="B219" s="2" t="str">
        <x:v>Small-scale prospects</x:v>
      </x:c>
      <x:c r="C219" s="12" t="str">
        <x:v>Mumbai</x:v>
      </x:c>
      <x:c r="D219" s="12" t="str">
        <x:v>MAIN-313</x:v>
      </x:c>
      <x:c r="E219" s="12" t="str">
        <x:v>Everest Nirwana</x:v>
      </x:c>
      <x:c r="F219" s="11" t="n">
        <x:v>21</x:v>
      </x:c>
      <x:c r="G219" s="11" t="n">
        <x:v>21</x:v>
      </x:c>
      <x:c r="H219" s="11" t="n">
        <x:v>0</x:v>
      </x:c>
      <x:c r="I219" s="17" t="n">
        <x:f>INDEX('Costing'!$P$9:$P$492,MATCH(D219,'Costing'!$A$9:$A$492,0))</x:f>
        <x:v>315000</x:v>
      </x:c>
      <x:c r="J219" s="17" t="n">
        <x:f>ROUND(I219*'Costing'!$C$4,2)</x:f>
        <x:v>56700</x:v>
      </x:c>
      <x:c r="K219" s="17" t="n">
        <x:f>I219+J219</x:f>
        <x:v>371700</x:v>
      </x:c>
    </x:row>
    <x:row r="220" ht="46" customHeight="1">
      <x:c r="A220" s="2" t="str">
        <x:v>Indicative size</x:v>
      </x:c>
      <x:c r="B220" s="2" t="str">
        <x:v>Small-scale prospects</x:v>
      </x:c>
      <x:c r="C220" s="12" t="str">
        <x:v>Mumbai</x:v>
      </x:c>
      <x:c r="D220" s="12" t="str">
        <x:v>MAIN-316</x:v>
      </x:c>
      <x:c r="E220" s="12" t="str">
        <x:v>Fleet House Global Park</x:v>
      </x:c>
      <x:c r="F220" s="11" t="n">
        <x:v>2</x:v>
      </x:c>
      <x:c r="G220" s="11" t="n">
        <x:v>2</x:v>
      </x:c>
      <x:c r="H220" s="11" t="n">
        <x:v>0</x:v>
      </x:c>
      <x:c r="I220" s="17" t="n">
        <x:f>INDEX('Costing'!$P$9:$P$492,MATCH(D220,'Costing'!$A$9:$A$492,0))</x:f>
        <x:v>40000</x:v>
      </x:c>
      <x:c r="J220" s="17" t="n">
        <x:f>ROUND(I220*'Costing'!$C$4,2)</x:f>
        <x:v>7200</x:v>
      </x:c>
      <x:c r="K220" s="17" t="n">
        <x:f>I220+J220</x:f>
        <x:v>47200</x:v>
      </x:c>
    </x:row>
    <x:row r="221" ht="46" customHeight="1">
      <x:c r="A221" s="2" t="str">
        <x:v>Indicative size</x:v>
      </x:c>
      <x:c r="B221" s="2" t="str">
        <x:v>Small-scale prospects</x:v>
      </x:c>
      <x:c r="C221" s="12" t="str">
        <x:v>Mumbai</x:v>
      </x:c>
      <x:c r="D221" s="12" t="str">
        <x:v>MAIN-318</x:v>
      </x:c>
      <x:c r="E221" s="12" t="str">
        <x:v>Kaledonia (Redbrick Offices)</x:v>
      </x:c>
      <x:c r="F221" s="11" t="n">
        <x:v>2</x:v>
      </x:c>
      <x:c r="G221" s="11" t="n">
        <x:v>2</x:v>
      </x:c>
      <x:c r="H221" s="11" t="n">
        <x:v>0</x:v>
      </x:c>
      <x:c r="I221" s="17" t="n">
        <x:f>INDEX('Costing'!$P$9:$P$492,MATCH(D221,'Costing'!$A$9:$A$492,0))</x:f>
        <x:v>30000</x:v>
      </x:c>
      <x:c r="J221" s="17" t="n">
        <x:f>ROUND(I221*'Costing'!$C$4,2)</x:f>
        <x:v>5400</x:v>
      </x:c>
      <x:c r="K221" s="17" t="n">
        <x:f>I221+J221</x:f>
        <x:v>35400</x:v>
      </x:c>
    </x:row>
    <x:row r="222" ht="46" customHeight="1">
      <x:c r="A222" s="2" t="str">
        <x:v>Indicative size</x:v>
      </x:c>
      <x:c r="B222" s="2" t="str">
        <x:v>Small-scale prospects</x:v>
      </x:c>
      <x:c r="C222" s="12" t="str">
        <x:v>Mumbai</x:v>
      </x:c>
      <x:c r="D222" s="12" t="str">
        <x:v>MAIN-319</x:v>
      </x:c>
      <x:c r="E222" s="12" t="str">
        <x:v>Kalpataru Prime (Redbrick Offices)</x:v>
      </x:c>
      <x:c r="F222" s="11" t="n">
        <x:v>1</x:v>
      </x:c>
      <x:c r="G222" s="11" t="n">
        <x:v>1</x:v>
      </x:c>
      <x:c r="H222" s="11" t="n">
        <x:v>0</x:v>
      </x:c>
      <x:c r="I222" s="17" t="n">
        <x:f>INDEX('Costing'!$P$9:$P$492,MATCH(D222,'Costing'!$A$9:$A$492,0))</x:f>
        <x:v>15000</x:v>
      </x:c>
      <x:c r="J222" s="17" t="n">
        <x:f>ROUND(I222*'Costing'!$C$4,2)</x:f>
        <x:v>2700</x:v>
      </x:c>
      <x:c r="K222" s="17" t="n">
        <x:f>I222+J222</x:f>
        <x:v>17700</x:v>
      </x:c>
    </x:row>
    <x:row r="223" ht="46" customHeight="1">
      <x:c r="A223" s="2" t="str">
        <x:v>Indicative size</x:v>
      </x:c>
      <x:c r="B223" s="2" t="str">
        <x:v>Small-scale prospects</x:v>
      </x:c>
      <x:c r="C223" s="12" t="str">
        <x:v>Mumbai</x:v>
      </x:c>
      <x:c r="D223" s="12" t="str">
        <x:v>MAIN-320</x:v>
      </x:c>
      <x:c r="E223" s="12" t="str">
        <x:v>Kane Plaza</x:v>
      </x:c>
      <x:c r="F223" s="11" t="n">
        <x:v>6</x:v>
      </x:c>
      <x:c r="G223" s="11" t="n">
        <x:v>6</x:v>
      </x:c>
      <x:c r="H223" s="11" t="n">
        <x:v>0</x:v>
      </x:c>
      <x:c r="I223" s="17" t="n">
        <x:f>INDEX('Costing'!$P$9:$P$492,MATCH(D223,'Costing'!$A$9:$A$492,0))</x:f>
        <x:v>90000</x:v>
      </x:c>
      <x:c r="J223" s="17" t="n">
        <x:f>ROUND(I223*'Costing'!$C$4,2)</x:f>
        <x:v>16200</x:v>
      </x:c>
      <x:c r="K223" s="17" t="n">
        <x:f>I223+J223</x:f>
        <x:v>106200</x:v>
      </x:c>
    </x:row>
    <x:row r="224" ht="46" customHeight="1">
      <x:c r="A224" s="2" t="str">
        <x:v>Indicative size</x:v>
      </x:c>
      <x:c r="B224" s="2" t="str">
        <x:v>Small-scale prospects</x:v>
      </x:c>
      <x:c r="C224" s="12" t="str">
        <x:v>Mumbai</x:v>
      </x:c>
      <x:c r="D224" s="12" t="str">
        <x:v>MAIN-321</x:v>
      </x:c>
      <x:c r="E224" s="12" t="str">
        <x:v>Lodha Ithink (Redbrick Offices)</x:v>
      </x:c>
      <x:c r="F224" s="11" t="n">
        <x:v>1</x:v>
      </x:c>
      <x:c r="G224" s="11" t="n">
        <x:v>1</x:v>
      </x:c>
      <x:c r="H224" s="11" t="n">
        <x:v>0</x:v>
      </x:c>
      <x:c r="I224" s="17" t="n">
        <x:f>INDEX('Costing'!$P$9:$P$492,MATCH(D224,'Costing'!$A$9:$A$492,0))</x:f>
        <x:v>15000</x:v>
      </x:c>
      <x:c r="J224" s="17" t="n">
        <x:f>ROUND(I224*'Costing'!$C$4,2)</x:f>
        <x:v>2700</x:v>
      </x:c>
      <x:c r="K224" s="17" t="n">
        <x:f>I224+J224</x:f>
        <x:v>17700</x:v>
      </x:c>
    </x:row>
    <x:row r="225" ht="46" customHeight="1">
      <x:c r="A225" s="2" t="str">
        <x:v>Indicative size</x:v>
      </x:c>
      <x:c r="B225" s="2" t="str">
        <x:v>Small-scale prospects</x:v>
      </x:c>
      <x:c r="C225" s="12" t="str">
        <x:v>Mumbai</x:v>
      </x:c>
      <x:c r="D225" s="12" t="str">
        <x:v>MAIN-323</x:v>
      </x:c>
      <x:c r="E225" s="12" t="str">
        <x:v>Mumbai - BKC</x:v>
      </x:c>
      <x:c r="F225" s="11" t="n">
        <x:v>1</x:v>
      </x:c>
      <x:c r="G225" s="11" t="n">
        <x:v>1</x:v>
      </x:c>
      <x:c r="H225" s="11" t="n">
        <x:v>0</x:v>
      </x:c>
      <x:c r="I225" s="17" t="n">
        <x:f>INDEX('Costing'!$P$9:$P$492,MATCH(D225,'Costing'!$A$9:$A$492,0))</x:f>
        <x:v>15000</x:v>
      </x:c>
      <x:c r="J225" s="17" t="n">
        <x:f>ROUND(I225*'Costing'!$C$4,2)</x:f>
        <x:v>2700</x:v>
      </x:c>
      <x:c r="K225" s="17" t="n">
        <x:f>I225+J225</x:f>
        <x:v>17700</x:v>
      </x:c>
    </x:row>
    <x:row r="226" ht="46" customHeight="1">
      <x:c r="A226" s="2" t="str">
        <x:v>Indicative size</x:v>
      </x:c>
      <x:c r="B226" s="2" t="str">
        <x:v>Small-scale prospects</x:v>
      </x:c>
      <x:c r="C226" s="12" t="str">
        <x:v>Mumbai</x:v>
      </x:c>
      <x:c r="D226" s="12" t="str">
        <x:v>MAIN-325</x:v>
      </x:c>
      <x:c r="E226" s="12" t="str">
        <x:v>Nucleus - One BKC</x:v>
      </x:c>
      <x:c r="F226" s="11" t="n">
        <x:v>2</x:v>
      </x:c>
      <x:c r="G226" s="11" t="n">
        <x:v>2</x:v>
      </x:c>
      <x:c r="H226" s="11" t="n">
        <x:v>0</x:v>
      </x:c>
      <x:c r="I226" s="17" t="n">
        <x:f>INDEX('Costing'!$P$9:$P$492,MATCH(D226,'Costing'!$A$9:$A$492,0))</x:f>
        <x:v>80000</x:v>
      </x:c>
      <x:c r="J226" s="17" t="n">
        <x:f>ROUND(I226*'Costing'!$C$4,2)</x:f>
        <x:v>14400</x:v>
      </x:c>
      <x:c r="K226" s="17" t="n">
        <x:f>I226+J226</x:f>
        <x:v>94400</x:v>
      </x:c>
    </x:row>
    <x:row r="227" ht="46" customHeight="1">
      <x:c r="A227" s="2" t="str">
        <x:v>Indicative size</x:v>
      </x:c>
      <x:c r="B227" s="2" t="str">
        <x:v>Small-scale prospects</x:v>
      </x:c>
      <x:c r="C227" s="12" t="str">
        <x:v>Mumbai</x:v>
      </x:c>
      <x:c r="D227" s="12" t="str">
        <x:v>MAIN-326</x:v>
      </x:c>
      <x:c r="E227" s="12" t="str">
        <x:v>Nucleus - One International Center</x:v>
      </x:c>
      <x:c r="F227" s="11" t="n">
        <x:v>9</x:v>
      </x:c>
      <x:c r="G227" s="11" t="n">
        <x:v>9</x:v>
      </x:c>
      <x:c r="H227" s="11" t="n">
        <x:v>0</x:v>
      </x:c>
      <x:c r="I227" s="17" t="n">
        <x:f>INDEX('Costing'!$P$9:$P$492,MATCH(D227,'Costing'!$A$9:$A$492,0))</x:f>
        <x:v>360000</x:v>
      </x:c>
      <x:c r="J227" s="17" t="n">
        <x:f>ROUND(I227*'Costing'!$C$4,2)</x:f>
        <x:v>64800</x:v>
      </x:c>
      <x:c r="K227" s="17" t="n">
        <x:f>I227+J227</x:f>
        <x:v>424800</x:v>
      </x:c>
    </x:row>
    <x:row r="228" ht="46" customHeight="1">
      <x:c r="A228" s="2" t="str">
        <x:v>Indicative size</x:v>
      </x:c>
      <x:c r="B228" s="2" t="str">
        <x:v>Small-scale prospects</x:v>
      </x:c>
      <x:c r="C228" s="12" t="str">
        <x:v>Mumbai</x:v>
      </x:c>
      <x:c r="D228" s="12" t="str">
        <x:v>MAIN-333</x:v>
      </x:c>
      <x:c r="E228" s="12" t="str">
        <x:v>Oyo Workspace - Time Square</x:v>
      </x:c>
      <x:c r="F228" s="11" t="n">
        <x:v>1</x:v>
      </x:c>
      <x:c r="G228" s="11" t="n">
        <x:v>1</x:v>
      </x:c>
      <x:c r="H228" s="11" t="n">
        <x:v>0</x:v>
      </x:c>
      <x:c r="I228" s="17" t="n">
        <x:f>INDEX('Costing'!$P$9:$P$492,MATCH(D228,'Costing'!$A$9:$A$492,0))</x:f>
        <x:v>15000</x:v>
      </x:c>
      <x:c r="J228" s="17" t="n">
        <x:f>ROUND(I228*'Costing'!$C$4,2)</x:f>
        <x:v>2700</x:v>
      </x:c>
      <x:c r="K228" s="17" t="n">
        <x:f>I228+J228</x:f>
        <x:v>17700</x:v>
      </x:c>
    </x:row>
    <x:row r="229" ht="46" customHeight="1">
      <x:c r="A229" s="2" t="str">
        <x:v>Indicative size</x:v>
      </x:c>
      <x:c r="B229" s="2" t="str">
        <x:v>Small-scale prospects</x:v>
      </x:c>
      <x:c r="C229" s="12" t="str">
        <x:v>Mumbai</x:v>
      </x:c>
      <x:c r="D229" s="12" t="str">
        <x:v>MAIN-334</x:v>
      </x:c>
      <x:c r="E229" s="12" t="str">
        <x:v>Paradigm Technology Park</x:v>
      </x:c>
      <x:c r="F229" s="11" t="n">
        <x:v>1</x:v>
      </x:c>
      <x:c r="G229" s="11" t="n">
        <x:v>1</x:v>
      </x:c>
      <x:c r="H229" s="11" t="n">
        <x:v>0</x:v>
      </x:c>
      <x:c r="I229" s="17" t="n">
        <x:f>INDEX('Costing'!$P$9:$P$492,MATCH(D229,'Costing'!$A$9:$A$492,0))</x:f>
        <x:v>20000</x:v>
      </x:c>
      <x:c r="J229" s="17" t="n">
        <x:f>ROUND(I229*'Costing'!$C$4,2)</x:f>
        <x:v>3600</x:v>
      </x:c>
      <x:c r="K229" s="17" t="n">
        <x:f>I229+J229</x:f>
        <x:v>23600</x:v>
      </x:c>
    </x:row>
    <x:row r="230" ht="46" customHeight="1">
      <x:c r="A230" s="2" t="str">
        <x:v>Indicative size</x:v>
      </x:c>
      <x:c r="B230" s="2" t="str">
        <x:v>Small-scale prospects</x:v>
      </x:c>
      <x:c r="C230" s="12" t="str">
        <x:v>Mumbai</x:v>
      </x:c>
      <x:c r="D230" s="12" t="str">
        <x:v>MAIN-338</x:v>
      </x:c>
      <x:c r="E230" s="12" t="str">
        <x:v>Raheja Mindspaces - Airoli West</x:v>
      </x:c>
      <x:c r="F230" s="11" t="n">
        <x:v>5</x:v>
      </x:c>
      <x:c r="G230" s="11" t="n">
        <x:v>5</x:v>
      </x:c>
      <x:c r="H230" s="11" t="n">
        <x:v>0</x:v>
      </x:c>
      <x:c r="I230" s="17" t="n">
        <x:f>INDEX('Costing'!$P$9:$P$492,MATCH(D230,'Costing'!$A$9:$A$492,0))</x:f>
        <x:v>200000</x:v>
      </x:c>
      <x:c r="J230" s="17" t="n">
        <x:f>ROUND(I230*'Costing'!$C$4,2)</x:f>
        <x:v>36000</x:v>
      </x:c>
      <x:c r="K230" s="17" t="n">
        <x:f>I230+J230</x:f>
        <x:v>236000</x:v>
      </x:c>
    </x:row>
    <x:row r="231" ht="46" customHeight="1">
      <x:c r="A231" s="2" t="str">
        <x:v>Indicative size</x:v>
      </x:c>
      <x:c r="B231" s="2" t="str">
        <x:v>Small-scale prospects</x:v>
      </x:c>
      <x:c r="C231" s="12" t="str">
        <x:v>Mumbai</x:v>
      </x:c>
      <x:c r="D231" s="12" t="str">
        <x:v>MAIN-342</x:v>
      </x:c>
      <x:c r="E231" s="12" t="str">
        <x:v>Rustomjee Eaze Zone Mall</x:v>
      </x:c>
      <x:c r="F231" s="11" t="n">
        <x:v>26</x:v>
      </x:c>
      <x:c r="G231" s="11" t="n">
        <x:v>26</x:v>
      </x:c>
      <x:c r="H231" s="11" t="n">
        <x:v>0</x:v>
      </x:c>
      <x:c r="I231" s="17" t="n">
        <x:f>INDEX('Costing'!$P$9:$P$492,MATCH(D231,'Costing'!$A$9:$A$492,0))</x:f>
        <x:v>390000</x:v>
      </x:c>
      <x:c r="J231" s="17" t="n">
        <x:f>ROUND(I231*'Costing'!$C$4,2)</x:f>
        <x:v>70200</x:v>
      </x:c>
      <x:c r="K231" s="17" t="n">
        <x:f>I231+J231</x:f>
        <x:v>460200</x:v>
      </x:c>
    </x:row>
    <x:row r="232" ht="46" customHeight="1">
      <x:c r="A232" s="2" t="str">
        <x:v>Indicative size</x:v>
      </x:c>
      <x:c r="B232" s="2" t="str">
        <x:v>Small-scale prospects</x:v>
      </x:c>
      <x:c r="C232" s="12" t="str">
        <x:v>Mumbai</x:v>
      </x:c>
      <x:c r="D232" s="12" t="str">
        <x:v>MAIN-343</x:v>
      </x:c>
      <x:c r="E232" s="12" t="str">
        <x:v>Sagar Tech Plaza A </x:v>
      </x:c>
      <x:c r="F232" s="11" t="n">
        <x:v>2</x:v>
      </x:c>
      <x:c r="G232" s="11" t="n">
        <x:v>2</x:v>
      </x:c>
      <x:c r="H232" s="11" t="n">
        <x:v>0</x:v>
      </x:c>
      <x:c r="I232" s="17" t="n">
        <x:f>INDEX('Costing'!$P$9:$P$492,MATCH(D232,'Costing'!$A$9:$A$492,0))</x:f>
        <x:v>30000</x:v>
      </x:c>
      <x:c r="J232" s="17" t="n">
        <x:f>ROUND(I232*'Costing'!$C$4,2)</x:f>
        <x:v>5400</x:v>
      </x:c>
      <x:c r="K232" s="17" t="n">
        <x:f>I232+J232</x:f>
        <x:v>35400</x:v>
      </x:c>
    </x:row>
    <x:row r="233" ht="46" customHeight="1">
      <x:c r="A233" s="2" t="str">
        <x:v>Indicative size</x:v>
      </x:c>
      <x:c r="B233" s="2" t="str">
        <x:v>Small-scale prospects</x:v>
      </x:c>
      <x:c r="C233" s="12" t="str">
        <x:v>Mumbai</x:v>
      </x:c>
      <x:c r="D233" s="12" t="str">
        <x:v>MAIN-344</x:v>
      </x:c>
      <x:c r="E233" s="12" t="str">
        <x:v>Sagar Tech Plaza A {IE}</x:v>
      </x:c>
      <x:c r="F233" s="11" t="n">
        <x:v>3</x:v>
      </x:c>
      <x:c r="G233" s="11" t="n">
        <x:v>3</x:v>
      </x:c>
      <x:c r="H233" s="11" t="n">
        <x:v>0</x:v>
      </x:c>
      <x:c r="I233" s="17" t="n">
        <x:f>INDEX('Costing'!$P$9:$P$492,MATCH(D233,'Costing'!$A$9:$A$492,0))</x:f>
        <x:v>45000</x:v>
      </x:c>
      <x:c r="J233" s="17" t="n">
        <x:f>ROUND(I233*'Costing'!$C$4,2)</x:f>
        <x:v>8100</x:v>
      </x:c>
      <x:c r="K233" s="17" t="n">
        <x:f>I233+J233</x:f>
        <x:v>53100</x:v>
      </x:c>
    </x:row>
    <x:row r="234" ht="46" customHeight="1">
      <x:c r="A234" s="2" t="str">
        <x:v>Indicative size</x:v>
      </x:c>
      <x:c r="B234" s="2" t="str">
        <x:v>Small-scale prospects</x:v>
      </x:c>
      <x:c r="C234" s="12" t="str">
        <x:v>Mumbai</x:v>
      </x:c>
      <x:c r="D234" s="12" t="str">
        <x:v>MAIN-345</x:v>
      </x:c>
      <x:c r="E234" s="12" t="str">
        <x:v>Sagar Tech Plaza B </x:v>
      </x:c>
      <x:c r="F234" s="11" t="n">
        <x:v>1</x:v>
      </x:c>
      <x:c r="G234" s="11" t="n">
        <x:v>1</x:v>
      </x:c>
      <x:c r="H234" s="11" t="n">
        <x:v>0</x:v>
      </x:c>
      <x:c r="I234" s="17" t="n">
        <x:f>INDEX('Costing'!$P$9:$P$492,MATCH(D234,'Costing'!$A$9:$A$492,0))</x:f>
        <x:v>15000</x:v>
      </x:c>
      <x:c r="J234" s="17" t="n">
        <x:f>ROUND(I234*'Costing'!$C$4,2)</x:f>
        <x:v>2700</x:v>
      </x:c>
      <x:c r="K234" s="17" t="n">
        <x:f>I234+J234</x:f>
        <x:v>17700</x:v>
      </x:c>
    </x:row>
    <x:row r="235" ht="46" customHeight="1">
      <x:c r="A235" s="2" t="str">
        <x:v>Indicative size</x:v>
      </x:c>
      <x:c r="B235" s="2" t="str">
        <x:v>Small-scale prospects</x:v>
      </x:c>
      <x:c r="C235" s="12" t="str">
        <x:v>Mumbai</x:v>
      </x:c>
      <x:c r="D235" s="12" t="str">
        <x:v>MAIN-346</x:v>
      </x:c>
      <x:c r="E235" s="12" t="str">
        <x:v>Sagar Tech Plaza B {IE}</x:v>
      </x:c>
      <x:c r="F235" s="11" t="n">
        <x:v>3</x:v>
      </x:c>
      <x:c r="G235" s="11" t="n">
        <x:v>3</x:v>
      </x:c>
      <x:c r="H235" s="11" t="n">
        <x:v>0</x:v>
      </x:c>
      <x:c r="I235" s="17" t="n">
        <x:f>INDEX('Costing'!$P$9:$P$492,MATCH(D235,'Costing'!$A$9:$A$492,0))</x:f>
        <x:v>45000</x:v>
      </x:c>
      <x:c r="J235" s="17" t="n">
        <x:f>ROUND(I235*'Costing'!$C$4,2)</x:f>
        <x:v>8100</x:v>
      </x:c>
      <x:c r="K235" s="17" t="n">
        <x:f>I235+J235</x:f>
        <x:v>53100</x:v>
      </x:c>
    </x:row>
    <x:row r="236" ht="46" customHeight="1">
      <x:c r="A236" s="2" t="str">
        <x:v>Indicative size</x:v>
      </x:c>
      <x:c r="B236" s="2" t="str">
        <x:v>Small-scale prospects</x:v>
      </x:c>
      <x:c r="C236" s="12" t="str">
        <x:v>Mumbai</x:v>
      </x:c>
      <x:c r="D236" s="12" t="str">
        <x:v>MAIN-347</x:v>
      </x:c>
      <x:c r="E236" s="12" t="str">
        <x:v>Symphony IT Park (Redbrick Offices)</x:v>
      </x:c>
      <x:c r="F236" s="11" t="n">
        <x:v>2</x:v>
      </x:c>
      <x:c r="G236" s="11" t="n">
        <x:v>2</x:v>
      </x:c>
      <x:c r="H236" s="11" t="n">
        <x:v>0</x:v>
      </x:c>
      <x:c r="I236" s="17" t="n">
        <x:f>INDEX('Costing'!$P$9:$P$492,MATCH(D236,'Costing'!$A$9:$A$492,0))</x:f>
        <x:v>24000</x:v>
      </x:c>
      <x:c r="J236" s="17" t="n">
        <x:f>ROUND(I236*'Costing'!$C$4,2)</x:f>
        <x:v>4320</x:v>
      </x:c>
      <x:c r="K236" s="17" t="n">
        <x:f>I236+J236</x:f>
        <x:v>28320</x:v>
      </x:c>
    </x:row>
    <x:row r="237" ht="46" customHeight="1">
      <x:c r="A237" s="2" t="str">
        <x:v>Indicative size</x:v>
      </x:c>
      <x:c r="B237" s="2" t="str">
        <x:v>Small-scale prospects</x:v>
      </x:c>
      <x:c r="C237" s="12" t="str">
        <x:v>Mumbai</x:v>
      </x:c>
      <x:c r="D237" s="12" t="str">
        <x:v>MAIN-348</x:v>
      </x:c>
      <x:c r="E237" s="12" t="str">
        <x:v>TEX Centre (Redbrick Offices)</x:v>
      </x:c>
      <x:c r="F237" s="11" t="n">
        <x:v>1</x:v>
      </x:c>
      <x:c r="G237" s="11" t="n">
        <x:v>1</x:v>
      </x:c>
      <x:c r="H237" s="11" t="n">
        <x:v>0</x:v>
      </x:c>
      <x:c r="I237" s="17" t="n">
        <x:f>INDEX('Costing'!$P$9:$P$492,MATCH(D237,'Costing'!$A$9:$A$492,0))</x:f>
        <x:v>15000</x:v>
      </x:c>
      <x:c r="J237" s="17" t="n">
        <x:f>ROUND(I237*'Costing'!$C$4,2)</x:f>
        <x:v>2700</x:v>
      </x:c>
      <x:c r="K237" s="17" t="n">
        <x:f>I237+J237</x:f>
        <x:v>17700</x:v>
      </x:c>
    </x:row>
    <x:row r="238" ht="46" customHeight="1">
      <x:c r="A238" s="2" t="str">
        <x:v>Indicative size</x:v>
      </x:c>
      <x:c r="B238" s="2" t="str">
        <x:v>Small-scale prospects</x:v>
      </x:c>
      <x:c r="C238" s="12" t="str">
        <x:v>Mumbai</x:v>
      </x:c>
      <x:c r="D238" s="12" t="str">
        <x:v>MAIN-349</x:v>
      </x:c>
      <x:c r="E238" s="12" t="str">
        <x:v>The Landmark - Kharghar</x:v>
      </x:c>
      <x:c r="F238" s="11" t="n">
        <x:v>10</x:v>
      </x:c>
      <x:c r="G238" s="11" t="n">
        <x:v>10</x:v>
      </x:c>
      <x:c r="H238" s="11" t="n">
        <x:v>0</x:v>
      </x:c>
      <x:c r="I238" s="17" t="n">
        <x:f>INDEX('Costing'!$P$9:$P$492,MATCH(D238,'Costing'!$A$9:$A$492,0))</x:f>
        <x:v>150000</x:v>
      </x:c>
      <x:c r="J238" s="17" t="n">
        <x:f>ROUND(I238*'Costing'!$C$4,2)</x:f>
        <x:v>27000</x:v>
      </x:c>
      <x:c r="K238" s="17" t="n">
        <x:f>I238+J238</x:f>
        <x:v>177000</x:v>
      </x:c>
    </x:row>
    <x:row r="239" ht="46" customHeight="1">
      <x:c r="A239" s="2" t="str">
        <x:v>Indicative size</x:v>
      </x:c>
      <x:c r="B239" s="2" t="str">
        <x:v>Small-scale prospects</x:v>
      </x:c>
      <x:c r="C239" s="12" t="str">
        <x:v>Mumbai</x:v>
      </x:c>
      <x:c r="D239" s="12" t="str">
        <x:v>MAIN-350</x:v>
      </x:c>
      <x:c r="E239" s="12" t="str">
        <x:v>The Summit Business Park Premises</x:v>
      </x:c>
      <x:c r="F239" s="11" t="n">
        <x:v>70</x:v>
      </x:c>
      <x:c r="G239" s="11" t="n">
        <x:v>70</x:v>
      </x:c>
      <x:c r="H239" s="11" t="n">
        <x:v>0</x:v>
      </x:c>
      <x:c r="I239" s="17" t="n">
        <x:f>INDEX('Costing'!$P$9:$P$492,MATCH(D239,'Costing'!$A$9:$A$492,0))</x:f>
        <x:v>1050000</x:v>
      </x:c>
      <x:c r="J239" s="17" t="n">
        <x:f>ROUND(I239*'Costing'!$C$4,2)</x:f>
        <x:v>189000</x:v>
      </x:c>
      <x:c r="K239" s="17" t="n">
        <x:f>I239+J239</x:f>
        <x:v>1239000</x:v>
      </x:c>
    </x:row>
    <x:row r="240" ht="46" customHeight="1">
      <x:c r="A240" s="2" t="str">
        <x:v>Indicative size</x:v>
      </x:c>
      <x:c r="B240" s="2" t="str">
        <x:v>Small-scale prospects</x:v>
      </x:c>
      <x:c r="C240" s="12" t="str">
        <x:v>Mumbai</x:v>
      </x:c>
      <x:c r="D240" s="12" t="str">
        <x:v>MAIN-351</x:v>
      </x:c>
      <x:c r="E240" s="12" t="str">
        <x:v>The Western Edge 2</x:v>
      </x:c>
      <x:c r="F240" s="11" t="n">
        <x:v>39</x:v>
      </x:c>
      <x:c r="G240" s="11" t="n">
        <x:v>39</x:v>
      </x:c>
      <x:c r="H240" s="11" t="n">
        <x:v>0</x:v>
      </x:c>
      <x:c r="I240" s="17" t="n">
        <x:f>INDEX('Costing'!$P$9:$P$492,MATCH(D240,'Costing'!$A$9:$A$492,0))</x:f>
        <x:v>585000</x:v>
      </x:c>
      <x:c r="J240" s="17" t="n">
        <x:f>ROUND(I240*'Costing'!$C$4,2)</x:f>
        <x:v>105300</x:v>
      </x:c>
      <x:c r="K240" s="17" t="n">
        <x:f>I240+J240</x:f>
        <x:v>690300</x:v>
      </x:c>
    </x:row>
    <x:row r="241" ht="46" customHeight="1">
      <x:c r="A241" s="2" t="str">
        <x:v>Indicative size</x:v>
      </x:c>
      <x:c r="B241" s="2" t="str">
        <x:v>Small-scale prospects</x:v>
      </x:c>
      <x:c r="C241" s="12" t="str">
        <x:v>Mumbai</x:v>
      </x:c>
      <x:c r="D241" s="12" t="str">
        <x:v>MAIN-352</x:v>
      </x:c>
      <x:c r="E241" s="12" t="str">
        <x:v>Times Square Tech Park</x:v>
      </x:c>
      <x:c r="F241" s="11" t="n">
        <x:v>4</x:v>
      </x:c>
      <x:c r="G241" s="11" t="n">
        <x:v>4</x:v>
      </x:c>
      <x:c r="H241" s="11" t="n">
        <x:v>0</x:v>
      </x:c>
      <x:c r="I241" s="17" t="n">
        <x:f>INDEX('Costing'!$P$9:$P$492,MATCH(D241,'Costing'!$A$9:$A$492,0))</x:f>
        <x:v>80000</x:v>
      </x:c>
      <x:c r="J241" s="17" t="n">
        <x:f>ROUND(I241*'Costing'!$C$4,2)</x:f>
        <x:v>14400</x:v>
      </x:c>
      <x:c r="K241" s="17" t="n">
        <x:f>I241+J241</x:f>
        <x:v>94400</x:v>
      </x:c>
    </x:row>
    <x:row r="242" ht="46" customHeight="1">
      <x:c r="A242" s="2" t="str">
        <x:v>Indicative size</x:v>
      </x:c>
      <x:c r="B242" s="2" t="str">
        <x:v>Small-scale prospects</x:v>
      </x:c>
      <x:c r="C242" s="12" t="str">
        <x:v>Mumbai</x:v>
      </x:c>
      <x:c r="D242" s="12" t="str">
        <x:v>MAIN-353</x:v>
      </x:c>
      <x:c r="E242" s="12" t="str">
        <x:v>WeWork - BKC</x:v>
      </x:c>
      <x:c r="F242" s="11" t="n">
        <x:v>17</x:v>
      </x:c>
      <x:c r="G242" s="11" t="n">
        <x:v>17</x:v>
      </x:c>
      <x:c r="H242" s="11" t="n">
        <x:v>0</x:v>
      </x:c>
      <x:c r="I242" s="17" t="n">
        <x:f>INDEX('Costing'!$P$9:$P$492,MATCH(D242,'Costing'!$A$9:$A$492,0))</x:f>
        <x:v>425000</x:v>
      </x:c>
      <x:c r="J242" s="17" t="n">
        <x:f>ROUND(I242*'Costing'!$C$4,2)</x:f>
        <x:v>76500</x:v>
      </x:c>
      <x:c r="K242" s="17" t="n">
        <x:f>I242+J242</x:f>
        <x:v>501500</x:v>
      </x:c>
    </x:row>
    <x:row r="243" ht="46" customHeight="1">
      <x:c r="A243" s="2" t="str">
        <x:v>Indicative size</x:v>
      </x:c>
      <x:c r="B243" s="2" t="str">
        <x:v>Small-scale prospects</x:v>
      </x:c>
      <x:c r="C243" s="12" t="str">
        <x:v>Mumbai</x:v>
      </x:c>
      <x:c r="D243" s="12" t="str">
        <x:v>MAIN-356</x:v>
      </x:c>
      <x:c r="E243" s="12" t="str">
        <x:v>WeWork - Oberoi Commerz</x:v>
      </x:c>
      <x:c r="F243" s="11" t="n">
        <x:v>8</x:v>
      </x:c>
      <x:c r="G243" s="11" t="n">
        <x:v>8</x:v>
      </x:c>
      <x:c r="H243" s="11" t="n">
        <x:v>0</x:v>
      </x:c>
      <x:c r="I243" s="17" t="n">
        <x:f>INDEX('Costing'!$P$9:$P$492,MATCH(D243,'Costing'!$A$9:$A$492,0))</x:f>
        <x:v>200000</x:v>
      </x:c>
      <x:c r="J243" s="17" t="n">
        <x:f>ROUND(I243*'Costing'!$C$4,2)</x:f>
        <x:v>36000</x:v>
      </x:c>
      <x:c r="K243" s="17" t="n">
        <x:f>I243+J243</x:f>
        <x:v>236000</x:v>
      </x:c>
    </x:row>
    <x:row r="244" ht="46" customHeight="1">
      <x:c r="A244" s="2" t="str">
        <x:v>Indicative size</x:v>
      </x:c>
      <x:c r="B244" s="2" t="str">
        <x:v>Small-scale prospects</x:v>
      </x:c>
      <x:c r="C244" s="12" t="str">
        <x:v>Mumbai</x:v>
      </x:c>
      <x:c r="D244" s="12" t="str">
        <x:v>MAIN-357</x:v>
      </x:c>
      <x:c r="E244" s="12" t="str">
        <x:v>Wework - Raheja Platinum</x:v>
      </x:c>
      <x:c r="F244" s="11" t="n">
        <x:v>19</x:v>
      </x:c>
      <x:c r="G244" s="11" t="n">
        <x:v>19</x:v>
      </x:c>
      <x:c r="H244" s="11" t="n">
        <x:v>0</x:v>
      </x:c>
      <x:c r="I244" s="17" t="n">
        <x:f>INDEX('Costing'!$P$9:$P$492,MATCH(D244,'Costing'!$A$9:$A$492,0))</x:f>
        <x:v>475000</x:v>
      </x:c>
      <x:c r="J244" s="17" t="n">
        <x:f>ROUND(I244*'Costing'!$C$4,2)</x:f>
        <x:v>85500</x:v>
      </x:c>
      <x:c r="K244" s="17" t="n">
        <x:f>I244+J244</x:f>
        <x:v>560500</x:v>
      </x:c>
    </x:row>
    <x:row r="245" ht="46" customHeight="1">
      <x:c r="A245" s="2" t="str">
        <x:v>Indicative size</x:v>
      </x:c>
      <x:c r="B245" s="2" t="str">
        <x:v>Small-scale prospects</x:v>
      </x:c>
      <x:c r="C245" s="12" t="str">
        <x:v>Mumbai</x:v>
      </x:c>
      <x:c r="D245" s="12" t="str">
        <x:v>MAIN-359</x:v>
      </x:c>
      <x:c r="E245" s="12" t="str">
        <x:v>Wework - Vaswani Chambers</x:v>
      </x:c>
      <x:c r="F245" s="11" t="n">
        <x:v>3</x:v>
      </x:c>
      <x:c r="G245" s="11" t="n">
        <x:v>3</x:v>
      </x:c>
      <x:c r="H245" s="11" t="n">
        <x:v>0</x:v>
      </x:c>
      <x:c r="I245" s="17" t="n">
        <x:f>INDEX('Costing'!$P$9:$P$492,MATCH(D245,'Costing'!$A$9:$A$492,0))</x:f>
        <x:v>75000</x:v>
      </x:c>
      <x:c r="J245" s="17" t="n">
        <x:f>ROUND(I245*'Costing'!$C$4,2)</x:f>
        <x:v>13500</x:v>
      </x:c>
      <x:c r="K245" s="17" t="n">
        <x:f>I245+J245</x:f>
        <x:v>88500</x:v>
      </x:c>
    </x:row>
    <x:row r="246" ht="46" customHeight="1">
      <x:c r="A246" s="2" t="str">
        <x:v>Indicative size</x:v>
      </x:c>
      <x:c r="B246" s="2" t="str">
        <x:v>Small-scale prospects</x:v>
      </x:c>
      <x:c r="C246" s="12" t="str">
        <x:v>Mumbai</x:v>
      </x:c>
      <x:c r="D246" s="12" t="str">
        <x:v>MAIN-360</x:v>
      </x:c>
      <x:c r="E246" s="12" t="str">
        <x:v>Wework - Vijay Diamond</x:v>
      </x:c>
      <x:c r="F246" s="11" t="n">
        <x:v>4</x:v>
      </x:c>
      <x:c r="G246" s="11" t="n">
        <x:v>4</x:v>
      </x:c>
      <x:c r="H246" s="11" t="n">
        <x:v>0</x:v>
      </x:c>
      <x:c r="I246" s="17" t="n">
        <x:f>INDEX('Costing'!$P$9:$P$492,MATCH(D246,'Costing'!$A$9:$A$492,0))</x:f>
        <x:v>100000</x:v>
      </x:c>
      <x:c r="J246" s="17" t="n">
        <x:f>ROUND(I246*'Costing'!$C$4,2)</x:f>
        <x:v>18000</x:v>
      </x:c>
      <x:c r="K246" s="17" t="n">
        <x:f>I246+J246</x:f>
        <x:v>118000</x:v>
      </x:c>
    </x:row>
    <x:row r="247" ht="46" customHeight="1">
      <x:c r="A247" s="2" t="str">
        <x:v>Indicative size</x:v>
      </x:c>
      <x:c r="B247" s="2" t="str">
        <x:v>Small-scale prospects</x:v>
      </x:c>
      <x:c r="C247" s="12" t="str">
        <x:v>Mumbai</x:v>
      </x:c>
      <x:c r="D247" s="12" t="str">
        <x:v>MAIN-361</x:v>
      </x:c>
      <x:c r="E247" s="12" t="str">
        <x:v>WeWork - Vikhroil 247</x:v>
      </x:c>
      <x:c r="F247" s="11" t="n">
        <x:v>4</x:v>
      </x:c>
      <x:c r="G247" s="11" t="n">
        <x:v>4</x:v>
      </x:c>
      <x:c r="H247" s="11" t="n">
        <x:v>0</x:v>
      </x:c>
      <x:c r="I247" s="17" t="n">
        <x:f>INDEX('Costing'!$P$9:$P$492,MATCH(D247,'Costing'!$A$9:$A$492,0))</x:f>
        <x:v>100000</x:v>
      </x:c>
      <x:c r="J247" s="17" t="n">
        <x:f>ROUND(I247*'Costing'!$C$4,2)</x:f>
        <x:v>18000</x:v>
      </x:c>
      <x:c r="K247" s="17" t="n">
        <x:f>I247+J247</x:f>
        <x:v>118000</x:v>
      </x:c>
    </x:row>
    <x:row r="248" ht="46" customHeight="1">
      <x:c r="A248" s="2" t="str">
        <x:v>Indicative size</x:v>
      </x:c>
      <x:c r="B248" s="2" t="str">
        <x:v>Small-scale prospects</x:v>
      </x:c>
      <x:c r="C248" s="12" t="str">
        <x:v>Mumbai</x:v>
      </x:c>
      <x:c r="D248" s="12" t="str">
        <x:v>MAIN-362</x:v>
      </x:c>
      <x:c r="E248" s="12" t="str">
        <x:v>WeWork - Zenia</x:v>
      </x:c>
      <x:c r="F248" s="11" t="n">
        <x:v>12</x:v>
      </x:c>
      <x:c r="G248" s="11" t="n">
        <x:v>12</x:v>
      </x:c>
      <x:c r="H248" s="11" t="n">
        <x:v>0</x:v>
      </x:c>
      <x:c r="I248" s="17" t="n">
        <x:f>INDEX('Costing'!$P$9:$P$492,MATCH(D248,'Costing'!$A$9:$A$492,0))</x:f>
        <x:v>300000</x:v>
      </x:c>
      <x:c r="J248" s="17" t="n">
        <x:f>ROUND(I248*'Costing'!$C$4,2)</x:f>
        <x:v>54000</x:v>
      </x:c>
      <x:c r="K248" s="17" t="n">
        <x:f>I248+J248</x:f>
        <x:v>354000</x:v>
      </x:c>
    </x:row>
    <x:row r="249" ht="46" customHeight="1">
      <x:c r="A249" s="2" t="str">
        <x:v>Indicative size</x:v>
      </x:c>
      <x:c r="B249" s="2" t="str">
        <x:v>Small-scale prospects</x:v>
      </x:c>
      <x:c r="C249" s="12" t="str">
        <x:v>Pune</x:v>
      </x:c>
      <x:c r="D249" s="12" t="str">
        <x:v>MAIN-379</x:v>
      </x:c>
      <x:c r="E249" s="12" t="str">
        <x:v>11 Cowork</x:v>
      </x:c>
      <x:c r="F249" s="11" t="n">
        <x:v>1</x:v>
      </x:c>
      <x:c r="G249" s="11" t="n">
        <x:v>1</x:v>
      </x:c>
      <x:c r="H249" s="11" t="n">
        <x:v>0</x:v>
      </x:c>
      <x:c r="I249" s="17" t="n">
        <x:f>INDEX('Costing'!$P$9:$P$492,MATCH(D249,'Costing'!$A$9:$A$492,0))</x:f>
        <x:v>15000</x:v>
      </x:c>
      <x:c r="J249" s="17" t="n">
        <x:f>ROUND(I249*'Costing'!$C$4,2)</x:f>
        <x:v>2700</x:v>
      </x:c>
      <x:c r="K249" s="17" t="n">
        <x:f>I249+J249</x:f>
        <x:v>17700</x:v>
      </x:c>
    </x:row>
    <x:row r="250" ht="46" customHeight="1">
      <x:c r="A250" s="2" t="str">
        <x:v>Indicative size</x:v>
      </x:c>
      <x:c r="B250" s="2" t="str">
        <x:v>Small-scale prospects</x:v>
      </x:c>
      <x:c r="C250" s="12" t="str">
        <x:v>Pune</x:v>
      </x:c>
      <x:c r="D250" s="12" t="str">
        <x:v>MAIN-381</x:v>
      </x:c>
      <x:c r="E250" s="12" t="str">
        <x:v>Amar Pristine Tech Park</x:v>
      </x:c>
      <x:c r="F250" s="11" t="n">
        <x:v>4</x:v>
      </x:c>
      <x:c r="G250" s="11" t="n">
        <x:v>4</x:v>
      </x:c>
      <x:c r="H250" s="11" t="n">
        <x:v>0</x:v>
      </x:c>
      <x:c r="I250" s="17" t="n">
        <x:f>INDEX('Costing'!$P$9:$P$492,MATCH(D250,'Costing'!$A$9:$A$492,0))</x:f>
        <x:v>80000</x:v>
      </x:c>
      <x:c r="J250" s="17" t="n">
        <x:f>ROUND(I250*'Costing'!$C$4,2)</x:f>
        <x:v>14400</x:v>
      </x:c>
      <x:c r="K250" s="17" t="n">
        <x:f>I250+J250</x:f>
        <x:v>94400</x:v>
      </x:c>
    </x:row>
    <x:row r="251" ht="46" customHeight="1">
      <x:c r="A251" s="2" t="str">
        <x:v>Indicative size</x:v>
      </x:c>
      <x:c r="B251" s="2" t="str">
        <x:v>Small-scale prospects</x:v>
      </x:c>
      <x:c r="C251" s="12" t="str">
        <x:v>Pune</x:v>
      </x:c>
      <x:c r="D251" s="12" t="str">
        <x:v>MAIN-382</x:v>
      </x:c>
      <x:c r="E251" s="12" t="str">
        <x:v>Amar Sadanand Tech Park</x:v>
      </x:c>
      <x:c r="F251" s="11" t="n">
        <x:v>7</x:v>
      </x:c>
      <x:c r="G251" s="11" t="n">
        <x:v>7</x:v>
      </x:c>
      <x:c r="H251" s="11" t="n">
        <x:v>0</x:v>
      </x:c>
      <x:c r="I251" s="17" t="n">
        <x:f>INDEX('Costing'!$P$9:$P$492,MATCH(D251,'Costing'!$A$9:$A$492,0))</x:f>
        <x:v>140000</x:v>
      </x:c>
      <x:c r="J251" s="17" t="n">
        <x:f>ROUND(I251*'Costing'!$C$4,2)</x:f>
        <x:v>25200</x:v>
      </x:c>
      <x:c r="K251" s="17" t="n">
        <x:f>I251+J251</x:f>
        <x:v>165200</x:v>
      </x:c>
    </x:row>
    <x:row r="252" ht="46" customHeight="1">
      <x:c r="A252" s="2" t="str">
        <x:v>Indicative size</x:v>
      </x:c>
      <x:c r="B252" s="2" t="str">
        <x:v>Small-scale prospects</x:v>
      </x:c>
      <x:c r="C252" s="12" t="str">
        <x:v>Pune</x:v>
      </x:c>
      <x:c r="D252" s="12" t="str">
        <x:v>MAIN-384</x:v>
      </x:c>
      <x:c r="E252" s="12" t="str">
        <x:v>Amar Tech Park (TS)</x:v>
      </x:c>
      <x:c r="F252" s="11" t="n">
        <x:v>2</x:v>
      </x:c>
      <x:c r="G252" s="11" t="n">
        <x:v>2</x:v>
      </x:c>
      <x:c r="H252" s="11" t="n">
        <x:v>0</x:v>
      </x:c>
      <x:c r="I252" s="17" t="n">
        <x:f>INDEX('Costing'!$P$9:$P$492,MATCH(D252,'Costing'!$A$9:$A$492,0))</x:f>
        <x:v>80000</x:v>
      </x:c>
      <x:c r="J252" s="17" t="n">
        <x:f>ROUND(I252*'Costing'!$C$4,2)</x:f>
        <x:v>14400</x:v>
      </x:c>
      <x:c r="K252" s="17" t="n">
        <x:f>I252+J252</x:f>
        <x:v>94400</x:v>
      </x:c>
    </x:row>
    <x:row r="253" ht="46" customHeight="1">
      <x:c r="A253" s="2" t="str">
        <x:v>Indicative size</x:v>
      </x:c>
      <x:c r="B253" s="2" t="str">
        <x:v>Small-scale prospects</x:v>
      </x:c>
      <x:c r="C253" s="12" t="str">
        <x:v>Pune</x:v>
      </x:c>
      <x:c r="D253" s="12" t="str">
        <x:v>MAIN-385</x:v>
      </x:c>
      <x:c r="E253" s="12" t="str">
        <x:v>Anchors Coworking</x:v>
      </x:c>
      <x:c r="F253" s="11" t="n">
        <x:v>1</x:v>
      </x:c>
      <x:c r="G253" s="11" t="n">
        <x:v>1</x:v>
      </x:c>
      <x:c r="H253" s="11" t="n">
        <x:v>0</x:v>
      </x:c>
      <x:c r="I253" s="17" t="n">
        <x:f>INDEX('Costing'!$P$9:$P$492,MATCH(D253,'Costing'!$A$9:$A$492,0))</x:f>
        <x:v>15000</x:v>
      </x:c>
      <x:c r="J253" s="17" t="n">
        <x:f>ROUND(I253*'Costing'!$C$4,2)</x:f>
        <x:v>2700</x:v>
      </x:c>
      <x:c r="K253" s="17" t="n">
        <x:f>I253+J253</x:f>
        <x:v>17700</x:v>
      </x:c>
    </x:row>
    <x:row r="254" ht="46" customHeight="1">
      <x:c r="A254" s="2" t="str">
        <x:v>Indicative size</x:v>
      </x:c>
      <x:c r="B254" s="2" t="str">
        <x:v>Small-scale prospects</x:v>
      </x:c>
      <x:c r="C254" s="12" t="str">
        <x:v>Pune</x:v>
      </x:c>
      <x:c r="D254" s="12" t="str">
        <x:v>MAIN-386</x:v>
      </x:c>
      <x:c r="E254" s="12" t="str">
        <x:v>Awfis - Amanora Mall</x:v>
      </x:c>
      <x:c r="F254" s="11" t="n">
        <x:v>1</x:v>
      </x:c>
      <x:c r="G254" s="11" t="n">
        <x:v>1</x:v>
      </x:c>
      <x:c r="H254" s="11" t="n">
        <x:v>0</x:v>
      </x:c>
      <x:c r="I254" s="17" t="n">
        <x:f>INDEX('Costing'!$P$9:$P$492,MATCH(D254,'Costing'!$A$9:$A$492,0))</x:f>
        <x:v>15000</x:v>
      </x:c>
      <x:c r="J254" s="17" t="n">
        <x:f>ROUND(I254*'Costing'!$C$4,2)</x:f>
        <x:v>2700</x:v>
      </x:c>
      <x:c r="K254" s="17" t="n">
        <x:f>I254+J254</x:f>
        <x:v>17700</x:v>
      </x:c>
    </x:row>
    <x:row r="255" ht="46" customHeight="1">
      <x:c r="A255" s="2" t="str">
        <x:v>Indicative size</x:v>
      </x:c>
      <x:c r="B255" s="2" t="str">
        <x:v>Small-scale prospects</x:v>
      </x:c>
      <x:c r="C255" s="12" t="str">
        <x:v>Pune</x:v>
      </x:c>
      <x:c r="D255" s="12" t="str">
        <x:v>MAIN-388</x:v>
      </x:c>
      <x:c r="E255" s="12" t="str">
        <x:v>Awfis - GK Mall</x:v>
      </x:c>
      <x:c r="F255" s="11" t="n">
        <x:v>2</x:v>
      </x:c>
      <x:c r="G255" s="11" t="n">
        <x:v>2</x:v>
      </x:c>
      <x:c r="H255" s="11" t="n">
        <x:v>0</x:v>
      </x:c>
      <x:c r="I255" s="17" t="n">
        <x:f>INDEX('Costing'!$P$9:$P$492,MATCH(D255,'Costing'!$A$9:$A$492,0))</x:f>
        <x:v>30000</x:v>
      </x:c>
      <x:c r="J255" s="17" t="n">
        <x:f>ROUND(I255*'Costing'!$C$4,2)</x:f>
        <x:v>5400</x:v>
      </x:c>
      <x:c r="K255" s="17" t="n">
        <x:f>I255+J255</x:f>
        <x:v>35400</x:v>
      </x:c>
    </x:row>
    <x:row r="256" ht="46" customHeight="1">
      <x:c r="A256" s="2" t="str">
        <x:v>Indicative size</x:v>
      </x:c>
      <x:c r="B256" s="2" t="str">
        <x:v>Small-scale prospects</x:v>
      </x:c>
      <x:c r="C256" s="12" t="str">
        <x:v>Pune</x:v>
      </x:c>
      <x:c r="D256" s="12" t="str">
        <x:v>MAIN-389</x:v>
      </x:c>
      <x:c r="E256" s="12" t="str">
        <x:v>Awfis - Nyati Empress</x:v>
      </x:c>
      <x:c r="F256" s="11" t="n">
        <x:v>2</x:v>
      </x:c>
      <x:c r="G256" s="11" t="n">
        <x:v>2</x:v>
      </x:c>
      <x:c r="H256" s="11" t="n">
        <x:v>0</x:v>
      </x:c>
      <x:c r="I256" s="17" t="n">
        <x:f>INDEX('Costing'!$P$9:$P$492,MATCH(D256,'Costing'!$A$9:$A$492,0))</x:f>
        <x:v>30000</x:v>
      </x:c>
      <x:c r="J256" s="17" t="n">
        <x:f>ROUND(I256*'Costing'!$C$4,2)</x:f>
        <x:v>5400</x:v>
      </x:c>
      <x:c r="K256" s="17" t="n">
        <x:f>I256+J256</x:f>
        <x:v>35400</x:v>
      </x:c>
    </x:row>
    <x:row r="257" ht="46" customHeight="1">
      <x:c r="A257" s="2" t="str">
        <x:v>Indicative size</x:v>
      </x:c>
      <x:c r="B257" s="2" t="str">
        <x:v>Small-scale prospects</x:v>
      </x:c>
      <x:c r="C257" s="12" t="str">
        <x:v>Pune</x:v>
      </x:c>
      <x:c r="D257" s="12" t="str">
        <x:v>MAIN-390</x:v>
      </x:c>
      <x:c r="E257" s="12" t="str">
        <x:v>Awfis - Que Spaces</x:v>
      </x:c>
      <x:c r="F257" s="11" t="n">
        <x:v>1</x:v>
      </x:c>
      <x:c r="G257" s="11" t="n">
        <x:v>1</x:v>
      </x:c>
      <x:c r="H257" s="11" t="n">
        <x:v>0</x:v>
      </x:c>
      <x:c r="I257" s="17" t="n">
        <x:f>INDEX('Costing'!$P$9:$P$492,MATCH(D257,'Costing'!$A$9:$A$492,0))</x:f>
        <x:v>15000</x:v>
      </x:c>
      <x:c r="J257" s="17" t="n">
        <x:f>ROUND(I257*'Costing'!$C$4,2)</x:f>
        <x:v>2700</x:v>
      </x:c>
      <x:c r="K257" s="17" t="n">
        <x:f>I257+J257</x:f>
        <x:v>17700</x:v>
      </x:c>
    </x:row>
    <x:row r="258" ht="46" customHeight="1">
      <x:c r="A258" s="2" t="str">
        <x:v>Indicative size</x:v>
      </x:c>
      <x:c r="B258" s="2" t="str">
        <x:v>Small-scale prospects</x:v>
      </x:c>
      <x:c r="C258" s="12" t="str">
        <x:v>Pune</x:v>
      </x:c>
      <x:c r="D258" s="12" t="str">
        <x:v>MAIN-392</x:v>
      </x:c>
      <x:c r="E258" s="12" t="str">
        <x:v>Awfis - The Kode</x:v>
      </x:c>
      <x:c r="F258" s="11" t="n">
        <x:v>2</x:v>
      </x:c>
      <x:c r="G258" s="11" t="n">
        <x:v>2</x:v>
      </x:c>
      <x:c r="H258" s="11" t="n">
        <x:v>0</x:v>
      </x:c>
      <x:c r="I258" s="17" t="n">
        <x:f>INDEX('Costing'!$P$9:$P$492,MATCH(D258,'Costing'!$A$9:$A$492,0))</x:f>
        <x:v>24000</x:v>
      </x:c>
      <x:c r="J258" s="17" t="n">
        <x:f>ROUND(I258*'Costing'!$C$4,2)</x:f>
        <x:v>4320</x:v>
      </x:c>
      <x:c r="K258" s="17" t="n">
        <x:f>I258+J258</x:f>
        <x:v>28320</x:v>
      </x:c>
    </x:row>
    <x:row r="259" ht="46" customHeight="1">
      <x:c r="A259" s="2" t="str">
        <x:v>Indicative size</x:v>
      </x:c>
      <x:c r="B259" s="2" t="str">
        <x:v>Small-scale prospects</x:v>
      </x:c>
      <x:c r="C259" s="12" t="str">
        <x:v>Pune</x:v>
      </x:c>
      <x:c r="D259" s="12" t="str">
        <x:v>MAIN-394</x:v>
      </x:c>
      <x:c r="E259" s="12" t="str">
        <x:v>Bootstart - Clover Hills Plaza</x:v>
      </x:c>
      <x:c r="F259" s="11" t="n">
        <x:v>1</x:v>
      </x:c>
      <x:c r="G259" s="11" t="n">
        <x:v>1</x:v>
      </x:c>
      <x:c r="H259" s="11" t="n">
        <x:v>0</x:v>
      </x:c>
      <x:c r="I259" s="17" t="n">
        <x:f>INDEX('Costing'!$P$9:$P$492,MATCH(D259,'Costing'!$A$9:$A$492,0))</x:f>
        <x:v>15000</x:v>
      </x:c>
      <x:c r="J259" s="17" t="n">
        <x:f>ROUND(I259*'Costing'!$C$4,2)</x:f>
        <x:v>2700</x:v>
      </x:c>
      <x:c r="K259" s="17" t="n">
        <x:f>I259+J259</x:f>
        <x:v>17700</x:v>
      </x:c>
    </x:row>
    <x:row r="260" ht="46" customHeight="1">
      <x:c r="A260" s="2" t="str">
        <x:v>Indicative size</x:v>
      </x:c>
      <x:c r="B260" s="2" t="str">
        <x:v>Small-scale prospects</x:v>
      </x:c>
      <x:c r="C260" s="12" t="str">
        <x:v>Pune</x:v>
      </x:c>
      <x:c r="D260" s="12" t="str">
        <x:v>MAIN-395</x:v>
      </x:c>
      <x:c r="E260" s="12" t="str">
        <x:v>Bootstart Arcadian</x:v>
      </x:c>
      <x:c r="F260" s="11" t="n">
        <x:v>1</x:v>
      </x:c>
      <x:c r="G260" s="11" t="n">
        <x:v>1</x:v>
      </x:c>
      <x:c r="H260" s="11" t="n">
        <x:v>0</x:v>
      </x:c>
      <x:c r="I260" s="17" t="n">
        <x:f>INDEX('Costing'!$P$9:$P$492,MATCH(D260,'Costing'!$A$9:$A$492,0))</x:f>
        <x:v>15000</x:v>
      </x:c>
      <x:c r="J260" s="17" t="n">
        <x:f>ROUND(I260*'Costing'!$C$4,2)</x:f>
        <x:v>2700</x:v>
      </x:c>
      <x:c r="K260" s="17" t="n">
        <x:f>I260+J260</x:f>
        <x:v>17700</x:v>
      </x:c>
    </x:row>
    <x:row r="261" ht="46" customHeight="1">
      <x:c r="A261" s="2" t="str">
        <x:v>Indicative size</x:v>
      </x:c>
      <x:c r="B261" s="2" t="str">
        <x:v>Small-scale prospects</x:v>
      </x:c>
      <x:c r="C261" s="12" t="str">
        <x:v>Pune</x:v>
      </x:c>
      <x:c r="D261" s="12" t="str">
        <x:v>MAIN-402</x:v>
      </x:c>
      <x:c r="E261" s="12" t="str">
        <x:v>Kolte Patil Downtown City Vista</x:v>
      </x:c>
      <x:c r="F261" s="11" t="n">
        <x:v>9</x:v>
      </x:c>
      <x:c r="G261" s="11" t="n">
        <x:v>9</x:v>
      </x:c>
      <x:c r="H261" s="11" t="n">
        <x:v>0</x:v>
      </x:c>
      <x:c r="I261" s="17" t="n">
        <x:f>INDEX('Costing'!$P$9:$P$492,MATCH(D261,'Costing'!$A$9:$A$492,0))</x:f>
        <x:v>135000</x:v>
      </x:c>
      <x:c r="J261" s="17" t="n">
        <x:f>ROUND(I261*'Costing'!$C$4,2)</x:f>
        <x:v>24300</x:v>
      </x:c>
      <x:c r="K261" s="17" t="n">
        <x:f>I261+J261</x:f>
        <x:v>159300</x:v>
      </x:c>
    </x:row>
    <x:row r="262" ht="46" customHeight="1">
      <x:c r="A262" s="2" t="str">
        <x:v>Indicative size</x:v>
      </x:c>
      <x:c r="B262" s="2" t="str">
        <x:v>Small-scale prospects</x:v>
      </x:c>
      <x:c r="C262" s="12" t="str">
        <x:v>Pune</x:v>
      </x:c>
      <x:c r="D262" s="12" t="str">
        <x:v>MAIN-403</x:v>
      </x:c>
      <x:c r="E262" s="12" t="str">
        <x:v>M Agile Tech Park</x:v>
      </x:c>
      <x:c r="F262" s="11" t="n">
        <x:v>4</x:v>
      </x:c>
      <x:c r="G262" s="11" t="n">
        <x:v>4</x:v>
      </x:c>
      <x:c r="H262" s="11" t="n">
        <x:v>0</x:v>
      </x:c>
      <x:c r="I262" s="17" t="n">
        <x:f>INDEX('Costing'!$P$9:$P$492,MATCH(D262,'Costing'!$A$9:$A$492,0))</x:f>
        <x:v>80000</x:v>
      </x:c>
      <x:c r="J262" s="17" t="n">
        <x:f>ROUND(I262*'Costing'!$C$4,2)</x:f>
        <x:v>14400</x:v>
      </x:c>
      <x:c r="K262" s="17" t="n">
        <x:f>I262+J262</x:f>
        <x:v>94400</x:v>
      </x:c>
    </x:row>
    <x:row r="263" ht="46" customHeight="1">
      <x:c r="A263" s="2" t="str">
        <x:v>Indicative size</x:v>
      </x:c>
      <x:c r="B263" s="2" t="str">
        <x:v>Small-scale prospects</x:v>
      </x:c>
      <x:c r="C263" s="12" t="str">
        <x:v>Pune</x:v>
      </x:c>
      <x:c r="D263" s="12" t="str">
        <x:v>MAIN-405</x:v>
      </x:c>
      <x:c r="E263" s="12" t="str">
        <x:v>Olympia B Premises</x:v>
      </x:c>
      <x:c r="F263" s="11" t="n">
        <x:v>1</x:v>
      </x:c>
      <x:c r="G263" s="11" t="n">
        <x:v>1</x:v>
      </x:c>
      <x:c r="H263" s="11" t="n">
        <x:v>0</x:v>
      </x:c>
      <x:c r="I263" s="17" t="n">
        <x:f>INDEX('Costing'!$P$9:$P$492,MATCH(D263,'Costing'!$A$9:$A$492,0))</x:f>
        <x:v>15000</x:v>
      </x:c>
      <x:c r="J263" s="17" t="n">
        <x:f>ROUND(I263*'Costing'!$C$4,2)</x:f>
        <x:v>2700</x:v>
      </x:c>
      <x:c r="K263" s="17" t="n">
        <x:f>I263+J263</x:f>
        <x:v>17700</x:v>
      </x:c>
    </x:row>
    <x:row r="264" ht="46" customHeight="1">
      <x:c r="A264" s="2" t="str">
        <x:v>Indicative size</x:v>
      </x:c>
      <x:c r="B264" s="2" t="str">
        <x:v>Small-scale prospects</x:v>
      </x:c>
      <x:c r="C264" s="12" t="str">
        <x:v>Pune</x:v>
      </x:c>
      <x:c r="D264" s="12" t="str">
        <x:v>MAIN-406</x:v>
      </x:c>
      <x:c r="E264" s="12" t="str">
        <x:v>OLYMPIA B PREMISES Inside Elevator</x:v>
      </x:c>
      <x:c r="F264" s="11" t="n">
        <x:v>1</x:v>
      </x:c>
      <x:c r="G264" s="11" t="n">
        <x:v>1</x:v>
      </x:c>
      <x:c r="H264" s="11" t="n">
        <x:v>0</x:v>
      </x:c>
      <x:c r="I264" s="17" t="n">
        <x:f>INDEX('Costing'!$P$9:$P$492,MATCH(D264,'Costing'!$A$9:$A$492,0))</x:f>
        <x:v>15000</x:v>
      </x:c>
      <x:c r="J264" s="17" t="n">
        <x:f>ROUND(I264*'Costing'!$C$4,2)</x:f>
        <x:v>2700</x:v>
      </x:c>
      <x:c r="K264" s="17" t="n">
        <x:f>I264+J264</x:f>
        <x:v>17700</x:v>
      </x:c>
    </x:row>
    <x:row r="265" ht="46" customHeight="1">
      <x:c r="A265" s="2" t="str">
        <x:v>Indicative size</x:v>
      </x:c>
      <x:c r="B265" s="2" t="str">
        <x:v>Small-scale prospects</x:v>
      </x:c>
      <x:c r="C265" s="12" t="str">
        <x:v>Pune</x:v>
      </x:c>
      <x:c r="D265" s="12" t="str">
        <x:v>MAIN-407</x:v>
      </x:c>
      <x:c r="E265" s="12" t="str">
        <x:v>Oyo Workspace - Innov8 Suman Business Park</x:v>
      </x:c>
      <x:c r="F265" s="11" t="n">
        <x:v>2</x:v>
      </x:c>
      <x:c r="G265" s="11" t="n">
        <x:v>2</x:v>
      </x:c>
      <x:c r="H265" s="11" t="n">
        <x:v>0</x:v>
      </x:c>
      <x:c r="I265" s="17" t="n">
        <x:f>INDEX('Costing'!$P$9:$P$492,MATCH(D265,'Costing'!$A$9:$A$492,0))</x:f>
        <x:v>30000</x:v>
      </x:c>
      <x:c r="J265" s="17" t="n">
        <x:f>ROUND(I265*'Costing'!$C$4,2)</x:f>
        <x:v>5400</x:v>
      </x:c>
      <x:c r="K265" s="17" t="n">
        <x:f>I265+J265</x:f>
        <x:v>35400</x:v>
      </x:c>
    </x:row>
    <x:row r="266" ht="46" customHeight="1">
      <x:c r="A266" s="2" t="str">
        <x:v>Indicative size</x:v>
      </x:c>
      <x:c r="B266" s="2" t="str">
        <x:v>Small-scale prospects</x:v>
      </x:c>
      <x:c r="C266" s="12" t="str">
        <x:v>Pune</x:v>
      </x:c>
      <x:c r="D266" s="12" t="str">
        <x:v>MAIN-409</x:v>
      </x:c>
      <x:c r="E266" s="12" t="str">
        <x:v>Pavillion Mall (Redbrick Offices)</x:v>
      </x:c>
      <x:c r="F266" s="11" t="n">
        <x:v>1</x:v>
      </x:c>
      <x:c r="G266" s="11" t="n">
        <x:v>1</x:v>
      </x:c>
      <x:c r="H266" s="11" t="n">
        <x:v>0</x:v>
      </x:c>
      <x:c r="I266" s="17" t="n">
        <x:f>INDEX('Costing'!$P$9:$P$492,MATCH(D266,'Costing'!$A$9:$A$492,0))</x:f>
        <x:v>15000</x:v>
      </x:c>
      <x:c r="J266" s="17" t="n">
        <x:f>ROUND(I266*'Costing'!$C$4,2)</x:f>
        <x:v>2700</x:v>
      </x:c>
      <x:c r="K266" s="17" t="n">
        <x:f>I266+J266</x:f>
        <x:v>17700</x:v>
      </x:c>
    </x:row>
    <x:row r="267" ht="46" customHeight="1">
      <x:c r="A267" s="2" t="str">
        <x:v>Indicative size</x:v>
      </x:c>
      <x:c r="B267" s="2" t="str">
        <x:v>Small-scale prospects</x:v>
      </x:c>
      <x:c r="C267" s="12" t="str">
        <x:v>Pune</x:v>
      </x:c>
      <x:c r="D267" s="12" t="str">
        <x:v>MAIN-410</x:v>
      </x:c>
      <x:c r="E267" s="12" t="str">
        <x:v>PBP Balewadi High Street (Redbrick Offices)</x:v>
      </x:c>
      <x:c r="F267" s="11" t="n">
        <x:v>1</x:v>
      </x:c>
      <x:c r="G267" s="11" t="n">
        <x:v>1</x:v>
      </x:c>
      <x:c r="H267" s="11" t="n">
        <x:v>0</x:v>
      </x:c>
      <x:c r="I267" s="17" t="n">
        <x:f>INDEX('Costing'!$P$9:$P$492,MATCH(D267,'Costing'!$A$9:$A$492,0))</x:f>
        <x:v>15000</x:v>
      </x:c>
      <x:c r="J267" s="17" t="n">
        <x:f>ROUND(I267*'Costing'!$C$4,2)</x:f>
        <x:v>2700</x:v>
      </x:c>
      <x:c r="K267" s="17" t="n">
        <x:f>I267+J267</x:f>
        <x:v>17700</x:v>
      </x:c>
    </x:row>
    <x:row r="268" ht="46" customHeight="1">
      <x:c r="A268" s="2" t="str">
        <x:v>Indicative size</x:v>
      </x:c>
      <x:c r="B268" s="2" t="str">
        <x:v>Small-scale prospects</x:v>
      </x:c>
      <x:c r="C268" s="12" t="str">
        <x:v>Pune</x:v>
      </x:c>
      <x:c r="D268" s="12" t="str">
        <x:v>MAIN-414</x:v>
      </x:c>
      <x:c r="E268" s="12" t="str">
        <x:v>Smartworks Amar Madhuban Tech Park</x:v>
      </x:c>
      <x:c r="F268" s="11" t="n">
        <x:v>3</x:v>
      </x:c>
      <x:c r="G268" s="11" t="n">
        <x:v>3</x:v>
      </x:c>
      <x:c r="H268" s="11" t="n">
        <x:v>0</x:v>
      </x:c>
      <x:c r="I268" s="17" t="n">
        <x:f>INDEX('Costing'!$P$9:$P$492,MATCH(D268,'Costing'!$A$9:$A$492,0))</x:f>
        <x:v>60000</x:v>
      </x:c>
      <x:c r="J268" s="17" t="n">
        <x:f>ROUND(I268*'Costing'!$C$4,2)</x:f>
        <x:v>10800</x:v>
      </x:c>
      <x:c r="K268" s="17" t="n">
        <x:f>I268+J268</x:f>
        <x:v>70800</x:v>
      </x:c>
    </x:row>
    <x:row r="269" ht="46" customHeight="1">
      <x:c r="A269" s="2" t="str">
        <x:v>Indicative size</x:v>
      </x:c>
      <x:c r="B269" s="2" t="str">
        <x:v>Small-scale prospects</x:v>
      </x:c>
      <x:c r="C269" s="12" t="str">
        <x:v>Pune</x:v>
      </x:c>
      <x:c r="D269" s="12" t="str">
        <x:v>MAIN-415</x:v>
      </x:c>
      <x:c r="E269" s="12" t="str">
        <x:v>The Powerpoint Coworking Space</x:v>
      </x:c>
      <x:c r="F269" s="11" t="n">
        <x:v>1</x:v>
      </x:c>
      <x:c r="G269" s="11" t="n">
        <x:v>1</x:v>
      </x:c>
      <x:c r="H269" s="11" t="n">
        <x:v>0</x:v>
      </x:c>
      <x:c r="I269" s="17" t="n">
        <x:f>INDEX('Costing'!$P$9:$P$492,MATCH(D269,'Costing'!$A$9:$A$492,0))</x:f>
        <x:v>15000</x:v>
      </x:c>
      <x:c r="J269" s="17" t="n">
        <x:f>ROUND(I269*'Costing'!$C$4,2)</x:f>
        <x:v>2700</x:v>
      </x:c>
      <x:c r="K269" s="17" t="n">
        <x:f>I269+J269</x:f>
        <x:v>17700</x:v>
      </x:c>
    </x:row>
    <x:row r="270" ht="46" customHeight="1">
      <x:c r="A270" s="2" t="str">
        <x:v>Indicative size</x:v>
      </x:c>
      <x:c r="B270" s="2" t="str">
        <x:v>Small-scale prospects</x:v>
      </x:c>
      <x:c r="C270" s="12" t="str">
        <x:v>Pune</x:v>
      </x:c>
      <x:c r="D270" s="12" t="str">
        <x:v>MAIN-419</x:v>
      </x:c>
      <x:c r="E270" s="12" t="str">
        <x:v>WeWork - Futura</x:v>
      </x:c>
      <x:c r="F270" s="11" t="n">
        <x:v>2</x:v>
      </x:c>
      <x:c r="G270" s="11" t="n">
        <x:v>2</x:v>
      </x:c>
      <x:c r="H270" s="11" t="n">
        <x:v>0</x:v>
      </x:c>
      <x:c r="I270" s="17" t="n">
        <x:f>INDEX('Costing'!$P$9:$P$492,MATCH(D270,'Costing'!$A$9:$A$492,0))</x:f>
        <x:v>50000</x:v>
      </x:c>
      <x:c r="J270" s="17" t="n">
        <x:f>ROUND(I270*'Costing'!$C$4,2)</x:f>
        <x:v>9000</x:v>
      </x:c>
      <x:c r="K270" s="17" t="n">
        <x:f>I270+J270</x:f>
        <x:v>59000</x:v>
      </x:c>
    </x:row>
    <x:row r="271" ht="46" customHeight="1">
      <x:c r="A271" s="2" t="str">
        <x:v>Indicative size</x:v>
      </x:c>
      <x:c r="B271" s="2" t="str">
        <x:v>Small-scale prospects</x:v>
      </x:c>
      <x:c r="C271" s="12" t="str">
        <x:v>Pune</x:v>
      </x:c>
      <x:c r="D271" s="12" t="str">
        <x:v>MAIN-421</x:v>
      </x:c>
      <x:c r="E271" s="12" t="str">
        <x:v>WeWork - World Trade Centre</x:v>
      </x:c>
      <x:c r="F271" s="11" t="n">
        <x:v>4</x:v>
      </x:c>
      <x:c r="G271" s="11" t="n">
        <x:v>4</x:v>
      </x:c>
      <x:c r="H271" s="11" t="n">
        <x:v>0</x:v>
      </x:c>
      <x:c r="I271" s="17" t="n">
        <x:f>INDEX('Costing'!$P$9:$P$492,MATCH(D271,'Costing'!$A$9:$A$492,0))</x:f>
        <x:v>100000</x:v>
      </x:c>
      <x:c r="J271" s="17" t="n">
        <x:f>ROUND(I271*'Costing'!$C$4,2)</x:f>
        <x:v>18000</x:v>
      </x:c>
      <x:c r="K271" s="17" t="n">
        <x:f>I271+J271</x:f>
        <x:v>118000</x:v>
      </x:c>
    </x:row>
    <x:row r="272" ht="46" customHeight="1">
      <x:c r="A272" s="2" t="str">
        <x:v>Indicative size</x:v>
      </x:c>
      <x:c r="B272" s="2" t="str">
        <x:v>Small-scale prospects</x:v>
      </x:c>
      <x:c r="C272" s="12" t="str">
        <x:v>Pune</x:v>
      </x:c>
      <x:c r="D272" s="12" t="str">
        <x:v>MAIN-422</x:v>
      </x:c>
      <x:c r="E272" s="12" t="str">
        <x:v>Workflow by Oyo - Icon Tower</x:v>
      </x:c>
      <x:c r="F272" s="11" t="n">
        <x:v>3</x:v>
      </x:c>
      <x:c r="G272" s="11" t="n">
        <x:v>3</x:v>
      </x:c>
      <x:c r="H272" s="11" t="n">
        <x:v>0</x:v>
      </x:c>
      <x:c r="I272" s="17" t="n">
        <x:f>INDEX('Costing'!$P$9:$P$492,MATCH(D272,'Costing'!$A$9:$A$492,0))</x:f>
        <x:v>45000</x:v>
      </x:c>
      <x:c r="J272" s="17" t="n">
        <x:f>ROUND(I272*'Costing'!$C$4,2)</x:f>
        <x:v>8100</x:v>
      </x:c>
      <x:c r="K272" s="17" t="n">
        <x:f>I272+J272</x:f>
        <x:v>53100</x:v>
      </x:c>
    </x:row>
    <x:row r="273" ht="46" customHeight="1">
      <x:c r="A273" s="2" t="str">
        <x:v>Indicative size</x:v>
      </x:c>
      <x:c r="B273" s="2" t="str">
        <x:v>Small-scale prospects</x:v>
      </x:c>
      <x:c r="C273" s="12" t="str">
        <x:v>Bengaluru</x:v>
      </x:c>
      <x:c r="D273" s="12" t="str">
        <x:v>PARTNER-M146</x:v>
      </x:c>
      <x:c r="E273" s="12" t="str">
        <x:v>Bagmane Solarium</x:v>
      </x:c>
      <x:c r="F273" s="11" t="n">
        <x:v>8</x:v>
      </x:c>
      <x:c r="G273" s="11" t="n">
        <x:v>8</x:v>
      </x:c>
      <x:c r="H273" s="11" t="n">
        <x:v>0</x:v>
      </x:c>
      <x:c r="I273" s="17" t="n">
        <x:f>INDEX('Costing'!$P$9:$P$492,MATCH(D273,'Costing'!$A$9:$A$492,0))</x:f>
        <x:v>320000</x:v>
      </x:c>
      <x:c r="J273" s="17" t="n">
        <x:f>ROUND(I273*'Costing'!$C$4,2)</x:f>
        <x:v>57600</x:v>
      </x:c>
      <x:c r="K273" s="17" t="n">
        <x:f>I273+J273</x:f>
        <x:v>377600</x:v>
      </x:c>
    </x:row>
    <x:row r="274" ht="46" customHeight="1">
      <x:c r="A274" s="2" t="str">
        <x:v>Indicative size</x:v>
      </x:c>
      <x:c r="B274" s="2" t="str">
        <x:v>Small-scale prospects</x:v>
      </x:c>
      <x:c r="C274" s="12" t="str">
        <x:v>Bengaluru</x:v>
      </x:c>
      <x:c r="D274" s="12" t="str">
        <x:v>PARTNER-M108</x:v>
      </x:c>
      <x:c r="E274" s="12" t="str">
        <x:v>Bagmane Tech Park</x:v>
      </x:c>
      <x:c r="F274" s="11" t="n">
        <x:v>12</x:v>
      </x:c>
      <x:c r="G274" s="11" t="n">
        <x:v>12</x:v>
      </x:c>
      <x:c r="H274" s="11" t="n">
        <x:v>0</x:v>
      </x:c>
      <x:c r="I274" s="17" t="n">
        <x:f>INDEX('Costing'!$P$9:$P$492,MATCH(D274,'Costing'!$A$9:$A$492,0))</x:f>
        <x:v>480000</x:v>
      </x:c>
      <x:c r="J274" s="17" t="n">
        <x:f>ROUND(I274*'Costing'!$C$4,2)</x:f>
        <x:v>86400</x:v>
      </x:c>
      <x:c r="K274" s="17" t="n">
        <x:f>I274+J274</x:f>
        <x:v>566400</x:v>
      </x:c>
    </x:row>
    <x:row r="275" ht="46" customHeight="1">
      <x:c r="A275" s="2" t="str">
        <x:v>Indicative size</x:v>
      </x:c>
      <x:c r="B275" s="2" t="str">
        <x:v>Small-scale prospects</x:v>
      </x:c>
      <x:c r="C275" s="12" t="str">
        <x:v>Bengaluru</x:v>
      </x:c>
      <x:c r="D275" s="12" t="str">
        <x:v>PARTNER-M120</x:v>
      </x:c>
      <x:c r="E275" s="12" t="str">
        <x:v>Bagmane World Technology Centre</x:v>
      </x:c>
      <x:c r="F275" s="11" t="n">
        <x:v>10</x:v>
      </x:c>
      <x:c r="G275" s="11" t="n">
        <x:v>10</x:v>
      </x:c>
      <x:c r="H275" s="11" t="n">
        <x:v>0</x:v>
      </x:c>
      <x:c r="I275" s="17" t="n">
        <x:f>INDEX('Costing'!$P$9:$P$492,MATCH(D275,'Costing'!$A$9:$A$492,0))</x:f>
        <x:v>400000</x:v>
      </x:c>
      <x:c r="J275" s="17" t="n">
        <x:f>ROUND(I275*'Costing'!$C$4,2)</x:f>
        <x:v>72000</x:v>
      </x:c>
      <x:c r="K275" s="17" t="n">
        <x:f>I275+J275</x:f>
        <x:v>472000</x:v>
      </x:c>
    </x:row>
    <x:row r="276" ht="46" customHeight="1">
      <x:c r="A276" s="2" t="str">
        <x:v>Indicative size</x:v>
      </x:c>
      <x:c r="B276" s="2" t="str">
        <x:v>Small-scale prospects</x:v>
      </x:c>
      <x:c r="C276" s="12" t="str">
        <x:v>Bengaluru</x:v>
      </x:c>
      <x:c r="D276" s="12" t="str">
        <x:v>PARTNER-M056</x:v>
      </x:c>
      <x:c r="E276" s="12" t="str">
        <x:v>Brigade IRV</x:v>
      </x:c>
      <x:c r="F276" s="11" t="n">
        <x:v>4</x:v>
      </x:c>
      <x:c r="G276" s="11" t="n">
        <x:v>4</x:v>
      </x:c>
      <x:c r="H276" s="11" t="n">
        <x:v>0</x:v>
      </x:c>
      <x:c r="I276" s="17" t="n">
        <x:f>INDEX('Costing'!$P$9:$P$492,MATCH(D276,'Costing'!$A$9:$A$492,0))</x:f>
        <x:v>160000</x:v>
      </x:c>
      <x:c r="J276" s="17" t="n">
        <x:f>ROUND(I276*'Costing'!$C$4,2)</x:f>
        <x:v>28800</x:v>
      </x:c>
      <x:c r="K276" s="17" t="n">
        <x:f>I276+J276</x:f>
        <x:v>188800</x:v>
      </x:c>
    </x:row>
    <x:row r="277" ht="46" customHeight="1">
      <x:c r="A277" s="2" t="str">
        <x:v>Indicative size</x:v>
      </x:c>
      <x:c r="B277" s="2" t="str">
        <x:v>Small-scale prospects</x:v>
      </x:c>
      <x:c r="C277" s="12" t="str">
        <x:v>Bengaluru</x:v>
      </x:c>
      <x:c r="D277" s="12" t="str">
        <x:v>PARTNER-M067</x:v>
      </x:c>
      <x:c r="E277" s="12" t="str">
        <x:v>Cessna - Embassy Tech Square</x:v>
      </x:c>
      <x:c r="F277" s="11" t="n">
        <x:v>3</x:v>
      </x:c>
      <x:c r="G277" s="11" t="n">
        <x:v>3</x:v>
      </x:c>
      <x:c r="H277" s="11" t="n">
        <x:v>0</x:v>
      </x:c>
      <x:c r="I277" s="17" t="n">
        <x:f>INDEX('Costing'!$P$9:$P$492,MATCH(D277,'Costing'!$A$9:$A$492,0))</x:f>
        <x:v>120000</x:v>
      </x:c>
      <x:c r="J277" s="17" t="n">
        <x:f>ROUND(I277*'Costing'!$C$4,2)</x:f>
        <x:v>21600</x:v>
      </x:c>
      <x:c r="K277" s="17" t="n">
        <x:f>I277+J277</x:f>
        <x:v>141600</x:v>
      </x:c>
    </x:row>
    <x:row r="278" ht="46" customHeight="1">
      <x:c r="A278" s="2" t="str">
        <x:v>Indicative size</x:v>
      </x:c>
      <x:c r="B278" s="2" t="str">
        <x:v>Small-scale prospects</x:v>
      </x:c>
      <x:c r="C278" s="12" t="str">
        <x:v>Bengaluru</x:v>
      </x:c>
      <x:c r="D278" s="12" t="str">
        <x:v>PARTNER-M166</x:v>
      </x:c>
      <x:c r="E278" s="12" t="str">
        <x:v>Cessna Business Park</x:v>
      </x:c>
      <x:c r="F278" s="11" t="n">
        <x:v>3</x:v>
      </x:c>
      <x:c r="G278" s="11" t="n">
        <x:v>3</x:v>
      </x:c>
      <x:c r="H278" s="11" t="n">
        <x:v>0</x:v>
      </x:c>
      <x:c r="I278" s="17" t="n">
        <x:f>INDEX('Costing'!$P$9:$P$492,MATCH(D278,'Costing'!$A$9:$A$492,0))</x:f>
        <x:v>120000</x:v>
      </x:c>
      <x:c r="J278" s="17" t="n">
        <x:f>ROUND(I278*'Costing'!$C$4,2)</x:f>
        <x:v>21600</x:v>
      </x:c>
      <x:c r="K278" s="17" t="n">
        <x:f>I278+J278</x:f>
        <x:v>141600</x:v>
      </x:c>
    </x:row>
    <x:row r="279" ht="46" customHeight="1">
      <x:c r="A279" s="2" t="str">
        <x:v>Indicative size</x:v>
      </x:c>
      <x:c r="B279" s="2" t="str">
        <x:v>Small-scale prospects</x:v>
      </x:c>
      <x:c r="C279" s="12" t="str">
        <x:v>Bengaluru</x:v>
      </x:c>
      <x:c r="D279" s="12" t="str">
        <x:v>PARTNER-M162</x:v>
      </x:c>
      <x:c r="E279" s="12" t="str">
        <x:v>Fincity Corproate Park </x:v>
      </x:c>
      <x:c r="F279" s="11" t="n">
        <x:v>4</x:v>
      </x:c>
      <x:c r="G279" s="11" t="n">
        <x:v>4</x:v>
      </x:c>
      <x:c r="H279" s="11" t="n">
        <x:v>0</x:v>
      </x:c>
      <x:c r="I279" s="17" t="n">
        <x:f>INDEX('Costing'!$P$9:$P$492,MATCH(D279,'Costing'!$A$9:$A$492,0))</x:f>
        <x:v>160000</x:v>
      </x:c>
      <x:c r="J279" s="17" t="n">
        <x:f>ROUND(I279*'Costing'!$C$4,2)</x:f>
        <x:v>28800</x:v>
      </x:c>
      <x:c r="K279" s="17" t="n">
        <x:f>I279+J279</x:f>
        <x:v>188800</x:v>
      </x:c>
    </x:row>
    <x:row r="280" ht="46" customHeight="1">
      <x:c r="A280" s="2" t="str">
        <x:v>Indicative size</x:v>
      </x:c>
      <x:c r="B280" s="2" t="str">
        <x:v>Small-scale prospects</x:v>
      </x:c>
      <x:c r="C280" s="12" t="str">
        <x:v>Bengaluru</x:v>
      </x:c>
      <x:c r="D280" s="12" t="str">
        <x:v>PARTNER-M060</x:v>
      </x:c>
      <x:c r="E280" s="12" t="str">
        <x:v>Global Tech Park</x:v>
      </x:c>
      <x:c r="F280" s="11" t="n">
        <x:v>5</x:v>
      </x:c>
      <x:c r="G280" s="11" t="n">
        <x:v>5</x:v>
      </x:c>
      <x:c r="H280" s="11" t="n">
        <x:v>0</x:v>
      </x:c>
      <x:c r="I280" s="17" t="n">
        <x:f>INDEX('Costing'!$P$9:$P$492,MATCH(D280,'Costing'!$A$9:$A$492,0))</x:f>
        <x:v>200000</x:v>
      </x:c>
      <x:c r="J280" s="17" t="n">
        <x:f>ROUND(I280*'Costing'!$C$4,2)</x:f>
        <x:v>36000</x:v>
      </x:c>
      <x:c r="K280" s="17" t="n">
        <x:f>I280+J280</x:f>
        <x:v>236000</x:v>
      </x:c>
    </x:row>
    <x:row r="281" ht="46" customHeight="1">
      <x:c r="A281" s="2" t="str">
        <x:v>Indicative size</x:v>
      </x:c>
      <x:c r="B281" s="2" t="str">
        <x:v>Small-scale prospects</x:v>
      </x:c>
      <x:c r="C281" s="12" t="str">
        <x:v>Bengaluru</x:v>
      </x:c>
      <x:c r="D281" s="12" t="str">
        <x:v>PARTNER-M011</x:v>
      </x:c>
      <x:c r="E281" s="12" t="str">
        <x:v>International Tech Park (ITPB - SEZ)</x:v>
      </x:c>
      <x:c r="F281" s="11" t="n">
        <x:v>3</x:v>
      </x:c>
      <x:c r="G281" s="11" t="n">
        <x:v>3</x:v>
      </x:c>
      <x:c r="H281" s="11" t="n">
        <x:v>0</x:v>
      </x:c>
      <x:c r="I281" s="17" t="n">
        <x:f>INDEX('Costing'!$P$9:$P$492,MATCH(D281,'Costing'!$A$9:$A$492,0))</x:f>
        <x:v>120000</x:v>
      </x:c>
      <x:c r="J281" s="17" t="n">
        <x:f>ROUND(I281*'Costing'!$C$4,2)</x:f>
        <x:v>21600</x:v>
      </x:c>
      <x:c r="K281" s="17" t="n">
        <x:f>I281+J281</x:f>
        <x:v>141600</x:v>
      </x:c>
    </x:row>
    <x:row r="282" ht="46" customHeight="1">
      <x:c r="A282" s="2" t="str">
        <x:v>Indicative size</x:v>
      </x:c>
      <x:c r="B282" s="2" t="str">
        <x:v>Small-scale prospects</x:v>
      </x:c>
      <x:c r="C282" s="12" t="str">
        <x:v>Bengaluru</x:v>
      </x:c>
      <x:c r="D282" s="12" t="str">
        <x:v>PARTNER-M002</x:v>
      </x:c>
      <x:c r="E282" s="12" t="str">
        <x:v>International Tech Park (ITPB)</x:v>
      </x:c>
      <x:c r="F282" s="11" t="n">
        <x:v>9</x:v>
      </x:c>
      <x:c r="G282" s="11" t="n">
        <x:v>9</x:v>
      </x:c>
      <x:c r="H282" s="11" t="n">
        <x:v>0</x:v>
      </x:c>
      <x:c r="I282" s="17" t="n">
        <x:f>INDEX('Costing'!$P$9:$P$492,MATCH(D282,'Costing'!$A$9:$A$492,0))</x:f>
        <x:v>360000</x:v>
      </x:c>
      <x:c r="J282" s="17" t="n">
        <x:f>ROUND(I282*'Costing'!$C$4,2)</x:f>
        <x:v>64800</x:v>
      </x:c>
      <x:c r="K282" s="17" t="n">
        <x:f>I282+J282</x:f>
        <x:v>424800</x:v>
      </x:c>
    </x:row>
    <x:row r="283" ht="46" customHeight="1">
      <x:c r="A283" s="2" t="str">
        <x:v>Indicative size</x:v>
      </x:c>
      <x:c r="B283" s="2" t="str">
        <x:v>Small-scale prospects</x:v>
      </x:c>
      <x:c r="C283" s="12" t="str">
        <x:v>Bengaluru</x:v>
      </x:c>
      <x:c r="D283" s="12" t="str">
        <x:v>PARTNER-M051</x:v>
      </x:c>
      <x:c r="E283" s="12" t="str">
        <x:v>Manyata Tech park - Mfar</x:v>
      </x:c>
      <x:c r="F283" s="11" t="n">
        <x:v>5</x:v>
      </x:c>
      <x:c r="G283" s="11" t="n">
        <x:v>5</x:v>
      </x:c>
      <x:c r="H283" s="11" t="n">
        <x:v>0</x:v>
      </x:c>
      <x:c r="I283" s="17" t="n">
        <x:f>INDEX('Costing'!$P$9:$P$492,MATCH(D283,'Costing'!$A$9:$A$492,0))</x:f>
        <x:v>200000</x:v>
      </x:c>
      <x:c r="J283" s="17" t="n">
        <x:f>ROUND(I283*'Costing'!$C$4,2)</x:f>
        <x:v>36000</x:v>
      </x:c>
      <x:c r="K283" s="17" t="n">
        <x:f>I283+J283</x:f>
        <x:v>236000</x:v>
      </x:c>
    </x:row>
    <x:row r="284" ht="46" customHeight="1">
      <x:c r="A284" s="2" t="str">
        <x:v>Indicative size</x:v>
      </x:c>
      <x:c r="B284" s="2" t="str">
        <x:v>Small-scale prospects</x:v>
      </x:c>
      <x:c r="C284" s="12" t="str">
        <x:v>Bengaluru</x:v>
      </x:c>
      <x:c r="D284" s="12" t="str">
        <x:v>PARTNER-M154</x:v>
      </x:c>
      <x:c r="E284" s="12" t="str">
        <x:v>Maruthi Infotech Center</x:v>
      </x:c>
      <x:c r="F284" s="11" t="n">
        <x:v>8</x:v>
      </x:c>
      <x:c r="G284" s="11" t="n">
        <x:v>8</x:v>
      </x:c>
      <x:c r="H284" s="11" t="n">
        <x:v>0</x:v>
      </x:c>
      <x:c r="I284" s="17" t="n">
        <x:f>INDEX('Costing'!$P$9:$P$492,MATCH(D284,'Costing'!$A$9:$A$492,0))</x:f>
        <x:v>320000</x:v>
      </x:c>
      <x:c r="J284" s="17" t="n">
        <x:f>ROUND(I284*'Costing'!$C$4,2)</x:f>
        <x:v>57600</x:v>
      </x:c>
      <x:c r="K284" s="17" t="n">
        <x:f>I284+J284</x:f>
        <x:v>377600</x:v>
      </x:c>
    </x:row>
    <x:row r="285" ht="46" customHeight="1">
      <x:c r="A285" s="2" t="str">
        <x:v>Indicative size</x:v>
      </x:c>
      <x:c r="B285" s="2" t="str">
        <x:v>Small-scale prospects</x:v>
      </x:c>
      <x:c r="C285" s="12" t="str">
        <x:v>Bengaluru</x:v>
      </x:c>
      <x:c r="D285" s="12" t="str">
        <x:v>PARTNER-M097</x:v>
      </x:c>
      <x:c r="E285" s="12" t="str">
        <x:v>Prestige Blue Chip </x:v>
      </x:c>
      <x:c r="F285" s="11" t="n">
        <x:v>3</x:v>
      </x:c>
      <x:c r="G285" s="11" t="n">
        <x:v>3</x:v>
      </x:c>
      <x:c r="H285" s="11" t="n">
        <x:v>0</x:v>
      </x:c>
      <x:c r="I285" s="17" t="n">
        <x:f>INDEX('Costing'!$P$9:$P$492,MATCH(D285,'Costing'!$A$9:$A$492,0))</x:f>
        <x:v>120000</x:v>
      </x:c>
      <x:c r="J285" s="17" t="n">
        <x:f>ROUND(I285*'Costing'!$C$4,2)</x:f>
        <x:v>21600</x:v>
      </x:c>
      <x:c r="K285" s="17" t="n">
        <x:f>I285+J285</x:f>
        <x:v>141600</x:v>
      </x:c>
    </x:row>
    <x:row r="286" ht="46" customHeight="1">
      <x:c r="A286" s="2" t="str">
        <x:v>Indicative size</x:v>
      </x:c>
      <x:c r="B286" s="2" t="str">
        <x:v>Small-scale prospects</x:v>
      </x:c>
      <x:c r="C286" s="12" t="str">
        <x:v>Bengaluru</x:v>
      </x:c>
      <x:c r="D286" s="12" t="str">
        <x:v>PARTNER-M100</x:v>
      </x:c>
      <x:c r="E286" s="12" t="str">
        <x:v>Prestige Obelisk + Prestige Atrium + Prestige Sapphire + Prestige Al Kareem + Prestige Delta</x:v>
      </x:c>
      <x:c r="F286" s="11" t="n">
        <x:v>8</x:v>
      </x:c>
      <x:c r="G286" s="11" t="n">
        <x:v>8</x:v>
      </x:c>
      <x:c r="H286" s="11" t="n">
        <x:v>0</x:v>
      </x:c>
      <x:c r="I286" s="17" t="n">
        <x:f>INDEX('Costing'!$P$9:$P$492,MATCH(D286,'Costing'!$A$9:$A$492,0))</x:f>
        <x:v>320000</x:v>
      </x:c>
      <x:c r="J286" s="17" t="n">
        <x:f>ROUND(I286*'Costing'!$C$4,2)</x:f>
        <x:v>57600</x:v>
      </x:c>
      <x:c r="K286" s="17" t="n">
        <x:f>I286+J286</x:f>
        <x:v>377600</x:v>
      </x:c>
    </x:row>
    <x:row r="287" ht="46" customHeight="1">
      <x:c r="A287" s="2" t="str">
        <x:v>Indicative size</x:v>
      </x:c>
      <x:c r="B287" s="2" t="str">
        <x:v>Small-scale prospects</x:v>
      </x:c>
      <x:c r="C287" s="12" t="str">
        <x:v>Bengaluru</x:v>
      </x:c>
      <x:c r="D287" s="12" t="str">
        <x:v>PARTNER-M027</x:v>
      </x:c>
      <x:c r="E287" s="12" t="str">
        <x:v>Prestige Shantiniketan</x:v>
      </x:c>
      <x:c r="F287" s="11" t="n">
        <x:v>7</x:v>
      </x:c>
      <x:c r="G287" s="11" t="n">
        <x:v>7</x:v>
      </x:c>
      <x:c r="H287" s="11" t="n">
        <x:v>0</x:v>
      </x:c>
      <x:c r="I287" s="17" t="n">
        <x:f>INDEX('Costing'!$P$9:$P$492,MATCH(D287,'Costing'!$A$9:$A$492,0))</x:f>
        <x:v>280000</x:v>
      </x:c>
      <x:c r="J287" s="17" t="n">
        <x:f>ROUND(I287*'Costing'!$C$4,2)</x:f>
        <x:v>50400</x:v>
      </x:c>
      <x:c r="K287" s="17" t="n">
        <x:f>I287+J287</x:f>
        <x:v>330400</x:v>
      </x:c>
    </x:row>
    <x:row r="288" ht="46" customHeight="1">
      <x:c r="A288" s="2" t="str">
        <x:v>Indicative size</x:v>
      </x:c>
      <x:c r="B288" s="2" t="str">
        <x:v>Small-scale prospects</x:v>
      </x:c>
      <x:c r="C288" s="12" t="str">
        <x:v>Bengaluru</x:v>
      </x:c>
      <x:c r="D288" s="12" t="str">
        <x:v>PARTNER-M082</x:v>
      </x:c>
      <x:c r="E288" s="12" t="str">
        <x:v>Prestige Sterling Square + Prestige Solitaire + Prestige Sigma + Prestige Loka + Prestige Emerald + Prestige Towers</x:v>
      </x:c>
      <x:c r="F288" s="11" t="n">
        <x:v>11</x:v>
      </x:c>
      <x:c r="G288" s="11" t="n">
        <x:v>11</x:v>
      </x:c>
      <x:c r="H288" s="11" t="n">
        <x:v>0</x:v>
      </x:c>
      <x:c r="I288" s="17" t="n">
        <x:f>INDEX('Costing'!$P$9:$P$492,MATCH(D288,'Costing'!$A$9:$A$492,0))</x:f>
        <x:v>440000</x:v>
      </x:c>
      <x:c r="J288" s="17" t="n">
        <x:f>ROUND(I288*'Costing'!$C$4,2)</x:f>
        <x:v>79200</x:v>
      </x:c>
      <x:c r="K288" s="17" t="n">
        <x:f>I288+J288</x:f>
        <x:v>519200</x:v>
      </x:c>
    </x:row>
    <x:row r="289" ht="46" customHeight="1">
      <x:c r="A289" s="2" t="str">
        <x:v>Indicative size</x:v>
      </x:c>
      <x:c r="B289" s="2" t="str">
        <x:v>Small-scale prospects</x:v>
      </x:c>
      <x:c r="C289" s="12" t="str">
        <x:v>Bengaluru</x:v>
      </x:c>
      <x:c r="D289" s="12" t="str">
        <x:v>PARTNER-M093</x:v>
      </x:c>
      <x:c r="E289" s="12" t="str">
        <x:v>Prestige Summit</x:v>
      </x:c>
      <x:c r="F289" s="11" t="n">
        <x:v>4</x:v>
      </x:c>
      <x:c r="G289" s="11" t="n">
        <x:v>4</x:v>
      </x:c>
      <x:c r="H289" s="11" t="n">
        <x:v>0</x:v>
      </x:c>
      <x:c r="I289" s="17" t="n">
        <x:f>INDEX('Costing'!$P$9:$P$492,MATCH(D289,'Costing'!$A$9:$A$492,0))</x:f>
        <x:v>160000</x:v>
      </x:c>
      <x:c r="J289" s="17" t="n">
        <x:f>ROUND(I289*'Costing'!$C$4,2)</x:f>
        <x:v>28800</x:v>
      </x:c>
      <x:c r="K289" s="17" t="n">
        <x:f>I289+J289</x:f>
        <x:v>188800</x:v>
      </x:c>
    </x:row>
    <x:row r="290" ht="46" customHeight="1">
      <x:c r="A290" s="2" t="str">
        <x:v>Indicative size</x:v>
      </x:c>
      <x:c r="B290" s="2" t="str">
        <x:v>Small-scale prospects</x:v>
      </x:c>
      <x:c r="C290" s="12" t="str">
        <x:v>Bengaluru</x:v>
      </x:c>
      <x:c r="D290" s="12" t="str">
        <x:v>PARTNER-M014</x:v>
      </x:c>
      <x:c r="E290" s="12" t="str">
        <x:v>Prestige Tech Park</x:v>
      </x:c>
      <x:c r="F290" s="11" t="n">
        <x:v>10</x:v>
      </x:c>
      <x:c r="G290" s="11" t="n">
        <x:v>10</x:v>
      </x:c>
      <x:c r="H290" s="11" t="n">
        <x:v>0</x:v>
      </x:c>
      <x:c r="I290" s="17" t="n">
        <x:f>INDEX('Costing'!$P$9:$P$492,MATCH(D290,'Costing'!$A$9:$A$492,0))</x:f>
        <x:v>400000</x:v>
      </x:c>
      <x:c r="J290" s="17" t="n">
        <x:f>ROUND(I290*'Costing'!$C$4,2)</x:f>
        <x:v>72000</x:v>
      </x:c>
      <x:c r="K290" s="17" t="n">
        <x:f>I290+J290</x:f>
        <x:v>472000</x:v>
      </x:c>
    </x:row>
    <x:row r="291" ht="46" customHeight="1">
      <x:c r="A291" s="2" t="str">
        <x:v>Indicative size</x:v>
      </x:c>
      <x:c r="B291" s="2" t="str">
        <x:v>Small-scale prospects</x:v>
      </x:c>
      <x:c r="C291" s="12" t="str">
        <x:v>Bengaluru</x:v>
      </x:c>
      <x:c r="D291" s="12" t="str">
        <x:v>PARTNER-M034</x:v>
      </x:c>
      <x:c r="E291" s="12" t="str">
        <x:v>Prestige Technostar</x:v>
      </x:c>
      <x:c r="F291" s="11" t="n">
        <x:v>5</x:v>
      </x:c>
      <x:c r="G291" s="11" t="n">
        <x:v>5</x:v>
      </x:c>
      <x:c r="H291" s="11" t="n">
        <x:v>0</x:v>
      </x:c>
      <x:c r="I291" s="17" t="n">
        <x:f>INDEX('Costing'!$P$9:$P$492,MATCH(D291,'Costing'!$A$9:$A$492,0))</x:f>
        <x:v>200000</x:v>
      </x:c>
      <x:c r="J291" s="17" t="n">
        <x:f>ROUND(I291*'Costing'!$C$4,2)</x:f>
        <x:v>36000</x:v>
      </x:c>
      <x:c r="K291" s="17" t="n">
        <x:f>I291+J291</x:f>
        <x:v>236000</x:v>
      </x:c>
    </x:row>
    <x:row r="292" ht="46" customHeight="1">
      <x:c r="A292" s="2" t="str">
        <x:v>Indicative size</x:v>
      </x:c>
      <x:c r="B292" s="2" t="str">
        <x:v>Small-scale prospects</x:v>
      </x:c>
      <x:c r="C292" s="12" t="str">
        <x:v>Bengaluru</x:v>
      </x:c>
      <x:c r="D292" s="12" t="str">
        <x:v>PARTNER-M070</x:v>
      </x:c>
      <x:c r="E292" s="12" t="str">
        <x:v>Roach Icon</x:v>
      </x:c>
      <x:c r="F292" s="11" t="n">
        <x:v>2</x:v>
      </x:c>
      <x:c r="G292" s="11" t="n">
        <x:v>2</x:v>
      </x:c>
      <x:c r="H292" s="11" t="n">
        <x:v>0</x:v>
      </x:c>
      <x:c r="I292" s="17" t="n">
        <x:f>INDEX('Costing'!$P$9:$P$492,MATCH(D292,'Costing'!$A$9:$A$492,0))</x:f>
        <x:v>80000</x:v>
      </x:c>
      <x:c r="J292" s="17" t="n">
        <x:f>ROUND(I292*'Costing'!$C$4,2)</x:f>
        <x:v>14400</x:v>
      </x:c>
      <x:c r="K292" s="17" t="n">
        <x:f>I292+J292</x:f>
        <x:v>94400</x:v>
      </x:c>
    </x:row>
    <x:row r="293" ht="46" customHeight="1">
      <x:c r="A293" s="2" t="str">
        <x:v>Indicative size</x:v>
      </x:c>
      <x:c r="B293" s="2" t="str">
        <x:v>Small-scale prospects</x:v>
      </x:c>
      <x:c r="C293" s="12" t="str">
        <x:v>Bengaluru</x:v>
      </x:c>
      <x:c r="D293" s="12" t="str">
        <x:v>PARTNER-M072</x:v>
      </x:c>
      <x:c r="E293" s="12" t="str">
        <x:v>Umiya Business Bay</x:v>
      </x:c>
      <x:c r="F293" s="11" t="n">
        <x:v>6</x:v>
      </x:c>
      <x:c r="G293" s="11" t="n">
        <x:v>6</x:v>
      </x:c>
      <x:c r="H293" s="11" t="n">
        <x:v>0</x:v>
      </x:c>
      <x:c r="I293" s="17" t="n">
        <x:f>INDEX('Costing'!$P$9:$P$492,MATCH(D293,'Costing'!$A$9:$A$492,0))</x:f>
        <x:v>240000</x:v>
      </x:c>
      <x:c r="J293" s="17" t="n">
        <x:f>ROUND(I293*'Costing'!$C$4,2)</x:f>
        <x:v>43200</x:v>
      </x:c>
      <x:c r="K293" s="17" t="n">
        <x:f>I293+J293</x:f>
        <x:v>283200</x:v>
      </x:c>
    </x:row>
    <x:row r="294" ht="46" customHeight="1">
      <x:c r="A294" s="2" t="str">
        <x:v>Indicative size</x:v>
      </x:c>
      <x:c r="B294" s="2" t="str">
        <x:v>Small-scale prospects</x:v>
      </x:c>
      <x:c r="C294" s="12" t="str">
        <x:v>Bengaluru</x:v>
      </x:c>
      <x:c r="D294" s="12" t="str">
        <x:v>PARTNER-M078</x:v>
      </x:c>
      <x:c r="E294" s="12" t="str">
        <x:v>Umiya Velociti</x:v>
      </x:c>
      <x:c r="F294" s="11" t="n">
        <x:v>4</x:v>
      </x:c>
      <x:c r="G294" s="11" t="n">
        <x:v>4</x:v>
      </x:c>
      <x:c r="H294" s="11" t="n">
        <x:v>0</x:v>
      </x:c>
      <x:c r="I294" s="17" t="n">
        <x:f>INDEX('Costing'!$P$9:$P$492,MATCH(D294,'Costing'!$A$9:$A$492,0))</x:f>
        <x:v>160000</x:v>
      </x:c>
      <x:c r="J294" s="17" t="n">
        <x:f>ROUND(I294*'Costing'!$C$4,2)</x:f>
        <x:v>28800</x:v>
      </x:c>
      <x:c r="K294" s="17" t="n">
        <x:f>I294+J294</x:f>
        <x:v>188800</x:v>
      </x:c>
    </x:row>
    <x:row r="295" ht="46" customHeight="1">
      <x:c r="A295" s="2" t="str">
        <x:v>Indicative size</x:v>
      </x:c>
      <x:c r="B295" s="2" t="str">
        <x:v>Small-scale prospects</x:v>
      </x:c>
      <x:c r="C295" s="12" t="str">
        <x:v>Chennai</x:v>
      </x:c>
      <x:c r="D295" s="12" t="str">
        <x:v>PARTNER-M349</x:v>
      </x:c>
      <x:c r="E295" s="12" t="str">
        <x:v>Kushal Towers</x:v>
      </x:c>
      <x:c r="F295" s="11" t="n">
        <x:v>1</x:v>
      </x:c>
      <x:c r="G295" s="11" t="n">
        <x:v>1</x:v>
      </x:c>
      <x:c r="H295" s="11" t="n">
        <x:v>0</x:v>
      </x:c>
      <x:c r="I295" s="17" t="n">
        <x:f>INDEX('Costing'!$P$9:$P$492,MATCH(D295,'Costing'!$A$9:$A$492,0))</x:f>
        <x:v>40000</x:v>
      </x:c>
      <x:c r="J295" s="17" t="n">
        <x:f>ROUND(I295*'Costing'!$C$4,2)</x:f>
        <x:v>7200</x:v>
      </x:c>
      <x:c r="K295" s="17" t="n">
        <x:f>I295+J295</x:f>
        <x:v>47200</x:v>
      </x:c>
    </x:row>
    <x:row r="296" ht="46" customHeight="1">
      <x:c r="A296" s="2" t="str">
        <x:v>Indicative size</x:v>
      </x:c>
      <x:c r="B296" s="2" t="str">
        <x:v>Small-scale prospects</x:v>
      </x:c>
      <x:c r="C296" s="12" t="str">
        <x:v>Chennai</x:v>
      </x:c>
      <x:c r="D296" s="12" t="str">
        <x:v>PARTNER-M334</x:v>
      </x:c>
      <x:c r="E296" s="12" t="str">
        <x:v>Prestige Zakria Metropolitan</x:v>
      </x:c>
      <x:c r="F296" s="11" t="n">
        <x:v>2</x:v>
      </x:c>
      <x:c r="G296" s="11" t="n">
        <x:v>2</x:v>
      </x:c>
      <x:c r="H296" s="11" t="n">
        <x:v>0</x:v>
      </x:c>
      <x:c r="I296" s="17" t="n">
        <x:f>INDEX('Costing'!$P$9:$P$492,MATCH(D296,'Costing'!$A$9:$A$492,0))</x:f>
        <x:v>80000</x:v>
      </x:c>
      <x:c r="J296" s="17" t="n">
        <x:f>ROUND(I296*'Costing'!$C$4,2)</x:f>
        <x:v>14400</x:v>
      </x:c>
      <x:c r="K296" s="17" t="n">
        <x:f>I296+J296</x:f>
        <x:v>94400</x:v>
      </x:c>
    </x:row>
    <x:row r="297" ht="46" customHeight="1">
      <x:c r="A297" s="2" t="str">
        <x:v>Indicative size</x:v>
      </x:c>
      <x:c r="B297" s="2" t="str">
        <x:v>Small-scale prospects</x:v>
      </x:c>
      <x:c r="C297" s="12" t="str">
        <x:v>Chennai</x:v>
      </x:c>
      <x:c r="D297" s="12" t="str">
        <x:v>PARTNER-M347</x:v>
      </x:c>
      <x:c r="E297" s="12" t="str">
        <x:v>Prince Infocity 1</x:v>
      </x:c>
      <x:c r="F297" s="11" t="n">
        <x:v>2</x:v>
      </x:c>
      <x:c r="G297" s="11" t="n">
        <x:v>2</x:v>
      </x:c>
      <x:c r="H297" s="11" t="n">
        <x:v>0</x:v>
      </x:c>
      <x:c r="I297" s="17" t="n">
        <x:f>INDEX('Costing'!$P$9:$P$492,MATCH(D297,'Costing'!$A$9:$A$492,0))</x:f>
        <x:v>80000</x:v>
      </x:c>
      <x:c r="J297" s="17" t="n">
        <x:f>ROUND(I297*'Costing'!$C$4,2)</x:f>
        <x:v>14400</x:v>
      </x:c>
      <x:c r="K297" s="17" t="n">
        <x:f>I297+J297</x:f>
        <x:v>94400</x:v>
      </x:c>
    </x:row>
    <x:row r="298" ht="46" customHeight="1">
      <x:c r="A298" s="2" t="str">
        <x:v>Indicative size</x:v>
      </x:c>
      <x:c r="B298" s="2" t="str">
        <x:v>Small-scale prospects</x:v>
      </x:c>
      <x:c r="C298" s="12" t="str">
        <x:v>Chennai</x:v>
      </x:c>
      <x:c r="D298" s="12" t="str">
        <x:v>PARTNER-M342</x:v>
      </x:c>
      <x:c r="E298" s="12" t="str">
        <x:v>Prince Infocity 2</x:v>
      </x:c>
      <x:c r="F298" s="11" t="n">
        <x:v>5</x:v>
      </x:c>
      <x:c r="G298" s="11" t="n">
        <x:v>5</x:v>
      </x:c>
      <x:c r="H298" s="11" t="n">
        <x:v>0</x:v>
      </x:c>
      <x:c r="I298" s="17" t="n">
        <x:f>INDEX('Costing'!$P$9:$P$492,MATCH(D298,'Costing'!$A$9:$A$492,0))</x:f>
        <x:v>200000</x:v>
      </x:c>
      <x:c r="J298" s="17" t="n">
        <x:f>ROUND(I298*'Costing'!$C$4,2)</x:f>
        <x:v>36000</x:v>
      </x:c>
      <x:c r="K298" s="17" t="n">
        <x:f>I298+J298</x:f>
        <x:v>236000</x:v>
      </x:c>
    </x:row>
    <x:row r="299" ht="46" customHeight="1">
      <x:c r="A299" s="2" t="str">
        <x:v>Indicative size</x:v>
      </x:c>
      <x:c r="B299" s="2" t="str">
        <x:v>Small-scale prospects</x:v>
      </x:c>
      <x:c r="C299" s="12" t="str">
        <x:v>Chennai</x:v>
      </x:c>
      <x:c r="D299" s="12" t="str">
        <x:v>PARTNER-M350</x:v>
      </x:c>
      <x:c r="E299" s="12" t="str">
        <x:v>Prince Infopark</x:v>
      </x:c>
      <x:c r="F299" s="11" t="n">
        <x:v>2</x:v>
      </x:c>
      <x:c r="G299" s="11" t="n">
        <x:v>2</x:v>
      </x:c>
      <x:c r="H299" s="11" t="n">
        <x:v>0</x:v>
      </x:c>
      <x:c r="I299" s="17" t="n">
        <x:f>INDEX('Costing'!$P$9:$P$492,MATCH(D299,'Costing'!$A$9:$A$492,0))</x:f>
        <x:v>80000</x:v>
      </x:c>
      <x:c r="J299" s="17" t="n">
        <x:f>ROUND(I299*'Costing'!$C$4,2)</x:f>
        <x:v>14400</x:v>
      </x:c>
      <x:c r="K299" s="17" t="n">
        <x:f>I299+J299</x:f>
        <x:v>94400</x:v>
      </x:c>
    </x:row>
    <x:row r="300" ht="46" customHeight="1">
      <x:c r="A300" s="2" t="str">
        <x:v>Indicative size</x:v>
      </x:c>
      <x:c r="B300" s="2" t="str">
        <x:v>Small-scale prospects</x:v>
      </x:c>
      <x:c r="C300" s="12" t="str">
        <x:v>Chennai</x:v>
      </x:c>
      <x:c r="D300" s="12" t="str">
        <x:v>PARTNER-M331</x:v>
      </x:c>
      <x:c r="E300" s="12" t="str">
        <x:v>Prince Towers</x:v>
      </x:c>
      <x:c r="F300" s="11" t="n">
        <x:v>1</x:v>
      </x:c>
      <x:c r="G300" s="11" t="n">
        <x:v>1</x:v>
      </x:c>
      <x:c r="H300" s="11" t="n">
        <x:v>0</x:v>
      </x:c>
      <x:c r="I300" s="17" t="n">
        <x:f>INDEX('Costing'!$P$9:$P$492,MATCH(D300,'Costing'!$A$9:$A$492,0))</x:f>
        <x:v>40000</x:v>
      </x:c>
      <x:c r="J300" s="17" t="n">
        <x:f>ROUND(I300*'Costing'!$C$4,2)</x:f>
        <x:v>7200</x:v>
      </x:c>
      <x:c r="K300" s="17" t="n">
        <x:f>I300+J300</x:f>
        <x:v>47200</x:v>
      </x:c>
    </x:row>
    <x:row r="301" ht="46" customHeight="1">
      <x:c r="A301" s="2" t="str">
        <x:v>Indicative size</x:v>
      </x:c>
      <x:c r="B301" s="2" t="str">
        <x:v>Small-scale prospects</x:v>
      </x:c>
      <x:c r="C301" s="12" t="str">
        <x:v>Chennai</x:v>
      </x:c>
      <x:c r="D301" s="12" t="str">
        <x:v>PARTNER-M325</x:v>
      </x:c>
      <x:c r="E301" s="12" t="str">
        <x:v>WTC Chennai</x:v>
      </x:c>
      <x:c r="F301" s="11" t="n">
        <x:v>6</x:v>
      </x:c>
      <x:c r="G301" s="11" t="n">
        <x:v>6</x:v>
      </x:c>
      <x:c r="H301" s="11" t="n">
        <x:v>0</x:v>
      </x:c>
      <x:c r="I301" s="17" t="n">
        <x:f>INDEX('Costing'!$P$9:$P$492,MATCH(D301,'Costing'!$A$9:$A$492,0))</x:f>
        <x:v>240000</x:v>
      </x:c>
      <x:c r="J301" s="17" t="n">
        <x:f>ROUND(I301*'Costing'!$C$4,2)</x:f>
        <x:v>43200</x:v>
      </x:c>
      <x:c r="K301" s="17" t="n">
        <x:f>I301+J301</x:f>
        <x:v>283200</x:v>
      </x:c>
    </x:row>
    <x:row r="302" ht="46" customHeight="1">
      <x:c r="A302" s="2" t="str">
        <x:v>Indicative size</x:v>
      </x:c>
      <x:c r="B302" s="2" t="str">
        <x:v>Small-scale prospects</x:v>
      </x:c>
      <x:c r="C302" s="12" t="str">
        <x:v>Delhi NCR</x:v>
      </x:c>
      <x:c r="D302" s="12" t="str">
        <x:v>PARTNER-M375</x:v>
      </x:c>
      <x:c r="E302" s="12" t="str">
        <x:v>Add India Height</x:v>
      </x:c>
      <x:c r="F302" s="11" t="n">
        <x:v>4</x:v>
      </x:c>
      <x:c r="G302" s="11" t="n">
        <x:v>4</x:v>
      </x:c>
      <x:c r="H302" s="11" t="n">
        <x:v>0</x:v>
      </x:c>
      <x:c r="I302" s="17" t="n">
        <x:f>INDEX('Costing'!$P$9:$P$492,MATCH(D302,'Costing'!$A$9:$A$492,0))</x:f>
        <x:v>160000</x:v>
      </x:c>
      <x:c r="J302" s="17" t="n">
        <x:f>ROUND(I302*'Costing'!$C$4,2)</x:f>
        <x:v>28800</x:v>
      </x:c>
      <x:c r="K302" s="17" t="n">
        <x:f>I302+J302</x:f>
        <x:v>188800</x:v>
      </x:c>
    </x:row>
    <x:row r="303" ht="46" customHeight="1">
      <x:c r="A303" s="2" t="str">
        <x:v>Indicative size</x:v>
      </x:c>
      <x:c r="B303" s="2" t="str">
        <x:v>Small-scale prospects</x:v>
      </x:c>
      <x:c r="C303" s="12" t="str">
        <x:v>Delhi NCR</x:v>
      </x:c>
      <x:c r="D303" s="12" t="str">
        <x:v>PARTNER-M379</x:v>
      </x:c>
      <x:c r="E303" s="12" t="str">
        <x:v>Add India Tower 6A</x:v>
      </x:c>
      <x:c r="F303" s="11" t="n">
        <x:v>5</x:v>
      </x:c>
      <x:c r="G303" s="11" t="n">
        <x:v>5</x:v>
      </x:c>
      <x:c r="H303" s="11" t="n">
        <x:v>0</x:v>
      </x:c>
      <x:c r="I303" s="17" t="n">
        <x:f>INDEX('Costing'!$P$9:$P$492,MATCH(D303,'Costing'!$A$9:$A$492,0))</x:f>
        <x:v>200000</x:v>
      </x:c>
      <x:c r="J303" s="17" t="n">
        <x:f>ROUND(I303*'Costing'!$C$4,2)</x:f>
        <x:v>36000</x:v>
      </x:c>
      <x:c r="K303" s="17" t="n">
        <x:f>I303+J303</x:f>
        <x:v>236000</x:v>
      </x:c>
    </x:row>
    <x:row r="304" ht="46" customHeight="1">
      <x:c r="A304" s="2" t="str">
        <x:v>Indicative size</x:v>
      </x:c>
      <x:c r="B304" s="2" t="str">
        <x:v>Small-scale prospects</x:v>
      </x:c>
      <x:c r="C304" s="12" t="str">
        <x:v>Delhi NCR</x:v>
      </x:c>
      <x:c r="D304" s="12" t="str">
        <x:v>PARTNER-M353</x:v>
      </x:c>
      <x:c r="E304" s="12" t="str">
        <x:v>iLabs Info Technology Center</x:v>
      </x:c>
      <x:c r="F304" s="11" t="n">
        <x:v>5</x:v>
      </x:c>
      <x:c r="G304" s="11" t="n">
        <x:v>5</x:v>
      </x:c>
      <x:c r="H304" s="11" t="n">
        <x:v>0</x:v>
      </x:c>
      <x:c r="I304" s="17" t="n">
        <x:f>INDEX('Costing'!$P$9:$P$492,MATCH(D304,'Costing'!$A$9:$A$492,0))</x:f>
        <x:v>200000</x:v>
      </x:c>
      <x:c r="J304" s="17" t="n">
        <x:f>ROUND(I304*'Costing'!$C$4,2)</x:f>
        <x:v>36000</x:v>
      </x:c>
      <x:c r="K304" s="17" t="n">
        <x:f>I304+J304</x:f>
        <x:v>236000</x:v>
      </x:c>
    </x:row>
    <x:row r="305" ht="46" customHeight="1">
      <x:c r="A305" s="2" t="str">
        <x:v>Indicative size</x:v>
      </x:c>
      <x:c r="B305" s="2" t="str">
        <x:v>Small-scale prospects</x:v>
      </x:c>
      <x:c r="C305" s="12" t="str">
        <x:v>Delhi NCR</x:v>
      </x:c>
      <x:c r="D305" s="12" t="str">
        <x:v>PARTNER-M384</x:v>
      </x:c>
      <x:c r="E305" s="12" t="str">
        <x:v>NPX Tower</x:v>
      </x:c>
      <x:c r="F305" s="11" t="n">
        <x:v>5</x:v>
      </x:c>
      <x:c r="G305" s="11" t="n">
        <x:v>5</x:v>
      </x:c>
      <x:c r="H305" s="11" t="n">
        <x:v>0</x:v>
      </x:c>
      <x:c r="I305" s="17" t="n">
        <x:f>INDEX('Costing'!$P$9:$P$492,MATCH(D305,'Costing'!$A$9:$A$492,0))</x:f>
        <x:v>200000</x:v>
      </x:c>
      <x:c r="J305" s="17" t="n">
        <x:f>ROUND(I305*'Costing'!$C$4,2)</x:f>
        <x:v>36000</x:v>
      </x:c>
      <x:c r="K305" s="17" t="n">
        <x:f>I305+J305</x:f>
        <x:v>236000</x:v>
      </x:c>
    </x:row>
    <x:row r="306" ht="46" customHeight="1">
      <x:c r="A306" s="2" t="str">
        <x:v>Indicative size</x:v>
      </x:c>
      <x:c r="B306" s="2" t="str">
        <x:v>Small-scale prospects</x:v>
      </x:c>
      <x:c r="C306" s="12" t="str">
        <x:v>Delhi NCR</x:v>
      </x:c>
      <x:c r="D306" s="12" t="str">
        <x:v>PARTNER-M365</x:v>
      </x:c>
      <x:c r="E306" s="12" t="str">
        <x:v>Urbtech Trade Centre</x:v>
      </x:c>
      <x:c r="F306" s="11" t="n">
        <x:v>10</x:v>
      </x:c>
      <x:c r="G306" s="11" t="n">
        <x:v>10</x:v>
      </x:c>
      <x:c r="H306" s="11" t="n">
        <x:v>0</x:v>
      </x:c>
      <x:c r="I306" s="17" t="n">
        <x:f>INDEX('Costing'!$P$9:$P$492,MATCH(D306,'Costing'!$A$9:$A$492,0))</x:f>
        <x:v>400000</x:v>
      </x:c>
      <x:c r="J306" s="17" t="n">
        <x:f>ROUND(I306*'Costing'!$C$4,2)</x:f>
        <x:v>72000</x:v>
      </x:c>
      <x:c r="K306" s="17" t="n">
        <x:f>I306+J306</x:f>
        <x:v>472000</x:v>
      </x:c>
    </x:row>
    <x:row r="307" ht="46" customHeight="1">
      <x:c r="A307" s="2" t="str">
        <x:v>Indicative size</x:v>
      </x:c>
      <x:c r="B307" s="2" t="str">
        <x:v>Small-scale prospects</x:v>
      </x:c>
      <x:c r="C307" s="12" t="str">
        <x:v>Hyderabad</x:v>
      </x:c>
      <x:c r="D307" s="12" t="str">
        <x:v>PARTNER-M308</x:v>
      </x:c>
      <x:c r="E307" s="12" t="str">
        <x:v>Aurobindo Galaxy</x:v>
      </x:c>
      <x:c r="F307" s="11" t="n">
        <x:v>4</x:v>
      </x:c>
      <x:c r="G307" s="11" t="n">
        <x:v>4</x:v>
      </x:c>
      <x:c r="H307" s="11" t="n">
        <x:v>0</x:v>
      </x:c>
      <x:c r="I307" s="17" t="n">
        <x:f>INDEX('Costing'!$P$9:$P$492,MATCH(D307,'Costing'!$A$9:$A$492,0))</x:f>
        <x:v>160000</x:v>
      </x:c>
      <x:c r="J307" s="17" t="n">
        <x:f>ROUND(I307*'Costing'!$C$4,2)</x:f>
        <x:v>28800</x:v>
      </x:c>
      <x:c r="K307" s="17" t="n">
        <x:f>I307+J307</x:f>
        <x:v>188800</x:v>
      </x:c>
    </x:row>
    <x:row r="308" ht="46" customHeight="1">
      <x:c r="A308" s="2" t="str">
        <x:v>Indicative size</x:v>
      </x:c>
      <x:c r="B308" s="2" t="str">
        <x:v>Small-scale prospects</x:v>
      </x:c>
      <x:c r="C308" s="12" t="str">
        <x:v>Hyderabad</x:v>
      </x:c>
      <x:c r="D308" s="12" t="str">
        <x:v>PARTNER-M289</x:v>
      </x:c>
      <x:c r="E308" s="12" t="str">
        <x:v>Cyber Gateway</x:v>
      </x:c>
      <x:c r="F308" s="11" t="n">
        <x:v>6</x:v>
      </x:c>
      <x:c r="G308" s="11" t="n">
        <x:v>6</x:v>
      </x:c>
      <x:c r="H308" s="11" t="n">
        <x:v>0</x:v>
      </x:c>
      <x:c r="I308" s="17" t="n">
        <x:f>INDEX('Costing'!$P$9:$P$492,MATCH(D308,'Costing'!$A$9:$A$492,0))</x:f>
        <x:v>240000</x:v>
      </x:c>
      <x:c r="J308" s="17" t="n">
        <x:f>ROUND(I308*'Costing'!$C$4,2)</x:f>
        <x:v>43200</x:v>
      </x:c>
      <x:c r="K308" s="17" t="n">
        <x:f>I308+J308</x:f>
        <x:v>283200</x:v>
      </x:c>
    </x:row>
    <x:row r="309" ht="46" customHeight="1">
      <x:c r="A309" s="2" t="str">
        <x:v>Indicative size</x:v>
      </x:c>
      <x:c r="B309" s="2" t="str">
        <x:v>Small-scale prospects</x:v>
      </x:c>
      <x:c r="C309" s="12" t="str">
        <x:v>Hyderabad</x:v>
      </x:c>
      <x:c r="D309" s="12" t="str">
        <x:v>PARTNER-M295</x:v>
      </x:c>
      <x:c r="E309" s="12" t="str">
        <x:v>Cyber Tower</x:v>
      </x:c>
      <x:c r="F309" s="11" t="n">
        <x:v>5</x:v>
      </x:c>
      <x:c r="G309" s="11" t="n">
        <x:v>5</x:v>
      </x:c>
      <x:c r="H309" s="11" t="n">
        <x:v>0</x:v>
      </x:c>
      <x:c r="I309" s="17" t="n">
        <x:f>INDEX('Costing'!$P$9:$P$492,MATCH(D309,'Costing'!$A$9:$A$492,0))</x:f>
        <x:v>200000</x:v>
      </x:c>
      <x:c r="J309" s="17" t="n">
        <x:f>ROUND(I309*'Costing'!$C$4,2)</x:f>
        <x:v>36000</x:v>
      </x:c>
      <x:c r="K309" s="17" t="n">
        <x:f>I309+J309</x:f>
        <x:v>236000</x:v>
      </x:c>
    </x:row>
    <x:row r="310" ht="46" customHeight="1">
      <x:c r="A310" s="2" t="str">
        <x:v>Indicative size</x:v>
      </x:c>
      <x:c r="B310" s="2" t="str">
        <x:v>Small-scale prospects</x:v>
      </x:c>
      <x:c r="C310" s="12" t="str">
        <x:v>Hyderabad</x:v>
      </x:c>
      <x:c r="D310" s="12" t="str">
        <x:v>PARTNER-M317</x:v>
      </x:c>
      <x:c r="E310" s="12" t="str">
        <x:v>Kapil Towers</x:v>
      </x:c>
      <x:c r="F310" s="11" t="n">
        <x:v>7</x:v>
      </x:c>
      <x:c r="G310" s="11" t="n">
        <x:v>7</x:v>
      </x:c>
      <x:c r="H310" s="11" t="n">
        <x:v>0</x:v>
      </x:c>
      <x:c r="I310" s="17" t="n">
        <x:f>INDEX('Costing'!$P$9:$P$492,MATCH(D310,'Costing'!$A$9:$A$492,0))</x:f>
        <x:v>280000</x:v>
      </x:c>
      <x:c r="J310" s="17" t="n">
        <x:f>ROUND(I310*'Costing'!$C$4,2)</x:f>
        <x:v>50400</x:v>
      </x:c>
      <x:c r="K310" s="17" t="n">
        <x:f>I310+J310</x:f>
        <x:v>330400</x:v>
      </x:c>
    </x:row>
    <x:row r="311" ht="46" customHeight="1">
      <x:c r="A311" s="2" t="str">
        <x:v>Indicative size</x:v>
      </x:c>
      <x:c r="B311" s="2" t="str">
        <x:v>Small-scale prospects</x:v>
      </x:c>
      <x:c r="C311" s="12" t="str">
        <x:v>Hyderabad</x:v>
      </x:c>
      <x:c r="D311" s="12" t="str">
        <x:v>PARTNER-M312</x:v>
      </x:c>
      <x:c r="E311" s="12" t="str">
        <x:v>Prestige Skytech </x:v>
      </x:c>
      <x:c r="F311" s="11" t="n">
        <x:v>5</x:v>
      </x:c>
      <x:c r="G311" s="11" t="n">
        <x:v>5</x:v>
      </x:c>
      <x:c r="H311" s="11" t="n">
        <x:v>0</x:v>
      </x:c>
      <x:c r="I311" s="17" t="n">
        <x:f>INDEX('Costing'!$P$9:$P$492,MATCH(D311,'Costing'!$A$9:$A$492,0))</x:f>
        <x:v>200000</x:v>
      </x:c>
      <x:c r="J311" s="17" t="n">
        <x:f>ROUND(I311*'Costing'!$C$4,2)</x:f>
        <x:v>36000</x:v>
      </x:c>
      <x:c r="K311" s="17" t="n">
        <x:f>I311+J311</x:f>
        <x:v>236000</x:v>
      </x:c>
    </x:row>
    <x:row r="312" ht="46" customHeight="1">
      <x:c r="A312" s="2" t="str">
        <x:v>Indicative size</x:v>
      </x:c>
      <x:c r="B312" s="2" t="str">
        <x:v>Small-scale prospects</x:v>
      </x:c>
      <x:c r="C312" s="12" t="str">
        <x:v>Hyderabad</x:v>
      </x:c>
      <x:c r="D312" s="12" t="str">
        <x:v>PARTNER-M300</x:v>
      </x:c>
      <x:c r="E312" s="12" t="str">
        <x:v>Waverock IT Park</x:v>
      </x:c>
      <x:c r="F312" s="11" t="n">
        <x:v>8</x:v>
      </x:c>
      <x:c r="G312" s="11" t="n">
        <x:v>8</x:v>
      </x:c>
      <x:c r="H312" s="11" t="n">
        <x:v>0</x:v>
      </x:c>
      <x:c r="I312" s="17" t="n">
        <x:f>INDEX('Costing'!$P$9:$P$492,MATCH(D312,'Costing'!$A$9:$A$492,0))</x:f>
        <x:v>320000</x:v>
      </x:c>
      <x:c r="J312" s="17" t="n">
        <x:f>ROUND(I312*'Costing'!$C$4,2)</x:f>
        <x:v>57600</x:v>
      </x:c>
      <x:c r="K312" s="17" t="n">
        <x:f>I312+J312</x:f>
        <x:v>377600</x:v>
      </x:c>
    </x:row>
    <x:row r="313" ht="46" customHeight="1">
      <x:c r="A313" s="2" t="str">
        <x:v>Indicative size</x:v>
      </x:c>
      <x:c r="B313" s="2" t="str">
        <x:v>Small-scale prospects</x:v>
      </x:c>
      <x:c r="C313" s="12" t="str">
        <x:v>Mumbai</x:v>
      </x:c>
      <x:c r="D313" s="12" t="str">
        <x:v>PARTNER-M241</x:v>
      </x:c>
      <x:c r="E313" s="12" t="str">
        <x:v>Dynasty Business Park</x:v>
      </x:c>
      <x:c r="F313" s="11" t="n">
        <x:v>2</x:v>
      </x:c>
      <x:c r="G313" s="11" t="n">
        <x:v>2</x:v>
      </x:c>
      <x:c r="H313" s="11" t="n">
        <x:v>0</x:v>
      </x:c>
      <x:c r="I313" s="17" t="n">
        <x:f>INDEX('Costing'!$P$9:$P$492,MATCH(D313,'Costing'!$A$9:$A$492,0))</x:f>
        <x:v>80000</x:v>
      </x:c>
      <x:c r="J313" s="17" t="n">
        <x:f>ROUND(I313*'Costing'!$C$4,2)</x:f>
        <x:v>14400</x:v>
      </x:c>
      <x:c r="K313" s="17" t="n">
        <x:f>I313+J313</x:f>
        <x:v>94400</x:v>
      </x:c>
    </x:row>
    <x:row r="314" ht="46" customHeight="1">
      <x:c r="A314" s="2" t="str">
        <x:v>Indicative size</x:v>
      </x:c>
      <x:c r="B314" s="2" t="str">
        <x:v>Small-scale prospects</x:v>
      </x:c>
      <x:c r="C314" s="12" t="str">
        <x:v>Mumbai</x:v>
      </x:c>
      <x:c r="D314" s="12" t="str">
        <x:v>PARTNER-M193</x:v>
      </x:c>
      <x:c r="E314" s="12" t="str">
        <x:v>Empire Tower</x:v>
      </x:c>
      <x:c r="F314" s="11" t="n">
        <x:v>4</x:v>
      </x:c>
      <x:c r="G314" s="11" t="n">
        <x:v>4</x:v>
      </x:c>
      <x:c r="H314" s="11" t="n">
        <x:v>0</x:v>
      </x:c>
      <x:c r="I314" s="17" t="n">
        <x:f>INDEX('Costing'!$P$9:$P$492,MATCH(D314,'Costing'!$A$9:$A$492,0))</x:f>
        <x:v>160000</x:v>
      </x:c>
      <x:c r="J314" s="17" t="n">
        <x:f>ROUND(I314*'Costing'!$C$4,2)</x:f>
        <x:v>28800</x:v>
      </x:c>
      <x:c r="K314" s="17" t="n">
        <x:f>I314+J314</x:f>
        <x:v>188800</x:v>
      </x:c>
    </x:row>
    <x:row r="315" ht="46" customHeight="1">
      <x:c r="A315" s="2" t="str">
        <x:v>Indicative size</x:v>
      </x:c>
      <x:c r="B315" s="2" t="str">
        <x:v>Small-scale prospects</x:v>
      </x:c>
      <x:c r="C315" s="12" t="str">
        <x:v>Mumbai</x:v>
      </x:c>
      <x:c r="D315" s="12" t="str">
        <x:v>PARTNER-M185</x:v>
      </x:c>
      <x:c r="E315" s="12" t="str">
        <x:v>G Corp Tech Park</x:v>
      </x:c>
      <x:c r="F315" s="11" t="n">
        <x:v>3</x:v>
      </x:c>
      <x:c r="G315" s="11" t="n">
        <x:v>3</x:v>
      </x:c>
      <x:c r="H315" s="11" t="n">
        <x:v>0</x:v>
      </x:c>
      <x:c r="I315" s="17" t="n">
        <x:f>INDEX('Costing'!$P$9:$P$492,MATCH(D315,'Costing'!$A$9:$A$492,0))</x:f>
        <x:v>120000</x:v>
      </x:c>
      <x:c r="J315" s="17" t="n">
        <x:f>ROUND(I315*'Costing'!$C$4,2)</x:f>
        <x:v>21600</x:v>
      </x:c>
      <x:c r="K315" s="17" t="n">
        <x:f>I315+J315</x:f>
        <x:v>141600</x:v>
      </x:c>
    </x:row>
    <x:row r="316" ht="46" customHeight="1">
      <x:c r="A316" s="2" t="str">
        <x:v>Indicative size</x:v>
      </x:c>
      <x:c r="B316" s="2" t="str">
        <x:v>Small-scale prospects</x:v>
      </x:c>
      <x:c r="C316" s="12" t="str">
        <x:v>Mumbai</x:v>
      </x:c>
      <x:c r="D316" s="12" t="str">
        <x:v>PARTNER-M235</x:v>
      </x:c>
      <x:c r="E316" s="12" t="str">
        <x:v>Kanakia 215 Atrium</x:v>
      </x:c>
      <x:c r="F316" s="11" t="n">
        <x:v>4</x:v>
      </x:c>
      <x:c r="G316" s="11" t="n">
        <x:v>4</x:v>
      </x:c>
      <x:c r="H316" s="11" t="n">
        <x:v>0</x:v>
      </x:c>
      <x:c r="I316" s="17" t="n">
        <x:f>INDEX('Costing'!$P$9:$P$492,MATCH(D316,'Costing'!$A$9:$A$492,0))</x:f>
        <x:v>160000</x:v>
      </x:c>
      <x:c r="J316" s="17" t="n">
        <x:f>ROUND(I316*'Costing'!$C$4,2)</x:f>
        <x:v>28800</x:v>
      </x:c>
      <x:c r="K316" s="17" t="n">
        <x:f>I316+J316</x:f>
        <x:v>188800</x:v>
      </x:c>
    </x:row>
    <x:row r="317" ht="46" customHeight="1">
      <x:c r="A317" s="2" t="str">
        <x:v>Indicative size</x:v>
      </x:c>
      <x:c r="B317" s="2" t="str">
        <x:v>Small-scale prospects</x:v>
      </x:c>
      <x:c r="C317" s="12" t="str">
        <x:v>Mumbai</x:v>
      </x:c>
      <x:c r="D317" s="12" t="str">
        <x:v>PARTNER-M239</x:v>
      </x:c>
      <x:c r="E317" s="12" t="str">
        <x:v>Kanakia Atrium 2</x:v>
      </x:c>
      <x:c r="F317" s="11" t="n">
        <x:v>2</x:v>
      </x:c>
      <x:c r="G317" s="11" t="n">
        <x:v>2</x:v>
      </x:c>
      <x:c r="H317" s="11" t="n">
        <x:v>0</x:v>
      </x:c>
      <x:c r="I317" s="17" t="n">
        <x:f>INDEX('Costing'!$P$9:$P$492,MATCH(D317,'Costing'!$A$9:$A$492,0))</x:f>
        <x:v>80000</x:v>
      </x:c>
      <x:c r="J317" s="17" t="n">
        <x:f>ROUND(I317*'Costing'!$C$4,2)</x:f>
        <x:v>14400</x:v>
      </x:c>
      <x:c r="K317" s="17" t="n">
        <x:f>I317+J317</x:f>
        <x:v>94400</x:v>
      </x:c>
    </x:row>
    <x:row r="318" ht="46" customHeight="1">
      <x:c r="A318" s="2" t="str">
        <x:v>Indicative size</x:v>
      </x:c>
      <x:c r="B318" s="2" t="str">
        <x:v>Small-scale prospects</x:v>
      </x:c>
      <x:c r="C318" s="12" t="str">
        <x:v>Mumbai</x:v>
      </x:c>
      <x:c r="D318" s="12" t="str">
        <x:v>PARTNER-M179</x:v>
      </x:c>
      <x:c r="E318" s="12" t="str">
        <x:v>Kanakia Boomerang</x:v>
      </x:c>
      <x:c r="F318" s="11" t="n">
        <x:v>6</x:v>
      </x:c>
      <x:c r="G318" s="11" t="n">
        <x:v>6</x:v>
      </x:c>
      <x:c r="H318" s="11" t="n">
        <x:v>0</x:v>
      </x:c>
      <x:c r="I318" s="17" t="n">
        <x:f>INDEX('Costing'!$P$9:$P$492,MATCH(D318,'Costing'!$A$9:$A$492,0))</x:f>
        <x:v>240000</x:v>
      </x:c>
      <x:c r="J318" s="17" t="n">
        <x:f>ROUND(I318*'Costing'!$C$4,2)</x:f>
        <x:v>43200</x:v>
      </x:c>
      <x:c r="K318" s="17" t="n">
        <x:f>I318+J318</x:f>
        <x:v>283200</x:v>
      </x:c>
    </x:row>
    <x:row r="319" ht="46" customHeight="1">
      <x:c r="A319" s="2" t="str">
        <x:v>Indicative size</x:v>
      </x:c>
      <x:c r="B319" s="2" t="str">
        <x:v>Small-scale prospects</x:v>
      </x:c>
      <x:c r="C319" s="12" t="str">
        <x:v>Mumbai</x:v>
      </x:c>
      <x:c r="D319" s="12" t="str">
        <x:v>PARTNER-M243</x:v>
      </x:c>
      <x:c r="E319" s="12" t="str">
        <x:v>Kohinoor City</x:v>
      </x:c>
      <x:c r="F319" s="11" t="n">
        <x:v>2</x:v>
      </x:c>
      <x:c r="G319" s="11" t="n">
        <x:v>2</x:v>
      </x:c>
      <x:c r="H319" s="11" t="n">
        <x:v>0</x:v>
      </x:c>
      <x:c r="I319" s="17" t="n">
        <x:f>INDEX('Costing'!$P$9:$P$492,MATCH(D319,'Costing'!$A$9:$A$492,0))</x:f>
        <x:v>80000</x:v>
      </x:c>
      <x:c r="J319" s="17" t="n">
        <x:f>ROUND(I319*'Costing'!$C$4,2)</x:f>
        <x:v>14400</x:v>
      </x:c>
      <x:c r="K319" s="17" t="n">
        <x:f>I319+J319</x:f>
        <x:v>94400</x:v>
      </x:c>
    </x:row>
    <x:row r="320" ht="46" customHeight="1">
      <x:c r="A320" s="2" t="str">
        <x:v>Indicative size</x:v>
      </x:c>
      <x:c r="B320" s="2" t="str">
        <x:v>Small-scale prospects</x:v>
      </x:c>
      <x:c r="C320" s="12" t="str">
        <x:v>Mumbai</x:v>
      </x:c>
      <x:c r="D320" s="12" t="str">
        <x:v>PARTNER-M201</x:v>
      </x:c>
      <x:c r="E320" s="12" t="str">
        <x:v>Liberty tower</x:v>
      </x:c>
      <x:c r="F320" s="11" t="n">
        <x:v>2</x:v>
      </x:c>
      <x:c r="G320" s="11" t="n">
        <x:v>2</x:v>
      </x:c>
      <x:c r="H320" s="11" t="n">
        <x:v>0</x:v>
      </x:c>
      <x:c r="I320" s="17" t="n">
        <x:f>INDEX('Costing'!$P$9:$P$492,MATCH(D320,'Costing'!$A$9:$A$492,0))</x:f>
        <x:v>80000</x:v>
      </x:c>
      <x:c r="J320" s="17" t="n">
        <x:f>ROUND(I320*'Costing'!$C$4,2)</x:f>
        <x:v>14400</x:v>
      </x:c>
      <x:c r="K320" s="17" t="n">
        <x:f>I320+J320</x:f>
        <x:v>94400</x:v>
      </x:c>
    </x:row>
    <x:row r="321" ht="46" customHeight="1">
      <x:c r="A321" s="2" t="str">
        <x:v>Indicative size</x:v>
      </x:c>
      <x:c r="B321" s="2" t="str">
        <x:v>Small-scale prospects</x:v>
      </x:c>
      <x:c r="C321" s="12" t="str">
        <x:v>Mumbai</x:v>
      </x:c>
      <x:c r="D321" s="12" t="str">
        <x:v>PARTNER-M245</x:v>
      </x:c>
      <x:c r="E321" s="12" t="str">
        <x:v>Lodha iThink</x:v>
      </x:c>
      <x:c r="F321" s="11" t="n">
        <x:v>2</x:v>
      </x:c>
      <x:c r="G321" s="11" t="n">
        <x:v>2</x:v>
      </x:c>
      <x:c r="H321" s="11" t="n">
        <x:v>0</x:v>
      </x:c>
      <x:c r="I321" s="17" t="n">
        <x:f>INDEX('Costing'!$P$9:$P$492,MATCH(D321,'Costing'!$A$9:$A$492,0))</x:f>
        <x:v>80000</x:v>
      </x:c>
      <x:c r="J321" s="17" t="n">
        <x:f>ROUND(I321*'Costing'!$C$4,2)</x:f>
        <x:v>14400</x:v>
      </x:c>
      <x:c r="K321" s="17" t="n">
        <x:f>I321+J321</x:f>
        <x:v>94400</x:v>
      </x:c>
    </x:row>
    <x:row r="322" ht="46" customHeight="1">
      <x:c r="A322" s="2" t="str">
        <x:v>Indicative size</x:v>
      </x:c>
      <x:c r="B322" s="2" t="str">
        <x:v>Small-scale prospects</x:v>
      </x:c>
      <x:c r="C322" s="12" t="str">
        <x:v>Mumbai</x:v>
      </x:c>
      <x:c r="D322" s="12" t="str">
        <x:v>PARTNER-M247</x:v>
      </x:c>
      <x:c r="E322" s="12" t="str">
        <x:v>Lodha Supremus</x:v>
      </x:c>
      <x:c r="F322" s="11" t="n">
        <x:v>4</x:v>
      </x:c>
      <x:c r="G322" s="11" t="n">
        <x:v>4</x:v>
      </x:c>
      <x:c r="H322" s="11" t="n">
        <x:v>0</x:v>
      </x:c>
      <x:c r="I322" s="17" t="n">
        <x:f>INDEX('Costing'!$P$9:$P$492,MATCH(D322,'Costing'!$A$9:$A$492,0))</x:f>
        <x:v>160000</x:v>
      </x:c>
      <x:c r="J322" s="17" t="n">
        <x:f>ROUND(I322*'Costing'!$C$4,2)</x:f>
        <x:v>28800</x:v>
      </x:c>
      <x:c r="K322" s="17" t="n">
        <x:f>I322+J322</x:f>
        <x:v>188800</x:v>
      </x:c>
    </x:row>
    <x:row r="323" ht="46" customHeight="1">
      <x:c r="A323" s="2" t="str">
        <x:v>Indicative size</x:v>
      </x:c>
      <x:c r="B323" s="2" t="str">
        <x:v>Small-scale prospects</x:v>
      </x:c>
      <x:c r="C323" s="12" t="str">
        <x:v>Mumbai</x:v>
      </x:c>
      <x:c r="D323" s="12" t="str">
        <x:v>PARTNER-M203</x:v>
      </x:c>
      <x:c r="E323" s="12" t="str">
        <x:v>Reliable Plaza</x:v>
      </x:c>
      <x:c r="F323" s="11" t="n">
        <x:v>2</x:v>
      </x:c>
      <x:c r="G323" s="11" t="n">
        <x:v>2</x:v>
      </x:c>
      <x:c r="H323" s="11" t="n">
        <x:v>0</x:v>
      </x:c>
      <x:c r="I323" s="17" t="n">
        <x:f>INDEX('Costing'!$P$9:$P$492,MATCH(D323,'Costing'!$A$9:$A$492,0))</x:f>
        <x:v>80000</x:v>
      </x:c>
      <x:c r="J323" s="17" t="n">
        <x:f>ROUND(I323*'Costing'!$C$4,2)</x:f>
        <x:v>14400</x:v>
      </x:c>
      <x:c r="K323" s="17" t="n">
        <x:f>I323+J323</x:f>
        <x:v>94400</x:v>
      </x:c>
    </x:row>
    <x:row r="324" ht="46" customHeight="1">
      <x:c r="A324" s="2" t="str">
        <x:v>Indicative size</x:v>
      </x:c>
      <x:c r="B324" s="2" t="str">
        <x:v>Small-scale prospects</x:v>
      </x:c>
      <x:c r="C324" s="12" t="str">
        <x:v>Mumbai</x:v>
      </x:c>
      <x:c r="D324" s="12" t="str">
        <x:v>PARTNER-M197</x:v>
      </x:c>
      <x:c r="E324" s="12" t="str">
        <x:v>Reliable Tech Park</x:v>
      </x:c>
      <x:c r="F324" s="11" t="n">
        <x:v>4</x:v>
      </x:c>
      <x:c r="G324" s="11" t="n">
        <x:v>4</x:v>
      </x:c>
      <x:c r="H324" s="11" t="n">
        <x:v>0</x:v>
      </x:c>
      <x:c r="I324" s="17" t="n">
        <x:f>INDEX('Costing'!$P$9:$P$492,MATCH(D324,'Costing'!$A$9:$A$492,0))</x:f>
        <x:v>160000</x:v>
      </x:c>
      <x:c r="J324" s="17" t="n">
        <x:f>ROUND(I324*'Costing'!$C$4,2)</x:f>
        <x:v>28800</x:v>
      </x:c>
      <x:c r="K324" s="17" t="n">
        <x:f>I324+J324</x:f>
        <x:v>188800</x:v>
      </x:c>
    </x:row>
    <x:row r="325" ht="46" customHeight="1">
      <x:c r="A325" s="2" t="str">
        <x:v>Indicative size</x:v>
      </x:c>
      <x:c r="B325" s="2" t="str">
        <x:v>Small-scale prospects</x:v>
      </x:c>
      <x:c r="C325" s="12" t="str">
        <x:v>Mumbai</x:v>
      </x:c>
      <x:c r="D325" s="12" t="str">
        <x:v>PARTNER-M205</x:v>
      </x:c>
      <x:c r="E325" s="12" t="str">
        <x:v>Rupa Solitaire</x:v>
      </x:c>
      <x:c r="F325" s="11" t="n">
        <x:v>10</x:v>
      </x:c>
      <x:c r="G325" s="11" t="n">
        <x:v>10</x:v>
      </x:c>
      <x:c r="H325" s="11" t="n">
        <x:v>0</x:v>
      </x:c>
      <x:c r="I325" s="17" t="n">
        <x:f>INDEX('Costing'!$P$9:$P$492,MATCH(D325,'Costing'!$A$9:$A$492,0))</x:f>
        <x:v>400000</x:v>
      </x:c>
      <x:c r="J325" s="17" t="n">
        <x:f>ROUND(I325*'Costing'!$C$4,2)</x:f>
        <x:v>72000</x:v>
      </x:c>
      <x:c r="K325" s="17" t="n">
        <x:f>I325+J325</x:f>
        <x:v>472000</x:v>
      </x:c>
    </x:row>
    <x:row r="326" ht="46" customHeight="1">
      <x:c r="A326" s="2" t="str">
        <x:v>Indicative size</x:v>
      </x:c>
      <x:c r="B326" s="2" t="str">
        <x:v>Small-scale prospects</x:v>
      </x:c>
      <x:c r="C326" s="12" t="str">
        <x:v>Mumbai</x:v>
      </x:c>
      <x:c r="D326" s="12" t="str">
        <x:v>PARTNER-M175</x:v>
      </x:c>
      <x:c r="E326" s="12" t="str">
        <x:v>The Capital</x:v>
      </x:c>
      <x:c r="F326" s="11" t="n">
        <x:v>3</x:v>
      </x:c>
      <x:c r="G326" s="11" t="n">
        <x:v>3</x:v>
      </x:c>
      <x:c r="H326" s="11" t="n">
        <x:v>0</x:v>
      </x:c>
      <x:c r="I326" s="17" t="n">
        <x:f>INDEX('Costing'!$P$9:$P$492,MATCH(D326,'Costing'!$A$9:$A$492,0))</x:f>
        <x:v>120000</x:v>
      </x:c>
      <x:c r="J326" s="17" t="n">
        <x:f>ROUND(I326*'Costing'!$C$4,2)</x:f>
        <x:v>21600</x:v>
      </x:c>
      <x:c r="K326" s="17" t="n">
        <x:f>I326+J326</x:f>
        <x:v>141600</x:v>
      </x:c>
    </x:row>
    <x:row r="327" ht="46" customHeight="1">
      <x:c r="A327" s="2" t="str">
        <x:v>Indicative size</x:v>
      </x:c>
      <x:c r="B327" s="2" t="str">
        <x:v>Small-scale prospects</x:v>
      </x:c>
      <x:c r="C327" s="12" t="str">
        <x:v>Mumbai</x:v>
      </x:c>
      <x:c r="D327" s="12" t="str">
        <x:v>PARTNER-M188</x:v>
      </x:c>
      <x:c r="E327" s="12" t="str">
        <x:v>Urmi Estate</x:v>
      </x:c>
      <x:c r="F327" s="11" t="n">
        <x:v>4</x:v>
      </x:c>
      <x:c r="G327" s="11" t="n">
        <x:v>4</x:v>
      </x:c>
      <x:c r="H327" s="11" t="n">
        <x:v>0</x:v>
      </x:c>
      <x:c r="I327" s="17" t="n">
        <x:f>INDEX('Costing'!$P$9:$P$492,MATCH(D327,'Costing'!$A$9:$A$492,0))</x:f>
        <x:v>160000</x:v>
      </x:c>
      <x:c r="J327" s="17" t="n">
        <x:f>ROUND(I327*'Costing'!$C$4,2)</x:f>
        <x:v>28800</x:v>
      </x:c>
      <x:c r="K327" s="17" t="n">
        <x:f>I327+J327</x:f>
        <x:v>188800</x:v>
      </x:c>
    </x:row>
    <x:row r="328" ht="46" customHeight="1">
      <x:c r="A328" s="2" t="str">
        <x:v>Indicative size</x:v>
      </x:c>
      <x:c r="B328" s="2" t="str">
        <x:v>Small-scale prospects</x:v>
      </x:c>
      <x:c r="C328" s="12" t="str">
        <x:v>Mumbai</x:v>
      </x:c>
      <x:c r="D328" s="12" t="str">
        <x:v>PARTNER-M227</x:v>
      </x:c>
      <x:c r="E328" s="12" t="str">
        <x:v>Windsor House</x:v>
      </x:c>
      <x:c r="F328" s="11" t="n">
        <x:v>6</x:v>
      </x:c>
      <x:c r="G328" s="11" t="n">
        <x:v>6</x:v>
      </x:c>
      <x:c r="H328" s="11" t="n">
        <x:v>0</x:v>
      </x:c>
      <x:c r="I328" s="17" t="n">
        <x:f>INDEX('Costing'!$P$9:$P$492,MATCH(D328,'Costing'!$A$9:$A$492,0))</x:f>
        <x:v>240000</x:v>
      </x:c>
      <x:c r="J328" s="17" t="n">
        <x:f>ROUND(I328*'Costing'!$C$4,2)</x:f>
        <x:v>43200</x:v>
      </x:c>
      <x:c r="K328" s="17" t="n">
        <x:f>I328+J328</x:f>
        <x:v>283200</x:v>
      </x:c>
    </x:row>
    <x:row r="329" ht="46" customHeight="1">
      <x:c r="A329" s="2" t="str">
        <x:v>Indicative size</x:v>
      </x:c>
      <x:c r="B329" s="2" t="str">
        <x:v>Small-scale prospects</x:v>
      </x:c>
      <x:c r="C329" s="12" t="str">
        <x:v>Pune</x:v>
      </x:c>
      <x:c r="D329" s="12" t="str">
        <x:v>PARTNER-M252</x:v>
      </x:c>
      <x:c r="E329" s="12" t="str">
        <x:v>Magarpatta Cyberpark</x:v>
      </x:c>
      <x:c r="F329" s="11" t="n">
        <x:v>9</x:v>
      </x:c>
      <x:c r="G329" s="11" t="n">
        <x:v>9</x:v>
      </x:c>
      <x:c r="H329" s="11" t="n">
        <x:v>0</x:v>
      </x:c>
      <x:c r="I329" s="17" t="n">
        <x:f>INDEX('Costing'!$P$9:$P$492,MATCH(D329,'Costing'!$A$9:$A$492,0))</x:f>
        <x:v>360000</x:v>
      </x:c>
      <x:c r="J329" s="17" t="n">
        <x:f>ROUND(I329*'Costing'!$C$4,2)</x:f>
        <x:v>64800</x:v>
      </x:c>
      <x:c r="K329" s="17" t="n">
        <x:f>I329+J329</x:f>
        <x:v>424800</x:v>
      </x:c>
    </x:row>
    <x:row r="330" ht="46" customHeight="1">
      <x:c r="A330" s="2" t="str">
        <x:v>Indicative size</x:v>
      </x:c>
      <x:c r="B330" s="2" t="str">
        <x:v>Small-scale prospects</x:v>
      </x:c>
      <x:c r="C330" s="12" t="str">
        <x:v>Pune</x:v>
      </x:c>
      <x:c r="D330" s="12" t="str">
        <x:v>PARTNER-M277</x:v>
      </x:c>
      <x:c r="E330" s="12" t="str">
        <x:v>Nyati Enthral</x:v>
      </x:c>
      <x:c r="F330" s="11" t="n">
        <x:v>5</x:v>
      </x:c>
      <x:c r="G330" s="11" t="n">
        <x:v>5</x:v>
      </x:c>
      <x:c r="H330" s="11" t="n">
        <x:v>0</x:v>
      </x:c>
      <x:c r="I330" s="17" t="n">
        <x:f>INDEX('Costing'!$P$9:$P$492,MATCH(D330,'Costing'!$A$9:$A$492,0))</x:f>
        <x:v>200000</x:v>
      </x:c>
      <x:c r="J330" s="17" t="n">
        <x:f>ROUND(I330*'Costing'!$C$4,2)</x:f>
        <x:v>36000</x:v>
      </x:c>
      <x:c r="K330" s="17" t="n">
        <x:f>I330+J330</x:f>
        <x:v>236000</x:v>
      </x:c>
    </x:row>
    <x:row r="331" ht="46" customHeight="1">
      <x:c r="A331" s="2" t="str">
        <x:v>Indicative size</x:v>
      </x:c>
      <x:c r="B331" s="2" t="str">
        <x:v>Small-scale prospects</x:v>
      </x:c>
      <x:c r="C331" s="12" t="str">
        <x:v>Pune</x:v>
      </x:c>
      <x:c r="D331" s="12" t="str">
        <x:v>PARTNER-M273</x:v>
      </x:c>
      <x:c r="E331" s="12" t="str">
        <x:v>Nyati Tech Park</x:v>
      </x:c>
      <x:c r="F331" s="11" t="n">
        <x:v>4</x:v>
      </x:c>
      <x:c r="G331" s="11" t="n">
        <x:v>4</x:v>
      </x:c>
      <x:c r="H331" s="11" t="n">
        <x:v>0</x:v>
      </x:c>
      <x:c r="I331" s="17" t="n">
        <x:f>INDEX('Costing'!$P$9:$P$492,MATCH(D331,'Costing'!$A$9:$A$492,0))</x:f>
        <x:v>160000</x:v>
      </x:c>
      <x:c r="J331" s="17" t="n">
        <x:f>ROUND(I331*'Costing'!$C$4,2)</x:f>
        <x:v>28800</x:v>
      </x:c>
      <x:c r="K331" s="17" t="n">
        <x:f>I331+J331</x:f>
        <x:v>188800</x:v>
      </x:c>
    </x:row>
    <x:row r="332" ht="46" customHeight="1">
      <x:c r="A332" s="2" t="str">
        <x:v>Indicative size</x:v>
      </x:c>
      <x:c r="B332" s="2" t="str">
        <x:v>Small-scale prospects</x:v>
      </x:c>
      <x:c r="C332" s="12" t="str">
        <x:v>Pune</x:v>
      </x:c>
      <x:c r="D332" s="12" t="str">
        <x:v>PARTNER-M261</x:v>
      </x:c>
      <x:c r="E332" s="12" t="str">
        <x:v>Pentagon Towers</x:v>
      </x:c>
      <x:c r="F332" s="11" t="n">
        <x:v>4</x:v>
      </x:c>
      <x:c r="G332" s="11" t="n">
        <x:v>4</x:v>
      </x:c>
      <x:c r="H332" s="11" t="n">
        <x:v>0</x:v>
      </x:c>
      <x:c r="I332" s="17" t="n">
        <x:f>INDEX('Costing'!$P$9:$P$492,MATCH(D332,'Costing'!$A$9:$A$492,0))</x:f>
        <x:v>160000</x:v>
      </x:c>
      <x:c r="J332" s="17" t="n">
        <x:f>ROUND(I332*'Costing'!$C$4,2)</x:f>
        <x:v>28800</x:v>
      </x:c>
      <x:c r="K332" s="17" t="n">
        <x:f>I332+J332</x:f>
        <x:v>188800</x:v>
      </x:c>
    </x:row>
    <x:row r="333" ht="46" customHeight="1">
      <x:c r="A333" s="2" t="str">
        <x:v>Indicative size</x:v>
      </x:c>
      <x:c r="B333" s="2" t="str">
        <x:v>Small-scale prospects</x:v>
      </x:c>
      <x:c r="C333" s="12" t="str">
        <x:v>Pune</x:v>
      </x:c>
      <x:c r="D333" s="12" t="str">
        <x:v>PARTNER-M265</x:v>
      </x:c>
      <x:c r="E333" s="12" t="str">
        <x:v>Symphony IT Park</x:v>
      </x:c>
      <x:c r="F333" s="11" t="n">
        <x:v>3</x:v>
      </x:c>
      <x:c r="G333" s="11" t="n">
        <x:v>3</x:v>
      </x:c>
      <x:c r="H333" s="11" t="n">
        <x:v>0</x:v>
      </x:c>
      <x:c r="I333" s="17" t="n">
        <x:f>INDEX('Costing'!$P$9:$P$492,MATCH(D333,'Costing'!$A$9:$A$492,0))</x:f>
        <x:v>120000</x:v>
      </x:c>
      <x:c r="J333" s="17" t="n">
        <x:f>ROUND(I333*'Costing'!$C$4,2)</x:f>
        <x:v>21600</x:v>
      </x:c>
      <x:c r="K333" s="17" t="n">
        <x:f>I333+J333</x:f>
        <x:v>141600</x:v>
      </x:c>
    </x:row>
    <x:row r="334" ht="46" customHeight="1">
      <x:c r="A334" s="2" t="str">
        <x:v>Indicative size</x:v>
      </x:c>
      <x:c r="B334" s="2" t="str">
        <x:v>Medium-scale prospects</x:v>
      </x:c>
      <x:c r="C334" s="12" t="str">
        <x:v>Ahmedabad</x:v>
      </x:c>
      <x:c r="D334" s="12" t="str">
        <x:v>MAIN-005</x:v>
      </x:c>
      <x:c r="E334" s="12" t="str">
        <x:v>Awfis - Krish Cubical</x:v>
      </x:c>
      <x:c r="F334" s="11" t="n">
        <x:v>1</x:v>
      </x:c>
      <x:c r="G334" s="11" t="n">
        <x:v>1</x:v>
      </x:c>
      <x:c r="H334" s="11" t="n">
        <x:v>0</x:v>
      </x:c>
      <x:c r="I334" s="17" t="n">
        <x:f>INDEX('Costing'!$P$9:$P$492,MATCH(D334,'Costing'!$A$9:$A$492,0))</x:f>
        <x:v>15000</x:v>
      </x:c>
      <x:c r="J334" s="17" t="n">
        <x:f>ROUND(I334*'Costing'!$C$4,2)</x:f>
        <x:v>2700</x:v>
      </x:c>
      <x:c r="K334" s="17" t="n">
        <x:f>I334+J334</x:f>
        <x:v>17700</x:v>
      </x:c>
    </x:row>
    <x:row r="335" ht="46" customHeight="1">
      <x:c r="A335" s="2" t="str">
        <x:v>Indicative size</x:v>
      </x:c>
      <x:c r="B335" s="2" t="str">
        <x:v>Medium-scale prospects</x:v>
      </x:c>
      <x:c r="C335" s="12" t="str">
        <x:v>Bengaluru</x:v>
      </x:c>
      <x:c r="D335" s="12" t="str">
        <x:v>MAIN-010</x:v>
      </x:c>
      <x:c r="E335" s="12" t="str">
        <x:v>Ataura Business Centre</x:v>
      </x:c>
      <x:c r="F335" s="11" t="n">
        <x:v>1</x:v>
      </x:c>
      <x:c r="G335" s="11" t="n">
        <x:v>1</x:v>
      </x:c>
      <x:c r="H335" s="11" t="n">
        <x:v>0</x:v>
      </x:c>
      <x:c r="I335" s="17" t="n">
        <x:f>INDEX('Costing'!$P$9:$P$492,MATCH(D335,'Costing'!$A$9:$A$492,0))</x:f>
        <x:v>15000</x:v>
      </x:c>
      <x:c r="J335" s="17" t="n">
        <x:f>ROUND(I335*'Costing'!$C$4,2)</x:f>
        <x:v>2700</x:v>
      </x:c>
      <x:c r="K335" s="17" t="n">
        <x:f>I335+J335</x:f>
        <x:v>17700</x:v>
      </x:c>
    </x:row>
    <x:row r="336" ht="46" customHeight="1">
      <x:c r="A336" s="2" t="str">
        <x:v>Indicative size</x:v>
      </x:c>
      <x:c r="B336" s="2" t="str">
        <x:v>Medium-scale prospects</x:v>
      </x:c>
      <x:c r="C336" s="12" t="str">
        <x:v>Bengaluru</x:v>
      </x:c>
      <x:c r="D336" s="12" t="str">
        <x:v>MAIN-016</x:v>
      </x:c>
      <x:c r="E336" s="12" t="str">
        <x:v>Awfis - Prestige Dotcom</x:v>
      </x:c>
      <x:c r="F336" s="11" t="n">
        <x:v>4</x:v>
      </x:c>
      <x:c r="G336" s="11" t="n">
        <x:v>4</x:v>
      </x:c>
      <x:c r="H336" s="11" t="n">
        <x:v>0</x:v>
      </x:c>
      <x:c r="I336" s="17" t="n">
        <x:f>INDEX('Costing'!$P$9:$P$492,MATCH(D336,'Costing'!$A$9:$A$492,0))</x:f>
        <x:v>60000</x:v>
      </x:c>
      <x:c r="J336" s="17" t="n">
        <x:f>ROUND(I336*'Costing'!$C$4,2)</x:f>
        <x:v>10800</x:v>
      </x:c>
      <x:c r="K336" s="17" t="n">
        <x:f>I336+J336</x:f>
        <x:v>70800</x:v>
      </x:c>
    </x:row>
    <x:row r="337" ht="46" customHeight="1">
      <x:c r="A337" s="2" t="str">
        <x:v>Indicative size</x:v>
      </x:c>
      <x:c r="B337" s="2" t="str">
        <x:v>Medium-scale prospects</x:v>
      </x:c>
      <x:c r="C337" s="12" t="str">
        <x:v>Bengaluru</x:v>
      </x:c>
      <x:c r="D337" s="12" t="str">
        <x:v>MAIN-017</x:v>
      </x:c>
      <x:c r="E337" s="12" t="str">
        <x:v>Awfis - Prestige Shantiniketan</x:v>
      </x:c>
      <x:c r="F337" s="11" t="n">
        <x:v>2</x:v>
      </x:c>
      <x:c r="G337" s="11" t="n">
        <x:v>2</x:v>
      </x:c>
      <x:c r="H337" s="11" t="n">
        <x:v>0</x:v>
      </x:c>
      <x:c r="I337" s="17" t="n">
        <x:f>INDEX('Costing'!$P$9:$P$492,MATCH(D337,'Costing'!$A$9:$A$492,0))</x:f>
        <x:v>30000</x:v>
      </x:c>
      <x:c r="J337" s="17" t="n">
        <x:f>ROUND(I337*'Costing'!$C$4,2)</x:f>
        <x:v>5400</x:v>
      </x:c>
      <x:c r="K337" s="17" t="n">
        <x:f>I337+J337</x:f>
        <x:v>35400</x:v>
      </x:c>
    </x:row>
    <x:row r="338" ht="46" customHeight="1">
      <x:c r="A338" s="2" t="str">
        <x:v>Indicative size</x:v>
      </x:c>
      <x:c r="B338" s="2" t="str">
        <x:v>Medium-scale prospects</x:v>
      </x:c>
      <x:c r="C338" s="12" t="str">
        <x:v>Bengaluru</x:v>
      </x:c>
      <x:c r="D338" s="12" t="str">
        <x:v>MAIN-020</x:v>
      </x:c>
      <x:c r="E338" s="12" t="str">
        <x:v>AWFIS - PTP 4 Jupiter</x:v>
      </x:c>
      <x:c r="F338" s="11" t="n">
        <x:v>1</x:v>
      </x:c>
      <x:c r="G338" s="11" t="n">
        <x:v>1</x:v>
      </x:c>
      <x:c r="H338" s="11" t="n">
        <x:v>0</x:v>
      </x:c>
      <x:c r="I338" s="17" t="n">
        <x:f>INDEX('Costing'!$P$9:$P$492,MATCH(D338,'Costing'!$A$9:$A$492,0))</x:f>
        <x:v>15000</x:v>
      </x:c>
      <x:c r="J338" s="17" t="n">
        <x:f>ROUND(I338*'Costing'!$C$4,2)</x:f>
        <x:v>2700</x:v>
      </x:c>
      <x:c r="K338" s="17" t="n">
        <x:f>I338+J338</x:f>
        <x:v>17700</x:v>
      </x:c>
    </x:row>
    <x:row r="339" ht="46" customHeight="1">
      <x:c r="A339" s="2" t="str">
        <x:v>Indicative size</x:v>
      </x:c>
      <x:c r="B339" s="2" t="str">
        <x:v>Medium-scale prospects</x:v>
      </x:c>
      <x:c r="C339" s="12" t="str">
        <x:v>Bengaluru</x:v>
      </x:c>
      <x:c r="D339" s="12" t="str">
        <x:v>MAIN-025</x:v>
      </x:c>
      <x:c r="E339" s="12" t="str">
        <x:v>Awfis - ST Mark's Road</x:v>
      </x:c>
      <x:c r="F339" s="11" t="n">
        <x:v>5</x:v>
      </x:c>
      <x:c r="G339" s="11" t="n">
        <x:v>5</x:v>
      </x:c>
      <x:c r="H339" s="11" t="n">
        <x:v>0</x:v>
      </x:c>
      <x:c r="I339" s="17" t="n">
        <x:f>INDEX('Costing'!$P$9:$P$492,MATCH(D339,'Costing'!$A$9:$A$492,0))</x:f>
        <x:v>75000</x:v>
      </x:c>
      <x:c r="J339" s="17" t="n">
        <x:f>ROUND(I339*'Costing'!$C$4,2)</x:f>
        <x:v>13500</x:v>
      </x:c>
      <x:c r="K339" s="17" t="n">
        <x:f>I339+J339</x:f>
        <x:v>88500</x:v>
      </x:c>
    </x:row>
    <x:row r="340" ht="46" customHeight="1">
      <x:c r="A340" s="2" t="str">
        <x:v>Indicative size</x:v>
      </x:c>
      <x:c r="B340" s="2" t="str">
        <x:v>Medium-scale prospects</x:v>
      </x:c>
      <x:c r="C340" s="12" t="str">
        <x:v>Bengaluru</x:v>
      </x:c>
      <x:c r="D340" s="12" t="str">
        <x:v>MAIN-027</x:v>
      </x:c>
      <x:c r="E340" s="12" t="str">
        <x:v>Bhive Workspace - AKR Tech Park</x:v>
      </x:c>
      <x:c r="F340" s="11" t="n">
        <x:v>6</x:v>
      </x:c>
      <x:c r="G340" s="11" t="n">
        <x:v>6</x:v>
      </x:c>
      <x:c r="H340" s="11" t="n">
        <x:v>0</x:v>
      </x:c>
      <x:c r="I340" s="17" t="n">
        <x:f>INDEX('Costing'!$P$9:$P$492,MATCH(D340,'Costing'!$A$9:$A$492,0))</x:f>
        <x:v>90000</x:v>
      </x:c>
      <x:c r="J340" s="17" t="n">
        <x:f>ROUND(I340*'Costing'!$C$4,2)</x:f>
        <x:v>16200</x:v>
      </x:c>
      <x:c r="K340" s="17" t="n">
        <x:f>I340+J340</x:f>
        <x:v>106200</x:v>
      </x:c>
    </x:row>
    <x:row r="341" ht="46" customHeight="1">
      <x:c r="A341" s="2" t="str">
        <x:v>Indicative size</x:v>
      </x:c>
      <x:c r="B341" s="2" t="str">
        <x:v>Medium-scale prospects</x:v>
      </x:c>
      <x:c r="C341" s="12" t="str">
        <x:v>Bengaluru</x:v>
      </x:c>
      <x:c r="D341" s="12" t="str">
        <x:v>MAIN-031</x:v>
      </x:c>
      <x:c r="E341" s="12" t="str">
        <x:v>Bhive Workspace - Koramangala 5TH Block</x:v>
      </x:c>
      <x:c r="F341" s="11" t="n">
        <x:v>2</x:v>
      </x:c>
      <x:c r="G341" s="11" t="n">
        <x:v>2</x:v>
      </x:c>
      <x:c r="H341" s="11" t="n">
        <x:v>0</x:v>
      </x:c>
      <x:c r="I341" s="17" t="n">
        <x:f>INDEX('Costing'!$P$9:$P$492,MATCH(D341,'Costing'!$A$9:$A$492,0))</x:f>
        <x:v>30000</x:v>
      </x:c>
      <x:c r="J341" s="17" t="n">
        <x:f>ROUND(I341*'Costing'!$C$4,2)</x:f>
        <x:v>5400</x:v>
      </x:c>
      <x:c r="K341" s="17" t="n">
        <x:f>I341+J341</x:f>
        <x:v>35400</x:v>
      </x:c>
    </x:row>
    <x:row r="342" ht="46" customHeight="1">
      <x:c r="A342" s="2" t="str">
        <x:v>Indicative size</x:v>
      </x:c>
      <x:c r="B342" s="2" t="str">
        <x:v>Medium-scale prospects</x:v>
      </x:c>
      <x:c r="C342" s="12" t="str">
        <x:v>Bengaluru</x:v>
      </x:c>
      <x:c r="D342" s="12" t="str">
        <x:v>MAIN-050</x:v>
      </x:c>
      <x:c r="E342" s="12" t="str">
        <x:v>Golden Square</x:v>
      </x:c>
      <x:c r="F342" s="11" t="n">
        <x:v>1</x:v>
      </x:c>
      <x:c r="G342" s="11" t="n">
        <x:v>1</x:v>
      </x:c>
      <x:c r="H342" s="11" t="n">
        <x:v>0</x:v>
      </x:c>
      <x:c r="I342" s="17" t="n">
        <x:f>INDEX('Costing'!$P$9:$P$492,MATCH(D342,'Costing'!$A$9:$A$492,0))</x:f>
        <x:v>15000</x:v>
      </x:c>
      <x:c r="J342" s="17" t="n">
        <x:f>ROUND(I342*'Costing'!$C$4,2)</x:f>
        <x:v>2700</x:v>
      </x:c>
      <x:c r="K342" s="17" t="n">
        <x:f>I342+J342</x:f>
        <x:v>17700</x:v>
      </x:c>
    </x:row>
    <x:row r="343" ht="46" customHeight="1">
      <x:c r="A343" s="2" t="str">
        <x:v>Indicative size</x:v>
      </x:c>
      <x:c r="B343" s="2" t="str">
        <x:v>Medium-scale prospects</x:v>
      </x:c>
      <x:c r="C343" s="12" t="str">
        <x:v>Bengaluru</x:v>
      </x:c>
      <x:c r="D343" s="12" t="str">
        <x:v>MAIN-059</x:v>
      </x:c>
      <x:c r="E343" s="12" t="str">
        <x:v>Novel Tech Park</x:v>
      </x:c>
      <x:c r="F343" s="11" t="n">
        <x:v>8</x:v>
      </x:c>
      <x:c r="G343" s="11" t="n">
        <x:v>8</x:v>
      </x:c>
      <x:c r="H343" s="11" t="n">
        <x:v>0</x:v>
      </x:c>
      <x:c r="I343" s="17" t="n">
        <x:f>INDEX('Costing'!$P$9:$P$492,MATCH(D343,'Costing'!$A$9:$A$492,0))</x:f>
        <x:v>120000</x:v>
      </x:c>
      <x:c r="J343" s="17" t="n">
        <x:f>ROUND(I343*'Costing'!$C$4,2)</x:f>
        <x:v>21600</x:v>
      </x:c>
      <x:c r="K343" s="17" t="n">
        <x:f>I343+J343</x:f>
        <x:v>141600</x:v>
      </x:c>
    </x:row>
    <x:row r="344" ht="46" customHeight="1">
      <x:c r="A344" s="2" t="str">
        <x:v>Indicative size</x:v>
      </x:c>
      <x:c r="B344" s="2" t="str">
        <x:v>Medium-scale prospects</x:v>
      </x:c>
      <x:c r="C344" s="12" t="str">
        <x:v>Bengaluru</x:v>
      </x:c>
      <x:c r="D344" s="12" t="str">
        <x:v>MAIN-065</x:v>
      </x:c>
      <x:c r="E344" s="12" t="str">
        <x:v>Obeya - Elan</x:v>
      </x:c>
      <x:c r="F344" s="11" t="n">
        <x:v>1</x:v>
      </x:c>
      <x:c r="G344" s="11" t="n">
        <x:v>1</x:v>
      </x:c>
      <x:c r="H344" s="11" t="n">
        <x:v>0</x:v>
      </x:c>
      <x:c r="I344" s="17" t="n">
        <x:f>INDEX('Costing'!$P$9:$P$492,MATCH(D344,'Costing'!$A$9:$A$492,0))</x:f>
        <x:v>15000</x:v>
      </x:c>
      <x:c r="J344" s="17" t="n">
        <x:f>ROUND(I344*'Costing'!$C$4,2)</x:f>
        <x:v>2700</x:v>
      </x:c>
      <x:c r="K344" s="17" t="n">
        <x:f>I344+J344</x:f>
        <x:v>17700</x:v>
      </x:c>
    </x:row>
    <x:row r="345" ht="46" customHeight="1">
      <x:c r="A345" s="2" t="str">
        <x:v>Indicative size</x:v>
      </x:c>
      <x:c r="B345" s="2" t="str">
        <x:v>Medium-scale prospects</x:v>
      </x:c>
      <x:c r="C345" s="12" t="str">
        <x:v>Bengaluru</x:v>
      </x:c>
      <x:c r="D345" s="12" t="str">
        <x:v>MAIN-070</x:v>
      </x:c>
      <x:c r="E345" s="12" t="str">
        <x:v>Obeya - Tranquil</x:v>
      </x:c>
      <x:c r="F345" s="11" t="n">
        <x:v>1</x:v>
      </x:c>
      <x:c r="G345" s="11" t="n">
        <x:v>1</x:v>
      </x:c>
      <x:c r="H345" s="11" t="n">
        <x:v>0</x:v>
      </x:c>
      <x:c r="I345" s="17" t="n">
        <x:f>INDEX('Costing'!$P$9:$P$492,MATCH(D345,'Costing'!$A$9:$A$492,0))</x:f>
        <x:v>15000</x:v>
      </x:c>
      <x:c r="J345" s="17" t="n">
        <x:f>ROUND(I345*'Costing'!$C$4,2)</x:f>
        <x:v>2700</x:v>
      </x:c>
      <x:c r="K345" s="17" t="n">
        <x:f>I345+J345</x:f>
        <x:v>17700</x:v>
      </x:c>
    </x:row>
    <x:row r="346" ht="46" customHeight="1">
      <x:c r="A346" s="2" t="str">
        <x:v>Indicative size</x:v>
      </x:c>
      <x:c r="B346" s="2" t="str">
        <x:v>Medium-scale prospects</x:v>
      </x:c>
      <x:c r="C346" s="12" t="str">
        <x:v>Bengaluru</x:v>
      </x:c>
      <x:c r="D346" s="12" t="str">
        <x:v>MAIN-071</x:v>
      </x:c>
      <x:c r="E346" s="12" t="str">
        <x:v>Obeya - Verve</x:v>
      </x:c>
      <x:c r="F346" s="11" t="n">
        <x:v>1</x:v>
      </x:c>
      <x:c r="G346" s="11" t="n">
        <x:v>1</x:v>
      </x:c>
      <x:c r="H346" s="11" t="n">
        <x:v>0</x:v>
      </x:c>
      <x:c r="I346" s="17" t="n">
        <x:f>INDEX('Costing'!$P$9:$P$492,MATCH(D346,'Costing'!$A$9:$A$492,0))</x:f>
        <x:v>15000</x:v>
      </x:c>
      <x:c r="J346" s="17" t="n">
        <x:f>ROUND(I346*'Costing'!$C$4,2)</x:f>
        <x:v>2700</x:v>
      </x:c>
      <x:c r="K346" s="17" t="n">
        <x:f>I346+J346</x:f>
        <x:v>17700</x:v>
      </x:c>
    </x:row>
    <x:row r="347" ht="46" customHeight="1">
      <x:c r="A347" s="2" t="str">
        <x:v>Indicative size</x:v>
      </x:c>
      <x:c r="B347" s="2" t="str">
        <x:v>Medium-scale prospects</x:v>
      </x:c>
      <x:c r="C347" s="12" t="str">
        <x:v>Bengaluru</x:v>
      </x:c>
      <x:c r="D347" s="12" t="str">
        <x:v>MAIN-073</x:v>
      </x:c>
      <x:c r="E347" s="12" t="str">
        <x:v>Prestige Obelisk</x:v>
      </x:c>
      <x:c r="F347" s="11" t="n">
        <x:v>1</x:v>
      </x:c>
      <x:c r="G347" s="11" t="n">
        <x:v>1</x:v>
      </x:c>
      <x:c r="H347" s="11" t="n">
        <x:v>0</x:v>
      </x:c>
      <x:c r="I347" s="17" t="n">
        <x:f>INDEX('Costing'!$P$9:$P$492,MATCH(D347,'Costing'!$A$9:$A$492,0))</x:f>
        <x:v>40000</x:v>
      </x:c>
      <x:c r="J347" s="17" t="n">
        <x:f>ROUND(I347*'Costing'!$C$4,2)</x:f>
        <x:v>7200</x:v>
      </x:c>
      <x:c r="K347" s="17" t="n">
        <x:f>I347+J347</x:f>
        <x:v>47200</x:v>
      </x:c>
    </x:row>
    <x:row r="348" ht="46" customHeight="1">
      <x:c r="A348" s="2" t="str">
        <x:v>Indicative size</x:v>
      </x:c>
      <x:c r="B348" s="2" t="str">
        <x:v>Medium-scale prospects</x:v>
      </x:c>
      <x:c r="C348" s="12" t="str">
        <x:v>Bengaluru</x:v>
      </x:c>
      <x:c r="D348" s="12" t="str">
        <x:v>MAIN-075</x:v>
      </x:c>
      <x:c r="E348" s="12" t="str">
        <x:v>Prestige Tristar (Redbrick Offices)</x:v>
      </x:c>
      <x:c r="F348" s="11" t="n">
        <x:v>3</x:v>
      </x:c>
      <x:c r="G348" s="11" t="n">
        <x:v>3</x:v>
      </x:c>
      <x:c r="H348" s="11" t="n">
        <x:v>0</x:v>
      </x:c>
      <x:c r="I348" s="17" t="n">
        <x:f>INDEX('Costing'!$P$9:$P$492,MATCH(D348,'Costing'!$A$9:$A$492,0))</x:f>
        <x:v>45000</x:v>
      </x:c>
      <x:c r="J348" s="17" t="n">
        <x:f>ROUND(I348*'Costing'!$C$4,2)</x:f>
        <x:v>8100</x:v>
      </x:c>
      <x:c r="K348" s="17" t="n">
        <x:f>I348+J348</x:f>
        <x:v>53100</x:v>
      </x:c>
    </x:row>
    <x:row r="349" ht="46" customHeight="1">
      <x:c r="A349" s="2" t="str">
        <x:v>Indicative size</x:v>
      </x:c>
      <x:c r="B349" s="2" t="str">
        <x:v>Medium-scale prospects</x:v>
      </x:c>
      <x:c r="C349" s="12" t="str">
        <x:v>Bengaluru</x:v>
      </x:c>
      <x:c r="D349" s="12" t="str">
        <x:v>MAIN-086</x:v>
      </x:c>
      <x:c r="E349" s="12" t="str">
        <x:v>Startuphuts- Unit 1</x:v>
      </x:c>
      <x:c r="F349" s="11" t="n">
        <x:v>1</x:v>
      </x:c>
      <x:c r="G349" s="11" t="n">
        <x:v>1</x:v>
      </x:c>
      <x:c r="H349" s="11" t="n">
        <x:v>0</x:v>
      </x:c>
      <x:c r="I349" s="17" t="n">
        <x:f>INDEX('Costing'!$P$9:$P$492,MATCH(D349,'Costing'!$A$9:$A$492,0))</x:f>
        <x:v>15000</x:v>
      </x:c>
      <x:c r="J349" s="17" t="n">
        <x:f>ROUND(I349*'Costing'!$C$4,2)</x:f>
        <x:v>2700</x:v>
      </x:c>
      <x:c r="K349" s="17" t="n">
        <x:f>I349+J349</x:f>
        <x:v>17700</x:v>
      </x:c>
    </x:row>
    <x:row r="350" ht="46" customHeight="1">
      <x:c r="A350" s="2" t="str">
        <x:v>Indicative size</x:v>
      </x:c>
      <x:c r="B350" s="2" t="str">
        <x:v>Medium-scale prospects</x:v>
      </x:c>
      <x:c r="C350" s="12" t="str">
        <x:v>Bengaluru</x:v>
      </x:c>
      <x:c r="D350" s="12" t="str">
        <x:v>MAIN-087</x:v>
      </x:c>
      <x:c r="E350" s="12" t="str">
        <x:v>Startuphuts- Unit 3</x:v>
      </x:c>
      <x:c r="F350" s="11" t="n">
        <x:v>1</x:v>
      </x:c>
      <x:c r="G350" s="11" t="n">
        <x:v>1</x:v>
      </x:c>
      <x:c r="H350" s="11" t="n">
        <x:v>0</x:v>
      </x:c>
      <x:c r="I350" s="17" t="n">
        <x:f>INDEX('Costing'!$P$9:$P$492,MATCH(D350,'Costing'!$A$9:$A$492,0))</x:f>
        <x:v>15000</x:v>
      </x:c>
      <x:c r="J350" s="17" t="n">
        <x:f>ROUND(I350*'Costing'!$C$4,2)</x:f>
        <x:v>2700</x:v>
      </x:c>
      <x:c r="K350" s="17" t="n">
        <x:f>I350+J350</x:f>
        <x:v>17700</x:v>
      </x:c>
    </x:row>
    <x:row r="351" ht="46" customHeight="1">
      <x:c r="A351" s="2" t="str">
        <x:v>Indicative size</x:v>
      </x:c>
      <x:c r="B351" s="2" t="str">
        <x:v>Medium-scale prospects</x:v>
      </x:c>
      <x:c r="C351" s="12" t="str">
        <x:v>Bengaluru</x:v>
      </x:c>
      <x:c r="D351" s="12" t="str">
        <x:v>MAIN-091</x:v>
      </x:c>
      <x:c r="E351" s="12" t="str">
        <x:v>Startuphuts- Unit 8</x:v>
      </x:c>
      <x:c r="F351" s="11" t="n">
        <x:v>2</x:v>
      </x:c>
      <x:c r="G351" s="11" t="n">
        <x:v>2</x:v>
      </x:c>
      <x:c r="H351" s="11" t="n">
        <x:v>0</x:v>
      </x:c>
      <x:c r="I351" s="17" t="n">
        <x:f>INDEX('Costing'!$P$9:$P$492,MATCH(D351,'Costing'!$A$9:$A$492,0))</x:f>
        <x:v>30000</x:v>
      </x:c>
      <x:c r="J351" s="17" t="n">
        <x:f>ROUND(I351*'Costing'!$C$4,2)</x:f>
        <x:v>5400</x:v>
      </x:c>
      <x:c r="K351" s="17" t="n">
        <x:f>I351+J351</x:f>
        <x:v>35400</x:v>
      </x:c>
    </x:row>
    <x:row r="352" ht="46" customHeight="1">
      <x:c r="A352" s="2" t="str">
        <x:v>Indicative size</x:v>
      </x:c>
      <x:c r="B352" s="2" t="str">
        <x:v>Medium-scale prospects</x:v>
      </x:c>
      <x:c r="C352" s="12" t="str">
        <x:v>Bengaluru</x:v>
      </x:c>
      <x:c r="D352" s="12" t="str">
        <x:v>MAIN-098</x:v>
      </x:c>
      <x:c r="E352" s="12" t="str">
        <x:v>Urban Vault- 145</x:v>
      </x:c>
      <x:c r="F352" s="11" t="n">
        <x:v>2</x:v>
      </x:c>
      <x:c r="G352" s="11" t="n">
        <x:v>2</x:v>
      </x:c>
      <x:c r="H352" s="11" t="n">
        <x:v>0</x:v>
      </x:c>
      <x:c r="I352" s="17" t="n">
        <x:f>INDEX('Costing'!$P$9:$P$492,MATCH(D352,'Costing'!$A$9:$A$492,0))</x:f>
        <x:v>30000</x:v>
      </x:c>
      <x:c r="J352" s="17" t="n">
        <x:f>ROUND(I352*'Costing'!$C$4,2)</x:f>
        <x:v>5400</x:v>
      </x:c>
      <x:c r="K352" s="17" t="n">
        <x:f>I352+J352</x:f>
        <x:v>35400</x:v>
      </x:c>
    </x:row>
    <x:row r="353" ht="46" customHeight="1">
      <x:c r="A353" s="2" t="str">
        <x:v>Indicative size</x:v>
      </x:c>
      <x:c r="B353" s="2" t="str">
        <x:v>Medium-scale prospects</x:v>
      </x:c>
      <x:c r="C353" s="12" t="str">
        <x:v>Bengaluru</x:v>
      </x:c>
      <x:c r="D353" s="12" t="str">
        <x:v>MAIN-105</x:v>
      </x:c>
      <x:c r="E353" s="12" t="str">
        <x:v>Urban Vault- 1498</x:v>
      </x:c>
      <x:c r="F353" s="11" t="n">
        <x:v>1</x:v>
      </x:c>
      <x:c r="G353" s="11" t="n">
        <x:v>1</x:v>
      </x:c>
      <x:c r="H353" s="11" t="n">
        <x:v>0</x:v>
      </x:c>
      <x:c r="I353" s="17" t="n">
        <x:f>INDEX('Costing'!$P$9:$P$492,MATCH(D353,'Costing'!$A$9:$A$492,0))</x:f>
        <x:v>15000</x:v>
      </x:c>
      <x:c r="J353" s="17" t="n">
        <x:f>ROUND(I353*'Costing'!$C$4,2)</x:f>
        <x:v>2700</x:v>
      </x:c>
      <x:c r="K353" s="17" t="n">
        <x:f>I353+J353</x:f>
        <x:v>17700</x:v>
      </x:c>
    </x:row>
    <x:row r="354" ht="46" customHeight="1">
      <x:c r="A354" s="2" t="str">
        <x:v>Indicative size</x:v>
      </x:c>
      <x:c r="B354" s="2" t="str">
        <x:v>Medium-scale prospects</x:v>
      </x:c>
      <x:c r="C354" s="12" t="str">
        <x:v>Bengaluru</x:v>
      </x:c>
      <x:c r="D354" s="12" t="str">
        <x:v>MAIN-106</x:v>
      </x:c>
      <x:c r="E354" s="12" t="str">
        <x:v>Urban Vault- 1515</x:v>
      </x:c>
      <x:c r="F354" s="11" t="n">
        <x:v>2</x:v>
      </x:c>
      <x:c r="G354" s="11" t="n">
        <x:v>2</x:v>
      </x:c>
      <x:c r="H354" s="11" t="n">
        <x:v>0</x:v>
      </x:c>
      <x:c r="I354" s="17" t="n">
        <x:f>INDEX('Costing'!$P$9:$P$492,MATCH(D354,'Costing'!$A$9:$A$492,0))</x:f>
        <x:v>30000</x:v>
      </x:c>
      <x:c r="J354" s="17" t="n">
        <x:f>ROUND(I354*'Costing'!$C$4,2)</x:f>
        <x:v>5400</x:v>
      </x:c>
      <x:c r="K354" s="17" t="n">
        <x:f>I354+J354</x:f>
        <x:v>35400</x:v>
      </x:c>
    </x:row>
    <x:row r="355" ht="46" customHeight="1">
      <x:c r="A355" s="2" t="str">
        <x:v>Indicative size</x:v>
      </x:c>
      <x:c r="B355" s="2" t="str">
        <x:v>Medium-scale prospects</x:v>
      </x:c>
      <x:c r="C355" s="12" t="str">
        <x:v>Bengaluru</x:v>
      </x:c>
      <x:c r="D355" s="12" t="str">
        <x:v>MAIN-109</x:v>
      </x:c>
      <x:c r="E355" s="12" t="str">
        <x:v>Urban Vault- 2907</x:v>
      </x:c>
      <x:c r="F355" s="11" t="n">
        <x:v>2</x:v>
      </x:c>
      <x:c r="G355" s="11" t="n">
        <x:v>2</x:v>
      </x:c>
      <x:c r="H355" s="11" t="n">
        <x:v>0</x:v>
      </x:c>
      <x:c r="I355" s="17" t="n">
        <x:f>INDEX('Costing'!$P$9:$P$492,MATCH(D355,'Costing'!$A$9:$A$492,0))</x:f>
        <x:v>30000</x:v>
      </x:c>
      <x:c r="J355" s="17" t="n">
        <x:f>ROUND(I355*'Costing'!$C$4,2)</x:f>
        <x:v>5400</x:v>
      </x:c>
      <x:c r="K355" s="17" t="n">
        <x:f>I355+J355</x:f>
        <x:v>35400</x:v>
      </x:c>
    </x:row>
    <x:row r="356" ht="46" customHeight="1">
      <x:c r="A356" s="2" t="str">
        <x:v>Indicative size</x:v>
      </x:c>
      <x:c r="B356" s="2" t="str">
        <x:v>Medium-scale prospects</x:v>
      </x:c>
      <x:c r="C356" s="12" t="str">
        <x:v>Bengaluru</x:v>
      </x:c>
      <x:c r="D356" s="12" t="str">
        <x:v>MAIN-100</x:v>
      </x:c>
      <x:c r="E356" s="12" t="str">
        <x:v>Urban Vault- 591</x:v>
      </x:c>
      <x:c r="F356" s="11" t="n">
        <x:v>2</x:v>
      </x:c>
      <x:c r="G356" s="11" t="n">
        <x:v>2</x:v>
      </x:c>
      <x:c r="H356" s="11" t="n">
        <x:v>0</x:v>
      </x:c>
      <x:c r="I356" s="17" t="n">
        <x:f>INDEX('Costing'!$P$9:$P$492,MATCH(D356,'Costing'!$A$9:$A$492,0))</x:f>
        <x:v>30000</x:v>
      </x:c>
      <x:c r="J356" s="17" t="n">
        <x:f>ROUND(I356*'Costing'!$C$4,2)</x:f>
        <x:v>5400</x:v>
      </x:c>
      <x:c r="K356" s="17" t="n">
        <x:f>I356+J356</x:f>
        <x:v>35400</x:v>
      </x:c>
    </x:row>
    <x:row r="357" ht="46" customHeight="1">
      <x:c r="A357" s="2" t="str">
        <x:v>Indicative size</x:v>
      </x:c>
      <x:c r="B357" s="2" t="str">
        <x:v>Medium-scale prospects</x:v>
      </x:c>
      <x:c r="C357" s="12" t="str">
        <x:v>Bengaluru</x:v>
      </x:c>
      <x:c r="D357" s="12" t="str">
        <x:v>MAIN-096</x:v>
      </x:c>
      <x:c r="E357" s="12" t="str">
        <x:v>Urban Vault- 65</x:v>
      </x:c>
      <x:c r="F357" s="11" t="n">
        <x:v>2</x:v>
      </x:c>
      <x:c r="G357" s="11" t="n">
        <x:v>2</x:v>
      </x:c>
      <x:c r="H357" s="11" t="n">
        <x:v>0</x:v>
      </x:c>
      <x:c r="I357" s="17" t="n">
        <x:f>INDEX('Costing'!$P$9:$P$492,MATCH(D357,'Costing'!$A$9:$A$492,0))</x:f>
        <x:v>30000</x:v>
      </x:c>
      <x:c r="J357" s="17" t="n">
        <x:f>ROUND(I357*'Costing'!$C$4,2)</x:f>
        <x:v>5400</x:v>
      </x:c>
      <x:c r="K357" s="17" t="n">
        <x:f>I357+J357</x:f>
        <x:v>35400</x:v>
      </x:c>
    </x:row>
    <x:row r="358" ht="46" customHeight="1">
      <x:c r="A358" s="2" t="str">
        <x:v>Indicative size</x:v>
      </x:c>
      <x:c r="B358" s="2" t="str">
        <x:v>Medium-scale prospects</x:v>
      </x:c>
      <x:c r="C358" s="12" t="str">
        <x:v>Bengaluru</x:v>
      </x:c>
      <x:c r="D358" s="12" t="str">
        <x:v>MAIN-116</x:v>
      </x:c>
      <x:c r="E358" s="12" t="str">
        <x:v>WeWork - ETV</x:v>
      </x:c>
      <x:c r="F358" s="11" t="n">
        <x:v>7</x:v>
      </x:c>
      <x:c r="G358" s="11" t="n">
        <x:v>7</x:v>
      </x:c>
      <x:c r="H358" s="11" t="n">
        <x:v>0</x:v>
      </x:c>
      <x:c r="I358" s="17" t="n">
        <x:f>INDEX('Costing'!$P$9:$P$492,MATCH(D358,'Costing'!$A$9:$A$492,0))</x:f>
        <x:v>175000</x:v>
      </x:c>
      <x:c r="J358" s="17" t="n">
        <x:f>ROUND(I358*'Costing'!$C$4,2)</x:f>
        <x:v>31500</x:v>
      </x:c>
      <x:c r="K358" s="17" t="n">
        <x:f>I358+J358</x:f>
        <x:v>206500</x:v>
      </x:c>
    </x:row>
    <x:row r="359" ht="46" customHeight="1">
      <x:c r="A359" s="2" t="str">
        <x:v>Indicative size</x:v>
      </x:c>
      <x:c r="B359" s="2" t="str">
        <x:v>Medium-scale prospects</x:v>
      </x:c>
      <x:c r="C359" s="12" t="str">
        <x:v>Bengaluru</x:v>
      </x:c>
      <x:c r="D359" s="12" t="str">
        <x:v>MAIN-129</x:v>
      </x:c>
      <x:c r="E359" s="12" t="str">
        <x:v>WeWork - The Galaxy</x:v>
      </x:c>
      <x:c r="F359" s="11" t="n">
        <x:v>7</x:v>
      </x:c>
      <x:c r="G359" s="11" t="n">
        <x:v>7</x:v>
      </x:c>
      <x:c r="H359" s="11" t="n">
        <x:v>0</x:v>
      </x:c>
      <x:c r="I359" s="17" t="n">
        <x:f>INDEX('Costing'!$P$9:$P$492,MATCH(D359,'Costing'!$A$9:$A$492,0))</x:f>
        <x:v>175000</x:v>
      </x:c>
      <x:c r="J359" s="17" t="n">
        <x:f>ROUND(I359*'Costing'!$C$4,2)</x:f>
        <x:v>31500</x:v>
      </x:c>
      <x:c r="K359" s="17" t="n">
        <x:f>I359+J359</x:f>
        <x:v>206500</x:v>
      </x:c>
    </x:row>
    <x:row r="360" ht="46" customHeight="1">
      <x:c r="A360" s="2" t="str">
        <x:v>Indicative size</x:v>
      </x:c>
      <x:c r="B360" s="2" t="str">
        <x:v>Medium-scale prospects</x:v>
      </x:c>
      <x:c r="C360" s="12" t="str">
        <x:v>Bengaluru</x:v>
      </x:c>
      <x:c r="D360" s="12" t="str">
        <x:v>MAIN-130</x:v>
      </x:c>
      <x:c r="E360" s="12" t="str">
        <x:v>WeWork - The Pavilion</x:v>
      </x:c>
      <x:c r="F360" s="11" t="n">
        <x:v>4</x:v>
      </x:c>
      <x:c r="G360" s="11" t="n">
        <x:v>4</x:v>
      </x:c>
      <x:c r="H360" s="11" t="n">
        <x:v>0</x:v>
      </x:c>
      <x:c r="I360" s="17" t="n">
        <x:f>INDEX('Costing'!$P$9:$P$492,MATCH(D360,'Costing'!$A$9:$A$492,0))</x:f>
        <x:v>100000</x:v>
      </x:c>
      <x:c r="J360" s="17" t="n">
        <x:f>ROUND(I360*'Costing'!$C$4,2)</x:f>
        <x:v>18000</x:v>
      </x:c>
      <x:c r="K360" s="17" t="n">
        <x:f>I360+J360</x:f>
        <x:v>118000</x:v>
      </x:c>
    </x:row>
    <x:row r="361" ht="46" customHeight="1">
      <x:c r="A361" s="2" t="str">
        <x:v>Indicative size</x:v>
      </x:c>
      <x:c r="B361" s="2" t="str">
        <x:v>Medium-scale prospects</x:v>
      </x:c>
      <x:c r="C361" s="12" t="str">
        <x:v>Bhubaneswar</x:v>
      </x:c>
      <x:c r="D361" s="12" t="str">
        <x:v>MAIN-137</x:v>
      </x:c>
      <x:c r="E361" s="12" t="str">
        <x:v>Awfis - SRB Tower</x:v>
      </x:c>
      <x:c r="F361" s="11" t="n">
        <x:v>2</x:v>
      </x:c>
      <x:c r="G361" s="11" t="n">
        <x:v>2</x:v>
      </x:c>
      <x:c r="H361" s="11" t="n">
        <x:v>0</x:v>
      </x:c>
      <x:c r="I361" s="17" t="n">
        <x:f>INDEX('Costing'!$P$9:$P$492,MATCH(D361,'Costing'!$A$9:$A$492,0))</x:f>
        <x:v>30000</x:v>
      </x:c>
      <x:c r="J361" s="17" t="n">
        <x:f>ROUND(I361*'Costing'!$C$4,2)</x:f>
        <x:v>5400</x:v>
      </x:c>
      <x:c r="K361" s="17" t="n">
        <x:f>I361+J361</x:f>
        <x:v>35400</x:v>
      </x:c>
    </x:row>
    <x:row r="362" ht="46" customHeight="1">
      <x:c r="A362" s="2" t="str">
        <x:v>Indicative size</x:v>
      </x:c>
      <x:c r="B362" s="2" t="str">
        <x:v>Medium-scale prospects</x:v>
      </x:c>
      <x:c r="C362" s="12" t="str">
        <x:v>Chennai</x:v>
      </x:c>
      <x:c r="D362" s="12" t="str">
        <x:v>MAIN-139</x:v>
      </x:c>
      <x:c r="E362" s="12" t="str">
        <x:v>Awfis - Gemini Circle</x:v>
      </x:c>
      <x:c r="F362" s="11" t="n">
        <x:v>5</x:v>
      </x:c>
      <x:c r="G362" s="11" t="n">
        <x:v>5</x:v>
      </x:c>
      <x:c r="H362" s="11" t="n">
        <x:v>0</x:v>
      </x:c>
      <x:c r="I362" s="17" t="n">
        <x:f>INDEX('Costing'!$P$9:$P$492,MATCH(D362,'Costing'!$A$9:$A$492,0))</x:f>
        <x:v>75000</x:v>
      </x:c>
      <x:c r="J362" s="17" t="n">
        <x:f>ROUND(I362*'Costing'!$C$4,2)</x:f>
        <x:v>13500</x:v>
      </x:c>
      <x:c r="K362" s="17" t="n">
        <x:f>I362+J362</x:f>
        <x:v>88500</x:v>
      </x:c>
    </x:row>
    <x:row r="363" ht="46" customHeight="1">
      <x:c r="A363" s="2" t="str">
        <x:v>Indicative size</x:v>
      </x:c>
      <x:c r="B363" s="2" t="str">
        <x:v>Medium-scale prospects</x:v>
      </x:c>
      <x:c r="C363" s="12" t="str">
        <x:v>Chennai</x:v>
      </x:c>
      <x:c r="D363" s="12" t="str">
        <x:v>MAIN-142</x:v>
      </x:c>
      <x:c r="E363" s="12" t="str">
        <x:v>Awfis - Sierra</x:v>
      </x:c>
      <x:c r="F363" s="11" t="n">
        <x:v>3</x:v>
      </x:c>
      <x:c r="G363" s="11" t="n">
        <x:v>3</x:v>
      </x:c>
      <x:c r="H363" s="11" t="n">
        <x:v>0</x:v>
      </x:c>
      <x:c r="I363" s="17" t="n">
        <x:f>INDEX('Costing'!$P$9:$P$492,MATCH(D363,'Costing'!$A$9:$A$492,0))</x:f>
        <x:v>45000</x:v>
      </x:c>
      <x:c r="J363" s="17" t="n">
        <x:f>ROUND(I363*'Costing'!$C$4,2)</x:f>
        <x:v>8100</x:v>
      </x:c>
      <x:c r="K363" s="17" t="n">
        <x:f>I363+J363</x:f>
        <x:v>53100</x:v>
      </x:c>
    </x:row>
    <x:row r="364" ht="46" customHeight="1">
      <x:c r="A364" s="2" t="str">
        <x:v>Indicative size</x:v>
      </x:c>
      <x:c r="B364" s="2" t="str">
        <x:v>Medium-scale prospects</x:v>
      </x:c>
      <x:c r="C364" s="12" t="str">
        <x:v>Chennai</x:v>
      </x:c>
      <x:c r="D364" s="12" t="str">
        <x:v>MAIN-148</x:v>
      </x:c>
      <x:c r="E364" s="12" t="str">
        <x:v>Kochar Globe Tech Park</x:v>
      </x:c>
      <x:c r="F364" s="11" t="n">
        <x:v>4</x:v>
      </x:c>
      <x:c r="G364" s="11" t="n">
        <x:v>4</x:v>
      </x:c>
      <x:c r="H364" s="11" t="n">
        <x:v>0</x:v>
      </x:c>
      <x:c r="I364" s="17" t="n">
        <x:f>INDEX('Costing'!$P$9:$P$492,MATCH(D364,'Costing'!$A$9:$A$492,0))</x:f>
        <x:v>80000</x:v>
      </x:c>
      <x:c r="J364" s="17" t="n">
        <x:f>ROUND(I364*'Costing'!$C$4,2)</x:f>
        <x:v>14400</x:v>
      </x:c>
      <x:c r="K364" s="17" t="n">
        <x:f>I364+J364</x:f>
        <x:v>94400</x:v>
      </x:c>
    </x:row>
    <x:row r="365" ht="46" customHeight="1">
      <x:c r="A365" s="2" t="str">
        <x:v>Indicative size</x:v>
      </x:c>
      <x:c r="B365" s="2" t="str">
        <x:v>Medium-scale prospects</x:v>
      </x:c>
      <x:c r="C365" s="12" t="str">
        <x:v>Chennai</x:v>
      </x:c>
      <x:c r="D365" s="12" t="str">
        <x:v>MAIN-149</x:v>
      </x:c>
      <x:c r="E365" s="12" t="str">
        <x:v>Kochar Globe Tech Park (Pod Screens)</x:v>
      </x:c>
      <x:c r="F365" s="11" t="n">
        <x:v>2</x:v>
      </x:c>
      <x:c r="G365" s="11" t="n">
        <x:v>2</x:v>
      </x:c>
      <x:c r="H365" s="11" t="n">
        <x:v>0</x:v>
      </x:c>
      <x:c r="I365" s="17" t="n">
        <x:f>INDEX('Costing'!$P$9:$P$492,MATCH(D365,'Costing'!$A$9:$A$492,0))</x:f>
        <x:v>40000</x:v>
      </x:c>
      <x:c r="J365" s="17" t="n">
        <x:f>ROUND(I365*'Costing'!$C$4,2)</x:f>
        <x:v>7200</x:v>
      </x:c>
      <x:c r="K365" s="17" t="n">
        <x:f>I365+J365</x:f>
        <x:v>47200</x:v>
      </x:c>
    </x:row>
    <x:row r="366" ht="46" customHeight="1">
      <x:c r="A366" s="2" t="str">
        <x:v>Indicative size</x:v>
      </x:c>
      <x:c r="B366" s="2" t="str">
        <x:v>Medium-scale prospects</x:v>
      </x:c>
      <x:c r="C366" s="12" t="str">
        <x:v>Chennai</x:v>
      </x:c>
      <x:c r="D366" s="12" t="str">
        <x:v>MAIN-150</x:v>
      </x:c>
      <x:c r="E366" s="12" t="str">
        <x:v>Millenia Business Park 2</x:v>
      </x:c>
      <x:c r="F366" s="11" t="n">
        <x:v>2</x:v>
      </x:c>
      <x:c r="G366" s="11" t="n">
        <x:v>2</x:v>
      </x:c>
      <x:c r="H366" s="11" t="n">
        <x:v>0</x:v>
      </x:c>
      <x:c r="I366" s="17" t="n">
        <x:f>INDEX('Costing'!$P$9:$P$492,MATCH(D366,'Costing'!$A$9:$A$492,0))</x:f>
        <x:v>40000</x:v>
      </x:c>
      <x:c r="J366" s="17" t="n">
        <x:f>ROUND(I366*'Costing'!$C$4,2)</x:f>
        <x:v>7200</x:v>
      </x:c>
      <x:c r="K366" s="17" t="n">
        <x:f>I366+J366</x:f>
        <x:v>47200</x:v>
      </x:c>
    </x:row>
    <x:row r="367" ht="46" customHeight="1">
      <x:c r="A367" s="2" t="str">
        <x:v>Indicative size</x:v>
      </x:c>
      <x:c r="B367" s="2" t="str">
        <x:v>Medium-scale prospects</x:v>
      </x:c>
      <x:c r="C367" s="12" t="str">
        <x:v>Chennai</x:v>
      </x:c>
      <x:c r="D367" s="12" t="str">
        <x:v>MAIN-151</x:v>
      </x:c>
      <x:c r="E367" s="12" t="str">
        <x:v>Nucleus - Kosmo One</x:v>
      </x:c>
      <x:c r="F367" s="11" t="n">
        <x:v>4</x:v>
      </x:c>
      <x:c r="G367" s="11" t="n">
        <x:v>4</x:v>
      </x:c>
      <x:c r="H367" s="11" t="n">
        <x:v>0</x:v>
      </x:c>
      <x:c r="I367" s="17" t="n">
        <x:f>INDEX('Costing'!$P$9:$P$492,MATCH(D367,'Costing'!$A$9:$A$492,0))</x:f>
        <x:v>160000</x:v>
      </x:c>
      <x:c r="J367" s="17" t="n">
        <x:f>ROUND(I367*'Costing'!$C$4,2)</x:f>
        <x:v>28800</x:v>
      </x:c>
      <x:c r="K367" s="17" t="n">
        <x:f>I367+J367</x:f>
        <x:v>188800</x:v>
      </x:c>
    </x:row>
    <x:row r="368" ht="46" customHeight="1">
      <x:c r="A368" s="2" t="str">
        <x:v>Indicative size</x:v>
      </x:c>
      <x:c r="B368" s="2" t="str">
        <x:v>Medium-scale prospects</x:v>
      </x:c>
      <x:c r="C368" s="12" t="str">
        <x:v>Chennai</x:v>
      </x:c>
      <x:c r="D368" s="12" t="str">
        <x:v>MAIN-152</x:v>
      </x:c>
      <x:c r="E368" s="12" t="str">
        <x:v>Olympia Cyberspace</x:v>
      </x:c>
      <x:c r="F368" s="11" t="n">
        <x:v>2</x:v>
      </x:c>
      <x:c r="G368" s="11" t="n">
        <x:v>2</x:v>
      </x:c>
      <x:c r="H368" s="11" t="n">
        <x:v>0</x:v>
      </x:c>
      <x:c r="I368" s="17" t="n">
        <x:f>INDEX('Costing'!$P$9:$P$492,MATCH(D368,'Costing'!$A$9:$A$492,0))</x:f>
        <x:v>40000</x:v>
      </x:c>
      <x:c r="J368" s="17" t="n">
        <x:f>ROUND(I368*'Costing'!$C$4,2)</x:f>
        <x:v>7200</x:v>
      </x:c>
      <x:c r="K368" s="17" t="n">
        <x:f>I368+J368</x:f>
        <x:v>47200</x:v>
      </x:c>
    </x:row>
    <x:row r="369" ht="46" customHeight="1">
      <x:c r="A369" s="2" t="str">
        <x:v>Indicative size</x:v>
      </x:c>
      <x:c r="B369" s="2" t="str">
        <x:v>Medium-scale prospects</x:v>
      </x:c>
      <x:c r="C369" s="12" t="str">
        <x:v>Chennai</x:v>
      </x:c>
      <x:c r="D369" s="12" t="str">
        <x:v>MAIN-159</x:v>
      </x:c>
      <x:c r="E369" s="12" t="str">
        <x:v>Wingspace - Coworking Space IN Perungudi</x:v>
      </x:c>
      <x:c r="F369" s="11" t="n">
        <x:v>1</x:v>
      </x:c>
      <x:c r="G369" s="11" t="n">
        <x:v>1</x:v>
      </x:c>
      <x:c r="H369" s="11" t="n">
        <x:v>0</x:v>
      </x:c>
      <x:c r="I369" s="17" t="n">
        <x:f>INDEX('Costing'!$P$9:$P$492,MATCH(D369,'Costing'!$A$9:$A$492,0))</x:f>
        <x:v>15000</x:v>
      </x:c>
      <x:c r="J369" s="17" t="n">
        <x:f>ROUND(I369*'Costing'!$C$4,2)</x:f>
        <x:v>2700</x:v>
      </x:c>
      <x:c r="K369" s="17" t="n">
        <x:f>I369+J369</x:f>
        <x:v>17700</x:v>
      </x:c>
    </x:row>
    <x:row r="370" ht="46" customHeight="1">
      <x:c r="A370" s="2" t="str">
        <x:v>Indicative size</x:v>
      </x:c>
      <x:c r="B370" s="2" t="str">
        <x:v>Medium-scale prospects</x:v>
      </x:c>
      <x:c r="C370" s="12" t="str">
        <x:v>Delhi NCR</x:v>
      </x:c>
      <x:c r="D370" s="12" t="str">
        <x:v>MAIN-162</x:v>
      </x:c>
      <x:c r="E370" s="12" t="str">
        <x:v>Awfis - Connaught Place</x:v>
      </x:c>
      <x:c r="F370" s="11" t="n">
        <x:v>2</x:v>
      </x:c>
      <x:c r="G370" s="11" t="n">
        <x:v>2</x:v>
      </x:c>
      <x:c r="H370" s="11" t="n">
        <x:v>0</x:v>
      </x:c>
      <x:c r="I370" s="17" t="n">
        <x:f>INDEX('Costing'!$P$9:$P$492,MATCH(D370,'Costing'!$A$9:$A$492,0))</x:f>
        <x:v>30000</x:v>
      </x:c>
      <x:c r="J370" s="17" t="n">
        <x:f>ROUND(I370*'Costing'!$C$4,2)</x:f>
        <x:v>5400</x:v>
      </x:c>
      <x:c r="K370" s="17" t="n">
        <x:f>I370+J370</x:f>
        <x:v>35400</x:v>
      </x:c>
    </x:row>
    <x:row r="371" ht="46" customHeight="1">
      <x:c r="A371" s="2" t="str">
        <x:v>Indicative size</x:v>
      </x:c>
      <x:c r="B371" s="2" t="str">
        <x:v>Medium-scale prospects</x:v>
      </x:c>
      <x:c r="C371" s="12" t="str">
        <x:v>Delhi NCR</x:v>
      </x:c>
      <x:c r="D371" s="12" t="str">
        <x:v>MAIN-181</x:v>
      </x:c>
      <x:c r="E371" s="12" t="str">
        <x:v>Awfis - Suncity Success Tower</x:v>
      </x:c>
      <x:c r="F371" s="11" t="n">
        <x:v>2</x:v>
      </x:c>
      <x:c r="G371" s="11" t="n">
        <x:v>2</x:v>
      </x:c>
      <x:c r="H371" s="11" t="n">
        <x:v>0</x:v>
      </x:c>
      <x:c r="I371" s="17" t="n">
        <x:f>INDEX('Costing'!$P$9:$P$492,MATCH(D371,'Costing'!$A$9:$A$492,0))</x:f>
        <x:v>30000</x:v>
      </x:c>
      <x:c r="J371" s="17" t="n">
        <x:f>ROUND(I371*'Costing'!$C$4,2)</x:f>
        <x:v>5400</x:v>
      </x:c>
      <x:c r="K371" s="17" t="n">
        <x:f>I371+J371</x:f>
        <x:v>35400</x:v>
      </x:c>
    </x:row>
    <x:row r="372" ht="46" customHeight="1">
      <x:c r="A372" s="2" t="str">
        <x:v>Indicative size</x:v>
      </x:c>
      <x:c r="B372" s="2" t="str">
        <x:v>Medium-scale prospects</x:v>
      </x:c>
      <x:c r="C372" s="12" t="str">
        <x:v>Delhi NCR</x:v>
      </x:c>
      <x:c r="D372" s="12" t="str">
        <x:v>MAIN-182</x:v>
      </x:c>
      <x:c r="E372" s="12" t="str">
        <x:v>Awfis - Unitech Cyber Park - 2</x:v>
      </x:c>
      <x:c r="F372" s="11" t="n">
        <x:v>2</x:v>
      </x:c>
      <x:c r="G372" s="11" t="n">
        <x:v>2</x:v>
      </x:c>
      <x:c r="H372" s="11" t="n">
        <x:v>0</x:v>
      </x:c>
      <x:c r="I372" s="17" t="n">
        <x:f>INDEX('Costing'!$P$9:$P$492,MATCH(D372,'Costing'!$A$9:$A$492,0))</x:f>
        <x:v>30000</x:v>
      </x:c>
      <x:c r="J372" s="17" t="n">
        <x:f>ROUND(I372*'Costing'!$C$4,2)</x:f>
        <x:v>5400</x:v>
      </x:c>
      <x:c r="K372" s="17" t="n">
        <x:f>I372+J372</x:f>
        <x:v>35400</x:v>
      </x:c>
    </x:row>
    <x:row r="373" ht="46" customHeight="1">
      <x:c r="A373" s="2" t="str">
        <x:v>Indicative size</x:v>
      </x:c>
      <x:c r="B373" s="2" t="str">
        <x:v>Medium-scale prospects</x:v>
      </x:c>
      <x:c r="C373" s="12" t="str">
        <x:v>Delhi NCR</x:v>
      </x:c>
      <x:c r="D373" s="12" t="str">
        <x:v>MAIN-183</x:v>
      </x:c>
      <x:c r="E373" s="12" t="str">
        <x:v>Centrum Plaza</x:v>
      </x:c>
      <x:c r="F373" s="11" t="n">
        <x:v>1</x:v>
      </x:c>
      <x:c r="G373" s="11" t="n">
        <x:v>1</x:v>
      </x:c>
      <x:c r="H373" s="11" t="n">
        <x:v>0</x:v>
      </x:c>
      <x:c r="I373" s="17" t="n">
        <x:f>INDEX('Costing'!$P$9:$P$492,MATCH(D373,'Costing'!$A$9:$A$492,0))</x:f>
        <x:v>15000</x:v>
      </x:c>
      <x:c r="J373" s="17" t="n">
        <x:f>ROUND(I373*'Costing'!$C$4,2)</x:f>
        <x:v>2700</x:v>
      </x:c>
      <x:c r="K373" s="17" t="n">
        <x:f>I373+J373</x:f>
        <x:v>17700</x:v>
      </x:c>
    </x:row>
    <x:row r="374" ht="46" customHeight="1">
      <x:c r="A374" s="2" t="str">
        <x:v>Indicative size</x:v>
      </x:c>
      <x:c r="B374" s="2" t="str">
        <x:v>Medium-scale prospects</x:v>
      </x:c>
      <x:c r="C374" s="12" t="str">
        <x:v>Delhi NCR</x:v>
      </x:c>
      <x:c r="D374" s="12" t="str">
        <x:v>MAIN-184</x:v>
      </x:c>
      <x:c r="E374" s="12" t="str">
        <x:v>Centrum Plaza</x:v>
      </x:c>
      <x:c r="F374" s="11" t="n">
        <x:v>3</x:v>
      </x:c>
      <x:c r="G374" s="11" t="n">
        <x:v>3</x:v>
      </x:c>
      <x:c r="H374" s="11" t="n">
        <x:v>0</x:v>
      </x:c>
      <x:c r="I374" s="17" t="n">
        <x:f>INDEX('Costing'!$P$9:$P$492,MATCH(D374,'Costing'!$A$9:$A$492,0))</x:f>
        <x:v>60000</x:v>
      </x:c>
      <x:c r="J374" s="17" t="n">
        <x:f>ROUND(I374*'Costing'!$C$4,2)</x:f>
        <x:v>10800</x:v>
      </x:c>
      <x:c r="K374" s="17" t="n">
        <x:f>I374+J374</x:f>
        <x:v>70800</x:v>
      </x:c>
    </x:row>
    <x:row r="375" ht="46" customHeight="1">
      <x:c r="A375" s="2" t="str">
        <x:v>Indicative size</x:v>
      </x:c>
      <x:c r="B375" s="2" t="str">
        <x:v>Medium-scale prospects</x:v>
      </x:c>
      <x:c r="C375" s="12" t="str">
        <x:v>Delhi NCR</x:v>
      </x:c>
      <x:c r="D375" s="12" t="str">
        <x:v>MAIN-166</x:v>
      </x:c>
      <x:c r="E375" s="12" t="str">
        <x:v>Corporate Park</x:v>
      </x:c>
      <x:c r="F375" s="11" t="n">
        <x:v>2</x:v>
      </x:c>
      <x:c r="G375" s="11" t="n">
        <x:v>2</x:v>
      </x:c>
      <x:c r="H375" s="11" t="n">
        <x:v>0</x:v>
      </x:c>
      <x:c r="I375" s="17" t="n">
        <x:f>INDEX('Costing'!$P$9:$P$492,MATCH(D375,'Costing'!$A$9:$A$492,0))</x:f>
        <x:v>40000</x:v>
      </x:c>
      <x:c r="J375" s="17" t="n">
        <x:f>ROUND(I375*'Costing'!$C$4,2)</x:f>
        <x:v>7200</x:v>
      </x:c>
      <x:c r="K375" s="17" t="n">
        <x:f>I375+J375</x:f>
        <x:v>47200</x:v>
      </x:c>
    </x:row>
    <x:row r="376" ht="46" customHeight="1">
      <x:c r="A376" s="2" t="str">
        <x:v>Indicative size</x:v>
      </x:c>
      <x:c r="B376" s="2" t="str">
        <x:v>Medium-scale prospects</x:v>
      </x:c>
      <x:c r="C376" s="12" t="str">
        <x:v>Delhi NCR</x:v>
      </x:c>
      <x:c r="D376" s="12" t="str">
        <x:v>MAIN-187</x:v>
      </x:c>
      <x:c r="E376" s="12" t="str">
        <x:v>DLF Downtown 4</x:v>
      </x:c>
      <x:c r="F376" s="11" t="n">
        <x:v>1</x:v>
      </x:c>
      <x:c r="G376" s="11" t="n">
        <x:v>1</x:v>
      </x:c>
      <x:c r="H376" s="11" t="n">
        <x:v>0</x:v>
      </x:c>
      <x:c r="I376" s="17" t="n">
        <x:f>INDEX('Costing'!$P$9:$P$492,MATCH(D376,'Costing'!$A$9:$A$492,0))</x:f>
        <x:v>40000</x:v>
      </x:c>
      <x:c r="J376" s="17" t="n">
        <x:f>ROUND(I376*'Costing'!$C$4,2)</x:f>
        <x:v>7200</x:v>
      </x:c>
      <x:c r="K376" s="17" t="n">
        <x:f>I376+J376</x:f>
        <x:v>47200</x:v>
      </x:c>
    </x:row>
    <x:row r="377" ht="46" customHeight="1">
      <x:c r="A377" s="2" t="str">
        <x:v>Indicative size</x:v>
      </x:c>
      <x:c r="B377" s="2" t="str">
        <x:v>Medium-scale prospects</x:v>
      </x:c>
      <x:c r="C377" s="12" t="str">
        <x:v>Delhi NCR</x:v>
      </x:c>
      <x:c r="D377" s="12" t="str">
        <x:v>MAIN-194</x:v>
      </x:c>
      <x:c r="E377" s="12" t="str">
        <x:v>India Accelerator Coworking - MGF Metropolis Mall</x:v>
      </x:c>
      <x:c r="F377" s="11" t="n">
        <x:v>6</x:v>
      </x:c>
      <x:c r="G377" s="11" t="n">
        <x:v>6</x:v>
      </x:c>
      <x:c r="H377" s="11" t="n">
        <x:v>0</x:v>
      </x:c>
      <x:c r="I377" s="17" t="n">
        <x:f>INDEX('Costing'!$P$9:$P$492,MATCH(D377,'Costing'!$A$9:$A$492,0))</x:f>
        <x:v>240000</x:v>
      </x:c>
      <x:c r="J377" s="17" t="n">
        <x:f>ROUND(I377*'Costing'!$C$4,2)</x:f>
        <x:v>43200</x:v>
      </x:c>
      <x:c r="K377" s="17" t="n">
        <x:f>I377+J377</x:f>
        <x:v>283200</x:v>
      </x:c>
    </x:row>
    <x:row r="378" ht="46" customHeight="1">
      <x:c r="A378" s="2" t="str">
        <x:v>Indicative size</x:v>
      </x:c>
      <x:c r="B378" s="2" t="str">
        <x:v>Medium-scale prospects</x:v>
      </x:c>
      <x:c r="C378" s="12" t="str">
        <x:v>Delhi NCR</x:v>
      </x:c>
      <x:c r="D378" s="12" t="str">
        <x:v>MAIN-373</x:v>
      </x:c>
      <x:c r="E378" s="12" t="str">
        <x:v>India Accelerator Coworking - The Iconic Corenthum</x:v>
      </x:c>
      <x:c r="F378" s="11" t="n">
        <x:v>6</x:v>
      </x:c>
      <x:c r="G378" s="11" t="n">
        <x:v>6</x:v>
      </x:c>
      <x:c r="H378" s="11" t="n">
        <x:v>0</x:v>
      </x:c>
      <x:c r="I378" s="17" t="n">
        <x:f>INDEX('Costing'!$P$9:$P$492,MATCH(D378,'Costing'!$A$9:$A$492,0))</x:f>
        <x:v>240000</x:v>
      </x:c>
      <x:c r="J378" s="17" t="n">
        <x:f>ROUND(I378*'Costing'!$C$4,2)</x:f>
        <x:v>43200</x:v>
      </x:c>
      <x:c r="K378" s="17" t="n">
        <x:f>I378+J378</x:f>
        <x:v>283200</x:v>
      </x:c>
    </x:row>
    <x:row r="379" ht="46" customHeight="1">
      <x:c r="A379" s="2" t="str">
        <x:v>Indicative size</x:v>
      </x:c>
      <x:c r="B379" s="2" t="str">
        <x:v>Medium-scale prospects</x:v>
      </x:c>
      <x:c r="C379" s="12" t="str">
        <x:v>Delhi NCR</x:v>
      </x:c>
      <x:c r="D379" s="12" t="str">
        <x:v>MAIN-195</x:v>
      </x:c>
      <x:c r="E379" s="12" t="str">
        <x:v>India Accelerator Coworking - Vatika Triangle</x:v>
      </x:c>
      <x:c r="F379" s="11" t="n">
        <x:v>3</x:v>
      </x:c>
      <x:c r="G379" s="11" t="n">
        <x:v>3</x:v>
      </x:c>
      <x:c r="H379" s="11" t="n">
        <x:v>0</x:v>
      </x:c>
      <x:c r="I379" s="17" t="n">
        <x:f>INDEX('Costing'!$P$9:$P$492,MATCH(D379,'Costing'!$A$9:$A$492,0))</x:f>
        <x:v>60000</x:v>
      </x:c>
      <x:c r="J379" s="17" t="n">
        <x:f>ROUND(I379*'Costing'!$C$4,2)</x:f>
        <x:v>10800</x:v>
      </x:c>
      <x:c r="K379" s="17" t="n">
        <x:f>I379+J379</x:f>
        <x:v>70800</x:v>
      </x:c>
    </x:row>
    <x:row r="380" ht="46" customHeight="1">
      <x:c r="A380" s="2" t="str">
        <x:v>Indicative size</x:v>
      </x:c>
      <x:c r="B380" s="2" t="str">
        <x:v>Medium-scale prospects</x:v>
      </x:c>
      <x:c r="C380" s="12" t="str">
        <x:v>Delhi NCR</x:v>
      </x:c>
      <x:c r="D380" s="12" t="str">
        <x:v>MAIN-169</x:v>
      </x:c>
      <x:c r="E380" s="12" t="str">
        <x:v>Logix Cyber Park</x:v>
      </x:c>
      <x:c r="F380" s="11" t="n">
        <x:v>15</x:v>
      </x:c>
      <x:c r="G380" s="11" t="n">
        <x:v>15</x:v>
      </x:c>
      <x:c r="H380" s="11" t="n">
        <x:v>0</x:v>
      </x:c>
      <x:c r="I380" s="17" t="n">
        <x:f>INDEX('Costing'!$P$9:$P$492,MATCH(D380,'Costing'!$A$9:$A$492,0))</x:f>
        <x:v>300000</x:v>
      </x:c>
      <x:c r="J380" s="17" t="n">
        <x:f>ROUND(I380*'Costing'!$C$4,2)</x:f>
        <x:v>54000</x:v>
      </x:c>
      <x:c r="K380" s="17" t="n">
        <x:f>I380+J380</x:f>
        <x:v>354000</x:v>
      </x:c>
    </x:row>
    <x:row r="381" ht="46" customHeight="1">
      <x:c r="A381" s="2" t="str">
        <x:v>Indicative size</x:v>
      </x:c>
      <x:c r="B381" s="2" t="str">
        <x:v>Medium-scale prospects</x:v>
      </x:c>
      <x:c r="C381" s="12" t="str">
        <x:v>Delhi NCR</x:v>
      </x:c>
      <x:c r="D381" s="12" t="str">
        <x:v>MAIN-199</x:v>
      </x:c>
      <x:c r="E381" s="12" t="str">
        <x:v>Satya The Hive</x:v>
      </x:c>
      <x:c r="F381" s="11" t="n">
        <x:v>1</x:v>
      </x:c>
      <x:c r="G381" s="11" t="n">
        <x:v>1</x:v>
      </x:c>
      <x:c r="H381" s="11" t="n">
        <x:v>0</x:v>
      </x:c>
      <x:c r="I381" s="17" t="n">
        <x:f>INDEX('Costing'!$P$9:$P$492,MATCH(D381,'Costing'!$A$9:$A$492,0))</x:f>
        <x:v>40000</x:v>
      </x:c>
      <x:c r="J381" s="17" t="n">
        <x:f>ROUND(I381*'Costing'!$C$4,2)</x:f>
        <x:v>7200</x:v>
      </x:c>
      <x:c r="K381" s="17" t="n">
        <x:f>I381+J381</x:f>
        <x:v>47200</x:v>
      </x:c>
    </x:row>
    <x:row r="382" ht="46" customHeight="1">
      <x:c r="A382" s="2" t="str">
        <x:v>Indicative size</x:v>
      </x:c>
      <x:c r="B382" s="2" t="str">
        <x:v>Medium-scale prospects</x:v>
      </x:c>
      <x:c r="C382" s="12" t="str">
        <x:v>Delhi NCR</x:v>
      </x:c>
      <x:c r="D382" s="12" t="str">
        <x:v>MAIN-200</x:v>
      </x:c>
      <x:c r="E382" s="12" t="str">
        <x:v>Satya The Hive {IE}</x:v>
      </x:c>
      <x:c r="F382" s="11" t="n">
        <x:v>7</x:v>
      </x:c>
      <x:c r="G382" s="11" t="n">
        <x:v>7</x:v>
      </x:c>
      <x:c r="H382" s="11" t="n">
        <x:v>0</x:v>
      </x:c>
      <x:c r="I382" s="17" t="n">
        <x:f>INDEX('Costing'!$P$9:$P$492,MATCH(D382,'Costing'!$A$9:$A$492,0))</x:f>
        <x:v>105000</x:v>
      </x:c>
      <x:c r="J382" s="17" t="n">
        <x:f>ROUND(I382*'Costing'!$C$4,2)</x:f>
        <x:v>18900</x:v>
      </x:c>
      <x:c r="K382" s="17" t="n">
        <x:f>I382+J382</x:f>
        <x:v>123900</x:v>
      </x:c>
    </x:row>
    <x:row r="383" ht="46" customHeight="1">
      <x:c r="A383" s="2" t="str">
        <x:v>Indicative size</x:v>
      </x:c>
      <x:c r="B383" s="2" t="str">
        <x:v>Medium-scale prospects</x:v>
      </x:c>
      <x:c r="C383" s="12" t="str">
        <x:v>Delhi NCR</x:v>
      </x:c>
      <x:c r="D383" s="12" t="str">
        <x:v>MAIN-202</x:v>
      </x:c>
      <x:c r="E383" s="12" t="str">
        <x:v>Unitech - Business Zone</x:v>
      </x:c>
      <x:c r="F383" s="11" t="n">
        <x:v>4</x:v>
      </x:c>
      <x:c r="G383" s="11" t="n">
        <x:v>4</x:v>
      </x:c>
      <x:c r="H383" s="11" t="n">
        <x:v>0</x:v>
      </x:c>
      <x:c r="I383" s="17" t="n">
        <x:f>INDEX('Costing'!$P$9:$P$492,MATCH(D383,'Costing'!$A$9:$A$492,0))</x:f>
        <x:v>160000</x:v>
      </x:c>
      <x:c r="J383" s="17" t="n">
        <x:f>ROUND(I383*'Costing'!$C$4,2)</x:f>
        <x:v>28800</x:v>
      </x:c>
      <x:c r="K383" s="17" t="n">
        <x:f>I383+J383</x:f>
        <x:v>188800</x:v>
      </x:c>
    </x:row>
    <x:row r="384" ht="46" customHeight="1">
      <x:c r="A384" s="2" t="str">
        <x:v>Indicative size</x:v>
      </x:c>
      <x:c r="B384" s="2" t="str">
        <x:v>Medium-scale prospects</x:v>
      </x:c>
      <x:c r="C384" s="12" t="str">
        <x:v>Delhi NCR</x:v>
      </x:c>
      <x:c r="D384" s="12" t="str">
        <x:v>MAIN-203</x:v>
      </x:c>
      <x:c r="E384" s="12" t="str">
        <x:v>Unitech - Commercial Tower 2</x:v>
      </x:c>
      <x:c r="F384" s="11" t="n">
        <x:v>1</x:v>
      </x:c>
      <x:c r="G384" s="11" t="n">
        <x:v>1</x:v>
      </x:c>
      <x:c r="H384" s="11" t="n">
        <x:v>0</x:v>
      </x:c>
      <x:c r="I384" s="17" t="n">
        <x:f>INDEX('Costing'!$P$9:$P$492,MATCH(D384,'Costing'!$A$9:$A$492,0))</x:f>
        <x:v>40000</x:v>
      </x:c>
      <x:c r="J384" s="17" t="n">
        <x:f>ROUND(I384*'Costing'!$C$4,2)</x:f>
        <x:v>7200</x:v>
      </x:c>
      <x:c r="K384" s="17" t="n">
        <x:f>I384+J384</x:f>
        <x:v>47200</x:v>
      </x:c>
    </x:row>
    <x:row r="385" ht="46" customHeight="1">
      <x:c r="A385" s="2" t="str">
        <x:v>Indicative size</x:v>
      </x:c>
      <x:c r="B385" s="2" t="str">
        <x:v>Medium-scale prospects</x:v>
      </x:c>
      <x:c r="C385" s="12" t="str">
        <x:v>Delhi NCR</x:v>
      </x:c>
      <x:c r="D385" s="12" t="str">
        <x:v>MAIN-206</x:v>
      </x:c>
      <x:c r="E385" s="12" t="str">
        <x:v>Unitech - Global Business Park</x:v>
      </x:c>
      <x:c r="F385" s="11" t="n">
        <x:v>3</x:v>
      </x:c>
      <x:c r="G385" s="11" t="n">
        <x:v>3</x:v>
      </x:c>
      <x:c r="H385" s="11" t="n">
        <x:v>0</x:v>
      </x:c>
      <x:c r="I385" s="17" t="n">
        <x:f>INDEX('Costing'!$P$9:$P$492,MATCH(D385,'Costing'!$A$9:$A$492,0))</x:f>
        <x:v>120000</x:v>
      </x:c>
      <x:c r="J385" s="17" t="n">
        <x:f>ROUND(I385*'Costing'!$C$4,2)</x:f>
        <x:v>21600</x:v>
      </x:c>
      <x:c r="K385" s="17" t="n">
        <x:f>I385+J385</x:f>
        <x:v>141600</x:v>
      </x:c>
    </x:row>
    <x:row r="386" ht="46" customHeight="1">
      <x:c r="A386" s="2" t="str">
        <x:v>Indicative size</x:v>
      </x:c>
      <x:c r="B386" s="2" t="str">
        <x:v>Medium-scale prospects</x:v>
      </x:c>
      <x:c r="C386" s="12" t="str">
        <x:v>Delhi NCR</x:v>
      </x:c>
      <x:c r="D386" s="12" t="str">
        <x:v>MAIN-172</x:v>
      </x:c>
      <x:c r="E386" s="12" t="str">
        <x:v>Workflow by Oyo - Aerocity</x:v>
      </x:c>
      <x:c r="F386" s="11" t="n">
        <x:v>3</x:v>
      </x:c>
      <x:c r="G386" s="11" t="n">
        <x:v>3</x:v>
      </x:c>
      <x:c r="H386" s="11" t="n">
        <x:v>0</x:v>
      </x:c>
      <x:c r="I386" s="17" t="n">
        <x:f>INDEX('Costing'!$P$9:$P$492,MATCH(D386,'Costing'!$A$9:$A$492,0))</x:f>
        <x:v>45000</x:v>
      </x:c>
      <x:c r="J386" s="17" t="n">
        <x:f>ROUND(I386*'Costing'!$C$4,2)</x:f>
        <x:v>8100</x:v>
      </x:c>
      <x:c r="K386" s="17" t="n">
        <x:f>I386+J386</x:f>
        <x:v>53100</x:v>
      </x:c>
    </x:row>
    <x:row r="387" ht="46" customHeight="1">
      <x:c r="A387" s="2" t="str">
        <x:v>Indicative size</x:v>
      </x:c>
      <x:c r="B387" s="2" t="str">
        <x:v>Medium-scale prospects</x:v>
      </x:c>
      <x:c r="C387" s="12" t="str">
        <x:v>Delhi NCR</x:v>
      </x:c>
      <x:c r="D387" s="12" t="str">
        <x:v>MAIN-175</x:v>
      </x:c>
      <x:c r="E387" s="12" t="str">
        <x:v>Workflow by Oyo - Old Fort Saket</x:v>
      </x:c>
      <x:c r="F387" s="11" t="n">
        <x:v>1</x:v>
      </x:c>
      <x:c r="G387" s="11" t="n">
        <x:v>1</x:v>
      </x:c>
      <x:c r="H387" s="11" t="n">
        <x:v>0</x:v>
      </x:c>
      <x:c r="I387" s="17" t="n">
        <x:f>INDEX('Costing'!$P$9:$P$492,MATCH(D387,'Costing'!$A$9:$A$492,0))</x:f>
        <x:v>15000</x:v>
      </x:c>
      <x:c r="J387" s="17" t="n">
        <x:f>ROUND(I387*'Costing'!$C$4,2)</x:f>
        <x:v>2700</x:v>
      </x:c>
      <x:c r="K387" s="17" t="n">
        <x:f>I387+J387</x:f>
        <x:v>17700</x:v>
      </x:c>
    </x:row>
    <x:row r="388" ht="46" customHeight="1">
      <x:c r="A388" s="2" t="str">
        <x:v>Indicative size</x:v>
      </x:c>
      <x:c r="B388" s="2" t="str">
        <x:v>Medium-scale prospects</x:v>
      </x:c>
      <x:c r="C388" s="12" t="str">
        <x:v>Delhi NCR</x:v>
      </x:c>
      <x:c r="D388" s="12" t="str">
        <x:v>MAIN-378</x:v>
      </x:c>
      <x:c r="E388" s="12" t="str">
        <x:v>World Trade Tower</x:v>
      </x:c>
      <x:c r="F388" s="11" t="n">
        <x:v>13</x:v>
      </x:c>
      <x:c r="G388" s="11" t="n">
        <x:v>13</x:v>
      </x:c>
      <x:c r="H388" s="11" t="n">
        <x:v>0</x:v>
      </x:c>
      <x:c r="I388" s="17" t="n">
        <x:f>INDEX('Costing'!$P$9:$P$492,MATCH(D388,'Costing'!$A$9:$A$492,0))</x:f>
        <x:v>260000</x:v>
      </x:c>
      <x:c r="J388" s="17" t="n">
        <x:f>ROUND(I388*'Costing'!$C$4,2)</x:f>
        <x:v>46800</x:v>
      </x:c>
      <x:c r="K388" s="17" t="n">
        <x:f>I388+J388</x:f>
        <x:v>306800</x:v>
      </x:c>
    </x:row>
    <x:row r="389" ht="46" customHeight="1">
      <x:c r="A389" s="2" t="str">
        <x:v>Indicative size</x:v>
      </x:c>
      <x:c r="B389" s="2" t="str">
        <x:v>Medium-scale prospects</x:v>
      </x:c>
      <x:c r="C389" s="12" t="str">
        <x:v>Hyderabad</x:v>
      </x:c>
      <x:c r="D389" s="12" t="str">
        <x:v>MAIN-216</x:v>
      </x:c>
      <x:c r="E389" s="12" t="str">
        <x:v>Awfis - DSL Abacus IT Park</x:v>
      </x:c>
      <x:c r="F389" s="11" t="n">
        <x:v>2</x:v>
      </x:c>
      <x:c r="G389" s="11" t="n">
        <x:v>2</x:v>
      </x:c>
      <x:c r="H389" s="11" t="n">
        <x:v>0</x:v>
      </x:c>
      <x:c r="I389" s="17" t="n">
        <x:f>INDEX('Costing'!$P$9:$P$492,MATCH(D389,'Costing'!$A$9:$A$492,0))</x:f>
        <x:v>30000</x:v>
      </x:c>
      <x:c r="J389" s="17" t="n">
        <x:f>ROUND(I389*'Costing'!$C$4,2)</x:f>
        <x:v>5400</x:v>
      </x:c>
      <x:c r="K389" s="17" t="n">
        <x:f>I389+J389</x:f>
        <x:v>35400</x:v>
      </x:c>
    </x:row>
    <x:row r="390" ht="46" customHeight="1">
      <x:c r="A390" s="2" t="str">
        <x:v>Indicative size</x:v>
      </x:c>
      <x:c r="B390" s="2" t="str">
        <x:v>Medium-scale prospects</x:v>
      </x:c>
      <x:c r="C390" s="12" t="str">
        <x:v>Hyderabad</x:v>
      </x:c>
      <x:c r="D390" s="12" t="str">
        <x:v>MAIN-218</x:v>
      </x:c>
      <x:c r="E390" s="12" t="str">
        <x:v>Awfis - Hitech City 4th</x:v>
      </x:c>
      <x:c r="F390" s="11" t="n">
        <x:v>3</x:v>
      </x:c>
      <x:c r="G390" s="11" t="n">
        <x:v>3</x:v>
      </x:c>
      <x:c r="H390" s="11" t="n">
        <x:v>0</x:v>
      </x:c>
      <x:c r="I390" s="17" t="n">
        <x:f>INDEX('Costing'!$P$9:$P$492,MATCH(D390,'Costing'!$A$9:$A$492,0))</x:f>
        <x:v>45000</x:v>
      </x:c>
      <x:c r="J390" s="17" t="n">
        <x:f>ROUND(I390*'Costing'!$C$4,2)</x:f>
        <x:v>8100</x:v>
      </x:c>
      <x:c r="K390" s="17" t="n">
        <x:f>I390+J390</x:f>
        <x:v>53100</x:v>
      </x:c>
    </x:row>
    <x:row r="391" ht="46" customHeight="1">
      <x:c r="A391" s="2" t="str">
        <x:v>Indicative size</x:v>
      </x:c>
      <x:c r="B391" s="2" t="str">
        <x:v>Medium-scale prospects</x:v>
      </x:c>
      <x:c r="C391" s="12" t="str">
        <x:v>Hyderabad</x:v>
      </x:c>
      <x:c r="D391" s="12" t="str">
        <x:v>MAIN-219</x:v>
      </x:c>
      <x:c r="E391" s="12" t="str">
        <x:v>Awfis - Hitech City 6th</x:v>
      </x:c>
      <x:c r="F391" s="11" t="n">
        <x:v>2</x:v>
      </x:c>
      <x:c r="G391" s="11" t="n">
        <x:v>2</x:v>
      </x:c>
      <x:c r="H391" s="11" t="n">
        <x:v>0</x:v>
      </x:c>
      <x:c r="I391" s="17" t="n">
        <x:f>INDEX('Costing'!$P$9:$P$492,MATCH(D391,'Costing'!$A$9:$A$492,0))</x:f>
        <x:v>30000</x:v>
      </x:c>
      <x:c r="J391" s="17" t="n">
        <x:f>ROUND(I391*'Costing'!$C$4,2)</x:f>
        <x:v>5400</x:v>
      </x:c>
      <x:c r="K391" s="17" t="n">
        <x:f>I391+J391</x:f>
        <x:v>35400</x:v>
      </x:c>
    </x:row>
    <x:row r="392" ht="46" customHeight="1">
      <x:c r="A392" s="2" t="str">
        <x:v>Indicative size</x:v>
      </x:c>
      <x:c r="B392" s="2" t="str">
        <x:v>Medium-scale prospects</x:v>
      </x:c>
      <x:c r="C392" s="12" t="str">
        <x:v>Hyderabad</x:v>
      </x:c>
      <x:c r="D392" s="12" t="str">
        <x:v>MAIN-221</x:v>
      </x:c>
      <x:c r="E392" s="12" t="str">
        <x:v>Awfis - Oyster Complex</x:v>
      </x:c>
      <x:c r="F392" s="11" t="n">
        <x:v>3</x:v>
      </x:c>
      <x:c r="G392" s="11" t="n">
        <x:v>3</x:v>
      </x:c>
      <x:c r="H392" s="11" t="n">
        <x:v>0</x:v>
      </x:c>
      <x:c r="I392" s="17" t="n">
        <x:f>INDEX('Costing'!$P$9:$P$492,MATCH(D392,'Costing'!$A$9:$A$492,0))</x:f>
        <x:v>45000</x:v>
      </x:c>
      <x:c r="J392" s="17" t="n">
        <x:f>ROUND(I392*'Costing'!$C$4,2)</x:f>
        <x:v>8100</x:v>
      </x:c>
      <x:c r="K392" s="17" t="n">
        <x:f>I392+J392</x:f>
        <x:v>53100</x:v>
      </x:c>
    </x:row>
    <x:row r="393" ht="46" customHeight="1">
      <x:c r="A393" s="2" t="str">
        <x:v>Indicative size</x:v>
      </x:c>
      <x:c r="B393" s="2" t="str">
        <x:v>Medium-scale prospects</x:v>
      </x:c>
      <x:c r="C393" s="12" t="str">
        <x:v>Hyderabad</x:v>
      </x:c>
      <x:c r="D393" s="12" t="str">
        <x:v>MAIN-226</x:v>
      </x:c>
      <x:c r="E393" s="12" t="str">
        <x:v>CIE Office Space</x:v>
      </x:c>
      <x:c r="F393" s="11" t="n">
        <x:v>4</x:v>
      </x:c>
      <x:c r="G393" s="11" t="n">
        <x:v>4</x:v>
      </x:c>
      <x:c r="H393" s="11" t="n">
        <x:v>0</x:v>
      </x:c>
      <x:c r="I393" s="17" t="n">
        <x:f>INDEX('Costing'!$P$9:$P$492,MATCH(D393,'Costing'!$A$9:$A$492,0))</x:f>
        <x:v>60000</x:v>
      </x:c>
      <x:c r="J393" s="17" t="n">
        <x:f>ROUND(I393*'Costing'!$C$4,2)</x:f>
        <x:v>10800</x:v>
      </x:c>
      <x:c r="K393" s="17" t="n">
        <x:f>I393+J393</x:f>
        <x:v>70800</x:v>
      </x:c>
    </x:row>
    <x:row r="394" ht="46" customHeight="1">
      <x:c r="A394" s="2" t="str">
        <x:v>Indicative size</x:v>
      </x:c>
      <x:c r="B394" s="2" t="str">
        <x:v>Medium-scale prospects</x:v>
      </x:c>
      <x:c r="C394" s="12" t="str">
        <x:v>Hyderabad</x:v>
      </x:c>
      <x:c r="D394" s="12" t="str">
        <x:v>MAIN-244</x:v>
      </x:c>
      <x:c r="E394" s="12" t="str">
        <x:v>Oyo Workspace - Hitech</x:v>
      </x:c>
      <x:c r="F394" s="11" t="n">
        <x:v>2</x:v>
      </x:c>
      <x:c r="G394" s="11" t="n">
        <x:v>2</x:v>
      </x:c>
      <x:c r="H394" s="11" t="n">
        <x:v>0</x:v>
      </x:c>
      <x:c r="I394" s="17" t="n">
        <x:f>INDEX('Costing'!$P$9:$P$492,MATCH(D394,'Costing'!$A$9:$A$492,0))</x:f>
        <x:v>30000</x:v>
      </x:c>
      <x:c r="J394" s="17" t="n">
        <x:f>ROUND(I394*'Costing'!$C$4,2)</x:f>
        <x:v>5400</x:v>
      </x:c>
      <x:c r="K394" s="17" t="n">
        <x:f>I394+J394</x:f>
        <x:v>35400</x:v>
      </x:c>
    </x:row>
    <x:row r="395" ht="46" customHeight="1">
      <x:c r="A395" s="2" t="str">
        <x:v>Indicative size</x:v>
      </x:c>
      <x:c r="B395" s="2" t="str">
        <x:v>Medium-scale prospects</x:v>
      </x:c>
      <x:c r="C395" s="12" t="str">
        <x:v>Hyderabad</x:v>
      </x:c>
      <x:c r="D395" s="12" t="str">
        <x:v>MAIN-257</x:v>
      </x:c>
      <x:c r="E395" s="12" t="str">
        <x:v>Symbyont Smart Space Aurobindo Orbit</x:v>
      </x:c>
      <x:c r="F395" s="11" t="n">
        <x:v>2</x:v>
      </x:c>
      <x:c r="G395" s="11" t="n">
        <x:v>2</x:v>
      </x:c>
      <x:c r="H395" s="11" t="n">
        <x:v>0</x:v>
      </x:c>
      <x:c r="I395" s="17" t="n">
        <x:f>INDEX('Costing'!$P$9:$P$492,MATCH(D395,'Costing'!$A$9:$A$492,0))</x:f>
        <x:v>40000</x:v>
      </x:c>
      <x:c r="J395" s="17" t="n">
        <x:f>ROUND(I395*'Costing'!$C$4,2)</x:f>
        <x:v>7200</x:v>
      </x:c>
      <x:c r="K395" s="17" t="n">
        <x:f>I395+J395</x:f>
        <x:v>47200</x:v>
      </x:c>
    </x:row>
    <x:row r="396" ht="46" customHeight="1">
      <x:c r="A396" s="2" t="str">
        <x:v>Indicative size</x:v>
      </x:c>
      <x:c r="B396" s="2" t="str">
        <x:v>Medium-scale prospects</x:v>
      </x:c>
      <x:c r="C396" s="12" t="str">
        <x:v>Hyderabad</x:v>
      </x:c>
      <x:c r="D396" s="12" t="str">
        <x:v>MAIN-258</x:v>
      </x:c>
      <x:c r="E396" s="12" t="str">
        <x:v>Symbyont Smart Space Dallas Centre</x:v>
      </x:c>
      <x:c r="F396" s="11" t="n">
        <x:v>5</x:v>
      </x:c>
      <x:c r="G396" s="11" t="n">
        <x:v>5</x:v>
      </x:c>
      <x:c r="H396" s="11" t="n">
        <x:v>0</x:v>
      </x:c>
      <x:c r="I396" s="17" t="n">
        <x:f>INDEX('Costing'!$P$9:$P$492,MATCH(D396,'Costing'!$A$9:$A$492,0))</x:f>
        <x:v>200000</x:v>
      </x:c>
      <x:c r="J396" s="17" t="n">
        <x:f>ROUND(I396*'Costing'!$C$4,2)</x:f>
        <x:v>36000</x:v>
      </x:c>
      <x:c r="K396" s="17" t="n">
        <x:f>I396+J396</x:f>
        <x:v>236000</x:v>
      </x:c>
    </x:row>
    <x:row r="397" ht="46" customHeight="1">
      <x:c r="A397" s="2" t="str">
        <x:v>Indicative size</x:v>
      </x:c>
      <x:c r="B397" s="2" t="str">
        <x:v>Medium-scale prospects</x:v>
      </x:c>
      <x:c r="C397" s="12" t="str">
        <x:v>Hyderabad</x:v>
      </x:c>
      <x:c r="D397" s="12" t="str">
        <x:v>MAIN-262</x:v>
      </x:c>
      <x:c r="E397" s="12" t="str">
        <x:v>Wework - Krishe Emerald</x:v>
      </x:c>
      <x:c r="F397" s="11" t="n">
        <x:v>9</x:v>
      </x:c>
      <x:c r="G397" s="11" t="n">
        <x:v>9</x:v>
      </x:c>
      <x:c r="H397" s="11" t="n">
        <x:v>0</x:v>
      </x:c>
      <x:c r="I397" s="17" t="n">
        <x:f>INDEX('Costing'!$P$9:$P$492,MATCH(D397,'Costing'!$A$9:$A$492,0))</x:f>
        <x:v>225000</x:v>
      </x:c>
      <x:c r="J397" s="17" t="n">
        <x:f>ROUND(I397*'Costing'!$C$4,2)</x:f>
        <x:v>40500</x:v>
      </x:c>
      <x:c r="K397" s="17" t="n">
        <x:f>I397+J397</x:f>
        <x:v>265500</x:v>
      </x:c>
    </x:row>
    <x:row r="398" ht="46" customHeight="1">
      <x:c r="A398" s="2" t="str">
        <x:v>Indicative size</x:v>
      </x:c>
      <x:c r="B398" s="2" t="str">
        <x:v>Medium-scale prospects</x:v>
      </x:c>
      <x:c r="C398" s="12" t="str">
        <x:v>Indore</x:v>
      </x:c>
      <x:c r="D398" s="12" t="str">
        <x:v>MAIN-266</x:v>
      </x:c>
      <x:c r="E398" s="12" t="str">
        <x:v>Airen Heights</x:v>
      </x:c>
      <x:c r="F398" s="11" t="n">
        <x:v>1</x:v>
      </x:c>
      <x:c r="G398" s="11" t="n">
        <x:v>1</x:v>
      </x:c>
      <x:c r="H398" s="11" t="n">
        <x:v>0</x:v>
      </x:c>
      <x:c r="I398" s="17" t="n">
        <x:f>INDEX('Costing'!$P$9:$P$492,MATCH(D398,'Costing'!$A$9:$A$492,0))</x:f>
        <x:v>20000</x:v>
      </x:c>
      <x:c r="J398" s="17" t="n">
        <x:f>ROUND(I398*'Costing'!$C$4,2)</x:f>
        <x:v>3600</x:v>
      </x:c>
      <x:c r="K398" s="17" t="n">
        <x:f>I398+J398</x:f>
        <x:v>23600</x:v>
      </x:c>
    </x:row>
    <x:row r="399" ht="46" customHeight="1">
      <x:c r="A399" s="2" t="str">
        <x:v>Indicative size</x:v>
      </x:c>
      <x:c r="B399" s="2" t="str">
        <x:v>Medium-scale prospects</x:v>
      </x:c>
      <x:c r="C399" s="12" t="str">
        <x:v>Indore</x:v>
      </x:c>
      <x:c r="D399" s="12" t="str">
        <x:v>MAIN-267</x:v>
      </x:c>
      <x:c r="E399" s="12" t="str">
        <x:v>Apollo Gold Plaza</x:v>
      </x:c>
      <x:c r="F399" s="11" t="n">
        <x:v>2</x:v>
      </x:c>
      <x:c r="G399" s="11" t="n">
        <x:v>2</x:v>
      </x:c>
      <x:c r="H399" s="11" t="n">
        <x:v>0</x:v>
      </x:c>
      <x:c r="I399" s="17" t="n">
        <x:f>INDEX('Costing'!$P$9:$P$492,MATCH(D399,'Costing'!$A$9:$A$492,0))</x:f>
        <x:v>40000</x:v>
      </x:c>
      <x:c r="J399" s="17" t="n">
        <x:f>ROUND(I399*'Costing'!$C$4,2)</x:f>
        <x:v>7200</x:v>
      </x:c>
      <x:c r="K399" s="17" t="n">
        <x:f>I399+J399</x:f>
        <x:v>47200</x:v>
      </x:c>
    </x:row>
    <x:row r="400" ht="46" customHeight="1">
      <x:c r="A400" s="2" t="str">
        <x:v>Indicative size</x:v>
      </x:c>
      <x:c r="B400" s="2" t="str">
        <x:v>Medium-scale prospects</x:v>
      </x:c>
      <x:c r="C400" s="12" t="str">
        <x:v>Indore</x:v>
      </x:c>
      <x:c r="D400" s="12" t="str">
        <x:v>MAIN-268</x:v>
      </x:c>
      <x:c r="E400" s="12" t="str">
        <x:v>Apollo Premier</x:v>
      </x:c>
      <x:c r="F400" s="11" t="n">
        <x:v>2</x:v>
      </x:c>
      <x:c r="G400" s="11" t="n">
        <x:v>2</x:v>
      </x:c>
      <x:c r="H400" s="11" t="n">
        <x:v>0</x:v>
      </x:c>
      <x:c r="I400" s="17" t="n">
        <x:f>INDEX('Costing'!$P$9:$P$492,MATCH(D400,'Costing'!$A$9:$A$492,0))</x:f>
        <x:v>80000</x:v>
      </x:c>
      <x:c r="J400" s="17" t="n">
        <x:f>ROUND(I400*'Costing'!$C$4,2)</x:f>
        <x:v>14400</x:v>
      </x:c>
      <x:c r="K400" s="17" t="n">
        <x:f>I400+J400</x:f>
        <x:v>94400</x:v>
      </x:c>
    </x:row>
    <x:row r="401" ht="46" customHeight="1">
      <x:c r="A401" s="2" t="str">
        <x:v>Indicative size</x:v>
      </x:c>
      <x:c r="B401" s="2" t="str">
        <x:v>Medium-scale prospects</x:v>
      </x:c>
      <x:c r="C401" s="12" t="str">
        <x:v>Indore</x:v>
      </x:c>
      <x:c r="D401" s="12" t="str">
        <x:v>MAIN-269</x:v>
      </x:c>
      <x:c r="E401" s="12" t="str">
        <x:v>Benchmark</x:v>
      </x:c>
      <x:c r="F401" s="11" t="n">
        <x:v>1</x:v>
      </x:c>
      <x:c r="G401" s="11" t="n">
        <x:v>1</x:v>
      </x:c>
      <x:c r="H401" s="11" t="n">
        <x:v>0</x:v>
      </x:c>
      <x:c r="I401" s="17" t="n">
        <x:f>INDEX('Costing'!$P$9:$P$492,MATCH(D401,'Costing'!$A$9:$A$492,0))</x:f>
        <x:v>40000</x:v>
      </x:c>
      <x:c r="J401" s="17" t="n">
        <x:f>ROUND(I401*'Costing'!$C$4,2)</x:f>
        <x:v>7200</x:v>
      </x:c>
      <x:c r="K401" s="17" t="n">
        <x:f>I401+J401</x:f>
        <x:v>47200</x:v>
      </x:c>
    </x:row>
    <x:row r="402" ht="46" customHeight="1">
      <x:c r="A402" s="2" t="str">
        <x:v>Indicative size</x:v>
      </x:c>
      <x:c r="B402" s="2" t="str">
        <x:v>Medium-scale prospects</x:v>
      </x:c>
      <x:c r="C402" s="12" t="str">
        <x:v>Indore</x:v>
      </x:c>
      <x:c r="D402" s="12" t="str">
        <x:v>MAIN-270</x:v>
      </x:c>
      <x:c r="E402" s="12" t="str">
        <x:v>Cliffton Corporate</x:v>
      </x:c>
      <x:c r="F402" s="11" t="n">
        <x:v>1</x:v>
      </x:c>
      <x:c r="G402" s="11" t="n">
        <x:v>1</x:v>
      </x:c>
      <x:c r="H402" s="11" t="n">
        <x:v>0</x:v>
      </x:c>
      <x:c r="I402" s="17" t="n">
        <x:f>INDEX('Costing'!$P$9:$P$492,MATCH(D402,'Costing'!$A$9:$A$492,0))</x:f>
        <x:v>20000</x:v>
      </x:c>
      <x:c r="J402" s="17" t="n">
        <x:f>ROUND(I402*'Costing'!$C$4,2)</x:f>
        <x:v>3600</x:v>
      </x:c>
      <x:c r="K402" s="17" t="n">
        <x:f>I402+J402</x:f>
        <x:v>23600</x:v>
      </x:c>
    </x:row>
    <x:row r="403" ht="46" customHeight="1">
      <x:c r="A403" s="2" t="str">
        <x:v>Indicative size</x:v>
      </x:c>
      <x:c r="B403" s="2" t="str">
        <x:v>Medium-scale prospects</x:v>
      </x:c>
      <x:c r="C403" s="12" t="str">
        <x:v>Indore</x:v>
      </x:c>
      <x:c r="D403" s="12" t="str">
        <x:v>MAIN-271</x:v>
      </x:c>
      <x:c r="E403" s="12" t="str">
        <x:v>Dhan Trident</x:v>
      </x:c>
      <x:c r="F403" s="11" t="n">
        <x:v>2</x:v>
      </x:c>
      <x:c r="G403" s="11" t="n">
        <x:v>2</x:v>
      </x:c>
      <x:c r="H403" s="11" t="n">
        <x:v>0</x:v>
      </x:c>
      <x:c r="I403" s="17" t="n">
        <x:f>INDEX('Costing'!$P$9:$P$492,MATCH(D403,'Costing'!$A$9:$A$492,0))</x:f>
        <x:v>40000</x:v>
      </x:c>
      <x:c r="J403" s="17" t="n">
        <x:f>ROUND(I403*'Costing'!$C$4,2)</x:f>
        <x:v>7200</x:v>
      </x:c>
      <x:c r="K403" s="17" t="n">
        <x:f>I403+J403</x:f>
        <x:v>47200</x:v>
      </x:c>
    </x:row>
    <x:row r="404" ht="46" customHeight="1">
      <x:c r="A404" s="2" t="str">
        <x:v>Indicative size</x:v>
      </x:c>
      <x:c r="B404" s="2" t="str">
        <x:v>Medium-scale prospects</x:v>
      </x:c>
      <x:c r="C404" s="12" t="str">
        <x:v>Indore</x:v>
      </x:c>
      <x:c r="D404" s="12" t="str">
        <x:v>MAIN-273</x:v>
      </x:c>
      <x:c r="E404" s="12" t="str">
        <x:v>Metro Tower</x:v>
      </x:c>
      <x:c r="F404" s="11" t="n">
        <x:v>2</x:v>
      </x:c>
      <x:c r="G404" s="11" t="n">
        <x:v>2</x:v>
      </x:c>
      <x:c r="H404" s="11" t="n">
        <x:v>0</x:v>
      </x:c>
      <x:c r="I404" s="17" t="n">
        <x:f>INDEX('Costing'!$P$9:$P$492,MATCH(D404,'Costing'!$A$9:$A$492,0))</x:f>
        <x:v>40000</x:v>
      </x:c>
      <x:c r="J404" s="17" t="n">
        <x:f>ROUND(I404*'Costing'!$C$4,2)</x:f>
        <x:v>7200</x:v>
      </x:c>
      <x:c r="K404" s="17" t="n">
        <x:f>I404+J404</x:f>
        <x:v>47200</x:v>
      </x:c>
    </x:row>
    <x:row r="405" ht="46" customHeight="1">
      <x:c r="A405" s="2" t="str">
        <x:v>Indicative size</x:v>
      </x:c>
      <x:c r="B405" s="2" t="str">
        <x:v>Medium-scale prospects</x:v>
      </x:c>
      <x:c r="C405" s="12" t="str">
        <x:v>Indore</x:v>
      </x:c>
      <x:c r="D405" s="12" t="str">
        <x:v>MAIN-274</x:v>
      </x:c>
      <x:c r="E405" s="12" t="str">
        <x:v>Princess Sky Line</x:v>
      </x:c>
      <x:c r="F405" s="11" t="n">
        <x:v>1</x:v>
      </x:c>
      <x:c r="G405" s="11" t="n">
        <x:v>1</x:v>
      </x:c>
      <x:c r="H405" s="11" t="n">
        <x:v>0</x:v>
      </x:c>
      <x:c r="I405" s="17" t="n">
        <x:f>INDEX('Costing'!$P$9:$P$492,MATCH(D405,'Costing'!$A$9:$A$492,0))</x:f>
        <x:v>40000</x:v>
      </x:c>
      <x:c r="J405" s="17" t="n">
        <x:f>ROUND(I405*'Costing'!$C$4,2)</x:f>
        <x:v>7200</x:v>
      </x:c>
      <x:c r="K405" s="17" t="n">
        <x:f>I405+J405</x:f>
        <x:v>47200</x:v>
      </x:c>
    </x:row>
    <x:row r="406" ht="46" customHeight="1">
      <x:c r="A406" s="2" t="str">
        <x:v>Indicative size</x:v>
      </x:c>
      <x:c r="B406" s="2" t="str">
        <x:v>Medium-scale prospects</x:v>
      </x:c>
      <x:c r="C406" s="12" t="str">
        <x:v>Indore</x:v>
      </x:c>
      <x:c r="D406" s="12" t="str">
        <x:v>MAIN-275</x:v>
      </x:c>
      <x:c r="E406" s="12" t="str">
        <x:v>Princess Sky Park</x:v>
      </x:c>
      <x:c r="F406" s="11" t="n">
        <x:v>1</x:v>
      </x:c>
      <x:c r="G406" s="11" t="n">
        <x:v>1</x:v>
      </x:c>
      <x:c r="H406" s="11" t="n">
        <x:v>0</x:v>
      </x:c>
      <x:c r="I406" s="17" t="n">
        <x:f>INDEX('Costing'!$P$9:$P$492,MATCH(D406,'Costing'!$A$9:$A$492,0))</x:f>
        <x:v>40000</x:v>
      </x:c>
      <x:c r="J406" s="17" t="n">
        <x:f>ROUND(I406*'Costing'!$C$4,2)</x:f>
        <x:v>7200</x:v>
      </x:c>
      <x:c r="K406" s="17" t="n">
        <x:f>I406+J406</x:f>
        <x:v>47200</x:v>
      </x:c>
    </x:row>
    <x:row r="407" ht="46" customHeight="1">
      <x:c r="A407" s="2" t="str">
        <x:v>Indicative size</x:v>
      </x:c>
      <x:c r="B407" s="2" t="str">
        <x:v>Medium-scale prospects</x:v>
      </x:c>
      <x:c r="C407" s="12" t="str">
        <x:v>Kolkata</x:v>
      </x:c>
      <x:c r="D407" s="12" t="str">
        <x:v>MAIN-279</x:v>
      </x:c>
      <x:c r="E407" s="12" t="str">
        <x:v>Awfis - Delta Towers</x:v>
      </x:c>
      <x:c r="F407" s="11" t="n">
        <x:v>3</x:v>
      </x:c>
      <x:c r="G407" s="11" t="n">
        <x:v>3</x:v>
      </x:c>
      <x:c r="H407" s="11" t="n">
        <x:v>0</x:v>
      </x:c>
      <x:c r="I407" s="17" t="n">
        <x:f>INDEX('Costing'!$P$9:$P$492,MATCH(D407,'Costing'!$A$9:$A$492,0))</x:f>
        <x:v>45000</x:v>
      </x:c>
      <x:c r="J407" s="17" t="n">
        <x:f>ROUND(I407*'Costing'!$C$4,2)</x:f>
        <x:v>8100</x:v>
      </x:c>
      <x:c r="K407" s="17" t="n">
        <x:f>I407+J407</x:f>
        <x:v>53100</x:v>
      </x:c>
    </x:row>
    <x:row r="408" ht="46" customHeight="1">
      <x:c r="A408" s="2" t="str">
        <x:v>Indicative size</x:v>
      </x:c>
      <x:c r="B408" s="2" t="str">
        <x:v>Medium-scale prospects</x:v>
      </x:c>
      <x:c r="C408" s="12" t="str">
        <x:v>Kolkata</x:v>
      </x:c>
      <x:c r="D408" s="12" t="str">
        <x:v>MAIN-280</x:v>
      </x:c>
      <x:c r="E408" s="12" t="str">
        <x:v>Awfis - Eco Center</x:v>
      </x:c>
      <x:c r="F408" s="11" t="n">
        <x:v>2</x:v>
      </x:c>
      <x:c r="G408" s="11" t="n">
        <x:v>2</x:v>
      </x:c>
      <x:c r="H408" s="11" t="n">
        <x:v>0</x:v>
      </x:c>
      <x:c r="I408" s="17" t="n">
        <x:f>INDEX('Costing'!$P$9:$P$492,MATCH(D408,'Costing'!$A$9:$A$492,0))</x:f>
        <x:v>30000</x:v>
      </x:c>
      <x:c r="J408" s="17" t="n">
        <x:f>ROUND(I408*'Costing'!$C$4,2)</x:f>
        <x:v>5400</x:v>
      </x:c>
      <x:c r="K408" s="17" t="n">
        <x:f>I408+J408</x:f>
        <x:v>35400</x:v>
      </x:c>
    </x:row>
    <x:row r="409" ht="46" customHeight="1">
      <x:c r="A409" s="2" t="str">
        <x:v>Indicative size</x:v>
      </x:c>
      <x:c r="B409" s="2" t="str">
        <x:v>Medium-scale prospects</x:v>
      </x:c>
      <x:c r="C409" s="12" t="str">
        <x:v>Kolkata</x:v>
      </x:c>
      <x:c r="D409" s="12" t="str">
        <x:v>MAIN-283</x:v>
      </x:c>
      <x:c r="E409" s="12" t="str">
        <x:v>Awfis - Siddha Esplanade</x:v>
      </x:c>
      <x:c r="F409" s="11" t="n">
        <x:v>2</x:v>
      </x:c>
      <x:c r="G409" s="11" t="n">
        <x:v>2</x:v>
      </x:c>
      <x:c r="H409" s="11" t="n">
        <x:v>0</x:v>
      </x:c>
      <x:c r="I409" s="17" t="n">
        <x:f>INDEX('Costing'!$P$9:$P$492,MATCH(D409,'Costing'!$A$9:$A$492,0))</x:f>
        <x:v>30000</x:v>
      </x:c>
      <x:c r="J409" s="17" t="n">
        <x:f>ROUND(I409*'Costing'!$C$4,2)</x:f>
        <x:v>5400</x:v>
      </x:c>
      <x:c r="K409" s="17" t="n">
        <x:f>I409+J409</x:f>
        <x:v>35400</x:v>
      </x:c>
    </x:row>
    <x:row r="410" ht="46" customHeight="1">
      <x:c r="A410" s="2" t="str">
        <x:v>Indicative size</x:v>
      </x:c>
      <x:c r="B410" s="2" t="str">
        <x:v>Medium-scale prospects</x:v>
      </x:c>
      <x:c r="C410" s="12" t="str">
        <x:v>Kolkata</x:v>
      </x:c>
      <x:c r="D410" s="12" t="str">
        <x:v>MAIN-284</x:v>
      </x:c>
      <x:c r="E410" s="12" t="str">
        <x:v>Awfis - Technopolis</x:v>
      </x:c>
      <x:c r="F410" s="11" t="n">
        <x:v>2</x:v>
      </x:c>
      <x:c r="G410" s="11" t="n">
        <x:v>2</x:v>
      </x:c>
      <x:c r="H410" s="11" t="n">
        <x:v>0</x:v>
      </x:c>
      <x:c r="I410" s="17" t="n">
        <x:f>INDEX('Costing'!$P$9:$P$492,MATCH(D410,'Costing'!$A$9:$A$492,0))</x:f>
        <x:v>30000</x:v>
      </x:c>
      <x:c r="J410" s="17" t="n">
        <x:f>ROUND(I410*'Costing'!$C$4,2)</x:f>
        <x:v>5400</x:v>
      </x:c>
      <x:c r="K410" s="17" t="n">
        <x:f>I410+J410</x:f>
        <x:v>35400</x:v>
      </x:c>
    </x:row>
    <x:row r="411" ht="46" customHeight="1">
      <x:c r="A411" s="2" t="str">
        <x:v>Indicative size</x:v>
      </x:c>
      <x:c r="B411" s="2" t="str">
        <x:v>Medium-scale prospects</x:v>
      </x:c>
      <x:c r="C411" s="12" t="str">
        <x:v>Kolkata</x:v>
      </x:c>
      <x:c r="D411" s="12" t="str">
        <x:v>MAIN-285</x:v>
      </x:c>
      <x:c r="E411" s="12" t="str">
        <x:v>Awfis - Technopolis</x:v>
      </x:c>
      <x:c r="F411" s="11" t="n">
        <x:v>1</x:v>
      </x:c>
      <x:c r="G411" s="11" t="n">
        <x:v>1</x:v>
      </x:c>
      <x:c r="H411" s="11" t="n">
        <x:v>0</x:v>
      </x:c>
      <x:c r="I411" s="17" t="n">
        <x:f>INDEX('Costing'!$P$9:$P$492,MATCH(D411,'Costing'!$A$9:$A$492,0))</x:f>
        <x:v>15000</x:v>
      </x:c>
      <x:c r="J411" s="17" t="n">
        <x:f>ROUND(I411*'Costing'!$C$4,2)</x:f>
        <x:v>2700</x:v>
      </x:c>
      <x:c r="K411" s="17" t="n">
        <x:f>I411+J411</x:f>
        <x:v>17700</x:v>
      </x:c>
    </x:row>
    <x:row r="412" ht="46" customHeight="1">
      <x:c r="A412" s="2" t="str">
        <x:v>Indicative size</x:v>
      </x:c>
      <x:c r="B412" s="2" t="str">
        <x:v>Medium-scale prospects</x:v>
      </x:c>
      <x:c r="C412" s="12" t="str">
        <x:v>Kolkata</x:v>
      </x:c>
      <x:c r="D412" s="12" t="str">
        <x:v>MAIN-287</x:v>
      </x:c>
      <x:c r="E412" s="12" t="str">
        <x:v>DLF Galleria</x:v>
      </x:c>
      <x:c r="F412" s="11" t="n">
        <x:v>5</x:v>
      </x:c>
      <x:c r="G412" s="11" t="n">
        <x:v>5</x:v>
      </x:c>
      <x:c r="H412" s="11" t="n">
        <x:v>0</x:v>
      </x:c>
      <x:c r="I412" s="17" t="n">
        <x:f>INDEX('Costing'!$P$9:$P$492,MATCH(D412,'Costing'!$A$9:$A$492,0))</x:f>
        <x:v>75000</x:v>
      </x:c>
      <x:c r="J412" s="17" t="n">
        <x:f>ROUND(I412*'Costing'!$C$4,2)</x:f>
        <x:v>13500</x:v>
      </x:c>
      <x:c r="K412" s="17" t="n">
        <x:f>I412+J412</x:f>
        <x:v>88500</x:v>
      </x:c>
    </x:row>
    <x:row r="413" ht="46" customHeight="1">
      <x:c r="A413" s="2" t="str">
        <x:v>Indicative size</x:v>
      </x:c>
      <x:c r="B413" s="2" t="str">
        <x:v>Medium-scale prospects</x:v>
      </x:c>
      <x:c r="C413" s="12" t="str">
        <x:v>Lucknow</x:v>
      </x:c>
      <x:c r="D413" s="12" t="str">
        <x:v>MAIN-292</x:v>
      </x:c>
      <x:c r="E413" s="12" t="str">
        <x:v>Levana Cyber Tower</x:v>
      </x:c>
      <x:c r="F413" s="11" t="n">
        <x:v>3</x:v>
      </x:c>
      <x:c r="G413" s="11" t="n">
        <x:v>3</x:v>
      </x:c>
      <x:c r="H413" s="11" t="n">
        <x:v>0</x:v>
      </x:c>
      <x:c r="I413" s="17" t="n">
        <x:f>INDEX('Costing'!$P$9:$P$492,MATCH(D413,'Costing'!$A$9:$A$492,0))</x:f>
        <x:v>120000</x:v>
      </x:c>
      <x:c r="J413" s="17" t="n">
        <x:f>ROUND(I413*'Costing'!$C$4,2)</x:f>
        <x:v>21600</x:v>
      </x:c>
      <x:c r="K413" s="17" t="n">
        <x:f>I413+J413</x:f>
        <x:v>141600</x:v>
      </x:c>
    </x:row>
    <x:row r="414" ht="46" customHeight="1">
      <x:c r="A414" s="2" t="str">
        <x:v>Indicative size</x:v>
      </x:c>
      <x:c r="B414" s="2" t="str">
        <x:v>Medium-scale prospects</x:v>
      </x:c>
      <x:c r="C414" s="12" t="str">
        <x:v>Mumbai</x:v>
      </x:c>
      <x:c r="D414" s="12" t="str">
        <x:v>MAIN-294</x:v>
      </x:c>
      <x:c r="E414" s="12" t="str">
        <x:v>Avior Corporate Park</x:v>
      </x:c>
      <x:c r="F414" s="11" t="n">
        <x:v>39</x:v>
      </x:c>
      <x:c r="G414" s="11" t="n">
        <x:v>39</x:v>
      </x:c>
      <x:c r="H414" s="11" t="n">
        <x:v>0</x:v>
      </x:c>
      <x:c r="I414" s="17" t="n">
        <x:f>INDEX('Costing'!$P$9:$P$492,MATCH(D414,'Costing'!$A$9:$A$492,0))</x:f>
        <x:v>585000</x:v>
      </x:c>
      <x:c r="J414" s="17" t="n">
        <x:f>ROUND(I414*'Costing'!$C$4,2)</x:f>
        <x:v>105300</x:v>
      </x:c>
      <x:c r="K414" s="17" t="n">
        <x:f>I414+J414</x:f>
        <x:v>690300</x:v>
      </x:c>
    </x:row>
    <x:row r="415" ht="46" customHeight="1">
      <x:c r="A415" s="2" t="str">
        <x:v>Indicative size</x:v>
      </x:c>
      <x:c r="B415" s="2" t="str">
        <x:v>Medium-scale prospects</x:v>
      </x:c>
      <x:c r="C415" s="12" t="str">
        <x:v>Mumbai</x:v>
      </x:c>
      <x:c r="D415" s="12" t="str">
        <x:v>MAIN-295</x:v>
      </x:c>
      <x:c r="E415" s="12" t="str">
        <x:v>Awfis - Adani Inspire, BKC</x:v>
      </x:c>
      <x:c r="F415" s="11" t="n">
        <x:v>1</x:v>
      </x:c>
      <x:c r="G415" s="11" t="n">
        <x:v>1</x:v>
      </x:c>
      <x:c r="H415" s="11" t="n">
        <x:v>0</x:v>
      </x:c>
      <x:c r="I415" s="17" t="n">
        <x:f>INDEX('Costing'!$P$9:$P$492,MATCH(D415,'Costing'!$A$9:$A$492,0))</x:f>
        <x:v>15000</x:v>
      </x:c>
      <x:c r="J415" s="17" t="n">
        <x:f>ROUND(I415*'Costing'!$C$4,2)</x:f>
        <x:v>2700</x:v>
      </x:c>
      <x:c r="K415" s="17" t="n">
        <x:f>I415+J415</x:f>
        <x:v>17700</x:v>
      </x:c>
    </x:row>
    <x:row r="416" ht="46" customHeight="1">
      <x:c r="A416" s="2" t="str">
        <x:v>Indicative size</x:v>
      </x:c>
      <x:c r="B416" s="2" t="str">
        <x:v>Medium-scale prospects</x:v>
      </x:c>
      <x:c r="C416" s="12" t="str">
        <x:v>Mumbai</x:v>
      </x:c>
      <x:c r="D416" s="12" t="str">
        <x:v>MAIN-299</x:v>
      </x:c>
      <x:c r="E416" s="12" t="str">
        <x:v>Awfis - Lodha IThink</x:v>
      </x:c>
      <x:c r="F416" s="11" t="n">
        <x:v>1</x:v>
      </x:c>
      <x:c r="G416" s="11" t="n">
        <x:v>1</x:v>
      </x:c>
      <x:c r="H416" s="11" t="n">
        <x:v>0</x:v>
      </x:c>
      <x:c r="I416" s="17" t="n">
        <x:f>INDEX('Costing'!$P$9:$P$492,MATCH(D416,'Costing'!$A$9:$A$492,0))</x:f>
        <x:v>15000</x:v>
      </x:c>
      <x:c r="J416" s="17" t="n">
        <x:f>ROUND(I416*'Costing'!$C$4,2)</x:f>
        <x:v>2700</x:v>
      </x:c>
      <x:c r="K416" s="17" t="n">
        <x:f>I416+J416</x:f>
        <x:v>17700</x:v>
      </x:c>
    </x:row>
    <x:row r="417" ht="46" customHeight="1">
      <x:c r="A417" s="2" t="str">
        <x:v>Indicative size</x:v>
      </x:c>
      <x:c r="B417" s="2" t="str">
        <x:v>Medium-scale prospects</x:v>
      </x:c>
      <x:c r="C417" s="12" t="str">
        <x:v>Mumbai</x:v>
      </x:c>
      <x:c r="D417" s="12" t="str">
        <x:v>MAIN-300</x:v>
      </x:c>
      <x:c r="E417" s="12" t="str">
        <x:v>Awfis - Lokhandwala Aston Building</x:v>
      </x:c>
      <x:c r="F417" s="11" t="n">
        <x:v>1</x:v>
      </x:c>
      <x:c r="G417" s="11" t="n">
        <x:v>1</x:v>
      </x:c>
      <x:c r="H417" s="11" t="n">
        <x:v>0</x:v>
      </x:c>
      <x:c r="I417" s="17" t="n">
        <x:f>INDEX('Costing'!$P$9:$P$492,MATCH(D417,'Costing'!$A$9:$A$492,0))</x:f>
        <x:v>15000</x:v>
      </x:c>
      <x:c r="J417" s="17" t="n">
        <x:f>ROUND(I417*'Costing'!$C$4,2)</x:f>
        <x:v>2700</x:v>
      </x:c>
      <x:c r="K417" s="17" t="n">
        <x:f>I417+J417</x:f>
        <x:v>17700</x:v>
      </x:c>
    </x:row>
    <x:row r="418" ht="46" customHeight="1">
      <x:c r="A418" s="2" t="str">
        <x:v>Indicative size</x:v>
      </x:c>
      <x:c r="B418" s="2" t="str">
        <x:v>Medium-scale prospects</x:v>
      </x:c>
      <x:c r="C418" s="12" t="str">
        <x:v>Mumbai</x:v>
      </x:c>
      <x:c r="D418" s="12" t="str">
        <x:v>MAIN-307</x:v>
      </x:c>
      <x:c r="E418" s="12" t="str">
        <x:v>Blue Rose IND</x:v>
      </x:c>
      <x:c r="F418" s="11" t="n">
        <x:v>22</x:v>
      </x:c>
      <x:c r="G418" s="11" t="n">
        <x:v>22</x:v>
      </x:c>
      <x:c r="H418" s="11" t="n">
        <x:v>0</x:v>
      </x:c>
      <x:c r="I418" s="17" t="n">
        <x:f>INDEX('Costing'!$P$9:$P$492,MATCH(D418,'Costing'!$A$9:$A$492,0))</x:f>
        <x:v>330000</x:v>
      </x:c>
      <x:c r="J418" s="17" t="n">
        <x:f>ROUND(I418*'Costing'!$C$4,2)</x:f>
        <x:v>59400</x:v>
      </x:c>
      <x:c r="K418" s="17" t="n">
        <x:f>I418+J418</x:f>
        <x:v>389400</x:v>
      </x:c>
    </x:row>
    <x:row r="419" ht="46" customHeight="1">
      <x:c r="A419" s="2" t="str">
        <x:v>Indicative size</x:v>
      </x:c>
      <x:c r="B419" s="2" t="str">
        <x:v>Medium-scale prospects</x:v>
      </x:c>
      <x:c r="C419" s="12" t="str">
        <x:v>Mumbai</x:v>
      </x:c>
      <x:c r="D419" s="12" t="str">
        <x:v>MAIN-308</x:v>
      </x:c>
      <x:c r="E419" s="12" t="str">
        <x:v>Bsel Tech Park</x:v>
      </x:c>
      <x:c r="F419" s="11" t="n">
        <x:v>47</x:v>
      </x:c>
      <x:c r="G419" s="11" t="n">
        <x:v>47</x:v>
      </x:c>
      <x:c r="H419" s="11" t="n">
        <x:v>0</x:v>
      </x:c>
      <x:c r="I419" s="17" t="n">
        <x:f>INDEX('Costing'!$P$9:$P$492,MATCH(D419,'Costing'!$A$9:$A$492,0))</x:f>
        <x:v>705000</x:v>
      </x:c>
      <x:c r="J419" s="17" t="n">
        <x:f>ROUND(I419*'Costing'!$C$4,2)</x:f>
        <x:v>126900</x:v>
      </x:c>
      <x:c r="K419" s="17" t="n">
        <x:f>I419+J419</x:f>
        <x:v>831900</x:v>
      </x:c>
    </x:row>
    <x:row r="420" ht="46" customHeight="1">
      <x:c r="A420" s="2" t="str">
        <x:v>Indicative size</x:v>
      </x:c>
      <x:c r="B420" s="2" t="str">
        <x:v>Medium-scale prospects</x:v>
      </x:c>
      <x:c r="C420" s="12" t="str">
        <x:v>Mumbai</x:v>
      </x:c>
      <x:c r="D420" s="12" t="str">
        <x:v>MAIN-313</x:v>
      </x:c>
      <x:c r="E420" s="12" t="str">
        <x:v>Everest Nirwana</x:v>
      </x:c>
      <x:c r="F420" s="11" t="n">
        <x:v>21</x:v>
      </x:c>
      <x:c r="G420" s="11" t="n">
        <x:v>21</x:v>
      </x:c>
      <x:c r="H420" s="11" t="n">
        <x:v>0</x:v>
      </x:c>
      <x:c r="I420" s="17" t="n">
        <x:f>INDEX('Costing'!$P$9:$P$492,MATCH(D420,'Costing'!$A$9:$A$492,0))</x:f>
        <x:v>315000</x:v>
      </x:c>
      <x:c r="J420" s="17" t="n">
        <x:f>ROUND(I420*'Costing'!$C$4,2)</x:f>
        <x:v>56700</x:v>
      </x:c>
      <x:c r="K420" s="17" t="n">
        <x:f>I420+J420</x:f>
        <x:v>371700</x:v>
      </x:c>
    </x:row>
    <x:row r="421" ht="46" customHeight="1">
      <x:c r="A421" s="2" t="str">
        <x:v>Indicative size</x:v>
      </x:c>
      <x:c r="B421" s="2" t="str">
        <x:v>Medium-scale prospects</x:v>
      </x:c>
      <x:c r="C421" s="12" t="str">
        <x:v>Mumbai</x:v>
      </x:c>
      <x:c r="D421" s="12" t="str">
        <x:v>MAIN-316</x:v>
      </x:c>
      <x:c r="E421" s="12" t="str">
        <x:v>Fleet House Global Park</x:v>
      </x:c>
      <x:c r="F421" s="11" t="n">
        <x:v>2</x:v>
      </x:c>
      <x:c r="G421" s="11" t="n">
        <x:v>2</x:v>
      </x:c>
      <x:c r="H421" s="11" t="n">
        <x:v>0</x:v>
      </x:c>
      <x:c r="I421" s="17" t="n">
        <x:f>INDEX('Costing'!$P$9:$P$492,MATCH(D421,'Costing'!$A$9:$A$492,0))</x:f>
        <x:v>40000</x:v>
      </x:c>
      <x:c r="J421" s="17" t="n">
        <x:f>ROUND(I421*'Costing'!$C$4,2)</x:f>
        <x:v>7200</x:v>
      </x:c>
      <x:c r="K421" s="17" t="n">
        <x:f>I421+J421</x:f>
        <x:v>47200</x:v>
      </x:c>
    </x:row>
    <x:row r="422" ht="46" customHeight="1">
      <x:c r="A422" s="2" t="str">
        <x:v>Indicative size</x:v>
      </x:c>
      <x:c r="B422" s="2" t="str">
        <x:v>Medium-scale prospects</x:v>
      </x:c>
      <x:c r="C422" s="12" t="str">
        <x:v>Mumbai</x:v>
      </x:c>
      <x:c r="D422" s="12" t="str">
        <x:v>MAIN-319</x:v>
      </x:c>
      <x:c r="E422" s="12" t="str">
        <x:v>Kalpataru Prime (Redbrick Offices)</x:v>
      </x:c>
      <x:c r="F422" s="11" t="n">
        <x:v>1</x:v>
      </x:c>
      <x:c r="G422" s="11" t="n">
        <x:v>1</x:v>
      </x:c>
      <x:c r="H422" s="11" t="n">
        <x:v>0</x:v>
      </x:c>
      <x:c r="I422" s="17" t="n">
        <x:f>INDEX('Costing'!$P$9:$P$492,MATCH(D422,'Costing'!$A$9:$A$492,0))</x:f>
        <x:v>15000</x:v>
      </x:c>
      <x:c r="J422" s="17" t="n">
        <x:f>ROUND(I422*'Costing'!$C$4,2)</x:f>
        <x:v>2700</x:v>
      </x:c>
      <x:c r="K422" s="17" t="n">
        <x:f>I422+J422</x:f>
        <x:v>17700</x:v>
      </x:c>
    </x:row>
    <x:row r="423" ht="46" customHeight="1">
      <x:c r="A423" s="2" t="str">
        <x:v>Indicative size</x:v>
      </x:c>
      <x:c r="B423" s="2" t="str">
        <x:v>Medium-scale prospects</x:v>
      </x:c>
      <x:c r="C423" s="12" t="str">
        <x:v>Mumbai</x:v>
      </x:c>
      <x:c r="D423" s="12" t="str">
        <x:v>MAIN-320</x:v>
      </x:c>
      <x:c r="E423" s="12" t="str">
        <x:v>Kane Plaza</x:v>
      </x:c>
      <x:c r="F423" s="11" t="n">
        <x:v>6</x:v>
      </x:c>
      <x:c r="G423" s="11" t="n">
        <x:v>6</x:v>
      </x:c>
      <x:c r="H423" s="11" t="n">
        <x:v>0</x:v>
      </x:c>
      <x:c r="I423" s="17" t="n">
        <x:f>INDEX('Costing'!$P$9:$P$492,MATCH(D423,'Costing'!$A$9:$A$492,0))</x:f>
        <x:v>90000</x:v>
      </x:c>
      <x:c r="J423" s="17" t="n">
        <x:f>ROUND(I423*'Costing'!$C$4,2)</x:f>
        <x:v>16200</x:v>
      </x:c>
      <x:c r="K423" s="17" t="n">
        <x:f>I423+J423</x:f>
        <x:v>106200</x:v>
      </x:c>
    </x:row>
    <x:row r="424" ht="46" customHeight="1">
      <x:c r="A424" s="2" t="str">
        <x:v>Indicative size</x:v>
      </x:c>
      <x:c r="B424" s="2" t="str">
        <x:v>Medium-scale prospects</x:v>
      </x:c>
      <x:c r="C424" s="12" t="str">
        <x:v>Mumbai</x:v>
      </x:c>
      <x:c r="D424" s="12" t="str">
        <x:v>MAIN-321</x:v>
      </x:c>
      <x:c r="E424" s="12" t="str">
        <x:v>Lodha Ithink (Redbrick Offices)</x:v>
      </x:c>
      <x:c r="F424" s="11" t="n">
        <x:v>1</x:v>
      </x:c>
      <x:c r="G424" s="11" t="n">
        <x:v>1</x:v>
      </x:c>
      <x:c r="H424" s="11" t="n">
        <x:v>0</x:v>
      </x:c>
      <x:c r="I424" s="17" t="n">
        <x:f>INDEX('Costing'!$P$9:$P$492,MATCH(D424,'Costing'!$A$9:$A$492,0))</x:f>
        <x:v>15000</x:v>
      </x:c>
      <x:c r="J424" s="17" t="n">
        <x:f>ROUND(I424*'Costing'!$C$4,2)</x:f>
        <x:v>2700</x:v>
      </x:c>
      <x:c r="K424" s="17" t="n">
        <x:f>I424+J424</x:f>
        <x:v>17700</x:v>
      </x:c>
    </x:row>
    <x:row r="425" ht="46" customHeight="1">
      <x:c r="A425" s="2" t="str">
        <x:v>Indicative size</x:v>
      </x:c>
      <x:c r="B425" s="2" t="str">
        <x:v>Medium-scale prospects</x:v>
      </x:c>
      <x:c r="C425" s="12" t="str">
        <x:v>Mumbai</x:v>
      </x:c>
      <x:c r="D425" s="12" t="str">
        <x:v>MAIN-323</x:v>
      </x:c>
      <x:c r="E425" s="12" t="str">
        <x:v>Mumbai - BKC</x:v>
      </x:c>
      <x:c r="F425" s="11" t="n">
        <x:v>1</x:v>
      </x:c>
      <x:c r="G425" s="11" t="n">
        <x:v>1</x:v>
      </x:c>
      <x:c r="H425" s="11" t="n">
        <x:v>0</x:v>
      </x:c>
      <x:c r="I425" s="17" t="n">
        <x:f>INDEX('Costing'!$P$9:$P$492,MATCH(D425,'Costing'!$A$9:$A$492,0))</x:f>
        <x:v>15000</x:v>
      </x:c>
      <x:c r="J425" s="17" t="n">
        <x:f>ROUND(I425*'Costing'!$C$4,2)</x:f>
        <x:v>2700</x:v>
      </x:c>
      <x:c r="K425" s="17" t="n">
        <x:f>I425+J425</x:f>
        <x:v>17700</x:v>
      </x:c>
    </x:row>
    <x:row r="426" ht="46" customHeight="1">
      <x:c r="A426" s="2" t="str">
        <x:v>Indicative size</x:v>
      </x:c>
      <x:c r="B426" s="2" t="str">
        <x:v>Medium-scale prospects</x:v>
      </x:c>
      <x:c r="C426" s="12" t="str">
        <x:v>Mumbai</x:v>
      </x:c>
      <x:c r="D426" s="12" t="str">
        <x:v>MAIN-327</x:v>
      </x:c>
      <x:c r="E426" s="12" t="str">
        <x:v>Nucleus - One World Center</x:v>
      </x:c>
      <x:c r="F426" s="11" t="n">
        <x:v>8</x:v>
      </x:c>
      <x:c r="G426" s="11" t="n">
        <x:v>8</x:v>
      </x:c>
      <x:c r="H426" s="11" t="n">
        <x:v>0</x:v>
      </x:c>
      <x:c r="I426" s="17" t="n">
        <x:f>INDEX('Costing'!$P$9:$P$492,MATCH(D426,'Costing'!$A$9:$A$492,0))</x:f>
        <x:v>320000</x:v>
      </x:c>
      <x:c r="J426" s="17" t="n">
        <x:f>ROUND(I426*'Costing'!$C$4,2)</x:f>
        <x:v>57600</x:v>
      </x:c>
      <x:c r="K426" s="17" t="n">
        <x:f>I426+J426</x:f>
        <x:v>377600</x:v>
      </x:c>
    </x:row>
    <x:row r="427" ht="46" customHeight="1">
      <x:c r="A427" s="2" t="str">
        <x:v>Indicative size</x:v>
      </x:c>
      <x:c r="B427" s="2" t="str">
        <x:v>Medium-scale prospects</x:v>
      </x:c>
      <x:c r="C427" s="12" t="str">
        <x:v>Mumbai</x:v>
      </x:c>
      <x:c r="D427" s="12" t="str">
        <x:v>MAIN-331</x:v>
      </x:c>
      <x:c r="E427" s="12" t="str">
        <x:v>One World Centre (Redbrick Offices)</x:v>
      </x:c>
      <x:c r="F427" s="11" t="n">
        <x:v>1</x:v>
      </x:c>
      <x:c r="G427" s="11" t="n">
        <x:v>1</x:v>
      </x:c>
      <x:c r="H427" s="11" t="n">
        <x:v>0</x:v>
      </x:c>
      <x:c r="I427" s="17" t="n">
        <x:f>INDEX('Costing'!$P$9:$P$492,MATCH(D427,'Costing'!$A$9:$A$492,0))</x:f>
        <x:v>15000</x:v>
      </x:c>
      <x:c r="J427" s="17" t="n">
        <x:f>ROUND(I427*'Costing'!$C$4,2)</x:f>
        <x:v>2700</x:v>
      </x:c>
      <x:c r="K427" s="17" t="n">
        <x:f>I427+J427</x:f>
        <x:v>17700</x:v>
      </x:c>
    </x:row>
    <x:row r="428" ht="46" customHeight="1">
      <x:c r="A428" s="2" t="str">
        <x:v>Indicative size</x:v>
      </x:c>
      <x:c r="B428" s="2" t="str">
        <x:v>Medium-scale prospects</x:v>
      </x:c>
      <x:c r="C428" s="12" t="str">
        <x:v>Mumbai</x:v>
      </x:c>
      <x:c r="D428" s="12" t="str">
        <x:v>MAIN-333</x:v>
      </x:c>
      <x:c r="E428" s="12" t="str">
        <x:v>Oyo Workspace - Time Square</x:v>
      </x:c>
      <x:c r="F428" s="11" t="n">
        <x:v>1</x:v>
      </x:c>
      <x:c r="G428" s="11" t="n">
        <x:v>1</x:v>
      </x:c>
      <x:c r="H428" s="11" t="n">
        <x:v>0</x:v>
      </x:c>
      <x:c r="I428" s="17" t="n">
        <x:f>INDEX('Costing'!$P$9:$P$492,MATCH(D428,'Costing'!$A$9:$A$492,0))</x:f>
        <x:v>15000</x:v>
      </x:c>
      <x:c r="J428" s="17" t="n">
        <x:f>ROUND(I428*'Costing'!$C$4,2)</x:f>
        <x:v>2700</x:v>
      </x:c>
      <x:c r="K428" s="17" t="n">
        <x:f>I428+J428</x:f>
        <x:v>17700</x:v>
      </x:c>
    </x:row>
    <x:row r="429" ht="46" customHeight="1">
      <x:c r="A429" s="2" t="str">
        <x:v>Indicative size</x:v>
      </x:c>
      <x:c r="B429" s="2" t="str">
        <x:v>Medium-scale prospects</x:v>
      </x:c>
      <x:c r="C429" s="12" t="str">
        <x:v>Mumbai</x:v>
      </x:c>
      <x:c r="D429" s="12" t="str">
        <x:v>MAIN-341</x:v>
      </x:c>
      <x:c r="E429" s="12" t="str">
        <x:v>Rupa Renaissance (Redbrick Offices)</x:v>
      </x:c>
      <x:c r="F429" s="11" t="n">
        <x:v>1</x:v>
      </x:c>
      <x:c r="G429" s="11" t="n">
        <x:v>1</x:v>
      </x:c>
      <x:c r="H429" s="11" t="n">
        <x:v>0</x:v>
      </x:c>
      <x:c r="I429" s="17" t="n">
        <x:f>INDEX('Costing'!$P$9:$P$492,MATCH(D429,'Costing'!$A$9:$A$492,0))</x:f>
        <x:v>15000</x:v>
      </x:c>
      <x:c r="J429" s="17" t="n">
        <x:f>ROUND(I429*'Costing'!$C$4,2)</x:f>
        <x:v>2700</x:v>
      </x:c>
      <x:c r="K429" s="17" t="n">
        <x:f>I429+J429</x:f>
        <x:v>17700</x:v>
      </x:c>
    </x:row>
    <x:row r="430" ht="46" customHeight="1">
      <x:c r="A430" s="2" t="str">
        <x:v>Indicative size</x:v>
      </x:c>
      <x:c r="B430" s="2" t="str">
        <x:v>Medium-scale prospects</x:v>
      </x:c>
      <x:c r="C430" s="12" t="str">
        <x:v>Mumbai</x:v>
      </x:c>
      <x:c r="D430" s="12" t="str">
        <x:v>MAIN-342</x:v>
      </x:c>
      <x:c r="E430" s="12" t="str">
        <x:v>Rustomjee Eaze Zone Mall</x:v>
      </x:c>
      <x:c r="F430" s="11" t="n">
        <x:v>26</x:v>
      </x:c>
      <x:c r="G430" s="11" t="n">
        <x:v>26</x:v>
      </x:c>
      <x:c r="H430" s="11" t="n">
        <x:v>0</x:v>
      </x:c>
      <x:c r="I430" s="17" t="n">
        <x:f>INDEX('Costing'!$P$9:$P$492,MATCH(D430,'Costing'!$A$9:$A$492,0))</x:f>
        <x:v>390000</x:v>
      </x:c>
      <x:c r="J430" s="17" t="n">
        <x:f>ROUND(I430*'Costing'!$C$4,2)</x:f>
        <x:v>70200</x:v>
      </x:c>
      <x:c r="K430" s="17" t="n">
        <x:f>I430+J430</x:f>
        <x:v>460200</x:v>
      </x:c>
    </x:row>
    <x:row r="431" ht="46" customHeight="1">
      <x:c r="A431" s="2" t="str">
        <x:v>Indicative size</x:v>
      </x:c>
      <x:c r="B431" s="2" t="str">
        <x:v>Medium-scale prospects</x:v>
      </x:c>
      <x:c r="C431" s="12" t="str">
        <x:v>Mumbai</x:v>
      </x:c>
      <x:c r="D431" s="12" t="str">
        <x:v>MAIN-343</x:v>
      </x:c>
      <x:c r="E431" s="12" t="str">
        <x:v>Sagar Tech Plaza A </x:v>
      </x:c>
      <x:c r="F431" s="11" t="n">
        <x:v>2</x:v>
      </x:c>
      <x:c r="G431" s="11" t="n">
        <x:v>2</x:v>
      </x:c>
      <x:c r="H431" s="11" t="n">
        <x:v>0</x:v>
      </x:c>
      <x:c r="I431" s="17" t="n">
        <x:f>INDEX('Costing'!$P$9:$P$492,MATCH(D431,'Costing'!$A$9:$A$492,0))</x:f>
        <x:v>30000</x:v>
      </x:c>
      <x:c r="J431" s="17" t="n">
        <x:f>ROUND(I431*'Costing'!$C$4,2)</x:f>
        <x:v>5400</x:v>
      </x:c>
      <x:c r="K431" s="17" t="n">
        <x:f>I431+J431</x:f>
        <x:v>35400</x:v>
      </x:c>
    </x:row>
    <x:row r="432" ht="46" customHeight="1">
      <x:c r="A432" s="2" t="str">
        <x:v>Indicative size</x:v>
      </x:c>
      <x:c r="B432" s="2" t="str">
        <x:v>Medium-scale prospects</x:v>
      </x:c>
      <x:c r="C432" s="12" t="str">
        <x:v>Mumbai</x:v>
      </x:c>
      <x:c r="D432" s="12" t="str">
        <x:v>MAIN-344</x:v>
      </x:c>
      <x:c r="E432" s="12" t="str">
        <x:v>Sagar Tech Plaza A {IE}</x:v>
      </x:c>
      <x:c r="F432" s="11" t="n">
        <x:v>3</x:v>
      </x:c>
      <x:c r="G432" s="11" t="n">
        <x:v>3</x:v>
      </x:c>
      <x:c r="H432" s="11" t="n">
        <x:v>0</x:v>
      </x:c>
      <x:c r="I432" s="17" t="n">
        <x:f>INDEX('Costing'!$P$9:$P$492,MATCH(D432,'Costing'!$A$9:$A$492,0))</x:f>
        <x:v>45000</x:v>
      </x:c>
      <x:c r="J432" s="17" t="n">
        <x:f>ROUND(I432*'Costing'!$C$4,2)</x:f>
        <x:v>8100</x:v>
      </x:c>
      <x:c r="K432" s="17" t="n">
        <x:f>I432+J432</x:f>
        <x:v>53100</x:v>
      </x:c>
    </x:row>
    <x:row r="433" ht="46" customHeight="1">
      <x:c r="A433" s="2" t="str">
        <x:v>Indicative size</x:v>
      </x:c>
      <x:c r="B433" s="2" t="str">
        <x:v>Medium-scale prospects</x:v>
      </x:c>
      <x:c r="C433" s="12" t="str">
        <x:v>Mumbai</x:v>
      </x:c>
      <x:c r="D433" s="12" t="str">
        <x:v>MAIN-346</x:v>
      </x:c>
      <x:c r="E433" s="12" t="str">
        <x:v>Sagar Tech Plaza B {IE}</x:v>
      </x:c>
      <x:c r="F433" s="11" t="n">
        <x:v>3</x:v>
      </x:c>
      <x:c r="G433" s="11" t="n">
        <x:v>3</x:v>
      </x:c>
      <x:c r="H433" s="11" t="n">
        <x:v>0</x:v>
      </x:c>
      <x:c r="I433" s="17" t="n">
        <x:f>INDEX('Costing'!$P$9:$P$492,MATCH(D433,'Costing'!$A$9:$A$492,0))</x:f>
        <x:v>45000</x:v>
      </x:c>
      <x:c r="J433" s="17" t="n">
        <x:f>ROUND(I433*'Costing'!$C$4,2)</x:f>
        <x:v>8100</x:v>
      </x:c>
      <x:c r="K433" s="17" t="n">
        <x:f>I433+J433</x:f>
        <x:v>53100</x:v>
      </x:c>
    </x:row>
    <x:row r="434" ht="46" customHeight="1">
      <x:c r="A434" s="2" t="str">
        <x:v>Indicative size</x:v>
      </x:c>
      <x:c r="B434" s="2" t="str">
        <x:v>Medium-scale prospects</x:v>
      </x:c>
      <x:c r="C434" s="12" t="str">
        <x:v>Mumbai</x:v>
      </x:c>
      <x:c r="D434" s="12" t="str">
        <x:v>MAIN-348</x:v>
      </x:c>
      <x:c r="E434" s="12" t="str">
        <x:v>TEX Centre (Redbrick Offices)</x:v>
      </x:c>
      <x:c r="F434" s="11" t="n">
        <x:v>1</x:v>
      </x:c>
      <x:c r="G434" s="11" t="n">
        <x:v>1</x:v>
      </x:c>
      <x:c r="H434" s="11" t="n">
        <x:v>0</x:v>
      </x:c>
      <x:c r="I434" s="17" t="n">
        <x:f>INDEX('Costing'!$P$9:$P$492,MATCH(D434,'Costing'!$A$9:$A$492,0))</x:f>
        <x:v>15000</x:v>
      </x:c>
      <x:c r="J434" s="17" t="n">
        <x:f>ROUND(I434*'Costing'!$C$4,2)</x:f>
        <x:v>2700</x:v>
      </x:c>
      <x:c r="K434" s="17" t="n">
        <x:f>I434+J434</x:f>
        <x:v>17700</x:v>
      </x:c>
    </x:row>
    <x:row r="435" ht="46" customHeight="1">
      <x:c r="A435" s="2" t="str">
        <x:v>Indicative size</x:v>
      </x:c>
      <x:c r="B435" s="2" t="str">
        <x:v>Medium-scale prospects</x:v>
      </x:c>
      <x:c r="C435" s="12" t="str">
        <x:v>Mumbai</x:v>
      </x:c>
      <x:c r="D435" s="12" t="str">
        <x:v>MAIN-350</x:v>
      </x:c>
      <x:c r="E435" s="12" t="str">
        <x:v>The Summit Business Park Premises</x:v>
      </x:c>
      <x:c r="F435" s="11" t="n">
        <x:v>70</x:v>
      </x:c>
      <x:c r="G435" s="11" t="n">
        <x:v>70</x:v>
      </x:c>
      <x:c r="H435" s="11" t="n">
        <x:v>0</x:v>
      </x:c>
      <x:c r="I435" s="17" t="n">
        <x:f>INDEX('Costing'!$P$9:$P$492,MATCH(D435,'Costing'!$A$9:$A$492,0))</x:f>
        <x:v>1050000</x:v>
      </x:c>
      <x:c r="J435" s="17" t="n">
        <x:f>ROUND(I435*'Costing'!$C$4,2)</x:f>
        <x:v>189000</x:v>
      </x:c>
      <x:c r="K435" s="17" t="n">
        <x:f>I435+J435</x:f>
        <x:v>1239000</x:v>
      </x:c>
    </x:row>
    <x:row r="436" ht="46" customHeight="1">
      <x:c r="A436" s="2" t="str">
        <x:v>Indicative size</x:v>
      </x:c>
      <x:c r="B436" s="2" t="str">
        <x:v>Medium-scale prospects</x:v>
      </x:c>
      <x:c r="C436" s="12" t="str">
        <x:v>Mumbai</x:v>
      </x:c>
      <x:c r="D436" s="12" t="str">
        <x:v>MAIN-351</x:v>
      </x:c>
      <x:c r="E436" s="12" t="str">
        <x:v>The Western Edge 2</x:v>
      </x:c>
      <x:c r="F436" s="11" t="n">
        <x:v>39</x:v>
      </x:c>
      <x:c r="G436" s="11" t="n">
        <x:v>39</x:v>
      </x:c>
      <x:c r="H436" s="11" t="n">
        <x:v>0</x:v>
      </x:c>
      <x:c r="I436" s="17" t="n">
        <x:f>INDEX('Costing'!$P$9:$P$492,MATCH(D436,'Costing'!$A$9:$A$492,0))</x:f>
        <x:v>585000</x:v>
      </x:c>
      <x:c r="J436" s="17" t="n">
        <x:f>ROUND(I436*'Costing'!$C$4,2)</x:f>
        <x:v>105300</x:v>
      </x:c>
      <x:c r="K436" s="17" t="n">
        <x:f>I436+J436</x:f>
        <x:v>690300</x:v>
      </x:c>
    </x:row>
    <x:row r="437" ht="46" customHeight="1">
      <x:c r="A437" s="2" t="str">
        <x:v>Indicative size</x:v>
      </x:c>
      <x:c r="B437" s="2" t="str">
        <x:v>Medium-scale prospects</x:v>
      </x:c>
      <x:c r="C437" s="12" t="str">
        <x:v>Mumbai</x:v>
      </x:c>
      <x:c r="D437" s="12" t="str">
        <x:v>MAIN-352</x:v>
      </x:c>
      <x:c r="E437" s="12" t="str">
        <x:v>Times Square Tech Park</x:v>
      </x:c>
      <x:c r="F437" s="11" t="n">
        <x:v>4</x:v>
      </x:c>
      <x:c r="G437" s="11" t="n">
        <x:v>4</x:v>
      </x:c>
      <x:c r="H437" s="11" t="n">
        <x:v>0</x:v>
      </x:c>
      <x:c r="I437" s="17" t="n">
        <x:f>INDEX('Costing'!$P$9:$P$492,MATCH(D437,'Costing'!$A$9:$A$492,0))</x:f>
        <x:v>80000</x:v>
      </x:c>
      <x:c r="J437" s="17" t="n">
        <x:f>ROUND(I437*'Costing'!$C$4,2)</x:f>
        <x:v>14400</x:v>
      </x:c>
      <x:c r="K437" s="17" t="n">
        <x:f>I437+J437</x:f>
        <x:v>94400</x:v>
      </x:c>
    </x:row>
    <x:row r="438" ht="46" customHeight="1">
      <x:c r="A438" s="2" t="str">
        <x:v>Indicative size</x:v>
      </x:c>
      <x:c r="B438" s="2" t="str">
        <x:v>Medium-scale prospects</x:v>
      </x:c>
      <x:c r="C438" s="12" t="str">
        <x:v>Mumbai</x:v>
      </x:c>
      <x:c r="D438" s="12" t="str">
        <x:v>MAIN-357</x:v>
      </x:c>
      <x:c r="E438" s="12" t="str">
        <x:v>Wework - Raheja Platinum</x:v>
      </x:c>
      <x:c r="F438" s="11" t="n">
        <x:v>19</x:v>
      </x:c>
      <x:c r="G438" s="11" t="n">
        <x:v>19</x:v>
      </x:c>
      <x:c r="H438" s="11" t="n">
        <x:v>0</x:v>
      </x:c>
      <x:c r="I438" s="17" t="n">
        <x:f>INDEX('Costing'!$P$9:$P$492,MATCH(D438,'Costing'!$A$9:$A$492,0))</x:f>
        <x:v>475000</x:v>
      </x:c>
      <x:c r="J438" s="17" t="n">
        <x:f>ROUND(I438*'Costing'!$C$4,2)</x:f>
        <x:v>85500</x:v>
      </x:c>
      <x:c r="K438" s="17" t="n">
        <x:f>I438+J438</x:f>
        <x:v>560500</x:v>
      </x:c>
    </x:row>
    <x:row r="439" ht="46" customHeight="1">
      <x:c r="A439" s="2" t="str">
        <x:v>Indicative size</x:v>
      </x:c>
      <x:c r="B439" s="2" t="str">
        <x:v>Medium-scale prospects</x:v>
      </x:c>
      <x:c r="C439" s="12" t="str">
        <x:v>Mumbai</x:v>
      </x:c>
      <x:c r="D439" s="12" t="str">
        <x:v>MAIN-361</x:v>
      </x:c>
      <x:c r="E439" s="12" t="str">
        <x:v>WeWork - Vikhroil 247</x:v>
      </x:c>
      <x:c r="F439" s="11" t="n">
        <x:v>4</x:v>
      </x:c>
      <x:c r="G439" s="11" t="n">
        <x:v>4</x:v>
      </x:c>
      <x:c r="H439" s="11" t="n">
        <x:v>0</x:v>
      </x:c>
      <x:c r="I439" s="17" t="n">
        <x:f>INDEX('Costing'!$P$9:$P$492,MATCH(D439,'Costing'!$A$9:$A$492,0))</x:f>
        <x:v>100000</x:v>
      </x:c>
      <x:c r="J439" s="17" t="n">
        <x:f>ROUND(I439*'Costing'!$C$4,2)</x:f>
        <x:v>18000</x:v>
      </x:c>
      <x:c r="K439" s="17" t="n">
        <x:f>I439+J439</x:f>
        <x:v>118000</x:v>
      </x:c>
    </x:row>
    <x:row r="440" ht="46" customHeight="1">
      <x:c r="A440" s="2" t="str">
        <x:v>Indicative size</x:v>
      </x:c>
      <x:c r="B440" s="2" t="str">
        <x:v>Medium-scale prospects</x:v>
      </x:c>
      <x:c r="C440" s="12" t="str">
        <x:v>Mumbai</x:v>
      </x:c>
      <x:c r="D440" s="12" t="str">
        <x:v>MAIN-362</x:v>
      </x:c>
      <x:c r="E440" s="12" t="str">
        <x:v>WeWork - Zenia</x:v>
      </x:c>
      <x:c r="F440" s="11" t="n">
        <x:v>12</x:v>
      </x:c>
      <x:c r="G440" s="11" t="n">
        <x:v>12</x:v>
      </x:c>
      <x:c r="H440" s="11" t="n">
        <x:v>0</x:v>
      </x:c>
      <x:c r="I440" s="17" t="n">
        <x:f>INDEX('Costing'!$P$9:$P$492,MATCH(D440,'Costing'!$A$9:$A$492,0))</x:f>
        <x:v>300000</x:v>
      </x:c>
      <x:c r="J440" s="17" t="n">
        <x:f>ROUND(I440*'Costing'!$C$4,2)</x:f>
        <x:v>54000</x:v>
      </x:c>
      <x:c r="K440" s="17" t="n">
        <x:f>I440+J440</x:f>
        <x:v>354000</x:v>
      </x:c>
    </x:row>
    <x:row r="441" ht="46" customHeight="1">
      <x:c r="A441" s="2" t="str">
        <x:v>Indicative size</x:v>
      </x:c>
      <x:c r="B441" s="2" t="str">
        <x:v>Medium-scale prospects</x:v>
      </x:c>
      <x:c r="C441" s="12" t="str">
        <x:v>Pune</x:v>
      </x:c>
      <x:c r="D441" s="12" t="str">
        <x:v>MAIN-379</x:v>
      </x:c>
      <x:c r="E441" s="12" t="str">
        <x:v>11 Cowork</x:v>
      </x:c>
      <x:c r="F441" s="11" t="n">
        <x:v>1</x:v>
      </x:c>
      <x:c r="G441" s="11" t="n">
        <x:v>1</x:v>
      </x:c>
      <x:c r="H441" s="11" t="n">
        <x:v>0</x:v>
      </x:c>
      <x:c r="I441" s="17" t="n">
        <x:f>INDEX('Costing'!$P$9:$P$492,MATCH(D441,'Costing'!$A$9:$A$492,0))</x:f>
        <x:v>15000</x:v>
      </x:c>
      <x:c r="J441" s="17" t="n">
        <x:f>ROUND(I441*'Costing'!$C$4,2)</x:f>
        <x:v>2700</x:v>
      </x:c>
      <x:c r="K441" s="17" t="n">
        <x:f>I441+J441</x:f>
        <x:v>17700</x:v>
      </x:c>
    </x:row>
    <x:row r="442" ht="46" customHeight="1">
      <x:c r="A442" s="2" t="str">
        <x:v>Indicative size</x:v>
      </x:c>
      <x:c r="B442" s="2" t="str">
        <x:v>Medium-scale prospects</x:v>
      </x:c>
      <x:c r="C442" s="12" t="str">
        <x:v>Pune</x:v>
      </x:c>
      <x:c r="D442" s="12" t="str">
        <x:v>MAIN-391</x:v>
      </x:c>
      <x:c r="E442" s="12" t="str">
        <x:v>Awfis - Sterling Towers</x:v>
      </x:c>
      <x:c r="F442" s="11" t="n">
        <x:v>1</x:v>
      </x:c>
      <x:c r="G442" s="11" t="n">
        <x:v>1</x:v>
      </x:c>
      <x:c r="H442" s="11" t="n">
        <x:v>0</x:v>
      </x:c>
      <x:c r="I442" s="17" t="n">
        <x:f>INDEX('Costing'!$P$9:$P$492,MATCH(D442,'Costing'!$A$9:$A$492,0))</x:f>
        <x:v>15000</x:v>
      </x:c>
      <x:c r="J442" s="17" t="n">
        <x:f>ROUND(I442*'Costing'!$C$4,2)</x:f>
        <x:v>2700</x:v>
      </x:c>
      <x:c r="K442" s="17" t="n">
        <x:f>I442+J442</x:f>
        <x:v>17700</x:v>
      </x:c>
    </x:row>
    <x:row r="443" ht="46" customHeight="1">
      <x:c r="A443" s="2" t="str">
        <x:v>Indicative size</x:v>
      </x:c>
      <x:c r="B443" s="2" t="str">
        <x:v>Medium-scale prospects</x:v>
      </x:c>
      <x:c r="C443" s="12" t="str">
        <x:v>Pune</x:v>
      </x:c>
      <x:c r="D443" s="12" t="str">
        <x:v>MAIN-403</x:v>
      </x:c>
      <x:c r="E443" s="12" t="str">
        <x:v>M Agile Tech Park</x:v>
      </x:c>
      <x:c r="F443" s="11" t="n">
        <x:v>4</x:v>
      </x:c>
      <x:c r="G443" s="11" t="n">
        <x:v>4</x:v>
      </x:c>
      <x:c r="H443" s="11" t="n">
        <x:v>0</x:v>
      </x:c>
      <x:c r="I443" s="17" t="n">
        <x:f>INDEX('Costing'!$P$9:$P$492,MATCH(D443,'Costing'!$A$9:$A$492,0))</x:f>
        <x:v>80000</x:v>
      </x:c>
      <x:c r="J443" s="17" t="n">
        <x:f>ROUND(I443*'Costing'!$C$4,2)</x:f>
        <x:v>14400</x:v>
      </x:c>
      <x:c r="K443" s="17" t="n">
        <x:f>I443+J443</x:f>
        <x:v>94400</x:v>
      </x:c>
    </x:row>
    <x:row r="444" ht="46" customHeight="1">
      <x:c r="A444" s="2" t="str">
        <x:v>Indicative size</x:v>
      </x:c>
      <x:c r="B444" s="2" t="str">
        <x:v>Medium-scale prospects</x:v>
      </x:c>
      <x:c r="C444" s="12" t="str">
        <x:v>Pune</x:v>
      </x:c>
      <x:c r="D444" s="12" t="str">
        <x:v>MAIN-407</x:v>
      </x:c>
      <x:c r="E444" s="12" t="str">
        <x:v>Oyo Workspace - Innov8 Suman Business Park</x:v>
      </x:c>
      <x:c r="F444" s="11" t="n">
        <x:v>2</x:v>
      </x:c>
      <x:c r="G444" s="11" t="n">
        <x:v>2</x:v>
      </x:c>
      <x:c r="H444" s="11" t="n">
        <x:v>0</x:v>
      </x:c>
      <x:c r="I444" s="17" t="n">
        <x:f>INDEX('Costing'!$P$9:$P$492,MATCH(D444,'Costing'!$A$9:$A$492,0))</x:f>
        <x:v>30000</x:v>
      </x:c>
      <x:c r="J444" s="17" t="n">
        <x:f>ROUND(I444*'Costing'!$C$4,2)</x:f>
        <x:v>5400</x:v>
      </x:c>
      <x:c r="K444" s="17" t="n">
        <x:f>I444+J444</x:f>
        <x:v>35400</x:v>
      </x:c>
    </x:row>
    <x:row r="445" ht="46" customHeight="1">
      <x:c r="A445" s="2" t="str">
        <x:v>Indicative size</x:v>
      </x:c>
      <x:c r="B445" s="2" t="str">
        <x:v>Medium-scale prospects</x:v>
      </x:c>
      <x:c r="C445" s="12" t="str">
        <x:v>Pune</x:v>
      </x:c>
      <x:c r="D445" s="12" t="str">
        <x:v>MAIN-409</x:v>
      </x:c>
      <x:c r="E445" s="12" t="str">
        <x:v>Pavillion Mall (Redbrick Offices)</x:v>
      </x:c>
      <x:c r="F445" s="11" t="n">
        <x:v>1</x:v>
      </x:c>
      <x:c r="G445" s="11" t="n">
        <x:v>1</x:v>
      </x:c>
      <x:c r="H445" s="11" t="n">
        <x:v>0</x:v>
      </x:c>
      <x:c r="I445" s="17" t="n">
        <x:f>INDEX('Costing'!$P$9:$P$492,MATCH(D445,'Costing'!$A$9:$A$492,0))</x:f>
        <x:v>15000</x:v>
      </x:c>
      <x:c r="J445" s="17" t="n">
        <x:f>ROUND(I445*'Costing'!$C$4,2)</x:f>
        <x:v>2700</x:v>
      </x:c>
      <x:c r="K445" s="17" t="n">
        <x:f>I445+J445</x:f>
        <x:v>17700</x:v>
      </x:c>
    </x:row>
    <x:row r="446" ht="46" customHeight="1">
      <x:c r="A446" s="2" t="str">
        <x:v>Indicative size</x:v>
      </x:c>
      <x:c r="B446" s="2" t="str">
        <x:v>Medium-scale prospects</x:v>
      </x:c>
      <x:c r="C446" s="12" t="str">
        <x:v>Pune</x:v>
      </x:c>
      <x:c r="D446" s="12" t="str">
        <x:v>MAIN-410</x:v>
      </x:c>
      <x:c r="E446" s="12" t="str">
        <x:v>PBP Balewadi High Street (Redbrick Offices)</x:v>
      </x:c>
      <x:c r="F446" s="11" t="n">
        <x:v>1</x:v>
      </x:c>
      <x:c r="G446" s="11" t="n">
        <x:v>1</x:v>
      </x:c>
      <x:c r="H446" s="11" t="n">
        <x:v>0</x:v>
      </x:c>
      <x:c r="I446" s="17" t="n">
        <x:f>INDEX('Costing'!$P$9:$P$492,MATCH(D446,'Costing'!$A$9:$A$492,0))</x:f>
        <x:v>15000</x:v>
      </x:c>
      <x:c r="J446" s="17" t="n">
        <x:f>ROUND(I446*'Costing'!$C$4,2)</x:f>
        <x:v>2700</x:v>
      </x:c>
      <x:c r="K446" s="17" t="n">
        <x:f>I446+J446</x:f>
        <x:v>17700</x:v>
      </x:c>
    </x:row>
    <x:row r="447" ht="46" customHeight="1">
      <x:c r="A447" s="2" t="str">
        <x:v>Indicative size</x:v>
      </x:c>
      <x:c r="B447" s="2" t="str">
        <x:v>Medium-scale prospects</x:v>
      </x:c>
      <x:c r="C447" s="12" t="str">
        <x:v>Pune</x:v>
      </x:c>
      <x:c r="D447" s="12" t="str">
        <x:v>MAIN-414</x:v>
      </x:c>
      <x:c r="E447" s="12" t="str">
        <x:v>Smartworks Amar Madhuban Tech Park</x:v>
      </x:c>
      <x:c r="F447" s="11" t="n">
        <x:v>3</x:v>
      </x:c>
      <x:c r="G447" s="11" t="n">
        <x:v>3</x:v>
      </x:c>
      <x:c r="H447" s="11" t="n">
        <x:v>0</x:v>
      </x:c>
      <x:c r="I447" s="17" t="n">
        <x:f>INDEX('Costing'!$P$9:$P$492,MATCH(D447,'Costing'!$A$9:$A$492,0))</x:f>
        <x:v>60000</x:v>
      </x:c>
      <x:c r="J447" s="17" t="n">
        <x:f>ROUND(I447*'Costing'!$C$4,2)</x:f>
        <x:v>10800</x:v>
      </x:c>
      <x:c r="K447" s="17" t="n">
        <x:f>I447+J447</x:f>
        <x:v>70800</x:v>
      </x:c>
    </x:row>
    <x:row r="448" ht="46" customHeight="1">
      <x:c r="A448" s="2" t="str">
        <x:v>Indicative size</x:v>
      </x:c>
      <x:c r="B448" s="2" t="str">
        <x:v>Medium-scale prospects</x:v>
      </x:c>
      <x:c r="C448" s="12" t="str">
        <x:v>Pune</x:v>
      </x:c>
      <x:c r="D448" s="12" t="str">
        <x:v>MAIN-415</x:v>
      </x:c>
      <x:c r="E448" s="12" t="str">
        <x:v>The Powerpoint Coworking Space</x:v>
      </x:c>
      <x:c r="F448" s="11" t="n">
        <x:v>1</x:v>
      </x:c>
      <x:c r="G448" s="11" t="n">
        <x:v>1</x:v>
      </x:c>
      <x:c r="H448" s="11" t="n">
        <x:v>0</x:v>
      </x:c>
      <x:c r="I448" s="17" t="n">
        <x:f>INDEX('Costing'!$P$9:$P$492,MATCH(D448,'Costing'!$A$9:$A$492,0))</x:f>
        <x:v>15000</x:v>
      </x:c>
      <x:c r="J448" s="17" t="n">
        <x:f>ROUND(I448*'Costing'!$C$4,2)</x:f>
        <x:v>2700</x:v>
      </x:c>
      <x:c r="K448" s="17" t="n">
        <x:f>I448+J448</x:f>
        <x:v>17700</x:v>
      </x:c>
    </x:row>
    <x:row r="449" ht="46" customHeight="1">
      <x:c r="A449" s="2" t="str">
        <x:v>Indicative size</x:v>
      </x:c>
      <x:c r="B449" s="2" t="str">
        <x:v>Medium-scale prospects</x:v>
      </x:c>
      <x:c r="C449" s="12" t="str">
        <x:v>Bengaluru</x:v>
      </x:c>
      <x:c r="D449" s="12" t="str">
        <x:v>PARTNER-M138</x:v>
      </x:c>
      <x:c r="E449" s="12" t="str">
        <x:v>Bagmane Capital</x:v>
      </x:c>
      <x:c r="F449" s="11" t="n">
        <x:v>8</x:v>
      </x:c>
      <x:c r="G449" s="11" t="n">
        <x:v>8</x:v>
      </x:c>
      <x:c r="H449" s="11" t="n">
        <x:v>0</x:v>
      </x:c>
      <x:c r="I449" s="17" t="n">
        <x:f>INDEX('Costing'!$P$9:$P$492,MATCH(D449,'Costing'!$A$9:$A$492,0))</x:f>
        <x:v>320000</x:v>
      </x:c>
      <x:c r="J449" s="17" t="n">
        <x:f>ROUND(I449*'Costing'!$C$4,2)</x:f>
        <x:v>57600</x:v>
      </x:c>
      <x:c r="K449" s="17" t="n">
        <x:f>I449+J449</x:f>
        <x:v>377600</x:v>
      </x:c>
    </x:row>
    <x:row r="450" ht="46" customHeight="1">
      <x:c r="A450" s="2" t="str">
        <x:v>Indicative size</x:v>
      </x:c>
      <x:c r="B450" s="2" t="str">
        <x:v>Medium-scale prospects</x:v>
      </x:c>
      <x:c r="C450" s="12" t="str">
        <x:v>Bengaluru</x:v>
      </x:c>
      <x:c r="D450" s="12" t="str">
        <x:v>PARTNER-M108</x:v>
      </x:c>
      <x:c r="E450" s="12" t="str">
        <x:v>Bagmane Tech Park</x:v>
      </x:c>
      <x:c r="F450" s="11" t="n">
        <x:v>12</x:v>
      </x:c>
      <x:c r="G450" s="11" t="n">
        <x:v>12</x:v>
      </x:c>
      <x:c r="H450" s="11" t="n">
        <x:v>0</x:v>
      </x:c>
      <x:c r="I450" s="17" t="n">
        <x:f>INDEX('Costing'!$P$9:$P$492,MATCH(D450,'Costing'!$A$9:$A$492,0))</x:f>
        <x:v>480000</x:v>
      </x:c>
      <x:c r="J450" s="17" t="n">
        <x:f>ROUND(I450*'Costing'!$C$4,2)</x:f>
        <x:v>86400</x:v>
      </x:c>
      <x:c r="K450" s="17" t="n">
        <x:f>I450+J450</x:f>
        <x:v>566400</x:v>
      </x:c>
    </x:row>
    <x:row r="451" ht="46" customHeight="1">
      <x:c r="A451" s="2" t="str">
        <x:v>Indicative size</x:v>
      </x:c>
      <x:c r="B451" s="2" t="str">
        <x:v>Medium-scale prospects</x:v>
      </x:c>
      <x:c r="C451" s="12" t="str">
        <x:v>Bengaluru</x:v>
      </x:c>
      <x:c r="D451" s="12" t="str">
        <x:v>PARTNER-M056</x:v>
      </x:c>
      <x:c r="E451" s="12" t="str">
        <x:v>Brigade IRV</x:v>
      </x:c>
      <x:c r="F451" s="11" t="n">
        <x:v>4</x:v>
      </x:c>
      <x:c r="G451" s="11" t="n">
        <x:v>4</x:v>
      </x:c>
      <x:c r="H451" s="11" t="n">
        <x:v>0</x:v>
      </x:c>
      <x:c r="I451" s="17" t="n">
        <x:f>INDEX('Costing'!$P$9:$P$492,MATCH(D451,'Costing'!$A$9:$A$492,0))</x:f>
        <x:v>160000</x:v>
      </x:c>
      <x:c r="J451" s="17" t="n">
        <x:f>ROUND(I451*'Costing'!$C$4,2)</x:f>
        <x:v>28800</x:v>
      </x:c>
      <x:c r="K451" s="17" t="n">
        <x:f>I451+J451</x:f>
        <x:v>188800</x:v>
      </x:c>
    </x:row>
    <x:row r="452" ht="46" customHeight="1">
      <x:c r="A452" s="2" t="str">
        <x:v>Indicative size</x:v>
      </x:c>
      <x:c r="B452" s="2" t="str">
        <x:v>Medium-scale prospects</x:v>
      </x:c>
      <x:c r="C452" s="12" t="str">
        <x:v>Bengaluru</x:v>
      </x:c>
      <x:c r="D452" s="12" t="str">
        <x:v>PARTNER-M166</x:v>
      </x:c>
      <x:c r="E452" s="12" t="str">
        <x:v>Cessna Business Park</x:v>
      </x:c>
      <x:c r="F452" s="11" t="n">
        <x:v>3</x:v>
      </x:c>
      <x:c r="G452" s="11" t="n">
        <x:v>3</x:v>
      </x:c>
      <x:c r="H452" s="11" t="n">
        <x:v>0</x:v>
      </x:c>
      <x:c r="I452" s="17" t="n">
        <x:f>INDEX('Costing'!$P$9:$P$492,MATCH(D452,'Costing'!$A$9:$A$492,0))</x:f>
        <x:v>120000</x:v>
      </x:c>
      <x:c r="J452" s="17" t="n">
        <x:f>ROUND(I452*'Costing'!$C$4,2)</x:f>
        <x:v>21600</x:v>
      </x:c>
      <x:c r="K452" s="17" t="n">
        <x:f>I452+J452</x:f>
        <x:v>141600</x:v>
      </x:c>
    </x:row>
    <x:row r="453" ht="46" customHeight="1">
      <x:c r="A453" s="2" t="str">
        <x:v>Indicative size</x:v>
      </x:c>
      <x:c r="B453" s="2" t="str">
        <x:v>Medium-scale prospects</x:v>
      </x:c>
      <x:c r="C453" s="12" t="str">
        <x:v>Bengaluru</x:v>
      </x:c>
      <x:c r="D453" s="12" t="str">
        <x:v>PARTNER-M162</x:v>
      </x:c>
      <x:c r="E453" s="12" t="str">
        <x:v>Fincity Corproate Park </x:v>
      </x:c>
      <x:c r="F453" s="11" t="n">
        <x:v>4</x:v>
      </x:c>
      <x:c r="G453" s="11" t="n">
        <x:v>4</x:v>
      </x:c>
      <x:c r="H453" s="11" t="n">
        <x:v>0</x:v>
      </x:c>
      <x:c r="I453" s="17" t="n">
        <x:f>INDEX('Costing'!$P$9:$P$492,MATCH(D453,'Costing'!$A$9:$A$492,0))</x:f>
        <x:v>160000</x:v>
      </x:c>
      <x:c r="J453" s="17" t="n">
        <x:f>ROUND(I453*'Costing'!$C$4,2)</x:f>
        <x:v>28800</x:v>
      </x:c>
      <x:c r="K453" s="17" t="n">
        <x:f>I453+J453</x:f>
        <x:v>188800</x:v>
      </x:c>
    </x:row>
    <x:row r="454" ht="46" customHeight="1">
      <x:c r="A454" s="2" t="str">
        <x:v>Indicative size</x:v>
      </x:c>
      <x:c r="B454" s="2" t="str">
        <x:v>Medium-scale prospects</x:v>
      </x:c>
      <x:c r="C454" s="12" t="str">
        <x:v>Bengaluru</x:v>
      </x:c>
      <x:c r="D454" s="12" t="str">
        <x:v>PARTNER-M002</x:v>
      </x:c>
      <x:c r="E454" s="12" t="str">
        <x:v>International Tech Park (ITPB)</x:v>
      </x:c>
      <x:c r="F454" s="11" t="n">
        <x:v>9</x:v>
      </x:c>
      <x:c r="G454" s="11" t="n">
        <x:v>9</x:v>
      </x:c>
      <x:c r="H454" s="11" t="n">
        <x:v>0</x:v>
      </x:c>
      <x:c r="I454" s="17" t="n">
        <x:f>INDEX('Costing'!$P$9:$P$492,MATCH(D454,'Costing'!$A$9:$A$492,0))</x:f>
        <x:v>360000</x:v>
      </x:c>
      <x:c r="J454" s="17" t="n">
        <x:f>ROUND(I454*'Costing'!$C$4,2)</x:f>
        <x:v>64800</x:v>
      </x:c>
      <x:c r="K454" s="17" t="n">
        <x:f>I454+J454</x:f>
        <x:v>424800</x:v>
      </x:c>
    </x:row>
    <x:row r="455" ht="46" customHeight="1">
      <x:c r="A455" s="2" t="str">
        <x:v>Indicative size</x:v>
      </x:c>
      <x:c r="B455" s="2" t="str">
        <x:v>Medium-scale prospects</x:v>
      </x:c>
      <x:c r="C455" s="12" t="str">
        <x:v>Bengaluru</x:v>
      </x:c>
      <x:c r="D455" s="12" t="str">
        <x:v>PARTNER-M051</x:v>
      </x:c>
      <x:c r="E455" s="12" t="str">
        <x:v>Manyata Tech park - Mfar</x:v>
      </x:c>
      <x:c r="F455" s="11" t="n">
        <x:v>5</x:v>
      </x:c>
      <x:c r="G455" s="11" t="n">
        <x:v>5</x:v>
      </x:c>
      <x:c r="H455" s="11" t="n">
        <x:v>0</x:v>
      </x:c>
      <x:c r="I455" s="17" t="n">
        <x:f>INDEX('Costing'!$P$9:$P$492,MATCH(D455,'Costing'!$A$9:$A$492,0))</x:f>
        <x:v>200000</x:v>
      </x:c>
      <x:c r="J455" s="17" t="n">
        <x:f>ROUND(I455*'Costing'!$C$4,2)</x:f>
        <x:v>36000</x:v>
      </x:c>
      <x:c r="K455" s="17" t="n">
        <x:f>I455+J455</x:f>
        <x:v>236000</x:v>
      </x:c>
    </x:row>
    <x:row r="456" ht="46" customHeight="1">
      <x:c r="A456" s="2" t="str">
        <x:v>Indicative size</x:v>
      </x:c>
      <x:c r="B456" s="2" t="str">
        <x:v>Medium-scale prospects</x:v>
      </x:c>
      <x:c r="C456" s="12" t="str">
        <x:v>Bengaluru</x:v>
      </x:c>
      <x:c r="D456" s="12" t="str">
        <x:v>PARTNER-M154</x:v>
      </x:c>
      <x:c r="E456" s="12" t="str">
        <x:v>Maruthi Infotech Center</x:v>
      </x:c>
      <x:c r="F456" s="11" t="n">
        <x:v>8</x:v>
      </x:c>
      <x:c r="G456" s="11" t="n">
        <x:v>8</x:v>
      </x:c>
      <x:c r="H456" s="11" t="n">
        <x:v>0</x:v>
      </x:c>
      <x:c r="I456" s="17" t="n">
        <x:f>INDEX('Costing'!$P$9:$P$492,MATCH(D456,'Costing'!$A$9:$A$492,0))</x:f>
        <x:v>320000</x:v>
      </x:c>
      <x:c r="J456" s="17" t="n">
        <x:f>ROUND(I456*'Costing'!$C$4,2)</x:f>
        <x:v>57600</x:v>
      </x:c>
      <x:c r="K456" s="17" t="n">
        <x:f>I456+J456</x:f>
        <x:v>377600</x:v>
      </x:c>
    </x:row>
    <x:row r="457" ht="46" customHeight="1">
      <x:c r="A457" s="2" t="str">
        <x:v>Indicative size</x:v>
      </x:c>
      <x:c r="B457" s="2" t="str">
        <x:v>Medium-scale prospects</x:v>
      </x:c>
      <x:c r="C457" s="12" t="str">
        <x:v>Bengaluru</x:v>
      </x:c>
      <x:c r="D457" s="12" t="str">
        <x:v>PARTNER-M097</x:v>
      </x:c>
      <x:c r="E457" s="12" t="str">
        <x:v>Prestige Blue Chip </x:v>
      </x:c>
      <x:c r="F457" s="11" t="n">
        <x:v>3</x:v>
      </x:c>
      <x:c r="G457" s="11" t="n">
        <x:v>3</x:v>
      </x:c>
      <x:c r="H457" s="11" t="n">
        <x:v>0</x:v>
      </x:c>
      <x:c r="I457" s="17" t="n">
        <x:f>INDEX('Costing'!$P$9:$P$492,MATCH(D457,'Costing'!$A$9:$A$492,0))</x:f>
        <x:v>120000</x:v>
      </x:c>
      <x:c r="J457" s="17" t="n">
        <x:f>ROUND(I457*'Costing'!$C$4,2)</x:f>
        <x:v>21600</x:v>
      </x:c>
      <x:c r="K457" s="17" t="n">
        <x:f>I457+J457</x:f>
        <x:v>141600</x:v>
      </x:c>
    </x:row>
    <x:row r="458" ht="46" customHeight="1">
      <x:c r="A458" s="2" t="str">
        <x:v>Indicative size</x:v>
      </x:c>
      <x:c r="B458" s="2" t="str">
        <x:v>Medium-scale prospects</x:v>
      </x:c>
      <x:c r="C458" s="12" t="str">
        <x:v>Bengaluru</x:v>
      </x:c>
      <x:c r="D458" s="12" t="str">
        <x:v>PARTNER-M100</x:v>
      </x:c>
      <x:c r="E458" s="12" t="str">
        <x:v>Prestige Obelisk + Prestige Atrium + Prestige Sapphire + Prestige Al Kareem + Prestige Delta</x:v>
      </x:c>
      <x:c r="F458" s="11" t="n">
        <x:v>8</x:v>
      </x:c>
      <x:c r="G458" s="11" t="n">
        <x:v>8</x:v>
      </x:c>
      <x:c r="H458" s="11" t="n">
        <x:v>0</x:v>
      </x:c>
      <x:c r="I458" s="17" t="n">
        <x:f>INDEX('Costing'!$P$9:$P$492,MATCH(D458,'Costing'!$A$9:$A$492,0))</x:f>
        <x:v>320000</x:v>
      </x:c>
      <x:c r="J458" s="17" t="n">
        <x:f>ROUND(I458*'Costing'!$C$4,2)</x:f>
        <x:v>57600</x:v>
      </x:c>
      <x:c r="K458" s="17" t="n">
        <x:f>I458+J458</x:f>
        <x:v>377600</x:v>
      </x:c>
    </x:row>
    <x:row r="459" ht="46" customHeight="1">
      <x:c r="A459" s="2" t="str">
        <x:v>Indicative size</x:v>
      </x:c>
      <x:c r="B459" s="2" t="str">
        <x:v>Medium-scale prospects</x:v>
      </x:c>
      <x:c r="C459" s="12" t="str">
        <x:v>Bengaluru</x:v>
      </x:c>
      <x:c r="D459" s="12" t="str">
        <x:v>PARTNER-M093</x:v>
      </x:c>
      <x:c r="E459" s="12" t="str">
        <x:v>Prestige Summit</x:v>
      </x:c>
      <x:c r="F459" s="11" t="n">
        <x:v>4</x:v>
      </x:c>
      <x:c r="G459" s="11" t="n">
        <x:v>4</x:v>
      </x:c>
      <x:c r="H459" s="11" t="n">
        <x:v>0</x:v>
      </x:c>
      <x:c r="I459" s="17" t="n">
        <x:f>INDEX('Costing'!$P$9:$P$492,MATCH(D459,'Costing'!$A$9:$A$492,0))</x:f>
        <x:v>160000</x:v>
      </x:c>
      <x:c r="J459" s="17" t="n">
        <x:f>ROUND(I459*'Costing'!$C$4,2)</x:f>
        <x:v>28800</x:v>
      </x:c>
      <x:c r="K459" s="17" t="n">
        <x:f>I459+J459</x:f>
        <x:v>188800</x:v>
      </x:c>
    </x:row>
    <x:row r="460" ht="46" customHeight="1">
      <x:c r="A460" s="2" t="str">
        <x:v>Indicative size</x:v>
      </x:c>
      <x:c r="B460" s="2" t="str">
        <x:v>Medium-scale prospects</x:v>
      </x:c>
      <x:c r="C460" s="12" t="str">
        <x:v>Bengaluru</x:v>
      </x:c>
      <x:c r="D460" s="12" t="str">
        <x:v>PARTNER-M014</x:v>
      </x:c>
      <x:c r="E460" s="12" t="str">
        <x:v>Prestige Tech Park</x:v>
      </x:c>
      <x:c r="F460" s="11" t="n">
        <x:v>10</x:v>
      </x:c>
      <x:c r="G460" s="11" t="n">
        <x:v>10</x:v>
      </x:c>
      <x:c r="H460" s="11" t="n">
        <x:v>0</x:v>
      </x:c>
      <x:c r="I460" s="17" t="n">
        <x:f>INDEX('Costing'!$P$9:$P$492,MATCH(D460,'Costing'!$A$9:$A$492,0))</x:f>
        <x:v>400000</x:v>
      </x:c>
      <x:c r="J460" s="17" t="n">
        <x:f>ROUND(I460*'Costing'!$C$4,2)</x:f>
        <x:v>72000</x:v>
      </x:c>
      <x:c r="K460" s="17" t="n">
        <x:f>I460+J460</x:f>
        <x:v>472000</x:v>
      </x:c>
    </x:row>
    <x:row r="461" ht="46" customHeight="1">
      <x:c r="A461" s="2" t="str">
        <x:v>Indicative size</x:v>
      </x:c>
      <x:c r="B461" s="2" t="str">
        <x:v>Medium-scale prospects</x:v>
      </x:c>
      <x:c r="C461" s="12" t="str">
        <x:v>Bengaluru</x:v>
      </x:c>
      <x:c r="D461" s="12" t="str">
        <x:v>PARTNER-M034</x:v>
      </x:c>
      <x:c r="E461" s="12" t="str">
        <x:v>Prestige Technostar</x:v>
      </x:c>
      <x:c r="F461" s="11" t="n">
        <x:v>5</x:v>
      </x:c>
      <x:c r="G461" s="11" t="n">
        <x:v>5</x:v>
      </x:c>
      <x:c r="H461" s="11" t="n">
        <x:v>0</x:v>
      </x:c>
      <x:c r="I461" s="17" t="n">
        <x:f>INDEX('Costing'!$P$9:$P$492,MATCH(D461,'Costing'!$A$9:$A$492,0))</x:f>
        <x:v>200000</x:v>
      </x:c>
      <x:c r="J461" s="17" t="n">
        <x:f>ROUND(I461*'Costing'!$C$4,2)</x:f>
        <x:v>36000</x:v>
      </x:c>
      <x:c r="K461" s="17" t="n">
        <x:f>I461+J461</x:f>
        <x:v>236000</x:v>
      </x:c>
    </x:row>
    <x:row r="462" ht="46" customHeight="1">
      <x:c r="A462" s="2" t="str">
        <x:v>Indicative size</x:v>
      </x:c>
      <x:c r="B462" s="2" t="str">
        <x:v>Medium-scale prospects</x:v>
      </x:c>
      <x:c r="C462" s="12" t="str">
        <x:v>Chennai</x:v>
      </x:c>
      <x:c r="D462" s="12" t="str">
        <x:v>PARTNER-M340</x:v>
      </x:c>
      <x:c r="E462" s="12" t="str">
        <x:v>Prestige Cosmopolitan</x:v>
      </x:c>
      <x:c r="F462" s="11" t="n">
        <x:v>2</x:v>
      </x:c>
      <x:c r="G462" s="11" t="n">
        <x:v>2</x:v>
      </x:c>
      <x:c r="H462" s="11" t="n">
        <x:v>0</x:v>
      </x:c>
      <x:c r="I462" s="17" t="n">
        <x:f>INDEX('Costing'!$P$9:$P$492,MATCH(D462,'Costing'!$A$9:$A$492,0))</x:f>
        <x:v>80000</x:v>
      </x:c>
      <x:c r="J462" s="17" t="n">
        <x:f>ROUND(I462*'Costing'!$C$4,2)</x:f>
        <x:v>14400</x:v>
      </x:c>
      <x:c r="K462" s="17" t="n">
        <x:f>I462+J462</x:f>
        <x:v>94400</x:v>
      </x:c>
    </x:row>
    <x:row r="463" ht="46" customHeight="1">
      <x:c r="A463" s="2" t="str">
        <x:v>Indicative size</x:v>
      </x:c>
      <x:c r="B463" s="2" t="str">
        <x:v>Medium-scale prospects</x:v>
      </x:c>
      <x:c r="C463" s="12" t="str">
        <x:v>Chennai</x:v>
      </x:c>
      <x:c r="D463" s="12" t="str">
        <x:v>PARTNER-M338</x:v>
      </x:c>
      <x:c r="E463" s="12" t="str">
        <x:v>Prestige Palladium Bayan</x:v>
      </x:c>
      <x:c r="F463" s="11" t="n">
        <x:v>2</x:v>
      </x:c>
      <x:c r="G463" s="11" t="n">
        <x:v>2</x:v>
      </x:c>
      <x:c r="H463" s="11" t="n">
        <x:v>0</x:v>
      </x:c>
      <x:c r="I463" s="17" t="n">
        <x:f>INDEX('Costing'!$P$9:$P$492,MATCH(D463,'Costing'!$A$9:$A$492,0))</x:f>
        <x:v>80000</x:v>
      </x:c>
      <x:c r="J463" s="17" t="n">
        <x:f>ROUND(I463*'Costing'!$C$4,2)</x:f>
        <x:v>14400</x:v>
      </x:c>
      <x:c r="K463" s="17" t="n">
        <x:f>I463+J463</x:f>
        <x:v>94400</x:v>
      </x:c>
    </x:row>
    <x:row r="464" ht="46" customHeight="1">
      <x:c r="A464" s="2" t="str">
        <x:v>Indicative size</x:v>
      </x:c>
      <x:c r="B464" s="2" t="str">
        <x:v>Medium-scale prospects</x:v>
      </x:c>
      <x:c r="C464" s="12" t="str">
        <x:v>Chennai</x:v>
      </x:c>
      <x:c r="D464" s="12" t="str">
        <x:v>PARTNER-M334</x:v>
      </x:c>
      <x:c r="E464" s="12" t="str">
        <x:v>Prestige Zakria Metropolitan</x:v>
      </x:c>
      <x:c r="F464" s="11" t="n">
        <x:v>2</x:v>
      </x:c>
      <x:c r="G464" s="11" t="n">
        <x:v>2</x:v>
      </x:c>
      <x:c r="H464" s="11" t="n">
        <x:v>0</x:v>
      </x:c>
      <x:c r="I464" s="17" t="n">
        <x:f>INDEX('Costing'!$P$9:$P$492,MATCH(D464,'Costing'!$A$9:$A$492,0))</x:f>
        <x:v>80000</x:v>
      </x:c>
      <x:c r="J464" s="17" t="n">
        <x:f>ROUND(I464*'Costing'!$C$4,2)</x:f>
        <x:v>14400</x:v>
      </x:c>
      <x:c r="K464" s="17" t="n">
        <x:f>I464+J464</x:f>
        <x:v>94400</x:v>
      </x:c>
    </x:row>
    <x:row r="465" ht="46" customHeight="1">
      <x:c r="A465" s="2" t="str">
        <x:v>Indicative size</x:v>
      </x:c>
      <x:c r="B465" s="2" t="str">
        <x:v>Medium-scale prospects</x:v>
      </x:c>
      <x:c r="C465" s="12" t="str">
        <x:v>Chennai</x:v>
      </x:c>
      <x:c r="D465" s="12" t="str">
        <x:v>PARTNER-M331</x:v>
      </x:c>
      <x:c r="E465" s="12" t="str">
        <x:v>Prince Towers</x:v>
      </x:c>
      <x:c r="F465" s="11" t="n">
        <x:v>1</x:v>
      </x:c>
      <x:c r="G465" s="11" t="n">
        <x:v>1</x:v>
      </x:c>
      <x:c r="H465" s="11" t="n">
        <x:v>0</x:v>
      </x:c>
      <x:c r="I465" s="17" t="n">
        <x:f>INDEX('Costing'!$P$9:$P$492,MATCH(D465,'Costing'!$A$9:$A$492,0))</x:f>
        <x:v>40000</x:v>
      </x:c>
      <x:c r="J465" s="17" t="n">
        <x:f>ROUND(I465*'Costing'!$C$4,2)</x:f>
        <x:v>7200</x:v>
      </x:c>
      <x:c r="K465" s="17" t="n">
        <x:f>I465+J465</x:f>
        <x:v>47200</x:v>
      </x:c>
    </x:row>
    <x:row r="466" ht="46" customHeight="1">
      <x:c r="A466" s="2" t="str">
        <x:v>Indicative size</x:v>
      </x:c>
      <x:c r="B466" s="2" t="str">
        <x:v>Medium-scale prospects</x:v>
      </x:c>
      <x:c r="C466" s="12" t="str">
        <x:v>Delhi NCR</x:v>
      </x:c>
      <x:c r="D466" s="12" t="str">
        <x:v>PARTNER-M353</x:v>
      </x:c>
      <x:c r="E466" s="12" t="str">
        <x:v>iLabs Info Technology Center</x:v>
      </x:c>
      <x:c r="F466" s="11" t="n">
        <x:v>5</x:v>
      </x:c>
      <x:c r="G466" s="11" t="n">
        <x:v>5</x:v>
      </x:c>
      <x:c r="H466" s="11" t="n">
        <x:v>0</x:v>
      </x:c>
      <x:c r="I466" s="17" t="n">
        <x:f>INDEX('Costing'!$P$9:$P$492,MATCH(D466,'Costing'!$A$9:$A$492,0))</x:f>
        <x:v>200000</x:v>
      </x:c>
      <x:c r="J466" s="17" t="n">
        <x:f>ROUND(I466*'Costing'!$C$4,2)</x:f>
        <x:v>36000</x:v>
      </x:c>
      <x:c r="K466" s="17" t="n">
        <x:f>I466+J466</x:f>
        <x:v>236000</x:v>
      </x:c>
    </x:row>
    <x:row r="467" ht="46" customHeight="1">
      <x:c r="A467" s="2" t="str">
        <x:v>Indicative size</x:v>
      </x:c>
      <x:c r="B467" s="2" t="str">
        <x:v>Medium-scale prospects</x:v>
      </x:c>
      <x:c r="C467" s="12" t="str">
        <x:v>Delhi NCR</x:v>
      </x:c>
      <x:c r="D467" s="12" t="str">
        <x:v>PARTNER-M365</x:v>
      </x:c>
      <x:c r="E467" s="12" t="str">
        <x:v>Urbtech Trade Centre</x:v>
      </x:c>
      <x:c r="F467" s="11" t="n">
        <x:v>10</x:v>
      </x:c>
      <x:c r="G467" s="11" t="n">
        <x:v>10</x:v>
      </x:c>
      <x:c r="H467" s="11" t="n">
        <x:v>0</x:v>
      </x:c>
      <x:c r="I467" s="17" t="n">
        <x:f>INDEX('Costing'!$P$9:$P$492,MATCH(D467,'Costing'!$A$9:$A$492,0))</x:f>
        <x:v>400000</x:v>
      </x:c>
      <x:c r="J467" s="17" t="n">
        <x:f>ROUND(I467*'Costing'!$C$4,2)</x:f>
        <x:v>72000</x:v>
      </x:c>
      <x:c r="K467" s="17" t="n">
        <x:f>I467+J467</x:f>
        <x:v>472000</x:v>
      </x:c>
    </x:row>
    <x:row r="468" ht="46" customHeight="1">
      <x:c r="A468" s="2" t="str">
        <x:v>Indicative size</x:v>
      </x:c>
      <x:c r="B468" s="2" t="str">
        <x:v>Medium-scale prospects</x:v>
      </x:c>
      <x:c r="C468" s="12" t="str">
        <x:v>Hyderabad</x:v>
      </x:c>
      <x:c r="D468" s="12" t="str">
        <x:v>PARTNER-M289</x:v>
      </x:c>
      <x:c r="E468" s="12" t="str">
        <x:v>Cyber Gateway</x:v>
      </x:c>
      <x:c r="F468" s="11" t="n">
        <x:v>6</x:v>
      </x:c>
      <x:c r="G468" s="11" t="n">
        <x:v>6</x:v>
      </x:c>
      <x:c r="H468" s="11" t="n">
        <x:v>0</x:v>
      </x:c>
      <x:c r="I468" s="17" t="n">
        <x:f>INDEX('Costing'!$P$9:$P$492,MATCH(D468,'Costing'!$A$9:$A$492,0))</x:f>
        <x:v>240000</x:v>
      </x:c>
      <x:c r="J468" s="17" t="n">
        <x:f>ROUND(I468*'Costing'!$C$4,2)</x:f>
        <x:v>43200</x:v>
      </x:c>
      <x:c r="K468" s="17" t="n">
        <x:f>I468+J468</x:f>
        <x:v>283200</x:v>
      </x:c>
    </x:row>
    <x:row r="469" ht="46" customHeight="1">
      <x:c r="A469" s="2" t="str">
        <x:v>Indicative size</x:v>
      </x:c>
      <x:c r="B469" s="2" t="str">
        <x:v>Medium-scale prospects</x:v>
      </x:c>
      <x:c r="C469" s="12" t="str">
        <x:v>Hyderabad</x:v>
      </x:c>
      <x:c r="D469" s="12" t="str">
        <x:v>PARTNER-M295</x:v>
      </x:c>
      <x:c r="E469" s="12" t="str">
        <x:v>Cyber Tower</x:v>
      </x:c>
      <x:c r="F469" s="11" t="n">
        <x:v>5</x:v>
      </x:c>
      <x:c r="G469" s="11" t="n">
        <x:v>5</x:v>
      </x:c>
      <x:c r="H469" s="11" t="n">
        <x:v>0</x:v>
      </x:c>
      <x:c r="I469" s="17" t="n">
        <x:f>INDEX('Costing'!$P$9:$P$492,MATCH(D469,'Costing'!$A$9:$A$492,0))</x:f>
        <x:v>200000</x:v>
      </x:c>
      <x:c r="J469" s="17" t="n">
        <x:f>ROUND(I469*'Costing'!$C$4,2)</x:f>
        <x:v>36000</x:v>
      </x:c>
      <x:c r="K469" s="17" t="n">
        <x:f>I469+J469</x:f>
        <x:v>236000</x:v>
      </x:c>
    </x:row>
    <x:row r="470" ht="46" customHeight="1">
      <x:c r="A470" s="2" t="str">
        <x:v>Indicative size</x:v>
      </x:c>
      <x:c r="B470" s="2" t="str">
        <x:v>Medium-scale prospects</x:v>
      </x:c>
      <x:c r="C470" s="12" t="str">
        <x:v>Hyderabad</x:v>
      </x:c>
      <x:c r="D470" s="12" t="str">
        <x:v>PARTNER-M317</x:v>
      </x:c>
      <x:c r="E470" s="12" t="str">
        <x:v>Kapil Towers</x:v>
      </x:c>
      <x:c r="F470" s="11" t="n">
        <x:v>7</x:v>
      </x:c>
      <x:c r="G470" s="11" t="n">
        <x:v>7</x:v>
      </x:c>
      <x:c r="H470" s="11" t="n">
        <x:v>0</x:v>
      </x:c>
      <x:c r="I470" s="17" t="n">
        <x:f>INDEX('Costing'!$P$9:$P$492,MATCH(D470,'Costing'!$A$9:$A$492,0))</x:f>
        <x:v>280000</x:v>
      </x:c>
      <x:c r="J470" s="17" t="n">
        <x:f>ROUND(I470*'Costing'!$C$4,2)</x:f>
        <x:v>50400</x:v>
      </x:c>
      <x:c r="K470" s="17" t="n">
        <x:f>I470+J470</x:f>
        <x:v>330400</x:v>
      </x:c>
    </x:row>
    <x:row r="471" ht="46" customHeight="1">
      <x:c r="A471" s="2" t="str">
        <x:v>Indicative size</x:v>
      </x:c>
      <x:c r="B471" s="2" t="str">
        <x:v>Medium-scale prospects</x:v>
      </x:c>
      <x:c r="C471" s="12" t="str">
        <x:v>Hyderabad</x:v>
      </x:c>
      <x:c r="D471" s="12" t="str">
        <x:v>PARTNER-M300</x:v>
      </x:c>
      <x:c r="E471" s="12" t="str">
        <x:v>Waverock IT Park</x:v>
      </x:c>
      <x:c r="F471" s="11" t="n">
        <x:v>8</x:v>
      </x:c>
      <x:c r="G471" s="11" t="n">
        <x:v>8</x:v>
      </x:c>
      <x:c r="H471" s="11" t="n">
        <x:v>0</x:v>
      </x:c>
      <x:c r="I471" s="17" t="n">
        <x:f>INDEX('Costing'!$P$9:$P$492,MATCH(D471,'Costing'!$A$9:$A$492,0))</x:f>
        <x:v>320000</x:v>
      </x:c>
      <x:c r="J471" s="17" t="n">
        <x:f>ROUND(I471*'Costing'!$C$4,2)</x:f>
        <x:v>57600</x:v>
      </x:c>
      <x:c r="K471" s="17" t="n">
        <x:f>I471+J471</x:f>
        <x:v>377600</x:v>
      </x:c>
    </x:row>
    <x:row r="472" ht="46" customHeight="1">
      <x:c r="A472" s="2" t="str">
        <x:v>Indicative size</x:v>
      </x:c>
      <x:c r="B472" s="2" t="str">
        <x:v>Medium-scale prospects</x:v>
      </x:c>
      <x:c r="C472" s="12" t="str">
        <x:v>Mumbai</x:v>
      </x:c>
      <x:c r="D472" s="12" t="str">
        <x:v>PARTNER-M241</x:v>
      </x:c>
      <x:c r="E472" s="12" t="str">
        <x:v>Dynasty Business Park</x:v>
      </x:c>
      <x:c r="F472" s="11" t="n">
        <x:v>2</x:v>
      </x:c>
      <x:c r="G472" s="11" t="n">
        <x:v>2</x:v>
      </x:c>
      <x:c r="H472" s="11" t="n">
        <x:v>0</x:v>
      </x:c>
      <x:c r="I472" s="17" t="n">
        <x:f>INDEX('Costing'!$P$9:$P$492,MATCH(D472,'Costing'!$A$9:$A$492,0))</x:f>
        <x:v>80000</x:v>
      </x:c>
      <x:c r="J472" s="17" t="n">
        <x:f>ROUND(I472*'Costing'!$C$4,2)</x:f>
        <x:v>14400</x:v>
      </x:c>
      <x:c r="K472" s="17" t="n">
        <x:f>I472+J472</x:f>
        <x:v>94400</x:v>
      </x:c>
    </x:row>
    <x:row r="473" ht="46" customHeight="1">
      <x:c r="A473" s="2" t="str">
        <x:v>Indicative size</x:v>
      </x:c>
      <x:c r="B473" s="2" t="str">
        <x:v>Medium-scale prospects</x:v>
      </x:c>
      <x:c r="C473" s="12" t="str">
        <x:v>Mumbai</x:v>
      </x:c>
      <x:c r="D473" s="12" t="str">
        <x:v>PARTNER-M193</x:v>
      </x:c>
      <x:c r="E473" s="12" t="str">
        <x:v>Empire Tower</x:v>
      </x:c>
      <x:c r="F473" s="11" t="n">
        <x:v>4</x:v>
      </x:c>
      <x:c r="G473" s="11" t="n">
        <x:v>4</x:v>
      </x:c>
      <x:c r="H473" s="11" t="n">
        <x:v>0</x:v>
      </x:c>
      <x:c r="I473" s="17" t="n">
        <x:f>INDEX('Costing'!$P$9:$P$492,MATCH(D473,'Costing'!$A$9:$A$492,0))</x:f>
        <x:v>160000</x:v>
      </x:c>
      <x:c r="J473" s="17" t="n">
        <x:f>ROUND(I473*'Costing'!$C$4,2)</x:f>
        <x:v>28800</x:v>
      </x:c>
      <x:c r="K473" s="17" t="n">
        <x:f>I473+J473</x:f>
        <x:v>188800</x:v>
      </x:c>
    </x:row>
    <x:row r="474" ht="46" customHeight="1">
      <x:c r="A474" s="2" t="str">
        <x:v>Indicative size</x:v>
      </x:c>
      <x:c r="B474" s="2" t="str">
        <x:v>Medium-scale prospects</x:v>
      </x:c>
      <x:c r="C474" s="12" t="str">
        <x:v>Mumbai</x:v>
      </x:c>
      <x:c r="D474" s="12" t="str">
        <x:v>PARTNER-M235</x:v>
      </x:c>
      <x:c r="E474" s="12" t="str">
        <x:v>Kanakia 215 Atrium</x:v>
      </x:c>
      <x:c r="F474" s="11" t="n">
        <x:v>4</x:v>
      </x:c>
      <x:c r="G474" s="11" t="n">
        <x:v>4</x:v>
      </x:c>
      <x:c r="H474" s="11" t="n">
        <x:v>0</x:v>
      </x:c>
      <x:c r="I474" s="17" t="n">
        <x:f>INDEX('Costing'!$P$9:$P$492,MATCH(D474,'Costing'!$A$9:$A$492,0))</x:f>
        <x:v>160000</x:v>
      </x:c>
      <x:c r="J474" s="17" t="n">
        <x:f>ROUND(I474*'Costing'!$C$4,2)</x:f>
        <x:v>28800</x:v>
      </x:c>
      <x:c r="K474" s="17" t="n">
        <x:f>I474+J474</x:f>
        <x:v>188800</x:v>
      </x:c>
    </x:row>
    <x:row r="475" ht="46" customHeight="1">
      <x:c r="A475" s="2" t="str">
        <x:v>Indicative size</x:v>
      </x:c>
      <x:c r="B475" s="2" t="str">
        <x:v>Medium-scale prospects</x:v>
      </x:c>
      <x:c r="C475" s="12" t="str">
        <x:v>Mumbai</x:v>
      </x:c>
      <x:c r="D475" s="12" t="str">
        <x:v>PARTNER-M239</x:v>
      </x:c>
      <x:c r="E475" s="12" t="str">
        <x:v>Kanakia Atrium 2</x:v>
      </x:c>
      <x:c r="F475" s="11" t="n">
        <x:v>2</x:v>
      </x:c>
      <x:c r="G475" s="11" t="n">
        <x:v>2</x:v>
      </x:c>
      <x:c r="H475" s="11" t="n">
        <x:v>0</x:v>
      </x:c>
      <x:c r="I475" s="17" t="n">
        <x:f>INDEX('Costing'!$P$9:$P$492,MATCH(D475,'Costing'!$A$9:$A$492,0))</x:f>
        <x:v>80000</x:v>
      </x:c>
      <x:c r="J475" s="17" t="n">
        <x:f>ROUND(I475*'Costing'!$C$4,2)</x:f>
        <x:v>14400</x:v>
      </x:c>
      <x:c r="K475" s="17" t="n">
        <x:f>I475+J475</x:f>
        <x:v>94400</x:v>
      </x:c>
    </x:row>
    <x:row r="476" ht="46" customHeight="1">
      <x:c r="A476" s="2" t="str">
        <x:v>Indicative size</x:v>
      </x:c>
      <x:c r="B476" s="2" t="str">
        <x:v>Medium-scale prospects</x:v>
      </x:c>
      <x:c r="C476" s="12" t="str">
        <x:v>Mumbai</x:v>
      </x:c>
      <x:c r="D476" s="12" t="str">
        <x:v>PARTNER-M179</x:v>
      </x:c>
      <x:c r="E476" s="12" t="str">
        <x:v>Kanakia Boomerang</x:v>
      </x:c>
      <x:c r="F476" s="11" t="n">
        <x:v>6</x:v>
      </x:c>
      <x:c r="G476" s="11" t="n">
        <x:v>6</x:v>
      </x:c>
      <x:c r="H476" s="11" t="n">
        <x:v>0</x:v>
      </x:c>
      <x:c r="I476" s="17" t="n">
        <x:f>INDEX('Costing'!$P$9:$P$492,MATCH(D476,'Costing'!$A$9:$A$492,0))</x:f>
        <x:v>240000</x:v>
      </x:c>
      <x:c r="J476" s="17" t="n">
        <x:f>ROUND(I476*'Costing'!$C$4,2)</x:f>
        <x:v>43200</x:v>
      </x:c>
      <x:c r="K476" s="17" t="n">
        <x:f>I476+J476</x:f>
        <x:v>283200</x:v>
      </x:c>
    </x:row>
    <x:row r="477" ht="46" customHeight="1">
      <x:c r="A477" s="2" t="str">
        <x:v>Indicative size</x:v>
      </x:c>
      <x:c r="B477" s="2" t="str">
        <x:v>Medium-scale prospects</x:v>
      </x:c>
      <x:c r="C477" s="12" t="str">
        <x:v>Mumbai</x:v>
      </x:c>
      <x:c r="D477" s="12" t="str">
        <x:v>PARTNER-M243</x:v>
      </x:c>
      <x:c r="E477" s="12" t="str">
        <x:v>Kohinoor City</x:v>
      </x:c>
      <x:c r="F477" s="11" t="n">
        <x:v>2</x:v>
      </x:c>
      <x:c r="G477" s="11" t="n">
        <x:v>2</x:v>
      </x:c>
      <x:c r="H477" s="11" t="n">
        <x:v>0</x:v>
      </x:c>
      <x:c r="I477" s="17" t="n">
        <x:f>INDEX('Costing'!$P$9:$P$492,MATCH(D477,'Costing'!$A$9:$A$492,0))</x:f>
        <x:v>80000</x:v>
      </x:c>
      <x:c r="J477" s="17" t="n">
        <x:f>ROUND(I477*'Costing'!$C$4,2)</x:f>
        <x:v>14400</x:v>
      </x:c>
      <x:c r="K477" s="17" t="n">
        <x:f>I477+J477</x:f>
        <x:v>94400</x:v>
      </x:c>
    </x:row>
    <x:row r="478" ht="46" customHeight="1">
      <x:c r="A478" s="2" t="str">
        <x:v>Indicative size</x:v>
      </x:c>
      <x:c r="B478" s="2" t="str">
        <x:v>Medium-scale prospects</x:v>
      </x:c>
      <x:c r="C478" s="12" t="str">
        <x:v>Mumbai</x:v>
      </x:c>
      <x:c r="D478" s="12" t="str">
        <x:v>PARTNER-M245</x:v>
      </x:c>
      <x:c r="E478" s="12" t="str">
        <x:v>Lodha iThink</x:v>
      </x:c>
      <x:c r="F478" s="11" t="n">
        <x:v>2</x:v>
      </x:c>
      <x:c r="G478" s="11" t="n">
        <x:v>2</x:v>
      </x:c>
      <x:c r="H478" s="11" t="n">
        <x:v>0</x:v>
      </x:c>
      <x:c r="I478" s="17" t="n">
        <x:f>INDEX('Costing'!$P$9:$P$492,MATCH(D478,'Costing'!$A$9:$A$492,0))</x:f>
        <x:v>80000</x:v>
      </x:c>
      <x:c r="J478" s="17" t="n">
        <x:f>ROUND(I478*'Costing'!$C$4,2)</x:f>
        <x:v>14400</x:v>
      </x:c>
      <x:c r="K478" s="17" t="n">
        <x:f>I478+J478</x:f>
        <x:v>94400</x:v>
      </x:c>
    </x:row>
    <x:row r="479" ht="46" customHeight="1">
      <x:c r="A479" s="2" t="str">
        <x:v>Indicative size</x:v>
      </x:c>
      <x:c r="B479" s="2" t="str">
        <x:v>Medium-scale prospects</x:v>
      </x:c>
      <x:c r="C479" s="12" t="str">
        <x:v>Mumbai</x:v>
      </x:c>
      <x:c r="D479" s="12" t="str">
        <x:v>PARTNER-M247</x:v>
      </x:c>
      <x:c r="E479" s="12" t="str">
        <x:v>Lodha Supremus</x:v>
      </x:c>
      <x:c r="F479" s="11" t="n">
        <x:v>4</x:v>
      </x:c>
      <x:c r="G479" s="11" t="n">
        <x:v>4</x:v>
      </x:c>
      <x:c r="H479" s="11" t="n">
        <x:v>0</x:v>
      </x:c>
      <x:c r="I479" s="17" t="n">
        <x:f>INDEX('Costing'!$P$9:$P$492,MATCH(D479,'Costing'!$A$9:$A$492,0))</x:f>
        <x:v>160000</x:v>
      </x:c>
      <x:c r="J479" s="17" t="n">
        <x:f>ROUND(I479*'Costing'!$C$4,2)</x:f>
        <x:v>28800</x:v>
      </x:c>
      <x:c r="K479" s="17" t="n">
        <x:f>I479+J479</x:f>
        <x:v>188800</x:v>
      </x:c>
    </x:row>
    <x:row r="480" ht="46" customHeight="1">
      <x:c r="A480" s="2" t="str">
        <x:v>Indicative size</x:v>
      </x:c>
      <x:c r="B480" s="2" t="str">
        <x:v>Medium-scale prospects</x:v>
      </x:c>
      <x:c r="C480" s="12" t="str">
        <x:v>Mumbai</x:v>
      </x:c>
      <x:c r="D480" s="12" t="str">
        <x:v>PARTNER-M171</x:v>
      </x:c>
      <x:c r="E480" s="12" t="str">
        <x:v>Parinee Crescenzo Business Park</x:v>
      </x:c>
      <x:c r="F480" s="11" t="n">
        <x:v>4</x:v>
      </x:c>
      <x:c r="G480" s="11" t="n">
        <x:v>4</x:v>
      </x:c>
      <x:c r="H480" s="11" t="n">
        <x:v>0</x:v>
      </x:c>
      <x:c r="I480" s="17" t="n">
        <x:f>INDEX('Costing'!$P$9:$P$492,MATCH(D480,'Costing'!$A$9:$A$492,0))</x:f>
        <x:v>160000</x:v>
      </x:c>
      <x:c r="J480" s="17" t="n">
        <x:f>ROUND(I480*'Costing'!$C$4,2)</x:f>
        <x:v>28800</x:v>
      </x:c>
      <x:c r="K480" s="17" t="n">
        <x:f>I480+J480</x:f>
        <x:v>188800</x:v>
      </x:c>
    </x:row>
    <x:row r="481" ht="46" customHeight="1">
      <x:c r="A481" s="2" t="str">
        <x:v>Indicative size</x:v>
      </x:c>
      <x:c r="B481" s="2" t="str">
        <x:v>Medium-scale prospects</x:v>
      </x:c>
      <x:c r="C481" s="12" t="str">
        <x:v>Mumbai</x:v>
      </x:c>
      <x:c r="D481" s="12" t="str">
        <x:v>PARTNER-M197</x:v>
      </x:c>
      <x:c r="E481" s="12" t="str">
        <x:v>Reliable Tech Park</x:v>
      </x:c>
      <x:c r="F481" s="11" t="n">
        <x:v>4</x:v>
      </x:c>
      <x:c r="G481" s="11" t="n">
        <x:v>4</x:v>
      </x:c>
      <x:c r="H481" s="11" t="n">
        <x:v>0</x:v>
      </x:c>
      <x:c r="I481" s="17" t="n">
        <x:f>INDEX('Costing'!$P$9:$P$492,MATCH(D481,'Costing'!$A$9:$A$492,0))</x:f>
        <x:v>160000</x:v>
      </x:c>
      <x:c r="J481" s="17" t="n">
        <x:f>ROUND(I481*'Costing'!$C$4,2)</x:f>
        <x:v>28800</x:v>
      </x:c>
      <x:c r="K481" s="17" t="n">
        <x:f>I481+J481</x:f>
        <x:v>188800</x:v>
      </x:c>
    </x:row>
    <x:row r="482" ht="46" customHeight="1">
      <x:c r="A482" s="2" t="str">
        <x:v>Indicative size</x:v>
      </x:c>
      <x:c r="B482" s="2" t="str">
        <x:v>Medium-scale prospects</x:v>
      </x:c>
      <x:c r="C482" s="12" t="str">
        <x:v>Mumbai</x:v>
      </x:c>
      <x:c r="D482" s="12" t="str">
        <x:v>PARTNER-M205</x:v>
      </x:c>
      <x:c r="E482" s="12" t="str">
        <x:v>Rupa Solitaire</x:v>
      </x:c>
      <x:c r="F482" s="11" t="n">
        <x:v>10</x:v>
      </x:c>
      <x:c r="G482" s="11" t="n">
        <x:v>10</x:v>
      </x:c>
      <x:c r="H482" s="11" t="n">
        <x:v>0</x:v>
      </x:c>
      <x:c r="I482" s="17" t="n">
        <x:f>INDEX('Costing'!$P$9:$P$492,MATCH(D482,'Costing'!$A$9:$A$492,0))</x:f>
        <x:v>400000</x:v>
      </x:c>
      <x:c r="J482" s="17" t="n">
        <x:f>ROUND(I482*'Costing'!$C$4,2)</x:f>
        <x:v>72000</x:v>
      </x:c>
      <x:c r="K482" s="17" t="n">
        <x:f>I482+J482</x:f>
        <x:v>472000</x:v>
      </x:c>
    </x:row>
    <x:row r="483" ht="46" customHeight="1">
      <x:c r="A483" s="2" t="str">
        <x:v>Indicative size</x:v>
      </x:c>
      <x:c r="B483" s="2" t="str">
        <x:v>Medium-scale prospects</x:v>
      </x:c>
      <x:c r="C483" s="12" t="str">
        <x:v>Mumbai</x:v>
      </x:c>
      <x:c r="D483" s="12" t="str">
        <x:v>PARTNER-M175</x:v>
      </x:c>
      <x:c r="E483" s="12" t="str">
        <x:v>The Capital</x:v>
      </x:c>
      <x:c r="F483" s="11" t="n">
        <x:v>3</x:v>
      </x:c>
      <x:c r="G483" s="11" t="n">
        <x:v>3</x:v>
      </x:c>
      <x:c r="H483" s="11" t="n">
        <x:v>0</x:v>
      </x:c>
      <x:c r="I483" s="17" t="n">
        <x:f>INDEX('Costing'!$P$9:$P$492,MATCH(D483,'Costing'!$A$9:$A$492,0))</x:f>
        <x:v>120000</x:v>
      </x:c>
      <x:c r="J483" s="17" t="n">
        <x:f>ROUND(I483*'Costing'!$C$4,2)</x:f>
        <x:v>21600</x:v>
      </x:c>
      <x:c r="K483" s="17" t="n">
        <x:f>I483+J483</x:f>
        <x:v>141600</x:v>
      </x:c>
    </x:row>
    <x:row r="484" ht="46" customHeight="1">
      <x:c r="A484" s="2" t="str">
        <x:v>Indicative size</x:v>
      </x:c>
      <x:c r="B484" s="2" t="str">
        <x:v>Medium-scale prospects</x:v>
      </x:c>
      <x:c r="C484" s="12" t="str">
        <x:v>Mumbai</x:v>
      </x:c>
      <x:c r="D484" s="12" t="str">
        <x:v>PARTNER-M227</x:v>
      </x:c>
      <x:c r="E484" s="12" t="str">
        <x:v>Windsor House</x:v>
      </x:c>
      <x:c r="F484" s="11" t="n">
        <x:v>6</x:v>
      </x:c>
      <x:c r="G484" s="11" t="n">
        <x:v>6</x:v>
      </x:c>
      <x:c r="H484" s="11" t="n">
        <x:v>0</x:v>
      </x:c>
      <x:c r="I484" s="17" t="n">
        <x:f>INDEX('Costing'!$P$9:$P$492,MATCH(D484,'Costing'!$A$9:$A$492,0))</x:f>
        <x:v>240000</x:v>
      </x:c>
      <x:c r="J484" s="17" t="n">
        <x:f>ROUND(I484*'Costing'!$C$4,2)</x:f>
        <x:v>43200</x:v>
      </x:c>
      <x:c r="K484" s="17" t="n">
        <x:f>I484+J484</x:f>
        <x:v>283200</x:v>
      </x:c>
    </x:row>
    <x:row r="485" ht="46" customHeight="1">
      <x:c r="A485" s="2" t="str">
        <x:v>Indicative size</x:v>
      </x:c>
      <x:c r="B485" s="2" t="str">
        <x:v>Medium-scale prospects</x:v>
      </x:c>
      <x:c r="C485" s="12" t="str">
        <x:v>Pune</x:v>
      </x:c>
      <x:c r="D485" s="12" t="str">
        <x:v>PARTNER-M277</x:v>
      </x:c>
      <x:c r="E485" s="12" t="str">
        <x:v>Nyati Enthral</x:v>
      </x:c>
      <x:c r="F485" s="11" t="n">
        <x:v>5</x:v>
      </x:c>
      <x:c r="G485" s="11" t="n">
        <x:v>5</x:v>
      </x:c>
      <x:c r="H485" s="11" t="n">
        <x:v>0</x:v>
      </x:c>
      <x:c r="I485" s="17" t="n">
        <x:f>INDEX('Costing'!$P$9:$P$492,MATCH(D485,'Costing'!$A$9:$A$492,0))</x:f>
        <x:v>200000</x:v>
      </x:c>
      <x:c r="J485" s="17" t="n">
        <x:f>ROUND(I485*'Costing'!$C$4,2)</x:f>
        <x:v>36000</x:v>
      </x:c>
      <x:c r="K485" s="17" t="n">
        <x:f>I485+J485</x:f>
        <x:v>236000</x:v>
      </x:c>
    </x:row>
    <x:row r="486" ht="46" customHeight="1">
      <x:c r="A486" s="2" t="str">
        <x:v>Indicative size</x:v>
      </x:c>
      <x:c r="B486" s="2" t="str">
        <x:v>Medium-scale prospects</x:v>
      </x:c>
      <x:c r="C486" s="12" t="str">
        <x:v>Pune</x:v>
      </x:c>
      <x:c r="D486" s="12" t="str">
        <x:v>PARTNER-M265</x:v>
      </x:c>
      <x:c r="E486" s="12" t="str">
        <x:v>Symphony IT Park</x:v>
      </x:c>
      <x:c r="F486" s="11" t="n">
        <x:v>3</x:v>
      </x:c>
      <x:c r="G486" s="11" t="n">
        <x:v>3</x:v>
      </x:c>
      <x:c r="H486" s="11" t="n">
        <x:v>0</x:v>
      </x:c>
      <x:c r="I486" s="17" t="n">
        <x:f>INDEX('Costing'!$P$9:$P$492,MATCH(D486,'Costing'!$A$9:$A$492,0))</x:f>
        <x:v>120000</x:v>
      </x:c>
      <x:c r="J486" s="17" t="n">
        <x:f>ROUND(I486*'Costing'!$C$4,2)</x:f>
        <x:v>21600</x:v>
      </x:c>
      <x:c r="K486" s="17" t="n">
        <x:f>I486+J486</x:f>
        <x:v>141600</x:v>
      </x:c>
    </x:row>
    <x:row r="487" ht="46" customHeight="1">
      <x:c r="A487" s="2" t="str">
        <x:v>Indicative size</x:v>
      </x:c>
      <x:c r="B487" s="2" t="str">
        <x:v>Large enterprise</x:v>
      </x:c>
      <x:c r="C487" s="12" t="str">
        <x:v>Bengaluru</x:v>
      </x:c>
      <x:c r="D487" s="12" t="str">
        <x:v>MAIN-011</x:v>
      </x:c>
      <x:c r="E487" s="12" t="str">
        <x:v>Awfis - Brigade Metropolis</x:v>
      </x:c>
      <x:c r="F487" s="11" t="n">
        <x:v>1</x:v>
      </x:c>
      <x:c r="G487" s="11" t="n">
        <x:v>1</x:v>
      </x:c>
      <x:c r="H487" s="11" t="n">
        <x:v>0</x:v>
      </x:c>
      <x:c r="I487" s="17" t="n">
        <x:f>INDEX('Costing'!$P$9:$P$492,MATCH(D487,'Costing'!$A$9:$A$492,0))</x:f>
        <x:v>15000</x:v>
      </x:c>
      <x:c r="J487" s="17" t="n">
        <x:f>ROUND(I487*'Costing'!$C$4,2)</x:f>
        <x:v>2700</x:v>
      </x:c>
      <x:c r="K487" s="17" t="n">
        <x:f>I487+J487</x:f>
        <x:v>17700</x:v>
      </x:c>
    </x:row>
    <x:row r="488" ht="46" customHeight="1">
      <x:c r="A488" s="2" t="str">
        <x:v>Indicative size</x:v>
      </x:c>
      <x:c r="B488" s="2" t="str">
        <x:v>Large enterprise</x:v>
      </x:c>
      <x:c r="C488" s="12" t="str">
        <x:v>Bengaluru</x:v>
      </x:c>
      <x:c r="D488" s="12" t="str">
        <x:v>MAIN-017</x:v>
      </x:c>
      <x:c r="E488" s="12" t="str">
        <x:v>Awfis - Prestige Shantiniketan</x:v>
      </x:c>
      <x:c r="F488" s="11" t="n">
        <x:v>2</x:v>
      </x:c>
      <x:c r="G488" s="11" t="n">
        <x:v>2</x:v>
      </x:c>
      <x:c r="H488" s="11" t="n">
        <x:v>0</x:v>
      </x:c>
      <x:c r="I488" s="17" t="n">
        <x:f>INDEX('Costing'!$P$9:$P$492,MATCH(D488,'Costing'!$A$9:$A$492,0))</x:f>
        <x:v>30000</x:v>
      </x:c>
      <x:c r="J488" s="17" t="n">
        <x:f>ROUND(I488*'Costing'!$C$4,2)</x:f>
        <x:v>5400</x:v>
      </x:c>
      <x:c r="K488" s="17" t="n">
        <x:f>I488+J488</x:f>
        <x:v>35400</x:v>
      </x:c>
    </x:row>
    <x:row r="489" ht="46" customHeight="1">
      <x:c r="A489" s="2" t="str">
        <x:v>Indicative size</x:v>
      </x:c>
      <x:c r="B489" s="2" t="str">
        <x:v>Large enterprise</x:v>
      </x:c>
      <x:c r="C489" s="12" t="str">
        <x:v>Bengaluru</x:v>
      </x:c>
      <x:c r="D489" s="12" t="str">
        <x:v>MAIN-018</x:v>
      </x:c>
      <x:c r="E489" s="12" t="str">
        <x:v>Awfis - Prestige Tech Park</x:v>
      </x:c>
      <x:c r="F489" s="11" t="n">
        <x:v>3</x:v>
      </x:c>
      <x:c r="G489" s="11" t="n">
        <x:v>3</x:v>
      </x:c>
      <x:c r="H489" s="11" t="n">
        <x:v>0</x:v>
      </x:c>
      <x:c r="I489" s="17" t="n">
        <x:f>INDEX('Costing'!$P$9:$P$492,MATCH(D489,'Costing'!$A$9:$A$492,0))</x:f>
        <x:v>45000</x:v>
      </x:c>
      <x:c r="J489" s="17" t="n">
        <x:f>ROUND(I489*'Costing'!$C$4,2)</x:f>
        <x:v>8100</x:v>
      </x:c>
      <x:c r="K489" s="17" t="n">
        <x:f>I489+J489</x:f>
        <x:v>53100</x:v>
      </x:c>
    </x:row>
    <x:row r="490" ht="46" customHeight="1">
      <x:c r="A490" s="2" t="str">
        <x:v>Indicative size</x:v>
      </x:c>
      <x:c r="B490" s="2" t="str">
        <x:v>Large enterprise</x:v>
      </x:c>
      <x:c r="C490" s="12" t="str">
        <x:v>Bengaluru</x:v>
      </x:c>
      <x:c r="D490" s="12" t="str">
        <x:v>MAIN-019</x:v>
      </x:c>
      <x:c r="E490" s="12" t="str">
        <x:v>Awfis - Prestige Tech Park 2 (Mercury)</x:v>
      </x:c>
      <x:c r="F490" s="11" t="n">
        <x:v>4</x:v>
      </x:c>
      <x:c r="G490" s="11" t="n">
        <x:v>4</x:v>
      </x:c>
      <x:c r="H490" s="11" t="n">
        <x:v>0</x:v>
      </x:c>
      <x:c r="I490" s="17" t="n">
        <x:f>INDEX('Costing'!$P$9:$P$492,MATCH(D490,'Costing'!$A$9:$A$492,0))</x:f>
        <x:v>60000</x:v>
      </x:c>
      <x:c r="J490" s="17" t="n">
        <x:f>ROUND(I490*'Costing'!$C$4,2)</x:f>
        <x:v>10800</x:v>
      </x:c>
      <x:c r="K490" s="17" t="n">
        <x:f>I490+J490</x:f>
        <x:v>70800</x:v>
      </x:c>
    </x:row>
    <x:row r="491" ht="46" customHeight="1">
      <x:c r="A491" s="2" t="str">
        <x:v>Indicative size</x:v>
      </x:c>
      <x:c r="B491" s="2" t="str">
        <x:v>Large enterprise</x:v>
      </x:c>
      <x:c r="C491" s="12" t="str">
        <x:v>Bengaluru</x:v>
      </x:c>
      <x:c r="D491" s="12" t="str">
        <x:v>MAIN-022</x:v>
      </x:c>
      <x:c r="E491" s="12" t="str">
        <x:v>Awfis - Residency Road</x:v>
      </x:c>
      <x:c r="F491" s="11" t="n">
        <x:v>2</x:v>
      </x:c>
      <x:c r="G491" s="11" t="n">
        <x:v>2</x:v>
      </x:c>
      <x:c r="H491" s="11" t="n">
        <x:v>0</x:v>
      </x:c>
      <x:c r="I491" s="17" t="n">
        <x:f>INDEX('Costing'!$P$9:$P$492,MATCH(D491,'Costing'!$A$9:$A$492,0))</x:f>
        <x:v>30000</x:v>
      </x:c>
      <x:c r="J491" s="17" t="n">
        <x:f>ROUND(I491*'Costing'!$C$4,2)</x:f>
        <x:v>5400</x:v>
      </x:c>
      <x:c r="K491" s="17" t="n">
        <x:f>I491+J491</x:f>
        <x:v>35400</x:v>
      </x:c>
    </x:row>
    <x:row r="492" ht="46" customHeight="1">
      <x:c r="A492" s="2" t="str">
        <x:v>Indicative size</x:v>
      </x:c>
      <x:c r="B492" s="2" t="str">
        <x:v>Large enterprise</x:v>
      </x:c>
      <x:c r="C492" s="12" t="str">
        <x:v>Bengaluru</x:v>
      </x:c>
      <x:c r="D492" s="12" t="str">
        <x:v>MAIN-023</x:v>
      </x:c>
      <x:c r="E492" s="12" t="str">
        <x:v>Awfis - Residency Square</x:v>
      </x:c>
      <x:c r="F492" s="11" t="n">
        <x:v>6</x:v>
      </x:c>
      <x:c r="G492" s="11" t="n">
        <x:v>6</x:v>
      </x:c>
      <x:c r="H492" s="11" t="n">
        <x:v>0</x:v>
      </x:c>
      <x:c r="I492" s="17" t="n">
        <x:f>INDEX('Costing'!$P$9:$P$492,MATCH(D492,'Costing'!$A$9:$A$492,0))</x:f>
        <x:v>90000</x:v>
      </x:c>
      <x:c r="J492" s="17" t="n">
        <x:f>ROUND(I492*'Costing'!$C$4,2)</x:f>
        <x:v>16200</x:v>
      </x:c>
      <x:c r="K492" s="17" t="n">
        <x:f>I492+J492</x:f>
        <x:v>106200</x:v>
      </x:c>
    </x:row>
    <x:row r="493" ht="46" customHeight="1">
      <x:c r="A493" s="2" t="str">
        <x:v>Indicative size</x:v>
      </x:c>
      <x:c r="B493" s="2" t="str">
        <x:v>Large enterprise</x:v>
      </x:c>
      <x:c r="C493" s="12" t="str">
        <x:v>Bengaluru</x:v>
      </x:c>
      <x:c r="D493" s="12" t="str">
        <x:v>MAIN-037</x:v>
      </x:c>
      <x:c r="E493" s="12" t="str">
        <x:v>Brookfield - Centennial</x:v>
      </x:c>
      <x:c r="F493" s="11" t="n">
        <x:v>2</x:v>
      </x:c>
      <x:c r="G493" s="11" t="n">
        <x:v>2</x:v>
      </x:c>
      <x:c r="H493" s="11" t="n">
        <x:v>0</x:v>
      </x:c>
      <x:c r="I493" s="17" t="n">
        <x:f>INDEX('Costing'!$P$9:$P$492,MATCH(D493,'Costing'!$A$9:$A$492,0))</x:f>
        <x:v>80000</x:v>
      </x:c>
      <x:c r="J493" s="17" t="n">
        <x:f>ROUND(I493*'Costing'!$C$4,2)</x:f>
        <x:v>14400</x:v>
      </x:c>
      <x:c r="K493" s="17" t="n">
        <x:f>I493+J493</x:f>
        <x:v>94400</x:v>
      </x:c>
    </x:row>
    <x:row r="494" ht="46" customHeight="1">
      <x:c r="A494" s="2" t="str">
        <x:v>Indicative size</x:v>
      </x:c>
      <x:c r="B494" s="2" t="str">
        <x:v>Large enterprise</x:v>
      </x:c>
      <x:c r="C494" s="12" t="str">
        <x:v>Bengaluru</x:v>
      </x:c>
      <x:c r="D494" s="12" t="str">
        <x:v>MAIN-039</x:v>
      </x:c>
      <x:c r="E494" s="12" t="str">
        <x:v>Brookfield - EcoWorld</x:v>
      </x:c>
      <x:c r="F494" s="11" t="n">
        <x:v>16</x:v>
      </x:c>
      <x:c r="G494" s="11" t="n">
        <x:v>16</x:v>
      </x:c>
      <x:c r="H494" s="11" t="n">
        <x:v>0</x:v>
      </x:c>
      <x:c r="I494" s="17" t="n">
        <x:f>INDEX('Costing'!$P$9:$P$492,MATCH(D494,'Costing'!$A$9:$A$492,0))</x:f>
        <x:v>640000</x:v>
      </x:c>
      <x:c r="J494" s="17" t="n">
        <x:f>ROUND(I494*'Costing'!$C$4,2)</x:f>
        <x:v>115200</x:v>
      </x:c>
      <x:c r="K494" s="17" t="n">
        <x:f>I494+J494</x:f>
        <x:v>755200</x:v>
      </x:c>
    </x:row>
    <x:row r="495" ht="46" customHeight="1">
      <x:c r="A495" s="2" t="str">
        <x:v>Indicative size</x:v>
      </x:c>
      <x:c r="B495" s="2" t="str">
        <x:v>Large enterprise</x:v>
      </x:c>
      <x:c r="C495" s="12" t="str">
        <x:v>Bengaluru</x:v>
      </x:c>
      <x:c r="D495" s="12" t="str">
        <x:v>MAIN-046</x:v>
      </x:c>
      <x:c r="E495" s="12" t="str">
        <x:v>Global Technology Park</x:v>
      </x:c>
      <x:c r="F495" s="11" t="n">
        <x:v>2</x:v>
      </x:c>
      <x:c r="G495" s="11" t="n">
        <x:v>2</x:v>
      </x:c>
      <x:c r="H495" s="11" t="n">
        <x:v>0</x:v>
      </x:c>
      <x:c r="I495" s="17" t="n">
        <x:f>INDEX('Costing'!$P$9:$P$492,MATCH(D495,'Costing'!$A$9:$A$492,0))</x:f>
        <x:v>40000</x:v>
      </x:c>
      <x:c r="J495" s="17" t="n">
        <x:f>ROUND(I495*'Costing'!$C$4,2)</x:f>
        <x:v>7200</x:v>
      </x:c>
      <x:c r="K495" s="17" t="n">
        <x:f>I495+J495</x:f>
        <x:v>47200</x:v>
      </x:c>
    </x:row>
    <x:row r="496" ht="46" customHeight="1">
      <x:c r="A496" s="2" t="str">
        <x:v>Indicative size</x:v>
      </x:c>
      <x:c r="B496" s="2" t="str">
        <x:v>Large enterprise</x:v>
      </x:c>
      <x:c r="C496" s="12" t="str">
        <x:v>Bengaluru</x:v>
      </x:c>
      <x:c r="D496" s="12" t="str">
        <x:v>MAIN-047</x:v>
      </x:c>
      <x:c r="E496" s="12" t="str">
        <x:v>Global Technology park </x:v>
      </x:c>
      <x:c r="F496" s="11" t="n">
        <x:v>4</x:v>
      </x:c>
      <x:c r="G496" s="11" t="n">
        <x:v>4</x:v>
      </x:c>
      <x:c r="H496" s="11" t="n">
        <x:v>0</x:v>
      </x:c>
      <x:c r="I496" s="17" t="n">
        <x:f>INDEX('Costing'!$P$9:$P$492,MATCH(D496,'Costing'!$A$9:$A$492,0))</x:f>
        <x:v>80000</x:v>
      </x:c>
      <x:c r="J496" s="17" t="n">
        <x:f>ROUND(I496*'Costing'!$C$4,2)</x:f>
        <x:v>14400</x:v>
      </x:c>
      <x:c r="K496" s="17" t="n">
        <x:f>I496+J496</x:f>
        <x:v>94400</x:v>
      </x:c>
    </x:row>
    <x:row r="497" ht="46" customHeight="1">
      <x:c r="A497" s="2" t="str">
        <x:v>Indicative size</x:v>
      </x:c>
      <x:c r="B497" s="2" t="str">
        <x:v>Large enterprise</x:v>
      </x:c>
      <x:c r="C497" s="12" t="str">
        <x:v>Bengaluru</x:v>
      </x:c>
      <x:c r="D497" s="12" t="str">
        <x:v>MAIN-052</x:v>
      </x:c>
      <x:c r="E497" s="12" t="str">
        <x:v>Mantri Commercio</x:v>
      </x:c>
      <x:c r="F497" s="11" t="n">
        <x:v>18</x:v>
      </x:c>
      <x:c r="G497" s="11" t="n">
        <x:v>18</x:v>
      </x:c>
      <x:c r="H497" s="11" t="n">
        <x:v>0</x:v>
      </x:c>
      <x:c r="I497" s="17" t="n">
        <x:f>INDEX('Costing'!$P$9:$P$492,MATCH(D497,'Costing'!$A$9:$A$492,0))</x:f>
        <x:v>270000</x:v>
      </x:c>
      <x:c r="J497" s="17" t="n">
        <x:f>ROUND(I497*'Costing'!$C$4,2)</x:f>
        <x:v>48600</x:v>
      </x:c>
      <x:c r="K497" s="17" t="n">
        <x:f>I497+J497</x:f>
        <x:v>318600</x:v>
      </x:c>
    </x:row>
    <x:row r="498" ht="46" customHeight="1">
      <x:c r="A498" s="2" t="str">
        <x:v>Indicative size</x:v>
      </x:c>
      <x:c r="B498" s="2" t="str">
        <x:v>Large enterprise</x:v>
      </x:c>
      <x:c r="C498" s="12" t="str">
        <x:v>Bengaluru</x:v>
      </x:c>
      <x:c r="D498" s="12" t="str">
        <x:v>MAIN-053</x:v>
      </x:c>
      <x:c r="E498" s="12" t="str">
        <x:v>Maruthi Mansion</x:v>
      </x:c>
      <x:c r="F498" s="11" t="n">
        <x:v>4</x:v>
      </x:c>
      <x:c r="G498" s="11" t="n">
        <x:v>4</x:v>
      </x:c>
      <x:c r="H498" s="11" t="n">
        <x:v>0</x:v>
      </x:c>
      <x:c r="I498" s="17" t="n">
        <x:f>INDEX('Costing'!$P$9:$P$492,MATCH(D498,'Costing'!$A$9:$A$492,0))</x:f>
        <x:v>60000</x:v>
      </x:c>
      <x:c r="J498" s="17" t="n">
        <x:f>ROUND(I498*'Costing'!$C$4,2)</x:f>
        <x:v>10800</x:v>
      </x:c>
      <x:c r="K498" s="17" t="n">
        <x:f>I498+J498</x:f>
        <x:v>70800</x:v>
      </x:c>
    </x:row>
    <x:row r="499" ht="46" customHeight="1">
      <x:c r="A499" s="2" t="str">
        <x:v>Indicative size</x:v>
      </x:c>
      <x:c r="B499" s="2" t="str">
        <x:v>Large enterprise</x:v>
      </x:c>
      <x:c r="C499" s="12" t="str">
        <x:v>Bengaluru</x:v>
      </x:c>
      <x:c r="D499" s="12" t="str">
        <x:v>MAIN-054</x:v>
      </x:c>
      <x:c r="E499" s="12" t="str">
        <x:v>Maruthi Platinum</x:v>
      </x:c>
      <x:c r="F499" s="11" t="n">
        <x:v>19</x:v>
      </x:c>
      <x:c r="G499" s="11" t="n">
        <x:v>19</x:v>
      </x:c>
      <x:c r="H499" s="11" t="n">
        <x:v>0</x:v>
      </x:c>
      <x:c r="I499" s="17" t="n">
        <x:f>INDEX('Costing'!$P$9:$P$492,MATCH(D499,'Costing'!$A$9:$A$492,0))</x:f>
        <x:v>285000</x:v>
      </x:c>
      <x:c r="J499" s="17" t="n">
        <x:f>ROUND(I499*'Costing'!$C$4,2)</x:f>
        <x:v>51300</x:v>
      </x:c>
      <x:c r="K499" s="17" t="n">
        <x:f>I499+J499</x:f>
        <x:v>336300</x:v>
      </x:c>
    </x:row>
    <x:row r="500" ht="46" customHeight="1">
      <x:c r="A500" s="2" t="str">
        <x:v>Indicative size</x:v>
      </x:c>
      <x:c r="B500" s="2" t="str">
        <x:v>Large enterprise</x:v>
      </x:c>
      <x:c r="C500" s="12" t="str">
        <x:v>Bengaluru</x:v>
      </x:c>
      <x:c r="D500" s="12" t="str">
        <x:v>MAIN-060</x:v>
      </x:c>
      <x:c r="E500" s="12" t="str">
        <x:v>Nucleus - Cessna Business Park</x:v>
      </x:c>
      <x:c r="F500" s="11" t="n">
        <x:v>6</x:v>
      </x:c>
      <x:c r="G500" s="11" t="n">
        <x:v>6</x:v>
      </x:c>
      <x:c r="H500" s="11" t="n">
        <x:v>0</x:v>
      </x:c>
      <x:c r="I500" s="17" t="n">
        <x:f>INDEX('Costing'!$P$9:$P$492,MATCH(D500,'Costing'!$A$9:$A$492,0))</x:f>
        <x:v>240000</x:v>
      </x:c>
      <x:c r="J500" s="17" t="n">
        <x:f>ROUND(I500*'Costing'!$C$4,2)</x:f>
        <x:v>43200</x:v>
      </x:c>
      <x:c r="K500" s="17" t="n">
        <x:f>I500+J500</x:f>
        <x:v>283200</x:v>
      </x:c>
    </x:row>
    <x:row r="501" ht="46" customHeight="1">
      <x:c r="A501" s="2" t="str">
        <x:v>Indicative size</x:v>
      </x:c>
      <x:c r="B501" s="2" t="str">
        <x:v>Large enterprise</x:v>
      </x:c>
      <x:c r="C501" s="12" t="str">
        <x:v>Bengaluru</x:v>
      </x:c>
      <x:c r="D501" s="12" t="str">
        <x:v>MAIN-062</x:v>
      </x:c>
      <x:c r="E501" s="12" t="str">
        <x:v>Nucleus - Exora Business Park</x:v>
      </x:c>
      <x:c r="F501" s="11" t="n">
        <x:v>5</x:v>
      </x:c>
      <x:c r="G501" s="11" t="n">
        <x:v>5</x:v>
      </x:c>
      <x:c r="H501" s="11" t="n">
        <x:v>0</x:v>
      </x:c>
      <x:c r="I501" s="17" t="n">
        <x:f>INDEX('Costing'!$P$9:$P$492,MATCH(D501,'Costing'!$A$9:$A$492,0))</x:f>
        <x:v>200000</x:v>
      </x:c>
      <x:c r="J501" s="17" t="n">
        <x:f>ROUND(I501*'Costing'!$C$4,2)</x:f>
        <x:v>36000</x:v>
      </x:c>
      <x:c r="K501" s="17" t="n">
        <x:f>I501+J501</x:f>
        <x:v>236000</x:v>
      </x:c>
    </x:row>
    <x:row r="502" ht="46" customHeight="1">
      <x:c r="A502" s="2" t="str">
        <x:v>Indicative size</x:v>
      </x:c>
      <x:c r="B502" s="2" t="str">
        <x:v>Large enterprise</x:v>
      </x:c>
      <x:c r="C502" s="12" t="str">
        <x:v>Bengaluru</x:v>
      </x:c>
      <x:c r="D502" s="12" t="str">
        <x:v>MAIN-063</x:v>
      </x:c>
      <x:c r="E502" s="12" t="str">
        <x:v>Nucleus - Prestige One Trade Tower</x:v>
      </x:c>
      <x:c r="F502" s="11" t="n">
        <x:v>2</x:v>
      </x:c>
      <x:c r="G502" s="11" t="n">
        <x:v>2</x:v>
      </x:c>
      <x:c r="H502" s="11" t="n">
        <x:v>0</x:v>
      </x:c>
      <x:c r="I502" s="17" t="n">
        <x:f>INDEX('Costing'!$P$9:$P$492,MATCH(D502,'Costing'!$A$9:$A$492,0))</x:f>
        <x:v>80000</x:v>
      </x:c>
      <x:c r="J502" s="17" t="n">
        <x:f>ROUND(I502*'Costing'!$C$4,2)</x:f>
        <x:v>14400</x:v>
      </x:c>
      <x:c r="K502" s="17" t="n">
        <x:f>I502+J502</x:f>
        <x:v>94400</x:v>
      </x:c>
    </x:row>
    <x:row r="503" ht="46" customHeight="1">
      <x:c r="A503" s="2" t="str">
        <x:v>Indicative size</x:v>
      </x:c>
      <x:c r="B503" s="2" t="str">
        <x:v>Large enterprise</x:v>
      </x:c>
      <x:c r="C503" s="12" t="str">
        <x:v>Bengaluru</x:v>
      </x:c>
      <x:c r="D503" s="12" t="str">
        <x:v>MAIN-072</x:v>
      </x:c>
      <x:c r="E503" s="12" t="str">
        <x:v>Prestige Etamin (Redbrick Offices)</x:v>
      </x:c>
      <x:c r="F503" s="11" t="n">
        <x:v>1</x:v>
      </x:c>
      <x:c r="G503" s="11" t="n">
        <x:v>1</x:v>
      </x:c>
      <x:c r="H503" s="11" t="n">
        <x:v>0</x:v>
      </x:c>
      <x:c r="I503" s="17" t="n">
        <x:f>INDEX('Costing'!$P$9:$P$492,MATCH(D503,'Costing'!$A$9:$A$492,0))</x:f>
        <x:v>15000</x:v>
      </x:c>
      <x:c r="J503" s="17" t="n">
        <x:f>ROUND(I503*'Costing'!$C$4,2)</x:f>
        <x:v>2700</x:v>
      </x:c>
      <x:c r="K503" s="17" t="n">
        <x:f>I503+J503</x:f>
        <x:v>17700</x:v>
      </x:c>
    </x:row>
    <x:row r="504" ht="46" customHeight="1">
      <x:c r="A504" s="2" t="str">
        <x:v>Indicative size</x:v>
      </x:c>
      <x:c r="B504" s="2" t="str">
        <x:v>Large enterprise</x:v>
      </x:c>
      <x:c r="C504" s="12" t="str">
        <x:v>Bengaluru</x:v>
      </x:c>
      <x:c r="D504" s="12" t="str">
        <x:v>MAIN-073</x:v>
      </x:c>
      <x:c r="E504" s="12" t="str">
        <x:v>Prestige Obelisk</x:v>
      </x:c>
      <x:c r="F504" s="11" t="n">
        <x:v>1</x:v>
      </x:c>
      <x:c r="G504" s="11" t="n">
        <x:v>1</x:v>
      </x:c>
      <x:c r="H504" s="11" t="n">
        <x:v>0</x:v>
      </x:c>
      <x:c r="I504" s="17" t="n">
        <x:f>INDEX('Costing'!$P$9:$P$492,MATCH(D504,'Costing'!$A$9:$A$492,0))</x:f>
        <x:v>40000</x:v>
      </x:c>
      <x:c r="J504" s="17" t="n">
        <x:f>ROUND(I504*'Costing'!$C$4,2)</x:f>
        <x:v>7200</x:v>
      </x:c>
      <x:c r="K504" s="17" t="n">
        <x:f>I504+J504</x:f>
        <x:v>47200</x:v>
      </x:c>
    </x:row>
    <x:row r="505" ht="46" customHeight="1">
      <x:c r="A505" s="2" t="str">
        <x:v>Indicative size</x:v>
      </x:c>
      <x:c r="B505" s="2" t="str">
        <x:v>Large enterprise</x:v>
      </x:c>
      <x:c r="C505" s="12" t="str">
        <x:v>Bengaluru</x:v>
      </x:c>
      <x:c r="D505" s="12" t="str">
        <x:v>MAIN-081</x:v>
      </x:c>
      <x:c r="E505" s="12" t="str">
        <x:v>Sierra Cartel</x:v>
      </x:c>
      <x:c r="F505" s="11" t="n">
        <x:v>2</x:v>
      </x:c>
      <x:c r="G505" s="11" t="n">
        <x:v>2</x:v>
      </x:c>
      <x:c r="H505" s="11" t="n">
        <x:v>0</x:v>
      </x:c>
      <x:c r="I505" s="17" t="n">
        <x:f>INDEX('Costing'!$P$9:$P$492,MATCH(D505,'Costing'!$A$9:$A$492,0))</x:f>
        <x:v>30000</x:v>
      </x:c>
      <x:c r="J505" s="17" t="n">
        <x:f>ROUND(I505*'Costing'!$C$4,2)</x:f>
        <x:v>5400</x:v>
      </x:c>
      <x:c r="K505" s="17" t="n">
        <x:f>I505+J505</x:f>
        <x:v>35400</x:v>
      </x:c>
    </x:row>
    <x:row r="506" ht="46" customHeight="1">
      <x:c r="A506" s="2" t="str">
        <x:v>Indicative size</x:v>
      </x:c>
      <x:c r="B506" s="2" t="str">
        <x:v>Large enterprise</x:v>
      </x:c>
      <x:c r="C506" s="12" t="str">
        <x:v>Bengaluru</x:v>
      </x:c>
      <x:c r="D506" s="12" t="str">
        <x:v>MAIN-085</x:v>
      </x:c>
      <x:c r="E506" s="12" t="str">
        <x:v>Smartworks The Cube</x:v>
      </x:c>
      <x:c r="F506" s="11" t="n">
        <x:v>3</x:v>
      </x:c>
      <x:c r="G506" s="11" t="n">
        <x:v>3</x:v>
      </x:c>
      <x:c r="H506" s="11" t="n">
        <x:v>0</x:v>
      </x:c>
      <x:c r="I506" s="17" t="n">
        <x:f>INDEX('Costing'!$P$9:$P$492,MATCH(D506,'Costing'!$A$9:$A$492,0))</x:f>
        <x:v>60000</x:v>
      </x:c>
      <x:c r="J506" s="17" t="n">
        <x:f>ROUND(I506*'Costing'!$C$4,2)</x:f>
        <x:v>10800</x:v>
      </x:c>
      <x:c r="K506" s="17" t="n">
        <x:f>I506+J506</x:f>
        <x:v>70800</x:v>
      </x:c>
    </x:row>
    <x:row r="507" ht="46" customHeight="1">
      <x:c r="A507" s="2" t="str">
        <x:v>Indicative size</x:v>
      </x:c>
      <x:c r="B507" s="2" t="str">
        <x:v>Large enterprise</x:v>
      </x:c>
      <x:c r="C507" s="12" t="str">
        <x:v>Bengaluru</x:v>
      </x:c>
      <x:c r="D507" s="12" t="str">
        <x:v>MAIN-092</x:v>
      </x:c>
      <x:c r="E507" s="12" t="str">
        <x:v>The Cube (Karle)It Park (Pod Screens)</x:v>
      </x:c>
      <x:c r="F507" s="11" t="n">
        <x:v>2</x:v>
      </x:c>
      <x:c r="G507" s="11" t="n">
        <x:v>2</x:v>
      </x:c>
      <x:c r="H507" s="11" t="n">
        <x:v>0</x:v>
      </x:c>
      <x:c r="I507" s="17" t="n">
        <x:f>INDEX('Costing'!$P$9:$P$492,MATCH(D507,'Costing'!$A$9:$A$492,0))</x:f>
        <x:v>40000</x:v>
      </x:c>
      <x:c r="J507" s="17" t="n">
        <x:f>ROUND(I507*'Costing'!$C$4,2)</x:f>
        <x:v>7200</x:v>
      </x:c>
      <x:c r="K507" s="17" t="n">
        <x:f>I507+J507</x:f>
        <x:v>47200</x:v>
      </x:c>
    </x:row>
    <x:row r="508" ht="46" customHeight="1">
      <x:c r="A508" s="2" t="str">
        <x:v>Indicative size</x:v>
      </x:c>
      <x:c r="B508" s="2" t="str">
        <x:v>Large enterprise</x:v>
      </x:c>
      <x:c r="C508" s="12" t="str">
        <x:v>Bengaluru</x:v>
      </x:c>
      <x:c r="D508" s="12" t="str">
        <x:v>MAIN-113</x:v>
      </x:c>
      <x:c r="E508" s="12" t="str">
        <x:v>WeWork - EGL</x:v>
      </x:c>
      <x:c r="F508" s="11" t="n">
        <x:v>4</x:v>
      </x:c>
      <x:c r="G508" s="11" t="n">
        <x:v>4</x:v>
      </x:c>
      <x:c r="H508" s="11" t="n">
        <x:v>0</x:v>
      </x:c>
      <x:c r="I508" s="17" t="n">
        <x:f>INDEX('Costing'!$P$9:$P$492,MATCH(D508,'Costing'!$A$9:$A$492,0))</x:f>
        <x:v>100000</x:v>
      </x:c>
      <x:c r="J508" s="17" t="n">
        <x:f>ROUND(I508*'Costing'!$C$4,2)</x:f>
        <x:v>18000</x:v>
      </x:c>
      <x:c r="K508" s="17" t="n">
        <x:f>I508+J508</x:f>
        <x:v>118000</x:v>
      </x:c>
    </x:row>
    <x:row r="509" ht="46" customHeight="1">
      <x:c r="A509" s="2" t="str">
        <x:v>Indicative size</x:v>
      </x:c>
      <x:c r="B509" s="2" t="str">
        <x:v>Large enterprise</x:v>
      </x:c>
      <x:c r="C509" s="12" t="str">
        <x:v>Bengaluru</x:v>
      </x:c>
      <x:c r="D509" s="12" t="str">
        <x:v>MAIN-115</x:v>
      </x:c>
      <x:c r="E509" s="12" t="str">
        <x:v>Wework - Embassy Quest</x:v>
      </x:c>
      <x:c r="F509" s="11" t="n">
        <x:v>4</x:v>
      </x:c>
      <x:c r="G509" s="11" t="n">
        <x:v>4</x:v>
      </x:c>
      <x:c r="H509" s="11" t="n">
        <x:v>0</x:v>
      </x:c>
      <x:c r="I509" s="17" t="n">
        <x:f>INDEX('Costing'!$P$9:$P$492,MATCH(D509,'Costing'!$A$9:$A$492,0))</x:f>
        <x:v>100000</x:v>
      </x:c>
      <x:c r="J509" s="17" t="n">
        <x:f>ROUND(I509*'Costing'!$C$4,2)</x:f>
        <x:v>18000</x:v>
      </x:c>
      <x:c r="K509" s="17" t="n">
        <x:f>I509+J509</x:f>
        <x:v>118000</x:v>
      </x:c>
    </x:row>
    <x:row r="510" ht="46" customHeight="1">
      <x:c r="A510" s="2" t="str">
        <x:v>Indicative size</x:v>
      </x:c>
      <x:c r="B510" s="2" t="str">
        <x:v>Large enterprise</x:v>
      </x:c>
      <x:c r="C510" s="12" t="str">
        <x:v>Bengaluru</x:v>
      </x:c>
      <x:c r="D510" s="12" t="str">
        <x:v>MAIN-116</x:v>
      </x:c>
      <x:c r="E510" s="12" t="str">
        <x:v>WeWork - ETV</x:v>
      </x:c>
      <x:c r="F510" s="11" t="n">
        <x:v>7</x:v>
      </x:c>
      <x:c r="G510" s="11" t="n">
        <x:v>7</x:v>
      </x:c>
      <x:c r="H510" s="11" t="n">
        <x:v>0</x:v>
      </x:c>
      <x:c r="I510" s="17" t="n">
        <x:f>INDEX('Costing'!$P$9:$P$492,MATCH(D510,'Costing'!$A$9:$A$492,0))</x:f>
        <x:v>175000</x:v>
      </x:c>
      <x:c r="J510" s="17" t="n">
        <x:f>ROUND(I510*'Costing'!$C$4,2)</x:f>
        <x:v>31500</x:v>
      </x:c>
      <x:c r="K510" s="17" t="n">
        <x:f>I510+J510</x:f>
        <x:v>206500</x:v>
      </x:c>
    </x:row>
    <x:row r="511" ht="46" customHeight="1">
      <x:c r="A511" s="2" t="str">
        <x:v>Indicative size</x:v>
      </x:c>
      <x:c r="B511" s="2" t="str">
        <x:v>Large enterprise</x:v>
      </x:c>
      <x:c r="C511" s="12" t="str">
        <x:v>Bengaluru</x:v>
      </x:c>
      <x:c r="D511" s="12" t="str">
        <x:v>MAIN-124</x:v>
      </x:c>
      <x:c r="E511" s="12" t="str">
        <x:v>WeWork - RMZ Latitude</x:v>
      </x:c>
      <x:c r="F511" s="11" t="n">
        <x:v>4</x:v>
      </x:c>
      <x:c r="G511" s="11" t="n">
        <x:v>4</x:v>
      </x:c>
      <x:c r="H511" s="11" t="n">
        <x:v>0</x:v>
      </x:c>
      <x:c r="I511" s="17" t="n">
        <x:f>INDEX('Costing'!$P$9:$P$492,MATCH(D511,'Costing'!$A$9:$A$492,0))</x:f>
        <x:v>100000</x:v>
      </x:c>
      <x:c r="J511" s="17" t="n">
        <x:f>ROUND(I511*'Costing'!$C$4,2)</x:f>
        <x:v>18000</x:v>
      </x:c>
      <x:c r="K511" s="17" t="n">
        <x:f>I511+J511</x:f>
        <x:v>118000</x:v>
      </x:c>
    </x:row>
    <x:row r="512" ht="46" customHeight="1">
      <x:c r="A512" s="2" t="str">
        <x:v>Indicative size</x:v>
      </x:c>
      <x:c r="B512" s="2" t="str">
        <x:v>Large enterprise</x:v>
      </x:c>
      <x:c r="C512" s="12" t="str">
        <x:v>Bengaluru</x:v>
      </x:c>
      <x:c r="D512" s="12" t="str">
        <x:v>MAIN-126</x:v>
      </x:c>
      <x:c r="E512" s="12" t="str">
        <x:v>WeWork - Salarpuria Magnificia</x:v>
      </x:c>
      <x:c r="F512" s="11" t="n">
        <x:v>8</x:v>
      </x:c>
      <x:c r="G512" s="11" t="n">
        <x:v>8</x:v>
      </x:c>
      <x:c r="H512" s="11" t="n">
        <x:v>0</x:v>
      </x:c>
      <x:c r="I512" s="17" t="n">
        <x:f>INDEX('Costing'!$P$9:$P$492,MATCH(D512,'Costing'!$A$9:$A$492,0))</x:f>
        <x:v>200000</x:v>
      </x:c>
      <x:c r="J512" s="17" t="n">
        <x:f>ROUND(I512*'Costing'!$C$4,2)</x:f>
        <x:v>36000</x:v>
      </x:c>
      <x:c r="K512" s="17" t="n">
        <x:f>I512+J512</x:f>
        <x:v>236000</x:v>
      </x:c>
    </x:row>
    <x:row r="513" ht="46" customHeight="1">
      <x:c r="A513" s="2" t="str">
        <x:v>Indicative size</x:v>
      </x:c>
      <x:c r="B513" s="2" t="str">
        <x:v>Large enterprise</x:v>
      </x:c>
      <x:c r="C513" s="12" t="str">
        <x:v>Bengaluru</x:v>
      </x:c>
      <x:c r="D513" s="12" t="str">
        <x:v>MAIN-128</x:v>
      </x:c>
      <x:c r="E513" s="12" t="str">
        <x:v>Wework - Sunriver</x:v>
      </x:c>
      <x:c r="F513" s="11" t="n">
        <x:v>1</x:v>
      </x:c>
      <x:c r="G513" s="11" t="n">
        <x:v>1</x:v>
      </x:c>
      <x:c r="H513" s="11" t="n">
        <x:v>0</x:v>
      </x:c>
      <x:c r="I513" s="17" t="n">
        <x:f>INDEX('Costing'!$P$9:$P$492,MATCH(D513,'Costing'!$A$9:$A$492,0))</x:f>
        <x:v>25000</x:v>
      </x:c>
      <x:c r="J513" s="17" t="n">
        <x:f>ROUND(I513*'Costing'!$C$4,2)</x:f>
        <x:v>4500</x:v>
      </x:c>
      <x:c r="K513" s="17" t="n">
        <x:f>I513+J513</x:f>
        <x:v>29500</x:v>
      </x:c>
    </x:row>
    <x:row r="514" ht="46" customHeight="1">
      <x:c r="A514" s="2" t="str">
        <x:v>Indicative size</x:v>
      </x:c>
      <x:c r="B514" s="2" t="str">
        <x:v>Large enterprise</x:v>
      </x:c>
      <x:c r="C514" s="12" t="str">
        <x:v>Bengaluru</x:v>
      </x:c>
      <x:c r="D514" s="12" t="str">
        <x:v>MAIN-135</x:v>
      </x:c>
      <x:c r="E514" s="12" t="str">
        <x:v>Zonasha Frontier</x:v>
      </x:c>
      <x:c r="F514" s="11" t="n">
        <x:v>1</x:v>
      </x:c>
      <x:c r="G514" s="11" t="n">
        <x:v>1</x:v>
      </x:c>
      <x:c r="H514" s="11" t="n">
        <x:v>0</x:v>
      </x:c>
      <x:c r="I514" s="17" t="n">
        <x:f>INDEX('Costing'!$P$9:$P$492,MATCH(D514,'Costing'!$A$9:$A$492,0))</x:f>
        <x:v>40000</x:v>
      </x:c>
      <x:c r="J514" s="17" t="n">
        <x:f>ROUND(I514*'Costing'!$C$4,2)</x:f>
        <x:v>7200</x:v>
      </x:c>
      <x:c r="K514" s="17" t="n">
        <x:f>I514+J514</x:f>
        <x:v>47200</x:v>
      </x:c>
    </x:row>
    <x:row r="515" ht="46" customHeight="1">
      <x:c r="A515" s="2" t="str">
        <x:v>Indicative size</x:v>
      </x:c>
      <x:c r="B515" s="2" t="str">
        <x:v>Large enterprise</x:v>
      </x:c>
      <x:c r="C515" s="12" t="str">
        <x:v>Bhubaneswar</x:v>
      </x:c>
      <x:c r="D515" s="12" t="str">
        <x:v>MAIN-136</x:v>
      </x:c>
      <x:c r="E515" s="12" t="str">
        <x:v>Awfis - Ginger</x:v>
      </x:c>
      <x:c r="F515" s="11" t="n">
        <x:v>2</x:v>
      </x:c>
      <x:c r="G515" s="11" t="n">
        <x:v>2</x:v>
      </x:c>
      <x:c r="H515" s="11" t="n">
        <x:v>0</x:v>
      </x:c>
      <x:c r="I515" s="17" t="n">
        <x:f>INDEX('Costing'!$P$9:$P$492,MATCH(D515,'Costing'!$A$9:$A$492,0))</x:f>
        <x:v>30000</x:v>
      </x:c>
      <x:c r="J515" s="17" t="n">
        <x:f>ROUND(I515*'Costing'!$C$4,2)</x:f>
        <x:v>5400</x:v>
      </x:c>
      <x:c r="K515" s="17" t="n">
        <x:f>I515+J515</x:f>
        <x:v>35400</x:v>
      </x:c>
    </x:row>
    <x:row r="516" ht="46" customHeight="1">
      <x:c r="A516" s="2" t="str">
        <x:v>Indicative size</x:v>
      </x:c>
      <x:c r="B516" s="2" t="str">
        <x:v>Large enterprise</x:v>
      </x:c>
      <x:c r="C516" s="12" t="str">
        <x:v>Chennai</x:v>
      </x:c>
      <x:c r="D516" s="12" t="str">
        <x:v>MAIN-138</x:v>
      </x:c>
      <x:c r="E516" s="12" t="str">
        <x:v>Arihant Verge Global Park (Pod Screens)</x:v>
      </x:c>
      <x:c r="F516" s="11" t="n">
        <x:v>2</x:v>
      </x:c>
      <x:c r="G516" s="11" t="n">
        <x:v>2</x:v>
      </x:c>
      <x:c r="H516" s="11" t="n">
        <x:v>0</x:v>
      </x:c>
      <x:c r="I516" s="17" t="n">
        <x:f>INDEX('Costing'!$P$9:$P$492,MATCH(D516,'Costing'!$A$9:$A$492,0))</x:f>
        <x:v>40000</x:v>
      </x:c>
      <x:c r="J516" s="17" t="n">
        <x:f>ROUND(I516*'Costing'!$C$4,2)</x:f>
        <x:v>7200</x:v>
      </x:c>
      <x:c r="K516" s="17" t="n">
        <x:f>I516+J516</x:f>
        <x:v>47200</x:v>
      </x:c>
    </x:row>
    <x:row r="517" ht="46" customHeight="1">
      <x:c r="A517" s="2" t="str">
        <x:v>Indicative size</x:v>
      </x:c>
      <x:c r="B517" s="2" t="str">
        <x:v>Large enterprise</x:v>
      </x:c>
      <x:c r="C517" s="12" t="str">
        <x:v>Chennai</x:v>
      </x:c>
      <x:c r="D517" s="12" t="str">
        <x:v>MAIN-140</x:v>
      </x:c>
      <x:c r="E517" s="12" t="str">
        <x:v>Awfis - OMR</x:v>
      </x:c>
      <x:c r="F517" s="11" t="n">
        <x:v>7</x:v>
      </x:c>
      <x:c r="G517" s="11" t="n">
        <x:v>7</x:v>
      </x:c>
      <x:c r="H517" s="11" t="n">
        <x:v>0</x:v>
      </x:c>
      <x:c r="I517" s="17" t="n">
        <x:f>INDEX('Costing'!$P$9:$P$492,MATCH(D517,'Costing'!$A$9:$A$492,0))</x:f>
        <x:v>105000</x:v>
      </x:c>
      <x:c r="J517" s="17" t="n">
        <x:f>ROUND(I517*'Costing'!$C$4,2)</x:f>
        <x:v>18900</x:v>
      </x:c>
      <x:c r="K517" s="17" t="n">
        <x:f>I517+J517</x:f>
        <x:v>123900</x:v>
      </x:c>
    </x:row>
    <x:row r="518" ht="46" customHeight="1">
      <x:c r="A518" s="2" t="str">
        <x:v>Indicative size</x:v>
      </x:c>
      <x:c r="B518" s="2" t="str">
        <x:v>Large enterprise</x:v>
      </x:c>
      <x:c r="C518" s="12" t="str">
        <x:v>Chennai</x:v>
      </x:c>
      <x:c r="D518" s="12" t="str">
        <x:v>MAIN-146</x:v>
      </x:c>
      <x:c r="E518" s="12" t="str">
        <x:v>Global Infocity Park</x:v>
      </x:c>
      <x:c r="F518" s="11" t="n">
        <x:v>4</x:v>
      </x:c>
      <x:c r="G518" s="11" t="n">
        <x:v>4</x:v>
      </x:c>
      <x:c r="H518" s="11" t="n">
        <x:v>0</x:v>
      </x:c>
      <x:c r="I518" s="17" t="n">
        <x:f>INDEX('Costing'!$P$9:$P$492,MATCH(D518,'Costing'!$A$9:$A$492,0))</x:f>
        <x:v>160000</x:v>
      </x:c>
      <x:c r="J518" s="17" t="n">
        <x:f>ROUND(I518*'Costing'!$C$4,2)</x:f>
        <x:v>28800</x:v>
      </x:c>
      <x:c r="K518" s="17" t="n">
        <x:f>I518+J518</x:f>
        <x:v>188800</x:v>
      </x:c>
    </x:row>
    <x:row r="519" ht="46" customHeight="1">
      <x:c r="A519" s="2" t="str">
        <x:v>Indicative size</x:v>
      </x:c>
      <x:c r="B519" s="2" t="str">
        <x:v>Large enterprise</x:v>
      </x:c>
      <x:c r="C519" s="12" t="str">
        <x:v>Chennai</x:v>
      </x:c>
      <x:c r="D519" s="12" t="str">
        <x:v>MAIN-152</x:v>
      </x:c>
      <x:c r="E519" s="12" t="str">
        <x:v>Olympia Cyberspace</x:v>
      </x:c>
      <x:c r="F519" s="11" t="n">
        <x:v>2</x:v>
      </x:c>
      <x:c r="G519" s="11" t="n">
        <x:v>2</x:v>
      </x:c>
      <x:c r="H519" s="11" t="n">
        <x:v>0</x:v>
      </x:c>
      <x:c r="I519" s="17" t="n">
        <x:f>INDEX('Costing'!$P$9:$P$492,MATCH(D519,'Costing'!$A$9:$A$492,0))</x:f>
        <x:v>40000</x:v>
      </x:c>
      <x:c r="J519" s="17" t="n">
        <x:f>ROUND(I519*'Costing'!$C$4,2)</x:f>
        <x:v>7200</x:v>
      </x:c>
      <x:c r="K519" s="17" t="n">
        <x:f>I519+J519</x:f>
        <x:v>47200</x:v>
      </x:c>
    </x:row>
    <x:row r="520" ht="46" customHeight="1">
      <x:c r="A520" s="2" t="str">
        <x:v>Indicative size</x:v>
      </x:c>
      <x:c r="B520" s="2" t="str">
        <x:v>Large enterprise</x:v>
      </x:c>
      <x:c r="C520" s="12" t="str">
        <x:v>Chennai</x:v>
      </x:c>
      <x:c r="D520" s="12" t="str">
        <x:v>MAIN-153</x:v>
      </x:c>
      <x:c r="E520" s="12" t="str">
        <x:v>Olympia National Tower</x:v>
      </x:c>
      <x:c r="F520" s="11" t="n">
        <x:v>4</x:v>
      </x:c>
      <x:c r="G520" s="11" t="n">
        <x:v>4</x:v>
      </x:c>
      <x:c r="H520" s="11" t="n">
        <x:v>0</x:v>
      </x:c>
      <x:c r="I520" s="17" t="n">
        <x:f>INDEX('Costing'!$P$9:$P$492,MATCH(D520,'Costing'!$A$9:$A$492,0))</x:f>
        <x:v>80000</x:v>
      </x:c>
      <x:c r="J520" s="17" t="n">
        <x:f>ROUND(I520*'Costing'!$C$4,2)</x:f>
        <x:v>14400</x:v>
      </x:c>
      <x:c r="K520" s="17" t="n">
        <x:f>I520+J520</x:f>
        <x:v>94400</x:v>
      </x:c>
    </x:row>
    <x:row r="521" ht="46" customHeight="1">
      <x:c r="A521" s="2" t="str">
        <x:v>Indicative size</x:v>
      </x:c>
      <x:c r="B521" s="2" t="str">
        <x:v>Large enterprise</x:v>
      </x:c>
      <x:c r="C521" s="12" t="str">
        <x:v>Chennai</x:v>
      </x:c>
      <x:c r="D521" s="12" t="str">
        <x:v>MAIN-154</x:v>
      </x:c>
      <x:c r="E521" s="12" t="str">
        <x:v>Olympia National Tower (Pod Screens)</x:v>
      </x:c>
      <x:c r="F521" s="11" t="n">
        <x:v>2</x:v>
      </x:c>
      <x:c r="G521" s="11" t="n">
        <x:v>2</x:v>
      </x:c>
      <x:c r="H521" s="11" t="n">
        <x:v>0</x:v>
      </x:c>
      <x:c r="I521" s="17" t="n">
        <x:f>INDEX('Costing'!$P$9:$P$492,MATCH(D521,'Costing'!$A$9:$A$492,0))</x:f>
        <x:v>40000</x:v>
      </x:c>
      <x:c r="J521" s="17" t="n">
        <x:f>ROUND(I521*'Costing'!$C$4,2)</x:f>
        <x:v>7200</x:v>
      </x:c>
      <x:c r="K521" s="17" t="n">
        <x:f>I521+J521</x:f>
        <x:v>47200</x:v>
      </x:c>
    </x:row>
    <x:row r="522" ht="46" customHeight="1">
      <x:c r="A522" s="2" t="str">
        <x:v>Indicative size</x:v>
      </x:c>
      <x:c r="B522" s="2" t="str">
        <x:v>Large enterprise</x:v>
      </x:c>
      <x:c r="C522" s="12" t="str">
        <x:v>Delhi NCR</x:v>
      </x:c>
      <x:c r="D522" s="12" t="str">
        <x:v>MAIN-366</x:v>
      </x:c>
      <x:c r="E522" s="12" t="str">
        <x:v>Awfis - Knowledge Boulevard</x:v>
      </x:c>
      <x:c r="F522" s="11" t="n">
        <x:v>3</x:v>
      </x:c>
      <x:c r="G522" s="11" t="n">
        <x:v>3</x:v>
      </x:c>
      <x:c r="H522" s="11" t="n">
        <x:v>0</x:v>
      </x:c>
      <x:c r="I522" s="17" t="n">
        <x:f>INDEX('Costing'!$P$9:$P$492,MATCH(D522,'Costing'!$A$9:$A$492,0))</x:f>
        <x:v>45000</x:v>
      </x:c>
      <x:c r="J522" s="17" t="n">
        <x:f>ROUND(I522*'Costing'!$C$4,2)</x:f>
        <x:v>8100</x:v>
      </x:c>
      <x:c r="K522" s="17" t="n">
        <x:f>I522+J522</x:f>
        <x:v>53100</x:v>
      </x:c>
    </x:row>
    <x:row r="523" ht="46" customHeight="1">
      <x:c r="A523" s="2" t="str">
        <x:v>Indicative size</x:v>
      </x:c>
      <x:c r="B523" s="2" t="str">
        <x:v>Large enterprise</x:v>
      </x:c>
      <x:c r="C523" s="12" t="str">
        <x:v>Delhi NCR</x:v>
      </x:c>
      <x:c r="D523" s="12" t="str">
        <x:v>MAIN-182</x:v>
      </x:c>
      <x:c r="E523" s="12" t="str">
        <x:v>Awfis - Unitech Cyber Park - 2</x:v>
      </x:c>
      <x:c r="F523" s="11" t="n">
        <x:v>2</x:v>
      </x:c>
      <x:c r="G523" s="11" t="n">
        <x:v>2</x:v>
      </x:c>
      <x:c r="H523" s="11" t="n">
        <x:v>0</x:v>
      </x:c>
      <x:c r="I523" s="17" t="n">
        <x:f>INDEX('Costing'!$P$9:$P$492,MATCH(D523,'Costing'!$A$9:$A$492,0))</x:f>
        <x:v>30000</x:v>
      </x:c>
      <x:c r="J523" s="17" t="n">
        <x:f>ROUND(I523*'Costing'!$C$4,2)</x:f>
        <x:v>5400</x:v>
      </x:c>
      <x:c r="K523" s="17" t="n">
        <x:f>I523+J523</x:f>
        <x:v>35400</x:v>
      </x:c>
    </x:row>
    <x:row r="524" ht="46" customHeight="1">
      <x:c r="A524" s="2" t="str">
        <x:v>Indicative size</x:v>
      </x:c>
      <x:c r="B524" s="2" t="str">
        <x:v>Large enterprise</x:v>
      </x:c>
      <x:c r="C524" s="12" t="str">
        <x:v>Delhi NCR</x:v>
      </x:c>
      <x:c r="D524" s="12" t="str">
        <x:v>MAIN-167</x:v>
      </x:c>
      <x:c r="E524" s="12" t="str">
        <x:v>Emaar Colonnade</x:v>
      </x:c>
      <x:c r="F524" s="11" t="n">
        <x:v>5</x:v>
      </x:c>
      <x:c r="G524" s="11" t="n">
        <x:v>5</x:v>
      </x:c>
      <x:c r="H524" s="11" t="n">
        <x:v>0</x:v>
      </x:c>
      <x:c r="I524" s="17" t="n">
        <x:f>INDEX('Costing'!$P$9:$P$492,MATCH(D524,'Costing'!$A$9:$A$492,0))</x:f>
        <x:v>200000</x:v>
      </x:c>
      <x:c r="J524" s="17" t="n">
        <x:f>ROUND(I524*'Costing'!$C$4,2)</x:f>
        <x:v>36000</x:v>
      </x:c>
      <x:c r="K524" s="17" t="n">
        <x:f>I524+J524</x:f>
        <x:v>236000</x:v>
      </x:c>
    </x:row>
    <x:row r="525" ht="46" customHeight="1">
      <x:c r="A525" s="2" t="str">
        <x:v>Indicative size</x:v>
      </x:c>
      <x:c r="B525" s="2" t="str">
        <x:v>Large enterprise</x:v>
      </x:c>
      <x:c r="C525" s="12" t="str">
        <x:v>Delhi NCR</x:v>
      </x:c>
      <x:c r="D525" s="12" t="str">
        <x:v>MAIN-169</x:v>
      </x:c>
      <x:c r="E525" s="12" t="str">
        <x:v>Logix Cyber Park</x:v>
      </x:c>
      <x:c r="F525" s="11" t="n">
        <x:v>15</x:v>
      </x:c>
      <x:c r="G525" s="11" t="n">
        <x:v>15</x:v>
      </x:c>
      <x:c r="H525" s="11" t="n">
        <x:v>0</x:v>
      </x:c>
      <x:c r="I525" s="17" t="n">
        <x:f>INDEX('Costing'!$P$9:$P$492,MATCH(D525,'Costing'!$A$9:$A$492,0))</x:f>
        <x:v>300000</x:v>
      </x:c>
      <x:c r="J525" s="17" t="n">
        <x:f>ROUND(I525*'Costing'!$C$4,2)</x:f>
        <x:v>54000</x:v>
      </x:c>
      <x:c r="K525" s="17" t="n">
        <x:f>I525+J525</x:f>
        <x:v>354000</x:v>
      </x:c>
    </x:row>
    <x:row r="526" ht="46" customHeight="1">
      <x:c r="A526" s="2" t="str">
        <x:v>Indicative size</x:v>
      </x:c>
      <x:c r="B526" s="2" t="str">
        <x:v>Large enterprise</x:v>
      </x:c>
      <x:c r="C526" s="12" t="str">
        <x:v>Delhi NCR</x:v>
      </x:c>
      <x:c r="D526" s="12" t="str">
        <x:v>MAIN-201</x:v>
      </x:c>
      <x:c r="E526" s="12" t="str">
        <x:v>Unitech - Business Park</x:v>
      </x:c>
      <x:c r="F526" s="11" t="n">
        <x:v>2</x:v>
      </x:c>
      <x:c r="G526" s="11" t="n">
        <x:v>2</x:v>
      </x:c>
      <x:c r="H526" s="11" t="n">
        <x:v>0</x:v>
      </x:c>
      <x:c r="I526" s="17" t="n">
        <x:f>INDEX('Costing'!$P$9:$P$492,MATCH(D526,'Costing'!$A$9:$A$492,0))</x:f>
        <x:v>80000</x:v>
      </x:c>
      <x:c r="J526" s="17" t="n">
        <x:f>ROUND(I526*'Costing'!$C$4,2)</x:f>
        <x:v>14400</x:v>
      </x:c>
      <x:c r="K526" s="17" t="n">
        <x:f>I526+J526</x:f>
        <x:v>94400</x:v>
      </x:c>
    </x:row>
    <x:row r="527" ht="46" customHeight="1">
      <x:c r="A527" s="2" t="str">
        <x:v>Indicative size</x:v>
      </x:c>
      <x:c r="B527" s="2" t="str">
        <x:v>Large enterprise</x:v>
      </x:c>
      <x:c r="C527" s="12" t="str">
        <x:v>Delhi NCR</x:v>
      </x:c>
      <x:c r="D527" s="12" t="str">
        <x:v>MAIN-204</x:v>
      </x:c>
      <x:c r="E527" s="12" t="str">
        <x:v>Unitech - Cyber Park</x:v>
      </x:c>
      <x:c r="F527" s="11" t="n">
        <x:v>4</x:v>
      </x:c>
      <x:c r="G527" s="11" t="n">
        <x:v>4</x:v>
      </x:c>
      <x:c r="H527" s="11" t="n">
        <x:v>0</x:v>
      </x:c>
      <x:c r="I527" s="17" t="n">
        <x:f>INDEX('Costing'!$P$9:$P$492,MATCH(D527,'Costing'!$A$9:$A$492,0))</x:f>
        <x:v>160000</x:v>
      </x:c>
      <x:c r="J527" s="17" t="n">
        <x:f>ROUND(I527*'Costing'!$C$4,2)</x:f>
        <x:v>28800</x:v>
      </x:c>
      <x:c r="K527" s="17" t="n">
        <x:f>I527+J527</x:f>
        <x:v>188800</x:v>
      </x:c>
    </x:row>
    <x:row r="528" ht="46" customHeight="1">
      <x:c r="A528" s="2" t="str">
        <x:v>Indicative size</x:v>
      </x:c>
      <x:c r="B528" s="2" t="str">
        <x:v>Large enterprise</x:v>
      </x:c>
      <x:c r="C528" s="12" t="str">
        <x:v>Delhi NCR</x:v>
      </x:c>
      <x:c r="D528" s="12" t="str">
        <x:v>MAIN-208</x:v>
      </x:c>
      <x:c r="E528" s="12" t="str">
        <x:v>Unitech - Trade Center</x:v>
      </x:c>
      <x:c r="F528" s="11" t="n">
        <x:v>1</x:v>
      </x:c>
      <x:c r="G528" s="11" t="n">
        <x:v>1</x:v>
      </x:c>
      <x:c r="H528" s="11" t="n">
        <x:v>0</x:v>
      </x:c>
      <x:c r="I528" s="17" t="n">
        <x:f>INDEX('Costing'!$P$9:$P$492,MATCH(D528,'Costing'!$A$9:$A$492,0))</x:f>
        <x:v>40000</x:v>
      </x:c>
      <x:c r="J528" s="17" t="n">
        <x:f>ROUND(I528*'Costing'!$C$4,2)</x:f>
        <x:v>7200</x:v>
      </x:c>
      <x:c r="K528" s="17" t="n">
        <x:f>I528+J528</x:f>
        <x:v>47200</x:v>
      </x:c>
    </x:row>
    <x:row r="529" ht="46" customHeight="1">
      <x:c r="A529" s="2" t="str">
        <x:v>Indicative size</x:v>
      </x:c>
      <x:c r="B529" s="2" t="str">
        <x:v>Large enterprise</x:v>
      </x:c>
      <x:c r="C529" s="12" t="str">
        <x:v>Delhi NCR</x:v>
      </x:c>
      <x:c r="D529" s="12" t="str">
        <x:v>MAIN-378</x:v>
      </x:c>
      <x:c r="E529" s="12" t="str">
        <x:v>World Trade Tower</x:v>
      </x:c>
      <x:c r="F529" s="11" t="n">
        <x:v>13</x:v>
      </x:c>
      <x:c r="G529" s="11" t="n">
        <x:v>13</x:v>
      </x:c>
      <x:c r="H529" s="11" t="n">
        <x:v>0</x:v>
      </x:c>
      <x:c r="I529" s="17" t="n">
        <x:f>INDEX('Costing'!$P$9:$P$492,MATCH(D529,'Costing'!$A$9:$A$492,0))</x:f>
        <x:v>260000</x:v>
      </x:c>
      <x:c r="J529" s="17" t="n">
        <x:f>ROUND(I529*'Costing'!$C$4,2)</x:f>
        <x:v>46800</x:v>
      </x:c>
      <x:c r="K529" s="17" t="n">
        <x:f>I529+J529</x:f>
        <x:v>306800</x:v>
      </x:c>
    </x:row>
    <x:row r="530" ht="46" customHeight="1">
      <x:c r="A530" s="2" t="str">
        <x:v>Indicative size</x:v>
      </x:c>
      <x:c r="B530" s="2" t="str">
        <x:v>Large enterprise</x:v>
      </x:c>
      <x:c r="C530" s="12" t="str">
        <x:v>Hyderabad</x:v>
      </x:c>
      <x:c r="D530" s="12" t="str">
        <x:v>MAIN-219</x:v>
      </x:c>
      <x:c r="E530" s="12" t="str">
        <x:v>Awfis - Hitech City 6th</x:v>
      </x:c>
      <x:c r="F530" s="11" t="n">
        <x:v>2</x:v>
      </x:c>
      <x:c r="G530" s="11" t="n">
        <x:v>2</x:v>
      </x:c>
      <x:c r="H530" s="11" t="n">
        <x:v>0</x:v>
      </x:c>
      <x:c r="I530" s="17" t="n">
        <x:f>INDEX('Costing'!$P$9:$P$492,MATCH(D530,'Costing'!$A$9:$A$492,0))</x:f>
        <x:v>30000</x:v>
      </x:c>
      <x:c r="J530" s="17" t="n">
        <x:f>ROUND(I530*'Costing'!$C$4,2)</x:f>
        <x:v>5400</x:v>
      </x:c>
      <x:c r="K530" s="17" t="n">
        <x:f>I530+J530</x:f>
        <x:v>35400</x:v>
      </x:c>
    </x:row>
    <x:row r="531" ht="46" customHeight="1">
      <x:c r="A531" s="2" t="str">
        <x:v>Indicative size</x:v>
      </x:c>
      <x:c r="B531" s="2" t="str">
        <x:v>Large enterprise</x:v>
      </x:c>
      <x:c r="C531" s="12" t="str">
        <x:v>Hyderabad</x:v>
      </x:c>
      <x:c r="D531" s="12" t="str">
        <x:v>MAIN-224</x:v>
      </x:c>
      <x:c r="E531" s="12" t="str">
        <x:v>Awfis - Rajapushpa Summit</x:v>
      </x:c>
      <x:c r="F531" s="11" t="n">
        <x:v>3</x:v>
      </x:c>
      <x:c r="G531" s="11" t="n">
        <x:v>3</x:v>
      </x:c>
      <x:c r="H531" s="11" t="n">
        <x:v>0</x:v>
      </x:c>
      <x:c r="I531" s="17" t="n">
        <x:f>INDEX('Costing'!$P$9:$P$492,MATCH(D531,'Costing'!$A$9:$A$492,0))</x:f>
        <x:v>45000</x:v>
      </x:c>
      <x:c r="J531" s="17" t="n">
        <x:f>ROUND(I531*'Costing'!$C$4,2)</x:f>
        <x:v>8100</x:v>
      </x:c>
      <x:c r="K531" s="17" t="n">
        <x:f>I531+J531</x:f>
        <x:v>53100</x:v>
      </x:c>
    </x:row>
    <x:row r="532" ht="46" customHeight="1">
      <x:c r="A532" s="2" t="str">
        <x:v>Indicative size</x:v>
      </x:c>
      <x:c r="B532" s="2" t="str">
        <x:v>Large enterprise</x:v>
      </x:c>
      <x:c r="C532" s="12" t="str">
        <x:v>Hyderabad</x:v>
      </x:c>
      <x:c r="D532" s="12" t="str">
        <x:v>MAIN-232</x:v>
      </x:c>
      <x:c r="E532" s="12" t="str">
        <x:v>GAR Laxmi Infobahn (T1, T2){IE}</x:v>
      </x:c>
      <x:c r="F532" s="11" t="n">
        <x:v>21</x:v>
      </x:c>
      <x:c r="G532" s="11" t="n">
        <x:v>21</x:v>
      </x:c>
      <x:c r="H532" s="11" t="n">
        <x:v>0</x:v>
      </x:c>
      <x:c r="I532" s="17" t="n">
        <x:f>INDEX('Costing'!$P$9:$P$492,MATCH(D532,'Costing'!$A$9:$A$492,0))</x:f>
        <x:v>315000</x:v>
      </x:c>
      <x:c r="J532" s="17" t="n">
        <x:f>ROUND(I532*'Costing'!$C$4,2)</x:f>
        <x:v>56700</x:v>
      </x:c>
      <x:c r="K532" s="17" t="n">
        <x:f>I532+J532</x:f>
        <x:v>371700</x:v>
      </x:c>
    </x:row>
    <x:row r="533" ht="46" customHeight="1">
      <x:c r="A533" s="2" t="str">
        <x:v>Indicative size</x:v>
      </x:c>
      <x:c r="B533" s="2" t="str">
        <x:v>Large enterprise</x:v>
      </x:c>
      <x:c r="C533" s="12" t="str">
        <x:v>Hyderabad</x:v>
      </x:c>
      <x:c r="D533" s="12" t="str">
        <x:v>MAIN-234</x:v>
      </x:c>
      <x:c r="E533" s="12" t="str">
        <x:v>GAR Laxmi Infobahn (T3, T4) {IE}</x:v>
      </x:c>
      <x:c r="F533" s="11" t="n">
        <x:v>16</x:v>
      </x:c>
      <x:c r="G533" s="11" t="n">
        <x:v>16</x:v>
      </x:c>
      <x:c r="H533" s="11" t="n">
        <x:v>0</x:v>
      </x:c>
      <x:c r="I533" s="17" t="n">
        <x:f>INDEX('Costing'!$P$9:$P$492,MATCH(D533,'Costing'!$A$9:$A$492,0))</x:f>
        <x:v>240000</x:v>
      </x:c>
      <x:c r="J533" s="17" t="n">
        <x:f>ROUND(I533*'Costing'!$C$4,2)</x:f>
        <x:v>43200</x:v>
      </x:c>
      <x:c r="K533" s="17" t="n">
        <x:f>I533+J533</x:f>
        <x:v>283200</x:v>
      </x:c>
    </x:row>
    <x:row r="534" ht="46" customHeight="1">
      <x:c r="A534" s="2" t="str">
        <x:v>Indicative size</x:v>
      </x:c>
      <x:c r="B534" s="2" t="str">
        <x:v>Large enterprise</x:v>
      </x:c>
      <x:c r="C534" s="12" t="str">
        <x:v>Hyderabad</x:v>
      </x:c>
      <x:c r="D534" s="12" t="str">
        <x:v>MAIN-235</x:v>
      </x:c>
      <x:c r="E534" s="12" t="str">
        <x:v>GAR Laxmi Infobahn (T5, T6)</x:v>
      </x:c>
      <x:c r="F534" s="11" t="n">
        <x:v>9</x:v>
      </x:c>
      <x:c r="G534" s="11" t="n">
        <x:v>9</x:v>
      </x:c>
      <x:c r="H534" s="11" t="n">
        <x:v>0</x:v>
      </x:c>
      <x:c r="I534" s="17" t="n">
        <x:f>INDEX('Costing'!$P$9:$P$492,MATCH(D534,'Costing'!$A$9:$A$492,0))</x:f>
        <x:v>360000</x:v>
      </x:c>
      <x:c r="J534" s="17" t="n">
        <x:f>ROUND(I534*'Costing'!$C$4,2)</x:f>
        <x:v>64800</x:v>
      </x:c>
      <x:c r="K534" s="17" t="n">
        <x:f>I534+J534</x:f>
        <x:v>424800</x:v>
      </x:c>
    </x:row>
    <x:row r="535" ht="46" customHeight="1">
      <x:c r="A535" s="2" t="str">
        <x:v>Indicative size</x:v>
      </x:c>
      <x:c r="B535" s="2" t="str">
        <x:v>Large enterprise</x:v>
      </x:c>
      <x:c r="C535" s="12" t="str">
        <x:v>Hyderabad</x:v>
      </x:c>
      <x:c r="D535" s="12" t="str">
        <x:v>MAIN-236</x:v>
      </x:c>
      <x:c r="E535" s="12" t="str">
        <x:v>GAR Laxmi Infobahn (T5, T6){IE}</x:v>
      </x:c>
      <x:c r="F535" s="11" t="n">
        <x:v>27</x:v>
      </x:c>
      <x:c r="G535" s="11" t="n">
        <x:v>27</x:v>
      </x:c>
      <x:c r="H535" s="11" t="n">
        <x:v>0</x:v>
      </x:c>
      <x:c r="I535" s="17" t="n">
        <x:f>INDEX('Costing'!$P$9:$P$492,MATCH(D535,'Costing'!$A$9:$A$492,0))</x:f>
        <x:v>405000</x:v>
      </x:c>
      <x:c r="J535" s="17" t="n">
        <x:f>ROUND(I535*'Costing'!$C$4,2)</x:f>
        <x:v>72900</x:v>
      </x:c>
      <x:c r="K535" s="17" t="n">
        <x:f>I535+J535</x:f>
        <x:v>477900</x:v>
      </x:c>
    </x:row>
    <x:row r="536" ht="46" customHeight="1">
      <x:c r="A536" s="2" t="str">
        <x:v>Indicative size</x:v>
      </x:c>
      <x:c r="B536" s="2" t="str">
        <x:v>Large enterprise</x:v>
      </x:c>
      <x:c r="C536" s="12" t="str">
        <x:v>Hyderabad</x:v>
      </x:c>
      <x:c r="D536" s="12" t="str">
        <x:v>MAIN-237</x:v>
      </x:c>
      <x:c r="E536" s="12" t="str">
        <x:v>Meenakshi Tech Park</x:v>
      </x:c>
      <x:c r="F536" s="11" t="n">
        <x:v>2</x:v>
      </x:c>
      <x:c r="G536" s="11" t="n">
        <x:v>2</x:v>
      </x:c>
      <x:c r="H536" s="11" t="n">
        <x:v>0</x:v>
      </x:c>
      <x:c r="I536" s="17" t="n">
        <x:f>INDEX('Costing'!$P$9:$P$492,MATCH(D536,'Costing'!$A$9:$A$492,0))</x:f>
        <x:v>80000</x:v>
      </x:c>
      <x:c r="J536" s="17" t="n">
        <x:f>ROUND(I536*'Costing'!$C$4,2)</x:f>
        <x:v>14400</x:v>
      </x:c>
      <x:c r="K536" s="17" t="n">
        <x:f>I536+J536</x:f>
        <x:v>94400</x:v>
      </x:c>
    </x:row>
    <x:row r="537" ht="46" customHeight="1">
      <x:c r="A537" s="2" t="str">
        <x:v>Indicative size</x:v>
      </x:c>
      <x:c r="B537" s="2" t="str">
        <x:v>Large enterprise</x:v>
      </x:c>
      <x:c r="C537" s="12" t="str">
        <x:v>Hyderabad</x:v>
      </x:c>
      <x:c r="D537" s="12" t="str">
        <x:v>MAIN-238</x:v>
      </x:c>
      <x:c r="E537" s="12" t="str">
        <x:v>Meenakshi Tech Park {IE}</x:v>
      </x:c>
      <x:c r="F537" s="11" t="n">
        <x:v>11</x:v>
      </x:c>
      <x:c r="G537" s="11" t="n">
        <x:v>11</x:v>
      </x:c>
      <x:c r="H537" s="11" t="n">
        <x:v>0</x:v>
      </x:c>
      <x:c r="I537" s="17" t="n">
        <x:f>INDEX('Costing'!$P$9:$P$492,MATCH(D537,'Costing'!$A$9:$A$492,0))</x:f>
        <x:v>165000</x:v>
      </x:c>
      <x:c r="J537" s="17" t="n">
        <x:f>ROUND(I537*'Costing'!$C$4,2)</x:f>
        <x:v>29700</x:v>
      </x:c>
      <x:c r="K537" s="17" t="n">
        <x:f>I537+J537</x:f>
        <x:v>194700</x:v>
      </x:c>
    </x:row>
    <x:row r="538" ht="46" customHeight="1">
      <x:c r="A538" s="2" t="str">
        <x:v>Indicative size</x:v>
      </x:c>
      <x:c r="B538" s="2" t="str">
        <x:v>Large enterprise</x:v>
      </x:c>
      <x:c r="C538" s="12" t="str">
        <x:v>Hyderabad</x:v>
      </x:c>
      <x:c r="D538" s="12" t="str">
        <x:v>MAIN-239</x:v>
      </x:c>
      <x:c r="E538" s="12" t="str">
        <x:v>Meenakshi Tech Park-43 Inch Pods</x:v>
      </x:c>
      <x:c r="F538" s="11" t="n">
        <x:v>12</x:v>
      </x:c>
      <x:c r="G538" s="11" t="n">
        <x:v>12</x:v>
      </x:c>
      <x:c r="H538" s="11" t="n">
        <x:v>0</x:v>
      </x:c>
      <x:c r="I538" s="17" t="n">
        <x:f>INDEX('Costing'!$P$9:$P$492,MATCH(D538,'Costing'!$A$9:$A$492,0))</x:f>
        <x:v>240000</x:v>
      </x:c>
      <x:c r="J538" s="17" t="n">
        <x:f>ROUND(I538*'Costing'!$C$4,2)</x:f>
        <x:v>43200</x:v>
      </x:c>
      <x:c r="K538" s="17" t="n">
        <x:f>I538+J538</x:f>
        <x:v>283200</x:v>
      </x:c>
    </x:row>
    <x:row r="539" ht="46" customHeight="1">
      <x:c r="A539" s="2" t="str">
        <x:v>Indicative size</x:v>
      </x:c>
      <x:c r="B539" s="2" t="str">
        <x:v>Large enterprise</x:v>
      </x:c>
      <x:c r="C539" s="12" t="str">
        <x:v>Hyderabad</x:v>
      </x:c>
      <x:c r="D539" s="12" t="str">
        <x:v>MAIN-240</x:v>
      </x:c>
      <x:c r="E539" s="12" t="str">
        <x:v>NSL Arena Tech Park</x:v>
      </x:c>
      <x:c r="F539" s="11" t="n">
        <x:v>13</x:v>
      </x:c>
      <x:c r="G539" s="11" t="n">
        <x:v>13</x:v>
      </x:c>
      <x:c r="H539" s="11" t="n">
        <x:v>0</x:v>
      </x:c>
      <x:c r="I539" s="17" t="n">
        <x:f>INDEX('Costing'!$P$9:$P$492,MATCH(D539,'Costing'!$A$9:$A$492,0))</x:f>
        <x:v>195000</x:v>
      </x:c>
      <x:c r="J539" s="17" t="n">
        <x:f>ROUND(I539*'Costing'!$C$4,2)</x:f>
        <x:v>35100</x:v>
      </x:c>
      <x:c r="K539" s="17" t="n">
        <x:f>I539+J539</x:f>
        <x:v>230100</x:v>
      </x:c>
    </x:row>
    <x:row r="540" ht="46" customHeight="1">
      <x:c r="A540" s="2" t="str">
        <x:v>Indicative size</x:v>
      </x:c>
      <x:c r="B540" s="2" t="str">
        <x:v>Large enterprise</x:v>
      </x:c>
      <x:c r="C540" s="12" t="str">
        <x:v>Hyderabad</x:v>
      </x:c>
      <x:c r="D540" s="12" t="str">
        <x:v>MAIN-246</x:v>
      </x:c>
      <x:c r="E540" s="12" t="str">
        <x:v>Purva Summit Tech Park</x:v>
      </x:c>
      <x:c r="F540" s="11" t="n">
        <x:v>1</x:v>
      </x:c>
      <x:c r="G540" s="11" t="n">
        <x:v>1</x:v>
      </x:c>
      <x:c r="H540" s="11" t="n">
        <x:v>0</x:v>
      </x:c>
      <x:c r="I540" s="17" t="n">
        <x:f>INDEX('Costing'!$P$9:$P$492,MATCH(D540,'Costing'!$A$9:$A$492,0))</x:f>
        <x:v>20000</x:v>
      </x:c>
      <x:c r="J540" s="17" t="n">
        <x:f>ROUND(I540*'Costing'!$C$4,2)</x:f>
        <x:v>3600</x:v>
      </x:c>
      <x:c r="K540" s="17" t="n">
        <x:f>I540+J540</x:f>
        <x:v>23600</x:v>
      </x:c>
    </x:row>
    <x:row r="541" ht="46" customHeight="1">
      <x:c r="A541" s="2" t="str">
        <x:v>Indicative size</x:v>
      </x:c>
      <x:c r="B541" s="2" t="str">
        <x:v>Large enterprise</x:v>
      </x:c>
      <x:c r="C541" s="12" t="str">
        <x:v>Hyderabad</x:v>
      </x:c>
      <x:c r="D541" s="12" t="str">
        <x:v>MAIN-250</x:v>
      </x:c>
      <x:c r="E541" s="12" t="str">
        <x:v>Raheja 2A (Redbrick Offices)</x:v>
      </x:c>
      <x:c r="F541" s="11" t="n">
        <x:v>1</x:v>
      </x:c>
      <x:c r="G541" s="11" t="n">
        <x:v>1</x:v>
      </x:c>
      <x:c r="H541" s="11" t="n">
        <x:v>0</x:v>
      </x:c>
      <x:c r="I541" s="17" t="n">
        <x:f>INDEX('Costing'!$P$9:$P$492,MATCH(D541,'Costing'!$A$9:$A$492,0))</x:f>
        <x:v>15000</x:v>
      </x:c>
      <x:c r="J541" s="17" t="n">
        <x:f>ROUND(I541*'Costing'!$C$4,2)</x:f>
        <x:v>2700</x:v>
      </x:c>
      <x:c r="K541" s="17" t="n">
        <x:f>I541+J541</x:f>
        <x:v>17700</x:v>
      </x:c>
    </x:row>
    <x:row r="542" ht="46" customHeight="1">
      <x:c r="A542" s="2" t="str">
        <x:v>Indicative size</x:v>
      </x:c>
      <x:c r="B542" s="2" t="str">
        <x:v>Large enterprise</x:v>
      </x:c>
      <x:c r="C542" s="12" t="str">
        <x:v>Hyderabad</x:v>
      </x:c>
      <x:c r="D542" s="12" t="str">
        <x:v>MAIN-251</x:v>
      </x:c>
      <x:c r="E542" s="12" t="str">
        <x:v>Raheja IT Park Tower 3</x:v>
      </x:c>
      <x:c r="F542" s="11" t="n">
        <x:v>2</x:v>
      </x:c>
      <x:c r="G542" s="11" t="n">
        <x:v>2</x:v>
      </x:c>
      <x:c r="H542" s="11" t="n">
        <x:v>0</x:v>
      </x:c>
      <x:c r="I542" s="17" t="n">
        <x:f>INDEX('Costing'!$P$9:$P$492,MATCH(D542,'Costing'!$A$9:$A$492,0))</x:f>
        <x:v>40000</x:v>
      </x:c>
      <x:c r="J542" s="17" t="n">
        <x:f>ROUND(I542*'Costing'!$C$4,2)</x:f>
        <x:v>7200</x:v>
      </x:c>
      <x:c r="K542" s="17" t="n">
        <x:f>I542+J542</x:f>
        <x:v>47200</x:v>
      </x:c>
    </x:row>
    <x:row r="543" ht="46" customHeight="1">
      <x:c r="A543" s="2" t="str">
        <x:v>Indicative size</x:v>
      </x:c>
      <x:c r="B543" s="2" t="str">
        <x:v>Large enterprise</x:v>
      </x:c>
      <x:c r="C543" s="12" t="str">
        <x:v>Hyderabad</x:v>
      </x:c>
      <x:c r="D543" s="12" t="str">
        <x:v>MAIN-253</x:v>
      </x:c>
      <x:c r="E543" s="12" t="str">
        <x:v>Raheja Mindspace IT Park - Madhapur</x:v>
      </x:c>
      <x:c r="F543" s="11" t="n">
        <x:v>21</x:v>
      </x:c>
      <x:c r="G543" s="11" t="n">
        <x:v>21</x:v>
      </x:c>
      <x:c r="H543" s="11" t="n">
        <x:v>0</x:v>
      </x:c>
      <x:c r="I543" s="17" t="n">
        <x:f>INDEX('Costing'!$P$9:$P$492,MATCH(D543,'Costing'!$A$9:$A$492,0))</x:f>
        <x:v>840000</x:v>
      </x:c>
      <x:c r="J543" s="17" t="n">
        <x:f>ROUND(I543*'Costing'!$C$4,2)</x:f>
        <x:v>151200</x:v>
      </x:c>
      <x:c r="K543" s="17" t="n">
        <x:f>I543+J543</x:f>
        <x:v>991200</x:v>
      </x:c>
    </x:row>
    <x:row r="544" ht="46" customHeight="1">
      <x:c r="A544" s="2" t="str">
        <x:v>Indicative size</x:v>
      </x:c>
      <x:c r="B544" s="2" t="str">
        <x:v>Large enterprise</x:v>
      </x:c>
      <x:c r="C544" s="12" t="str">
        <x:v>Hyderabad</x:v>
      </x:c>
      <x:c r="D544" s="12" t="str">
        <x:v>MAIN-263</x:v>
      </x:c>
      <x:c r="E544" s="12" t="str">
        <x:v>WeWork - Mindspace</x:v>
      </x:c>
      <x:c r="F544" s="11" t="n">
        <x:v>1</x:v>
      </x:c>
      <x:c r="G544" s="11" t="n">
        <x:v>1</x:v>
      </x:c>
      <x:c r="H544" s="11" t="n">
        <x:v>0</x:v>
      </x:c>
      <x:c r="I544" s="17" t="n">
        <x:f>INDEX('Costing'!$P$9:$P$492,MATCH(D544,'Costing'!$A$9:$A$492,0))</x:f>
        <x:v>25000</x:v>
      </x:c>
      <x:c r="J544" s="17" t="n">
        <x:f>ROUND(I544*'Costing'!$C$4,2)</x:f>
        <x:v>4500</x:v>
      </x:c>
      <x:c r="K544" s="17" t="n">
        <x:f>I544+J544</x:f>
        <x:v>29500</x:v>
      </x:c>
    </x:row>
    <x:row r="545" ht="46" customHeight="1">
      <x:c r="A545" s="2" t="str">
        <x:v>Indicative size</x:v>
      </x:c>
      <x:c r="B545" s="2" t="str">
        <x:v>Large enterprise</x:v>
      </x:c>
      <x:c r="C545" s="12" t="str">
        <x:v>Indore</x:v>
      </x:c>
      <x:c r="D545" s="12" t="str">
        <x:v>MAIN-266</x:v>
      </x:c>
      <x:c r="E545" s="12" t="str">
        <x:v>Airen Heights</x:v>
      </x:c>
      <x:c r="F545" s="11" t="n">
        <x:v>1</x:v>
      </x:c>
      <x:c r="G545" s="11" t="n">
        <x:v>1</x:v>
      </x:c>
      <x:c r="H545" s="11" t="n">
        <x:v>0</x:v>
      </x:c>
      <x:c r="I545" s="17" t="n">
        <x:f>INDEX('Costing'!$P$9:$P$492,MATCH(D545,'Costing'!$A$9:$A$492,0))</x:f>
        <x:v>20000</x:v>
      </x:c>
      <x:c r="J545" s="17" t="n">
        <x:f>ROUND(I545*'Costing'!$C$4,2)</x:f>
        <x:v>3600</x:v>
      </x:c>
      <x:c r="K545" s="17" t="n">
        <x:f>I545+J545</x:f>
        <x:v>23600</x:v>
      </x:c>
    </x:row>
    <x:row r="546" ht="46" customHeight="1">
      <x:c r="A546" s="2" t="str">
        <x:v>Indicative size</x:v>
      </x:c>
      <x:c r="B546" s="2" t="str">
        <x:v>Large enterprise</x:v>
      </x:c>
      <x:c r="C546" s="12" t="str">
        <x:v>Indore</x:v>
      </x:c>
      <x:c r="D546" s="12" t="str">
        <x:v>MAIN-267</x:v>
      </x:c>
      <x:c r="E546" s="12" t="str">
        <x:v>Apollo Gold Plaza</x:v>
      </x:c>
      <x:c r="F546" s="11" t="n">
        <x:v>2</x:v>
      </x:c>
      <x:c r="G546" s="11" t="n">
        <x:v>2</x:v>
      </x:c>
      <x:c r="H546" s="11" t="n">
        <x:v>0</x:v>
      </x:c>
      <x:c r="I546" s="17" t="n">
        <x:f>INDEX('Costing'!$P$9:$P$492,MATCH(D546,'Costing'!$A$9:$A$492,0))</x:f>
        <x:v>40000</x:v>
      </x:c>
      <x:c r="J546" s="17" t="n">
        <x:f>ROUND(I546*'Costing'!$C$4,2)</x:f>
        <x:v>7200</x:v>
      </x:c>
      <x:c r="K546" s="17" t="n">
        <x:f>I546+J546</x:f>
        <x:v>47200</x:v>
      </x:c>
    </x:row>
    <x:row r="547" ht="46" customHeight="1">
      <x:c r="A547" s="2" t="str">
        <x:v>Indicative size</x:v>
      </x:c>
      <x:c r="B547" s="2" t="str">
        <x:v>Large enterprise</x:v>
      </x:c>
      <x:c r="C547" s="12" t="str">
        <x:v>Indore</x:v>
      </x:c>
      <x:c r="D547" s="12" t="str">
        <x:v>MAIN-268</x:v>
      </x:c>
      <x:c r="E547" s="12" t="str">
        <x:v>Apollo Premier</x:v>
      </x:c>
      <x:c r="F547" s="11" t="n">
        <x:v>2</x:v>
      </x:c>
      <x:c r="G547" s="11" t="n">
        <x:v>2</x:v>
      </x:c>
      <x:c r="H547" s="11" t="n">
        <x:v>0</x:v>
      </x:c>
      <x:c r="I547" s="17" t="n">
        <x:f>INDEX('Costing'!$P$9:$P$492,MATCH(D547,'Costing'!$A$9:$A$492,0))</x:f>
        <x:v>80000</x:v>
      </x:c>
      <x:c r="J547" s="17" t="n">
        <x:f>ROUND(I547*'Costing'!$C$4,2)</x:f>
        <x:v>14400</x:v>
      </x:c>
      <x:c r="K547" s="17" t="n">
        <x:f>I547+J547</x:f>
        <x:v>94400</x:v>
      </x:c>
    </x:row>
    <x:row r="548" ht="46" customHeight="1">
      <x:c r="A548" s="2" t="str">
        <x:v>Indicative size</x:v>
      </x:c>
      <x:c r="B548" s="2" t="str">
        <x:v>Large enterprise</x:v>
      </x:c>
      <x:c r="C548" s="12" t="str">
        <x:v>Indore</x:v>
      </x:c>
      <x:c r="D548" s="12" t="str">
        <x:v>MAIN-269</x:v>
      </x:c>
      <x:c r="E548" s="12" t="str">
        <x:v>Benchmark</x:v>
      </x:c>
      <x:c r="F548" s="11" t="n">
        <x:v>1</x:v>
      </x:c>
      <x:c r="G548" s="11" t="n">
        <x:v>1</x:v>
      </x:c>
      <x:c r="H548" s="11" t="n">
        <x:v>0</x:v>
      </x:c>
      <x:c r="I548" s="17" t="n">
        <x:f>INDEX('Costing'!$P$9:$P$492,MATCH(D548,'Costing'!$A$9:$A$492,0))</x:f>
        <x:v>40000</x:v>
      </x:c>
      <x:c r="J548" s="17" t="n">
        <x:f>ROUND(I548*'Costing'!$C$4,2)</x:f>
        <x:v>7200</x:v>
      </x:c>
      <x:c r="K548" s="17" t="n">
        <x:f>I548+J548</x:f>
        <x:v>47200</x:v>
      </x:c>
    </x:row>
    <x:row r="549" ht="46" customHeight="1">
      <x:c r="A549" s="2" t="str">
        <x:v>Indicative size</x:v>
      </x:c>
      <x:c r="B549" s="2" t="str">
        <x:v>Large enterprise</x:v>
      </x:c>
      <x:c r="C549" s="12" t="str">
        <x:v>Indore</x:v>
      </x:c>
      <x:c r="D549" s="12" t="str">
        <x:v>MAIN-270</x:v>
      </x:c>
      <x:c r="E549" s="12" t="str">
        <x:v>Cliffton Corporate</x:v>
      </x:c>
      <x:c r="F549" s="11" t="n">
        <x:v>1</x:v>
      </x:c>
      <x:c r="G549" s="11" t="n">
        <x:v>1</x:v>
      </x:c>
      <x:c r="H549" s="11" t="n">
        <x:v>0</x:v>
      </x:c>
      <x:c r="I549" s="17" t="n">
        <x:f>INDEX('Costing'!$P$9:$P$492,MATCH(D549,'Costing'!$A$9:$A$492,0))</x:f>
        <x:v>20000</x:v>
      </x:c>
      <x:c r="J549" s="17" t="n">
        <x:f>ROUND(I549*'Costing'!$C$4,2)</x:f>
        <x:v>3600</x:v>
      </x:c>
      <x:c r="K549" s="17" t="n">
        <x:f>I549+J549</x:f>
        <x:v>23600</x:v>
      </x:c>
    </x:row>
    <x:row r="550" ht="46" customHeight="1">
      <x:c r="A550" s="2" t="str">
        <x:v>Indicative size</x:v>
      </x:c>
      <x:c r="B550" s="2" t="str">
        <x:v>Large enterprise</x:v>
      </x:c>
      <x:c r="C550" s="12" t="str">
        <x:v>Indore</x:v>
      </x:c>
      <x:c r="D550" s="12" t="str">
        <x:v>MAIN-271</x:v>
      </x:c>
      <x:c r="E550" s="12" t="str">
        <x:v>Dhan Trident</x:v>
      </x:c>
      <x:c r="F550" s="11" t="n">
        <x:v>2</x:v>
      </x:c>
      <x:c r="G550" s="11" t="n">
        <x:v>2</x:v>
      </x:c>
      <x:c r="H550" s="11" t="n">
        <x:v>0</x:v>
      </x:c>
      <x:c r="I550" s="17" t="n">
        <x:f>INDEX('Costing'!$P$9:$P$492,MATCH(D550,'Costing'!$A$9:$A$492,0))</x:f>
        <x:v>40000</x:v>
      </x:c>
      <x:c r="J550" s="17" t="n">
        <x:f>ROUND(I550*'Costing'!$C$4,2)</x:f>
        <x:v>7200</x:v>
      </x:c>
      <x:c r="K550" s="17" t="n">
        <x:f>I550+J550</x:f>
        <x:v>47200</x:v>
      </x:c>
    </x:row>
    <x:row r="551" ht="46" customHeight="1">
      <x:c r="A551" s="2" t="str">
        <x:v>Indicative size</x:v>
      </x:c>
      <x:c r="B551" s="2" t="str">
        <x:v>Large enterprise</x:v>
      </x:c>
      <x:c r="C551" s="12" t="str">
        <x:v>Indore</x:v>
      </x:c>
      <x:c r="D551" s="12" t="str">
        <x:v>MAIN-272</x:v>
      </x:c>
      <x:c r="E551" s="12" t="str">
        <x:v>Maloo - 01</x:v>
      </x:c>
      <x:c r="F551" s="11" t="n">
        <x:v>1</x:v>
      </x:c>
      <x:c r="G551" s="11" t="n">
        <x:v>1</x:v>
      </x:c>
      <x:c r="H551" s="11" t="n">
        <x:v>0</x:v>
      </x:c>
      <x:c r="I551" s="17" t="n">
        <x:f>INDEX('Costing'!$P$9:$P$492,MATCH(D551,'Costing'!$A$9:$A$492,0))</x:f>
        <x:v>20000</x:v>
      </x:c>
      <x:c r="J551" s="17" t="n">
        <x:f>ROUND(I551*'Costing'!$C$4,2)</x:f>
        <x:v>3600</x:v>
      </x:c>
      <x:c r="K551" s="17" t="n">
        <x:f>I551+J551</x:f>
        <x:v>23600</x:v>
      </x:c>
    </x:row>
    <x:row r="552" ht="46" customHeight="1">
      <x:c r="A552" s="2" t="str">
        <x:v>Indicative size</x:v>
      </x:c>
      <x:c r="B552" s="2" t="str">
        <x:v>Large enterprise</x:v>
      </x:c>
      <x:c r="C552" s="12" t="str">
        <x:v>Indore</x:v>
      </x:c>
      <x:c r="D552" s="12" t="str">
        <x:v>MAIN-274</x:v>
      </x:c>
      <x:c r="E552" s="12" t="str">
        <x:v>Princess Sky Line</x:v>
      </x:c>
      <x:c r="F552" s="11" t="n">
        <x:v>1</x:v>
      </x:c>
      <x:c r="G552" s="11" t="n">
        <x:v>1</x:v>
      </x:c>
      <x:c r="H552" s="11" t="n">
        <x:v>0</x:v>
      </x:c>
      <x:c r="I552" s="17" t="n">
        <x:f>INDEX('Costing'!$P$9:$P$492,MATCH(D552,'Costing'!$A$9:$A$492,0))</x:f>
        <x:v>40000</x:v>
      </x:c>
      <x:c r="J552" s="17" t="n">
        <x:f>ROUND(I552*'Costing'!$C$4,2)</x:f>
        <x:v>7200</x:v>
      </x:c>
      <x:c r="K552" s="17" t="n">
        <x:f>I552+J552</x:f>
        <x:v>47200</x:v>
      </x:c>
    </x:row>
    <x:row r="553" ht="46" customHeight="1">
      <x:c r="A553" s="2" t="str">
        <x:v>Indicative size</x:v>
      </x:c>
      <x:c r="B553" s="2" t="str">
        <x:v>Large enterprise</x:v>
      </x:c>
      <x:c r="C553" s="12" t="str">
        <x:v>Indore</x:v>
      </x:c>
      <x:c r="D553" s="12" t="str">
        <x:v>MAIN-275</x:v>
      </x:c>
      <x:c r="E553" s="12" t="str">
        <x:v>Princess Sky Park</x:v>
      </x:c>
      <x:c r="F553" s="11" t="n">
        <x:v>1</x:v>
      </x:c>
      <x:c r="G553" s="11" t="n">
        <x:v>1</x:v>
      </x:c>
      <x:c r="H553" s="11" t="n">
        <x:v>0</x:v>
      </x:c>
      <x:c r="I553" s="17" t="n">
        <x:f>INDEX('Costing'!$P$9:$P$492,MATCH(D553,'Costing'!$A$9:$A$492,0))</x:f>
        <x:v>40000</x:v>
      </x:c>
      <x:c r="J553" s="17" t="n">
        <x:f>ROUND(I553*'Costing'!$C$4,2)</x:f>
        <x:v>7200</x:v>
      </x:c>
      <x:c r="K553" s="17" t="n">
        <x:f>I553+J553</x:f>
        <x:v>47200</x:v>
      </x:c>
    </x:row>
    <x:row r="554" ht="46" customHeight="1">
      <x:c r="A554" s="2" t="str">
        <x:v>Indicative size</x:v>
      </x:c>
      <x:c r="B554" s="2" t="str">
        <x:v>Large enterprise</x:v>
      </x:c>
      <x:c r="C554" s="12" t="str">
        <x:v>Indore</x:v>
      </x:c>
      <x:c r="D554" s="12" t="str">
        <x:v>MAIN-276</x:v>
      </x:c>
      <x:c r="E554" s="12" t="str">
        <x:v>Satyaraj Complex</x:v>
      </x:c>
      <x:c r="F554" s="11" t="n">
        <x:v>1</x:v>
      </x:c>
      <x:c r="G554" s="11" t="n">
        <x:v>1</x:v>
      </x:c>
      <x:c r="H554" s="11" t="n">
        <x:v>0</x:v>
      </x:c>
      <x:c r="I554" s="17" t="n">
        <x:f>INDEX('Costing'!$P$9:$P$492,MATCH(D554,'Costing'!$A$9:$A$492,0))</x:f>
        <x:v>20000</x:v>
      </x:c>
      <x:c r="J554" s="17" t="n">
        <x:f>ROUND(I554*'Costing'!$C$4,2)</x:f>
        <x:v>3600</x:v>
      </x:c>
      <x:c r="K554" s="17" t="n">
        <x:f>I554+J554</x:f>
        <x:v>23600</x:v>
      </x:c>
    </x:row>
    <x:row r="555" ht="46" customHeight="1">
      <x:c r="A555" s="2" t="str">
        <x:v>Indicative size</x:v>
      </x:c>
      <x:c r="B555" s="2" t="str">
        <x:v>Large enterprise</x:v>
      </x:c>
      <x:c r="C555" s="12" t="str">
        <x:v>Kolkata</x:v>
      </x:c>
      <x:c r="D555" s="12" t="str">
        <x:v>MAIN-281</x:v>
      </x:c>
      <x:c r="E555" s="12" t="str">
        <x:v>Awfis - Ecospace Business Park</x:v>
      </x:c>
      <x:c r="F555" s="11" t="n">
        <x:v>1</x:v>
      </x:c>
      <x:c r="G555" s="11" t="n">
        <x:v>1</x:v>
      </x:c>
      <x:c r="H555" s="11" t="n">
        <x:v>0</x:v>
      </x:c>
      <x:c r="I555" s="17" t="n">
        <x:f>INDEX('Costing'!$P$9:$P$492,MATCH(D555,'Costing'!$A$9:$A$492,0))</x:f>
        <x:v>15000</x:v>
      </x:c>
      <x:c r="J555" s="17" t="n">
        <x:f>ROUND(I555*'Costing'!$C$4,2)</x:f>
        <x:v>2700</x:v>
      </x:c>
      <x:c r="K555" s="17" t="n">
        <x:f>I555+J555</x:f>
        <x:v>17700</x:v>
      </x:c>
    </x:row>
    <x:row r="556" ht="46" customHeight="1">
      <x:c r="A556" s="2" t="str">
        <x:v>Indicative size</x:v>
      </x:c>
      <x:c r="B556" s="2" t="str">
        <x:v>Large enterprise</x:v>
      </x:c>
      <x:c r="C556" s="12" t="str">
        <x:v>Kolkata</x:v>
      </x:c>
      <x:c r="D556" s="12" t="str">
        <x:v>MAIN-283</x:v>
      </x:c>
      <x:c r="E556" s="12" t="str">
        <x:v>Awfis - Siddha Esplanade</x:v>
      </x:c>
      <x:c r="F556" s="11" t="n">
        <x:v>2</x:v>
      </x:c>
      <x:c r="G556" s="11" t="n">
        <x:v>2</x:v>
      </x:c>
      <x:c r="H556" s="11" t="n">
        <x:v>0</x:v>
      </x:c>
      <x:c r="I556" s="17" t="n">
        <x:f>INDEX('Costing'!$P$9:$P$492,MATCH(D556,'Costing'!$A$9:$A$492,0))</x:f>
        <x:v>30000</x:v>
      </x:c>
      <x:c r="J556" s="17" t="n">
        <x:f>ROUND(I556*'Costing'!$C$4,2)</x:f>
        <x:v>5400</x:v>
      </x:c>
      <x:c r="K556" s="17" t="n">
        <x:f>I556+J556</x:f>
        <x:v>35400</x:v>
      </x:c>
    </x:row>
    <x:row r="557" ht="46" customHeight="1">
      <x:c r="A557" s="2" t="str">
        <x:v>Indicative size</x:v>
      </x:c>
      <x:c r="B557" s="2" t="str">
        <x:v>Large enterprise</x:v>
      </x:c>
      <x:c r="C557" s="12" t="str">
        <x:v>Lucknow</x:v>
      </x:c>
      <x:c r="D557" s="12" t="str">
        <x:v>MAIN-291</x:v>
      </x:c>
      <x:c r="E557" s="12" t="str">
        <x:v>Levana Cyber Heights</x:v>
      </x:c>
      <x:c r="F557" s="11" t="n">
        <x:v>4</x:v>
      </x:c>
      <x:c r="G557" s="11" t="n">
        <x:v>4</x:v>
      </x:c>
      <x:c r="H557" s="11" t="n">
        <x:v>0</x:v>
      </x:c>
      <x:c r="I557" s="17" t="n">
        <x:f>INDEX('Costing'!$P$9:$P$492,MATCH(D557,'Costing'!$A$9:$A$492,0))</x:f>
        <x:v>160000</x:v>
      </x:c>
      <x:c r="J557" s="17" t="n">
        <x:f>ROUND(I557*'Costing'!$C$4,2)</x:f>
        <x:v>28800</x:v>
      </x:c>
      <x:c r="K557" s="17" t="n">
        <x:f>I557+J557</x:f>
        <x:v>188800</x:v>
      </x:c>
    </x:row>
    <x:row r="558" ht="46" customHeight="1">
      <x:c r="A558" s="2" t="str">
        <x:v>Indicative size</x:v>
      </x:c>
      <x:c r="B558" s="2" t="str">
        <x:v>Large enterprise</x:v>
      </x:c>
      <x:c r="C558" s="12" t="str">
        <x:v>Mumbai</x:v>
      </x:c>
      <x:c r="D558" s="12" t="str">
        <x:v>MAIN-293</x:v>
      </x:c>
      <x:c r="E558" s="12" t="str">
        <x:v>Altimus (TS)</x:v>
      </x:c>
      <x:c r="F558" s="11" t="n">
        <x:v>1</x:v>
      </x:c>
      <x:c r="G558" s="11" t="n">
        <x:v>1</x:v>
      </x:c>
      <x:c r="H558" s="11" t="n">
        <x:v>0</x:v>
      </x:c>
      <x:c r="I558" s="17" t="n">
        <x:f>INDEX('Costing'!$P$9:$P$492,MATCH(D558,'Costing'!$A$9:$A$492,0))</x:f>
        <x:v>40000</x:v>
      </x:c>
      <x:c r="J558" s="17" t="n">
        <x:f>ROUND(I558*'Costing'!$C$4,2)</x:f>
        <x:v>7200</x:v>
      </x:c>
      <x:c r="K558" s="17" t="n">
        <x:f>I558+J558</x:f>
        <x:v>47200</x:v>
      </x:c>
    </x:row>
    <x:row r="559" ht="46" customHeight="1">
      <x:c r="A559" s="2" t="str">
        <x:v>Indicative size</x:v>
      </x:c>
      <x:c r="B559" s="2" t="str">
        <x:v>Large enterprise</x:v>
      </x:c>
      <x:c r="C559" s="12" t="str">
        <x:v>Mumbai</x:v>
      </x:c>
      <x:c r="D559" s="12" t="str">
        <x:v>MAIN-305</x:v>
      </x:c>
      <x:c r="E559" s="12" t="str">
        <x:v>Awfis - Vaman Techno Center</x:v>
      </x:c>
      <x:c r="F559" s="11" t="n">
        <x:v>2</x:v>
      </x:c>
      <x:c r="G559" s="11" t="n">
        <x:v>2</x:v>
      </x:c>
      <x:c r="H559" s="11" t="n">
        <x:v>0</x:v>
      </x:c>
      <x:c r="I559" s="17" t="n">
        <x:f>INDEX('Costing'!$P$9:$P$492,MATCH(D559,'Costing'!$A$9:$A$492,0))</x:f>
        <x:v>30000</x:v>
      </x:c>
      <x:c r="J559" s="17" t="n">
        <x:f>ROUND(I559*'Costing'!$C$4,2)</x:f>
        <x:v>5400</x:v>
      </x:c>
      <x:c r="K559" s="17" t="n">
        <x:f>I559+J559</x:f>
        <x:v>35400</x:v>
      </x:c>
    </x:row>
    <x:row r="560" ht="46" customHeight="1">
      <x:c r="A560" s="2" t="str">
        <x:v>Indicative size</x:v>
      </x:c>
      <x:c r="B560" s="2" t="str">
        <x:v>Large enterprise</x:v>
      </x:c>
      <x:c r="C560" s="12" t="str">
        <x:v>Mumbai</x:v>
      </x:c>
      <x:c r="D560" s="12" t="str">
        <x:v>MAIN-307</x:v>
      </x:c>
      <x:c r="E560" s="12" t="str">
        <x:v>Blue Rose IND</x:v>
      </x:c>
      <x:c r="F560" s="11" t="n">
        <x:v>22</x:v>
      </x:c>
      <x:c r="G560" s="11" t="n">
        <x:v>22</x:v>
      </x:c>
      <x:c r="H560" s="11" t="n">
        <x:v>0</x:v>
      </x:c>
      <x:c r="I560" s="17" t="n">
        <x:f>INDEX('Costing'!$P$9:$P$492,MATCH(D560,'Costing'!$A$9:$A$492,0))</x:f>
        <x:v>330000</x:v>
      </x:c>
      <x:c r="J560" s="17" t="n">
        <x:f>ROUND(I560*'Costing'!$C$4,2)</x:f>
        <x:v>59400</x:v>
      </x:c>
      <x:c r="K560" s="17" t="n">
        <x:f>I560+J560</x:f>
        <x:v>389400</x:v>
      </x:c>
    </x:row>
    <x:row r="561" ht="46" customHeight="1">
      <x:c r="A561" s="2" t="str">
        <x:v>Indicative size</x:v>
      </x:c>
      <x:c r="B561" s="2" t="str">
        <x:v>Large enterprise</x:v>
      </x:c>
      <x:c r="C561" s="12" t="str">
        <x:v>Mumbai</x:v>
      </x:c>
      <x:c r="D561" s="12" t="str">
        <x:v>MAIN-308</x:v>
      </x:c>
      <x:c r="E561" s="12" t="str">
        <x:v>Bsel Tech Park</x:v>
      </x:c>
      <x:c r="F561" s="11" t="n">
        <x:v>47</x:v>
      </x:c>
      <x:c r="G561" s="11" t="n">
        <x:v>47</x:v>
      </x:c>
      <x:c r="H561" s="11" t="n">
        <x:v>0</x:v>
      </x:c>
      <x:c r="I561" s="17" t="n">
        <x:f>INDEX('Costing'!$P$9:$P$492,MATCH(D561,'Costing'!$A$9:$A$492,0))</x:f>
        <x:v>705000</x:v>
      </x:c>
      <x:c r="J561" s="17" t="n">
        <x:f>ROUND(I561*'Costing'!$C$4,2)</x:f>
        <x:v>126900</x:v>
      </x:c>
      <x:c r="K561" s="17" t="n">
        <x:f>I561+J561</x:f>
        <x:v>831900</x:v>
      </x:c>
    </x:row>
    <x:row r="562" ht="46" customHeight="1">
      <x:c r="A562" s="2" t="str">
        <x:v>Indicative size</x:v>
      </x:c>
      <x:c r="B562" s="2" t="str">
        <x:v>Large enterprise</x:v>
      </x:c>
      <x:c r="C562" s="12" t="str">
        <x:v>Mumbai</x:v>
      </x:c>
      <x:c r="D562" s="12" t="str">
        <x:v>MAIN-321</x:v>
      </x:c>
      <x:c r="E562" s="12" t="str">
        <x:v>Lodha Ithink (Redbrick Offices)</x:v>
      </x:c>
      <x:c r="F562" s="11" t="n">
        <x:v>1</x:v>
      </x:c>
      <x:c r="G562" s="11" t="n">
        <x:v>1</x:v>
      </x:c>
      <x:c r="H562" s="11" t="n">
        <x:v>0</x:v>
      </x:c>
      <x:c r="I562" s="17" t="n">
        <x:f>INDEX('Costing'!$P$9:$P$492,MATCH(D562,'Costing'!$A$9:$A$492,0))</x:f>
        <x:v>15000</x:v>
      </x:c>
      <x:c r="J562" s="17" t="n">
        <x:f>ROUND(I562*'Costing'!$C$4,2)</x:f>
        <x:v>2700</x:v>
      </x:c>
      <x:c r="K562" s="17" t="n">
        <x:f>I562+J562</x:f>
        <x:v>17700</x:v>
      </x:c>
    </x:row>
    <x:row r="563" ht="46" customHeight="1">
      <x:c r="A563" s="2" t="str">
        <x:v>Indicative size</x:v>
      </x:c>
      <x:c r="B563" s="2" t="str">
        <x:v>Large enterprise</x:v>
      </x:c>
      <x:c r="C563" s="12" t="str">
        <x:v>Mumbai</x:v>
      </x:c>
      <x:c r="D563" s="12" t="str">
        <x:v>MAIN-323</x:v>
      </x:c>
      <x:c r="E563" s="12" t="str">
        <x:v>Mumbai - BKC</x:v>
      </x:c>
      <x:c r="F563" s="11" t="n">
        <x:v>1</x:v>
      </x:c>
      <x:c r="G563" s="11" t="n">
        <x:v>1</x:v>
      </x:c>
      <x:c r="H563" s="11" t="n">
        <x:v>0</x:v>
      </x:c>
      <x:c r="I563" s="17" t="n">
        <x:f>INDEX('Costing'!$P$9:$P$492,MATCH(D563,'Costing'!$A$9:$A$492,0))</x:f>
        <x:v>15000</x:v>
      </x:c>
      <x:c r="J563" s="17" t="n">
        <x:f>ROUND(I563*'Costing'!$C$4,2)</x:f>
        <x:v>2700</x:v>
      </x:c>
      <x:c r="K563" s="17" t="n">
        <x:f>I563+J563</x:f>
        <x:v>17700</x:v>
      </x:c>
    </x:row>
    <x:row r="564" ht="46" customHeight="1">
      <x:c r="A564" s="2" t="str">
        <x:v>Indicative size</x:v>
      </x:c>
      <x:c r="B564" s="2" t="str">
        <x:v>Large enterprise</x:v>
      </x:c>
      <x:c r="C564" s="12" t="str">
        <x:v>Mumbai</x:v>
      </x:c>
      <x:c r="D564" s="12" t="str">
        <x:v>MAIN-325</x:v>
      </x:c>
      <x:c r="E564" s="12" t="str">
        <x:v>Nucleus - One BKC</x:v>
      </x:c>
      <x:c r="F564" s="11" t="n">
        <x:v>2</x:v>
      </x:c>
      <x:c r="G564" s="11" t="n">
        <x:v>2</x:v>
      </x:c>
      <x:c r="H564" s="11" t="n">
        <x:v>0</x:v>
      </x:c>
      <x:c r="I564" s="17" t="n">
        <x:f>INDEX('Costing'!$P$9:$P$492,MATCH(D564,'Costing'!$A$9:$A$492,0))</x:f>
        <x:v>80000</x:v>
      </x:c>
      <x:c r="J564" s="17" t="n">
        <x:f>ROUND(I564*'Costing'!$C$4,2)</x:f>
        <x:v>14400</x:v>
      </x:c>
      <x:c r="K564" s="17" t="n">
        <x:f>I564+J564</x:f>
        <x:v>94400</x:v>
      </x:c>
    </x:row>
    <x:row r="565" ht="46" customHeight="1">
      <x:c r="A565" s="2" t="str">
        <x:v>Indicative size</x:v>
      </x:c>
      <x:c r="B565" s="2" t="str">
        <x:v>Large enterprise</x:v>
      </x:c>
      <x:c r="C565" s="12" t="str">
        <x:v>Mumbai</x:v>
      </x:c>
      <x:c r="D565" s="12" t="str">
        <x:v>MAIN-327</x:v>
      </x:c>
      <x:c r="E565" s="12" t="str">
        <x:v>Nucleus - One World Center</x:v>
      </x:c>
      <x:c r="F565" s="11" t="n">
        <x:v>8</x:v>
      </x:c>
      <x:c r="G565" s="11" t="n">
        <x:v>8</x:v>
      </x:c>
      <x:c r="H565" s="11" t="n">
        <x:v>0</x:v>
      </x:c>
      <x:c r="I565" s="17" t="n">
        <x:f>INDEX('Costing'!$P$9:$P$492,MATCH(D565,'Costing'!$A$9:$A$492,0))</x:f>
        <x:v>320000</x:v>
      </x:c>
      <x:c r="J565" s="17" t="n">
        <x:f>ROUND(I565*'Costing'!$C$4,2)</x:f>
        <x:v>57600</x:v>
      </x:c>
      <x:c r="K565" s="17" t="n">
        <x:f>I565+J565</x:f>
        <x:v>377600</x:v>
      </x:c>
    </x:row>
    <x:row r="566" ht="46" customHeight="1">
      <x:c r="A566" s="2" t="str">
        <x:v>Indicative size</x:v>
      </x:c>
      <x:c r="B566" s="2" t="str">
        <x:v>Large enterprise</x:v>
      </x:c>
      <x:c r="C566" s="12" t="str">
        <x:v>Mumbai</x:v>
      </x:c>
      <x:c r="D566" s="12" t="str">
        <x:v>MAIN-328</x:v>
      </x:c>
      <x:c r="E566" s="12" t="str">
        <x:v>Nucleus - Prima Bay</x:v>
      </x:c>
      <x:c r="F566" s="11" t="n">
        <x:v>3</x:v>
      </x:c>
      <x:c r="G566" s="11" t="n">
        <x:v>3</x:v>
      </x:c>
      <x:c r="H566" s="11" t="n">
        <x:v>0</x:v>
      </x:c>
      <x:c r="I566" s="17" t="n">
        <x:f>INDEX('Costing'!$P$9:$P$492,MATCH(D566,'Costing'!$A$9:$A$492,0))</x:f>
        <x:v>120000</x:v>
      </x:c>
      <x:c r="J566" s="17" t="n">
        <x:f>ROUND(I566*'Costing'!$C$4,2)</x:f>
        <x:v>21600</x:v>
      </x:c>
      <x:c r="K566" s="17" t="n">
        <x:f>I566+J566</x:f>
        <x:v>141600</x:v>
      </x:c>
    </x:row>
    <x:row r="567" ht="46" customHeight="1">
      <x:c r="A567" s="2" t="str">
        <x:v>Indicative size</x:v>
      </x:c>
      <x:c r="B567" s="2" t="str">
        <x:v>Large enterprise</x:v>
      </x:c>
      <x:c r="C567" s="12" t="str">
        <x:v>Mumbai</x:v>
      </x:c>
      <x:c r="D567" s="12" t="str">
        <x:v>MAIN-331</x:v>
      </x:c>
      <x:c r="E567" s="12" t="str">
        <x:v>One World Centre (Redbrick Offices)</x:v>
      </x:c>
      <x:c r="F567" s="11" t="n">
        <x:v>1</x:v>
      </x:c>
      <x:c r="G567" s="11" t="n">
        <x:v>1</x:v>
      </x:c>
      <x:c r="H567" s="11" t="n">
        <x:v>0</x:v>
      </x:c>
      <x:c r="I567" s="17" t="n">
        <x:f>INDEX('Costing'!$P$9:$P$492,MATCH(D567,'Costing'!$A$9:$A$492,0))</x:f>
        <x:v>15000</x:v>
      </x:c>
      <x:c r="J567" s="17" t="n">
        <x:f>ROUND(I567*'Costing'!$C$4,2)</x:f>
        <x:v>2700</x:v>
      </x:c>
      <x:c r="K567" s="17" t="n">
        <x:f>I567+J567</x:f>
        <x:v>17700</x:v>
      </x:c>
    </x:row>
    <x:row r="568" ht="46" customHeight="1">
      <x:c r="A568" s="2" t="str">
        <x:v>Indicative size</x:v>
      </x:c>
      <x:c r="B568" s="2" t="str">
        <x:v>Large enterprise</x:v>
      </x:c>
      <x:c r="C568" s="12" t="str">
        <x:v>Mumbai</x:v>
      </x:c>
      <x:c r="D568" s="12" t="str">
        <x:v>MAIN-336</x:v>
      </x:c>
      <x:c r="E568" s="12" t="str">
        <x:v>Raheja Mindspace - Altimus </x:v>
      </x:c>
      <x:c r="F568" s="11" t="n">
        <x:v>2</x:v>
      </x:c>
      <x:c r="G568" s="11" t="n">
        <x:v>2</x:v>
      </x:c>
      <x:c r="H568" s="11" t="n">
        <x:v>0</x:v>
      </x:c>
      <x:c r="I568" s="17" t="n">
        <x:f>INDEX('Costing'!$P$9:$P$492,MATCH(D568,'Costing'!$A$9:$A$492,0))</x:f>
        <x:v>80000</x:v>
      </x:c>
      <x:c r="J568" s="17" t="n">
        <x:f>ROUND(I568*'Costing'!$C$4,2)</x:f>
        <x:v>14400</x:v>
      </x:c>
      <x:c r="K568" s="17" t="n">
        <x:f>I568+J568</x:f>
        <x:v>94400</x:v>
      </x:c>
    </x:row>
    <x:row r="569" ht="46" customHeight="1">
      <x:c r="A569" s="2" t="str">
        <x:v>Indicative size</x:v>
      </x:c>
      <x:c r="B569" s="2" t="str">
        <x:v>Large enterprise</x:v>
      </x:c>
      <x:c r="C569" s="12" t="str">
        <x:v>Mumbai</x:v>
      </x:c>
      <x:c r="D569" s="12" t="str">
        <x:v>MAIN-337</x:v>
      </x:c>
      <x:c r="E569" s="12" t="str">
        <x:v>Raheja Mindspace IT Park - Airoli East</x:v>
      </x:c>
      <x:c r="F569" s="11" t="n">
        <x:v>12</x:v>
      </x:c>
      <x:c r="G569" s="11" t="n">
        <x:v>12</x:v>
      </x:c>
      <x:c r="H569" s="11" t="n">
        <x:v>0</x:v>
      </x:c>
      <x:c r="I569" s="17" t="n">
        <x:f>INDEX('Costing'!$P$9:$P$492,MATCH(D569,'Costing'!$A$9:$A$492,0))</x:f>
        <x:v>390000</x:v>
      </x:c>
      <x:c r="J569" s="17" t="n">
        <x:f>ROUND(I569*'Costing'!$C$4,2)</x:f>
        <x:v>70200</x:v>
      </x:c>
      <x:c r="K569" s="17" t="n">
        <x:f>I569+J569</x:f>
        <x:v>460200</x:v>
      </x:c>
    </x:row>
    <x:row r="570" ht="46" customHeight="1">
      <x:c r="A570" s="2" t="str">
        <x:v>Indicative size</x:v>
      </x:c>
      <x:c r="B570" s="2" t="str">
        <x:v>Large enterprise</x:v>
      </x:c>
      <x:c r="C570" s="12" t="str">
        <x:v>Mumbai</x:v>
      </x:c>
      <x:c r="D570" s="12" t="str">
        <x:v>MAIN-338</x:v>
      </x:c>
      <x:c r="E570" s="12" t="str">
        <x:v>Raheja Mindspaces - Airoli West</x:v>
      </x:c>
      <x:c r="F570" s="11" t="n">
        <x:v>5</x:v>
      </x:c>
      <x:c r="G570" s="11" t="n">
        <x:v>5</x:v>
      </x:c>
      <x:c r="H570" s="11" t="n">
        <x:v>0</x:v>
      </x:c>
      <x:c r="I570" s="17" t="n">
        <x:f>INDEX('Costing'!$P$9:$P$492,MATCH(D570,'Costing'!$A$9:$A$492,0))</x:f>
        <x:v>200000</x:v>
      </x:c>
      <x:c r="J570" s="17" t="n">
        <x:f>ROUND(I570*'Costing'!$C$4,2)</x:f>
        <x:v>36000</x:v>
      </x:c>
      <x:c r="K570" s="17" t="n">
        <x:f>I570+J570</x:f>
        <x:v>236000</x:v>
      </x:c>
    </x:row>
    <x:row r="571" ht="46" customHeight="1">
      <x:c r="A571" s="2" t="str">
        <x:v>Indicative size</x:v>
      </x:c>
      <x:c r="B571" s="2" t="str">
        <x:v>Large enterprise</x:v>
      </x:c>
      <x:c r="C571" s="12" t="str">
        <x:v>Mumbai</x:v>
      </x:c>
      <x:c r="D571" s="12" t="str">
        <x:v>MAIN-345</x:v>
      </x:c>
      <x:c r="E571" s="12" t="str">
        <x:v>Sagar Tech Plaza B </x:v>
      </x:c>
      <x:c r="F571" s="11" t="n">
        <x:v>1</x:v>
      </x:c>
      <x:c r="G571" s="11" t="n">
        <x:v>1</x:v>
      </x:c>
      <x:c r="H571" s="11" t="n">
        <x:v>0</x:v>
      </x:c>
      <x:c r="I571" s="17" t="n">
        <x:f>INDEX('Costing'!$P$9:$P$492,MATCH(D571,'Costing'!$A$9:$A$492,0))</x:f>
        <x:v>15000</x:v>
      </x:c>
      <x:c r="J571" s="17" t="n">
        <x:f>ROUND(I571*'Costing'!$C$4,2)</x:f>
        <x:v>2700</x:v>
      </x:c>
      <x:c r="K571" s="17" t="n">
        <x:f>I571+J571</x:f>
        <x:v>17700</x:v>
      </x:c>
    </x:row>
    <x:row r="572" ht="46" customHeight="1">
      <x:c r="A572" s="2" t="str">
        <x:v>Indicative size</x:v>
      </x:c>
      <x:c r="B572" s="2" t="str">
        <x:v>Large enterprise</x:v>
      </x:c>
      <x:c r="C572" s="12" t="str">
        <x:v>Mumbai</x:v>
      </x:c>
      <x:c r="D572" s="12" t="str">
        <x:v>MAIN-346</x:v>
      </x:c>
      <x:c r="E572" s="12" t="str">
        <x:v>Sagar Tech Plaza B {IE}</x:v>
      </x:c>
      <x:c r="F572" s="11" t="n">
        <x:v>3</x:v>
      </x:c>
      <x:c r="G572" s="11" t="n">
        <x:v>3</x:v>
      </x:c>
      <x:c r="H572" s="11" t="n">
        <x:v>0</x:v>
      </x:c>
      <x:c r="I572" s="17" t="n">
        <x:f>INDEX('Costing'!$P$9:$P$492,MATCH(D572,'Costing'!$A$9:$A$492,0))</x:f>
        <x:v>45000</x:v>
      </x:c>
      <x:c r="J572" s="17" t="n">
        <x:f>ROUND(I572*'Costing'!$C$4,2)</x:f>
        <x:v>8100</x:v>
      </x:c>
      <x:c r="K572" s="17" t="n">
        <x:f>I572+J572</x:f>
        <x:v>53100</x:v>
      </x:c>
    </x:row>
    <x:row r="573" ht="46" customHeight="1">
      <x:c r="A573" s="2" t="str">
        <x:v>Indicative size</x:v>
      </x:c>
      <x:c r="B573" s="2" t="str">
        <x:v>Large enterprise</x:v>
      </x:c>
      <x:c r="C573" s="12" t="str">
        <x:v>Mumbai</x:v>
      </x:c>
      <x:c r="D573" s="12" t="str">
        <x:v>MAIN-351</x:v>
      </x:c>
      <x:c r="E573" s="12" t="str">
        <x:v>The Western Edge 2</x:v>
      </x:c>
      <x:c r="F573" s="11" t="n">
        <x:v>39</x:v>
      </x:c>
      <x:c r="G573" s="11" t="n">
        <x:v>39</x:v>
      </x:c>
      <x:c r="H573" s="11" t="n">
        <x:v>0</x:v>
      </x:c>
      <x:c r="I573" s="17" t="n">
        <x:f>INDEX('Costing'!$P$9:$P$492,MATCH(D573,'Costing'!$A$9:$A$492,0))</x:f>
        <x:v>585000</x:v>
      </x:c>
      <x:c r="J573" s="17" t="n">
        <x:f>ROUND(I573*'Costing'!$C$4,2)</x:f>
        <x:v>105300</x:v>
      </x:c>
      <x:c r="K573" s="17" t="n">
        <x:f>I573+J573</x:f>
        <x:v>690300</x:v>
      </x:c>
    </x:row>
    <x:row r="574" ht="46" customHeight="1">
      <x:c r="A574" s="2" t="str">
        <x:v>Indicative size</x:v>
      </x:c>
      <x:c r="B574" s="2" t="str">
        <x:v>Large enterprise</x:v>
      </x:c>
      <x:c r="C574" s="12" t="str">
        <x:v>Mumbai</x:v>
      </x:c>
      <x:c r="D574" s="12" t="str">
        <x:v>MAIN-352</x:v>
      </x:c>
      <x:c r="E574" s="12" t="str">
        <x:v>Times Square Tech Park</x:v>
      </x:c>
      <x:c r="F574" s="11" t="n">
        <x:v>4</x:v>
      </x:c>
      <x:c r="G574" s="11" t="n">
        <x:v>4</x:v>
      </x:c>
      <x:c r="H574" s="11" t="n">
        <x:v>0</x:v>
      </x:c>
      <x:c r="I574" s="17" t="n">
        <x:f>INDEX('Costing'!$P$9:$P$492,MATCH(D574,'Costing'!$A$9:$A$492,0))</x:f>
        <x:v>80000</x:v>
      </x:c>
      <x:c r="J574" s="17" t="n">
        <x:f>ROUND(I574*'Costing'!$C$4,2)</x:f>
        <x:v>14400</x:v>
      </x:c>
      <x:c r="K574" s="17" t="n">
        <x:f>I574+J574</x:f>
        <x:v>94400</x:v>
      </x:c>
    </x:row>
    <x:row r="575" ht="46" customHeight="1">
      <x:c r="A575" s="2" t="str">
        <x:v>Indicative size</x:v>
      </x:c>
      <x:c r="B575" s="2" t="str">
        <x:v>Large enterprise</x:v>
      </x:c>
      <x:c r="C575" s="12" t="str">
        <x:v>Mumbai</x:v>
      </x:c>
      <x:c r="D575" s="12" t="str">
        <x:v>MAIN-354</x:v>
      </x:c>
      <x:c r="E575" s="12" t="str">
        <x:v>Wework - Express Tower</x:v>
      </x:c>
      <x:c r="F575" s="11" t="n">
        <x:v>1</x:v>
      </x:c>
      <x:c r="G575" s="11" t="n">
        <x:v>1</x:v>
      </x:c>
      <x:c r="H575" s="11" t="n">
        <x:v>0</x:v>
      </x:c>
      <x:c r="I575" s="17" t="n">
        <x:f>INDEX('Costing'!$P$9:$P$492,MATCH(D575,'Costing'!$A$9:$A$492,0))</x:f>
        <x:v>25000</x:v>
      </x:c>
      <x:c r="J575" s="17" t="n">
        <x:f>ROUND(I575*'Costing'!$C$4,2)</x:f>
        <x:v>4500</x:v>
      </x:c>
      <x:c r="K575" s="17" t="n">
        <x:f>I575+J575</x:f>
        <x:v>29500</x:v>
      </x:c>
    </x:row>
    <x:row r="576" ht="46" customHeight="1">
      <x:c r="A576" s="2" t="str">
        <x:v>Indicative size</x:v>
      </x:c>
      <x:c r="B576" s="2" t="str">
        <x:v>Large enterprise</x:v>
      </x:c>
      <x:c r="C576" s="12" t="str">
        <x:v>Mumbai</x:v>
      </x:c>
      <x:c r="D576" s="12" t="str">
        <x:v>MAIN-355</x:v>
      </x:c>
      <x:c r="E576" s="12" t="str">
        <x:v>WeWork - Nesco IT Park</x:v>
      </x:c>
      <x:c r="F576" s="11" t="n">
        <x:v>4</x:v>
      </x:c>
      <x:c r="G576" s="11" t="n">
        <x:v>4</x:v>
      </x:c>
      <x:c r="H576" s="11" t="n">
        <x:v>0</x:v>
      </x:c>
      <x:c r="I576" s="17" t="n">
        <x:f>INDEX('Costing'!$P$9:$P$492,MATCH(D576,'Costing'!$A$9:$A$492,0))</x:f>
        <x:v>100000</x:v>
      </x:c>
      <x:c r="J576" s="17" t="n">
        <x:f>ROUND(I576*'Costing'!$C$4,2)</x:f>
        <x:v>18000</x:v>
      </x:c>
      <x:c r="K576" s="17" t="n">
        <x:f>I576+J576</x:f>
        <x:v>118000</x:v>
      </x:c>
    </x:row>
    <x:row r="577" ht="46" customHeight="1">
      <x:c r="A577" s="2" t="str">
        <x:v>Indicative size</x:v>
      </x:c>
      <x:c r="B577" s="2" t="str">
        <x:v>Large enterprise</x:v>
      </x:c>
      <x:c r="C577" s="12" t="str">
        <x:v>Pune</x:v>
      </x:c>
      <x:c r="D577" s="12" t="str">
        <x:v>MAIN-381</x:v>
      </x:c>
      <x:c r="E577" s="12" t="str">
        <x:v>Amar Pristine Tech Park</x:v>
      </x:c>
      <x:c r="F577" s="11" t="n">
        <x:v>4</x:v>
      </x:c>
      <x:c r="G577" s="11" t="n">
        <x:v>4</x:v>
      </x:c>
      <x:c r="H577" s="11" t="n">
        <x:v>0</x:v>
      </x:c>
      <x:c r="I577" s="17" t="n">
        <x:f>INDEX('Costing'!$P$9:$P$492,MATCH(D577,'Costing'!$A$9:$A$492,0))</x:f>
        <x:v>80000</x:v>
      </x:c>
      <x:c r="J577" s="17" t="n">
        <x:f>ROUND(I577*'Costing'!$C$4,2)</x:f>
        <x:v>14400</x:v>
      </x:c>
      <x:c r="K577" s="17" t="n">
        <x:f>I577+J577</x:f>
        <x:v>94400</x:v>
      </x:c>
    </x:row>
    <x:row r="578" ht="46" customHeight="1">
      <x:c r="A578" s="2" t="str">
        <x:v>Indicative size</x:v>
      </x:c>
      <x:c r="B578" s="2" t="str">
        <x:v>Large enterprise</x:v>
      </x:c>
      <x:c r="C578" s="12" t="str">
        <x:v>Pune</x:v>
      </x:c>
      <x:c r="D578" s="12" t="str">
        <x:v>MAIN-390</x:v>
      </x:c>
      <x:c r="E578" s="12" t="str">
        <x:v>Awfis - Que Spaces</x:v>
      </x:c>
      <x:c r="F578" s="11" t="n">
        <x:v>1</x:v>
      </x:c>
      <x:c r="G578" s="11" t="n">
        <x:v>1</x:v>
      </x:c>
      <x:c r="H578" s="11" t="n">
        <x:v>0</x:v>
      </x:c>
      <x:c r="I578" s="17" t="n">
        <x:f>INDEX('Costing'!$P$9:$P$492,MATCH(D578,'Costing'!$A$9:$A$492,0))</x:f>
        <x:v>15000</x:v>
      </x:c>
      <x:c r="J578" s="17" t="n">
        <x:f>ROUND(I578*'Costing'!$C$4,2)</x:f>
        <x:v>2700</x:v>
      </x:c>
      <x:c r="K578" s="17" t="n">
        <x:f>I578+J578</x:f>
        <x:v>17700</x:v>
      </x:c>
    </x:row>
    <x:row r="579" ht="46" customHeight="1">
      <x:c r="A579" s="2" t="str">
        <x:v>Indicative size</x:v>
      </x:c>
      <x:c r="B579" s="2" t="str">
        <x:v>Large enterprise</x:v>
      </x:c>
      <x:c r="C579" s="12" t="str">
        <x:v>Pune</x:v>
      </x:c>
      <x:c r="D579" s="12" t="str">
        <x:v>MAIN-413</x:v>
      </x:c>
      <x:c r="E579" s="12" t="str">
        <x:v>Raheja Mindspaces - Yerawada</x:v>
      </x:c>
      <x:c r="F579" s="11" t="n">
        <x:v>2</x:v>
      </x:c>
      <x:c r="G579" s="11" t="n">
        <x:v>2</x:v>
      </x:c>
      <x:c r="H579" s="11" t="n">
        <x:v>0</x:v>
      </x:c>
      <x:c r="I579" s="17" t="n">
        <x:f>INDEX('Costing'!$P$9:$P$492,MATCH(D579,'Costing'!$A$9:$A$492,0))</x:f>
        <x:v>80000</x:v>
      </x:c>
      <x:c r="J579" s="17" t="n">
        <x:f>ROUND(I579*'Costing'!$C$4,2)</x:f>
        <x:v>14400</x:v>
      </x:c>
      <x:c r="K579" s="17" t="n">
        <x:f>I579+J579</x:f>
        <x:v>94400</x:v>
      </x:c>
    </x:row>
    <x:row r="580" ht="46" customHeight="1">
      <x:c r="A580" s="2" t="str">
        <x:v>Indicative size</x:v>
      </x:c>
      <x:c r="B580" s="2" t="str">
        <x:v>Large enterprise</x:v>
      </x:c>
      <x:c r="C580" s="12" t="str">
        <x:v>Pune</x:v>
      </x:c>
      <x:c r="D580" s="12" t="str">
        <x:v>MAIN-414</x:v>
      </x:c>
      <x:c r="E580" s="12" t="str">
        <x:v>Smartworks Amar Madhuban Tech Park</x:v>
      </x:c>
      <x:c r="F580" s="11" t="n">
        <x:v>3</x:v>
      </x:c>
      <x:c r="G580" s="11" t="n">
        <x:v>3</x:v>
      </x:c>
      <x:c r="H580" s="11" t="n">
        <x:v>0</x:v>
      </x:c>
      <x:c r="I580" s="17" t="n">
        <x:f>INDEX('Costing'!$P$9:$P$492,MATCH(D580,'Costing'!$A$9:$A$492,0))</x:f>
        <x:v>60000</x:v>
      </x:c>
      <x:c r="J580" s="17" t="n">
        <x:f>ROUND(I580*'Costing'!$C$4,2)</x:f>
        <x:v>10800</x:v>
      </x:c>
      <x:c r="K580" s="17" t="n">
        <x:f>I580+J580</x:f>
        <x:v>70800</x:v>
      </x:c>
    </x:row>
    <x:row r="581" ht="46" customHeight="1">
      <x:c r="A581" s="2" t="str">
        <x:v>Indicative size</x:v>
      </x:c>
      <x:c r="B581" s="2" t="str">
        <x:v>Large enterprise</x:v>
      </x:c>
      <x:c r="C581" s="12" t="str">
        <x:v>Pune</x:v>
      </x:c>
      <x:c r="D581" s="12" t="str">
        <x:v>MAIN-420</x:v>
      </x:c>
      <x:c r="E581" s="12" t="str">
        <x:v>WeWork - Raheja Woods</x:v>
      </x:c>
      <x:c r="F581" s="11" t="n">
        <x:v>6</x:v>
      </x:c>
      <x:c r="G581" s="11" t="n">
        <x:v>6</x:v>
      </x:c>
      <x:c r="H581" s="11" t="n">
        <x:v>0</x:v>
      </x:c>
      <x:c r="I581" s="17" t="n">
        <x:f>INDEX('Costing'!$P$9:$P$492,MATCH(D581,'Costing'!$A$9:$A$492,0))</x:f>
        <x:v>150000</x:v>
      </x:c>
      <x:c r="J581" s="17" t="n">
        <x:f>ROUND(I581*'Costing'!$C$4,2)</x:f>
        <x:v>27000</x:v>
      </x:c>
      <x:c r="K581" s="17" t="n">
        <x:f>I581+J581</x:f>
        <x:v>177000</x:v>
      </x:c>
    </x:row>
    <x:row r="582" ht="46" customHeight="1">
      <x:c r="A582" s="2" t="str">
        <x:v>Indicative size</x:v>
      </x:c>
      <x:c r="B582" s="2" t="str">
        <x:v>Large enterprise</x:v>
      </x:c>
      <x:c r="C582" s="12" t="str">
        <x:v>Pune</x:v>
      </x:c>
      <x:c r="D582" s="12" t="str">
        <x:v>MAIN-422</x:v>
      </x:c>
      <x:c r="E582" s="12" t="str">
        <x:v>Workflow by Oyo - Icon Tower</x:v>
      </x:c>
      <x:c r="F582" s="11" t="n">
        <x:v>3</x:v>
      </x:c>
      <x:c r="G582" s="11" t="n">
        <x:v>3</x:v>
      </x:c>
      <x:c r="H582" s="11" t="n">
        <x:v>0</x:v>
      </x:c>
      <x:c r="I582" s="17" t="n">
        <x:f>INDEX('Costing'!$P$9:$P$492,MATCH(D582,'Costing'!$A$9:$A$492,0))</x:f>
        <x:v>45000</x:v>
      </x:c>
      <x:c r="J582" s="17" t="n">
        <x:f>ROUND(I582*'Costing'!$C$4,2)</x:f>
        <x:v>8100</x:v>
      </x:c>
      <x:c r="K582" s="17" t="n">
        <x:f>I582+J582</x:f>
        <x:v>53100</x:v>
      </x:c>
    </x:row>
    <x:row r="583" ht="46" customHeight="1">
      <x:c r="A583" s="2" t="str">
        <x:v>Indicative size</x:v>
      </x:c>
      <x:c r="B583" s="2" t="str">
        <x:v>Large enterprise</x:v>
      </x:c>
      <x:c r="C583" s="12" t="str">
        <x:v>Bengaluru</x:v>
      </x:c>
      <x:c r="D583" s="12" t="str">
        <x:v>PARTNER-M138</x:v>
      </x:c>
      <x:c r="E583" s="12" t="str">
        <x:v>Bagmane Capital</x:v>
      </x:c>
      <x:c r="F583" s="11" t="n">
        <x:v>8</x:v>
      </x:c>
      <x:c r="G583" s="11" t="n">
        <x:v>8</x:v>
      </x:c>
      <x:c r="H583" s="11" t="n">
        <x:v>0</x:v>
      </x:c>
      <x:c r="I583" s="17" t="n">
        <x:f>INDEX('Costing'!$P$9:$P$492,MATCH(D583,'Costing'!$A$9:$A$492,0))</x:f>
        <x:v>320000</x:v>
      </x:c>
      <x:c r="J583" s="17" t="n">
        <x:f>ROUND(I583*'Costing'!$C$4,2)</x:f>
        <x:v>57600</x:v>
      </x:c>
      <x:c r="K583" s="17" t="n">
        <x:f>I583+J583</x:f>
        <x:v>377600</x:v>
      </x:c>
    </x:row>
    <x:row r="584" ht="46" customHeight="1">
      <x:c r="A584" s="2" t="str">
        <x:v>Indicative size</x:v>
      </x:c>
      <x:c r="B584" s="2" t="str">
        <x:v>Large enterprise</x:v>
      </x:c>
      <x:c r="C584" s="12" t="str">
        <x:v>Bengaluru</x:v>
      </x:c>
      <x:c r="D584" s="12" t="str">
        <x:v>PARTNER-M130</x:v>
      </x:c>
      <x:c r="E584" s="12" t="str">
        <x:v>Bagmane Constellation </x:v>
      </x:c>
      <x:c r="F584" s="11" t="n">
        <x:v>8</x:v>
      </x:c>
      <x:c r="G584" s="11" t="n">
        <x:v>8</x:v>
      </x:c>
      <x:c r="H584" s="11" t="n">
        <x:v>0</x:v>
      </x:c>
      <x:c r="I584" s="17" t="n">
        <x:f>INDEX('Costing'!$P$9:$P$492,MATCH(D584,'Costing'!$A$9:$A$492,0))</x:f>
        <x:v>320000</x:v>
      </x:c>
      <x:c r="J584" s="17" t="n">
        <x:f>ROUND(I584*'Costing'!$C$4,2)</x:f>
        <x:v>57600</x:v>
      </x:c>
      <x:c r="K584" s="17" t="n">
        <x:f>I584+J584</x:f>
        <x:v>377600</x:v>
      </x:c>
    </x:row>
    <x:row r="585" ht="46" customHeight="1">
      <x:c r="A585" s="2" t="str">
        <x:v>Indicative size</x:v>
      </x:c>
      <x:c r="B585" s="2" t="str">
        <x:v>Large enterprise</x:v>
      </x:c>
      <x:c r="C585" s="12" t="str">
        <x:v>Bengaluru</x:v>
      </x:c>
      <x:c r="D585" s="12" t="str">
        <x:v>PARTNER-M146</x:v>
      </x:c>
      <x:c r="E585" s="12" t="str">
        <x:v>Bagmane Solarium</x:v>
      </x:c>
      <x:c r="F585" s="11" t="n">
        <x:v>8</x:v>
      </x:c>
      <x:c r="G585" s="11" t="n">
        <x:v>8</x:v>
      </x:c>
      <x:c r="H585" s="11" t="n">
        <x:v>0</x:v>
      </x:c>
      <x:c r="I585" s="17" t="n">
        <x:f>INDEX('Costing'!$P$9:$P$492,MATCH(D585,'Costing'!$A$9:$A$492,0))</x:f>
        <x:v>320000</x:v>
      </x:c>
      <x:c r="J585" s="17" t="n">
        <x:f>ROUND(I585*'Costing'!$C$4,2)</x:f>
        <x:v>57600</x:v>
      </x:c>
      <x:c r="K585" s="17" t="n">
        <x:f>I585+J585</x:f>
        <x:v>377600</x:v>
      </x:c>
    </x:row>
    <x:row r="586" ht="46" customHeight="1">
      <x:c r="A586" s="2" t="str">
        <x:v>Indicative size</x:v>
      </x:c>
      <x:c r="B586" s="2" t="str">
        <x:v>Large enterprise</x:v>
      </x:c>
      <x:c r="C586" s="12" t="str">
        <x:v>Bengaluru</x:v>
      </x:c>
      <x:c r="D586" s="12" t="str">
        <x:v>PARTNER-M108</x:v>
      </x:c>
      <x:c r="E586" s="12" t="str">
        <x:v>Bagmane Tech Park</x:v>
      </x:c>
      <x:c r="F586" s="11" t="n">
        <x:v>12</x:v>
      </x:c>
      <x:c r="G586" s="11" t="n">
        <x:v>12</x:v>
      </x:c>
      <x:c r="H586" s="11" t="n">
        <x:v>0</x:v>
      </x:c>
      <x:c r="I586" s="17" t="n">
        <x:f>INDEX('Costing'!$P$9:$P$492,MATCH(D586,'Costing'!$A$9:$A$492,0))</x:f>
        <x:v>480000</x:v>
      </x:c>
      <x:c r="J586" s="17" t="n">
        <x:f>ROUND(I586*'Costing'!$C$4,2)</x:f>
        <x:v>86400</x:v>
      </x:c>
      <x:c r="K586" s="17" t="n">
        <x:f>I586+J586</x:f>
        <x:v>566400</x:v>
      </x:c>
    </x:row>
    <x:row r="587" ht="46" customHeight="1">
      <x:c r="A587" s="2" t="str">
        <x:v>Indicative size</x:v>
      </x:c>
      <x:c r="B587" s="2" t="str">
        <x:v>Large enterprise</x:v>
      </x:c>
      <x:c r="C587" s="12" t="str">
        <x:v>Bengaluru</x:v>
      </x:c>
      <x:c r="D587" s="12" t="str">
        <x:v>PARTNER-M120</x:v>
      </x:c>
      <x:c r="E587" s="12" t="str">
        <x:v>Bagmane World Technology Centre</x:v>
      </x:c>
      <x:c r="F587" s="11" t="n">
        <x:v>10</x:v>
      </x:c>
      <x:c r="G587" s="11" t="n">
        <x:v>10</x:v>
      </x:c>
      <x:c r="H587" s="11" t="n">
        <x:v>0</x:v>
      </x:c>
      <x:c r="I587" s="17" t="n">
        <x:f>INDEX('Costing'!$P$9:$P$492,MATCH(D587,'Costing'!$A$9:$A$492,0))</x:f>
        <x:v>400000</x:v>
      </x:c>
      <x:c r="J587" s="17" t="n">
        <x:f>ROUND(I587*'Costing'!$C$4,2)</x:f>
        <x:v>72000</x:v>
      </x:c>
      <x:c r="K587" s="17" t="n">
        <x:f>I587+J587</x:f>
        <x:v>472000</x:v>
      </x:c>
    </x:row>
    <x:row r="588" ht="46" customHeight="1">
      <x:c r="A588" s="2" t="str">
        <x:v>Indicative size</x:v>
      </x:c>
      <x:c r="B588" s="2" t="str">
        <x:v>Large enterprise</x:v>
      </x:c>
      <x:c r="C588" s="12" t="str">
        <x:v>Bengaluru</x:v>
      </x:c>
      <x:c r="D588" s="12" t="str">
        <x:v>PARTNER-M067</x:v>
      </x:c>
      <x:c r="E588" s="12" t="str">
        <x:v>Cessna - Embassy Tech Square</x:v>
      </x:c>
      <x:c r="F588" s="11" t="n">
        <x:v>3</x:v>
      </x:c>
      <x:c r="G588" s="11" t="n">
        <x:v>3</x:v>
      </x:c>
      <x:c r="H588" s="11" t="n">
        <x:v>0</x:v>
      </x:c>
      <x:c r="I588" s="17" t="n">
        <x:f>INDEX('Costing'!$P$9:$P$492,MATCH(D588,'Costing'!$A$9:$A$492,0))</x:f>
        <x:v>120000</x:v>
      </x:c>
      <x:c r="J588" s="17" t="n">
        <x:f>ROUND(I588*'Costing'!$C$4,2)</x:f>
        <x:v>21600</x:v>
      </x:c>
      <x:c r="K588" s="17" t="n">
        <x:f>I588+J588</x:f>
        <x:v>141600</x:v>
      </x:c>
    </x:row>
    <x:row r="589" ht="46" customHeight="1">
      <x:c r="A589" s="2" t="str">
        <x:v>Indicative size</x:v>
      </x:c>
      <x:c r="B589" s="2" t="str">
        <x:v>Large enterprise</x:v>
      </x:c>
      <x:c r="C589" s="12" t="str">
        <x:v>Bengaluru</x:v>
      </x:c>
      <x:c r="D589" s="12" t="str">
        <x:v>PARTNER-M166</x:v>
      </x:c>
      <x:c r="E589" s="12" t="str">
        <x:v>Cessna Business Park</x:v>
      </x:c>
      <x:c r="F589" s="11" t="n">
        <x:v>3</x:v>
      </x:c>
      <x:c r="G589" s="11" t="n">
        <x:v>3</x:v>
      </x:c>
      <x:c r="H589" s="11" t="n">
        <x:v>0</x:v>
      </x:c>
      <x:c r="I589" s="17" t="n">
        <x:f>INDEX('Costing'!$P$9:$P$492,MATCH(D589,'Costing'!$A$9:$A$492,0))</x:f>
        <x:v>120000</x:v>
      </x:c>
      <x:c r="J589" s="17" t="n">
        <x:f>ROUND(I589*'Costing'!$C$4,2)</x:f>
        <x:v>21600</x:v>
      </x:c>
      <x:c r="K589" s="17" t="n">
        <x:f>I589+J589</x:f>
        <x:v>141600</x:v>
      </x:c>
    </x:row>
    <x:row r="590" ht="46" customHeight="1">
      <x:c r="A590" s="2" t="str">
        <x:v>Indicative size</x:v>
      </x:c>
      <x:c r="B590" s="2" t="str">
        <x:v>Large enterprise</x:v>
      </x:c>
      <x:c r="C590" s="12" t="str">
        <x:v>Bengaluru</x:v>
      </x:c>
      <x:c r="D590" s="12" t="str">
        <x:v>PARTNER-M162</x:v>
      </x:c>
      <x:c r="E590" s="12" t="str">
        <x:v>Fincity Corproate Park </x:v>
      </x:c>
      <x:c r="F590" s="11" t="n">
        <x:v>4</x:v>
      </x:c>
      <x:c r="G590" s="11" t="n">
        <x:v>4</x:v>
      </x:c>
      <x:c r="H590" s="11" t="n">
        <x:v>0</x:v>
      </x:c>
      <x:c r="I590" s="17" t="n">
        <x:f>INDEX('Costing'!$P$9:$P$492,MATCH(D590,'Costing'!$A$9:$A$492,0))</x:f>
        <x:v>160000</x:v>
      </x:c>
      <x:c r="J590" s="17" t="n">
        <x:f>ROUND(I590*'Costing'!$C$4,2)</x:f>
        <x:v>28800</x:v>
      </x:c>
      <x:c r="K590" s="17" t="n">
        <x:f>I590+J590</x:f>
        <x:v>188800</x:v>
      </x:c>
    </x:row>
    <x:row r="591" ht="46" customHeight="1">
      <x:c r="A591" s="2" t="str">
        <x:v>Indicative size</x:v>
      </x:c>
      <x:c r="B591" s="2" t="str">
        <x:v>Large enterprise</x:v>
      </x:c>
      <x:c r="C591" s="12" t="str">
        <x:v>Bengaluru</x:v>
      </x:c>
      <x:c r="D591" s="12" t="str">
        <x:v>PARTNER-M065</x:v>
      </x:c>
      <x:c r="E591" s="12" t="str">
        <x:v>First Technology Park</x:v>
      </x:c>
      <x:c r="F591" s="11" t="n">
        <x:v>2</x:v>
      </x:c>
      <x:c r="G591" s="11" t="n">
        <x:v>2</x:v>
      </x:c>
      <x:c r="H591" s="11" t="n">
        <x:v>0</x:v>
      </x:c>
      <x:c r="I591" s="17" t="n">
        <x:f>INDEX('Costing'!$P$9:$P$492,MATCH(D591,'Costing'!$A$9:$A$492,0))</x:f>
        <x:v>80000</x:v>
      </x:c>
      <x:c r="J591" s="17" t="n">
        <x:f>ROUND(I591*'Costing'!$C$4,2)</x:f>
        <x:v>14400</x:v>
      </x:c>
      <x:c r="K591" s="17" t="n">
        <x:f>I591+J591</x:f>
        <x:v>94400</x:v>
      </x:c>
    </x:row>
    <x:row r="592" ht="46" customHeight="1">
      <x:c r="A592" s="2" t="str">
        <x:v>Indicative size</x:v>
      </x:c>
      <x:c r="B592" s="2" t="str">
        <x:v>Large enterprise</x:v>
      </x:c>
      <x:c r="C592" s="12" t="str">
        <x:v>Bengaluru</x:v>
      </x:c>
      <x:c r="D592" s="12" t="str">
        <x:v>PARTNER-M060</x:v>
      </x:c>
      <x:c r="E592" s="12" t="str">
        <x:v>Global Tech Park</x:v>
      </x:c>
      <x:c r="F592" s="11" t="n">
        <x:v>5</x:v>
      </x:c>
      <x:c r="G592" s="11" t="n">
        <x:v>5</x:v>
      </x:c>
      <x:c r="H592" s="11" t="n">
        <x:v>0</x:v>
      </x:c>
      <x:c r="I592" s="17" t="n">
        <x:f>INDEX('Costing'!$P$9:$P$492,MATCH(D592,'Costing'!$A$9:$A$492,0))</x:f>
        <x:v>200000</x:v>
      </x:c>
      <x:c r="J592" s="17" t="n">
        <x:f>ROUND(I592*'Costing'!$C$4,2)</x:f>
        <x:v>36000</x:v>
      </x:c>
      <x:c r="K592" s="17" t="n">
        <x:f>I592+J592</x:f>
        <x:v>236000</x:v>
      </x:c>
    </x:row>
    <x:row r="593" ht="46" customHeight="1">
      <x:c r="A593" s="2" t="str">
        <x:v>Indicative size</x:v>
      </x:c>
      <x:c r="B593" s="2" t="str">
        <x:v>Large enterprise</x:v>
      </x:c>
      <x:c r="C593" s="12" t="str">
        <x:v>Bengaluru</x:v>
      </x:c>
      <x:c r="D593" s="12" t="str">
        <x:v>PARTNER-M011</x:v>
      </x:c>
      <x:c r="E593" s="12" t="str">
        <x:v>International Tech Park (ITPB - SEZ)</x:v>
      </x:c>
      <x:c r="F593" s="11" t="n">
        <x:v>3</x:v>
      </x:c>
      <x:c r="G593" s="11" t="n">
        <x:v>3</x:v>
      </x:c>
      <x:c r="H593" s="11" t="n">
        <x:v>0</x:v>
      </x:c>
      <x:c r="I593" s="17" t="n">
        <x:f>INDEX('Costing'!$P$9:$P$492,MATCH(D593,'Costing'!$A$9:$A$492,0))</x:f>
        <x:v>120000</x:v>
      </x:c>
      <x:c r="J593" s="17" t="n">
        <x:f>ROUND(I593*'Costing'!$C$4,2)</x:f>
        <x:v>21600</x:v>
      </x:c>
      <x:c r="K593" s="17" t="n">
        <x:f>I593+J593</x:f>
        <x:v>141600</x:v>
      </x:c>
    </x:row>
    <x:row r="594" ht="46" customHeight="1">
      <x:c r="A594" s="2" t="str">
        <x:v>Indicative size</x:v>
      </x:c>
      <x:c r="B594" s="2" t="str">
        <x:v>Large enterprise</x:v>
      </x:c>
      <x:c r="C594" s="12" t="str">
        <x:v>Bengaluru</x:v>
      </x:c>
      <x:c r="D594" s="12" t="str">
        <x:v>PARTNER-M002</x:v>
      </x:c>
      <x:c r="E594" s="12" t="str">
        <x:v>International Tech Park (ITPB)</x:v>
      </x:c>
      <x:c r="F594" s="11" t="n">
        <x:v>9</x:v>
      </x:c>
      <x:c r="G594" s="11" t="n">
        <x:v>9</x:v>
      </x:c>
      <x:c r="H594" s="11" t="n">
        <x:v>0</x:v>
      </x:c>
      <x:c r="I594" s="17" t="n">
        <x:f>INDEX('Costing'!$P$9:$P$492,MATCH(D594,'Costing'!$A$9:$A$492,0))</x:f>
        <x:v>360000</x:v>
      </x:c>
      <x:c r="J594" s="17" t="n">
        <x:f>ROUND(I594*'Costing'!$C$4,2)</x:f>
        <x:v>64800</x:v>
      </x:c>
      <x:c r="K594" s="17" t="n">
        <x:f>I594+J594</x:f>
        <x:v>424800</x:v>
      </x:c>
    </x:row>
    <x:row r="595" ht="46" customHeight="1">
      <x:c r="A595" s="2" t="str">
        <x:v>Indicative size</x:v>
      </x:c>
      <x:c r="B595" s="2" t="str">
        <x:v>Large enterprise</x:v>
      </x:c>
      <x:c r="C595" s="12" t="str">
        <x:v>Bengaluru</x:v>
      </x:c>
      <x:c r="D595" s="12" t="str">
        <x:v>PARTNER-M051</x:v>
      </x:c>
      <x:c r="E595" s="12" t="str">
        <x:v>Manyata Tech park - Mfar</x:v>
      </x:c>
      <x:c r="F595" s="11" t="n">
        <x:v>5</x:v>
      </x:c>
      <x:c r="G595" s="11" t="n">
        <x:v>5</x:v>
      </x:c>
      <x:c r="H595" s="11" t="n">
        <x:v>0</x:v>
      </x:c>
      <x:c r="I595" s="17" t="n">
        <x:f>INDEX('Costing'!$P$9:$P$492,MATCH(D595,'Costing'!$A$9:$A$492,0))</x:f>
        <x:v>200000</x:v>
      </x:c>
      <x:c r="J595" s="17" t="n">
        <x:f>ROUND(I595*'Costing'!$C$4,2)</x:f>
        <x:v>36000</x:v>
      </x:c>
      <x:c r="K595" s="17" t="n">
        <x:f>I595+J595</x:f>
        <x:v>236000</x:v>
      </x:c>
    </x:row>
    <x:row r="596" ht="46" customHeight="1">
      <x:c r="A596" s="2" t="str">
        <x:v>Indicative size</x:v>
      </x:c>
      <x:c r="B596" s="2" t="str">
        <x:v>Large enterprise</x:v>
      </x:c>
      <x:c r="C596" s="12" t="str">
        <x:v>Bengaluru</x:v>
      </x:c>
      <x:c r="D596" s="12" t="str">
        <x:v>PARTNER-M154</x:v>
      </x:c>
      <x:c r="E596" s="12" t="str">
        <x:v>Maruthi Infotech Center</x:v>
      </x:c>
      <x:c r="F596" s="11" t="n">
        <x:v>8</x:v>
      </x:c>
      <x:c r="G596" s="11" t="n">
        <x:v>8</x:v>
      </x:c>
      <x:c r="H596" s="11" t="n">
        <x:v>0</x:v>
      </x:c>
      <x:c r="I596" s="17" t="n">
        <x:f>INDEX('Costing'!$P$9:$P$492,MATCH(D596,'Costing'!$A$9:$A$492,0))</x:f>
        <x:v>320000</x:v>
      </x:c>
      <x:c r="J596" s="17" t="n">
        <x:f>ROUND(I596*'Costing'!$C$4,2)</x:f>
        <x:v>57600</x:v>
      </x:c>
      <x:c r="K596" s="17" t="n">
        <x:f>I596+J596</x:f>
        <x:v>377600</x:v>
      </x:c>
    </x:row>
    <x:row r="597" ht="46" customHeight="1">
      <x:c r="A597" s="2" t="str">
        <x:v>Indicative size</x:v>
      </x:c>
      <x:c r="B597" s="2" t="str">
        <x:v>Large enterprise</x:v>
      </x:c>
      <x:c r="C597" s="12" t="str">
        <x:v>Bengaluru</x:v>
      </x:c>
      <x:c r="D597" s="12" t="str">
        <x:v>PARTNER-M097</x:v>
      </x:c>
      <x:c r="E597" s="12" t="str">
        <x:v>Prestige Blue Chip </x:v>
      </x:c>
      <x:c r="F597" s="11" t="n">
        <x:v>3</x:v>
      </x:c>
      <x:c r="G597" s="11" t="n">
        <x:v>3</x:v>
      </x:c>
      <x:c r="H597" s="11" t="n">
        <x:v>0</x:v>
      </x:c>
      <x:c r="I597" s="17" t="n">
        <x:f>INDEX('Costing'!$P$9:$P$492,MATCH(D597,'Costing'!$A$9:$A$492,0))</x:f>
        <x:v>120000</x:v>
      </x:c>
      <x:c r="J597" s="17" t="n">
        <x:f>ROUND(I597*'Costing'!$C$4,2)</x:f>
        <x:v>21600</x:v>
      </x:c>
      <x:c r="K597" s="17" t="n">
        <x:f>I597+J597</x:f>
        <x:v>141600</x:v>
      </x:c>
    </x:row>
    <x:row r="598" ht="46" customHeight="1">
      <x:c r="A598" s="2" t="str">
        <x:v>Indicative size</x:v>
      </x:c>
      <x:c r="B598" s="2" t="str">
        <x:v>Large enterprise</x:v>
      </x:c>
      <x:c r="C598" s="12" t="str">
        <x:v>Bengaluru</x:v>
      </x:c>
      <x:c r="D598" s="12" t="str">
        <x:v>PARTNER-M100</x:v>
      </x:c>
      <x:c r="E598" s="12" t="str">
        <x:v>Prestige Obelisk + Prestige Atrium + Prestige Sapphire + Prestige Al Kareem + Prestige Delta</x:v>
      </x:c>
      <x:c r="F598" s="11" t="n">
        <x:v>8</x:v>
      </x:c>
      <x:c r="G598" s="11" t="n">
        <x:v>8</x:v>
      </x:c>
      <x:c r="H598" s="11" t="n">
        <x:v>0</x:v>
      </x:c>
      <x:c r="I598" s="17" t="n">
        <x:f>INDEX('Costing'!$P$9:$P$492,MATCH(D598,'Costing'!$A$9:$A$492,0))</x:f>
        <x:v>320000</x:v>
      </x:c>
      <x:c r="J598" s="17" t="n">
        <x:f>ROUND(I598*'Costing'!$C$4,2)</x:f>
        <x:v>57600</x:v>
      </x:c>
      <x:c r="K598" s="17" t="n">
        <x:f>I598+J598</x:f>
        <x:v>377600</x:v>
      </x:c>
    </x:row>
    <x:row r="599" ht="46" customHeight="1">
      <x:c r="A599" s="2" t="str">
        <x:v>Indicative size</x:v>
      </x:c>
      <x:c r="B599" s="2" t="str">
        <x:v>Large enterprise</x:v>
      </x:c>
      <x:c r="C599" s="12" t="str">
        <x:v>Bengaluru</x:v>
      </x:c>
      <x:c r="D599" s="12" t="str">
        <x:v>PARTNER-M027</x:v>
      </x:c>
      <x:c r="E599" s="12" t="str">
        <x:v>Prestige Shantiniketan</x:v>
      </x:c>
      <x:c r="F599" s="11" t="n">
        <x:v>7</x:v>
      </x:c>
      <x:c r="G599" s="11" t="n">
        <x:v>7</x:v>
      </x:c>
      <x:c r="H599" s="11" t="n">
        <x:v>0</x:v>
      </x:c>
      <x:c r="I599" s="17" t="n">
        <x:f>INDEX('Costing'!$P$9:$P$492,MATCH(D599,'Costing'!$A$9:$A$492,0))</x:f>
        <x:v>280000</x:v>
      </x:c>
      <x:c r="J599" s="17" t="n">
        <x:f>ROUND(I599*'Costing'!$C$4,2)</x:f>
        <x:v>50400</x:v>
      </x:c>
      <x:c r="K599" s="17" t="n">
        <x:f>I599+J599</x:f>
        <x:v>330400</x:v>
      </x:c>
    </x:row>
    <x:row r="600" ht="46" customHeight="1">
      <x:c r="A600" s="2" t="str">
        <x:v>Indicative size</x:v>
      </x:c>
      <x:c r="B600" s="2" t="str">
        <x:v>Large enterprise</x:v>
      </x:c>
      <x:c r="C600" s="12" t="str">
        <x:v>Bengaluru</x:v>
      </x:c>
      <x:c r="D600" s="12" t="str">
        <x:v>PARTNER-M082</x:v>
      </x:c>
      <x:c r="E600" s="12" t="str">
        <x:v>Prestige Sterling Square + Prestige Solitaire + Prestige Sigma + Prestige Loka + Prestige Emerald + Prestige Towers</x:v>
      </x:c>
      <x:c r="F600" s="11" t="n">
        <x:v>11</x:v>
      </x:c>
      <x:c r="G600" s="11" t="n">
        <x:v>11</x:v>
      </x:c>
      <x:c r="H600" s="11" t="n">
        <x:v>0</x:v>
      </x:c>
      <x:c r="I600" s="17" t="n">
        <x:f>INDEX('Costing'!$P$9:$P$492,MATCH(D600,'Costing'!$A$9:$A$492,0))</x:f>
        <x:v>440000</x:v>
      </x:c>
      <x:c r="J600" s="17" t="n">
        <x:f>ROUND(I600*'Costing'!$C$4,2)</x:f>
        <x:v>79200</x:v>
      </x:c>
      <x:c r="K600" s="17" t="n">
        <x:f>I600+J600</x:f>
        <x:v>519200</x:v>
      </x:c>
    </x:row>
    <x:row r="601" ht="46" customHeight="1">
      <x:c r="A601" s="2" t="str">
        <x:v>Indicative size</x:v>
      </x:c>
      <x:c r="B601" s="2" t="str">
        <x:v>Large enterprise</x:v>
      </x:c>
      <x:c r="C601" s="12" t="str">
        <x:v>Bengaluru</x:v>
      </x:c>
      <x:c r="D601" s="12" t="str">
        <x:v>PARTNER-M039</x:v>
      </x:c>
      <x:c r="E601" s="12" t="str">
        <x:v>Prestige Tech Cloud</x:v>
      </x:c>
      <x:c r="F601" s="11" t="n">
        <x:v>6</x:v>
      </x:c>
      <x:c r="G601" s="11" t="n">
        <x:v>6</x:v>
      </x:c>
      <x:c r="H601" s="11" t="n">
        <x:v>0</x:v>
      </x:c>
      <x:c r="I601" s="17" t="n">
        <x:f>INDEX('Costing'!$P$9:$P$492,MATCH(D601,'Costing'!$A$9:$A$492,0))</x:f>
        <x:v>240000</x:v>
      </x:c>
      <x:c r="J601" s="17" t="n">
        <x:f>ROUND(I601*'Costing'!$C$4,2)</x:f>
        <x:v>43200</x:v>
      </x:c>
      <x:c r="K601" s="17" t="n">
        <x:f>I601+J601</x:f>
        <x:v>283200</x:v>
      </x:c>
    </x:row>
    <x:row r="602" ht="46" customHeight="1">
      <x:c r="A602" s="2" t="str">
        <x:v>Indicative size</x:v>
      </x:c>
      <x:c r="B602" s="2" t="str">
        <x:v>Large enterprise</x:v>
      </x:c>
      <x:c r="C602" s="12" t="str">
        <x:v>Bengaluru</x:v>
      </x:c>
      <x:c r="D602" s="12" t="str">
        <x:v>PARTNER-M045</x:v>
      </x:c>
      <x:c r="E602" s="12" t="str">
        <x:v>Prestige Tech Pacific</x:v>
      </x:c>
      <x:c r="F602" s="11" t="n">
        <x:v>6</x:v>
      </x:c>
      <x:c r="G602" s="11" t="n">
        <x:v>6</x:v>
      </x:c>
      <x:c r="H602" s="11" t="n">
        <x:v>0</x:v>
      </x:c>
      <x:c r="I602" s="17" t="n">
        <x:f>INDEX('Costing'!$P$9:$P$492,MATCH(D602,'Costing'!$A$9:$A$492,0))</x:f>
        <x:v>240000</x:v>
      </x:c>
      <x:c r="J602" s="17" t="n">
        <x:f>ROUND(I602*'Costing'!$C$4,2)</x:f>
        <x:v>43200</x:v>
      </x:c>
      <x:c r="K602" s="17" t="n">
        <x:f>I602+J602</x:f>
        <x:v>283200</x:v>
      </x:c>
    </x:row>
    <x:row r="603" ht="46" customHeight="1">
      <x:c r="A603" s="2" t="str">
        <x:v>Indicative size</x:v>
      </x:c>
      <x:c r="B603" s="2" t="str">
        <x:v>Large enterprise</x:v>
      </x:c>
      <x:c r="C603" s="12" t="str">
        <x:v>Bengaluru</x:v>
      </x:c>
      <x:c r="D603" s="12" t="str">
        <x:v>PARTNER-M014</x:v>
      </x:c>
      <x:c r="E603" s="12" t="str">
        <x:v>Prestige Tech Park</x:v>
      </x:c>
      <x:c r="F603" s="11" t="n">
        <x:v>10</x:v>
      </x:c>
      <x:c r="G603" s="11" t="n">
        <x:v>10</x:v>
      </x:c>
      <x:c r="H603" s="11" t="n">
        <x:v>0</x:v>
      </x:c>
      <x:c r="I603" s="17" t="n">
        <x:f>INDEX('Costing'!$P$9:$P$492,MATCH(D603,'Costing'!$A$9:$A$492,0))</x:f>
        <x:v>400000</x:v>
      </x:c>
      <x:c r="J603" s="17" t="n">
        <x:f>ROUND(I603*'Costing'!$C$4,2)</x:f>
        <x:v>72000</x:v>
      </x:c>
      <x:c r="K603" s="17" t="n">
        <x:f>I603+J603</x:f>
        <x:v>472000</x:v>
      </x:c>
    </x:row>
    <x:row r="604" ht="46" customHeight="1">
      <x:c r="A604" s="2" t="str">
        <x:v>Indicative size</x:v>
      </x:c>
      <x:c r="B604" s="2" t="str">
        <x:v>Large enterprise</x:v>
      </x:c>
      <x:c r="C604" s="12" t="str">
        <x:v>Bengaluru</x:v>
      </x:c>
      <x:c r="D604" s="12" t="str">
        <x:v>PARTNER-M034</x:v>
      </x:c>
      <x:c r="E604" s="12" t="str">
        <x:v>Prestige Technostar</x:v>
      </x:c>
      <x:c r="F604" s="11" t="n">
        <x:v>5</x:v>
      </x:c>
      <x:c r="G604" s="11" t="n">
        <x:v>5</x:v>
      </x:c>
      <x:c r="H604" s="11" t="n">
        <x:v>0</x:v>
      </x:c>
      <x:c r="I604" s="17" t="n">
        <x:f>INDEX('Costing'!$P$9:$P$492,MATCH(D604,'Costing'!$A$9:$A$492,0))</x:f>
        <x:v>200000</x:v>
      </x:c>
      <x:c r="J604" s="17" t="n">
        <x:f>ROUND(I604*'Costing'!$C$4,2)</x:f>
        <x:v>36000</x:v>
      </x:c>
      <x:c r="K604" s="17" t="n">
        <x:f>I604+J604</x:f>
        <x:v>236000</x:v>
      </x:c>
    </x:row>
    <x:row r="605" ht="46" customHeight="1">
      <x:c r="A605" s="2" t="str">
        <x:v>Indicative size</x:v>
      </x:c>
      <x:c r="B605" s="2" t="str">
        <x:v>Large enterprise</x:v>
      </x:c>
      <x:c r="C605" s="12" t="str">
        <x:v>Bengaluru</x:v>
      </x:c>
      <x:c r="D605" s="12" t="str">
        <x:v>PARTNER-M072</x:v>
      </x:c>
      <x:c r="E605" s="12" t="str">
        <x:v>Umiya Business Bay</x:v>
      </x:c>
      <x:c r="F605" s="11" t="n">
        <x:v>6</x:v>
      </x:c>
      <x:c r="G605" s="11" t="n">
        <x:v>6</x:v>
      </x:c>
      <x:c r="H605" s="11" t="n">
        <x:v>0</x:v>
      </x:c>
      <x:c r="I605" s="17" t="n">
        <x:f>INDEX('Costing'!$P$9:$P$492,MATCH(D605,'Costing'!$A$9:$A$492,0))</x:f>
        <x:v>240000</x:v>
      </x:c>
      <x:c r="J605" s="17" t="n">
        <x:f>ROUND(I605*'Costing'!$C$4,2)</x:f>
        <x:v>43200</x:v>
      </x:c>
      <x:c r="K605" s="17" t="n">
        <x:f>I605+J605</x:f>
        <x:v>283200</x:v>
      </x:c>
    </x:row>
    <x:row r="606" ht="46" customHeight="1">
      <x:c r="A606" s="2" t="str">
        <x:v>Indicative size</x:v>
      </x:c>
      <x:c r="B606" s="2" t="str">
        <x:v>Large enterprise</x:v>
      </x:c>
      <x:c r="C606" s="12" t="str">
        <x:v>Chennai</x:v>
      </x:c>
      <x:c r="D606" s="12" t="str">
        <x:v>PARTNER-M336</x:v>
      </x:c>
      <x:c r="E606" s="12" t="str">
        <x:v>Prestige Cyber Tower</x:v>
      </x:c>
      <x:c r="F606" s="11" t="n">
        <x:v>2</x:v>
      </x:c>
      <x:c r="G606" s="11" t="n">
        <x:v>2</x:v>
      </x:c>
      <x:c r="H606" s="11" t="n">
        <x:v>0</x:v>
      </x:c>
      <x:c r="I606" s="17" t="n">
        <x:f>INDEX('Costing'!$P$9:$P$492,MATCH(D606,'Costing'!$A$9:$A$492,0))</x:f>
        <x:v>80000</x:v>
      </x:c>
      <x:c r="J606" s="17" t="n">
        <x:f>ROUND(I606*'Costing'!$C$4,2)</x:f>
        <x:v>14400</x:v>
      </x:c>
      <x:c r="K606" s="17" t="n">
        <x:f>I606+J606</x:f>
        <x:v>94400</x:v>
      </x:c>
    </x:row>
    <x:row r="607" ht="46" customHeight="1">
      <x:c r="A607" s="2" t="str">
        <x:v>Indicative size</x:v>
      </x:c>
      <x:c r="B607" s="2" t="str">
        <x:v>Large enterprise</x:v>
      </x:c>
      <x:c r="C607" s="12" t="str">
        <x:v>Chennai</x:v>
      </x:c>
      <x:c r="D607" s="12" t="str">
        <x:v>PARTNER-M338</x:v>
      </x:c>
      <x:c r="E607" s="12" t="str">
        <x:v>Prestige Palladium Bayan</x:v>
      </x:c>
      <x:c r="F607" s="11" t="n">
        <x:v>2</x:v>
      </x:c>
      <x:c r="G607" s="11" t="n">
        <x:v>2</x:v>
      </x:c>
      <x:c r="H607" s="11" t="n">
        <x:v>0</x:v>
      </x:c>
      <x:c r="I607" s="17" t="n">
        <x:f>INDEX('Costing'!$P$9:$P$492,MATCH(D607,'Costing'!$A$9:$A$492,0))</x:f>
        <x:v>80000</x:v>
      </x:c>
      <x:c r="J607" s="17" t="n">
        <x:f>ROUND(I607*'Costing'!$C$4,2)</x:f>
        <x:v>14400</x:v>
      </x:c>
      <x:c r="K607" s="17" t="n">
        <x:f>I607+J607</x:f>
        <x:v>94400</x:v>
      </x:c>
    </x:row>
    <x:row r="608" ht="46" customHeight="1">
      <x:c r="A608" s="2" t="str">
        <x:v>Indicative size</x:v>
      </x:c>
      <x:c r="B608" s="2" t="str">
        <x:v>Large enterprise</x:v>
      </x:c>
      <x:c r="C608" s="12" t="str">
        <x:v>Chennai</x:v>
      </x:c>
      <x:c r="D608" s="12" t="str">
        <x:v>PARTNER-M332</x:v>
      </x:c>
      <x:c r="E608" s="12" t="str">
        <x:v>Prestige Polygon</x:v>
      </x:c>
      <x:c r="F608" s="11" t="n">
        <x:v>2</x:v>
      </x:c>
      <x:c r="G608" s="11" t="n">
        <x:v>2</x:v>
      </x:c>
      <x:c r="H608" s="11" t="n">
        <x:v>0</x:v>
      </x:c>
      <x:c r="I608" s="17" t="n">
        <x:f>INDEX('Costing'!$P$9:$P$492,MATCH(D608,'Costing'!$A$9:$A$492,0))</x:f>
        <x:v>80000</x:v>
      </x:c>
      <x:c r="J608" s="17" t="n">
        <x:f>ROUND(I608*'Costing'!$C$4,2)</x:f>
        <x:v>14400</x:v>
      </x:c>
      <x:c r="K608" s="17" t="n">
        <x:f>I608+J608</x:f>
        <x:v>94400</x:v>
      </x:c>
    </x:row>
    <x:row r="609" ht="46" customHeight="1">
      <x:c r="A609" s="2" t="str">
        <x:v>Indicative size</x:v>
      </x:c>
      <x:c r="B609" s="2" t="str">
        <x:v>Large enterprise</x:v>
      </x:c>
      <x:c r="C609" s="12" t="str">
        <x:v>Chennai</x:v>
      </x:c>
      <x:c r="D609" s="12" t="str">
        <x:v>PARTNER-M334</x:v>
      </x:c>
      <x:c r="E609" s="12" t="str">
        <x:v>Prestige Zakria Metropolitan</x:v>
      </x:c>
      <x:c r="F609" s="11" t="n">
        <x:v>2</x:v>
      </x:c>
      <x:c r="G609" s="11" t="n">
        <x:v>2</x:v>
      </x:c>
      <x:c r="H609" s="11" t="n">
        <x:v>0</x:v>
      </x:c>
      <x:c r="I609" s="17" t="n">
        <x:f>INDEX('Costing'!$P$9:$P$492,MATCH(D609,'Costing'!$A$9:$A$492,0))</x:f>
        <x:v>80000</x:v>
      </x:c>
      <x:c r="J609" s="17" t="n">
        <x:f>ROUND(I609*'Costing'!$C$4,2)</x:f>
        <x:v>14400</x:v>
      </x:c>
      <x:c r="K609" s="17" t="n">
        <x:f>I609+J609</x:f>
        <x:v>94400</x:v>
      </x:c>
    </x:row>
    <x:row r="610" ht="46" customHeight="1">
      <x:c r="A610" s="2" t="str">
        <x:v>Indicative size</x:v>
      </x:c>
      <x:c r="B610" s="2" t="str">
        <x:v>Large enterprise</x:v>
      </x:c>
      <x:c r="C610" s="12" t="str">
        <x:v>Chennai</x:v>
      </x:c>
      <x:c r="D610" s="12" t="str">
        <x:v>PARTNER-M342</x:v>
      </x:c>
      <x:c r="E610" s="12" t="str">
        <x:v>Prince Infocity 2</x:v>
      </x:c>
      <x:c r="F610" s="11" t="n">
        <x:v>5</x:v>
      </x:c>
      <x:c r="G610" s="11" t="n">
        <x:v>5</x:v>
      </x:c>
      <x:c r="H610" s="11" t="n">
        <x:v>0</x:v>
      </x:c>
      <x:c r="I610" s="17" t="n">
        <x:f>INDEX('Costing'!$P$9:$P$492,MATCH(D610,'Costing'!$A$9:$A$492,0))</x:f>
        <x:v>200000</x:v>
      </x:c>
      <x:c r="J610" s="17" t="n">
        <x:f>ROUND(I610*'Costing'!$C$4,2)</x:f>
        <x:v>36000</x:v>
      </x:c>
      <x:c r="K610" s="17" t="n">
        <x:f>I610+J610</x:f>
        <x:v>236000</x:v>
      </x:c>
    </x:row>
    <x:row r="611" ht="46" customHeight="1">
      <x:c r="A611" s="2" t="str">
        <x:v>Indicative size</x:v>
      </x:c>
      <x:c r="B611" s="2" t="str">
        <x:v>Large enterprise</x:v>
      </x:c>
      <x:c r="C611" s="12" t="str">
        <x:v>Chennai</x:v>
      </x:c>
      <x:c r="D611" s="12" t="str">
        <x:v>PARTNER-M331</x:v>
      </x:c>
      <x:c r="E611" s="12" t="str">
        <x:v>Prince Towers</x:v>
      </x:c>
      <x:c r="F611" s="11" t="n">
        <x:v>1</x:v>
      </x:c>
      <x:c r="G611" s="11" t="n">
        <x:v>1</x:v>
      </x:c>
      <x:c r="H611" s="11" t="n">
        <x:v>0</x:v>
      </x:c>
      <x:c r="I611" s="17" t="n">
        <x:f>INDEX('Costing'!$P$9:$P$492,MATCH(D611,'Costing'!$A$9:$A$492,0))</x:f>
        <x:v>40000</x:v>
      </x:c>
      <x:c r="J611" s="17" t="n">
        <x:f>ROUND(I611*'Costing'!$C$4,2)</x:f>
        <x:v>7200</x:v>
      </x:c>
      <x:c r="K611" s="17" t="n">
        <x:f>I611+J611</x:f>
        <x:v>47200</x:v>
      </x:c>
    </x:row>
    <x:row r="612" ht="46" customHeight="1">
      <x:c r="A612" s="2" t="str">
        <x:v>Indicative size</x:v>
      </x:c>
      <x:c r="B612" s="2" t="str">
        <x:v>Large enterprise</x:v>
      </x:c>
      <x:c r="C612" s="12" t="str">
        <x:v>Chennai</x:v>
      </x:c>
      <x:c r="D612" s="12" t="str">
        <x:v>PARTNER-M325</x:v>
      </x:c>
      <x:c r="E612" s="12" t="str">
        <x:v>WTC Chennai</x:v>
      </x:c>
      <x:c r="F612" s="11" t="n">
        <x:v>6</x:v>
      </x:c>
      <x:c r="G612" s="11" t="n">
        <x:v>6</x:v>
      </x:c>
      <x:c r="H612" s="11" t="n">
        <x:v>0</x:v>
      </x:c>
      <x:c r="I612" s="17" t="n">
        <x:f>INDEX('Costing'!$P$9:$P$492,MATCH(D612,'Costing'!$A$9:$A$492,0))</x:f>
        <x:v>240000</x:v>
      </x:c>
      <x:c r="J612" s="17" t="n">
        <x:f>ROUND(I612*'Costing'!$C$4,2)</x:f>
        <x:v>43200</x:v>
      </x:c>
      <x:c r="K612" s="17" t="n">
        <x:f>I612+J612</x:f>
        <x:v>283200</x:v>
      </x:c>
    </x:row>
    <x:row r="613" ht="46" customHeight="1">
      <x:c r="A613" s="2" t="str">
        <x:v>Indicative size</x:v>
      </x:c>
      <x:c r="B613" s="2" t="str">
        <x:v>Large enterprise</x:v>
      </x:c>
      <x:c r="C613" s="12" t="str">
        <x:v>Delhi NCR</x:v>
      </x:c>
      <x:c r="D613" s="12" t="str">
        <x:v>PARTNER-M379</x:v>
      </x:c>
      <x:c r="E613" s="12" t="str">
        <x:v>Add India Tower 6A</x:v>
      </x:c>
      <x:c r="F613" s="11" t="n">
        <x:v>5</x:v>
      </x:c>
      <x:c r="G613" s="11" t="n">
        <x:v>5</x:v>
      </x:c>
      <x:c r="H613" s="11" t="n">
        <x:v>0</x:v>
      </x:c>
      <x:c r="I613" s="17" t="n">
        <x:f>INDEX('Costing'!$P$9:$P$492,MATCH(D613,'Costing'!$A$9:$A$492,0))</x:f>
        <x:v>200000</x:v>
      </x:c>
      <x:c r="J613" s="17" t="n">
        <x:f>ROUND(I613*'Costing'!$C$4,2)</x:f>
        <x:v>36000</x:v>
      </x:c>
      <x:c r="K613" s="17" t="n">
        <x:f>I613+J613</x:f>
        <x:v>236000</x:v>
      </x:c>
    </x:row>
    <x:row r="614" ht="46" customHeight="1">
      <x:c r="A614" s="2" t="str">
        <x:v>Indicative size</x:v>
      </x:c>
      <x:c r="B614" s="2" t="str">
        <x:v>Large enterprise</x:v>
      </x:c>
      <x:c r="C614" s="12" t="str">
        <x:v>Delhi NCR</x:v>
      </x:c>
      <x:c r="D614" s="12" t="str">
        <x:v>PARTNER-M358</x:v>
      </x:c>
      <x:c r="E614" s="12" t="str">
        <x:v>IHDP Business Park</x:v>
      </x:c>
      <x:c r="F614" s="11" t="n">
        <x:v>7</x:v>
      </x:c>
      <x:c r="G614" s="11" t="n">
        <x:v>7</x:v>
      </x:c>
      <x:c r="H614" s="11" t="n">
        <x:v>0</x:v>
      </x:c>
      <x:c r="I614" s="17" t="n">
        <x:f>INDEX('Costing'!$P$9:$P$492,MATCH(D614,'Costing'!$A$9:$A$492,0))</x:f>
        <x:v>280000</x:v>
      </x:c>
      <x:c r="J614" s="17" t="n">
        <x:f>ROUND(I614*'Costing'!$C$4,2)</x:f>
        <x:v>50400</x:v>
      </x:c>
      <x:c r="K614" s="17" t="n">
        <x:f>I614+J614</x:f>
        <x:v>330400</x:v>
      </x:c>
    </x:row>
    <x:row r="615" ht="46" customHeight="1">
      <x:c r="A615" s="2" t="str">
        <x:v>Indicative size</x:v>
      </x:c>
      <x:c r="B615" s="2" t="str">
        <x:v>Large enterprise</x:v>
      </x:c>
      <x:c r="C615" s="12" t="str">
        <x:v>Hyderabad</x:v>
      </x:c>
      <x:c r="D615" s="12" t="str">
        <x:v>PARTNER-M289</x:v>
      </x:c>
      <x:c r="E615" s="12" t="str">
        <x:v>Cyber Gateway</x:v>
      </x:c>
      <x:c r="F615" s="11" t="n">
        <x:v>6</x:v>
      </x:c>
      <x:c r="G615" s="11" t="n">
        <x:v>6</x:v>
      </x:c>
      <x:c r="H615" s="11" t="n">
        <x:v>0</x:v>
      </x:c>
      <x:c r="I615" s="17" t="n">
        <x:f>INDEX('Costing'!$P$9:$P$492,MATCH(D615,'Costing'!$A$9:$A$492,0))</x:f>
        <x:v>240000</x:v>
      </x:c>
      <x:c r="J615" s="17" t="n">
        <x:f>ROUND(I615*'Costing'!$C$4,2)</x:f>
        <x:v>43200</x:v>
      </x:c>
      <x:c r="K615" s="17" t="n">
        <x:f>I615+J615</x:f>
        <x:v>283200</x:v>
      </x:c>
    </x:row>
    <x:row r="616" ht="46" customHeight="1">
      <x:c r="A616" s="2" t="str">
        <x:v>Indicative size</x:v>
      </x:c>
      <x:c r="B616" s="2" t="str">
        <x:v>Large enterprise</x:v>
      </x:c>
      <x:c r="C616" s="12" t="str">
        <x:v>Hyderabad</x:v>
      </x:c>
      <x:c r="D616" s="12" t="str">
        <x:v>PARTNER-M295</x:v>
      </x:c>
      <x:c r="E616" s="12" t="str">
        <x:v>Cyber Tower</x:v>
      </x:c>
      <x:c r="F616" s="11" t="n">
        <x:v>5</x:v>
      </x:c>
      <x:c r="G616" s="11" t="n">
        <x:v>5</x:v>
      </x:c>
      <x:c r="H616" s="11" t="n">
        <x:v>0</x:v>
      </x:c>
      <x:c r="I616" s="17" t="n">
        <x:f>INDEX('Costing'!$P$9:$P$492,MATCH(D616,'Costing'!$A$9:$A$492,0))</x:f>
        <x:v>200000</x:v>
      </x:c>
      <x:c r="J616" s="17" t="n">
        <x:f>ROUND(I616*'Costing'!$C$4,2)</x:f>
        <x:v>36000</x:v>
      </x:c>
      <x:c r="K616" s="17" t="n">
        <x:f>I616+J616</x:f>
        <x:v>236000</x:v>
      </x:c>
    </x:row>
    <x:row r="617" ht="46" customHeight="1">
      <x:c r="A617" s="2" t="str">
        <x:v>Indicative size</x:v>
      </x:c>
      <x:c r="B617" s="2" t="str">
        <x:v>Large enterprise</x:v>
      </x:c>
      <x:c r="C617" s="12" t="str">
        <x:v>Hyderabad</x:v>
      </x:c>
      <x:c r="D617" s="12" t="str">
        <x:v>PARTNER-M283</x:v>
      </x:c>
      <x:c r="E617" s="12" t="str">
        <x:v>iLabs Tech Park</x:v>
      </x:c>
      <x:c r="F617" s="11" t="n">
        <x:v>6</x:v>
      </x:c>
      <x:c r="G617" s="11" t="n">
        <x:v>6</x:v>
      </x:c>
      <x:c r="H617" s="11" t="n">
        <x:v>0</x:v>
      </x:c>
      <x:c r="I617" s="17" t="n">
        <x:f>INDEX('Costing'!$P$9:$P$492,MATCH(D617,'Costing'!$A$9:$A$492,0))</x:f>
        <x:v>240000</x:v>
      </x:c>
      <x:c r="J617" s="17" t="n">
        <x:f>ROUND(I617*'Costing'!$C$4,2)</x:f>
        <x:v>43200</x:v>
      </x:c>
      <x:c r="K617" s="17" t="n">
        <x:f>I617+J617</x:f>
        <x:v>283200</x:v>
      </x:c>
    </x:row>
    <x:row r="618" ht="46" customHeight="1">
      <x:c r="A618" s="2" t="str">
        <x:v>Indicative size</x:v>
      </x:c>
      <x:c r="B618" s="2" t="str">
        <x:v>Large enterprise</x:v>
      </x:c>
      <x:c r="C618" s="12" t="str">
        <x:v>Hyderabad</x:v>
      </x:c>
      <x:c r="D618" s="12" t="str">
        <x:v>PARTNER-M300</x:v>
      </x:c>
      <x:c r="E618" s="12" t="str">
        <x:v>Waverock IT Park</x:v>
      </x:c>
      <x:c r="F618" s="11" t="n">
        <x:v>8</x:v>
      </x:c>
      <x:c r="G618" s="11" t="n">
        <x:v>8</x:v>
      </x:c>
      <x:c r="H618" s="11" t="n">
        <x:v>0</x:v>
      </x:c>
      <x:c r="I618" s="17" t="n">
        <x:f>INDEX('Costing'!$P$9:$P$492,MATCH(D618,'Costing'!$A$9:$A$492,0))</x:f>
        <x:v>320000</x:v>
      </x:c>
      <x:c r="J618" s="17" t="n">
        <x:f>ROUND(I618*'Costing'!$C$4,2)</x:f>
        <x:v>57600</x:v>
      </x:c>
      <x:c r="K618" s="17" t="n">
        <x:f>I618+J618</x:f>
        <x:v>377600</x:v>
      </x:c>
    </x:row>
    <x:row r="619" ht="46" customHeight="1">
      <x:c r="A619" s="2" t="str">
        <x:v>Indicative size</x:v>
      </x:c>
      <x:c r="B619" s="2" t="str">
        <x:v>Large enterprise</x:v>
      </x:c>
      <x:c r="C619" s="12" t="str">
        <x:v>Mumbai</x:v>
      </x:c>
      <x:c r="D619" s="12" t="str">
        <x:v>PARTNER-M193</x:v>
      </x:c>
      <x:c r="E619" s="12" t="str">
        <x:v>Empire Tower</x:v>
      </x:c>
      <x:c r="F619" s="11" t="n">
        <x:v>4</x:v>
      </x:c>
      <x:c r="G619" s="11" t="n">
        <x:v>4</x:v>
      </x:c>
      <x:c r="H619" s="11" t="n">
        <x:v>0</x:v>
      </x:c>
      <x:c r="I619" s="17" t="n">
        <x:f>INDEX('Costing'!$P$9:$P$492,MATCH(D619,'Costing'!$A$9:$A$492,0))</x:f>
        <x:v>160000</x:v>
      </x:c>
      <x:c r="J619" s="17" t="n">
        <x:f>ROUND(I619*'Costing'!$C$4,2)</x:f>
        <x:v>28800</x:v>
      </x:c>
      <x:c r="K619" s="17" t="n">
        <x:f>I619+J619</x:f>
        <x:v>188800</x:v>
      </x:c>
    </x:row>
    <x:row r="620" ht="46" customHeight="1">
      <x:c r="A620" s="2" t="str">
        <x:v>Indicative size</x:v>
      </x:c>
      <x:c r="B620" s="2" t="str">
        <x:v>Large enterprise</x:v>
      </x:c>
      <x:c r="C620" s="12" t="str">
        <x:v>Mumbai</x:v>
      </x:c>
      <x:c r="D620" s="12" t="str">
        <x:v>PARTNER-M185</x:v>
      </x:c>
      <x:c r="E620" s="12" t="str">
        <x:v>G Corp Tech Park</x:v>
      </x:c>
      <x:c r="F620" s="11" t="n">
        <x:v>3</x:v>
      </x:c>
      <x:c r="G620" s="11" t="n">
        <x:v>3</x:v>
      </x:c>
      <x:c r="H620" s="11" t="n">
        <x:v>0</x:v>
      </x:c>
      <x:c r="I620" s="17" t="n">
        <x:f>INDEX('Costing'!$P$9:$P$492,MATCH(D620,'Costing'!$A$9:$A$492,0))</x:f>
        <x:v>120000</x:v>
      </x:c>
      <x:c r="J620" s="17" t="n">
        <x:f>ROUND(I620*'Costing'!$C$4,2)</x:f>
        <x:v>21600</x:v>
      </x:c>
      <x:c r="K620" s="17" t="n">
        <x:f>I620+J620</x:f>
        <x:v>141600</x:v>
      </x:c>
    </x:row>
    <x:row r="621" ht="46" customHeight="1">
      <x:c r="A621" s="2" t="str">
        <x:v>Indicative size</x:v>
      </x:c>
      <x:c r="B621" s="2" t="str">
        <x:v>Large enterprise</x:v>
      </x:c>
      <x:c r="C621" s="12" t="str">
        <x:v>Mumbai</x:v>
      </x:c>
      <x:c r="D621" s="12" t="str">
        <x:v>PARTNER-M247</x:v>
      </x:c>
      <x:c r="E621" s="12" t="str">
        <x:v>Lodha Supremus</x:v>
      </x:c>
      <x:c r="F621" s="11" t="n">
        <x:v>4</x:v>
      </x:c>
      <x:c r="G621" s="11" t="n">
        <x:v>4</x:v>
      </x:c>
      <x:c r="H621" s="11" t="n">
        <x:v>0</x:v>
      </x:c>
      <x:c r="I621" s="17" t="n">
        <x:f>INDEX('Costing'!$P$9:$P$492,MATCH(D621,'Costing'!$A$9:$A$492,0))</x:f>
        <x:v>160000</x:v>
      </x:c>
      <x:c r="J621" s="17" t="n">
        <x:f>ROUND(I621*'Costing'!$C$4,2)</x:f>
        <x:v>28800</x:v>
      </x:c>
      <x:c r="K621" s="17" t="n">
        <x:f>I621+J621</x:f>
        <x:v>188800</x:v>
      </x:c>
    </x:row>
    <x:row r="622" ht="46" customHeight="1">
      <x:c r="A622" s="2" t="str">
        <x:v>Indicative size</x:v>
      </x:c>
      <x:c r="B622" s="2" t="str">
        <x:v>Large enterprise</x:v>
      </x:c>
      <x:c r="C622" s="12" t="str">
        <x:v>Mumbai</x:v>
      </x:c>
      <x:c r="D622" s="12" t="str">
        <x:v>PARTNER-M171</x:v>
      </x:c>
      <x:c r="E622" s="12" t="str">
        <x:v>Parinee Crescenzo Business Park</x:v>
      </x:c>
      <x:c r="F622" s="11" t="n">
        <x:v>4</x:v>
      </x:c>
      <x:c r="G622" s="11" t="n">
        <x:v>4</x:v>
      </x:c>
      <x:c r="H622" s="11" t="n">
        <x:v>0</x:v>
      </x:c>
      <x:c r="I622" s="17" t="n">
        <x:f>INDEX('Costing'!$P$9:$P$492,MATCH(D622,'Costing'!$A$9:$A$492,0))</x:f>
        <x:v>160000</x:v>
      </x:c>
      <x:c r="J622" s="17" t="n">
        <x:f>ROUND(I622*'Costing'!$C$4,2)</x:f>
        <x:v>28800</x:v>
      </x:c>
      <x:c r="K622" s="17" t="n">
        <x:f>I622+J622</x:f>
        <x:v>188800</x:v>
      </x:c>
    </x:row>
    <x:row r="623" ht="46" customHeight="1">
      <x:c r="A623" s="2" t="str">
        <x:v>Indicative size</x:v>
      </x:c>
      <x:c r="B623" s="2" t="str">
        <x:v>Large enterprise</x:v>
      </x:c>
      <x:c r="C623" s="12" t="str">
        <x:v>Mumbai</x:v>
      </x:c>
      <x:c r="D623" s="12" t="str">
        <x:v>PARTNER-M197</x:v>
      </x:c>
      <x:c r="E623" s="12" t="str">
        <x:v>Reliable Tech Park</x:v>
      </x:c>
      <x:c r="F623" s="11" t="n">
        <x:v>4</x:v>
      </x:c>
      <x:c r="G623" s="11" t="n">
        <x:v>4</x:v>
      </x:c>
      <x:c r="H623" s="11" t="n">
        <x:v>0</x:v>
      </x:c>
      <x:c r="I623" s="17" t="n">
        <x:f>INDEX('Costing'!$P$9:$P$492,MATCH(D623,'Costing'!$A$9:$A$492,0))</x:f>
        <x:v>160000</x:v>
      </x:c>
      <x:c r="J623" s="17" t="n">
        <x:f>ROUND(I623*'Costing'!$C$4,2)</x:f>
        <x:v>28800</x:v>
      </x:c>
      <x:c r="K623" s="17" t="n">
        <x:f>I623+J623</x:f>
        <x:v>188800</x:v>
      </x:c>
    </x:row>
    <x:row r="624" ht="46" customHeight="1">
      <x:c r="A624" s="2" t="str">
        <x:v>Indicative size</x:v>
      </x:c>
      <x:c r="B624" s="2" t="str">
        <x:v>Large enterprise</x:v>
      </x:c>
      <x:c r="C624" s="12" t="str">
        <x:v>Mumbai</x:v>
      </x:c>
      <x:c r="D624" s="12" t="str">
        <x:v>PARTNER-M175</x:v>
      </x:c>
      <x:c r="E624" s="12" t="str">
        <x:v>The Capital</x:v>
      </x:c>
      <x:c r="F624" s="11" t="n">
        <x:v>3</x:v>
      </x:c>
      <x:c r="G624" s="11" t="n">
        <x:v>3</x:v>
      </x:c>
      <x:c r="H624" s="11" t="n">
        <x:v>0</x:v>
      </x:c>
      <x:c r="I624" s="17" t="n">
        <x:f>INDEX('Costing'!$P$9:$P$492,MATCH(D624,'Costing'!$A$9:$A$492,0))</x:f>
        <x:v>120000</x:v>
      </x:c>
      <x:c r="J624" s="17" t="n">
        <x:f>ROUND(I624*'Costing'!$C$4,2)</x:f>
        <x:v>21600</x:v>
      </x:c>
      <x:c r="K624" s="17" t="n">
        <x:f>I624+J624</x:f>
        <x:v>141600</x:v>
      </x:c>
    </x:row>
    <x:row r="625" ht="46" customHeight="1">
      <x:c r="A625" s="2" t="str">
        <x:v>Indicative size</x:v>
      </x:c>
      <x:c r="B625" s="2" t="str">
        <x:v>Large enterprise</x:v>
      </x:c>
      <x:c r="C625" s="12" t="str">
        <x:v>Mumbai</x:v>
      </x:c>
      <x:c r="D625" s="12" t="str">
        <x:v>PARTNER-M188</x:v>
      </x:c>
      <x:c r="E625" s="12" t="str">
        <x:v>Urmi Estate</x:v>
      </x:c>
      <x:c r="F625" s="11" t="n">
        <x:v>4</x:v>
      </x:c>
      <x:c r="G625" s="11" t="n">
        <x:v>4</x:v>
      </x:c>
      <x:c r="H625" s="11" t="n">
        <x:v>0</x:v>
      </x:c>
      <x:c r="I625" s="17" t="n">
        <x:f>INDEX('Costing'!$P$9:$P$492,MATCH(D625,'Costing'!$A$9:$A$492,0))</x:f>
        <x:v>160000</x:v>
      </x:c>
      <x:c r="J625" s="17" t="n">
        <x:f>ROUND(I625*'Costing'!$C$4,2)</x:f>
        <x:v>28800</x:v>
      </x:c>
      <x:c r="K625" s="17" t="n">
        <x:f>I625+J625</x:f>
        <x:v>188800</x:v>
      </x:c>
    </x:row>
    <x:row r="626" ht="46" customHeight="1">
      <x:c r="A626" s="2" t="str">
        <x:v>Indicative size</x:v>
      </x:c>
      <x:c r="B626" s="2" t="str">
        <x:v>Large enterprise</x:v>
      </x:c>
      <x:c r="C626" s="12" t="str">
        <x:v>Mumbai</x:v>
      </x:c>
      <x:c r="D626" s="12" t="str">
        <x:v>PARTNER-M227</x:v>
      </x:c>
      <x:c r="E626" s="12" t="str">
        <x:v>Windsor House</x:v>
      </x:c>
      <x:c r="F626" s="11" t="n">
        <x:v>6</x:v>
      </x:c>
      <x:c r="G626" s="11" t="n">
        <x:v>6</x:v>
      </x:c>
      <x:c r="H626" s="11" t="n">
        <x:v>0</x:v>
      </x:c>
      <x:c r="I626" s="17" t="n">
        <x:f>INDEX('Costing'!$P$9:$P$492,MATCH(D626,'Costing'!$A$9:$A$492,0))</x:f>
        <x:v>240000</x:v>
      </x:c>
      <x:c r="J626" s="17" t="n">
        <x:f>ROUND(I626*'Costing'!$C$4,2)</x:f>
        <x:v>43200</x:v>
      </x:c>
      <x:c r="K626" s="17" t="n">
        <x:f>I626+J626</x:f>
        <x:v>283200</x:v>
      </x:c>
    </x:row>
    <x:row r="627" ht="46" customHeight="1">
      <x:c r="A627" s="2" t="str">
        <x:v>Indicative size</x:v>
      </x:c>
      <x:c r="B627" s="2" t="str">
        <x:v>Large enterprise</x:v>
      </x:c>
      <x:c r="C627" s="12" t="str">
        <x:v>Pune</x:v>
      </x:c>
      <x:c r="D627" s="12" t="str">
        <x:v>PARTNER-M268</x:v>
      </x:c>
      <x:c r="E627" s="12" t="str">
        <x:v>ICC Tech Park</x:v>
      </x:c>
      <x:c r="F627" s="11" t="n">
        <x:v>5</x:v>
      </x:c>
      <x:c r="G627" s="11" t="n">
        <x:v>5</x:v>
      </x:c>
      <x:c r="H627" s="11" t="n">
        <x:v>0</x:v>
      </x:c>
      <x:c r="I627" s="17" t="n">
        <x:f>INDEX('Costing'!$P$9:$P$492,MATCH(D627,'Costing'!$A$9:$A$492,0))</x:f>
        <x:v>200000</x:v>
      </x:c>
      <x:c r="J627" s="17" t="n">
        <x:f>ROUND(I627*'Costing'!$C$4,2)</x:f>
        <x:v>36000</x:v>
      </x:c>
      <x:c r="K627" s="17" t="n">
        <x:f>I627+J627</x:f>
        <x:v>236000</x:v>
      </x:c>
    </x:row>
    <x:row r="628" ht="46" customHeight="1">
      <x:c r="A628" s="2" t="str">
        <x:v>Indicative size</x:v>
      </x:c>
      <x:c r="B628" s="2" t="str">
        <x:v>Large enterprise</x:v>
      </x:c>
      <x:c r="C628" s="12" t="str">
        <x:v>Pune</x:v>
      </x:c>
      <x:c r="D628" s="12" t="str">
        <x:v>PARTNER-M252</x:v>
      </x:c>
      <x:c r="E628" s="12" t="str">
        <x:v>Magarpatta Cyberpark</x:v>
      </x:c>
      <x:c r="F628" s="11" t="n">
        <x:v>9</x:v>
      </x:c>
      <x:c r="G628" s="11" t="n">
        <x:v>9</x:v>
      </x:c>
      <x:c r="H628" s="11" t="n">
        <x:v>0</x:v>
      </x:c>
      <x:c r="I628" s="17" t="n">
        <x:f>INDEX('Costing'!$P$9:$P$492,MATCH(D628,'Costing'!$A$9:$A$492,0))</x:f>
        <x:v>360000</x:v>
      </x:c>
      <x:c r="J628" s="17" t="n">
        <x:f>ROUND(I628*'Costing'!$C$4,2)</x:f>
        <x:v>64800</x:v>
      </x:c>
      <x:c r="K628" s="17" t="n">
        <x:f>I628+J628</x:f>
        <x:v>424800</x:v>
      </x:c>
    </x:row>
    <x:row r="629" ht="46" customHeight="1">
      <x:c r="A629" s="2" t="str">
        <x:v>Indicative size</x:v>
      </x:c>
      <x:c r="B629" s="2" t="str">
        <x:v>Large enterprise</x:v>
      </x:c>
      <x:c r="C629" s="12" t="str">
        <x:v>Pune</x:v>
      </x:c>
      <x:c r="D629" s="12" t="str">
        <x:v>PARTNER-M261</x:v>
      </x:c>
      <x:c r="E629" s="12" t="str">
        <x:v>Pentagon Towers</x:v>
      </x:c>
      <x:c r="F629" s="11" t="n">
        <x:v>4</x:v>
      </x:c>
      <x:c r="G629" s="11" t="n">
        <x:v>4</x:v>
      </x:c>
      <x:c r="H629" s="11" t="n">
        <x:v>0</x:v>
      </x:c>
      <x:c r="I629" s="17" t="n">
        <x:f>INDEX('Costing'!$P$9:$P$492,MATCH(D629,'Costing'!$A$9:$A$492,0))</x:f>
        <x:v>160000</x:v>
      </x:c>
      <x:c r="J629" s="17" t="n">
        <x:f>ROUND(I629*'Costing'!$C$4,2)</x:f>
        <x:v>28800</x:v>
      </x:c>
      <x:c r="K629" s="17" t="n">
        <x:f>I629+J629</x:f>
        <x:v>188800</x:v>
      </x:c>
    </x:row>
    <x:row r="630" ht="46" customHeight="1">
      <x:c r="A630" s="2" t="str">
        <x:v>Indicative size</x:v>
      </x:c>
      <x:c r="B630" s="2" t="str">
        <x:v>Institutional</x:v>
      </x:c>
      <x:c r="C630" s="12" t="str">
        <x:v>Bengaluru</x:v>
      </x:c>
      <x:c r="D630" s="12" t="str">
        <x:v>MAIN-062</x:v>
      </x:c>
      <x:c r="E630" s="12" t="str">
        <x:v>Nucleus - Exora Business Park</x:v>
      </x:c>
      <x:c r="F630" s="11" t="n">
        <x:v>5</x:v>
      </x:c>
      <x:c r="G630" s="11" t="n">
        <x:v>5</x:v>
      </x:c>
      <x:c r="H630" s="11" t="n">
        <x:v>0</x:v>
      </x:c>
      <x:c r="I630" s="17" t="n">
        <x:f>INDEX('Costing'!$P$9:$P$492,MATCH(D630,'Costing'!$A$9:$A$492,0))</x:f>
        <x:v>200000</x:v>
      </x:c>
      <x:c r="J630" s="17" t="n">
        <x:f>ROUND(I630*'Costing'!$C$4,2)</x:f>
        <x:v>36000</x:v>
      </x:c>
      <x:c r="K630" s="17" t="n">
        <x:f>I630+J630</x:f>
        <x:v>236000</x:v>
      </x:c>
    </x:row>
    <x:row r="631" ht="46" customHeight="1">
      <x:c r="A631" s="2" t="str">
        <x:v>Indicative size</x:v>
      </x:c>
      <x:c r="B631" s="2" t="str">
        <x:v>Institutional</x:v>
      </x:c>
      <x:c r="C631" s="12" t="str">
        <x:v>Bengaluru</x:v>
      </x:c>
      <x:c r="D631" s="12" t="str">
        <x:v>MAIN-072</x:v>
      </x:c>
      <x:c r="E631" s="12" t="str">
        <x:v>Prestige Etamin (Redbrick Offices)</x:v>
      </x:c>
      <x:c r="F631" s="11" t="n">
        <x:v>1</x:v>
      </x:c>
      <x:c r="G631" s="11" t="n">
        <x:v>1</x:v>
      </x:c>
      <x:c r="H631" s="11" t="n">
        <x:v>0</x:v>
      </x:c>
      <x:c r="I631" s="17" t="n">
        <x:f>INDEX('Costing'!$P$9:$P$492,MATCH(D631,'Costing'!$A$9:$A$492,0))</x:f>
        <x:v>15000</x:v>
      </x:c>
      <x:c r="J631" s="17" t="n">
        <x:f>ROUND(I631*'Costing'!$C$4,2)</x:f>
        <x:v>2700</x:v>
      </x:c>
      <x:c r="K631" s="17" t="n">
        <x:f>I631+J631</x:f>
        <x:v>17700</x:v>
      </x:c>
    </x:row>
    <x:row r="632" ht="46" customHeight="1">
      <x:c r="A632" s="2" t="str">
        <x:v>Indicative size</x:v>
      </x:c>
      <x:c r="B632" s="2" t="str">
        <x:v>Institutional</x:v>
      </x:c>
      <x:c r="C632" s="12" t="str">
        <x:v>Bengaluru</x:v>
      </x:c>
      <x:c r="D632" s="12" t="str">
        <x:v>MAIN-073</x:v>
      </x:c>
      <x:c r="E632" s="12" t="str">
        <x:v>Prestige Obelisk</x:v>
      </x:c>
      <x:c r="F632" s="11" t="n">
        <x:v>1</x:v>
      </x:c>
      <x:c r="G632" s="11" t="n">
        <x:v>1</x:v>
      </x:c>
      <x:c r="H632" s="11" t="n">
        <x:v>0</x:v>
      </x:c>
      <x:c r="I632" s="17" t="n">
        <x:f>INDEX('Costing'!$P$9:$P$492,MATCH(D632,'Costing'!$A$9:$A$492,0))</x:f>
        <x:v>40000</x:v>
      </x:c>
      <x:c r="J632" s="17" t="n">
        <x:f>ROUND(I632*'Costing'!$C$4,2)</x:f>
        <x:v>7200</x:v>
      </x:c>
      <x:c r="K632" s="17" t="n">
        <x:f>I632+J632</x:f>
        <x:v>47200</x:v>
      </x:c>
    </x:row>
    <x:row r="633" ht="46" customHeight="1">
      <x:c r="A633" s="2" t="str">
        <x:v>Indicative size</x:v>
      </x:c>
      <x:c r="B633" s="2" t="str">
        <x:v>Institutional</x:v>
      </x:c>
      <x:c r="C633" s="12" t="str">
        <x:v>Bengaluru</x:v>
      </x:c>
      <x:c r="D633" s="12" t="str">
        <x:v>MAIN-077</x:v>
      </x:c>
      <x:c r="E633" s="12" t="str">
        <x:v>Raheja Towers</x:v>
      </x:c>
      <x:c r="F633" s="11" t="n">
        <x:v>11</x:v>
      </x:c>
      <x:c r="G633" s="11" t="n">
        <x:v>11</x:v>
      </x:c>
      <x:c r="H633" s="11" t="n">
        <x:v>0</x:v>
      </x:c>
      <x:c r="I633" s="17" t="n">
        <x:f>INDEX('Costing'!$P$9:$P$492,MATCH(D633,'Costing'!$A$9:$A$492,0))</x:f>
        <x:v>165000</x:v>
      </x:c>
      <x:c r="J633" s="17" t="n">
        <x:f>ROUND(I633*'Costing'!$C$4,2)</x:f>
        <x:v>29700</x:v>
      </x:c>
      <x:c r="K633" s="17" t="n">
        <x:f>I633+J633</x:f>
        <x:v>194700</x:v>
      </x:c>
    </x:row>
    <x:row r="634" ht="46" customHeight="1">
      <x:c r="A634" s="2" t="str">
        <x:v>Indicative size</x:v>
      </x:c>
      <x:c r="B634" s="2" t="str">
        <x:v>Institutional</x:v>
      </x:c>
      <x:c r="C634" s="12" t="str">
        <x:v>Bengaluru</x:v>
      </x:c>
      <x:c r="D634" s="12" t="str">
        <x:v>MAIN-114</x:v>
      </x:c>
      <x:c r="E634" s="12" t="str">
        <x:v>Wework - Embassy One</x:v>
      </x:c>
      <x:c r="F634" s="11" t="n">
        <x:v>2</x:v>
      </x:c>
      <x:c r="G634" s="11" t="n">
        <x:v>2</x:v>
      </x:c>
      <x:c r="H634" s="11" t="n">
        <x:v>0</x:v>
      </x:c>
      <x:c r="I634" s="17" t="n">
        <x:f>INDEX('Costing'!$P$9:$P$492,MATCH(D634,'Costing'!$A$9:$A$492,0))</x:f>
        <x:v>50000</x:v>
      </x:c>
      <x:c r="J634" s="17" t="n">
        <x:f>ROUND(I634*'Costing'!$C$4,2)</x:f>
        <x:v>9000</x:v>
      </x:c>
      <x:c r="K634" s="17" t="n">
        <x:f>I634+J634</x:f>
        <x:v>59000</x:v>
      </x:c>
    </x:row>
    <x:row r="635" ht="46" customHeight="1">
      <x:c r="A635" s="2" t="str">
        <x:v>Indicative size</x:v>
      </x:c>
      <x:c r="B635" s="2" t="str">
        <x:v>Institutional</x:v>
      </x:c>
      <x:c r="C635" s="12" t="str">
        <x:v>Hyderabad</x:v>
      </x:c>
      <x:c r="D635" s="12" t="str">
        <x:v>MAIN-227</x:v>
      </x:c>
      <x:c r="E635" s="12" t="str">
        <x:v>Draper</x:v>
      </x:c>
      <x:c r="F635" s="11" t="n">
        <x:v>3</x:v>
      </x:c>
      <x:c r="G635" s="11" t="n">
        <x:v>3</x:v>
      </x:c>
      <x:c r="H635" s="11" t="n">
        <x:v>0</x:v>
      </x:c>
      <x:c r="I635" s="17" t="n">
        <x:f>INDEX('Costing'!$P$9:$P$492,MATCH(D635,'Costing'!$A$9:$A$492,0))</x:f>
        <x:v>45000</x:v>
      </x:c>
      <x:c r="J635" s="17" t="n">
        <x:f>ROUND(I635*'Costing'!$C$4,2)</x:f>
        <x:v>8100</x:v>
      </x:c>
      <x:c r="K635" s="17" t="n">
        <x:f>I635+J635</x:f>
        <x:v>53100</x:v>
      </x:c>
    </x:row>
    <x:row r="636" ht="46" customHeight="1">
      <x:c r="A636" s="2" t="str">
        <x:v>Indicative size</x:v>
      </x:c>
      <x:c r="B636" s="2" t="str">
        <x:v>Institutional</x:v>
      </x:c>
      <x:c r="C636" s="12" t="str">
        <x:v>Hyderabad</x:v>
      </x:c>
      <x:c r="D636" s="12" t="str">
        <x:v>MAIN-254</x:v>
      </x:c>
      <x:c r="E636" s="12" t="str">
        <x:v>Sattva Octave (Redbrick Offices)</x:v>
      </x:c>
      <x:c r="F636" s="11" t="n">
        <x:v>1</x:v>
      </x:c>
      <x:c r="G636" s="11" t="n">
        <x:v>1</x:v>
      </x:c>
      <x:c r="H636" s="11" t="n">
        <x:v>0</x:v>
      </x:c>
      <x:c r="I636" s="17" t="n">
        <x:f>INDEX('Costing'!$P$9:$P$492,MATCH(D636,'Costing'!$A$9:$A$492,0))</x:f>
        <x:v>15000</x:v>
      </x:c>
      <x:c r="J636" s="17" t="n">
        <x:f>ROUND(I636*'Costing'!$C$4,2)</x:f>
        <x:v>2700</x:v>
      </x:c>
      <x:c r="K636" s="17" t="n">
        <x:f>I636+J636</x:f>
        <x:v>17700</x:v>
      </x:c>
    </x:row>
    <x:row r="637" ht="46" customHeight="1">
      <x:c r="A637" s="2" t="str">
        <x:v>Indicative size</x:v>
      </x:c>
      <x:c r="B637" s="2" t="str">
        <x:v>Institutional</x:v>
      </x:c>
      <x:c r="C637" s="12" t="str">
        <x:v>Indore</x:v>
      </x:c>
      <x:c r="D637" s="12" t="str">
        <x:v>MAIN-267</x:v>
      </x:c>
      <x:c r="E637" s="12" t="str">
        <x:v>Apollo Gold Plaza</x:v>
      </x:c>
      <x:c r="F637" s="11" t="n">
        <x:v>2</x:v>
      </x:c>
      <x:c r="G637" s="11" t="n">
        <x:v>2</x:v>
      </x:c>
      <x:c r="H637" s="11" t="n">
        <x:v>0</x:v>
      </x:c>
      <x:c r="I637" s="17" t="n">
        <x:f>INDEX('Costing'!$P$9:$P$492,MATCH(D637,'Costing'!$A$9:$A$492,0))</x:f>
        <x:v>40000</x:v>
      </x:c>
      <x:c r="J637" s="17" t="n">
        <x:f>ROUND(I637*'Costing'!$C$4,2)</x:f>
        <x:v>7200</x:v>
      </x:c>
      <x:c r="K637" s="17" t="n">
        <x:f>I637+J637</x:f>
        <x:v>47200</x:v>
      </x:c>
    </x:row>
    <x:row r="638" ht="46" customHeight="1">
      <x:c r="A638" s="2" t="str">
        <x:v>Indicative size</x:v>
      </x:c>
      <x:c r="B638" s="2" t="str">
        <x:v>Institutional</x:v>
      </x:c>
      <x:c r="C638" s="12" t="str">
        <x:v>Indore</x:v>
      </x:c>
      <x:c r="D638" s="12" t="str">
        <x:v>MAIN-272</x:v>
      </x:c>
      <x:c r="E638" s="12" t="str">
        <x:v>Maloo - 01</x:v>
      </x:c>
      <x:c r="F638" s="11" t="n">
        <x:v>1</x:v>
      </x:c>
      <x:c r="G638" s="11" t="n">
        <x:v>1</x:v>
      </x:c>
      <x:c r="H638" s="11" t="n">
        <x:v>0</x:v>
      </x:c>
      <x:c r="I638" s="17" t="n">
        <x:f>INDEX('Costing'!$P$9:$P$492,MATCH(D638,'Costing'!$A$9:$A$492,0))</x:f>
        <x:v>20000</x:v>
      </x:c>
      <x:c r="J638" s="17" t="n">
        <x:f>ROUND(I638*'Costing'!$C$4,2)</x:f>
        <x:v>3600</x:v>
      </x:c>
      <x:c r="K638" s="17" t="n">
        <x:f>I638+J638</x:f>
        <x:v>23600</x:v>
      </x:c>
    </x:row>
    <x:row r="639" ht="46" customHeight="1">
      <x:c r="A639" s="2" t="str">
        <x:v>Indicative size</x:v>
      </x:c>
      <x:c r="B639" s="2" t="str">
        <x:v>Institutional</x:v>
      </x:c>
      <x:c r="C639" s="12" t="str">
        <x:v>Mumbai</x:v>
      </x:c>
      <x:c r="D639" s="12" t="str">
        <x:v>MAIN-325</x:v>
      </x:c>
      <x:c r="E639" s="12" t="str">
        <x:v>Nucleus - One BKC</x:v>
      </x:c>
      <x:c r="F639" s="11" t="n">
        <x:v>2</x:v>
      </x:c>
      <x:c r="G639" s="11" t="n">
        <x:v>2</x:v>
      </x:c>
      <x:c r="H639" s="11" t="n">
        <x:v>0</x:v>
      </x:c>
      <x:c r="I639" s="17" t="n">
        <x:f>INDEX('Costing'!$P$9:$P$492,MATCH(D639,'Costing'!$A$9:$A$492,0))</x:f>
        <x:v>80000</x:v>
      </x:c>
      <x:c r="J639" s="17" t="n">
        <x:f>ROUND(I639*'Costing'!$C$4,2)</x:f>
        <x:v>14400</x:v>
      </x:c>
      <x:c r="K639" s="17" t="n">
        <x:f>I639+J639</x:f>
        <x:v>94400</x:v>
      </x:c>
    </x:row>
    <x:row r="640" ht="46" customHeight="1">
      <x:c r="A640" s="2" t="str">
        <x:v>Indicative size</x:v>
      </x:c>
      <x:c r="B640" s="2" t="str">
        <x:v>Institutional</x:v>
      </x:c>
      <x:c r="C640" s="12" t="str">
        <x:v>Mumbai</x:v>
      </x:c>
      <x:c r="D640" s="12" t="str">
        <x:v>MAIN-326</x:v>
      </x:c>
      <x:c r="E640" s="12" t="str">
        <x:v>Nucleus - One International Center</x:v>
      </x:c>
      <x:c r="F640" s="11" t="n">
        <x:v>9</x:v>
      </x:c>
      <x:c r="G640" s="11" t="n">
        <x:v>9</x:v>
      </x:c>
      <x:c r="H640" s="11" t="n">
        <x:v>0</x:v>
      </x:c>
      <x:c r="I640" s="17" t="n">
        <x:f>INDEX('Costing'!$P$9:$P$492,MATCH(D640,'Costing'!$A$9:$A$492,0))</x:f>
        <x:v>360000</x:v>
      </x:c>
      <x:c r="J640" s="17" t="n">
        <x:f>ROUND(I640*'Costing'!$C$4,2)</x:f>
        <x:v>64800</x:v>
      </x:c>
      <x:c r="K640" s="17" t="n">
        <x:f>I640+J640</x:f>
        <x:v>424800</x:v>
      </x:c>
    </x:row>
    <x:row r="641" ht="46" customHeight="1">
      <x:c r="A641" s="2" t="str">
        <x:v>Indicative size</x:v>
      </x:c>
      <x:c r="B641" s="2" t="str">
        <x:v>Institutional</x:v>
      </x:c>
      <x:c r="C641" s="12" t="str">
        <x:v>Mumbai</x:v>
      </x:c>
      <x:c r="D641" s="12" t="str">
        <x:v>MAIN-331</x:v>
      </x:c>
      <x:c r="E641" s="12" t="str">
        <x:v>One World Centre (Redbrick Offices)</x:v>
      </x:c>
      <x:c r="F641" s="11" t="n">
        <x:v>1</x:v>
      </x:c>
      <x:c r="G641" s="11" t="n">
        <x:v>1</x:v>
      </x:c>
      <x:c r="H641" s="11" t="n">
        <x:v>0</x:v>
      </x:c>
      <x:c r="I641" s="17" t="n">
        <x:f>INDEX('Costing'!$P$9:$P$492,MATCH(D641,'Costing'!$A$9:$A$492,0))</x:f>
        <x:v>15000</x:v>
      </x:c>
      <x:c r="J641" s="17" t="n">
        <x:f>ROUND(I641*'Costing'!$C$4,2)</x:f>
        <x:v>2700</x:v>
      </x:c>
      <x:c r="K641" s="17" t="n">
        <x:f>I641+J641</x:f>
        <x:v>17700</x:v>
      </x:c>
    </x:row>
    <x:row r="642" ht="46" customHeight="1">
      <x:c r="A642" s="2" t="str">
        <x:v>Indicative size</x:v>
      </x:c>
      <x:c r="B642" s="2" t="str">
        <x:v>Institutional</x:v>
      </x:c>
      <x:c r="C642" s="12" t="str">
        <x:v>Mumbai</x:v>
      </x:c>
      <x:c r="D642" s="12" t="str">
        <x:v>MAIN-333</x:v>
      </x:c>
      <x:c r="E642" s="12" t="str">
        <x:v>Oyo Workspace - Time Square</x:v>
      </x:c>
      <x:c r="F642" s="11" t="n">
        <x:v>1</x:v>
      </x:c>
      <x:c r="G642" s="11" t="n">
        <x:v>1</x:v>
      </x:c>
      <x:c r="H642" s="11" t="n">
        <x:v>0</x:v>
      </x:c>
      <x:c r="I642" s="17" t="n">
        <x:f>INDEX('Costing'!$P$9:$P$492,MATCH(D642,'Costing'!$A$9:$A$492,0))</x:f>
        <x:v>15000</x:v>
      </x:c>
      <x:c r="J642" s="17" t="n">
        <x:f>ROUND(I642*'Costing'!$C$4,2)</x:f>
        <x:v>2700</x:v>
      </x:c>
      <x:c r="K642" s="17" t="n">
        <x:f>I642+J642</x:f>
        <x:v>17700</x:v>
      </x:c>
    </x:row>
    <x:row r="643" ht="46" customHeight="1">
      <x:c r="A643" s="2" t="str">
        <x:v>Indicative size</x:v>
      </x:c>
      <x:c r="B643" s="2" t="str">
        <x:v>Institutional</x:v>
      </x:c>
      <x:c r="C643" s="12" t="str">
        <x:v>Mumbai</x:v>
      </x:c>
      <x:c r="D643" s="12" t="str">
        <x:v>MAIN-354</x:v>
      </x:c>
      <x:c r="E643" s="12" t="str">
        <x:v>Wework - Express Tower</x:v>
      </x:c>
      <x:c r="F643" s="11" t="n">
        <x:v>1</x:v>
      </x:c>
      <x:c r="G643" s="11" t="n">
        <x:v>1</x:v>
      </x:c>
      <x:c r="H643" s="11" t="n">
        <x:v>0</x:v>
      </x:c>
      <x:c r="I643" s="17" t="n">
        <x:f>INDEX('Costing'!$P$9:$P$492,MATCH(D643,'Costing'!$A$9:$A$492,0))</x:f>
        <x:v>25000</x:v>
      </x:c>
      <x:c r="J643" s="17" t="n">
        <x:f>ROUND(I643*'Costing'!$C$4,2)</x:f>
        <x:v>4500</x:v>
      </x:c>
      <x:c r="K643" s="17" t="n">
        <x:f>I643+J643</x:f>
        <x:v>29500</x:v>
      </x:c>
    </x:row>
    <x:row r="644" ht="46" customHeight="1">
      <x:c r="A644" s="2" t="str">
        <x:v>Indicative size</x:v>
      </x:c>
      <x:c r="B644" s="2" t="str">
        <x:v>Institutional</x:v>
      </x:c>
      <x:c r="C644" s="12" t="str">
        <x:v>Pune</x:v>
      </x:c>
      <x:c r="D644" s="12" t="str">
        <x:v>MAIN-407</x:v>
      </x:c>
      <x:c r="E644" s="12" t="str">
        <x:v>Oyo Workspace - Innov8 Suman Business Park</x:v>
      </x:c>
      <x:c r="F644" s="11" t="n">
        <x:v>2</x:v>
      </x:c>
      <x:c r="G644" s="11" t="n">
        <x:v>2</x:v>
      </x:c>
      <x:c r="H644" s="11" t="n">
        <x:v>0</x:v>
      </x:c>
      <x:c r="I644" s="17" t="n">
        <x:f>INDEX('Costing'!$P$9:$P$492,MATCH(D644,'Costing'!$A$9:$A$492,0))</x:f>
        <x:v>30000</x:v>
      </x:c>
      <x:c r="J644" s="17" t="n">
        <x:f>ROUND(I644*'Costing'!$C$4,2)</x:f>
        <x:v>5400</x:v>
      </x:c>
      <x:c r="K644" s="17" t="n">
        <x:f>I644+J644</x:f>
        <x:v>35400</x:v>
      </x:c>
    </x:row>
    <x:row r="645" ht="46" customHeight="1">
      <x:c r="A645" s="2" t="str">
        <x:v>Indicative size</x:v>
      </x:c>
      <x:c r="B645" s="2" t="str">
        <x:v>Institutional</x:v>
      </x:c>
      <x:c r="C645" s="12" t="str">
        <x:v>Bengaluru</x:v>
      </x:c>
      <x:c r="D645" s="12" t="str">
        <x:v>PARTNER-M100</x:v>
      </x:c>
      <x:c r="E645" s="12" t="str">
        <x:v>Prestige Obelisk + Prestige Atrium + Prestige Sapphire + Prestige Al Kareem + Prestige Delta</x:v>
      </x:c>
      <x:c r="F645" s="11" t="n">
        <x:v>8</x:v>
      </x:c>
      <x:c r="G645" s="11" t="n">
        <x:v>8</x:v>
      </x:c>
      <x:c r="H645" s="11" t="n">
        <x:v>0</x:v>
      </x:c>
      <x:c r="I645" s="17" t="n">
        <x:f>INDEX('Costing'!$P$9:$P$492,MATCH(D645,'Costing'!$A$9:$A$492,0))</x:f>
        <x:v>320000</x:v>
      </x:c>
      <x:c r="J645" s="17" t="n">
        <x:f>ROUND(I645*'Costing'!$C$4,2)</x:f>
        <x:v>57600</x:v>
      </x:c>
      <x:c r="K645" s="17" t="n">
        <x:f>I645+J645</x:f>
        <x:v>377600</x:v>
      </x:c>
    </x:row>
    <x:row r="646" ht="46" customHeight="1">
      <x:c r="A646" s="2" t="str">
        <x:v>Indicative size</x:v>
      </x:c>
      <x:c r="B646" s="2" t="str">
        <x:v>Institutional</x:v>
      </x:c>
      <x:c r="C646" s="12" t="str">
        <x:v>Bengaluru</x:v>
      </x:c>
      <x:c r="D646" s="12" t="str">
        <x:v>PARTNER-M093</x:v>
      </x:c>
      <x:c r="E646" s="12" t="str">
        <x:v>Prestige Summit</x:v>
      </x:c>
      <x:c r="F646" s="11" t="n">
        <x:v>4</x:v>
      </x:c>
      <x:c r="G646" s="11" t="n">
        <x:v>4</x:v>
      </x:c>
      <x:c r="H646" s="11" t="n">
        <x:v>0</x:v>
      </x:c>
      <x:c r="I646" s="17" t="n">
        <x:f>INDEX('Costing'!$P$9:$P$492,MATCH(D646,'Costing'!$A$9:$A$492,0))</x:f>
        <x:v>160000</x:v>
      </x:c>
      <x:c r="J646" s="17" t="n">
        <x:f>ROUND(I646*'Costing'!$C$4,2)</x:f>
        <x:v>28800</x:v>
      </x:c>
      <x:c r="K646" s="17" t="n">
        <x:f>I646+J646</x:f>
        <x:v>188800</x:v>
      </x:c>
    </x:row>
    <x:row r="647" ht="46" customHeight="1">
      <x:c r="A647" s="2" t="str">
        <x:v>Indicative size</x:v>
      </x:c>
      <x:c r="B647" s="2" t="str">
        <x:v>Institutional</x:v>
      </x:c>
      <x:c r="C647" s="12" t="str">
        <x:v>Chennai</x:v>
      </x:c>
      <x:c r="D647" s="12" t="str">
        <x:v>PARTNER-M332</x:v>
      </x:c>
      <x:c r="E647" s="12" t="str">
        <x:v>Prestige Polygon</x:v>
      </x:c>
      <x:c r="F647" s="11" t="n">
        <x:v>2</x:v>
      </x:c>
      <x:c r="G647" s="11" t="n">
        <x:v>2</x:v>
      </x:c>
      <x:c r="H647" s="11" t="n">
        <x:v>0</x:v>
      </x:c>
      <x:c r="I647" s="17" t="n">
        <x:f>INDEX('Costing'!$P$9:$P$492,MATCH(D647,'Costing'!$A$9:$A$492,0))</x:f>
        <x:v>80000</x:v>
      </x:c>
      <x:c r="J647" s="17" t="n">
        <x:f>ROUND(I647*'Costing'!$C$4,2)</x:f>
        <x:v>14400</x:v>
      </x:c>
      <x:c r="K647" s="17" t="n">
        <x:f>I647+J647</x:f>
        <x:v>94400</x:v>
      </x:c>
    </x:row>
    <x:row r="648" ht="46" customHeight="1">
      <x:c r="A648" s="2" t="str">
        <x:v>Indicative size</x:v>
      </x:c>
      <x:c r="B648" s="2" t="str">
        <x:v>Institutional</x:v>
      </x:c>
      <x:c r="C648" s="12" t="str">
        <x:v>Chennai</x:v>
      </x:c>
      <x:c r="D648" s="12" t="str">
        <x:v>PARTNER-M342</x:v>
      </x:c>
      <x:c r="E648" s="12" t="str">
        <x:v>Prince Infocity 2</x:v>
      </x:c>
      <x:c r="F648" s="11" t="n">
        <x:v>5</x:v>
      </x:c>
      <x:c r="G648" s="11" t="n">
        <x:v>5</x:v>
      </x:c>
      <x:c r="H648" s="11" t="n">
        <x:v>0</x:v>
      </x:c>
      <x:c r="I648" s="17" t="n">
        <x:f>INDEX('Costing'!$P$9:$P$492,MATCH(D648,'Costing'!$A$9:$A$492,0))</x:f>
        <x:v>200000</x:v>
      </x:c>
      <x:c r="J648" s="17" t="n">
        <x:f>ROUND(I648*'Costing'!$C$4,2)</x:f>
        <x:v>36000</x:v>
      </x:c>
      <x:c r="K648" s="17" t="n">
        <x:f>I648+J648</x:f>
        <x:v>236000</x:v>
      </x:c>
    </x:row>
    <x:row r="649" ht="46" customHeight="1">
      <x:c r="A649" s="2" t="str">
        <x:v>Indicative size</x:v>
      </x:c>
      <x:c r="B649" s="2" t="str">
        <x:v>Institutional</x:v>
      </x:c>
      <x:c r="C649" s="12" t="str">
        <x:v>Mumbai</x:v>
      </x:c>
      <x:c r="D649" s="12" t="str">
        <x:v>PARTNER-M235</x:v>
      </x:c>
      <x:c r="E649" s="12" t="str">
        <x:v>Kanakia 215 Atrium</x:v>
      </x:c>
      <x:c r="F649" s="11" t="n">
        <x:v>4</x:v>
      </x:c>
      <x:c r="G649" s="11" t="n">
        <x:v>4</x:v>
      </x:c>
      <x:c r="H649" s="11" t="n">
        <x:v>0</x:v>
      </x:c>
      <x:c r="I649" s="17" t="n">
        <x:f>INDEX('Costing'!$P$9:$P$492,MATCH(D649,'Costing'!$A$9:$A$492,0))</x:f>
        <x:v>160000</x:v>
      </x:c>
      <x:c r="J649" s="17" t="n">
        <x:f>ROUND(I649*'Costing'!$C$4,2)</x:f>
        <x:v>28800</x:v>
      </x:c>
      <x:c r="K649" s="17" t="n">
        <x:f>I649+J649</x:f>
        <x:v>188800</x:v>
      </x:c>
    </x:row>
    <x:row r="650" ht="46" customHeight="1">
      <x:c r="A650" s="2" t="str">
        <x:v>Indicative size</x:v>
      </x:c>
      <x:c r="B650" s="2" t="str">
        <x:v>Institutional</x:v>
      </x:c>
      <x:c r="C650" s="12" t="str">
        <x:v>Mumbai</x:v>
      </x:c>
      <x:c r="D650" s="12" t="str">
        <x:v>PARTNER-M179</x:v>
      </x:c>
      <x:c r="E650" s="12" t="str">
        <x:v>Kanakia Boomerang</x:v>
      </x:c>
      <x:c r="F650" s="11" t="n">
        <x:v>6</x:v>
      </x:c>
      <x:c r="G650" s="11" t="n">
        <x:v>6</x:v>
      </x:c>
      <x:c r="H650" s="11" t="n">
        <x:v>0</x:v>
      </x:c>
      <x:c r="I650" s="17" t="n">
        <x:f>INDEX('Costing'!$P$9:$P$492,MATCH(D650,'Costing'!$A$9:$A$492,0))</x:f>
        <x:v>240000</x:v>
      </x:c>
      <x:c r="J650" s="17" t="n">
        <x:f>ROUND(I650*'Costing'!$C$4,2)</x:f>
        <x:v>43200</x:v>
      </x:c>
      <x:c r="K650" s="17" t="n">
        <x:f>I650+J650</x:f>
        <x:v>283200</x:v>
      </x:c>
    </x:row>
    <x:row r="651" ht="46" customHeight="1">
      <x:c r="A651" s="2" t="str">
        <x:v>Indicative size</x:v>
      </x:c>
      <x:c r="B651" s="2" t="str">
        <x:v>Institutional</x:v>
      </x:c>
      <x:c r="C651" s="12" t="str">
        <x:v>Mumbai</x:v>
      </x:c>
      <x:c r="D651" s="12" t="str">
        <x:v>PARTNER-M243</x:v>
      </x:c>
      <x:c r="E651" s="12" t="str">
        <x:v>Kohinoor City</x:v>
      </x:c>
      <x:c r="F651" s="11" t="n">
        <x:v>2</x:v>
      </x:c>
      <x:c r="G651" s="11" t="n">
        <x:v>2</x:v>
      </x:c>
      <x:c r="H651" s="11" t="n">
        <x:v>0</x:v>
      </x:c>
      <x:c r="I651" s="17" t="n">
        <x:f>INDEX('Costing'!$P$9:$P$492,MATCH(D651,'Costing'!$A$9:$A$492,0))</x:f>
        <x:v>80000</x:v>
      </x:c>
      <x:c r="J651" s="17" t="n">
        <x:f>ROUND(I651*'Costing'!$C$4,2)</x:f>
        <x:v>14400</x:v>
      </x:c>
      <x:c r="K651" s="17" t="n">
        <x:f>I651+J651</x:f>
        <x:v>94400</x:v>
      </x:c>
    </x:row>
    <x:row r="652" ht="46" customHeight="1">
      <x:c r="A652" s="2" t="str">
        <x:v>Indicative size</x:v>
      </x:c>
      <x:c r="B652" s="2" t="str">
        <x:v>Institutional</x:v>
      </x:c>
      <x:c r="C652" s="12" t="str">
        <x:v>Mumbai</x:v>
      </x:c>
      <x:c r="D652" s="12" t="str">
        <x:v>PARTNER-M201</x:v>
      </x:c>
      <x:c r="E652" s="12" t="str">
        <x:v>Liberty tower</x:v>
      </x:c>
      <x:c r="F652" s="11" t="n">
        <x:v>2</x:v>
      </x:c>
      <x:c r="G652" s="11" t="n">
        <x:v>2</x:v>
      </x:c>
      <x:c r="H652" s="11" t="n">
        <x:v>0</x:v>
      </x:c>
      <x:c r="I652" s="17" t="n">
        <x:f>INDEX('Costing'!$P$9:$P$492,MATCH(D652,'Costing'!$A$9:$A$492,0))</x:f>
        <x:v>80000</x:v>
      </x:c>
      <x:c r="J652" s="17" t="n">
        <x:f>ROUND(I652*'Costing'!$C$4,2)</x:f>
        <x:v>14400</x:v>
      </x:c>
      <x:c r="K652" s="17" t="n">
        <x:f>I652+J652</x:f>
        <x:v>94400</x:v>
      </x:c>
    </x:row>
    <x:row r="653" ht="46" customHeight="1">
      <x:c r="A653" s="2" t="str">
        <x:v>Indicative size</x:v>
      </x:c>
      <x:c r="B653" s="2" t="str">
        <x:v>Institutional</x:v>
      </x:c>
      <x:c r="C653" s="12" t="str">
        <x:v>Mumbai</x:v>
      </x:c>
      <x:c r="D653" s="12" t="str">
        <x:v>PARTNER-M175</x:v>
      </x:c>
      <x:c r="E653" s="12" t="str">
        <x:v>The Capital</x:v>
      </x:c>
      <x:c r="F653" s="11" t="n">
        <x:v>3</x:v>
      </x:c>
      <x:c r="G653" s="11" t="n">
        <x:v>3</x:v>
      </x:c>
      <x:c r="H653" s="11" t="n">
        <x:v>0</x:v>
      </x:c>
      <x:c r="I653" s="17" t="n">
        <x:f>INDEX('Costing'!$P$9:$P$492,MATCH(D653,'Costing'!$A$9:$A$492,0))</x:f>
        <x:v>120000</x:v>
      </x:c>
      <x:c r="J653" s="17" t="n">
        <x:f>ROUND(I653*'Costing'!$C$4,2)</x:f>
        <x:v>21600</x:v>
      </x:c>
      <x:c r="K653" s="17" t="n">
        <x:f>I653+J653</x:f>
        <x:v>141600</x:v>
      </x:c>
    </x:row>
    <x:row r="654" ht="46" customHeight="1">
      <x:c r="A654" s="2" t="str">
        <x:v>Indicative size</x:v>
      </x:c>
      <x:c r="B654" s="2" t="str">
        <x:v>Institutional</x:v>
      </x:c>
      <x:c r="C654" s="12" t="str">
        <x:v>Mumbai</x:v>
      </x:c>
      <x:c r="D654" s="12" t="str">
        <x:v>PARTNER-M188</x:v>
      </x:c>
      <x:c r="E654" s="12" t="str">
        <x:v>Urmi Estate</x:v>
      </x:c>
      <x:c r="F654" s="11" t="n">
        <x:v>4</x:v>
      </x:c>
      <x:c r="G654" s="11" t="n">
        <x:v>4</x:v>
      </x:c>
      <x:c r="H654" s="11" t="n">
        <x:v>0</x:v>
      </x:c>
      <x:c r="I654" s="17" t="n">
        <x:f>INDEX('Costing'!$P$9:$P$492,MATCH(D654,'Costing'!$A$9:$A$492,0))</x:f>
        <x:v>160000</x:v>
      </x:c>
      <x:c r="J654" s="17" t="n">
        <x:f>ROUND(I654*'Costing'!$C$4,2)</x:f>
        <x:v>28800</x:v>
      </x:c>
      <x:c r="K654" s="17" t="n">
        <x:f>I654+J654</x:f>
        <x:v>188800</x:v>
      </x:c>
    </x:row>
    <x:row r="655" ht="46" customHeight="1">
      <x:c r="A655" s="2" t="str">
        <x:v>Indicative size</x:v>
      </x:c>
      <x:c r="B655" s="2" t="str">
        <x:v>Mixed business audience</x:v>
      </x:c>
      <x:c r="C655" s="12" t="str">
        <x:v>Ahmedabad</x:v>
      </x:c>
      <x:c r="D655" s="12" t="str">
        <x:v>MAIN-005</x:v>
      </x:c>
      <x:c r="E655" s="12" t="str">
        <x:v>Awfis - Krish Cubical</x:v>
      </x:c>
      <x:c r="F655" s="11" t="n">
        <x:v>1</x:v>
      </x:c>
      <x:c r="G655" s="11" t="n">
        <x:v>1</x:v>
      </x:c>
      <x:c r="H655" s="11" t="n">
        <x:v>0</x:v>
      </x:c>
      <x:c r="I655" s="17" t="n">
        <x:f>INDEX('Costing'!$P$9:$P$492,MATCH(D655,'Costing'!$A$9:$A$492,0))</x:f>
        <x:v>15000</x:v>
      </x:c>
      <x:c r="J655" s="17" t="n">
        <x:f>ROUND(I655*'Costing'!$C$4,2)</x:f>
        <x:v>2700</x:v>
      </x:c>
      <x:c r="K655" s="17" t="n">
        <x:f>I655+J655</x:f>
        <x:v>17700</x:v>
      </x:c>
    </x:row>
    <x:row r="656" ht="46" customHeight="1">
      <x:c r="A656" s="2" t="str">
        <x:v>Indicative size</x:v>
      </x:c>
      <x:c r="B656" s="2" t="str">
        <x:v>Mixed business audience</x:v>
      </x:c>
      <x:c r="C656" s="12" t="str">
        <x:v>Ahmedabad</x:v>
      </x:c>
      <x:c r="D656" s="12" t="str">
        <x:v>MAIN-007</x:v>
      </x:c>
      <x:c r="E656" s="12" t="str">
        <x:v>Oyo Workspace - Mauryansh Elanza</x:v>
      </x:c>
      <x:c r="F656" s="11" t="n">
        <x:v>2</x:v>
      </x:c>
      <x:c r="G656" s="11" t="n">
        <x:v>2</x:v>
      </x:c>
      <x:c r="H656" s="11" t="n">
        <x:v>0</x:v>
      </x:c>
      <x:c r="I656" s="17" t="n">
        <x:f>INDEX('Costing'!$P$9:$P$492,MATCH(D656,'Costing'!$A$9:$A$492,0))</x:f>
        <x:v>30000</x:v>
      </x:c>
      <x:c r="J656" s="17" t="n">
        <x:f>ROUND(I656*'Costing'!$C$4,2)</x:f>
        <x:v>5400</x:v>
      </x:c>
      <x:c r="K656" s="17" t="n">
        <x:f>I656+J656</x:f>
        <x:v>35400</x:v>
      </x:c>
    </x:row>
    <x:row r="657" ht="46" customHeight="1">
      <x:c r="A657" s="2" t="str">
        <x:v>Indicative size</x:v>
      </x:c>
      <x:c r="B657" s="2" t="str">
        <x:v>Mixed business audience</x:v>
      </x:c>
      <x:c r="C657" s="12" t="str">
        <x:v>Ahmedabad</x:v>
      </x:c>
      <x:c r="D657" s="12" t="str">
        <x:v>MAIN-008</x:v>
      </x:c>
      <x:c r="E657" s="12" t="str">
        <x:v>Solaris Business Park</x:v>
      </x:c>
      <x:c r="F657" s="11" t="n">
        <x:v>8</x:v>
      </x:c>
      <x:c r="G657" s="11" t="n">
        <x:v>8</x:v>
      </x:c>
      <x:c r="H657" s="11" t="n">
        <x:v>0</x:v>
      </x:c>
      <x:c r="I657" s="17" t="n">
        <x:f>INDEX('Costing'!$P$9:$P$492,MATCH(D657,'Costing'!$A$9:$A$492,0))</x:f>
        <x:v>120000</x:v>
      </x:c>
      <x:c r="J657" s="17" t="n">
        <x:f>ROUND(I657*'Costing'!$C$4,2)</x:f>
        <x:v>21600</x:v>
      </x:c>
      <x:c r="K657" s="17" t="n">
        <x:f>I657+J657</x:f>
        <x:v>141600</x:v>
      </x:c>
    </x:row>
    <x:row r="658" ht="46" customHeight="1">
      <x:c r="A658" s="2" t="str">
        <x:v>Indicative size</x:v>
      </x:c>
      <x:c r="B658" s="2" t="str">
        <x:v>Mixed business audience</x:v>
      </x:c>
      <x:c r="C658" s="12" t="str">
        <x:v>Bengaluru</x:v>
      </x:c>
      <x:c r="D658" s="12" t="str">
        <x:v>MAIN-009</x:v>
      </x:c>
      <x:c r="E658" s="12" t="str">
        <x:v>Akshay Tech Park</x:v>
      </x:c>
      <x:c r="F658" s="11" t="n">
        <x:v>8</x:v>
      </x:c>
      <x:c r="G658" s="11" t="n">
        <x:v>8</x:v>
      </x:c>
      <x:c r="H658" s="11" t="n">
        <x:v>0</x:v>
      </x:c>
      <x:c r="I658" s="17" t="n">
        <x:f>INDEX('Costing'!$P$9:$P$492,MATCH(D658,'Costing'!$A$9:$A$492,0))</x:f>
        <x:v>120000</x:v>
      </x:c>
      <x:c r="J658" s="17" t="n">
        <x:f>ROUND(I658*'Costing'!$C$4,2)</x:f>
        <x:v>21600</x:v>
      </x:c>
      <x:c r="K658" s="17" t="n">
        <x:f>I658+J658</x:f>
        <x:v>141600</x:v>
      </x:c>
    </x:row>
    <x:row r="659" ht="46" customHeight="1">
      <x:c r="A659" s="2" t="str">
        <x:v>Indicative size</x:v>
      </x:c>
      <x:c r="B659" s="2" t="str">
        <x:v>Mixed business audience</x:v>
      </x:c>
      <x:c r="C659" s="12" t="str">
        <x:v>Bengaluru</x:v>
      </x:c>
      <x:c r="D659" s="12" t="str">
        <x:v>MAIN-010</x:v>
      </x:c>
      <x:c r="E659" s="12" t="str">
        <x:v>Ataura Business Centre</x:v>
      </x:c>
      <x:c r="F659" s="11" t="n">
        <x:v>1</x:v>
      </x:c>
      <x:c r="G659" s="11" t="n">
        <x:v>1</x:v>
      </x:c>
      <x:c r="H659" s="11" t="n">
        <x:v>0</x:v>
      </x:c>
      <x:c r="I659" s="17" t="n">
        <x:f>INDEX('Costing'!$P$9:$P$492,MATCH(D659,'Costing'!$A$9:$A$492,0))</x:f>
        <x:v>15000</x:v>
      </x:c>
      <x:c r="J659" s="17" t="n">
        <x:f>ROUND(I659*'Costing'!$C$4,2)</x:f>
        <x:v>2700</x:v>
      </x:c>
      <x:c r="K659" s="17" t="n">
        <x:f>I659+J659</x:f>
        <x:v>17700</x:v>
      </x:c>
    </x:row>
    <x:row r="660" ht="46" customHeight="1">
      <x:c r="A660" s="2" t="str">
        <x:v>Indicative size</x:v>
      </x:c>
      <x:c r="B660" s="2" t="str">
        <x:v>Mixed business audience</x:v>
      </x:c>
      <x:c r="C660" s="12" t="str">
        <x:v>Bengaluru</x:v>
      </x:c>
      <x:c r="D660" s="12" t="str">
        <x:v>MAIN-011</x:v>
      </x:c>
      <x:c r="E660" s="12" t="str">
        <x:v>Awfis - Brigade Metropolis</x:v>
      </x:c>
      <x:c r="F660" s="11" t="n">
        <x:v>1</x:v>
      </x:c>
      <x:c r="G660" s="11" t="n">
        <x:v>1</x:v>
      </x:c>
      <x:c r="H660" s="11" t="n">
        <x:v>0</x:v>
      </x:c>
      <x:c r="I660" s="17" t="n">
        <x:f>INDEX('Costing'!$P$9:$P$492,MATCH(D660,'Costing'!$A$9:$A$492,0))</x:f>
        <x:v>15000</x:v>
      </x:c>
      <x:c r="J660" s="17" t="n">
        <x:f>ROUND(I660*'Costing'!$C$4,2)</x:f>
        <x:v>2700</x:v>
      </x:c>
      <x:c r="K660" s="17" t="n">
        <x:f>I660+J660</x:f>
        <x:v>17700</x:v>
      </x:c>
    </x:row>
    <x:row r="661" ht="46" customHeight="1">
      <x:c r="A661" s="2" t="str">
        <x:v>Indicative size</x:v>
      </x:c>
      <x:c r="B661" s="2" t="str">
        <x:v>Mixed business audience</x:v>
      </x:c>
      <x:c r="C661" s="12" t="str">
        <x:v>Bengaluru</x:v>
      </x:c>
      <x:c r="D661" s="12" t="str">
        <x:v>MAIN-013</x:v>
      </x:c>
      <x:c r="E661" s="12" t="str">
        <x:v>Awfis - Mantri Commerce</x:v>
      </x:c>
      <x:c r="F661" s="11" t="n">
        <x:v>2</x:v>
      </x:c>
      <x:c r="G661" s="11" t="n">
        <x:v>2</x:v>
      </x:c>
      <x:c r="H661" s="11" t="n">
        <x:v>0</x:v>
      </x:c>
      <x:c r="I661" s="17" t="n">
        <x:f>INDEX('Costing'!$P$9:$P$492,MATCH(D661,'Costing'!$A$9:$A$492,0))</x:f>
        <x:v>30000</x:v>
      </x:c>
      <x:c r="J661" s="17" t="n">
        <x:f>ROUND(I661*'Costing'!$C$4,2)</x:f>
        <x:v>5400</x:v>
      </x:c>
      <x:c r="K661" s="17" t="n">
        <x:f>I661+J661</x:f>
        <x:v>35400</x:v>
      </x:c>
    </x:row>
    <x:row r="662" ht="46" customHeight="1">
      <x:c r="A662" s="2" t="str">
        <x:v>Indicative size</x:v>
      </x:c>
      <x:c r="B662" s="2" t="str">
        <x:v>Mixed business audience</x:v>
      </x:c>
      <x:c r="C662" s="12" t="str">
        <x:v>Bengaluru</x:v>
      </x:c>
      <x:c r="D662" s="12" t="str">
        <x:v>MAIN-014</x:v>
      </x:c>
      <x:c r="E662" s="12" t="str">
        <x:v>Awfis - Mission Road</x:v>
      </x:c>
      <x:c r="F662" s="11" t="n">
        <x:v>4</x:v>
      </x:c>
      <x:c r="G662" s="11" t="n">
        <x:v>4</x:v>
      </x:c>
      <x:c r="H662" s="11" t="n">
        <x:v>0</x:v>
      </x:c>
      <x:c r="I662" s="17" t="n">
        <x:f>INDEX('Costing'!$P$9:$P$492,MATCH(D662,'Costing'!$A$9:$A$492,0))</x:f>
        <x:v>60000</x:v>
      </x:c>
      <x:c r="J662" s="17" t="n">
        <x:f>ROUND(I662*'Costing'!$C$4,2)</x:f>
        <x:v>10800</x:v>
      </x:c>
      <x:c r="K662" s="17" t="n">
        <x:f>I662+J662</x:f>
        <x:v>70800</x:v>
      </x:c>
    </x:row>
    <x:row r="663" ht="46" customHeight="1">
      <x:c r="A663" s="2" t="str">
        <x:v>Indicative size</x:v>
      </x:c>
      <x:c r="B663" s="2" t="str">
        <x:v>Mixed business audience</x:v>
      </x:c>
      <x:c r="C663" s="12" t="str">
        <x:v>Bengaluru</x:v>
      </x:c>
      <x:c r="D663" s="12" t="str">
        <x:v>MAIN-015</x:v>
      </x:c>
      <x:c r="E663" s="12" t="str">
        <x:v>Awfis - Prestige Blue Chip</x:v>
      </x:c>
      <x:c r="F663" s="11" t="n">
        <x:v>1</x:v>
      </x:c>
      <x:c r="G663" s="11" t="n">
        <x:v>1</x:v>
      </x:c>
      <x:c r="H663" s="11" t="n">
        <x:v>0</x:v>
      </x:c>
      <x:c r="I663" s="17" t="n">
        <x:f>INDEX('Costing'!$P$9:$P$492,MATCH(D663,'Costing'!$A$9:$A$492,0))</x:f>
        <x:v>15000</x:v>
      </x:c>
      <x:c r="J663" s="17" t="n">
        <x:f>ROUND(I663*'Costing'!$C$4,2)</x:f>
        <x:v>2700</x:v>
      </x:c>
      <x:c r="K663" s="17" t="n">
        <x:f>I663+J663</x:f>
        <x:v>17700</x:v>
      </x:c>
    </x:row>
    <x:row r="664" ht="46" customHeight="1">
      <x:c r="A664" s="2" t="str">
        <x:v>Indicative size</x:v>
      </x:c>
      <x:c r="B664" s="2" t="str">
        <x:v>Mixed business audience</x:v>
      </x:c>
      <x:c r="C664" s="12" t="str">
        <x:v>Bengaluru</x:v>
      </x:c>
      <x:c r="D664" s="12" t="str">
        <x:v>MAIN-016</x:v>
      </x:c>
      <x:c r="E664" s="12" t="str">
        <x:v>Awfis - Prestige Dotcom</x:v>
      </x:c>
      <x:c r="F664" s="11" t="n">
        <x:v>4</x:v>
      </x:c>
      <x:c r="G664" s="11" t="n">
        <x:v>4</x:v>
      </x:c>
      <x:c r="H664" s="11" t="n">
        <x:v>0</x:v>
      </x:c>
      <x:c r="I664" s="17" t="n">
        <x:f>INDEX('Costing'!$P$9:$P$492,MATCH(D664,'Costing'!$A$9:$A$492,0))</x:f>
        <x:v>60000</x:v>
      </x:c>
      <x:c r="J664" s="17" t="n">
        <x:f>ROUND(I664*'Costing'!$C$4,2)</x:f>
        <x:v>10800</x:v>
      </x:c>
      <x:c r="K664" s="17" t="n">
        <x:f>I664+J664</x:f>
        <x:v>70800</x:v>
      </x:c>
    </x:row>
    <x:row r="665" ht="46" customHeight="1">
      <x:c r="A665" s="2" t="str">
        <x:v>Indicative size</x:v>
      </x:c>
      <x:c r="B665" s="2" t="str">
        <x:v>Mixed business audience</x:v>
      </x:c>
      <x:c r="C665" s="12" t="str">
        <x:v>Bengaluru</x:v>
      </x:c>
      <x:c r="D665" s="12" t="str">
        <x:v>MAIN-017</x:v>
      </x:c>
      <x:c r="E665" s="12" t="str">
        <x:v>Awfis - Prestige Shantiniketan</x:v>
      </x:c>
      <x:c r="F665" s="11" t="n">
        <x:v>2</x:v>
      </x:c>
      <x:c r="G665" s="11" t="n">
        <x:v>2</x:v>
      </x:c>
      <x:c r="H665" s="11" t="n">
        <x:v>0</x:v>
      </x:c>
      <x:c r="I665" s="17" t="n">
        <x:f>INDEX('Costing'!$P$9:$P$492,MATCH(D665,'Costing'!$A$9:$A$492,0))</x:f>
        <x:v>30000</x:v>
      </x:c>
      <x:c r="J665" s="17" t="n">
        <x:f>ROUND(I665*'Costing'!$C$4,2)</x:f>
        <x:v>5400</x:v>
      </x:c>
      <x:c r="K665" s="17" t="n">
        <x:f>I665+J665</x:f>
        <x:v>35400</x:v>
      </x:c>
    </x:row>
    <x:row r="666" ht="46" customHeight="1">
      <x:c r="A666" s="2" t="str">
        <x:v>Indicative size</x:v>
      </x:c>
      <x:c r="B666" s="2" t="str">
        <x:v>Mixed business audience</x:v>
      </x:c>
      <x:c r="C666" s="12" t="str">
        <x:v>Bengaluru</x:v>
      </x:c>
      <x:c r="D666" s="12" t="str">
        <x:v>MAIN-019</x:v>
      </x:c>
      <x:c r="E666" s="12" t="str">
        <x:v>Awfis - Prestige Tech Park 2 (Mercury)</x:v>
      </x:c>
      <x:c r="F666" s="11" t="n">
        <x:v>4</x:v>
      </x:c>
      <x:c r="G666" s="11" t="n">
        <x:v>4</x:v>
      </x:c>
      <x:c r="H666" s="11" t="n">
        <x:v>0</x:v>
      </x:c>
      <x:c r="I666" s="17" t="n">
        <x:f>INDEX('Costing'!$P$9:$P$492,MATCH(D666,'Costing'!$A$9:$A$492,0))</x:f>
        <x:v>60000</x:v>
      </x:c>
      <x:c r="J666" s="17" t="n">
        <x:f>ROUND(I666*'Costing'!$C$4,2)</x:f>
        <x:v>10800</x:v>
      </x:c>
      <x:c r="K666" s="17" t="n">
        <x:f>I666+J666</x:f>
        <x:v>70800</x:v>
      </x:c>
    </x:row>
    <x:row r="667" ht="46" customHeight="1">
      <x:c r="A667" s="2" t="str">
        <x:v>Indicative size</x:v>
      </x:c>
      <x:c r="B667" s="2" t="str">
        <x:v>Mixed business audience</x:v>
      </x:c>
      <x:c r="C667" s="12" t="str">
        <x:v>Bengaluru</x:v>
      </x:c>
      <x:c r="D667" s="12" t="str">
        <x:v>MAIN-020</x:v>
      </x:c>
      <x:c r="E667" s="12" t="str">
        <x:v>AWFIS - PTP 4 Jupiter</x:v>
      </x:c>
      <x:c r="F667" s="11" t="n">
        <x:v>1</x:v>
      </x:c>
      <x:c r="G667" s="11" t="n">
        <x:v>1</x:v>
      </x:c>
      <x:c r="H667" s="11" t="n">
        <x:v>0</x:v>
      </x:c>
      <x:c r="I667" s="17" t="n">
        <x:f>INDEX('Costing'!$P$9:$P$492,MATCH(D667,'Costing'!$A$9:$A$492,0))</x:f>
        <x:v>15000</x:v>
      </x:c>
      <x:c r="J667" s="17" t="n">
        <x:f>ROUND(I667*'Costing'!$C$4,2)</x:f>
        <x:v>2700</x:v>
      </x:c>
      <x:c r="K667" s="17" t="n">
        <x:f>I667+J667</x:f>
        <x:v>17700</x:v>
      </x:c>
    </x:row>
    <x:row r="668" ht="46" customHeight="1">
      <x:c r="A668" s="2" t="str">
        <x:v>Indicative size</x:v>
      </x:c>
      <x:c r="B668" s="2" t="str">
        <x:v>Mixed business audience</x:v>
      </x:c>
      <x:c r="C668" s="12" t="str">
        <x:v>Bengaluru</x:v>
      </x:c>
      <x:c r="D668" s="12" t="str">
        <x:v>MAIN-021</x:v>
      </x:c>
      <x:c r="E668" s="12" t="str">
        <x:v>AWFIS - PTP 4 Venus</x:v>
      </x:c>
      <x:c r="F668" s="11" t="n">
        <x:v>1</x:v>
      </x:c>
      <x:c r="G668" s="11" t="n">
        <x:v>1</x:v>
      </x:c>
      <x:c r="H668" s="11" t="n">
        <x:v>0</x:v>
      </x:c>
      <x:c r="I668" s="17" t="n">
        <x:f>INDEX('Costing'!$P$9:$P$492,MATCH(D668,'Costing'!$A$9:$A$492,0))</x:f>
        <x:v>15000</x:v>
      </x:c>
      <x:c r="J668" s="17" t="n">
        <x:f>ROUND(I668*'Costing'!$C$4,2)</x:f>
        <x:v>2700</x:v>
      </x:c>
      <x:c r="K668" s="17" t="n">
        <x:f>I668+J668</x:f>
        <x:v>17700</x:v>
      </x:c>
    </x:row>
    <x:row r="669" ht="46" customHeight="1">
      <x:c r="A669" s="2" t="str">
        <x:v>Indicative size</x:v>
      </x:c>
      <x:c r="B669" s="2" t="str">
        <x:v>Mixed business audience</x:v>
      </x:c>
      <x:c r="C669" s="12" t="str">
        <x:v>Bengaluru</x:v>
      </x:c>
      <x:c r="D669" s="12" t="str">
        <x:v>MAIN-022</x:v>
      </x:c>
      <x:c r="E669" s="12" t="str">
        <x:v>Awfis - Residency Road</x:v>
      </x:c>
      <x:c r="F669" s="11" t="n">
        <x:v>2</x:v>
      </x:c>
      <x:c r="G669" s="11" t="n">
        <x:v>2</x:v>
      </x:c>
      <x:c r="H669" s="11" t="n">
        <x:v>0</x:v>
      </x:c>
      <x:c r="I669" s="17" t="n">
        <x:f>INDEX('Costing'!$P$9:$P$492,MATCH(D669,'Costing'!$A$9:$A$492,0))</x:f>
        <x:v>30000</x:v>
      </x:c>
      <x:c r="J669" s="17" t="n">
        <x:f>ROUND(I669*'Costing'!$C$4,2)</x:f>
        <x:v>5400</x:v>
      </x:c>
      <x:c r="K669" s="17" t="n">
        <x:f>I669+J669</x:f>
        <x:v>35400</x:v>
      </x:c>
    </x:row>
    <x:row r="670" ht="46" customHeight="1">
      <x:c r="A670" s="2" t="str">
        <x:v>Indicative size</x:v>
      </x:c>
      <x:c r="B670" s="2" t="str">
        <x:v>Mixed business audience</x:v>
      </x:c>
      <x:c r="C670" s="12" t="str">
        <x:v>Bengaluru</x:v>
      </x:c>
      <x:c r="D670" s="12" t="str">
        <x:v>MAIN-025</x:v>
      </x:c>
      <x:c r="E670" s="12" t="str">
        <x:v>Awfis - ST Mark's Road</x:v>
      </x:c>
      <x:c r="F670" s="11" t="n">
        <x:v>5</x:v>
      </x:c>
      <x:c r="G670" s="11" t="n">
        <x:v>5</x:v>
      </x:c>
      <x:c r="H670" s="11" t="n">
        <x:v>0</x:v>
      </x:c>
      <x:c r="I670" s="17" t="n">
        <x:f>INDEX('Costing'!$P$9:$P$492,MATCH(D670,'Costing'!$A$9:$A$492,0))</x:f>
        <x:v>75000</x:v>
      </x:c>
      <x:c r="J670" s="17" t="n">
        <x:f>ROUND(I670*'Costing'!$C$4,2)</x:f>
        <x:v>13500</x:v>
      </x:c>
      <x:c r="K670" s="17" t="n">
        <x:f>I670+J670</x:f>
        <x:v>88500</x:v>
      </x:c>
    </x:row>
    <x:row r="671" ht="46" customHeight="1">
      <x:c r="A671" s="2" t="str">
        <x:v>Indicative size</x:v>
      </x:c>
      <x:c r="B671" s="2" t="str">
        <x:v>Mixed business audience</x:v>
      </x:c>
      <x:c r="C671" s="12" t="str">
        <x:v>Bengaluru</x:v>
      </x:c>
      <x:c r="D671" s="12" t="str">
        <x:v>MAIN-027</x:v>
      </x:c>
      <x:c r="E671" s="12" t="str">
        <x:v>Bhive Workspace - AKR Tech Park</x:v>
      </x:c>
      <x:c r="F671" s="11" t="n">
        <x:v>6</x:v>
      </x:c>
      <x:c r="G671" s="11" t="n">
        <x:v>6</x:v>
      </x:c>
      <x:c r="H671" s="11" t="n">
        <x:v>0</x:v>
      </x:c>
      <x:c r="I671" s="17" t="n">
        <x:f>INDEX('Costing'!$P$9:$P$492,MATCH(D671,'Costing'!$A$9:$A$492,0))</x:f>
        <x:v>90000</x:v>
      </x:c>
      <x:c r="J671" s="17" t="n">
        <x:f>ROUND(I671*'Costing'!$C$4,2)</x:f>
        <x:v>16200</x:v>
      </x:c>
      <x:c r="K671" s="17" t="n">
        <x:f>I671+J671</x:f>
        <x:v>106200</x:v>
      </x:c>
    </x:row>
    <x:row r="672" ht="46" customHeight="1">
      <x:c r="A672" s="2" t="str">
        <x:v>Indicative size</x:v>
      </x:c>
      <x:c r="B672" s="2" t="str">
        <x:v>Mixed business audience</x:v>
      </x:c>
      <x:c r="C672" s="12" t="str">
        <x:v>Bengaluru</x:v>
      </x:c>
      <x:c r="D672" s="12" t="str">
        <x:v>MAIN-028</x:v>
      </x:c>
      <x:c r="E672" s="12" t="str">
        <x:v>Bhive Workspace - HSR Layout 27Th Main</x:v>
      </x:c>
      <x:c r="F672" s="11" t="n">
        <x:v>1</x:v>
      </x:c>
      <x:c r="G672" s="11" t="n">
        <x:v>1</x:v>
      </x:c>
      <x:c r="H672" s="11" t="n">
        <x:v>0</x:v>
      </x:c>
      <x:c r="I672" s="17" t="n">
        <x:f>INDEX('Costing'!$P$9:$P$492,MATCH(D672,'Costing'!$A$9:$A$492,0))</x:f>
        <x:v>15000</x:v>
      </x:c>
      <x:c r="J672" s="17" t="n">
        <x:f>ROUND(I672*'Costing'!$C$4,2)</x:f>
        <x:v>2700</x:v>
      </x:c>
      <x:c r="K672" s="17" t="n">
        <x:f>I672+J672</x:f>
        <x:v>17700</x:v>
      </x:c>
    </x:row>
    <x:row r="673" ht="46" customHeight="1">
      <x:c r="A673" s="2" t="str">
        <x:v>Indicative size</x:v>
      </x:c>
      <x:c r="B673" s="2" t="str">
        <x:v>Mixed business audience</x:v>
      </x:c>
      <x:c r="C673" s="12" t="str">
        <x:v>Bengaluru</x:v>
      </x:c>
      <x:c r="D673" s="12" t="str">
        <x:v>MAIN-029</x:v>
      </x:c>
      <x:c r="E673" s="12" t="str">
        <x:v>Bhive Workspace - HSR Sector 6 Service Road Unit A</x:v>
      </x:c>
      <x:c r="F673" s="11" t="n">
        <x:v>3</x:v>
      </x:c>
      <x:c r="G673" s="11" t="n">
        <x:v>3</x:v>
      </x:c>
      <x:c r="H673" s="11" t="n">
        <x:v>0</x:v>
      </x:c>
      <x:c r="I673" s="17" t="n">
        <x:f>INDEX('Costing'!$P$9:$P$492,MATCH(D673,'Costing'!$A$9:$A$492,0))</x:f>
        <x:v>45000</x:v>
      </x:c>
      <x:c r="J673" s="17" t="n">
        <x:f>ROUND(I673*'Costing'!$C$4,2)</x:f>
        <x:v>8100</x:v>
      </x:c>
      <x:c r="K673" s="17" t="n">
        <x:f>I673+J673</x:f>
        <x:v>53100</x:v>
      </x:c>
    </x:row>
    <x:row r="674" ht="46" customHeight="1">
      <x:c r="A674" s="2" t="str">
        <x:v>Indicative size</x:v>
      </x:c>
      <x:c r="B674" s="2" t="str">
        <x:v>Mixed business audience</x:v>
      </x:c>
      <x:c r="C674" s="12" t="str">
        <x:v>Bengaluru</x:v>
      </x:c>
      <x:c r="D674" s="12" t="str">
        <x:v>MAIN-030</x:v>
      </x:c>
      <x:c r="E674" s="12" t="str">
        <x:v>Bhive Workspace - Indiranagar</x:v>
      </x:c>
      <x:c r="F674" s="11" t="n">
        <x:v>6</x:v>
      </x:c>
      <x:c r="G674" s="11" t="n">
        <x:v>6</x:v>
      </x:c>
      <x:c r="H674" s="11" t="n">
        <x:v>0</x:v>
      </x:c>
      <x:c r="I674" s="17" t="n">
        <x:f>INDEX('Costing'!$P$9:$P$492,MATCH(D674,'Costing'!$A$9:$A$492,0))</x:f>
        <x:v>90000</x:v>
      </x:c>
      <x:c r="J674" s="17" t="n">
        <x:f>ROUND(I674*'Costing'!$C$4,2)</x:f>
        <x:v>16200</x:v>
      </x:c>
      <x:c r="K674" s="17" t="n">
        <x:f>I674+J674</x:f>
        <x:v>106200</x:v>
      </x:c>
    </x:row>
    <x:row r="675" ht="46" customHeight="1">
      <x:c r="A675" s="2" t="str">
        <x:v>Indicative size</x:v>
      </x:c>
      <x:c r="B675" s="2" t="str">
        <x:v>Mixed business audience</x:v>
      </x:c>
      <x:c r="C675" s="12" t="str">
        <x:v>Bengaluru</x:v>
      </x:c>
      <x:c r="D675" s="12" t="str">
        <x:v>MAIN-031</x:v>
      </x:c>
      <x:c r="E675" s="12" t="str">
        <x:v>Bhive Workspace - Koramangala 5TH Block</x:v>
      </x:c>
      <x:c r="F675" s="11" t="n">
        <x:v>2</x:v>
      </x:c>
      <x:c r="G675" s="11" t="n">
        <x:v>2</x:v>
      </x:c>
      <x:c r="H675" s="11" t="n">
        <x:v>0</x:v>
      </x:c>
      <x:c r="I675" s="17" t="n">
        <x:f>INDEX('Costing'!$P$9:$P$492,MATCH(D675,'Costing'!$A$9:$A$492,0))</x:f>
        <x:v>30000</x:v>
      </x:c>
      <x:c r="J675" s="17" t="n">
        <x:f>ROUND(I675*'Costing'!$C$4,2)</x:f>
        <x:v>5400</x:v>
      </x:c>
      <x:c r="K675" s="17" t="n">
        <x:f>I675+J675</x:f>
        <x:v>35400</x:v>
      </x:c>
    </x:row>
    <x:row r="676" ht="46" customHeight="1">
      <x:c r="A676" s="2" t="str">
        <x:v>Indicative size</x:v>
      </x:c>
      <x:c r="B676" s="2" t="str">
        <x:v>Mixed business audience</x:v>
      </x:c>
      <x:c r="C676" s="12" t="str">
        <x:v>Bengaluru</x:v>
      </x:c>
      <x:c r="D676" s="12" t="str">
        <x:v>MAIN-032</x:v>
      </x:c>
      <x:c r="E676" s="12" t="str">
        <x:v>Bhive Workspace - MG Road</x:v>
      </x:c>
      <x:c r="F676" s="11" t="n">
        <x:v>2</x:v>
      </x:c>
      <x:c r="G676" s="11" t="n">
        <x:v>2</x:v>
      </x:c>
      <x:c r="H676" s="11" t="n">
        <x:v>0</x:v>
      </x:c>
      <x:c r="I676" s="17" t="n">
        <x:f>INDEX('Costing'!$P$9:$P$492,MATCH(D676,'Costing'!$A$9:$A$492,0))</x:f>
        <x:v>30000</x:v>
      </x:c>
      <x:c r="J676" s="17" t="n">
        <x:f>ROUND(I676*'Costing'!$C$4,2)</x:f>
        <x:v>5400</x:v>
      </x:c>
      <x:c r="K676" s="17" t="n">
        <x:f>I676+J676</x:f>
        <x:v>35400</x:v>
      </x:c>
    </x:row>
    <x:row r="677" ht="46" customHeight="1">
      <x:c r="A677" s="2" t="str">
        <x:v>Indicative size</x:v>
      </x:c>
      <x:c r="B677" s="2" t="str">
        <x:v>Mixed business audience</x:v>
      </x:c>
      <x:c r="C677" s="12" t="str">
        <x:v>Bengaluru</x:v>
      </x:c>
      <x:c r="D677" s="12" t="str">
        <x:v>MAIN-033</x:v>
      </x:c>
      <x:c r="E677" s="12" t="str">
        <x:v>Bridge - Excel</x:v>
      </x:c>
      <x:c r="F677" s="11" t="n">
        <x:v>1</x:v>
      </x:c>
      <x:c r="G677" s="11" t="n">
        <x:v>1</x:v>
      </x:c>
      <x:c r="H677" s="11" t="n">
        <x:v>0</x:v>
      </x:c>
      <x:c r="I677" s="17" t="n">
        <x:f>INDEX('Costing'!$P$9:$P$492,MATCH(D677,'Costing'!$A$9:$A$492,0))</x:f>
        <x:v>15000</x:v>
      </x:c>
      <x:c r="J677" s="17" t="n">
        <x:f>ROUND(I677*'Costing'!$C$4,2)</x:f>
        <x:v>2700</x:v>
      </x:c>
      <x:c r="K677" s="17" t="n">
        <x:f>I677+J677</x:f>
        <x:v>17700</x:v>
      </x:c>
    </x:row>
    <x:row r="678" ht="46" customHeight="1">
      <x:c r="A678" s="2" t="str">
        <x:v>Indicative size</x:v>
      </x:c>
      <x:c r="B678" s="2" t="str">
        <x:v>Mixed business audience</x:v>
      </x:c>
      <x:c r="C678" s="12" t="str">
        <x:v>Bengaluru</x:v>
      </x:c>
      <x:c r="D678" s="12" t="str">
        <x:v>MAIN-034</x:v>
      </x:c>
      <x:c r="E678" s="12" t="str">
        <x:v>Bridge - Landmark</x:v>
      </x:c>
      <x:c r="F678" s="11" t="n">
        <x:v>1</x:v>
      </x:c>
      <x:c r="G678" s="11" t="n">
        <x:v>1</x:v>
      </x:c>
      <x:c r="H678" s="11" t="n">
        <x:v>0</x:v>
      </x:c>
      <x:c r="I678" s="17" t="n">
        <x:f>INDEX('Costing'!$P$9:$P$492,MATCH(D678,'Costing'!$A$9:$A$492,0))</x:f>
        <x:v>15000</x:v>
      </x:c>
      <x:c r="J678" s="17" t="n">
        <x:f>ROUND(I678*'Costing'!$C$4,2)</x:f>
        <x:v>2700</x:v>
      </x:c>
      <x:c r="K678" s="17" t="n">
        <x:f>I678+J678</x:f>
        <x:v>17700</x:v>
      </x:c>
    </x:row>
    <x:row r="679" ht="46" customHeight="1">
      <x:c r="A679" s="2" t="str">
        <x:v>Indicative size</x:v>
      </x:c>
      <x:c r="B679" s="2" t="str">
        <x:v>Mixed business audience</x:v>
      </x:c>
      <x:c r="C679" s="12" t="str">
        <x:v>Bengaluru</x:v>
      </x:c>
      <x:c r="D679" s="12" t="str">
        <x:v>MAIN-035</x:v>
      </x:c>
      <x:c r="E679" s="12" t="str">
        <x:v>Bridge - Work 365 Space</x:v>
      </x:c>
      <x:c r="F679" s="11" t="n">
        <x:v>1</x:v>
      </x:c>
      <x:c r="G679" s="11" t="n">
        <x:v>1</x:v>
      </x:c>
      <x:c r="H679" s="11" t="n">
        <x:v>0</x:v>
      </x:c>
      <x:c r="I679" s="17" t="n">
        <x:f>INDEX('Costing'!$P$9:$P$492,MATCH(D679,'Costing'!$A$9:$A$492,0))</x:f>
        <x:v>15000</x:v>
      </x:c>
      <x:c r="J679" s="17" t="n">
        <x:f>ROUND(I679*'Costing'!$C$4,2)</x:f>
        <x:v>2700</x:v>
      </x:c>
      <x:c r="K679" s="17" t="n">
        <x:f>I679+J679</x:f>
        <x:v>17700</x:v>
      </x:c>
    </x:row>
    <x:row r="680" ht="46" customHeight="1">
      <x:c r="A680" s="2" t="str">
        <x:v>Indicative size</x:v>
      </x:c>
      <x:c r="B680" s="2" t="str">
        <x:v>Mixed business audience</x:v>
      </x:c>
      <x:c r="C680" s="12" t="str">
        <x:v>Bengaluru</x:v>
      </x:c>
      <x:c r="D680" s="12" t="str">
        <x:v>MAIN-036</x:v>
      </x:c>
      <x:c r="E680" s="12" t="str">
        <x:v>Brookfield - Azure</x:v>
      </x:c>
      <x:c r="F680" s="11" t="n">
        <x:v>2</x:v>
      </x:c>
      <x:c r="G680" s="11" t="n">
        <x:v>2</x:v>
      </x:c>
      <x:c r="H680" s="11" t="n">
        <x:v>0</x:v>
      </x:c>
      <x:c r="I680" s="17" t="n">
        <x:f>INDEX('Costing'!$P$9:$P$492,MATCH(D680,'Costing'!$A$9:$A$492,0))</x:f>
        <x:v>80000</x:v>
      </x:c>
      <x:c r="J680" s="17" t="n">
        <x:f>ROUND(I680*'Costing'!$C$4,2)</x:f>
        <x:v>14400</x:v>
      </x:c>
      <x:c r="K680" s="17" t="n">
        <x:f>I680+J680</x:f>
        <x:v>94400</x:v>
      </x:c>
    </x:row>
    <x:row r="681" ht="46" customHeight="1">
      <x:c r="A681" s="2" t="str">
        <x:v>Indicative size</x:v>
      </x:c>
      <x:c r="B681" s="2" t="str">
        <x:v>Mixed business audience</x:v>
      </x:c>
      <x:c r="C681" s="12" t="str">
        <x:v>Bengaluru</x:v>
      </x:c>
      <x:c r="D681" s="12" t="str">
        <x:v>MAIN-038</x:v>
      </x:c>
      <x:c r="E681" s="12" t="str">
        <x:v>Brookfield - Ecospace</x:v>
      </x:c>
      <x:c r="F681" s="11" t="n">
        <x:v>4</x:v>
      </x:c>
      <x:c r="G681" s="11" t="n">
        <x:v>4</x:v>
      </x:c>
      <x:c r="H681" s="11" t="n">
        <x:v>0</x:v>
      </x:c>
      <x:c r="I681" s="17" t="n">
        <x:f>INDEX('Costing'!$P$9:$P$492,MATCH(D681,'Costing'!$A$9:$A$492,0))</x:f>
        <x:v>160000</x:v>
      </x:c>
      <x:c r="J681" s="17" t="n">
        <x:f>ROUND(I681*'Costing'!$C$4,2)</x:f>
        <x:v>28800</x:v>
      </x:c>
      <x:c r="K681" s="17" t="n">
        <x:f>I681+J681</x:f>
        <x:v>188800</x:v>
      </x:c>
    </x:row>
    <x:row r="682" ht="46" customHeight="1">
      <x:c r="A682" s="2" t="str">
        <x:v>Indicative size</x:v>
      </x:c>
      <x:c r="B682" s="2" t="str">
        <x:v>Mixed business audience</x:v>
      </x:c>
      <x:c r="C682" s="12" t="str">
        <x:v>Bengaluru</x:v>
      </x:c>
      <x:c r="D682" s="12" t="str">
        <x:v>MAIN-039</x:v>
      </x:c>
      <x:c r="E682" s="12" t="str">
        <x:v>Brookfield - EcoWorld</x:v>
      </x:c>
      <x:c r="F682" s="11" t="n">
        <x:v>16</x:v>
      </x:c>
      <x:c r="G682" s="11" t="n">
        <x:v>16</x:v>
      </x:c>
      <x:c r="H682" s="11" t="n">
        <x:v>0</x:v>
      </x:c>
      <x:c r="I682" s="17" t="n">
        <x:f>INDEX('Costing'!$P$9:$P$492,MATCH(D682,'Costing'!$A$9:$A$492,0))</x:f>
        <x:v>640000</x:v>
      </x:c>
      <x:c r="J682" s="17" t="n">
        <x:f>ROUND(I682*'Costing'!$C$4,2)</x:f>
        <x:v>115200</x:v>
      </x:c>
      <x:c r="K682" s="17" t="n">
        <x:f>I682+J682</x:f>
        <x:v>755200</x:v>
      </x:c>
    </x:row>
    <x:row r="683" ht="46" customHeight="1">
      <x:c r="A683" s="2" t="str">
        <x:v>Indicative size</x:v>
      </x:c>
      <x:c r="B683" s="2" t="str">
        <x:v>Mixed business audience</x:v>
      </x:c>
      <x:c r="C683" s="12" t="str">
        <x:v>Bengaluru</x:v>
      </x:c>
      <x:c r="D683" s="12" t="str">
        <x:v>MAIN-040</x:v>
      </x:c>
      <x:c r="E683" s="12" t="str">
        <x:v>Brookfield - North Star</x:v>
      </x:c>
      <x:c r="F683" s="11" t="n">
        <x:v>2</x:v>
      </x:c>
      <x:c r="G683" s="11" t="n">
        <x:v>2</x:v>
      </x:c>
      <x:c r="H683" s="11" t="n">
        <x:v>0</x:v>
      </x:c>
      <x:c r="I683" s="17" t="n">
        <x:f>INDEX('Costing'!$P$9:$P$492,MATCH(D683,'Costing'!$A$9:$A$492,0))</x:f>
        <x:v>80000</x:v>
      </x:c>
      <x:c r="J683" s="17" t="n">
        <x:f>ROUND(I683*'Costing'!$C$4,2)</x:f>
        <x:v>14400</x:v>
      </x:c>
      <x:c r="K683" s="17" t="n">
        <x:f>I683+J683</x:f>
        <x:v>94400</x:v>
      </x:c>
    </x:row>
    <x:row r="684" ht="46" customHeight="1">
      <x:c r="A684" s="2" t="str">
        <x:v>Indicative size</x:v>
      </x:c>
      <x:c r="B684" s="2" t="str">
        <x:v>Mixed business audience</x:v>
      </x:c>
      <x:c r="C684" s="12" t="str">
        <x:v>Bengaluru</x:v>
      </x:c>
      <x:c r="D684" s="12" t="str">
        <x:v>MAIN-041</x:v>
      </x:c>
      <x:c r="E684" s="12" t="str">
        <x:v>Brookfield - NXT</x:v>
      </x:c>
      <x:c r="F684" s="11" t="n">
        <x:v>4</x:v>
      </x:c>
      <x:c r="G684" s="11" t="n">
        <x:v>4</x:v>
      </x:c>
      <x:c r="H684" s="11" t="n">
        <x:v>0</x:v>
      </x:c>
      <x:c r="I684" s="17" t="n">
        <x:f>INDEX('Costing'!$P$9:$P$492,MATCH(D684,'Costing'!$A$9:$A$492,0))</x:f>
        <x:v>160000</x:v>
      </x:c>
      <x:c r="J684" s="17" t="n">
        <x:f>ROUND(I684*'Costing'!$C$4,2)</x:f>
        <x:v>28800</x:v>
      </x:c>
      <x:c r="K684" s="17" t="n">
        <x:f>I684+J684</x:f>
        <x:v>188800</x:v>
      </x:c>
    </x:row>
    <x:row r="685" ht="46" customHeight="1">
      <x:c r="A685" s="2" t="str">
        <x:v>Indicative size</x:v>
      </x:c>
      <x:c r="B685" s="2" t="str">
        <x:v>Mixed business audience</x:v>
      </x:c>
      <x:c r="C685" s="12" t="str">
        <x:v>Bengaluru</x:v>
      </x:c>
      <x:c r="D685" s="12" t="str">
        <x:v>MAIN-043</x:v>
      </x:c>
      <x:c r="E685" s="12" t="str">
        <x:v>Coffee Day Square(TST)</x:v>
      </x:c>
      <x:c r="F685" s="11" t="n">
        <x:v>4</x:v>
      </x:c>
      <x:c r="G685" s="11" t="n">
        <x:v>4</x:v>
      </x:c>
      <x:c r="H685" s="11" t="n">
        <x:v>0</x:v>
      </x:c>
      <x:c r="I685" s="17" t="n">
        <x:f>INDEX('Costing'!$P$9:$P$492,MATCH(D685,'Costing'!$A$9:$A$492,0))</x:f>
        <x:v>160000</x:v>
      </x:c>
      <x:c r="J685" s="17" t="n">
        <x:f>ROUND(I685*'Costing'!$C$4,2)</x:f>
        <x:v>28800</x:v>
      </x:c>
      <x:c r="K685" s="17" t="n">
        <x:f>I685+J685</x:f>
        <x:v>188800</x:v>
      </x:c>
    </x:row>
    <x:row r="686" ht="46" customHeight="1">
      <x:c r="A686" s="2" t="str">
        <x:v>Indicative size</x:v>
      </x:c>
      <x:c r="B686" s="2" t="str">
        <x:v>Mixed business audience</x:v>
      </x:c>
      <x:c r="C686" s="12" t="str">
        <x:v>Bengaluru</x:v>
      </x:c>
      <x:c r="D686" s="12" t="str">
        <x:v>MAIN-045</x:v>
      </x:c>
      <x:c r="E686" s="12" t="str">
        <x:v>Ecradle Coworking Space</x:v>
      </x:c>
      <x:c r="F686" s="11" t="n">
        <x:v>2</x:v>
      </x:c>
      <x:c r="G686" s="11" t="n">
        <x:v>2</x:v>
      </x:c>
      <x:c r="H686" s="11" t="n">
        <x:v>0</x:v>
      </x:c>
      <x:c r="I686" s="17" t="n">
        <x:f>INDEX('Costing'!$P$9:$P$492,MATCH(D686,'Costing'!$A$9:$A$492,0))</x:f>
        <x:v>30000</x:v>
      </x:c>
      <x:c r="J686" s="17" t="n">
        <x:f>ROUND(I686*'Costing'!$C$4,2)</x:f>
        <x:v>5400</x:v>
      </x:c>
      <x:c r="K686" s="17" t="n">
        <x:f>I686+J686</x:f>
        <x:v>35400</x:v>
      </x:c>
    </x:row>
    <x:row r="687" ht="46" customHeight="1">
      <x:c r="A687" s="2" t="str">
        <x:v>Indicative size</x:v>
      </x:c>
      <x:c r="B687" s="2" t="str">
        <x:v>Mixed business audience</x:v>
      </x:c>
      <x:c r="C687" s="12" t="str">
        <x:v>Bengaluru</x:v>
      </x:c>
      <x:c r="D687" s="12" t="str">
        <x:v>MAIN-046</x:v>
      </x:c>
      <x:c r="E687" s="12" t="str">
        <x:v>Global Technology Park</x:v>
      </x:c>
      <x:c r="F687" s="11" t="n">
        <x:v>2</x:v>
      </x:c>
      <x:c r="G687" s="11" t="n">
        <x:v>2</x:v>
      </x:c>
      <x:c r="H687" s="11" t="n">
        <x:v>0</x:v>
      </x:c>
      <x:c r="I687" s="17" t="n">
        <x:f>INDEX('Costing'!$P$9:$P$492,MATCH(D687,'Costing'!$A$9:$A$492,0))</x:f>
        <x:v>40000</x:v>
      </x:c>
      <x:c r="J687" s="17" t="n">
        <x:f>ROUND(I687*'Costing'!$C$4,2)</x:f>
        <x:v>7200</x:v>
      </x:c>
      <x:c r="K687" s="17" t="n">
        <x:f>I687+J687</x:f>
        <x:v>47200</x:v>
      </x:c>
    </x:row>
    <x:row r="688" ht="46" customHeight="1">
      <x:c r="A688" s="2" t="str">
        <x:v>Indicative size</x:v>
      </x:c>
      <x:c r="B688" s="2" t="str">
        <x:v>Mixed business audience</x:v>
      </x:c>
      <x:c r="C688" s="12" t="str">
        <x:v>Bengaluru</x:v>
      </x:c>
      <x:c r="D688" s="12" t="str">
        <x:v>MAIN-047</x:v>
      </x:c>
      <x:c r="E688" s="12" t="str">
        <x:v>Global Technology park </x:v>
      </x:c>
      <x:c r="F688" s="11" t="n">
        <x:v>4</x:v>
      </x:c>
      <x:c r="G688" s="11" t="n">
        <x:v>4</x:v>
      </x:c>
      <x:c r="H688" s="11" t="n">
        <x:v>0</x:v>
      </x:c>
      <x:c r="I688" s="17" t="n">
        <x:f>INDEX('Costing'!$P$9:$P$492,MATCH(D688,'Costing'!$A$9:$A$492,0))</x:f>
        <x:v>80000</x:v>
      </x:c>
      <x:c r="J688" s="17" t="n">
        <x:f>ROUND(I688*'Costing'!$C$4,2)</x:f>
        <x:v>14400</x:v>
      </x:c>
      <x:c r="K688" s="17" t="n">
        <x:f>I688+J688</x:f>
        <x:v>94400</x:v>
      </x:c>
    </x:row>
    <x:row r="689" ht="46" customHeight="1">
      <x:c r="A689" s="2" t="str">
        <x:v>Indicative size</x:v>
      </x:c>
      <x:c r="B689" s="2" t="str">
        <x:v>Mixed business audience</x:v>
      </x:c>
      <x:c r="C689" s="12" t="str">
        <x:v>Bengaluru</x:v>
      </x:c>
      <x:c r="D689" s="12" t="str">
        <x:v>MAIN-048</x:v>
      </x:c>
      <x:c r="E689" s="12" t="str">
        <x:v>Golden Millenium Tech Park</x:v>
      </x:c>
      <x:c r="F689" s="11" t="n">
        <x:v>3</x:v>
      </x:c>
      <x:c r="G689" s="11" t="n">
        <x:v>3</x:v>
      </x:c>
      <x:c r="H689" s="11" t="n">
        <x:v>0</x:v>
      </x:c>
      <x:c r="I689" s="17" t="n">
        <x:f>INDEX('Costing'!$P$9:$P$492,MATCH(D689,'Costing'!$A$9:$A$492,0))</x:f>
        <x:v>60000</x:v>
      </x:c>
      <x:c r="J689" s="17" t="n">
        <x:f>ROUND(I689*'Costing'!$C$4,2)</x:f>
        <x:v>10800</x:v>
      </x:c>
      <x:c r="K689" s="17" t="n">
        <x:f>I689+J689</x:f>
        <x:v>70800</x:v>
      </x:c>
    </x:row>
    <x:row r="690" ht="46" customHeight="1">
      <x:c r="A690" s="2" t="str">
        <x:v>Indicative size</x:v>
      </x:c>
      <x:c r="B690" s="2" t="str">
        <x:v>Mixed business audience</x:v>
      </x:c>
      <x:c r="C690" s="12" t="str">
        <x:v>Bengaluru</x:v>
      </x:c>
      <x:c r="D690" s="12" t="str">
        <x:v>MAIN-049</x:v>
      </x:c>
      <x:c r="E690" s="12" t="str">
        <x:v>Golden Millenium Tech Park (Pod Screens)</x:v>
      </x:c>
      <x:c r="F690" s="11" t="n">
        <x:v>2</x:v>
      </x:c>
      <x:c r="G690" s="11" t="n">
        <x:v>2</x:v>
      </x:c>
      <x:c r="H690" s="11" t="n">
        <x:v>0</x:v>
      </x:c>
      <x:c r="I690" s="17" t="n">
        <x:f>INDEX('Costing'!$P$9:$P$492,MATCH(D690,'Costing'!$A$9:$A$492,0))</x:f>
        <x:v>40000</x:v>
      </x:c>
      <x:c r="J690" s="17" t="n">
        <x:f>ROUND(I690*'Costing'!$C$4,2)</x:f>
        <x:v>7200</x:v>
      </x:c>
      <x:c r="K690" s="17" t="n">
        <x:f>I690+J690</x:f>
        <x:v>47200</x:v>
      </x:c>
    </x:row>
    <x:row r="691" ht="46" customHeight="1">
      <x:c r="A691" s="2" t="str">
        <x:v>Indicative size</x:v>
      </x:c>
      <x:c r="B691" s="2" t="str">
        <x:v>Mixed business audience</x:v>
      </x:c>
      <x:c r="C691" s="12" t="str">
        <x:v>Bengaluru</x:v>
      </x:c>
      <x:c r="D691" s="12" t="str">
        <x:v>MAIN-050</x:v>
      </x:c>
      <x:c r="E691" s="12" t="str">
        <x:v>Golden Square</x:v>
      </x:c>
      <x:c r="F691" s="11" t="n">
        <x:v>1</x:v>
      </x:c>
      <x:c r="G691" s="11" t="n">
        <x:v>1</x:v>
      </x:c>
      <x:c r="H691" s="11" t="n">
        <x:v>0</x:v>
      </x:c>
      <x:c r="I691" s="17" t="n">
        <x:f>INDEX('Costing'!$P$9:$P$492,MATCH(D691,'Costing'!$A$9:$A$492,0))</x:f>
        <x:v>15000</x:v>
      </x:c>
      <x:c r="J691" s="17" t="n">
        <x:f>ROUND(I691*'Costing'!$C$4,2)</x:f>
        <x:v>2700</x:v>
      </x:c>
      <x:c r="K691" s="17" t="n">
        <x:f>I691+J691</x:f>
        <x:v>17700</x:v>
      </x:c>
    </x:row>
    <x:row r="692" ht="46" customHeight="1">
      <x:c r="A692" s="2" t="str">
        <x:v>Indicative size</x:v>
      </x:c>
      <x:c r="B692" s="2" t="str">
        <x:v>Mixed business audience</x:v>
      </x:c>
      <x:c r="C692" s="12" t="str">
        <x:v>Bengaluru</x:v>
      </x:c>
      <x:c r="D692" s="12" t="str">
        <x:v>MAIN-051</x:v>
      </x:c>
      <x:c r="E692" s="12" t="str">
        <x:v>Kalyani Camellia (TST Whitefield)</x:v>
      </x:c>
      <x:c r="F692" s="11" t="n">
        <x:v>2</x:v>
      </x:c>
      <x:c r="G692" s="11" t="n">
        <x:v>2</x:v>
      </x:c>
      <x:c r="H692" s="11" t="n">
        <x:v>0</x:v>
      </x:c>
      <x:c r="I692" s="17" t="n">
        <x:f>INDEX('Costing'!$P$9:$P$492,MATCH(D692,'Costing'!$A$9:$A$492,0))</x:f>
        <x:v>80000</x:v>
      </x:c>
      <x:c r="J692" s="17" t="n">
        <x:f>ROUND(I692*'Costing'!$C$4,2)</x:f>
        <x:v>14400</x:v>
      </x:c>
      <x:c r="K692" s="17" t="n">
        <x:f>I692+J692</x:f>
        <x:v>94400</x:v>
      </x:c>
    </x:row>
    <x:row r="693" ht="46" customHeight="1">
      <x:c r="A693" s="2" t="str">
        <x:v>Indicative size</x:v>
      </x:c>
      <x:c r="B693" s="2" t="str">
        <x:v>Mixed business audience</x:v>
      </x:c>
      <x:c r="C693" s="12" t="str">
        <x:v>Bengaluru</x:v>
      </x:c>
      <x:c r="D693" s="12" t="str">
        <x:v>MAIN-052</x:v>
      </x:c>
      <x:c r="E693" s="12" t="str">
        <x:v>Mantri Commercio</x:v>
      </x:c>
      <x:c r="F693" s="11" t="n">
        <x:v>18</x:v>
      </x:c>
      <x:c r="G693" s="11" t="n">
        <x:v>18</x:v>
      </x:c>
      <x:c r="H693" s="11" t="n">
        <x:v>0</x:v>
      </x:c>
      <x:c r="I693" s="17" t="n">
        <x:f>INDEX('Costing'!$P$9:$P$492,MATCH(D693,'Costing'!$A$9:$A$492,0))</x:f>
        <x:v>270000</x:v>
      </x:c>
      <x:c r="J693" s="17" t="n">
        <x:f>ROUND(I693*'Costing'!$C$4,2)</x:f>
        <x:v>48600</x:v>
      </x:c>
      <x:c r="K693" s="17" t="n">
        <x:f>I693+J693</x:f>
        <x:v>318600</x:v>
      </x:c>
    </x:row>
    <x:row r="694" ht="46" customHeight="1">
      <x:c r="A694" s="2" t="str">
        <x:v>Indicative size</x:v>
      </x:c>
      <x:c r="B694" s="2" t="str">
        <x:v>Mixed business audience</x:v>
      </x:c>
      <x:c r="C694" s="12" t="str">
        <x:v>Bengaluru</x:v>
      </x:c>
      <x:c r="D694" s="12" t="str">
        <x:v>MAIN-053</x:v>
      </x:c>
      <x:c r="E694" s="12" t="str">
        <x:v>Maruthi Mansion</x:v>
      </x:c>
      <x:c r="F694" s="11" t="n">
        <x:v>4</x:v>
      </x:c>
      <x:c r="G694" s="11" t="n">
        <x:v>4</x:v>
      </x:c>
      <x:c r="H694" s="11" t="n">
        <x:v>0</x:v>
      </x:c>
      <x:c r="I694" s="17" t="n">
        <x:f>INDEX('Costing'!$P$9:$P$492,MATCH(D694,'Costing'!$A$9:$A$492,0))</x:f>
        <x:v>60000</x:v>
      </x:c>
      <x:c r="J694" s="17" t="n">
        <x:f>ROUND(I694*'Costing'!$C$4,2)</x:f>
        <x:v>10800</x:v>
      </x:c>
      <x:c r="K694" s="17" t="n">
        <x:f>I694+J694</x:f>
        <x:v>70800</x:v>
      </x:c>
    </x:row>
    <x:row r="695" ht="46" customHeight="1">
      <x:c r="A695" s="2" t="str">
        <x:v>Indicative size</x:v>
      </x:c>
      <x:c r="B695" s="2" t="str">
        <x:v>Mixed business audience</x:v>
      </x:c>
      <x:c r="C695" s="12" t="str">
        <x:v>Bengaluru</x:v>
      </x:c>
      <x:c r="D695" s="12" t="str">
        <x:v>MAIN-054</x:v>
      </x:c>
      <x:c r="E695" s="12" t="str">
        <x:v>Maruthi Platinum</x:v>
      </x:c>
      <x:c r="F695" s="11" t="n">
        <x:v>19</x:v>
      </x:c>
      <x:c r="G695" s="11" t="n">
        <x:v>19</x:v>
      </x:c>
      <x:c r="H695" s="11" t="n">
        <x:v>0</x:v>
      </x:c>
      <x:c r="I695" s="17" t="n">
        <x:f>INDEX('Costing'!$P$9:$P$492,MATCH(D695,'Costing'!$A$9:$A$492,0))</x:f>
        <x:v>285000</x:v>
      </x:c>
      <x:c r="J695" s="17" t="n">
        <x:f>ROUND(I695*'Costing'!$C$4,2)</x:f>
        <x:v>51300</x:v>
      </x:c>
      <x:c r="K695" s="17" t="n">
        <x:f>I695+J695</x:f>
        <x:v>336300</x:v>
      </x:c>
    </x:row>
    <x:row r="696" ht="46" customHeight="1">
      <x:c r="A696" s="2" t="str">
        <x:v>Indicative size</x:v>
      </x:c>
      <x:c r="B696" s="2" t="str">
        <x:v>Mixed business audience</x:v>
      </x:c>
      <x:c r="C696" s="12" t="str">
        <x:v>Bengaluru</x:v>
      </x:c>
      <x:c r="D696" s="12" t="str">
        <x:v>MAIN-MSRY7ANC</x:v>
      </x:c>
      <x:c r="E696" s="12" t="str">
        <x:v>Novel Offices - MSR Novel</x:v>
      </x:c>
      <x:c r="F696" s="11" t="n">
        <x:v>6</x:v>
      </x:c>
      <x:c r="G696" s="11" t="n">
        <x:v>6</x:v>
      </x:c>
      <x:c r="H696" s="11" t="n">
        <x:v>0</x:v>
      </x:c>
      <x:c r="I696" s="17" t="n">
        <x:f>INDEX('Costing'!$P$9:$P$492,MATCH(D696,'Costing'!$A$9:$A$492,0))</x:f>
        <x:v>120000</x:v>
      </x:c>
      <x:c r="J696" s="17" t="n">
        <x:f>ROUND(I696*'Costing'!$C$4,2)</x:f>
        <x:v>21600</x:v>
      </x:c>
      <x:c r="K696" s="17" t="n">
        <x:f>I696+J696</x:f>
        <x:v>141600</x:v>
      </x:c>
    </x:row>
    <x:row r="697" ht="46" customHeight="1">
      <x:c r="A697" s="2" t="str">
        <x:v>Indicative size</x:v>
      </x:c>
      <x:c r="B697" s="2" t="str">
        <x:v>Mixed business audience</x:v>
      </x:c>
      <x:c r="C697" s="12" t="str">
        <x:v>Bengaluru</x:v>
      </x:c>
      <x:c r="D697" s="12" t="str">
        <x:v>MAIN-057</x:v>
      </x:c>
      <x:c r="E697" s="12" t="str">
        <x:v>Novel Offices - Queens Road</x:v>
      </x:c>
      <x:c r="F697" s="11" t="n">
        <x:v>3</x:v>
      </x:c>
      <x:c r="G697" s="11" t="n">
        <x:v>3</x:v>
      </x:c>
      <x:c r="H697" s="11" t="n">
        <x:v>0</x:v>
      </x:c>
      <x:c r="I697" s="17" t="n">
        <x:f>INDEX('Costing'!$P$9:$P$492,MATCH(D697,'Costing'!$A$9:$A$492,0))</x:f>
        <x:v>45000</x:v>
      </x:c>
      <x:c r="J697" s="17" t="n">
        <x:f>ROUND(I697*'Costing'!$C$4,2)</x:f>
        <x:v>8100</x:v>
      </x:c>
      <x:c r="K697" s="17" t="n">
        <x:f>I697+J697</x:f>
        <x:v>53100</x:v>
      </x:c>
    </x:row>
    <x:row r="698" ht="46" customHeight="1">
      <x:c r="A698" s="2" t="str">
        <x:v>Indicative size</x:v>
      </x:c>
      <x:c r="B698" s="2" t="str">
        <x:v>Mixed business audience</x:v>
      </x:c>
      <x:c r="C698" s="12" t="str">
        <x:v>Bengaluru</x:v>
      </x:c>
      <x:c r="D698" s="12" t="str">
        <x:v>MAIN-058</x:v>
      </x:c>
      <x:c r="E698" s="12" t="str">
        <x:v>Novel Offices - WorkHub</x:v>
      </x:c>
      <x:c r="F698" s="11" t="n">
        <x:v>4</x:v>
      </x:c>
      <x:c r="G698" s="11" t="n">
        <x:v>4</x:v>
      </x:c>
      <x:c r="H698" s="11" t="n">
        <x:v>0</x:v>
      </x:c>
      <x:c r="I698" s="17" t="n">
        <x:f>INDEX('Costing'!$P$9:$P$492,MATCH(D698,'Costing'!$A$9:$A$492,0))</x:f>
        <x:v>80000</x:v>
      </x:c>
      <x:c r="J698" s="17" t="n">
        <x:f>ROUND(I698*'Costing'!$C$4,2)</x:f>
        <x:v>14400</x:v>
      </x:c>
      <x:c r="K698" s="17" t="n">
        <x:f>I698+J698</x:f>
        <x:v>94400</x:v>
      </x:c>
    </x:row>
    <x:row r="699" ht="46" customHeight="1">
      <x:c r="A699" s="2" t="str">
        <x:v>Indicative size</x:v>
      </x:c>
      <x:c r="B699" s="2" t="str">
        <x:v>Mixed business audience</x:v>
      </x:c>
      <x:c r="C699" s="12" t="str">
        <x:v>Bengaluru</x:v>
      </x:c>
      <x:c r="D699" s="12" t="str">
        <x:v>MAIN-059</x:v>
      </x:c>
      <x:c r="E699" s="12" t="str">
        <x:v>Novel Tech Park</x:v>
      </x:c>
      <x:c r="F699" s="11" t="n">
        <x:v>8</x:v>
      </x:c>
      <x:c r="G699" s="11" t="n">
        <x:v>8</x:v>
      </x:c>
      <x:c r="H699" s="11" t="n">
        <x:v>0</x:v>
      </x:c>
      <x:c r="I699" s="17" t="n">
        <x:f>INDEX('Costing'!$P$9:$P$492,MATCH(D699,'Costing'!$A$9:$A$492,0))</x:f>
        <x:v>120000</x:v>
      </x:c>
      <x:c r="J699" s="17" t="n">
        <x:f>ROUND(I699*'Costing'!$C$4,2)</x:f>
        <x:v>21600</x:v>
      </x:c>
      <x:c r="K699" s="17" t="n">
        <x:f>I699+J699</x:f>
        <x:v>141600</x:v>
      </x:c>
    </x:row>
    <x:row r="700" ht="46" customHeight="1">
      <x:c r="A700" s="2" t="str">
        <x:v>Indicative size</x:v>
      </x:c>
      <x:c r="B700" s="2" t="str">
        <x:v>Mixed business audience</x:v>
      </x:c>
      <x:c r="C700" s="12" t="str">
        <x:v>Bengaluru</x:v>
      </x:c>
      <x:c r="D700" s="12" t="str">
        <x:v>MAIN-060</x:v>
      </x:c>
      <x:c r="E700" s="12" t="str">
        <x:v>Nucleus - Cessna Business Park</x:v>
      </x:c>
      <x:c r="F700" s="11" t="n">
        <x:v>6</x:v>
      </x:c>
      <x:c r="G700" s="11" t="n">
        <x:v>6</x:v>
      </x:c>
      <x:c r="H700" s="11" t="n">
        <x:v>0</x:v>
      </x:c>
      <x:c r="I700" s="17" t="n">
        <x:f>INDEX('Costing'!$P$9:$P$492,MATCH(D700,'Costing'!$A$9:$A$492,0))</x:f>
        <x:v>240000</x:v>
      </x:c>
      <x:c r="J700" s="17" t="n">
        <x:f>ROUND(I700*'Costing'!$C$4,2)</x:f>
        <x:v>43200</x:v>
      </x:c>
      <x:c r="K700" s="17" t="n">
        <x:f>I700+J700</x:f>
        <x:v>283200</x:v>
      </x:c>
    </x:row>
    <x:row r="701" ht="46" customHeight="1">
      <x:c r="A701" s="2" t="str">
        <x:v>Indicative size</x:v>
      </x:c>
      <x:c r="B701" s="2" t="str">
        <x:v>Mixed business audience</x:v>
      </x:c>
      <x:c r="C701" s="12" t="str">
        <x:v>Bengaluru</x:v>
      </x:c>
      <x:c r="D701" s="12" t="str">
        <x:v>MAIN-062</x:v>
      </x:c>
      <x:c r="E701" s="12" t="str">
        <x:v>Nucleus - Exora Business Park</x:v>
      </x:c>
      <x:c r="F701" s="11" t="n">
        <x:v>5</x:v>
      </x:c>
      <x:c r="G701" s="11" t="n">
        <x:v>5</x:v>
      </x:c>
      <x:c r="H701" s="11" t="n">
        <x:v>0</x:v>
      </x:c>
      <x:c r="I701" s="17" t="n">
        <x:f>INDEX('Costing'!$P$9:$P$492,MATCH(D701,'Costing'!$A$9:$A$492,0))</x:f>
        <x:v>200000</x:v>
      </x:c>
      <x:c r="J701" s="17" t="n">
        <x:f>ROUND(I701*'Costing'!$C$4,2)</x:f>
        <x:v>36000</x:v>
      </x:c>
      <x:c r="K701" s="17" t="n">
        <x:f>I701+J701</x:f>
        <x:v>236000</x:v>
      </x:c>
    </x:row>
    <x:row r="702" ht="46" customHeight="1">
      <x:c r="A702" s="2" t="str">
        <x:v>Indicative size</x:v>
      </x:c>
      <x:c r="B702" s="2" t="str">
        <x:v>Mixed business audience</x:v>
      </x:c>
      <x:c r="C702" s="12" t="str">
        <x:v>Bengaluru</x:v>
      </x:c>
      <x:c r="D702" s="12" t="str">
        <x:v>MAIN-063</x:v>
      </x:c>
      <x:c r="E702" s="12" t="str">
        <x:v>Nucleus - Prestige One Trade Tower</x:v>
      </x:c>
      <x:c r="F702" s="11" t="n">
        <x:v>2</x:v>
      </x:c>
      <x:c r="G702" s="11" t="n">
        <x:v>2</x:v>
      </x:c>
      <x:c r="H702" s="11" t="n">
        <x:v>0</x:v>
      </x:c>
      <x:c r="I702" s="17" t="n">
        <x:f>INDEX('Costing'!$P$9:$P$492,MATCH(D702,'Costing'!$A$9:$A$492,0))</x:f>
        <x:v>80000</x:v>
      </x:c>
      <x:c r="J702" s="17" t="n">
        <x:f>ROUND(I702*'Costing'!$C$4,2)</x:f>
        <x:v>14400</x:v>
      </x:c>
      <x:c r="K702" s="17" t="n">
        <x:f>I702+J702</x:f>
        <x:v>94400</x:v>
      </x:c>
    </x:row>
    <x:row r="703" ht="46" customHeight="1">
      <x:c r="A703" s="2" t="str">
        <x:v>Indicative size</x:v>
      </x:c>
      <x:c r="B703" s="2" t="str">
        <x:v>Mixed business audience</x:v>
      </x:c>
      <x:c r="C703" s="12" t="str">
        <x:v>Bengaluru</x:v>
      </x:c>
      <x:c r="D703" s="12" t="str">
        <x:v>MAIN-064</x:v>
      </x:c>
      <x:c r="E703" s="12" t="str">
        <x:v>Obeya - Brio</x:v>
      </x:c>
      <x:c r="F703" s="11" t="n">
        <x:v>1</x:v>
      </x:c>
      <x:c r="G703" s="11" t="n">
        <x:v>1</x:v>
      </x:c>
      <x:c r="H703" s="11" t="n">
        <x:v>0</x:v>
      </x:c>
      <x:c r="I703" s="17" t="n">
        <x:f>INDEX('Costing'!$P$9:$P$492,MATCH(D703,'Costing'!$A$9:$A$492,0))</x:f>
        <x:v>15000</x:v>
      </x:c>
      <x:c r="J703" s="17" t="n">
        <x:f>ROUND(I703*'Costing'!$C$4,2)</x:f>
        <x:v>2700</x:v>
      </x:c>
      <x:c r="K703" s="17" t="n">
        <x:f>I703+J703</x:f>
        <x:v>17700</x:v>
      </x:c>
    </x:row>
    <x:row r="704" ht="46" customHeight="1">
      <x:c r="A704" s="2" t="str">
        <x:v>Indicative size</x:v>
      </x:c>
      <x:c r="B704" s="2" t="str">
        <x:v>Mixed business audience</x:v>
      </x:c>
      <x:c r="C704" s="12" t="str">
        <x:v>Bengaluru</x:v>
      </x:c>
      <x:c r="D704" s="12" t="str">
        <x:v>MAIN-065</x:v>
      </x:c>
      <x:c r="E704" s="12" t="str">
        <x:v>Obeya - Elan</x:v>
      </x:c>
      <x:c r="F704" s="11" t="n">
        <x:v>1</x:v>
      </x:c>
      <x:c r="G704" s="11" t="n">
        <x:v>1</x:v>
      </x:c>
      <x:c r="H704" s="11" t="n">
        <x:v>0</x:v>
      </x:c>
      <x:c r="I704" s="17" t="n">
        <x:f>INDEX('Costing'!$P$9:$P$492,MATCH(D704,'Costing'!$A$9:$A$492,0))</x:f>
        <x:v>15000</x:v>
      </x:c>
      <x:c r="J704" s="17" t="n">
        <x:f>ROUND(I704*'Costing'!$C$4,2)</x:f>
        <x:v>2700</x:v>
      </x:c>
      <x:c r="K704" s="17" t="n">
        <x:f>I704+J704</x:f>
        <x:v>17700</x:v>
      </x:c>
    </x:row>
    <x:row r="705" ht="46" customHeight="1">
      <x:c r="A705" s="2" t="str">
        <x:v>Indicative size</x:v>
      </x:c>
      <x:c r="B705" s="2" t="str">
        <x:v>Mixed business audience</x:v>
      </x:c>
      <x:c r="C705" s="12" t="str">
        <x:v>Bengaluru</x:v>
      </x:c>
      <x:c r="D705" s="12" t="str">
        <x:v>MAIN-066</x:v>
      </x:c>
      <x:c r="E705" s="12" t="str">
        <x:v>Obeya - Gusto</x:v>
      </x:c>
      <x:c r="F705" s="11" t="n">
        <x:v>1</x:v>
      </x:c>
      <x:c r="G705" s="11" t="n">
        <x:v>1</x:v>
      </x:c>
      <x:c r="H705" s="11" t="n">
        <x:v>0</x:v>
      </x:c>
      <x:c r="I705" s="17" t="n">
        <x:f>INDEX('Costing'!$P$9:$P$492,MATCH(D705,'Costing'!$A$9:$A$492,0))</x:f>
        <x:v>15000</x:v>
      </x:c>
      <x:c r="J705" s="17" t="n">
        <x:f>ROUND(I705*'Costing'!$C$4,2)</x:f>
        <x:v>2700</x:v>
      </x:c>
      <x:c r="K705" s="17" t="n">
        <x:f>I705+J705</x:f>
        <x:v>17700</x:v>
      </x:c>
    </x:row>
    <x:row r="706" ht="46" customHeight="1">
      <x:c r="A706" s="2" t="str">
        <x:v>Indicative size</x:v>
      </x:c>
      <x:c r="B706" s="2" t="str">
        <x:v>Mixed business audience</x:v>
      </x:c>
      <x:c r="C706" s="12" t="str">
        <x:v>Bengaluru</x:v>
      </x:c>
      <x:c r="D706" s="12" t="str">
        <x:v>MAIN-067</x:v>
      </x:c>
      <x:c r="E706" s="12" t="str">
        <x:v>Obeya - Pulse</x:v>
      </x:c>
      <x:c r="F706" s="11" t="n">
        <x:v>2</x:v>
      </x:c>
      <x:c r="G706" s="11" t="n">
        <x:v>2</x:v>
      </x:c>
      <x:c r="H706" s="11" t="n">
        <x:v>0</x:v>
      </x:c>
      <x:c r="I706" s="17" t="n">
        <x:f>INDEX('Costing'!$P$9:$P$492,MATCH(D706,'Costing'!$A$9:$A$492,0))</x:f>
        <x:v>30000</x:v>
      </x:c>
      <x:c r="J706" s="17" t="n">
        <x:f>ROUND(I706*'Costing'!$C$4,2)</x:f>
        <x:v>5400</x:v>
      </x:c>
      <x:c r="K706" s="17" t="n">
        <x:f>I706+J706</x:f>
        <x:v>35400</x:v>
      </x:c>
    </x:row>
    <x:row r="707" ht="46" customHeight="1">
      <x:c r="A707" s="2" t="str">
        <x:v>Indicative size</x:v>
      </x:c>
      <x:c r="B707" s="2" t="str">
        <x:v>Mixed business audience</x:v>
      </x:c>
      <x:c r="C707" s="12" t="str">
        <x:v>Bengaluru</x:v>
      </x:c>
      <x:c r="D707" s="12" t="str">
        <x:v>MAIN-069</x:v>
      </x:c>
      <x:c r="E707" s="12" t="str">
        <x:v>Obeya - Spurce</x:v>
      </x:c>
      <x:c r="F707" s="11" t="n">
        <x:v>2</x:v>
      </x:c>
      <x:c r="G707" s="11" t="n">
        <x:v>2</x:v>
      </x:c>
      <x:c r="H707" s="11" t="n">
        <x:v>0</x:v>
      </x:c>
      <x:c r="I707" s="17" t="n">
        <x:f>INDEX('Costing'!$P$9:$P$492,MATCH(D707,'Costing'!$A$9:$A$492,0))</x:f>
        <x:v>30000</x:v>
      </x:c>
      <x:c r="J707" s="17" t="n">
        <x:f>ROUND(I707*'Costing'!$C$4,2)</x:f>
        <x:v>5400</x:v>
      </x:c>
      <x:c r="K707" s="17" t="n">
        <x:f>I707+J707</x:f>
        <x:v>35400</x:v>
      </x:c>
    </x:row>
    <x:row r="708" ht="46" customHeight="1">
      <x:c r="A708" s="2" t="str">
        <x:v>Indicative size</x:v>
      </x:c>
      <x:c r="B708" s="2" t="str">
        <x:v>Mixed business audience</x:v>
      </x:c>
      <x:c r="C708" s="12" t="str">
        <x:v>Bengaluru</x:v>
      </x:c>
      <x:c r="D708" s="12" t="str">
        <x:v>MAIN-070</x:v>
      </x:c>
      <x:c r="E708" s="12" t="str">
        <x:v>Obeya - Tranquil</x:v>
      </x:c>
      <x:c r="F708" s="11" t="n">
        <x:v>1</x:v>
      </x:c>
      <x:c r="G708" s="11" t="n">
        <x:v>1</x:v>
      </x:c>
      <x:c r="H708" s="11" t="n">
        <x:v>0</x:v>
      </x:c>
      <x:c r="I708" s="17" t="n">
        <x:f>INDEX('Costing'!$P$9:$P$492,MATCH(D708,'Costing'!$A$9:$A$492,0))</x:f>
        <x:v>15000</x:v>
      </x:c>
      <x:c r="J708" s="17" t="n">
        <x:f>ROUND(I708*'Costing'!$C$4,2)</x:f>
        <x:v>2700</x:v>
      </x:c>
      <x:c r="K708" s="17" t="n">
        <x:f>I708+J708</x:f>
        <x:v>17700</x:v>
      </x:c>
    </x:row>
    <x:row r="709" ht="46" customHeight="1">
      <x:c r="A709" s="2" t="str">
        <x:v>Indicative size</x:v>
      </x:c>
      <x:c r="B709" s="2" t="str">
        <x:v>Mixed business audience</x:v>
      </x:c>
      <x:c r="C709" s="12" t="str">
        <x:v>Bengaluru</x:v>
      </x:c>
      <x:c r="D709" s="12" t="str">
        <x:v>MAIN-071</x:v>
      </x:c>
      <x:c r="E709" s="12" t="str">
        <x:v>Obeya - Verve</x:v>
      </x:c>
      <x:c r="F709" s="11" t="n">
        <x:v>1</x:v>
      </x:c>
      <x:c r="G709" s="11" t="n">
        <x:v>1</x:v>
      </x:c>
      <x:c r="H709" s="11" t="n">
        <x:v>0</x:v>
      </x:c>
      <x:c r="I709" s="17" t="n">
        <x:f>INDEX('Costing'!$P$9:$P$492,MATCH(D709,'Costing'!$A$9:$A$492,0))</x:f>
        <x:v>15000</x:v>
      </x:c>
      <x:c r="J709" s="17" t="n">
        <x:f>ROUND(I709*'Costing'!$C$4,2)</x:f>
        <x:v>2700</x:v>
      </x:c>
      <x:c r="K709" s="17" t="n">
        <x:f>I709+J709</x:f>
        <x:v>17700</x:v>
      </x:c>
    </x:row>
    <x:row r="710" ht="46" customHeight="1">
      <x:c r="A710" s="2" t="str">
        <x:v>Indicative size</x:v>
      </x:c>
      <x:c r="B710" s="2" t="str">
        <x:v>Mixed business audience</x:v>
      </x:c>
      <x:c r="C710" s="12" t="str">
        <x:v>Bengaluru</x:v>
      </x:c>
      <x:c r="D710" s="12" t="str">
        <x:v>MAIN-072</x:v>
      </x:c>
      <x:c r="E710" s="12" t="str">
        <x:v>Prestige Etamin (Redbrick Offices)</x:v>
      </x:c>
      <x:c r="F710" s="11" t="n">
        <x:v>1</x:v>
      </x:c>
      <x:c r="G710" s="11" t="n">
        <x:v>1</x:v>
      </x:c>
      <x:c r="H710" s="11" t="n">
        <x:v>0</x:v>
      </x:c>
      <x:c r="I710" s="17" t="n">
        <x:f>INDEX('Costing'!$P$9:$P$492,MATCH(D710,'Costing'!$A$9:$A$492,0))</x:f>
        <x:v>15000</x:v>
      </x:c>
      <x:c r="J710" s="17" t="n">
        <x:f>ROUND(I710*'Costing'!$C$4,2)</x:f>
        <x:v>2700</x:v>
      </x:c>
      <x:c r="K710" s="17" t="n">
        <x:f>I710+J710</x:f>
        <x:v>17700</x:v>
      </x:c>
    </x:row>
    <x:row r="711" ht="46" customHeight="1">
      <x:c r="A711" s="2" t="str">
        <x:v>Indicative size</x:v>
      </x:c>
      <x:c r="B711" s="2" t="str">
        <x:v>Mixed business audience</x:v>
      </x:c>
      <x:c r="C711" s="12" t="str">
        <x:v>Bengaluru</x:v>
      </x:c>
      <x:c r="D711" s="12" t="str">
        <x:v>MAIN-073</x:v>
      </x:c>
      <x:c r="E711" s="12" t="str">
        <x:v>Prestige Obelisk</x:v>
      </x:c>
      <x:c r="F711" s="11" t="n">
        <x:v>1</x:v>
      </x:c>
      <x:c r="G711" s="11" t="n">
        <x:v>1</x:v>
      </x:c>
      <x:c r="H711" s="11" t="n">
        <x:v>0</x:v>
      </x:c>
      <x:c r="I711" s="17" t="n">
        <x:f>INDEX('Costing'!$P$9:$P$492,MATCH(D711,'Costing'!$A$9:$A$492,0))</x:f>
        <x:v>40000</x:v>
      </x:c>
      <x:c r="J711" s="17" t="n">
        <x:f>ROUND(I711*'Costing'!$C$4,2)</x:f>
        <x:v>7200</x:v>
      </x:c>
      <x:c r="K711" s="17" t="n">
        <x:f>I711+J711</x:f>
        <x:v>47200</x:v>
      </x:c>
    </x:row>
    <x:row r="712" ht="46" customHeight="1">
      <x:c r="A712" s="2" t="str">
        <x:v>Indicative size</x:v>
      </x:c>
      <x:c r="B712" s="2" t="str">
        <x:v>Mixed business audience</x:v>
      </x:c>
      <x:c r="C712" s="12" t="str">
        <x:v>Bengaluru</x:v>
      </x:c>
      <x:c r="D712" s="12" t="str">
        <x:v>MAIN-074</x:v>
      </x:c>
      <x:c r="E712" s="12" t="str">
        <x:v>Prestige Trade Tower</x:v>
      </x:c>
      <x:c r="F712" s="11" t="n">
        <x:v>3</x:v>
      </x:c>
      <x:c r="G712" s="11" t="n">
        <x:v>3</x:v>
      </x:c>
      <x:c r="H712" s="11" t="n">
        <x:v>0</x:v>
      </x:c>
      <x:c r="I712" s="17" t="n">
        <x:f>INDEX('Costing'!$P$9:$P$492,MATCH(D712,'Costing'!$A$9:$A$492,0))</x:f>
        <x:v>120000</x:v>
      </x:c>
      <x:c r="J712" s="17" t="n">
        <x:f>ROUND(I712*'Costing'!$C$4,2)</x:f>
        <x:v>21600</x:v>
      </x:c>
      <x:c r="K712" s="17" t="n">
        <x:f>I712+J712</x:f>
        <x:v>141600</x:v>
      </x:c>
    </x:row>
    <x:row r="713" ht="46" customHeight="1">
      <x:c r="A713" s="2" t="str">
        <x:v>Indicative size</x:v>
      </x:c>
      <x:c r="B713" s="2" t="str">
        <x:v>Mixed business audience</x:v>
      </x:c>
      <x:c r="C713" s="12" t="str">
        <x:v>Bengaluru</x:v>
      </x:c>
      <x:c r="D713" s="12" t="str">
        <x:v>MAIN-076</x:v>
      </x:c>
      <x:c r="E713" s="12" t="str">
        <x:v>Quest Office</x:v>
      </x:c>
      <x:c r="F713" s="11" t="n">
        <x:v>1</x:v>
      </x:c>
      <x:c r="G713" s="11" t="n">
        <x:v>1</x:v>
      </x:c>
      <x:c r="H713" s="11" t="n">
        <x:v>0</x:v>
      </x:c>
      <x:c r="I713" s="17" t="n">
        <x:f>INDEX('Costing'!$P$9:$P$492,MATCH(D713,'Costing'!$A$9:$A$492,0))</x:f>
        <x:v>15000</x:v>
      </x:c>
      <x:c r="J713" s="17" t="n">
        <x:f>ROUND(I713*'Costing'!$C$4,2)</x:f>
        <x:v>2700</x:v>
      </x:c>
      <x:c r="K713" s="17" t="n">
        <x:f>I713+J713</x:f>
        <x:v>17700</x:v>
      </x:c>
    </x:row>
    <x:row r="714" ht="46" customHeight="1">
      <x:c r="A714" s="2" t="str">
        <x:v>Indicative size</x:v>
      </x:c>
      <x:c r="B714" s="2" t="str">
        <x:v>Mixed business audience</x:v>
      </x:c>
      <x:c r="C714" s="12" t="str">
        <x:v>Bengaluru</x:v>
      </x:c>
      <x:c r="D714" s="12" t="str">
        <x:v>MAIN-077</x:v>
      </x:c>
      <x:c r="E714" s="12" t="str">
        <x:v>Raheja Towers</x:v>
      </x:c>
      <x:c r="F714" s="11" t="n">
        <x:v>11</x:v>
      </x:c>
      <x:c r="G714" s="11" t="n">
        <x:v>11</x:v>
      </x:c>
      <x:c r="H714" s="11" t="n">
        <x:v>0</x:v>
      </x:c>
      <x:c r="I714" s="17" t="n">
        <x:f>INDEX('Costing'!$P$9:$P$492,MATCH(D714,'Costing'!$A$9:$A$492,0))</x:f>
        <x:v>165000</x:v>
      </x:c>
      <x:c r="J714" s="17" t="n">
        <x:f>ROUND(I714*'Costing'!$C$4,2)</x:f>
        <x:v>29700</x:v>
      </x:c>
      <x:c r="K714" s="17" t="n">
        <x:f>I714+J714</x:f>
        <x:v>194700</x:v>
      </x:c>
    </x:row>
    <x:row r="715" ht="46" customHeight="1">
      <x:c r="A715" s="2" t="str">
        <x:v>Indicative size</x:v>
      </x:c>
      <x:c r="B715" s="2" t="str">
        <x:v>Mixed business audience</x:v>
      </x:c>
      <x:c r="C715" s="12" t="str">
        <x:v>Bengaluru</x:v>
      </x:c>
      <x:c r="D715" s="12" t="str">
        <x:v>MAIN-078</x:v>
      </x:c>
      <x:c r="E715" s="12" t="str">
        <x:v>Sargod Imperial Tech Park</x:v>
      </x:c>
      <x:c r="F715" s="11" t="n">
        <x:v>5</x:v>
      </x:c>
      <x:c r="G715" s="11" t="n">
        <x:v>5</x:v>
      </x:c>
      <x:c r="H715" s="11" t="n">
        <x:v>0</x:v>
      </x:c>
      <x:c r="I715" s="17" t="n">
        <x:f>INDEX('Costing'!$P$9:$P$492,MATCH(D715,'Costing'!$A$9:$A$492,0))</x:f>
        <x:v>100000</x:v>
      </x:c>
      <x:c r="J715" s="17" t="n">
        <x:f>ROUND(I715*'Costing'!$C$4,2)</x:f>
        <x:v>18000</x:v>
      </x:c>
      <x:c r="K715" s="17" t="n">
        <x:f>I715+J715</x:f>
        <x:v>118000</x:v>
      </x:c>
    </x:row>
    <x:row r="716" ht="46" customHeight="1">
      <x:c r="A716" s="2" t="str">
        <x:v>Indicative size</x:v>
      </x:c>
      <x:c r="B716" s="2" t="str">
        <x:v>Mixed business audience</x:v>
      </x:c>
      <x:c r="C716" s="12" t="str">
        <x:v>Bengaluru</x:v>
      </x:c>
      <x:c r="D716" s="12" t="str">
        <x:v>MAIN-079</x:v>
      </x:c>
      <x:c r="E716" s="12" t="str">
        <x:v>Senate </x:v>
      </x:c>
      <x:c r="F716" s="11" t="n">
        <x:v>2</x:v>
      </x:c>
      <x:c r="G716" s="11" t="n">
        <x:v>2</x:v>
      </x:c>
      <x:c r="H716" s="11" t="n">
        <x:v>0</x:v>
      </x:c>
      <x:c r="I716" s="17" t="n">
        <x:f>INDEX('Costing'!$P$9:$P$492,MATCH(D716,'Costing'!$A$9:$A$492,0))</x:f>
        <x:v>80000</x:v>
      </x:c>
      <x:c r="J716" s="17" t="n">
        <x:f>ROUND(I716*'Costing'!$C$4,2)</x:f>
        <x:v>14400</x:v>
      </x:c>
      <x:c r="K716" s="17" t="n">
        <x:f>I716+J716</x:f>
        <x:v>94400</x:v>
      </x:c>
    </x:row>
    <x:row r="717" ht="46" customHeight="1">
      <x:c r="A717" s="2" t="str">
        <x:v>Indicative size</x:v>
      </x:c>
      <x:c r="B717" s="2" t="str">
        <x:v>Mixed business audience</x:v>
      </x:c>
      <x:c r="C717" s="12" t="str">
        <x:v>Bengaluru</x:v>
      </x:c>
      <x:c r="D717" s="12" t="str">
        <x:v>MAIN-080</x:v>
      </x:c>
      <x:c r="E717" s="12" t="str">
        <x:v>Shankar Hospital</x:v>
      </x:c>
      <x:c r="F717" s="11" t="n">
        <x:v>1</x:v>
      </x:c>
      <x:c r="G717" s="11" t="n">
        <x:v>1</x:v>
      </x:c>
      <x:c r="H717" s="11" t="n">
        <x:v>0</x:v>
      </x:c>
      <x:c r="I717" s="17" t="n">
        <x:f>INDEX('Costing'!$P$9:$P$492,MATCH(D717,'Costing'!$A$9:$A$492,0))</x:f>
        <x:v>12000</x:v>
      </x:c>
      <x:c r="J717" s="17" t="n">
        <x:f>ROUND(I717*'Costing'!$C$4,2)</x:f>
        <x:v>2160</x:v>
      </x:c>
      <x:c r="K717" s="17" t="n">
        <x:f>I717+J717</x:f>
        <x:v>14160</x:v>
      </x:c>
    </x:row>
    <x:row r="718" ht="46" customHeight="1">
      <x:c r="A718" s="2" t="str">
        <x:v>Indicative size</x:v>
      </x:c>
      <x:c r="B718" s="2" t="str">
        <x:v>Mixed business audience</x:v>
      </x:c>
      <x:c r="C718" s="12" t="str">
        <x:v>Bengaluru</x:v>
      </x:c>
      <x:c r="D718" s="12" t="str">
        <x:v>MAIN-081</x:v>
      </x:c>
      <x:c r="E718" s="12" t="str">
        <x:v>Sierra Cartel</x:v>
      </x:c>
      <x:c r="F718" s="11" t="n">
        <x:v>2</x:v>
      </x:c>
      <x:c r="G718" s="11" t="n">
        <x:v>2</x:v>
      </x:c>
      <x:c r="H718" s="11" t="n">
        <x:v>0</x:v>
      </x:c>
      <x:c r="I718" s="17" t="n">
        <x:f>INDEX('Costing'!$P$9:$P$492,MATCH(D718,'Costing'!$A$9:$A$492,0))</x:f>
        <x:v>30000</x:v>
      </x:c>
      <x:c r="J718" s="17" t="n">
        <x:f>ROUND(I718*'Costing'!$C$4,2)</x:f>
        <x:v>5400</x:v>
      </x:c>
      <x:c r="K718" s="17" t="n">
        <x:f>I718+J718</x:f>
        <x:v>35400</x:v>
      </x:c>
    </x:row>
    <x:row r="719" ht="46" customHeight="1">
      <x:c r="A719" s="2" t="str">
        <x:v>Indicative size</x:v>
      </x:c>
      <x:c r="B719" s="2" t="str">
        <x:v>Mixed business audience</x:v>
      </x:c>
      <x:c r="C719" s="12" t="str">
        <x:v>Bengaluru</x:v>
      </x:c>
      <x:c r="D719" s="12" t="str">
        <x:v>MAIN-084</x:v>
      </x:c>
      <x:c r="E719" s="12" t="str">
        <x:v>SJR Union City</x:v>
      </x:c>
      <x:c r="F719" s="11" t="n">
        <x:v>2</x:v>
      </x:c>
      <x:c r="G719" s="11" t="n">
        <x:v>2</x:v>
      </x:c>
      <x:c r="H719" s="11" t="n">
        <x:v>0</x:v>
      </x:c>
      <x:c r="I719" s="17" t="n">
        <x:f>INDEX('Costing'!$P$9:$P$492,MATCH(D719,'Costing'!$A$9:$A$492,0))</x:f>
        <x:v>80000</x:v>
      </x:c>
      <x:c r="J719" s="17" t="n">
        <x:f>ROUND(I719*'Costing'!$C$4,2)</x:f>
        <x:v>14400</x:v>
      </x:c>
      <x:c r="K719" s="17" t="n">
        <x:f>I719+J719</x:f>
        <x:v>94400</x:v>
      </x:c>
    </x:row>
    <x:row r="720" ht="46" customHeight="1">
      <x:c r="A720" s="2" t="str">
        <x:v>Indicative size</x:v>
      </x:c>
      <x:c r="B720" s="2" t="str">
        <x:v>Mixed business audience</x:v>
      </x:c>
      <x:c r="C720" s="12" t="str">
        <x:v>Bengaluru</x:v>
      </x:c>
      <x:c r="D720" s="12" t="str">
        <x:v>MAIN-085</x:v>
      </x:c>
      <x:c r="E720" s="12" t="str">
        <x:v>Smartworks The Cube</x:v>
      </x:c>
      <x:c r="F720" s="11" t="n">
        <x:v>3</x:v>
      </x:c>
      <x:c r="G720" s="11" t="n">
        <x:v>3</x:v>
      </x:c>
      <x:c r="H720" s="11" t="n">
        <x:v>0</x:v>
      </x:c>
      <x:c r="I720" s="17" t="n">
        <x:f>INDEX('Costing'!$P$9:$P$492,MATCH(D720,'Costing'!$A$9:$A$492,0))</x:f>
        <x:v>60000</x:v>
      </x:c>
      <x:c r="J720" s="17" t="n">
        <x:f>ROUND(I720*'Costing'!$C$4,2)</x:f>
        <x:v>10800</x:v>
      </x:c>
      <x:c r="K720" s="17" t="n">
        <x:f>I720+J720</x:f>
        <x:v>70800</x:v>
      </x:c>
    </x:row>
    <x:row r="721" ht="46" customHeight="1">
      <x:c r="A721" s="2" t="str">
        <x:v>Indicative size</x:v>
      </x:c>
      <x:c r="B721" s="2" t="str">
        <x:v>Mixed business audience</x:v>
      </x:c>
      <x:c r="C721" s="12" t="str">
        <x:v>Bengaluru</x:v>
      </x:c>
      <x:c r="D721" s="12" t="str">
        <x:v>MAIN-086</x:v>
      </x:c>
      <x:c r="E721" s="12" t="str">
        <x:v>Startuphuts- Unit 1</x:v>
      </x:c>
      <x:c r="F721" s="11" t="n">
        <x:v>1</x:v>
      </x:c>
      <x:c r="G721" s="11" t="n">
        <x:v>1</x:v>
      </x:c>
      <x:c r="H721" s="11" t="n">
        <x:v>0</x:v>
      </x:c>
      <x:c r="I721" s="17" t="n">
        <x:f>INDEX('Costing'!$P$9:$P$492,MATCH(D721,'Costing'!$A$9:$A$492,0))</x:f>
        <x:v>15000</x:v>
      </x:c>
      <x:c r="J721" s="17" t="n">
        <x:f>ROUND(I721*'Costing'!$C$4,2)</x:f>
        <x:v>2700</x:v>
      </x:c>
      <x:c r="K721" s="17" t="n">
        <x:f>I721+J721</x:f>
        <x:v>17700</x:v>
      </x:c>
    </x:row>
    <x:row r="722" ht="46" customHeight="1">
      <x:c r="A722" s="2" t="str">
        <x:v>Indicative size</x:v>
      </x:c>
      <x:c r="B722" s="2" t="str">
        <x:v>Mixed business audience</x:v>
      </x:c>
      <x:c r="C722" s="12" t="str">
        <x:v>Bengaluru</x:v>
      </x:c>
      <x:c r="D722" s="12" t="str">
        <x:v>MAIN-087</x:v>
      </x:c>
      <x:c r="E722" s="12" t="str">
        <x:v>Startuphuts- Unit 3</x:v>
      </x:c>
      <x:c r="F722" s="11" t="n">
        <x:v>1</x:v>
      </x:c>
      <x:c r="G722" s="11" t="n">
        <x:v>1</x:v>
      </x:c>
      <x:c r="H722" s="11" t="n">
        <x:v>0</x:v>
      </x:c>
      <x:c r="I722" s="17" t="n">
        <x:f>INDEX('Costing'!$P$9:$P$492,MATCH(D722,'Costing'!$A$9:$A$492,0))</x:f>
        <x:v>15000</x:v>
      </x:c>
      <x:c r="J722" s="17" t="n">
        <x:f>ROUND(I722*'Costing'!$C$4,2)</x:f>
        <x:v>2700</x:v>
      </x:c>
      <x:c r="K722" s="17" t="n">
        <x:f>I722+J722</x:f>
        <x:v>17700</x:v>
      </x:c>
    </x:row>
    <x:row r="723" ht="46" customHeight="1">
      <x:c r="A723" s="2" t="str">
        <x:v>Indicative size</x:v>
      </x:c>
      <x:c r="B723" s="2" t="str">
        <x:v>Mixed business audience</x:v>
      </x:c>
      <x:c r="C723" s="12" t="str">
        <x:v>Bengaluru</x:v>
      </x:c>
      <x:c r="D723" s="12" t="str">
        <x:v>MAIN-088</x:v>
      </x:c>
      <x:c r="E723" s="12" t="str">
        <x:v>Startuphuts- Unit 4</x:v>
      </x:c>
      <x:c r="F723" s="11" t="n">
        <x:v>2</x:v>
      </x:c>
      <x:c r="G723" s="11" t="n">
        <x:v>2</x:v>
      </x:c>
      <x:c r="H723" s="11" t="n">
        <x:v>0</x:v>
      </x:c>
      <x:c r="I723" s="17" t="n">
        <x:f>INDEX('Costing'!$P$9:$P$492,MATCH(D723,'Costing'!$A$9:$A$492,0))</x:f>
        <x:v>30000</x:v>
      </x:c>
      <x:c r="J723" s="17" t="n">
        <x:f>ROUND(I723*'Costing'!$C$4,2)</x:f>
        <x:v>5400</x:v>
      </x:c>
      <x:c r="K723" s="17" t="n">
        <x:f>I723+J723</x:f>
        <x:v>35400</x:v>
      </x:c>
    </x:row>
    <x:row r="724" ht="46" customHeight="1">
      <x:c r="A724" s="2" t="str">
        <x:v>Indicative size</x:v>
      </x:c>
      <x:c r="B724" s="2" t="str">
        <x:v>Mixed business audience</x:v>
      </x:c>
      <x:c r="C724" s="12" t="str">
        <x:v>Bengaluru</x:v>
      </x:c>
      <x:c r="D724" s="12" t="str">
        <x:v>MAIN-089</x:v>
      </x:c>
      <x:c r="E724" s="12" t="str">
        <x:v>Startuphuts- Unit 6</x:v>
      </x:c>
      <x:c r="F724" s="11" t="n">
        <x:v>1</x:v>
      </x:c>
      <x:c r="G724" s="11" t="n">
        <x:v>1</x:v>
      </x:c>
      <x:c r="H724" s="11" t="n">
        <x:v>0</x:v>
      </x:c>
      <x:c r="I724" s="17" t="n">
        <x:f>INDEX('Costing'!$P$9:$P$492,MATCH(D724,'Costing'!$A$9:$A$492,0))</x:f>
        <x:v>15000</x:v>
      </x:c>
      <x:c r="J724" s="17" t="n">
        <x:f>ROUND(I724*'Costing'!$C$4,2)</x:f>
        <x:v>2700</x:v>
      </x:c>
      <x:c r="K724" s="17" t="n">
        <x:f>I724+J724</x:f>
        <x:v>17700</x:v>
      </x:c>
    </x:row>
    <x:row r="725" ht="46" customHeight="1">
      <x:c r="A725" s="2" t="str">
        <x:v>Indicative size</x:v>
      </x:c>
      <x:c r="B725" s="2" t="str">
        <x:v>Mixed business audience</x:v>
      </x:c>
      <x:c r="C725" s="12" t="str">
        <x:v>Bengaluru</x:v>
      </x:c>
      <x:c r="D725" s="12" t="str">
        <x:v>MAIN-090</x:v>
      </x:c>
      <x:c r="E725" s="12" t="str">
        <x:v>Startuphuts- Unit 7</x:v>
      </x:c>
      <x:c r="F725" s="11" t="n">
        <x:v>2</x:v>
      </x:c>
      <x:c r="G725" s="11" t="n">
        <x:v>2</x:v>
      </x:c>
      <x:c r="H725" s="11" t="n">
        <x:v>0</x:v>
      </x:c>
      <x:c r="I725" s="17" t="n">
        <x:f>INDEX('Costing'!$P$9:$P$492,MATCH(D725,'Costing'!$A$9:$A$492,0))</x:f>
        <x:v>30000</x:v>
      </x:c>
      <x:c r="J725" s="17" t="n">
        <x:f>ROUND(I725*'Costing'!$C$4,2)</x:f>
        <x:v>5400</x:v>
      </x:c>
      <x:c r="K725" s="17" t="n">
        <x:f>I725+J725</x:f>
        <x:v>35400</x:v>
      </x:c>
    </x:row>
    <x:row r="726" ht="46" customHeight="1">
      <x:c r="A726" s="2" t="str">
        <x:v>Indicative size</x:v>
      </x:c>
      <x:c r="B726" s="2" t="str">
        <x:v>Mixed business audience</x:v>
      </x:c>
      <x:c r="C726" s="12" t="str">
        <x:v>Bengaluru</x:v>
      </x:c>
      <x:c r="D726" s="12" t="str">
        <x:v>MAIN-092</x:v>
      </x:c>
      <x:c r="E726" s="12" t="str">
        <x:v>The Cube (Karle)It Park (Pod Screens)</x:v>
      </x:c>
      <x:c r="F726" s="11" t="n">
        <x:v>2</x:v>
      </x:c>
      <x:c r="G726" s="11" t="n">
        <x:v>2</x:v>
      </x:c>
      <x:c r="H726" s="11" t="n">
        <x:v>0</x:v>
      </x:c>
      <x:c r="I726" s="17" t="n">
        <x:f>INDEX('Costing'!$P$9:$P$492,MATCH(D726,'Costing'!$A$9:$A$492,0))</x:f>
        <x:v>40000</x:v>
      </x:c>
      <x:c r="J726" s="17" t="n">
        <x:f>ROUND(I726*'Costing'!$C$4,2)</x:f>
        <x:v>7200</x:v>
      </x:c>
      <x:c r="K726" s="17" t="n">
        <x:f>I726+J726</x:f>
        <x:v>47200</x:v>
      </x:c>
    </x:row>
    <x:row r="727" ht="46" customHeight="1">
      <x:c r="A727" s="2" t="str">
        <x:v>Indicative size</x:v>
      </x:c>
      <x:c r="B727" s="2" t="str">
        <x:v>Mixed business audience</x:v>
      </x:c>
      <x:c r="C727" s="12" t="str">
        <x:v>Bengaluru</x:v>
      </x:c>
      <x:c r="D727" s="12" t="str">
        <x:v>MAIN-093</x:v>
      </x:c>
      <x:c r="E727" s="12" t="str">
        <x:v>The Venture Studios</x:v>
      </x:c>
      <x:c r="F727" s="11" t="n">
        <x:v>1</x:v>
      </x:c>
      <x:c r="G727" s="11" t="n">
        <x:v>1</x:v>
      </x:c>
      <x:c r="H727" s="11" t="n">
        <x:v>0</x:v>
      </x:c>
      <x:c r="I727" s="17" t="n">
        <x:f>INDEX('Costing'!$P$9:$P$492,MATCH(D727,'Costing'!$A$9:$A$492,0))</x:f>
        <x:v>15000</x:v>
      </x:c>
      <x:c r="J727" s="17" t="n">
        <x:f>ROUND(I727*'Costing'!$C$4,2)</x:f>
        <x:v>2700</x:v>
      </x:c>
      <x:c r="K727" s="17" t="n">
        <x:f>I727+J727</x:f>
        <x:v>17700</x:v>
      </x:c>
    </x:row>
    <x:row r="728" ht="46" customHeight="1">
      <x:c r="A728" s="2" t="str">
        <x:v>Indicative size</x:v>
      </x:c>
      <x:c r="B728" s="2" t="str">
        <x:v>Mixed business audience</x:v>
      </x:c>
      <x:c r="C728" s="12" t="str">
        <x:v>Bengaluru</x:v>
      </x:c>
      <x:c r="D728" s="12" t="str">
        <x:v>MAIN-094</x:v>
      </x:c>
      <x:c r="E728" s="12" t="str">
        <x:v>UB City</x:v>
      </x:c>
      <x:c r="F728" s="11" t="n">
        <x:v>1</x:v>
      </x:c>
      <x:c r="G728" s="11" t="n">
        <x:v>1</x:v>
      </x:c>
      <x:c r="H728" s="11" t="n">
        <x:v>0</x:v>
      </x:c>
      <x:c r="I728" s="17" t="n">
        <x:f>INDEX('Costing'!$P$9:$P$492,MATCH(D728,'Costing'!$A$9:$A$492,0))</x:f>
        <x:v>40000</x:v>
      </x:c>
      <x:c r="J728" s="17" t="n">
        <x:f>ROUND(I728*'Costing'!$C$4,2)</x:f>
        <x:v>7200</x:v>
      </x:c>
      <x:c r="K728" s="17" t="n">
        <x:f>I728+J728</x:f>
        <x:v>47200</x:v>
      </x:c>
    </x:row>
    <x:row r="729" ht="46" customHeight="1">
      <x:c r="A729" s="2" t="str">
        <x:v>Indicative size</x:v>
      </x:c>
      <x:c r="B729" s="2" t="str">
        <x:v>Mixed business audience</x:v>
      </x:c>
      <x:c r="C729" s="12" t="str">
        <x:v>Bengaluru</x:v>
      </x:c>
      <x:c r="D729" s="12" t="str">
        <x:v>MAIN-103</x:v>
      </x:c>
      <x:c r="E729" s="12" t="str">
        <x:v>Urban Vault- 1086</x:v>
      </x:c>
      <x:c r="F729" s="11" t="n">
        <x:v>1</x:v>
      </x:c>
      <x:c r="G729" s="11" t="n">
        <x:v>1</x:v>
      </x:c>
      <x:c r="H729" s="11" t="n">
        <x:v>0</x:v>
      </x:c>
      <x:c r="I729" s="17" t="n">
        <x:f>INDEX('Costing'!$P$9:$P$492,MATCH(D729,'Costing'!$A$9:$A$492,0))</x:f>
        <x:v>15000</x:v>
      </x:c>
      <x:c r="J729" s="17" t="n">
        <x:f>ROUND(I729*'Costing'!$C$4,2)</x:f>
        <x:v>2700</x:v>
      </x:c>
      <x:c r="K729" s="17" t="n">
        <x:f>I729+J729</x:f>
        <x:v>17700</x:v>
      </x:c>
    </x:row>
    <x:row r="730" ht="46" customHeight="1">
      <x:c r="A730" s="2" t="str">
        <x:v>Indicative size</x:v>
      </x:c>
      <x:c r="B730" s="2" t="str">
        <x:v>Mixed business audience</x:v>
      </x:c>
      <x:c r="C730" s="12" t="str">
        <x:v>Bengaluru</x:v>
      </x:c>
      <x:c r="D730" s="12" t="str">
        <x:v>MAIN-106</x:v>
      </x:c>
      <x:c r="E730" s="12" t="str">
        <x:v>Urban Vault- 1515</x:v>
      </x:c>
      <x:c r="F730" s="11" t="n">
        <x:v>2</x:v>
      </x:c>
      <x:c r="G730" s="11" t="n">
        <x:v>2</x:v>
      </x:c>
      <x:c r="H730" s="11" t="n">
        <x:v>0</x:v>
      </x:c>
      <x:c r="I730" s="17" t="n">
        <x:f>INDEX('Costing'!$P$9:$P$492,MATCH(D730,'Costing'!$A$9:$A$492,0))</x:f>
        <x:v>30000</x:v>
      </x:c>
      <x:c r="J730" s="17" t="n">
        <x:f>ROUND(I730*'Costing'!$C$4,2)</x:f>
        <x:v>5400</x:v>
      </x:c>
      <x:c r="K730" s="17" t="n">
        <x:f>I730+J730</x:f>
        <x:v>35400</x:v>
      </x:c>
    </x:row>
    <x:row r="731" ht="46" customHeight="1">
      <x:c r="A731" s="2" t="str">
        <x:v>Indicative size</x:v>
      </x:c>
      <x:c r="B731" s="2" t="str">
        <x:v>Mixed business audience</x:v>
      </x:c>
      <x:c r="C731" s="12" t="str">
        <x:v>Bengaluru</x:v>
      </x:c>
      <x:c r="D731" s="12" t="str">
        <x:v>MAIN-107</x:v>
      </x:c>
      <x:c r="E731" s="12" t="str">
        <x:v>Urban Vault- 1608</x:v>
      </x:c>
      <x:c r="F731" s="11" t="n">
        <x:v>2</x:v>
      </x:c>
      <x:c r="G731" s="11" t="n">
        <x:v>2</x:v>
      </x:c>
      <x:c r="H731" s="11" t="n">
        <x:v>0</x:v>
      </x:c>
      <x:c r="I731" s="17" t="n">
        <x:f>INDEX('Costing'!$P$9:$P$492,MATCH(D731,'Costing'!$A$9:$A$492,0))</x:f>
        <x:v>30000</x:v>
      </x:c>
      <x:c r="J731" s="17" t="n">
        <x:f>ROUND(I731*'Costing'!$C$4,2)</x:f>
        <x:v>5400</x:v>
      </x:c>
      <x:c r="K731" s="17" t="n">
        <x:f>I731+J731</x:f>
        <x:v>35400</x:v>
      </x:c>
    </x:row>
    <x:row r="732" ht="46" customHeight="1">
      <x:c r="A732" s="2" t="str">
        <x:v>Indicative size</x:v>
      </x:c>
      <x:c r="B732" s="2" t="str">
        <x:v>Mixed business audience</x:v>
      </x:c>
      <x:c r="C732" s="12" t="str">
        <x:v>Bengaluru</x:v>
      </x:c>
      <x:c r="D732" s="12" t="str">
        <x:v>MAIN-109</x:v>
      </x:c>
      <x:c r="E732" s="12" t="str">
        <x:v>Urban Vault- 2907</x:v>
      </x:c>
      <x:c r="F732" s="11" t="n">
        <x:v>2</x:v>
      </x:c>
      <x:c r="G732" s="11" t="n">
        <x:v>2</x:v>
      </x:c>
      <x:c r="H732" s="11" t="n">
        <x:v>0</x:v>
      </x:c>
      <x:c r="I732" s="17" t="n">
        <x:f>INDEX('Costing'!$P$9:$P$492,MATCH(D732,'Costing'!$A$9:$A$492,0))</x:f>
        <x:v>30000</x:v>
      </x:c>
      <x:c r="J732" s="17" t="n">
        <x:f>ROUND(I732*'Costing'!$C$4,2)</x:f>
        <x:v>5400</x:v>
      </x:c>
      <x:c r="K732" s="17" t="n">
        <x:f>I732+J732</x:f>
        <x:v>35400</x:v>
      </x:c>
    </x:row>
    <x:row r="733" ht="46" customHeight="1">
      <x:c r="A733" s="2" t="str">
        <x:v>Indicative size</x:v>
      </x:c>
      <x:c r="B733" s="2" t="str">
        <x:v>Mixed business audience</x:v>
      </x:c>
      <x:c r="C733" s="12" t="str">
        <x:v>Bengaluru</x:v>
      </x:c>
      <x:c r="D733" s="12" t="str">
        <x:v>MAIN-110</x:v>
      </x:c>
      <x:c r="E733" s="12" t="str">
        <x:v>Urban Vault- 2908</x:v>
      </x:c>
      <x:c r="F733" s="11" t="n">
        <x:v>2</x:v>
      </x:c>
      <x:c r="G733" s="11" t="n">
        <x:v>2</x:v>
      </x:c>
      <x:c r="H733" s="11" t="n">
        <x:v>0</x:v>
      </x:c>
      <x:c r="I733" s="17" t="n">
        <x:f>INDEX('Costing'!$P$9:$P$492,MATCH(D733,'Costing'!$A$9:$A$492,0))</x:f>
        <x:v>30000</x:v>
      </x:c>
      <x:c r="J733" s="17" t="n">
        <x:f>ROUND(I733*'Costing'!$C$4,2)</x:f>
        <x:v>5400</x:v>
      </x:c>
      <x:c r="K733" s="17" t="n">
        <x:f>I733+J733</x:f>
        <x:v>35400</x:v>
      </x:c>
    </x:row>
    <x:row r="734" ht="46" customHeight="1">
      <x:c r="A734" s="2" t="str">
        <x:v>Indicative size</x:v>
      </x:c>
      <x:c r="B734" s="2" t="str">
        <x:v>Mixed business audience</x:v>
      </x:c>
      <x:c r="C734" s="12" t="str">
        <x:v>Bengaluru</x:v>
      </x:c>
      <x:c r="D734" s="12" t="str">
        <x:v>MAIN-100</x:v>
      </x:c>
      <x:c r="E734" s="12" t="str">
        <x:v>Urban Vault- 591</x:v>
      </x:c>
      <x:c r="F734" s="11" t="n">
        <x:v>2</x:v>
      </x:c>
      <x:c r="G734" s="11" t="n">
        <x:v>2</x:v>
      </x:c>
      <x:c r="H734" s="11" t="n">
        <x:v>0</x:v>
      </x:c>
      <x:c r="I734" s="17" t="n">
        <x:f>INDEX('Costing'!$P$9:$P$492,MATCH(D734,'Costing'!$A$9:$A$492,0))</x:f>
        <x:v>30000</x:v>
      </x:c>
      <x:c r="J734" s="17" t="n">
        <x:f>ROUND(I734*'Costing'!$C$4,2)</x:f>
        <x:v>5400</x:v>
      </x:c>
      <x:c r="K734" s="17" t="n">
        <x:f>I734+J734</x:f>
        <x:v>35400</x:v>
      </x:c>
    </x:row>
    <x:row r="735" ht="46" customHeight="1">
      <x:c r="A735" s="2" t="str">
        <x:v>Indicative size</x:v>
      </x:c>
      <x:c r="B735" s="2" t="str">
        <x:v>Mixed business audience</x:v>
      </x:c>
      <x:c r="C735" s="12" t="str">
        <x:v>Bengaluru</x:v>
      </x:c>
      <x:c r="D735" s="12" t="str">
        <x:v>MAIN-095</x:v>
      </x:c>
      <x:c r="E735" s="12" t="str">
        <x:v>Urban Vault- 6/A</x:v>
      </x:c>
      <x:c r="F735" s="11" t="n">
        <x:v>2</x:v>
      </x:c>
      <x:c r="G735" s="11" t="n">
        <x:v>2</x:v>
      </x:c>
      <x:c r="H735" s="11" t="n">
        <x:v>0</x:v>
      </x:c>
      <x:c r="I735" s="17" t="n">
        <x:f>INDEX('Costing'!$P$9:$P$492,MATCH(D735,'Costing'!$A$9:$A$492,0))</x:f>
        <x:v>30000</x:v>
      </x:c>
      <x:c r="J735" s="17" t="n">
        <x:f>ROUND(I735*'Costing'!$C$4,2)</x:f>
        <x:v>5400</x:v>
      </x:c>
      <x:c r="K735" s="17" t="n">
        <x:f>I735+J735</x:f>
        <x:v>35400</x:v>
      </x:c>
    </x:row>
    <x:row r="736" ht="46" customHeight="1">
      <x:c r="A736" s="2" t="str">
        <x:v>Indicative size</x:v>
      </x:c>
      <x:c r="B736" s="2" t="str">
        <x:v>Mixed business audience</x:v>
      </x:c>
      <x:c r="C736" s="12" t="str">
        <x:v>Bengaluru</x:v>
      </x:c>
      <x:c r="D736" s="12" t="str">
        <x:v>MAIN-111</x:v>
      </x:c>
      <x:c r="E736" s="12" t="str">
        <x:v>Urban Vault- Head Quarters</x:v>
      </x:c>
      <x:c r="F736" s="11" t="n">
        <x:v>1</x:v>
      </x:c>
      <x:c r="G736" s="11" t="n">
        <x:v>1</x:v>
      </x:c>
      <x:c r="H736" s="11" t="n">
        <x:v>0</x:v>
      </x:c>
      <x:c r="I736" s="17" t="n">
        <x:f>INDEX('Costing'!$P$9:$P$492,MATCH(D736,'Costing'!$A$9:$A$492,0))</x:f>
        <x:v>15000</x:v>
      </x:c>
      <x:c r="J736" s="17" t="n">
        <x:f>ROUND(I736*'Costing'!$C$4,2)</x:f>
        <x:v>2700</x:v>
      </x:c>
      <x:c r="K736" s="17" t="n">
        <x:f>I736+J736</x:f>
        <x:v>17700</x:v>
      </x:c>
    </x:row>
    <x:row r="737" ht="46" customHeight="1">
      <x:c r="A737" s="2" t="str">
        <x:v>Indicative size</x:v>
      </x:c>
      <x:c r="B737" s="2" t="str">
        <x:v>Mixed business audience</x:v>
      </x:c>
      <x:c r="C737" s="12" t="str">
        <x:v>Bengaluru</x:v>
      </x:c>
      <x:c r="D737" s="12" t="str">
        <x:v>MAIN-112</x:v>
      </x:c>
      <x:c r="E737" s="12" t="str">
        <x:v>WeWork - Cherry Hills</x:v>
      </x:c>
      <x:c r="F737" s="11" t="n">
        <x:v>1</x:v>
      </x:c>
      <x:c r="G737" s="11" t="n">
        <x:v>1</x:v>
      </x:c>
      <x:c r="H737" s="11" t="n">
        <x:v>0</x:v>
      </x:c>
      <x:c r="I737" s="17" t="n">
        <x:f>INDEX('Costing'!$P$9:$P$492,MATCH(D737,'Costing'!$A$9:$A$492,0))</x:f>
        <x:v>25000</x:v>
      </x:c>
      <x:c r="J737" s="17" t="n">
        <x:f>ROUND(I737*'Costing'!$C$4,2)</x:f>
        <x:v>4500</x:v>
      </x:c>
      <x:c r="K737" s="17" t="n">
        <x:f>I737+J737</x:f>
        <x:v>29500</x:v>
      </x:c>
    </x:row>
    <x:row r="738" ht="46" customHeight="1">
      <x:c r="A738" s="2" t="str">
        <x:v>Indicative size</x:v>
      </x:c>
      <x:c r="B738" s="2" t="str">
        <x:v>Mixed business audience</x:v>
      </x:c>
      <x:c r="C738" s="12" t="str">
        <x:v>Bengaluru</x:v>
      </x:c>
      <x:c r="D738" s="12" t="str">
        <x:v>MAIN-113</x:v>
      </x:c>
      <x:c r="E738" s="12" t="str">
        <x:v>WeWork - EGL</x:v>
      </x:c>
      <x:c r="F738" s="11" t="n">
        <x:v>4</x:v>
      </x:c>
      <x:c r="G738" s="11" t="n">
        <x:v>4</x:v>
      </x:c>
      <x:c r="H738" s="11" t="n">
        <x:v>0</x:v>
      </x:c>
      <x:c r="I738" s="17" t="n">
        <x:f>INDEX('Costing'!$P$9:$P$492,MATCH(D738,'Costing'!$A$9:$A$492,0))</x:f>
        <x:v>100000</x:v>
      </x:c>
      <x:c r="J738" s="17" t="n">
        <x:f>ROUND(I738*'Costing'!$C$4,2)</x:f>
        <x:v>18000</x:v>
      </x:c>
      <x:c r="K738" s="17" t="n">
        <x:f>I738+J738</x:f>
        <x:v>118000</x:v>
      </x:c>
    </x:row>
    <x:row r="739" ht="46" customHeight="1">
      <x:c r="A739" s="2" t="str">
        <x:v>Indicative size</x:v>
      </x:c>
      <x:c r="B739" s="2" t="str">
        <x:v>Mixed business audience</x:v>
      </x:c>
      <x:c r="C739" s="12" t="str">
        <x:v>Bengaluru</x:v>
      </x:c>
      <x:c r="D739" s="12" t="str">
        <x:v>MAIN-114</x:v>
      </x:c>
      <x:c r="E739" s="12" t="str">
        <x:v>Wework - Embassy One</x:v>
      </x:c>
      <x:c r="F739" s="11" t="n">
        <x:v>2</x:v>
      </x:c>
      <x:c r="G739" s="11" t="n">
        <x:v>2</x:v>
      </x:c>
      <x:c r="H739" s="11" t="n">
        <x:v>0</x:v>
      </x:c>
      <x:c r="I739" s="17" t="n">
        <x:f>INDEX('Costing'!$P$9:$P$492,MATCH(D739,'Costing'!$A$9:$A$492,0))</x:f>
        <x:v>50000</x:v>
      </x:c>
      <x:c r="J739" s="17" t="n">
        <x:f>ROUND(I739*'Costing'!$C$4,2)</x:f>
        <x:v>9000</x:v>
      </x:c>
      <x:c r="K739" s="17" t="n">
        <x:f>I739+J739</x:f>
        <x:v>59000</x:v>
      </x:c>
    </x:row>
    <x:row r="740" ht="46" customHeight="1">
      <x:c r="A740" s="2" t="str">
        <x:v>Indicative size</x:v>
      </x:c>
      <x:c r="B740" s="2" t="str">
        <x:v>Mixed business audience</x:v>
      </x:c>
      <x:c r="C740" s="12" t="str">
        <x:v>Bengaluru</x:v>
      </x:c>
      <x:c r="D740" s="12" t="str">
        <x:v>MAIN-115</x:v>
      </x:c>
      <x:c r="E740" s="12" t="str">
        <x:v>Wework - Embassy Quest</x:v>
      </x:c>
      <x:c r="F740" s="11" t="n">
        <x:v>4</x:v>
      </x:c>
      <x:c r="G740" s="11" t="n">
        <x:v>4</x:v>
      </x:c>
      <x:c r="H740" s="11" t="n">
        <x:v>0</x:v>
      </x:c>
      <x:c r="I740" s="17" t="n">
        <x:f>INDEX('Costing'!$P$9:$P$492,MATCH(D740,'Costing'!$A$9:$A$492,0))</x:f>
        <x:v>100000</x:v>
      </x:c>
      <x:c r="J740" s="17" t="n">
        <x:f>ROUND(I740*'Costing'!$C$4,2)</x:f>
        <x:v>18000</x:v>
      </x:c>
      <x:c r="K740" s="17" t="n">
        <x:f>I740+J740</x:f>
        <x:v>118000</x:v>
      </x:c>
    </x:row>
    <x:row r="741" ht="46" customHeight="1">
      <x:c r="A741" s="2" t="str">
        <x:v>Indicative size</x:v>
      </x:c>
      <x:c r="B741" s="2" t="str">
        <x:v>Mixed business audience</x:v>
      </x:c>
      <x:c r="C741" s="12" t="str">
        <x:v>Bengaluru</x:v>
      </x:c>
      <x:c r="D741" s="12" t="str">
        <x:v>MAIN-116</x:v>
      </x:c>
      <x:c r="E741" s="12" t="str">
        <x:v>WeWork - ETV</x:v>
      </x:c>
      <x:c r="F741" s="11" t="n">
        <x:v>7</x:v>
      </x:c>
      <x:c r="G741" s="11" t="n">
        <x:v>7</x:v>
      </x:c>
      <x:c r="H741" s="11" t="n">
        <x:v>0</x:v>
      </x:c>
      <x:c r="I741" s="17" t="n">
        <x:f>INDEX('Costing'!$P$9:$P$492,MATCH(D741,'Costing'!$A$9:$A$492,0))</x:f>
        <x:v>175000</x:v>
      </x:c>
      <x:c r="J741" s="17" t="n">
        <x:f>ROUND(I741*'Costing'!$C$4,2)</x:f>
        <x:v>31500</x:v>
      </x:c>
      <x:c r="K741" s="17" t="n">
        <x:f>I741+J741</x:f>
        <x:v>206500</x:v>
      </x:c>
    </x:row>
    <x:row r="742" ht="46" customHeight="1">
      <x:c r="A742" s="2" t="str">
        <x:v>Indicative size</x:v>
      </x:c>
      <x:c r="B742" s="2" t="str">
        <x:v>Mixed business audience</x:v>
      </x:c>
      <x:c r="C742" s="12" t="str">
        <x:v>Bengaluru</x:v>
      </x:c>
      <x:c r="D742" s="12" t="str">
        <x:v>MAIN-117</x:v>
      </x:c>
      <x:c r="E742" s="12" t="str">
        <x:v>WeWork - Jupiter</x:v>
      </x:c>
      <x:c r="F742" s="11" t="n">
        <x:v>2</x:v>
      </x:c>
      <x:c r="G742" s="11" t="n">
        <x:v>2</x:v>
      </x:c>
      <x:c r="H742" s="11" t="n">
        <x:v>0</x:v>
      </x:c>
      <x:c r="I742" s="17" t="n">
        <x:f>INDEX('Costing'!$P$9:$P$492,MATCH(D742,'Costing'!$A$9:$A$492,0))</x:f>
        <x:v>50000</x:v>
      </x:c>
      <x:c r="J742" s="17" t="n">
        <x:f>ROUND(I742*'Costing'!$C$4,2)</x:f>
        <x:v>9000</x:v>
      </x:c>
      <x:c r="K742" s="17" t="n">
        <x:f>I742+J742</x:f>
        <x:v>59000</x:v>
      </x:c>
    </x:row>
    <x:row r="743" ht="46" customHeight="1">
      <x:c r="A743" s="2" t="str">
        <x:v>Indicative size</x:v>
      </x:c>
      <x:c r="B743" s="2" t="str">
        <x:v>Mixed business audience</x:v>
      </x:c>
      <x:c r="C743" s="12" t="str">
        <x:v>Bengaluru</x:v>
      </x:c>
      <x:c r="D743" s="12" t="str">
        <x:v>MAIN-118</x:v>
      </x:c>
      <x:c r="E743" s="12" t="str">
        <x:v>WeWork - Manyata Mahogany</x:v>
      </x:c>
      <x:c r="F743" s="11" t="n">
        <x:v>2</x:v>
      </x:c>
      <x:c r="G743" s="11" t="n">
        <x:v>2</x:v>
      </x:c>
      <x:c r="H743" s="11" t="n">
        <x:v>0</x:v>
      </x:c>
      <x:c r="I743" s="17" t="n">
        <x:f>INDEX('Costing'!$P$9:$P$492,MATCH(D743,'Costing'!$A$9:$A$492,0))</x:f>
        <x:v>50000</x:v>
      </x:c>
      <x:c r="J743" s="17" t="n">
        <x:f>ROUND(I743*'Costing'!$C$4,2)</x:f>
        <x:v>9000</x:v>
      </x:c>
      <x:c r="K743" s="17" t="n">
        <x:f>I743+J743</x:f>
        <x:v>59000</x:v>
      </x:c>
    </x:row>
    <x:row r="744" ht="46" customHeight="1">
      <x:c r="A744" s="2" t="str">
        <x:v>Indicative size</x:v>
      </x:c>
      <x:c r="B744" s="2" t="str">
        <x:v>Mixed business audience</x:v>
      </x:c>
      <x:c r="C744" s="12" t="str">
        <x:v>Bengaluru</x:v>
      </x:c>
      <x:c r="D744" s="12" t="str">
        <x:v>MAIN-119</x:v>
      </x:c>
      <x:c r="E744" s="12" t="str">
        <x:v>WeWork - Prestige Atlanta</x:v>
      </x:c>
      <x:c r="F744" s="11" t="n">
        <x:v>5</x:v>
      </x:c>
      <x:c r="G744" s="11" t="n">
        <x:v>5</x:v>
      </x:c>
      <x:c r="H744" s="11" t="n">
        <x:v>0</x:v>
      </x:c>
      <x:c r="I744" s="17" t="n">
        <x:f>INDEX('Costing'!$P$9:$P$492,MATCH(D744,'Costing'!$A$9:$A$492,0))</x:f>
        <x:v>125000</x:v>
      </x:c>
      <x:c r="J744" s="17" t="n">
        <x:f>ROUND(I744*'Costing'!$C$4,2)</x:f>
        <x:v>22500</x:v>
      </x:c>
      <x:c r="K744" s="17" t="n">
        <x:f>I744+J744</x:f>
        <x:v>147500</x:v>
      </x:c>
    </x:row>
    <x:row r="745" ht="46" customHeight="1">
      <x:c r="A745" s="2" t="str">
        <x:v>Indicative size</x:v>
      </x:c>
      <x:c r="B745" s="2" t="str">
        <x:v>Mixed business audience</x:v>
      </x:c>
      <x:c r="C745" s="12" t="str">
        <x:v>Bengaluru</x:v>
      </x:c>
      <x:c r="D745" s="12" t="str">
        <x:v>MAIN-120</x:v>
      </x:c>
      <x:c r="E745" s="12" t="str">
        <x:v>WeWork - Prestige Central</x:v>
      </x:c>
      <x:c r="F745" s="11" t="n">
        <x:v>8</x:v>
      </x:c>
      <x:c r="G745" s="11" t="n">
        <x:v>8</x:v>
      </x:c>
      <x:c r="H745" s="11" t="n">
        <x:v>0</x:v>
      </x:c>
      <x:c r="I745" s="17" t="n">
        <x:f>INDEX('Costing'!$P$9:$P$492,MATCH(D745,'Costing'!$A$9:$A$492,0))</x:f>
        <x:v>200000</x:v>
      </x:c>
      <x:c r="J745" s="17" t="n">
        <x:f>ROUND(I745*'Costing'!$C$4,2)</x:f>
        <x:v>36000</x:v>
      </x:c>
      <x:c r="K745" s="17" t="n">
        <x:f>I745+J745</x:f>
        <x:v>236000</x:v>
      </x:c>
    </x:row>
    <x:row r="746" ht="46" customHeight="1">
      <x:c r="A746" s="2" t="str">
        <x:v>Indicative size</x:v>
      </x:c>
      <x:c r="B746" s="2" t="str">
        <x:v>Mixed business audience</x:v>
      </x:c>
      <x:c r="C746" s="12" t="str">
        <x:v>Bengaluru</x:v>
      </x:c>
      <x:c r="D746" s="12" t="str">
        <x:v>MAIN-123</x:v>
      </x:c>
      <x:c r="E746" s="12" t="str">
        <x:v>WeWork - Redwood</x:v>
      </x:c>
      <x:c r="F746" s="11" t="n">
        <x:v>2</x:v>
      </x:c>
      <x:c r="G746" s="11" t="n">
        <x:v>2</x:v>
      </x:c>
      <x:c r="H746" s="11" t="n">
        <x:v>0</x:v>
      </x:c>
      <x:c r="I746" s="17" t="n">
        <x:f>INDEX('Costing'!$P$9:$P$492,MATCH(D746,'Costing'!$A$9:$A$492,0))</x:f>
        <x:v>50000</x:v>
      </x:c>
      <x:c r="J746" s="17" t="n">
        <x:f>ROUND(I746*'Costing'!$C$4,2)</x:f>
        <x:v>9000</x:v>
      </x:c>
      <x:c r="K746" s="17" t="n">
        <x:f>I746+J746</x:f>
        <x:v>59000</x:v>
      </x:c>
    </x:row>
    <x:row r="747" ht="46" customHeight="1">
      <x:c r="A747" s="2" t="str">
        <x:v>Indicative size</x:v>
      </x:c>
      <x:c r="B747" s="2" t="str">
        <x:v>Mixed business audience</x:v>
      </x:c>
      <x:c r="C747" s="12" t="str">
        <x:v>Bengaluru</x:v>
      </x:c>
      <x:c r="D747" s="12" t="str">
        <x:v>MAIN-124</x:v>
      </x:c>
      <x:c r="E747" s="12" t="str">
        <x:v>WeWork - RMZ Latitude</x:v>
      </x:c>
      <x:c r="F747" s="11" t="n">
        <x:v>4</x:v>
      </x:c>
      <x:c r="G747" s="11" t="n">
        <x:v>4</x:v>
      </x:c>
      <x:c r="H747" s="11" t="n">
        <x:v>0</x:v>
      </x:c>
      <x:c r="I747" s="17" t="n">
        <x:f>INDEX('Costing'!$P$9:$P$492,MATCH(D747,'Costing'!$A$9:$A$492,0))</x:f>
        <x:v>100000</x:v>
      </x:c>
      <x:c r="J747" s="17" t="n">
        <x:f>ROUND(I747*'Costing'!$C$4,2)</x:f>
        <x:v>18000</x:v>
      </x:c>
      <x:c r="K747" s="17" t="n">
        <x:f>I747+J747</x:f>
        <x:v>118000</x:v>
      </x:c>
    </x:row>
    <x:row r="748" ht="46" customHeight="1">
      <x:c r="A748" s="2" t="str">
        <x:v>Indicative size</x:v>
      </x:c>
      <x:c r="B748" s="2" t="str">
        <x:v>Mixed business audience</x:v>
      </x:c>
      <x:c r="C748" s="12" t="str">
        <x:v>Bengaluru</x:v>
      </x:c>
      <x:c r="D748" s="12" t="str">
        <x:v>MAIN-125</x:v>
      </x:c>
      <x:c r="E748" s="12" t="str">
        <x:v>WeWork - Roshni TH</x:v>
      </x:c>
      <x:c r="F748" s="11" t="n">
        <x:v>2</x:v>
      </x:c>
      <x:c r="G748" s="11" t="n">
        <x:v>2</x:v>
      </x:c>
      <x:c r="H748" s="11" t="n">
        <x:v>0</x:v>
      </x:c>
      <x:c r="I748" s="17" t="n">
        <x:f>INDEX('Costing'!$P$9:$P$492,MATCH(D748,'Costing'!$A$9:$A$492,0))</x:f>
        <x:v>50000</x:v>
      </x:c>
      <x:c r="J748" s="17" t="n">
        <x:f>ROUND(I748*'Costing'!$C$4,2)</x:f>
        <x:v>9000</x:v>
      </x:c>
      <x:c r="K748" s="17" t="n">
        <x:f>I748+J748</x:f>
        <x:v>59000</x:v>
      </x:c>
    </x:row>
    <x:row r="749" ht="46" customHeight="1">
      <x:c r="A749" s="2" t="str">
        <x:v>Indicative size</x:v>
      </x:c>
      <x:c r="B749" s="2" t="str">
        <x:v>Mixed business audience</x:v>
      </x:c>
      <x:c r="C749" s="12" t="str">
        <x:v>Bengaluru</x:v>
      </x:c>
      <x:c r="D749" s="12" t="str">
        <x:v>MAIN-126</x:v>
      </x:c>
      <x:c r="E749" s="12" t="str">
        <x:v>WeWork - Salarpuria Magnificia</x:v>
      </x:c>
      <x:c r="F749" s="11" t="n">
        <x:v>8</x:v>
      </x:c>
      <x:c r="G749" s="11" t="n">
        <x:v>8</x:v>
      </x:c>
      <x:c r="H749" s="11" t="n">
        <x:v>0</x:v>
      </x:c>
      <x:c r="I749" s="17" t="n">
        <x:f>INDEX('Costing'!$P$9:$P$492,MATCH(D749,'Costing'!$A$9:$A$492,0))</x:f>
        <x:v>200000</x:v>
      </x:c>
      <x:c r="J749" s="17" t="n">
        <x:f>ROUND(I749*'Costing'!$C$4,2)</x:f>
        <x:v>36000</x:v>
      </x:c>
      <x:c r="K749" s="17" t="n">
        <x:f>I749+J749</x:f>
        <x:v>236000</x:v>
      </x:c>
    </x:row>
    <x:row r="750" ht="46" customHeight="1">
      <x:c r="A750" s="2" t="str">
        <x:v>Indicative size</x:v>
      </x:c>
      <x:c r="B750" s="2" t="str">
        <x:v>Mixed business audience</x:v>
      </x:c>
      <x:c r="C750" s="12" t="str">
        <x:v>Bengaluru</x:v>
      </x:c>
      <x:c r="D750" s="12" t="str">
        <x:v>MAIN-127</x:v>
      </x:c>
      <x:c r="E750" s="12" t="str">
        <x:v>WeWork - Salarpuria Symbiosis</x:v>
      </x:c>
      <x:c r="F750" s="11" t="n">
        <x:v>5</x:v>
      </x:c>
      <x:c r="G750" s="11" t="n">
        <x:v>5</x:v>
      </x:c>
      <x:c r="H750" s="11" t="n">
        <x:v>0</x:v>
      </x:c>
      <x:c r="I750" s="17" t="n">
        <x:f>INDEX('Costing'!$P$9:$P$492,MATCH(D750,'Costing'!$A$9:$A$492,0))</x:f>
        <x:v>125000</x:v>
      </x:c>
      <x:c r="J750" s="17" t="n">
        <x:f>ROUND(I750*'Costing'!$C$4,2)</x:f>
        <x:v>22500</x:v>
      </x:c>
      <x:c r="K750" s="17" t="n">
        <x:f>I750+J750</x:f>
        <x:v>147500</x:v>
      </x:c>
    </x:row>
    <x:row r="751" ht="46" customHeight="1">
      <x:c r="A751" s="2" t="str">
        <x:v>Indicative size</x:v>
      </x:c>
      <x:c r="B751" s="2" t="str">
        <x:v>Mixed business audience</x:v>
      </x:c>
      <x:c r="C751" s="12" t="str">
        <x:v>Bengaluru</x:v>
      </x:c>
      <x:c r="D751" s="12" t="str">
        <x:v>MAIN-128</x:v>
      </x:c>
      <x:c r="E751" s="12" t="str">
        <x:v>Wework - Sunriver</x:v>
      </x:c>
      <x:c r="F751" s="11" t="n">
        <x:v>1</x:v>
      </x:c>
      <x:c r="G751" s="11" t="n">
        <x:v>1</x:v>
      </x:c>
      <x:c r="H751" s="11" t="n">
        <x:v>0</x:v>
      </x:c>
      <x:c r="I751" s="17" t="n">
        <x:f>INDEX('Costing'!$P$9:$P$492,MATCH(D751,'Costing'!$A$9:$A$492,0))</x:f>
        <x:v>25000</x:v>
      </x:c>
      <x:c r="J751" s="17" t="n">
        <x:f>ROUND(I751*'Costing'!$C$4,2)</x:f>
        <x:v>4500</x:v>
      </x:c>
      <x:c r="K751" s="17" t="n">
        <x:f>I751+J751</x:f>
        <x:v>29500</x:v>
      </x:c>
    </x:row>
    <x:row r="752" ht="46" customHeight="1">
      <x:c r="A752" s="2" t="str">
        <x:v>Indicative size</x:v>
      </x:c>
      <x:c r="B752" s="2" t="str">
        <x:v>Mixed business audience</x:v>
      </x:c>
      <x:c r="C752" s="12" t="str">
        <x:v>Bengaluru</x:v>
      </x:c>
      <x:c r="D752" s="12" t="str">
        <x:v>MAIN-129</x:v>
      </x:c>
      <x:c r="E752" s="12" t="str">
        <x:v>WeWork - The Galaxy</x:v>
      </x:c>
      <x:c r="F752" s="11" t="n">
        <x:v>7</x:v>
      </x:c>
      <x:c r="G752" s="11" t="n">
        <x:v>7</x:v>
      </x:c>
      <x:c r="H752" s="11" t="n">
        <x:v>0</x:v>
      </x:c>
      <x:c r="I752" s="17" t="n">
        <x:f>INDEX('Costing'!$P$9:$P$492,MATCH(D752,'Costing'!$A$9:$A$492,0))</x:f>
        <x:v>175000</x:v>
      </x:c>
      <x:c r="J752" s="17" t="n">
        <x:f>ROUND(I752*'Costing'!$C$4,2)</x:f>
        <x:v>31500</x:v>
      </x:c>
      <x:c r="K752" s="17" t="n">
        <x:f>I752+J752</x:f>
        <x:v>206500</x:v>
      </x:c>
    </x:row>
    <x:row r="753" ht="46" customHeight="1">
      <x:c r="A753" s="2" t="str">
        <x:v>Indicative size</x:v>
      </x:c>
      <x:c r="B753" s="2" t="str">
        <x:v>Mixed business audience</x:v>
      </x:c>
      <x:c r="C753" s="12" t="str">
        <x:v>Bengaluru</x:v>
      </x:c>
      <x:c r="D753" s="12" t="str">
        <x:v>MAIN-130</x:v>
      </x:c>
      <x:c r="E753" s="12" t="str">
        <x:v>WeWork - The Pavilion</x:v>
      </x:c>
      <x:c r="F753" s="11" t="n">
        <x:v>4</x:v>
      </x:c>
      <x:c r="G753" s="11" t="n">
        <x:v>4</x:v>
      </x:c>
      <x:c r="H753" s="11" t="n">
        <x:v>0</x:v>
      </x:c>
      <x:c r="I753" s="17" t="n">
        <x:f>INDEX('Costing'!$P$9:$P$492,MATCH(D753,'Costing'!$A$9:$A$492,0))</x:f>
        <x:v>100000</x:v>
      </x:c>
      <x:c r="J753" s="17" t="n">
        <x:f>ROUND(I753*'Costing'!$C$4,2)</x:f>
        <x:v>18000</x:v>
      </x:c>
      <x:c r="K753" s="17" t="n">
        <x:f>I753+J753</x:f>
        <x:v>118000</x:v>
      </x:c>
    </x:row>
    <x:row r="754" ht="46" customHeight="1">
      <x:c r="A754" s="2" t="str">
        <x:v>Indicative size</x:v>
      </x:c>
      <x:c r="B754" s="2" t="str">
        <x:v>Mixed business audience</x:v>
      </x:c>
      <x:c r="C754" s="12" t="str">
        <x:v>Bengaluru</x:v>
      </x:c>
      <x:c r="D754" s="12" t="str">
        <x:v>MAIN-131</x:v>
      </x:c>
      <x:c r="E754" s="12" t="str">
        <x:v>Wework - Vaishnavi Signature</x:v>
      </x:c>
      <x:c r="F754" s="11" t="n">
        <x:v>11</x:v>
      </x:c>
      <x:c r="G754" s="11" t="n">
        <x:v>11</x:v>
      </x:c>
      <x:c r="H754" s="11" t="n">
        <x:v>0</x:v>
      </x:c>
      <x:c r="I754" s="17" t="n">
        <x:f>INDEX('Costing'!$P$9:$P$492,MATCH(D754,'Costing'!$A$9:$A$492,0))</x:f>
        <x:v>275000</x:v>
      </x:c>
      <x:c r="J754" s="17" t="n">
        <x:f>ROUND(I754*'Costing'!$C$4,2)</x:f>
        <x:v>49500</x:v>
      </x:c>
      <x:c r="K754" s="17" t="n">
        <x:f>I754+J754</x:f>
        <x:v>324500</x:v>
      </x:c>
    </x:row>
    <x:row r="755" ht="46" customHeight="1">
      <x:c r="A755" s="2" t="str">
        <x:v>Indicative size</x:v>
      </x:c>
      <x:c r="B755" s="2" t="str">
        <x:v>Mixed business audience</x:v>
      </x:c>
      <x:c r="C755" s="12" t="str">
        <x:v>Bengaluru</x:v>
      </x:c>
      <x:c r="D755" s="12" t="str">
        <x:v>MAIN-132</x:v>
      </x:c>
      <x:c r="E755" s="12" t="str">
        <x:v>WeWork-Iwf Campus</x:v>
      </x:c>
      <x:c r="F755" s="11" t="n">
        <x:v>3</x:v>
      </x:c>
      <x:c r="G755" s="11" t="n">
        <x:v>3</x:v>
      </x:c>
      <x:c r="H755" s="11" t="n">
        <x:v>0</x:v>
      </x:c>
      <x:c r="I755" s="17" t="n">
        <x:f>INDEX('Costing'!$P$9:$P$492,MATCH(D755,'Costing'!$A$9:$A$492,0))</x:f>
        <x:v>75000</x:v>
      </x:c>
      <x:c r="J755" s="17" t="n">
        <x:f>ROUND(I755*'Costing'!$C$4,2)</x:f>
        <x:v>13500</x:v>
      </x:c>
      <x:c r="K755" s="17" t="n">
        <x:f>I755+J755</x:f>
        <x:v>88500</x:v>
      </x:c>
    </x:row>
    <x:row r="756" ht="46" customHeight="1">
      <x:c r="A756" s="2" t="str">
        <x:v>Indicative size</x:v>
      </x:c>
      <x:c r="B756" s="2" t="str">
        <x:v>Mixed business audience</x:v>
      </x:c>
      <x:c r="C756" s="12" t="str">
        <x:v>Bengaluru</x:v>
      </x:c>
      <x:c r="D756" s="12" t="str">
        <x:v>MAIN-133</x:v>
      </x:c>
      <x:c r="E756" s="12" t="str">
        <x:v>Workflow by Oyo - Ranka</x:v>
      </x:c>
      <x:c r="F756" s="11" t="n">
        <x:v>2</x:v>
      </x:c>
      <x:c r="G756" s="11" t="n">
        <x:v>2</x:v>
      </x:c>
      <x:c r="H756" s="11" t="n">
        <x:v>0</x:v>
      </x:c>
      <x:c r="I756" s="17" t="n">
        <x:f>INDEX('Costing'!$P$9:$P$492,MATCH(D756,'Costing'!$A$9:$A$492,0))</x:f>
        <x:v>30000</x:v>
      </x:c>
      <x:c r="J756" s="17" t="n">
        <x:f>ROUND(I756*'Costing'!$C$4,2)</x:f>
        <x:v>5400</x:v>
      </x:c>
      <x:c r="K756" s="17" t="n">
        <x:f>I756+J756</x:f>
        <x:v>35400</x:v>
      </x:c>
    </x:row>
    <x:row r="757" ht="46" customHeight="1">
      <x:c r="A757" s="2" t="str">
        <x:v>Indicative size</x:v>
      </x:c>
      <x:c r="B757" s="2" t="str">
        <x:v>Mixed business audience</x:v>
      </x:c>
      <x:c r="C757" s="12" t="str">
        <x:v>Bengaluru</x:v>
      </x:c>
      <x:c r="D757" s="12" t="str">
        <x:v>MAIN-134</x:v>
      </x:c>
      <x:c r="E757" s="12" t="str">
        <x:v>Workhome - Coworking Space</x:v>
      </x:c>
      <x:c r="F757" s="11" t="n">
        <x:v>2</x:v>
      </x:c>
      <x:c r="G757" s="11" t="n">
        <x:v>2</x:v>
      </x:c>
      <x:c r="H757" s="11" t="n">
        <x:v>0</x:v>
      </x:c>
      <x:c r="I757" s="17" t="n">
        <x:f>INDEX('Costing'!$P$9:$P$492,MATCH(D757,'Costing'!$A$9:$A$492,0))</x:f>
        <x:v>30000</x:v>
      </x:c>
      <x:c r="J757" s="17" t="n">
        <x:f>ROUND(I757*'Costing'!$C$4,2)</x:f>
        <x:v>5400</x:v>
      </x:c>
      <x:c r="K757" s="17" t="n">
        <x:f>I757+J757</x:f>
        <x:v>35400</x:v>
      </x:c>
    </x:row>
    <x:row r="758" ht="46" customHeight="1">
      <x:c r="A758" s="2" t="str">
        <x:v>Indicative size</x:v>
      </x:c>
      <x:c r="B758" s="2" t="str">
        <x:v>Mixed business audience</x:v>
      </x:c>
      <x:c r="C758" s="12" t="str">
        <x:v>Chennai</x:v>
      </x:c>
      <x:c r="D758" s="12" t="str">
        <x:v>MAIN-138</x:v>
      </x:c>
      <x:c r="E758" s="12" t="str">
        <x:v>Arihant Verge Global Park (Pod Screens)</x:v>
      </x:c>
      <x:c r="F758" s="11" t="n">
        <x:v>2</x:v>
      </x:c>
      <x:c r="G758" s="11" t="n">
        <x:v>2</x:v>
      </x:c>
      <x:c r="H758" s="11" t="n">
        <x:v>0</x:v>
      </x:c>
      <x:c r="I758" s="17" t="n">
        <x:f>INDEX('Costing'!$P$9:$P$492,MATCH(D758,'Costing'!$A$9:$A$492,0))</x:f>
        <x:v>40000</x:v>
      </x:c>
      <x:c r="J758" s="17" t="n">
        <x:f>ROUND(I758*'Costing'!$C$4,2)</x:f>
        <x:v>7200</x:v>
      </x:c>
      <x:c r="K758" s="17" t="n">
        <x:f>I758+J758</x:f>
        <x:v>47200</x:v>
      </x:c>
    </x:row>
    <x:row r="759" ht="46" customHeight="1">
      <x:c r="A759" s="2" t="str">
        <x:v>Indicative size</x:v>
      </x:c>
      <x:c r="B759" s="2" t="str">
        <x:v>Mixed business audience</x:v>
      </x:c>
      <x:c r="C759" s="12" t="str">
        <x:v>Chennai</x:v>
      </x:c>
      <x:c r="D759" s="12" t="str">
        <x:v>MAIN-139</x:v>
      </x:c>
      <x:c r="E759" s="12" t="str">
        <x:v>Awfis - Gemini Circle</x:v>
      </x:c>
      <x:c r="F759" s="11" t="n">
        <x:v>5</x:v>
      </x:c>
      <x:c r="G759" s="11" t="n">
        <x:v>5</x:v>
      </x:c>
      <x:c r="H759" s="11" t="n">
        <x:v>0</x:v>
      </x:c>
      <x:c r="I759" s="17" t="n">
        <x:f>INDEX('Costing'!$P$9:$P$492,MATCH(D759,'Costing'!$A$9:$A$492,0))</x:f>
        <x:v>75000</x:v>
      </x:c>
      <x:c r="J759" s="17" t="n">
        <x:f>ROUND(I759*'Costing'!$C$4,2)</x:f>
        <x:v>13500</x:v>
      </x:c>
      <x:c r="K759" s="17" t="n">
        <x:f>I759+J759</x:f>
        <x:v>88500</x:v>
      </x:c>
    </x:row>
    <x:row r="760" ht="46" customHeight="1">
      <x:c r="A760" s="2" t="str">
        <x:v>Indicative size</x:v>
      </x:c>
      <x:c r="B760" s="2" t="str">
        <x:v>Mixed business audience</x:v>
      </x:c>
      <x:c r="C760" s="12" t="str">
        <x:v>Chennai</x:v>
      </x:c>
      <x:c r="D760" s="12" t="str">
        <x:v>MAIN-140</x:v>
      </x:c>
      <x:c r="E760" s="12" t="str">
        <x:v>Awfis - OMR</x:v>
      </x:c>
      <x:c r="F760" s="11" t="n">
        <x:v>7</x:v>
      </x:c>
      <x:c r="G760" s="11" t="n">
        <x:v>7</x:v>
      </x:c>
      <x:c r="H760" s="11" t="n">
        <x:v>0</x:v>
      </x:c>
      <x:c r="I760" s="17" t="n">
        <x:f>INDEX('Costing'!$P$9:$P$492,MATCH(D760,'Costing'!$A$9:$A$492,0))</x:f>
        <x:v>105000</x:v>
      </x:c>
      <x:c r="J760" s="17" t="n">
        <x:f>ROUND(I760*'Costing'!$C$4,2)</x:f>
        <x:v>18900</x:v>
      </x:c>
      <x:c r="K760" s="17" t="n">
        <x:f>I760+J760</x:f>
        <x:v>123900</x:v>
      </x:c>
    </x:row>
    <x:row r="761" ht="46" customHeight="1">
      <x:c r="A761" s="2" t="str">
        <x:v>Indicative size</x:v>
      </x:c>
      <x:c r="B761" s="2" t="str">
        <x:v>Mixed business audience</x:v>
      </x:c>
      <x:c r="C761" s="12" t="str">
        <x:v>Chennai</x:v>
      </x:c>
      <x:c r="D761" s="12" t="str">
        <x:v>MAIN-141</x:v>
      </x:c>
      <x:c r="E761" s="12" t="str">
        <x:v>Awfis - Prestige Cosmopolitan-I</x:v>
      </x:c>
      <x:c r="F761" s="11" t="n">
        <x:v>4</x:v>
      </x:c>
      <x:c r="G761" s="11" t="n">
        <x:v>4</x:v>
      </x:c>
      <x:c r="H761" s="11" t="n">
        <x:v>0</x:v>
      </x:c>
      <x:c r="I761" s="17" t="n">
        <x:f>INDEX('Costing'!$P$9:$P$492,MATCH(D761,'Costing'!$A$9:$A$492,0))</x:f>
        <x:v>60000</x:v>
      </x:c>
      <x:c r="J761" s="17" t="n">
        <x:f>ROUND(I761*'Costing'!$C$4,2)</x:f>
        <x:v>10800</x:v>
      </x:c>
      <x:c r="K761" s="17" t="n">
        <x:f>I761+J761</x:f>
        <x:v>70800</x:v>
      </x:c>
    </x:row>
    <x:row r="762" ht="46" customHeight="1">
      <x:c r="A762" s="2" t="str">
        <x:v>Indicative size</x:v>
      </x:c>
      <x:c r="B762" s="2" t="str">
        <x:v>Mixed business audience</x:v>
      </x:c>
      <x:c r="C762" s="12" t="str">
        <x:v>Chennai</x:v>
      </x:c>
      <x:c r="D762" s="12" t="str">
        <x:v>MAIN-142</x:v>
      </x:c>
      <x:c r="E762" s="12" t="str">
        <x:v>Awfis - Sierra</x:v>
      </x:c>
      <x:c r="F762" s="11" t="n">
        <x:v>3</x:v>
      </x:c>
      <x:c r="G762" s="11" t="n">
        <x:v>3</x:v>
      </x:c>
      <x:c r="H762" s="11" t="n">
        <x:v>0</x:v>
      </x:c>
      <x:c r="I762" s="17" t="n">
        <x:f>INDEX('Costing'!$P$9:$P$492,MATCH(D762,'Costing'!$A$9:$A$492,0))</x:f>
        <x:v>45000</x:v>
      </x:c>
      <x:c r="J762" s="17" t="n">
        <x:f>ROUND(I762*'Costing'!$C$4,2)</x:f>
        <x:v>8100</x:v>
      </x:c>
      <x:c r="K762" s="17" t="n">
        <x:f>I762+J762</x:f>
        <x:v>53100</x:v>
      </x:c>
    </x:row>
    <x:row r="763" ht="46" customHeight="1">
      <x:c r="A763" s="2" t="str">
        <x:v>Indicative size</x:v>
      </x:c>
      <x:c r="B763" s="2" t="str">
        <x:v>Mixed business audience</x:v>
      </x:c>
      <x:c r="C763" s="12" t="str">
        <x:v>Chennai</x:v>
      </x:c>
      <x:c r="D763" s="12" t="str">
        <x:v>MAIN-143</x:v>
      </x:c>
      <x:c r="E763" s="12" t="str">
        <x:v>Bharati Vilas Tech Park</x:v>
      </x:c>
      <x:c r="F763" s="11" t="n">
        <x:v>2</x:v>
      </x:c>
      <x:c r="G763" s="11" t="n">
        <x:v>2</x:v>
      </x:c>
      <x:c r="H763" s="11" t="n">
        <x:v>0</x:v>
      </x:c>
      <x:c r="I763" s="17" t="n">
        <x:f>INDEX('Costing'!$P$9:$P$492,MATCH(D763,'Costing'!$A$9:$A$492,0))</x:f>
        <x:v>40000</x:v>
      </x:c>
      <x:c r="J763" s="17" t="n">
        <x:f>ROUND(I763*'Costing'!$C$4,2)</x:f>
        <x:v>7200</x:v>
      </x:c>
      <x:c r="K763" s="17" t="n">
        <x:f>I763+J763</x:f>
        <x:v>47200</x:v>
      </x:c>
    </x:row>
    <x:row r="764" ht="46" customHeight="1">
      <x:c r="A764" s="2" t="str">
        <x:v>Indicative size</x:v>
      </x:c>
      <x:c r="B764" s="2" t="str">
        <x:v>Mixed business audience</x:v>
      </x:c>
      <x:c r="C764" s="12" t="str">
        <x:v>Chennai</x:v>
      </x:c>
      <x:c r="D764" s="12" t="str">
        <x:v>MAIN-144</x:v>
      </x:c>
      <x:c r="E764" s="12" t="str">
        <x:v>Bharati Vilas Tech Park(POD Screens)</x:v>
      </x:c>
      <x:c r="F764" s="11" t="n">
        <x:v>1</x:v>
      </x:c>
      <x:c r="G764" s="11" t="n">
        <x:v>1</x:v>
      </x:c>
      <x:c r="H764" s="11" t="n">
        <x:v>0</x:v>
      </x:c>
      <x:c r="I764" s="17" t="n">
        <x:f>INDEX('Costing'!$P$9:$P$492,MATCH(D764,'Costing'!$A$9:$A$492,0))</x:f>
        <x:v>20000</x:v>
      </x:c>
      <x:c r="J764" s="17" t="n">
        <x:f>ROUND(I764*'Costing'!$C$4,2)</x:f>
        <x:v>3600</x:v>
      </x:c>
      <x:c r="K764" s="17" t="n">
        <x:f>I764+J764</x:f>
        <x:v>23600</x:v>
      </x:c>
    </x:row>
    <x:row r="765" ht="46" customHeight="1">
      <x:c r="A765" s="2" t="str">
        <x:v>Indicative size</x:v>
      </x:c>
      <x:c r="B765" s="2" t="str">
        <x:v>Mixed business audience</x:v>
      </x:c>
      <x:c r="C765" s="12" t="str">
        <x:v>Chennai</x:v>
      </x:c>
      <x:c r="D765" s="12" t="str">
        <x:v>MAIN-147</x:v>
      </x:c>
      <x:c r="E765" s="12" t="str">
        <x:v>K Raheja Corp - Commerzone</x:v>
      </x:c>
      <x:c r="F765" s="11" t="n">
        <x:v>5</x:v>
      </x:c>
      <x:c r="G765" s="11" t="n">
        <x:v>5</x:v>
      </x:c>
      <x:c r="H765" s="11" t="n">
        <x:v>0</x:v>
      </x:c>
      <x:c r="I765" s="17" t="n">
        <x:f>INDEX('Costing'!$P$9:$P$492,MATCH(D765,'Costing'!$A$9:$A$492,0))</x:f>
        <x:v>200000</x:v>
      </x:c>
      <x:c r="J765" s="17" t="n">
        <x:f>ROUND(I765*'Costing'!$C$4,2)</x:f>
        <x:v>36000</x:v>
      </x:c>
      <x:c r="K765" s="17" t="n">
        <x:f>I765+J765</x:f>
        <x:v>236000</x:v>
      </x:c>
    </x:row>
    <x:row r="766" ht="46" customHeight="1">
      <x:c r="A766" s="2" t="str">
        <x:v>Indicative size</x:v>
      </x:c>
      <x:c r="B766" s="2" t="str">
        <x:v>Mixed business audience</x:v>
      </x:c>
      <x:c r="C766" s="12" t="str">
        <x:v>Chennai</x:v>
      </x:c>
      <x:c r="D766" s="12" t="str">
        <x:v>MAIN-148</x:v>
      </x:c>
      <x:c r="E766" s="12" t="str">
        <x:v>Kochar Globe Tech Park</x:v>
      </x:c>
      <x:c r="F766" s="11" t="n">
        <x:v>4</x:v>
      </x:c>
      <x:c r="G766" s="11" t="n">
        <x:v>4</x:v>
      </x:c>
      <x:c r="H766" s="11" t="n">
        <x:v>0</x:v>
      </x:c>
      <x:c r="I766" s="17" t="n">
        <x:f>INDEX('Costing'!$P$9:$P$492,MATCH(D766,'Costing'!$A$9:$A$492,0))</x:f>
        <x:v>80000</x:v>
      </x:c>
      <x:c r="J766" s="17" t="n">
        <x:f>ROUND(I766*'Costing'!$C$4,2)</x:f>
        <x:v>14400</x:v>
      </x:c>
      <x:c r="K766" s="17" t="n">
        <x:f>I766+J766</x:f>
        <x:v>94400</x:v>
      </x:c>
    </x:row>
    <x:row r="767" ht="46" customHeight="1">
      <x:c r="A767" s="2" t="str">
        <x:v>Indicative size</x:v>
      </x:c>
      <x:c r="B767" s="2" t="str">
        <x:v>Mixed business audience</x:v>
      </x:c>
      <x:c r="C767" s="12" t="str">
        <x:v>Chennai</x:v>
      </x:c>
      <x:c r="D767" s="12" t="str">
        <x:v>MAIN-149</x:v>
      </x:c>
      <x:c r="E767" s="12" t="str">
        <x:v>Kochar Globe Tech Park (Pod Screens)</x:v>
      </x:c>
      <x:c r="F767" s="11" t="n">
        <x:v>2</x:v>
      </x:c>
      <x:c r="G767" s="11" t="n">
        <x:v>2</x:v>
      </x:c>
      <x:c r="H767" s="11" t="n">
        <x:v>0</x:v>
      </x:c>
      <x:c r="I767" s="17" t="n">
        <x:f>INDEX('Costing'!$P$9:$P$492,MATCH(D767,'Costing'!$A$9:$A$492,0))</x:f>
        <x:v>40000</x:v>
      </x:c>
      <x:c r="J767" s="17" t="n">
        <x:f>ROUND(I767*'Costing'!$C$4,2)</x:f>
        <x:v>7200</x:v>
      </x:c>
      <x:c r="K767" s="17" t="n">
        <x:f>I767+J767</x:f>
        <x:v>47200</x:v>
      </x:c>
    </x:row>
    <x:row r="768" ht="46" customHeight="1">
      <x:c r="A768" s="2" t="str">
        <x:v>Indicative size</x:v>
      </x:c>
      <x:c r="B768" s="2" t="str">
        <x:v>Mixed business audience</x:v>
      </x:c>
      <x:c r="C768" s="12" t="str">
        <x:v>Chennai</x:v>
      </x:c>
      <x:c r="D768" s="12" t="str">
        <x:v>MAIN-150</x:v>
      </x:c>
      <x:c r="E768" s="12" t="str">
        <x:v>Millenia Business Park 2</x:v>
      </x:c>
      <x:c r="F768" s="11" t="n">
        <x:v>2</x:v>
      </x:c>
      <x:c r="G768" s="11" t="n">
        <x:v>2</x:v>
      </x:c>
      <x:c r="H768" s="11" t="n">
        <x:v>0</x:v>
      </x:c>
      <x:c r="I768" s="17" t="n">
        <x:f>INDEX('Costing'!$P$9:$P$492,MATCH(D768,'Costing'!$A$9:$A$492,0))</x:f>
        <x:v>40000</x:v>
      </x:c>
      <x:c r="J768" s="17" t="n">
        <x:f>ROUND(I768*'Costing'!$C$4,2)</x:f>
        <x:v>7200</x:v>
      </x:c>
      <x:c r="K768" s="17" t="n">
        <x:f>I768+J768</x:f>
        <x:v>47200</x:v>
      </x:c>
    </x:row>
    <x:row r="769" ht="46" customHeight="1">
      <x:c r="A769" s="2" t="str">
        <x:v>Indicative size</x:v>
      </x:c>
      <x:c r="B769" s="2" t="str">
        <x:v>Mixed business audience</x:v>
      </x:c>
      <x:c r="C769" s="12" t="str">
        <x:v>Chennai</x:v>
      </x:c>
      <x:c r="D769" s="12" t="str">
        <x:v>MAIN-151</x:v>
      </x:c>
      <x:c r="E769" s="12" t="str">
        <x:v>Nucleus - Kosmo One</x:v>
      </x:c>
      <x:c r="F769" s="11" t="n">
        <x:v>4</x:v>
      </x:c>
      <x:c r="G769" s="11" t="n">
        <x:v>4</x:v>
      </x:c>
      <x:c r="H769" s="11" t="n">
        <x:v>0</x:v>
      </x:c>
      <x:c r="I769" s="17" t="n">
        <x:f>INDEX('Costing'!$P$9:$P$492,MATCH(D769,'Costing'!$A$9:$A$492,0))</x:f>
        <x:v>160000</x:v>
      </x:c>
      <x:c r="J769" s="17" t="n">
        <x:f>ROUND(I769*'Costing'!$C$4,2)</x:f>
        <x:v>28800</x:v>
      </x:c>
      <x:c r="K769" s="17" t="n">
        <x:f>I769+J769</x:f>
        <x:v>188800</x:v>
      </x:c>
    </x:row>
    <x:row r="770" ht="46" customHeight="1">
      <x:c r="A770" s="2" t="str">
        <x:v>Indicative size</x:v>
      </x:c>
      <x:c r="B770" s="2" t="str">
        <x:v>Mixed business audience</x:v>
      </x:c>
      <x:c r="C770" s="12" t="str">
        <x:v>Chennai</x:v>
      </x:c>
      <x:c r="D770" s="12" t="str">
        <x:v>MAIN-152</x:v>
      </x:c>
      <x:c r="E770" s="12" t="str">
        <x:v>Olympia Cyberspace</x:v>
      </x:c>
      <x:c r="F770" s="11" t="n">
        <x:v>2</x:v>
      </x:c>
      <x:c r="G770" s="11" t="n">
        <x:v>2</x:v>
      </x:c>
      <x:c r="H770" s="11" t="n">
        <x:v>0</x:v>
      </x:c>
      <x:c r="I770" s="17" t="n">
        <x:f>INDEX('Costing'!$P$9:$P$492,MATCH(D770,'Costing'!$A$9:$A$492,0))</x:f>
        <x:v>40000</x:v>
      </x:c>
      <x:c r="J770" s="17" t="n">
        <x:f>ROUND(I770*'Costing'!$C$4,2)</x:f>
        <x:v>7200</x:v>
      </x:c>
      <x:c r="K770" s="17" t="n">
        <x:f>I770+J770</x:f>
        <x:v>47200</x:v>
      </x:c>
    </x:row>
    <x:row r="771" ht="46" customHeight="1">
      <x:c r="A771" s="2" t="str">
        <x:v>Indicative size</x:v>
      </x:c>
      <x:c r="B771" s="2" t="str">
        <x:v>Mixed business audience</x:v>
      </x:c>
      <x:c r="C771" s="12" t="str">
        <x:v>Chennai</x:v>
      </x:c>
      <x:c r="D771" s="12" t="str">
        <x:v>MAIN-153</x:v>
      </x:c>
      <x:c r="E771" s="12" t="str">
        <x:v>Olympia National Tower</x:v>
      </x:c>
      <x:c r="F771" s="11" t="n">
        <x:v>4</x:v>
      </x:c>
      <x:c r="G771" s="11" t="n">
        <x:v>4</x:v>
      </x:c>
      <x:c r="H771" s="11" t="n">
        <x:v>0</x:v>
      </x:c>
      <x:c r="I771" s="17" t="n">
        <x:f>INDEX('Costing'!$P$9:$P$492,MATCH(D771,'Costing'!$A$9:$A$492,0))</x:f>
        <x:v>80000</x:v>
      </x:c>
      <x:c r="J771" s="17" t="n">
        <x:f>ROUND(I771*'Costing'!$C$4,2)</x:f>
        <x:v>14400</x:v>
      </x:c>
      <x:c r="K771" s="17" t="n">
        <x:f>I771+J771</x:f>
        <x:v>94400</x:v>
      </x:c>
    </x:row>
    <x:row r="772" ht="46" customHeight="1">
      <x:c r="A772" s="2" t="str">
        <x:v>Indicative size</x:v>
      </x:c>
      <x:c r="B772" s="2" t="str">
        <x:v>Mixed business audience</x:v>
      </x:c>
      <x:c r="C772" s="12" t="str">
        <x:v>Chennai</x:v>
      </x:c>
      <x:c r="D772" s="12" t="str">
        <x:v>MAIN-154</x:v>
      </x:c>
      <x:c r="E772" s="12" t="str">
        <x:v>Olympia National Tower (Pod Screens)</x:v>
      </x:c>
      <x:c r="F772" s="11" t="n">
        <x:v>2</x:v>
      </x:c>
      <x:c r="G772" s="11" t="n">
        <x:v>2</x:v>
      </x:c>
      <x:c r="H772" s="11" t="n">
        <x:v>0</x:v>
      </x:c>
      <x:c r="I772" s="17" t="n">
        <x:f>INDEX('Costing'!$P$9:$P$492,MATCH(D772,'Costing'!$A$9:$A$492,0))</x:f>
        <x:v>40000</x:v>
      </x:c>
      <x:c r="J772" s="17" t="n">
        <x:f>ROUND(I772*'Costing'!$C$4,2)</x:f>
        <x:v>7200</x:v>
      </x:c>
      <x:c r="K772" s="17" t="n">
        <x:f>I772+J772</x:f>
        <x:v>47200</x:v>
      </x:c>
    </x:row>
    <x:row r="773" ht="46" customHeight="1">
      <x:c r="A773" s="2" t="str">
        <x:v>Indicative size</x:v>
      </x:c>
      <x:c r="B773" s="2" t="str">
        <x:v>Mixed business audience</x:v>
      </x:c>
      <x:c r="C773" s="12" t="str">
        <x:v>Chennai</x:v>
      </x:c>
      <x:c r="D773" s="12" t="str">
        <x:v>MAIN-156</x:v>
      </x:c>
      <x:c r="E773" s="12" t="str">
        <x:v>Prestige Polygon IT Park</x:v>
      </x:c>
      <x:c r="F773" s="11" t="n">
        <x:v>1</x:v>
      </x:c>
      <x:c r="G773" s="11" t="n">
        <x:v>1</x:v>
      </x:c>
      <x:c r="H773" s="11" t="n">
        <x:v>0</x:v>
      </x:c>
      <x:c r="I773" s="17" t="n">
        <x:f>INDEX('Costing'!$P$9:$P$492,MATCH(D773,'Costing'!$A$9:$A$492,0))</x:f>
        <x:v>20000</x:v>
      </x:c>
      <x:c r="J773" s="17" t="n">
        <x:f>ROUND(I773*'Costing'!$C$4,2)</x:f>
        <x:v>3600</x:v>
      </x:c>
      <x:c r="K773" s="17" t="n">
        <x:f>I773+J773</x:f>
        <x:v>23600</x:v>
      </x:c>
    </x:row>
    <x:row r="774" ht="46" customHeight="1">
      <x:c r="A774" s="2" t="str">
        <x:v>Indicative size</x:v>
      </x:c>
      <x:c r="B774" s="2" t="str">
        <x:v>Mixed business audience</x:v>
      </x:c>
      <x:c r="C774" s="12" t="str">
        <x:v>Chennai</x:v>
      </x:c>
      <x:c r="D774" s="12" t="str">
        <x:v>MAIN-157</x:v>
      </x:c>
      <x:c r="E774" s="12" t="str">
        <x:v>Prestige Polygon Tech Park (Pod Screens)</x:v>
      </x:c>
      <x:c r="F774" s="11" t="n">
        <x:v>3</x:v>
      </x:c>
      <x:c r="G774" s="11" t="n">
        <x:v>3</x:v>
      </x:c>
      <x:c r="H774" s="11" t="n">
        <x:v>0</x:v>
      </x:c>
      <x:c r="I774" s="17" t="n">
        <x:f>INDEX('Costing'!$P$9:$P$492,MATCH(D774,'Costing'!$A$9:$A$492,0))</x:f>
        <x:v>97500</x:v>
      </x:c>
      <x:c r="J774" s="17" t="n">
        <x:f>ROUND(I774*'Costing'!$C$4,2)</x:f>
        <x:v>17550</x:v>
      </x:c>
      <x:c r="K774" s="17" t="n">
        <x:f>I774+J774</x:f>
        <x:v>115050</x:v>
      </x:c>
    </x:row>
    <x:row r="775" ht="46" customHeight="1">
      <x:c r="A775" s="2" t="str">
        <x:v>Indicative size</x:v>
      </x:c>
      <x:c r="B775" s="2" t="str">
        <x:v>Mixed business audience</x:v>
      </x:c>
      <x:c r="C775" s="12" t="str">
        <x:v>Chennai</x:v>
      </x:c>
      <x:c r="D775" s="12" t="str">
        <x:v>MAIN-158</x:v>
      </x:c>
      <x:c r="E775" s="12" t="str">
        <x:v>Prestige Zackria Metropolitan</x:v>
      </x:c>
      <x:c r="F775" s="11" t="n">
        <x:v>2</x:v>
      </x:c>
      <x:c r="G775" s="11" t="n">
        <x:v>2</x:v>
      </x:c>
      <x:c r="H775" s="11" t="n">
        <x:v>0</x:v>
      </x:c>
      <x:c r="I775" s="17" t="n">
        <x:f>INDEX('Costing'!$P$9:$P$492,MATCH(D775,'Costing'!$A$9:$A$492,0))</x:f>
        <x:v>40000</x:v>
      </x:c>
      <x:c r="J775" s="17" t="n">
        <x:f>ROUND(I775*'Costing'!$C$4,2)</x:f>
        <x:v>7200</x:v>
      </x:c>
      <x:c r="K775" s="17" t="n">
        <x:f>I775+J775</x:f>
        <x:v>47200</x:v>
      </x:c>
    </x:row>
    <x:row r="776" ht="46" customHeight="1">
      <x:c r="A776" s="2" t="str">
        <x:v>Indicative size</x:v>
      </x:c>
      <x:c r="B776" s="2" t="str">
        <x:v>Mixed business audience</x:v>
      </x:c>
      <x:c r="C776" s="12" t="str">
        <x:v>Chennai</x:v>
      </x:c>
      <x:c r="D776" s="12" t="str">
        <x:v>MAIN-159</x:v>
      </x:c>
      <x:c r="E776" s="12" t="str">
        <x:v>Wingspace - Coworking Space IN Perungudi</x:v>
      </x:c>
      <x:c r="F776" s="11" t="n">
        <x:v>1</x:v>
      </x:c>
      <x:c r="G776" s="11" t="n">
        <x:v>1</x:v>
      </x:c>
      <x:c r="H776" s="11" t="n">
        <x:v>0</x:v>
      </x:c>
      <x:c r="I776" s="17" t="n">
        <x:f>INDEX('Costing'!$P$9:$P$492,MATCH(D776,'Costing'!$A$9:$A$492,0))</x:f>
        <x:v>15000</x:v>
      </x:c>
      <x:c r="J776" s="17" t="n">
        <x:f>ROUND(I776*'Costing'!$C$4,2)</x:f>
        <x:v>2700</x:v>
      </x:c>
      <x:c r="K776" s="17" t="n">
        <x:f>I776+J776</x:f>
        <x:v>17700</x:v>
      </x:c>
    </x:row>
    <x:row r="777" ht="46" customHeight="1">
      <x:c r="A777" s="2" t="str">
        <x:v>Indicative size</x:v>
      </x:c>
      <x:c r="B777" s="2" t="str">
        <x:v>Mixed business audience</x:v>
      </x:c>
      <x:c r="C777" s="12" t="str">
        <x:v>Chennai</x:v>
      </x:c>
      <x:c r="D777" s="12" t="str">
        <x:v>MAIN-160</x:v>
      </x:c>
      <x:c r="E777" s="12" t="str">
        <x:v>Workflo by Oyo - Innov8 Millenia</x:v>
      </x:c>
      <x:c r="F777" s="11" t="n">
        <x:v>1</x:v>
      </x:c>
      <x:c r="G777" s="11" t="n">
        <x:v>1</x:v>
      </x:c>
      <x:c r="H777" s="11" t="n">
        <x:v>0</x:v>
      </x:c>
      <x:c r="I777" s="17" t="n">
        <x:f>INDEX('Costing'!$P$9:$P$492,MATCH(D777,'Costing'!$A$9:$A$492,0))</x:f>
        <x:v>15000</x:v>
      </x:c>
      <x:c r="J777" s="17" t="n">
        <x:f>ROUND(I777*'Costing'!$C$4,2)</x:f>
        <x:v>2700</x:v>
      </x:c>
      <x:c r="K777" s="17" t="n">
        <x:f>I777+J777</x:f>
        <x:v>17700</x:v>
      </x:c>
    </x:row>
    <x:row r="778" ht="46" customHeight="1">
      <x:c r="A778" s="2" t="str">
        <x:v>Indicative size</x:v>
      </x:c>
      <x:c r="B778" s="2" t="str">
        <x:v>Mixed business audience</x:v>
      </x:c>
      <x:c r="C778" s="12" t="str">
        <x:v>Chennai</x:v>
      </x:c>
      <x:c r="D778" s="12" t="str">
        <x:v>MAIN-161</x:v>
      </x:c>
      <x:c r="E778" s="12" t="str">
        <x:v>Workflow by Oyo - Guindy</x:v>
      </x:c>
      <x:c r="F778" s="11" t="n">
        <x:v>1</x:v>
      </x:c>
      <x:c r="G778" s="11" t="n">
        <x:v>1</x:v>
      </x:c>
      <x:c r="H778" s="11" t="n">
        <x:v>0</x:v>
      </x:c>
      <x:c r="I778" s="17" t="n">
        <x:f>INDEX('Costing'!$P$9:$P$492,MATCH(D778,'Costing'!$A$9:$A$492,0))</x:f>
        <x:v>15000</x:v>
      </x:c>
      <x:c r="J778" s="17" t="n">
        <x:f>ROUND(I778*'Costing'!$C$4,2)</x:f>
        <x:v>2700</x:v>
      </x:c>
      <x:c r="K778" s="17" t="n">
        <x:f>I778+J778</x:f>
        <x:v>17700</x:v>
      </x:c>
    </x:row>
    <x:row r="779" ht="46" customHeight="1">
      <x:c r="A779" s="2" t="str">
        <x:v>Indicative size</x:v>
      </x:c>
      <x:c r="B779" s="2" t="str">
        <x:v>Mixed business audience</x:v>
      </x:c>
      <x:c r="C779" s="12" t="str">
        <x:v>Delhi NCR</x:v>
      </x:c>
      <x:c r="D779" s="12" t="str">
        <x:v>MAIN-178</x:v>
      </x:c>
      <x:c r="E779" s="12" t="str">
        <x:v>Atrium Spaces</x:v>
      </x:c>
      <x:c r="F779" s="11" t="n">
        <x:v>1</x:v>
      </x:c>
      <x:c r="G779" s="11" t="n">
        <x:v>1</x:v>
      </x:c>
      <x:c r="H779" s="11" t="n">
        <x:v>0</x:v>
      </x:c>
      <x:c r="I779" s="17" t="n">
        <x:f>INDEX('Costing'!$P$9:$P$492,MATCH(D779,'Costing'!$A$9:$A$492,0))</x:f>
        <x:v>40000</x:v>
      </x:c>
      <x:c r="J779" s="17" t="n">
        <x:f>ROUND(I779*'Costing'!$C$4,2)</x:f>
        <x:v>7200</x:v>
      </x:c>
      <x:c r="K779" s="17" t="n">
        <x:f>I779+J779</x:f>
        <x:v>47200</x:v>
      </x:c>
    </x:row>
    <x:row r="780" ht="46" customHeight="1">
      <x:c r="A780" s="2" t="str">
        <x:v>Indicative size</x:v>
      </x:c>
      <x:c r="B780" s="2" t="str">
        <x:v>Mixed business audience</x:v>
      </x:c>
      <x:c r="C780" s="12" t="str">
        <x:v>Delhi NCR</x:v>
      </x:c>
      <x:c r="D780" s="12" t="str">
        <x:v>MAIN-363</x:v>
      </x:c>
      <x:c r="E780" s="12" t="str">
        <x:v>ATS Bouquet</x:v>
      </x:c>
      <x:c r="F780" s="11" t="n">
        <x:v>6</x:v>
      </x:c>
      <x:c r="G780" s="11" t="n">
        <x:v>6</x:v>
      </x:c>
      <x:c r="H780" s="11" t="n">
        <x:v>0</x:v>
      </x:c>
      <x:c r="I780" s="17" t="n">
        <x:f>INDEX('Costing'!$P$9:$P$492,MATCH(D780,'Costing'!$A$9:$A$492,0))</x:f>
        <x:v>240000</x:v>
      </x:c>
      <x:c r="J780" s="17" t="n">
        <x:f>ROUND(I780*'Costing'!$C$4,2)</x:f>
        <x:v>43200</x:v>
      </x:c>
      <x:c r="K780" s="17" t="n">
        <x:f>I780+J780</x:f>
        <x:v>283200</x:v>
      </x:c>
    </x:row>
    <x:row r="781" ht="46" customHeight="1">
      <x:c r="A781" s="2" t="str">
        <x:v>Indicative size</x:v>
      </x:c>
      <x:c r="B781" s="2" t="str">
        <x:v>Mixed business audience</x:v>
      </x:c>
      <x:c r="C781" s="12" t="str">
        <x:v>Delhi NCR</x:v>
      </x:c>
      <x:c r="D781" s="12" t="str">
        <x:v>MAIN-179</x:v>
      </x:c>
      <x:c r="E781" s="12" t="str">
        <x:v>Awfis - Ambience Mall</x:v>
      </x:c>
      <x:c r="F781" s="11" t="n">
        <x:v>3</x:v>
      </x:c>
      <x:c r="G781" s="11" t="n">
        <x:v>3</x:v>
      </x:c>
      <x:c r="H781" s="11" t="n">
        <x:v>0</x:v>
      </x:c>
      <x:c r="I781" s="17" t="n">
        <x:f>INDEX('Costing'!$P$9:$P$492,MATCH(D781,'Costing'!$A$9:$A$492,0))</x:f>
        <x:v>45000</x:v>
      </x:c>
      <x:c r="J781" s="17" t="n">
        <x:f>ROUND(I781*'Costing'!$C$4,2)</x:f>
        <x:v>8100</x:v>
      </x:c>
      <x:c r="K781" s="17" t="n">
        <x:f>I781+J781</x:f>
        <x:v>53100</x:v>
      </x:c>
    </x:row>
    <x:row r="782" ht="46" customHeight="1">
      <x:c r="A782" s="2" t="str">
        <x:v>Indicative size</x:v>
      </x:c>
      <x:c r="B782" s="2" t="str">
        <x:v>Mixed business audience</x:v>
      </x:c>
      <x:c r="C782" s="12" t="str">
        <x:v>Delhi NCR</x:v>
      </x:c>
      <x:c r="D782" s="12" t="str">
        <x:v>MAIN-364</x:v>
      </x:c>
      <x:c r="E782" s="12" t="str">
        <x:v>Awfis - Bhutani Technopark</x:v>
      </x:c>
      <x:c r="F782" s="11" t="n">
        <x:v>1</x:v>
      </x:c>
      <x:c r="G782" s="11" t="n">
        <x:v>1</x:v>
      </x:c>
      <x:c r="H782" s="11" t="n">
        <x:v>0</x:v>
      </x:c>
      <x:c r="I782" s="17" t="n">
        <x:f>INDEX('Costing'!$P$9:$P$492,MATCH(D782,'Costing'!$A$9:$A$492,0))</x:f>
        <x:v>15000</x:v>
      </x:c>
      <x:c r="J782" s="17" t="n">
        <x:f>ROUND(I782*'Costing'!$C$4,2)</x:f>
        <x:v>2700</x:v>
      </x:c>
      <x:c r="K782" s="17" t="n">
        <x:f>I782+J782</x:f>
        <x:v>17700</x:v>
      </x:c>
    </x:row>
    <x:row r="783" ht="46" customHeight="1">
      <x:c r="A783" s="2" t="str">
        <x:v>Indicative size</x:v>
      </x:c>
      <x:c r="B783" s="2" t="str">
        <x:v>Mixed business audience</x:v>
      </x:c>
      <x:c r="C783" s="12" t="str">
        <x:v>Delhi NCR</x:v>
      </x:c>
      <x:c r="D783" s="12" t="str">
        <x:v>MAIN-162</x:v>
      </x:c>
      <x:c r="E783" s="12" t="str">
        <x:v>Awfis - Connaught Place</x:v>
      </x:c>
      <x:c r="F783" s="11" t="n">
        <x:v>2</x:v>
      </x:c>
      <x:c r="G783" s="11" t="n">
        <x:v>2</x:v>
      </x:c>
      <x:c r="H783" s="11" t="n">
        <x:v>0</x:v>
      </x:c>
      <x:c r="I783" s="17" t="n">
        <x:f>INDEX('Costing'!$P$9:$P$492,MATCH(D783,'Costing'!$A$9:$A$492,0))</x:f>
        <x:v>30000</x:v>
      </x:c>
      <x:c r="J783" s="17" t="n">
        <x:f>ROUND(I783*'Costing'!$C$4,2)</x:f>
        <x:v>5400</x:v>
      </x:c>
      <x:c r="K783" s="17" t="n">
        <x:f>I783+J783</x:f>
        <x:v>35400</x:v>
      </x:c>
    </x:row>
    <x:row r="784" ht="46" customHeight="1">
      <x:c r="A784" s="2" t="str">
        <x:v>Indicative size</x:v>
      </x:c>
      <x:c r="B784" s="2" t="str">
        <x:v>Mixed business audience</x:v>
      </x:c>
      <x:c r="C784" s="12" t="str">
        <x:v>Delhi NCR</x:v>
      </x:c>
      <x:c r="D784" s="12" t="str">
        <x:v>MAIN-365</x:v>
      </x:c>
      <x:c r="E784" s="12" t="str">
        <x:v>Awfis - Connaught Place</x:v>
      </x:c>
      <x:c r="F784" s="11" t="n">
        <x:v>1</x:v>
      </x:c>
      <x:c r="G784" s="11" t="n">
        <x:v>1</x:v>
      </x:c>
      <x:c r="H784" s="11" t="n">
        <x:v>0</x:v>
      </x:c>
      <x:c r="I784" s="17" t="n">
        <x:f>INDEX('Costing'!$P$9:$P$492,MATCH(D784,'Costing'!$A$9:$A$492,0))</x:f>
        <x:v>15000</x:v>
      </x:c>
      <x:c r="J784" s="17" t="n">
        <x:f>ROUND(I784*'Costing'!$C$4,2)</x:f>
        <x:v>2700</x:v>
      </x:c>
      <x:c r="K784" s="17" t="n">
        <x:f>I784+J784</x:f>
        <x:v>17700</x:v>
      </x:c>
    </x:row>
    <x:row r="785" ht="46" customHeight="1">
      <x:c r="A785" s="2" t="str">
        <x:v>Indicative size</x:v>
      </x:c>
      <x:c r="B785" s="2" t="str">
        <x:v>Mixed business audience</x:v>
      </x:c>
      <x:c r="C785" s="12" t="str">
        <x:v>Delhi NCR</x:v>
      </x:c>
      <x:c r="D785" s="12" t="str">
        <x:v>MAIN-366</x:v>
      </x:c>
      <x:c r="E785" s="12" t="str">
        <x:v>Awfis - Knowledge Boulevard</x:v>
      </x:c>
      <x:c r="F785" s="11" t="n">
        <x:v>3</x:v>
      </x:c>
      <x:c r="G785" s="11" t="n">
        <x:v>3</x:v>
      </x:c>
      <x:c r="H785" s="11" t="n">
        <x:v>0</x:v>
      </x:c>
      <x:c r="I785" s="17" t="n">
        <x:f>INDEX('Costing'!$P$9:$P$492,MATCH(D785,'Costing'!$A$9:$A$492,0))</x:f>
        <x:v>45000</x:v>
      </x:c>
      <x:c r="J785" s="17" t="n">
        <x:f>ROUND(I785*'Costing'!$C$4,2)</x:f>
        <x:v>8100</x:v>
      </x:c>
      <x:c r="K785" s="17" t="n">
        <x:f>I785+J785</x:f>
        <x:v>53100</x:v>
      </x:c>
    </x:row>
    <x:row r="786" ht="46" customHeight="1">
      <x:c r="A786" s="2" t="str">
        <x:v>Indicative size</x:v>
      </x:c>
      <x:c r="B786" s="2" t="str">
        <x:v>Mixed business audience</x:v>
      </x:c>
      <x:c r="C786" s="12" t="str">
        <x:v>Delhi NCR</x:v>
      </x:c>
      <x:c r="D786" s="12" t="str">
        <x:v>MAIN-367</x:v>
      </x:c>
      <x:c r="E786" s="12" t="str">
        <x:v>Awfis - Majestic Signia</x:v>
      </x:c>
      <x:c r="F786" s="11" t="n">
        <x:v>2</x:v>
      </x:c>
      <x:c r="G786" s="11" t="n">
        <x:v>2</x:v>
      </x:c>
      <x:c r="H786" s="11" t="n">
        <x:v>0</x:v>
      </x:c>
      <x:c r="I786" s="17" t="n">
        <x:f>INDEX('Costing'!$P$9:$P$492,MATCH(D786,'Costing'!$A$9:$A$492,0))</x:f>
        <x:v>30000</x:v>
      </x:c>
      <x:c r="J786" s="17" t="n">
        <x:f>ROUND(I786*'Costing'!$C$4,2)</x:f>
        <x:v>5400</x:v>
      </x:c>
      <x:c r="K786" s="17" t="n">
        <x:f>I786+J786</x:f>
        <x:v>35400</x:v>
      </x:c>
    </x:row>
    <x:row r="787" ht="46" customHeight="1">
      <x:c r="A787" s="2" t="str">
        <x:v>Indicative size</x:v>
      </x:c>
      <x:c r="B787" s="2" t="str">
        <x:v>Mixed business audience</x:v>
      </x:c>
      <x:c r="C787" s="12" t="str">
        <x:v>Delhi NCR</x:v>
      </x:c>
      <x:c r="D787" s="12" t="str">
        <x:v>MAIN-163</x:v>
      </x:c>
      <x:c r="E787" s="12" t="str">
        <x:v>Awfis - Mohan Cooperative</x:v>
      </x:c>
      <x:c r="F787" s="11" t="n">
        <x:v>3</x:v>
      </x:c>
      <x:c r="G787" s="11" t="n">
        <x:v>3</x:v>
      </x:c>
      <x:c r="H787" s="11" t="n">
        <x:v>0</x:v>
      </x:c>
      <x:c r="I787" s="17" t="n">
        <x:f>INDEX('Costing'!$P$9:$P$492,MATCH(D787,'Costing'!$A$9:$A$492,0))</x:f>
        <x:v>45000</x:v>
      </x:c>
      <x:c r="J787" s="17" t="n">
        <x:f>ROUND(I787*'Costing'!$C$4,2)</x:f>
        <x:v>8100</x:v>
      </x:c>
      <x:c r="K787" s="17" t="n">
        <x:f>I787+J787</x:f>
        <x:v>53100</x:v>
      </x:c>
    </x:row>
    <x:row r="788" ht="46" customHeight="1">
      <x:c r="A788" s="2" t="str">
        <x:v>Indicative size</x:v>
      </x:c>
      <x:c r="B788" s="2" t="str">
        <x:v>Mixed business audience</x:v>
      </x:c>
      <x:c r="C788" s="12" t="str">
        <x:v>Delhi NCR</x:v>
      </x:c>
      <x:c r="D788" s="12" t="str">
        <x:v>MAIN-164</x:v>
      </x:c>
      <x:c r="E788" s="12" t="str">
        <x:v>Awfis - Mohan Cooperative 2</x:v>
      </x:c>
      <x:c r="F788" s="11" t="n">
        <x:v>1</x:v>
      </x:c>
      <x:c r="G788" s="11" t="n">
        <x:v>1</x:v>
      </x:c>
      <x:c r="H788" s="11" t="n">
        <x:v>0</x:v>
      </x:c>
      <x:c r="I788" s="17" t="n">
        <x:f>INDEX('Costing'!$P$9:$P$492,MATCH(D788,'Costing'!$A$9:$A$492,0))</x:f>
        <x:v>15000</x:v>
      </x:c>
      <x:c r="J788" s="17" t="n">
        <x:f>ROUND(I788*'Costing'!$C$4,2)</x:f>
        <x:v>2700</x:v>
      </x:c>
      <x:c r="K788" s="17" t="n">
        <x:f>I788+J788</x:f>
        <x:v>17700</x:v>
      </x:c>
    </x:row>
    <x:row r="789" ht="46" customHeight="1">
      <x:c r="A789" s="2" t="str">
        <x:v>Indicative size</x:v>
      </x:c>
      <x:c r="B789" s="2" t="str">
        <x:v>Mixed business audience</x:v>
      </x:c>
      <x:c r="C789" s="12" t="str">
        <x:v>Delhi NCR</x:v>
      </x:c>
      <x:c r="D789" s="12" t="str">
        <x:v>MAIN-180</x:v>
      </x:c>
      <x:c r="E789" s="12" t="str">
        <x:v>Awfis - Paras Trinity</x:v>
      </x:c>
      <x:c r="F789" s="11" t="n">
        <x:v>3</x:v>
      </x:c>
      <x:c r="G789" s="11" t="n">
        <x:v>3</x:v>
      </x:c>
      <x:c r="H789" s="11" t="n">
        <x:v>0</x:v>
      </x:c>
      <x:c r="I789" s="17" t="n">
        <x:f>INDEX('Costing'!$P$9:$P$492,MATCH(D789,'Costing'!$A$9:$A$492,0))</x:f>
        <x:v>45000</x:v>
      </x:c>
      <x:c r="J789" s="17" t="n">
        <x:f>ROUND(I789*'Costing'!$C$4,2)</x:f>
        <x:v>8100</x:v>
      </x:c>
      <x:c r="K789" s="17" t="n">
        <x:f>I789+J789</x:f>
        <x:v>53100</x:v>
      </x:c>
    </x:row>
    <x:row r="790" ht="46" customHeight="1">
      <x:c r="A790" s="2" t="str">
        <x:v>Indicative size</x:v>
      </x:c>
      <x:c r="B790" s="2" t="str">
        <x:v>Mixed business audience</x:v>
      </x:c>
      <x:c r="C790" s="12" t="str">
        <x:v>Delhi NCR</x:v>
      </x:c>
      <x:c r="D790" s="12" t="str">
        <x:v>MAIN-165</x:v>
      </x:c>
      <x:c r="E790" s="12" t="str">
        <x:v>Awfis - Qutab 2</x:v>
      </x:c>
      <x:c r="F790" s="11" t="n">
        <x:v>1</x:v>
      </x:c>
      <x:c r="G790" s="11" t="n">
        <x:v>1</x:v>
      </x:c>
      <x:c r="H790" s="11" t="n">
        <x:v>0</x:v>
      </x:c>
      <x:c r="I790" s="17" t="n">
        <x:f>INDEX('Costing'!$P$9:$P$492,MATCH(D790,'Costing'!$A$9:$A$492,0))</x:f>
        <x:v>15000</x:v>
      </x:c>
      <x:c r="J790" s="17" t="n">
        <x:f>ROUND(I790*'Costing'!$C$4,2)</x:f>
        <x:v>2700</x:v>
      </x:c>
      <x:c r="K790" s="17" t="n">
        <x:f>I790+J790</x:f>
        <x:v>17700</x:v>
      </x:c>
    </x:row>
    <x:row r="791" ht="46" customHeight="1">
      <x:c r="A791" s="2" t="str">
        <x:v>Indicative size</x:v>
      </x:c>
      <x:c r="B791" s="2" t="str">
        <x:v>Mixed business audience</x:v>
      </x:c>
      <x:c r="C791" s="12" t="str">
        <x:v>Delhi NCR</x:v>
      </x:c>
      <x:c r="D791" s="12" t="str">
        <x:v>MAIN-182</x:v>
      </x:c>
      <x:c r="E791" s="12" t="str">
        <x:v>Awfis - Unitech Cyber Park - 2</x:v>
      </x:c>
      <x:c r="F791" s="11" t="n">
        <x:v>2</x:v>
      </x:c>
      <x:c r="G791" s="11" t="n">
        <x:v>2</x:v>
      </x:c>
      <x:c r="H791" s="11" t="n">
        <x:v>0</x:v>
      </x:c>
      <x:c r="I791" s="17" t="n">
        <x:f>INDEX('Costing'!$P$9:$P$492,MATCH(D791,'Costing'!$A$9:$A$492,0))</x:f>
        <x:v>30000</x:v>
      </x:c>
      <x:c r="J791" s="17" t="n">
        <x:f>ROUND(I791*'Costing'!$C$4,2)</x:f>
        <x:v>5400</x:v>
      </x:c>
      <x:c r="K791" s="17" t="n">
        <x:f>I791+J791</x:f>
        <x:v>35400</x:v>
      </x:c>
    </x:row>
    <x:row r="792" ht="46" customHeight="1">
      <x:c r="A792" s="2" t="str">
        <x:v>Indicative size</x:v>
      </x:c>
      <x:c r="B792" s="2" t="str">
        <x:v>Mixed business audience</x:v>
      </x:c>
      <x:c r="C792" s="12" t="str">
        <x:v>Delhi NCR</x:v>
      </x:c>
      <x:c r="D792" s="12" t="str">
        <x:v>MAIN-368</x:v>
      </x:c>
      <x:c r="E792" s="12" t="str">
        <x:v>BPTP Capital City</x:v>
      </x:c>
      <x:c r="F792" s="11" t="n">
        <x:v>4</x:v>
      </x:c>
      <x:c r="G792" s="11" t="n">
        <x:v>4</x:v>
      </x:c>
      <x:c r="H792" s="11" t="n">
        <x:v>0</x:v>
      </x:c>
      <x:c r="I792" s="17" t="n">
        <x:f>INDEX('Costing'!$P$9:$P$492,MATCH(D792,'Costing'!$A$9:$A$492,0))</x:f>
        <x:v>160000</x:v>
      </x:c>
      <x:c r="J792" s="17" t="n">
        <x:f>ROUND(I792*'Costing'!$C$4,2)</x:f>
        <x:v>28800</x:v>
      </x:c>
      <x:c r="K792" s="17" t="n">
        <x:f>I792+J792</x:f>
        <x:v>188800</x:v>
      </x:c>
    </x:row>
    <x:row r="793" ht="46" customHeight="1">
      <x:c r="A793" s="2" t="str">
        <x:v>Indicative size</x:v>
      </x:c>
      <x:c r="B793" s="2" t="str">
        <x:v>Mixed business audience</x:v>
      </x:c>
      <x:c r="C793" s="12" t="str">
        <x:v>Delhi NCR</x:v>
      </x:c>
      <x:c r="D793" s="12" t="str">
        <x:v>MAIN-183</x:v>
      </x:c>
      <x:c r="E793" s="12" t="str">
        <x:v>Centrum Plaza</x:v>
      </x:c>
      <x:c r="F793" s="11" t="n">
        <x:v>1</x:v>
      </x:c>
      <x:c r="G793" s="11" t="n">
        <x:v>1</x:v>
      </x:c>
      <x:c r="H793" s="11" t="n">
        <x:v>0</x:v>
      </x:c>
      <x:c r="I793" s="17" t="n">
        <x:f>INDEX('Costing'!$P$9:$P$492,MATCH(D793,'Costing'!$A$9:$A$492,0))</x:f>
        <x:v>15000</x:v>
      </x:c>
      <x:c r="J793" s="17" t="n">
        <x:f>ROUND(I793*'Costing'!$C$4,2)</x:f>
        <x:v>2700</x:v>
      </x:c>
      <x:c r="K793" s="17" t="n">
        <x:f>I793+J793</x:f>
        <x:v>17700</x:v>
      </x:c>
    </x:row>
    <x:row r="794" ht="46" customHeight="1">
      <x:c r="A794" s="2" t="str">
        <x:v>Indicative size</x:v>
      </x:c>
      <x:c r="B794" s="2" t="str">
        <x:v>Mixed business audience</x:v>
      </x:c>
      <x:c r="C794" s="12" t="str">
        <x:v>Delhi NCR</x:v>
      </x:c>
      <x:c r="D794" s="12" t="str">
        <x:v>MAIN-184</x:v>
      </x:c>
      <x:c r="E794" s="12" t="str">
        <x:v>Centrum Plaza</x:v>
      </x:c>
      <x:c r="F794" s="11" t="n">
        <x:v>3</x:v>
      </x:c>
      <x:c r="G794" s="11" t="n">
        <x:v>3</x:v>
      </x:c>
      <x:c r="H794" s="11" t="n">
        <x:v>0</x:v>
      </x:c>
      <x:c r="I794" s="17" t="n">
        <x:f>INDEX('Costing'!$P$9:$P$492,MATCH(D794,'Costing'!$A$9:$A$492,0))</x:f>
        <x:v>60000</x:v>
      </x:c>
      <x:c r="J794" s="17" t="n">
        <x:f>ROUND(I794*'Costing'!$C$4,2)</x:f>
        <x:v>10800</x:v>
      </x:c>
      <x:c r="K794" s="17" t="n">
        <x:f>I794+J794</x:f>
        <x:v>70800</x:v>
      </x:c>
    </x:row>
    <x:row r="795" ht="46" customHeight="1">
      <x:c r="A795" s="2" t="str">
        <x:v>Indicative size</x:v>
      </x:c>
      <x:c r="B795" s="2" t="str">
        <x:v>Mixed business audience</x:v>
      </x:c>
      <x:c r="C795" s="12" t="str">
        <x:v>Delhi NCR</x:v>
      </x:c>
      <x:c r="D795" s="12" t="str">
        <x:v>MAIN-369</x:v>
      </x:c>
      <x:c r="E795" s="12" t="str">
        <x:v>Corporate Park-Maple</x:v>
      </x:c>
      <x:c r="F795" s="11" t="n">
        <x:v>2</x:v>
      </x:c>
      <x:c r="G795" s="11" t="n">
        <x:v>2</x:v>
      </x:c>
      <x:c r="H795" s="11" t="n">
        <x:v>0</x:v>
      </x:c>
      <x:c r="I795" s="17" t="n">
        <x:f>INDEX('Costing'!$P$9:$P$492,MATCH(D795,'Costing'!$A$9:$A$492,0))</x:f>
        <x:v>40000</x:v>
      </x:c>
      <x:c r="J795" s="17" t="n">
        <x:f>ROUND(I795*'Costing'!$C$4,2)</x:f>
        <x:v>7200</x:v>
      </x:c>
      <x:c r="K795" s="17" t="n">
        <x:f>I795+J795</x:f>
        <x:v>47200</x:v>
      </x:c>
    </x:row>
    <x:row r="796" ht="46" customHeight="1">
      <x:c r="A796" s="2" t="str">
        <x:v>Indicative size</x:v>
      </x:c>
      <x:c r="B796" s="2" t="str">
        <x:v>Mixed business audience</x:v>
      </x:c>
      <x:c r="C796" s="12" t="str">
        <x:v>Delhi NCR</x:v>
      </x:c>
      <x:c r="D796" s="12" t="str">
        <x:v>MAIN-186</x:v>
      </x:c>
      <x:c r="E796" s="12" t="str">
        <x:v>DLF Cyber City Building 10</x:v>
      </x:c>
      <x:c r="F796" s="11" t="n">
        <x:v>3</x:v>
      </x:c>
      <x:c r="G796" s="11" t="n">
        <x:v>3</x:v>
      </x:c>
      <x:c r="H796" s="11" t="n">
        <x:v>0</x:v>
      </x:c>
      <x:c r="I796" s="17" t="n">
        <x:f>INDEX('Costing'!$P$9:$P$492,MATCH(D796,'Costing'!$A$9:$A$492,0))</x:f>
        <x:v>120000</x:v>
      </x:c>
      <x:c r="J796" s="17" t="n">
        <x:f>ROUND(I796*'Costing'!$C$4,2)</x:f>
        <x:v>21600</x:v>
      </x:c>
      <x:c r="K796" s="17" t="n">
        <x:f>I796+J796</x:f>
        <x:v>141600</x:v>
      </x:c>
    </x:row>
    <x:row r="797" ht="46" customHeight="1">
      <x:c r="A797" s="2" t="str">
        <x:v>Indicative size</x:v>
      </x:c>
      <x:c r="B797" s="2" t="str">
        <x:v>Mixed business audience</x:v>
      </x:c>
      <x:c r="C797" s="12" t="str">
        <x:v>Delhi NCR</x:v>
      </x:c>
      <x:c r="D797" s="12" t="str">
        <x:v>MAIN-185</x:v>
      </x:c>
      <x:c r="E797" s="12" t="str">
        <x:v>DLF Cyber City Building 8</x:v>
      </x:c>
      <x:c r="F797" s="11" t="n">
        <x:v>2</x:v>
      </x:c>
      <x:c r="G797" s="11" t="n">
        <x:v>2</x:v>
      </x:c>
      <x:c r="H797" s="11" t="n">
        <x:v>0</x:v>
      </x:c>
      <x:c r="I797" s="17" t="n">
        <x:f>INDEX('Costing'!$P$9:$P$492,MATCH(D797,'Costing'!$A$9:$A$492,0))</x:f>
        <x:v>80000</x:v>
      </x:c>
      <x:c r="J797" s="17" t="n">
        <x:f>ROUND(I797*'Costing'!$C$4,2)</x:f>
        <x:v>14400</x:v>
      </x:c>
      <x:c r="K797" s="17" t="n">
        <x:f>I797+J797</x:f>
        <x:v>94400</x:v>
      </x:c>
    </x:row>
    <x:row r="798" ht="46" customHeight="1">
      <x:c r="A798" s="2" t="str">
        <x:v>Indicative size</x:v>
      </x:c>
      <x:c r="B798" s="2" t="str">
        <x:v>Mixed business audience</x:v>
      </x:c>
      <x:c r="C798" s="12" t="str">
        <x:v>Delhi NCR</x:v>
      </x:c>
      <x:c r="D798" s="12" t="str">
        <x:v>MAIN-370</x:v>
      </x:c>
      <x:c r="E798" s="12" t="str">
        <x:v>DLF Tech Park</x:v>
      </x:c>
      <x:c r="F798" s="11" t="n">
        <x:v>3</x:v>
      </x:c>
      <x:c r="G798" s="11" t="n">
        <x:v>3</x:v>
      </x:c>
      <x:c r="H798" s="11" t="n">
        <x:v>0</x:v>
      </x:c>
      <x:c r="I798" s="17" t="n">
        <x:f>INDEX('Costing'!$P$9:$P$492,MATCH(D798,'Costing'!$A$9:$A$492,0))</x:f>
        <x:v>120000</x:v>
      </x:c>
      <x:c r="J798" s="17" t="n">
        <x:f>ROUND(I798*'Costing'!$C$4,2)</x:f>
        <x:v>21600</x:v>
      </x:c>
      <x:c r="K798" s="17" t="n">
        <x:f>I798+J798</x:f>
        <x:v>141600</x:v>
      </x:c>
    </x:row>
    <x:row r="799" ht="46" customHeight="1">
      <x:c r="A799" s="2" t="str">
        <x:v>Indicative size</x:v>
      </x:c>
      <x:c r="B799" s="2" t="str">
        <x:v>Mixed business audience</x:v>
      </x:c>
      <x:c r="C799" s="12" t="str">
        <x:v>Delhi NCR</x:v>
      </x:c>
      <x:c r="D799" s="12" t="str">
        <x:v>MAIN-188</x:v>
      </x:c>
      <x:c r="E799" s="12" t="str">
        <x:v>DLF Two Horizon Center</x:v>
      </x:c>
      <x:c r="F799" s="11" t="n">
        <x:v>2</x:v>
      </x:c>
      <x:c r="G799" s="11" t="n">
        <x:v>2</x:v>
      </x:c>
      <x:c r="H799" s="11" t="n">
        <x:v>0</x:v>
      </x:c>
      <x:c r="I799" s="17" t="n">
        <x:f>INDEX('Costing'!$P$9:$P$492,MATCH(D799,'Costing'!$A$9:$A$492,0))</x:f>
        <x:v>80000</x:v>
      </x:c>
      <x:c r="J799" s="17" t="n">
        <x:f>ROUND(I799*'Costing'!$C$4,2)</x:f>
        <x:v>14400</x:v>
      </x:c>
      <x:c r="K799" s="17" t="n">
        <x:f>I799+J799</x:f>
        <x:v>94400</x:v>
      </x:c>
    </x:row>
    <x:row r="800" ht="46" customHeight="1">
      <x:c r="A800" s="2" t="str">
        <x:v>Indicative size</x:v>
      </x:c>
      <x:c r="B800" s="2" t="str">
        <x:v>Mixed business audience</x:v>
      </x:c>
      <x:c r="C800" s="12" t="str">
        <x:v>Delhi NCR</x:v>
      </x:c>
      <x:c r="D800" s="12" t="str">
        <x:v>MAIN-167</x:v>
      </x:c>
      <x:c r="E800" s="12" t="str">
        <x:v>Emaar Colonnade</x:v>
      </x:c>
      <x:c r="F800" s="11" t="n">
        <x:v>5</x:v>
      </x:c>
      <x:c r="G800" s="11" t="n">
        <x:v>5</x:v>
      </x:c>
      <x:c r="H800" s="11" t="n">
        <x:v>0</x:v>
      </x:c>
      <x:c r="I800" s="17" t="n">
        <x:f>INDEX('Costing'!$P$9:$P$492,MATCH(D800,'Costing'!$A$9:$A$492,0))</x:f>
        <x:v>200000</x:v>
      </x:c>
      <x:c r="J800" s="17" t="n">
        <x:f>ROUND(I800*'Costing'!$C$4,2)</x:f>
        <x:v>36000</x:v>
      </x:c>
      <x:c r="K800" s="17" t="n">
        <x:f>I800+J800</x:f>
        <x:v>236000</x:v>
      </x:c>
    </x:row>
    <x:row r="801" ht="46" customHeight="1">
      <x:c r="A801" s="2" t="str">
        <x:v>Indicative size</x:v>
      </x:c>
      <x:c r="B801" s="2" t="str">
        <x:v>Mixed business audience</x:v>
      </x:c>
      <x:c r="C801" s="12" t="str">
        <x:v>Delhi NCR</x:v>
      </x:c>
      <x:c r="D801" s="12" t="str">
        <x:v>MAIN-371</x:v>
      </x:c>
      <x:c r="E801" s="12" t="str">
        <x:v>Etherea - Coworking Space</x:v>
      </x:c>
      <x:c r="F801" s="11" t="n">
        <x:v>3</x:v>
      </x:c>
      <x:c r="G801" s="11" t="n">
        <x:v>3</x:v>
      </x:c>
      <x:c r="H801" s="11" t="n">
        <x:v>0</x:v>
      </x:c>
      <x:c r="I801" s="17" t="n">
        <x:f>INDEX('Costing'!$P$9:$P$492,MATCH(D801,'Costing'!$A$9:$A$492,0))</x:f>
        <x:v>45000</x:v>
      </x:c>
      <x:c r="J801" s="17" t="n">
        <x:f>ROUND(I801*'Costing'!$C$4,2)</x:f>
        <x:v>8100</x:v>
      </x:c>
      <x:c r="K801" s="17" t="n">
        <x:f>I801+J801</x:f>
        <x:v>53100</x:v>
      </x:c>
    </x:row>
    <x:row r="802" ht="46" customHeight="1">
      <x:c r="A802" s="2" t="str">
        <x:v>Indicative size</x:v>
      </x:c>
      <x:c r="B802" s="2" t="str">
        <x:v>Mixed business audience</x:v>
      </x:c>
      <x:c r="C802" s="12" t="str">
        <x:v>Delhi NCR</x:v>
      </x:c>
      <x:c r="D802" s="12" t="str">
        <x:v>MAIN-372</x:v>
      </x:c>
      <x:c r="E802" s="12" t="str">
        <x:v>Express Trade Towers 2</x:v>
      </x:c>
      <x:c r="F802" s="11" t="n">
        <x:v>48</x:v>
      </x:c>
      <x:c r="G802" s="11" t="n">
        <x:v>48</x:v>
      </x:c>
      <x:c r="H802" s="11" t="n">
        <x:v>0</x:v>
      </x:c>
      <x:c r="I802" s="17" t="n">
        <x:f>INDEX('Costing'!$P$9:$P$492,MATCH(D802,'Costing'!$A$9:$A$492,0))</x:f>
        <x:v>720000</x:v>
      </x:c>
      <x:c r="J802" s="17" t="n">
        <x:f>ROUND(I802*'Costing'!$C$4,2)</x:f>
        <x:v>129600</x:v>
      </x:c>
      <x:c r="K802" s="17" t="n">
        <x:f>I802+J802</x:f>
        <x:v>849600</x:v>
      </x:c>
    </x:row>
    <x:row r="803" ht="46" customHeight="1">
      <x:c r="A803" s="2" t="str">
        <x:v>Indicative size</x:v>
      </x:c>
      <x:c r="B803" s="2" t="str">
        <x:v>Mixed business audience</x:v>
      </x:c>
      <x:c r="C803" s="12" t="str">
        <x:v>Delhi NCR</x:v>
      </x:c>
      <x:c r="D803" s="12" t="str">
        <x:v>MAIN-189</x:v>
      </x:c>
      <x:c r="E803" s="12" t="str">
        <x:v>Global Gateway</x:v>
      </x:c>
      <x:c r="F803" s="11" t="n">
        <x:v>1</x:v>
      </x:c>
      <x:c r="G803" s="11" t="n">
        <x:v>1</x:v>
      </x:c>
      <x:c r="H803" s="11" t="n">
        <x:v>0</x:v>
      </x:c>
      <x:c r="I803" s="17" t="n">
        <x:f>INDEX('Costing'!$P$9:$P$492,MATCH(D803,'Costing'!$A$9:$A$492,0))</x:f>
        <x:v>40000</x:v>
      </x:c>
      <x:c r="J803" s="17" t="n">
        <x:f>ROUND(I803*'Costing'!$C$4,2)</x:f>
        <x:v>7200</x:v>
      </x:c>
      <x:c r="K803" s="17" t="n">
        <x:f>I803+J803</x:f>
        <x:v>47200</x:v>
      </x:c>
    </x:row>
    <x:row r="804" ht="46" customHeight="1">
      <x:c r="A804" s="2" t="str">
        <x:v>Indicative size</x:v>
      </x:c>
      <x:c r="B804" s="2" t="str">
        <x:v>Mixed business audience</x:v>
      </x:c>
      <x:c r="C804" s="12" t="str">
        <x:v>Delhi NCR</x:v>
      </x:c>
      <x:c r="D804" s="12" t="str">
        <x:v>MAIN-190</x:v>
      </x:c>
      <x:c r="E804" s="12" t="str">
        <x:v>Good Earth Business Bay</x:v>
      </x:c>
      <x:c r="F804" s="11" t="n">
        <x:v>2</x:v>
      </x:c>
      <x:c r="G804" s="11" t="n">
        <x:v>2</x:v>
      </x:c>
      <x:c r="H804" s="11" t="n">
        <x:v>0</x:v>
      </x:c>
      <x:c r="I804" s="17" t="n">
        <x:f>INDEX('Costing'!$P$9:$P$492,MATCH(D804,'Costing'!$A$9:$A$492,0))</x:f>
        <x:v>80000</x:v>
      </x:c>
      <x:c r="J804" s="17" t="n">
        <x:f>ROUND(I804*'Costing'!$C$4,2)</x:f>
        <x:v>14400</x:v>
      </x:c>
      <x:c r="K804" s="17" t="n">
        <x:f>I804+J804</x:f>
        <x:v>94400</x:v>
      </x:c>
    </x:row>
    <x:row r="805" ht="46" customHeight="1">
      <x:c r="A805" s="2" t="str">
        <x:v>Indicative size</x:v>
      </x:c>
      <x:c r="B805" s="2" t="str">
        <x:v>Mixed business audience</x:v>
      </x:c>
      <x:c r="C805" s="12" t="str">
        <x:v>Delhi NCR</x:v>
      </x:c>
      <x:c r="D805" s="12" t="str">
        <x:v>MAIN-191</x:v>
      </x:c>
      <x:c r="E805" s="12" t="str">
        <x:v>ILD Trade Centre</x:v>
      </x:c>
      <x:c r="F805" s="11" t="n">
        <x:v>1</x:v>
      </x:c>
      <x:c r="G805" s="11" t="n">
        <x:v>1</x:v>
      </x:c>
      <x:c r="H805" s="11" t="n">
        <x:v>0</x:v>
      </x:c>
      <x:c r="I805" s="17" t="n">
        <x:f>INDEX('Costing'!$P$9:$P$492,MATCH(D805,'Costing'!$A$9:$A$492,0))</x:f>
        <x:v>40000</x:v>
      </x:c>
      <x:c r="J805" s="17" t="n">
        <x:f>ROUND(I805*'Costing'!$C$4,2)</x:f>
        <x:v>7200</x:v>
      </x:c>
      <x:c r="K805" s="17" t="n">
        <x:f>I805+J805</x:f>
        <x:v>47200</x:v>
      </x:c>
    </x:row>
    <x:row r="806" ht="46" customHeight="1">
      <x:c r="A806" s="2" t="str">
        <x:v>Indicative size</x:v>
      </x:c>
      <x:c r="B806" s="2" t="str">
        <x:v>Mixed business audience</x:v>
      </x:c>
      <x:c r="C806" s="12" t="str">
        <x:v>Delhi NCR</x:v>
      </x:c>
      <x:c r="D806" s="12" t="str">
        <x:v>MAIN-168</x:v>
      </x:c>
      <x:c r="E806" s="12" t="str">
        <x:v>India Accelerator Coworking - BPTP Centra One</x:v>
      </x:c>
      <x:c r="F806" s="11" t="n">
        <x:v>5</x:v>
      </x:c>
      <x:c r="G806" s="11" t="n">
        <x:v>5</x:v>
      </x:c>
      <x:c r="H806" s="11" t="n">
        <x:v>0</x:v>
      </x:c>
      <x:c r="I806" s="17" t="n">
        <x:f>INDEX('Costing'!$P$9:$P$492,MATCH(D806,'Costing'!$A$9:$A$492,0))</x:f>
        <x:v>200000</x:v>
      </x:c>
      <x:c r="J806" s="17" t="n">
        <x:f>ROUND(I806*'Costing'!$C$4,2)</x:f>
        <x:v>36000</x:v>
      </x:c>
      <x:c r="K806" s="17" t="n">
        <x:f>I806+J806</x:f>
        <x:v>236000</x:v>
      </x:c>
    </x:row>
    <x:row r="807" ht="46" customHeight="1">
      <x:c r="A807" s="2" t="str">
        <x:v>Indicative size</x:v>
      </x:c>
      <x:c r="B807" s="2" t="str">
        <x:v>Mixed business audience</x:v>
      </x:c>
      <x:c r="C807" s="12" t="str">
        <x:v>Delhi NCR</x:v>
      </x:c>
      <x:c r="D807" s="12" t="str">
        <x:v>MAIN-192</x:v>
      </x:c>
      <x:c r="E807" s="12" t="str">
        <x:v>India Accelerator Coworking - IA Udyog Vihar</x:v>
      </x:c>
      <x:c r="F807" s="11" t="n">
        <x:v>1</x:v>
      </x:c>
      <x:c r="G807" s="11" t="n">
        <x:v>1</x:v>
      </x:c>
      <x:c r="H807" s="11" t="n">
        <x:v>0</x:v>
      </x:c>
      <x:c r="I807" s="17" t="n">
        <x:f>INDEX('Costing'!$P$9:$P$492,MATCH(D807,'Costing'!$A$9:$A$492,0))</x:f>
        <x:v>40000</x:v>
      </x:c>
      <x:c r="J807" s="17" t="n">
        <x:f>ROUND(I807*'Costing'!$C$4,2)</x:f>
        <x:v>7200</x:v>
      </x:c>
      <x:c r="K807" s="17" t="n">
        <x:f>I807+J807</x:f>
        <x:v>47200</x:v>
      </x:c>
    </x:row>
    <x:row r="808" ht="46" customHeight="1">
      <x:c r="A808" s="2" t="str">
        <x:v>Indicative size</x:v>
      </x:c>
      <x:c r="B808" s="2" t="str">
        <x:v>Mixed business audience</x:v>
      </x:c>
      <x:c r="C808" s="12" t="str">
        <x:v>Delhi NCR</x:v>
      </x:c>
      <x:c r="D808" s="12" t="str">
        <x:v>MAIN-193</x:v>
      </x:c>
      <x:c r="E808" s="12" t="str">
        <x:v>India Accelerator Coworking - IA Udyog Vihar</x:v>
      </x:c>
      <x:c r="F808" s="11" t="n">
        <x:v>3</x:v>
      </x:c>
      <x:c r="G808" s="11" t="n">
        <x:v>3</x:v>
      </x:c>
      <x:c r="H808" s="11" t="n">
        <x:v>0</x:v>
      </x:c>
      <x:c r="I808" s="17" t="n">
        <x:f>INDEX('Costing'!$P$9:$P$492,MATCH(D808,'Costing'!$A$9:$A$492,0))</x:f>
        <x:v>45000</x:v>
      </x:c>
      <x:c r="J808" s="17" t="n">
        <x:f>ROUND(I808*'Costing'!$C$4,2)</x:f>
        <x:v>8100</x:v>
      </x:c>
      <x:c r="K808" s="17" t="n">
        <x:f>I808+J808</x:f>
        <x:v>53100</x:v>
      </x:c>
    </x:row>
    <x:row r="809" ht="46" customHeight="1">
      <x:c r="A809" s="2" t="str">
        <x:v>Indicative size</x:v>
      </x:c>
      <x:c r="B809" s="2" t="str">
        <x:v>Mixed business audience</x:v>
      </x:c>
      <x:c r="C809" s="12" t="str">
        <x:v>Delhi NCR</x:v>
      </x:c>
      <x:c r="D809" s="12" t="str">
        <x:v>MAIN-194</x:v>
      </x:c>
      <x:c r="E809" s="12" t="str">
        <x:v>India Accelerator Coworking - MGF Metropolis Mall</x:v>
      </x:c>
      <x:c r="F809" s="11" t="n">
        <x:v>6</x:v>
      </x:c>
      <x:c r="G809" s="11" t="n">
        <x:v>6</x:v>
      </x:c>
      <x:c r="H809" s="11" t="n">
        <x:v>0</x:v>
      </x:c>
      <x:c r="I809" s="17" t="n">
        <x:f>INDEX('Costing'!$P$9:$P$492,MATCH(D809,'Costing'!$A$9:$A$492,0))</x:f>
        <x:v>240000</x:v>
      </x:c>
      <x:c r="J809" s="17" t="n">
        <x:f>ROUND(I809*'Costing'!$C$4,2)</x:f>
        <x:v>43200</x:v>
      </x:c>
      <x:c r="K809" s="17" t="n">
        <x:f>I809+J809</x:f>
        <x:v>283200</x:v>
      </x:c>
    </x:row>
    <x:row r="810" ht="46" customHeight="1">
      <x:c r="A810" s="2" t="str">
        <x:v>Indicative size</x:v>
      </x:c>
      <x:c r="B810" s="2" t="str">
        <x:v>Mixed business audience</x:v>
      </x:c>
      <x:c r="C810" s="12" t="str">
        <x:v>Delhi NCR</x:v>
      </x:c>
      <x:c r="D810" s="12" t="str">
        <x:v>MAIN-373</x:v>
      </x:c>
      <x:c r="E810" s="12" t="str">
        <x:v>India Accelerator Coworking - The Iconic Corenthum</x:v>
      </x:c>
      <x:c r="F810" s="11" t="n">
        <x:v>6</x:v>
      </x:c>
      <x:c r="G810" s="11" t="n">
        <x:v>6</x:v>
      </x:c>
      <x:c r="H810" s="11" t="n">
        <x:v>0</x:v>
      </x:c>
      <x:c r="I810" s="17" t="n">
        <x:f>INDEX('Costing'!$P$9:$P$492,MATCH(D810,'Costing'!$A$9:$A$492,0))</x:f>
        <x:v>240000</x:v>
      </x:c>
      <x:c r="J810" s="17" t="n">
        <x:f>ROUND(I810*'Costing'!$C$4,2)</x:f>
        <x:v>43200</x:v>
      </x:c>
      <x:c r="K810" s="17" t="n">
        <x:f>I810+J810</x:f>
        <x:v>283200</x:v>
      </x:c>
    </x:row>
    <x:row r="811" ht="46" customHeight="1">
      <x:c r="A811" s="2" t="str">
        <x:v>Indicative size</x:v>
      </x:c>
      <x:c r="B811" s="2" t="str">
        <x:v>Mixed business audience</x:v>
      </x:c>
      <x:c r="C811" s="12" t="str">
        <x:v>Delhi NCR</x:v>
      </x:c>
      <x:c r="D811" s="12" t="str">
        <x:v>MAIN-195</x:v>
      </x:c>
      <x:c r="E811" s="12" t="str">
        <x:v>India Accelerator Coworking - Vatika Triangle</x:v>
      </x:c>
      <x:c r="F811" s="11" t="n">
        <x:v>3</x:v>
      </x:c>
      <x:c r="G811" s="11" t="n">
        <x:v>3</x:v>
      </x:c>
      <x:c r="H811" s="11" t="n">
        <x:v>0</x:v>
      </x:c>
      <x:c r="I811" s="17" t="n">
        <x:f>INDEX('Costing'!$P$9:$P$492,MATCH(D811,'Costing'!$A$9:$A$492,0))</x:f>
        <x:v>60000</x:v>
      </x:c>
      <x:c r="J811" s="17" t="n">
        <x:f>ROUND(I811*'Costing'!$C$4,2)</x:f>
        <x:v>10800</x:v>
      </x:c>
      <x:c r="K811" s="17" t="n">
        <x:f>I811+J811</x:f>
        <x:v>70800</x:v>
      </x:c>
    </x:row>
    <x:row r="812" ht="46" customHeight="1">
      <x:c r="A812" s="2" t="str">
        <x:v>Indicative size</x:v>
      </x:c>
      <x:c r="B812" s="2" t="str">
        <x:v>Mixed business audience</x:v>
      </x:c>
      <x:c r="C812" s="12" t="str">
        <x:v>Delhi NCR</x:v>
      </x:c>
      <x:c r="D812" s="12" t="str">
        <x:v>MAIN-196</x:v>
      </x:c>
      <x:c r="E812" s="12" t="str">
        <x:v>Kallton</x:v>
      </x:c>
      <x:c r="F812" s="11" t="n">
        <x:v>5</x:v>
      </x:c>
      <x:c r="G812" s="11" t="n">
        <x:v>5</x:v>
      </x:c>
      <x:c r="H812" s="11" t="n">
        <x:v>0</x:v>
      </x:c>
      <x:c r="I812" s="17" t="n">
        <x:f>INDEX('Costing'!$P$9:$P$492,MATCH(D812,'Costing'!$A$9:$A$492,0))</x:f>
        <x:v>200000</x:v>
      </x:c>
      <x:c r="J812" s="17" t="n">
        <x:f>ROUND(I812*'Costing'!$C$4,2)</x:f>
        <x:v>36000</x:v>
      </x:c>
      <x:c r="K812" s="17" t="n">
        <x:f>I812+J812</x:f>
        <x:v>236000</x:v>
      </x:c>
    </x:row>
    <x:row r="813" ht="46" customHeight="1">
      <x:c r="A813" s="2" t="str">
        <x:v>Indicative size</x:v>
      </x:c>
      <x:c r="B813" s="2" t="str">
        <x:v>Mixed business audience</x:v>
      </x:c>
      <x:c r="C813" s="12" t="str">
        <x:v>Delhi NCR</x:v>
      </x:c>
      <x:c r="D813" s="12" t="str">
        <x:v>MAIN-169</x:v>
      </x:c>
      <x:c r="E813" s="12" t="str">
        <x:v>Logix Cyber Park</x:v>
      </x:c>
      <x:c r="F813" s="11" t="n">
        <x:v>15</x:v>
      </x:c>
      <x:c r="G813" s="11" t="n">
        <x:v>15</x:v>
      </x:c>
      <x:c r="H813" s="11" t="n">
        <x:v>0</x:v>
      </x:c>
      <x:c r="I813" s="17" t="n">
        <x:f>INDEX('Costing'!$P$9:$P$492,MATCH(D813,'Costing'!$A$9:$A$492,0))</x:f>
        <x:v>300000</x:v>
      </x:c>
      <x:c r="J813" s="17" t="n">
        <x:f>ROUND(I813*'Costing'!$C$4,2)</x:f>
        <x:v>54000</x:v>
      </x:c>
      <x:c r="K813" s="17" t="n">
        <x:f>I813+J813</x:f>
        <x:v>354000</x:v>
      </x:c>
    </x:row>
    <x:row r="814" ht="46" customHeight="1">
      <x:c r="A814" s="2" t="str">
        <x:v>Indicative size</x:v>
      </x:c>
      <x:c r="B814" s="2" t="str">
        <x:v>Mixed business audience</x:v>
      </x:c>
      <x:c r="C814" s="12" t="str">
        <x:v>Delhi NCR</x:v>
      </x:c>
      <x:c r="D814" s="12" t="str">
        <x:v>MAIN-374</x:v>
      </x:c>
      <x:c r="E814" s="12" t="str">
        <x:v>Logix Infotech Park</x:v>
      </x:c>
      <x:c r="F814" s="11" t="n">
        <x:v>2</x:v>
      </x:c>
      <x:c r="G814" s="11" t="n">
        <x:v>2</x:v>
      </x:c>
      <x:c r="H814" s="11" t="n">
        <x:v>0</x:v>
      </x:c>
      <x:c r="I814" s="17" t="n">
        <x:f>INDEX('Costing'!$P$9:$P$492,MATCH(D814,'Costing'!$A$9:$A$492,0))</x:f>
        <x:v>80000</x:v>
      </x:c>
      <x:c r="J814" s="17" t="n">
        <x:f>ROUND(I814*'Costing'!$C$4,2)</x:f>
        <x:v>14400</x:v>
      </x:c>
      <x:c r="K814" s="17" t="n">
        <x:f>I814+J814</x:f>
        <x:v>94400</x:v>
      </x:c>
    </x:row>
    <x:row r="815" ht="46" customHeight="1">
      <x:c r="A815" s="2" t="str">
        <x:v>Indicative size</x:v>
      </x:c>
      <x:c r="B815" s="2" t="str">
        <x:v>Mixed business audience</x:v>
      </x:c>
      <x:c r="C815" s="12" t="str">
        <x:v>Delhi NCR</x:v>
      </x:c>
      <x:c r="D815" s="12" t="str">
        <x:v>MAIN-375</x:v>
      </x:c>
      <x:c r="E815" s="12" t="str">
        <x:v>Logix Infotech Park</x:v>
      </x:c>
      <x:c r="F815" s="11" t="n">
        <x:v>4</x:v>
      </x:c>
      <x:c r="G815" s="11" t="n">
        <x:v>4</x:v>
      </x:c>
      <x:c r="H815" s="11" t="n">
        <x:v>0</x:v>
      </x:c>
      <x:c r="I815" s="17" t="n">
        <x:f>INDEX('Costing'!$P$9:$P$492,MATCH(D815,'Costing'!$A$9:$A$492,0))</x:f>
        <x:v>60000</x:v>
      </x:c>
      <x:c r="J815" s="17" t="n">
        <x:f>ROUND(I815*'Costing'!$C$4,2)</x:f>
        <x:v>10800</x:v>
      </x:c>
      <x:c r="K815" s="17" t="n">
        <x:f>I815+J815</x:f>
        <x:v>70800</x:v>
      </x:c>
    </x:row>
    <x:row r="816" ht="46" customHeight="1">
      <x:c r="A816" s="2" t="str">
        <x:v>Indicative size</x:v>
      </x:c>
      <x:c r="B816" s="2" t="str">
        <x:v>Mixed business audience</x:v>
      </x:c>
      <x:c r="C816" s="12" t="str">
        <x:v>Delhi NCR</x:v>
      </x:c>
      <x:c r="D816" s="12" t="str">
        <x:v>MAIN-170</x:v>
      </x:c>
      <x:c r="E816" s="12" t="str">
        <x:v>Logix Infotech Park - 2</x:v>
      </x:c>
      <x:c r="F816" s="11" t="n">
        <x:v>4</x:v>
      </x:c>
      <x:c r="G816" s="11" t="n">
        <x:v>4</x:v>
      </x:c>
      <x:c r="H816" s="11" t="n">
        <x:v>0</x:v>
      </x:c>
      <x:c r="I816" s="17" t="n">
        <x:f>INDEX('Costing'!$P$9:$P$492,MATCH(D816,'Costing'!$A$9:$A$492,0))</x:f>
        <x:v>60000</x:v>
      </x:c>
      <x:c r="J816" s="17" t="n">
        <x:f>ROUND(I816*'Costing'!$C$4,2)</x:f>
        <x:v>10800</x:v>
      </x:c>
      <x:c r="K816" s="17" t="n">
        <x:f>I816+J816</x:f>
        <x:v>70800</x:v>
      </x:c>
    </x:row>
    <x:row r="817" ht="46" customHeight="1">
      <x:c r="A817" s="2" t="str">
        <x:v>Indicative size</x:v>
      </x:c>
      <x:c r="B817" s="2" t="str">
        <x:v>Mixed business audience</x:v>
      </x:c>
      <x:c r="C817" s="12" t="str">
        <x:v>Delhi NCR</x:v>
      </x:c>
      <x:c r="D817" s="12" t="str">
        <x:v>MAIN-197</x:v>
      </x:c>
      <x:c r="E817" s="12" t="str">
        <x:v>Nucleus - One Qube</x:v>
      </x:c>
      <x:c r="F817" s="11" t="n">
        <x:v>3</x:v>
      </x:c>
      <x:c r="G817" s="11" t="n">
        <x:v>3</x:v>
      </x:c>
      <x:c r="H817" s="11" t="n">
        <x:v>0</x:v>
      </x:c>
      <x:c r="I817" s="17" t="n">
        <x:f>INDEX('Costing'!$P$9:$P$492,MATCH(D817,'Costing'!$A$9:$A$492,0))</x:f>
        <x:v>120000</x:v>
      </x:c>
      <x:c r="J817" s="17" t="n">
        <x:f>ROUND(I817*'Costing'!$C$4,2)</x:f>
        <x:v>21600</x:v>
      </x:c>
      <x:c r="K817" s="17" t="n">
        <x:f>I817+J817</x:f>
        <x:v>141600</x:v>
      </x:c>
    </x:row>
    <x:row r="818" ht="46" customHeight="1">
      <x:c r="A818" s="2" t="str">
        <x:v>Indicative size</x:v>
      </x:c>
      <x:c r="B818" s="2" t="str">
        <x:v>Mixed business audience</x:v>
      </x:c>
      <x:c r="C818" s="12" t="str">
        <x:v>Delhi NCR</x:v>
      </x:c>
      <x:c r="D818" s="12" t="str">
        <x:v>MAIN-376</x:v>
      </x:c>
      <x:c r="E818" s="12" t="str">
        <x:v>Qbicals Coworking - Sector 63</x:v>
      </x:c>
      <x:c r="F818" s="11" t="n">
        <x:v>2</x:v>
      </x:c>
      <x:c r="G818" s="11" t="n">
        <x:v>2</x:v>
      </x:c>
      <x:c r="H818" s="11" t="n">
        <x:v>0</x:v>
      </x:c>
      <x:c r="I818" s="17" t="n">
        <x:f>INDEX('Costing'!$P$9:$P$492,MATCH(D818,'Costing'!$A$9:$A$492,0))</x:f>
        <x:v>40000</x:v>
      </x:c>
      <x:c r="J818" s="17" t="n">
        <x:f>ROUND(I818*'Costing'!$C$4,2)</x:f>
        <x:v>7200</x:v>
      </x:c>
      <x:c r="K818" s="17" t="n">
        <x:f>I818+J818</x:f>
        <x:v>47200</x:v>
      </x:c>
    </x:row>
    <x:row r="819" ht="46" customHeight="1">
      <x:c r="A819" s="2" t="str">
        <x:v>Indicative size</x:v>
      </x:c>
      <x:c r="B819" s="2" t="str">
        <x:v>Mixed business audience</x:v>
      </x:c>
      <x:c r="C819" s="12" t="str">
        <x:v>Delhi NCR</x:v>
      </x:c>
      <x:c r="D819" s="12" t="str">
        <x:v>MAIN-199</x:v>
      </x:c>
      <x:c r="E819" s="12" t="str">
        <x:v>Satya The Hive</x:v>
      </x:c>
      <x:c r="F819" s="11" t="n">
        <x:v>1</x:v>
      </x:c>
      <x:c r="G819" s="11" t="n">
        <x:v>1</x:v>
      </x:c>
      <x:c r="H819" s="11" t="n">
        <x:v>0</x:v>
      </x:c>
      <x:c r="I819" s="17" t="n">
        <x:f>INDEX('Costing'!$P$9:$P$492,MATCH(D819,'Costing'!$A$9:$A$492,0))</x:f>
        <x:v>40000</x:v>
      </x:c>
      <x:c r="J819" s="17" t="n">
        <x:f>ROUND(I819*'Costing'!$C$4,2)</x:f>
        <x:v>7200</x:v>
      </x:c>
      <x:c r="K819" s="17" t="n">
        <x:f>I819+J819</x:f>
        <x:v>47200</x:v>
      </x:c>
    </x:row>
    <x:row r="820" ht="46" customHeight="1">
      <x:c r="A820" s="2" t="str">
        <x:v>Indicative size</x:v>
      </x:c>
      <x:c r="B820" s="2" t="str">
        <x:v>Mixed business audience</x:v>
      </x:c>
      <x:c r="C820" s="12" t="str">
        <x:v>Delhi NCR</x:v>
      </x:c>
      <x:c r="D820" s="12" t="str">
        <x:v>MAIN-200</x:v>
      </x:c>
      <x:c r="E820" s="12" t="str">
        <x:v>Satya The Hive {IE}</x:v>
      </x:c>
      <x:c r="F820" s="11" t="n">
        <x:v>7</x:v>
      </x:c>
      <x:c r="G820" s="11" t="n">
        <x:v>7</x:v>
      </x:c>
      <x:c r="H820" s="11" t="n">
        <x:v>0</x:v>
      </x:c>
      <x:c r="I820" s="17" t="n">
        <x:f>INDEX('Costing'!$P$9:$P$492,MATCH(D820,'Costing'!$A$9:$A$492,0))</x:f>
        <x:v>105000</x:v>
      </x:c>
      <x:c r="J820" s="17" t="n">
        <x:f>ROUND(I820*'Costing'!$C$4,2)</x:f>
        <x:v>18900</x:v>
      </x:c>
      <x:c r="K820" s="17" t="n">
        <x:f>I820+J820</x:f>
        <x:v>123900</x:v>
      </x:c>
    </x:row>
    <x:row r="821" ht="46" customHeight="1">
      <x:c r="A821" s="2" t="str">
        <x:v>Indicative size</x:v>
      </x:c>
      <x:c r="B821" s="2" t="str">
        <x:v>Mixed business audience</x:v>
      </x:c>
      <x:c r="C821" s="12" t="str">
        <x:v>Delhi NCR</x:v>
      </x:c>
      <x:c r="D821" s="12" t="str">
        <x:v>MAIN-201</x:v>
      </x:c>
      <x:c r="E821" s="12" t="str">
        <x:v>Unitech - Business Park</x:v>
      </x:c>
      <x:c r="F821" s="11" t="n">
        <x:v>2</x:v>
      </x:c>
      <x:c r="G821" s="11" t="n">
        <x:v>2</x:v>
      </x:c>
      <x:c r="H821" s="11" t="n">
        <x:v>0</x:v>
      </x:c>
      <x:c r="I821" s="17" t="n">
        <x:f>INDEX('Costing'!$P$9:$P$492,MATCH(D821,'Costing'!$A$9:$A$492,0))</x:f>
        <x:v>80000</x:v>
      </x:c>
      <x:c r="J821" s="17" t="n">
        <x:f>ROUND(I821*'Costing'!$C$4,2)</x:f>
        <x:v>14400</x:v>
      </x:c>
      <x:c r="K821" s="17" t="n">
        <x:f>I821+J821</x:f>
        <x:v>94400</x:v>
      </x:c>
    </x:row>
    <x:row r="822" ht="46" customHeight="1">
      <x:c r="A822" s="2" t="str">
        <x:v>Indicative size</x:v>
      </x:c>
      <x:c r="B822" s="2" t="str">
        <x:v>Mixed business audience</x:v>
      </x:c>
      <x:c r="C822" s="12" t="str">
        <x:v>Delhi NCR</x:v>
      </x:c>
      <x:c r="D822" s="12" t="str">
        <x:v>MAIN-202</x:v>
      </x:c>
      <x:c r="E822" s="12" t="str">
        <x:v>Unitech - Business Zone</x:v>
      </x:c>
      <x:c r="F822" s="11" t="n">
        <x:v>4</x:v>
      </x:c>
      <x:c r="G822" s="11" t="n">
        <x:v>4</x:v>
      </x:c>
      <x:c r="H822" s="11" t="n">
        <x:v>0</x:v>
      </x:c>
      <x:c r="I822" s="17" t="n">
        <x:f>INDEX('Costing'!$P$9:$P$492,MATCH(D822,'Costing'!$A$9:$A$492,0))</x:f>
        <x:v>160000</x:v>
      </x:c>
      <x:c r="J822" s="17" t="n">
        <x:f>ROUND(I822*'Costing'!$C$4,2)</x:f>
        <x:v>28800</x:v>
      </x:c>
      <x:c r="K822" s="17" t="n">
        <x:f>I822+J822</x:f>
        <x:v>188800</x:v>
      </x:c>
    </x:row>
    <x:row r="823" ht="46" customHeight="1">
      <x:c r="A823" s="2" t="str">
        <x:v>Indicative size</x:v>
      </x:c>
      <x:c r="B823" s="2" t="str">
        <x:v>Mixed business audience</x:v>
      </x:c>
      <x:c r="C823" s="12" t="str">
        <x:v>Delhi NCR</x:v>
      </x:c>
      <x:c r="D823" s="12" t="str">
        <x:v>MAIN-203</x:v>
      </x:c>
      <x:c r="E823" s="12" t="str">
        <x:v>Unitech - Commercial Tower 2</x:v>
      </x:c>
      <x:c r="F823" s="11" t="n">
        <x:v>1</x:v>
      </x:c>
      <x:c r="G823" s="11" t="n">
        <x:v>1</x:v>
      </x:c>
      <x:c r="H823" s="11" t="n">
        <x:v>0</x:v>
      </x:c>
      <x:c r="I823" s="17" t="n">
        <x:f>INDEX('Costing'!$P$9:$P$492,MATCH(D823,'Costing'!$A$9:$A$492,0))</x:f>
        <x:v>40000</x:v>
      </x:c>
      <x:c r="J823" s="17" t="n">
        <x:f>ROUND(I823*'Costing'!$C$4,2)</x:f>
        <x:v>7200</x:v>
      </x:c>
      <x:c r="K823" s="17" t="n">
        <x:f>I823+J823</x:f>
        <x:v>47200</x:v>
      </x:c>
    </x:row>
    <x:row r="824" ht="46" customHeight="1">
      <x:c r="A824" s="2" t="str">
        <x:v>Indicative size</x:v>
      </x:c>
      <x:c r="B824" s="2" t="str">
        <x:v>Mixed business audience</x:v>
      </x:c>
      <x:c r="C824" s="12" t="str">
        <x:v>Delhi NCR</x:v>
      </x:c>
      <x:c r="D824" s="12" t="str">
        <x:v>MAIN-204</x:v>
      </x:c>
      <x:c r="E824" s="12" t="str">
        <x:v>Unitech - Cyber Park</x:v>
      </x:c>
      <x:c r="F824" s="11" t="n">
        <x:v>4</x:v>
      </x:c>
      <x:c r="G824" s="11" t="n">
        <x:v>4</x:v>
      </x:c>
      <x:c r="H824" s="11" t="n">
        <x:v>0</x:v>
      </x:c>
      <x:c r="I824" s="17" t="n">
        <x:f>INDEX('Costing'!$P$9:$P$492,MATCH(D824,'Costing'!$A$9:$A$492,0))</x:f>
        <x:v>160000</x:v>
      </x:c>
      <x:c r="J824" s="17" t="n">
        <x:f>ROUND(I824*'Costing'!$C$4,2)</x:f>
        <x:v>28800</x:v>
      </x:c>
      <x:c r="K824" s="17" t="n">
        <x:f>I824+J824</x:f>
        <x:v>188800</x:v>
      </x:c>
    </x:row>
    <x:row r="825" ht="46" customHeight="1">
      <x:c r="A825" s="2" t="str">
        <x:v>Indicative size</x:v>
      </x:c>
      <x:c r="B825" s="2" t="str">
        <x:v>Mixed business audience</x:v>
      </x:c>
      <x:c r="C825" s="12" t="str">
        <x:v>Delhi NCR</x:v>
      </x:c>
      <x:c r="D825" s="12" t="str">
        <x:v>MAIN-205</x:v>
      </x:c>
      <x:c r="E825" s="12" t="str">
        <x:v>Unitech - Gateway Tower</x:v>
      </x:c>
      <x:c r="F825" s="11" t="n">
        <x:v>1</x:v>
      </x:c>
      <x:c r="G825" s="11" t="n">
        <x:v>1</x:v>
      </x:c>
      <x:c r="H825" s="11" t="n">
        <x:v>0</x:v>
      </x:c>
      <x:c r="I825" s="17" t="n">
        <x:f>INDEX('Costing'!$P$9:$P$492,MATCH(D825,'Costing'!$A$9:$A$492,0))</x:f>
        <x:v>40000</x:v>
      </x:c>
      <x:c r="J825" s="17" t="n">
        <x:f>ROUND(I825*'Costing'!$C$4,2)</x:f>
        <x:v>7200</x:v>
      </x:c>
      <x:c r="K825" s="17" t="n">
        <x:f>I825+J825</x:f>
        <x:v>47200</x:v>
      </x:c>
    </x:row>
    <x:row r="826" ht="46" customHeight="1">
      <x:c r="A826" s="2" t="str">
        <x:v>Indicative size</x:v>
      </x:c>
      <x:c r="B826" s="2" t="str">
        <x:v>Mixed business audience</x:v>
      </x:c>
      <x:c r="C826" s="12" t="str">
        <x:v>Delhi NCR</x:v>
      </x:c>
      <x:c r="D826" s="12" t="str">
        <x:v>MAIN-206</x:v>
      </x:c>
      <x:c r="E826" s="12" t="str">
        <x:v>Unitech - Global Business Park</x:v>
      </x:c>
      <x:c r="F826" s="11" t="n">
        <x:v>3</x:v>
      </x:c>
      <x:c r="G826" s="11" t="n">
        <x:v>3</x:v>
      </x:c>
      <x:c r="H826" s="11" t="n">
        <x:v>0</x:v>
      </x:c>
      <x:c r="I826" s="17" t="n">
        <x:f>INDEX('Costing'!$P$9:$P$492,MATCH(D826,'Costing'!$A$9:$A$492,0))</x:f>
        <x:v>120000</x:v>
      </x:c>
      <x:c r="J826" s="17" t="n">
        <x:f>ROUND(I826*'Costing'!$C$4,2)</x:f>
        <x:v>21600</x:v>
      </x:c>
      <x:c r="K826" s="17" t="n">
        <x:f>I826+J826</x:f>
        <x:v>141600</x:v>
      </x:c>
    </x:row>
    <x:row r="827" ht="46" customHeight="1">
      <x:c r="A827" s="2" t="str">
        <x:v>Indicative size</x:v>
      </x:c>
      <x:c r="B827" s="2" t="str">
        <x:v>Mixed business audience</x:v>
      </x:c>
      <x:c r="C827" s="12" t="str">
        <x:v>Delhi NCR</x:v>
      </x:c>
      <x:c r="D827" s="12" t="str">
        <x:v>MAIN-207</x:v>
      </x:c>
      <x:c r="E827" s="12" t="str">
        <x:v>Unitech - Signature Tower</x:v>
      </x:c>
      <x:c r="F827" s="11" t="n">
        <x:v>2</x:v>
      </x:c>
      <x:c r="G827" s="11" t="n">
        <x:v>2</x:v>
      </x:c>
      <x:c r="H827" s="11" t="n">
        <x:v>0</x:v>
      </x:c>
      <x:c r="I827" s="17" t="n">
        <x:f>INDEX('Costing'!$P$9:$P$492,MATCH(D827,'Costing'!$A$9:$A$492,0))</x:f>
        <x:v>80000</x:v>
      </x:c>
      <x:c r="J827" s="17" t="n">
        <x:f>ROUND(I827*'Costing'!$C$4,2)</x:f>
        <x:v>14400</x:v>
      </x:c>
      <x:c r="K827" s="17" t="n">
        <x:f>I827+J827</x:f>
        <x:v>94400</x:v>
      </x:c>
    </x:row>
    <x:row r="828" ht="46" customHeight="1">
      <x:c r="A828" s="2" t="str">
        <x:v>Indicative size</x:v>
      </x:c>
      <x:c r="B828" s="2" t="str">
        <x:v>Mixed business audience</x:v>
      </x:c>
      <x:c r="C828" s="12" t="str">
        <x:v>Delhi NCR</x:v>
      </x:c>
      <x:c r="D828" s="12" t="str">
        <x:v>MAIN-208</x:v>
      </x:c>
      <x:c r="E828" s="12" t="str">
        <x:v>Unitech - Trade Center</x:v>
      </x:c>
      <x:c r="F828" s="11" t="n">
        <x:v>1</x:v>
      </x:c>
      <x:c r="G828" s="11" t="n">
        <x:v>1</x:v>
      </x:c>
      <x:c r="H828" s="11" t="n">
        <x:v>0</x:v>
      </x:c>
      <x:c r="I828" s="17" t="n">
        <x:f>INDEX('Costing'!$P$9:$P$492,MATCH(D828,'Costing'!$A$9:$A$492,0))</x:f>
        <x:v>40000</x:v>
      </x:c>
      <x:c r="J828" s="17" t="n">
        <x:f>ROUND(I828*'Costing'!$C$4,2)</x:f>
        <x:v>7200</x:v>
      </x:c>
      <x:c r="K828" s="17" t="n">
        <x:f>I828+J828</x:f>
        <x:v>47200</x:v>
      </x:c>
    </x:row>
    <x:row r="829" ht="46" customHeight="1">
      <x:c r="A829" s="2" t="str">
        <x:v>Indicative size</x:v>
      </x:c>
      <x:c r="B829" s="2" t="str">
        <x:v>Mixed business audience</x:v>
      </x:c>
      <x:c r="C829" s="12" t="str">
        <x:v>Delhi NCR</x:v>
      </x:c>
      <x:c r="D829" s="12" t="str">
        <x:v>MAIN-377</x:v>
      </x:c>
      <x:c r="E829" s="12" t="str">
        <x:v>WeWork - Berger One</x:v>
      </x:c>
      <x:c r="F829" s="11" t="n">
        <x:v>6</x:v>
      </x:c>
      <x:c r="G829" s="11" t="n">
        <x:v>6</x:v>
      </x:c>
      <x:c r="H829" s="11" t="n">
        <x:v>0</x:v>
      </x:c>
      <x:c r="I829" s="17" t="n">
        <x:f>INDEX('Costing'!$P$9:$P$492,MATCH(D829,'Costing'!$A$9:$A$492,0))</x:f>
        <x:v>150000</x:v>
      </x:c>
      <x:c r="J829" s="17" t="n">
        <x:f>ROUND(I829*'Costing'!$C$4,2)</x:f>
        <x:v>27000</x:v>
      </x:c>
      <x:c r="K829" s="17" t="n">
        <x:f>I829+J829</x:f>
        <x:v>177000</x:v>
      </x:c>
    </x:row>
    <x:row r="830" ht="46" customHeight="1">
      <x:c r="A830" s="2" t="str">
        <x:v>Indicative size</x:v>
      </x:c>
      <x:c r="B830" s="2" t="str">
        <x:v>Mixed business audience</x:v>
      </x:c>
      <x:c r="C830" s="12" t="str">
        <x:v>Delhi NCR</x:v>
      </x:c>
      <x:c r="D830" s="12" t="str">
        <x:v>MAIN-171</x:v>
      </x:c>
      <x:c r="E830" s="12" t="str">
        <x:v>WeWork - Eldeco</x:v>
      </x:c>
      <x:c r="F830" s="11" t="n">
        <x:v>1</x:v>
      </x:c>
      <x:c r="G830" s="11" t="n">
        <x:v>1</x:v>
      </x:c>
      <x:c r="H830" s="11" t="n">
        <x:v>0</x:v>
      </x:c>
      <x:c r="I830" s="17" t="n">
        <x:f>INDEX('Costing'!$P$9:$P$492,MATCH(D830,'Costing'!$A$9:$A$492,0))</x:f>
        <x:v>25000</x:v>
      </x:c>
      <x:c r="J830" s="17" t="n">
        <x:f>ROUND(I830*'Costing'!$C$4,2)</x:f>
        <x:v>4500</x:v>
      </x:c>
      <x:c r="K830" s="17" t="n">
        <x:f>I830+J830</x:f>
        <x:v>29500</x:v>
      </x:c>
    </x:row>
    <x:row r="831" ht="46" customHeight="1">
      <x:c r="A831" s="2" t="str">
        <x:v>Indicative size</x:v>
      </x:c>
      <x:c r="B831" s="2" t="str">
        <x:v>Mixed business audience</x:v>
      </x:c>
      <x:c r="C831" s="12" t="str">
        <x:v>Delhi NCR</x:v>
      </x:c>
      <x:c r="D831" s="12" t="str">
        <x:v>MAIN-210</x:v>
      </x:c>
      <x:c r="E831" s="12" t="str">
        <x:v>WeWork - Forum</x:v>
      </x:c>
      <x:c r="F831" s="11" t="n">
        <x:v>14</x:v>
      </x:c>
      <x:c r="G831" s="11" t="n">
        <x:v>14</x:v>
      </x:c>
      <x:c r="H831" s="11" t="n">
        <x:v>0</x:v>
      </x:c>
      <x:c r="I831" s="17" t="n">
        <x:f>INDEX('Costing'!$P$9:$P$492,MATCH(D831,'Costing'!$A$9:$A$492,0))</x:f>
        <x:v>350000</x:v>
      </x:c>
      <x:c r="J831" s="17" t="n">
        <x:f>ROUND(I831*'Costing'!$C$4,2)</x:f>
        <x:v>63000</x:v>
      </x:c>
      <x:c r="K831" s="17" t="n">
        <x:f>I831+J831</x:f>
        <x:v>413000</x:v>
      </x:c>
    </x:row>
    <x:row r="832" ht="46" customHeight="1">
      <x:c r="A832" s="2" t="str">
        <x:v>Indicative size</x:v>
      </x:c>
      <x:c r="B832" s="2" t="str">
        <x:v>Mixed business audience</x:v>
      </x:c>
      <x:c r="C832" s="12" t="str">
        <x:v>Delhi NCR</x:v>
      </x:c>
      <x:c r="D832" s="12" t="str">
        <x:v>MAIN-211</x:v>
      </x:c>
      <x:c r="E832" s="12" t="str">
        <x:v>Wework - VI John</x:v>
      </x:c>
      <x:c r="F832" s="11" t="n">
        <x:v>8</x:v>
      </x:c>
      <x:c r="G832" s="11" t="n">
        <x:v>8</x:v>
      </x:c>
      <x:c r="H832" s="11" t="n">
        <x:v>0</x:v>
      </x:c>
      <x:c r="I832" s="17" t="n">
        <x:f>INDEX('Costing'!$P$9:$P$492,MATCH(D832,'Costing'!$A$9:$A$492,0))</x:f>
        <x:v>200000</x:v>
      </x:c>
      <x:c r="J832" s="17" t="n">
        <x:f>ROUND(I832*'Costing'!$C$4,2)</x:f>
        <x:v>36000</x:v>
      </x:c>
      <x:c r="K832" s="17" t="n">
        <x:f>I832+J832</x:f>
        <x:v>236000</x:v>
      </x:c>
    </x:row>
    <x:row r="833" ht="46" customHeight="1">
      <x:c r="A833" s="2" t="str">
        <x:v>Indicative size</x:v>
      </x:c>
      <x:c r="B833" s="2" t="str">
        <x:v>Mixed business audience</x:v>
      </x:c>
      <x:c r="C833" s="12" t="str">
        <x:v>Delhi NCR</x:v>
      </x:c>
      <x:c r="D833" s="12" t="str">
        <x:v>MAIN-172</x:v>
      </x:c>
      <x:c r="E833" s="12" t="str">
        <x:v>Workflow by Oyo - Aerocity</x:v>
      </x:c>
      <x:c r="F833" s="11" t="n">
        <x:v>3</x:v>
      </x:c>
      <x:c r="G833" s="11" t="n">
        <x:v>3</x:v>
      </x:c>
      <x:c r="H833" s="11" t="n">
        <x:v>0</x:v>
      </x:c>
      <x:c r="I833" s="17" t="n">
        <x:f>INDEX('Costing'!$P$9:$P$492,MATCH(D833,'Costing'!$A$9:$A$492,0))</x:f>
        <x:v>45000</x:v>
      </x:c>
      <x:c r="J833" s="17" t="n">
        <x:f>ROUND(I833*'Costing'!$C$4,2)</x:f>
        <x:v>8100</x:v>
      </x:c>
      <x:c r="K833" s="17" t="n">
        <x:f>I833+J833</x:f>
        <x:v>53100</x:v>
      </x:c>
    </x:row>
    <x:row r="834" ht="46" customHeight="1">
      <x:c r="A834" s="2" t="str">
        <x:v>Indicative size</x:v>
      </x:c>
      <x:c r="B834" s="2" t="str">
        <x:v>Mixed business audience</x:v>
      </x:c>
      <x:c r="C834" s="12" t="str">
        <x:v>Delhi NCR</x:v>
      </x:c>
      <x:c r="D834" s="12" t="str">
        <x:v>MAIN-173</x:v>
      </x:c>
      <x:c r="E834" s="12" t="str">
        <x:v>Workflow by Oyo - CP Regal</x:v>
      </x:c>
      <x:c r="F834" s="11" t="n">
        <x:v>1</x:v>
      </x:c>
      <x:c r="G834" s="11" t="n">
        <x:v>1</x:v>
      </x:c>
      <x:c r="H834" s="11" t="n">
        <x:v>0</x:v>
      </x:c>
      <x:c r="I834" s="17" t="n">
        <x:f>INDEX('Costing'!$P$9:$P$492,MATCH(D834,'Costing'!$A$9:$A$492,0))</x:f>
        <x:v>15000</x:v>
      </x:c>
      <x:c r="J834" s="17" t="n">
        <x:f>ROUND(I834*'Costing'!$C$4,2)</x:f>
        <x:v>2700</x:v>
      </x:c>
      <x:c r="K834" s="17" t="n">
        <x:f>I834+J834</x:f>
        <x:v>17700</x:v>
      </x:c>
    </x:row>
    <x:row r="835" ht="46" customHeight="1">
      <x:c r="A835" s="2" t="str">
        <x:v>Indicative size</x:v>
      </x:c>
      <x:c r="B835" s="2" t="str">
        <x:v>Mixed business audience</x:v>
      </x:c>
      <x:c r="C835" s="12" t="str">
        <x:v>Delhi NCR</x:v>
      </x:c>
      <x:c r="D835" s="12" t="str">
        <x:v>MAIN-174</x:v>
      </x:c>
      <x:c r="E835" s="12" t="str">
        <x:v>Workflow by Oyo - CP2</x:v>
      </x:c>
      <x:c r="F835" s="11" t="n">
        <x:v>2</x:v>
      </x:c>
      <x:c r="G835" s="11" t="n">
        <x:v>2</x:v>
      </x:c>
      <x:c r="H835" s="11" t="n">
        <x:v>0</x:v>
      </x:c>
      <x:c r="I835" s="17" t="n">
        <x:f>INDEX('Costing'!$P$9:$P$492,MATCH(D835,'Costing'!$A$9:$A$492,0))</x:f>
        <x:v>30000</x:v>
      </x:c>
      <x:c r="J835" s="17" t="n">
        <x:f>ROUND(I835*'Costing'!$C$4,2)</x:f>
        <x:v>5400</x:v>
      </x:c>
      <x:c r="K835" s="17" t="n">
        <x:f>I835+J835</x:f>
        <x:v>35400</x:v>
      </x:c>
    </x:row>
    <x:row r="836" ht="46" customHeight="1">
      <x:c r="A836" s="2" t="str">
        <x:v>Indicative size</x:v>
      </x:c>
      <x:c r="B836" s="2" t="str">
        <x:v>Mixed business audience</x:v>
      </x:c>
      <x:c r="C836" s="12" t="str">
        <x:v>Delhi NCR</x:v>
      </x:c>
      <x:c r="D836" s="12" t="str">
        <x:v>MAIN-212</x:v>
      </x:c>
      <x:c r="E836" s="12" t="str">
        <x:v>Workflow by Oyo - Golf Course Road</x:v>
      </x:c>
      <x:c r="F836" s="11" t="n">
        <x:v>2</x:v>
      </x:c>
      <x:c r="G836" s="11" t="n">
        <x:v>2</x:v>
      </x:c>
      <x:c r="H836" s="11" t="n">
        <x:v>0</x:v>
      </x:c>
      <x:c r="I836" s="17" t="n">
        <x:f>INDEX('Costing'!$P$9:$P$492,MATCH(D836,'Costing'!$A$9:$A$492,0))</x:f>
        <x:v>30000</x:v>
      </x:c>
      <x:c r="J836" s="17" t="n">
        <x:f>ROUND(I836*'Costing'!$C$4,2)</x:f>
        <x:v>5400</x:v>
      </x:c>
      <x:c r="K836" s="17" t="n">
        <x:f>I836+J836</x:f>
        <x:v>35400</x:v>
      </x:c>
    </x:row>
    <x:row r="837" ht="46" customHeight="1">
      <x:c r="A837" s="2" t="str">
        <x:v>Indicative size</x:v>
      </x:c>
      <x:c r="B837" s="2" t="str">
        <x:v>Mixed business audience</x:v>
      </x:c>
      <x:c r="C837" s="12" t="str">
        <x:v>Delhi NCR</x:v>
      </x:c>
      <x:c r="D837" s="12" t="str">
        <x:v>MAIN-175</x:v>
      </x:c>
      <x:c r="E837" s="12" t="str">
        <x:v>Workflow by Oyo - Old Fort Saket</x:v>
      </x:c>
      <x:c r="F837" s="11" t="n">
        <x:v>1</x:v>
      </x:c>
      <x:c r="G837" s="11" t="n">
        <x:v>1</x:v>
      </x:c>
      <x:c r="H837" s="11" t="n">
        <x:v>0</x:v>
      </x:c>
      <x:c r="I837" s="17" t="n">
        <x:f>INDEX('Costing'!$P$9:$P$492,MATCH(D837,'Costing'!$A$9:$A$492,0))</x:f>
        <x:v>15000</x:v>
      </x:c>
      <x:c r="J837" s="17" t="n">
        <x:f>ROUND(I837*'Costing'!$C$4,2)</x:f>
        <x:v>2700</x:v>
      </x:c>
      <x:c r="K837" s="17" t="n">
        <x:f>I837+J837</x:f>
        <x:v>17700</x:v>
      </x:c>
    </x:row>
    <x:row r="838" ht="46" customHeight="1">
      <x:c r="A838" s="2" t="str">
        <x:v>Indicative size</x:v>
      </x:c>
      <x:c r="B838" s="2" t="str">
        <x:v>Mixed business audience</x:v>
      </x:c>
      <x:c r="C838" s="12" t="str">
        <x:v>Delhi NCR</x:v>
      </x:c>
      <x:c r="D838" s="12" t="str">
        <x:v>MAIN-176</x:v>
      </x:c>
      <x:c r="E838" s="12" t="str">
        <x:v>Workflow by Oyo - RV Saket</x:v>
      </x:c>
      <x:c r="F838" s="11" t="n">
        <x:v>1</x:v>
      </x:c>
      <x:c r="G838" s="11" t="n">
        <x:v>1</x:v>
      </x:c>
      <x:c r="H838" s="11" t="n">
        <x:v>0</x:v>
      </x:c>
      <x:c r="I838" s="17" t="n">
        <x:f>INDEX('Costing'!$P$9:$P$492,MATCH(D838,'Costing'!$A$9:$A$492,0))</x:f>
        <x:v>15000</x:v>
      </x:c>
      <x:c r="J838" s="17" t="n">
        <x:f>ROUND(I838*'Costing'!$C$4,2)</x:f>
        <x:v>2700</x:v>
      </x:c>
      <x:c r="K838" s="17" t="n">
        <x:f>I838+J838</x:f>
        <x:v>17700</x:v>
      </x:c>
    </x:row>
    <x:row r="839" ht="46" customHeight="1">
      <x:c r="A839" s="2" t="str">
        <x:v>Indicative size</x:v>
      </x:c>
      <x:c r="B839" s="2" t="str">
        <x:v>Mixed business audience</x:v>
      </x:c>
      <x:c r="C839" s="12" t="str">
        <x:v>Delhi NCR</x:v>
      </x:c>
      <x:c r="D839" s="12" t="str">
        <x:v>MAIN-378</x:v>
      </x:c>
      <x:c r="E839" s="12" t="str">
        <x:v>World Trade Tower</x:v>
      </x:c>
      <x:c r="F839" s="11" t="n">
        <x:v>13</x:v>
      </x:c>
      <x:c r="G839" s="11" t="n">
        <x:v>13</x:v>
      </x:c>
      <x:c r="H839" s="11" t="n">
        <x:v>0</x:v>
      </x:c>
      <x:c r="I839" s="17" t="n">
        <x:f>INDEX('Costing'!$P$9:$P$492,MATCH(D839,'Costing'!$A$9:$A$492,0))</x:f>
        <x:v>260000</x:v>
      </x:c>
      <x:c r="J839" s="17" t="n">
        <x:f>ROUND(I839*'Costing'!$C$4,2)</x:f>
        <x:v>46800</x:v>
      </x:c>
      <x:c r="K839" s="17" t="n">
        <x:f>I839+J839</x:f>
        <x:v>306800</x:v>
      </x:c>
    </x:row>
    <x:row r="840" ht="46" customHeight="1">
      <x:c r="A840" s="2" t="str">
        <x:v>Indicative size</x:v>
      </x:c>
      <x:c r="B840" s="2" t="str">
        <x:v>Mixed business audience</x:v>
      </x:c>
      <x:c r="C840" s="12" t="str">
        <x:v>Delhi NCR</x:v>
      </x:c>
      <x:c r="D840" s="12" t="str">
        <x:v>MAIN-177</x:v>
      </x:c>
      <x:c r="E840" s="12" t="str">
        <x:v>Worldmark 4</x:v>
      </x:c>
      <x:c r="F840" s="11" t="n">
        <x:v>1</x:v>
      </x:c>
      <x:c r="G840" s="11" t="n">
        <x:v>1</x:v>
      </x:c>
      <x:c r="H840" s="11" t="n">
        <x:v>0</x:v>
      </x:c>
      <x:c r="I840" s="17" t="n">
        <x:f>INDEX('Costing'!$P$9:$P$492,MATCH(D840,'Costing'!$A$9:$A$492,0))</x:f>
        <x:v>40000</x:v>
      </x:c>
      <x:c r="J840" s="17" t="n">
        <x:f>ROUND(I840*'Costing'!$C$4,2)</x:f>
        <x:v>7200</x:v>
      </x:c>
      <x:c r="K840" s="17" t="n">
        <x:f>I840+J840</x:f>
        <x:v>47200</x:v>
      </x:c>
    </x:row>
    <x:row r="841" ht="46" customHeight="1">
      <x:c r="A841" s="2" t="str">
        <x:v>Indicative size</x:v>
      </x:c>
      <x:c r="B841" s="2" t="str">
        <x:v>Mixed business audience</x:v>
      </x:c>
      <x:c r="C841" s="12" t="str">
        <x:v>Hyderabad</x:v>
      </x:c>
      <x:c r="D841" s="12" t="str">
        <x:v>MAIN-213</x:v>
      </x:c>
      <x:c r="E841" s="12" t="str">
        <x:v>Aurobindo Galaxy (TS)</x:v>
      </x:c>
      <x:c r="F841" s="11" t="n">
        <x:v>5</x:v>
      </x:c>
      <x:c r="G841" s="11" t="n">
        <x:v>5</x:v>
      </x:c>
      <x:c r="H841" s="11" t="n">
        <x:v>0</x:v>
      </x:c>
      <x:c r="I841" s="17" t="n">
        <x:f>INDEX('Costing'!$P$9:$P$492,MATCH(D841,'Costing'!$A$9:$A$492,0))</x:f>
        <x:v>200000</x:v>
      </x:c>
      <x:c r="J841" s="17" t="n">
        <x:f>ROUND(I841*'Costing'!$C$4,2)</x:f>
        <x:v>36000</x:v>
      </x:c>
      <x:c r="K841" s="17" t="n">
        <x:f>I841+J841</x:f>
        <x:v>236000</x:v>
      </x:c>
    </x:row>
    <x:row r="842" ht="46" customHeight="1">
      <x:c r="A842" s="2" t="str">
        <x:v>Indicative size</x:v>
      </x:c>
      <x:c r="B842" s="2" t="str">
        <x:v>Mixed business audience</x:v>
      </x:c>
      <x:c r="C842" s="12" t="str">
        <x:v>Hyderabad</x:v>
      </x:c>
      <x:c r="D842" s="12" t="str">
        <x:v>MAIN-215</x:v>
      </x:c>
      <x:c r="E842" s="12" t="str">
        <x:v>Awfis - B144Lorven Tiara</x:v>
      </x:c>
      <x:c r="F842" s="11" t="n">
        <x:v>8</x:v>
      </x:c>
      <x:c r="G842" s="11" t="n">
        <x:v>8</x:v>
      </x:c>
      <x:c r="H842" s="11" t="n">
        <x:v>0</x:v>
      </x:c>
      <x:c r="I842" s="17" t="n">
        <x:f>INDEX('Costing'!$P$9:$P$492,MATCH(D842,'Costing'!$A$9:$A$492,0))</x:f>
        <x:v>120000</x:v>
      </x:c>
      <x:c r="J842" s="17" t="n">
        <x:f>ROUND(I842*'Costing'!$C$4,2)</x:f>
        <x:v>21600</x:v>
      </x:c>
      <x:c r="K842" s="17" t="n">
        <x:f>I842+J842</x:f>
        <x:v>141600</x:v>
      </x:c>
    </x:row>
    <x:row r="843" ht="46" customHeight="1">
      <x:c r="A843" s="2" t="str">
        <x:v>Indicative size</x:v>
      </x:c>
      <x:c r="B843" s="2" t="str">
        <x:v>Mixed business audience</x:v>
      </x:c>
      <x:c r="C843" s="12" t="str">
        <x:v>Hyderabad</x:v>
      </x:c>
      <x:c r="D843" s="12" t="str">
        <x:v>MAIN-216</x:v>
      </x:c>
      <x:c r="E843" s="12" t="str">
        <x:v>Awfis - DSL Abacus IT Park</x:v>
      </x:c>
      <x:c r="F843" s="11" t="n">
        <x:v>2</x:v>
      </x:c>
      <x:c r="G843" s="11" t="n">
        <x:v>2</x:v>
      </x:c>
      <x:c r="H843" s="11" t="n">
        <x:v>0</x:v>
      </x:c>
      <x:c r="I843" s="17" t="n">
        <x:f>INDEX('Costing'!$P$9:$P$492,MATCH(D843,'Costing'!$A$9:$A$492,0))</x:f>
        <x:v>30000</x:v>
      </x:c>
      <x:c r="J843" s="17" t="n">
        <x:f>ROUND(I843*'Costing'!$C$4,2)</x:f>
        <x:v>5400</x:v>
      </x:c>
      <x:c r="K843" s="17" t="n">
        <x:f>I843+J843</x:f>
        <x:v>35400</x:v>
      </x:c>
    </x:row>
    <x:row r="844" ht="46" customHeight="1">
      <x:c r="A844" s="2" t="str">
        <x:v>Indicative size</x:v>
      </x:c>
      <x:c r="B844" s="2" t="str">
        <x:v>Mixed business audience</x:v>
      </x:c>
      <x:c r="C844" s="12" t="str">
        <x:v>Hyderabad</x:v>
      </x:c>
      <x:c r="D844" s="12" t="str">
        <x:v>MAIN-217</x:v>
      </x:c>
      <x:c r="E844" s="12" t="str">
        <x:v>Awfis - Hitech City 1st</x:v>
      </x:c>
      <x:c r="F844" s="11" t="n">
        <x:v>3</x:v>
      </x:c>
      <x:c r="G844" s="11" t="n">
        <x:v>3</x:v>
      </x:c>
      <x:c r="H844" s="11" t="n">
        <x:v>0</x:v>
      </x:c>
      <x:c r="I844" s="17" t="n">
        <x:f>INDEX('Costing'!$P$9:$P$492,MATCH(D844,'Costing'!$A$9:$A$492,0))</x:f>
        <x:v>45000</x:v>
      </x:c>
      <x:c r="J844" s="17" t="n">
        <x:f>ROUND(I844*'Costing'!$C$4,2)</x:f>
        <x:v>8100</x:v>
      </x:c>
      <x:c r="K844" s="17" t="n">
        <x:f>I844+J844</x:f>
        <x:v>53100</x:v>
      </x:c>
    </x:row>
    <x:row r="845" ht="46" customHeight="1">
      <x:c r="A845" s="2" t="str">
        <x:v>Indicative size</x:v>
      </x:c>
      <x:c r="B845" s="2" t="str">
        <x:v>Mixed business audience</x:v>
      </x:c>
      <x:c r="C845" s="12" t="str">
        <x:v>Hyderabad</x:v>
      </x:c>
      <x:c r="D845" s="12" t="str">
        <x:v>MAIN-218</x:v>
      </x:c>
      <x:c r="E845" s="12" t="str">
        <x:v>Awfis - Hitech City 4th</x:v>
      </x:c>
      <x:c r="F845" s="11" t="n">
        <x:v>3</x:v>
      </x:c>
      <x:c r="G845" s="11" t="n">
        <x:v>3</x:v>
      </x:c>
      <x:c r="H845" s="11" t="n">
        <x:v>0</x:v>
      </x:c>
      <x:c r="I845" s="17" t="n">
        <x:f>INDEX('Costing'!$P$9:$P$492,MATCH(D845,'Costing'!$A$9:$A$492,0))</x:f>
        <x:v>45000</x:v>
      </x:c>
      <x:c r="J845" s="17" t="n">
        <x:f>ROUND(I845*'Costing'!$C$4,2)</x:f>
        <x:v>8100</x:v>
      </x:c>
      <x:c r="K845" s="17" t="n">
        <x:f>I845+J845</x:f>
        <x:v>53100</x:v>
      </x:c>
    </x:row>
    <x:row r="846" ht="46" customHeight="1">
      <x:c r="A846" s="2" t="str">
        <x:v>Indicative size</x:v>
      </x:c>
      <x:c r="B846" s="2" t="str">
        <x:v>Mixed business audience</x:v>
      </x:c>
      <x:c r="C846" s="12" t="str">
        <x:v>Hyderabad</x:v>
      </x:c>
      <x:c r="D846" s="12" t="str">
        <x:v>MAIN-219</x:v>
      </x:c>
      <x:c r="E846" s="12" t="str">
        <x:v>Awfis - Hitech City 6th</x:v>
      </x:c>
      <x:c r="F846" s="11" t="n">
        <x:v>2</x:v>
      </x:c>
      <x:c r="G846" s="11" t="n">
        <x:v>2</x:v>
      </x:c>
      <x:c r="H846" s="11" t="n">
        <x:v>0</x:v>
      </x:c>
      <x:c r="I846" s="17" t="n">
        <x:f>INDEX('Costing'!$P$9:$P$492,MATCH(D846,'Costing'!$A$9:$A$492,0))</x:f>
        <x:v>30000</x:v>
      </x:c>
      <x:c r="J846" s="17" t="n">
        <x:f>ROUND(I846*'Costing'!$C$4,2)</x:f>
        <x:v>5400</x:v>
      </x:c>
      <x:c r="K846" s="17" t="n">
        <x:f>I846+J846</x:f>
        <x:v>35400</x:v>
      </x:c>
    </x:row>
    <x:row r="847" ht="46" customHeight="1">
      <x:c r="A847" s="2" t="str">
        <x:v>Indicative size</x:v>
      </x:c>
      <x:c r="B847" s="2" t="str">
        <x:v>Mixed business audience</x:v>
      </x:c>
      <x:c r="C847" s="12" t="str">
        <x:v>Hyderabad</x:v>
      </x:c>
      <x:c r="D847" s="12" t="str">
        <x:v>MAIN-221</x:v>
      </x:c>
      <x:c r="E847" s="12" t="str">
        <x:v>Awfis - Oyster Complex</x:v>
      </x:c>
      <x:c r="F847" s="11" t="n">
        <x:v>3</x:v>
      </x:c>
      <x:c r="G847" s="11" t="n">
        <x:v>3</x:v>
      </x:c>
      <x:c r="H847" s="11" t="n">
        <x:v>0</x:v>
      </x:c>
      <x:c r="I847" s="17" t="n">
        <x:f>INDEX('Costing'!$P$9:$P$492,MATCH(D847,'Costing'!$A$9:$A$492,0))</x:f>
        <x:v>45000</x:v>
      </x:c>
      <x:c r="J847" s="17" t="n">
        <x:f>ROUND(I847*'Costing'!$C$4,2)</x:f>
        <x:v>8100</x:v>
      </x:c>
      <x:c r="K847" s="17" t="n">
        <x:f>I847+J847</x:f>
        <x:v>53100</x:v>
      </x:c>
    </x:row>
    <x:row r="848" ht="46" customHeight="1">
      <x:c r="A848" s="2" t="str">
        <x:v>Indicative size</x:v>
      </x:c>
      <x:c r="B848" s="2" t="str">
        <x:v>Mixed business audience</x:v>
      </x:c>
      <x:c r="C848" s="12" t="str">
        <x:v>Hyderabad</x:v>
      </x:c>
      <x:c r="D848" s="12" t="str">
        <x:v>MAIN-222</x:v>
      </x:c>
      <x:c r="E848" s="12" t="str">
        <x:v>Awfis - Prestige Phoenix</x:v>
      </x:c>
      <x:c r="F848" s="11" t="n">
        <x:v>3</x:v>
      </x:c>
      <x:c r="G848" s="11" t="n">
        <x:v>3</x:v>
      </x:c>
      <x:c r="H848" s="11" t="n">
        <x:v>0</x:v>
      </x:c>
      <x:c r="I848" s="17" t="n">
        <x:f>INDEX('Costing'!$P$9:$P$492,MATCH(D848,'Costing'!$A$9:$A$492,0))</x:f>
        <x:v>45000</x:v>
      </x:c>
      <x:c r="J848" s="17" t="n">
        <x:f>ROUND(I848*'Costing'!$C$4,2)</x:f>
        <x:v>8100</x:v>
      </x:c>
      <x:c r="K848" s="17" t="n">
        <x:f>I848+J848</x:f>
        <x:v>53100</x:v>
      </x:c>
    </x:row>
    <x:row r="849" ht="46" customHeight="1">
      <x:c r="A849" s="2" t="str">
        <x:v>Indicative size</x:v>
      </x:c>
      <x:c r="B849" s="2" t="str">
        <x:v>Mixed business audience</x:v>
      </x:c>
      <x:c r="C849" s="12" t="str">
        <x:v>Hyderabad</x:v>
      </x:c>
      <x:c r="D849" s="12" t="str">
        <x:v>MAIN-224</x:v>
      </x:c>
      <x:c r="E849" s="12" t="str">
        <x:v>Awfis - Rajapushpa Summit</x:v>
      </x:c>
      <x:c r="F849" s="11" t="n">
        <x:v>3</x:v>
      </x:c>
      <x:c r="G849" s="11" t="n">
        <x:v>3</x:v>
      </x:c>
      <x:c r="H849" s="11" t="n">
        <x:v>0</x:v>
      </x:c>
      <x:c r="I849" s="17" t="n">
        <x:f>INDEX('Costing'!$P$9:$P$492,MATCH(D849,'Costing'!$A$9:$A$492,0))</x:f>
        <x:v>45000</x:v>
      </x:c>
      <x:c r="J849" s="17" t="n">
        <x:f>ROUND(I849*'Costing'!$C$4,2)</x:f>
        <x:v>8100</x:v>
      </x:c>
      <x:c r="K849" s="17" t="n">
        <x:f>I849+J849</x:f>
        <x:v>53100</x:v>
      </x:c>
    </x:row>
    <x:row r="850" ht="46" customHeight="1">
      <x:c r="A850" s="2" t="str">
        <x:v>Indicative size</x:v>
      </x:c>
      <x:c r="B850" s="2" t="str">
        <x:v>Mixed business audience</x:v>
      </x:c>
      <x:c r="C850" s="12" t="str">
        <x:v>Hyderabad</x:v>
      </x:c>
      <x:c r="D850" s="12" t="str">
        <x:v>MAIN-225</x:v>
      </x:c>
      <x:c r="E850" s="12" t="str">
        <x:v>Awfis - Vasavi MPM Mall</x:v>
      </x:c>
      <x:c r="F850" s="11" t="n">
        <x:v>2</x:v>
      </x:c>
      <x:c r="G850" s="11" t="n">
        <x:v>2</x:v>
      </x:c>
      <x:c r="H850" s="11" t="n">
        <x:v>0</x:v>
      </x:c>
      <x:c r="I850" s="17" t="n">
        <x:f>INDEX('Costing'!$P$9:$P$492,MATCH(D850,'Costing'!$A$9:$A$492,0))</x:f>
        <x:v>30000</x:v>
      </x:c>
      <x:c r="J850" s="17" t="n">
        <x:f>ROUND(I850*'Costing'!$C$4,2)</x:f>
        <x:v>5400</x:v>
      </x:c>
      <x:c r="K850" s="17" t="n">
        <x:f>I850+J850</x:f>
        <x:v>35400</x:v>
      </x:c>
    </x:row>
    <x:row r="851" ht="46" customHeight="1">
      <x:c r="A851" s="2" t="str">
        <x:v>Indicative size</x:v>
      </x:c>
      <x:c r="B851" s="2" t="str">
        <x:v>Mixed business audience</x:v>
      </x:c>
      <x:c r="C851" s="12" t="str">
        <x:v>Hyderabad</x:v>
      </x:c>
      <x:c r="D851" s="12" t="str">
        <x:v>MAIN-226</x:v>
      </x:c>
      <x:c r="E851" s="12" t="str">
        <x:v>CIE Office Space</x:v>
      </x:c>
      <x:c r="F851" s="11" t="n">
        <x:v>4</x:v>
      </x:c>
      <x:c r="G851" s="11" t="n">
        <x:v>4</x:v>
      </x:c>
      <x:c r="H851" s="11" t="n">
        <x:v>0</x:v>
      </x:c>
      <x:c r="I851" s="17" t="n">
        <x:f>INDEX('Costing'!$P$9:$P$492,MATCH(D851,'Costing'!$A$9:$A$492,0))</x:f>
        <x:v>60000</x:v>
      </x:c>
      <x:c r="J851" s="17" t="n">
        <x:f>ROUND(I851*'Costing'!$C$4,2)</x:f>
        <x:v>10800</x:v>
      </x:c>
      <x:c r="K851" s="17" t="n">
        <x:f>I851+J851</x:f>
        <x:v>70800</x:v>
      </x:c>
    </x:row>
    <x:row r="852" ht="46" customHeight="1">
      <x:c r="A852" s="2" t="str">
        <x:v>Indicative size</x:v>
      </x:c>
      <x:c r="B852" s="2" t="str">
        <x:v>Mixed business audience</x:v>
      </x:c>
      <x:c r="C852" s="12" t="str">
        <x:v>Hyderabad</x:v>
      </x:c>
      <x:c r="D852" s="12" t="str">
        <x:v>MAIN-227</x:v>
      </x:c>
      <x:c r="E852" s="12" t="str">
        <x:v>Draper</x:v>
      </x:c>
      <x:c r="F852" s="11" t="n">
        <x:v>3</x:v>
      </x:c>
      <x:c r="G852" s="11" t="n">
        <x:v>3</x:v>
      </x:c>
      <x:c r="H852" s="11" t="n">
        <x:v>0</x:v>
      </x:c>
      <x:c r="I852" s="17" t="n">
        <x:f>INDEX('Costing'!$P$9:$P$492,MATCH(D852,'Costing'!$A$9:$A$492,0))</x:f>
        <x:v>45000</x:v>
      </x:c>
      <x:c r="J852" s="17" t="n">
        <x:f>ROUND(I852*'Costing'!$C$4,2)</x:f>
        <x:v>8100</x:v>
      </x:c>
      <x:c r="K852" s="17" t="n">
        <x:f>I852+J852</x:f>
        <x:v>53100</x:v>
      </x:c>
    </x:row>
    <x:row r="853" ht="46" customHeight="1">
      <x:c r="A853" s="2" t="str">
        <x:v>Indicative size</x:v>
      </x:c>
      <x:c r="B853" s="2" t="str">
        <x:v>Mixed business audience</x:v>
      </x:c>
      <x:c r="C853" s="12" t="str">
        <x:v>Hyderabad</x:v>
      </x:c>
      <x:c r="D853" s="12" t="str">
        <x:v>MAIN-228</x:v>
      </x:c>
      <x:c r="E853" s="12" t="str">
        <x:v>DSL Abacus IT Park</x:v>
      </x:c>
      <x:c r="F853" s="11" t="n">
        <x:v>4</x:v>
      </x:c>
      <x:c r="G853" s="11" t="n">
        <x:v>4</x:v>
      </x:c>
      <x:c r="H853" s="11" t="n">
        <x:v>0</x:v>
      </x:c>
      <x:c r="I853" s="17" t="n">
        <x:f>INDEX('Costing'!$P$9:$P$492,MATCH(D853,'Costing'!$A$9:$A$492,0))</x:f>
        <x:v>60000</x:v>
      </x:c>
      <x:c r="J853" s="17" t="n">
        <x:f>ROUND(I853*'Costing'!$C$4,2)</x:f>
        <x:v>10800</x:v>
      </x:c>
      <x:c r="K853" s="17" t="n">
        <x:f>I853+J853</x:f>
        <x:v>70800</x:v>
      </x:c>
    </x:row>
    <x:row r="854" ht="46" customHeight="1">
      <x:c r="A854" s="2" t="str">
        <x:v>Indicative size</x:v>
      </x:c>
      <x:c r="B854" s="2" t="str">
        <x:v>Mixed business audience</x:v>
      </x:c>
      <x:c r="C854" s="12" t="str">
        <x:v>Hyderabad</x:v>
      </x:c>
      <x:c r="D854" s="12" t="str">
        <x:v>MAIN-230</x:v>
      </x:c>
      <x:c r="E854" s="12" t="str">
        <x:v>Elemental</x:v>
      </x:c>
      <x:c r="F854" s="11" t="n">
        <x:v>4</x:v>
      </x:c>
      <x:c r="G854" s="11" t="n">
        <x:v>4</x:v>
      </x:c>
      <x:c r="H854" s="11" t="n">
        <x:v>0</x:v>
      </x:c>
      <x:c r="I854" s="17" t="n">
        <x:f>INDEX('Costing'!$P$9:$P$492,MATCH(D854,'Costing'!$A$9:$A$492,0))</x:f>
        <x:v>80000</x:v>
      </x:c>
      <x:c r="J854" s="17" t="n">
        <x:f>ROUND(I854*'Costing'!$C$4,2)</x:f>
        <x:v>14400</x:v>
      </x:c>
      <x:c r="K854" s="17" t="n">
        <x:f>I854+J854</x:f>
        <x:v>94400</x:v>
      </x:c>
    </x:row>
    <x:row r="855" ht="46" customHeight="1">
      <x:c r="A855" s="2" t="str">
        <x:v>Indicative size</x:v>
      </x:c>
      <x:c r="B855" s="2" t="str">
        <x:v>Mixed business audience</x:v>
      </x:c>
      <x:c r="C855" s="12" t="str">
        <x:v>Hyderabad</x:v>
      </x:c>
      <x:c r="D855" s="12" t="str">
        <x:v>MAIN-237</x:v>
      </x:c>
      <x:c r="E855" s="12" t="str">
        <x:v>Meenakshi Tech Park</x:v>
      </x:c>
      <x:c r="F855" s="11" t="n">
        <x:v>2</x:v>
      </x:c>
      <x:c r="G855" s="11" t="n">
        <x:v>2</x:v>
      </x:c>
      <x:c r="H855" s="11" t="n">
        <x:v>0</x:v>
      </x:c>
      <x:c r="I855" s="17" t="n">
        <x:f>INDEX('Costing'!$P$9:$P$492,MATCH(D855,'Costing'!$A$9:$A$492,0))</x:f>
        <x:v>80000</x:v>
      </x:c>
      <x:c r="J855" s="17" t="n">
        <x:f>ROUND(I855*'Costing'!$C$4,2)</x:f>
        <x:v>14400</x:v>
      </x:c>
      <x:c r="K855" s="17" t="n">
        <x:f>I855+J855</x:f>
        <x:v>94400</x:v>
      </x:c>
    </x:row>
    <x:row r="856" ht="46" customHeight="1">
      <x:c r="A856" s="2" t="str">
        <x:v>Indicative size</x:v>
      </x:c>
      <x:c r="B856" s="2" t="str">
        <x:v>Mixed business audience</x:v>
      </x:c>
      <x:c r="C856" s="12" t="str">
        <x:v>Hyderabad</x:v>
      </x:c>
      <x:c r="D856" s="12" t="str">
        <x:v>MAIN-238</x:v>
      </x:c>
      <x:c r="E856" s="12" t="str">
        <x:v>Meenakshi Tech Park {IE}</x:v>
      </x:c>
      <x:c r="F856" s="11" t="n">
        <x:v>11</x:v>
      </x:c>
      <x:c r="G856" s="11" t="n">
        <x:v>11</x:v>
      </x:c>
      <x:c r="H856" s="11" t="n">
        <x:v>0</x:v>
      </x:c>
      <x:c r="I856" s="17" t="n">
        <x:f>INDEX('Costing'!$P$9:$P$492,MATCH(D856,'Costing'!$A$9:$A$492,0))</x:f>
        <x:v>165000</x:v>
      </x:c>
      <x:c r="J856" s="17" t="n">
        <x:f>ROUND(I856*'Costing'!$C$4,2)</x:f>
        <x:v>29700</x:v>
      </x:c>
      <x:c r="K856" s="17" t="n">
        <x:f>I856+J856</x:f>
        <x:v>194700</x:v>
      </x:c>
    </x:row>
    <x:row r="857" ht="46" customHeight="1">
      <x:c r="A857" s="2" t="str">
        <x:v>Indicative size</x:v>
      </x:c>
      <x:c r="B857" s="2" t="str">
        <x:v>Mixed business audience</x:v>
      </x:c>
      <x:c r="C857" s="12" t="str">
        <x:v>Hyderabad</x:v>
      </x:c>
      <x:c r="D857" s="12" t="str">
        <x:v>MAIN-239</x:v>
      </x:c>
      <x:c r="E857" s="12" t="str">
        <x:v>Meenakshi Tech Park-43 Inch Pods</x:v>
      </x:c>
      <x:c r="F857" s="11" t="n">
        <x:v>12</x:v>
      </x:c>
      <x:c r="G857" s="11" t="n">
        <x:v>12</x:v>
      </x:c>
      <x:c r="H857" s="11" t="n">
        <x:v>0</x:v>
      </x:c>
      <x:c r="I857" s="17" t="n">
        <x:f>INDEX('Costing'!$P$9:$P$492,MATCH(D857,'Costing'!$A$9:$A$492,0))</x:f>
        <x:v>240000</x:v>
      </x:c>
      <x:c r="J857" s="17" t="n">
        <x:f>ROUND(I857*'Costing'!$C$4,2)</x:f>
        <x:v>43200</x:v>
      </x:c>
      <x:c r="K857" s="17" t="n">
        <x:f>I857+J857</x:f>
        <x:v>283200</x:v>
      </x:c>
    </x:row>
    <x:row r="858" ht="46" customHeight="1">
      <x:c r="A858" s="2" t="str">
        <x:v>Indicative size</x:v>
      </x:c>
      <x:c r="B858" s="2" t="str">
        <x:v>Mixed business audience</x:v>
      </x:c>
      <x:c r="C858" s="12" t="str">
        <x:v>Hyderabad</x:v>
      </x:c>
      <x:c r="D858" s="12" t="str">
        <x:v>MAIN-240</x:v>
      </x:c>
      <x:c r="E858" s="12" t="str">
        <x:v>NSL Arena Tech Park</x:v>
      </x:c>
      <x:c r="F858" s="11" t="n">
        <x:v>13</x:v>
      </x:c>
      <x:c r="G858" s="11" t="n">
        <x:v>13</x:v>
      </x:c>
      <x:c r="H858" s="11" t="n">
        <x:v>0</x:v>
      </x:c>
      <x:c r="I858" s="17" t="n">
        <x:f>INDEX('Costing'!$P$9:$P$492,MATCH(D858,'Costing'!$A$9:$A$492,0))</x:f>
        <x:v>195000</x:v>
      </x:c>
      <x:c r="J858" s="17" t="n">
        <x:f>ROUND(I858*'Costing'!$C$4,2)</x:f>
        <x:v>35100</x:v>
      </x:c>
      <x:c r="K858" s="17" t="n">
        <x:f>I858+J858</x:f>
        <x:v>230100</x:v>
      </x:c>
    </x:row>
    <x:row r="859" ht="46" customHeight="1">
      <x:c r="A859" s="2" t="str">
        <x:v>Indicative size</x:v>
      </x:c>
      <x:c r="B859" s="2" t="str">
        <x:v>Mixed business audience</x:v>
      </x:c>
      <x:c r="C859" s="12" t="str">
        <x:v>Hyderabad</x:v>
      </x:c>
      <x:c r="D859" s="12" t="str">
        <x:v>MAIN-242</x:v>
      </x:c>
      <x:c r="E859" s="12" t="str">
        <x:v>NSL Centrum Mall</x:v>
      </x:c>
      <x:c r="F859" s="11" t="n">
        <x:v>2</x:v>
      </x:c>
      <x:c r="G859" s="11" t="n">
        <x:v>2</x:v>
      </x:c>
      <x:c r="H859" s="11" t="n">
        <x:v>0</x:v>
      </x:c>
      <x:c r="I859" s="17" t="n">
        <x:f>INDEX('Costing'!$P$9:$P$492,MATCH(D859,'Costing'!$A$9:$A$492,0))</x:f>
        <x:v>30000</x:v>
      </x:c>
      <x:c r="J859" s="17" t="n">
        <x:f>ROUND(I859*'Costing'!$C$4,2)</x:f>
        <x:v>5400</x:v>
      </x:c>
      <x:c r="K859" s="17" t="n">
        <x:f>I859+J859</x:f>
        <x:v>35400</x:v>
      </x:c>
    </x:row>
    <x:row r="860" ht="46" customHeight="1">
      <x:c r="A860" s="2" t="str">
        <x:v>Indicative size</x:v>
      </x:c>
      <x:c r="B860" s="2" t="str">
        <x:v>Mixed business audience</x:v>
      </x:c>
      <x:c r="C860" s="12" t="str">
        <x:v>Hyderabad</x:v>
      </x:c>
      <x:c r="D860" s="12" t="str">
        <x:v>MAIN-243</x:v>
      </x:c>
      <x:c r="E860" s="12" t="str">
        <x:v>NSL Icon</x:v>
      </x:c>
      <x:c r="F860" s="11" t="n">
        <x:v>2</x:v>
      </x:c>
      <x:c r="G860" s="11" t="n">
        <x:v>2</x:v>
      </x:c>
      <x:c r="H860" s="11" t="n">
        <x:v>0</x:v>
      </x:c>
      <x:c r="I860" s="17" t="n">
        <x:f>INDEX('Costing'!$P$9:$P$492,MATCH(D860,'Costing'!$A$9:$A$492,0))</x:f>
        <x:v>40000</x:v>
      </x:c>
      <x:c r="J860" s="17" t="n">
        <x:f>ROUND(I860*'Costing'!$C$4,2)</x:f>
        <x:v>7200</x:v>
      </x:c>
      <x:c r="K860" s="17" t="n">
        <x:f>I860+J860</x:f>
        <x:v>47200</x:v>
      </x:c>
    </x:row>
    <x:row r="861" ht="46" customHeight="1">
      <x:c r="A861" s="2" t="str">
        <x:v>Indicative size</x:v>
      </x:c>
      <x:c r="B861" s="2" t="str">
        <x:v>Mixed business audience</x:v>
      </x:c>
      <x:c r="C861" s="12" t="str">
        <x:v>Hyderabad</x:v>
      </x:c>
      <x:c r="D861" s="12" t="str">
        <x:v>MAIN-244</x:v>
      </x:c>
      <x:c r="E861" s="12" t="str">
        <x:v>Oyo Workspace - Hitech</x:v>
      </x:c>
      <x:c r="F861" s="11" t="n">
        <x:v>2</x:v>
      </x:c>
      <x:c r="G861" s="11" t="n">
        <x:v>2</x:v>
      </x:c>
      <x:c r="H861" s="11" t="n">
        <x:v>0</x:v>
      </x:c>
      <x:c r="I861" s="17" t="n">
        <x:f>INDEX('Costing'!$P$9:$P$492,MATCH(D861,'Costing'!$A$9:$A$492,0))</x:f>
        <x:v>30000</x:v>
      </x:c>
      <x:c r="J861" s="17" t="n">
        <x:f>ROUND(I861*'Costing'!$C$4,2)</x:f>
        <x:v>5400</x:v>
      </x:c>
      <x:c r="K861" s="17" t="n">
        <x:f>I861+J861</x:f>
        <x:v>35400</x:v>
      </x:c>
    </x:row>
    <x:row r="862" ht="46" customHeight="1">
      <x:c r="A862" s="2" t="str">
        <x:v>Indicative size</x:v>
      </x:c>
      <x:c r="B862" s="2" t="str">
        <x:v>Mixed business audience</x:v>
      </x:c>
      <x:c r="C862" s="12" t="str">
        <x:v>Hyderabad</x:v>
      </x:c>
      <x:c r="D862" s="12" t="str">
        <x:v>MAIN-245</x:v>
      </x:c>
      <x:c r="E862" s="12" t="str">
        <x:v>Phoenix IVY</x:v>
      </x:c>
      <x:c r="F862" s="11" t="n">
        <x:v>1</x:v>
      </x:c>
      <x:c r="G862" s="11" t="n">
        <x:v>1</x:v>
      </x:c>
      <x:c r="H862" s="11" t="n">
        <x:v>0</x:v>
      </x:c>
      <x:c r="I862" s="17" t="n">
        <x:f>INDEX('Costing'!$P$9:$P$492,MATCH(D862,'Costing'!$A$9:$A$492,0))</x:f>
        <x:v>40000</x:v>
      </x:c>
      <x:c r="J862" s="17" t="n">
        <x:f>ROUND(I862*'Costing'!$C$4,2)</x:f>
        <x:v>7200</x:v>
      </x:c>
      <x:c r="K862" s="17" t="n">
        <x:f>I862+J862</x:f>
        <x:v>47200</x:v>
      </x:c>
    </x:row>
    <x:row r="863" ht="46" customHeight="1">
      <x:c r="A863" s="2" t="str">
        <x:v>Indicative size</x:v>
      </x:c>
      <x:c r="B863" s="2" t="str">
        <x:v>Mixed business audience</x:v>
      </x:c>
      <x:c r="C863" s="12" t="str">
        <x:v>Hyderabad</x:v>
      </x:c>
      <x:c r="D863" s="12" t="str">
        <x:v>MAIN-246</x:v>
      </x:c>
      <x:c r="E863" s="12" t="str">
        <x:v>Purva Summit Tech Park</x:v>
      </x:c>
      <x:c r="F863" s="11" t="n">
        <x:v>1</x:v>
      </x:c>
      <x:c r="G863" s="11" t="n">
        <x:v>1</x:v>
      </x:c>
      <x:c r="H863" s="11" t="n">
        <x:v>0</x:v>
      </x:c>
      <x:c r="I863" s="17" t="n">
        <x:f>INDEX('Costing'!$P$9:$P$492,MATCH(D863,'Costing'!$A$9:$A$492,0))</x:f>
        <x:v>20000</x:v>
      </x:c>
      <x:c r="J863" s="17" t="n">
        <x:f>ROUND(I863*'Costing'!$C$4,2)</x:f>
        <x:v>3600</x:v>
      </x:c>
      <x:c r="K863" s="17" t="n">
        <x:f>I863+J863</x:f>
        <x:v>23600</x:v>
      </x:c>
    </x:row>
    <x:row r="864" ht="46" customHeight="1">
      <x:c r="A864" s="2" t="str">
        <x:v>Indicative size</x:v>
      </x:c>
      <x:c r="B864" s="2" t="str">
        <x:v>Mixed business audience</x:v>
      </x:c>
      <x:c r="C864" s="12" t="str">
        <x:v>Hyderabad</x:v>
      </x:c>
      <x:c r="D864" s="12" t="str">
        <x:v>MAIN-247</x:v>
      </x:c>
      <x:c r="E864" s="12" t="str">
        <x:v>Quick Start - Cynosure Gachibowli</x:v>
      </x:c>
      <x:c r="F864" s="11" t="n">
        <x:v>1</x:v>
      </x:c>
      <x:c r="G864" s="11" t="n">
        <x:v>1</x:v>
      </x:c>
      <x:c r="H864" s="11" t="n">
        <x:v>0</x:v>
      </x:c>
      <x:c r="I864" s="17" t="n">
        <x:f>INDEX('Costing'!$P$9:$P$492,MATCH(D864,'Costing'!$A$9:$A$492,0))</x:f>
        <x:v>15000</x:v>
      </x:c>
      <x:c r="J864" s="17" t="n">
        <x:f>ROUND(I864*'Costing'!$C$4,2)</x:f>
        <x:v>2700</x:v>
      </x:c>
      <x:c r="K864" s="17" t="n">
        <x:f>I864+J864</x:f>
        <x:v>17700</x:v>
      </x:c>
    </x:row>
    <x:row r="865" ht="46" customHeight="1">
      <x:c r="A865" s="2" t="str">
        <x:v>Indicative size</x:v>
      </x:c>
      <x:c r="B865" s="2" t="str">
        <x:v>Mixed business audience</x:v>
      </x:c>
      <x:c r="C865" s="12" t="str">
        <x:v>Hyderabad</x:v>
      </x:c>
      <x:c r="D865" s="12" t="str">
        <x:v>MAIN-248</x:v>
      </x:c>
      <x:c r="E865" s="12" t="str">
        <x:v>Quick Start - Madhapur</x:v>
      </x:c>
      <x:c r="F865" s="11" t="n">
        <x:v>3</x:v>
      </x:c>
      <x:c r="G865" s="11" t="n">
        <x:v>3</x:v>
      </x:c>
      <x:c r="H865" s="11" t="n">
        <x:v>0</x:v>
      </x:c>
      <x:c r="I865" s="17" t="n">
        <x:f>INDEX('Costing'!$P$9:$P$492,MATCH(D865,'Costing'!$A$9:$A$492,0))</x:f>
        <x:v>45000</x:v>
      </x:c>
      <x:c r="J865" s="17" t="n">
        <x:f>ROUND(I865*'Costing'!$C$4,2)</x:f>
        <x:v>8100</x:v>
      </x:c>
      <x:c r="K865" s="17" t="n">
        <x:f>I865+J865</x:f>
        <x:v>53100</x:v>
      </x:c>
    </x:row>
    <x:row r="866" ht="46" customHeight="1">
      <x:c r="A866" s="2" t="str">
        <x:v>Indicative size</x:v>
      </x:c>
      <x:c r="B866" s="2" t="str">
        <x:v>Mixed business audience</x:v>
      </x:c>
      <x:c r="C866" s="12" t="str">
        <x:v>Hyderabad</x:v>
      </x:c>
      <x:c r="D866" s="12" t="str">
        <x:v>MAIN-249</x:v>
      </x:c>
      <x:c r="E866" s="12" t="str">
        <x:v>Quick Start - Vasavi Sky City Gachibowli</x:v>
      </x:c>
      <x:c r="F866" s="11" t="n">
        <x:v>3</x:v>
      </x:c>
      <x:c r="G866" s="11" t="n">
        <x:v>3</x:v>
      </x:c>
      <x:c r="H866" s="11" t="n">
        <x:v>0</x:v>
      </x:c>
      <x:c r="I866" s="17" t="n">
        <x:f>INDEX('Costing'!$P$9:$P$492,MATCH(D866,'Costing'!$A$9:$A$492,0))</x:f>
        <x:v>45000</x:v>
      </x:c>
      <x:c r="J866" s="17" t="n">
        <x:f>ROUND(I866*'Costing'!$C$4,2)</x:f>
        <x:v>8100</x:v>
      </x:c>
      <x:c r="K866" s="17" t="n">
        <x:f>I866+J866</x:f>
        <x:v>53100</x:v>
      </x:c>
    </x:row>
    <x:row r="867" ht="46" customHeight="1">
      <x:c r="A867" s="2" t="str">
        <x:v>Indicative size</x:v>
      </x:c>
      <x:c r="B867" s="2" t="str">
        <x:v>Mixed business audience</x:v>
      </x:c>
      <x:c r="C867" s="12" t="str">
        <x:v>Hyderabad</x:v>
      </x:c>
      <x:c r="D867" s="12" t="str">
        <x:v>MAIN-250</x:v>
      </x:c>
      <x:c r="E867" s="12" t="str">
        <x:v>Raheja 2A (Redbrick Offices)</x:v>
      </x:c>
      <x:c r="F867" s="11" t="n">
        <x:v>1</x:v>
      </x:c>
      <x:c r="G867" s="11" t="n">
        <x:v>1</x:v>
      </x:c>
      <x:c r="H867" s="11" t="n">
        <x:v>0</x:v>
      </x:c>
      <x:c r="I867" s="17" t="n">
        <x:f>INDEX('Costing'!$P$9:$P$492,MATCH(D867,'Costing'!$A$9:$A$492,0))</x:f>
        <x:v>15000</x:v>
      </x:c>
      <x:c r="J867" s="17" t="n">
        <x:f>ROUND(I867*'Costing'!$C$4,2)</x:f>
        <x:v>2700</x:v>
      </x:c>
      <x:c r="K867" s="17" t="n">
        <x:f>I867+J867</x:f>
        <x:v>17700</x:v>
      </x:c>
    </x:row>
    <x:row r="868" ht="46" customHeight="1">
      <x:c r="A868" s="2" t="str">
        <x:v>Indicative size</x:v>
      </x:c>
      <x:c r="B868" s="2" t="str">
        <x:v>Mixed business audience</x:v>
      </x:c>
      <x:c r="C868" s="12" t="str">
        <x:v>Hyderabad</x:v>
      </x:c>
      <x:c r="D868" s="12" t="str">
        <x:v>MAIN-251</x:v>
      </x:c>
      <x:c r="E868" s="12" t="str">
        <x:v>Raheja IT Park Tower 3</x:v>
      </x:c>
      <x:c r="F868" s="11" t="n">
        <x:v>2</x:v>
      </x:c>
      <x:c r="G868" s="11" t="n">
        <x:v>2</x:v>
      </x:c>
      <x:c r="H868" s="11" t="n">
        <x:v>0</x:v>
      </x:c>
      <x:c r="I868" s="17" t="n">
        <x:f>INDEX('Costing'!$P$9:$P$492,MATCH(D868,'Costing'!$A$9:$A$492,0))</x:f>
        <x:v>40000</x:v>
      </x:c>
      <x:c r="J868" s="17" t="n">
        <x:f>ROUND(I868*'Costing'!$C$4,2)</x:f>
        <x:v>7200</x:v>
      </x:c>
      <x:c r="K868" s="17" t="n">
        <x:f>I868+J868</x:f>
        <x:v>47200</x:v>
      </x:c>
    </x:row>
    <x:row r="869" ht="46" customHeight="1">
      <x:c r="A869" s="2" t="str">
        <x:v>Indicative size</x:v>
      </x:c>
      <x:c r="B869" s="2" t="str">
        <x:v>Mixed business audience</x:v>
      </x:c>
      <x:c r="C869" s="12" t="str">
        <x:v>Hyderabad</x:v>
      </x:c>
      <x:c r="D869" s="12" t="str">
        <x:v>MAIN-252</x:v>
      </x:c>
      <x:c r="E869" s="12" t="str">
        <x:v>Raheja Mindspace Building 4 (TS)</x:v>
      </x:c>
      <x:c r="F869" s="11" t="n">
        <x:v>8</x:v>
      </x:c>
      <x:c r="G869" s="11" t="n">
        <x:v>8</x:v>
      </x:c>
      <x:c r="H869" s="11" t="n">
        <x:v>0</x:v>
      </x:c>
      <x:c r="I869" s="17" t="n">
        <x:f>INDEX('Costing'!$P$9:$P$492,MATCH(D869,'Costing'!$A$9:$A$492,0))</x:f>
        <x:v>320000</x:v>
      </x:c>
      <x:c r="J869" s="17" t="n">
        <x:f>ROUND(I869*'Costing'!$C$4,2)</x:f>
        <x:v>57600</x:v>
      </x:c>
      <x:c r="K869" s="17" t="n">
        <x:f>I869+J869</x:f>
        <x:v>377600</x:v>
      </x:c>
    </x:row>
    <x:row r="870" ht="46" customHeight="1">
      <x:c r="A870" s="2" t="str">
        <x:v>Indicative size</x:v>
      </x:c>
      <x:c r="B870" s="2" t="str">
        <x:v>Mixed business audience</x:v>
      </x:c>
      <x:c r="C870" s="12" t="str">
        <x:v>Hyderabad</x:v>
      </x:c>
      <x:c r="D870" s="12" t="str">
        <x:v>MAIN-253</x:v>
      </x:c>
      <x:c r="E870" s="12" t="str">
        <x:v>Raheja Mindspace IT Park - Madhapur</x:v>
      </x:c>
      <x:c r="F870" s="11" t="n">
        <x:v>21</x:v>
      </x:c>
      <x:c r="G870" s="11" t="n">
        <x:v>21</x:v>
      </x:c>
      <x:c r="H870" s="11" t="n">
        <x:v>0</x:v>
      </x:c>
      <x:c r="I870" s="17" t="n">
        <x:f>INDEX('Costing'!$P$9:$P$492,MATCH(D870,'Costing'!$A$9:$A$492,0))</x:f>
        <x:v>840000</x:v>
      </x:c>
      <x:c r="J870" s="17" t="n">
        <x:f>ROUND(I870*'Costing'!$C$4,2)</x:f>
        <x:v>151200</x:v>
      </x:c>
      <x:c r="K870" s="17" t="n">
        <x:f>I870+J870</x:f>
        <x:v>991200</x:v>
      </x:c>
    </x:row>
    <x:row r="871" ht="46" customHeight="1">
      <x:c r="A871" s="2" t="str">
        <x:v>Indicative size</x:v>
      </x:c>
      <x:c r="B871" s="2" t="str">
        <x:v>Mixed business audience</x:v>
      </x:c>
      <x:c r="C871" s="12" t="str">
        <x:v>Hyderabad</x:v>
      </x:c>
      <x:c r="D871" s="12" t="str">
        <x:v>MAIN-254</x:v>
      </x:c>
      <x:c r="E871" s="12" t="str">
        <x:v>Sattva Octave (Redbrick Offices)</x:v>
      </x:c>
      <x:c r="F871" s="11" t="n">
        <x:v>1</x:v>
      </x:c>
      <x:c r="G871" s="11" t="n">
        <x:v>1</x:v>
      </x:c>
      <x:c r="H871" s="11" t="n">
        <x:v>0</x:v>
      </x:c>
      <x:c r="I871" s="17" t="n">
        <x:f>INDEX('Costing'!$P$9:$P$492,MATCH(D871,'Costing'!$A$9:$A$492,0))</x:f>
        <x:v>15000</x:v>
      </x:c>
      <x:c r="J871" s="17" t="n">
        <x:f>ROUND(I871*'Costing'!$C$4,2)</x:f>
        <x:v>2700</x:v>
      </x:c>
      <x:c r="K871" s="17" t="n">
        <x:f>I871+J871</x:f>
        <x:v>17700</x:v>
      </x:c>
    </x:row>
    <x:row r="872" ht="46" customHeight="1">
      <x:c r="A872" s="2" t="str">
        <x:v>Indicative size</x:v>
      </x:c>
      <x:c r="B872" s="2" t="str">
        <x:v>Mixed business audience</x:v>
      </x:c>
      <x:c r="C872" s="12" t="str">
        <x:v>Hyderabad</x:v>
      </x:c>
      <x:c r="D872" s="12" t="str">
        <x:v>MAIN-255</x:v>
      </x:c>
      <x:c r="E872" s="12" t="str">
        <x:v>Sattva Orwell (Redbrick Offices)</x:v>
      </x:c>
      <x:c r="F872" s="11" t="n">
        <x:v>3</x:v>
      </x:c>
      <x:c r="G872" s="11" t="n">
        <x:v>3</x:v>
      </x:c>
      <x:c r="H872" s="11" t="n">
        <x:v>0</x:v>
      </x:c>
      <x:c r="I872" s="17" t="n">
        <x:f>INDEX('Costing'!$P$9:$P$492,MATCH(D872,'Costing'!$A$9:$A$492,0))</x:f>
        <x:v>45000</x:v>
      </x:c>
      <x:c r="J872" s="17" t="n">
        <x:f>ROUND(I872*'Costing'!$C$4,2)</x:f>
        <x:v>8100</x:v>
      </x:c>
      <x:c r="K872" s="17" t="n">
        <x:f>I872+J872</x:f>
        <x:v>53100</x:v>
      </x:c>
    </x:row>
    <x:row r="873" ht="46" customHeight="1">
      <x:c r="A873" s="2" t="str">
        <x:v>Indicative size</x:v>
      </x:c>
      <x:c r="B873" s="2" t="str">
        <x:v>Mixed business audience</x:v>
      </x:c>
      <x:c r="C873" s="12" t="str">
        <x:v>Hyderabad</x:v>
      </x:c>
      <x:c r="D873" s="12" t="str">
        <x:v>MAIN-257</x:v>
      </x:c>
      <x:c r="E873" s="12" t="str">
        <x:v>Symbyont Smart Space Aurobindo Orbit</x:v>
      </x:c>
      <x:c r="F873" s="11" t="n">
        <x:v>2</x:v>
      </x:c>
      <x:c r="G873" s="11" t="n">
        <x:v>2</x:v>
      </x:c>
      <x:c r="H873" s="11" t="n">
        <x:v>0</x:v>
      </x:c>
      <x:c r="I873" s="17" t="n">
        <x:f>INDEX('Costing'!$P$9:$P$492,MATCH(D873,'Costing'!$A$9:$A$492,0))</x:f>
        <x:v>40000</x:v>
      </x:c>
      <x:c r="J873" s="17" t="n">
        <x:f>ROUND(I873*'Costing'!$C$4,2)</x:f>
        <x:v>7200</x:v>
      </x:c>
      <x:c r="K873" s="17" t="n">
        <x:f>I873+J873</x:f>
        <x:v>47200</x:v>
      </x:c>
    </x:row>
    <x:row r="874" ht="46" customHeight="1">
      <x:c r="A874" s="2" t="str">
        <x:v>Indicative size</x:v>
      </x:c>
      <x:c r="B874" s="2" t="str">
        <x:v>Mixed business audience</x:v>
      </x:c>
      <x:c r="C874" s="12" t="str">
        <x:v>Hyderabad</x:v>
      </x:c>
      <x:c r="D874" s="12" t="str">
        <x:v>MAIN-258</x:v>
      </x:c>
      <x:c r="E874" s="12" t="str">
        <x:v>Symbyont Smart Space Dallas Centre</x:v>
      </x:c>
      <x:c r="F874" s="11" t="n">
        <x:v>5</x:v>
      </x:c>
      <x:c r="G874" s="11" t="n">
        <x:v>5</x:v>
      </x:c>
      <x:c r="H874" s="11" t="n">
        <x:v>0</x:v>
      </x:c>
      <x:c r="I874" s="17" t="n">
        <x:f>INDEX('Costing'!$P$9:$P$492,MATCH(D874,'Costing'!$A$9:$A$492,0))</x:f>
        <x:v>200000</x:v>
      </x:c>
      <x:c r="J874" s="17" t="n">
        <x:f>ROUND(I874*'Costing'!$C$4,2)</x:f>
        <x:v>36000</x:v>
      </x:c>
      <x:c r="K874" s="17" t="n">
        <x:f>I874+J874</x:f>
        <x:v>236000</x:v>
      </x:c>
    </x:row>
    <x:row r="875" ht="46" customHeight="1">
      <x:c r="A875" s="2" t="str">
        <x:v>Indicative size</x:v>
      </x:c>
      <x:c r="B875" s="2" t="str">
        <x:v>Mixed business audience</x:v>
      </x:c>
      <x:c r="C875" s="12" t="str">
        <x:v>Hyderabad</x:v>
      </x:c>
      <x:c r="D875" s="12" t="str">
        <x:v>MAIN-259</x:v>
      </x:c>
      <x:c r="E875" s="12" t="str">
        <x:v>Symbyont Smart Space Rajapushpa Summit</x:v>
      </x:c>
      <x:c r="F875" s="11" t="n">
        <x:v>1</x:v>
      </x:c>
      <x:c r="G875" s="11" t="n">
        <x:v>1</x:v>
      </x:c>
      <x:c r="H875" s="11" t="n">
        <x:v>0</x:v>
      </x:c>
      <x:c r="I875" s="17" t="n">
        <x:f>INDEX('Costing'!$P$9:$P$492,MATCH(D875,'Costing'!$A$9:$A$492,0))</x:f>
        <x:v>20000</x:v>
      </x:c>
      <x:c r="J875" s="17" t="n">
        <x:f>ROUND(I875*'Costing'!$C$4,2)</x:f>
        <x:v>3600</x:v>
      </x:c>
      <x:c r="K875" s="17" t="n">
        <x:f>I875+J875</x:f>
        <x:v>23600</x:v>
      </x:c>
    </x:row>
    <x:row r="876" ht="46" customHeight="1">
      <x:c r="A876" s="2" t="str">
        <x:v>Indicative size</x:v>
      </x:c>
      <x:c r="B876" s="2" t="str">
        <x:v>Mixed business audience</x:v>
      </x:c>
      <x:c r="C876" s="12" t="str">
        <x:v>Hyderabad</x:v>
      </x:c>
      <x:c r="D876" s="12" t="str">
        <x:v>MAIN-260</x:v>
      </x:c>
      <x:c r="E876" s="12" t="str">
        <x:v>T-Hub</x:v>
      </x:c>
      <x:c r="F876" s="11" t="n">
        <x:v>22</x:v>
      </x:c>
      <x:c r="G876" s="11" t="n">
        <x:v>22</x:v>
      </x:c>
      <x:c r="H876" s="11" t="n">
        <x:v>0</x:v>
      </x:c>
      <x:c r="I876" s="17" t="n">
        <x:f>INDEX('Costing'!$P$9:$P$492,MATCH(D876,'Costing'!$A$9:$A$492,0))</x:f>
        <x:v>715000</x:v>
      </x:c>
      <x:c r="J876" s="17" t="n">
        <x:f>ROUND(I876*'Costing'!$C$4,2)</x:f>
        <x:v>128700</x:v>
      </x:c>
      <x:c r="K876" s="17" t="n">
        <x:f>I876+J876</x:f>
        <x:v>843700</x:v>
      </x:c>
    </x:row>
    <x:row r="877" ht="46" customHeight="1">
      <x:c r="A877" s="2" t="str">
        <x:v>Indicative size</x:v>
      </x:c>
      <x:c r="B877" s="2" t="str">
        <x:v>Mixed business audience</x:v>
      </x:c>
      <x:c r="C877" s="12" t="str">
        <x:v>Hyderabad</x:v>
      </x:c>
      <x:c r="D877" s="12" t="str">
        <x:v>MAIN-261</x:v>
      </x:c>
      <x:c r="E877" s="12" t="str">
        <x:v>Vasavi Sky city</x:v>
      </x:c>
      <x:c r="F877" s="11" t="n">
        <x:v>10</x:v>
      </x:c>
      <x:c r="G877" s="11" t="n">
        <x:v>10</x:v>
      </x:c>
      <x:c r="H877" s="11" t="n">
        <x:v>0</x:v>
      </x:c>
      <x:c r="I877" s="17" t="n">
        <x:f>INDEX('Costing'!$P$9:$P$492,MATCH(D877,'Costing'!$A$9:$A$492,0))</x:f>
        <x:v>325000</x:v>
      </x:c>
      <x:c r="J877" s="17" t="n">
        <x:f>ROUND(I877*'Costing'!$C$4,2)</x:f>
        <x:v>58500</x:v>
      </x:c>
      <x:c r="K877" s="17" t="n">
        <x:f>I877+J877</x:f>
        <x:v>383500</x:v>
      </x:c>
    </x:row>
    <x:row r="878" ht="46" customHeight="1">
      <x:c r="A878" s="2" t="str">
        <x:v>Indicative size</x:v>
      </x:c>
      <x:c r="B878" s="2" t="str">
        <x:v>Mixed business audience</x:v>
      </x:c>
      <x:c r="C878" s="12" t="str">
        <x:v>Hyderabad</x:v>
      </x:c>
      <x:c r="D878" s="12" t="str">
        <x:v>MAIN-262</x:v>
      </x:c>
      <x:c r="E878" s="12" t="str">
        <x:v>Wework - Krishe Emerald</x:v>
      </x:c>
      <x:c r="F878" s="11" t="n">
        <x:v>9</x:v>
      </x:c>
      <x:c r="G878" s="11" t="n">
        <x:v>9</x:v>
      </x:c>
      <x:c r="H878" s="11" t="n">
        <x:v>0</x:v>
      </x:c>
      <x:c r="I878" s="17" t="n">
        <x:f>INDEX('Costing'!$P$9:$P$492,MATCH(D878,'Costing'!$A$9:$A$492,0))</x:f>
        <x:v>225000</x:v>
      </x:c>
      <x:c r="J878" s="17" t="n">
        <x:f>ROUND(I878*'Costing'!$C$4,2)</x:f>
        <x:v>40500</x:v>
      </x:c>
      <x:c r="K878" s="17" t="n">
        <x:f>I878+J878</x:f>
        <x:v>265500</x:v>
      </x:c>
    </x:row>
    <x:row r="879" ht="46" customHeight="1">
      <x:c r="A879" s="2" t="str">
        <x:v>Indicative size</x:v>
      </x:c>
      <x:c r="B879" s="2" t="str">
        <x:v>Mixed business audience</x:v>
      </x:c>
      <x:c r="C879" s="12" t="str">
        <x:v>Hyderabad</x:v>
      </x:c>
      <x:c r="D879" s="12" t="str">
        <x:v>MAIN-263</x:v>
      </x:c>
      <x:c r="E879" s="12" t="str">
        <x:v>WeWork - Mindspace</x:v>
      </x:c>
      <x:c r="F879" s="11" t="n">
        <x:v>1</x:v>
      </x:c>
      <x:c r="G879" s="11" t="n">
        <x:v>1</x:v>
      </x:c>
      <x:c r="H879" s="11" t="n">
        <x:v>0</x:v>
      </x:c>
      <x:c r="I879" s="17" t="n">
        <x:f>INDEX('Costing'!$P$9:$P$492,MATCH(D879,'Costing'!$A$9:$A$492,0))</x:f>
        <x:v>25000</x:v>
      </x:c>
      <x:c r="J879" s="17" t="n">
        <x:f>ROUND(I879*'Costing'!$C$4,2)</x:f>
        <x:v>4500</x:v>
      </x:c>
      <x:c r="K879" s="17" t="n">
        <x:f>I879+J879</x:f>
        <x:v>29500</x:v>
      </x:c>
    </x:row>
    <x:row r="880" ht="46" customHeight="1">
      <x:c r="A880" s="2" t="str">
        <x:v>Indicative size</x:v>
      </x:c>
      <x:c r="B880" s="2" t="str">
        <x:v>Mixed business audience</x:v>
      </x:c>
      <x:c r="C880" s="12" t="str">
        <x:v>Hyderabad</x:v>
      </x:c>
      <x:c r="D880" s="12" t="str">
        <x:v>MAIN-264</x:v>
      </x:c>
      <x:c r="E880" s="12" t="str">
        <x:v>Wework - Rajapushpa Summit</x:v>
      </x:c>
      <x:c r="F880" s="11" t="n">
        <x:v>4</x:v>
      </x:c>
      <x:c r="G880" s="11" t="n">
        <x:v>4</x:v>
      </x:c>
      <x:c r="H880" s="11" t="n">
        <x:v>0</x:v>
      </x:c>
      <x:c r="I880" s="17" t="n">
        <x:f>INDEX('Costing'!$P$9:$P$492,MATCH(D880,'Costing'!$A$9:$A$492,0))</x:f>
        <x:v>100000</x:v>
      </x:c>
      <x:c r="J880" s="17" t="n">
        <x:f>ROUND(I880*'Costing'!$C$4,2)</x:f>
        <x:v>18000</x:v>
      </x:c>
      <x:c r="K880" s="17" t="n">
        <x:f>I880+J880</x:f>
        <x:v>118000</x:v>
      </x:c>
    </x:row>
    <x:row r="881" ht="46" customHeight="1">
      <x:c r="A881" s="2" t="str">
        <x:v>Indicative size</x:v>
      </x:c>
      <x:c r="B881" s="2" t="str">
        <x:v>Mixed business audience</x:v>
      </x:c>
      <x:c r="C881" s="12" t="str">
        <x:v>Hyderabad</x:v>
      </x:c>
      <x:c r="D881" s="12" t="str">
        <x:v>MAIN-265</x:v>
      </x:c>
      <x:c r="E881" s="12" t="str">
        <x:v>WeWork - RMZ Spire</x:v>
      </x:c>
      <x:c r="F881" s="11" t="n">
        <x:v>4</x:v>
      </x:c>
      <x:c r="G881" s="11" t="n">
        <x:v>4</x:v>
      </x:c>
      <x:c r="H881" s="11" t="n">
        <x:v>0</x:v>
      </x:c>
      <x:c r="I881" s="17" t="n">
        <x:f>INDEX('Costing'!$P$9:$P$492,MATCH(D881,'Costing'!$A$9:$A$492,0))</x:f>
        <x:v>100000</x:v>
      </x:c>
      <x:c r="J881" s="17" t="n">
        <x:f>ROUND(I881*'Costing'!$C$4,2)</x:f>
        <x:v>18000</x:v>
      </x:c>
      <x:c r="K881" s="17" t="n">
        <x:f>I881+J881</x:f>
        <x:v>118000</x:v>
      </x:c>
    </x:row>
    <x:row r="882" ht="46" customHeight="1">
      <x:c r="A882" s="2" t="str">
        <x:v>Indicative size</x:v>
      </x:c>
      <x:c r="B882" s="2" t="str">
        <x:v>Mixed business audience</x:v>
      </x:c>
      <x:c r="C882" s="12" t="str">
        <x:v>Indore</x:v>
      </x:c>
      <x:c r="D882" s="12" t="str">
        <x:v>MAIN-266</x:v>
      </x:c>
      <x:c r="E882" s="12" t="str">
        <x:v>Airen Heights</x:v>
      </x:c>
      <x:c r="F882" s="11" t="n">
        <x:v>1</x:v>
      </x:c>
      <x:c r="G882" s="11" t="n">
        <x:v>1</x:v>
      </x:c>
      <x:c r="H882" s="11" t="n">
        <x:v>0</x:v>
      </x:c>
      <x:c r="I882" s="17" t="n">
        <x:f>INDEX('Costing'!$P$9:$P$492,MATCH(D882,'Costing'!$A$9:$A$492,0))</x:f>
        <x:v>20000</x:v>
      </x:c>
      <x:c r="J882" s="17" t="n">
        <x:f>ROUND(I882*'Costing'!$C$4,2)</x:f>
        <x:v>3600</x:v>
      </x:c>
      <x:c r="K882" s="17" t="n">
        <x:f>I882+J882</x:f>
        <x:v>23600</x:v>
      </x:c>
    </x:row>
    <x:row r="883" ht="46" customHeight="1">
      <x:c r="A883" s="2" t="str">
        <x:v>Indicative size</x:v>
      </x:c>
      <x:c r="B883" s="2" t="str">
        <x:v>Mixed business audience</x:v>
      </x:c>
      <x:c r="C883" s="12" t="str">
        <x:v>Indore</x:v>
      </x:c>
      <x:c r="D883" s="12" t="str">
        <x:v>MAIN-267</x:v>
      </x:c>
      <x:c r="E883" s="12" t="str">
        <x:v>Apollo Gold Plaza</x:v>
      </x:c>
      <x:c r="F883" s="11" t="n">
        <x:v>2</x:v>
      </x:c>
      <x:c r="G883" s="11" t="n">
        <x:v>2</x:v>
      </x:c>
      <x:c r="H883" s="11" t="n">
        <x:v>0</x:v>
      </x:c>
      <x:c r="I883" s="17" t="n">
        <x:f>INDEX('Costing'!$P$9:$P$492,MATCH(D883,'Costing'!$A$9:$A$492,0))</x:f>
        <x:v>40000</x:v>
      </x:c>
      <x:c r="J883" s="17" t="n">
        <x:f>ROUND(I883*'Costing'!$C$4,2)</x:f>
        <x:v>7200</x:v>
      </x:c>
      <x:c r="K883" s="17" t="n">
        <x:f>I883+J883</x:f>
        <x:v>47200</x:v>
      </x:c>
    </x:row>
    <x:row r="884" ht="46" customHeight="1">
      <x:c r="A884" s="2" t="str">
        <x:v>Indicative size</x:v>
      </x:c>
      <x:c r="B884" s="2" t="str">
        <x:v>Mixed business audience</x:v>
      </x:c>
      <x:c r="C884" s="12" t="str">
        <x:v>Indore</x:v>
      </x:c>
      <x:c r="D884" s="12" t="str">
        <x:v>MAIN-268</x:v>
      </x:c>
      <x:c r="E884" s="12" t="str">
        <x:v>Apollo Premier</x:v>
      </x:c>
      <x:c r="F884" s="11" t="n">
        <x:v>2</x:v>
      </x:c>
      <x:c r="G884" s="11" t="n">
        <x:v>2</x:v>
      </x:c>
      <x:c r="H884" s="11" t="n">
        <x:v>0</x:v>
      </x:c>
      <x:c r="I884" s="17" t="n">
        <x:f>INDEX('Costing'!$P$9:$P$492,MATCH(D884,'Costing'!$A$9:$A$492,0))</x:f>
        <x:v>80000</x:v>
      </x:c>
      <x:c r="J884" s="17" t="n">
        <x:f>ROUND(I884*'Costing'!$C$4,2)</x:f>
        <x:v>14400</x:v>
      </x:c>
      <x:c r="K884" s="17" t="n">
        <x:f>I884+J884</x:f>
        <x:v>94400</x:v>
      </x:c>
    </x:row>
    <x:row r="885" ht="46" customHeight="1">
      <x:c r="A885" s="2" t="str">
        <x:v>Indicative size</x:v>
      </x:c>
      <x:c r="B885" s="2" t="str">
        <x:v>Mixed business audience</x:v>
      </x:c>
      <x:c r="C885" s="12" t="str">
        <x:v>Indore</x:v>
      </x:c>
      <x:c r="D885" s="12" t="str">
        <x:v>MAIN-269</x:v>
      </x:c>
      <x:c r="E885" s="12" t="str">
        <x:v>Benchmark</x:v>
      </x:c>
      <x:c r="F885" s="11" t="n">
        <x:v>1</x:v>
      </x:c>
      <x:c r="G885" s="11" t="n">
        <x:v>1</x:v>
      </x:c>
      <x:c r="H885" s="11" t="n">
        <x:v>0</x:v>
      </x:c>
      <x:c r="I885" s="17" t="n">
        <x:f>INDEX('Costing'!$P$9:$P$492,MATCH(D885,'Costing'!$A$9:$A$492,0))</x:f>
        <x:v>40000</x:v>
      </x:c>
      <x:c r="J885" s="17" t="n">
        <x:f>ROUND(I885*'Costing'!$C$4,2)</x:f>
        <x:v>7200</x:v>
      </x:c>
      <x:c r="K885" s="17" t="n">
        <x:f>I885+J885</x:f>
        <x:v>47200</x:v>
      </x:c>
    </x:row>
    <x:row r="886" ht="46" customHeight="1">
      <x:c r="A886" s="2" t="str">
        <x:v>Indicative size</x:v>
      </x:c>
      <x:c r="B886" s="2" t="str">
        <x:v>Mixed business audience</x:v>
      </x:c>
      <x:c r="C886" s="12" t="str">
        <x:v>Indore</x:v>
      </x:c>
      <x:c r="D886" s="12" t="str">
        <x:v>MAIN-270</x:v>
      </x:c>
      <x:c r="E886" s="12" t="str">
        <x:v>Cliffton Corporate</x:v>
      </x:c>
      <x:c r="F886" s="11" t="n">
        <x:v>1</x:v>
      </x:c>
      <x:c r="G886" s="11" t="n">
        <x:v>1</x:v>
      </x:c>
      <x:c r="H886" s="11" t="n">
        <x:v>0</x:v>
      </x:c>
      <x:c r="I886" s="17" t="n">
        <x:f>INDEX('Costing'!$P$9:$P$492,MATCH(D886,'Costing'!$A$9:$A$492,0))</x:f>
        <x:v>20000</x:v>
      </x:c>
      <x:c r="J886" s="17" t="n">
        <x:f>ROUND(I886*'Costing'!$C$4,2)</x:f>
        <x:v>3600</x:v>
      </x:c>
      <x:c r="K886" s="17" t="n">
        <x:f>I886+J886</x:f>
        <x:v>23600</x:v>
      </x:c>
    </x:row>
    <x:row r="887" ht="46" customHeight="1">
      <x:c r="A887" s="2" t="str">
        <x:v>Indicative size</x:v>
      </x:c>
      <x:c r="B887" s="2" t="str">
        <x:v>Mixed business audience</x:v>
      </x:c>
      <x:c r="C887" s="12" t="str">
        <x:v>Indore</x:v>
      </x:c>
      <x:c r="D887" s="12" t="str">
        <x:v>MAIN-271</x:v>
      </x:c>
      <x:c r="E887" s="12" t="str">
        <x:v>Dhan Trident</x:v>
      </x:c>
      <x:c r="F887" s="11" t="n">
        <x:v>2</x:v>
      </x:c>
      <x:c r="G887" s="11" t="n">
        <x:v>2</x:v>
      </x:c>
      <x:c r="H887" s="11" t="n">
        <x:v>0</x:v>
      </x:c>
      <x:c r="I887" s="17" t="n">
        <x:f>INDEX('Costing'!$P$9:$P$492,MATCH(D887,'Costing'!$A$9:$A$492,0))</x:f>
        <x:v>40000</x:v>
      </x:c>
      <x:c r="J887" s="17" t="n">
        <x:f>ROUND(I887*'Costing'!$C$4,2)</x:f>
        <x:v>7200</x:v>
      </x:c>
      <x:c r="K887" s="17" t="n">
        <x:f>I887+J887</x:f>
        <x:v>47200</x:v>
      </x:c>
    </x:row>
    <x:row r="888" ht="46" customHeight="1">
      <x:c r="A888" s="2" t="str">
        <x:v>Indicative size</x:v>
      </x:c>
      <x:c r="B888" s="2" t="str">
        <x:v>Mixed business audience</x:v>
      </x:c>
      <x:c r="C888" s="12" t="str">
        <x:v>Indore</x:v>
      </x:c>
      <x:c r="D888" s="12" t="str">
        <x:v>MAIN-272</x:v>
      </x:c>
      <x:c r="E888" s="12" t="str">
        <x:v>Maloo - 01</x:v>
      </x:c>
      <x:c r="F888" s="11" t="n">
        <x:v>1</x:v>
      </x:c>
      <x:c r="G888" s="11" t="n">
        <x:v>1</x:v>
      </x:c>
      <x:c r="H888" s="11" t="n">
        <x:v>0</x:v>
      </x:c>
      <x:c r="I888" s="17" t="n">
        <x:f>INDEX('Costing'!$P$9:$P$492,MATCH(D888,'Costing'!$A$9:$A$492,0))</x:f>
        <x:v>20000</x:v>
      </x:c>
      <x:c r="J888" s="17" t="n">
        <x:f>ROUND(I888*'Costing'!$C$4,2)</x:f>
        <x:v>3600</x:v>
      </x:c>
      <x:c r="K888" s="17" t="n">
        <x:f>I888+J888</x:f>
        <x:v>23600</x:v>
      </x:c>
    </x:row>
    <x:row r="889" ht="46" customHeight="1">
      <x:c r="A889" s="2" t="str">
        <x:v>Indicative size</x:v>
      </x:c>
      <x:c r="B889" s="2" t="str">
        <x:v>Mixed business audience</x:v>
      </x:c>
      <x:c r="C889" s="12" t="str">
        <x:v>Indore</x:v>
      </x:c>
      <x:c r="D889" s="12" t="str">
        <x:v>MAIN-273</x:v>
      </x:c>
      <x:c r="E889" s="12" t="str">
        <x:v>Metro Tower</x:v>
      </x:c>
      <x:c r="F889" s="11" t="n">
        <x:v>2</x:v>
      </x:c>
      <x:c r="G889" s="11" t="n">
        <x:v>2</x:v>
      </x:c>
      <x:c r="H889" s="11" t="n">
        <x:v>0</x:v>
      </x:c>
      <x:c r="I889" s="17" t="n">
        <x:f>INDEX('Costing'!$P$9:$P$492,MATCH(D889,'Costing'!$A$9:$A$492,0))</x:f>
        <x:v>40000</x:v>
      </x:c>
      <x:c r="J889" s="17" t="n">
        <x:f>ROUND(I889*'Costing'!$C$4,2)</x:f>
        <x:v>7200</x:v>
      </x:c>
      <x:c r="K889" s="17" t="n">
        <x:f>I889+J889</x:f>
        <x:v>47200</x:v>
      </x:c>
    </x:row>
    <x:row r="890" ht="46" customHeight="1">
      <x:c r="A890" s="2" t="str">
        <x:v>Indicative size</x:v>
      </x:c>
      <x:c r="B890" s="2" t="str">
        <x:v>Mixed business audience</x:v>
      </x:c>
      <x:c r="C890" s="12" t="str">
        <x:v>Indore</x:v>
      </x:c>
      <x:c r="D890" s="12" t="str">
        <x:v>MAIN-274</x:v>
      </x:c>
      <x:c r="E890" s="12" t="str">
        <x:v>Princess Sky Line</x:v>
      </x:c>
      <x:c r="F890" s="11" t="n">
        <x:v>1</x:v>
      </x:c>
      <x:c r="G890" s="11" t="n">
        <x:v>1</x:v>
      </x:c>
      <x:c r="H890" s="11" t="n">
        <x:v>0</x:v>
      </x:c>
      <x:c r="I890" s="17" t="n">
        <x:f>INDEX('Costing'!$P$9:$P$492,MATCH(D890,'Costing'!$A$9:$A$492,0))</x:f>
        <x:v>40000</x:v>
      </x:c>
      <x:c r="J890" s="17" t="n">
        <x:f>ROUND(I890*'Costing'!$C$4,2)</x:f>
        <x:v>7200</x:v>
      </x:c>
      <x:c r="K890" s="17" t="n">
        <x:f>I890+J890</x:f>
        <x:v>47200</x:v>
      </x:c>
    </x:row>
    <x:row r="891" ht="46" customHeight="1">
      <x:c r="A891" s="2" t="str">
        <x:v>Indicative size</x:v>
      </x:c>
      <x:c r="B891" s="2" t="str">
        <x:v>Mixed business audience</x:v>
      </x:c>
      <x:c r="C891" s="12" t="str">
        <x:v>Indore</x:v>
      </x:c>
      <x:c r="D891" s="12" t="str">
        <x:v>MAIN-275</x:v>
      </x:c>
      <x:c r="E891" s="12" t="str">
        <x:v>Princess Sky Park</x:v>
      </x:c>
      <x:c r="F891" s="11" t="n">
        <x:v>1</x:v>
      </x:c>
      <x:c r="G891" s="11" t="n">
        <x:v>1</x:v>
      </x:c>
      <x:c r="H891" s="11" t="n">
        <x:v>0</x:v>
      </x:c>
      <x:c r="I891" s="17" t="n">
        <x:f>INDEX('Costing'!$P$9:$P$492,MATCH(D891,'Costing'!$A$9:$A$492,0))</x:f>
        <x:v>40000</x:v>
      </x:c>
      <x:c r="J891" s="17" t="n">
        <x:f>ROUND(I891*'Costing'!$C$4,2)</x:f>
        <x:v>7200</x:v>
      </x:c>
      <x:c r="K891" s="17" t="n">
        <x:f>I891+J891</x:f>
        <x:v>47200</x:v>
      </x:c>
    </x:row>
    <x:row r="892" ht="46" customHeight="1">
      <x:c r="A892" s="2" t="str">
        <x:v>Indicative size</x:v>
      </x:c>
      <x:c r="B892" s="2" t="str">
        <x:v>Mixed business audience</x:v>
      </x:c>
      <x:c r="C892" s="12" t="str">
        <x:v>Indore</x:v>
      </x:c>
      <x:c r="D892" s="12" t="str">
        <x:v>MAIN-276</x:v>
      </x:c>
      <x:c r="E892" s="12" t="str">
        <x:v>Satyaraj Complex</x:v>
      </x:c>
      <x:c r="F892" s="11" t="n">
        <x:v>1</x:v>
      </x:c>
      <x:c r="G892" s="11" t="n">
        <x:v>1</x:v>
      </x:c>
      <x:c r="H892" s="11" t="n">
        <x:v>0</x:v>
      </x:c>
      <x:c r="I892" s="17" t="n">
        <x:f>INDEX('Costing'!$P$9:$P$492,MATCH(D892,'Costing'!$A$9:$A$492,0))</x:f>
        <x:v>20000</x:v>
      </x:c>
      <x:c r="J892" s="17" t="n">
        <x:f>ROUND(I892*'Costing'!$C$4,2)</x:f>
        <x:v>3600</x:v>
      </x:c>
      <x:c r="K892" s="17" t="n">
        <x:f>I892+J892</x:f>
        <x:v>23600</x:v>
      </x:c>
    </x:row>
    <x:row r="893" ht="46" customHeight="1">
      <x:c r="A893" s="2" t="str">
        <x:v>Indicative size</x:v>
      </x:c>
      <x:c r="B893" s="2" t="str">
        <x:v>Mixed business audience</x:v>
      </x:c>
      <x:c r="C893" s="12" t="str">
        <x:v>Kochi</x:v>
      </x:c>
      <x:c r="D893" s="12" t="str">
        <x:v>MAIN-277</x:v>
      </x:c>
      <x:c r="E893" s="12" t="str">
        <x:v>Awfis - Mezmatrix</x:v>
      </x:c>
      <x:c r="F893" s="11" t="n">
        <x:v>2</x:v>
      </x:c>
      <x:c r="G893" s="11" t="n">
        <x:v>2</x:v>
      </x:c>
      <x:c r="H893" s="11" t="n">
        <x:v>0</x:v>
      </x:c>
      <x:c r="I893" s="17" t="n">
        <x:f>INDEX('Costing'!$P$9:$P$492,MATCH(D893,'Costing'!$A$9:$A$492,0))</x:f>
        <x:v>30000</x:v>
      </x:c>
      <x:c r="J893" s="17" t="n">
        <x:f>ROUND(I893*'Costing'!$C$4,2)</x:f>
        <x:v>5400</x:v>
      </x:c>
      <x:c r="K893" s="17" t="n">
        <x:f>I893+J893</x:f>
        <x:v>35400</x:v>
      </x:c>
    </x:row>
    <x:row r="894" ht="46" customHeight="1">
      <x:c r="A894" s="2" t="str">
        <x:v>Indicative size</x:v>
      </x:c>
      <x:c r="B894" s="2" t="str">
        <x:v>Mixed business audience</x:v>
      </x:c>
      <x:c r="C894" s="12" t="str">
        <x:v>Kolkata</x:v>
      </x:c>
      <x:c r="D894" s="12" t="str">
        <x:v>MAIN-278</x:v>
      </x:c>
      <x:c r="E894" s="12" t="str">
        <x:v>Awfis - Acropolis Mall</x:v>
      </x:c>
      <x:c r="F894" s="11" t="n">
        <x:v>1</x:v>
      </x:c>
      <x:c r="G894" s="11" t="n">
        <x:v>1</x:v>
      </x:c>
      <x:c r="H894" s="11" t="n">
        <x:v>0</x:v>
      </x:c>
      <x:c r="I894" s="17" t="n">
        <x:f>INDEX('Costing'!$P$9:$P$492,MATCH(D894,'Costing'!$A$9:$A$492,0))</x:f>
        <x:v>15000</x:v>
      </x:c>
      <x:c r="J894" s="17" t="n">
        <x:f>ROUND(I894*'Costing'!$C$4,2)</x:f>
        <x:v>2700</x:v>
      </x:c>
      <x:c r="K894" s="17" t="n">
        <x:f>I894+J894</x:f>
        <x:v>17700</x:v>
      </x:c>
    </x:row>
    <x:row r="895" ht="46" customHeight="1">
      <x:c r="A895" s="2" t="str">
        <x:v>Indicative size</x:v>
      </x:c>
      <x:c r="B895" s="2" t="str">
        <x:v>Mixed business audience</x:v>
      </x:c>
      <x:c r="C895" s="12" t="str">
        <x:v>Kolkata</x:v>
      </x:c>
      <x:c r="D895" s="12" t="str">
        <x:v>MAIN-280</x:v>
      </x:c>
      <x:c r="E895" s="12" t="str">
        <x:v>Awfis - Eco Center</x:v>
      </x:c>
      <x:c r="F895" s="11" t="n">
        <x:v>2</x:v>
      </x:c>
      <x:c r="G895" s="11" t="n">
        <x:v>2</x:v>
      </x:c>
      <x:c r="H895" s="11" t="n">
        <x:v>0</x:v>
      </x:c>
      <x:c r="I895" s="17" t="n">
        <x:f>INDEX('Costing'!$P$9:$P$492,MATCH(D895,'Costing'!$A$9:$A$492,0))</x:f>
        <x:v>30000</x:v>
      </x:c>
      <x:c r="J895" s="17" t="n">
        <x:f>ROUND(I895*'Costing'!$C$4,2)</x:f>
        <x:v>5400</x:v>
      </x:c>
      <x:c r="K895" s="17" t="n">
        <x:f>I895+J895</x:f>
        <x:v>35400</x:v>
      </x:c>
    </x:row>
    <x:row r="896" ht="46" customHeight="1">
      <x:c r="A896" s="2" t="str">
        <x:v>Indicative size</x:v>
      </x:c>
      <x:c r="B896" s="2" t="str">
        <x:v>Mixed business audience</x:v>
      </x:c>
      <x:c r="C896" s="12" t="str">
        <x:v>Kolkata</x:v>
      </x:c>
      <x:c r="D896" s="12" t="str">
        <x:v>MAIN-281</x:v>
      </x:c>
      <x:c r="E896" s="12" t="str">
        <x:v>Awfis - Ecospace Business Park</x:v>
      </x:c>
      <x:c r="F896" s="11" t="n">
        <x:v>1</x:v>
      </x:c>
      <x:c r="G896" s="11" t="n">
        <x:v>1</x:v>
      </x:c>
      <x:c r="H896" s="11" t="n">
        <x:v>0</x:v>
      </x:c>
      <x:c r="I896" s="17" t="n">
        <x:f>INDEX('Costing'!$P$9:$P$492,MATCH(D896,'Costing'!$A$9:$A$492,0))</x:f>
        <x:v>15000</x:v>
      </x:c>
      <x:c r="J896" s="17" t="n">
        <x:f>ROUND(I896*'Costing'!$C$4,2)</x:f>
        <x:v>2700</x:v>
      </x:c>
      <x:c r="K896" s="17" t="n">
        <x:f>I896+J896</x:f>
        <x:v>17700</x:v>
      </x:c>
    </x:row>
    <x:row r="897" ht="46" customHeight="1">
      <x:c r="A897" s="2" t="str">
        <x:v>Indicative size</x:v>
      </x:c>
      <x:c r="B897" s="2" t="str">
        <x:v>Mixed business audience</x:v>
      </x:c>
      <x:c r="C897" s="12" t="str">
        <x:v>Kolkata</x:v>
      </x:c>
      <x:c r="D897" s="12" t="str">
        <x:v>MAIN-282</x:v>
      </x:c>
      <x:c r="E897" s="12" t="str">
        <x:v>Awfis - Ecospace Business Park 2</x:v>
      </x:c>
      <x:c r="F897" s="11" t="n">
        <x:v>2</x:v>
      </x:c>
      <x:c r="G897" s="11" t="n">
        <x:v>2</x:v>
      </x:c>
      <x:c r="H897" s="11" t="n">
        <x:v>0</x:v>
      </x:c>
      <x:c r="I897" s="17" t="n">
        <x:f>INDEX('Costing'!$P$9:$P$492,MATCH(D897,'Costing'!$A$9:$A$492,0))</x:f>
        <x:v>30000</x:v>
      </x:c>
      <x:c r="J897" s="17" t="n">
        <x:f>ROUND(I897*'Costing'!$C$4,2)</x:f>
        <x:v>5400</x:v>
      </x:c>
      <x:c r="K897" s="17" t="n">
        <x:f>I897+J897</x:f>
        <x:v>35400</x:v>
      </x:c>
    </x:row>
    <x:row r="898" ht="46" customHeight="1">
      <x:c r="A898" s="2" t="str">
        <x:v>Indicative size</x:v>
      </x:c>
      <x:c r="B898" s="2" t="str">
        <x:v>Mixed business audience</x:v>
      </x:c>
      <x:c r="C898" s="12" t="str">
        <x:v>Kolkata</x:v>
      </x:c>
      <x:c r="D898" s="12" t="str">
        <x:v>MAIN-283</x:v>
      </x:c>
      <x:c r="E898" s="12" t="str">
        <x:v>Awfis - Siddha Esplanade</x:v>
      </x:c>
      <x:c r="F898" s="11" t="n">
        <x:v>2</x:v>
      </x:c>
      <x:c r="G898" s="11" t="n">
        <x:v>2</x:v>
      </x:c>
      <x:c r="H898" s="11" t="n">
        <x:v>0</x:v>
      </x:c>
      <x:c r="I898" s="17" t="n">
        <x:f>INDEX('Costing'!$P$9:$P$492,MATCH(D898,'Costing'!$A$9:$A$492,0))</x:f>
        <x:v>30000</x:v>
      </x:c>
      <x:c r="J898" s="17" t="n">
        <x:f>ROUND(I898*'Costing'!$C$4,2)</x:f>
        <x:v>5400</x:v>
      </x:c>
      <x:c r="K898" s="17" t="n">
        <x:f>I898+J898</x:f>
        <x:v>35400</x:v>
      </x:c>
    </x:row>
    <x:row r="899" ht="46" customHeight="1">
      <x:c r="A899" s="2" t="str">
        <x:v>Indicative size</x:v>
      </x:c>
      <x:c r="B899" s="2" t="str">
        <x:v>Mixed business audience</x:v>
      </x:c>
      <x:c r="C899" s="12" t="str">
        <x:v>Kolkata</x:v>
      </x:c>
      <x:c r="D899" s="12" t="str">
        <x:v>MAIN-284</x:v>
      </x:c>
      <x:c r="E899" s="12" t="str">
        <x:v>Awfis - Technopolis</x:v>
      </x:c>
      <x:c r="F899" s="11" t="n">
        <x:v>2</x:v>
      </x:c>
      <x:c r="G899" s="11" t="n">
        <x:v>2</x:v>
      </x:c>
      <x:c r="H899" s="11" t="n">
        <x:v>0</x:v>
      </x:c>
      <x:c r="I899" s="17" t="n">
        <x:f>INDEX('Costing'!$P$9:$P$492,MATCH(D899,'Costing'!$A$9:$A$492,0))</x:f>
        <x:v>30000</x:v>
      </x:c>
      <x:c r="J899" s="17" t="n">
        <x:f>ROUND(I899*'Costing'!$C$4,2)</x:f>
        <x:v>5400</x:v>
      </x:c>
      <x:c r="K899" s="17" t="n">
        <x:f>I899+J899</x:f>
        <x:v>35400</x:v>
      </x:c>
    </x:row>
    <x:row r="900" ht="46" customHeight="1">
      <x:c r="A900" s="2" t="str">
        <x:v>Indicative size</x:v>
      </x:c>
      <x:c r="B900" s="2" t="str">
        <x:v>Mixed business audience</x:v>
      </x:c>
      <x:c r="C900" s="12" t="str">
        <x:v>Kolkata</x:v>
      </x:c>
      <x:c r="D900" s="12" t="str">
        <x:v>MAIN-285</x:v>
      </x:c>
      <x:c r="E900" s="12" t="str">
        <x:v>Awfis - Technopolis</x:v>
      </x:c>
      <x:c r="F900" s="11" t="n">
        <x:v>1</x:v>
      </x:c>
      <x:c r="G900" s="11" t="n">
        <x:v>1</x:v>
      </x:c>
      <x:c r="H900" s="11" t="n">
        <x:v>0</x:v>
      </x:c>
      <x:c r="I900" s="17" t="n">
        <x:f>INDEX('Costing'!$P$9:$P$492,MATCH(D900,'Costing'!$A$9:$A$492,0))</x:f>
        <x:v>15000</x:v>
      </x:c>
      <x:c r="J900" s="17" t="n">
        <x:f>ROUND(I900*'Costing'!$C$4,2)</x:f>
        <x:v>2700</x:v>
      </x:c>
      <x:c r="K900" s="17" t="n">
        <x:f>I900+J900</x:f>
        <x:v>17700</x:v>
      </x:c>
    </x:row>
    <x:row r="901" ht="46" customHeight="1">
      <x:c r="A901" s="2" t="str">
        <x:v>Indicative size</x:v>
      </x:c>
      <x:c r="B901" s="2" t="str">
        <x:v>Mixed business audience</x:v>
      </x:c>
      <x:c r="C901" s="12" t="str">
        <x:v>Kolkata</x:v>
      </x:c>
      <x:c r="D901" s="12" t="str">
        <x:v>MAIN-286</x:v>
      </x:c>
      <x:c r="E901" s="12" t="str">
        <x:v>Awfis GWS</x:v>
      </x:c>
      <x:c r="F901" s="11" t="n">
        <x:v>8</x:v>
      </x:c>
      <x:c r="G901" s="11" t="n">
        <x:v>8</x:v>
      </x:c>
      <x:c r="H901" s="11" t="n">
        <x:v>0</x:v>
      </x:c>
      <x:c r="I901" s="17" t="n">
        <x:f>INDEX('Costing'!$P$9:$P$492,MATCH(D901,'Costing'!$A$9:$A$492,0))</x:f>
        <x:v>120000</x:v>
      </x:c>
      <x:c r="J901" s="17" t="n">
        <x:f>ROUND(I901*'Costing'!$C$4,2)</x:f>
        <x:v>21600</x:v>
      </x:c>
      <x:c r="K901" s="17" t="n">
        <x:f>I901+J901</x:f>
        <x:v>141600</x:v>
      </x:c>
    </x:row>
    <x:row r="902" ht="46" customHeight="1">
      <x:c r="A902" s="2" t="str">
        <x:v>Indicative size</x:v>
      </x:c>
      <x:c r="B902" s="2" t="str">
        <x:v>Mixed business audience</x:v>
      </x:c>
      <x:c r="C902" s="12" t="str">
        <x:v>Kolkata</x:v>
      </x:c>
      <x:c r="D902" s="12" t="str">
        <x:v>MAIN-287</x:v>
      </x:c>
      <x:c r="E902" s="12" t="str">
        <x:v>DLF Galleria</x:v>
      </x:c>
      <x:c r="F902" s="11" t="n">
        <x:v>5</x:v>
      </x:c>
      <x:c r="G902" s="11" t="n">
        <x:v>5</x:v>
      </x:c>
      <x:c r="H902" s="11" t="n">
        <x:v>0</x:v>
      </x:c>
      <x:c r="I902" s="17" t="n">
        <x:f>INDEX('Costing'!$P$9:$P$492,MATCH(D902,'Costing'!$A$9:$A$492,0))</x:f>
        <x:v>75000</x:v>
      </x:c>
      <x:c r="J902" s="17" t="n">
        <x:f>ROUND(I902*'Costing'!$C$4,2)</x:f>
        <x:v>13500</x:v>
      </x:c>
      <x:c r="K902" s="17" t="n">
        <x:f>I902+J902</x:f>
        <x:v>88500</x:v>
      </x:c>
    </x:row>
    <x:row r="903" ht="46" customHeight="1">
      <x:c r="A903" s="2" t="str">
        <x:v>Indicative size</x:v>
      </x:c>
      <x:c r="B903" s="2" t="str">
        <x:v>Mixed business audience</x:v>
      </x:c>
      <x:c r="C903" s="12" t="str">
        <x:v>Lucknow</x:v>
      </x:c>
      <x:c r="D903" s="12" t="str">
        <x:v>MAIN-288</x:v>
      </x:c>
      <x:c r="E903" s="12" t="str">
        <x:v>Bhavya Corporate Tower</x:v>
      </x:c>
      <x:c r="F903" s="11" t="n">
        <x:v>2</x:v>
      </x:c>
      <x:c r="G903" s="11" t="n">
        <x:v>2</x:v>
      </x:c>
      <x:c r="H903" s="11" t="n">
        <x:v>0</x:v>
      </x:c>
      <x:c r="I903" s="17" t="n">
        <x:f>INDEX('Costing'!$P$9:$P$492,MATCH(D903,'Costing'!$A$9:$A$492,0))</x:f>
        <x:v>40000</x:v>
      </x:c>
      <x:c r="J903" s="17" t="n">
        <x:f>ROUND(I903*'Costing'!$C$4,2)</x:f>
        <x:v>7200</x:v>
      </x:c>
      <x:c r="K903" s="17" t="n">
        <x:f>I903+J903</x:f>
        <x:v>47200</x:v>
      </x:c>
    </x:row>
    <x:row r="904" ht="46" customHeight="1">
      <x:c r="A904" s="2" t="str">
        <x:v>Indicative size</x:v>
      </x:c>
      <x:c r="B904" s="2" t="str">
        <x:v>Mixed business audience</x:v>
      </x:c>
      <x:c r="C904" s="12" t="str">
        <x:v>Lucknow</x:v>
      </x:c>
      <x:c r="D904" s="12" t="str">
        <x:v>MAIN-289</x:v>
      </x:c>
      <x:c r="E904" s="12" t="str">
        <x:v>Eldeco Corporate Chamber 1</x:v>
      </x:c>
      <x:c r="F904" s="11" t="n">
        <x:v>1</x:v>
      </x:c>
      <x:c r="G904" s="11" t="n">
        <x:v>1</x:v>
      </x:c>
      <x:c r="H904" s="11" t="n">
        <x:v>0</x:v>
      </x:c>
      <x:c r="I904" s="17" t="n">
        <x:f>INDEX('Costing'!$P$9:$P$492,MATCH(D904,'Costing'!$A$9:$A$492,0))</x:f>
        <x:v>40000</x:v>
      </x:c>
      <x:c r="J904" s="17" t="n">
        <x:f>ROUND(I904*'Costing'!$C$4,2)</x:f>
        <x:v>7200</x:v>
      </x:c>
      <x:c r="K904" s="17" t="n">
        <x:f>I904+J904</x:f>
        <x:v>47200</x:v>
      </x:c>
    </x:row>
    <x:row r="905" ht="46" customHeight="1">
      <x:c r="A905" s="2" t="str">
        <x:v>Indicative size</x:v>
      </x:c>
      <x:c r="B905" s="2" t="str">
        <x:v>Mixed business audience</x:v>
      </x:c>
      <x:c r="C905" s="12" t="str">
        <x:v>Lucknow</x:v>
      </x:c>
      <x:c r="D905" s="12" t="str">
        <x:v>MAIN-290</x:v>
      </x:c>
      <x:c r="E905" s="12" t="str">
        <x:v>Eldeco Elegente</x:v>
      </x:c>
      <x:c r="F905" s="11" t="n">
        <x:v>1</x:v>
      </x:c>
      <x:c r="G905" s="11" t="n">
        <x:v>1</x:v>
      </x:c>
      <x:c r="H905" s="11" t="n">
        <x:v>0</x:v>
      </x:c>
      <x:c r="I905" s="17" t="n">
        <x:f>INDEX('Costing'!$P$9:$P$492,MATCH(D905,'Costing'!$A$9:$A$492,0))</x:f>
        <x:v>40000</x:v>
      </x:c>
      <x:c r="J905" s="17" t="n">
        <x:f>ROUND(I905*'Costing'!$C$4,2)</x:f>
        <x:v>7200</x:v>
      </x:c>
      <x:c r="K905" s="17" t="n">
        <x:f>I905+J905</x:f>
        <x:v>47200</x:v>
      </x:c>
    </x:row>
    <x:row r="906" ht="46" customHeight="1">
      <x:c r="A906" s="2" t="str">
        <x:v>Indicative size</x:v>
      </x:c>
      <x:c r="B906" s="2" t="str">
        <x:v>Mixed business audience</x:v>
      </x:c>
      <x:c r="C906" s="12" t="str">
        <x:v>Lucknow</x:v>
      </x:c>
      <x:c r="D906" s="12" t="str">
        <x:v>MAIN-291</x:v>
      </x:c>
      <x:c r="E906" s="12" t="str">
        <x:v>Levana Cyber Heights</x:v>
      </x:c>
      <x:c r="F906" s="11" t="n">
        <x:v>4</x:v>
      </x:c>
      <x:c r="G906" s="11" t="n">
        <x:v>4</x:v>
      </x:c>
      <x:c r="H906" s="11" t="n">
        <x:v>0</x:v>
      </x:c>
      <x:c r="I906" s="17" t="n">
        <x:f>INDEX('Costing'!$P$9:$P$492,MATCH(D906,'Costing'!$A$9:$A$492,0))</x:f>
        <x:v>160000</x:v>
      </x:c>
      <x:c r="J906" s="17" t="n">
        <x:f>ROUND(I906*'Costing'!$C$4,2)</x:f>
        <x:v>28800</x:v>
      </x:c>
      <x:c r="K906" s="17" t="n">
        <x:f>I906+J906</x:f>
        <x:v>188800</x:v>
      </x:c>
    </x:row>
    <x:row r="907" ht="46" customHeight="1">
      <x:c r="A907" s="2" t="str">
        <x:v>Indicative size</x:v>
      </x:c>
      <x:c r="B907" s="2" t="str">
        <x:v>Mixed business audience</x:v>
      </x:c>
      <x:c r="C907" s="12" t="str">
        <x:v>Lucknow</x:v>
      </x:c>
      <x:c r="D907" s="12" t="str">
        <x:v>MAIN-292</x:v>
      </x:c>
      <x:c r="E907" s="12" t="str">
        <x:v>Levana Cyber Tower</x:v>
      </x:c>
      <x:c r="F907" s="11" t="n">
        <x:v>3</x:v>
      </x:c>
      <x:c r="G907" s="11" t="n">
        <x:v>3</x:v>
      </x:c>
      <x:c r="H907" s="11" t="n">
        <x:v>0</x:v>
      </x:c>
      <x:c r="I907" s="17" t="n">
        <x:f>INDEX('Costing'!$P$9:$P$492,MATCH(D907,'Costing'!$A$9:$A$492,0))</x:f>
        <x:v>120000</x:v>
      </x:c>
      <x:c r="J907" s="17" t="n">
        <x:f>ROUND(I907*'Costing'!$C$4,2)</x:f>
        <x:v>21600</x:v>
      </x:c>
      <x:c r="K907" s="17" t="n">
        <x:f>I907+J907</x:f>
        <x:v>141600</x:v>
      </x:c>
    </x:row>
    <x:row r="908" ht="46" customHeight="1">
      <x:c r="A908" s="2" t="str">
        <x:v>Indicative size</x:v>
      </x:c>
      <x:c r="B908" s="2" t="str">
        <x:v>Mixed business audience</x:v>
      </x:c>
      <x:c r="C908" s="12" t="str">
        <x:v>Mumbai</x:v>
      </x:c>
      <x:c r="D908" s="12" t="str">
        <x:v>MAIN-294</x:v>
      </x:c>
      <x:c r="E908" s="12" t="str">
        <x:v>Avior Corporate Park</x:v>
      </x:c>
      <x:c r="F908" s="11" t="n">
        <x:v>39</x:v>
      </x:c>
      <x:c r="G908" s="11" t="n">
        <x:v>39</x:v>
      </x:c>
      <x:c r="H908" s="11" t="n">
        <x:v>0</x:v>
      </x:c>
      <x:c r="I908" s="17" t="n">
        <x:f>INDEX('Costing'!$P$9:$P$492,MATCH(D908,'Costing'!$A$9:$A$492,0))</x:f>
        <x:v>585000</x:v>
      </x:c>
      <x:c r="J908" s="17" t="n">
        <x:f>ROUND(I908*'Costing'!$C$4,2)</x:f>
        <x:v>105300</x:v>
      </x:c>
      <x:c r="K908" s="17" t="n">
        <x:f>I908+J908</x:f>
        <x:v>690300</x:v>
      </x:c>
    </x:row>
    <x:row r="909" ht="46" customHeight="1">
      <x:c r="A909" s="2" t="str">
        <x:v>Indicative size</x:v>
      </x:c>
      <x:c r="B909" s="2" t="str">
        <x:v>Mixed business audience</x:v>
      </x:c>
      <x:c r="C909" s="12" t="str">
        <x:v>Mumbai</x:v>
      </x:c>
      <x:c r="D909" s="12" t="str">
        <x:v>MAIN-295</x:v>
      </x:c>
      <x:c r="E909" s="12" t="str">
        <x:v>Awfis - Adani Inspire, BKC</x:v>
      </x:c>
      <x:c r="F909" s="11" t="n">
        <x:v>1</x:v>
      </x:c>
      <x:c r="G909" s="11" t="n">
        <x:v>1</x:v>
      </x:c>
      <x:c r="H909" s="11" t="n">
        <x:v>0</x:v>
      </x:c>
      <x:c r="I909" s="17" t="n">
        <x:f>INDEX('Costing'!$P$9:$P$492,MATCH(D909,'Costing'!$A$9:$A$492,0))</x:f>
        <x:v>15000</x:v>
      </x:c>
      <x:c r="J909" s="17" t="n">
        <x:f>ROUND(I909*'Costing'!$C$4,2)</x:f>
        <x:v>2700</x:v>
      </x:c>
      <x:c r="K909" s="17" t="n">
        <x:f>I909+J909</x:f>
        <x:v>17700</x:v>
      </x:c>
    </x:row>
    <x:row r="910" ht="46" customHeight="1">
      <x:c r="A910" s="2" t="str">
        <x:v>Indicative size</x:v>
      </x:c>
      <x:c r="B910" s="2" t="str">
        <x:v>Mixed business audience</x:v>
      </x:c>
      <x:c r="C910" s="12" t="str">
        <x:v>Mumbai</x:v>
      </x:c>
      <x:c r="D910" s="12" t="str">
        <x:v>MAIN-296</x:v>
      </x:c>
      <x:c r="E910" s="12" t="str">
        <x:v>Awfis - Cyber One</x:v>
      </x:c>
      <x:c r="F910" s="11" t="n">
        <x:v>1</x:v>
      </x:c>
      <x:c r="G910" s="11" t="n">
        <x:v>1</x:v>
      </x:c>
      <x:c r="H910" s="11" t="n">
        <x:v>0</x:v>
      </x:c>
      <x:c r="I910" s="17" t="n">
        <x:f>INDEX('Costing'!$P$9:$P$492,MATCH(D910,'Costing'!$A$9:$A$492,0))</x:f>
        <x:v>15000</x:v>
      </x:c>
      <x:c r="J910" s="17" t="n">
        <x:f>ROUND(I910*'Costing'!$C$4,2)</x:f>
        <x:v>2700</x:v>
      </x:c>
      <x:c r="K910" s="17" t="n">
        <x:f>I910+J910</x:f>
        <x:v>17700</x:v>
      </x:c>
    </x:row>
    <x:row r="911" ht="46" customHeight="1">
      <x:c r="A911" s="2" t="str">
        <x:v>Indicative size</x:v>
      </x:c>
      <x:c r="B911" s="2" t="str">
        <x:v>Mixed business audience</x:v>
      </x:c>
      <x:c r="C911" s="12" t="str">
        <x:v>Mumbai</x:v>
      </x:c>
      <x:c r="D911" s="12" t="str">
        <x:v>MAIN-297</x:v>
      </x:c>
      <x:c r="E911" s="12" t="str">
        <x:v>Awfis - Empire Tower</x:v>
      </x:c>
      <x:c r="F911" s="11" t="n">
        <x:v>1</x:v>
      </x:c>
      <x:c r="G911" s="11" t="n">
        <x:v>1</x:v>
      </x:c>
      <x:c r="H911" s="11" t="n">
        <x:v>0</x:v>
      </x:c>
      <x:c r="I911" s="17" t="n">
        <x:f>INDEX('Costing'!$P$9:$P$492,MATCH(D911,'Costing'!$A$9:$A$492,0))</x:f>
        <x:v>15000</x:v>
      </x:c>
      <x:c r="J911" s="17" t="n">
        <x:f>ROUND(I911*'Costing'!$C$4,2)</x:f>
        <x:v>2700</x:v>
      </x:c>
      <x:c r="K911" s="17" t="n">
        <x:f>I911+J911</x:f>
        <x:v>17700</x:v>
      </x:c>
    </x:row>
    <x:row r="912" ht="46" customHeight="1">
      <x:c r="A912" s="2" t="str">
        <x:v>Indicative size</x:v>
      </x:c>
      <x:c r="B912" s="2" t="str">
        <x:v>Mixed business audience</x:v>
      </x:c>
      <x:c r="C912" s="12" t="str">
        <x:v>Mumbai</x:v>
      </x:c>
      <x:c r="D912" s="12" t="str">
        <x:v>MAIN-298</x:v>
      </x:c>
      <x:c r="E912" s="12" t="str">
        <x:v>Awfis - Kalpataru Prime</x:v>
      </x:c>
      <x:c r="F912" s="11" t="n">
        <x:v>2</x:v>
      </x:c>
      <x:c r="G912" s="11" t="n">
        <x:v>2</x:v>
      </x:c>
      <x:c r="H912" s="11" t="n">
        <x:v>0</x:v>
      </x:c>
      <x:c r="I912" s="17" t="n">
        <x:f>INDEX('Costing'!$P$9:$P$492,MATCH(D912,'Costing'!$A$9:$A$492,0))</x:f>
        <x:v>30000</x:v>
      </x:c>
      <x:c r="J912" s="17" t="n">
        <x:f>ROUND(I912*'Costing'!$C$4,2)</x:f>
        <x:v>5400</x:v>
      </x:c>
      <x:c r="K912" s="17" t="n">
        <x:f>I912+J912</x:f>
        <x:v>35400</x:v>
      </x:c>
    </x:row>
    <x:row r="913" ht="46" customHeight="1">
      <x:c r="A913" s="2" t="str">
        <x:v>Indicative size</x:v>
      </x:c>
      <x:c r="B913" s="2" t="str">
        <x:v>Mixed business audience</x:v>
      </x:c>
      <x:c r="C913" s="12" t="str">
        <x:v>Mumbai</x:v>
      </x:c>
      <x:c r="D913" s="12" t="str">
        <x:v>MAIN-299</x:v>
      </x:c>
      <x:c r="E913" s="12" t="str">
        <x:v>Awfis - Lodha IThink</x:v>
      </x:c>
      <x:c r="F913" s="11" t="n">
        <x:v>1</x:v>
      </x:c>
      <x:c r="G913" s="11" t="n">
        <x:v>1</x:v>
      </x:c>
      <x:c r="H913" s="11" t="n">
        <x:v>0</x:v>
      </x:c>
      <x:c r="I913" s="17" t="n">
        <x:f>INDEX('Costing'!$P$9:$P$492,MATCH(D913,'Costing'!$A$9:$A$492,0))</x:f>
        <x:v>15000</x:v>
      </x:c>
      <x:c r="J913" s="17" t="n">
        <x:f>ROUND(I913*'Costing'!$C$4,2)</x:f>
        <x:v>2700</x:v>
      </x:c>
      <x:c r="K913" s="17" t="n">
        <x:f>I913+J913</x:f>
        <x:v>17700</x:v>
      </x:c>
    </x:row>
    <x:row r="914" ht="46" customHeight="1">
      <x:c r="A914" s="2" t="str">
        <x:v>Indicative size</x:v>
      </x:c>
      <x:c r="B914" s="2" t="str">
        <x:v>Mixed business audience</x:v>
      </x:c>
      <x:c r="C914" s="12" t="str">
        <x:v>Mumbai</x:v>
      </x:c>
      <x:c r="D914" s="12" t="str">
        <x:v>MAIN-300</x:v>
      </x:c>
      <x:c r="E914" s="12" t="str">
        <x:v>Awfis - Lokhandwala Aston Building</x:v>
      </x:c>
      <x:c r="F914" s="11" t="n">
        <x:v>1</x:v>
      </x:c>
      <x:c r="G914" s="11" t="n">
        <x:v>1</x:v>
      </x:c>
      <x:c r="H914" s="11" t="n">
        <x:v>0</x:v>
      </x:c>
      <x:c r="I914" s="17" t="n">
        <x:f>INDEX('Costing'!$P$9:$P$492,MATCH(D914,'Costing'!$A$9:$A$492,0))</x:f>
        <x:v>15000</x:v>
      </x:c>
      <x:c r="J914" s="17" t="n">
        <x:f>ROUND(I914*'Costing'!$C$4,2)</x:f>
        <x:v>2700</x:v>
      </x:c>
      <x:c r="K914" s="17" t="n">
        <x:f>I914+J914</x:f>
        <x:v>17700</x:v>
      </x:c>
    </x:row>
    <x:row r="915" ht="46" customHeight="1">
      <x:c r="A915" s="2" t="str">
        <x:v>Indicative size</x:v>
      </x:c>
      <x:c r="B915" s="2" t="str">
        <x:v>Mixed business audience</x:v>
      </x:c>
      <x:c r="C915" s="12" t="str">
        <x:v>Mumbai</x:v>
      </x:c>
      <x:c r="D915" s="12" t="str">
        <x:v>MAIN-301</x:v>
      </x:c>
      <x:c r="E915" s="12" t="str">
        <x:v>Awfis - Raheja Titanium</x:v>
      </x:c>
      <x:c r="F915" s="11" t="n">
        <x:v>1</x:v>
      </x:c>
      <x:c r="G915" s="11" t="n">
        <x:v>1</x:v>
      </x:c>
      <x:c r="H915" s="11" t="n">
        <x:v>0</x:v>
      </x:c>
      <x:c r="I915" s="17" t="n">
        <x:f>INDEX('Costing'!$P$9:$P$492,MATCH(D915,'Costing'!$A$9:$A$492,0))</x:f>
        <x:v>15000</x:v>
      </x:c>
      <x:c r="J915" s="17" t="n">
        <x:f>ROUND(I915*'Costing'!$C$4,2)</x:f>
        <x:v>2700</x:v>
      </x:c>
      <x:c r="K915" s="17" t="n">
        <x:f>I915+J915</x:f>
        <x:v>17700</x:v>
      </x:c>
    </x:row>
    <x:row r="916" ht="46" customHeight="1">
      <x:c r="A916" s="2" t="str">
        <x:v>Indicative size</x:v>
      </x:c>
      <x:c r="B916" s="2" t="str">
        <x:v>Mixed business audience</x:v>
      </x:c>
      <x:c r="C916" s="12" t="str">
        <x:v>Mumbai</x:v>
      </x:c>
      <x:c r="D916" s="12" t="str">
        <x:v>MAIN-302</x:v>
      </x:c>
      <x:c r="E916" s="12" t="str">
        <x:v>Awfis - Ruby Towers</x:v>
      </x:c>
      <x:c r="F916" s="11" t="n">
        <x:v>2</x:v>
      </x:c>
      <x:c r="G916" s="11" t="n">
        <x:v>2</x:v>
      </x:c>
      <x:c r="H916" s="11" t="n">
        <x:v>0</x:v>
      </x:c>
      <x:c r="I916" s="17" t="n">
        <x:f>INDEX('Costing'!$P$9:$P$492,MATCH(D916,'Costing'!$A$9:$A$492,0))</x:f>
        <x:v>30000</x:v>
      </x:c>
      <x:c r="J916" s="17" t="n">
        <x:f>ROUND(I916*'Costing'!$C$4,2)</x:f>
        <x:v>5400</x:v>
      </x:c>
      <x:c r="K916" s="17" t="n">
        <x:f>I916+J916</x:f>
        <x:v>35400</x:v>
      </x:c>
    </x:row>
    <x:row r="917" ht="46" customHeight="1">
      <x:c r="A917" s="2" t="str">
        <x:v>Indicative size</x:v>
      </x:c>
      <x:c r="B917" s="2" t="str">
        <x:v>Mixed business audience</x:v>
      </x:c>
      <x:c r="C917" s="12" t="str">
        <x:v>Mumbai</x:v>
      </x:c>
      <x:c r="D917" s="12" t="str">
        <x:v>MAIN-303</x:v>
      </x:c>
      <x:c r="E917" s="12" t="str">
        <x:v>Awfis - Schindler House</x:v>
      </x:c>
      <x:c r="F917" s="11" t="n">
        <x:v>1</x:v>
      </x:c>
      <x:c r="G917" s="11" t="n">
        <x:v>1</x:v>
      </x:c>
      <x:c r="H917" s="11" t="n">
        <x:v>0</x:v>
      </x:c>
      <x:c r="I917" s="17" t="n">
        <x:f>INDEX('Costing'!$P$9:$P$492,MATCH(D917,'Costing'!$A$9:$A$492,0))</x:f>
        <x:v>15000</x:v>
      </x:c>
      <x:c r="J917" s="17" t="n">
        <x:f>ROUND(I917*'Costing'!$C$4,2)</x:f>
        <x:v>2700</x:v>
      </x:c>
      <x:c r="K917" s="17" t="n">
        <x:f>I917+J917</x:f>
        <x:v>17700</x:v>
      </x:c>
    </x:row>
    <x:row r="918" ht="46" customHeight="1">
      <x:c r="A918" s="2" t="str">
        <x:v>Indicative size</x:v>
      </x:c>
      <x:c r="B918" s="2" t="str">
        <x:v>Mixed business audience</x:v>
      </x:c>
      <x:c r="C918" s="12" t="str">
        <x:v>Mumbai</x:v>
      </x:c>
      <x:c r="D918" s="12" t="str">
        <x:v>MAIN-304</x:v>
      </x:c>
      <x:c r="E918" s="12" t="str">
        <x:v>Awfis - Skyline Icon</x:v>
      </x:c>
      <x:c r="F918" s="11" t="n">
        <x:v>2</x:v>
      </x:c>
      <x:c r="G918" s="11" t="n">
        <x:v>2</x:v>
      </x:c>
      <x:c r="H918" s="11" t="n">
        <x:v>0</x:v>
      </x:c>
      <x:c r="I918" s="17" t="n">
        <x:f>INDEX('Costing'!$P$9:$P$492,MATCH(D918,'Costing'!$A$9:$A$492,0))</x:f>
        <x:v>30000</x:v>
      </x:c>
      <x:c r="J918" s="17" t="n">
        <x:f>ROUND(I918*'Costing'!$C$4,2)</x:f>
        <x:v>5400</x:v>
      </x:c>
      <x:c r="K918" s="17" t="n">
        <x:f>I918+J918</x:f>
        <x:v>35400</x:v>
      </x:c>
    </x:row>
    <x:row r="919" ht="46" customHeight="1">
      <x:c r="A919" s="2" t="str">
        <x:v>Indicative size</x:v>
      </x:c>
      <x:c r="B919" s="2" t="str">
        <x:v>Mixed business audience</x:v>
      </x:c>
      <x:c r="C919" s="12" t="str">
        <x:v>Mumbai</x:v>
      </x:c>
      <x:c r="D919" s="12" t="str">
        <x:v>MAIN-305</x:v>
      </x:c>
      <x:c r="E919" s="12" t="str">
        <x:v>Awfis - Vaman Techno Center</x:v>
      </x:c>
      <x:c r="F919" s="11" t="n">
        <x:v>2</x:v>
      </x:c>
      <x:c r="G919" s="11" t="n">
        <x:v>2</x:v>
      </x:c>
      <x:c r="H919" s="11" t="n">
        <x:v>0</x:v>
      </x:c>
      <x:c r="I919" s="17" t="n">
        <x:f>INDEX('Costing'!$P$9:$P$492,MATCH(D919,'Costing'!$A$9:$A$492,0))</x:f>
        <x:v>30000</x:v>
      </x:c>
      <x:c r="J919" s="17" t="n">
        <x:f>ROUND(I919*'Costing'!$C$4,2)</x:f>
        <x:v>5400</x:v>
      </x:c>
      <x:c r="K919" s="17" t="n">
        <x:f>I919+J919</x:f>
        <x:v>35400</x:v>
      </x:c>
    </x:row>
    <x:row r="920" ht="46" customHeight="1">
      <x:c r="A920" s="2" t="str">
        <x:v>Indicative size</x:v>
      </x:c>
      <x:c r="B920" s="2" t="str">
        <x:v>Mixed business audience</x:v>
      </x:c>
      <x:c r="C920" s="12" t="str">
        <x:v>Mumbai</x:v>
      </x:c>
      <x:c r="D920" s="12" t="str">
        <x:v>MAIN-306</x:v>
      </x:c>
      <x:c r="E920" s="12" t="str">
        <x:v>Awfis - Vios Towers</x:v>
      </x:c>
      <x:c r="F920" s="11" t="n">
        <x:v>1</x:v>
      </x:c>
      <x:c r="G920" s="11" t="n">
        <x:v>1</x:v>
      </x:c>
      <x:c r="H920" s="11" t="n">
        <x:v>0</x:v>
      </x:c>
      <x:c r="I920" s="17" t="n">
        <x:f>INDEX('Costing'!$P$9:$P$492,MATCH(D920,'Costing'!$A$9:$A$492,0))</x:f>
        <x:v>15000</x:v>
      </x:c>
      <x:c r="J920" s="17" t="n">
        <x:f>ROUND(I920*'Costing'!$C$4,2)</x:f>
        <x:v>2700</x:v>
      </x:c>
      <x:c r="K920" s="17" t="n">
        <x:f>I920+J920</x:f>
        <x:v>17700</x:v>
      </x:c>
    </x:row>
    <x:row r="921" ht="46" customHeight="1">
      <x:c r="A921" s="2" t="str">
        <x:v>Indicative size</x:v>
      </x:c>
      <x:c r="B921" s="2" t="str">
        <x:v>Mixed business audience</x:v>
      </x:c>
      <x:c r="C921" s="12" t="str">
        <x:v>Mumbai</x:v>
      </x:c>
      <x:c r="D921" s="12" t="str">
        <x:v>MAIN-307</x:v>
      </x:c>
      <x:c r="E921" s="12" t="str">
        <x:v>Blue Rose IND</x:v>
      </x:c>
      <x:c r="F921" s="11" t="n">
        <x:v>22</x:v>
      </x:c>
      <x:c r="G921" s="11" t="n">
        <x:v>22</x:v>
      </x:c>
      <x:c r="H921" s="11" t="n">
        <x:v>0</x:v>
      </x:c>
      <x:c r="I921" s="17" t="n">
        <x:f>INDEX('Costing'!$P$9:$P$492,MATCH(D921,'Costing'!$A$9:$A$492,0))</x:f>
        <x:v>330000</x:v>
      </x:c>
      <x:c r="J921" s="17" t="n">
        <x:f>ROUND(I921*'Costing'!$C$4,2)</x:f>
        <x:v>59400</x:v>
      </x:c>
      <x:c r="K921" s="17" t="n">
        <x:f>I921+J921</x:f>
        <x:v>389400</x:v>
      </x:c>
    </x:row>
    <x:row r="922" ht="46" customHeight="1">
      <x:c r="A922" s="2" t="str">
        <x:v>Indicative size</x:v>
      </x:c>
      <x:c r="B922" s="2" t="str">
        <x:v>Mixed business audience</x:v>
      </x:c>
      <x:c r="C922" s="12" t="str">
        <x:v>Mumbai</x:v>
      </x:c>
      <x:c r="D922" s="12" t="str">
        <x:v>MAIN-308</x:v>
      </x:c>
      <x:c r="E922" s="12" t="str">
        <x:v>Bsel Tech Park</x:v>
      </x:c>
      <x:c r="F922" s="11" t="n">
        <x:v>47</x:v>
      </x:c>
      <x:c r="G922" s="11" t="n">
        <x:v>47</x:v>
      </x:c>
      <x:c r="H922" s="11" t="n">
        <x:v>0</x:v>
      </x:c>
      <x:c r="I922" s="17" t="n">
        <x:f>INDEX('Costing'!$P$9:$P$492,MATCH(D922,'Costing'!$A$9:$A$492,0))</x:f>
        <x:v>705000</x:v>
      </x:c>
      <x:c r="J922" s="17" t="n">
        <x:f>ROUND(I922*'Costing'!$C$4,2)</x:f>
        <x:v>126900</x:v>
      </x:c>
      <x:c r="K922" s="17" t="n">
        <x:f>I922+J922</x:f>
        <x:v>831900</x:v>
      </x:c>
    </x:row>
    <x:row r="923" ht="46" customHeight="1">
      <x:c r="A923" s="2" t="str">
        <x:v>Indicative size</x:v>
      </x:c>
      <x:c r="B923" s="2" t="str">
        <x:v>Mixed business audience</x:v>
      </x:c>
      <x:c r="C923" s="12" t="str">
        <x:v>Mumbai</x:v>
      </x:c>
      <x:c r="D923" s="12" t="str">
        <x:v>MAIN-309</x:v>
      </x:c>
      <x:c r="E923" s="12" t="str">
        <x:v>Carnival HUB Work Spaces</x:v>
      </x:c>
      <x:c r="F923" s="11" t="n">
        <x:v>1</x:v>
      </x:c>
      <x:c r="G923" s="11" t="n">
        <x:v>1</x:v>
      </x:c>
      <x:c r="H923" s="11" t="n">
        <x:v>0</x:v>
      </x:c>
      <x:c r="I923" s="17" t="n">
        <x:f>INDEX('Costing'!$P$9:$P$492,MATCH(D923,'Costing'!$A$9:$A$492,0))</x:f>
        <x:v>15000</x:v>
      </x:c>
      <x:c r="J923" s="17" t="n">
        <x:f>ROUND(I923*'Costing'!$C$4,2)</x:f>
        <x:v>2700</x:v>
      </x:c>
      <x:c r="K923" s="17" t="n">
        <x:f>I923+J923</x:f>
        <x:v>17700</x:v>
      </x:c>
    </x:row>
    <x:row r="924" ht="46" customHeight="1">
      <x:c r="A924" s="2" t="str">
        <x:v>Indicative size</x:v>
      </x:c>
      <x:c r="B924" s="2" t="str">
        <x:v>Mixed business audience</x:v>
      </x:c>
      <x:c r="C924" s="12" t="str">
        <x:v>Mumbai</x:v>
      </x:c>
      <x:c r="D924" s="12" t="str">
        <x:v>MAIN-310</x:v>
      </x:c>
      <x:c r="E924" s="12" t="str">
        <x:v>Centrum IT Park</x:v>
      </x:c>
      <x:c r="F924" s="11" t="n">
        <x:v>2</x:v>
      </x:c>
      <x:c r="G924" s="11" t="n">
        <x:v>2</x:v>
      </x:c>
      <x:c r="H924" s="11" t="n">
        <x:v>0</x:v>
      </x:c>
      <x:c r="I924" s="17" t="n">
        <x:f>INDEX('Costing'!$P$9:$P$492,MATCH(D924,'Costing'!$A$9:$A$492,0))</x:f>
        <x:v>80000</x:v>
      </x:c>
      <x:c r="J924" s="17" t="n">
        <x:f>ROUND(I924*'Costing'!$C$4,2)</x:f>
        <x:v>14400</x:v>
      </x:c>
      <x:c r="K924" s="17" t="n">
        <x:f>I924+J924</x:f>
        <x:v>94400</x:v>
      </x:c>
    </x:row>
    <x:row r="925" ht="46" customHeight="1">
      <x:c r="A925" s="2" t="str">
        <x:v>Indicative size</x:v>
      </x:c>
      <x:c r="B925" s="2" t="str">
        <x:v>Mixed business audience</x:v>
      </x:c>
      <x:c r="C925" s="12" t="str">
        <x:v>Mumbai</x:v>
      </x:c>
      <x:c r="D925" s="12" t="str">
        <x:v>MAIN-311</x:v>
      </x:c>
      <x:c r="E925" s="12" t="str">
        <x:v>Centrum IT Park</x:v>
      </x:c>
      <x:c r="F925" s="11" t="n">
        <x:v>12</x:v>
      </x:c>
      <x:c r="G925" s="11" t="n">
        <x:v>12</x:v>
      </x:c>
      <x:c r="H925" s="11" t="n">
        <x:v>0</x:v>
      </x:c>
      <x:c r="I925" s="17" t="n">
        <x:f>INDEX('Costing'!$P$9:$P$492,MATCH(D925,'Costing'!$A$9:$A$492,0))</x:f>
        <x:v>180000</x:v>
      </x:c>
      <x:c r="J925" s="17" t="n">
        <x:f>ROUND(I925*'Costing'!$C$4,2)</x:f>
        <x:v>32400</x:v>
      </x:c>
      <x:c r="K925" s="17" t="n">
        <x:f>I925+J925</x:f>
        <x:v>212400</x:v>
      </x:c>
    </x:row>
    <x:row r="926" ht="46" customHeight="1">
      <x:c r="A926" s="2" t="str">
        <x:v>Indicative size</x:v>
      </x:c>
      <x:c r="B926" s="2" t="str">
        <x:v>Mixed business audience</x:v>
      </x:c>
      <x:c r="C926" s="12" t="str">
        <x:v>Mumbai</x:v>
      </x:c>
      <x:c r="D926" s="12" t="str">
        <x:v>MAIN-312</x:v>
      </x:c>
      <x:c r="E926" s="12" t="str">
        <x:v>Deekay Tech Park</x:v>
      </x:c>
      <x:c r="F926" s="11" t="n">
        <x:v>6</x:v>
      </x:c>
      <x:c r="G926" s="11" t="n">
        <x:v>6</x:v>
      </x:c>
      <x:c r="H926" s="11" t="n">
        <x:v>0</x:v>
      </x:c>
      <x:c r="I926" s="17" t="n">
        <x:f>INDEX('Costing'!$P$9:$P$492,MATCH(D926,'Costing'!$A$9:$A$492,0))</x:f>
        <x:v>90000</x:v>
      </x:c>
      <x:c r="J926" s="17" t="n">
        <x:f>ROUND(I926*'Costing'!$C$4,2)</x:f>
        <x:v>16200</x:v>
      </x:c>
      <x:c r="K926" s="17" t="n">
        <x:f>I926+J926</x:f>
        <x:v>106200</x:v>
      </x:c>
    </x:row>
    <x:row r="927" ht="46" customHeight="1">
      <x:c r="A927" s="2" t="str">
        <x:v>Indicative size</x:v>
      </x:c>
      <x:c r="B927" s="2" t="str">
        <x:v>Mixed business audience</x:v>
      </x:c>
      <x:c r="C927" s="12" t="str">
        <x:v>Mumbai</x:v>
      </x:c>
      <x:c r="D927" s="12" t="str">
        <x:v>MAIN-313</x:v>
      </x:c>
      <x:c r="E927" s="12" t="str">
        <x:v>Everest Nirwana</x:v>
      </x:c>
      <x:c r="F927" s="11" t="n">
        <x:v>21</x:v>
      </x:c>
      <x:c r="G927" s="11" t="n">
        <x:v>21</x:v>
      </x:c>
      <x:c r="H927" s="11" t="n">
        <x:v>0</x:v>
      </x:c>
      <x:c r="I927" s="17" t="n">
        <x:f>INDEX('Costing'!$P$9:$P$492,MATCH(D927,'Costing'!$A$9:$A$492,0))</x:f>
        <x:v>315000</x:v>
      </x:c>
      <x:c r="J927" s="17" t="n">
        <x:f>ROUND(I927*'Costing'!$C$4,2)</x:f>
        <x:v>56700</x:v>
      </x:c>
      <x:c r="K927" s="17" t="n">
        <x:f>I927+J927</x:f>
        <x:v>371700</x:v>
      </x:c>
    </x:row>
    <x:row r="928" ht="46" customHeight="1">
      <x:c r="A928" s="2" t="str">
        <x:v>Indicative size</x:v>
      </x:c>
      <x:c r="B928" s="2" t="str">
        <x:v>Mixed business audience</x:v>
      </x:c>
      <x:c r="C928" s="12" t="str">
        <x:v>Mumbai</x:v>
      </x:c>
      <x:c r="D928" s="12" t="str">
        <x:v>MAIN-314</x:v>
      </x:c>
      <x:c r="E928" s="12" t="str">
        <x:v>Fitness Kingdom Golds</x:v>
      </x:c>
      <x:c r="F928" s="11" t="n">
        <x:v>2</x:v>
      </x:c>
      <x:c r="G928" s="11" t="n">
        <x:v>2</x:v>
      </x:c>
      <x:c r="H928" s="11" t="n">
        <x:v>0</x:v>
      </x:c>
      <x:c r="I928" s="17" t="n">
        <x:f>INDEX('Costing'!$P$9:$P$492,MATCH(D928,'Costing'!$A$9:$A$492,0))</x:f>
        <x:v>30000</x:v>
      </x:c>
      <x:c r="J928" s="17" t="n">
        <x:f>ROUND(I928*'Costing'!$C$4,2)</x:f>
        <x:v>5400</x:v>
      </x:c>
      <x:c r="K928" s="17" t="n">
        <x:f>I928+J928</x:f>
        <x:v>35400</x:v>
      </x:c>
    </x:row>
    <x:row r="929" ht="46" customHeight="1">
      <x:c r="A929" s="2" t="str">
        <x:v>Indicative size</x:v>
      </x:c>
      <x:c r="B929" s="2" t="str">
        <x:v>Mixed business audience</x:v>
      </x:c>
      <x:c r="C929" s="12" t="str">
        <x:v>Mumbai</x:v>
      </x:c>
      <x:c r="D929" s="12" t="str">
        <x:v>MAIN-315</x:v>
      </x:c>
      <x:c r="E929" s="12" t="str">
        <x:v>Fitness Kingdom Platinum</x:v>
      </x:c>
      <x:c r="F929" s="11" t="n">
        <x:v>3</x:v>
      </x:c>
      <x:c r="G929" s="11" t="n">
        <x:v>3</x:v>
      </x:c>
      <x:c r="H929" s="11" t="n">
        <x:v>0</x:v>
      </x:c>
      <x:c r="I929" s="17" t="n">
        <x:f>INDEX('Costing'!$P$9:$P$492,MATCH(D929,'Costing'!$A$9:$A$492,0))</x:f>
        <x:v>45000</x:v>
      </x:c>
      <x:c r="J929" s="17" t="n">
        <x:f>ROUND(I929*'Costing'!$C$4,2)</x:f>
        <x:v>8100</x:v>
      </x:c>
      <x:c r="K929" s="17" t="n">
        <x:f>I929+J929</x:f>
        <x:v>53100</x:v>
      </x:c>
    </x:row>
    <x:row r="930" ht="46" customHeight="1">
      <x:c r="A930" s="2" t="str">
        <x:v>Indicative size</x:v>
      </x:c>
      <x:c r="B930" s="2" t="str">
        <x:v>Mixed business audience</x:v>
      </x:c>
      <x:c r="C930" s="12" t="str">
        <x:v>Mumbai</x:v>
      </x:c>
      <x:c r="D930" s="12" t="str">
        <x:v>MAIN-316</x:v>
      </x:c>
      <x:c r="E930" s="12" t="str">
        <x:v>Fleet House Global Park</x:v>
      </x:c>
      <x:c r="F930" s="11" t="n">
        <x:v>2</x:v>
      </x:c>
      <x:c r="G930" s="11" t="n">
        <x:v>2</x:v>
      </x:c>
      <x:c r="H930" s="11" t="n">
        <x:v>0</x:v>
      </x:c>
      <x:c r="I930" s="17" t="n">
        <x:f>INDEX('Costing'!$P$9:$P$492,MATCH(D930,'Costing'!$A$9:$A$492,0))</x:f>
        <x:v>40000</x:v>
      </x:c>
      <x:c r="J930" s="17" t="n">
        <x:f>ROUND(I930*'Costing'!$C$4,2)</x:f>
        <x:v>7200</x:v>
      </x:c>
      <x:c r="K930" s="17" t="n">
        <x:f>I930+J930</x:f>
        <x:v>47200</x:v>
      </x:c>
    </x:row>
    <x:row r="931" ht="46" customHeight="1">
      <x:c r="A931" s="2" t="str">
        <x:v>Indicative size</x:v>
      </x:c>
      <x:c r="B931" s="2" t="str">
        <x:v>Mixed business audience</x:v>
      </x:c>
      <x:c r="C931" s="12" t="str">
        <x:v>Mumbai</x:v>
      </x:c>
      <x:c r="D931" s="12" t="str">
        <x:v>MAIN-317</x:v>
      </x:c>
      <x:c r="E931" s="12" t="str">
        <x:v>GigaPlex</x:v>
      </x:c>
      <x:c r="F931" s="11" t="n">
        <x:v>1</x:v>
      </x:c>
      <x:c r="G931" s="11" t="n">
        <x:v>1</x:v>
      </x:c>
      <x:c r="H931" s="11" t="n">
        <x:v>0</x:v>
      </x:c>
      <x:c r="I931" s="17" t="n">
        <x:f>INDEX('Costing'!$P$9:$P$492,MATCH(D931,'Costing'!$A$9:$A$492,0))</x:f>
        <x:v>40000</x:v>
      </x:c>
      <x:c r="J931" s="17" t="n">
        <x:f>ROUND(I931*'Costing'!$C$4,2)</x:f>
        <x:v>7200</x:v>
      </x:c>
      <x:c r="K931" s="17" t="n">
        <x:f>I931+J931</x:f>
        <x:v>47200</x:v>
      </x:c>
    </x:row>
    <x:row r="932" ht="46" customHeight="1">
      <x:c r="A932" s="2" t="str">
        <x:v>Indicative size</x:v>
      </x:c>
      <x:c r="B932" s="2" t="str">
        <x:v>Mixed business audience</x:v>
      </x:c>
      <x:c r="C932" s="12" t="str">
        <x:v>Mumbai</x:v>
      </x:c>
      <x:c r="D932" s="12" t="str">
        <x:v>MAIN-318</x:v>
      </x:c>
      <x:c r="E932" s="12" t="str">
        <x:v>Kaledonia (Redbrick Offices)</x:v>
      </x:c>
      <x:c r="F932" s="11" t="n">
        <x:v>2</x:v>
      </x:c>
      <x:c r="G932" s="11" t="n">
        <x:v>2</x:v>
      </x:c>
      <x:c r="H932" s="11" t="n">
        <x:v>0</x:v>
      </x:c>
      <x:c r="I932" s="17" t="n">
        <x:f>INDEX('Costing'!$P$9:$P$492,MATCH(D932,'Costing'!$A$9:$A$492,0))</x:f>
        <x:v>30000</x:v>
      </x:c>
      <x:c r="J932" s="17" t="n">
        <x:f>ROUND(I932*'Costing'!$C$4,2)</x:f>
        <x:v>5400</x:v>
      </x:c>
      <x:c r="K932" s="17" t="n">
        <x:f>I932+J932</x:f>
        <x:v>35400</x:v>
      </x:c>
    </x:row>
    <x:row r="933" ht="46" customHeight="1">
      <x:c r="A933" s="2" t="str">
        <x:v>Indicative size</x:v>
      </x:c>
      <x:c r="B933" s="2" t="str">
        <x:v>Mixed business audience</x:v>
      </x:c>
      <x:c r="C933" s="12" t="str">
        <x:v>Mumbai</x:v>
      </x:c>
      <x:c r="D933" s="12" t="str">
        <x:v>MAIN-319</x:v>
      </x:c>
      <x:c r="E933" s="12" t="str">
        <x:v>Kalpataru Prime (Redbrick Offices)</x:v>
      </x:c>
      <x:c r="F933" s="11" t="n">
        <x:v>1</x:v>
      </x:c>
      <x:c r="G933" s="11" t="n">
        <x:v>1</x:v>
      </x:c>
      <x:c r="H933" s="11" t="n">
        <x:v>0</x:v>
      </x:c>
      <x:c r="I933" s="17" t="n">
        <x:f>INDEX('Costing'!$P$9:$P$492,MATCH(D933,'Costing'!$A$9:$A$492,0))</x:f>
        <x:v>15000</x:v>
      </x:c>
      <x:c r="J933" s="17" t="n">
        <x:f>ROUND(I933*'Costing'!$C$4,2)</x:f>
        <x:v>2700</x:v>
      </x:c>
      <x:c r="K933" s="17" t="n">
        <x:f>I933+J933</x:f>
        <x:v>17700</x:v>
      </x:c>
    </x:row>
    <x:row r="934" ht="46" customHeight="1">
      <x:c r="A934" s="2" t="str">
        <x:v>Indicative size</x:v>
      </x:c>
      <x:c r="B934" s="2" t="str">
        <x:v>Mixed business audience</x:v>
      </x:c>
      <x:c r="C934" s="12" t="str">
        <x:v>Mumbai</x:v>
      </x:c>
      <x:c r="D934" s="12" t="str">
        <x:v>MAIN-321</x:v>
      </x:c>
      <x:c r="E934" s="12" t="str">
        <x:v>Lodha Ithink (Redbrick Offices)</x:v>
      </x:c>
      <x:c r="F934" s="11" t="n">
        <x:v>1</x:v>
      </x:c>
      <x:c r="G934" s="11" t="n">
        <x:v>1</x:v>
      </x:c>
      <x:c r="H934" s="11" t="n">
        <x:v>0</x:v>
      </x:c>
      <x:c r="I934" s="17" t="n">
        <x:f>INDEX('Costing'!$P$9:$P$492,MATCH(D934,'Costing'!$A$9:$A$492,0))</x:f>
        <x:v>15000</x:v>
      </x:c>
      <x:c r="J934" s="17" t="n">
        <x:f>ROUND(I934*'Costing'!$C$4,2)</x:f>
        <x:v>2700</x:v>
      </x:c>
      <x:c r="K934" s="17" t="n">
        <x:f>I934+J934</x:f>
        <x:v>17700</x:v>
      </x:c>
    </x:row>
    <x:row r="935" ht="46" customHeight="1">
      <x:c r="A935" s="2" t="str">
        <x:v>Indicative size</x:v>
      </x:c>
      <x:c r="B935" s="2" t="str">
        <x:v>Mixed business audience</x:v>
      </x:c>
      <x:c r="C935" s="12" t="str">
        <x:v>Mumbai</x:v>
      </x:c>
      <x:c r="D935" s="12" t="str">
        <x:v>MAIN-323</x:v>
      </x:c>
      <x:c r="E935" s="12" t="str">
        <x:v>Mumbai - BKC</x:v>
      </x:c>
      <x:c r="F935" s="11" t="n">
        <x:v>1</x:v>
      </x:c>
      <x:c r="G935" s="11" t="n">
        <x:v>1</x:v>
      </x:c>
      <x:c r="H935" s="11" t="n">
        <x:v>0</x:v>
      </x:c>
      <x:c r="I935" s="17" t="n">
        <x:f>INDEX('Costing'!$P$9:$P$492,MATCH(D935,'Costing'!$A$9:$A$492,0))</x:f>
        <x:v>15000</x:v>
      </x:c>
      <x:c r="J935" s="17" t="n">
        <x:f>ROUND(I935*'Costing'!$C$4,2)</x:f>
        <x:v>2700</x:v>
      </x:c>
      <x:c r="K935" s="17" t="n">
        <x:f>I935+J935</x:f>
        <x:v>17700</x:v>
      </x:c>
    </x:row>
    <x:row r="936" ht="46" customHeight="1">
      <x:c r="A936" s="2" t="str">
        <x:v>Indicative size</x:v>
      </x:c>
      <x:c r="B936" s="2" t="str">
        <x:v>Mixed business audience</x:v>
      </x:c>
      <x:c r="C936" s="12" t="str">
        <x:v>Mumbai</x:v>
      </x:c>
      <x:c r="D936" s="12" t="str">
        <x:v>MAIN-324</x:v>
      </x:c>
      <x:c r="E936" s="12" t="str">
        <x:v>NMS Titanium</x:v>
      </x:c>
      <x:c r="F936" s="11" t="n">
        <x:v>5</x:v>
      </x:c>
      <x:c r="G936" s="11" t="n">
        <x:v>5</x:v>
      </x:c>
      <x:c r="H936" s="11" t="n">
        <x:v>0</x:v>
      </x:c>
      <x:c r="I936" s="17" t="n">
        <x:f>INDEX('Costing'!$P$9:$P$492,MATCH(D936,'Costing'!$A$9:$A$492,0))</x:f>
        <x:v>162500</x:v>
      </x:c>
      <x:c r="J936" s="17" t="n">
        <x:f>ROUND(I936*'Costing'!$C$4,2)</x:f>
        <x:v>29250</x:v>
      </x:c>
      <x:c r="K936" s="17" t="n">
        <x:f>I936+J936</x:f>
        <x:v>191750</x:v>
      </x:c>
    </x:row>
    <x:row r="937" ht="46" customHeight="1">
      <x:c r="A937" s="2" t="str">
        <x:v>Indicative size</x:v>
      </x:c>
      <x:c r="B937" s="2" t="str">
        <x:v>Mixed business audience</x:v>
      </x:c>
      <x:c r="C937" s="12" t="str">
        <x:v>Mumbai</x:v>
      </x:c>
      <x:c r="D937" s="12" t="str">
        <x:v>MAIN-325</x:v>
      </x:c>
      <x:c r="E937" s="12" t="str">
        <x:v>Nucleus - One BKC</x:v>
      </x:c>
      <x:c r="F937" s="11" t="n">
        <x:v>2</x:v>
      </x:c>
      <x:c r="G937" s="11" t="n">
        <x:v>2</x:v>
      </x:c>
      <x:c r="H937" s="11" t="n">
        <x:v>0</x:v>
      </x:c>
      <x:c r="I937" s="17" t="n">
        <x:f>INDEX('Costing'!$P$9:$P$492,MATCH(D937,'Costing'!$A$9:$A$492,0))</x:f>
        <x:v>80000</x:v>
      </x:c>
      <x:c r="J937" s="17" t="n">
        <x:f>ROUND(I937*'Costing'!$C$4,2)</x:f>
        <x:v>14400</x:v>
      </x:c>
      <x:c r="K937" s="17" t="n">
        <x:f>I937+J937</x:f>
        <x:v>94400</x:v>
      </x:c>
    </x:row>
    <x:row r="938" ht="46" customHeight="1">
      <x:c r="A938" s="2" t="str">
        <x:v>Indicative size</x:v>
      </x:c>
      <x:c r="B938" s="2" t="str">
        <x:v>Mixed business audience</x:v>
      </x:c>
      <x:c r="C938" s="12" t="str">
        <x:v>Mumbai</x:v>
      </x:c>
      <x:c r="D938" s="12" t="str">
        <x:v>MAIN-326</x:v>
      </x:c>
      <x:c r="E938" s="12" t="str">
        <x:v>Nucleus - One International Center</x:v>
      </x:c>
      <x:c r="F938" s="11" t="n">
        <x:v>9</x:v>
      </x:c>
      <x:c r="G938" s="11" t="n">
        <x:v>9</x:v>
      </x:c>
      <x:c r="H938" s="11" t="n">
        <x:v>0</x:v>
      </x:c>
      <x:c r="I938" s="17" t="n">
        <x:f>INDEX('Costing'!$P$9:$P$492,MATCH(D938,'Costing'!$A$9:$A$492,0))</x:f>
        <x:v>360000</x:v>
      </x:c>
      <x:c r="J938" s="17" t="n">
        <x:f>ROUND(I938*'Costing'!$C$4,2)</x:f>
        <x:v>64800</x:v>
      </x:c>
      <x:c r="K938" s="17" t="n">
        <x:f>I938+J938</x:f>
        <x:v>424800</x:v>
      </x:c>
    </x:row>
    <x:row r="939" ht="46" customHeight="1">
      <x:c r="A939" s="2" t="str">
        <x:v>Indicative size</x:v>
      </x:c>
      <x:c r="B939" s="2" t="str">
        <x:v>Mixed business audience</x:v>
      </x:c>
      <x:c r="C939" s="12" t="str">
        <x:v>Mumbai</x:v>
      </x:c>
      <x:c r="D939" s="12" t="str">
        <x:v>MAIN-327</x:v>
      </x:c>
      <x:c r="E939" s="12" t="str">
        <x:v>Nucleus - One World Center</x:v>
      </x:c>
      <x:c r="F939" s="11" t="n">
        <x:v>8</x:v>
      </x:c>
      <x:c r="G939" s="11" t="n">
        <x:v>8</x:v>
      </x:c>
      <x:c r="H939" s="11" t="n">
        <x:v>0</x:v>
      </x:c>
      <x:c r="I939" s="17" t="n">
        <x:f>INDEX('Costing'!$P$9:$P$492,MATCH(D939,'Costing'!$A$9:$A$492,0))</x:f>
        <x:v>320000</x:v>
      </x:c>
      <x:c r="J939" s="17" t="n">
        <x:f>ROUND(I939*'Costing'!$C$4,2)</x:f>
        <x:v>57600</x:v>
      </x:c>
      <x:c r="K939" s="17" t="n">
        <x:f>I939+J939</x:f>
        <x:v>377600</x:v>
      </x:c>
    </x:row>
    <x:row r="940" ht="46" customHeight="1">
      <x:c r="A940" s="2" t="str">
        <x:v>Indicative size</x:v>
      </x:c>
      <x:c r="B940" s="2" t="str">
        <x:v>Mixed business audience</x:v>
      </x:c>
      <x:c r="C940" s="12" t="str">
        <x:v>Mumbai</x:v>
      </x:c>
      <x:c r="D940" s="12" t="str">
        <x:v>MAIN-328</x:v>
      </x:c>
      <x:c r="E940" s="12" t="str">
        <x:v>Nucleus - Prima Bay</x:v>
      </x:c>
      <x:c r="F940" s="11" t="n">
        <x:v>3</x:v>
      </x:c>
      <x:c r="G940" s="11" t="n">
        <x:v>3</x:v>
      </x:c>
      <x:c r="H940" s="11" t="n">
        <x:v>0</x:v>
      </x:c>
      <x:c r="I940" s="17" t="n">
        <x:f>INDEX('Costing'!$P$9:$P$492,MATCH(D940,'Costing'!$A$9:$A$492,0))</x:f>
        <x:v>120000</x:v>
      </x:c>
      <x:c r="J940" s="17" t="n">
        <x:f>ROUND(I940*'Costing'!$C$4,2)</x:f>
        <x:v>21600</x:v>
      </x:c>
      <x:c r="K940" s="17" t="n">
        <x:f>I940+J940</x:f>
        <x:v>141600</x:v>
      </x:c>
    </x:row>
    <x:row r="941" ht="46" customHeight="1">
      <x:c r="A941" s="2" t="str">
        <x:v>Indicative size</x:v>
      </x:c>
      <x:c r="B941" s="2" t="str">
        <x:v>Mixed business audience</x:v>
      </x:c>
      <x:c r="C941" s="12" t="str">
        <x:v>Mumbai</x:v>
      </x:c>
      <x:c r="D941" s="12" t="str">
        <x:v>MAIN-330</x:v>
      </x:c>
      <x:c r="E941" s="12" t="str">
        <x:v>Oberoi Commerz-III</x:v>
      </x:c>
      <x:c r="F941" s="11" t="n">
        <x:v>1</x:v>
      </x:c>
      <x:c r="G941" s="11" t="n">
        <x:v>1</x:v>
      </x:c>
      <x:c r="H941" s="11" t="n">
        <x:v>0</x:v>
      </x:c>
      <x:c r="I941" s="17" t="n">
        <x:f>INDEX('Costing'!$P$9:$P$492,MATCH(D941,'Costing'!$A$9:$A$492,0))</x:f>
        <x:v>40000</x:v>
      </x:c>
      <x:c r="J941" s="17" t="n">
        <x:f>ROUND(I941*'Costing'!$C$4,2)</x:f>
        <x:v>7200</x:v>
      </x:c>
      <x:c r="K941" s="17" t="n">
        <x:f>I941+J941</x:f>
        <x:v>47200</x:v>
      </x:c>
    </x:row>
    <x:row r="942" ht="46" customHeight="1">
      <x:c r="A942" s="2" t="str">
        <x:v>Indicative size</x:v>
      </x:c>
      <x:c r="B942" s="2" t="str">
        <x:v>Mixed business audience</x:v>
      </x:c>
      <x:c r="C942" s="12" t="str">
        <x:v>Mumbai</x:v>
      </x:c>
      <x:c r="D942" s="12" t="str">
        <x:v>MAIN-331</x:v>
      </x:c>
      <x:c r="E942" s="12" t="str">
        <x:v>One World Centre (Redbrick Offices)</x:v>
      </x:c>
      <x:c r="F942" s="11" t="n">
        <x:v>1</x:v>
      </x:c>
      <x:c r="G942" s="11" t="n">
        <x:v>1</x:v>
      </x:c>
      <x:c r="H942" s="11" t="n">
        <x:v>0</x:v>
      </x:c>
      <x:c r="I942" s="17" t="n">
        <x:f>INDEX('Costing'!$P$9:$P$492,MATCH(D942,'Costing'!$A$9:$A$492,0))</x:f>
        <x:v>15000</x:v>
      </x:c>
      <x:c r="J942" s="17" t="n">
        <x:f>ROUND(I942*'Costing'!$C$4,2)</x:f>
        <x:v>2700</x:v>
      </x:c>
      <x:c r="K942" s="17" t="n">
        <x:f>I942+J942</x:f>
        <x:v>17700</x:v>
      </x:c>
    </x:row>
    <x:row r="943" ht="46" customHeight="1">
      <x:c r="A943" s="2" t="str">
        <x:v>Indicative size</x:v>
      </x:c>
      <x:c r="B943" s="2" t="str">
        <x:v>Mixed business audience</x:v>
      </x:c>
      <x:c r="C943" s="12" t="str">
        <x:v>Mumbai</x:v>
      </x:c>
      <x:c r="D943" s="12" t="str">
        <x:v>MAIN-332</x:v>
      </x:c>
      <x:c r="E943" s="12" t="str">
        <x:v>Oyo Workspace - Solitaire</x:v>
      </x:c>
      <x:c r="F943" s="11" t="n">
        <x:v>3</x:v>
      </x:c>
      <x:c r="G943" s="11" t="n">
        <x:v>3</x:v>
      </x:c>
      <x:c r="H943" s="11" t="n">
        <x:v>0</x:v>
      </x:c>
      <x:c r="I943" s="17" t="n">
        <x:f>INDEX('Costing'!$P$9:$P$492,MATCH(D943,'Costing'!$A$9:$A$492,0))</x:f>
        <x:v>45000</x:v>
      </x:c>
      <x:c r="J943" s="17" t="n">
        <x:f>ROUND(I943*'Costing'!$C$4,2)</x:f>
        <x:v>8100</x:v>
      </x:c>
      <x:c r="K943" s="17" t="n">
        <x:f>I943+J943</x:f>
        <x:v>53100</x:v>
      </x:c>
    </x:row>
    <x:row r="944" ht="46" customHeight="1">
      <x:c r="A944" s="2" t="str">
        <x:v>Indicative size</x:v>
      </x:c>
      <x:c r="B944" s="2" t="str">
        <x:v>Mixed business audience</x:v>
      </x:c>
      <x:c r="C944" s="12" t="str">
        <x:v>Mumbai</x:v>
      </x:c>
      <x:c r="D944" s="12" t="str">
        <x:v>MAIN-333</x:v>
      </x:c>
      <x:c r="E944" s="12" t="str">
        <x:v>Oyo Workspace - Time Square</x:v>
      </x:c>
      <x:c r="F944" s="11" t="n">
        <x:v>1</x:v>
      </x:c>
      <x:c r="G944" s="11" t="n">
        <x:v>1</x:v>
      </x:c>
      <x:c r="H944" s="11" t="n">
        <x:v>0</x:v>
      </x:c>
      <x:c r="I944" s="17" t="n">
        <x:f>INDEX('Costing'!$P$9:$P$492,MATCH(D944,'Costing'!$A$9:$A$492,0))</x:f>
        <x:v>15000</x:v>
      </x:c>
      <x:c r="J944" s="17" t="n">
        <x:f>ROUND(I944*'Costing'!$C$4,2)</x:f>
        <x:v>2700</x:v>
      </x:c>
      <x:c r="K944" s="17" t="n">
        <x:f>I944+J944</x:f>
        <x:v>17700</x:v>
      </x:c>
    </x:row>
    <x:row r="945" ht="46" customHeight="1">
      <x:c r="A945" s="2" t="str">
        <x:v>Indicative size</x:v>
      </x:c>
      <x:c r="B945" s="2" t="str">
        <x:v>Mixed business audience</x:v>
      </x:c>
      <x:c r="C945" s="12" t="str">
        <x:v>Mumbai</x:v>
      </x:c>
      <x:c r="D945" s="12" t="str">
        <x:v>MAIN-334</x:v>
      </x:c>
      <x:c r="E945" s="12" t="str">
        <x:v>Paradigm Technology Park</x:v>
      </x:c>
      <x:c r="F945" s="11" t="n">
        <x:v>1</x:v>
      </x:c>
      <x:c r="G945" s="11" t="n">
        <x:v>1</x:v>
      </x:c>
      <x:c r="H945" s="11" t="n">
        <x:v>0</x:v>
      </x:c>
      <x:c r="I945" s="17" t="n">
        <x:f>INDEX('Costing'!$P$9:$P$492,MATCH(D945,'Costing'!$A$9:$A$492,0))</x:f>
        <x:v>20000</x:v>
      </x:c>
      <x:c r="J945" s="17" t="n">
        <x:f>ROUND(I945*'Costing'!$C$4,2)</x:f>
        <x:v>3600</x:v>
      </x:c>
      <x:c r="K945" s="17" t="n">
        <x:f>I945+J945</x:f>
        <x:v>23600</x:v>
      </x:c>
    </x:row>
    <x:row r="946" ht="46" customHeight="1">
      <x:c r="A946" s="2" t="str">
        <x:v>Indicative size</x:v>
      </x:c>
      <x:c r="B946" s="2" t="str">
        <x:v>Mixed business audience</x:v>
      </x:c>
      <x:c r="C946" s="12" t="str">
        <x:v>Mumbai</x:v>
      </x:c>
      <x:c r="D946" s="12" t="str">
        <x:v>MAIN-335</x:v>
      </x:c>
      <x:c r="E946" s="12" t="str">
        <x:v>R Square</x:v>
      </x:c>
      <x:c r="F946" s="11" t="n">
        <x:v>2</x:v>
      </x:c>
      <x:c r="G946" s="11" t="n">
        <x:v>2</x:v>
      </x:c>
      <x:c r="H946" s="11" t="n">
        <x:v>0</x:v>
      </x:c>
      <x:c r="I946" s="17" t="n">
        <x:f>INDEX('Costing'!$P$9:$P$492,MATCH(D946,'Costing'!$A$9:$A$492,0))</x:f>
        <x:v>80000</x:v>
      </x:c>
      <x:c r="J946" s="17" t="n">
        <x:f>ROUND(I946*'Costing'!$C$4,2)</x:f>
        <x:v>14400</x:v>
      </x:c>
      <x:c r="K946" s="17" t="n">
        <x:f>I946+J946</x:f>
        <x:v>94400</x:v>
      </x:c>
    </x:row>
    <x:row r="947" ht="46" customHeight="1">
      <x:c r="A947" s="2" t="str">
        <x:v>Indicative size</x:v>
      </x:c>
      <x:c r="B947" s="2" t="str">
        <x:v>Mixed business audience</x:v>
      </x:c>
      <x:c r="C947" s="12" t="str">
        <x:v>Mumbai</x:v>
      </x:c>
      <x:c r="D947" s="12" t="str">
        <x:v>MAIN-337</x:v>
      </x:c>
      <x:c r="E947" s="12" t="str">
        <x:v>Raheja Mindspace IT Park - Airoli East</x:v>
      </x:c>
      <x:c r="F947" s="11" t="n">
        <x:v>12</x:v>
      </x:c>
      <x:c r="G947" s="11" t="n">
        <x:v>12</x:v>
      </x:c>
      <x:c r="H947" s="11" t="n">
        <x:v>0</x:v>
      </x:c>
      <x:c r="I947" s="17" t="n">
        <x:f>INDEX('Costing'!$P$9:$P$492,MATCH(D947,'Costing'!$A$9:$A$492,0))</x:f>
        <x:v>390000</x:v>
      </x:c>
      <x:c r="J947" s="17" t="n">
        <x:f>ROUND(I947*'Costing'!$C$4,2)</x:f>
        <x:v>70200</x:v>
      </x:c>
      <x:c r="K947" s="17" t="n">
        <x:f>I947+J947</x:f>
        <x:v>460200</x:v>
      </x:c>
    </x:row>
    <x:row r="948" ht="46" customHeight="1">
      <x:c r="A948" s="2" t="str">
        <x:v>Indicative size</x:v>
      </x:c>
      <x:c r="B948" s="2" t="str">
        <x:v>Mixed business audience</x:v>
      </x:c>
      <x:c r="C948" s="12" t="str">
        <x:v>Mumbai</x:v>
      </x:c>
      <x:c r="D948" s="12" t="str">
        <x:v>MAIN-338</x:v>
      </x:c>
      <x:c r="E948" s="12" t="str">
        <x:v>Raheja Mindspaces - Airoli West</x:v>
      </x:c>
      <x:c r="F948" s="11" t="n">
        <x:v>5</x:v>
      </x:c>
      <x:c r="G948" s="11" t="n">
        <x:v>5</x:v>
      </x:c>
      <x:c r="H948" s="11" t="n">
        <x:v>0</x:v>
      </x:c>
      <x:c r="I948" s="17" t="n">
        <x:f>INDEX('Costing'!$P$9:$P$492,MATCH(D948,'Costing'!$A$9:$A$492,0))</x:f>
        <x:v>200000</x:v>
      </x:c>
      <x:c r="J948" s="17" t="n">
        <x:f>ROUND(I948*'Costing'!$C$4,2)</x:f>
        <x:v>36000</x:v>
      </x:c>
      <x:c r="K948" s="17" t="n">
        <x:f>I948+J948</x:f>
        <x:v>236000</x:v>
      </x:c>
    </x:row>
    <x:row r="949" ht="46" customHeight="1">
      <x:c r="A949" s="2" t="str">
        <x:v>Indicative size</x:v>
      </x:c>
      <x:c r="B949" s="2" t="str">
        <x:v>Mixed business audience</x:v>
      </x:c>
      <x:c r="C949" s="12" t="str">
        <x:v>Mumbai</x:v>
      </x:c>
      <x:c r="D949" s="12" t="str">
        <x:v>MAIN-339</x:v>
      </x:c>
      <x:c r="E949" s="12" t="str">
        <x:v>Raheja Mindspaces - Ascent</x:v>
      </x:c>
      <x:c r="F949" s="11" t="n">
        <x:v>2</x:v>
      </x:c>
      <x:c r="G949" s="11" t="n">
        <x:v>2</x:v>
      </x:c>
      <x:c r="H949" s="11" t="n">
        <x:v>0</x:v>
      </x:c>
      <x:c r="I949" s="17" t="n">
        <x:f>INDEX('Costing'!$P$9:$P$492,MATCH(D949,'Costing'!$A$9:$A$492,0))</x:f>
        <x:v>80000</x:v>
      </x:c>
      <x:c r="J949" s="17" t="n">
        <x:f>ROUND(I949*'Costing'!$C$4,2)</x:f>
        <x:v>14400</x:v>
      </x:c>
      <x:c r="K949" s="17" t="n">
        <x:f>I949+J949</x:f>
        <x:v>94400</x:v>
      </x:c>
    </x:row>
    <x:row r="950" ht="46" customHeight="1">
      <x:c r="A950" s="2" t="str">
        <x:v>Indicative size</x:v>
      </x:c>
      <x:c r="B950" s="2" t="str">
        <x:v>Mixed business audience</x:v>
      </x:c>
      <x:c r="C950" s="12" t="str">
        <x:v>Mumbai</x:v>
      </x:c>
      <x:c r="D950" s="12" t="str">
        <x:v>MAIN-340</x:v>
      </x:c>
      <x:c r="E950" s="12" t="str">
        <x:v>Raheja Mindspaces - Juinagar</x:v>
      </x:c>
      <x:c r="F950" s="11" t="n">
        <x:v>3</x:v>
      </x:c>
      <x:c r="G950" s="11" t="n">
        <x:v>3</x:v>
      </x:c>
      <x:c r="H950" s="11" t="n">
        <x:v>0</x:v>
      </x:c>
      <x:c r="I950" s="17" t="n">
        <x:f>INDEX('Costing'!$P$9:$P$492,MATCH(D950,'Costing'!$A$9:$A$492,0))</x:f>
        <x:v>120000</x:v>
      </x:c>
      <x:c r="J950" s="17" t="n">
        <x:f>ROUND(I950*'Costing'!$C$4,2)</x:f>
        <x:v>21600</x:v>
      </x:c>
      <x:c r="K950" s="17" t="n">
        <x:f>I950+J950</x:f>
        <x:v>141600</x:v>
      </x:c>
    </x:row>
    <x:row r="951" ht="46" customHeight="1">
      <x:c r="A951" s="2" t="str">
        <x:v>Indicative size</x:v>
      </x:c>
      <x:c r="B951" s="2" t="str">
        <x:v>Mixed business audience</x:v>
      </x:c>
      <x:c r="C951" s="12" t="str">
        <x:v>Mumbai</x:v>
      </x:c>
      <x:c r="D951" s="12" t="str">
        <x:v>MAIN-341</x:v>
      </x:c>
      <x:c r="E951" s="12" t="str">
        <x:v>Rupa Renaissance (Redbrick Offices)</x:v>
      </x:c>
      <x:c r="F951" s="11" t="n">
        <x:v>1</x:v>
      </x:c>
      <x:c r="G951" s="11" t="n">
        <x:v>1</x:v>
      </x:c>
      <x:c r="H951" s="11" t="n">
        <x:v>0</x:v>
      </x:c>
      <x:c r="I951" s="17" t="n">
        <x:f>INDEX('Costing'!$P$9:$P$492,MATCH(D951,'Costing'!$A$9:$A$492,0))</x:f>
        <x:v>15000</x:v>
      </x:c>
      <x:c r="J951" s="17" t="n">
        <x:f>ROUND(I951*'Costing'!$C$4,2)</x:f>
        <x:v>2700</x:v>
      </x:c>
      <x:c r="K951" s="17" t="n">
        <x:f>I951+J951</x:f>
        <x:v>17700</x:v>
      </x:c>
    </x:row>
    <x:row r="952" ht="46" customHeight="1">
      <x:c r="A952" s="2" t="str">
        <x:v>Indicative size</x:v>
      </x:c>
      <x:c r="B952" s="2" t="str">
        <x:v>Mixed business audience</x:v>
      </x:c>
      <x:c r="C952" s="12" t="str">
        <x:v>Mumbai</x:v>
      </x:c>
      <x:c r="D952" s="12" t="str">
        <x:v>MAIN-342</x:v>
      </x:c>
      <x:c r="E952" s="12" t="str">
        <x:v>Rustomjee Eaze Zone Mall</x:v>
      </x:c>
      <x:c r="F952" s="11" t="n">
        <x:v>26</x:v>
      </x:c>
      <x:c r="G952" s="11" t="n">
        <x:v>26</x:v>
      </x:c>
      <x:c r="H952" s="11" t="n">
        <x:v>0</x:v>
      </x:c>
      <x:c r="I952" s="17" t="n">
        <x:f>INDEX('Costing'!$P$9:$P$492,MATCH(D952,'Costing'!$A$9:$A$492,0))</x:f>
        <x:v>390000</x:v>
      </x:c>
      <x:c r="J952" s="17" t="n">
        <x:f>ROUND(I952*'Costing'!$C$4,2)</x:f>
        <x:v>70200</x:v>
      </x:c>
      <x:c r="K952" s="17" t="n">
        <x:f>I952+J952</x:f>
        <x:v>460200</x:v>
      </x:c>
    </x:row>
    <x:row r="953" ht="46" customHeight="1">
      <x:c r="A953" s="2" t="str">
        <x:v>Indicative size</x:v>
      </x:c>
      <x:c r="B953" s="2" t="str">
        <x:v>Mixed business audience</x:v>
      </x:c>
      <x:c r="C953" s="12" t="str">
        <x:v>Mumbai</x:v>
      </x:c>
      <x:c r="D953" s="12" t="str">
        <x:v>MAIN-343</x:v>
      </x:c>
      <x:c r="E953" s="12" t="str">
        <x:v>Sagar Tech Plaza A </x:v>
      </x:c>
      <x:c r="F953" s="11" t="n">
        <x:v>2</x:v>
      </x:c>
      <x:c r="G953" s="11" t="n">
        <x:v>2</x:v>
      </x:c>
      <x:c r="H953" s="11" t="n">
        <x:v>0</x:v>
      </x:c>
      <x:c r="I953" s="17" t="n">
        <x:f>INDEX('Costing'!$P$9:$P$492,MATCH(D953,'Costing'!$A$9:$A$492,0))</x:f>
        <x:v>30000</x:v>
      </x:c>
      <x:c r="J953" s="17" t="n">
        <x:f>ROUND(I953*'Costing'!$C$4,2)</x:f>
        <x:v>5400</x:v>
      </x:c>
      <x:c r="K953" s="17" t="n">
        <x:f>I953+J953</x:f>
        <x:v>35400</x:v>
      </x:c>
    </x:row>
    <x:row r="954" ht="46" customHeight="1">
      <x:c r="A954" s="2" t="str">
        <x:v>Indicative size</x:v>
      </x:c>
      <x:c r="B954" s="2" t="str">
        <x:v>Mixed business audience</x:v>
      </x:c>
      <x:c r="C954" s="12" t="str">
        <x:v>Mumbai</x:v>
      </x:c>
      <x:c r="D954" s="12" t="str">
        <x:v>MAIN-344</x:v>
      </x:c>
      <x:c r="E954" s="12" t="str">
        <x:v>Sagar Tech Plaza A {IE}</x:v>
      </x:c>
      <x:c r="F954" s="11" t="n">
        <x:v>3</x:v>
      </x:c>
      <x:c r="G954" s="11" t="n">
        <x:v>3</x:v>
      </x:c>
      <x:c r="H954" s="11" t="n">
        <x:v>0</x:v>
      </x:c>
      <x:c r="I954" s="17" t="n">
        <x:f>INDEX('Costing'!$P$9:$P$492,MATCH(D954,'Costing'!$A$9:$A$492,0))</x:f>
        <x:v>45000</x:v>
      </x:c>
      <x:c r="J954" s="17" t="n">
        <x:f>ROUND(I954*'Costing'!$C$4,2)</x:f>
        <x:v>8100</x:v>
      </x:c>
      <x:c r="K954" s="17" t="n">
        <x:f>I954+J954</x:f>
        <x:v>53100</x:v>
      </x:c>
    </x:row>
    <x:row r="955" ht="46" customHeight="1">
      <x:c r="A955" s="2" t="str">
        <x:v>Indicative size</x:v>
      </x:c>
      <x:c r="B955" s="2" t="str">
        <x:v>Mixed business audience</x:v>
      </x:c>
      <x:c r="C955" s="12" t="str">
        <x:v>Mumbai</x:v>
      </x:c>
      <x:c r="D955" s="12" t="str">
        <x:v>MAIN-345</x:v>
      </x:c>
      <x:c r="E955" s="12" t="str">
        <x:v>Sagar Tech Plaza B </x:v>
      </x:c>
      <x:c r="F955" s="11" t="n">
        <x:v>1</x:v>
      </x:c>
      <x:c r="G955" s="11" t="n">
        <x:v>1</x:v>
      </x:c>
      <x:c r="H955" s="11" t="n">
        <x:v>0</x:v>
      </x:c>
      <x:c r="I955" s="17" t="n">
        <x:f>INDEX('Costing'!$P$9:$P$492,MATCH(D955,'Costing'!$A$9:$A$492,0))</x:f>
        <x:v>15000</x:v>
      </x:c>
      <x:c r="J955" s="17" t="n">
        <x:f>ROUND(I955*'Costing'!$C$4,2)</x:f>
        <x:v>2700</x:v>
      </x:c>
      <x:c r="K955" s="17" t="n">
        <x:f>I955+J955</x:f>
        <x:v>17700</x:v>
      </x:c>
    </x:row>
    <x:row r="956" ht="46" customHeight="1">
      <x:c r="A956" s="2" t="str">
        <x:v>Indicative size</x:v>
      </x:c>
      <x:c r="B956" s="2" t="str">
        <x:v>Mixed business audience</x:v>
      </x:c>
      <x:c r="C956" s="12" t="str">
        <x:v>Mumbai</x:v>
      </x:c>
      <x:c r="D956" s="12" t="str">
        <x:v>MAIN-346</x:v>
      </x:c>
      <x:c r="E956" s="12" t="str">
        <x:v>Sagar Tech Plaza B {IE}</x:v>
      </x:c>
      <x:c r="F956" s="11" t="n">
        <x:v>3</x:v>
      </x:c>
      <x:c r="G956" s="11" t="n">
        <x:v>3</x:v>
      </x:c>
      <x:c r="H956" s="11" t="n">
        <x:v>0</x:v>
      </x:c>
      <x:c r="I956" s="17" t="n">
        <x:f>INDEX('Costing'!$P$9:$P$492,MATCH(D956,'Costing'!$A$9:$A$492,0))</x:f>
        <x:v>45000</x:v>
      </x:c>
      <x:c r="J956" s="17" t="n">
        <x:f>ROUND(I956*'Costing'!$C$4,2)</x:f>
        <x:v>8100</x:v>
      </x:c>
      <x:c r="K956" s="17" t="n">
        <x:f>I956+J956</x:f>
        <x:v>53100</x:v>
      </x:c>
    </x:row>
    <x:row r="957" ht="46" customHeight="1">
      <x:c r="A957" s="2" t="str">
        <x:v>Indicative size</x:v>
      </x:c>
      <x:c r="B957" s="2" t="str">
        <x:v>Mixed business audience</x:v>
      </x:c>
      <x:c r="C957" s="12" t="str">
        <x:v>Mumbai</x:v>
      </x:c>
      <x:c r="D957" s="12" t="str">
        <x:v>MAIN-348</x:v>
      </x:c>
      <x:c r="E957" s="12" t="str">
        <x:v>TEX Centre (Redbrick Offices)</x:v>
      </x:c>
      <x:c r="F957" s="11" t="n">
        <x:v>1</x:v>
      </x:c>
      <x:c r="G957" s="11" t="n">
        <x:v>1</x:v>
      </x:c>
      <x:c r="H957" s="11" t="n">
        <x:v>0</x:v>
      </x:c>
      <x:c r="I957" s="17" t="n">
        <x:f>INDEX('Costing'!$P$9:$P$492,MATCH(D957,'Costing'!$A$9:$A$492,0))</x:f>
        <x:v>15000</x:v>
      </x:c>
      <x:c r="J957" s="17" t="n">
        <x:f>ROUND(I957*'Costing'!$C$4,2)</x:f>
        <x:v>2700</x:v>
      </x:c>
      <x:c r="K957" s="17" t="n">
        <x:f>I957+J957</x:f>
        <x:v>17700</x:v>
      </x:c>
    </x:row>
    <x:row r="958" ht="46" customHeight="1">
      <x:c r="A958" s="2" t="str">
        <x:v>Indicative size</x:v>
      </x:c>
      <x:c r="B958" s="2" t="str">
        <x:v>Mixed business audience</x:v>
      </x:c>
      <x:c r="C958" s="12" t="str">
        <x:v>Mumbai</x:v>
      </x:c>
      <x:c r="D958" s="12" t="str">
        <x:v>MAIN-349</x:v>
      </x:c>
      <x:c r="E958" s="12" t="str">
        <x:v>The Landmark - Kharghar</x:v>
      </x:c>
      <x:c r="F958" s="11" t="n">
        <x:v>10</x:v>
      </x:c>
      <x:c r="G958" s="11" t="n">
        <x:v>10</x:v>
      </x:c>
      <x:c r="H958" s="11" t="n">
        <x:v>0</x:v>
      </x:c>
      <x:c r="I958" s="17" t="n">
        <x:f>INDEX('Costing'!$P$9:$P$492,MATCH(D958,'Costing'!$A$9:$A$492,0))</x:f>
        <x:v>150000</x:v>
      </x:c>
      <x:c r="J958" s="17" t="n">
        <x:f>ROUND(I958*'Costing'!$C$4,2)</x:f>
        <x:v>27000</x:v>
      </x:c>
      <x:c r="K958" s="17" t="n">
        <x:f>I958+J958</x:f>
        <x:v>177000</x:v>
      </x:c>
    </x:row>
    <x:row r="959" ht="46" customHeight="1">
      <x:c r="A959" s="2" t="str">
        <x:v>Indicative size</x:v>
      </x:c>
      <x:c r="B959" s="2" t="str">
        <x:v>Mixed business audience</x:v>
      </x:c>
      <x:c r="C959" s="12" t="str">
        <x:v>Mumbai</x:v>
      </x:c>
      <x:c r="D959" s="12" t="str">
        <x:v>MAIN-350</x:v>
      </x:c>
      <x:c r="E959" s="12" t="str">
        <x:v>The Summit Business Park Premises</x:v>
      </x:c>
      <x:c r="F959" s="11" t="n">
        <x:v>70</x:v>
      </x:c>
      <x:c r="G959" s="11" t="n">
        <x:v>70</x:v>
      </x:c>
      <x:c r="H959" s="11" t="n">
        <x:v>0</x:v>
      </x:c>
      <x:c r="I959" s="17" t="n">
        <x:f>INDEX('Costing'!$P$9:$P$492,MATCH(D959,'Costing'!$A$9:$A$492,0))</x:f>
        <x:v>1050000</x:v>
      </x:c>
      <x:c r="J959" s="17" t="n">
        <x:f>ROUND(I959*'Costing'!$C$4,2)</x:f>
        <x:v>189000</x:v>
      </x:c>
      <x:c r="K959" s="17" t="n">
        <x:f>I959+J959</x:f>
        <x:v>1239000</x:v>
      </x:c>
    </x:row>
    <x:row r="960" ht="46" customHeight="1">
      <x:c r="A960" s="2" t="str">
        <x:v>Indicative size</x:v>
      </x:c>
      <x:c r="B960" s="2" t="str">
        <x:v>Mixed business audience</x:v>
      </x:c>
      <x:c r="C960" s="12" t="str">
        <x:v>Mumbai</x:v>
      </x:c>
      <x:c r="D960" s="12" t="str">
        <x:v>MAIN-351</x:v>
      </x:c>
      <x:c r="E960" s="12" t="str">
        <x:v>The Western Edge 2</x:v>
      </x:c>
      <x:c r="F960" s="11" t="n">
        <x:v>39</x:v>
      </x:c>
      <x:c r="G960" s="11" t="n">
        <x:v>39</x:v>
      </x:c>
      <x:c r="H960" s="11" t="n">
        <x:v>0</x:v>
      </x:c>
      <x:c r="I960" s="17" t="n">
        <x:f>INDEX('Costing'!$P$9:$P$492,MATCH(D960,'Costing'!$A$9:$A$492,0))</x:f>
        <x:v>585000</x:v>
      </x:c>
      <x:c r="J960" s="17" t="n">
        <x:f>ROUND(I960*'Costing'!$C$4,2)</x:f>
        <x:v>105300</x:v>
      </x:c>
      <x:c r="K960" s="17" t="n">
        <x:f>I960+J960</x:f>
        <x:v>690300</x:v>
      </x:c>
    </x:row>
    <x:row r="961" ht="46" customHeight="1">
      <x:c r="A961" s="2" t="str">
        <x:v>Indicative size</x:v>
      </x:c>
      <x:c r="B961" s="2" t="str">
        <x:v>Mixed business audience</x:v>
      </x:c>
      <x:c r="C961" s="12" t="str">
        <x:v>Mumbai</x:v>
      </x:c>
      <x:c r="D961" s="12" t="str">
        <x:v>MAIN-352</x:v>
      </x:c>
      <x:c r="E961" s="12" t="str">
        <x:v>Times Square Tech Park</x:v>
      </x:c>
      <x:c r="F961" s="11" t="n">
        <x:v>4</x:v>
      </x:c>
      <x:c r="G961" s="11" t="n">
        <x:v>4</x:v>
      </x:c>
      <x:c r="H961" s="11" t="n">
        <x:v>0</x:v>
      </x:c>
      <x:c r="I961" s="17" t="n">
        <x:f>INDEX('Costing'!$P$9:$P$492,MATCH(D961,'Costing'!$A$9:$A$492,0))</x:f>
        <x:v>80000</x:v>
      </x:c>
      <x:c r="J961" s="17" t="n">
        <x:f>ROUND(I961*'Costing'!$C$4,2)</x:f>
        <x:v>14400</x:v>
      </x:c>
      <x:c r="K961" s="17" t="n">
        <x:f>I961+J961</x:f>
        <x:v>94400</x:v>
      </x:c>
    </x:row>
    <x:row r="962" ht="46" customHeight="1">
      <x:c r="A962" s="2" t="str">
        <x:v>Indicative size</x:v>
      </x:c>
      <x:c r="B962" s="2" t="str">
        <x:v>Mixed business audience</x:v>
      </x:c>
      <x:c r="C962" s="12" t="str">
        <x:v>Mumbai</x:v>
      </x:c>
      <x:c r="D962" s="12" t="str">
        <x:v>MAIN-353</x:v>
      </x:c>
      <x:c r="E962" s="12" t="str">
        <x:v>WeWork - BKC</x:v>
      </x:c>
      <x:c r="F962" s="11" t="n">
        <x:v>17</x:v>
      </x:c>
      <x:c r="G962" s="11" t="n">
        <x:v>17</x:v>
      </x:c>
      <x:c r="H962" s="11" t="n">
        <x:v>0</x:v>
      </x:c>
      <x:c r="I962" s="17" t="n">
        <x:f>INDEX('Costing'!$P$9:$P$492,MATCH(D962,'Costing'!$A$9:$A$492,0))</x:f>
        <x:v>425000</x:v>
      </x:c>
      <x:c r="J962" s="17" t="n">
        <x:f>ROUND(I962*'Costing'!$C$4,2)</x:f>
        <x:v>76500</x:v>
      </x:c>
      <x:c r="K962" s="17" t="n">
        <x:f>I962+J962</x:f>
        <x:v>501500</x:v>
      </x:c>
    </x:row>
    <x:row r="963" ht="46" customHeight="1">
      <x:c r="A963" s="2" t="str">
        <x:v>Indicative size</x:v>
      </x:c>
      <x:c r="B963" s="2" t="str">
        <x:v>Mixed business audience</x:v>
      </x:c>
      <x:c r="C963" s="12" t="str">
        <x:v>Mumbai</x:v>
      </x:c>
      <x:c r="D963" s="12" t="str">
        <x:v>MAIN-355</x:v>
      </x:c>
      <x:c r="E963" s="12" t="str">
        <x:v>WeWork - Nesco IT Park</x:v>
      </x:c>
      <x:c r="F963" s="11" t="n">
        <x:v>4</x:v>
      </x:c>
      <x:c r="G963" s="11" t="n">
        <x:v>4</x:v>
      </x:c>
      <x:c r="H963" s="11" t="n">
        <x:v>0</x:v>
      </x:c>
      <x:c r="I963" s="17" t="n">
        <x:f>INDEX('Costing'!$P$9:$P$492,MATCH(D963,'Costing'!$A$9:$A$492,0))</x:f>
        <x:v>100000</x:v>
      </x:c>
      <x:c r="J963" s="17" t="n">
        <x:f>ROUND(I963*'Costing'!$C$4,2)</x:f>
        <x:v>18000</x:v>
      </x:c>
      <x:c r="K963" s="17" t="n">
        <x:f>I963+J963</x:f>
        <x:v>118000</x:v>
      </x:c>
    </x:row>
    <x:row r="964" ht="46" customHeight="1">
      <x:c r="A964" s="2" t="str">
        <x:v>Indicative size</x:v>
      </x:c>
      <x:c r="B964" s="2" t="str">
        <x:v>Mixed business audience</x:v>
      </x:c>
      <x:c r="C964" s="12" t="str">
        <x:v>Mumbai</x:v>
      </x:c>
      <x:c r="D964" s="12" t="str">
        <x:v>MAIN-356</x:v>
      </x:c>
      <x:c r="E964" s="12" t="str">
        <x:v>WeWork - Oberoi Commerz</x:v>
      </x:c>
      <x:c r="F964" s="11" t="n">
        <x:v>8</x:v>
      </x:c>
      <x:c r="G964" s="11" t="n">
        <x:v>8</x:v>
      </x:c>
      <x:c r="H964" s="11" t="n">
        <x:v>0</x:v>
      </x:c>
      <x:c r="I964" s="17" t="n">
        <x:f>INDEX('Costing'!$P$9:$P$492,MATCH(D964,'Costing'!$A$9:$A$492,0))</x:f>
        <x:v>200000</x:v>
      </x:c>
      <x:c r="J964" s="17" t="n">
        <x:f>ROUND(I964*'Costing'!$C$4,2)</x:f>
        <x:v>36000</x:v>
      </x:c>
      <x:c r="K964" s="17" t="n">
        <x:f>I964+J964</x:f>
        <x:v>236000</x:v>
      </x:c>
    </x:row>
    <x:row r="965" ht="46" customHeight="1">
      <x:c r="A965" s="2" t="str">
        <x:v>Indicative size</x:v>
      </x:c>
      <x:c r="B965" s="2" t="str">
        <x:v>Mixed business audience</x:v>
      </x:c>
      <x:c r="C965" s="12" t="str">
        <x:v>Mumbai</x:v>
      </x:c>
      <x:c r="D965" s="12" t="str">
        <x:v>MAIN-357</x:v>
      </x:c>
      <x:c r="E965" s="12" t="str">
        <x:v>Wework - Raheja Platinum</x:v>
      </x:c>
      <x:c r="F965" s="11" t="n">
        <x:v>19</x:v>
      </x:c>
      <x:c r="G965" s="11" t="n">
        <x:v>19</x:v>
      </x:c>
      <x:c r="H965" s="11" t="n">
        <x:v>0</x:v>
      </x:c>
      <x:c r="I965" s="17" t="n">
        <x:f>INDEX('Costing'!$P$9:$P$492,MATCH(D965,'Costing'!$A$9:$A$492,0))</x:f>
        <x:v>475000</x:v>
      </x:c>
      <x:c r="J965" s="17" t="n">
        <x:f>ROUND(I965*'Costing'!$C$4,2)</x:f>
        <x:v>85500</x:v>
      </x:c>
      <x:c r="K965" s="17" t="n">
        <x:f>I965+J965</x:f>
        <x:v>560500</x:v>
      </x:c>
    </x:row>
    <x:row r="966" ht="46" customHeight="1">
      <x:c r="A966" s="2" t="str">
        <x:v>Indicative size</x:v>
      </x:c>
      <x:c r="B966" s="2" t="str">
        <x:v>Mixed business audience</x:v>
      </x:c>
      <x:c r="C966" s="12" t="str">
        <x:v>Mumbai</x:v>
      </x:c>
      <x:c r="D966" s="12" t="str">
        <x:v>MAIN-358</x:v>
      </x:c>
      <x:c r="E966" s="12" t="str">
        <x:v>WeWork - Spectrum</x:v>
      </x:c>
      <x:c r="F966" s="11" t="n">
        <x:v>8</x:v>
      </x:c>
      <x:c r="G966" s="11" t="n">
        <x:v>8</x:v>
      </x:c>
      <x:c r="H966" s="11" t="n">
        <x:v>0</x:v>
      </x:c>
      <x:c r="I966" s="17" t="n">
        <x:f>INDEX('Costing'!$P$9:$P$492,MATCH(D966,'Costing'!$A$9:$A$492,0))</x:f>
        <x:v>200000</x:v>
      </x:c>
      <x:c r="J966" s="17" t="n">
        <x:f>ROUND(I966*'Costing'!$C$4,2)</x:f>
        <x:v>36000</x:v>
      </x:c>
      <x:c r="K966" s="17" t="n">
        <x:f>I966+J966</x:f>
        <x:v>236000</x:v>
      </x:c>
    </x:row>
    <x:row r="967" ht="46" customHeight="1">
      <x:c r="A967" s="2" t="str">
        <x:v>Indicative size</x:v>
      </x:c>
      <x:c r="B967" s="2" t="str">
        <x:v>Mixed business audience</x:v>
      </x:c>
      <x:c r="C967" s="12" t="str">
        <x:v>Mumbai</x:v>
      </x:c>
      <x:c r="D967" s="12" t="str">
        <x:v>MAIN-359</x:v>
      </x:c>
      <x:c r="E967" s="12" t="str">
        <x:v>Wework - Vaswani Chambers</x:v>
      </x:c>
      <x:c r="F967" s="11" t="n">
        <x:v>3</x:v>
      </x:c>
      <x:c r="G967" s="11" t="n">
        <x:v>3</x:v>
      </x:c>
      <x:c r="H967" s="11" t="n">
        <x:v>0</x:v>
      </x:c>
      <x:c r="I967" s="17" t="n">
        <x:f>INDEX('Costing'!$P$9:$P$492,MATCH(D967,'Costing'!$A$9:$A$492,0))</x:f>
        <x:v>75000</x:v>
      </x:c>
      <x:c r="J967" s="17" t="n">
        <x:f>ROUND(I967*'Costing'!$C$4,2)</x:f>
        <x:v>13500</x:v>
      </x:c>
      <x:c r="K967" s="17" t="n">
        <x:f>I967+J967</x:f>
        <x:v>88500</x:v>
      </x:c>
    </x:row>
    <x:row r="968" ht="46" customHeight="1">
      <x:c r="A968" s="2" t="str">
        <x:v>Indicative size</x:v>
      </x:c>
      <x:c r="B968" s="2" t="str">
        <x:v>Mixed business audience</x:v>
      </x:c>
      <x:c r="C968" s="12" t="str">
        <x:v>Mumbai</x:v>
      </x:c>
      <x:c r="D968" s="12" t="str">
        <x:v>MAIN-361</x:v>
      </x:c>
      <x:c r="E968" s="12" t="str">
        <x:v>WeWork - Vikhroil 247</x:v>
      </x:c>
      <x:c r="F968" s="11" t="n">
        <x:v>4</x:v>
      </x:c>
      <x:c r="G968" s="11" t="n">
        <x:v>4</x:v>
      </x:c>
      <x:c r="H968" s="11" t="n">
        <x:v>0</x:v>
      </x:c>
      <x:c r="I968" s="17" t="n">
        <x:f>INDEX('Costing'!$P$9:$P$492,MATCH(D968,'Costing'!$A$9:$A$492,0))</x:f>
        <x:v>100000</x:v>
      </x:c>
      <x:c r="J968" s="17" t="n">
        <x:f>ROUND(I968*'Costing'!$C$4,2)</x:f>
        <x:v>18000</x:v>
      </x:c>
      <x:c r="K968" s="17" t="n">
        <x:f>I968+J968</x:f>
        <x:v>118000</x:v>
      </x:c>
    </x:row>
    <x:row r="969" ht="46" customHeight="1">
      <x:c r="A969" s="2" t="str">
        <x:v>Indicative size</x:v>
      </x:c>
      <x:c r="B969" s="2" t="str">
        <x:v>Mixed business audience</x:v>
      </x:c>
      <x:c r="C969" s="12" t="str">
        <x:v>Mumbai</x:v>
      </x:c>
      <x:c r="D969" s="12" t="str">
        <x:v>MAIN-362</x:v>
      </x:c>
      <x:c r="E969" s="12" t="str">
        <x:v>WeWork - Zenia</x:v>
      </x:c>
      <x:c r="F969" s="11" t="n">
        <x:v>12</x:v>
      </x:c>
      <x:c r="G969" s="11" t="n">
        <x:v>12</x:v>
      </x:c>
      <x:c r="H969" s="11" t="n">
        <x:v>0</x:v>
      </x:c>
      <x:c r="I969" s="17" t="n">
        <x:f>INDEX('Costing'!$P$9:$P$492,MATCH(D969,'Costing'!$A$9:$A$492,0))</x:f>
        <x:v>300000</x:v>
      </x:c>
      <x:c r="J969" s="17" t="n">
        <x:f>ROUND(I969*'Costing'!$C$4,2)</x:f>
        <x:v>54000</x:v>
      </x:c>
      <x:c r="K969" s="17" t="n">
        <x:f>I969+J969</x:f>
        <x:v>354000</x:v>
      </x:c>
    </x:row>
    <x:row r="970" ht="46" customHeight="1">
      <x:c r="A970" s="2" t="str">
        <x:v>Indicative size</x:v>
      </x:c>
      <x:c r="B970" s="2" t="str">
        <x:v>Mixed business audience</x:v>
      </x:c>
      <x:c r="C970" s="12" t="str">
        <x:v>Pune</x:v>
      </x:c>
      <x:c r="D970" s="12" t="str">
        <x:v>MAIN-379</x:v>
      </x:c>
      <x:c r="E970" s="12" t="str">
        <x:v>11 Cowork</x:v>
      </x:c>
      <x:c r="F970" s="11" t="n">
        <x:v>1</x:v>
      </x:c>
      <x:c r="G970" s="11" t="n">
        <x:v>1</x:v>
      </x:c>
      <x:c r="H970" s="11" t="n">
        <x:v>0</x:v>
      </x:c>
      <x:c r="I970" s="17" t="n">
        <x:f>INDEX('Costing'!$P$9:$P$492,MATCH(D970,'Costing'!$A$9:$A$492,0))</x:f>
        <x:v>15000</x:v>
      </x:c>
      <x:c r="J970" s="17" t="n">
        <x:f>ROUND(I970*'Costing'!$C$4,2)</x:f>
        <x:v>2700</x:v>
      </x:c>
      <x:c r="K970" s="17" t="n">
        <x:f>I970+J970</x:f>
        <x:v>17700</x:v>
      </x:c>
    </x:row>
    <x:row r="971" ht="46" customHeight="1">
      <x:c r="A971" s="2" t="str">
        <x:v>Indicative size</x:v>
      </x:c>
      <x:c r="B971" s="2" t="str">
        <x:v>Mixed business audience</x:v>
      </x:c>
      <x:c r="C971" s="12" t="str">
        <x:v>Pune</x:v>
      </x:c>
      <x:c r="D971" s="12" t="str">
        <x:v>MAIN-380</x:v>
      </x:c>
      <x:c r="E971" s="12" t="str">
        <x:v>43Eq Technology Park</x:v>
      </x:c>
      <x:c r="F971" s="11" t="n">
        <x:v>6</x:v>
      </x:c>
      <x:c r="G971" s="11" t="n">
        <x:v>6</x:v>
      </x:c>
      <x:c r="H971" s="11" t="n">
        <x:v>0</x:v>
      </x:c>
      <x:c r="I971" s="17" t="n">
        <x:f>INDEX('Costing'!$P$9:$P$492,MATCH(D971,'Costing'!$A$9:$A$492,0))</x:f>
        <x:v>120000</x:v>
      </x:c>
      <x:c r="J971" s="17" t="n">
        <x:f>ROUND(I971*'Costing'!$C$4,2)</x:f>
        <x:v>21600</x:v>
      </x:c>
      <x:c r="K971" s="17" t="n">
        <x:f>I971+J971</x:f>
        <x:v>141600</x:v>
      </x:c>
    </x:row>
    <x:row r="972" ht="46" customHeight="1">
      <x:c r="A972" s="2" t="str">
        <x:v>Indicative size</x:v>
      </x:c>
      <x:c r="B972" s="2" t="str">
        <x:v>Mixed business audience</x:v>
      </x:c>
      <x:c r="C972" s="12" t="str">
        <x:v>Pune</x:v>
      </x:c>
      <x:c r="D972" s="12" t="str">
        <x:v>MAIN-381</x:v>
      </x:c>
      <x:c r="E972" s="12" t="str">
        <x:v>Amar Pristine Tech Park</x:v>
      </x:c>
      <x:c r="F972" s="11" t="n">
        <x:v>4</x:v>
      </x:c>
      <x:c r="G972" s="11" t="n">
        <x:v>4</x:v>
      </x:c>
      <x:c r="H972" s="11" t="n">
        <x:v>0</x:v>
      </x:c>
      <x:c r="I972" s="17" t="n">
        <x:f>INDEX('Costing'!$P$9:$P$492,MATCH(D972,'Costing'!$A$9:$A$492,0))</x:f>
        <x:v>80000</x:v>
      </x:c>
      <x:c r="J972" s="17" t="n">
        <x:f>ROUND(I972*'Costing'!$C$4,2)</x:f>
        <x:v>14400</x:v>
      </x:c>
      <x:c r="K972" s="17" t="n">
        <x:f>I972+J972</x:f>
        <x:v>94400</x:v>
      </x:c>
    </x:row>
    <x:row r="973" ht="46" customHeight="1">
      <x:c r="A973" s="2" t="str">
        <x:v>Indicative size</x:v>
      </x:c>
      <x:c r="B973" s="2" t="str">
        <x:v>Mixed business audience</x:v>
      </x:c>
      <x:c r="C973" s="12" t="str">
        <x:v>Pune</x:v>
      </x:c>
      <x:c r="D973" s="12" t="str">
        <x:v>MAIN-382</x:v>
      </x:c>
      <x:c r="E973" s="12" t="str">
        <x:v>Amar Sadanand Tech Park</x:v>
      </x:c>
      <x:c r="F973" s="11" t="n">
        <x:v>7</x:v>
      </x:c>
      <x:c r="G973" s="11" t="n">
        <x:v>7</x:v>
      </x:c>
      <x:c r="H973" s="11" t="n">
        <x:v>0</x:v>
      </x:c>
      <x:c r="I973" s="17" t="n">
        <x:f>INDEX('Costing'!$P$9:$P$492,MATCH(D973,'Costing'!$A$9:$A$492,0))</x:f>
        <x:v>140000</x:v>
      </x:c>
      <x:c r="J973" s="17" t="n">
        <x:f>ROUND(I973*'Costing'!$C$4,2)</x:f>
        <x:v>25200</x:v>
      </x:c>
      <x:c r="K973" s="17" t="n">
        <x:f>I973+J973</x:f>
        <x:v>165200</x:v>
      </x:c>
    </x:row>
    <x:row r="974" ht="46" customHeight="1">
      <x:c r="A974" s="2" t="str">
        <x:v>Indicative size</x:v>
      </x:c>
      <x:c r="B974" s="2" t="str">
        <x:v>Mixed business audience</x:v>
      </x:c>
      <x:c r="C974" s="12" t="str">
        <x:v>Pune</x:v>
      </x:c>
      <x:c r="D974" s="12" t="str">
        <x:v>MAIN-383</x:v>
      </x:c>
      <x:c r="E974" s="12" t="str">
        <x:v>Amar Tech Center</x:v>
      </x:c>
      <x:c r="F974" s="11" t="n">
        <x:v>4</x:v>
      </x:c>
      <x:c r="G974" s="11" t="n">
        <x:v>4</x:v>
      </x:c>
      <x:c r="H974" s="11" t="n">
        <x:v>0</x:v>
      </x:c>
      <x:c r="I974" s="17" t="n">
        <x:f>INDEX('Costing'!$P$9:$P$492,MATCH(D974,'Costing'!$A$9:$A$492,0))</x:f>
        <x:v>80000</x:v>
      </x:c>
      <x:c r="J974" s="17" t="n">
        <x:f>ROUND(I974*'Costing'!$C$4,2)</x:f>
        <x:v>14400</x:v>
      </x:c>
      <x:c r="K974" s="17" t="n">
        <x:f>I974+J974</x:f>
        <x:v>94400</x:v>
      </x:c>
    </x:row>
    <x:row r="975" ht="46" customHeight="1">
      <x:c r="A975" s="2" t="str">
        <x:v>Indicative size</x:v>
      </x:c>
      <x:c r="B975" s="2" t="str">
        <x:v>Mixed business audience</x:v>
      </x:c>
      <x:c r="C975" s="12" t="str">
        <x:v>Pune</x:v>
      </x:c>
      <x:c r="D975" s="12" t="str">
        <x:v>MAIN-384</x:v>
      </x:c>
      <x:c r="E975" s="12" t="str">
        <x:v>Amar Tech Park (TS)</x:v>
      </x:c>
      <x:c r="F975" s="11" t="n">
        <x:v>2</x:v>
      </x:c>
      <x:c r="G975" s="11" t="n">
        <x:v>2</x:v>
      </x:c>
      <x:c r="H975" s="11" t="n">
        <x:v>0</x:v>
      </x:c>
      <x:c r="I975" s="17" t="n">
        <x:f>INDEX('Costing'!$P$9:$P$492,MATCH(D975,'Costing'!$A$9:$A$492,0))</x:f>
        <x:v>80000</x:v>
      </x:c>
      <x:c r="J975" s="17" t="n">
        <x:f>ROUND(I975*'Costing'!$C$4,2)</x:f>
        <x:v>14400</x:v>
      </x:c>
      <x:c r="K975" s="17" t="n">
        <x:f>I975+J975</x:f>
        <x:v>94400</x:v>
      </x:c>
    </x:row>
    <x:row r="976" ht="46" customHeight="1">
      <x:c r="A976" s="2" t="str">
        <x:v>Indicative size</x:v>
      </x:c>
      <x:c r="B976" s="2" t="str">
        <x:v>Mixed business audience</x:v>
      </x:c>
      <x:c r="C976" s="12" t="str">
        <x:v>Pune</x:v>
      </x:c>
      <x:c r="D976" s="12" t="str">
        <x:v>MAIN-385</x:v>
      </x:c>
      <x:c r="E976" s="12" t="str">
        <x:v>Anchors Coworking</x:v>
      </x:c>
      <x:c r="F976" s="11" t="n">
        <x:v>1</x:v>
      </x:c>
      <x:c r="G976" s="11" t="n">
        <x:v>1</x:v>
      </x:c>
      <x:c r="H976" s="11" t="n">
        <x:v>0</x:v>
      </x:c>
      <x:c r="I976" s="17" t="n">
        <x:f>INDEX('Costing'!$P$9:$P$492,MATCH(D976,'Costing'!$A$9:$A$492,0))</x:f>
        <x:v>15000</x:v>
      </x:c>
      <x:c r="J976" s="17" t="n">
        <x:f>ROUND(I976*'Costing'!$C$4,2)</x:f>
        <x:v>2700</x:v>
      </x:c>
      <x:c r="K976" s="17" t="n">
        <x:f>I976+J976</x:f>
        <x:v>17700</x:v>
      </x:c>
    </x:row>
    <x:row r="977" ht="46" customHeight="1">
      <x:c r="A977" s="2" t="str">
        <x:v>Indicative size</x:v>
      </x:c>
      <x:c r="B977" s="2" t="str">
        <x:v>Mixed business audience</x:v>
      </x:c>
      <x:c r="C977" s="12" t="str">
        <x:v>Pune</x:v>
      </x:c>
      <x:c r="D977" s="12" t="str">
        <x:v>MAIN-386</x:v>
      </x:c>
      <x:c r="E977" s="12" t="str">
        <x:v>Awfis - Amanora Mall</x:v>
      </x:c>
      <x:c r="F977" s="11" t="n">
        <x:v>1</x:v>
      </x:c>
      <x:c r="G977" s="11" t="n">
        <x:v>1</x:v>
      </x:c>
      <x:c r="H977" s="11" t="n">
        <x:v>0</x:v>
      </x:c>
      <x:c r="I977" s="17" t="n">
        <x:f>INDEX('Costing'!$P$9:$P$492,MATCH(D977,'Costing'!$A$9:$A$492,0))</x:f>
        <x:v>15000</x:v>
      </x:c>
      <x:c r="J977" s="17" t="n">
        <x:f>ROUND(I977*'Costing'!$C$4,2)</x:f>
        <x:v>2700</x:v>
      </x:c>
      <x:c r="K977" s="17" t="n">
        <x:f>I977+J977</x:f>
        <x:v>17700</x:v>
      </x:c>
    </x:row>
    <x:row r="978" ht="46" customHeight="1">
      <x:c r="A978" s="2" t="str">
        <x:v>Indicative size</x:v>
      </x:c>
      <x:c r="B978" s="2" t="str">
        <x:v>Mixed business audience</x:v>
      </x:c>
      <x:c r="C978" s="12" t="str">
        <x:v>Pune</x:v>
      </x:c>
      <x:c r="D978" s="12" t="str">
        <x:v>MAIN-387</x:v>
      </x:c>
      <x:c r="E978" s="12" t="str">
        <x:v>Awfis - Baner Business Bay</x:v>
      </x:c>
      <x:c r="F978" s="11" t="n">
        <x:v>1</x:v>
      </x:c>
      <x:c r="G978" s="11" t="n">
        <x:v>1</x:v>
      </x:c>
      <x:c r="H978" s="11" t="n">
        <x:v>0</x:v>
      </x:c>
      <x:c r="I978" s="17" t="n">
        <x:f>INDEX('Costing'!$P$9:$P$492,MATCH(D978,'Costing'!$A$9:$A$492,0))</x:f>
        <x:v>15000</x:v>
      </x:c>
      <x:c r="J978" s="17" t="n">
        <x:f>ROUND(I978*'Costing'!$C$4,2)</x:f>
        <x:v>2700</x:v>
      </x:c>
      <x:c r="K978" s="17" t="n">
        <x:f>I978+J978</x:f>
        <x:v>17700</x:v>
      </x:c>
    </x:row>
    <x:row r="979" ht="46" customHeight="1">
      <x:c r="A979" s="2" t="str">
        <x:v>Indicative size</x:v>
      </x:c>
      <x:c r="B979" s="2" t="str">
        <x:v>Mixed business audience</x:v>
      </x:c>
      <x:c r="C979" s="12" t="str">
        <x:v>Pune</x:v>
      </x:c>
      <x:c r="D979" s="12" t="str">
        <x:v>MAIN-388</x:v>
      </x:c>
      <x:c r="E979" s="12" t="str">
        <x:v>Awfis - GK Mall</x:v>
      </x:c>
      <x:c r="F979" s="11" t="n">
        <x:v>2</x:v>
      </x:c>
      <x:c r="G979" s="11" t="n">
        <x:v>2</x:v>
      </x:c>
      <x:c r="H979" s="11" t="n">
        <x:v>0</x:v>
      </x:c>
      <x:c r="I979" s="17" t="n">
        <x:f>INDEX('Costing'!$P$9:$P$492,MATCH(D979,'Costing'!$A$9:$A$492,0))</x:f>
        <x:v>30000</x:v>
      </x:c>
      <x:c r="J979" s="17" t="n">
        <x:f>ROUND(I979*'Costing'!$C$4,2)</x:f>
        <x:v>5400</x:v>
      </x:c>
      <x:c r="K979" s="17" t="n">
        <x:f>I979+J979</x:f>
        <x:v>35400</x:v>
      </x:c>
    </x:row>
    <x:row r="980" ht="46" customHeight="1">
      <x:c r="A980" s="2" t="str">
        <x:v>Indicative size</x:v>
      </x:c>
      <x:c r="B980" s="2" t="str">
        <x:v>Mixed business audience</x:v>
      </x:c>
      <x:c r="C980" s="12" t="str">
        <x:v>Pune</x:v>
      </x:c>
      <x:c r="D980" s="12" t="str">
        <x:v>MAIN-389</x:v>
      </x:c>
      <x:c r="E980" s="12" t="str">
        <x:v>Awfis - Nyati Empress</x:v>
      </x:c>
      <x:c r="F980" s="11" t="n">
        <x:v>2</x:v>
      </x:c>
      <x:c r="G980" s="11" t="n">
        <x:v>2</x:v>
      </x:c>
      <x:c r="H980" s="11" t="n">
        <x:v>0</x:v>
      </x:c>
      <x:c r="I980" s="17" t="n">
        <x:f>INDEX('Costing'!$P$9:$P$492,MATCH(D980,'Costing'!$A$9:$A$492,0))</x:f>
        <x:v>30000</x:v>
      </x:c>
      <x:c r="J980" s="17" t="n">
        <x:f>ROUND(I980*'Costing'!$C$4,2)</x:f>
        <x:v>5400</x:v>
      </x:c>
      <x:c r="K980" s="17" t="n">
        <x:f>I980+J980</x:f>
        <x:v>35400</x:v>
      </x:c>
    </x:row>
    <x:row r="981" ht="46" customHeight="1">
      <x:c r="A981" s="2" t="str">
        <x:v>Indicative size</x:v>
      </x:c>
      <x:c r="B981" s="2" t="str">
        <x:v>Mixed business audience</x:v>
      </x:c>
      <x:c r="C981" s="12" t="str">
        <x:v>Pune</x:v>
      </x:c>
      <x:c r="D981" s="12" t="str">
        <x:v>MAIN-390</x:v>
      </x:c>
      <x:c r="E981" s="12" t="str">
        <x:v>Awfis - Que Spaces</x:v>
      </x:c>
      <x:c r="F981" s="11" t="n">
        <x:v>1</x:v>
      </x:c>
      <x:c r="G981" s="11" t="n">
        <x:v>1</x:v>
      </x:c>
      <x:c r="H981" s="11" t="n">
        <x:v>0</x:v>
      </x:c>
      <x:c r="I981" s="17" t="n">
        <x:f>INDEX('Costing'!$P$9:$P$492,MATCH(D981,'Costing'!$A$9:$A$492,0))</x:f>
        <x:v>15000</x:v>
      </x:c>
      <x:c r="J981" s="17" t="n">
        <x:f>ROUND(I981*'Costing'!$C$4,2)</x:f>
        <x:v>2700</x:v>
      </x:c>
      <x:c r="K981" s="17" t="n">
        <x:f>I981+J981</x:f>
        <x:v>17700</x:v>
      </x:c>
    </x:row>
    <x:row r="982" ht="46" customHeight="1">
      <x:c r="A982" s="2" t="str">
        <x:v>Indicative size</x:v>
      </x:c>
      <x:c r="B982" s="2" t="str">
        <x:v>Mixed business audience</x:v>
      </x:c>
      <x:c r="C982" s="12" t="str">
        <x:v>Pune</x:v>
      </x:c>
      <x:c r="D982" s="12" t="str">
        <x:v>MAIN-391</x:v>
      </x:c>
      <x:c r="E982" s="12" t="str">
        <x:v>Awfis - Sterling Towers</x:v>
      </x:c>
      <x:c r="F982" s="11" t="n">
        <x:v>1</x:v>
      </x:c>
      <x:c r="G982" s="11" t="n">
        <x:v>1</x:v>
      </x:c>
      <x:c r="H982" s="11" t="n">
        <x:v>0</x:v>
      </x:c>
      <x:c r="I982" s="17" t="n">
        <x:f>INDEX('Costing'!$P$9:$P$492,MATCH(D982,'Costing'!$A$9:$A$492,0))</x:f>
        <x:v>15000</x:v>
      </x:c>
      <x:c r="J982" s="17" t="n">
        <x:f>ROUND(I982*'Costing'!$C$4,2)</x:f>
        <x:v>2700</x:v>
      </x:c>
      <x:c r="K982" s="17" t="n">
        <x:f>I982+J982</x:f>
        <x:v>17700</x:v>
      </x:c>
    </x:row>
    <x:row r="983" ht="46" customHeight="1">
      <x:c r="A983" s="2" t="str">
        <x:v>Indicative size</x:v>
      </x:c>
      <x:c r="B983" s="2" t="str">
        <x:v>Mixed business audience</x:v>
      </x:c>
      <x:c r="C983" s="12" t="str">
        <x:v>Pune</x:v>
      </x:c>
      <x:c r="D983" s="12" t="str">
        <x:v>MAIN-392</x:v>
      </x:c>
      <x:c r="E983" s="12" t="str">
        <x:v>Awfis - The Kode</x:v>
      </x:c>
      <x:c r="F983" s="11" t="n">
        <x:v>2</x:v>
      </x:c>
      <x:c r="G983" s="11" t="n">
        <x:v>2</x:v>
      </x:c>
      <x:c r="H983" s="11" t="n">
        <x:v>0</x:v>
      </x:c>
      <x:c r="I983" s="17" t="n">
        <x:f>INDEX('Costing'!$P$9:$P$492,MATCH(D983,'Costing'!$A$9:$A$492,0))</x:f>
        <x:v>24000</x:v>
      </x:c>
      <x:c r="J983" s="17" t="n">
        <x:f>ROUND(I983*'Costing'!$C$4,2)</x:f>
        <x:v>4320</x:v>
      </x:c>
      <x:c r="K983" s="17" t="n">
        <x:f>I983+J983</x:f>
        <x:v>28320</x:v>
      </x:c>
    </x:row>
    <x:row r="984" ht="46" customHeight="1">
      <x:c r="A984" s="2" t="str">
        <x:v>Indicative size</x:v>
      </x:c>
      <x:c r="B984" s="2" t="str">
        <x:v>Mixed business audience</x:v>
      </x:c>
      <x:c r="C984" s="12" t="str">
        <x:v>Pune</x:v>
      </x:c>
      <x:c r="D984" s="12" t="str">
        <x:v>MAIN-393</x:v>
      </x:c>
      <x:c r="E984" s="12" t="str">
        <x:v>Balewadi Tech Park</x:v>
      </x:c>
      <x:c r="F984" s="11" t="n">
        <x:v>1</x:v>
      </x:c>
      <x:c r="G984" s="11" t="n">
        <x:v>1</x:v>
      </x:c>
      <x:c r="H984" s="11" t="n">
        <x:v>0</x:v>
      </x:c>
      <x:c r="I984" s="17" t="n">
        <x:f>INDEX('Costing'!$P$9:$P$492,MATCH(D984,'Costing'!$A$9:$A$492,0))</x:f>
        <x:v>40000</x:v>
      </x:c>
      <x:c r="J984" s="17" t="n">
        <x:f>ROUND(I984*'Costing'!$C$4,2)</x:f>
        <x:v>7200</x:v>
      </x:c>
      <x:c r="K984" s="17" t="n">
        <x:f>I984+J984</x:f>
        <x:v>47200</x:v>
      </x:c>
    </x:row>
    <x:row r="985" ht="46" customHeight="1">
      <x:c r="A985" s="2" t="str">
        <x:v>Indicative size</x:v>
      </x:c>
      <x:c r="B985" s="2" t="str">
        <x:v>Mixed business audience</x:v>
      </x:c>
      <x:c r="C985" s="12" t="str">
        <x:v>Pune</x:v>
      </x:c>
      <x:c r="D985" s="12" t="str">
        <x:v>MAIN-395</x:v>
      </x:c>
      <x:c r="E985" s="12" t="str">
        <x:v>Bootstart Arcadian</x:v>
      </x:c>
      <x:c r="F985" s="11" t="n">
        <x:v>1</x:v>
      </x:c>
      <x:c r="G985" s="11" t="n">
        <x:v>1</x:v>
      </x:c>
      <x:c r="H985" s="11" t="n">
        <x:v>0</x:v>
      </x:c>
      <x:c r="I985" s="17" t="n">
        <x:f>INDEX('Costing'!$P$9:$P$492,MATCH(D985,'Costing'!$A$9:$A$492,0))</x:f>
        <x:v>15000</x:v>
      </x:c>
      <x:c r="J985" s="17" t="n">
        <x:f>ROUND(I985*'Costing'!$C$4,2)</x:f>
        <x:v>2700</x:v>
      </x:c>
      <x:c r="K985" s="17" t="n">
        <x:f>I985+J985</x:f>
        <x:v>17700</x:v>
      </x:c>
    </x:row>
    <x:row r="986" ht="46" customHeight="1">
      <x:c r="A986" s="2" t="str">
        <x:v>Indicative size</x:v>
      </x:c>
      <x:c r="B986" s="2" t="str">
        <x:v>Mixed business audience</x:v>
      </x:c>
      <x:c r="C986" s="12" t="str">
        <x:v>Pune</x:v>
      </x:c>
      <x:c r="D986" s="12" t="str">
        <x:v>MAIN-396</x:v>
      </x:c>
      <x:c r="E986" s="12" t="str">
        <x:v>Brookfield - 45Icon Business Parks</x:v>
      </x:c>
      <x:c r="F986" s="11" t="n">
        <x:v>5</x:v>
      </x:c>
      <x:c r="G986" s="11" t="n">
        <x:v>5</x:v>
      </x:c>
      <x:c r="H986" s="11" t="n">
        <x:v>0</x:v>
      </x:c>
      <x:c r="I986" s="17" t="n">
        <x:f>INDEX('Costing'!$P$9:$P$492,MATCH(D986,'Costing'!$A$9:$A$492,0))</x:f>
        <x:v>200000</x:v>
      </x:c>
      <x:c r="J986" s="17" t="n">
        <x:f>ROUND(I986*'Costing'!$C$4,2)</x:f>
        <x:v>36000</x:v>
      </x:c>
      <x:c r="K986" s="17" t="n">
        <x:f>I986+J986</x:f>
        <x:v>236000</x:v>
      </x:c>
    </x:row>
    <x:row r="987" ht="46" customHeight="1">
      <x:c r="A987" s="2" t="str">
        <x:v>Indicative size</x:v>
      </x:c>
      <x:c r="B987" s="2" t="str">
        <x:v>Mixed business audience</x:v>
      </x:c>
      <x:c r="C987" s="12" t="str">
        <x:v>Pune</x:v>
      </x:c>
      <x:c r="D987" s="12" t="str">
        <x:v>MAIN-397</x:v>
      </x:c>
      <x:c r="E987" s="12" t="str">
        <x:v>BSB Capital (Redbrick Offices)</x:v>
      </x:c>
      <x:c r="F987" s="11" t="n">
        <x:v>1</x:v>
      </x:c>
      <x:c r="G987" s="11" t="n">
        <x:v>1</x:v>
      </x:c>
      <x:c r="H987" s="11" t="n">
        <x:v>0</x:v>
      </x:c>
      <x:c r="I987" s="17" t="n">
        <x:f>INDEX('Costing'!$P$9:$P$492,MATCH(D987,'Costing'!$A$9:$A$492,0))</x:f>
        <x:v>15000</x:v>
      </x:c>
      <x:c r="J987" s="17" t="n">
        <x:f>ROUND(I987*'Costing'!$C$4,2)</x:f>
        <x:v>2700</x:v>
      </x:c>
      <x:c r="K987" s="17" t="n">
        <x:f>I987+J987</x:f>
        <x:v>17700</x:v>
      </x:c>
    </x:row>
    <x:row r="988" ht="46" customHeight="1">
      <x:c r="A988" s="2" t="str">
        <x:v>Indicative size</x:v>
      </x:c>
      <x:c r="B988" s="2" t="str">
        <x:v>Mixed business audience</x:v>
      </x:c>
      <x:c r="C988" s="12" t="str">
        <x:v>Pune</x:v>
      </x:c>
      <x:c r="D988" s="12" t="str">
        <x:v>MAIN-398</x:v>
      </x:c>
      <x:c r="E988" s="12" t="str">
        <x:v>Credence Global Solutions</x:v>
      </x:c>
      <x:c r="F988" s="11" t="n">
        <x:v>7</x:v>
      </x:c>
      <x:c r="G988" s="11" t="n">
        <x:v>7</x:v>
      </x:c>
      <x:c r="H988" s="11" t="n">
        <x:v>0</x:v>
      </x:c>
      <x:c r="I988" s="17" t="n">
        <x:f>INDEX('Costing'!$P$9:$P$492,MATCH(D988,'Costing'!$A$9:$A$492,0))</x:f>
        <x:v>105000</x:v>
      </x:c>
      <x:c r="J988" s="17" t="n">
        <x:f>ROUND(I988*'Costing'!$C$4,2)</x:f>
        <x:v>18900</x:v>
      </x:c>
      <x:c r="K988" s="17" t="n">
        <x:f>I988+J988</x:f>
        <x:v>123900</x:v>
      </x:c>
    </x:row>
    <x:row r="989" ht="46" customHeight="1">
      <x:c r="A989" s="2" t="str">
        <x:v>Indicative size</x:v>
      </x:c>
      <x:c r="B989" s="2" t="str">
        <x:v>Mixed business audience</x:v>
      </x:c>
      <x:c r="C989" s="12" t="str">
        <x:v>Pune</x:v>
      </x:c>
      <x:c r="D989" s="12" t="str">
        <x:v>MAIN-399</x:v>
      </x:c>
      <x:c r="E989" s="12" t="str">
        <x:v>GLT Raheja Woods </x:v>
      </x:c>
      <x:c r="F989" s="11" t="n">
        <x:v>1</x:v>
      </x:c>
      <x:c r="G989" s="11" t="n">
        <x:v>1</x:v>
      </x:c>
      <x:c r="H989" s="11" t="n">
        <x:v>0</x:v>
      </x:c>
      <x:c r="I989" s="17" t="n">
        <x:f>INDEX('Costing'!$P$9:$P$492,MATCH(D989,'Costing'!$A$9:$A$492,0))</x:f>
        <x:v>40000</x:v>
      </x:c>
      <x:c r="J989" s="17" t="n">
        <x:f>ROUND(I989*'Costing'!$C$4,2)</x:f>
        <x:v>7200</x:v>
      </x:c>
      <x:c r="K989" s="17" t="n">
        <x:f>I989+J989</x:f>
        <x:v>47200</x:v>
      </x:c>
    </x:row>
    <x:row r="990" ht="46" customHeight="1">
      <x:c r="A990" s="2" t="str">
        <x:v>Indicative size</x:v>
      </x:c>
      <x:c r="B990" s="2" t="str">
        <x:v>Mixed business audience</x:v>
      </x:c>
      <x:c r="C990" s="12" t="str">
        <x:v>Pune</x:v>
      </x:c>
      <x:c r="D990" s="12" t="str">
        <x:v>MAIN-400</x:v>
      </x:c>
      <x:c r="E990" s="12" t="str">
        <x:v>Godrej Koregaon Park Annex</x:v>
      </x:c>
      <x:c r="F990" s="11" t="n">
        <x:v>1</x:v>
      </x:c>
      <x:c r="G990" s="11" t="n">
        <x:v>1</x:v>
      </x:c>
      <x:c r="H990" s="11" t="n">
        <x:v>0</x:v>
      </x:c>
      <x:c r="I990" s="17" t="n">
        <x:f>INDEX('Costing'!$P$9:$P$492,MATCH(D990,'Costing'!$A$9:$A$492,0))</x:f>
        <x:v>40000</x:v>
      </x:c>
      <x:c r="J990" s="17" t="n">
        <x:f>ROUND(I990*'Costing'!$C$4,2)</x:f>
        <x:v>7200</x:v>
      </x:c>
      <x:c r="K990" s="17" t="n">
        <x:f>I990+J990</x:f>
        <x:v>47200</x:v>
      </x:c>
    </x:row>
    <x:row r="991" ht="46" customHeight="1">
      <x:c r="A991" s="2" t="str">
        <x:v>Indicative size</x:v>
      </x:c>
      <x:c r="B991" s="2" t="str">
        <x:v>Mixed business audience</x:v>
      </x:c>
      <x:c r="C991" s="12" t="str">
        <x:v>Pune</x:v>
      </x:c>
      <x:c r="D991" s="12" t="str">
        <x:v>MAIN-401</x:v>
      </x:c>
      <x:c r="E991" s="12" t="str">
        <x:v>International Tech Park Pune - ITPP</x:v>
      </x:c>
      <x:c r="F991" s="11" t="n">
        <x:v>1</x:v>
      </x:c>
      <x:c r="G991" s="11" t="n">
        <x:v>1</x:v>
      </x:c>
      <x:c r="H991" s="11" t="n">
        <x:v>0</x:v>
      </x:c>
      <x:c r="I991" s="17" t="n">
        <x:f>INDEX('Costing'!$P$9:$P$492,MATCH(D991,'Costing'!$A$9:$A$492,0))</x:f>
        <x:v>40000</x:v>
      </x:c>
      <x:c r="J991" s="17" t="n">
        <x:f>ROUND(I991*'Costing'!$C$4,2)</x:f>
        <x:v>7200</x:v>
      </x:c>
      <x:c r="K991" s="17" t="n">
        <x:f>I991+J991</x:f>
        <x:v>47200</x:v>
      </x:c>
    </x:row>
    <x:row r="992" ht="46" customHeight="1">
      <x:c r="A992" s="2" t="str">
        <x:v>Indicative size</x:v>
      </x:c>
      <x:c r="B992" s="2" t="str">
        <x:v>Mixed business audience</x:v>
      </x:c>
      <x:c r="C992" s="12" t="str">
        <x:v>Pune</x:v>
      </x:c>
      <x:c r="D992" s="12" t="str">
        <x:v>MAIN-403</x:v>
      </x:c>
      <x:c r="E992" s="12" t="str">
        <x:v>M Agile Tech Park</x:v>
      </x:c>
      <x:c r="F992" s="11" t="n">
        <x:v>4</x:v>
      </x:c>
      <x:c r="G992" s="11" t="n">
        <x:v>4</x:v>
      </x:c>
      <x:c r="H992" s="11" t="n">
        <x:v>0</x:v>
      </x:c>
      <x:c r="I992" s="17" t="n">
        <x:f>INDEX('Costing'!$P$9:$P$492,MATCH(D992,'Costing'!$A$9:$A$492,0))</x:f>
        <x:v>80000</x:v>
      </x:c>
      <x:c r="J992" s="17" t="n">
        <x:f>ROUND(I992*'Costing'!$C$4,2)</x:f>
        <x:v>14400</x:v>
      </x:c>
      <x:c r="K992" s="17" t="n">
        <x:f>I992+J992</x:f>
        <x:v>94400</x:v>
      </x:c>
    </x:row>
    <x:row r="993" ht="46" customHeight="1">
      <x:c r="A993" s="2" t="str">
        <x:v>Indicative size</x:v>
      </x:c>
      <x:c r="B993" s="2" t="str">
        <x:v>Mixed business audience</x:v>
      </x:c>
      <x:c r="C993" s="12" t="str">
        <x:v>Pune</x:v>
      </x:c>
      <x:c r="D993" s="12" t="str">
        <x:v>MAIN-404</x:v>
      </x:c>
      <x:c r="E993" s="12" t="str">
        <x:v>Mayfield Towers</x:v>
      </x:c>
      <x:c r="F993" s="11" t="n">
        <x:v>3</x:v>
      </x:c>
      <x:c r="G993" s="11" t="n">
        <x:v>3</x:v>
      </x:c>
      <x:c r="H993" s="11" t="n">
        <x:v>0</x:v>
      </x:c>
      <x:c r="I993" s="17" t="n">
        <x:f>INDEX('Costing'!$P$9:$P$492,MATCH(D993,'Costing'!$A$9:$A$492,0))</x:f>
        <x:v>60000</x:v>
      </x:c>
      <x:c r="J993" s="17" t="n">
        <x:f>ROUND(I993*'Costing'!$C$4,2)</x:f>
        <x:v>10800</x:v>
      </x:c>
      <x:c r="K993" s="17" t="n">
        <x:f>I993+J993</x:f>
        <x:v>70800</x:v>
      </x:c>
    </x:row>
    <x:row r="994" ht="46" customHeight="1">
      <x:c r="A994" s="2" t="str">
        <x:v>Indicative size</x:v>
      </x:c>
      <x:c r="B994" s="2" t="str">
        <x:v>Mixed business audience</x:v>
      </x:c>
      <x:c r="C994" s="12" t="str">
        <x:v>Pune</x:v>
      </x:c>
      <x:c r="D994" s="12" t="str">
        <x:v>MAIN-405</x:v>
      </x:c>
      <x:c r="E994" s="12" t="str">
        <x:v>Olympia B Premises</x:v>
      </x:c>
      <x:c r="F994" s="11" t="n">
        <x:v>1</x:v>
      </x:c>
      <x:c r="G994" s="11" t="n">
        <x:v>1</x:v>
      </x:c>
      <x:c r="H994" s="11" t="n">
        <x:v>0</x:v>
      </x:c>
      <x:c r="I994" s="17" t="n">
        <x:f>INDEX('Costing'!$P$9:$P$492,MATCH(D994,'Costing'!$A$9:$A$492,0))</x:f>
        <x:v>15000</x:v>
      </x:c>
      <x:c r="J994" s="17" t="n">
        <x:f>ROUND(I994*'Costing'!$C$4,2)</x:f>
        <x:v>2700</x:v>
      </x:c>
      <x:c r="K994" s="17" t="n">
        <x:f>I994+J994</x:f>
        <x:v>17700</x:v>
      </x:c>
    </x:row>
    <x:row r="995" ht="46" customHeight="1">
      <x:c r="A995" s="2" t="str">
        <x:v>Indicative size</x:v>
      </x:c>
      <x:c r="B995" s="2" t="str">
        <x:v>Mixed business audience</x:v>
      </x:c>
      <x:c r="C995" s="12" t="str">
        <x:v>Pune</x:v>
      </x:c>
      <x:c r="D995" s="12" t="str">
        <x:v>MAIN-406</x:v>
      </x:c>
      <x:c r="E995" s="12" t="str">
        <x:v>OLYMPIA B PREMISES Inside Elevator</x:v>
      </x:c>
      <x:c r="F995" s="11" t="n">
        <x:v>1</x:v>
      </x:c>
      <x:c r="G995" s="11" t="n">
        <x:v>1</x:v>
      </x:c>
      <x:c r="H995" s="11" t="n">
        <x:v>0</x:v>
      </x:c>
      <x:c r="I995" s="17" t="n">
        <x:f>INDEX('Costing'!$P$9:$P$492,MATCH(D995,'Costing'!$A$9:$A$492,0))</x:f>
        <x:v>15000</x:v>
      </x:c>
      <x:c r="J995" s="17" t="n">
        <x:f>ROUND(I995*'Costing'!$C$4,2)</x:f>
        <x:v>2700</x:v>
      </x:c>
      <x:c r="K995" s="17" t="n">
        <x:f>I995+J995</x:f>
        <x:v>17700</x:v>
      </x:c>
    </x:row>
    <x:row r="996" ht="46" customHeight="1">
      <x:c r="A996" s="2" t="str">
        <x:v>Indicative size</x:v>
      </x:c>
      <x:c r="B996" s="2" t="str">
        <x:v>Mixed business audience</x:v>
      </x:c>
      <x:c r="C996" s="12" t="str">
        <x:v>Pune</x:v>
      </x:c>
      <x:c r="D996" s="12" t="str">
        <x:v>MAIN-407</x:v>
      </x:c>
      <x:c r="E996" s="12" t="str">
        <x:v>Oyo Workspace - Innov8 Suman Business Park</x:v>
      </x:c>
      <x:c r="F996" s="11" t="n">
        <x:v>2</x:v>
      </x:c>
      <x:c r="G996" s="11" t="n">
        <x:v>2</x:v>
      </x:c>
      <x:c r="H996" s="11" t="n">
        <x:v>0</x:v>
      </x:c>
      <x:c r="I996" s="17" t="n">
        <x:f>INDEX('Costing'!$P$9:$P$492,MATCH(D996,'Costing'!$A$9:$A$492,0))</x:f>
        <x:v>30000</x:v>
      </x:c>
      <x:c r="J996" s="17" t="n">
        <x:f>ROUND(I996*'Costing'!$C$4,2)</x:f>
        <x:v>5400</x:v>
      </x:c>
      <x:c r="K996" s="17" t="n">
        <x:f>I996+J996</x:f>
        <x:v>35400</x:v>
      </x:c>
    </x:row>
    <x:row r="997" ht="46" customHeight="1">
      <x:c r="A997" s="2" t="str">
        <x:v>Indicative size</x:v>
      </x:c>
      <x:c r="B997" s="2" t="str">
        <x:v>Mixed business audience</x:v>
      </x:c>
      <x:c r="C997" s="12" t="str">
        <x:v>Pune</x:v>
      </x:c>
      <x:c r="D997" s="12" t="str">
        <x:v>MAIN-408</x:v>
      </x:c>
      <x:c r="E997" s="12" t="str">
        <x:v>Panchshil Viman Nagar (TS)</x:v>
      </x:c>
      <x:c r="F997" s="11" t="n">
        <x:v>1</x:v>
      </x:c>
      <x:c r="G997" s="11" t="n">
        <x:v>1</x:v>
      </x:c>
      <x:c r="H997" s="11" t="n">
        <x:v>0</x:v>
      </x:c>
      <x:c r="I997" s="17" t="n">
        <x:f>INDEX('Costing'!$P$9:$P$492,MATCH(D997,'Costing'!$A$9:$A$492,0))</x:f>
        <x:v>40000</x:v>
      </x:c>
      <x:c r="J997" s="17" t="n">
        <x:f>ROUND(I997*'Costing'!$C$4,2)</x:f>
        <x:v>7200</x:v>
      </x:c>
      <x:c r="K997" s="17" t="n">
        <x:f>I997+J997</x:f>
        <x:v>47200</x:v>
      </x:c>
    </x:row>
    <x:row r="998" ht="46" customHeight="1">
      <x:c r="A998" s="2" t="str">
        <x:v>Indicative size</x:v>
      </x:c>
      <x:c r="B998" s="2" t="str">
        <x:v>Mixed business audience</x:v>
      </x:c>
      <x:c r="C998" s="12" t="str">
        <x:v>Pune</x:v>
      </x:c>
      <x:c r="D998" s="12" t="str">
        <x:v>MAIN-409</x:v>
      </x:c>
      <x:c r="E998" s="12" t="str">
        <x:v>Pavillion Mall (Redbrick Offices)</x:v>
      </x:c>
      <x:c r="F998" s="11" t="n">
        <x:v>1</x:v>
      </x:c>
      <x:c r="G998" s="11" t="n">
        <x:v>1</x:v>
      </x:c>
      <x:c r="H998" s="11" t="n">
        <x:v>0</x:v>
      </x:c>
      <x:c r="I998" s="17" t="n">
        <x:f>INDEX('Costing'!$P$9:$P$492,MATCH(D998,'Costing'!$A$9:$A$492,0))</x:f>
        <x:v>15000</x:v>
      </x:c>
      <x:c r="J998" s="17" t="n">
        <x:f>ROUND(I998*'Costing'!$C$4,2)</x:f>
        <x:v>2700</x:v>
      </x:c>
      <x:c r="K998" s="17" t="n">
        <x:f>I998+J998</x:f>
        <x:v>17700</x:v>
      </x:c>
    </x:row>
    <x:row r="999" ht="46" customHeight="1">
      <x:c r="A999" s="2" t="str">
        <x:v>Indicative size</x:v>
      </x:c>
      <x:c r="B999" s="2" t="str">
        <x:v>Mixed business audience</x:v>
      </x:c>
      <x:c r="C999" s="12" t="str">
        <x:v>Pune</x:v>
      </x:c>
      <x:c r="D999" s="12" t="str">
        <x:v>MAIN-410</x:v>
      </x:c>
      <x:c r="E999" s="12" t="str">
        <x:v>PBP Balewadi High Street (Redbrick Offices)</x:v>
      </x:c>
      <x:c r="F999" s="11" t="n">
        <x:v>1</x:v>
      </x:c>
      <x:c r="G999" s="11" t="n">
        <x:v>1</x:v>
      </x:c>
      <x:c r="H999" s="11" t="n">
        <x:v>0</x:v>
      </x:c>
      <x:c r="I999" s="17" t="n">
        <x:f>INDEX('Costing'!$P$9:$P$492,MATCH(D999,'Costing'!$A$9:$A$492,0))</x:f>
        <x:v>15000</x:v>
      </x:c>
      <x:c r="J999" s="17" t="n">
        <x:f>ROUND(I999*'Costing'!$C$4,2)</x:f>
        <x:v>2700</x:v>
      </x:c>
      <x:c r="K999" s="17" t="n">
        <x:f>I999+J999</x:f>
        <x:v>17700</x:v>
      </x:c>
    </x:row>
    <x:row r="1000" ht="46" customHeight="1">
      <x:c r="A1000" s="2" t="str">
        <x:v>Indicative size</x:v>
      </x:c>
      <x:c r="B1000" s="2" t="str">
        <x:v>Mixed business audience</x:v>
      </x:c>
      <x:c r="C1000" s="12" t="str">
        <x:v>Pune</x:v>
      </x:c>
      <x:c r="D1000" s="12" t="str">
        <x:v>MAIN-411</x:v>
      </x:c>
      <x:c r="E1000" s="12" t="str">
        <x:v>Raheja Mindspace - The Square</x:v>
      </x:c>
      <x:c r="F1000" s="11" t="n">
        <x:v>1</x:v>
      </x:c>
      <x:c r="G1000" s="11" t="n">
        <x:v>1</x:v>
      </x:c>
      <x:c r="H1000" s="11" t="n">
        <x:v>0</x:v>
      </x:c>
      <x:c r="I1000" s="17" t="n">
        <x:f>INDEX('Costing'!$P$9:$P$492,MATCH(D1000,'Costing'!$A$9:$A$492,0))</x:f>
        <x:v>40000</x:v>
      </x:c>
      <x:c r="J1000" s="17" t="n">
        <x:f>ROUND(I1000*'Costing'!$C$4,2)</x:f>
        <x:v>7200</x:v>
      </x:c>
      <x:c r="K1000" s="17" t="n">
        <x:f>I1000+J1000</x:f>
        <x:v>47200</x:v>
      </x:c>
    </x:row>
    <x:row r="1001" ht="46" customHeight="1">
      <x:c r="A1001" s="2" t="str">
        <x:v>Indicative size</x:v>
      </x:c>
      <x:c r="B1001" s="2" t="str">
        <x:v>Mixed business audience</x:v>
      </x:c>
      <x:c r="C1001" s="12" t="str">
        <x:v>Pune</x:v>
      </x:c>
      <x:c r="D1001" s="12" t="str">
        <x:v>MAIN-412</x:v>
      </x:c>
      <x:c r="E1001" s="12" t="str">
        <x:v>Raheja Mindspaces - Kharadi</x:v>
      </x:c>
      <x:c r="F1001" s="11" t="n">
        <x:v>3</x:v>
      </x:c>
      <x:c r="G1001" s="11" t="n">
        <x:v>3</x:v>
      </x:c>
      <x:c r="H1001" s="11" t="n">
        <x:v>0</x:v>
      </x:c>
      <x:c r="I1001" s="17" t="n">
        <x:f>INDEX('Costing'!$P$9:$P$492,MATCH(D1001,'Costing'!$A$9:$A$492,0))</x:f>
        <x:v>120000</x:v>
      </x:c>
      <x:c r="J1001" s="17" t="n">
        <x:f>ROUND(I1001*'Costing'!$C$4,2)</x:f>
        <x:v>21600</x:v>
      </x:c>
      <x:c r="K1001" s="17" t="n">
        <x:f>I1001+J1001</x:f>
        <x:v>141600</x:v>
      </x:c>
    </x:row>
    <x:row r="1002" ht="46" customHeight="1">
      <x:c r="A1002" s="2" t="str">
        <x:v>Indicative size</x:v>
      </x:c>
      <x:c r="B1002" s="2" t="str">
        <x:v>Mixed business audience</x:v>
      </x:c>
      <x:c r="C1002" s="12" t="str">
        <x:v>Pune</x:v>
      </x:c>
      <x:c r="D1002" s="12" t="str">
        <x:v>MAIN-413</x:v>
      </x:c>
      <x:c r="E1002" s="12" t="str">
        <x:v>Raheja Mindspaces - Yerawada</x:v>
      </x:c>
      <x:c r="F1002" s="11" t="n">
        <x:v>2</x:v>
      </x:c>
      <x:c r="G1002" s="11" t="n">
        <x:v>2</x:v>
      </x:c>
      <x:c r="H1002" s="11" t="n">
        <x:v>0</x:v>
      </x:c>
      <x:c r="I1002" s="17" t="n">
        <x:f>INDEX('Costing'!$P$9:$P$492,MATCH(D1002,'Costing'!$A$9:$A$492,0))</x:f>
        <x:v>80000</x:v>
      </x:c>
      <x:c r="J1002" s="17" t="n">
        <x:f>ROUND(I1002*'Costing'!$C$4,2)</x:f>
        <x:v>14400</x:v>
      </x:c>
      <x:c r="K1002" s="17" t="n">
        <x:f>I1002+J1002</x:f>
        <x:v>94400</x:v>
      </x:c>
    </x:row>
    <x:row r="1003" ht="46" customHeight="1">
      <x:c r="A1003" s="2" t="str">
        <x:v>Indicative size</x:v>
      </x:c>
      <x:c r="B1003" s="2" t="str">
        <x:v>Mixed business audience</x:v>
      </x:c>
      <x:c r="C1003" s="12" t="str">
        <x:v>Pune</x:v>
      </x:c>
      <x:c r="D1003" s="12" t="str">
        <x:v>MAIN-415</x:v>
      </x:c>
      <x:c r="E1003" s="12" t="str">
        <x:v>The Powerpoint Coworking Space</x:v>
      </x:c>
      <x:c r="F1003" s="11" t="n">
        <x:v>1</x:v>
      </x:c>
      <x:c r="G1003" s="11" t="n">
        <x:v>1</x:v>
      </x:c>
      <x:c r="H1003" s="11" t="n">
        <x:v>0</x:v>
      </x:c>
      <x:c r="I1003" s="17" t="n">
        <x:f>INDEX('Costing'!$P$9:$P$492,MATCH(D1003,'Costing'!$A$9:$A$492,0))</x:f>
        <x:v>15000</x:v>
      </x:c>
      <x:c r="J1003" s="17" t="n">
        <x:f>ROUND(I1003*'Costing'!$C$4,2)</x:f>
        <x:v>2700</x:v>
      </x:c>
      <x:c r="K1003" s="17" t="n">
        <x:f>I1003+J1003</x:f>
        <x:v>17700</x:v>
      </x:c>
    </x:row>
    <x:row r="1004" ht="46" customHeight="1">
      <x:c r="A1004" s="2" t="str">
        <x:v>Indicative size</x:v>
      </x:c>
      <x:c r="B1004" s="2" t="str">
        <x:v>Mixed business audience</x:v>
      </x:c>
      <x:c r="C1004" s="12" t="str">
        <x:v>Pune</x:v>
      </x:c>
      <x:c r="D1004" s="12" t="str">
        <x:v>MAIN-416</x:v>
      </x:c>
      <x:c r="E1004" s="12" t="str">
        <x:v>WeWork - Amanora</x:v>
      </x:c>
      <x:c r="F1004" s="11" t="n">
        <x:v>2</x:v>
      </x:c>
      <x:c r="G1004" s="11" t="n">
        <x:v>2</x:v>
      </x:c>
      <x:c r="H1004" s="11" t="n">
        <x:v>0</x:v>
      </x:c>
      <x:c r="I1004" s="17" t="n">
        <x:f>INDEX('Costing'!$P$9:$P$492,MATCH(D1004,'Costing'!$A$9:$A$492,0))</x:f>
        <x:v>50000</x:v>
      </x:c>
      <x:c r="J1004" s="17" t="n">
        <x:f>ROUND(I1004*'Costing'!$C$4,2)</x:f>
        <x:v>9000</x:v>
      </x:c>
      <x:c r="K1004" s="17" t="n">
        <x:f>I1004+J1004</x:f>
        <x:v>59000</x:v>
      </x:c>
    </x:row>
    <x:row r="1005" ht="46" customHeight="1">
      <x:c r="A1005" s="2" t="str">
        <x:v>Indicative size</x:v>
      </x:c>
      <x:c r="B1005" s="2" t="str">
        <x:v>Mixed business audience</x:v>
      </x:c>
      <x:c r="C1005" s="12" t="str">
        <x:v>Pune</x:v>
      </x:c>
      <x:c r="D1005" s="12" t="str">
        <x:v>MAIN-417</x:v>
      </x:c>
      <x:c r="E1005" s="12" t="str">
        <x:v>Wework - Eleven West</x:v>
      </x:c>
      <x:c r="F1005" s="11" t="n">
        <x:v>4</x:v>
      </x:c>
      <x:c r="G1005" s="11" t="n">
        <x:v>4</x:v>
      </x:c>
      <x:c r="H1005" s="11" t="n">
        <x:v>0</x:v>
      </x:c>
      <x:c r="I1005" s="17" t="n">
        <x:f>INDEX('Costing'!$P$9:$P$492,MATCH(D1005,'Costing'!$A$9:$A$492,0))</x:f>
        <x:v>100000</x:v>
      </x:c>
      <x:c r="J1005" s="17" t="n">
        <x:f>ROUND(I1005*'Costing'!$C$4,2)</x:f>
        <x:v>18000</x:v>
      </x:c>
      <x:c r="K1005" s="17" t="n">
        <x:f>I1005+J1005</x:f>
        <x:v>118000</x:v>
      </x:c>
    </x:row>
    <x:row r="1006" ht="46" customHeight="1">
      <x:c r="A1006" s="2" t="str">
        <x:v>Indicative size</x:v>
      </x:c>
      <x:c r="B1006" s="2" t="str">
        <x:v>Mixed business audience</x:v>
      </x:c>
      <x:c r="C1006" s="12" t="str">
        <x:v>Pune</x:v>
      </x:c>
      <x:c r="D1006" s="12" t="str">
        <x:v>MAIN-418</x:v>
      </x:c>
      <x:c r="E1006" s="12" t="str">
        <x:v>WeWork - EON IT Park</x:v>
      </x:c>
      <x:c r="F1006" s="11" t="n">
        <x:v>1</x:v>
      </x:c>
      <x:c r="G1006" s="11" t="n">
        <x:v>1</x:v>
      </x:c>
      <x:c r="H1006" s="11" t="n">
        <x:v>0</x:v>
      </x:c>
      <x:c r="I1006" s="17" t="n">
        <x:f>INDEX('Costing'!$P$9:$P$492,MATCH(D1006,'Costing'!$A$9:$A$492,0))</x:f>
        <x:v>25000</x:v>
      </x:c>
      <x:c r="J1006" s="17" t="n">
        <x:f>ROUND(I1006*'Costing'!$C$4,2)</x:f>
        <x:v>4500</x:v>
      </x:c>
      <x:c r="K1006" s="17" t="n">
        <x:f>I1006+J1006</x:f>
        <x:v>29500</x:v>
      </x:c>
    </x:row>
    <x:row r="1007" ht="46" customHeight="1">
      <x:c r="A1007" s="2" t="str">
        <x:v>Indicative size</x:v>
      </x:c>
      <x:c r="B1007" s="2" t="str">
        <x:v>Mixed business audience</x:v>
      </x:c>
      <x:c r="C1007" s="12" t="str">
        <x:v>Pune</x:v>
      </x:c>
      <x:c r="D1007" s="12" t="str">
        <x:v>MAIN-419</x:v>
      </x:c>
      <x:c r="E1007" s="12" t="str">
        <x:v>WeWork - Futura</x:v>
      </x:c>
      <x:c r="F1007" s="11" t="n">
        <x:v>2</x:v>
      </x:c>
      <x:c r="G1007" s="11" t="n">
        <x:v>2</x:v>
      </x:c>
      <x:c r="H1007" s="11" t="n">
        <x:v>0</x:v>
      </x:c>
      <x:c r="I1007" s="17" t="n">
        <x:f>INDEX('Costing'!$P$9:$P$492,MATCH(D1007,'Costing'!$A$9:$A$492,0))</x:f>
        <x:v>50000</x:v>
      </x:c>
      <x:c r="J1007" s="17" t="n">
        <x:f>ROUND(I1007*'Costing'!$C$4,2)</x:f>
        <x:v>9000</x:v>
      </x:c>
      <x:c r="K1007" s="17" t="n">
        <x:f>I1007+J1007</x:f>
        <x:v>59000</x:v>
      </x:c>
    </x:row>
    <x:row r="1008" ht="46" customHeight="1">
      <x:c r="A1008" s="2" t="str">
        <x:v>Indicative size</x:v>
      </x:c>
      <x:c r="B1008" s="2" t="str">
        <x:v>Mixed business audience</x:v>
      </x:c>
      <x:c r="C1008" s="12" t="str">
        <x:v>Pune</x:v>
      </x:c>
      <x:c r="D1008" s="12" t="str">
        <x:v>MAIN-422</x:v>
      </x:c>
      <x:c r="E1008" s="12" t="str">
        <x:v>Workflow by Oyo - Icon Tower</x:v>
      </x:c>
      <x:c r="F1008" s="11" t="n">
        <x:v>3</x:v>
      </x:c>
      <x:c r="G1008" s="11" t="n">
        <x:v>3</x:v>
      </x:c>
      <x:c r="H1008" s="11" t="n">
        <x:v>0</x:v>
      </x:c>
      <x:c r="I1008" s="17" t="n">
        <x:f>INDEX('Costing'!$P$9:$P$492,MATCH(D1008,'Costing'!$A$9:$A$492,0))</x:f>
        <x:v>45000</x:v>
      </x:c>
      <x:c r="J1008" s="17" t="n">
        <x:f>ROUND(I1008*'Costing'!$C$4,2)</x:f>
        <x:v>8100</x:v>
      </x:c>
      <x:c r="K1008" s="17" t="n">
        <x:f>I1008+J1008</x:f>
        <x:v>53100</x:v>
      </x:c>
    </x:row>
    <x:row r="1009" ht="46" customHeight="1">
      <x:c r="A1009" s="2" t="str">
        <x:v>Indicative size</x:v>
      </x:c>
      <x:c r="B1009" s="2" t="str">
        <x:v>Mixed business audience</x:v>
      </x:c>
      <x:c r="C1009" s="12" t="str">
        <x:v>Pune</x:v>
      </x:c>
      <x:c r="D1009" s="12" t="str">
        <x:v>MAIN-423</x:v>
      </x:c>
      <x:c r="E1009" s="12" t="str">
        <x:v>World Trade Center (TS)</x:v>
      </x:c>
      <x:c r="F1009" s="11" t="n">
        <x:v>1</x:v>
      </x:c>
      <x:c r="G1009" s="11" t="n">
        <x:v>1</x:v>
      </x:c>
      <x:c r="H1009" s="11" t="n">
        <x:v>0</x:v>
      </x:c>
      <x:c r="I1009" s="17" t="n">
        <x:f>INDEX('Costing'!$P$9:$P$492,MATCH(D1009,'Costing'!$A$9:$A$492,0))</x:f>
        <x:v>40000</x:v>
      </x:c>
      <x:c r="J1009" s="17" t="n">
        <x:f>ROUND(I1009*'Costing'!$C$4,2)</x:f>
        <x:v>7200</x:v>
      </x:c>
      <x:c r="K1009" s="17" t="n">
        <x:f>I1009+J1009</x:f>
        <x:v>47200</x:v>
      </x:c>
    </x:row>
    <x:row r="1010" ht="46" customHeight="1">
      <x:c r="A1010" s="2" t="str">
        <x:v>Indicative size</x:v>
      </x:c>
      <x:c r="B1010" s="2" t="str">
        <x:v>Mixed business audience</x:v>
      </x:c>
      <x:c r="C1010" s="12" t="str">
        <x:v>Bengaluru</x:v>
      </x:c>
      <x:c r="D1010" s="12" t="str">
        <x:v>PARTNER-M138</x:v>
      </x:c>
      <x:c r="E1010" s="12" t="str">
        <x:v>Bagmane Capital</x:v>
      </x:c>
      <x:c r="F1010" s="11" t="n">
        <x:v>8</x:v>
      </x:c>
      <x:c r="G1010" s="11" t="n">
        <x:v>8</x:v>
      </x:c>
      <x:c r="H1010" s="11" t="n">
        <x:v>0</x:v>
      </x:c>
      <x:c r="I1010" s="17" t="n">
        <x:f>INDEX('Costing'!$P$9:$P$492,MATCH(D1010,'Costing'!$A$9:$A$492,0))</x:f>
        <x:v>320000</x:v>
      </x:c>
      <x:c r="J1010" s="17" t="n">
        <x:f>ROUND(I1010*'Costing'!$C$4,2)</x:f>
        <x:v>57600</x:v>
      </x:c>
      <x:c r="K1010" s="17" t="n">
        <x:f>I1010+J1010</x:f>
        <x:v>377600</x:v>
      </x:c>
    </x:row>
    <x:row r="1011" ht="46" customHeight="1">
      <x:c r="A1011" s="2" t="str">
        <x:v>Indicative size</x:v>
      </x:c>
      <x:c r="B1011" s="2" t="str">
        <x:v>Mixed business audience</x:v>
      </x:c>
      <x:c r="C1011" s="12" t="str">
        <x:v>Bengaluru</x:v>
      </x:c>
      <x:c r="D1011" s="12" t="str">
        <x:v>PARTNER-M130</x:v>
      </x:c>
      <x:c r="E1011" s="12" t="str">
        <x:v>Bagmane Constellation </x:v>
      </x:c>
      <x:c r="F1011" s="11" t="n">
        <x:v>8</x:v>
      </x:c>
      <x:c r="G1011" s="11" t="n">
        <x:v>8</x:v>
      </x:c>
      <x:c r="H1011" s="11" t="n">
        <x:v>0</x:v>
      </x:c>
      <x:c r="I1011" s="17" t="n">
        <x:f>INDEX('Costing'!$P$9:$P$492,MATCH(D1011,'Costing'!$A$9:$A$492,0))</x:f>
        <x:v>320000</x:v>
      </x:c>
      <x:c r="J1011" s="17" t="n">
        <x:f>ROUND(I1011*'Costing'!$C$4,2)</x:f>
        <x:v>57600</x:v>
      </x:c>
      <x:c r="K1011" s="17" t="n">
        <x:f>I1011+J1011</x:f>
        <x:v>377600</x:v>
      </x:c>
    </x:row>
    <x:row r="1012" ht="46" customHeight="1">
      <x:c r="A1012" s="2" t="str">
        <x:v>Indicative size</x:v>
      </x:c>
      <x:c r="B1012" s="2" t="str">
        <x:v>Mixed business audience</x:v>
      </x:c>
      <x:c r="C1012" s="12" t="str">
        <x:v>Bengaluru</x:v>
      </x:c>
      <x:c r="D1012" s="12" t="str">
        <x:v>PARTNER-M146</x:v>
      </x:c>
      <x:c r="E1012" s="12" t="str">
        <x:v>Bagmane Solarium</x:v>
      </x:c>
      <x:c r="F1012" s="11" t="n">
        <x:v>8</x:v>
      </x:c>
      <x:c r="G1012" s="11" t="n">
        <x:v>8</x:v>
      </x:c>
      <x:c r="H1012" s="11" t="n">
        <x:v>0</x:v>
      </x:c>
      <x:c r="I1012" s="17" t="n">
        <x:f>INDEX('Costing'!$P$9:$P$492,MATCH(D1012,'Costing'!$A$9:$A$492,0))</x:f>
        <x:v>320000</x:v>
      </x:c>
      <x:c r="J1012" s="17" t="n">
        <x:f>ROUND(I1012*'Costing'!$C$4,2)</x:f>
        <x:v>57600</x:v>
      </x:c>
      <x:c r="K1012" s="17" t="n">
        <x:f>I1012+J1012</x:f>
        <x:v>377600</x:v>
      </x:c>
    </x:row>
    <x:row r="1013" ht="46" customHeight="1">
      <x:c r="A1013" s="2" t="str">
        <x:v>Indicative size</x:v>
      </x:c>
      <x:c r="B1013" s="2" t="str">
        <x:v>Mixed business audience</x:v>
      </x:c>
      <x:c r="C1013" s="12" t="str">
        <x:v>Bengaluru</x:v>
      </x:c>
      <x:c r="D1013" s="12" t="str">
        <x:v>PARTNER-M108</x:v>
      </x:c>
      <x:c r="E1013" s="12" t="str">
        <x:v>Bagmane Tech Park</x:v>
      </x:c>
      <x:c r="F1013" s="11" t="n">
        <x:v>12</x:v>
      </x:c>
      <x:c r="G1013" s="11" t="n">
        <x:v>12</x:v>
      </x:c>
      <x:c r="H1013" s="11" t="n">
        <x:v>0</x:v>
      </x:c>
      <x:c r="I1013" s="17" t="n">
        <x:f>INDEX('Costing'!$P$9:$P$492,MATCH(D1013,'Costing'!$A$9:$A$492,0))</x:f>
        <x:v>480000</x:v>
      </x:c>
      <x:c r="J1013" s="17" t="n">
        <x:f>ROUND(I1013*'Costing'!$C$4,2)</x:f>
        <x:v>86400</x:v>
      </x:c>
      <x:c r="K1013" s="17" t="n">
        <x:f>I1013+J1013</x:f>
        <x:v>566400</x:v>
      </x:c>
    </x:row>
    <x:row r="1014" ht="46" customHeight="1">
      <x:c r="A1014" s="2" t="str">
        <x:v>Indicative size</x:v>
      </x:c>
      <x:c r="B1014" s="2" t="str">
        <x:v>Mixed business audience</x:v>
      </x:c>
      <x:c r="C1014" s="12" t="str">
        <x:v>Bengaluru</x:v>
      </x:c>
      <x:c r="D1014" s="12" t="str">
        <x:v>PARTNER-M120</x:v>
      </x:c>
      <x:c r="E1014" s="12" t="str">
        <x:v>Bagmane World Technology Centre</x:v>
      </x:c>
      <x:c r="F1014" s="11" t="n">
        <x:v>10</x:v>
      </x:c>
      <x:c r="G1014" s="11" t="n">
        <x:v>10</x:v>
      </x:c>
      <x:c r="H1014" s="11" t="n">
        <x:v>0</x:v>
      </x:c>
      <x:c r="I1014" s="17" t="n">
        <x:f>INDEX('Costing'!$P$9:$P$492,MATCH(D1014,'Costing'!$A$9:$A$492,0))</x:f>
        <x:v>400000</x:v>
      </x:c>
      <x:c r="J1014" s="17" t="n">
        <x:f>ROUND(I1014*'Costing'!$C$4,2)</x:f>
        <x:v>72000</x:v>
      </x:c>
      <x:c r="K1014" s="17" t="n">
        <x:f>I1014+J1014</x:f>
        <x:v>472000</x:v>
      </x:c>
    </x:row>
    <x:row r="1015" ht="46" customHeight="1">
      <x:c r="A1015" s="2" t="str">
        <x:v>Indicative size</x:v>
      </x:c>
      <x:c r="B1015" s="2" t="str">
        <x:v>Mixed business audience</x:v>
      </x:c>
      <x:c r="C1015" s="12" t="str">
        <x:v>Bengaluru</x:v>
      </x:c>
      <x:c r="D1015" s="12" t="str">
        <x:v>PARTNER-M056</x:v>
      </x:c>
      <x:c r="E1015" s="12" t="str">
        <x:v>Brigade IRV</x:v>
      </x:c>
      <x:c r="F1015" s="11" t="n">
        <x:v>4</x:v>
      </x:c>
      <x:c r="G1015" s="11" t="n">
        <x:v>4</x:v>
      </x:c>
      <x:c r="H1015" s="11" t="n">
        <x:v>0</x:v>
      </x:c>
      <x:c r="I1015" s="17" t="n">
        <x:f>INDEX('Costing'!$P$9:$P$492,MATCH(D1015,'Costing'!$A$9:$A$492,0))</x:f>
        <x:v>160000</x:v>
      </x:c>
      <x:c r="J1015" s="17" t="n">
        <x:f>ROUND(I1015*'Costing'!$C$4,2)</x:f>
        <x:v>28800</x:v>
      </x:c>
      <x:c r="K1015" s="17" t="n">
        <x:f>I1015+J1015</x:f>
        <x:v>188800</x:v>
      </x:c>
    </x:row>
    <x:row r="1016" ht="46" customHeight="1">
      <x:c r="A1016" s="2" t="str">
        <x:v>Indicative size</x:v>
      </x:c>
      <x:c r="B1016" s="2" t="str">
        <x:v>Mixed business audience</x:v>
      </x:c>
      <x:c r="C1016" s="12" t="str">
        <x:v>Bengaluru</x:v>
      </x:c>
      <x:c r="D1016" s="12" t="str">
        <x:v>PARTNER-M067</x:v>
      </x:c>
      <x:c r="E1016" s="12" t="str">
        <x:v>Cessna - Embassy Tech Square</x:v>
      </x:c>
      <x:c r="F1016" s="11" t="n">
        <x:v>3</x:v>
      </x:c>
      <x:c r="G1016" s="11" t="n">
        <x:v>3</x:v>
      </x:c>
      <x:c r="H1016" s="11" t="n">
        <x:v>0</x:v>
      </x:c>
      <x:c r="I1016" s="17" t="n">
        <x:f>INDEX('Costing'!$P$9:$P$492,MATCH(D1016,'Costing'!$A$9:$A$492,0))</x:f>
        <x:v>120000</x:v>
      </x:c>
      <x:c r="J1016" s="17" t="n">
        <x:f>ROUND(I1016*'Costing'!$C$4,2)</x:f>
        <x:v>21600</x:v>
      </x:c>
      <x:c r="K1016" s="17" t="n">
        <x:f>I1016+J1016</x:f>
        <x:v>141600</x:v>
      </x:c>
    </x:row>
    <x:row r="1017" ht="46" customHeight="1">
      <x:c r="A1017" s="2" t="str">
        <x:v>Indicative size</x:v>
      </x:c>
      <x:c r="B1017" s="2" t="str">
        <x:v>Mixed business audience</x:v>
      </x:c>
      <x:c r="C1017" s="12" t="str">
        <x:v>Bengaluru</x:v>
      </x:c>
      <x:c r="D1017" s="12" t="str">
        <x:v>PARTNER-M166</x:v>
      </x:c>
      <x:c r="E1017" s="12" t="str">
        <x:v>Cessna Business Park</x:v>
      </x:c>
      <x:c r="F1017" s="11" t="n">
        <x:v>3</x:v>
      </x:c>
      <x:c r="G1017" s="11" t="n">
        <x:v>3</x:v>
      </x:c>
      <x:c r="H1017" s="11" t="n">
        <x:v>0</x:v>
      </x:c>
      <x:c r="I1017" s="17" t="n">
        <x:f>INDEX('Costing'!$P$9:$P$492,MATCH(D1017,'Costing'!$A$9:$A$492,0))</x:f>
        <x:v>120000</x:v>
      </x:c>
      <x:c r="J1017" s="17" t="n">
        <x:f>ROUND(I1017*'Costing'!$C$4,2)</x:f>
        <x:v>21600</x:v>
      </x:c>
      <x:c r="K1017" s="17" t="n">
        <x:f>I1017+J1017</x:f>
        <x:v>141600</x:v>
      </x:c>
    </x:row>
    <x:row r="1018" ht="46" customHeight="1">
      <x:c r="A1018" s="2" t="str">
        <x:v>Indicative size</x:v>
      </x:c>
      <x:c r="B1018" s="2" t="str">
        <x:v>Mixed business audience</x:v>
      </x:c>
      <x:c r="C1018" s="12" t="str">
        <x:v>Bengaluru</x:v>
      </x:c>
      <x:c r="D1018" s="12" t="str">
        <x:v>PARTNER-M162</x:v>
      </x:c>
      <x:c r="E1018" s="12" t="str">
        <x:v>Fincity Corproate Park </x:v>
      </x:c>
      <x:c r="F1018" s="11" t="n">
        <x:v>4</x:v>
      </x:c>
      <x:c r="G1018" s="11" t="n">
        <x:v>4</x:v>
      </x:c>
      <x:c r="H1018" s="11" t="n">
        <x:v>0</x:v>
      </x:c>
      <x:c r="I1018" s="17" t="n">
        <x:f>INDEX('Costing'!$P$9:$P$492,MATCH(D1018,'Costing'!$A$9:$A$492,0))</x:f>
        <x:v>160000</x:v>
      </x:c>
      <x:c r="J1018" s="17" t="n">
        <x:f>ROUND(I1018*'Costing'!$C$4,2)</x:f>
        <x:v>28800</x:v>
      </x:c>
      <x:c r="K1018" s="17" t="n">
        <x:f>I1018+J1018</x:f>
        <x:v>188800</x:v>
      </x:c>
    </x:row>
    <x:row r="1019" ht="46" customHeight="1">
      <x:c r="A1019" s="2" t="str">
        <x:v>Indicative size</x:v>
      </x:c>
      <x:c r="B1019" s="2" t="str">
        <x:v>Mixed business audience</x:v>
      </x:c>
      <x:c r="C1019" s="12" t="str">
        <x:v>Bengaluru</x:v>
      </x:c>
      <x:c r="D1019" s="12" t="str">
        <x:v>PARTNER-M065</x:v>
      </x:c>
      <x:c r="E1019" s="12" t="str">
        <x:v>First Technology Park</x:v>
      </x:c>
      <x:c r="F1019" s="11" t="n">
        <x:v>2</x:v>
      </x:c>
      <x:c r="G1019" s="11" t="n">
        <x:v>2</x:v>
      </x:c>
      <x:c r="H1019" s="11" t="n">
        <x:v>0</x:v>
      </x:c>
      <x:c r="I1019" s="17" t="n">
        <x:f>INDEX('Costing'!$P$9:$P$492,MATCH(D1019,'Costing'!$A$9:$A$492,0))</x:f>
        <x:v>80000</x:v>
      </x:c>
      <x:c r="J1019" s="17" t="n">
        <x:f>ROUND(I1019*'Costing'!$C$4,2)</x:f>
        <x:v>14400</x:v>
      </x:c>
      <x:c r="K1019" s="17" t="n">
        <x:f>I1019+J1019</x:f>
        <x:v>94400</x:v>
      </x:c>
    </x:row>
    <x:row r="1020" ht="46" customHeight="1">
      <x:c r="A1020" s="2" t="str">
        <x:v>Indicative size</x:v>
      </x:c>
      <x:c r="B1020" s="2" t="str">
        <x:v>Mixed business audience</x:v>
      </x:c>
      <x:c r="C1020" s="12" t="str">
        <x:v>Bengaluru</x:v>
      </x:c>
      <x:c r="D1020" s="12" t="str">
        <x:v>PARTNER-M060</x:v>
      </x:c>
      <x:c r="E1020" s="12" t="str">
        <x:v>Global Tech Park</x:v>
      </x:c>
      <x:c r="F1020" s="11" t="n">
        <x:v>5</x:v>
      </x:c>
      <x:c r="G1020" s="11" t="n">
        <x:v>5</x:v>
      </x:c>
      <x:c r="H1020" s="11" t="n">
        <x:v>0</x:v>
      </x:c>
      <x:c r="I1020" s="17" t="n">
        <x:f>INDEX('Costing'!$P$9:$P$492,MATCH(D1020,'Costing'!$A$9:$A$492,0))</x:f>
        <x:v>200000</x:v>
      </x:c>
      <x:c r="J1020" s="17" t="n">
        <x:f>ROUND(I1020*'Costing'!$C$4,2)</x:f>
        <x:v>36000</x:v>
      </x:c>
      <x:c r="K1020" s="17" t="n">
        <x:f>I1020+J1020</x:f>
        <x:v>236000</x:v>
      </x:c>
    </x:row>
    <x:row r="1021" ht="46" customHeight="1">
      <x:c r="A1021" s="2" t="str">
        <x:v>Indicative size</x:v>
      </x:c>
      <x:c r="B1021" s="2" t="str">
        <x:v>Mixed business audience</x:v>
      </x:c>
      <x:c r="C1021" s="12" t="str">
        <x:v>Bengaluru</x:v>
      </x:c>
      <x:c r="D1021" s="12" t="str">
        <x:v>PARTNER-M011</x:v>
      </x:c>
      <x:c r="E1021" s="12" t="str">
        <x:v>International Tech Park (ITPB - SEZ)</x:v>
      </x:c>
      <x:c r="F1021" s="11" t="n">
        <x:v>3</x:v>
      </x:c>
      <x:c r="G1021" s="11" t="n">
        <x:v>3</x:v>
      </x:c>
      <x:c r="H1021" s="11" t="n">
        <x:v>0</x:v>
      </x:c>
      <x:c r="I1021" s="17" t="n">
        <x:f>INDEX('Costing'!$P$9:$P$492,MATCH(D1021,'Costing'!$A$9:$A$492,0))</x:f>
        <x:v>120000</x:v>
      </x:c>
      <x:c r="J1021" s="17" t="n">
        <x:f>ROUND(I1021*'Costing'!$C$4,2)</x:f>
        <x:v>21600</x:v>
      </x:c>
      <x:c r="K1021" s="17" t="n">
        <x:f>I1021+J1021</x:f>
        <x:v>141600</x:v>
      </x:c>
    </x:row>
    <x:row r="1022" ht="46" customHeight="1">
      <x:c r="A1022" s="2" t="str">
        <x:v>Indicative size</x:v>
      </x:c>
      <x:c r="B1022" s="2" t="str">
        <x:v>Mixed business audience</x:v>
      </x:c>
      <x:c r="C1022" s="12" t="str">
        <x:v>Bengaluru</x:v>
      </x:c>
      <x:c r="D1022" s="12" t="str">
        <x:v>PARTNER-M002</x:v>
      </x:c>
      <x:c r="E1022" s="12" t="str">
        <x:v>International Tech Park (ITPB)</x:v>
      </x:c>
      <x:c r="F1022" s="11" t="n">
        <x:v>9</x:v>
      </x:c>
      <x:c r="G1022" s="11" t="n">
        <x:v>9</x:v>
      </x:c>
      <x:c r="H1022" s="11" t="n">
        <x:v>0</x:v>
      </x:c>
      <x:c r="I1022" s="17" t="n">
        <x:f>INDEX('Costing'!$P$9:$P$492,MATCH(D1022,'Costing'!$A$9:$A$492,0))</x:f>
        <x:v>360000</x:v>
      </x:c>
      <x:c r="J1022" s="17" t="n">
        <x:f>ROUND(I1022*'Costing'!$C$4,2)</x:f>
        <x:v>64800</x:v>
      </x:c>
      <x:c r="K1022" s="17" t="n">
        <x:f>I1022+J1022</x:f>
        <x:v>424800</x:v>
      </x:c>
    </x:row>
    <x:row r="1023" ht="46" customHeight="1">
      <x:c r="A1023" s="2" t="str">
        <x:v>Indicative size</x:v>
      </x:c>
      <x:c r="B1023" s="2" t="str">
        <x:v>Mixed business audience</x:v>
      </x:c>
      <x:c r="C1023" s="12" t="str">
        <x:v>Bengaluru</x:v>
      </x:c>
      <x:c r="D1023" s="12" t="str">
        <x:v>PARTNER-M051</x:v>
      </x:c>
      <x:c r="E1023" s="12" t="str">
        <x:v>Manyata Tech park - Mfar</x:v>
      </x:c>
      <x:c r="F1023" s="11" t="n">
        <x:v>5</x:v>
      </x:c>
      <x:c r="G1023" s="11" t="n">
        <x:v>5</x:v>
      </x:c>
      <x:c r="H1023" s="11" t="n">
        <x:v>0</x:v>
      </x:c>
      <x:c r="I1023" s="17" t="n">
        <x:f>INDEX('Costing'!$P$9:$P$492,MATCH(D1023,'Costing'!$A$9:$A$492,0))</x:f>
        <x:v>200000</x:v>
      </x:c>
      <x:c r="J1023" s="17" t="n">
        <x:f>ROUND(I1023*'Costing'!$C$4,2)</x:f>
        <x:v>36000</x:v>
      </x:c>
      <x:c r="K1023" s="17" t="n">
        <x:f>I1023+J1023</x:f>
        <x:v>236000</x:v>
      </x:c>
    </x:row>
    <x:row r="1024" ht="46" customHeight="1">
      <x:c r="A1024" s="2" t="str">
        <x:v>Indicative size</x:v>
      </x:c>
      <x:c r="B1024" s="2" t="str">
        <x:v>Mixed business audience</x:v>
      </x:c>
      <x:c r="C1024" s="12" t="str">
        <x:v>Bengaluru</x:v>
      </x:c>
      <x:c r="D1024" s="12" t="str">
        <x:v>PARTNER-M154</x:v>
      </x:c>
      <x:c r="E1024" s="12" t="str">
        <x:v>Maruthi Infotech Center</x:v>
      </x:c>
      <x:c r="F1024" s="11" t="n">
        <x:v>8</x:v>
      </x:c>
      <x:c r="G1024" s="11" t="n">
        <x:v>8</x:v>
      </x:c>
      <x:c r="H1024" s="11" t="n">
        <x:v>0</x:v>
      </x:c>
      <x:c r="I1024" s="17" t="n">
        <x:f>INDEX('Costing'!$P$9:$P$492,MATCH(D1024,'Costing'!$A$9:$A$492,0))</x:f>
        <x:v>320000</x:v>
      </x:c>
      <x:c r="J1024" s="17" t="n">
        <x:f>ROUND(I1024*'Costing'!$C$4,2)</x:f>
        <x:v>57600</x:v>
      </x:c>
      <x:c r="K1024" s="17" t="n">
        <x:f>I1024+J1024</x:f>
        <x:v>377600</x:v>
      </x:c>
    </x:row>
    <x:row r="1025" ht="46" customHeight="1">
      <x:c r="A1025" s="2" t="str">
        <x:v>Indicative size</x:v>
      </x:c>
      <x:c r="B1025" s="2" t="str">
        <x:v>Mixed business audience</x:v>
      </x:c>
      <x:c r="C1025" s="12" t="str">
        <x:v>Bengaluru</x:v>
      </x:c>
      <x:c r="D1025" s="12" t="str">
        <x:v>PARTNER-M097</x:v>
      </x:c>
      <x:c r="E1025" s="12" t="str">
        <x:v>Prestige Blue Chip </x:v>
      </x:c>
      <x:c r="F1025" s="11" t="n">
        <x:v>3</x:v>
      </x:c>
      <x:c r="G1025" s="11" t="n">
        <x:v>3</x:v>
      </x:c>
      <x:c r="H1025" s="11" t="n">
        <x:v>0</x:v>
      </x:c>
      <x:c r="I1025" s="17" t="n">
        <x:f>INDEX('Costing'!$P$9:$P$492,MATCH(D1025,'Costing'!$A$9:$A$492,0))</x:f>
        <x:v>120000</x:v>
      </x:c>
      <x:c r="J1025" s="17" t="n">
        <x:f>ROUND(I1025*'Costing'!$C$4,2)</x:f>
        <x:v>21600</x:v>
      </x:c>
      <x:c r="K1025" s="17" t="n">
        <x:f>I1025+J1025</x:f>
        <x:v>141600</x:v>
      </x:c>
    </x:row>
    <x:row r="1026" ht="46" customHeight="1">
      <x:c r="A1026" s="2" t="str">
        <x:v>Indicative size</x:v>
      </x:c>
      <x:c r="B1026" s="2" t="str">
        <x:v>Mixed business audience</x:v>
      </x:c>
      <x:c r="C1026" s="12" t="str">
        <x:v>Bengaluru</x:v>
      </x:c>
      <x:c r="D1026" s="12" t="str">
        <x:v>PARTNER-M100</x:v>
      </x:c>
      <x:c r="E1026" s="12" t="str">
        <x:v>Prestige Obelisk + Prestige Atrium + Prestige Sapphire + Prestige Al Kareem + Prestige Delta</x:v>
      </x:c>
      <x:c r="F1026" s="11" t="n">
        <x:v>8</x:v>
      </x:c>
      <x:c r="G1026" s="11" t="n">
        <x:v>8</x:v>
      </x:c>
      <x:c r="H1026" s="11" t="n">
        <x:v>0</x:v>
      </x:c>
      <x:c r="I1026" s="17" t="n">
        <x:f>INDEX('Costing'!$P$9:$P$492,MATCH(D1026,'Costing'!$A$9:$A$492,0))</x:f>
        <x:v>320000</x:v>
      </x:c>
      <x:c r="J1026" s="17" t="n">
        <x:f>ROUND(I1026*'Costing'!$C$4,2)</x:f>
        <x:v>57600</x:v>
      </x:c>
      <x:c r="K1026" s="17" t="n">
        <x:f>I1026+J1026</x:f>
        <x:v>377600</x:v>
      </x:c>
    </x:row>
    <x:row r="1027" ht="46" customHeight="1">
      <x:c r="A1027" s="2" t="str">
        <x:v>Indicative size</x:v>
      </x:c>
      <x:c r="B1027" s="2" t="str">
        <x:v>Mixed business audience</x:v>
      </x:c>
      <x:c r="C1027" s="12" t="str">
        <x:v>Bengaluru</x:v>
      </x:c>
      <x:c r="D1027" s="12" t="str">
        <x:v>PARTNER-M027</x:v>
      </x:c>
      <x:c r="E1027" s="12" t="str">
        <x:v>Prestige Shantiniketan</x:v>
      </x:c>
      <x:c r="F1027" s="11" t="n">
        <x:v>7</x:v>
      </x:c>
      <x:c r="G1027" s="11" t="n">
        <x:v>7</x:v>
      </x:c>
      <x:c r="H1027" s="11" t="n">
        <x:v>0</x:v>
      </x:c>
      <x:c r="I1027" s="17" t="n">
        <x:f>INDEX('Costing'!$P$9:$P$492,MATCH(D1027,'Costing'!$A$9:$A$492,0))</x:f>
        <x:v>280000</x:v>
      </x:c>
      <x:c r="J1027" s="17" t="n">
        <x:f>ROUND(I1027*'Costing'!$C$4,2)</x:f>
        <x:v>50400</x:v>
      </x:c>
      <x:c r="K1027" s="17" t="n">
        <x:f>I1027+J1027</x:f>
        <x:v>330400</x:v>
      </x:c>
    </x:row>
    <x:row r="1028" ht="46" customHeight="1">
      <x:c r="A1028" s="2" t="str">
        <x:v>Indicative size</x:v>
      </x:c>
      <x:c r="B1028" s="2" t="str">
        <x:v>Mixed business audience</x:v>
      </x:c>
      <x:c r="C1028" s="12" t="str">
        <x:v>Bengaluru</x:v>
      </x:c>
      <x:c r="D1028" s="12" t="str">
        <x:v>PARTNER-M082</x:v>
      </x:c>
      <x:c r="E1028" s="12" t="str">
        <x:v>Prestige Sterling Square + Prestige Solitaire + Prestige Sigma + Prestige Loka + Prestige Emerald + Prestige Towers</x:v>
      </x:c>
      <x:c r="F1028" s="11" t="n">
        <x:v>11</x:v>
      </x:c>
      <x:c r="G1028" s="11" t="n">
        <x:v>11</x:v>
      </x:c>
      <x:c r="H1028" s="11" t="n">
        <x:v>0</x:v>
      </x:c>
      <x:c r="I1028" s="17" t="n">
        <x:f>INDEX('Costing'!$P$9:$P$492,MATCH(D1028,'Costing'!$A$9:$A$492,0))</x:f>
        <x:v>440000</x:v>
      </x:c>
      <x:c r="J1028" s="17" t="n">
        <x:f>ROUND(I1028*'Costing'!$C$4,2)</x:f>
        <x:v>79200</x:v>
      </x:c>
      <x:c r="K1028" s="17" t="n">
        <x:f>I1028+J1028</x:f>
        <x:v>519200</x:v>
      </x:c>
    </x:row>
    <x:row r="1029" ht="46" customHeight="1">
      <x:c r="A1029" s="2" t="str">
        <x:v>Indicative size</x:v>
      </x:c>
      <x:c r="B1029" s="2" t="str">
        <x:v>Mixed business audience</x:v>
      </x:c>
      <x:c r="C1029" s="12" t="str">
        <x:v>Bengaluru</x:v>
      </x:c>
      <x:c r="D1029" s="12" t="str">
        <x:v>PARTNER-M093</x:v>
      </x:c>
      <x:c r="E1029" s="12" t="str">
        <x:v>Prestige Summit</x:v>
      </x:c>
      <x:c r="F1029" s="11" t="n">
        <x:v>4</x:v>
      </x:c>
      <x:c r="G1029" s="11" t="n">
        <x:v>4</x:v>
      </x:c>
      <x:c r="H1029" s="11" t="n">
        <x:v>0</x:v>
      </x:c>
      <x:c r="I1029" s="17" t="n">
        <x:f>INDEX('Costing'!$P$9:$P$492,MATCH(D1029,'Costing'!$A$9:$A$492,0))</x:f>
        <x:v>160000</x:v>
      </x:c>
      <x:c r="J1029" s="17" t="n">
        <x:f>ROUND(I1029*'Costing'!$C$4,2)</x:f>
        <x:v>28800</x:v>
      </x:c>
      <x:c r="K1029" s="17" t="n">
        <x:f>I1029+J1029</x:f>
        <x:v>188800</x:v>
      </x:c>
    </x:row>
    <x:row r="1030" ht="46" customHeight="1">
      <x:c r="A1030" s="2" t="str">
        <x:v>Indicative size</x:v>
      </x:c>
      <x:c r="B1030" s="2" t="str">
        <x:v>Mixed business audience</x:v>
      </x:c>
      <x:c r="C1030" s="12" t="str">
        <x:v>Bengaluru</x:v>
      </x:c>
      <x:c r="D1030" s="12" t="str">
        <x:v>PARTNER-M039</x:v>
      </x:c>
      <x:c r="E1030" s="12" t="str">
        <x:v>Prestige Tech Cloud</x:v>
      </x:c>
      <x:c r="F1030" s="11" t="n">
        <x:v>6</x:v>
      </x:c>
      <x:c r="G1030" s="11" t="n">
        <x:v>6</x:v>
      </x:c>
      <x:c r="H1030" s="11" t="n">
        <x:v>0</x:v>
      </x:c>
      <x:c r="I1030" s="17" t="n">
        <x:f>INDEX('Costing'!$P$9:$P$492,MATCH(D1030,'Costing'!$A$9:$A$492,0))</x:f>
        <x:v>240000</x:v>
      </x:c>
      <x:c r="J1030" s="17" t="n">
        <x:f>ROUND(I1030*'Costing'!$C$4,2)</x:f>
        <x:v>43200</x:v>
      </x:c>
      <x:c r="K1030" s="17" t="n">
        <x:f>I1030+J1030</x:f>
        <x:v>283200</x:v>
      </x:c>
    </x:row>
    <x:row r="1031" ht="46" customHeight="1">
      <x:c r="A1031" s="2" t="str">
        <x:v>Indicative size</x:v>
      </x:c>
      <x:c r="B1031" s="2" t="str">
        <x:v>Mixed business audience</x:v>
      </x:c>
      <x:c r="C1031" s="12" t="str">
        <x:v>Bengaluru</x:v>
      </x:c>
      <x:c r="D1031" s="12" t="str">
        <x:v>PARTNER-M045</x:v>
      </x:c>
      <x:c r="E1031" s="12" t="str">
        <x:v>Prestige Tech Pacific</x:v>
      </x:c>
      <x:c r="F1031" s="11" t="n">
        <x:v>6</x:v>
      </x:c>
      <x:c r="G1031" s="11" t="n">
        <x:v>6</x:v>
      </x:c>
      <x:c r="H1031" s="11" t="n">
        <x:v>0</x:v>
      </x:c>
      <x:c r="I1031" s="17" t="n">
        <x:f>INDEX('Costing'!$P$9:$P$492,MATCH(D1031,'Costing'!$A$9:$A$492,0))</x:f>
        <x:v>240000</x:v>
      </x:c>
      <x:c r="J1031" s="17" t="n">
        <x:f>ROUND(I1031*'Costing'!$C$4,2)</x:f>
        <x:v>43200</x:v>
      </x:c>
      <x:c r="K1031" s="17" t="n">
        <x:f>I1031+J1031</x:f>
        <x:v>283200</x:v>
      </x:c>
    </x:row>
    <x:row r="1032" ht="46" customHeight="1">
      <x:c r="A1032" s="2" t="str">
        <x:v>Indicative size</x:v>
      </x:c>
      <x:c r="B1032" s="2" t="str">
        <x:v>Mixed business audience</x:v>
      </x:c>
      <x:c r="C1032" s="12" t="str">
        <x:v>Bengaluru</x:v>
      </x:c>
      <x:c r="D1032" s="12" t="str">
        <x:v>PARTNER-M014</x:v>
      </x:c>
      <x:c r="E1032" s="12" t="str">
        <x:v>Prestige Tech Park</x:v>
      </x:c>
      <x:c r="F1032" s="11" t="n">
        <x:v>10</x:v>
      </x:c>
      <x:c r="G1032" s="11" t="n">
        <x:v>10</x:v>
      </x:c>
      <x:c r="H1032" s="11" t="n">
        <x:v>0</x:v>
      </x:c>
      <x:c r="I1032" s="17" t="n">
        <x:f>INDEX('Costing'!$P$9:$P$492,MATCH(D1032,'Costing'!$A$9:$A$492,0))</x:f>
        <x:v>400000</x:v>
      </x:c>
      <x:c r="J1032" s="17" t="n">
        <x:f>ROUND(I1032*'Costing'!$C$4,2)</x:f>
        <x:v>72000</x:v>
      </x:c>
      <x:c r="K1032" s="17" t="n">
        <x:f>I1032+J1032</x:f>
        <x:v>472000</x:v>
      </x:c>
    </x:row>
    <x:row r="1033" ht="46" customHeight="1">
      <x:c r="A1033" s="2" t="str">
        <x:v>Indicative size</x:v>
      </x:c>
      <x:c r="B1033" s="2" t="str">
        <x:v>Mixed business audience</x:v>
      </x:c>
      <x:c r="C1033" s="12" t="str">
        <x:v>Bengaluru</x:v>
      </x:c>
      <x:c r="D1033" s="12" t="str">
        <x:v>PARTNER-M034</x:v>
      </x:c>
      <x:c r="E1033" s="12" t="str">
        <x:v>Prestige Technostar</x:v>
      </x:c>
      <x:c r="F1033" s="11" t="n">
        <x:v>5</x:v>
      </x:c>
      <x:c r="G1033" s="11" t="n">
        <x:v>5</x:v>
      </x:c>
      <x:c r="H1033" s="11" t="n">
        <x:v>0</x:v>
      </x:c>
      <x:c r="I1033" s="17" t="n">
        <x:f>INDEX('Costing'!$P$9:$P$492,MATCH(D1033,'Costing'!$A$9:$A$492,0))</x:f>
        <x:v>200000</x:v>
      </x:c>
      <x:c r="J1033" s="17" t="n">
        <x:f>ROUND(I1033*'Costing'!$C$4,2)</x:f>
        <x:v>36000</x:v>
      </x:c>
      <x:c r="K1033" s="17" t="n">
        <x:f>I1033+J1033</x:f>
        <x:v>236000</x:v>
      </x:c>
    </x:row>
    <x:row r="1034" ht="46" customHeight="1">
      <x:c r="A1034" s="2" t="str">
        <x:v>Indicative size</x:v>
      </x:c>
      <x:c r="B1034" s="2" t="str">
        <x:v>Mixed business audience</x:v>
      </x:c>
      <x:c r="C1034" s="12" t="str">
        <x:v>Bengaluru</x:v>
      </x:c>
      <x:c r="D1034" s="12" t="str">
        <x:v>PARTNER-M070</x:v>
      </x:c>
      <x:c r="E1034" s="12" t="str">
        <x:v>Roach Icon</x:v>
      </x:c>
      <x:c r="F1034" s="11" t="n">
        <x:v>2</x:v>
      </x:c>
      <x:c r="G1034" s="11" t="n">
        <x:v>2</x:v>
      </x:c>
      <x:c r="H1034" s="11" t="n">
        <x:v>0</x:v>
      </x:c>
      <x:c r="I1034" s="17" t="n">
        <x:f>INDEX('Costing'!$P$9:$P$492,MATCH(D1034,'Costing'!$A$9:$A$492,0))</x:f>
        <x:v>80000</x:v>
      </x:c>
      <x:c r="J1034" s="17" t="n">
        <x:f>ROUND(I1034*'Costing'!$C$4,2)</x:f>
        <x:v>14400</x:v>
      </x:c>
      <x:c r="K1034" s="17" t="n">
        <x:f>I1034+J1034</x:f>
        <x:v>94400</x:v>
      </x:c>
    </x:row>
    <x:row r="1035" ht="46" customHeight="1">
      <x:c r="A1035" s="2" t="str">
        <x:v>Indicative size</x:v>
      </x:c>
      <x:c r="B1035" s="2" t="str">
        <x:v>Mixed business audience</x:v>
      </x:c>
      <x:c r="C1035" s="12" t="str">
        <x:v>Bengaluru</x:v>
      </x:c>
      <x:c r="D1035" s="12" t="str">
        <x:v>PARTNER-M072</x:v>
      </x:c>
      <x:c r="E1035" s="12" t="str">
        <x:v>Umiya Business Bay</x:v>
      </x:c>
      <x:c r="F1035" s="11" t="n">
        <x:v>6</x:v>
      </x:c>
      <x:c r="G1035" s="11" t="n">
        <x:v>6</x:v>
      </x:c>
      <x:c r="H1035" s="11" t="n">
        <x:v>0</x:v>
      </x:c>
      <x:c r="I1035" s="17" t="n">
        <x:f>INDEX('Costing'!$P$9:$P$492,MATCH(D1035,'Costing'!$A$9:$A$492,0))</x:f>
        <x:v>240000</x:v>
      </x:c>
      <x:c r="J1035" s="17" t="n">
        <x:f>ROUND(I1035*'Costing'!$C$4,2)</x:f>
        <x:v>43200</x:v>
      </x:c>
      <x:c r="K1035" s="17" t="n">
        <x:f>I1035+J1035</x:f>
        <x:v>283200</x:v>
      </x:c>
    </x:row>
    <x:row r="1036" ht="46" customHeight="1">
      <x:c r="A1036" s="2" t="str">
        <x:v>Indicative size</x:v>
      </x:c>
      <x:c r="B1036" s="2" t="str">
        <x:v>Mixed business audience</x:v>
      </x:c>
      <x:c r="C1036" s="12" t="str">
        <x:v>Chennai</x:v>
      </x:c>
      <x:c r="D1036" s="12" t="str">
        <x:v>PARTNER-M349</x:v>
      </x:c>
      <x:c r="E1036" s="12" t="str">
        <x:v>Kushal Towers</x:v>
      </x:c>
      <x:c r="F1036" s="11" t="n">
        <x:v>1</x:v>
      </x:c>
      <x:c r="G1036" s="11" t="n">
        <x:v>1</x:v>
      </x:c>
      <x:c r="H1036" s="11" t="n">
        <x:v>0</x:v>
      </x:c>
      <x:c r="I1036" s="17" t="n">
        <x:f>INDEX('Costing'!$P$9:$P$492,MATCH(D1036,'Costing'!$A$9:$A$492,0))</x:f>
        <x:v>40000</x:v>
      </x:c>
      <x:c r="J1036" s="17" t="n">
        <x:f>ROUND(I1036*'Costing'!$C$4,2)</x:f>
        <x:v>7200</x:v>
      </x:c>
      <x:c r="K1036" s="17" t="n">
        <x:f>I1036+J1036</x:f>
        <x:v>47200</x:v>
      </x:c>
    </x:row>
    <x:row r="1037" ht="46" customHeight="1">
      <x:c r="A1037" s="2" t="str">
        <x:v>Indicative size</x:v>
      </x:c>
      <x:c r="B1037" s="2" t="str">
        <x:v>Mixed business audience</x:v>
      </x:c>
      <x:c r="C1037" s="12" t="str">
        <x:v>Chennai</x:v>
      </x:c>
      <x:c r="D1037" s="12" t="str">
        <x:v>PARTNER-M340</x:v>
      </x:c>
      <x:c r="E1037" s="12" t="str">
        <x:v>Prestige Cosmopolitan</x:v>
      </x:c>
      <x:c r="F1037" s="11" t="n">
        <x:v>2</x:v>
      </x:c>
      <x:c r="G1037" s="11" t="n">
        <x:v>2</x:v>
      </x:c>
      <x:c r="H1037" s="11" t="n">
        <x:v>0</x:v>
      </x:c>
      <x:c r="I1037" s="17" t="n">
        <x:f>INDEX('Costing'!$P$9:$P$492,MATCH(D1037,'Costing'!$A$9:$A$492,0))</x:f>
        <x:v>80000</x:v>
      </x:c>
      <x:c r="J1037" s="17" t="n">
        <x:f>ROUND(I1037*'Costing'!$C$4,2)</x:f>
        <x:v>14400</x:v>
      </x:c>
      <x:c r="K1037" s="17" t="n">
        <x:f>I1037+J1037</x:f>
        <x:v>94400</x:v>
      </x:c>
    </x:row>
    <x:row r="1038" ht="46" customHeight="1">
      <x:c r="A1038" s="2" t="str">
        <x:v>Indicative size</x:v>
      </x:c>
      <x:c r="B1038" s="2" t="str">
        <x:v>Mixed business audience</x:v>
      </x:c>
      <x:c r="C1038" s="12" t="str">
        <x:v>Chennai</x:v>
      </x:c>
      <x:c r="D1038" s="12" t="str">
        <x:v>PARTNER-M336</x:v>
      </x:c>
      <x:c r="E1038" s="12" t="str">
        <x:v>Prestige Cyber Tower</x:v>
      </x:c>
      <x:c r="F1038" s="11" t="n">
        <x:v>2</x:v>
      </x:c>
      <x:c r="G1038" s="11" t="n">
        <x:v>2</x:v>
      </x:c>
      <x:c r="H1038" s="11" t="n">
        <x:v>0</x:v>
      </x:c>
      <x:c r="I1038" s="17" t="n">
        <x:f>INDEX('Costing'!$P$9:$P$492,MATCH(D1038,'Costing'!$A$9:$A$492,0))</x:f>
        <x:v>80000</x:v>
      </x:c>
      <x:c r="J1038" s="17" t="n">
        <x:f>ROUND(I1038*'Costing'!$C$4,2)</x:f>
        <x:v>14400</x:v>
      </x:c>
      <x:c r="K1038" s="17" t="n">
        <x:f>I1038+J1038</x:f>
        <x:v>94400</x:v>
      </x:c>
    </x:row>
    <x:row r="1039" ht="46" customHeight="1">
      <x:c r="A1039" s="2" t="str">
        <x:v>Indicative size</x:v>
      </x:c>
      <x:c r="B1039" s="2" t="str">
        <x:v>Mixed business audience</x:v>
      </x:c>
      <x:c r="C1039" s="12" t="str">
        <x:v>Chennai</x:v>
      </x:c>
      <x:c r="D1039" s="12" t="str">
        <x:v>PARTNER-M338</x:v>
      </x:c>
      <x:c r="E1039" s="12" t="str">
        <x:v>Prestige Palladium Bayan</x:v>
      </x:c>
      <x:c r="F1039" s="11" t="n">
        <x:v>2</x:v>
      </x:c>
      <x:c r="G1039" s="11" t="n">
        <x:v>2</x:v>
      </x:c>
      <x:c r="H1039" s="11" t="n">
        <x:v>0</x:v>
      </x:c>
      <x:c r="I1039" s="17" t="n">
        <x:f>INDEX('Costing'!$P$9:$P$492,MATCH(D1039,'Costing'!$A$9:$A$492,0))</x:f>
        <x:v>80000</x:v>
      </x:c>
      <x:c r="J1039" s="17" t="n">
        <x:f>ROUND(I1039*'Costing'!$C$4,2)</x:f>
        <x:v>14400</x:v>
      </x:c>
      <x:c r="K1039" s="17" t="n">
        <x:f>I1039+J1039</x:f>
        <x:v>94400</x:v>
      </x:c>
    </x:row>
    <x:row r="1040" ht="46" customHeight="1">
      <x:c r="A1040" s="2" t="str">
        <x:v>Indicative size</x:v>
      </x:c>
      <x:c r="B1040" s="2" t="str">
        <x:v>Mixed business audience</x:v>
      </x:c>
      <x:c r="C1040" s="12" t="str">
        <x:v>Chennai</x:v>
      </x:c>
      <x:c r="D1040" s="12" t="str">
        <x:v>PARTNER-M332</x:v>
      </x:c>
      <x:c r="E1040" s="12" t="str">
        <x:v>Prestige Polygon</x:v>
      </x:c>
      <x:c r="F1040" s="11" t="n">
        <x:v>2</x:v>
      </x:c>
      <x:c r="G1040" s="11" t="n">
        <x:v>2</x:v>
      </x:c>
      <x:c r="H1040" s="11" t="n">
        <x:v>0</x:v>
      </x:c>
      <x:c r="I1040" s="17" t="n">
        <x:f>INDEX('Costing'!$P$9:$P$492,MATCH(D1040,'Costing'!$A$9:$A$492,0))</x:f>
        <x:v>80000</x:v>
      </x:c>
      <x:c r="J1040" s="17" t="n">
        <x:f>ROUND(I1040*'Costing'!$C$4,2)</x:f>
        <x:v>14400</x:v>
      </x:c>
      <x:c r="K1040" s="17" t="n">
        <x:f>I1040+J1040</x:f>
        <x:v>94400</x:v>
      </x:c>
    </x:row>
    <x:row r="1041" ht="46" customHeight="1">
      <x:c r="A1041" s="2" t="str">
        <x:v>Indicative size</x:v>
      </x:c>
      <x:c r="B1041" s="2" t="str">
        <x:v>Mixed business audience</x:v>
      </x:c>
      <x:c r="C1041" s="12" t="str">
        <x:v>Chennai</x:v>
      </x:c>
      <x:c r="D1041" s="12" t="str">
        <x:v>PARTNER-M334</x:v>
      </x:c>
      <x:c r="E1041" s="12" t="str">
        <x:v>Prestige Zakria Metropolitan</x:v>
      </x:c>
      <x:c r="F1041" s="11" t="n">
        <x:v>2</x:v>
      </x:c>
      <x:c r="G1041" s="11" t="n">
        <x:v>2</x:v>
      </x:c>
      <x:c r="H1041" s="11" t="n">
        <x:v>0</x:v>
      </x:c>
      <x:c r="I1041" s="17" t="n">
        <x:f>INDEX('Costing'!$P$9:$P$492,MATCH(D1041,'Costing'!$A$9:$A$492,0))</x:f>
        <x:v>80000</x:v>
      </x:c>
      <x:c r="J1041" s="17" t="n">
        <x:f>ROUND(I1041*'Costing'!$C$4,2)</x:f>
        <x:v>14400</x:v>
      </x:c>
      <x:c r="K1041" s="17" t="n">
        <x:f>I1041+J1041</x:f>
        <x:v>94400</x:v>
      </x:c>
    </x:row>
    <x:row r="1042" ht="46" customHeight="1">
      <x:c r="A1042" s="2" t="str">
        <x:v>Indicative size</x:v>
      </x:c>
      <x:c r="B1042" s="2" t="str">
        <x:v>Mixed business audience</x:v>
      </x:c>
      <x:c r="C1042" s="12" t="str">
        <x:v>Chennai</x:v>
      </x:c>
      <x:c r="D1042" s="12" t="str">
        <x:v>PARTNER-M347</x:v>
      </x:c>
      <x:c r="E1042" s="12" t="str">
        <x:v>Prince Infocity 1</x:v>
      </x:c>
      <x:c r="F1042" s="11" t="n">
        <x:v>2</x:v>
      </x:c>
      <x:c r="G1042" s="11" t="n">
        <x:v>2</x:v>
      </x:c>
      <x:c r="H1042" s="11" t="n">
        <x:v>0</x:v>
      </x:c>
      <x:c r="I1042" s="17" t="n">
        <x:f>INDEX('Costing'!$P$9:$P$492,MATCH(D1042,'Costing'!$A$9:$A$492,0))</x:f>
        <x:v>80000</x:v>
      </x:c>
      <x:c r="J1042" s="17" t="n">
        <x:f>ROUND(I1042*'Costing'!$C$4,2)</x:f>
        <x:v>14400</x:v>
      </x:c>
      <x:c r="K1042" s="17" t="n">
        <x:f>I1042+J1042</x:f>
        <x:v>94400</x:v>
      </x:c>
    </x:row>
    <x:row r="1043" ht="46" customHeight="1">
      <x:c r="A1043" s="2" t="str">
        <x:v>Indicative size</x:v>
      </x:c>
      <x:c r="B1043" s="2" t="str">
        <x:v>Mixed business audience</x:v>
      </x:c>
      <x:c r="C1043" s="12" t="str">
        <x:v>Chennai</x:v>
      </x:c>
      <x:c r="D1043" s="12" t="str">
        <x:v>PARTNER-M342</x:v>
      </x:c>
      <x:c r="E1043" s="12" t="str">
        <x:v>Prince Infocity 2</x:v>
      </x:c>
      <x:c r="F1043" s="11" t="n">
        <x:v>5</x:v>
      </x:c>
      <x:c r="G1043" s="11" t="n">
        <x:v>5</x:v>
      </x:c>
      <x:c r="H1043" s="11" t="n">
        <x:v>0</x:v>
      </x:c>
      <x:c r="I1043" s="17" t="n">
        <x:f>INDEX('Costing'!$P$9:$P$492,MATCH(D1043,'Costing'!$A$9:$A$492,0))</x:f>
        <x:v>200000</x:v>
      </x:c>
      <x:c r="J1043" s="17" t="n">
        <x:f>ROUND(I1043*'Costing'!$C$4,2)</x:f>
        <x:v>36000</x:v>
      </x:c>
      <x:c r="K1043" s="17" t="n">
        <x:f>I1043+J1043</x:f>
        <x:v>236000</x:v>
      </x:c>
    </x:row>
    <x:row r="1044" ht="46" customHeight="1">
      <x:c r="A1044" s="2" t="str">
        <x:v>Indicative size</x:v>
      </x:c>
      <x:c r="B1044" s="2" t="str">
        <x:v>Mixed business audience</x:v>
      </x:c>
      <x:c r="C1044" s="12" t="str">
        <x:v>Chennai</x:v>
      </x:c>
      <x:c r="D1044" s="12" t="str">
        <x:v>PARTNER-M350</x:v>
      </x:c>
      <x:c r="E1044" s="12" t="str">
        <x:v>Prince Infopark</x:v>
      </x:c>
      <x:c r="F1044" s="11" t="n">
        <x:v>2</x:v>
      </x:c>
      <x:c r="G1044" s="11" t="n">
        <x:v>2</x:v>
      </x:c>
      <x:c r="H1044" s="11" t="n">
        <x:v>0</x:v>
      </x:c>
      <x:c r="I1044" s="17" t="n">
        <x:f>INDEX('Costing'!$P$9:$P$492,MATCH(D1044,'Costing'!$A$9:$A$492,0))</x:f>
        <x:v>80000</x:v>
      </x:c>
      <x:c r="J1044" s="17" t="n">
        <x:f>ROUND(I1044*'Costing'!$C$4,2)</x:f>
        <x:v>14400</x:v>
      </x:c>
      <x:c r="K1044" s="17" t="n">
        <x:f>I1044+J1044</x:f>
        <x:v>94400</x:v>
      </x:c>
    </x:row>
    <x:row r="1045" ht="46" customHeight="1">
      <x:c r="A1045" s="2" t="str">
        <x:v>Indicative size</x:v>
      </x:c>
      <x:c r="B1045" s="2" t="str">
        <x:v>Mixed business audience</x:v>
      </x:c>
      <x:c r="C1045" s="12" t="str">
        <x:v>Chennai</x:v>
      </x:c>
      <x:c r="D1045" s="12" t="str">
        <x:v>PARTNER-M331</x:v>
      </x:c>
      <x:c r="E1045" s="12" t="str">
        <x:v>Prince Towers</x:v>
      </x:c>
      <x:c r="F1045" s="11" t="n">
        <x:v>1</x:v>
      </x:c>
      <x:c r="G1045" s="11" t="n">
        <x:v>1</x:v>
      </x:c>
      <x:c r="H1045" s="11" t="n">
        <x:v>0</x:v>
      </x:c>
      <x:c r="I1045" s="17" t="n">
        <x:f>INDEX('Costing'!$P$9:$P$492,MATCH(D1045,'Costing'!$A$9:$A$492,0))</x:f>
        <x:v>40000</x:v>
      </x:c>
      <x:c r="J1045" s="17" t="n">
        <x:f>ROUND(I1045*'Costing'!$C$4,2)</x:f>
        <x:v>7200</x:v>
      </x:c>
      <x:c r="K1045" s="17" t="n">
        <x:f>I1045+J1045</x:f>
        <x:v>47200</x:v>
      </x:c>
    </x:row>
    <x:row r="1046" ht="46" customHeight="1">
      <x:c r="A1046" s="2" t="str">
        <x:v>Indicative size</x:v>
      </x:c>
      <x:c r="B1046" s="2" t="str">
        <x:v>Mixed business audience</x:v>
      </x:c>
      <x:c r="C1046" s="12" t="str">
        <x:v>Chennai</x:v>
      </x:c>
      <x:c r="D1046" s="12" t="str">
        <x:v>PARTNER-M325</x:v>
      </x:c>
      <x:c r="E1046" s="12" t="str">
        <x:v>WTC Chennai</x:v>
      </x:c>
      <x:c r="F1046" s="11" t="n">
        <x:v>6</x:v>
      </x:c>
      <x:c r="G1046" s="11" t="n">
        <x:v>6</x:v>
      </x:c>
      <x:c r="H1046" s="11" t="n">
        <x:v>0</x:v>
      </x:c>
      <x:c r="I1046" s="17" t="n">
        <x:f>INDEX('Costing'!$P$9:$P$492,MATCH(D1046,'Costing'!$A$9:$A$492,0))</x:f>
        <x:v>240000</x:v>
      </x:c>
      <x:c r="J1046" s="17" t="n">
        <x:f>ROUND(I1046*'Costing'!$C$4,2)</x:f>
        <x:v>43200</x:v>
      </x:c>
      <x:c r="K1046" s="17" t="n">
        <x:f>I1046+J1046</x:f>
        <x:v>283200</x:v>
      </x:c>
    </x:row>
    <x:row r="1047" ht="46" customHeight="1">
      <x:c r="A1047" s="2" t="str">
        <x:v>Indicative size</x:v>
      </x:c>
      <x:c r="B1047" s="2" t="str">
        <x:v>Mixed business audience</x:v>
      </x:c>
      <x:c r="C1047" s="12" t="str">
        <x:v>Delhi NCR</x:v>
      </x:c>
      <x:c r="D1047" s="12" t="str">
        <x:v>PARTNER-M375</x:v>
      </x:c>
      <x:c r="E1047" s="12" t="str">
        <x:v>Add India Height</x:v>
      </x:c>
      <x:c r="F1047" s="11" t="n">
        <x:v>4</x:v>
      </x:c>
      <x:c r="G1047" s="11" t="n">
        <x:v>4</x:v>
      </x:c>
      <x:c r="H1047" s="11" t="n">
        <x:v>0</x:v>
      </x:c>
      <x:c r="I1047" s="17" t="n">
        <x:f>INDEX('Costing'!$P$9:$P$492,MATCH(D1047,'Costing'!$A$9:$A$492,0))</x:f>
        <x:v>160000</x:v>
      </x:c>
      <x:c r="J1047" s="17" t="n">
        <x:f>ROUND(I1047*'Costing'!$C$4,2)</x:f>
        <x:v>28800</x:v>
      </x:c>
      <x:c r="K1047" s="17" t="n">
        <x:f>I1047+J1047</x:f>
        <x:v>188800</x:v>
      </x:c>
    </x:row>
    <x:row r="1048" ht="46" customHeight="1">
      <x:c r="A1048" s="2" t="str">
        <x:v>Indicative size</x:v>
      </x:c>
      <x:c r="B1048" s="2" t="str">
        <x:v>Mixed business audience</x:v>
      </x:c>
      <x:c r="C1048" s="12" t="str">
        <x:v>Delhi NCR</x:v>
      </x:c>
      <x:c r="D1048" s="12" t="str">
        <x:v>PARTNER-M358</x:v>
      </x:c>
      <x:c r="E1048" s="12" t="str">
        <x:v>IHDP Business Park</x:v>
      </x:c>
      <x:c r="F1048" s="11" t="n">
        <x:v>7</x:v>
      </x:c>
      <x:c r="G1048" s="11" t="n">
        <x:v>7</x:v>
      </x:c>
      <x:c r="H1048" s="11" t="n">
        <x:v>0</x:v>
      </x:c>
      <x:c r="I1048" s="17" t="n">
        <x:f>INDEX('Costing'!$P$9:$P$492,MATCH(D1048,'Costing'!$A$9:$A$492,0))</x:f>
        <x:v>280000</x:v>
      </x:c>
      <x:c r="J1048" s="17" t="n">
        <x:f>ROUND(I1048*'Costing'!$C$4,2)</x:f>
        <x:v>50400</x:v>
      </x:c>
      <x:c r="K1048" s="17" t="n">
        <x:f>I1048+J1048</x:f>
        <x:v>330400</x:v>
      </x:c>
    </x:row>
    <x:row r="1049" ht="46" customHeight="1">
      <x:c r="A1049" s="2" t="str">
        <x:v>Indicative size</x:v>
      </x:c>
      <x:c r="B1049" s="2" t="str">
        <x:v>Mixed business audience</x:v>
      </x:c>
      <x:c r="C1049" s="12" t="str">
        <x:v>Delhi NCR</x:v>
      </x:c>
      <x:c r="D1049" s="12" t="str">
        <x:v>PARTNER-M353</x:v>
      </x:c>
      <x:c r="E1049" s="12" t="str">
        <x:v>iLabs Info Technology Center</x:v>
      </x:c>
      <x:c r="F1049" s="11" t="n">
        <x:v>5</x:v>
      </x:c>
      <x:c r="G1049" s="11" t="n">
        <x:v>5</x:v>
      </x:c>
      <x:c r="H1049" s="11" t="n">
        <x:v>0</x:v>
      </x:c>
      <x:c r="I1049" s="17" t="n">
        <x:f>INDEX('Costing'!$P$9:$P$492,MATCH(D1049,'Costing'!$A$9:$A$492,0))</x:f>
        <x:v>200000</x:v>
      </x:c>
      <x:c r="J1049" s="17" t="n">
        <x:f>ROUND(I1049*'Costing'!$C$4,2)</x:f>
        <x:v>36000</x:v>
      </x:c>
      <x:c r="K1049" s="17" t="n">
        <x:f>I1049+J1049</x:f>
        <x:v>236000</x:v>
      </x:c>
    </x:row>
    <x:row r="1050" ht="46" customHeight="1">
      <x:c r="A1050" s="2" t="str">
        <x:v>Indicative size</x:v>
      </x:c>
      <x:c r="B1050" s="2" t="str">
        <x:v>Mixed business audience</x:v>
      </x:c>
      <x:c r="C1050" s="12" t="str">
        <x:v>Delhi NCR</x:v>
      </x:c>
      <x:c r="D1050" s="12" t="str">
        <x:v>PARTNER-M384</x:v>
      </x:c>
      <x:c r="E1050" s="12" t="str">
        <x:v>NPX Tower</x:v>
      </x:c>
      <x:c r="F1050" s="11" t="n">
        <x:v>5</x:v>
      </x:c>
      <x:c r="G1050" s="11" t="n">
        <x:v>5</x:v>
      </x:c>
      <x:c r="H1050" s="11" t="n">
        <x:v>0</x:v>
      </x:c>
      <x:c r="I1050" s="17" t="n">
        <x:f>INDEX('Costing'!$P$9:$P$492,MATCH(D1050,'Costing'!$A$9:$A$492,0))</x:f>
        <x:v>200000</x:v>
      </x:c>
      <x:c r="J1050" s="17" t="n">
        <x:f>ROUND(I1050*'Costing'!$C$4,2)</x:f>
        <x:v>36000</x:v>
      </x:c>
      <x:c r="K1050" s="17" t="n">
        <x:f>I1050+J1050</x:f>
        <x:v>236000</x:v>
      </x:c>
    </x:row>
    <x:row r="1051" ht="46" customHeight="1">
      <x:c r="A1051" s="2" t="str">
        <x:v>Indicative size</x:v>
      </x:c>
      <x:c r="B1051" s="2" t="str">
        <x:v>Mixed business audience</x:v>
      </x:c>
      <x:c r="C1051" s="12" t="str">
        <x:v>Delhi NCR</x:v>
      </x:c>
      <x:c r="D1051" s="12" t="str">
        <x:v>PARTNER-M365</x:v>
      </x:c>
      <x:c r="E1051" s="12" t="str">
        <x:v>Urbtech Trade Centre</x:v>
      </x:c>
      <x:c r="F1051" s="11" t="n">
        <x:v>10</x:v>
      </x:c>
      <x:c r="G1051" s="11" t="n">
        <x:v>10</x:v>
      </x:c>
      <x:c r="H1051" s="11" t="n">
        <x:v>0</x:v>
      </x:c>
      <x:c r="I1051" s="17" t="n">
        <x:f>INDEX('Costing'!$P$9:$P$492,MATCH(D1051,'Costing'!$A$9:$A$492,0))</x:f>
        <x:v>400000</x:v>
      </x:c>
      <x:c r="J1051" s="17" t="n">
        <x:f>ROUND(I1051*'Costing'!$C$4,2)</x:f>
        <x:v>72000</x:v>
      </x:c>
      <x:c r="K1051" s="17" t="n">
        <x:f>I1051+J1051</x:f>
        <x:v>472000</x:v>
      </x:c>
    </x:row>
    <x:row r="1052" ht="46" customHeight="1">
      <x:c r="A1052" s="2" t="str">
        <x:v>Indicative size</x:v>
      </x:c>
      <x:c r="B1052" s="2" t="str">
        <x:v>Mixed business audience</x:v>
      </x:c>
      <x:c r="C1052" s="12" t="str">
        <x:v>Hyderabad</x:v>
      </x:c>
      <x:c r="D1052" s="12" t="str">
        <x:v>PARTNER-M308</x:v>
      </x:c>
      <x:c r="E1052" s="12" t="str">
        <x:v>Aurobindo Galaxy</x:v>
      </x:c>
      <x:c r="F1052" s="11" t="n">
        <x:v>4</x:v>
      </x:c>
      <x:c r="G1052" s="11" t="n">
        <x:v>4</x:v>
      </x:c>
      <x:c r="H1052" s="11" t="n">
        <x:v>0</x:v>
      </x:c>
      <x:c r="I1052" s="17" t="n">
        <x:f>INDEX('Costing'!$P$9:$P$492,MATCH(D1052,'Costing'!$A$9:$A$492,0))</x:f>
        <x:v>160000</x:v>
      </x:c>
      <x:c r="J1052" s="17" t="n">
        <x:f>ROUND(I1052*'Costing'!$C$4,2)</x:f>
        <x:v>28800</x:v>
      </x:c>
      <x:c r="K1052" s="17" t="n">
        <x:f>I1052+J1052</x:f>
        <x:v>188800</x:v>
      </x:c>
    </x:row>
    <x:row r="1053" ht="46" customHeight="1">
      <x:c r="A1053" s="2" t="str">
        <x:v>Indicative size</x:v>
      </x:c>
      <x:c r="B1053" s="2" t="str">
        <x:v>Mixed business audience</x:v>
      </x:c>
      <x:c r="C1053" s="12" t="str">
        <x:v>Hyderabad</x:v>
      </x:c>
      <x:c r="D1053" s="12" t="str">
        <x:v>PARTNER-M289</x:v>
      </x:c>
      <x:c r="E1053" s="12" t="str">
        <x:v>Cyber Gateway</x:v>
      </x:c>
      <x:c r="F1053" s="11" t="n">
        <x:v>6</x:v>
      </x:c>
      <x:c r="G1053" s="11" t="n">
        <x:v>6</x:v>
      </x:c>
      <x:c r="H1053" s="11" t="n">
        <x:v>0</x:v>
      </x:c>
      <x:c r="I1053" s="17" t="n">
        <x:f>INDEX('Costing'!$P$9:$P$492,MATCH(D1053,'Costing'!$A$9:$A$492,0))</x:f>
        <x:v>240000</x:v>
      </x:c>
      <x:c r="J1053" s="17" t="n">
        <x:f>ROUND(I1053*'Costing'!$C$4,2)</x:f>
        <x:v>43200</x:v>
      </x:c>
      <x:c r="K1053" s="17" t="n">
        <x:f>I1053+J1053</x:f>
        <x:v>283200</x:v>
      </x:c>
    </x:row>
    <x:row r="1054" ht="46" customHeight="1">
      <x:c r="A1054" s="2" t="str">
        <x:v>Indicative size</x:v>
      </x:c>
      <x:c r="B1054" s="2" t="str">
        <x:v>Mixed business audience</x:v>
      </x:c>
      <x:c r="C1054" s="12" t="str">
        <x:v>Hyderabad</x:v>
      </x:c>
      <x:c r="D1054" s="12" t="str">
        <x:v>PARTNER-M295</x:v>
      </x:c>
      <x:c r="E1054" s="12" t="str">
        <x:v>Cyber Tower</x:v>
      </x:c>
      <x:c r="F1054" s="11" t="n">
        <x:v>5</x:v>
      </x:c>
      <x:c r="G1054" s="11" t="n">
        <x:v>5</x:v>
      </x:c>
      <x:c r="H1054" s="11" t="n">
        <x:v>0</x:v>
      </x:c>
      <x:c r="I1054" s="17" t="n">
        <x:f>INDEX('Costing'!$P$9:$P$492,MATCH(D1054,'Costing'!$A$9:$A$492,0))</x:f>
        <x:v>200000</x:v>
      </x:c>
      <x:c r="J1054" s="17" t="n">
        <x:f>ROUND(I1054*'Costing'!$C$4,2)</x:f>
        <x:v>36000</x:v>
      </x:c>
      <x:c r="K1054" s="17" t="n">
        <x:f>I1054+J1054</x:f>
        <x:v>236000</x:v>
      </x:c>
    </x:row>
    <x:row r="1055" ht="46" customHeight="1">
      <x:c r="A1055" s="2" t="str">
        <x:v>Indicative size</x:v>
      </x:c>
      <x:c r="B1055" s="2" t="str">
        <x:v>Mixed business audience</x:v>
      </x:c>
      <x:c r="C1055" s="12" t="str">
        <x:v>Hyderabad</x:v>
      </x:c>
      <x:c r="D1055" s="12" t="str">
        <x:v>PARTNER-M283</x:v>
      </x:c>
      <x:c r="E1055" s="12" t="str">
        <x:v>iLabs Tech Park</x:v>
      </x:c>
      <x:c r="F1055" s="11" t="n">
        <x:v>6</x:v>
      </x:c>
      <x:c r="G1055" s="11" t="n">
        <x:v>6</x:v>
      </x:c>
      <x:c r="H1055" s="11" t="n">
        <x:v>0</x:v>
      </x:c>
      <x:c r="I1055" s="17" t="n">
        <x:f>INDEX('Costing'!$P$9:$P$492,MATCH(D1055,'Costing'!$A$9:$A$492,0))</x:f>
        <x:v>240000</x:v>
      </x:c>
      <x:c r="J1055" s="17" t="n">
        <x:f>ROUND(I1055*'Costing'!$C$4,2)</x:f>
        <x:v>43200</x:v>
      </x:c>
      <x:c r="K1055" s="17" t="n">
        <x:f>I1055+J1055</x:f>
        <x:v>283200</x:v>
      </x:c>
    </x:row>
    <x:row r="1056" ht="46" customHeight="1">
      <x:c r="A1056" s="2" t="str">
        <x:v>Indicative size</x:v>
      </x:c>
      <x:c r="B1056" s="2" t="str">
        <x:v>Mixed business audience</x:v>
      </x:c>
      <x:c r="C1056" s="12" t="str">
        <x:v>Hyderabad</x:v>
      </x:c>
      <x:c r="D1056" s="12" t="str">
        <x:v>PARTNER-M317</x:v>
      </x:c>
      <x:c r="E1056" s="12" t="str">
        <x:v>Kapil Towers</x:v>
      </x:c>
      <x:c r="F1056" s="11" t="n">
        <x:v>7</x:v>
      </x:c>
      <x:c r="G1056" s="11" t="n">
        <x:v>7</x:v>
      </x:c>
      <x:c r="H1056" s="11" t="n">
        <x:v>0</x:v>
      </x:c>
      <x:c r="I1056" s="17" t="n">
        <x:f>INDEX('Costing'!$P$9:$P$492,MATCH(D1056,'Costing'!$A$9:$A$492,0))</x:f>
        <x:v>280000</x:v>
      </x:c>
      <x:c r="J1056" s="17" t="n">
        <x:f>ROUND(I1056*'Costing'!$C$4,2)</x:f>
        <x:v>50400</x:v>
      </x:c>
      <x:c r="K1056" s="17" t="n">
        <x:f>I1056+J1056</x:f>
        <x:v>330400</x:v>
      </x:c>
    </x:row>
    <x:row r="1057" ht="46" customHeight="1">
      <x:c r="A1057" s="2" t="str">
        <x:v>Indicative size</x:v>
      </x:c>
      <x:c r="B1057" s="2" t="str">
        <x:v>Mixed business audience</x:v>
      </x:c>
      <x:c r="C1057" s="12" t="str">
        <x:v>Hyderabad</x:v>
      </x:c>
      <x:c r="D1057" s="12" t="str">
        <x:v>PARTNER-M312</x:v>
      </x:c>
      <x:c r="E1057" s="12" t="str">
        <x:v>Prestige Skytech </x:v>
      </x:c>
      <x:c r="F1057" s="11" t="n">
        <x:v>5</x:v>
      </x:c>
      <x:c r="G1057" s="11" t="n">
        <x:v>5</x:v>
      </x:c>
      <x:c r="H1057" s="11" t="n">
        <x:v>0</x:v>
      </x:c>
      <x:c r="I1057" s="17" t="n">
        <x:f>INDEX('Costing'!$P$9:$P$492,MATCH(D1057,'Costing'!$A$9:$A$492,0))</x:f>
        <x:v>200000</x:v>
      </x:c>
      <x:c r="J1057" s="17" t="n">
        <x:f>ROUND(I1057*'Costing'!$C$4,2)</x:f>
        <x:v>36000</x:v>
      </x:c>
      <x:c r="K1057" s="17" t="n">
        <x:f>I1057+J1057</x:f>
        <x:v>236000</x:v>
      </x:c>
    </x:row>
    <x:row r="1058" ht="46" customHeight="1">
      <x:c r="A1058" s="2" t="str">
        <x:v>Indicative size</x:v>
      </x:c>
      <x:c r="B1058" s="2" t="str">
        <x:v>Mixed business audience</x:v>
      </x:c>
      <x:c r="C1058" s="12" t="str">
        <x:v>Hyderabad</x:v>
      </x:c>
      <x:c r="D1058" s="12" t="str">
        <x:v>PARTNER-M300</x:v>
      </x:c>
      <x:c r="E1058" s="12" t="str">
        <x:v>Waverock IT Park</x:v>
      </x:c>
      <x:c r="F1058" s="11" t="n">
        <x:v>8</x:v>
      </x:c>
      <x:c r="G1058" s="11" t="n">
        <x:v>8</x:v>
      </x:c>
      <x:c r="H1058" s="11" t="n">
        <x:v>0</x:v>
      </x:c>
      <x:c r="I1058" s="17" t="n">
        <x:f>INDEX('Costing'!$P$9:$P$492,MATCH(D1058,'Costing'!$A$9:$A$492,0))</x:f>
        <x:v>320000</x:v>
      </x:c>
      <x:c r="J1058" s="17" t="n">
        <x:f>ROUND(I1058*'Costing'!$C$4,2)</x:f>
        <x:v>57600</x:v>
      </x:c>
      <x:c r="K1058" s="17" t="n">
        <x:f>I1058+J1058</x:f>
        <x:v>377600</x:v>
      </x:c>
    </x:row>
    <x:row r="1059" ht="46" customHeight="1">
      <x:c r="A1059" s="2" t="str">
        <x:v>Indicative size</x:v>
      </x:c>
      <x:c r="B1059" s="2" t="str">
        <x:v>Mixed business audience</x:v>
      </x:c>
      <x:c r="C1059" s="12" t="str">
        <x:v>Mumbai</x:v>
      </x:c>
      <x:c r="D1059" s="12" t="str">
        <x:v>PARTNER-M241</x:v>
      </x:c>
      <x:c r="E1059" s="12" t="str">
        <x:v>Dynasty Business Park</x:v>
      </x:c>
      <x:c r="F1059" s="11" t="n">
        <x:v>2</x:v>
      </x:c>
      <x:c r="G1059" s="11" t="n">
        <x:v>2</x:v>
      </x:c>
      <x:c r="H1059" s="11" t="n">
        <x:v>0</x:v>
      </x:c>
      <x:c r="I1059" s="17" t="n">
        <x:f>INDEX('Costing'!$P$9:$P$492,MATCH(D1059,'Costing'!$A$9:$A$492,0))</x:f>
        <x:v>80000</x:v>
      </x:c>
      <x:c r="J1059" s="17" t="n">
        <x:f>ROUND(I1059*'Costing'!$C$4,2)</x:f>
        <x:v>14400</x:v>
      </x:c>
      <x:c r="K1059" s="17" t="n">
        <x:f>I1059+J1059</x:f>
        <x:v>94400</x:v>
      </x:c>
    </x:row>
    <x:row r="1060" ht="46" customHeight="1">
      <x:c r="A1060" s="2" t="str">
        <x:v>Indicative size</x:v>
      </x:c>
      <x:c r="B1060" s="2" t="str">
        <x:v>Mixed business audience</x:v>
      </x:c>
      <x:c r="C1060" s="12" t="str">
        <x:v>Mumbai</x:v>
      </x:c>
      <x:c r="D1060" s="12" t="str">
        <x:v>PARTNER-M193</x:v>
      </x:c>
      <x:c r="E1060" s="12" t="str">
        <x:v>Empire Tower</x:v>
      </x:c>
      <x:c r="F1060" s="11" t="n">
        <x:v>4</x:v>
      </x:c>
      <x:c r="G1060" s="11" t="n">
        <x:v>4</x:v>
      </x:c>
      <x:c r="H1060" s="11" t="n">
        <x:v>0</x:v>
      </x:c>
      <x:c r="I1060" s="17" t="n">
        <x:f>INDEX('Costing'!$P$9:$P$492,MATCH(D1060,'Costing'!$A$9:$A$492,0))</x:f>
        <x:v>160000</x:v>
      </x:c>
      <x:c r="J1060" s="17" t="n">
        <x:f>ROUND(I1060*'Costing'!$C$4,2)</x:f>
        <x:v>28800</x:v>
      </x:c>
      <x:c r="K1060" s="17" t="n">
        <x:f>I1060+J1060</x:f>
        <x:v>188800</x:v>
      </x:c>
    </x:row>
    <x:row r="1061" ht="46" customHeight="1">
      <x:c r="A1061" s="2" t="str">
        <x:v>Indicative size</x:v>
      </x:c>
      <x:c r="B1061" s="2" t="str">
        <x:v>Mixed business audience</x:v>
      </x:c>
      <x:c r="C1061" s="12" t="str">
        <x:v>Mumbai</x:v>
      </x:c>
      <x:c r="D1061" s="12" t="str">
        <x:v>PARTNER-M185</x:v>
      </x:c>
      <x:c r="E1061" s="12" t="str">
        <x:v>G Corp Tech Park</x:v>
      </x:c>
      <x:c r="F1061" s="11" t="n">
        <x:v>3</x:v>
      </x:c>
      <x:c r="G1061" s="11" t="n">
        <x:v>3</x:v>
      </x:c>
      <x:c r="H1061" s="11" t="n">
        <x:v>0</x:v>
      </x:c>
      <x:c r="I1061" s="17" t="n">
        <x:f>INDEX('Costing'!$P$9:$P$492,MATCH(D1061,'Costing'!$A$9:$A$492,0))</x:f>
        <x:v>120000</x:v>
      </x:c>
      <x:c r="J1061" s="17" t="n">
        <x:f>ROUND(I1061*'Costing'!$C$4,2)</x:f>
        <x:v>21600</x:v>
      </x:c>
      <x:c r="K1061" s="17" t="n">
        <x:f>I1061+J1061</x:f>
        <x:v>141600</x:v>
      </x:c>
    </x:row>
    <x:row r="1062" ht="46" customHeight="1">
      <x:c r="A1062" s="2" t="str">
        <x:v>Indicative size</x:v>
      </x:c>
      <x:c r="B1062" s="2" t="str">
        <x:v>Mixed business audience</x:v>
      </x:c>
      <x:c r="C1062" s="12" t="str">
        <x:v>Mumbai</x:v>
      </x:c>
      <x:c r="D1062" s="12" t="str">
        <x:v>PARTNER-M235</x:v>
      </x:c>
      <x:c r="E1062" s="12" t="str">
        <x:v>Kanakia 215 Atrium</x:v>
      </x:c>
      <x:c r="F1062" s="11" t="n">
        <x:v>4</x:v>
      </x:c>
      <x:c r="G1062" s="11" t="n">
        <x:v>4</x:v>
      </x:c>
      <x:c r="H1062" s="11" t="n">
        <x:v>0</x:v>
      </x:c>
      <x:c r="I1062" s="17" t="n">
        <x:f>INDEX('Costing'!$P$9:$P$492,MATCH(D1062,'Costing'!$A$9:$A$492,0))</x:f>
        <x:v>160000</x:v>
      </x:c>
      <x:c r="J1062" s="17" t="n">
        <x:f>ROUND(I1062*'Costing'!$C$4,2)</x:f>
        <x:v>28800</x:v>
      </x:c>
      <x:c r="K1062" s="17" t="n">
        <x:f>I1062+J1062</x:f>
        <x:v>188800</x:v>
      </x:c>
    </x:row>
    <x:row r="1063" ht="46" customHeight="1">
      <x:c r="A1063" s="2" t="str">
        <x:v>Indicative size</x:v>
      </x:c>
      <x:c r="B1063" s="2" t="str">
        <x:v>Mixed business audience</x:v>
      </x:c>
      <x:c r="C1063" s="12" t="str">
        <x:v>Mumbai</x:v>
      </x:c>
      <x:c r="D1063" s="12" t="str">
        <x:v>PARTNER-M239</x:v>
      </x:c>
      <x:c r="E1063" s="12" t="str">
        <x:v>Kanakia Atrium 2</x:v>
      </x:c>
      <x:c r="F1063" s="11" t="n">
        <x:v>2</x:v>
      </x:c>
      <x:c r="G1063" s="11" t="n">
        <x:v>2</x:v>
      </x:c>
      <x:c r="H1063" s="11" t="n">
        <x:v>0</x:v>
      </x:c>
      <x:c r="I1063" s="17" t="n">
        <x:f>INDEX('Costing'!$P$9:$P$492,MATCH(D1063,'Costing'!$A$9:$A$492,0))</x:f>
        <x:v>80000</x:v>
      </x:c>
      <x:c r="J1063" s="17" t="n">
        <x:f>ROUND(I1063*'Costing'!$C$4,2)</x:f>
        <x:v>14400</x:v>
      </x:c>
      <x:c r="K1063" s="17" t="n">
        <x:f>I1063+J1063</x:f>
        <x:v>94400</x:v>
      </x:c>
    </x:row>
    <x:row r="1064" ht="46" customHeight="1">
      <x:c r="A1064" s="2" t="str">
        <x:v>Indicative size</x:v>
      </x:c>
      <x:c r="B1064" s="2" t="str">
        <x:v>Mixed business audience</x:v>
      </x:c>
      <x:c r="C1064" s="12" t="str">
        <x:v>Mumbai</x:v>
      </x:c>
      <x:c r="D1064" s="12" t="str">
        <x:v>PARTNER-M179</x:v>
      </x:c>
      <x:c r="E1064" s="12" t="str">
        <x:v>Kanakia Boomerang</x:v>
      </x:c>
      <x:c r="F1064" s="11" t="n">
        <x:v>6</x:v>
      </x:c>
      <x:c r="G1064" s="11" t="n">
        <x:v>6</x:v>
      </x:c>
      <x:c r="H1064" s="11" t="n">
        <x:v>0</x:v>
      </x:c>
      <x:c r="I1064" s="17" t="n">
        <x:f>INDEX('Costing'!$P$9:$P$492,MATCH(D1064,'Costing'!$A$9:$A$492,0))</x:f>
        <x:v>240000</x:v>
      </x:c>
      <x:c r="J1064" s="17" t="n">
        <x:f>ROUND(I1064*'Costing'!$C$4,2)</x:f>
        <x:v>43200</x:v>
      </x:c>
      <x:c r="K1064" s="17" t="n">
        <x:f>I1064+J1064</x:f>
        <x:v>283200</x:v>
      </x:c>
    </x:row>
    <x:row r="1065" ht="46" customHeight="1">
      <x:c r="A1065" s="2" t="str">
        <x:v>Indicative size</x:v>
      </x:c>
      <x:c r="B1065" s="2" t="str">
        <x:v>Mixed business audience</x:v>
      </x:c>
      <x:c r="C1065" s="12" t="str">
        <x:v>Mumbai</x:v>
      </x:c>
      <x:c r="D1065" s="12" t="str">
        <x:v>PARTNER-M243</x:v>
      </x:c>
      <x:c r="E1065" s="12" t="str">
        <x:v>Kohinoor City</x:v>
      </x:c>
      <x:c r="F1065" s="11" t="n">
        <x:v>2</x:v>
      </x:c>
      <x:c r="G1065" s="11" t="n">
        <x:v>2</x:v>
      </x:c>
      <x:c r="H1065" s="11" t="n">
        <x:v>0</x:v>
      </x:c>
      <x:c r="I1065" s="17" t="n">
        <x:f>INDEX('Costing'!$P$9:$P$492,MATCH(D1065,'Costing'!$A$9:$A$492,0))</x:f>
        <x:v>80000</x:v>
      </x:c>
      <x:c r="J1065" s="17" t="n">
        <x:f>ROUND(I1065*'Costing'!$C$4,2)</x:f>
        <x:v>14400</x:v>
      </x:c>
      <x:c r="K1065" s="17" t="n">
        <x:f>I1065+J1065</x:f>
        <x:v>94400</x:v>
      </x:c>
    </x:row>
    <x:row r="1066" ht="46" customHeight="1">
      <x:c r="A1066" s="2" t="str">
        <x:v>Indicative size</x:v>
      </x:c>
      <x:c r="B1066" s="2" t="str">
        <x:v>Mixed business audience</x:v>
      </x:c>
      <x:c r="C1066" s="12" t="str">
        <x:v>Mumbai</x:v>
      </x:c>
      <x:c r="D1066" s="12" t="str">
        <x:v>PARTNER-M201</x:v>
      </x:c>
      <x:c r="E1066" s="12" t="str">
        <x:v>Liberty tower</x:v>
      </x:c>
      <x:c r="F1066" s="11" t="n">
        <x:v>2</x:v>
      </x:c>
      <x:c r="G1066" s="11" t="n">
        <x:v>2</x:v>
      </x:c>
      <x:c r="H1066" s="11" t="n">
        <x:v>0</x:v>
      </x:c>
      <x:c r="I1066" s="17" t="n">
        <x:f>INDEX('Costing'!$P$9:$P$492,MATCH(D1066,'Costing'!$A$9:$A$492,0))</x:f>
        <x:v>80000</x:v>
      </x:c>
      <x:c r="J1066" s="17" t="n">
        <x:f>ROUND(I1066*'Costing'!$C$4,2)</x:f>
        <x:v>14400</x:v>
      </x:c>
      <x:c r="K1066" s="17" t="n">
        <x:f>I1066+J1066</x:f>
        <x:v>94400</x:v>
      </x:c>
    </x:row>
    <x:row r="1067" ht="46" customHeight="1">
      <x:c r="A1067" s="2" t="str">
        <x:v>Indicative size</x:v>
      </x:c>
      <x:c r="B1067" s="2" t="str">
        <x:v>Mixed business audience</x:v>
      </x:c>
      <x:c r="C1067" s="12" t="str">
        <x:v>Mumbai</x:v>
      </x:c>
      <x:c r="D1067" s="12" t="str">
        <x:v>PARTNER-M245</x:v>
      </x:c>
      <x:c r="E1067" s="12" t="str">
        <x:v>Lodha iThink</x:v>
      </x:c>
      <x:c r="F1067" s="11" t="n">
        <x:v>2</x:v>
      </x:c>
      <x:c r="G1067" s="11" t="n">
        <x:v>2</x:v>
      </x:c>
      <x:c r="H1067" s="11" t="n">
        <x:v>0</x:v>
      </x:c>
      <x:c r="I1067" s="17" t="n">
        <x:f>INDEX('Costing'!$P$9:$P$492,MATCH(D1067,'Costing'!$A$9:$A$492,0))</x:f>
        <x:v>80000</x:v>
      </x:c>
      <x:c r="J1067" s="17" t="n">
        <x:f>ROUND(I1067*'Costing'!$C$4,2)</x:f>
        <x:v>14400</x:v>
      </x:c>
      <x:c r="K1067" s="17" t="n">
        <x:f>I1067+J1067</x:f>
        <x:v>94400</x:v>
      </x:c>
    </x:row>
    <x:row r="1068" ht="46" customHeight="1">
      <x:c r="A1068" s="2" t="str">
        <x:v>Indicative size</x:v>
      </x:c>
      <x:c r="B1068" s="2" t="str">
        <x:v>Mixed business audience</x:v>
      </x:c>
      <x:c r="C1068" s="12" t="str">
        <x:v>Mumbai</x:v>
      </x:c>
      <x:c r="D1068" s="12" t="str">
        <x:v>PARTNER-M233</x:v>
      </x:c>
      <x:c r="E1068" s="12" t="str">
        <x:v>Lodha Supremus</x:v>
      </x:c>
      <x:c r="F1068" s="11" t="n">
        <x:v>2</x:v>
      </x:c>
      <x:c r="G1068" s="11" t="n">
        <x:v>2</x:v>
      </x:c>
      <x:c r="H1068" s="11" t="n">
        <x:v>0</x:v>
      </x:c>
      <x:c r="I1068" s="17" t="n">
        <x:f>INDEX('Costing'!$P$9:$P$492,MATCH(D1068,'Costing'!$A$9:$A$492,0))</x:f>
        <x:v>80000</x:v>
      </x:c>
      <x:c r="J1068" s="17" t="n">
        <x:f>ROUND(I1068*'Costing'!$C$4,2)</x:f>
        <x:v>14400</x:v>
      </x:c>
      <x:c r="K1068" s="17" t="n">
        <x:f>I1068+J1068</x:f>
        <x:v>94400</x:v>
      </x:c>
    </x:row>
    <x:row r="1069" ht="46" customHeight="1">
      <x:c r="A1069" s="2" t="str">
        <x:v>Indicative size</x:v>
      </x:c>
      <x:c r="B1069" s="2" t="str">
        <x:v>Mixed business audience</x:v>
      </x:c>
      <x:c r="C1069" s="12" t="str">
        <x:v>Mumbai</x:v>
      </x:c>
      <x:c r="D1069" s="12" t="str">
        <x:v>PARTNER-M247</x:v>
      </x:c>
      <x:c r="E1069" s="12" t="str">
        <x:v>Lodha Supremus</x:v>
      </x:c>
      <x:c r="F1069" s="11" t="n">
        <x:v>4</x:v>
      </x:c>
      <x:c r="G1069" s="11" t="n">
        <x:v>4</x:v>
      </x:c>
      <x:c r="H1069" s="11" t="n">
        <x:v>0</x:v>
      </x:c>
      <x:c r="I1069" s="17" t="n">
        <x:f>INDEX('Costing'!$P$9:$P$492,MATCH(D1069,'Costing'!$A$9:$A$492,0))</x:f>
        <x:v>160000</x:v>
      </x:c>
      <x:c r="J1069" s="17" t="n">
        <x:f>ROUND(I1069*'Costing'!$C$4,2)</x:f>
        <x:v>28800</x:v>
      </x:c>
      <x:c r="K1069" s="17" t="n">
        <x:f>I1069+J1069</x:f>
        <x:v>188800</x:v>
      </x:c>
    </x:row>
    <x:row r="1070" ht="46" customHeight="1">
      <x:c r="A1070" s="2" t="str">
        <x:v>Indicative size</x:v>
      </x:c>
      <x:c r="B1070" s="2" t="str">
        <x:v>Mixed business audience</x:v>
      </x:c>
      <x:c r="C1070" s="12" t="str">
        <x:v>Mumbai</x:v>
      </x:c>
      <x:c r="D1070" s="12" t="str">
        <x:v>PARTNER-M171</x:v>
      </x:c>
      <x:c r="E1070" s="12" t="str">
        <x:v>Parinee Crescenzo Business Park</x:v>
      </x:c>
      <x:c r="F1070" s="11" t="n">
        <x:v>4</x:v>
      </x:c>
      <x:c r="G1070" s="11" t="n">
        <x:v>4</x:v>
      </x:c>
      <x:c r="H1070" s="11" t="n">
        <x:v>0</x:v>
      </x:c>
      <x:c r="I1070" s="17" t="n">
        <x:f>INDEX('Costing'!$P$9:$P$492,MATCH(D1070,'Costing'!$A$9:$A$492,0))</x:f>
        <x:v>160000</x:v>
      </x:c>
      <x:c r="J1070" s="17" t="n">
        <x:f>ROUND(I1070*'Costing'!$C$4,2)</x:f>
        <x:v>28800</x:v>
      </x:c>
      <x:c r="K1070" s="17" t="n">
        <x:f>I1070+J1070</x:f>
        <x:v>188800</x:v>
      </x:c>
    </x:row>
    <x:row r="1071" ht="46" customHeight="1">
      <x:c r="A1071" s="2" t="str">
        <x:v>Indicative size</x:v>
      </x:c>
      <x:c r="B1071" s="2" t="str">
        <x:v>Mixed business audience</x:v>
      </x:c>
      <x:c r="C1071" s="12" t="str">
        <x:v>Mumbai</x:v>
      </x:c>
      <x:c r="D1071" s="12" t="str">
        <x:v>PARTNER-M203</x:v>
      </x:c>
      <x:c r="E1071" s="12" t="str">
        <x:v>Reliable Plaza</x:v>
      </x:c>
      <x:c r="F1071" s="11" t="n">
        <x:v>2</x:v>
      </x:c>
      <x:c r="G1071" s="11" t="n">
        <x:v>2</x:v>
      </x:c>
      <x:c r="H1071" s="11" t="n">
        <x:v>0</x:v>
      </x:c>
      <x:c r="I1071" s="17" t="n">
        <x:f>INDEX('Costing'!$P$9:$P$492,MATCH(D1071,'Costing'!$A$9:$A$492,0))</x:f>
        <x:v>80000</x:v>
      </x:c>
      <x:c r="J1071" s="17" t="n">
        <x:f>ROUND(I1071*'Costing'!$C$4,2)</x:f>
        <x:v>14400</x:v>
      </x:c>
      <x:c r="K1071" s="17" t="n">
        <x:f>I1071+J1071</x:f>
        <x:v>94400</x:v>
      </x:c>
    </x:row>
    <x:row r="1072" ht="46" customHeight="1">
      <x:c r="A1072" s="2" t="str">
        <x:v>Indicative size</x:v>
      </x:c>
      <x:c r="B1072" s="2" t="str">
        <x:v>Mixed business audience</x:v>
      </x:c>
      <x:c r="C1072" s="12" t="str">
        <x:v>Mumbai</x:v>
      </x:c>
      <x:c r="D1072" s="12" t="str">
        <x:v>PARTNER-M197</x:v>
      </x:c>
      <x:c r="E1072" s="12" t="str">
        <x:v>Reliable Tech Park</x:v>
      </x:c>
      <x:c r="F1072" s="11" t="n">
        <x:v>4</x:v>
      </x:c>
      <x:c r="G1072" s="11" t="n">
        <x:v>4</x:v>
      </x:c>
      <x:c r="H1072" s="11" t="n">
        <x:v>0</x:v>
      </x:c>
      <x:c r="I1072" s="17" t="n">
        <x:f>INDEX('Costing'!$P$9:$P$492,MATCH(D1072,'Costing'!$A$9:$A$492,0))</x:f>
        <x:v>160000</x:v>
      </x:c>
      <x:c r="J1072" s="17" t="n">
        <x:f>ROUND(I1072*'Costing'!$C$4,2)</x:f>
        <x:v>28800</x:v>
      </x:c>
      <x:c r="K1072" s="17" t="n">
        <x:f>I1072+J1072</x:f>
        <x:v>188800</x:v>
      </x:c>
    </x:row>
    <x:row r="1073" ht="46" customHeight="1">
      <x:c r="A1073" s="2" t="str">
        <x:v>Indicative size</x:v>
      </x:c>
      <x:c r="B1073" s="2" t="str">
        <x:v>Mixed business audience</x:v>
      </x:c>
      <x:c r="C1073" s="12" t="str">
        <x:v>Mumbai</x:v>
      </x:c>
      <x:c r="D1073" s="12" t="str">
        <x:v>PARTNER-M205</x:v>
      </x:c>
      <x:c r="E1073" s="12" t="str">
        <x:v>Rupa Solitaire</x:v>
      </x:c>
      <x:c r="F1073" s="11" t="n">
        <x:v>10</x:v>
      </x:c>
      <x:c r="G1073" s="11" t="n">
        <x:v>10</x:v>
      </x:c>
      <x:c r="H1073" s="11" t="n">
        <x:v>0</x:v>
      </x:c>
      <x:c r="I1073" s="17" t="n">
        <x:f>INDEX('Costing'!$P$9:$P$492,MATCH(D1073,'Costing'!$A$9:$A$492,0))</x:f>
        <x:v>400000</x:v>
      </x:c>
      <x:c r="J1073" s="17" t="n">
        <x:f>ROUND(I1073*'Costing'!$C$4,2)</x:f>
        <x:v>72000</x:v>
      </x:c>
      <x:c r="K1073" s="17" t="n">
        <x:f>I1073+J1073</x:f>
        <x:v>472000</x:v>
      </x:c>
    </x:row>
    <x:row r="1074" ht="46" customHeight="1">
      <x:c r="A1074" s="2" t="str">
        <x:v>Indicative size</x:v>
      </x:c>
      <x:c r="B1074" s="2" t="str">
        <x:v>Mixed business audience</x:v>
      </x:c>
      <x:c r="C1074" s="12" t="str">
        <x:v>Mumbai</x:v>
      </x:c>
      <x:c r="D1074" s="12" t="str">
        <x:v>PARTNER-M223</x:v>
      </x:c>
      <x:c r="E1074" s="12" t="str">
        <x:v>Technology Center IV</x:v>
      </x:c>
      <x:c r="F1074" s="11" t="n">
        <x:v>4</x:v>
      </x:c>
      <x:c r="G1074" s="11" t="n">
        <x:v>4</x:v>
      </x:c>
      <x:c r="H1074" s="11" t="n">
        <x:v>0</x:v>
      </x:c>
      <x:c r="I1074" s="17" t="n">
        <x:f>INDEX('Costing'!$P$9:$P$492,MATCH(D1074,'Costing'!$A$9:$A$492,0))</x:f>
        <x:v>160000</x:v>
      </x:c>
      <x:c r="J1074" s="17" t="n">
        <x:f>ROUND(I1074*'Costing'!$C$4,2)</x:f>
        <x:v>28800</x:v>
      </x:c>
      <x:c r="K1074" s="17" t="n">
        <x:f>I1074+J1074</x:f>
        <x:v>188800</x:v>
      </x:c>
    </x:row>
    <x:row r="1075" ht="46" customHeight="1">
      <x:c r="A1075" s="2" t="str">
        <x:v>Indicative size</x:v>
      </x:c>
      <x:c r="B1075" s="2" t="str">
        <x:v>Mixed business audience</x:v>
      </x:c>
      <x:c r="C1075" s="12" t="str">
        <x:v>Mumbai</x:v>
      </x:c>
      <x:c r="D1075" s="12" t="str">
        <x:v>PARTNER-M175</x:v>
      </x:c>
      <x:c r="E1075" s="12" t="str">
        <x:v>The Capital</x:v>
      </x:c>
      <x:c r="F1075" s="11" t="n">
        <x:v>3</x:v>
      </x:c>
      <x:c r="G1075" s="11" t="n">
        <x:v>3</x:v>
      </x:c>
      <x:c r="H1075" s="11" t="n">
        <x:v>0</x:v>
      </x:c>
      <x:c r="I1075" s="17" t="n">
        <x:f>INDEX('Costing'!$P$9:$P$492,MATCH(D1075,'Costing'!$A$9:$A$492,0))</x:f>
        <x:v>120000</x:v>
      </x:c>
      <x:c r="J1075" s="17" t="n">
        <x:f>ROUND(I1075*'Costing'!$C$4,2)</x:f>
        <x:v>21600</x:v>
      </x:c>
      <x:c r="K1075" s="17" t="n">
        <x:f>I1075+J1075</x:f>
        <x:v>141600</x:v>
      </x:c>
    </x:row>
    <x:row r="1076" ht="46" customHeight="1">
      <x:c r="A1076" s="2" t="str">
        <x:v>Indicative size</x:v>
      </x:c>
      <x:c r="B1076" s="2" t="str">
        <x:v>Mixed business audience</x:v>
      </x:c>
      <x:c r="C1076" s="12" t="str">
        <x:v>Mumbai</x:v>
      </x:c>
      <x:c r="D1076" s="12" t="str">
        <x:v>PARTNER-M188</x:v>
      </x:c>
      <x:c r="E1076" s="12" t="str">
        <x:v>Urmi Estate</x:v>
      </x:c>
      <x:c r="F1076" s="11" t="n">
        <x:v>4</x:v>
      </x:c>
      <x:c r="G1076" s="11" t="n">
        <x:v>4</x:v>
      </x:c>
      <x:c r="H1076" s="11" t="n">
        <x:v>0</x:v>
      </x:c>
      <x:c r="I1076" s="17" t="n">
        <x:f>INDEX('Costing'!$P$9:$P$492,MATCH(D1076,'Costing'!$A$9:$A$492,0))</x:f>
        <x:v>160000</x:v>
      </x:c>
      <x:c r="J1076" s="17" t="n">
        <x:f>ROUND(I1076*'Costing'!$C$4,2)</x:f>
        <x:v>28800</x:v>
      </x:c>
      <x:c r="K1076" s="17" t="n">
        <x:f>I1076+J1076</x:f>
        <x:v>188800</x:v>
      </x:c>
    </x:row>
    <x:row r="1077" ht="46" customHeight="1">
      <x:c r="A1077" s="2" t="str">
        <x:v>Indicative size</x:v>
      </x:c>
      <x:c r="B1077" s="2" t="str">
        <x:v>Mixed business audience</x:v>
      </x:c>
      <x:c r="C1077" s="12" t="str">
        <x:v>Mumbai</x:v>
      </x:c>
      <x:c r="D1077" s="12" t="str">
        <x:v>PARTNER-M227</x:v>
      </x:c>
      <x:c r="E1077" s="12" t="str">
        <x:v>Windsor House</x:v>
      </x:c>
      <x:c r="F1077" s="11" t="n">
        <x:v>6</x:v>
      </x:c>
      <x:c r="G1077" s="11" t="n">
        <x:v>6</x:v>
      </x:c>
      <x:c r="H1077" s="11" t="n">
        <x:v>0</x:v>
      </x:c>
      <x:c r="I1077" s="17" t="n">
        <x:f>INDEX('Costing'!$P$9:$P$492,MATCH(D1077,'Costing'!$A$9:$A$492,0))</x:f>
        <x:v>240000</x:v>
      </x:c>
      <x:c r="J1077" s="17" t="n">
        <x:f>ROUND(I1077*'Costing'!$C$4,2)</x:f>
        <x:v>43200</x:v>
      </x:c>
      <x:c r="K1077" s="17" t="n">
        <x:f>I1077+J1077</x:f>
        <x:v>283200</x:v>
      </x:c>
    </x:row>
    <x:row r="1078" ht="46" customHeight="1">
      <x:c r="A1078" s="2" t="str">
        <x:v>Indicative size</x:v>
      </x:c>
      <x:c r="B1078" s="2" t="str">
        <x:v>Mixed business audience</x:v>
      </x:c>
      <x:c r="C1078" s="12" t="str">
        <x:v>Pune</x:v>
      </x:c>
      <x:c r="D1078" s="12" t="str">
        <x:v>PARTNER-M268</x:v>
      </x:c>
      <x:c r="E1078" s="12" t="str">
        <x:v>ICC Tech Park</x:v>
      </x:c>
      <x:c r="F1078" s="11" t="n">
        <x:v>5</x:v>
      </x:c>
      <x:c r="G1078" s="11" t="n">
        <x:v>5</x:v>
      </x:c>
      <x:c r="H1078" s="11" t="n">
        <x:v>0</x:v>
      </x:c>
      <x:c r="I1078" s="17" t="n">
        <x:f>INDEX('Costing'!$P$9:$P$492,MATCH(D1078,'Costing'!$A$9:$A$492,0))</x:f>
        <x:v>200000</x:v>
      </x:c>
      <x:c r="J1078" s="17" t="n">
        <x:f>ROUND(I1078*'Costing'!$C$4,2)</x:f>
        <x:v>36000</x:v>
      </x:c>
      <x:c r="K1078" s="17" t="n">
        <x:f>I1078+J1078</x:f>
        <x:v>236000</x:v>
      </x:c>
    </x:row>
    <x:row r="1079" ht="46" customHeight="1">
      <x:c r="A1079" s="2" t="str">
        <x:v>Indicative size</x:v>
      </x:c>
      <x:c r="B1079" s="2" t="str">
        <x:v>Mixed business audience</x:v>
      </x:c>
      <x:c r="C1079" s="12" t="str">
        <x:v>Pune</x:v>
      </x:c>
      <x:c r="D1079" s="12" t="str">
        <x:v>PARTNER-M252</x:v>
      </x:c>
      <x:c r="E1079" s="12" t="str">
        <x:v>Magarpatta Cyberpark</x:v>
      </x:c>
      <x:c r="F1079" s="11" t="n">
        <x:v>9</x:v>
      </x:c>
      <x:c r="G1079" s="11" t="n">
        <x:v>9</x:v>
      </x:c>
      <x:c r="H1079" s="11" t="n">
        <x:v>0</x:v>
      </x:c>
      <x:c r="I1079" s="17" t="n">
        <x:f>INDEX('Costing'!$P$9:$P$492,MATCH(D1079,'Costing'!$A$9:$A$492,0))</x:f>
        <x:v>360000</x:v>
      </x:c>
      <x:c r="J1079" s="17" t="n">
        <x:f>ROUND(I1079*'Costing'!$C$4,2)</x:f>
        <x:v>64800</x:v>
      </x:c>
      <x:c r="K1079" s="17" t="n">
        <x:f>I1079+J1079</x:f>
        <x:v>424800</x:v>
      </x:c>
    </x:row>
    <x:row r="1080" ht="46" customHeight="1">
      <x:c r="A1080" s="2" t="str">
        <x:v>Indicative size</x:v>
      </x:c>
      <x:c r="B1080" s="2" t="str">
        <x:v>Mixed business audience</x:v>
      </x:c>
      <x:c r="C1080" s="12" t="str">
        <x:v>Pune</x:v>
      </x:c>
      <x:c r="D1080" s="12" t="str">
        <x:v>PARTNER-M277</x:v>
      </x:c>
      <x:c r="E1080" s="12" t="str">
        <x:v>Nyati Enthral</x:v>
      </x:c>
      <x:c r="F1080" s="11" t="n">
        <x:v>5</x:v>
      </x:c>
      <x:c r="G1080" s="11" t="n">
        <x:v>5</x:v>
      </x:c>
      <x:c r="H1080" s="11" t="n">
        <x:v>0</x:v>
      </x:c>
      <x:c r="I1080" s="17" t="n">
        <x:f>INDEX('Costing'!$P$9:$P$492,MATCH(D1080,'Costing'!$A$9:$A$492,0))</x:f>
        <x:v>200000</x:v>
      </x:c>
      <x:c r="J1080" s="17" t="n">
        <x:f>ROUND(I1080*'Costing'!$C$4,2)</x:f>
        <x:v>36000</x:v>
      </x:c>
      <x:c r="K1080" s="17" t="n">
        <x:f>I1080+J1080</x:f>
        <x:v>236000</x:v>
      </x:c>
    </x:row>
    <x:row r="1081" ht="46" customHeight="1">
      <x:c r="A1081" s="2" t="str">
        <x:v>Indicative size</x:v>
      </x:c>
      <x:c r="B1081" s="2" t="str">
        <x:v>Mixed business audience</x:v>
      </x:c>
      <x:c r="C1081" s="12" t="str">
        <x:v>Pune</x:v>
      </x:c>
      <x:c r="D1081" s="12" t="str">
        <x:v>PARTNER-M273</x:v>
      </x:c>
      <x:c r="E1081" s="12" t="str">
        <x:v>Nyati Tech Park</x:v>
      </x:c>
      <x:c r="F1081" s="11" t="n">
        <x:v>4</x:v>
      </x:c>
      <x:c r="G1081" s="11" t="n">
        <x:v>4</x:v>
      </x:c>
      <x:c r="H1081" s="11" t="n">
        <x:v>0</x:v>
      </x:c>
      <x:c r="I1081" s="17" t="n">
        <x:f>INDEX('Costing'!$P$9:$P$492,MATCH(D1081,'Costing'!$A$9:$A$492,0))</x:f>
        <x:v>160000</x:v>
      </x:c>
      <x:c r="J1081" s="17" t="n">
        <x:f>ROUND(I1081*'Costing'!$C$4,2)</x:f>
        <x:v>28800</x:v>
      </x:c>
      <x:c r="K1081" s="17" t="n">
        <x:f>I1081+J1081</x:f>
        <x:v>188800</x:v>
      </x:c>
    </x:row>
    <x:row r="1082" ht="46" customHeight="1">
      <x:c r="A1082" s="2" t="str">
        <x:v>Indicative size</x:v>
      </x:c>
      <x:c r="B1082" s="2" t="str">
        <x:v>Mixed business audience</x:v>
      </x:c>
      <x:c r="C1082" s="12" t="str">
        <x:v>Pune</x:v>
      </x:c>
      <x:c r="D1082" s="12" t="str">
        <x:v>PARTNER-M261</x:v>
      </x:c>
      <x:c r="E1082" s="12" t="str">
        <x:v>Pentagon Towers</x:v>
      </x:c>
      <x:c r="F1082" s="11" t="n">
        <x:v>4</x:v>
      </x:c>
      <x:c r="G1082" s="11" t="n">
        <x:v>4</x:v>
      </x:c>
      <x:c r="H1082" s="11" t="n">
        <x:v>0</x:v>
      </x:c>
      <x:c r="I1082" s="17" t="n">
        <x:f>INDEX('Costing'!$P$9:$P$492,MATCH(D1082,'Costing'!$A$9:$A$492,0))</x:f>
        <x:v>160000</x:v>
      </x:c>
      <x:c r="J1082" s="17" t="n">
        <x:f>ROUND(I1082*'Costing'!$C$4,2)</x:f>
        <x:v>28800</x:v>
      </x:c>
      <x:c r="K1082" s="17" t="n">
        <x:f>I1082+J1082</x:f>
        <x:v>188800</x:v>
      </x:c>
    </x:row>
    <x:row r="1083" ht="46" customHeight="1">
      <x:c r="A1083" s="2" t="str">
        <x:v>Indicative size</x:v>
      </x:c>
      <x:c r="B1083" s="2" t="str">
        <x:v>Mixed business audience</x:v>
      </x:c>
      <x:c r="C1083" s="12" t="str">
        <x:v>Pune</x:v>
      </x:c>
      <x:c r="D1083" s="12" t="str">
        <x:v>PARTNER-M265</x:v>
      </x:c>
      <x:c r="E1083" s="12" t="str">
        <x:v>Symphony IT Park</x:v>
      </x:c>
      <x:c r="F1083" s="11" t="n">
        <x:v>3</x:v>
      </x:c>
      <x:c r="G1083" s="11" t="n">
        <x:v>3</x:v>
      </x:c>
      <x:c r="H1083" s="11" t="n">
        <x:v>0</x:v>
      </x:c>
      <x:c r="I1083" s="17" t="n">
        <x:f>INDEX('Costing'!$P$9:$P$492,MATCH(D1083,'Costing'!$A$9:$A$492,0))</x:f>
        <x:v>120000</x:v>
      </x:c>
      <x:c r="J1083" s="17" t="n">
        <x:f>ROUND(I1083*'Costing'!$C$4,2)</x:f>
        <x:v>21600</x:v>
      </x:c>
      <x:c r="K1083" s="17" t="n">
        <x:f>I1083+J1083</x:f>
        <x:v>141600</x:v>
      </x:c>
    </x:row>
    <x:row r="1084" ht="46" customHeight="1">
      <x:c r="A1084" s="2" t="str">
        <x:v>Sector</x:v>
      </x:c>
      <x:c r="B1084" s="2" t="str">
        <x:v>Education</x:v>
      </x:c>
      <x:c r="C1084" s="12" t="str">
        <x:v>Ahmedabad</x:v>
      </x:c>
      <x:c r="D1084" s="12" t="str">
        <x:v>MAIN-006</x:v>
      </x:c>
      <x:c r="E1084" s="12" t="str">
        <x:v>Awfis - RE11</x:v>
      </x:c>
      <x:c r="F1084" s="11" t="n">
        <x:v>1</x:v>
      </x:c>
      <x:c r="G1084" s="11" t="n">
        <x:v>1</x:v>
      </x:c>
      <x:c r="H1084" s="11" t="n">
        <x:v>0</x:v>
      </x:c>
      <x:c r="I1084" s="17" t="n">
        <x:f>INDEX('Costing'!$P$9:$P$492,MATCH(D1084,'Costing'!$A$9:$A$492,0))</x:f>
        <x:v>15000</x:v>
      </x:c>
      <x:c r="J1084" s="17" t="n">
        <x:f>ROUND(I1084*'Costing'!$C$4,2)</x:f>
        <x:v>2700</x:v>
      </x:c>
      <x:c r="K1084" s="17" t="n">
        <x:f>I1084+J1084</x:f>
        <x:v>17700</x:v>
      </x:c>
    </x:row>
    <x:row r="1085" ht="46" customHeight="1">
      <x:c r="A1085" s="2" t="str">
        <x:v>Sector</x:v>
      </x:c>
      <x:c r="B1085" s="2" t="str">
        <x:v>Education</x:v>
      </x:c>
      <x:c r="C1085" s="12" t="str">
        <x:v>Bengaluru</x:v>
      </x:c>
      <x:c r="D1085" s="12" t="str">
        <x:v>MAIN-023</x:v>
      </x:c>
      <x:c r="E1085" s="12" t="str">
        <x:v>Awfis - Residency Square</x:v>
      </x:c>
      <x:c r="F1085" s="11" t="n">
        <x:v>6</x:v>
      </x:c>
      <x:c r="G1085" s="11" t="n">
        <x:v>6</x:v>
      </x:c>
      <x:c r="H1085" s="11" t="n">
        <x:v>0</x:v>
      </x:c>
      <x:c r="I1085" s="17" t="n">
        <x:f>INDEX('Costing'!$P$9:$P$492,MATCH(D1085,'Costing'!$A$9:$A$492,0))</x:f>
        <x:v>90000</x:v>
      </x:c>
      <x:c r="J1085" s="17" t="n">
        <x:f>ROUND(I1085*'Costing'!$C$4,2)</x:f>
        <x:v>16200</x:v>
      </x:c>
      <x:c r="K1085" s="17" t="n">
        <x:f>I1085+J1085</x:f>
        <x:v>106200</x:v>
      </x:c>
    </x:row>
    <x:row r="1086" ht="46" customHeight="1">
      <x:c r="A1086" s="2" t="str">
        <x:v>Sector</x:v>
      </x:c>
      <x:c r="B1086" s="2" t="str">
        <x:v>Education</x:v>
      </x:c>
      <x:c r="C1086" s="12" t="str">
        <x:v>Bengaluru</x:v>
      </x:c>
      <x:c r="D1086" s="12" t="str">
        <x:v>MAIN-024</x:v>
      </x:c>
      <x:c r="E1086" s="12" t="str">
        <x:v>Awfis - Soul Space Paradigm</x:v>
      </x:c>
      <x:c r="F1086" s="11" t="n">
        <x:v>2</x:v>
      </x:c>
      <x:c r="G1086" s="11" t="n">
        <x:v>2</x:v>
      </x:c>
      <x:c r="H1086" s="11" t="n">
        <x:v>0</x:v>
      </x:c>
      <x:c r="I1086" s="17" t="n">
        <x:f>INDEX('Costing'!$P$9:$P$492,MATCH(D1086,'Costing'!$A$9:$A$492,0))</x:f>
        <x:v>30000</x:v>
      </x:c>
      <x:c r="J1086" s="17" t="n">
        <x:f>ROUND(I1086*'Costing'!$C$4,2)</x:f>
        <x:v>5400</x:v>
      </x:c>
      <x:c r="K1086" s="17" t="n">
        <x:f>I1086+J1086</x:f>
        <x:v>35400</x:v>
      </x:c>
    </x:row>
    <x:row r="1087" ht="46" customHeight="1">
      <x:c r="A1087" s="2" t="str">
        <x:v>Sector</x:v>
      </x:c>
      <x:c r="B1087" s="2" t="str">
        <x:v>Education</x:v>
      </x:c>
      <x:c r="C1087" s="12" t="str">
        <x:v>Bengaluru</x:v>
      </x:c>
      <x:c r="D1087" s="12" t="str">
        <x:v>MAIN-028</x:v>
      </x:c>
      <x:c r="E1087" s="12" t="str">
        <x:v>Bhive Workspace - HSR Layout 27Th Main</x:v>
      </x:c>
      <x:c r="F1087" s="11" t="n">
        <x:v>1</x:v>
      </x:c>
      <x:c r="G1087" s="11" t="n">
        <x:v>1</x:v>
      </x:c>
      <x:c r="H1087" s="11" t="n">
        <x:v>0</x:v>
      </x:c>
      <x:c r="I1087" s="17" t="n">
        <x:f>INDEX('Costing'!$P$9:$P$492,MATCH(D1087,'Costing'!$A$9:$A$492,0))</x:f>
        <x:v>15000</x:v>
      </x:c>
      <x:c r="J1087" s="17" t="n">
        <x:f>ROUND(I1087*'Costing'!$C$4,2)</x:f>
        <x:v>2700</x:v>
      </x:c>
      <x:c r="K1087" s="17" t="n">
        <x:f>I1087+J1087</x:f>
        <x:v>17700</x:v>
      </x:c>
    </x:row>
    <x:row r="1088" ht="46" customHeight="1">
      <x:c r="A1088" s="2" t="str">
        <x:v>Sector</x:v>
      </x:c>
      <x:c r="B1088" s="2" t="str">
        <x:v>Education</x:v>
      </x:c>
      <x:c r="C1088" s="12" t="str">
        <x:v>Bengaluru</x:v>
      </x:c>
      <x:c r="D1088" s="12" t="str">
        <x:v>MAIN-031</x:v>
      </x:c>
      <x:c r="E1088" s="12" t="str">
        <x:v>Bhive Workspace - Koramangala 5TH Block</x:v>
      </x:c>
      <x:c r="F1088" s="11" t="n">
        <x:v>2</x:v>
      </x:c>
      <x:c r="G1088" s="11" t="n">
        <x:v>2</x:v>
      </x:c>
      <x:c r="H1088" s="11" t="n">
        <x:v>0</x:v>
      </x:c>
      <x:c r="I1088" s="17" t="n">
        <x:f>INDEX('Costing'!$P$9:$P$492,MATCH(D1088,'Costing'!$A$9:$A$492,0))</x:f>
        <x:v>30000</x:v>
      </x:c>
      <x:c r="J1088" s="17" t="n">
        <x:f>ROUND(I1088*'Costing'!$C$4,2)</x:f>
        <x:v>5400</x:v>
      </x:c>
      <x:c r="K1088" s="17" t="n">
        <x:f>I1088+J1088</x:f>
        <x:v>35400</x:v>
      </x:c>
    </x:row>
    <x:row r="1089" ht="46" customHeight="1">
      <x:c r="A1089" s="2" t="str">
        <x:v>Sector</x:v>
      </x:c>
      <x:c r="B1089" s="2" t="str">
        <x:v>Education</x:v>
      </x:c>
      <x:c r="C1089" s="12" t="str">
        <x:v>Bengaluru</x:v>
      </x:c>
      <x:c r="D1089" s="12" t="str">
        <x:v>MAIN-035</x:v>
      </x:c>
      <x:c r="E1089" s="12" t="str">
        <x:v>Bridge - Work 365 Space</x:v>
      </x:c>
      <x:c r="F1089" s="11" t="n">
        <x:v>1</x:v>
      </x:c>
      <x:c r="G1089" s="11" t="n">
        <x:v>1</x:v>
      </x:c>
      <x:c r="H1089" s="11" t="n">
        <x:v>0</x:v>
      </x:c>
      <x:c r="I1089" s="17" t="n">
        <x:f>INDEX('Costing'!$P$9:$P$492,MATCH(D1089,'Costing'!$A$9:$A$492,0))</x:f>
        <x:v>15000</x:v>
      </x:c>
      <x:c r="J1089" s="17" t="n">
        <x:f>ROUND(I1089*'Costing'!$C$4,2)</x:f>
        <x:v>2700</x:v>
      </x:c>
      <x:c r="K1089" s="17" t="n">
        <x:f>I1089+J1089</x:f>
        <x:v>17700</x:v>
      </x:c>
    </x:row>
    <x:row r="1090" ht="46" customHeight="1">
      <x:c r="A1090" s="2" t="str">
        <x:v>Sector</x:v>
      </x:c>
      <x:c r="B1090" s="2" t="str">
        <x:v>Education</x:v>
      </x:c>
      <x:c r="C1090" s="12" t="str">
        <x:v>Bengaluru</x:v>
      </x:c>
      <x:c r="D1090" s="12" t="str">
        <x:v>MAIN-MSRY7ANC</x:v>
      </x:c>
      <x:c r="E1090" s="12" t="str">
        <x:v>Novel Offices - MSR Novel</x:v>
      </x:c>
      <x:c r="F1090" s="11" t="n">
        <x:v>6</x:v>
      </x:c>
      <x:c r="G1090" s="11" t="n">
        <x:v>6</x:v>
      </x:c>
      <x:c r="H1090" s="11" t="n">
        <x:v>0</x:v>
      </x:c>
      <x:c r="I1090" s="17" t="n">
        <x:f>INDEX('Costing'!$P$9:$P$492,MATCH(D1090,'Costing'!$A$9:$A$492,0))</x:f>
        <x:v>120000</x:v>
      </x:c>
      <x:c r="J1090" s="17" t="n">
        <x:f>ROUND(I1090*'Costing'!$C$4,2)</x:f>
        <x:v>21600</x:v>
      </x:c>
      <x:c r="K1090" s="17" t="n">
        <x:f>I1090+J1090</x:f>
        <x:v>141600</x:v>
      </x:c>
    </x:row>
    <x:row r="1091" ht="46" customHeight="1">
      <x:c r="A1091" s="2" t="str">
        <x:v>Sector</x:v>
      </x:c>
      <x:c r="B1091" s="2" t="str">
        <x:v>Education</x:v>
      </x:c>
      <x:c r="C1091" s="12" t="str">
        <x:v>Bengaluru</x:v>
      </x:c>
      <x:c r="D1091" s="12" t="str">
        <x:v>MAIN-065</x:v>
      </x:c>
      <x:c r="E1091" s="12" t="str">
        <x:v>Obeya - Elan</x:v>
      </x:c>
      <x:c r="F1091" s="11" t="n">
        <x:v>1</x:v>
      </x:c>
      <x:c r="G1091" s="11" t="n">
        <x:v>1</x:v>
      </x:c>
      <x:c r="H1091" s="11" t="n">
        <x:v>0</x:v>
      </x:c>
      <x:c r="I1091" s="17" t="n">
        <x:f>INDEX('Costing'!$P$9:$P$492,MATCH(D1091,'Costing'!$A$9:$A$492,0))</x:f>
        <x:v>15000</x:v>
      </x:c>
      <x:c r="J1091" s="17" t="n">
        <x:f>ROUND(I1091*'Costing'!$C$4,2)</x:f>
        <x:v>2700</x:v>
      </x:c>
      <x:c r="K1091" s="17" t="n">
        <x:f>I1091+J1091</x:f>
        <x:v>17700</x:v>
      </x:c>
    </x:row>
    <x:row r="1092" ht="46" customHeight="1">
      <x:c r="A1092" s="2" t="str">
        <x:v>Sector</x:v>
      </x:c>
      <x:c r="B1092" s="2" t="str">
        <x:v>Education</x:v>
      </x:c>
      <x:c r="C1092" s="12" t="str">
        <x:v>Bengaluru</x:v>
      </x:c>
      <x:c r="D1092" s="12" t="str">
        <x:v>MAIN-088</x:v>
      </x:c>
      <x:c r="E1092" s="12" t="str">
        <x:v>Startuphuts- Unit 4</x:v>
      </x:c>
      <x:c r="F1092" s="11" t="n">
        <x:v>2</x:v>
      </x:c>
      <x:c r="G1092" s="11" t="n">
        <x:v>2</x:v>
      </x:c>
      <x:c r="H1092" s="11" t="n">
        <x:v>0</x:v>
      </x:c>
      <x:c r="I1092" s="17" t="n">
        <x:f>INDEX('Costing'!$P$9:$P$492,MATCH(D1092,'Costing'!$A$9:$A$492,0))</x:f>
        <x:v>30000</x:v>
      </x:c>
      <x:c r="J1092" s="17" t="n">
        <x:f>ROUND(I1092*'Costing'!$C$4,2)</x:f>
        <x:v>5400</x:v>
      </x:c>
      <x:c r="K1092" s="17" t="n">
        <x:f>I1092+J1092</x:f>
        <x:v>35400</x:v>
      </x:c>
    </x:row>
    <x:row r="1093" ht="46" customHeight="1">
      <x:c r="A1093" s="2" t="str">
        <x:v>Sector</x:v>
      </x:c>
      <x:c r="B1093" s="2" t="str">
        <x:v>Education</x:v>
      </x:c>
      <x:c r="C1093" s="12" t="str">
        <x:v>Bengaluru</x:v>
      </x:c>
      <x:c r="D1093" s="12" t="str">
        <x:v>MAIN-090</x:v>
      </x:c>
      <x:c r="E1093" s="12" t="str">
        <x:v>Startuphuts- Unit 7</x:v>
      </x:c>
      <x:c r="F1093" s="11" t="n">
        <x:v>2</x:v>
      </x:c>
      <x:c r="G1093" s="11" t="n">
        <x:v>2</x:v>
      </x:c>
      <x:c r="H1093" s="11" t="n">
        <x:v>0</x:v>
      </x:c>
      <x:c r="I1093" s="17" t="n">
        <x:f>INDEX('Costing'!$P$9:$P$492,MATCH(D1093,'Costing'!$A$9:$A$492,0))</x:f>
        <x:v>30000</x:v>
      </x:c>
      <x:c r="J1093" s="17" t="n">
        <x:f>ROUND(I1093*'Costing'!$C$4,2)</x:f>
        <x:v>5400</x:v>
      </x:c>
      <x:c r="K1093" s="17" t="n">
        <x:f>I1093+J1093</x:f>
        <x:v>35400</x:v>
      </x:c>
    </x:row>
    <x:row r="1094" ht="46" customHeight="1">
      <x:c r="A1094" s="2" t="str">
        <x:v>Sector</x:v>
      </x:c>
      <x:c r="B1094" s="2" t="str">
        <x:v>Education</x:v>
      </x:c>
      <x:c r="C1094" s="12" t="str">
        <x:v>Bengaluru</x:v>
      </x:c>
      <x:c r="D1094" s="12" t="str">
        <x:v>MAIN-098</x:v>
      </x:c>
      <x:c r="E1094" s="12" t="str">
        <x:v>Urban Vault- 145</x:v>
      </x:c>
      <x:c r="F1094" s="11" t="n">
        <x:v>2</x:v>
      </x:c>
      <x:c r="G1094" s="11" t="n">
        <x:v>2</x:v>
      </x:c>
      <x:c r="H1094" s="11" t="n">
        <x:v>0</x:v>
      </x:c>
      <x:c r="I1094" s="17" t="n">
        <x:f>INDEX('Costing'!$P$9:$P$492,MATCH(D1094,'Costing'!$A$9:$A$492,0))</x:f>
        <x:v>30000</x:v>
      </x:c>
      <x:c r="J1094" s="17" t="n">
        <x:f>ROUND(I1094*'Costing'!$C$4,2)</x:f>
        <x:v>5400</x:v>
      </x:c>
      <x:c r="K1094" s="17" t="n">
        <x:f>I1094+J1094</x:f>
        <x:v>35400</x:v>
      </x:c>
    </x:row>
    <x:row r="1095" ht="46" customHeight="1">
      <x:c r="A1095" s="2" t="str">
        <x:v>Sector</x:v>
      </x:c>
      <x:c r="B1095" s="2" t="str">
        <x:v>Education</x:v>
      </x:c>
      <x:c r="C1095" s="12" t="str">
        <x:v>Bengaluru</x:v>
      </x:c>
      <x:c r="D1095" s="12" t="str">
        <x:v>MAIN-108</x:v>
      </x:c>
      <x:c r="E1095" s="12" t="str">
        <x:v>Urban Vault- 1781</x:v>
      </x:c>
      <x:c r="F1095" s="11" t="n">
        <x:v>2</x:v>
      </x:c>
      <x:c r="G1095" s="11" t="n">
        <x:v>2</x:v>
      </x:c>
      <x:c r="H1095" s="11" t="n">
        <x:v>0</x:v>
      </x:c>
      <x:c r="I1095" s="17" t="n">
        <x:f>INDEX('Costing'!$P$9:$P$492,MATCH(D1095,'Costing'!$A$9:$A$492,0))</x:f>
        <x:v>30000</x:v>
      </x:c>
      <x:c r="J1095" s="17" t="n">
        <x:f>ROUND(I1095*'Costing'!$C$4,2)</x:f>
        <x:v>5400</x:v>
      </x:c>
      <x:c r="K1095" s="17" t="n">
        <x:f>I1095+J1095</x:f>
        <x:v>35400</x:v>
      </x:c>
    </x:row>
    <x:row r="1096" ht="46" customHeight="1">
      <x:c r="A1096" s="2" t="str">
        <x:v>Sector</x:v>
      </x:c>
      <x:c r="B1096" s="2" t="str">
        <x:v>Education</x:v>
      </x:c>
      <x:c r="C1096" s="12" t="str">
        <x:v>Bengaluru</x:v>
      </x:c>
      <x:c r="D1096" s="12" t="str">
        <x:v>MAIN-100</x:v>
      </x:c>
      <x:c r="E1096" s="12" t="str">
        <x:v>Urban Vault- 591</x:v>
      </x:c>
      <x:c r="F1096" s="11" t="n">
        <x:v>2</x:v>
      </x:c>
      <x:c r="G1096" s="11" t="n">
        <x:v>2</x:v>
      </x:c>
      <x:c r="H1096" s="11" t="n">
        <x:v>0</x:v>
      </x:c>
      <x:c r="I1096" s="17" t="n">
        <x:f>INDEX('Costing'!$P$9:$P$492,MATCH(D1096,'Costing'!$A$9:$A$492,0))</x:f>
        <x:v>30000</x:v>
      </x:c>
      <x:c r="J1096" s="17" t="n">
        <x:f>ROUND(I1096*'Costing'!$C$4,2)</x:f>
        <x:v>5400</x:v>
      </x:c>
      <x:c r="K1096" s="17" t="n">
        <x:f>I1096+J1096</x:f>
        <x:v>35400</x:v>
      </x:c>
    </x:row>
    <x:row r="1097" ht="46" customHeight="1">
      <x:c r="A1097" s="2" t="str">
        <x:v>Sector</x:v>
      </x:c>
      <x:c r="B1097" s="2" t="str">
        <x:v>Education</x:v>
      </x:c>
      <x:c r="C1097" s="12" t="str">
        <x:v>Bengaluru</x:v>
      </x:c>
      <x:c r="D1097" s="12" t="str">
        <x:v>MAIN-115</x:v>
      </x:c>
      <x:c r="E1097" s="12" t="str">
        <x:v>Wework - Embassy Quest</x:v>
      </x:c>
      <x:c r="F1097" s="11" t="n">
        <x:v>4</x:v>
      </x:c>
      <x:c r="G1097" s="11" t="n">
        <x:v>4</x:v>
      </x:c>
      <x:c r="H1097" s="11" t="n">
        <x:v>0</x:v>
      </x:c>
      <x:c r="I1097" s="17" t="n">
        <x:f>INDEX('Costing'!$P$9:$P$492,MATCH(D1097,'Costing'!$A$9:$A$492,0))</x:f>
        <x:v>100000</x:v>
      </x:c>
      <x:c r="J1097" s="17" t="n">
        <x:f>ROUND(I1097*'Costing'!$C$4,2)</x:f>
        <x:v>18000</x:v>
      </x:c>
      <x:c r="K1097" s="17" t="n">
        <x:f>I1097+J1097</x:f>
        <x:v>118000</x:v>
      </x:c>
    </x:row>
    <x:row r="1098" ht="46" customHeight="1">
      <x:c r="A1098" s="2" t="str">
        <x:v>Sector</x:v>
      </x:c>
      <x:c r="B1098" s="2" t="str">
        <x:v>Education</x:v>
      </x:c>
      <x:c r="C1098" s="12" t="str">
        <x:v>Bengaluru</x:v>
      </x:c>
      <x:c r="D1098" s="12" t="str">
        <x:v>MAIN-119</x:v>
      </x:c>
      <x:c r="E1098" s="12" t="str">
        <x:v>WeWork - Prestige Atlanta</x:v>
      </x:c>
      <x:c r="F1098" s="11" t="n">
        <x:v>5</x:v>
      </x:c>
      <x:c r="G1098" s="11" t="n">
        <x:v>5</x:v>
      </x:c>
      <x:c r="H1098" s="11" t="n">
        <x:v>0</x:v>
      </x:c>
      <x:c r="I1098" s="17" t="n">
        <x:f>INDEX('Costing'!$P$9:$P$492,MATCH(D1098,'Costing'!$A$9:$A$492,0))</x:f>
        <x:v>125000</x:v>
      </x:c>
      <x:c r="J1098" s="17" t="n">
        <x:f>ROUND(I1098*'Costing'!$C$4,2)</x:f>
        <x:v>22500</x:v>
      </x:c>
      <x:c r="K1098" s="17" t="n">
        <x:f>I1098+J1098</x:f>
        <x:v>147500</x:v>
      </x:c>
    </x:row>
    <x:row r="1099" ht="46" customHeight="1">
      <x:c r="A1099" s="2" t="str">
        <x:v>Sector</x:v>
      </x:c>
      <x:c r="B1099" s="2" t="str">
        <x:v>Education</x:v>
      </x:c>
      <x:c r="C1099" s="12" t="str">
        <x:v>Bengaluru</x:v>
      </x:c>
      <x:c r="D1099" s="12" t="str">
        <x:v>MAIN-121</x:v>
      </x:c>
      <x:c r="E1099" s="12" t="str">
        <x:v>Wework - Prestige Cube</x:v>
      </x:c>
      <x:c r="F1099" s="11" t="n">
        <x:v>4</x:v>
      </x:c>
      <x:c r="G1099" s="11" t="n">
        <x:v>4</x:v>
      </x:c>
      <x:c r="H1099" s="11" t="n">
        <x:v>0</x:v>
      </x:c>
      <x:c r="I1099" s="17" t="n">
        <x:f>INDEX('Costing'!$P$9:$P$492,MATCH(D1099,'Costing'!$A$9:$A$492,0))</x:f>
        <x:v>100000</x:v>
      </x:c>
      <x:c r="J1099" s="17" t="n">
        <x:f>ROUND(I1099*'Costing'!$C$4,2)</x:f>
        <x:v>18000</x:v>
      </x:c>
      <x:c r="K1099" s="17" t="n">
        <x:f>I1099+J1099</x:f>
        <x:v>118000</x:v>
      </x:c>
    </x:row>
    <x:row r="1100" ht="46" customHeight="1">
      <x:c r="A1100" s="2" t="str">
        <x:v>Sector</x:v>
      </x:c>
      <x:c r="B1100" s="2" t="str">
        <x:v>Education</x:v>
      </x:c>
      <x:c r="C1100" s="12" t="str">
        <x:v>Bengaluru</x:v>
      </x:c>
      <x:c r="D1100" s="12" t="str">
        <x:v>MAIN-124</x:v>
      </x:c>
      <x:c r="E1100" s="12" t="str">
        <x:v>WeWork - RMZ Latitude</x:v>
      </x:c>
      <x:c r="F1100" s="11" t="n">
        <x:v>4</x:v>
      </x:c>
      <x:c r="G1100" s="11" t="n">
        <x:v>4</x:v>
      </x:c>
      <x:c r="H1100" s="11" t="n">
        <x:v>0</x:v>
      </x:c>
      <x:c r="I1100" s="17" t="n">
        <x:f>INDEX('Costing'!$P$9:$P$492,MATCH(D1100,'Costing'!$A$9:$A$492,0))</x:f>
        <x:v>100000</x:v>
      </x:c>
      <x:c r="J1100" s="17" t="n">
        <x:f>ROUND(I1100*'Costing'!$C$4,2)</x:f>
        <x:v>18000</x:v>
      </x:c>
      <x:c r="K1100" s="17" t="n">
        <x:f>I1100+J1100</x:f>
        <x:v>118000</x:v>
      </x:c>
    </x:row>
    <x:row r="1101" ht="46" customHeight="1">
      <x:c r="A1101" s="2" t="str">
        <x:v>Sector</x:v>
      </x:c>
      <x:c r="B1101" s="2" t="str">
        <x:v>Education</x:v>
      </x:c>
      <x:c r="C1101" s="12" t="str">
        <x:v>Bengaluru</x:v>
      </x:c>
      <x:c r="D1101" s="12" t="str">
        <x:v>MAIN-126</x:v>
      </x:c>
      <x:c r="E1101" s="12" t="str">
        <x:v>WeWork - Salarpuria Magnificia</x:v>
      </x:c>
      <x:c r="F1101" s="11" t="n">
        <x:v>8</x:v>
      </x:c>
      <x:c r="G1101" s="11" t="n">
        <x:v>8</x:v>
      </x:c>
      <x:c r="H1101" s="11" t="n">
        <x:v>0</x:v>
      </x:c>
      <x:c r="I1101" s="17" t="n">
        <x:f>INDEX('Costing'!$P$9:$P$492,MATCH(D1101,'Costing'!$A$9:$A$492,0))</x:f>
        <x:v>200000</x:v>
      </x:c>
      <x:c r="J1101" s="17" t="n">
        <x:f>ROUND(I1101*'Costing'!$C$4,2)</x:f>
        <x:v>36000</x:v>
      </x:c>
      <x:c r="K1101" s="17" t="n">
        <x:f>I1101+J1101</x:f>
        <x:v>236000</x:v>
      </x:c>
    </x:row>
    <x:row r="1102" ht="46" customHeight="1">
      <x:c r="A1102" s="2" t="str">
        <x:v>Sector</x:v>
      </x:c>
      <x:c r="B1102" s="2" t="str">
        <x:v>Education</x:v>
      </x:c>
      <x:c r="C1102" s="12" t="str">
        <x:v>Bengaluru</x:v>
      </x:c>
      <x:c r="D1102" s="12" t="str">
        <x:v>MAIN-129</x:v>
      </x:c>
      <x:c r="E1102" s="12" t="str">
        <x:v>WeWork - The Galaxy</x:v>
      </x:c>
      <x:c r="F1102" s="11" t="n">
        <x:v>7</x:v>
      </x:c>
      <x:c r="G1102" s="11" t="n">
        <x:v>7</x:v>
      </x:c>
      <x:c r="H1102" s="11" t="n">
        <x:v>0</x:v>
      </x:c>
      <x:c r="I1102" s="17" t="n">
        <x:f>INDEX('Costing'!$P$9:$P$492,MATCH(D1102,'Costing'!$A$9:$A$492,0))</x:f>
        <x:v>175000</x:v>
      </x:c>
      <x:c r="J1102" s="17" t="n">
        <x:f>ROUND(I1102*'Costing'!$C$4,2)</x:f>
        <x:v>31500</x:v>
      </x:c>
      <x:c r="K1102" s="17" t="n">
        <x:f>I1102+J1102</x:f>
        <x:v>206500</x:v>
      </x:c>
    </x:row>
    <x:row r="1103" ht="46" customHeight="1">
      <x:c r="A1103" s="2" t="str">
        <x:v>Sector</x:v>
      </x:c>
      <x:c r="B1103" s="2" t="str">
        <x:v>Education</x:v>
      </x:c>
      <x:c r="C1103" s="12" t="str">
        <x:v>Bengaluru</x:v>
      </x:c>
      <x:c r="D1103" s="12" t="str">
        <x:v>MAIN-130</x:v>
      </x:c>
      <x:c r="E1103" s="12" t="str">
        <x:v>WeWork - The Pavilion</x:v>
      </x:c>
      <x:c r="F1103" s="11" t="n">
        <x:v>4</x:v>
      </x:c>
      <x:c r="G1103" s="11" t="n">
        <x:v>4</x:v>
      </x:c>
      <x:c r="H1103" s="11" t="n">
        <x:v>0</x:v>
      </x:c>
      <x:c r="I1103" s="17" t="n">
        <x:f>INDEX('Costing'!$P$9:$P$492,MATCH(D1103,'Costing'!$A$9:$A$492,0))</x:f>
        <x:v>100000</x:v>
      </x:c>
      <x:c r="J1103" s="17" t="n">
        <x:f>ROUND(I1103*'Costing'!$C$4,2)</x:f>
        <x:v>18000</x:v>
      </x:c>
      <x:c r="K1103" s="17" t="n">
        <x:f>I1103+J1103</x:f>
        <x:v>118000</x:v>
      </x:c>
    </x:row>
    <x:row r="1104" ht="46" customHeight="1">
      <x:c r="A1104" s="2" t="str">
        <x:v>Sector</x:v>
      </x:c>
      <x:c r="B1104" s="2" t="str">
        <x:v>Education</x:v>
      </x:c>
      <x:c r="C1104" s="12" t="str">
        <x:v>Bengaluru</x:v>
      </x:c>
      <x:c r="D1104" s="12" t="str">
        <x:v>MAIN-133</x:v>
      </x:c>
      <x:c r="E1104" s="12" t="str">
        <x:v>Workflow by Oyo - Ranka</x:v>
      </x:c>
      <x:c r="F1104" s="11" t="n">
        <x:v>2</x:v>
      </x:c>
      <x:c r="G1104" s="11" t="n">
        <x:v>2</x:v>
      </x:c>
      <x:c r="H1104" s="11" t="n">
        <x:v>0</x:v>
      </x:c>
      <x:c r="I1104" s="17" t="n">
        <x:f>INDEX('Costing'!$P$9:$P$492,MATCH(D1104,'Costing'!$A$9:$A$492,0))</x:f>
        <x:v>30000</x:v>
      </x:c>
      <x:c r="J1104" s="17" t="n">
        <x:f>ROUND(I1104*'Costing'!$C$4,2)</x:f>
        <x:v>5400</x:v>
      </x:c>
      <x:c r="K1104" s="17" t="n">
        <x:f>I1104+J1104</x:f>
        <x:v>35400</x:v>
      </x:c>
    </x:row>
    <x:row r="1105" ht="46" customHeight="1">
      <x:c r="A1105" s="2" t="str">
        <x:v>Sector</x:v>
      </x:c>
      <x:c r="B1105" s="2" t="str">
        <x:v>Education</x:v>
      </x:c>
      <x:c r="C1105" s="12" t="str">
        <x:v>Chennai</x:v>
      </x:c>
      <x:c r="D1105" s="12" t="str">
        <x:v>MAIN-159</x:v>
      </x:c>
      <x:c r="E1105" s="12" t="str">
        <x:v>Wingspace - Coworking Space IN Perungudi</x:v>
      </x:c>
      <x:c r="F1105" s="11" t="n">
        <x:v>1</x:v>
      </x:c>
      <x:c r="G1105" s="11" t="n">
        <x:v>1</x:v>
      </x:c>
      <x:c r="H1105" s="11" t="n">
        <x:v>0</x:v>
      </x:c>
      <x:c r="I1105" s="17" t="n">
        <x:f>INDEX('Costing'!$P$9:$P$492,MATCH(D1105,'Costing'!$A$9:$A$492,0))</x:f>
        <x:v>15000</x:v>
      </x:c>
      <x:c r="J1105" s="17" t="n">
        <x:f>ROUND(I1105*'Costing'!$C$4,2)</x:f>
        <x:v>2700</x:v>
      </x:c>
      <x:c r="K1105" s="17" t="n">
        <x:f>I1105+J1105</x:f>
        <x:v>17700</x:v>
      </x:c>
    </x:row>
    <x:row r="1106" ht="46" customHeight="1">
      <x:c r="A1106" s="2" t="str">
        <x:v>Sector</x:v>
      </x:c>
      <x:c r="B1106" s="2" t="str">
        <x:v>Education</x:v>
      </x:c>
      <x:c r="C1106" s="12" t="str">
        <x:v>Delhi NCR</x:v>
      </x:c>
      <x:c r="D1106" s="12" t="str">
        <x:v>MAIN-163</x:v>
      </x:c>
      <x:c r="E1106" s="12" t="str">
        <x:v>Awfis - Mohan Cooperative</x:v>
      </x:c>
      <x:c r="F1106" s="11" t="n">
        <x:v>3</x:v>
      </x:c>
      <x:c r="G1106" s="11" t="n">
        <x:v>3</x:v>
      </x:c>
      <x:c r="H1106" s="11" t="n">
        <x:v>0</x:v>
      </x:c>
      <x:c r="I1106" s="17" t="n">
        <x:f>INDEX('Costing'!$P$9:$P$492,MATCH(D1106,'Costing'!$A$9:$A$492,0))</x:f>
        <x:v>45000</x:v>
      </x:c>
      <x:c r="J1106" s="17" t="n">
        <x:f>ROUND(I1106*'Costing'!$C$4,2)</x:f>
        <x:v>8100</x:v>
      </x:c>
      <x:c r="K1106" s="17" t="n">
        <x:f>I1106+J1106</x:f>
        <x:v>53100</x:v>
      </x:c>
    </x:row>
    <x:row r="1107" ht="46" customHeight="1">
      <x:c r="A1107" s="2" t="str">
        <x:v>Sector</x:v>
      </x:c>
      <x:c r="B1107" s="2" t="str">
        <x:v>Education</x:v>
      </x:c>
      <x:c r="C1107" s="12" t="str">
        <x:v>Delhi NCR</x:v>
      </x:c>
      <x:c r="D1107" s="12" t="str">
        <x:v>MAIN-164</x:v>
      </x:c>
      <x:c r="E1107" s="12" t="str">
        <x:v>Awfis - Mohan Cooperative 2</x:v>
      </x:c>
      <x:c r="F1107" s="11" t="n">
        <x:v>1</x:v>
      </x:c>
      <x:c r="G1107" s="11" t="n">
        <x:v>1</x:v>
      </x:c>
      <x:c r="H1107" s="11" t="n">
        <x:v>0</x:v>
      </x:c>
      <x:c r="I1107" s="17" t="n">
        <x:f>INDEX('Costing'!$P$9:$P$492,MATCH(D1107,'Costing'!$A$9:$A$492,0))</x:f>
        <x:v>15000</x:v>
      </x:c>
      <x:c r="J1107" s="17" t="n">
        <x:f>ROUND(I1107*'Costing'!$C$4,2)</x:f>
        <x:v>2700</x:v>
      </x:c>
      <x:c r="K1107" s="17" t="n">
        <x:f>I1107+J1107</x:f>
        <x:v>17700</x:v>
      </x:c>
    </x:row>
    <x:row r="1108" ht="46" customHeight="1">
      <x:c r="A1108" s="2" t="str">
        <x:v>Sector</x:v>
      </x:c>
      <x:c r="B1108" s="2" t="str">
        <x:v>Education</x:v>
      </x:c>
      <x:c r="C1108" s="12" t="str">
        <x:v>Delhi NCR</x:v>
      </x:c>
      <x:c r="D1108" s="12" t="str">
        <x:v>MAIN-180</x:v>
      </x:c>
      <x:c r="E1108" s="12" t="str">
        <x:v>Awfis - Paras Trinity</x:v>
      </x:c>
      <x:c r="F1108" s="11" t="n">
        <x:v>3</x:v>
      </x:c>
      <x:c r="G1108" s="11" t="n">
        <x:v>3</x:v>
      </x:c>
      <x:c r="H1108" s="11" t="n">
        <x:v>0</x:v>
      </x:c>
      <x:c r="I1108" s="17" t="n">
        <x:f>INDEX('Costing'!$P$9:$P$492,MATCH(D1108,'Costing'!$A$9:$A$492,0))</x:f>
        <x:v>45000</x:v>
      </x:c>
      <x:c r="J1108" s="17" t="n">
        <x:f>ROUND(I1108*'Costing'!$C$4,2)</x:f>
        <x:v>8100</x:v>
      </x:c>
      <x:c r="K1108" s="17" t="n">
        <x:f>I1108+J1108</x:f>
        <x:v>53100</x:v>
      </x:c>
    </x:row>
    <x:row r="1109" ht="46" customHeight="1">
      <x:c r="A1109" s="2" t="str">
        <x:v>Sector</x:v>
      </x:c>
      <x:c r="B1109" s="2" t="str">
        <x:v>Education</x:v>
      </x:c>
      <x:c r="C1109" s="12" t="str">
        <x:v>Delhi NCR</x:v>
      </x:c>
      <x:c r="D1109" s="12" t="str">
        <x:v>MAIN-197</x:v>
      </x:c>
      <x:c r="E1109" s="12" t="str">
        <x:v>Nucleus - One Qube</x:v>
      </x:c>
      <x:c r="F1109" s="11" t="n">
        <x:v>3</x:v>
      </x:c>
      <x:c r="G1109" s="11" t="n">
        <x:v>3</x:v>
      </x:c>
      <x:c r="H1109" s="11" t="n">
        <x:v>0</x:v>
      </x:c>
      <x:c r="I1109" s="17" t="n">
        <x:f>INDEX('Costing'!$P$9:$P$492,MATCH(D1109,'Costing'!$A$9:$A$492,0))</x:f>
        <x:v>120000</x:v>
      </x:c>
      <x:c r="J1109" s="17" t="n">
        <x:f>ROUND(I1109*'Costing'!$C$4,2)</x:f>
        <x:v>21600</x:v>
      </x:c>
      <x:c r="K1109" s="17" t="n">
        <x:f>I1109+J1109</x:f>
        <x:v>141600</x:v>
      </x:c>
    </x:row>
    <x:row r="1110" ht="46" customHeight="1">
      <x:c r="A1110" s="2" t="str">
        <x:v>Sector</x:v>
      </x:c>
      <x:c r="B1110" s="2" t="str">
        <x:v>Education</x:v>
      </x:c>
      <x:c r="C1110" s="12" t="str">
        <x:v>Delhi NCR</x:v>
      </x:c>
      <x:c r="D1110" s="12" t="str">
        <x:v>MAIN-204</x:v>
      </x:c>
      <x:c r="E1110" s="12" t="str">
        <x:v>Unitech - Cyber Park</x:v>
      </x:c>
      <x:c r="F1110" s="11" t="n">
        <x:v>4</x:v>
      </x:c>
      <x:c r="G1110" s="11" t="n">
        <x:v>4</x:v>
      </x:c>
      <x:c r="H1110" s="11" t="n">
        <x:v>0</x:v>
      </x:c>
      <x:c r="I1110" s="17" t="n">
        <x:f>INDEX('Costing'!$P$9:$P$492,MATCH(D1110,'Costing'!$A$9:$A$492,0))</x:f>
        <x:v>160000</x:v>
      </x:c>
      <x:c r="J1110" s="17" t="n">
        <x:f>ROUND(I1110*'Costing'!$C$4,2)</x:f>
        <x:v>28800</x:v>
      </x:c>
      <x:c r="K1110" s="17" t="n">
        <x:f>I1110+J1110</x:f>
        <x:v>188800</x:v>
      </x:c>
    </x:row>
    <x:row r="1111" ht="46" customHeight="1">
      <x:c r="A1111" s="2" t="str">
        <x:v>Sector</x:v>
      </x:c>
      <x:c r="B1111" s="2" t="str">
        <x:v>Education</x:v>
      </x:c>
      <x:c r="C1111" s="12" t="str">
        <x:v>Delhi NCR</x:v>
      </x:c>
      <x:c r="D1111" s="12" t="str">
        <x:v>MAIN-207</x:v>
      </x:c>
      <x:c r="E1111" s="12" t="str">
        <x:v>Unitech - Signature Tower</x:v>
      </x:c>
      <x:c r="F1111" s="11" t="n">
        <x:v>2</x:v>
      </x:c>
      <x:c r="G1111" s="11" t="n">
        <x:v>2</x:v>
      </x:c>
      <x:c r="H1111" s="11" t="n">
        <x:v>0</x:v>
      </x:c>
      <x:c r="I1111" s="17" t="n">
        <x:f>INDEX('Costing'!$P$9:$P$492,MATCH(D1111,'Costing'!$A$9:$A$492,0))</x:f>
        <x:v>80000</x:v>
      </x:c>
      <x:c r="J1111" s="17" t="n">
        <x:f>ROUND(I1111*'Costing'!$C$4,2)</x:f>
        <x:v>14400</x:v>
      </x:c>
      <x:c r="K1111" s="17" t="n">
        <x:f>I1111+J1111</x:f>
        <x:v>94400</x:v>
      </x:c>
    </x:row>
    <x:row r="1112" ht="46" customHeight="1">
      <x:c r="A1112" s="2" t="str">
        <x:v>Sector</x:v>
      </x:c>
      <x:c r="B1112" s="2" t="str">
        <x:v>Education</x:v>
      </x:c>
      <x:c r="C1112" s="12" t="str">
        <x:v>Delhi NCR</x:v>
      </x:c>
      <x:c r="D1112" s="12" t="str">
        <x:v>MAIN-208</x:v>
      </x:c>
      <x:c r="E1112" s="12" t="str">
        <x:v>Unitech - Trade Center</x:v>
      </x:c>
      <x:c r="F1112" s="11" t="n">
        <x:v>1</x:v>
      </x:c>
      <x:c r="G1112" s="11" t="n">
        <x:v>1</x:v>
      </x:c>
      <x:c r="H1112" s="11" t="n">
        <x:v>0</x:v>
      </x:c>
      <x:c r="I1112" s="17" t="n">
        <x:f>INDEX('Costing'!$P$9:$P$492,MATCH(D1112,'Costing'!$A$9:$A$492,0))</x:f>
        <x:v>40000</x:v>
      </x:c>
      <x:c r="J1112" s="17" t="n">
        <x:f>ROUND(I1112*'Costing'!$C$4,2)</x:f>
        <x:v>7200</x:v>
      </x:c>
      <x:c r="K1112" s="17" t="n">
        <x:f>I1112+J1112</x:f>
        <x:v>47200</x:v>
      </x:c>
    </x:row>
    <x:row r="1113" ht="46" customHeight="1">
      <x:c r="A1113" s="2" t="str">
        <x:v>Sector</x:v>
      </x:c>
      <x:c r="B1113" s="2" t="str">
        <x:v>Education</x:v>
      </x:c>
      <x:c r="C1113" s="12" t="str">
        <x:v>Delhi NCR</x:v>
      </x:c>
      <x:c r="D1113" s="12" t="str">
        <x:v>MAIN-172</x:v>
      </x:c>
      <x:c r="E1113" s="12" t="str">
        <x:v>Workflow by Oyo - Aerocity</x:v>
      </x:c>
      <x:c r="F1113" s="11" t="n">
        <x:v>3</x:v>
      </x:c>
      <x:c r="G1113" s="11" t="n">
        <x:v>3</x:v>
      </x:c>
      <x:c r="H1113" s="11" t="n">
        <x:v>0</x:v>
      </x:c>
      <x:c r="I1113" s="17" t="n">
        <x:f>INDEX('Costing'!$P$9:$P$492,MATCH(D1113,'Costing'!$A$9:$A$492,0))</x:f>
        <x:v>45000</x:v>
      </x:c>
      <x:c r="J1113" s="17" t="n">
        <x:f>ROUND(I1113*'Costing'!$C$4,2)</x:f>
        <x:v>8100</x:v>
      </x:c>
      <x:c r="K1113" s="17" t="n">
        <x:f>I1113+J1113</x:f>
        <x:v>53100</x:v>
      </x:c>
    </x:row>
    <x:row r="1114" ht="46" customHeight="1">
      <x:c r="A1114" s="2" t="str">
        <x:v>Sector</x:v>
      </x:c>
      <x:c r="B1114" s="2" t="str">
        <x:v>Education</x:v>
      </x:c>
      <x:c r="C1114" s="12" t="str">
        <x:v>Delhi NCR</x:v>
      </x:c>
      <x:c r="D1114" s="12" t="str">
        <x:v>MAIN-173</x:v>
      </x:c>
      <x:c r="E1114" s="12" t="str">
        <x:v>Workflow by Oyo - CP Regal</x:v>
      </x:c>
      <x:c r="F1114" s="11" t="n">
        <x:v>1</x:v>
      </x:c>
      <x:c r="G1114" s="11" t="n">
        <x:v>1</x:v>
      </x:c>
      <x:c r="H1114" s="11" t="n">
        <x:v>0</x:v>
      </x:c>
      <x:c r="I1114" s="17" t="n">
        <x:f>INDEX('Costing'!$P$9:$P$492,MATCH(D1114,'Costing'!$A$9:$A$492,0))</x:f>
        <x:v>15000</x:v>
      </x:c>
      <x:c r="J1114" s="17" t="n">
        <x:f>ROUND(I1114*'Costing'!$C$4,2)</x:f>
        <x:v>2700</x:v>
      </x:c>
      <x:c r="K1114" s="17" t="n">
        <x:f>I1114+J1114</x:f>
        <x:v>17700</x:v>
      </x:c>
    </x:row>
    <x:row r="1115" ht="46" customHeight="1">
      <x:c r="A1115" s="2" t="str">
        <x:v>Sector</x:v>
      </x:c>
      <x:c r="B1115" s="2" t="str">
        <x:v>Education</x:v>
      </x:c>
      <x:c r="C1115" s="12" t="str">
        <x:v>Hyderabad</x:v>
      </x:c>
      <x:c r="D1115" s="12" t="str">
        <x:v>MAIN-215</x:v>
      </x:c>
      <x:c r="E1115" s="12" t="str">
        <x:v>Awfis - B144Lorven Tiara</x:v>
      </x:c>
      <x:c r="F1115" s="11" t="n">
        <x:v>8</x:v>
      </x:c>
      <x:c r="G1115" s="11" t="n">
        <x:v>8</x:v>
      </x:c>
      <x:c r="H1115" s="11" t="n">
        <x:v>0</x:v>
      </x:c>
      <x:c r="I1115" s="17" t="n">
        <x:f>INDEX('Costing'!$P$9:$P$492,MATCH(D1115,'Costing'!$A$9:$A$492,0))</x:f>
        <x:v>120000</x:v>
      </x:c>
      <x:c r="J1115" s="17" t="n">
        <x:f>ROUND(I1115*'Costing'!$C$4,2)</x:f>
        <x:v>21600</x:v>
      </x:c>
      <x:c r="K1115" s="17" t="n">
        <x:f>I1115+J1115</x:f>
        <x:v>141600</x:v>
      </x:c>
    </x:row>
    <x:row r="1116" ht="46" customHeight="1">
      <x:c r="A1116" s="2" t="str">
        <x:v>Sector</x:v>
      </x:c>
      <x:c r="B1116" s="2" t="str">
        <x:v>Education</x:v>
      </x:c>
      <x:c r="C1116" s="12" t="str">
        <x:v>Hyderabad</x:v>
      </x:c>
      <x:c r="D1116" s="12" t="str">
        <x:v>MAIN-225</x:v>
      </x:c>
      <x:c r="E1116" s="12" t="str">
        <x:v>Awfis - Vasavi MPM Mall</x:v>
      </x:c>
      <x:c r="F1116" s="11" t="n">
        <x:v>2</x:v>
      </x:c>
      <x:c r="G1116" s="11" t="n">
        <x:v>2</x:v>
      </x:c>
      <x:c r="H1116" s="11" t="n">
        <x:v>0</x:v>
      </x:c>
      <x:c r="I1116" s="17" t="n">
        <x:f>INDEX('Costing'!$P$9:$P$492,MATCH(D1116,'Costing'!$A$9:$A$492,0))</x:f>
        <x:v>30000</x:v>
      </x:c>
      <x:c r="J1116" s="17" t="n">
        <x:f>ROUND(I1116*'Costing'!$C$4,2)</x:f>
        <x:v>5400</x:v>
      </x:c>
      <x:c r="K1116" s="17" t="n">
        <x:f>I1116+J1116</x:f>
        <x:v>35400</x:v>
      </x:c>
    </x:row>
    <x:row r="1117" ht="46" customHeight="1">
      <x:c r="A1117" s="2" t="str">
        <x:v>Sector</x:v>
      </x:c>
      <x:c r="B1117" s="2" t="str">
        <x:v>Education</x:v>
      </x:c>
      <x:c r="C1117" s="12" t="str">
        <x:v>Hyderabad</x:v>
      </x:c>
      <x:c r="D1117" s="12" t="str">
        <x:v>MAIN-242</x:v>
      </x:c>
      <x:c r="E1117" s="12" t="str">
        <x:v>NSL Centrum Mall</x:v>
      </x:c>
      <x:c r="F1117" s="11" t="n">
        <x:v>2</x:v>
      </x:c>
      <x:c r="G1117" s="11" t="n">
        <x:v>2</x:v>
      </x:c>
      <x:c r="H1117" s="11" t="n">
        <x:v>0</x:v>
      </x:c>
      <x:c r="I1117" s="17" t="n">
        <x:f>INDEX('Costing'!$P$9:$P$492,MATCH(D1117,'Costing'!$A$9:$A$492,0))</x:f>
        <x:v>30000</x:v>
      </x:c>
      <x:c r="J1117" s="17" t="n">
        <x:f>ROUND(I1117*'Costing'!$C$4,2)</x:f>
        <x:v>5400</x:v>
      </x:c>
      <x:c r="K1117" s="17" t="n">
        <x:f>I1117+J1117</x:f>
        <x:v>35400</x:v>
      </x:c>
    </x:row>
    <x:row r="1118" ht="46" customHeight="1">
      <x:c r="A1118" s="2" t="str">
        <x:v>Sector</x:v>
      </x:c>
      <x:c r="B1118" s="2" t="str">
        <x:v>Education</x:v>
      </x:c>
      <x:c r="C1118" s="12" t="str">
        <x:v>Hyderabad</x:v>
      </x:c>
      <x:c r="D1118" s="12" t="str">
        <x:v>MAIN-254</x:v>
      </x:c>
      <x:c r="E1118" s="12" t="str">
        <x:v>Sattva Octave (Redbrick Offices)</x:v>
      </x:c>
      <x:c r="F1118" s="11" t="n">
        <x:v>1</x:v>
      </x:c>
      <x:c r="G1118" s="11" t="n">
        <x:v>1</x:v>
      </x:c>
      <x:c r="H1118" s="11" t="n">
        <x:v>0</x:v>
      </x:c>
      <x:c r="I1118" s="17" t="n">
        <x:f>INDEX('Costing'!$P$9:$P$492,MATCH(D1118,'Costing'!$A$9:$A$492,0))</x:f>
        <x:v>15000</x:v>
      </x:c>
      <x:c r="J1118" s="17" t="n">
        <x:f>ROUND(I1118*'Costing'!$C$4,2)</x:f>
        <x:v>2700</x:v>
      </x:c>
      <x:c r="K1118" s="17" t="n">
        <x:f>I1118+J1118</x:f>
        <x:v>17700</x:v>
      </x:c>
    </x:row>
    <x:row r="1119" ht="46" customHeight="1">
      <x:c r="A1119" s="2" t="str">
        <x:v>Sector</x:v>
      </x:c>
      <x:c r="B1119" s="2" t="str">
        <x:v>Education</x:v>
      </x:c>
      <x:c r="C1119" s="12" t="str">
        <x:v>Hyderabad</x:v>
      </x:c>
      <x:c r="D1119" s="12" t="str">
        <x:v>MAIN-265</x:v>
      </x:c>
      <x:c r="E1119" s="12" t="str">
        <x:v>WeWork - RMZ Spire</x:v>
      </x:c>
      <x:c r="F1119" s="11" t="n">
        <x:v>4</x:v>
      </x:c>
      <x:c r="G1119" s="11" t="n">
        <x:v>4</x:v>
      </x:c>
      <x:c r="H1119" s="11" t="n">
        <x:v>0</x:v>
      </x:c>
      <x:c r="I1119" s="17" t="n">
        <x:f>INDEX('Costing'!$P$9:$P$492,MATCH(D1119,'Costing'!$A$9:$A$492,0))</x:f>
        <x:v>100000</x:v>
      </x:c>
      <x:c r="J1119" s="17" t="n">
        <x:f>ROUND(I1119*'Costing'!$C$4,2)</x:f>
        <x:v>18000</x:v>
      </x:c>
      <x:c r="K1119" s="17" t="n">
        <x:f>I1119+J1119</x:f>
        <x:v>118000</x:v>
      </x:c>
    </x:row>
    <x:row r="1120" ht="46" customHeight="1">
      <x:c r="A1120" s="2" t="str">
        <x:v>Sector</x:v>
      </x:c>
      <x:c r="B1120" s="2" t="str">
        <x:v>Education</x:v>
      </x:c>
      <x:c r="C1120" s="12" t="str">
        <x:v>Indore</x:v>
      </x:c>
      <x:c r="D1120" s="12" t="str">
        <x:v>MAIN-267</x:v>
      </x:c>
      <x:c r="E1120" s="12" t="str">
        <x:v>Apollo Gold Plaza</x:v>
      </x:c>
      <x:c r="F1120" s="11" t="n">
        <x:v>2</x:v>
      </x:c>
      <x:c r="G1120" s="11" t="n">
        <x:v>2</x:v>
      </x:c>
      <x:c r="H1120" s="11" t="n">
        <x:v>0</x:v>
      </x:c>
      <x:c r="I1120" s="17" t="n">
        <x:f>INDEX('Costing'!$P$9:$P$492,MATCH(D1120,'Costing'!$A$9:$A$492,0))</x:f>
        <x:v>40000</x:v>
      </x:c>
      <x:c r="J1120" s="17" t="n">
        <x:f>ROUND(I1120*'Costing'!$C$4,2)</x:f>
        <x:v>7200</x:v>
      </x:c>
      <x:c r="K1120" s="17" t="n">
        <x:f>I1120+J1120</x:f>
        <x:v>47200</x:v>
      </x:c>
    </x:row>
    <x:row r="1121" ht="46" customHeight="1">
      <x:c r="A1121" s="2" t="str">
        <x:v>Sector</x:v>
      </x:c>
      <x:c r="B1121" s="2" t="str">
        <x:v>Education</x:v>
      </x:c>
      <x:c r="C1121" s="12" t="str">
        <x:v>Indore</x:v>
      </x:c>
      <x:c r="D1121" s="12" t="str">
        <x:v>MAIN-268</x:v>
      </x:c>
      <x:c r="E1121" s="12" t="str">
        <x:v>Apollo Premier</x:v>
      </x:c>
      <x:c r="F1121" s="11" t="n">
        <x:v>2</x:v>
      </x:c>
      <x:c r="G1121" s="11" t="n">
        <x:v>2</x:v>
      </x:c>
      <x:c r="H1121" s="11" t="n">
        <x:v>0</x:v>
      </x:c>
      <x:c r="I1121" s="17" t="n">
        <x:f>INDEX('Costing'!$P$9:$P$492,MATCH(D1121,'Costing'!$A$9:$A$492,0))</x:f>
        <x:v>80000</x:v>
      </x:c>
      <x:c r="J1121" s="17" t="n">
        <x:f>ROUND(I1121*'Costing'!$C$4,2)</x:f>
        <x:v>14400</x:v>
      </x:c>
      <x:c r="K1121" s="17" t="n">
        <x:f>I1121+J1121</x:f>
        <x:v>94400</x:v>
      </x:c>
    </x:row>
    <x:row r="1122" ht="46" customHeight="1">
      <x:c r="A1122" s="2" t="str">
        <x:v>Sector</x:v>
      </x:c>
      <x:c r="B1122" s="2" t="str">
        <x:v>Education</x:v>
      </x:c>
      <x:c r="C1122" s="12" t="str">
        <x:v>Indore</x:v>
      </x:c>
      <x:c r="D1122" s="12" t="str">
        <x:v>MAIN-272</x:v>
      </x:c>
      <x:c r="E1122" s="12" t="str">
        <x:v>Maloo - 01</x:v>
      </x:c>
      <x:c r="F1122" s="11" t="n">
        <x:v>1</x:v>
      </x:c>
      <x:c r="G1122" s="11" t="n">
        <x:v>1</x:v>
      </x:c>
      <x:c r="H1122" s="11" t="n">
        <x:v>0</x:v>
      </x:c>
      <x:c r="I1122" s="17" t="n">
        <x:f>INDEX('Costing'!$P$9:$P$492,MATCH(D1122,'Costing'!$A$9:$A$492,0))</x:f>
        <x:v>20000</x:v>
      </x:c>
      <x:c r="J1122" s="17" t="n">
        <x:f>ROUND(I1122*'Costing'!$C$4,2)</x:f>
        <x:v>3600</x:v>
      </x:c>
      <x:c r="K1122" s="17" t="n">
        <x:f>I1122+J1122</x:f>
        <x:v>23600</x:v>
      </x:c>
    </x:row>
    <x:row r="1123" ht="46" customHeight="1">
      <x:c r="A1123" s="2" t="str">
        <x:v>Sector</x:v>
      </x:c>
      <x:c r="B1123" s="2" t="str">
        <x:v>Education</x:v>
      </x:c>
      <x:c r="C1123" s="12" t="str">
        <x:v>Indore</x:v>
      </x:c>
      <x:c r="D1123" s="12" t="str">
        <x:v>MAIN-275</x:v>
      </x:c>
      <x:c r="E1123" s="12" t="str">
        <x:v>Princess Sky Park</x:v>
      </x:c>
      <x:c r="F1123" s="11" t="n">
        <x:v>1</x:v>
      </x:c>
      <x:c r="G1123" s="11" t="n">
        <x:v>1</x:v>
      </x:c>
      <x:c r="H1123" s="11" t="n">
        <x:v>0</x:v>
      </x:c>
      <x:c r="I1123" s="17" t="n">
        <x:f>INDEX('Costing'!$P$9:$P$492,MATCH(D1123,'Costing'!$A$9:$A$492,0))</x:f>
        <x:v>40000</x:v>
      </x:c>
      <x:c r="J1123" s="17" t="n">
        <x:f>ROUND(I1123*'Costing'!$C$4,2)</x:f>
        <x:v>7200</x:v>
      </x:c>
      <x:c r="K1123" s="17" t="n">
        <x:f>I1123+J1123</x:f>
        <x:v>47200</x:v>
      </x:c>
    </x:row>
    <x:row r="1124" ht="46" customHeight="1">
      <x:c r="A1124" s="2" t="str">
        <x:v>Sector</x:v>
      </x:c>
      <x:c r="B1124" s="2" t="str">
        <x:v>Education</x:v>
      </x:c>
      <x:c r="C1124" s="12" t="str">
        <x:v>Kochi</x:v>
      </x:c>
      <x:c r="D1124" s="12" t="str">
        <x:v>MAIN-277</x:v>
      </x:c>
      <x:c r="E1124" s="12" t="str">
        <x:v>Awfis - Mezmatrix</x:v>
      </x:c>
      <x:c r="F1124" s="11" t="n">
        <x:v>2</x:v>
      </x:c>
      <x:c r="G1124" s="11" t="n">
        <x:v>2</x:v>
      </x:c>
      <x:c r="H1124" s="11" t="n">
        <x:v>0</x:v>
      </x:c>
      <x:c r="I1124" s="17" t="n">
        <x:f>INDEX('Costing'!$P$9:$P$492,MATCH(D1124,'Costing'!$A$9:$A$492,0))</x:f>
        <x:v>30000</x:v>
      </x:c>
      <x:c r="J1124" s="17" t="n">
        <x:f>ROUND(I1124*'Costing'!$C$4,2)</x:f>
        <x:v>5400</x:v>
      </x:c>
      <x:c r="K1124" s="17" t="n">
        <x:f>I1124+J1124</x:f>
        <x:v>35400</x:v>
      </x:c>
    </x:row>
    <x:row r="1125" ht="46" customHeight="1">
      <x:c r="A1125" s="2" t="str">
        <x:v>Sector</x:v>
      </x:c>
      <x:c r="B1125" s="2" t="str">
        <x:v>Education</x:v>
      </x:c>
      <x:c r="C1125" s="12" t="str">
        <x:v>Kolkata</x:v>
      </x:c>
      <x:c r="D1125" s="12" t="str">
        <x:v>MAIN-287</x:v>
      </x:c>
      <x:c r="E1125" s="12" t="str">
        <x:v>DLF Galleria</x:v>
      </x:c>
      <x:c r="F1125" s="11" t="n">
        <x:v>5</x:v>
      </x:c>
      <x:c r="G1125" s="11" t="n">
        <x:v>5</x:v>
      </x:c>
      <x:c r="H1125" s="11" t="n">
        <x:v>0</x:v>
      </x:c>
      <x:c r="I1125" s="17" t="n">
        <x:f>INDEX('Costing'!$P$9:$P$492,MATCH(D1125,'Costing'!$A$9:$A$492,0))</x:f>
        <x:v>75000</x:v>
      </x:c>
      <x:c r="J1125" s="17" t="n">
        <x:f>ROUND(I1125*'Costing'!$C$4,2)</x:f>
        <x:v>13500</x:v>
      </x:c>
      <x:c r="K1125" s="17" t="n">
        <x:f>I1125+J1125</x:f>
        <x:v>88500</x:v>
      </x:c>
    </x:row>
    <x:row r="1126" ht="46" customHeight="1">
      <x:c r="A1126" s="2" t="str">
        <x:v>Sector</x:v>
      </x:c>
      <x:c r="B1126" s="2" t="str">
        <x:v>Education</x:v>
      </x:c>
      <x:c r="C1126" s="12" t="str">
        <x:v>Mumbai</x:v>
      </x:c>
      <x:c r="D1126" s="12" t="str">
        <x:v>MAIN-294</x:v>
      </x:c>
      <x:c r="E1126" s="12" t="str">
        <x:v>Avior Corporate Park</x:v>
      </x:c>
      <x:c r="F1126" s="11" t="n">
        <x:v>39</x:v>
      </x:c>
      <x:c r="G1126" s="11" t="n">
        <x:v>39</x:v>
      </x:c>
      <x:c r="H1126" s="11" t="n">
        <x:v>0</x:v>
      </x:c>
      <x:c r="I1126" s="17" t="n">
        <x:f>INDEX('Costing'!$P$9:$P$492,MATCH(D1126,'Costing'!$A$9:$A$492,0))</x:f>
        <x:v>585000</x:v>
      </x:c>
      <x:c r="J1126" s="17" t="n">
        <x:f>ROUND(I1126*'Costing'!$C$4,2)</x:f>
        <x:v>105300</x:v>
      </x:c>
      <x:c r="K1126" s="17" t="n">
        <x:f>I1126+J1126</x:f>
        <x:v>690300</x:v>
      </x:c>
    </x:row>
    <x:row r="1127" ht="46" customHeight="1">
      <x:c r="A1127" s="2" t="str">
        <x:v>Sector</x:v>
      </x:c>
      <x:c r="B1127" s="2" t="str">
        <x:v>Education</x:v>
      </x:c>
      <x:c r="C1127" s="12" t="str">
        <x:v>Mumbai</x:v>
      </x:c>
      <x:c r="D1127" s="12" t="str">
        <x:v>MAIN-296</x:v>
      </x:c>
      <x:c r="E1127" s="12" t="str">
        <x:v>Awfis - Cyber One</x:v>
      </x:c>
      <x:c r="F1127" s="11" t="n">
        <x:v>1</x:v>
      </x:c>
      <x:c r="G1127" s="11" t="n">
        <x:v>1</x:v>
      </x:c>
      <x:c r="H1127" s="11" t="n">
        <x:v>0</x:v>
      </x:c>
      <x:c r="I1127" s="17" t="n">
        <x:f>INDEX('Costing'!$P$9:$P$492,MATCH(D1127,'Costing'!$A$9:$A$492,0))</x:f>
        <x:v>15000</x:v>
      </x:c>
      <x:c r="J1127" s="17" t="n">
        <x:f>ROUND(I1127*'Costing'!$C$4,2)</x:f>
        <x:v>2700</x:v>
      </x:c>
      <x:c r="K1127" s="17" t="n">
        <x:f>I1127+J1127</x:f>
        <x:v>17700</x:v>
      </x:c>
    </x:row>
    <x:row r="1128" ht="46" customHeight="1">
      <x:c r="A1128" s="2" t="str">
        <x:v>Sector</x:v>
      </x:c>
      <x:c r="B1128" s="2" t="str">
        <x:v>Education</x:v>
      </x:c>
      <x:c r="C1128" s="12" t="str">
        <x:v>Mumbai</x:v>
      </x:c>
      <x:c r="D1128" s="12" t="str">
        <x:v>MAIN-318</x:v>
      </x:c>
      <x:c r="E1128" s="12" t="str">
        <x:v>Kaledonia (Redbrick Offices)</x:v>
      </x:c>
      <x:c r="F1128" s="11" t="n">
        <x:v>2</x:v>
      </x:c>
      <x:c r="G1128" s="11" t="n">
        <x:v>2</x:v>
      </x:c>
      <x:c r="H1128" s="11" t="n">
        <x:v>0</x:v>
      </x:c>
      <x:c r="I1128" s="17" t="n">
        <x:f>INDEX('Costing'!$P$9:$P$492,MATCH(D1128,'Costing'!$A$9:$A$492,0))</x:f>
        <x:v>30000</x:v>
      </x:c>
      <x:c r="J1128" s="17" t="n">
        <x:f>ROUND(I1128*'Costing'!$C$4,2)</x:f>
        <x:v>5400</x:v>
      </x:c>
      <x:c r="K1128" s="17" t="n">
        <x:f>I1128+J1128</x:f>
        <x:v>35400</x:v>
      </x:c>
    </x:row>
    <x:row r="1129" ht="46" customHeight="1">
      <x:c r="A1129" s="2" t="str">
        <x:v>Sector</x:v>
      </x:c>
      <x:c r="B1129" s="2" t="str">
        <x:v>Education</x:v>
      </x:c>
      <x:c r="C1129" s="12" t="str">
        <x:v>Mumbai</x:v>
      </x:c>
      <x:c r="D1129" s="12" t="str">
        <x:v>MAIN-328</x:v>
      </x:c>
      <x:c r="E1129" s="12" t="str">
        <x:v>Nucleus - Prima Bay</x:v>
      </x:c>
      <x:c r="F1129" s="11" t="n">
        <x:v>3</x:v>
      </x:c>
      <x:c r="G1129" s="11" t="n">
        <x:v>3</x:v>
      </x:c>
      <x:c r="H1129" s="11" t="n">
        <x:v>0</x:v>
      </x:c>
      <x:c r="I1129" s="17" t="n">
        <x:f>INDEX('Costing'!$P$9:$P$492,MATCH(D1129,'Costing'!$A$9:$A$492,0))</x:f>
        <x:v>120000</x:v>
      </x:c>
      <x:c r="J1129" s="17" t="n">
        <x:f>ROUND(I1129*'Costing'!$C$4,2)</x:f>
        <x:v>21600</x:v>
      </x:c>
      <x:c r="K1129" s="17" t="n">
        <x:f>I1129+J1129</x:f>
        <x:v>141600</x:v>
      </x:c>
    </x:row>
    <x:row r="1130" ht="46" customHeight="1">
      <x:c r="A1130" s="2" t="str">
        <x:v>Sector</x:v>
      </x:c>
      <x:c r="B1130" s="2" t="str">
        <x:v>Education</x:v>
      </x:c>
      <x:c r="C1130" s="12" t="str">
        <x:v>Mumbai</x:v>
      </x:c>
      <x:c r="D1130" s="12" t="str">
        <x:v>MAIN-349</x:v>
      </x:c>
      <x:c r="E1130" s="12" t="str">
        <x:v>The Landmark - Kharghar</x:v>
      </x:c>
      <x:c r="F1130" s="11" t="n">
        <x:v>10</x:v>
      </x:c>
      <x:c r="G1130" s="11" t="n">
        <x:v>10</x:v>
      </x:c>
      <x:c r="H1130" s="11" t="n">
        <x:v>0</x:v>
      </x:c>
      <x:c r="I1130" s="17" t="n">
        <x:f>INDEX('Costing'!$P$9:$P$492,MATCH(D1130,'Costing'!$A$9:$A$492,0))</x:f>
        <x:v>150000</x:v>
      </x:c>
      <x:c r="J1130" s="17" t="n">
        <x:f>ROUND(I1130*'Costing'!$C$4,2)</x:f>
        <x:v>27000</x:v>
      </x:c>
      <x:c r="K1130" s="17" t="n">
        <x:f>I1130+J1130</x:f>
        <x:v>177000</x:v>
      </x:c>
    </x:row>
    <x:row r="1131" ht="46" customHeight="1">
      <x:c r="A1131" s="2" t="str">
        <x:v>Sector</x:v>
      </x:c>
      <x:c r="B1131" s="2" t="str">
        <x:v>Education</x:v>
      </x:c>
      <x:c r="C1131" s="12" t="str">
        <x:v>Mumbai</x:v>
      </x:c>
      <x:c r="D1131" s="12" t="str">
        <x:v>MAIN-350</x:v>
      </x:c>
      <x:c r="E1131" s="12" t="str">
        <x:v>The Summit Business Park Premises</x:v>
      </x:c>
      <x:c r="F1131" s="11" t="n">
        <x:v>70</x:v>
      </x:c>
      <x:c r="G1131" s="11" t="n">
        <x:v>70</x:v>
      </x:c>
      <x:c r="H1131" s="11" t="n">
        <x:v>0</x:v>
      </x:c>
      <x:c r="I1131" s="17" t="n">
        <x:f>INDEX('Costing'!$P$9:$P$492,MATCH(D1131,'Costing'!$A$9:$A$492,0))</x:f>
        <x:v>1050000</x:v>
      </x:c>
      <x:c r="J1131" s="17" t="n">
        <x:f>ROUND(I1131*'Costing'!$C$4,2)</x:f>
        <x:v>189000</x:v>
      </x:c>
      <x:c r="K1131" s="17" t="n">
        <x:f>I1131+J1131</x:f>
        <x:v>1239000</x:v>
      </x:c>
    </x:row>
    <x:row r="1132" ht="46" customHeight="1">
      <x:c r="A1132" s="2" t="str">
        <x:v>Sector</x:v>
      </x:c>
      <x:c r="B1132" s="2" t="str">
        <x:v>Education</x:v>
      </x:c>
      <x:c r="C1132" s="12" t="str">
        <x:v>Mumbai</x:v>
      </x:c>
      <x:c r="D1132" s="12" t="str">
        <x:v>MAIN-351</x:v>
      </x:c>
      <x:c r="E1132" s="12" t="str">
        <x:v>The Western Edge 2</x:v>
      </x:c>
      <x:c r="F1132" s="11" t="n">
        <x:v>39</x:v>
      </x:c>
      <x:c r="G1132" s="11" t="n">
        <x:v>39</x:v>
      </x:c>
      <x:c r="H1132" s="11" t="n">
        <x:v>0</x:v>
      </x:c>
      <x:c r="I1132" s="17" t="n">
        <x:f>INDEX('Costing'!$P$9:$P$492,MATCH(D1132,'Costing'!$A$9:$A$492,0))</x:f>
        <x:v>585000</x:v>
      </x:c>
      <x:c r="J1132" s="17" t="n">
        <x:f>ROUND(I1132*'Costing'!$C$4,2)</x:f>
        <x:v>105300</x:v>
      </x:c>
      <x:c r="K1132" s="17" t="n">
        <x:f>I1132+J1132</x:f>
        <x:v>690300</x:v>
      </x:c>
    </x:row>
    <x:row r="1133" ht="46" customHeight="1">
      <x:c r="A1133" s="2" t="str">
        <x:v>Sector</x:v>
      </x:c>
      <x:c r="B1133" s="2" t="str">
        <x:v>Education</x:v>
      </x:c>
      <x:c r="C1133" s="12" t="str">
        <x:v>Mumbai</x:v>
      </x:c>
      <x:c r="D1133" s="12" t="str">
        <x:v>MAIN-352</x:v>
      </x:c>
      <x:c r="E1133" s="12" t="str">
        <x:v>Times Square Tech Park</x:v>
      </x:c>
      <x:c r="F1133" s="11" t="n">
        <x:v>4</x:v>
      </x:c>
      <x:c r="G1133" s="11" t="n">
        <x:v>4</x:v>
      </x:c>
      <x:c r="H1133" s="11" t="n">
        <x:v>0</x:v>
      </x:c>
      <x:c r="I1133" s="17" t="n">
        <x:f>INDEX('Costing'!$P$9:$P$492,MATCH(D1133,'Costing'!$A$9:$A$492,0))</x:f>
        <x:v>80000</x:v>
      </x:c>
      <x:c r="J1133" s="17" t="n">
        <x:f>ROUND(I1133*'Costing'!$C$4,2)</x:f>
        <x:v>14400</x:v>
      </x:c>
      <x:c r="K1133" s="17" t="n">
        <x:f>I1133+J1133</x:f>
        <x:v>94400</x:v>
      </x:c>
    </x:row>
    <x:row r="1134" ht="46" customHeight="1">
      <x:c r="A1134" s="2" t="str">
        <x:v>Sector</x:v>
      </x:c>
      <x:c r="B1134" s="2" t="str">
        <x:v>Education</x:v>
      </x:c>
      <x:c r="C1134" s="12" t="str">
        <x:v>Mumbai</x:v>
      </x:c>
      <x:c r="D1134" s="12" t="str">
        <x:v>MAIN-353</x:v>
      </x:c>
      <x:c r="E1134" s="12" t="str">
        <x:v>WeWork - BKC</x:v>
      </x:c>
      <x:c r="F1134" s="11" t="n">
        <x:v>17</x:v>
      </x:c>
      <x:c r="G1134" s="11" t="n">
        <x:v>17</x:v>
      </x:c>
      <x:c r="H1134" s="11" t="n">
        <x:v>0</x:v>
      </x:c>
      <x:c r="I1134" s="17" t="n">
        <x:f>INDEX('Costing'!$P$9:$P$492,MATCH(D1134,'Costing'!$A$9:$A$492,0))</x:f>
        <x:v>425000</x:v>
      </x:c>
      <x:c r="J1134" s="17" t="n">
        <x:f>ROUND(I1134*'Costing'!$C$4,2)</x:f>
        <x:v>76500</x:v>
      </x:c>
      <x:c r="K1134" s="17" t="n">
        <x:f>I1134+J1134</x:f>
        <x:v>501500</x:v>
      </x:c>
    </x:row>
    <x:row r="1135" ht="46" customHeight="1">
      <x:c r="A1135" s="2" t="str">
        <x:v>Sector</x:v>
      </x:c>
      <x:c r="B1135" s="2" t="str">
        <x:v>Education</x:v>
      </x:c>
      <x:c r="C1135" s="12" t="str">
        <x:v>Mumbai</x:v>
      </x:c>
      <x:c r="D1135" s="12" t="str">
        <x:v>MAIN-359</x:v>
      </x:c>
      <x:c r="E1135" s="12" t="str">
        <x:v>Wework - Vaswani Chambers</x:v>
      </x:c>
      <x:c r="F1135" s="11" t="n">
        <x:v>3</x:v>
      </x:c>
      <x:c r="G1135" s="11" t="n">
        <x:v>3</x:v>
      </x:c>
      <x:c r="H1135" s="11" t="n">
        <x:v>0</x:v>
      </x:c>
      <x:c r="I1135" s="17" t="n">
        <x:f>INDEX('Costing'!$P$9:$P$492,MATCH(D1135,'Costing'!$A$9:$A$492,0))</x:f>
        <x:v>75000</x:v>
      </x:c>
      <x:c r="J1135" s="17" t="n">
        <x:f>ROUND(I1135*'Costing'!$C$4,2)</x:f>
        <x:v>13500</x:v>
      </x:c>
      <x:c r="K1135" s="17" t="n">
        <x:f>I1135+J1135</x:f>
        <x:v>88500</x:v>
      </x:c>
    </x:row>
    <x:row r="1136" ht="46" customHeight="1">
      <x:c r="A1136" s="2" t="str">
        <x:v>Sector</x:v>
      </x:c>
      <x:c r="B1136" s="2" t="str">
        <x:v>Education</x:v>
      </x:c>
      <x:c r="C1136" s="12" t="str">
        <x:v>Pune</x:v>
      </x:c>
      <x:c r="D1136" s="12" t="str">
        <x:v>MAIN-385</x:v>
      </x:c>
      <x:c r="E1136" s="12" t="str">
        <x:v>Anchors Coworking</x:v>
      </x:c>
      <x:c r="F1136" s="11" t="n">
        <x:v>1</x:v>
      </x:c>
      <x:c r="G1136" s="11" t="n">
        <x:v>1</x:v>
      </x:c>
      <x:c r="H1136" s="11" t="n">
        <x:v>0</x:v>
      </x:c>
      <x:c r="I1136" s="17" t="n">
        <x:f>INDEX('Costing'!$P$9:$P$492,MATCH(D1136,'Costing'!$A$9:$A$492,0))</x:f>
        <x:v>15000</x:v>
      </x:c>
      <x:c r="J1136" s="17" t="n">
        <x:f>ROUND(I1136*'Costing'!$C$4,2)</x:f>
        <x:v>2700</x:v>
      </x:c>
      <x:c r="K1136" s="17" t="n">
        <x:f>I1136+J1136</x:f>
        <x:v>17700</x:v>
      </x:c>
    </x:row>
    <x:row r="1137" ht="46" customHeight="1">
      <x:c r="A1137" s="2" t="str">
        <x:v>Sector</x:v>
      </x:c>
      <x:c r="B1137" s="2" t="str">
        <x:v>Education</x:v>
      </x:c>
      <x:c r="C1137" s="12" t="str">
        <x:v>Pune</x:v>
      </x:c>
      <x:c r="D1137" s="12" t="str">
        <x:v>MAIN-389</x:v>
      </x:c>
      <x:c r="E1137" s="12" t="str">
        <x:v>Awfis - Nyati Empress</x:v>
      </x:c>
      <x:c r="F1137" s="11" t="n">
        <x:v>2</x:v>
      </x:c>
      <x:c r="G1137" s="11" t="n">
        <x:v>2</x:v>
      </x:c>
      <x:c r="H1137" s="11" t="n">
        <x:v>0</x:v>
      </x:c>
      <x:c r="I1137" s="17" t="n">
        <x:f>INDEX('Costing'!$P$9:$P$492,MATCH(D1137,'Costing'!$A$9:$A$492,0))</x:f>
        <x:v>30000</x:v>
      </x:c>
      <x:c r="J1137" s="17" t="n">
        <x:f>ROUND(I1137*'Costing'!$C$4,2)</x:f>
        <x:v>5400</x:v>
      </x:c>
      <x:c r="K1137" s="17" t="n">
        <x:f>I1137+J1137</x:f>
        <x:v>35400</x:v>
      </x:c>
    </x:row>
    <x:row r="1138" ht="46" customHeight="1">
      <x:c r="A1138" s="2" t="str">
        <x:v>Sector</x:v>
      </x:c>
      <x:c r="B1138" s="2" t="str">
        <x:v>Education</x:v>
      </x:c>
      <x:c r="C1138" s="12" t="str">
        <x:v>Pune</x:v>
      </x:c>
      <x:c r="D1138" s="12" t="str">
        <x:v>MAIN-405</x:v>
      </x:c>
      <x:c r="E1138" s="12" t="str">
        <x:v>Olympia B Premises</x:v>
      </x:c>
      <x:c r="F1138" s="11" t="n">
        <x:v>1</x:v>
      </x:c>
      <x:c r="G1138" s="11" t="n">
        <x:v>1</x:v>
      </x:c>
      <x:c r="H1138" s="11" t="n">
        <x:v>0</x:v>
      </x:c>
      <x:c r="I1138" s="17" t="n">
        <x:f>INDEX('Costing'!$P$9:$P$492,MATCH(D1138,'Costing'!$A$9:$A$492,0))</x:f>
        <x:v>15000</x:v>
      </x:c>
      <x:c r="J1138" s="17" t="n">
        <x:f>ROUND(I1138*'Costing'!$C$4,2)</x:f>
        <x:v>2700</x:v>
      </x:c>
      <x:c r="K1138" s="17" t="n">
        <x:f>I1138+J1138</x:f>
        <x:v>17700</x:v>
      </x:c>
    </x:row>
    <x:row r="1139" ht="46" customHeight="1">
      <x:c r="A1139" s="2" t="str">
        <x:v>Sector</x:v>
      </x:c>
      <x:c r="B1139" s="2" t="str">
        <x:v>Education</x:v>
      </x:c>
      <x:c r="C1139" s="12" t="str">
        <x:v>Pune</x:v>
      </x:c>
      <x:c r="D1139" s="12" t="str">
        <x:v>MAIN-406</x:v>
      </x:c>
      <x:c r="E1139" s="12" t="str">
        <x:v>OLYMPIA B PREMISES Inside Elevator</x:v>
      </x:c>
      <x:c r="F1139" s="11" t="n">
        <x:v>1</x:v>
      </x:c>
      <x:c r="G1139" s="11" t="n">
        <x:v>1</x:v>
      </x:c>
      <x:c r="H1139" s="11" t="n">
        <x:v>0</x:v>
      </x:c>
      <x:c r="I1139" s="17" t="n">
        <x:f>INDEX('Costing'!$P$9:$P$492,MATCH(D1139,'Costing'!$A$9:$A$492,0))</x:f>
        <x:v>15000</x:v>
      </x:c>
      <x:c r="J1139" s="17" t="n">
        <x:f>ROUND(I1139*'Costing'!$C$4,2)</x:f>
        <x:v>2700</x:v>
      </x:c>
      <x:c r="K1139" s="17" t="n">
        <x:f>I1139+J1139</x:f>
        <x:v>17700</x:v>
      </x:c>
    </x:row>
    <x:row r="1140" ht="46" customHeight="1">
      <x:c r="A1140" s="2" t="str">
        <x:v>Sector</x:v>
      </x:c>
      <x:c r="B1140" s="2" t="str">
        <x:v>Education</x:v>
      </x:c>
      <x:c r="C1140" s="12" t="str">
        <x:v>Pune</x:v>
      </x:c>
      <x:c r="D1140" s="12" t="str">
        <x:v>MAIN-415</x:v>
      </x:c>
      <x:c r="E1140" s="12" t="str">
        <x:v>The Powerpoint Coworking Space</x:v>
      </x:c>
      <x:c r="F1140" s="11" t="n">
        <x:v>1</x:v>
      </x:c>
      <x:c r="G1140" s="11" t="n">
        <x:v>1</x:v>
      </x:c>
      <x:c r="H1140" s="11" t="n">
        <x:v>0</x:v>
      </x:c>
      <x:c r="I1140" s="17" t="n">
        <x:f>INDEX('Costing'!$P$9:$P$492,MATCH(D1140,'Costing'!$A$9:$A$492,0))</x:f>
        <x:v>15000</x:v>
      </x:c>
      <x:c r="J1140" s="17" t="n">
        <x:f>ROUND(I1140*'Costing'!$C$4,2)</x:f>
        <x:v>2700</x:v>
      </x:c>
      <x:c r="K1140" s="17" t="n">
        <x:f>I1140+J1140</x:f>
        <x:v>17700</x:v>
      </x:c>
    </x:row>
    <x:row r="1141" ht="46" customHeight="1">
      <x:c r="A1141" s="2" t="str">
        <x:v>Sector</x:v>
      </x:c>
      <x:c r="B1141" s="2" t="str">
        <x:v>Education</x:v>
      </x:c>
      <x:c r="C1141" s="12" t="str">
        <x:v>Bengaluru</x:v>
      </x:c>
      <x:c r="D1141" s="12" t="str">
        <x:v>PARTNER-M138</x:v>
      </x:c>
      <x:c r="E1141" s="12" t="str">
        <x:v>Bagmane Capital</x:v>
      </x:c>
      <x:c r="F1141" s="11" t="n">
        <x:v>8</x:v>
      </x:c>
      <x:c r="G1141" s="11" t="n">
        <x:v>8</x:v>
      </x:c>
      <x:c r="H1141" s="11" t="n">
        <x:v>0</x:v>
      </x:c>
      <x:c r="I1141" s="17" t="n">
        <x:f>INDEX('Costing'!$P$9:$P$492,MATCH(D1141,'Costing'!$A$9:$A$492,0))</x:f>
        <x:v>320000</x:v>
      </x:c>
      <x:c r="J1141" s="17" t="n">
        <x:f>ROUND(I1141*'Costing'!$C$4,2)</x:f>
        <x:v>57600</x:v>
      </x:c>
      <x:c r="K1141" s="17" t="n">
        <x:f>I1141+J1141</x:f>
        <x:v>377600</x:v>
      </x:c>
    </x:row>
    <x:row r="1142" ht="46" customHeight="1">
      <x:c r="A1142" s="2" t="str">
        <x:v>Sector</x:v>
      </x:c>
      <x:c r="B1142" s="2" t="str">
        <x:v>Education</x:v>
      </x:c>
      <x:c r="C1142" s="12" t="str">
        <x:v>Bengaluru</x:v>
      </x:c>
      <x:c r="D1142" s="12" t="str">
        <x:v>PARTNER-M067</x:v>
      </x:c>
      <x:c r="E1142" s="12" t="str">
        <x:v>Cessna - Embassy Tech Square</x:v>
      </x:c>
      <x:c r="F1142" s="11" t="n">
        <x:v>3</x:v>
      </x:c>
      <x:c r="G1142" s="11" t="n">
        <x:v>3</x:v>
      </x:c>
      <x:c r="H1142" s="11" t="n">
        <x:v>0</x:v>
      </x:c>
      <x:c r="I1142" s="17" t="n">
        <x:f>INDEX('Costing'!$P$9:$P$492,MATCH(D1142,'Costing'!$A$9:$A$492,0))</x:f>
        <x:v>120000</x:v>
      </x:c>
      <x:c r="J1142" s="17" t="n">
        <x:f>ROUND(I1142*'Costing'!$C$4,2)</x:f>
        <x:v>21600</x:v>
      </x:c>
      <x:c r="K1142" s="17" t="n">
        <x:f>I1142+J1142</x:f>
        <x:v>141600</x:v>
      </x:c>
    </x:row>
    <x:row r="1143" ht="46" customHeight="1">
      <x:c r="A1143" s="2" t="str">
        <x:v>Sector</x:v>
      </x:c>
      <x:c r="B1143" s="2" t="str">
        <x:v>Education</x:v>
      </x:c>
      <x:c r="C1143" s="12" t="str">
        <x:v>Bengaluru</x:v>
      </x:c>
      <x:c r="D1143" s="12" t="str">
        <x:v>PARTNER-M060</x:v>
      </x:c>
      <x:c r="E1143" s="12" t="str">
        <x:v>Global Tech Park</x:v>
      </x:c>
      <x:c r="F1143" s="11" t="n">
        <x:v>5</x:v>
      </x:c>
      <x:c r="G1143" s="11" t="n">
        <x:v>5</x:v>
      </x:c>
      <x:c r="H1143" s="11" t="n">
        <x:v>0</x:v>
      </x:c>
      <x:c r="I1143" s="17" t="n">
        <x:f>INDEX('Costing'!$P$9:$P$492,MATCH(D1143,'Costing'!$A$9:$A$492,0))</x:f>
        <x:v>200000</x:v>
      </x:c>
      <x:c r="J1143" s="17" t="n">
        <x:f>ROUND(I1143*'Costing'!$C$4,2)</x:f>
        <x:v>36000</x:v>
      </x:c>
      <x:c r="K1143" s="17" t="n">
        <x:f>I1143+J1143</x:f>
        <x:v>236000</x:v>
      </x:c>
    </x:row>
    <x:row r="1144" ht="46" customHeight="1">
      <x:c r="A1144" s="2" t="str">
        <x:v>Sector</x:v>
      </x:c>
      <x:c r="B1144" s="2" t="str">
        <x:v>Education</x:v>
      </x:c>
      <x:c r="C1144" s="12" t="str">
        <x:v>Bengaluru</x:v>
      </x:c>
      <x:c r="D1144" s="12" t="str">
        <x:v>PARTNER-M002</x:v>
      </x:c>
      <x:c r="E1144" s="12" t="str">
        <x:v>International Tech Park (ITPB)</x:v>
      </x:c>
      <x:c r="F1144" s="11" t="n">
        <x:v>9</x:v>
      </x:c>
      <x:c r="G1144" s="11" t="n">
        <x:v>9</x:v>
      </x:c>
      <x:c r="H1144" s="11" t="n">
        <x:v>0</x:v>
      </x:c>
      <x:c r="I1144" s="17" t="n">
        <x:f>INDEX('Costing'!$P$9:$P$492,MATCH(D1144,'Costing'!$A$9:$A$492,0))</x:f>
        <x:v>360000</x:v>
      </x:c>
      <x:c r="J1144" s="17" t="n">
        <x:f>ROUND(I1144*'Costing'!$C$4,2)</x:f>
        <x:v>64800</x:v>
      </x:c>
      <x:c r="K1144" s="17" t="n">
        <x:f>I1144+J1144</x:f>
        <x:v>424800</x:v>
      </x:c>
    </x:row>
    <x:row r="1145" ht="46" customHeight="1">
      <x:c r="A1145" s="2" t="str">
        <x:v>Sector</x:v>
      </x:c>
      <x:c r="B1145" s="2" t="str">
        <x:v>Education</x:v>
      </x:c>
      <x:c r="C1145" s="12" t="str">
        <x:v>Bengaluru</x:v>
      </x:c>
      <x:c r="D1145" s="12" t="str">
        <x:v>PARTNER-M093</x:v>
      </x:c>
      <x:c r="E1145" s="12" t="str">
        <x:v>Prestige Summit</x:v>
      </x:c>
      <x:c r="F1145" s="11" t="n">
        <x:v>4</x:v>
      </x:c>
      <x:c r="G1145" s="11" t="n">
        <x:v>4</x:v>
      </x:c>
      <x:c r="H1145" s="11" t="n">
        <x:v>0</x:v>
      </x:c>
      <x:c r="I1145" s="17" t="n">
        <x:f>INDEX('Costing'!$P$9:$P$492,MATCH(D1145,'Costing'!$A$9:$A$492,0))</x:f>
        <x:v>160000</x:v>
      </x:c>
      <x:c r="J1145" s="17" t="n">
        <x:f>ROUND(I1145*'Costing'!$C$4,2)</x:f>
        <x:v>28800</x:v>
      </x:c>
      <x:c r="K1145" s="17" t="n">
        <x:f>I1145+J1145</x:f>
        <x:v>188800</x:v>
      </x:c>
    </x:row>
    <x:row r="1146" ht="46" customHeight="1">
      <x:c r="A1146" s="2" t="str">
        <x:v>Sector</x:v>
      </x:c>
      <x:c r="B1146" s="2" t="str">
        <x:v>Education</x:v>
      </x:c>
      <x:c r="C1146" s="12" t="str">
        <x:v>Chennai</x:v>
      </x:c>
      <x:c r="D1146" s="12" t="str">
        <x:v>PARTNER-M342</x:v>
      </x:c>
      <x:c r="E1146" s="12" t="str">
        <x:v>Prince Infocity 2</x:v>
      </x:c>
      <x:c r="F1146" s="11" t="n">
        <x:v>5</x:v>
      </x:c>
      <x:c r="G1146" s="11" t="n">
        <x:v>5</x:v>
      </x:c>
      <x:c r="H1146" s="11" t="n">
        <x:v>0</x:v>
      </x:c>
      <x:c r="I1146" s="17" t="n">
        <x:f>INDEX('Costing'!$P$9:$P$492,MATCH(D1146,'Costing'!$A$9:$A$492,0))</x:f>
        <x:v>200000</x:v>
      </x:c>
      <x:c r="J1146" s="17" t="n">
        <x:f>ROUND(I1146*'Costing'!$C$4,2)</x:f>
        <x:v>36000</x:v>
      </x:c>
      <x:c r="K1146" s="17" t="n">
        <x:f>I1146+J1146</x:f>
        <x:v>236000</x:v>
      </x:c>
    </x:row>
    <x:row r="1147" ht="46" customHeight="1">
      <x:c r="A1147" s="2" t="str">
        <x:v>Sector</x:v>
      </x:c>
      <x:c r="B1147" s="2" t="str">
        <x:v>Education</x:v>
      </x:c>
      <x:c r="C1147" s="12" t="str">
        <x:v>Chennai</x:v>
      </x:c>
      <x:c r="D1147" s="12" t="str">
        <x:v>PARTNER-M331</x:v>
      </x:c>
      <x:c r="E1147" s="12" t="str">
        <x:v>Prince Towers</x:v>
      </x:c>
      <x:c r="F1147" s="11" t="n">
        <x:v>1</x:v>
      </x:c>
      <x:c r="G1147" s="11" t="n">
        <x:v>1</x:v>
      </x:c>
      <x:c r="H1147" s="11" t="n">
        <x:v>0</x:v>
      </x:c>
      <x:c r="I1147" s="17" t="n">
        <x:f>INDEX('Costing'!$P$9:$P$492,MATCH(D1147,'Costing'!$A$9:$A$492,0))</x:f>
        <x:v>40000</x:v>
      </x:c>
      <x:c r="J1147" s="17" t="n">
        <x:f>ROUND(I1147*'Costing'!$C$4,2)</x:f>
        <x:v>7200</x:v>
      </x:c>
      <x:c r="K1147" s="17" t="n">
        <x:f>I1147+J1147</x:f>
        <x:v>47200</x:v>
      </x:c>
    </x:row>
    <x:row r="1148" ht="46" customHeight="1">
      <x:c r="A1148" s="2" t="str">
        <x:v>Sector</x:v>
      </x:c>
      <x:c r="B1148" s="2" t="str">
        <x:v>Education</x:v>
      </x:c>
      <x:c r="C1148" s="12" t="str">
        <x:v>Hyderabad</x:v>
      </x:c>
      <x:c r="D1148" s="12" t="str">
        <x:v>PARTNER-M289</x:v>
      </x:c>
      <x:c r="E1148" s="12" t="str">
        <x:v>Cyber Gateway</x:v>
      </x:c>
      <x:c r="F1148" s="11" t="n">
        <x:v>6</x:v>
      </x:c>
      <x:c r="G1148" s="11" t="n">
        <x:v>6</x:v>
      </x:c>
      <x:c r="H1148" s="11" t="n">
        <x:v>0</x:v>
      </x:c>
      <x:c r="I1148" s="17" t="n">
        <x:f>INDEX('Costing'!$P$9:$P$492,MATCH(D1148,'Costing'!$A$9:$A$492,0))</x:f>
        <x:v>240000</x:v>
      </x:c>
      <x:c r="J1148" s="17" t="n">
        <x:f>ROUND(I1148*'Costing'!$C$4,2)</x:f>
        <x:v>43200</x:v>
      </x:c>
      <x:c r="K1148" s="17" t="n">
        <x:f>I1148+J1148</x:f>
        <x:v>283200</x:v>
      </x:c>
    </x:row>
    <x:row r="1149" ht="46" customHeight="1">
      <x:c r="A1149" s="2" t="str">
        <x:v>Sector</x:v>
      </x:c>
      <x:c r="B1149" s="2" t="str">
        <x:v>Education</x:v>
      </x:c>
      <x:c r="C1149" s="12" t="str">
        <x:v>Hyderabad</x:v>
      </x:c>
      <x:c r="D1149" s="12" t="str">
        <x:v>PARTNER-M317</x:v>
      </x:c>
      <x:c r="E1149" s="12" t="str">
        <x:v>Kapil Towers</x:v>
      </x:c>
      <x:c r="F1149" s="11" t="n">
        <x:v>7</x:v>
      </x:c>
      <x:c r="G1149" s="11" t="n">
        <x:v>7</x:v>
      </x:c>
      <x:c r="H1149" s="11" t="n">
        <x:v>0</x:v>
      </x:c>
      <x:c r="I1149" s="17" t="n">
        <x:f>INDEX('Costing'!$P$9:$P$492,MATCH(D1149,'Costing'!$A$9:$A$492,0))</x:f>
        <x:v>280000</x:v>
      </x:c>
      <x:c r="J1149" s="17" t="n">
        <x:f>ROUND(I1149*'Costing'!$C$4,2)</x:f>
        <x:v>50400</x:v>
      </x:c>
      <x:c r="K1149" s="17" t="n">
        <x:f>I1149+J1149</x:f>
        <x:v>330400</x:v>
      </x:c>
    </x:row>
    <x:row r="1150" ht="46" customHeight="1">
      <x:c r="A1150" s="2" t="str">
        <x:v>Sector</x:v>
      </x:c>
      <x:c r="B1150" s="2" t="str">
        <x:v>Education</x:v>
      </x:c>
      <x:c r="C1150" s="12" t="str">
        <x:v>Mumbai</x:v>
      </x:c>
      <x:c r="D1150" s="12" t="str">
        <x:v>PARTNER-M243</x:v>
      </x:c>
      <x:c r="E1150" s="12" t="str">
        <x:v>Kohinoor City</x:v>
      </x:c>
      <x:c r="F1150" s="11" t="n">
        <x:v>2</x:v>
      </x:c>
      <x:c r="G1150" s="11" t="n">
        <x:v>2</x:v>
      </x:c>
      <x:c r="H1150" s="11" t="n">
        <x:v>0</x:v>
      </x:c>
      <x:c r="I1150" s="17" t="n">
        <x:f>INDEX('Costing'!$P$9:$P$492,MATCH(D1150,'Costing'!$A$9:$A$492,0))</x:f>
        <x:v>80000</x:v>
      </x:c>
      <x:c r="J1150" s="17" t="n">
        <x:f>ROUND(I1150*'Costing'!$C$4,2)</x:f>
        <x:v>14400</x:v>
      </x:c>
      <x:c r="K1150" s="17" t="n">
        <x:f>I1150+J1150</x:f>
        <x:v>94400</x:v>
      </x:c>
    </x:row>
    <x:row r="1151" ht="46" customHeight="1">
      <x:c r="A1151" s="2" t="str">
        <x:v>Sector</x:v>
      </x:c>
      <x:c r="B1151" s="2" t="str">
        <x:v>Education</x:v>
      </x:c>
      <x:c r="C1151" s="12" t="str">
        <x:v>Mumbai</x:v>
      </x:c>
      <x:c r="D1151" s="12" t="str">
        <x:v>PARTNER-M223</x:v>
      </x:c>
      <x:c r="E1151" s="12" t="str">
        <x:v>Technology Center IV</x:v>
      </x:c>
      <x:c r="F1151" s="11" t="n">
        <x:v>4</x:v>
      </x:c>
      <x:c r="G1151" s="11" t="n">
        <x:v>4</x:v>
      </x:c>
      <x:c r="H1151" s="11" t="n">
        <x:v>0</x:v>
      </x:c>
      <x:c r="I1151" s="17" t="n">
        <x:f>INDEX('Costing'!$P$9:$P$492,MATCH(D1151,'Costing'!$A$9:$A$492,0))</x:f>
        <x:v>160000</x:v>
      </x:c>
      <x:c r="J1151" s="17" t="n">
        <x:f>ROUND(I1151*'Costing'!$C$4,2)</x:f>
        <x:v>28800</x:v>
      </x:c>
      <x:c r="K1151" s="17" t="n">
        <x:f>I1151+J1151</x:f>
        <x:v>188800</x:v>
      </x:c>
    </x:row>
    <x:row r="1152" ht="46" customHeight="1">
      <x:c r="A1152" s="2" t="str">
        <x:v>Sector</x:v>
      </x:c>
      <x:c r="B1152" s="2" t="str">
        <x:v>Education</x:v>
      </x:c>
      <x:c r="C1152" s="12" t="str">
        <x:v>Mumbai</x:v>
      </x:c>
      <x:c r="D1152" s="12" t="str">
        <x:v>PARTNER-M188</x:v>
      </x:c>
      <x:c r="E1152" s="12" t="str">
        <x:v>Urmi Estate</x:v>
      </x:c>
      <x:c r="F1152" s="11" t="n">
        <x:v>4</x:v>
      </x:c>
      <x:c r="G1152" s="11" t="n">
        <x:v>4</x:v>
      </x:c>
      <x:c r="H1152" s="11" t="n">
        <x:v>0</x:v>
      </x:c>
      <x:c r="I1152" s="17" t="n">
        <x:f>INDEX('Costing'!$P$9:$P$492,MATCH(D1152,'Costing'!$A$9:$A$492,0))</x:f>
        <x:v>160000</x:v>
      </x:c>
      <x:c r="J1152" s="17" t="n">
        <x:f>ROUND(I1152*'Costing'!$C$4,2)</x:f>
        <x:v>28800</x:v>
      </x:c>
      <x:c r="K1152" s="17" t="n">
        <x:f>I1152+J1152</x:f>
        <x:v>188800</x:v>
      </x:c>
    </x:row>
    <x:row r="1153" ht="46" customHeight="1">
      <x:c r="A1153" s="2" t="str">
        <x:v>Sector</x:v>
      </x:c>
      <x:c r="B1153" s="2" t="str">
        <x:v>Education</x:v>
      </x:c>
      <x:c r="C1153" s="12" t="str">
        <x:v>Pune</x:v>
      </x:c>
      <x:c r="D1153" s="12" t="str">
        <x:v>PARTNER-M252</x:v>
      </x:c>
      <x:c r="E1153" s="12" t="str">
        <x:v>Magarpatta Cyberpark</x:v>
      </x:c>
      <x:c r="F1153" s="11" t="n">
        <x:v>9</x:v>
      </x:c>
      <x:c r="G1153" s="11" t="n">
        <x:v>9</x:v>
      </x:c>
      <x:c r="H1153" s="11" t="n">
        <x:v>0</x:v>
      </x:c>
      <x:c r="I1153" s="17" t="n">
        <x:f>INDEX('Costing'!$P$9:$P$492,MATCH(D1153,'Costing'!$A$9:$A$492,0))</x:f>
        <x:v>360000</x:v>
      </x:c>
      <x:c r="J1153" s="17" t="n">
        <x:f>ROUND(I1153*'Costing'!$C$4,2)</x:f>
        <x:v>64800</x:v>
      </x:c>
      <x:c r="K1153" s="17" t="n">
        <x:f>I1153+J1153</x:f>
        <x:v>424800</x:v>
      </x:c>
    </x:row>
    <x:row r="1154" ht="46" customHeight="1">
      <x:c r="A1154" s="2" t="str">
        <x:v>Sector</x:v>
      </x:c>
      <x:c r="B1154" s="2" t="str">
        <x:v>Education</x:v>
      </x:c>
      <x:c r="C1154" s="12" t="str">
        <x:v>Pune</x:v>
      </x:c>
      <x:c r="D1154" s="12" t="str">
        <x:v>PARTNER-M265</x:v>
      </x:c>
      <x:c r="E1154" s="12" t="str">
        <x:v>Symphony IT Park</x:v>
      </x:c>
      <x:c r="F1154" s="11" t="n">
        <x:v>3</x:v>
      </x:c>
      <x:c r="G1154" s="11" t="n">
        <x:v>3</x:v>
      </x:c>
      <x:c r="H1154" s="11" t="n">
        <x:v>0</x:v>
      </x:c>
      <x:c r="I1154" s="17" t="n">
        <x:f>INDEX('Costing'!$P$9:$P$492,MATCH(D1154,'Costing'!$A$9:$A$492,0))</x:f>
        <x:v>120000</x:v>
      </x:c>
      <x:c r="J1154" s="17" t="n">
        <x:f>ROUND(I1154*'Costing'!$C$4,2)</x:f>
        <x:v>21600</x:v>
      </x:c>
      <x:c r="K1154" s="17" t="n">
        <x:f>I1154+J1154</x:f>
        <x:v>141600</x:v>
      </x:c>
    </x:row>
    <x:row r="1155" ht="46" customHeight="1">
      <x:c r="A1155" s="2" t="str">
        <x:v>Sector</x:v>
      </x:c>
      <x:c r="B1155" s="2" t="str">
        <x:v>Engineering &amp; manufacturing</x:v>
      </x:c>
      <x:c r="C1155" s="12" t="str">
        <x:v>Ahmedabad</x:v>
      </x:c>
      <x:c r="D1155" s="12" t="str">
        <x:v>MAIN-005</x:v>
      </x:c>
      <x:c r="E1155" s="12" t="str">
        <x:v>Awfis - Krish Cubical</x:v>
      </x:c>
      <x:c r="F1155" s="11" t="n">
        <x:v>1</x:v>
      </x:c>
      <x:c r="G1155" s="11" t="n">
        <x:v>1</x:v>
      </x:c>
      <x:c r="H1155" s="11" t="n">
        <x:v>0</x:v>
      </x:c>
      <x:c r="I1155" s="17" t="n">
        <x:f>INDEX('Costing'!$P$9:$P$492,MATCH(D1155,'Costing'!$A$9:$A$492,0))</x:f>
        <x:v>15000</x:v>
      </x:c>
      <x:c r="J1155" s="17" t="n">
        <x:f>ROUND(I1155*'Costing'!$C$4,2)</x:f>
        <x:v>2700</x:v>
      </x:c>
      <x:c r="K1155" s="17" t="n">
        <x:f>I1155+J1155</x:f>
        <x:v>17700</x:v>
      </x:c>
    </x:row>
    <x:row r="1156" ht="46" customHeight="1">
      <x:c r="A1156" s="2" t="str">
        <x:v>Sector</x:v>
      </x:c>
      <x:c r="B1156" s="2" t="str">
        <x:v>Engineering &amp; manufacturing</x:v>
      </x:c>
      <x:c r="C1156" s="12" t="str">
        <x:v>Bengaluru</x:v>
      </x:c>
      <x:c r="D1156" s="12" t="str">
        <x:v>MAIN-015</x:v>
      </x:c>
      <x:c r="E1156" s="12" t="str">
        <x:v>Awfis - Prestige Blue Chip</x:v>
      </x:c>
      <x:c r="F1156" s="11" t="n">
        <x:v>1</x:v>
      </x:c>
      <x:c r="G1156" s="11" t="n">
        <x:v>1</x:v>
      </x:c>
      <x:c r="H1156" s="11" t="n">
        <x:v>0</x:v>
      </x:c>
      <x:c r="I1156" s="17" t="n">
        <x:f>INDEX('Costing'!$P$9:$P$492,MATCH(D1156,'Costing'!$A$9:$A$492,0))</x:f>
        <x:v>15000</x:v>
      </x:c>
      <x:c r="J1156" s="17" t="n">
        <x:f>ROUND(I1156*'Costing'!$C$4,2)</x:f>
        <x:v>2700</x:v>
      </x:c>
      <x:c r="K1156" s="17" t="n">
        <x:f>I1156+J1156</x:f>
        <x:v>17700</x:v>
      </x:c>
    </x:row>
    <x:row r="1157" ht="46" customHeight="1">
      <x:c r="A1157" s="2" t="str">
        <x:v>Sector</x:v>
      </x:c>
      <x:c r="B1157" s="2" t="str">
        <x:v>Engineering &amp; manufacturing</x:v>
      </x:c>
      <x:c r="C1157" s="12" t="str">
        <x:v>Bengaluru</x:v>
      </x:c>
      <x:c r="D1157" s="12" t="str">
        <x:v>MAIN-016</x:v>
      </x:c>
      <x:c r="E1157" s="12" t="str">
        <x:v>Awfis - Prestige Dotcom</x:v>
      </x:c>
      <x:c r="F1157" s="11" t="n">
        <x:v>4</x:v>
      </x:c>
      <x:c r="G1157" s="11" t="n">
        <x:v>4</x:v>
      </x:c>
      <x:c r="H1157" s="11" t="n">
        <x:v>0</x:v>
      </x:c>
      <x:c r="I1157" s="17" t="n">
        <x:f>INDEX('Costing'!$P$9:$P$492,MATCH(D1157,'Costing'!$A$9:$A$492,0))</x:f>
        <x:v>60000</x:v>
      </x:c>
      <x:c r="J1157" s="17" t="n">
        <x:f>ROUND(I1157*'Costing'!$C$4,2)</x:f>
        <x:v>10800</x:v>
      </x:c>
      <x:c r="K1157" s="17" t="n">
        <x:f>I1157+J1157</x:f>
        <x:v>70800</x:v>
      </x:c>
    </x:row>
    <x:row r="1158" ht="46" customHeight="1">
      <x:c r="A1158" s="2" t="str">
        <x:v>Sector</x:v>
      </x:c>
      <x:c r="B1158" s="2" t="str">
        <x:v>Engineering &amp; manufacturing</x:v>
      </x:c>
      <x:c r="C1158" s="12" t="str">
        <x:v>Bengaluru</x:v>
      </x:c>
      <x:c r="D1158" s="12" t="str">
        <x:v>MAIN-017</x:v>
      </x:c>
      <x:c r="E1158" s="12" t="str">
        <x:v>Awfis - Prestige Shantiniketan</x:v>
      </x:c>
      <x:c r="F1158" s="11" t="n">
        <x:v>2</x:v>
      </x:c>
      <x:c r="G1158" s="11" t="n">
        <x:v>2</x:v>
      </x:c>
      <x:c r="H1158" s="11" t="n">
        <x:v>0</x:v>
      </x:c>
      <x:c r="I1158" s="17" t="n">
        <x:f>INDEX('Costing'!$P$9:$P$492,MATCH(D1158,'Costing'!$A$9:$A$492,0))</x:f>
        <x:v>30000</x:v>
      </x:c>
      <x:c r="J1158" s="17" t="n">
        <x:f>ROUND(I1158*'Costing'!$C$4,2)</x:f>
        <x:v>5400</x:v>
      </x:c>
      <x:c r="K1158" s="17" t="n">
        <x:f>I1158+J1158</x:f>
        <x:v>35400</x:v>
      </x:c>
    </x:row>
    <x:row r="1159" ht="46" customHeight="1">
      <x:c r="A1159" s="2" t="str">
        <x:v>Sector</x:v>
      </x:c>
      <x:c r="B1159" s="2" t="str">
        <x:v>Engineering &amp; manufacturing</x:v>
      </x:c>
      <x:c r="C1159" s="12" t="str">
        <x:v>Bengaluru</x:v>
      </x:c>
      <x:c r="D1159" s="12" t="str">
        <x:v>MAIN-020</x:v>
      </x:c>
      <x:c r="E1159" s="12" t="str">
        <x:v>AWFIS - PTP 4 Jupiter</x:v>
      </x:c>
      <x:c r="F1159" s="11" t="n">
        <x:v>1</x:v>
      </x:c>
      <x:c r="G1159" s="11" t="n">
        <x:v>1</x:v>
      </x:c>
      <x:c r="H1159" s="11" t="n">
        <x:v>0</x:v>
      </x:c>
      <x:c r="I1159" s="17" t="n">
        <x:f>INDEX('Costing'!$P$9:$P$492,MATCH(D1159,'Costing'!$A$9:$A$492,0))</x:f>
        <x:v>15000</x:v>
      </x:c>
      <x:c r="J1159" s="17" t="n">
        <x:f>ROUND(I1159*'Costing'!$C$4,2)</x:f>
        <x:v>2700</x:v>
      </x:c>
      <x:c r="K1159" s="17" t="n">
        <x:f>I1159+J1159</x:f>
        <x:v>17700</x:v>
      </x:c>
    </x:row>
    <x:row r="1160" ht="46" customHeight="1">
      <x:c r="A1160" s="2" t="str">
        <x:v>Sector</x:v>
      </x:c>
      <x:c r="B1160" s="2" t="str">
        <x:v>Engineering &amp; manufacturing</x:v>
      </x:c>
      <x:c r="C1160" s="12" t="str">
        <x:v>Bengaluru</x:v>
      </x:c>
      <x:c r="D1160" s="12" t="str">
        <x:v>MAIN-025</x:v>
      </x:c>
      <x:c r="E1160" s="12" t="str">
        <x:v>Awfis - ST Mark's Road</x:v>
      </x:c>
      <x:c r="F1160" s="11" t="n">
        <x:v>5</x:v>
      </x:c>
      <x:c r="G1160" s="11" t="n">
        <x:v>5</x:v>
      </x:c>
      <x:c r="H1160" s="11" t="n">
        <x:v>0</x:v>
      </x:c>
      <x:c r="I1160" s="17" t="n">
        <x:f>INDEX('Costing'!$P$9:$P$492,MATCH(D1160,'Costing'!$A$9:$A$492,0))</x:f>
        <x:v>75000</x:v>
      </x:c>
      <x:c r="J1160" s="17" t="n">
        <x:f>ROUND(I1160*'Costing'!$C$4,2)</x:f>
        <x:v>13500</x:v>
      </x:c>
      <x:c r="K1160" s="17" t="n">
        <x:f>I1160+J1160</x:f>
        <x:v>88500</x:v>
      </x:c>
    </x:row>
    <x:row r="1161" ht="46" customHeight="1">
      <x:c r="A1161" s="2" t="str">
        <x:v>Sector</x:v>
      </x:c>
      <x:c r="B1161" s="2" t="str">
        <x:v>Engineering &amp; manufacturing</x:v>
      </x:c>
      <x:c r="C1161" s="12" t="str">
        <x:v>Bengaluru</x:v>
      </x:c>
      <x:c r="D1161" s="12" t="str">
        <x:v>MAIN-027</x:v>
      </x:c>
      <x:c r="E1161" s="12" t="str">
        <x:v>Bhive Workspace - AKR Tech Park</x:v>
      </x:c>
      <x:c r="F1161" s="11" t="n">
        <x:v>6</x:v>
      </x:c>
      <x:c r="G1161" s="11" t="n">
        <x:v>6</x:v>
      </x:c>
      <x:c r="H1161" s="11" t="n">
        <x:v>0</x:v>
      </x:c>
      <x:c r="I1161" s="17" t="n">
        <x:f>INDEX('Costing'!$P$9:$P$492,MATCH(D1161,'Costing'!$A$9:$A$492,0))</x:f>
        <x:v>90000</x:v>
      </x:c>
      <x:c r="J1161" s="17" t="n">
        <x:f>ROUND(I1161*'Costing'!$C$4,2)</x:f>
        <x:v>16200</x:v>
      </x:c>
      <x:c r="K1161" s="17" t="n">
        <x:f>I1161+J1161</x:f>
        <x:v>106200</x:v>
      </x:c>
    </x:row>
    <x:row r="1162" ht="46" customHeight="1">
      <x:c r="A1162" s="2" t="str">
        <x:v>Sector</x:v>
      </x:c>
      <x:c r="B1162" s="2" t="str">
        <x:v>Engineering &amp; manufacturing</x:v>
      </x:c>
      <x:c r="C1162" s="12" t="str">
        <x:v>Bengaluru</x:v>
      </x:c>
      <x:c r="D1162" s="12" t="str">
        <x:v>MAIN-033</x:v>
      </x:c>
      <x:c r="E1162" s="12" t="str">
        <x:v>Bridge - Excel</x:v>
      </x:c>
      <x:c r="F1162" s="11" t="n">
        <x:v>1</x:v>
      </x:c>
      <x:c r="G1162" s="11" t="n">
        <x:v>1</x:v>
      </x:c>
      <x:c r="H1162" s="11" t="n">
        <x:v>0</x:v>
      </x:c>
      <x:c r="I1162" s="17" t="n">
        <x:f>INDEX('Costing'!$P$9:$P$492,MATCH(D1162,'Costing'!$A$9:$A$492,0))</x:f>
        <x:v>15000</x:v>
      </x:c>
      <x:c r="J1162" s="17" t="n">
        <x:f>ROUND(I1162*'Costing'!$C$4,2)</x:f>
        <x:v>2700</x:v>
      </x:c>
      <x:c r="K1162" s="17" t="n">
        <x:f>I1162+J1162</x:f>
        <x:v>17700</x:v>
      </x:c>
    </x:row>
    <x:row r="1163" ht="46" customHeight="1">
      <x:c r="A1163" s="2" t="str">
        <x:v>Sector</x:v>
      </x:c>
      <x:c r="B1163" s="2" t="str">
        <x:v>Engineering &amp; manufacturing</x:v>
      </x:c>
      <x:c r="C1163" s="12" t="str">
        <x:v>Bengaluru</x:v>
      </x:c>
      <x:c r="D1163" s="12" t="str">
        <x:v>MAIN-039</x:v>
      </x:c>
      <x:c r="E1163" s="12" t="str">
        <x:v>Brookfield - EcoWorld</x:v>
      </x:c>
      <x:c r="F1163" s="11" t="n">
        <x:v>16</x:v>
      </x:c>
      <x:c r="G1163" s="11" t="n">
        <x:v>16</x:v>
      </x:c>
      <x:c r="H1163" s="11" t="n">
        <x:v>0</x:v>
      </x:c>
      <x:c r="I1163" s="17" t="n">
        <x:f>INDEX('Costing'!$P$9:$P$492,MATCH(D1163,'Costing'!$A$9:$A$492,0))</x:f>
        <x:v>640000</x:v>
      </x:c>
      <x:c r="J1163" s="17" t="n">
        <x:f>ROUND(I1163*'Costing'!$C$4,2)</x:f>
        <x:v>115200</x:v>
      </x:c>
      <x:c r="K1163" s="17" t="n">
        <x:f>I1163+J1163</x:f>
        <x:v>755200</x:v>
      </x:c>
    </x:row>
    <x:row r="1164" ht="46" customHeight="1">
      <x:c r="A1164" s="2" t="str">
        <x:v>Sector</x:v>
      </x:c>
      <x:c r="B1164" s="2" t="str">
        <x:v>Engineering &amp; manufacturing</x:v>
      </x:c>
      <x:c r="C1164" s="12" t="str">
        <x:v>Bengaluru</x:v>
      </x:c>
      <x:c r="D1164" s="12" t="str">
        <x:v>MAIN-045</x:v>
      </x:c>
      <x:c r="E1164" s="12" t="str">
        <x:v>Ecradle Coworking Space</x:v>
      </x:c>
      <x:c r="F1164" s="11" t="n">
        <x:v>2</x:v>
      </x:c>
      <x:c r="G1164" s="11" t="n">
        <x:v>2</x:v>
      </x:c>
      <x:c r="H1164" s="11" t="n">
        <x:v>0</x:v>
      </x:c>
      <x:c r="I1164" s="17" t="n">
        <x:f>INDEX('Costing'!$P$9:$P$492,MATCH(D1164,'Costing'!$A$9:$A$492,0))</x:f>
        <x:v>30000</x:v>
      </x:c>
      <x:c r="J1164" s="17" t="n">
        <x:f>ROUND(I1164*'Costing'!$C$4,2)</x:f>
        <x:v>5400</x:v>
      </x:c>
      <x:c r="K1164" s="17" t="n">
        <x:f>I1164+J1164</x:f>
        <x:v>35400</x:v>
      </x:c>
    </x:row>
    <x:row r="1165" ht="46" customHeight="1">
      <x:c r="A1165" s="2" t="str">
        <x:v>Sector</x:v>
      </x:c>
      <x:c r="B1165" s="2" t="str">
        <x:v>Engineering &amp; manufacturing</x:v>
      </x:c>
      <x:c r="C1165" s="12" t="str">
        <x:v>Bengaluru</x:v>
      </x:c>
      <x:c r="D1165" s="12" t="str">
        <x:v>MAIN-048</x:v>
      </x:c>
      <x:c r="E1165" s="12" t="str">
        <x:v>Golden Millenium Tech Park</x:v>
      </x:c>
      <x:c r="F1165" s="11" t="n">
        <x:v>3</x:v>
      </x:c>
      <x:c r="G1165" s="11" t="n">
        <x:v>3</x:v>
      </x:c>
      <x:c r="H1165" s="11" t="n">
        <x:v>0</x:v>
      </x:c>
      <x:c r="I1165" s="17" t="n">
        <x:f>INDEX('Costing'!$P$9:$P$492,MATCH(D1165,'Costing'!$A$9:$A$492,0))</x:f>
        <x:v>60000</x:v>
      </x:c>
      <x:c r="J1165" s="17" t="n">
        <x:f>ROUND(I1165*'Costing'!$C$4,2)</x:f>
        <x:v>10800</x:v>
      </x:c>
      <x:c r="K1165" s="17" t="n">
        <x:f>I1165+J1165</x:f>
        <x:v>70800</x:v>
      </x:c>
    </x:row>
    <x:row r="1166" ht="46" customHeight="1">
      <x:c r="A1166" s="2" t="str">
        <x:v>Sector</x:v>
      </x:c>
      <x:c r="B1166" s="2" t="str">
        <x:v>Engineering &amp; manufacturing</x:v>
      </x:c>
      <x:c r="C1166" s="12" t="str">
        <x:v>Bengaluru</x:v>
      </x:c>
      <x:c r="D1166" s="12" t="str">
        <x:v>MAIN-049</x:v>
      </x:c>
      <x:c r="E1166" s="12" t="str">
        <x:v>Golden Millenium Tech Park (Pod Screens)</x:v>
      </x:c>
      <x:c r="F1166" s="11" t="n">
        <x:v>2</x:v>
      </x:c>
      <x:c r="G1166" s="11" t="n">
        <x:v>2</x:v>
      </x:c>
      <x:c r="H1166" s="11" t="n">
        <x:v>0</x:v>
      </x:c>
      <x:c r="I1166" s="17" t="n">
        <x:f>INDEX('Costing'!$P$9:$P$492,MATCH(D1166,'Costing'!$A$9:$A$492,0))</x:f>
        <x:v>40000</x:v>
      </x:c>
      <x:c r="J1166" s="17" t="n">
        <x:f>ROUND(I1166*'Costing'!$C$4,2)</x:f>
        <x:v>7200</x:v>
      </x:c>
      <x:c r="K1166" s="17" t="n">
        <x:f>I1166+J1166</x:f>
        <x:v>47200</x:v>
      </x:c>
    </x:row>
    <x:row r="1167" ht="46" customHeight="1">
      <x:c r="A1167" s="2" t="str">
        <x:v>Sector</x:v>
      </x:c>
      <x:c r="B1167" s="2" t="str">
        <x:v>Engineering &amp; manufacturing</x:v>
      </x:c>
      <x:c r="C1167" s="12" t="str">
        <x:v>Bengaluru</x:v>
      </x:c>
      <x:c r="D1167" s="12" t="str">
        <x:v>MAIN-052</x:v>
      </x:c>
      <x:c r="E1167" s="12" t="str">
        <x:v>Mantri Commercio</x:v>
      </x:c>
      <x:c r="F1167" s="11" t="n">
        <x:v>18</x:v>
      </x:c>
      <x:c r="G1167" s="11" t="n">
        <x:v>18</x:v>
      </x:c>
      <x:c r="H1167" s="11" t="n">
        <x:v>0</x:v>
      </x:c>
      <x:c r="I1167" s="17" t="n">
        <x:f>INDEX('Costing'!$P$9:$P$492,MATCH(D1167,'Costing'!$A$9:$A$492,0))</x:f>
        <x:v>270000</x:v>
      </x:c>
      <x:c r="J1167" s="17" t="n">
        <x:f>ROUND(I1167*'Costing'!$C$4,2)</x:f>
        <x:v>48600</x:v>
      </x:c>
      <x:c r="K1167" s="17" t="n">
        <x:f>I1167+J1167</x:f>
        <x:v>318600</x:v>
      </x:c>
    </x:row>
    <x:row r="1168" ht="46" customHeight="1">
      <x:c r="A1168" s="2" t="str">
        <x:v>Sector</x:v>
      </x:c>
      <x:c r="B1168" s="2" t="str">
        <x:v>Engineering &amp; manufacturing</x:v>
      </x:c>
      <x:c r="C1168" s="12" t="str">
        <x:v>Bengaluru</x:v>
      </x:c>
      <x:c r="D1168" s="12" t="str">
        <x:v>MAIN-059</x:v>
      </x:c>
      <x:c r="E1168" s="12" t="str">
        <x:v>Novel Tech Park</x:v>
      </x:c>
      <x:c r="F1168" s="11" t="n">
        <x:v>8</x:v>
      </x:c>
      <x:c r="G1168" s="11" t="n">
        <x:v>8</x:v>
      </x:c>
      <x:c r="H1168" s="11" t="n">
        <x:v>0</x:v>
      </x:c>
      <x:c r="I1168" s="17" t="n">
        <x:f>INDEX('Costing'!$P$9:$P$492,MATCH(D1168,'Costing'!$A$9:$A$492,0))</x:f>
        <x:v>120000</x:v>
      </x:c>
      <x:c r="J1168" s="17" t="n">
        <x:f>ROUND(I1168*'Costing'!$C$4,2)</x:f>
        <x:v>21600</x:v>
      </x:c>
      <x:c r="K1168" s="17" t="n">
        <x:f>I1168+J1168</x:f>
        <x:v>141600</x:v>
      </x:c>
    </x:row>
    <x:row r="1169" ht="46" customHeight="1">
      <x:c r="A1169" s="2" t="str">
        <x:v>Sector</x:v>
      </x:c>
      <x:c r="B1169" s="2" t="str">
        <x:v>Engineering &amp; manufacturing</x:v>
      </x:c>
      <x:c r="C1169" s="12" t="str">
        <x:v>Bengaluru</x:v>
      </x:c>
      <x:c r="D1169" s="12" t="str">
        <x:v>MAIN-062</x:v>
      </x:c>
      <x:c r="E1169" s="12" t="str">
        <x:v>Nucleus - Exora Business Park</x:v>
      </x:c>
      <x:c r="F1169" s="11" t="n">
        <x:v>5</x:v>
      </x:c>
      <x:c r="G1169" s="11" t="n">
        <x:v>5</x:v>
      </x:c>
      <x:c r="H1169" s="11" t="n">
        <x:v>0</x:v>
      </x:c>
      <x:c r="I1169" s="17" t="n">
        <x:f>INDEX('Costing'!$P$9:$P$492,MATCH(D1169,'Costing'!$A$9:$A$492,0))</x:f>
        <x:v>200000</x:v>
      </x:c>
      <x:c r="J1169" s="17" t="n">
        <x:f>ROUND(I1169*'Costing'!$C$4,2)</x:f>
        <x:v>36000</x:v>
      </x:c>
      <x:c r="K1169" s="17" t="n">
        <x:f>I1169+J1169</x:f>
        <x:v>236000</x:v>
      </x:c>
    </x:row>
    <x:row r="1170" ht="46" customHeight="1">
      <x:c r="A1170" s="2" t="str">
        <x:v>Sector</x:v>
      </x:c>
      <x:c r="B1170" s="2" t="str">
        <x:v>Engineering &amp; manufacturing</x:v>
      </x:c>
      <x:c r="C1170" s="12" t="str">
        <x:v>Bengaluru</x:v>
      </x:c>
      <x:c r="D1170" s="12" t="str">
        <x:v>MAIN-063</x:v>
      </x:c>
      <x:c r="E1170" s="12" t="str">
        <x:v>Nucleus - Prestige One Trade Tower</x:v>
      </x:c>
      <x:c r="F1170" s="11" t="n">
        <x:v>2</x:v>
      </x:c>
      <x:c r="G1170" s="11" t="n">
        <x:v>2</x:v>
      </x:c>
      <x:c r="H1170" s="11" t="n">
        <x:v>0</x:v>
      </x:c>
      <x:c r="I1170" s="17" t="n">
        <x:f>INDEX('Costing'!$P$9:$P$492,MATCH(D1170,'Costing'!$A$9:$A$492,0))</x:f>
        <x:v>80000</x:v>
      </x:c>
      <x:c r="J1170" s="17" t="n">
        <x:f>ROUND(I1170*'Costing'!$C$4,2)</x:f>
        <x:v>14400</x:v>
      </x:c>
      <x:c r="K1170" s="17" t="n">
        <x:f>I1170+J1170</x:f>
        <x:v>94400</x:v>
      </x:c>
    </x:row>
    <x:row r="1171" ht="46" customHeight="1">
      <x:c r="A1171" s="2" t="str">
        <x:v>Sector</x:v>
      </x:c>
      <x:c r="B1171" s="2" t="str">
        <x:v>Engineering &amp; manufacturing</x:v>
      </x:c>
      <x:c r="C1171" s="12" t="str">
        <x:v>Bengaluru</x:v>
      </x:c>
      <x:c r="D1171" s="12" t="str">
        <x:v>MAIN-065</x:v>
      </x:c>
      <x:c r="E1171" s="12" t="str">
        <x:v>Obeya - Elan</x:v>
      </x:c>
      <x:c r="F1171" s="11" t="n">
        <x:v>1</x:v>
      </x:c>
      <x:c r="G1171" s="11" t="n">
        <x:v>1</x:v>
      </x:c>
      <x:c r="H1171" s="11" t="n">
        <x:v>0</x:v>
      </x:c>
      <x:c r="I1171" s="17" t="n">
        <x:f>INDEX('Costing'!$P$9:$P$492,MATCH(D1171,'Costing'!$A$9:$A$492,0))</x:f>
        <x:v>15000</x:v>
      </x:c>
      <x:c r="J1171" s="17" t="n">
        <x:f>ROUND(I1171*'Costing'!$C$4,2)</x:f>
        <x:v>2700</x:v>
      </x:c>
      <x:c r="K1171" s="17" t="n">
        <x:f>I1171+J1171</x:f>
        <x:v>17700</x:v>
      </x:c>
    </x:row>
    <x:row r="1172" ht="46" customHeight="1">
      <x:c r="A1172" s="2" t="str">
        <x:v>Sector</x:v>
      </x:c>
      <x:c r="B1172" s="2" t="str">
        <x:v>Engineering &amp; manufacturing</x:v>
      </x:c>
      <x:c r="C1172" s="12" t="str">
        <x:v>Bengaluru</x:v>
      </x:c>
      <x:c r="D1172" s="12" t="str">
        <x:v>MAIN-072</x:v>
      </x:c>
      <x:c r="E1172" s="12" t="str">
        <x:v>Prestige Etamin (Redbrick Offices)</x:v>
      </x:c>
      <x:c r="F1172" s="11" t="n">
        <x:v>1</x:v>
      </x:c>
      <x:c r="G1172" s="11" t="n">
        <x:v>1</x:v>
      </x:c>
      <x:c r="H1172" s="11" t="n">
        <x:v>0</x:v>
      </x:c>
      <x:c r="I1172" s="17" t="n">
        <x:f>INDEX('Costing'!$P$9:$P$492,MATCH(D1172,'Costing'!$A$9:$A$492,0))</x:f>
        <x:v>15000</x:v>
      </x:c>
      <x:c r="J1172" s="17" t="n">
        <x:f>ROUND(I1172*'Costing'!$C$4,2)</x:f>
        <x:v>2700</x:v>
      </x:c>
      <x:c r="K1172" s="17" t="n">
        <x:f>I1172+J1172</x:f>
        <x:v>17700</x:v>
      </x:c>
    </x:row>
    <x:row r="1173" ht="46" customHeight="1">
      <x:c r="A1173" s="2" t="str">
        <x:v>Sector</x:v>
      </x:c>
      <x:c r="B1173" s="2" t="str">
        <x:v>Engineering &amp; manufacturing</x:v>
      </x:c>
      <x:c r="C1173" s="12" t="str">
        <x:v>Bengaluru</x:v>
      </x:c>
      <x:c r="D1173" s="12" t="str">
        <x:v>MAIN-073</x:v>
      </x:c>
      <x:c r="E1173" s="12" t="str">
        <x:v>Prestige Obelisk</x:v>
      </x:c>
      <x:c r="F1173" s="11" t="n">
        <x:v>1</x:v>
      </x:c>
      <x:c r="G1173" s="11" t="n">
        <x:v>1</x:v>
      </x:c>
      <x:c r="H1173" s="11" t="n">
        <x:v>0</x:v>
      </x:c>
      <x:c r="I1173" s="17" t="n">
        <x:f>INDEX('Costing'!$P$9:$P$492,MATCH(D1173,'Costing'!$A$9:$A$492,0))</x:f>
        <x:v>40000</x:v>
      </x:c>
      <x:c r="J1173" s="17" t="n">
        <x:f>ROUND(I1173*'Costing'!$C$4,2)</x:f>
        <x:v>7200</x:v>
      </x:c>
      <x:c r="K1173" s="17" t="n">
        <x:f>I1173+J1173</x:f>
        <x:v>47200</x:v>
      </x:c>
    </x:row>
    <x:row r="1174" ht="46" customHeight="1">
      <x:c r="A1174" s="2" t="str">
        <x:v>Sector</x:v>
      </x:c>
      <x:c r="B1174" s="2" t="str">
        <x:v>Engineering &amp; manufacturing</x:v>
      </x:c>
      <x:c r="C1174" s="12" t="str">
        <x:v>Bengaluru</x:v>
      </x:c>
      <x:c r="D1174" s="12" t="str">
        <x:v>MAIN-075</x:v>
      </x:c>
      <x:c r="E1174" s="12" t="str">
        <x:v>Prestige Tristar (Redbrick Offices)</x:v>
      </x:c>
      <x:c r="F1174" s="11" t="n">
        <x:v>3</x:v>
      </x:c>
      <x:c r="G1174" s="11" t="n">
        <x:v>3</x:v>
      </x:c>
      <x:c r="H1174" s="11" t="n">
        <x:v>0</x:v>
      </x:c>
      <x:c r="I1174" s="17" t="n">
        <x:f>INDEX('Costing'!$P$9:$P$492,MATCH(D1174,'Costing'!$A$9:$A$492,0))</x:f>
        <x:v>45000</x:v>
      </x:c>
      <x:c r="J1174" s="17" t="n">
        <x:f>ROUND(I1174*'Costing'!$C$4,2)</x:f>
        <x:v>8100</x:v>
      </x:c>
      <x:c r="K1174" s="17" t="n">
        <x:f>I1174+J1174</x:f>
        <x:v>53100</x:v>
      </x:c>
    </x:row>
    <x:row r="1175" ht="46" customHeight="1">
      <x:c r="A1175" s="2" t="str">
        <x:v>Sector</x:v>
      </x:c>
      <x:c r="B1175" s="2" t="str">
        <x:v>Engineering &amp; manufacturing</x:v>
      </x:c>
      <x:c r="C1175" s="12" t="str">
        <x:v>Bengaluru</x:v>
      </x:c>
      <x:c r="D1175" s="12" t="str">
        <x:v>MAIN-091</x:v>
      </x:c>
      <x:c r="E1175" s="12" t="str">
        <x:v>Startuphuts- Unit 8</x:v>
      </x:c>
      <x:c r="F1175" s="11" t="n">
        <x:v>2</x:v>
      </x:c>
      <x:c r="G1175" s="11" t="n">
        <x:v>2</x:v>
      </x:c>
      <x:c r="H1175" s="11" t="n">
        <x:v>0</x:v>
      </x:c>
      <x:c r="I1175" s="17" t="n">
        <x:f>INDEX('Costing'!$P$9:$P$492,MATCH(D1175,'Costing'!$A$9:$A$492,0))</x:f>
        <x:v>30000</x:v>
      </x:c>
      <x:c r="J1175" s="17" t="n">
        <x:f>ROUND(I1175*'Costing'!$C$4,2)</x:f>
        <x:v>5400</x:v>
      </x:c>
      <x:c r="K1175" s="17" t="n">
        <x:f>I1175+J1175</x:f>
        <x:v>35400</x:v>
      </x:c>
    </x:row>
    <x:row r="1176" ht="46" customHeight="1">
      <x:c r="A1176" s="2" t="str">
        <x:v>Sector</x:v>
      </x:c>
      <x:c r="B1176" s="2" t="str">
        <x:v>Engineering &amp; manufacturing</x:v>
      </x:c>
      <x:c r="C1176" s="12" t="str">
        <x:v>Bengaluru</x:v>
      </x:c>
      <x:c r="D1176" s="12" t="str">
        <x:v>MAIN-105</x:v>
      </x:c>
      <x:c r="E1176" s="12" t="str">
        <x:v>Urban Vault- 1498</x:v>
      </x:c>
      <x:c r="F1176" s="11" t="n">
        <x:v>1</x:v>
      </x:c>
      <x:c r="G1176" s="11" t="n">
        <x:v>1</x:v>
      </x:c>
      <x:c r="H1176" s="11" t="n">
        <x:v>0</x:v>
      </x:c>
      <x:c r="I1176" s="17" t="n">
        <x:f>INDEX('Costing'!$P$9:$P$492,MATCH(D1176,'Costing'!$A$9:$A$492,0))</x:f>
        <x:v>15000</x:v>
      </x:c>
      <x:c r="J1176" s="17" t="n">
        <x:f>ROUND(I1176*'Costing'!$C$4,2)</x:f>
        <x:v>2700</x:v>
      </x:c>
      <x:c r="K1176" s="17" t="n">
        <x:f>I1176+J1176</x:f>
        <x:v>17700</x:v>
      </x:c>
    </x:row>
    <x:row r="1177" ht="46" customHeight="1">
      <x:c r="A1177" s="2" t="str">
        <x:v>Sector</x:v>
      </x:c>
      <x:c r="B1177" s="2" t="str">
        <x:v>Engineering &amp; manufacturing</x:v>
      </x:c>
      <x:c r="C1177" s="12" t="str">
        <x:v>Bengaluru</x:v>
      </x:c>
      <x:c r="D1177" s="12" t="str">
        <x:v>MAIN-113</x:v>
      </x:c>
      <x:c r="E1177" s="12" t="str">
        <x:v>WeWork - EGL</x:v>
      </x:c>
      <x:c r="F1177" s="11" t="n">
        <x:v>4</x:v>
      </x:c>
      <x:c r="G1177" s="11" t="n">
        <x:v>4</x:v>
      </x:c>
      <x:c r="H1177" s="11" t="n">
        <x:v>0</x:v>
      </x:c>
      <x:c r="I1177" s="17" t="n">
        <x:f>INDEX('Costing'!$P$9:$P$492,MATCH(D1177,'Costing'!$A$9:$A$492,0))</x:f>
        <x:v>100000</x:v>
      </x:c>
      <x:c r="J1177" s="17" t="n">
        <x:f>ROUND(I1177*'Costing'!$C$4,2)</x:f>
        <x:v>18000</x:v>
      </x:c>
      <x:c r="K1177" s="17" t="n">
        <x:f>I1177+J1177</x:f>
        <x:v>118000</x:v>
      </x:c>
    </x:row>
    <x:row r="1178" ht="46" customHeight="1">
      <x:c r="A1178" s="2" t="str">
        <x:v>Sector</x:v>
      </x:c>
      <x:c r="B1178" s="2" t="str">
        <x:v>Engineering &amp; manufacturing</x:v>
      </x:c>
      <x:c r="C1178" s="12" t="str">
        <x:v>Bengaluru</x:v>
      </x:c>
      <x:c r="D1178" s="12" t="str">
        <x:v>MAIN-114</x:v>
      </x:c>
      <x:c r="E1178" s="12" t="str">
        <x:v>Wework - Embassy One</x:v>
      </x:c>
      <x:c r="F1178" s="11" t="n">
        <x:v>2</x:v>
      </x:c>
      <x:c r="G1178" s="11" t="n">
        <x:v>2</x:v>
      </x:c>
      <x:c r="H1178" s="11" t="n">
        <x:v>0</x:v>
      </x:c>
      <x:c r="I1178" s="17" t="n">
        <x:f>INDEX('Costing'!$P$9:$P$492,MATCH(D1178,'Costing'!$A$9:$A$492,0))</x:f>
        <x:v>50000</x:v>
      </x:c>
      <x:c r="J1178" s="17" t="n">
        <x:f>ROUND(I1178*'Costing'!$C$4,2)</x:f>
        <x:v>9000</x:v>
      </x:c>
      <x:c r="K1178" s="17" t="n">
        <x:f>I1178+J1178</x:f>
        <x:v>59000</x:v>
      </x:c>
    </x:row>
    <x:row r="1179" ht="46" customHeight="1">
      <x:c r="A1179" s="2" t="str">
        <x:v>Sector</x:v>
      </x:c>
      <x:c r="B1179" s="2" t="str">
        <x:v>Engineering &amp; manufacturing</x:v>
      </x:c>
      <x:c r="C1179" s="12" t="str">
        <x:v>Bengaluru</x:v>
      </x:c>
      <x:c r="D1179" s="12" t="str">
        <x:v>MAIN-116</x:v>
      </x:c>
      <x:c r="E1179" s="12" t="str">
        <x:v>WeWork - ETV</x:v>
      </x:c>
      <x:c r="F1179" s="11" t="n">
        <x:v>7</x:v>
      </x:c>
      <x:c r="G1179" s="11" t="n">
        <x:v>7</x:v>
      </x:c>
      <x:c r="H1179" s="11" t="n">
        <x:v>0</x:v>
      </x:c>
      <x:c r="I1179" s="17" t="n">
        <x:f>INDEX('Costing'!$P$9:$P$492,MATCH(D1179,'Costing'!$A$9:$A$492,0))</x:f>
        <x:v>175000</x:v>
      </x:c>
      <x:c r="J1179" s="17" t="n">
        <x:f>ROUND(I1179*'Costing'!$C$4,2)</x:f>
        <x:v>31500</x:v>
      </x:c>
      <x:c r="K1179" s="17" t="n">
        <x:f>I1179+J1179</x:f>
        <x:v>206500</x:v>
      </x:c>
    </x:row>
    <x:row r="1180" ht="46" customHeight="1">
      <x:c r="A1180" s="2" t="str">
        <x:v>Sector</x:v>
      </x:c>
      <x:c r="B1180" s="2" t="str">
        <x:v>Engineering &amp; manufacturing</x:v>
      </x:c>
      <x:c r="C1180" s="12" t="str">
        <x:v>Bengaluru</x:v>
      </x:c>
      <x:c r="D1180" s="12" t="str">
        <x:v>MAIN-126</x:v>
      </x:c>
      <x:c r="E1180" s="12" t="str">
        <x:v>WeWork - Salarpuria Magnificia</x:v>
      </x:c>
      <x:c r="F1180" s="11" t="n">
        <x:v>8</x:v>
      </x:c>
      <x:c r="G1180" s="11" t="n">
        <x:v>8</x:v>
      </x:c>
      <x:c r="H1180" s="11" t="n">
        <x:v>0</x:v>
      </x:c>
      <x:c r="I1180" s="17" t="n">
        <x:f>INDEX('Costing'!$P$9:$P$492,MATCH(D1180,'Costing'!$A$9:$A$492,0))</x:f>
        <x:v>200000</x:v>
      </x:c>
      <x:c r="J1180" s="17" t="n">
        <x:f>ROUND(I1180*'Costing'!$C$4,2)</x:f>
        <x:v>36000</x:v>
      </x:c>
      <x:c r="K1180" s="17" t="n">
        <x:f>I1180+J1180</x:f>
        <x:v>236000</x:v>
      </x:c>
    </x:row>
    <x:row r="1181" ht="46" customHeight="1">
      <x:c r="A1181" s="2" t="str">
        <x:v>Sector</x:v>
      </x:c>
      <x:c r="B1181" s="2" t="str">
        <x:v>Engineering &amp; manufacturing</x:v>
      </x:c>
      <x:c r="C1181" s="12" t="str">
        <x:v>Bengaluru</x:v>
      </x:c>
      <x:c r="D1181" s="12" t="str">
        <x:v>MAIN-128</x:v>
      </x:c>
      <x:c r="E1181" s="12" t="str">
        <x:v>Wework - Sunriver</x:v>
      </x:c>
      <x:c r="F1181" s="11" t="n">
        <x:v>1</x:v>
      </x:c>
      <x:c r="G1181" s="11" t="n">
        <x:v>1</x:v>
      </x:c>
      <x:c r="H1181" s="11" t="n">
        <x:v>0</x:v>
      </x:c>
      <x:c r="I1181" s="17" t="n">
        <x:f>INDEX('Costing'!$P$9:$P$492,MATCH(D1181,'Costing'!$A$9:$A$492,0))</x:f>
        <x:v>25000</x:v>
      </x:c>
      <x:c r="J1181" s="17" t="n">
        <x:f>ROUND(I1181*'Costing'!$C$4,2)</x:f>
        <x:v>4500</x:v>
      </x:c>
      <x:c r="K1181" s="17" t="n">
        <x:f>I1181+J1181</x:f>
        <x:v>29500</x:v>
      </x:c>
    </x:row>
    <x:row r="1182" ht="46" customHeight="1">
      <x:c r="A1182" s="2" t="str">
        <x:v>Sector</x:v>
      </x:c>
      <x:c r="B1182" s="2" t="str">
        <x:v>Engineering &amp; manufacturing</x:v>
      </x:c>
      <x:c r="C1182" s="12" t="str">
        <x:v>Bengaluru</x:v>
      </x:c>
      <x:c r="D1182" s="12" t="str">
        <x:v>MAIN-135</x:v>
      </x:c>
      <x:c r="E1182" s="12" t="str">
        <x:v>Zonasha Frontier</x:v>
      </x:c>
      <x:c r="F1182" s="11" t="n">
        <x:v>1</x:v>
      </x:c>
      <x:c r="G1182" s="11" t="n">
        <x:v>1</x:v>
      </x:c>
      <x:c r="H1182" s="11" t="n">
        <x:v>0</x:v>
      </x:c>
      <x:c r="I1182" s="17" t="n">
        <x:f>INDEX('Costing'!$P$9:$P$492,MATCH(D1182,'Costing'!$A$9:$A$492,0))</x:f>
        <x:v>40000</x:v>
      </x:c>
      <x:c r="J1182" s="17" t="n">
        <x:f>ROUND(I1182*'Costing'!$C$4,2)</x:f>
        <x:v>7200</x:v>
      </x:c>
      <x:c r="K1182" s="17" t="n">
        <x:f>I1182+J1182</x:f>
        <x:v>47200</x:v>
      </x:c>
    </x:row>
    <x:row r="1183" ht="46" customHeight="1">
      <x:c r="A1183" s="2" t="str">
        <x:v>Sector</x:v>
      </x:c>
      <x:c r="B1183" s="2" t="str">
        <x:v>Engineering &amp; manufacturing</x:v>
      </x:c>
      <x:c r="C1183" s="12" t="str">
        <x:v>Bhubaneswar</x:v>
      </x:c>
      <x:c r="D1183" s="12" t="str">
        <x:v>MAIN-137</x:v>
      </x:c>
      <x:c r="E1183" s="12" t="str">
        <x:v>Awfis - SRB Tower</x:v>
      </x:c>
      <x:c r="F1183" s="11" t="n">
        <x:v>2</x:v>
      </x:c>
      <x:c r="G1183" s="11" t="n">
        <x:v>2</x:v>
      </x:c>
      <x:c r="H1183" s="11" t="n">
        <x:v>0</x:v>
      </x:c>
      <x:c r="I1183" s="17" t="n">
        <x:f>INDEX('Costing'!$P$9:$P$492,MATCH(D1183,'Costing'!$A$9:$A$492,0))</x:f>
        <x:v>30000</x:v>
      </x:c>
      <x:c r="J1183" s="17" t="n">
        <x:f>ROUND(I1183*'Costing'!$C$4,2)</x:f>
        <x:v>5400</x:v>
      </x:c>
      <x:c r="K1183" s="17" t="n">
        <x:f>I1183+J1183</x:f>
        <x:v>35400</x:v>
      </x:c>
    </x:row>
    <x:row r="1184" ht="46" customHeight="1">
      <x:c r="A1184" s="2" t="str">
        <x:v>Sector</x:v>
      </x:c>
      <x:c r="B1184" s="2" t="str">
        <x:v>Engineering &amp; manufacturing</x:v>
      </x:c>
      <x:c r="C1184" s="12" t="str">
        <x:v>Chennai</x:v>
      </x:c>
      <x:c r="D1184" s="12" t="str">
        <x:v>MAIN-140</x:v>
      </x:c>
      <x:c r="E1184" s="12" t="str">
        <x:v>Awfis - OMR</x:v>
      </x:c>
      <x:c r="F1184" s="11" t="n">
        <x:v>7</x:v>
      </x:c>
      <x:c r="G1184" s="11" t="n">
        <x:v>7</x:v>
      </x:c>
      <x:c r="H1184" s="11" t="n">
        <x:v>0</x:v>
      </x:c>
      <x:c r="I1184" s="17" t="n">
        <x:f>INDEX('Costing'!$P$9:$P$492,MATCH(D1184,'Costing'!$A$9:$A$492,0))</x:f>
        <x:v>105000</x:v>
      </x:c>
      <x:c r="J1184" s="17" t="n">
        <x:f>ROUND(I1184*'Costing'!$C$4,2)</x:f>
        <x:v>18900</x:v>
      </x:c>
      <x:c r="K1184" s="17" t="n">
        <x:f>I1184+J1184</x:f>
        <x:v>123900</x:v>
      </x:c>
    </x:row>
    <x:row r="1185" ht="46" customHeight="1">
      <x:c r="A1185" s="2" t="str">
        <x:v>Sector</x:v>
      </x:c>
      <x:c r="B1185" s="2" t="str">
        <x:v>Engineering &amp; manufacturing</x:v>
      </x:c>
      <x:c r="C1185" s="12" t="str">
        <x:v>Chennai</x:v>
      </x:c>
      <x:c r="D1185" s="12" t="str">
        <x:v>MAIN-141</x:v>
      </x:c>
      <x:c r="E1185" s="12" t="str">
        <x:v>Awfis - Prestige Cosmopolitan-I</x:v>
      </x:c>
      <x:c r="F1185" s="11" t="n">
        <x:v>4</x:v>
      </x:c>
      <x:c r="G1185" s="11" t="n">
        <x:v>4</x:v>
      </x:c>
      <x:c r="H1185" s="11" t="n">
        <x:v>0</x:v>
      </x:c>
      <x:c r="I1185" s="17" t="n">
        <x:f>INDEX('Costing'!$P$9:$P$492,MATCH(D1185,'Costing'!$A$9:$A$492,0))</x:f>
        <x:v>60000</x:v>
      </x:c>
      <x:c r="J1185" s="17" t="n">
        <x:f>ROUND(I1185*'Costing'!$C$4,2)</x:f>
        <x:v>10800</x:v>
      </x:c>
      <x:c r="K1185" s="17" t="n">
        <x:f>I1185+J1185</x:f>
        <x:v>70800</x:v>
      </x:c>
    </x:row>
    <x:row r="1186" ht="46" customHeight="1">
      <x:c r="A1186" s="2" t="str">
        <x:v>Sector</x:v>
      </x:c>
      <x:c r="B1186" s="2" t="str">
        <x:v>Engineering &amp; manufacturing</x:v>
      </x:c>
      <x:c r="C1186" s="12" t="str">
        <x:v>Chennai</x:v>
      </x:c>
      <x:c r="D1186" s="12" t="str">
        <x:v>MAIN-142</x:v>
      </x:c>
      <x:c r="E1186" s="12" t="str">
        <x:v>Awfis - Sierra</x:v>
      </x:c>
      <x:c r="F1186" s="11" t="n">
        <x:v>3</x:v>
      </x:c>
      <x:c r="G1186" s="11" t="n">
        <x:v>3</x:v>
      </x:c>
      <x:c r="H1186" s="11" t="n">
        <x:v>0</x:v>
      </x:c>
      <x:c r="I1186" s="17" t="n">
        <x:f>INDEX('Costing'!$P$9:$P$492,MATCH(D1186,'Costing'!$A$9:$A$492,0))</x:f>
        <x:v>45000</x:v>
      </x:c>
      <x:c r="J1186" s="17" t="n">
        <x:f>ROUND(I1186*'Costing'!$C$4,2)</x:f>
        <x:v>8100</x:v>
      </x:c>
      <x:c r="K1186" s="17" t="n">
        <x:f>I1186+J1186</x:f>
        <x:v>53100</x:v>
      </x:c>
    </x:row>
    <x:row r="1187" ht="46" customHeight="1">
      <x:c r="A1187" s="2" t="str">
        <x:v>Sector</x:v>
      </x:c>
      <x:c r="B1187" s="2" t="str">
        <x:v>Engineering &amp; manufacturing</x:v>
      </x:c>
      <x:c r="C1187" s="12" t="str">
        <x:v>Chennai</x:v>
      </x:c>
      <x:c r="D1187" s="12" t="str">
        <x:v>MAIN-143</x:v>
      </x:c>
      <x:c r="E1187" s="12" t="str">
        <x:v>Bharati Vilas Tech Park</x:v>
      </x:c>
      <x:c r="F1187" s="11" t="n">
        <x:v>2</x:v>
      </x:c>
      <x:c r="G1187" s="11" t="n">
        <x:v>2</x:v>
      </x:c>
      <x:c r="H1187" s="11" t="n">
        <x:v>0</x:v>
      </x:c>
      <x:c r="I1187" s="17" t="n">
        <x:f>INDEX('Costing'!$P$9:$P$492,MATCH(D1187,'Costing'!$A$9:$A$492,0))</x:f>
        <x:v>40000</x:v>
      </x:c>
      <x:c r="J1187" s="17" t="n">
        <x:f>ROUND(I1187*'Costing'!$C$4,2)</x:f>
        <x:v>7200</x:v>
      </x:c>
      <x:c r="K1187" s="17" t="n">
        <x:f>I1187+J1187</x:f>
        <x:v>47200</x:v>
      </x:c>
    </x:row>
    <x:row r="1188" ht="46" customHeight="1">
      <x:c r="A1188" s="2" t="str">
        <x:v>Sector</x:v>
      </x:c>
      <x:c r="B1188" s="2" t="str">
        <x:v>Engineering &amp; manufacturing</x:v>
      </x:c>
      <x:c r="C1188" s="12" t="str">
        <x:v>Chennai</x:v>
      </x:c>
      <x:c r="D1188" s="12" t="str">
        <x:v>MAIN-144</x:v>
      </x:c>
      <x:c r="E1188" s="12" t="str">
        <x:v>Bharati Vilas Tech Park(POD Screens)</x:v>
      </x:c>
      <x:c r="F1188" s="11" t="n">
        <x:v>1</x:v>
      </x:c>
      <x:c r="G1188" s="11" t="n">
        <x:v>1</x:v>
      </x:c>
      <x:c r="H1188" s="11" t="n">
        <x:v>0</x:v>
      </x:c>
      <x:c r="I1188" s="17" t="n">
        <x:f>INDEX('Costing'!$P$9:$P$492,MATCH(D1188,'Costing'!$A$9:$A$492,0))</x:f>
        <x:v>20000</x:v>
      </x:c>
      <x:c r="J1188" s="17" t="n">
        <x:f>ROUND(I1188*'Costing'!$C$4,2)</x:f>
        <x:v>3600</x:v>
      </x:c>
      <x:c r="K1188" s="17" t="n">
        <x:f>I1188+J1188</x:f>
        <x:v>23600</x:v>
      </x:c>
    </x:row>
    <x:row r="1189" ht="46" customHeight="1">
      <x:c r="A1189" s="2" t="str">
        <x:v>Sector</x:v>
      </x:c>
      <x:c r="B1189" s="2" t="str">
        <x:v>Engineering &amp; manufacturing</x:v>
      </x:c>
      <x:c r="C1189" s="12" t="str">
        <x:v>Chennai</x:v>
      </x:c>
      <x:c r="D1189" s="12" t="str">
        <x:v>MAIN-146</x:v>
      </x:c>
      <x:c r="E1189" s="12" t="str">
        <x:v>Global Infocity Park</x:v>
      </x:c>
      <x:c r="F1189" s="11" t="n">
        <x:v>4</x:v>
      </x:c>
      <x:c r="G1189" s="11" t="n">
        <x:v>4</x:v>
      </x:c>
      <x:c r="H1189" s="11" t="n">
        <x:v>0</x:v>
      </x:c>
      <x:c r="I1189" s="17" t="n">
        <x:f>INDEX('Costing'!$P$9:$P$492,MATCH(D1189,'Costing'!$A$9:$A$492,0))</x:f>
        <x:v>160000</x:v>
      </x:c>
      <x:c r="J1189" s="17" t="n">
        <x:f>ROUND(I1189*'Costing'!$C$4,2)</x:f>
        <x:v>28800</x:v>
      </x:c>
      <x:c r="K1189" s="17" t="n">
        <x:f>I1189+J1189</x:f>
        <x:v>188800</x:v>
      </x:c>
    </x:row>
    <x:row r="1190" ht="46" customHeight="1">
      <x:c r="A1190" s="2" t="str">
        <x:v>Sector</x:v>
      </x:c>
      <x:c r="B1190" s="2" t="str">
        <x:v>Engineering &amp; manufacturing</x:v>
      </x:c>
      <x:c r="C1190" s="12" t="str">
        <x:v>Chennai</x:v>
      </x:c>
      <x:c r="D1190" s="12" t="str">
        <x:v>MAIN-148</x:v>
      </x:c>
      <x:c r="E1190" s="12" t="str">
        <x:v>Kochar Globe Tech Park</x:v>
      </x:c>
      <x:c r="F1190" s="11" t="n">
        <x:v>4</x:v>
      </x:c>
      <x:c r="G1190" s="11" t="n">
        <x:v>4</x:v>
      </x:c>
      <x:c r="H1190" s="11" t="n">
        <x:v>0</x:v>
      </x:c>
      <x:c r="I1190" s="17" t="n">
        <x:f>INDEX('Costing'!$P$9:$P$492,MATCH(D1190,'Costing'!$A$9:$A$492,0))</x:f>
        <x:v>80000</x:v>
      </x:c>
      <x:c r="J1190" s="17" t="n">
        <x:f>ROUND(I1190*'Costing'!$C$4,2)</x:f>
        <x:v>14400</x:v>
      </x:c>
      <x:c r="K1190" s="17" t="n">
        <x:f>I1190+J1190</x:f>
        <x:v>94400</x:v>
      </x:c>
    </x:row>
    <x:row r="1191" ht="46" customHeight="1">
      <x:c r="A1191" s="2" t="str">
        <x:v>Sector</x:v>
      </x:c>
      <x:c r="B1191" s="2" t="str">
        <x:v>Engineering &amp; manufacturing</x:v>
      </x:c>
      <x:c r="C1191" s="12" t="str">
        <x:v>Chennai</x:v>
      </x:c>
      <x:c r="D1191" s="12" t="str">
        <x:v>MAIN-149</x:v>
      </x:c>
      <x:c r="E1191" s="12" t="str">
        <x:v>Kochar Globe Tech Park (Pod Screens)</x:v>
      </x:c>
      <x:c r="F1191" s="11" t="n">
        <x:v>2</x:v>
      </x:c>
      <x:c r="G1191" s="11" t="n">
        <x:v>2</x:v>
      </x:c>
      <x:c r="H1191" s="11" t="n">
        <x:v>0</x:v>
      </x:c>
      <x:c r="I1191" s="17" t="n">
        <x:f>INDEX('Costing'!$P$9:$P$492,MATCH(D1191,'Costing'!$A$9:$A$492,0))</x:f>
        <x:v>40000</x:v>
      </x:c>
      <x:c r="J1191" s="17" t="n">
        <x:f>ROUND(I1191*'Costing'!$C$4,2)</x:f>
        <x:v>7200</x:v>
      </x:c>
      <x:c r="K1191" s="17" t="n">
        <x:f>I1191+J1191</x:f>
        <x:v>47200</x:v>
      </x:c>
    </x:row>
    <x:row r="1192" ht="46" customHeight="1">
      <x:c r="A1192" s="2" t="str">
        <x:v>Sector</x:v>
      </x:c>
      <x:c r="B1192" s="2" t="str">
        <x:v>Engineering &amp; manufacturing</x:v>
      </x:c>
      <x:c r="C1192" s="12" t="str">
        <x:v>Chennai</x:v>
      </x:c>
      <x:c r="D1192" s="12" t="str">
        <x:v>MAIN-150</x:v>
      </x:c>
      <x:c r="E1192" s="12" t="str">
        <x:v>Millenia Business Park 2</x:v>
      </x:c>
      <x:c r="F1192" s="11" t="n">
        <x:v>2</x:v>
      </x:c>
      <x:c r="G1192" s="11" t="n">
        <x:v>2</x:v>
      </x:c>
      <x:c r="H1192" s="11" t="n">
        <x:v>0</x:v>
      </x:c>
      <x:c r="I1192" s="17" t="n">
        <x:f>INDEX('Costing'!$P$9:$P$492,MATCH(D1192,'Costing'!$A$9:$A$492,0))</x:f>
        <x:v>40000</x:v>
      </x:c>
      <x:c r="J1192" s="17" t="n">
        <x:f>ROUND(I1192*'Costing'!$C$4,2)</x:f>
        <x:v>7200</x:v>
      </x:c>
      <x:c r="K1192" s="17" t="n">
        <x:f>I1192+J1192</x:f>
        <x:v>47200</x:v>
      </x:c>
    </x:row>
    <x:row r="1193" ht="46" customHeight="1">
      <x:c r="A1193" s="2" t="str">
        <x:v>Sector</x:v>
      </x:c>
      <x:c r="B1193" s="2" t="str">
        <x:v>Engineering &amp; manufacturing</x:v>
      </x:c>
      <x:c r="C1193" s="12" t="str">
        <x:v>Chennai</x:v>
      </x:c>
      <x:c r="D1193" s="12" t="str">
        <x:v>MAIN-151</x:v>
      </x:c>
      <x:c r="E1193" s="12" t="str">
        <x:v>Nucleus - Kosmo One</x:v>
      </x:c>
      <x:c r="F1193" s="11" t="n">
        <x:v>4</x:v>
      </x:c>
      <x:c r="G1193" s="11" t="n">
        <x:v>4</x:v>
      </x:c>
      <x:c r="H1193" s="11" t="n">
        <x:v>0</x:v>
      </x:c>
      <x:c r="I1193" s="17" t="n">
        <x:f>INDEX('Costing'!$P$9:$P$492,MATCH(D1193,'Costing'!$A$9:$A$492,0))</x:f>
        <x:v>160000</x:v>
      </x:c>
      <x:c r="J1193" s="17" t="n">
        <x:f>ROUND(I1193*'Costing'!$C$4,2)</x:f>
        <x:v>28800</x:v>
      </x:c>
      <x:c r="K1193" s="17" t="n">
        <x:f>I1193+J1193</x:f>
        <x:v>188800</x:v>
      </x:c>
    </x:row>
    <x:row r="1194" ht="46" customHeight="1">
      <x:c r="A1194" s="2" t="str">
        <x:v>Sector</x:v>
      </x:c>
      <x:c r="B1194" s="2" t="str">
        <x:v>Engineering &amp; manufacturing</x:v>
      </x:c>
      <x:c r="C1194" s="12" t="str">
        <x:v>Chennai</x:v>
      </x:c>
      <x:c r="D1194" s="12" t="str">
        <x:v>MAIN-152</x:v>
      </x:c>
      <x:c r="E1194" s="12" t="str">
        <x:v>Olympia Cyberspace</x:v>
      </x:c>
      <x:c r="F1194" s="11" t="n">
        <x:v>2</x:v>
      </x:c>
      <x:c r="G1194" s="11" t="n">
        <x:v>2</x:v>
      </x:c>
      <x:c r="H1194" s="11" t="n">
        <x:v>0</x:v>
      </x:c>
      <x:c r="I1194" s="17" t="n">
        <x:f>INDEX('Costing'!$P$9:$P$492,MATCH(D1194,'Costing'!$A$9:$A$492,0))</x:f>
        <x:v>40000</x:v>
      </x:c>
      <x:c r="J1194" s="17" t="n">
        <x:f>ROUND(I1194*'Costing'!$C$4,2)</x:f>
        <x:v>7200</x:v>
      </x:c>
      <x:c r="K1194" s="17" t="n">
        <x:f>I1194+J1194</x:f>
        <x:v>47200</x:v>
      </x:c>
    </x:row>
    <x:row r="1195" ht="46" customHeight="1">
      <x:c r="A1195" s="2" t="str">
        <x:v>Sector</x:v>
      </x:c>
      <x:c r="B1195" s="2" t="str">
        <x:v>Engineering &amp; manufacturing</x:v>
      </x:c>
      <x:c r="C1195" s="12" t="str">
        <x:v>Chennai</x:v>
      </x:c>
      <x:c r="D1195" s="12" t="str">
        <x:v>MAIN-153</x:v>
      </x:c>
      <x:c r="E1195" s="12" t="str">
        <x:v>Olympia National Tower</x:v>
      </x:c>
      <x:c r="F1195" s="11" t="n">
        <x:v>4</x:v>
      </x:c>
      <x:c r="G1195" s="11" t="n">
        <x:v>4</x:v>
      </x:c>
      <x:c r="H1195" s="11" t="n">
        <x:v>0</x:v>
      </x:c>
      <x:c r="I1195" s="17" t="n">
        <x:f>INDEX('Costing'!$P$9:$P$492,MATCH(D1195,'Costing'!$A$9:$A$492,0))</x:f>
        <x:v>80000</x:v>
      </x:c>
      <x:c r="J1195" s="17" t="n">
        <x:f>ROUND(I1195*'Costing'!$C$4,2)</x:f>
        <x:v>14400</x:v>
      </x:c>
      <x:c r="K1195" s="17" t="n">
        <x:f>I1195+J1195</x:f>
        <x:v>94400</x:v>
      </x:c>
    </x:row>
    <x:row r="1196" ht="46" customHeight="1">
      <x:c r="A1196" s="2" t="str">
        <x:v>Sector</x:v>
      </x:c>
      <x:c r="B1196" s="2" t="str">
        <x:v>Engineering &amp; manufacturing</x:v>
      </x:c>
      <x:c r="C1196" s="12" t="str">
        <x:v>Chennai</x:v>
      </x:c>
      <x:c r="D1196" s="12" t="str">
        <x:v>MAIN-154</x:v>
      </x:c>
      <x:c r="E1196" s="12" t="str">
        <x:v>Olympia National Tower (Pod Screens)</x:v>
      </x:c>
      <x:c r="F1196" s="11" t="n">
        <x:v>2</x:v>
      </x:c>
      <x:c r="G1196" s="11" t="n">
        <x:v>2</x:v>
      </x:c>
      <x:c r="H1196" s="11" t="n">
        <x:v>0</x:v>
      </x:c>
      <x:c r="I1196" s="17" t="n">
        <x:f>INDEX('Costing'!$P$9:$P$492,MATCH(D1196,'Costing'!$A$9:$A$492,0))</x:f>
        <x:v>40000</x:v>
      </x:c>
      <x:c r="J1196" s="17" t="n">
        <x:f>ROUND(I1196*'Costing'!$C$4,2)</x:f>
        <x:v>7200</x:v>
      </x:c>
      <x:c r="K1196" s="17" t="n">
        <x:f>I1196+J1196</x:f>
        <x:v>47200</x:v>
      </x:c>
    </x:row>
    <x:row r="1197" ht="46" customHeight="1">
      <x:c r="A1197" s="2" t="str">
        <x:v>Sector</x:v>
      </x:c>
      <x:c r="B1197" s="2" t="str">
        <x:v>Engineering &amp; manufacturing</x:v>
      </x:c>
      <x:c r="C1197" s="12" t="str">
        <x:v>Chennai</x:v>
      </x:c>
      <x:c r="D1197" s="12" t="str">
        <x:v>MAIN-156</x:v>
      </x:c>
      <x:c r="E1197" s="12" t="str">
        <x:v>Prestige Polygon IT Park</x:v>
      </x:c>
      <x:c r="F1197" s="11" t="n">
        <x:v>1</x:v>
      </x:c>
      <x:c r="G1197" s="11" t="n">
        <x:v>1</x:v>
      </x:c>
      <x:c r="H1197" s="11" t="n">
        <x:v>0</x:v>
      </x:c>
      <x:c r="I1197" s="17" t="n">
        <x:f>INDEX('Costing'!$P$9:$P$492,MATCH(D1197,'Costing'!$A$9:$A$492,0))</x:f>
        <x:v>20000</x:v>
      </x:c>
      <x:c r="J1197" s="17" t="n">
        <x:f>ROUND(I1197*'Costing'!$C$4,2)</x:f>
        <x:v>3600</x:v>
      </x:c>
      <x:c r="K1197" s="17" t="n">
        <x:f>I1197+J1197</x:f>
        <x:v>23600</x:v>
      </x:c>
    </x:row>
    <x:row r="1198" ht="46" customHeight="1">
      <x:c r="A1198" s="2" t="str">
        <x:v>Sector</x:v>
      </x:c>
      <x:c r="B1198" s="2" t="str">
        <x:v>Engineering &amp; manufacturing</x:v>
      </x:c>
      <x:c r="C1198" s="12" t="str">
        <x:v>Chennai</x:v>
      </x:c>
      <x:c r="D1198" s="12" t="str">
        <x:v>MAIN-157</x:v>
      </x:c>
      <x:c r="E1198" s="12" t="str">
        <x:v>Prestige Polygon Tech Park (Pod Screens)</x:v>
      </x:c>
      <x:c r="F1198" s="11" t="n">
        <x:v>3</x:v>
      </x:c>
      <x:c r="G1198" s="11" t="n">
        <x:v>3</x:v>
      </x:c>
      <x:c r="H1198" s="11" t="n">
        <x:v>0</x:v>
      </x:c>
      <x:c r="I1198" s="17" t="n">
        <x:f>INDEX('Costing'!$P$9:$P$492,MATCH(D1198,'Costing'!$A$9:$A$492,0))</x:f>
        <x:v>97500</x:v>
      </x:c>
      <x:c r="J1198" s="17" t="n">
        <x:f>ROUND(I1198*'Costing'!$C$4,2)</x:f>
        <x:v>17550</x:v>
      </x:c>
      <x:c r="K1198" s="17" t="n">
        <x:f>I1198+J1198</x:f>
        <x:v>115050</x:v>
      </x:c>
    </x:row>
    <x:row r="1199" ht="46" customHeight="1">
      <x:c r="A1199" s="2" t="str">
        <x:v>Sector</x:v>
      </x:c>
      <x:c r="B1199" s="2" t="str">
        <x:v>Engineering &amp; manufacturing</x:v>
      </x:c>
      <x:c r="C1199" s="12" t="str">
        <x:v>Chennai</x:v>
      </x:c>
      <x:c r="D1199" s="12" t="str">
        <x:v>MAIN-159</x:v>
      </x:c>
      <x:c r="E1199" s="12" t="str">
        <x:v>Wingspace - Coworking Space IN Perungudi</x:v>
      </x:c>
      <x:c r="F1199" s="11" t="n">
        <x:v>1</x:v>
      </x:c>
      <x:c r="G1199" s="11" t="n">
        <x:v>1</x:v>
      </x:c>
      <x:c r="H1199" s="11" t="n">
        <x:v>0</x:v>
      </x:c>
      <x:c r="I1199" s="17" t="n">
        <x:f>INDEX('Costing'!$P$9:$P$492,MATCH(D1199,'Costing'!$A$9:$A$492,0))</x:f>
        <x:v>15000</x:v>
      </x:c>
      <x:c r="J1199" s="17" t="n">
        <x:f>ROUND(I1199*'Costing'!$C$4,2)</x:f>
        <x:v>2700</x:v>
      </x:c>
      <x:c r="K1199" s="17" t="n">
        <x:f>I1199+J1199</x:f>
        <x:v>17700</x:v>
      </x:c>
    </x:row>
    <x:row r="1200" ht="46" customHeight="1">
      <x:c r="A1200" s="2" t="str">
        <x:v>Sector</x:v>
      </x:c>
      <x:c r="B1200" s="2" t="str">
        <x:v>Engineering &amp; manufacturing</x:v>
      </x:c>
      <x:c r="C1200" s="12" t="str">
        <x:v>Chennai</x:v>
      </x:c>
      <x:c r="D1200" s="12" t="str">
        <x:v>MAIN-161</x:v>
      </x:c>
      <x:c r="E1200" s="12" t="str">
        <x:v>Workflow by Oyo - Guindy</x:v>
      </x:c>
      <x:c r="F1200" s="11" t="n">
        <x:v>1</x:v>
      </x:c>
      <x:c r="G1200" s="11" t="n">
        <x:v>1</x:v>
      </x:c>
      <x:c r="H1200" s="11" t="n">
        <x:v>0</x:v>
      </x:c>
      <x:c r="I1200" s="17" t="n">
        <x:f>INDEX('Costing'!$P$9:$P$492,MATCH(D1200,'Costing'!$A$9:$A$492,0))</x:f>
        <x:v>15000</x:v>
      </x:c>
      <x:c r="J1200" s="17" t="n">
        <x:f>ROUND(I1200*'Costing'!$C$4,2)</x:f>
        <x:v>2700</x:v>
      </x:c>
      <x:c r="K1200" s="17" t="n">
        <x:f>I1200+J1200</x:f>
        <x:v>17700</x:v>
      </x:c>
    </x:row>
    <x:row r="1201" ht="46" customHeight="1">
      <x:c r="A1201" s="2" t="str">
        <x:v>Sector</x:v>
      </x:c>
      <x:c r="B1201" s="2" t="str">
        <x:v>Engineering &amp; manufacturing</x:v>
      </x:c>
      <x:c r="C1201" s="12" t="str">
        <x:v>Delhi NCR</x:v>
      </x:c>
      <x:c r="D1201" s="12" t="str">
        <x:v>MAIN-162</x:v>
      </x:c>
      <x:c r="E1201" s="12" t="str">
        <x:v>Awfis - Connaught Place</x:v>
      </x:c>
      <x:c r="F1201" s="11" t="n">
        <x:v>2</x:v>
      </x:c>
      <x:c r="G1201" s="11" t="n">
        <x:v>2</x:v>
      </x:c>
      <x:c r="H1201" s="11" t="n">
        <x:v>0</x:v>
      </x:c>
      <x:c r="I1201" s="17" t="n">
        <x:f>INDEX('Costing'!$P$9:$P$492,MATCH(D1201,'Costing'!$A$9:$A$492,0))</x:f>
        <x:v>30000</x:v>
      </x:c>
      <x:c r="J1201" s="17" t="n">
        <x:f>ROUND(I1201*'Costing'!$C$4,2)</x:f>
        <x:v>5400</x:v>
      </x:c>
      <x:c r="K1201" s="17" t="n">
        <x:f>I1201+J1201</x:f>
        <x:v>35400</x:v>
      </x:c>
    </x:row>
    <x:row r="1202" ht="46" customHeight="1">
      <x:c r="A1202" s="2" t="str">
        <x:v>Sector</x:v>
      </x:c>
      <x:c r="B1202" s="2" t="str">
        <x:v>Engineering &amp; manufacturing</x:v>
      </x:c>
      <x:c r="C1202" s="12" t="str">
        <x:v>Delhi NCR</x:v>
      </x:c>
      <x:c r="D1202" s="12" t="str">
        <x:v>MAIN-182</x:v>
      </x:c>
      <x:c r="E1202" s="12" t="str">
        <x:v>Awfis - Unitech Cyber Park - 2</x:v>
      </x:c>
      <x:c r="F1202" s="11" t="n">
        <x:v>2</x:v>
      </x:c>
      <x:c r="G1202" s="11" t="n">
        <x:v>2</x:v>
      </x:c>
      <x:c r="H1202" s="11" t="n">
        <x:v>0</x:v>
      </x:c>
      <x:c r="I1202" s="17" t="n">
        <x:f>INDEX('Costing'!$P$9:$P$492,MATCH(D1202,'Costing'!$A$9:$A$492,0))</x:f>
        <x:v>30000</x:v>
      </x:c>
      <x:c r="J1202" s="17" t="n">
        <x:f>ROUND(I1202*'Costing'!$C$4,2)</x:f>
        <x:v>5400</x:v>
      </x:c>
      <x:c r="K1202" s="17" t="n">
        <x:f>I1202+J1202</x:f>
        <x:v>35400</x:v>
      </x:c>
    </x:row>
    <x:row r="1203" ht="46" customHeight="1">
      <x:c r="A1203" s="2" t="str">
        <x:v>Sector</x:v>
      </x:c>
      <x:c r="B1203" s="2" t="str">
        <x:v>Engineering &amp; manufacturing</x:v>
      </x:c>
      <x:c r="C1203" s="12" t="str">
        <x:v>Delhi NCR</x:v>
      </x:c>
      <x:c r="D1203" s="12" t="str">
        <x:v>MAIN-166</x:v>
      </x:c>
      <x:c r="E1203" s="12" t="str">
        <x:v>Corporate Park</x:v>
      </x:c>
      <x:c r="F1203" s="11" t="n">
        <x:v>2</x:v>
      </x:c>
      <x:c r="G1203" s="11" t="n">
        <x:v>2</x:v>
      </x:c>
      <x:c r="H1203" s="11" t="n">
        <x:v>0</x:v>
      </x:c>
      <x:c r="I1203" s="17" t="n">
        <x:f>INDEX('Costing'!$P$9:$P$492,MATCH(D1203,'Costing'!$A$9:$A$492,0))</x:f>
        <x:v>40000</x:v>
      </x:c>
      <x:c r="J1203" s="17" t="n">
        <x:f>ROUND(I1203*'Costing'!$C$4,2)</x:f>
        <x:v>7200</x:v>
      </x:c>
      <x:c r="K1203" s="17" t="n">
        <x:f>I1203+J1203</x:f>
        <x:v>47200</x:v>
      </x:c>
    </x:row>
    <x:row r="1204" ht="46" customHeight="1">
      <x:c r="A1204" s="2" t="str">
        <x:v>Sector</x:v>
      </x:c>
      <x:c r="B1204" s="2" t="str">
        <x:v>Engineering &amp; manufacturing</x:v>
      </x:c>
      <x:c r="C1204" s="12" t="str">
        <x:v>Delhi NCR</x:v>
      </x:c>
      <x:c r="D1204" s="12" t="str">
        <x:v>MAIN-187</x:v>
      </x:c>
      <x:c r="E1204" s="12" t="str">
        <x:v>DLF Downtown 4</x:v>
      </x:c>
      <x:c r="F1204" s="11" t="n">
        <x:v>1</x:v>
      </x:c>
      <x:c r="G1204" s="11" t="n">
        <x:v>1</x:v>
      </x:c>
      <x:c r="H1204" s="11" t="n">
        <x:v>0</x:v>
      </x:c>
      <x:c r="I1204" s="17" t="n">
        <x:f>INDEX('Costing'!$P$9:$P$492,MATCH(D1204,'Costing'!$A$9:$A$492,0))</x:f>
        <x:v>40000</x:v>
      </x:c>
      <x:c r="J1204" s="17" t="n">
        <x:f>ROUND(I1204*'Costing'!$C$4,2)</x:f>
        <x:v>7200</x:v>
      </x:c>
      <x:c r="K1204" s="17" t="n">
        <x:f>I1204+J1204</x:f>
        <x:v>47200</x:v>
      </x:c>
    </x:row>
    <x:row r="1205" ht="46" customHeight="1">
      <x:c r="A1205" s="2" t="str">
        <x:v>Sector</x:v>
      </x:c>
      <x:c r="B1205" s="2" t="str">
        <x:v>Engineering &amp; manufacturing</x:v>
      </x:c>
      <x:c r="C1205" s="12" t="str">
        <x:v>Delhi NCR</x:v>
      </x:c>
      <x:c r="D1205" s="12" t="str">
        <x:v>MAIN-167</x:v>
      </x:c>
      <x:c r="E1205" s="12" t="str">
        <x:v>Emaar Colonnade</x:v>
      </x:c>
      <x:c r="F1205" s="11" t="n">
        <x:v>5</x:v>
      </x:c>
      <x:c r="G1205" s="11" t="n">
        <x:v>5</x:v>
      </x:c>
      <x:c r="H1205" s="11" t="n">
        <x:v>0</x:v>
      </x:c>
      <x:c r="I1205" s="17" t="n">
        <x:f>INDEX('Costing'!$P$9:$P$492,MATCH(D1205,'Costing'!$A$9:$A$492,0))</x:f>
        <x:v>200000</x:v>
      </x:c>
      <x:c r="J1205" s="17" t="n">
        <x:f>ROUND(I1205*'Costing'!$C$4,2)</x:f>
        <x:v>36000</x:v>
      </x:c>
      <x:c r="K1205" s="17" t="n">
        <x:f>I1205+J1205</x:f>
        <x:v>236000</x:v>
      </x:c>
    </x:row>
    <x:row r="1206" ht="46" customHeight="1">
      <x:c r="A1206" s="2" t="str">
        <x:v>Sector</x:v>
      </x:c>
      <x:c r="B1206" s="2" t="str">
        <x:v>Engineering &amp; manufacturing</x:v>
      </x:c>
      <x:c r="C1206" s="12" t="str">
        <x:v>Delhi NCR</x:v>
      </x:c>
      <x:c r="D1206" s="12" t="str">
        <x:v>MAIN-194</x:v>
      </x:c>
      <x:c r="E1206" s="12" t="str">
        <x:v>India Accelerator Coworking - MGF Metropolis Mall</x:v>
      </x:c>
      <x:c r="F1206" s="11" t="n">
        <x:v>6</x:v>
      </x:c>
      <x:c r="G1206" s="11" t="n">
        <x:v>6</x:v>
      </x:c>
      <x:c r="H1206" s="11" t="n">
        <x:v>0</x:v>
      </x:c>
      <x:c r="I1206" s="17" t="n">
        <x:f>INDEX('Costing'!$P$9:$P$492,MATCH(D1206,'Costing'!$A$9:$A$492,0))</x:f>
        <x:v>240000</x:v>
      </x:c>
      <x:c r="J1206" s="17" t="n">
        <x:f>ROUND(I1206*'Costing'!$C$4,2)</x:f>
        <x:v>43200</x:v>
      </x:c>
      <x:c r="K1206" s="17" t="n">
        <x:f>I1206+J1206</x:f>
        <x:v>283200</x:v>
      </x:c>
    </x:row>
    <x:row r="1207" ht="46" customHeight="1">
      <x:c r="A1207" s="2" t="str">
        <x:v>Sector</x:v>
      </x:c>
      <x:c r="B1207" s="2" t="str">
        <x:v>Engineering &amp; manufacturing</x:v>
      </x:c>
      <x:c r="C1207" s="12" t="str">
        <x:v>Delhi NCR</x:v>
      </x:c>
      <x:c r="D1207" s="12" t="str">
        <x:v>MAIN-373</x:v>
      </x:c>
      <x:c r="E1207" s="12" t="str">
        <x:v>India Accelerator Coworking - The Iconic Corenthum</x:v>
      </x:c>
      <x:c r="F1207" s="11" t="n">
        <x:v>6</x:v>
      </x:c>
      <x:c r="G1207" s="11" t="n">
        <x:v>6</x:v>
      </x:c>
      <x:c r="H1207" s="11" t="n">
        <x:v>0</x:v>
      </x:c>
      <x:c r="I1207" s="17" t="n">
        <x:f>INDEX('Costing'!$P$9:$P$492,MATCH(D1207,'Costing'!$A$9:$A$492,0))</x:f>
        <x:v>240000</x:v>
      </x:c>
      <x:c r="J1207" s="17" t="n">
        <x:f>ROUND(I1207*'Costing'!$C$4,2)</x:f>
        <x:v>43200</x:v>
      </x:c>
      <x:c r="K1207" s="17" t="n">
        <x:f>I1207+J1207</x:f>
        <x:v>283200</x:v>
      </x:c>
    </x:row>
    <x:row r="1208" ht="46" customHeight="1">
      <x:c r="A1208" s="2" t="str">
        <x:v>Sector</x:v>
      </x:c>
      <x:c r="B1208" s="2" t="str">
        <x:v>Engineering &amp; manufacturing</x:v>
      </x:c>
      <x:c r="C1208" s="12" t="str">
        <x:v>Delhi NCR</x:v>
      </x:c>
      <x:c r="D1208" s="12" t="str">
        <x:v>MAIN-195</x:v>
      </x:c>
      <x:c r="E1208" s="12" t="str">
        <x:v>India Accelerator Coworking - Vatika Triangle</x:v>
      </x:c>
      <x:c r="F1208" s="11" t="n">
        <x:v>3</x:v>
      </x:c>
      <x:c r="G1208" s="11" t="n">
        <x:v>3</x:v>
      </x:c>
      <x:c r="H1208" s="11" t="n">
        <x:v>0</x:v>
      </x:c>
      <x:c r="I1208" s="17" t="n">
        <x:f>INDEX('Costing'!$P$9:$P$492,MATCH(D1208,'Costing'!$A$9:$A$492,0))</x:f>
        <x:v>60000</x:v>
      </x:c>
      <x:c r="J1208" s="17" t="n">
        <x:f>ROUND(I1208*'Costing'!$C$4,2)</x:f>
        <x:v>10800</x:v>
      </x:c>
      <x:c r="K1208" s="17" t="n">
        <x:f>I1208+J1208</x:f>
        <x:v>70800</x:v>
      </x:c>
    </x:row>
    <x:row r="1209" ht="46" customHeight="1">
      <x:c r="A1209" s="2" t="str">
        <x:v>Sector</x:v>
      </x:c>
      <x:c r="B1209" s="2" t="str">
        <x:v>Engineering &amp; manufacturing</x:v>
      </x:c>
      <x:c r="C1209" s="12" t="str">
        <x:v>Delhi NCR</x:v>
      </x:c>
      <x:c r="D1209" s="12" t="str">
        <x:v>MAIN-169</x:v>
      </x:c>
      <x:c r="E1209" s="12" t="str">
        <x:v>Logix Cyber Park</x:v>
      </x:c>
      <x:c r="F1209" s="11" t="n">
        <x:v>15</x:v>
      </x:c>
      <x:c r="G1209" s="11" t="n">
        <x:v>15</x:v>
      </x:c>
      <x:c r="H1209" s="11" t="n">
        <x:v>0</x:v>
      </x:c>
      <x:c r="I1209" s="17" t="n">
        <x:f>INDEX('Costing'!$P$9:$P$492,MATCH(D1209,'Costing'!$A$9:$A$492,0))</x:f>
        <x:v>300000</x:v>
      </x:c>
      <x:c r="J1209" s="17" t="n">
        <x:f>ROUND(I1209*'Costing'!$C$4,2)</x:f>
        <x:v>54000</x:v>
      </x:c>
      <x:c r="K1209" s="17" t="n">
        <x:f>I1209+J1209</x:f>
        <x:v>354000</x:v>
      </x:c>
    </x:row>
    <x:row r="1210" ht="46" customHeight="1">
      <x:c r="A1210" s="2" t="str">
        <x:v>Sector</x:v>
      </x:c>
      <x:c r="B1210" s="2" t="str">
        <x:v>Engineering &amp; manufacturing</x:v>
      </x:c>
      <x:c r="C1210" s="12" t="str">
        <x:v>Delhi NCR</x:v>
      </x:c>
      <x:c r="D1210" s="12" t="str">
        <x:v>MAIN-200</x:v>
      </x:c>
      <x:c r="E1210" s="12" t="str">
        <x:v>Satya The Hive {IE}</x:v>
      </x:c>
      <x:c r="F1210" s="11" t="n">
        <x:v>7</x:v>
      </x:c>
      <x:c r="G1210" s="11" t="n">
        <x:v>7</x:v>
      </x:c>
      <x:c r="H1210" s="11" t="n">
        <x:v>0</x:v>
      </x:c>
      <x:c r="I1210" s="17" t="n">
        <x:f>INDEX('Costing'!$P$9:$P$492,MATCH(D1210,'Costing'!$A$9:$A$492,0))</x:f>
        <x:v>105000</x:v>
      </x:c>
      <x:c r="J1210" s="17" t="n">
        <x:f>ROUND(I1210*'Costing'!$C$4,2)</x:f>
        <x:v>18900</x:v>
      </x:c>
      <x:c r="K1210" s="17" t="n">
        <x:f>I1210+J1210</x:f>
        <x:v>123900</x:v>
      </x:c>
    </x:row>
    <x:row r="1211" ht="46" customHeight="1">
      <x:c r="A1211" s="2" t="str">
        <x:v>Sector</x:v>
      </x:c>
      <x:c r="B1211" s="2" t="str">
        <x:v>Engineering &amp; manufacturing</x:v>
      </x:c>
      <x:c r="C1211" s="12" t="str">
        <x:v>Delhi NCR</x:v>
      </x:c>
      <x:c r="D1211" s="12" t="str">
        <x:v>MAIN-201</x:v>
      </x:c>
      <x:c r="E1211" s="12" t="str">
        <x:v>Unitech - Business Park</x:v>
      </x:c>
      <x:c r="F1211" s="11" t="n">
        <x:v>2</x:v>
      </x:c>
      <x:c r="G1211" s="11" t="n">
        <x:v>2</x:v>
      </x:c>
      <x:c r="H1211" s="11" t="n">
        <x:v>0</x:v>
      </x:c>
      <x:c r="I1211" s="17" t="n">
        <x:f>INDEX('Costing'!$P$9:$P$492,MATCH(D1211,'Costing'!$A$9:$A$492,0))</x:f>
        <x:v>80000</x:v>
      </x:c>
      <x:c r="J1211" s="17" t="n">
        <x:f>ROUND(I1211*'Costing'!$C$4,2)</x:f>
        <x:v>14400</x:v>
      </x:c>
      <x:c r="K1211" s="17" t="n">
        <x:f>I1211+J1211</x:f>
        <x:v>94400</x:v>
      </x:c>
    </x:row>
    <x:row r="1212" ht="46" customHeight="1">
      <x:c r="A1212" s="2" t="str">
        <x:v>Sector</x:v>
      </x:c>
      <x:c r="B1212" s="2" t="str">
        <x:v>Engineering &amp; manufacturing</x:v>
      </x:c>
      <x:c r="C1212" s="12" t="str">
        <x:v>Delhi NCR</x:v>
      </x:c>
      <x:c r="D1212" s="12" t="str">
        <x:v>MAIN-202</x:v>
      </x:c>
      <x:c r="E1212" s="12" t="str">
        <x:v>Unitech - Business Zone</x:v>
      </x:c>
      <x:c r="F1212" s="11" t="n">
        <x:v>4</x:v>
      </x:c>
      <x:c r="G1212" s="11" t="n">
        <x:v>4</x:v>
      </x:c>
      <x:c r="H1212" s="11" t="n">
        <x:v>0</x:v>
      </x:c>
      <x:c r="I1212" s="17" t="n">
        <x:f>INDEX('Costing'!$P$9:$P$492,MATCH(D1212,'Costing'!$A$9:$A$492,0))</x:f>
        <x:v>160000</x:v>
      </x:c>
      <x:c r="J1212" s="17" t="n">
        <x:f>ROUND(I1212*'Costing'!$C$4,2)</x:f>
        <x:v>28800</x:v>
      </x:c>
      <x:c r="K1212" s="17" t="n">
        <x:f>I1212+J1212</x:f>
        <x:v>188800</x:v>
      </x:c>
    </x:row>
    <x:row r="1213" ht="46" customHeight="1">
      <x:c r="A1213" s="2" t="str">
        <x:v>Sector</x:v>
      </x:c>
      <x:c r="B1213" s="2" t="str">
        <x:v>Engineering &amp; manufacturing</x:v>
      </x:c>
      <x:c r="C1213" s="12" t="str">
        <x:v>Delhi NCR</x:v>
      </x:c>
      <x:c r="D1213" s="12" t="str">
        <x:v>MAIN-205</x:v>
      </x:c>
      <x:c r="E1213" s="12" t="str">
        <x:v>Unitech - Gateway Tower</x:v>
      </x:c>
      <x:c r="F1213" s="11" t="n">
        <x:v>1</x:v>
      </x:c>
      <x:c r="G1213" s="11" t="n">
        <x:v>1</x:v>
      </x:c>
      <x:c r="H1213" s="11" t="n">
        <x:v>0</x:v>
      </x:c>
      <x:c r="I1213" s="17" t="n">
        <x:f>INDEX('Costing'!$P$9:$P$492,MATCH(D1213,'Costing'!$A$9:$A$492,0))</x:f>
        <x:v>40000</x:v>
      </x:c>
      <x:c r="J1213" s="17" t="n">
        <x:f>ROUND(I1213*'Costing'!$C$4,2)</x:f>
        <x:v>7200</x:v>
      </x:c>
      <x:c r="K1213" s="17" t="n">
        <x:f>I1213+J1213</x:f>
        <x:v>47200</x:v>
      </x:c>
    </x:row>
    <x:row r="1214" ht="46" customHeight="1">
      <x:c r="A1214" s="2" t="str">
        <x:v>Sector</x:v>
      </x:c>
      <x:c r="B1214" s="2" t="str">
        <x:v>Engineering &amp; manufacturing</x:v>
      </x:c>
      <x:c r="C1214" s="12" t="str">
        <x:v>Delhi NCR</x:v>
      </x:c>
      <x:c r="D1214" s="12" t="str">
        <x:v>MAIN-206</x:v>
      </x:c>
      <x:c r="E1214" s="12" t="str">
        <x:v>Unitech - Global Business Park</x:v>
      </x:c>
      <x:c r="F1214" s="11" t="n">
        <x:v>3</x:v>
      </x:c>
      <x:c r="G1214" s="11" t="n">
        <x:v>3</x:v>
      </x:c>
      <x:c r="H1214" s="11" t="n">
        <x:v>0</x:v>
      </x:c>
      <x:c r="I1214" s="17" t="n">
        <x:f>INDEX('Costing'!$P$9:$P$492,MATCH(D1214,'Costing'!$A$9:$A$492,0))</x:f>
        <x:v>120000</x:v>
      </x:c>
      <x:c r="J1214" s="17" t="n">
        <x:f>ROUND(I1214*'Costing'!$C$4,2)</x:f>
        <x:v>21600</x:v>
      </x:c>
      <x:c r="K1214" s="17" t="n">
        <x:f>I1214+J1214</x:f>
        <x:v>141600</x:v>
      </x:c>
    </x:row>
    <x:row r="1215" ht="46" customHeight="1">
      <x:c r="A1215" s="2" t="str">
        <x:v>Sector</x:v>
      </x:c>
      <x:c r="B1215" s="2" t="str">
        <x:v>Engineering &amp; manufacturing</x:v>
      </x:c>
      <x:c r="C1215" s="12" t="str">
        <x:v>Delhi NCR</x:v>
      </x:c>
      <x:c r="D1215" s="12" t="str">
        <x:v>MAIN-207</x:v>
      </x:c>
      <x:c r="E1215" s="12" t="str">
        <x:v>Unitech - Signature Tower</x:v>
      </x:c>
      <x:c r="F1215" s="11" t="n">
        <x:v>2</x:v>
      </x:c>
      <x:c r="G1215" s="11" t="n">
        <x:v>2</x:v>
      </x:c>
      <x:c r="H1215" s="11" t="n">
        <x:v>0</x:v>
      </x:c>
      <x:c r="I1215" s="17" t="n">
        <x:f>INDEX('Costing'!$P$9:$P$492,MATCH(D1215,'Costing'!$A$9:$A$492,0))</x:f>
        <x:v>80000</x:v>
      </x:c>
      <x:c r="J1215" s="17" t="n">
        <x:f>ROUND(I1215*'Costing'!$C$4,2)</x:f>
        <x:v>14400</x:v>
      </x:c>
      <x:c r="K1215" s="17" t="n">
        <x:f>I1215+J1215</x:f>
        <x:v>94400</x:v>
      </x:c>
    </x:row>
    <x:row r="1216" ht="46" customHeight="1">
      <x:c r="A1216" s="2" t="str">
        <x:v>Sector</x:v>
      </x:c>
      <x:c r="B1216" s="2" t="str">
        <x:v>Engineering &amp; manufacturing</x:v>
      </x:c>
      <x:c r="C1216" s="12" t="str">
        <x:v>Delhi NCR</x:v>
      </x:c>
      <x:c r="D1216" s="12" t="str">
        <x:v>MAIN-172</x:v>
      </x:c>
      <x:c r="E1216" s="12" t="str">
        <x:v>Workflow by Oyo - Aerocity</x:v>
      </x:c>
      <x:c r="F1216" s="11" t="n">
        <x:v>3</x:v>
      </x:c>
      <x:c r="G1216" s="11" t="n">
        <x:v>3</x:v>
      </x:c>
      <x:c r="H1216" s="11" t="n">
        <x:v>0</x:v>
      </x:c>
      <x:c r="I1216" s="17" t="n">
        <x:f>INDEX('Costing'!$P$9:$P$492,MATCH(D1216,'Costing'!$A$9:$A$492,0))</x:f>
        <x:v>45000</x:v>
      </x:c>
      <x:c r="J1216" s="17" t="n">
        <x:f>ROUND(I1216*'Costing'!$C$4,2)</x:f>
        <x:v>8100</x:v>
      </x:c>
      <x:c r="K1216" s="17" t="n">
        <x:f>I1216+J1216</x:f>
        <x:v>53100</x:v>
      </x:c>
    </x:row>
    <x:row r="1217" ht="46" customHeight="1">
      <x:c r="A1217" s="2" t="str">
        <x:v>Sector</x:v>
      </x:c>
      <x:c r="B1217" s="2" t="str">
        <x:v>Engineering &amp; manufacturing</x:v>
      </x:c>
      <x:c r="C1217" s="12" t="str">
        <x:v>Delhi NCR</x:v>
      </x:c>
      <x:c r="D1217" s="12" t="str">
        <x:v>MAIN-378</x:v>
      </x:c>
      <x:c r="E1217" s="12" t="str">
        <x:v>World Trade Tower</x:v>
      </x:c>
      <x:c r="F1217" s="11" t="n">
        <x:v>13</x:v>
      </x:c>
      <x:c r="G1217" s="11" t="n">
        <x:v>13</x:v>
      </x:c>
      <x:c r="H1217" s="11" t="n">
        <x:v>0</x:v>
      </x:c>
      <x:c r="I1217" s="17" t="n">
        <x:f>INDEX('Costing'!$P$9:$P$492,MATCH(D1217,'Costing'!$A$9:$A$492,0))</x:f>
        <x:v>260000</x:v>
      </x:c>
      <x:c r="J1217" s="17" t="n">
        <x:f>ROUND(I1217*'Costing'!$C$4,2)</x:f>
        <x:v>46800</x:v>
      </x:c>
      <x:c r="K1217" s="17" t="n">
        <x:f>I1217+J1217</x:f>
        <x:v>306800</x:v>
      </x:c>
    </x:row>
    <x:row r="1218" ht="46" customHeight="1">
      <x:c r="A1218" s="2" t="str">
        <x:v>Sector</x:v>
      </x:c>
      <x:c r="B1218" s="2" t="str">
        <x:v>Engineering &amp; manufacturing</x:v>
      </x:c>
      <x:c r="C1218" s="12" t="str">
        <x:v>Hyderabad</x:v>
      </x:c>
      <x:c r="D1218" s="12" t="str">
        <x:v>MAIN-215</x:v>
      </x:c>
      <x:c r="E1218" s="12" t="str">
        <x:v>Awfis - B144Lorven Tiara</x:v>
      </x:c>
      <x:c r="F1218" s="11" t="n">
        <x:v>8</x:v>
      </x:c>
      <x:c r="G1218" s="11" t="n">
        <x:v>8</x:v>
      </x:c>
      <x:c r="H1218" s="11" t="n">
        <x:v>0</x:v>
      </x:c>
      <x:c r="I1218" s="17" t="n">
        <x:f>INDEX('Costing'!$P$9:$P$492,MATCH(D1218,'Costing'!$A$9:$A$492,0))</x:f>
        <x:v>120000</x:v>
      </x:c>
      <x:c r="J1218" s="17" t="n">
        <x:f>ROUND(I1218*'Costing'!$C$4,2)</x:f>
        <x:v>21600</x:v>
      </x:c>
      <x:c r="K1218" s="17" t="n">
        <x:f>I1218+J1218</x:f>
        <x:v>141600</x:v>
      </x:c>
    </x:row>
    <x:row r="1219" ht="46" customHeight="1">
      <x:c r="A1219" s="2" t="str">
        <x:v>Sector</x:v>
      </x:c>
      <x:c r="B1219" s="2" t="str">
        <x:v>Engineering &amp; manufacturing</x:v>
      </x:c>
      <x:c r="C1219" s="12" t="str">
        <x:v>Hyderabad</x:v>
      </x:c>
      <x:c r="D1219" s="12" t="str">
        <x:v>MAIN-216</x:v>
      </x:c>
      <x:c r="E1219" s="12" t="str">
        <x:v>Awfis - DSL Abacus IT Park</x:v>
      </x:c>
      <x:c r="F1219" s="11" t="n">
        <x:v>2</x:v>
      </x:c>
      <x:c r="G1219" s="11" t="n">
        <x:v>2</x:v>
      </x:c>
      <x:c r="H1219" s="11" t="n">
        <x:v>0</x:v>
      </x:c>
      <x:c r="I1219" s="17" t="n">
        <x:f>INDEX('Costing'!$P$9:$P$492,MATCH(D1219,'Costing'!$A$9:$A$492,0))</x:f>
        <x:v>30000</x:v>
      </x:c>
      <x:c r="J1219" s="17" t="n">
        <x:f>ROUND(I1219*'Costing'!$C$4,2)</x:f>
        <x:v>5400</x:v>
      </x:c>
      <x:c r="K1219" s="17" t="n">
        <x:f>I1219+J1219</x:f>
        <x:v>35400</x:v>
      </x:c>
    </x:row>
    <x:row r="1220" ht="46" customHeight="1">
      <x:c r="A1220" s="2" t="str">
        <x:v>Sector</x:v>
      </x:c>
      <x:c r="B1220" s="2" t="str">
        <x:v>Engineering &amp; manufacturing</x:v>
      </x:c>
      <x:c r="C1220" s="12" t="str">
        <x:v>Hyderabad</x:v>
      </x:c>
      <x:c r="D1220" s="12" t="str">
        <x:v>MAIN-222</x:v>
      </x:c>
      <x:c r="E1220" s="12" t="str">
        <x:v>Awfis - Prestige Phoenix</x:v>
      </x:c>
      <x:c r="F1220" s="11" t="n">
        <x:v>3</x:v>
      </x:c>
      <x:c r="G1220" s="11" t="n">
        <x:v>3</x:v>
      </x:c>
      <x:c r="H1220" s="11" t="n">
        <x:v>0</x:v>
      </x:c>
      <x:c r="I1220" s="17" t="n">
        <x:f>INDEX('Costing'!$P$9:$P$492,MATCH(D1220,'Costing'!$A$9:$A$492,0))</x:f>
        <x:v>45000</x:v>
      </x:c>
      <x:c r="J1220" s="17" t="n">
        <x:f>ROUND(I1220*'Costing'!$C$4,2)</x:f>
        <x:v>8100</x:v>
      </x:c>
      <x:c r="K1220" s="17" t="n">
        <x:f>I1220+J1220</x:f>
        <x:v>53100</x:v>
      </x:c>
    </x:row>
    <x:row r="1221" ht="46" customHeight="1">
      <x:c r="A1221" s="2" t="str">
        <x:v>Sector</x:v>
      </x:c>
      <x:c r="B1221" s="2" t="str">
        <x:v>Engineering &amp; manufacturing</x:v>
      </x:c>
      <x:c r="C1221" s="12" t="str">
        <x:v>Hyderabad</x:v>
      </x:c>
      <x:c r="D1221" s="12" t="str">
        <x:v>MAIN-235</x:v>
      </x:c>
      <x:c r="E1221" s="12" t="str">
        <x:v>GAR Laxmi Infobahn (T5, T6)</x:v>
      </x:c>
      <x:c r="F1221" s="11" t="n">
        <x:v>9</x:v>
      </x:c>
      <x:c r="G1221" s="11" t="n">
        <x:v>9</x:v>
      </x:c>
      <x:c r="H1221" s="11" t="n">
        <x:v>0</x:v>
      </x:c>
      <x:c r="I1221" s="17" t="n">
        <x:f>INDEX('Costing'!$P$9:$P$492,MATCH(D1221,'Costing'!$A$9:$A$492,0))</x:f>
        <x:v>360000</x:v>
      </x:c>
      <x:c r="J1221" s="17" t="n">
        <x:f>ROUND(I1221*'Costing'!$C$4,2)</x:f>
        <x:v>64800</x:v>
      </x:c>
      <x:c r="K1221" s="17" t="n">
        <x:f>I1221+J1221</x:f>
        <x:v>424800</x:v>
      </x:c>
    </x:row>
    <x:row r="1222" ht="46" customHeight="1">
      <x:c r="A1222" s="2" t="str">
        <x:v>Sector</x:v>
      </x:c>
      <x:c r="B1222" s="2" t="str">
        <x:v>Engineering &amp; manufacturing</x:v>
      </x:c>
      <x:c r="C1222" s="12" t="str">
        <x:v>Hyderabad</x:v>
      </x:c>
      <x:c r="D1222" s="12" t="str">
        <x:v>MAIN-236</x:v>
      </x:c>
      <x:c r="E1222" s="12" t="str">
        <x:v>GAR Laxmi Infobahn (T5, T6){IE}</x:v>
      </x:c>
      <x:c r="F1222" s="11" t="n">
        <x:v>27</x:v>
      </x:c>
      <x:c r="G1222" s="11" t="n">
        <x:v>27</x:v>
      </x:c>
      <x:c r="H1222" s="11" t="n">
        <x:v>0</x:v>
      </x:c>
      <x:c r="I1222" s="17" t="n">
        <x:f>INDEX('Costing'!$P$9:$P$492,MATCH(D1222,'Costing'!$A$9:$A$492,0))</x:f>
        <x:v>405000</x:v>
      </x:c>
      <x:c r="J1222" s="17" t="n">
        <x:f>ROUND(I1222*'Costing'!$C$4,2)</x:f>
        <x:v>72900</x:v>
      </x:c>
      <x:c r="K1222" s="17" t="n">
        <x:f>I1222+J1222</x:f>
        <x:v>477900</x:v>
      </x:c>
    </x:row>
    <x:row r="1223" ht="46" customHeight="1">
      <x:c r="A1223" s="2" t="str">
        <x:v>Sector</x:v>
      </x:c>
      <x:c r="B1223" s="2" t="str">
        <x:v>Engineering &amp; manufacturing</x:v>
      </x:c>
      <x:c r="C1223" s="12" t="str">
        <x:v>Hyderabad</x:v>
      </x:c>
      <x:c r="D1223" s="12" t="str">
        <x:v>MAIN-240</x:v>
      </x:c>
      <x:c r="E1223" s="12" t="str">
        <x:v>NSL Arena Tech Park</x:v>
      </x:c>
      <x:c r="F1223" s="11" t="n">
        <x:v>13</x:v>
      </x:c>
      <x:c r="G1223" s="11" t="n">
        <x:v>13</x:v>
      </x:c>
      <x:c r="H1223" s="11" t="n">
        <x:v>0</x:v>
      </x:c>
      <x:c r="I1223" s="17" t="n">
        <x:f>INDEX('Costing'!$P$9:$P$492,MATCH(D1223,'Costing'!$A$9:$A$492,0))</x:f>
        <x:v>195000</x:v>
      </x:c>
      <x:c r="J1223" s="17" t="n">
        <x:f>ROUND(I1223*'Costing'!$C$4,2)</x:f>
        <x:v>35100</x:v>
      </x:c>
      <x:c r="K1223" s="17" t="n">
        <x:f>I1223+J1223</x:f>
        <x:v>230100</x:v>
      </x:c>
    </x:row>
    <x:row r="1224" ht="46" customHeight="1">
      <x:c r="A1224" s="2" t="str">
        <x:v>Sector</x:v>
      </x:c>
      <x:c r="B1224" s="2" t="str">
        <x:v>Engineering &amp; manufacturing</x:v>
      </x:c>
      <x:c r="C1224" s="12" t="str">
        <x:v>Hyderabad</x:v>
      </x:c>
      <x:c r="D1224" s="12" t="str">
        <x:v>MAIN-243</x:v>
      </x:c>
      <x:c r="E1224" s="12" t="str">
        <x:v>NSL Icon</x:v>
      </x:c>
      <x:c r="F1224" s="11" t="n">
        <x:v>2</x:v>
      </x:c>
      <x:c r="G1224" s="11" t="n">
        <x:v>2</x:v>
      </x:c>
      <x:c r="H1224" s="11" t="n">
        <x:v>0</x:v>
      </x:c>
      <x:c r="I1224" s="17" t="n">
        <x:f>INDEX('Costing'!$P$9:$P$492,MATCH(D1224,'Costing'!$A$9:$A$492,0))</x:f>
        <x:v>40000</x:v>
      </x:c>
      <x:c r="J1224" s="17" t="n">
        <x:f>ROUND(I1224*'Costing'!$C$4,2)</x:f>
        <x:v>7200</x:v>
      </x:c>
      <x:c r="K1224" s="17" t="n">
        <x:f>I1224+J1224</x:f>
        <x:v>47200</x:v>
      </x:c>
    </x:row>
    <x:row r="1225" ht="46" customHeight="1">
      <x:c r="A1225" s="2" t="str">
        <x:v>Sector</x:v>
      </x:c>
      <x:c r="B1225" s="2" t="str">
        <x:v>Engineering &amp; manufacturing</x:v>
      </x:c>
      <x:c r="C1225" s="12" t="str">
        <x:v>Hyderabad</x:v>
      </x:c>
      <x:c r="D1225" s="12" t="str">
        <x:v>MAIN-253</x:v>
      </x:c>
      <x:c r="E1225" s="12" t="str">
        <x:v>Raheja Mindspace IT Park - Madhapur</x:v>
      </x:c>
      <x:c r="F1225" s="11" t="n">
        <x:v>21</x:v>
      </x:c>
      <x:c r="G1225" s="11" t="n">
        <x:v>21</x:v>
      </x:c>
      <x:c r="H1225" s="11" t="n">
        <x:v>0</x:v>
      </x:c>
      <x:c r="I1225" s="17" t="n">
        <x:f>INDEX('Costing'!$P$9:$P$492,MATCH(D1225,'Costing'!$A$9:$A$492,0))</x:f>
        <x:v>840000</x:v>
      </x:c>
      <x:c r="J1225" s="17" t="n">
        <x:f>ROUND(I1225*'Costing'!$C$4,2)</x:f>
        <x:v>151200</x:v>
      </x:c>
      <x:c r="K1225" s="17" t="n">
        <x:f>I1225+J1225</x:f>
        <x:v>991200</x:v>
      </x:c>
    </x:row>
    <x:row r="1226" ht="46" customHeight="1">
      <x:c r="A1226" s="2" t="str">
        <x:v>Sector</x:v>
      </x:c>
      <x:c r="B1226" s="2" t="str">
        <x:v>Engineering &amp; manufacturing</x:v>
      </x:c>
      <x:c r="C1226" s="12" t="str">
        <x:v>Hyderabad</x:v>
      </x:c>
      <x:c r="D1226" s="12" t="str">
        <x:v>MAIN-254</x:v>
      </x:c>
      <x:c r="E1226" s="12" t="str">
        <x:v>Sattva Octave (Redbrick Offices)</x:v>
      </x:c>
      <x:c r="F1226" s="11" t="n">
        <x:v>1</x:v>
      </x:c>
      <x:c r="G1226" s="11" t="n">
        <x:v>1</x:v>
      </x:c>
      <x:c r="H1226" s="11" t="n">
        <x:v>0</x:v>
      </x:c>
      <x:c r="I1226" s="17" t="n">
        <x:f>INDEX('Costing'!$P$9:$P$492,MATCH(D1226,'Costing'!$A$9:$A$492,0))</x:f>
        <x:v>15000</x:v>
      </x:c>
      <x:c r="J1226" s="17" t="n">
        <x:f>ROUND(I1226*'Costing'!$C$4,2)</x:f>
        <x:v>2700</x:v>
      </x:c>
      <x:c r="K1226" s="17" t="n">
        <x:f>I1226+J1226</x:f>
        <x:v>17700</x:v>
      </x:c>
    </x:row>
    <x:row r="1227" ht="46" customHeight="1">
      <x:c r="A1227" s="2" t="str">
        <x:v>Sector</x:v>
      </x:c>
      <x:c r="B1227" s="2" t="str">
        <x:v>Engineering &amp; manufacturing</x:v>
      </x:c>
      <x:c r="C1227" s="12" t="str">
        <x:v>Hyderabad</x:v>
      </x:c>
      <x:c r="D1227" s="12" t="str">
        <x:v>MAIN-255</x:v>
      </x:c>
      <x:c r="E1227" s="12" t="str">
        <x:v>Sattva Orwell (Redbrick Offices)</x:v>
      </x:c>
      <x:c r="F1227" s="11" t="n">
        <x:v>3</x:v>
      </x:c>
      <x:c r="G1227" s="11" t="n">
        <x:v>3</x:v>
      </x:c>
      <x:c r="H1227" s="11" t="n">
        <x:v>0</x:v>
      </x:c>
      <x:c r="I1227" s="17" t="n">
        <x:f>INDEX('Costing'!$P$9:$P$492,MATCH(D1227,'Costing'!$A$9:$A$492,0))</x:f>
        <x:v>45000</x:v>
      </x:c>
      <x:c r="J1227" s="17" t="n">
        <x:f>ROUND(I1227*'Costing'!$C$4,2)</x:f>
        <x:v>8100</x:v>
      </x:c>
      <x:c r="K1227" s="17" t="n">
        <x:f>I1227+J1227</x:f>
        <x:v>53100</x:v>
      </x:c>
    </x:row>
    <x:row r="1228" ht="46" customHeight="1">
      <x:c r="A1228" s="2" t="str">
        <x:v>Sector</x:v>
      </x:c>
      <x:c r="B1228" s="2" t="str">
        <x:v>Engineering &amp; manufacturing</x:v>
      </x:c>
      <x:c r="C1228" s="12" t="str">
        <x:v>Hyderabad</x:v>
      </x:c>
      <x:c r="D1228" s="12" t="str">
        <x:v>MAIN-257</x:v>
      </x:c>
      <x:c r="E1228" s="12" t="str">
        <x:v>Symbyont Smart Space Aurobindo Orbit</x:v>
      </x:c>
      <x:c r="F1228" s="11" t="n">
        <x:v>2</x:v>
      </x:c>
      <x:c r="G1228" s="11" t="n">
        <x:v>2</x:v>
      </x:c>
      <x:c r="H1228" s="11" t="n">
        <x:v>0</x:v>
      </x:c>
      <x:c r="I1228" s="17" t="n">
        <x:f>INDEX('Costing'!$P$9:$P$492,MATCH(D1228,'Costing'!$A$9:$A$492,0))</x:f>
        <x:v>40000</x:v>
      </x:c>
      <x:c r="J1228" s="17" t="n">
        <x:f>ROUND(I1228*'Costing'!$C$4,2)</x:f>
        <x:v>7200</x:v>
      </x:c>
      <x:c r="K1228" s="17" t="n">
        <x:f>I1228+J1228</x:f>
        <x:v>47200</x:v>
      </x:c>
    </x:row>
    <x:row r="1229" ht="46" customHeight="1">
      <x:c r="A1229" s="2" t="str">
        <x:v>Sector</x:v>
      </x:c>
      <x:c r="B1229" s="2" t="str">
        <x:v>Engineering &amp; manufacturing</x:v>
      </x:c>
      <x:c r="C1229" s="12" t="str">
        <x:v>Hyderabad</x:v>
      </x:c>
      <x:c r="D1229" s="12" t="str">
        <x:v>MAIN-258</x:v>
      </x:c>
      <x:c r="E1229" s="12" t="str">
        <x:v>Symbyont Smart Space Dallas Centre</x:v>
      </x:c>
      <x:c r="F1229" s="11" t="n">
        <x:v>5</x:v>
      </x:c>
      <x:c r="G1229" s="11" t="n">
        <x:v>5</x:v>
      </x:c>
      <x:c r="H1229" s="11" t="n">
        <x:v>0</x:v>
      </x:c>
      <x:c r="I1229" s="17" t="n">
        <x:f>INDEX('Costing'!$P$9:$P$492,MATCH(D1229,'Costing'!$A$9:$A$492,0))</x:f>
        <x:v>200000</x:v>
      </x:c>
      <x:c r="J1229" s="17" t="n">
        <x:f>ROUND(I1229*'Costing'!$C$4,2)</x:f>
        <x:v>36000</x:v>
      </x:c>
      <x:c r="K1229" s="17" t="n">
        <x:f>I1229+J1229</x:f>
        <x:v>236000</x:v>
      </x:c>
    </x:row>
    <x:row r="1230" ht="46" customHeight="1">
      <x:c r="A1230" s="2" t="str">
        <x:v>Sector</x:v>
      </x:c>
      <x:c r="B1230" s="2" t="str">
        <x:v>Engineering &amp; manufacturing</x:v>
      </x:c>
      <x:c r="C1230" s="12" t="str">
        <x:v>Hyderabad</x:v>
      </x:c>
      <x:c r="D1230" s="12" t="str">
        <x:v>MAIN-260</x:v>
      </x:c>
      <x:c r="E1230" s="12" t="str">
        <x:v>T-Hub</x:v>
      </x:c>
      <x:c r="F1230" s="11" t="n">
        <x:v>22</x:v>
      </x:c>
      <x:c r="G1230" s="11" t="n">
        <x:v>22</x:v>
      </x:c>
      <x:c r="H1230" s="11" t="n">
        <x:v>0</x:v>
      </x:c>
      <x:c r="I1230" s="17" t="n">
        <x:f>INDEX('Costing'!$P$9:$P$492,MATCH(D1230,'Costing'!$A$9:$A$492,0))</x:f>
        <x:v>715000</x:v>
      </x:c>
      <x:c r="J1230" s="17" t="n">
        <x:f>ROUND(I1230*'Costing'!$C$4,2)</x:f>
        <x:v>128700</x:v>
      </x:c>
      <x:c r="K1230" s="17" t="n">
        <x:f>I1230+J1230</x:f>
        <x:v>843700</x:v>
      </x:c>
    </x:row>
    <x:row r="1231" ht="46" customHeight="1">
      <x:c r="A1231" s="2" t="str">
        <x:v>Sector</x:v>
      </x:c>
      <x:c r="B1231" s="2" t="str">
        <x:v>Engineering &amp; manufacturing</x:v>
      </x:c>
      <x:c r="C1231" s="12" t="str">
        <x:v>Hyderabad</x:v>
      </x:c>
      <x:c r="D1231" s="12" t="str">
        <x:v>MAIN-262</x:v>
      </x:c>
      <x:c r="E1231" s="12" t="str">
        <x:v>Wework - Krishe Emerald</x:v>
      </x:c>
      <x:c r="F1231" s="11" t="n">
        <x:v>9</x:v>
      </x:c>
      <x:c r="G1231" s="11" t="n">
        <x:v>9</x:v>
      </x:c>
      <x:c r="H1231" s="11" t="n">
        <x:v>0</x:v>
      </x:c>
      <x:c r="I1231" s="17" t="n">
        <x:f>INDEX('Costing'!$P$9:$P$492,MATCH(D1231,'Costing'!$A$9:$A$492,0))</x:f>
        <x:v>225000</x:v>
      </x:c>
      <x:c r="J1231" s="17" t="n">
        <x:f>ROUND(I1231*'Costing'!$C$4,2)</x:f>
        <x:v>40500</x:v>
      </x:c>
      <x:c r="K1231" s="17" t="n">
        <x:f>I1231+J1231</x:f>
        <x:v>265500</x:v>
      </x:c>
    </x:row>
    <x:row r="1232" ht="46" customHeight="1">
      <x:c r="A1232" s="2" t="str">
        <x:v>Sector</x:v>
      </x:c>
      <x:c r="B1232" s="2" t="str">
        <x:v>Engineering &amp; manufacturing</x:v>
      </x:c>
      <x:c r="C1232" s="12" t="str">
        <x:v>Hyderabad</x:v>
      </x:c>
      <x:c r="D1232" s="12" t="str">
        <x:v>MAIN-265</x:v>
      </x:c>
      <x:c r="E1232" s="12" t="str">
        <x:v>WeWork - RMZ Spire</x:v>
      </x:c>
      <x:c r="F1232" s="11" t="n">
        <x:v>4</x:v>
      </x:c>
      <x:c r="G1232" s="11" t="n">
        <x:v>4</x:v>
      </x:c>
      <x:c r="H1232" s="11" t="n">
        <x:v>0</x:v>
      </x:c>
      <x:c r="I1232" s="17" t="n">
        <x:f>INDEX('Costing'!$P$9:$P$492,MATCH(D1232,'Costing'!$A$9:$A$492,0))</x:f>
        <x:v>100000</x:v>
      </x:c>
      <x:c r="J1232" s="17" t="n">
        <x:f>ROUND(I1232*'Costing'!$C$4,2)</x:f>
        <x:v>18000</x:v>
      </x:c>
      <x:c r="K1232" s="17" t="n">
        <x:f>I1232+J1232</x:f>
        <x:v>118000</x:v>
      </x:c>
    </x:row>
    <x:row r="1233" ht="46" customHeight="1">
      <x:c r="A1233" s="2" t="str">
        <x:v>Sector</x:v>
      </x:c>
      <x:c r="B1233" s="2" t="str">
        <x:v>Engineering &amp; manufacturing</x:v>
      </x:c>
      <x:c r="C1233" s="12" t="str">
        <x:v>Indore</x:v>
      </x:c>
      <x:c r="D1233" s="12" t="str">
        <x:v>MAIN-266</x:v>
      </x:c>
      <x:c r="E1233" s="12" t="str">
        <x:v>Airen Heights</x:v>
      </x:c>
      <x:c r="F1233" s="11" t="n">
        <x:v>1</x:v>
      </x:c>
      <x:c r="G1233" s="11" t="n">
        <x:v>1</x:v>
      </x:c>
      <x:c r="H1233" s="11" t="n">
        <x:v>0</x:v>
      </x:c>
      <x:c r="I1233" s="17" t="n">
        <x:f>INDEX('Costing'!$P$9:$P$492,MATCH(D1233,'Costing'!$A$9:$A$492,0))</x:f>
        <x:v>20000</x:v>
      </x:c>
      <x:c r="J1233" s="17" t="n">
        <x:f>ROUND(I1233*'Costing'!$C$4,2)</x:f>
        <x:v>3600</x:v>
      </x:c>
      <x:c r="K1233" s="17" t="n">
        <x:f>I1233+J1233</x:f>
        <x:v>23600</x:v>
      </x:c>
    </x:row>
    <x:row r="1234" ht="46" customHeight="1">
      <x:c r="A1234" s="2" t="str">
        <x:v>Sector</x:v>
      </x:c>
      <x:c r="B1234" s="2" t="str">
        <x:v>Engineering &amp; manufacturing</x:v>
      </x:c>
      <x:c r="C1234" s="12" t="str">
        <x:v>Indore</x:v>
      </x:c>
      <x:c r="D1234" s="12" t="str">
        <x:v>MAIN-267</x:v>
      </x:c>
      <x:c r="E1234" s="12" t="str">
        <x:v>Apollo Gold Plaza</x:v>
      </x:c>
      <x:c r="F1234" s="11" t="n">
        <x:v>2</x:v>
      </x:c>
      <x:c r="G1234" s="11" t="n">
        <x:v>2</x:v>
      </x:c>
      <x:c r="H1234" s="11" t="n">
        <x:v>0</x:v>
      </x:c>
      <x:c r="I1234" s="17" t="n">
        <x:f>INDEX('Costing'!$P$9:$P$492,MATCH(D1234,'Costing'!$A$9:$A$492,0))</x:f>
        <x:v>40000</x:v>
      </x:c>
      <x:c r="J1234" s="17" t="n">
        <x:f>ROUND(I1234*'Costing'!$C$4,2)</x:f>
        <x:v>7200</x:v>
      </x:c>
      <x:c r="K1234" s="17" t="n">
        <x:f>I1234+J1234</x:f>
        <x:v>47200</x:v>
      </x:c>
    </x:row>
    <x:row r="1235" ht="46" customHeight="1">
      <x:c r="A1235" s="2" t="str">
        <x:v>Sector</x:v>
      </x:c>
      <x:c r="B1235" s="2" t="str">
        <x:v>Engineering &amp; manufacturing</x:v>
      </x:c>
      <x:c r="C1235" s="12" t="str">
        <x:v>Indore</x:v>
      </x:c>
      <x:c r="D1235" s="12" t="str">
        <x:v>MAIN-268</x:v>
      </x:c>
      <x:c r="E1235" s="12" t="str">
        <x:v>Apollo Premier</x:v>
      </x:c>
      <x:c r="F1235" s="11" t="n">
        <x:v>2</x:v>
      </x:c>
      <x:c r="G1235" s="11" t="n">
        <x:v>2</x:v>
      </x:c>
      <x:c r="H1235" s="11" t="n">
        <x:v>0</x:v>
      </x:c>
      <x:c r="I1235" s="17" t="n">
        <x:f>INDEX('Costing'!$P$9:$P$492,MATCH(D1235,'Costing'!$A$9:$A$492,0))</x:f>
        <x:v>80000</x:v>
      </x:c>
      <x:c r="J1235" s="17" t="n">
        <x:f>ROUND(I1235*'Costing'!$C$4,2)</x:f>
        <x:v>14400</x:v>
      </x:c>
      <x:c r="K1235" s="17" t="n">
        <x:f>I1235+J1235</x:f>
        <x:v>94400</x:v>
      </x:c>
    </x:row>
    <x:row r="1236" ht="46" customHeight="1">
      <x:c r="A1236" s="2" t="str">
        <x:v>Sector</x:v>
      </x:c>
      <x:c r="B1236" s="2" t="str">
        <x:v>Engineering &amp; manufacturing</x:v>
      </x:c>
      <x:c r="C1236" s="12" t="str">
        <x:v>Indore</x:v>
      </x:c>
      <x:c r="D1236" s="12" t="str">
        <x:v>MAIN-269</x:v>
      </x:c>
      <x:c r="E1236" s="12" t="str">
        <x:v>Benchmark</x:v>
      </x:c>
      <x:c r="F1236" s="11" t="n">
        <x:v>1</x:v>
      </x:c>
      <x:c r="G1236" s="11" t="n">
        <x:v>1</x:v>
      </x:c>
      <x:c r="H1236" s="11" t="n">
        <x:v>0</x:v>
      </x:c>
      <x:c r="I1236" s="17" t="n">
        <x:f>INDEX('Costing'!$P$9:$P$492,MATCH(D1236,'Costing'!$A$9:$A$492,0))</x:f>
        <x:v>40000</x:v>
      </x:c>
      <x:c r="J1236" s="17" t="n">
        <x:f>ROUND(I1236*'Costing'!$C$4,2)</x:f>
        <x:v>7200</x:v>
      </x:c>
      <x:c r="K1236" s="17" t="n">
        <x:f>I1236+J1236</x:f>
        <x:v>47200</x:v>
      </x:c>
    </x:row>
    <x:row r="1237" ht="46" customHeight="1">
      <x:c r="A1237" s="2" t="str">
        <x:v>Sector</x:v>
      </x:c>
      <x:c r="B1237" s="2" t="str">
        <x:v>Engineering &amp; manufacturing</x:v>
      </x:c>
      <x:c r="C1237" s="12" t="str">
        <x:v>Indore</x:v>
      </x:c>
      <x:c r="D1237" s="12" t="str">
        <x:v>MAIN-270</x:v>
      </x:c>
      <x:c r="E1237" s="12" t="str">
        <x:v>Cliffton Corporate</x:v>
      </x:c>
      <x:c r="F1237" s="11" t="n">
        <x:v>1</x:v>
      </x:c>
      <x:c r="G1237" s="11" t="n">
        <x:v>1</x:v>
      </x:c>
      <x:c r="H1237" s="11" t="n">
        <x:v>0</x:v>
      </x:c>
      <x:c r="I1237" s="17" t="n">
        <x:f>INDEX('Costing'!$P$9:$P$492,MATCH(D1237,'Costing'!$A$9:$A$492,0))</x:f>
        <x:v>20000</x:v>
      </x:c>
      <x:c r="J1237" s="17" t="n">
        <x:f>ROUND(I1237*'Costing'!$C$4,2)</x:f>
        <x:v>3600</x:v>
      </x:c>
      <x:c r="K1237" s="17" t="n">
        <x:f>I1237+J1237</x:f>
        <x:v>23600</x:v>
      </x:c>
    </x:row>
    <x:row r="1238" ht="46" customHeight="1">
      <x:c r="A1238" s="2" t="str">
        <x:v>Sector</x:v>
      </x:c>
      <x:c r="B1238" s="2" t="str">
        <x:v>Engineering &amp; manufacturing</x:v>
      </x:c>
      <x:c r="C1238" s="12" t="str">
        <x:v>Indore</x:v>
      </x:c>
      <x:c r="D1238" s="12" t="str">
        <x:v>MAIN-271</x:v>
      </x:c>
      <x:c r="E1238" s="12" t="str">
        <x:v>Dhan Trident</x:v>
      </x:c>
      <x:c r="F1238" s="11" t="n">
        <x:v>2</x:v>
      </x:c>
      <x:c r="G1238" s="11" t="n">
        <x:v>2</x:v>
      </x:c>
      <x:c r="H1238" s="11" t="n">
        <x:v>0</x:v>
      </x:c>
      <x:c r="I1238" s="17" t="n">
        <x:f>INDEX('Costing'!$P$9:$P$492,MATCH(D1238,'Costing'!$A$9:$A$492,0))</x:f>
        <x:v>40000</x:v>
      </x:c>
      <x:c r="J1238" s="17" t="n">
        <x:f>ROUND(I1238*'Costing'!$C$4,2)</x:f>
        <x:v>7200</x:v>
      </x:c>
      <x:c r="K1238" s="17" t="n">
        <x:f>I1238+J1238</x:f>
        <x:v>47200</x:v>
      </x:c>
    </x:row>
    <x:row r="1239" ht="46" customHeight="1">
      <x:c r="A1239" s="2" t="str">
        <x:v>Sector</x:v>
      </x:c>
      <x:c r="B1239" s="2" t="str">
        <x:v>Engineering &amp; manufacturing</x:v>
      </x:c>
      <x:c r="C1239" s="12" t="str">
        <x:v>Indore</x:v>
      </x:c>
      <x:c r="D1239" s="12" t="str">
        <x:v>MAIN-272</x:v>
      </x:c>
      <x:c r="E1239" s="12" t="str">
        <x:v>Maloo - 01</x:v>
      </x:c>
      <x:c r="F1239" s="11" t="n">
        <x:v>1</x:v>
      </x:c>
      <x:c r="G1239" s="11" t="n">
        <x:v>1</x:v>
      </x:c>
      <x:c r="H1239" s="11" t="n">
        <x:v>0</x:v>
      </x:c>
      <x:c r="I1239" s="17" t="n">
        <x:f>INDEX('Costing'!$P$9:$P$492,MATCH(D1239,'Costing'!$A$9:$A$492,0))</x:f>
        <x:v>20000</x:v>
      </x:c>
      <x:c r="J1239" s="17" t="n">
        <x:f>ROUND(I1239*'Costing'!$C$4,2)</x:f>
        <x:v>3600</x:v>
      </x:c>
      <x:c r="K1239" s="17" t="n">
        <x:f>I1239+J1239</x:f>
        <x:v>23600</x:v>
      </x:c>
    </x:row>
    <x:row r="1240" ht="46" customHeight="1">
      <x:c r="A1240" s="2" t="str">
        <x:v>Sector</x:v>
      </x:c>
      <x:c r="B1240" s="2" t="str">
        <x:v>Engineering &amp; manufacturing</x:v>
      </x:c>
      <x:c r="C1240" s="12" t="str">
        <x:v>Indore</x:v>
      </x:c>
      <x:c r="D1240" s="12" t="str">
        <x:v>MAIN-274</x:v>
      </x:c>
      <x:c r="E1240" s="12" t="str">
        <x:v>Princess Sky Line</x:v>
      </x:c>
      <x:c r="F1240" s="11" t="n">
        <x:v>1</x:v>
      </x:c>
      <x:c r="G1240" s="11" t="n">
        <x:v>1</x:v>
      </x:c>
      <x:c r="H1240" s="11" t="n">
        <x:v>0</x:v>
      </x:c>
      <x:c r="I1240" s="17" t="n">
        <x:f>INDEX('Costing'!$P$9:$P$492,MATCH(D1240,'Costing'!$A$9:$A$492,0))</x:f>
        <x:v>40000</x:v>
      </x:c>
      <x:c r="J1240" s="17" t="n">
        <x:f>ROUND(I1240*'Costing'!$C$4,2)</x:f>
        <x:v>7200</x:v>
      </x:c>
      <x:c r="K1240" s="17" t="n">
        <x:f>I1240+J1240</x:f>
        <x:v>47200</x:v>
      </x:c>
    </x:row>
    <x:row r="1241" ht="46" customHeight="1">
      <x:c r="A1241" s="2" t="str">
        <x:v>Sector</x:v>
      </x:c>
      <x:c r="B1241" s="2" t="str">
        <x:v>Engineering &amp; manufacturing</x:v>
      </x:c>
      <x:c r="C1241" s="12" t="str">
        <x:v>Indore</x:v>
      </x:c>
      <x:c r="D1241" s="12" t="str">
        <x:v>MAIN-275</x:v>
      </x:c>
      <x:c r="E1241" s="12" t="str">
        <x:v>Princess Sky Park</x:v>
      </x:c>
      <x:c r="F1241" s="11" t="n">
        <x:v>1</x:v>
      </x:c>
      <x:c r="G1241" s="11" t="n">
        <x:v>1</x:v>
      </x:c>
      <x:c r="H1241" s="11" t="n">
        <x:v>0</x:v>
      </x:c>
      <x:c r="I1241" s="17" t="n">
        <x:f>INDEX('Costing'!$P$9:$P$492,MATCH(D1241,'Costing'!$A$9:$A$492,0))</x:f>
        <x:v>40000</x:v>
      </x:c>
      <x:c r="J1241" s="17" t="n">
        <x:f>ROUND(I1241*'Costing'!$C$4,2)</x:f>
        <x:v>7200</x:v>
      </x:c>
      <x:c r="K1241" s="17" t="n">
        <x:f>I1241+J1241</x:f>
        <x:v>47200</x:v>
      </x:c>
    </x:row>
    <x:row r="1242" ht="46" customHeight="1">
      <x:c r="A1242" s="2" t="str">
        <x:v>Sector</x:v>
      </x:c>
      <x:c r="B1242" s="2" t="str">
        <x:v>Engineering &amp; manufacturing</x:v>
      </x:c>
      <x:c r="C1242" s="12" t="str">
        <x:v>Kolkata</x:v>
      </x:c>
      <x:c r="D1242" s="12" t="str">
        <x:v>MAIN-279</x:v>
      </x:c>
      <x:c r="E1242" s="12" t="str">
        <x:v>Awfis - Delta Towers</x:v>
      </x:c>
      <x:c r="F1242" s="11" t="n">
        <x:v>3</x:v>
      </x:c>
      <x:c r="G1242" s="11" t="n">
        <x:v>3</x:v>
      </x:c>
      <x:c r="H1242" s="11" t="n">
        <x:v>0</x:v>
      </x:c>
      <x:c r="I1242" s="17" t="n">
        <x:f>INDEX('Costing'!$P$9:$P$492,MATCH(D1242,'Costing'!$A$9:$A$492,0))</x:f>
        <x:v>45000</x:v>
      </x:c>
      <x:c r="J1242" s="17" t="n">
        <x:f>ROUND(I1242*'Costing'!$C$4,2)</x:f>
        <x:v>8100</x:v>
      </x:c>
      <x:c r="K1242" s="17" t="n">
        <x:f>I1242+J1242</x:f>
        <x:v>53100</x:v>
      </x:c>
    </x:row>
    <x:row r="1243" ht="46" customHeight="1">
      <x:c r="A1243" s="2" t="str">
        <x:v>Sector</x:v>
      </x:c>
      <x:c r="B1243" s="2" t="str">
        <x:v>Engineering &amp; manufacturing</x:v>
      </x:c>
      <x:c r="C1243" s="12" t="str">
        <x:v>Kolkata</x:v>
      </x:c>
      <x:c r="D1243" s="12" t="str">
        <x:v>MAIN-281</x:v>
      </x:c>
      <x:c r="E1243" s="12" t="str">
        <x:v>Awfis - Ecospace Business Park</x:v>
      </x:c>
      <x:c r="F1243" s="11" t="n">
        <x:v>1</x:v>
      </x:c>
      <x:c r="G1243" s="11" t="n">
        <x:v>1</x:v>
      </x:c>
      <x:c r="H1243" s="11" t="n">
        <x:v>0</x:v>
      </x:c>
      <x:c r="I1243" s="17" t="n">
        <x:f>INDEX('Costing'!$P$9:$P$492,MATCH(D1243,'Costing'!$A$9:$A$492,0))</x:f>
        <x:v>15000</x:v>
      </x:c>
      <x:c r="J1243" s="17" t="n">
        <x:f>ROUND(I1243*'Costing'!$C$4,2)</x:f>
        <x:v>2700</x:v>
      </x:c>
      <x:c r="K1243" s="17" t="n">
        <x:f>I1243+J1243</x:f>
        <x:v>17700</x:v>
      </x:c>
    </x:row>
    <x:row r="1244" ht="46" customHeight="1">
      <x:c r="A1244" s="2" t="str">
        <x:v>Sector</x:v>
      </x:c>
      <x:c r="B1244" s="2" t="str">
        <x:v>Engineering &amp; manufacturing</x:v>
      </x:c>
      <x:c r="C1244" s="12" t="str">
        <x:v>Kolkata</x:v>
      </x:c>
      <x:c r="D1244" s="12" t="str">
        <x:v>MAIN-284</x:v>
      </x:c>
      <x:c r="E1244" s="12" t="str">
        <x:v>Awfis - Technopolis</x:v>
      </x:c>
      <x:c r="F1244" s="11" t="n">
        <x:v>2</x:v>
      </x:c>
      <x:c r="G1244" s="11" t="n">
        <x:v>2</x:v>
      </x:c>
      <x:c r="H1244" s="11" t="n">
        <x:v>0</x:v>
      </x:c>
      <x:c r="I1244" s="17" t="n">
        <x:f>INDEX('Costing'!$P$9:$P$492,MATCH(D1244,'Costing'!$A$9:$A$492,0))</x:f>
        <x:v>30000</x:v>
      </x:c>
      <x:c r="J1244" s="17" t="n">
        <x:f>ROUND(I1244*'Costing'!$C$4,2)</x:f>
        <x:v>5400</x:v>
      </x:c>
      <x:c r="K1244" s="17" t="n">
        <x:f>I1244+J1244</x:f>
        <x:v>35400</x:v>
      </x:c>
    </x:row>
    <x:row r="1245" ht="46" customHeight="1">
      <x:c r="A1245" s="2" t="str">
        <x:v>Sector</x:v>
      </x:c>
      <x:c r="B1245" s="2" t="str">
        <x:v>Engineering &amp; manufacturing</x:v>
      </x:c>
      <x:c r="C1245" s="12" t="str">
        <x:v>Kolkata</x:v>
      </x:c>
      <x:c r="D1245" s="12" t="str">
        <x:v>MAIN-285</x:v>
      </x:c>
      <x:c r="E1245" s="12" t="str">
        <x:v>Awfis - Technopolis</x:v>
      </x:c>
      <x:c r="F1245" s="11" t="n">
        <x:v>1</x:v>
      </x:c>
      <x:c r="G1245" s="11" t="n">
        <x:v>1</x:v>
      </x:c>
      <x:c r="H1245" s="11" t="n">
        <x:v>0</x:v>
      </x:c>
      <x:c r="I1245" s="17" t="n">
        <x:f>INDEX('Costing'!$P$9:$P$492,MATCH(D1245,'Costing'!$A$9:$A$492,0))</x:f>
        <x:v>15000</x:v>
      </x:c>
      <x:c r="J1245" s="17" t="n">
        <x:f>ROUND(I1245*'Costing'!$C$4,2)</x:f>
        <x:v>2700</x:v>
      </x:c>
      <x:c r="K1245" s="17" t="n">
        <x:f>I1245+J1245</x:f>
        <x:v>17700</x:v>
      </x:c>
    </x:row>
    <x:row r="1246" ht="46" customHeight="1">
      <x:c r="A1246" s="2" t="str">
        <x:v>Sector</x:v>
      </x:c>
      <x:c r="B1246" s="2" t="str">
        <x:v>Engineering &amp; manufacturing</x:v>
      </x:c>
      <x:c r="C1246" s="12" t="str">
        <x:v>Kolkata</x:v>
      </x:c>
      <x:c r="D1246" s="12" t="str">
        <x:v>MAIN-287</x:v>
      </x:c>
      <x:c r="E1246" s="12" t="str">
        <x:v>DLF Galleria</x:v>
      </x:c>
      <x:c r="F1246" s="11" t="n">
        <x:v>5</x:v>
      </x:c>
      <x:c r="G1246" s="11" t="n">
        <x:v>5</x:v>
      </x:c>
      <x:c r="H1246" s="11" t="n">
        <x:v>0</x:v>
      </x:c>
      <x:c r="I1246" s="17" t="n">
        <x:f>INDEX('Costing'!$P$9:$P$492,MATCH(D1246,'Costing'!$A$9:$A$492,0))</x:f>
        <x:v>75000</x:v>
      </x:c>
      <x:c r="J1246" s="17" t="n">
        <x:f>ROUND(I1246*'Costing'!$C$4,2)</x:f>
        <x:v>13500</x:v>
      </x:c>
      <x:c r="K1246" s="17" t="n">
        <x:f>I1246+J1246</x:f>
        <x:v>88500</x:v>
      </x:c>
    </x:row>
    <x:row r="1247" ht="46" customHeight="1">
      <x:c r="A1247" s="2" t="str">
        <x:v>Sector</x:v>
      </x:c>
      <x:c r="B1247" s="2" t="str">
        <x:v>Engineering &amp; manufacturing</x:v>
      </x:c>
      <x:c r="C1247" s="12" t="str">
        <x:v>Lucknow</x:v>
      </x:c>
      <x:c r="D1247" s="12" t="str">
        <x:v>MAIN-291</x:v>
      </x:c>
      <x:c r="E1247" s="12" t="str">
        <x:v>Levana Cyber Heights</x:v>
      </x:c>
      <x:c r="F1247" s="11" t="n">
        <x:v>4</x:v>
      </x:c>
      <x:c r="G1247" s="11" t="n">
        <x:v>4</x:v>
      </x:c>
      <x:c r="H1247" s="11" t="n">
        <x:v>0</x:v>
      </x:c>
      <x:c r="I1247" s="17" t="n">
        <x:f>INDEX('Costing'!$P$9:$P$492,MATCH(D1247,'Costing'!$A$9:$A$492,0))</x:f>
        <x:v>160000</x:v>
      </x:c>
      <x:c r="J1247" s="17" t="n">
        <x:f>ROUND(I1247*'Costing'!$C$4,2)</x:f>
        <x:v>28800</x:v>
      </x:c>
      <x:c r="K1247" s="17" t="n">
        <x:f>I1247+J1247</x:f>
        <x:v>188800</x:v>
      </x:c>
    </x:row>
    <x:row r="1248" ht="46" customHeight="1">
      <x:c r="A1248" s="2" t="str">
        <x:v>Sector</x:v>
      </x:c>
      <x:c r="B1248" s="2" t="str">
        <x:v>Engineering &amp; manufacturing</x:v>
      </x:c>
      <x:c r="C1248" s="12" t="str">
        <x:v>Lucknow</x:v>
      </x:c>
      <x:c r="D1248" s="12" t="str">
        <x:v>MAIN-292</x:v>
      </x:c>
      <x:c r="E1248" s="12" t="str">
        <x:v>Levana Cyber Tower</x:v>
      </x:c>
      <x:c r="F1248" s="11" t="n">
        <x:v>3</x:v>
      </x:c>
      <x:c r="G1248" s="11" t="n">
        <x:v>3</x:v>
      </x:c>
      <x:c r="H1248" s="11" t="n">
        <x:v>0</x:v>
      </x:c>
      <x:c r="I1248" s="17" t="n">
        <x:f>INDEX('Costing'!$P$9:$P$492,MATCH(D1248,'Costing'!$A$9:$A$492,0))</x:f>
        <x:v>120000</x:v>
      </x:c>
      <x:c r="J1248" s="17" t="n">
        <x:f>ROUND(I1248*'Costing'!$C$4,2)</x:f>
        <x:v>21600</x:v>
      </x:c>
      <x:c r="K1248" s="17" t="n">
        <x:f>I1248+J1248</x:f>
        <x:v>141600</x:v>
      </x:c>
    </x:row>
    <x:row r="1249" ht="46" customHeight="1">
      <x:c r="A1249" s="2" t="str">
        <x:v>Sector</x:v>
      </x:c>
      <x:c r="B1249" s="2" t="str">
        <x:v>Engineering &amp; manufacturing</x:v>
      </x:c>
      <x:c r="C1249" s="12" t="str">
        <x:v>Mumbai</x:v>
      </x:c>
      <x:c r="D1249" s="12" t="str">
        <x:v>MAIN-294</x:v>
      </x:c>
      <x:c r="E1249" s="12" t="str">
        <x:v>Avior Corporate Park</x:v>
      </x:c>
      <x:c r="F1249" s="11" t="n">
        <x:v>39</x:v>
      </x:c>
      <x:c r="G1249" s="11" t="n">
        <x:v>39</x:v>
      </x:c>
      <x:c r="H1249" s="11" t="n">
        <x:v>0</x:v>
      </x:c>
      <x:c r="I1249" s="17" t="n">
        <x:f>INDEX('Costing'!$P$9:$P$492,MATCH(D1249,'Costing'!$A$9:$A$492,0))</x:f>
        <x:v>585000</x:v>
      </x:c>
      <x:c r="J1249" s="17" t="n">
        <x:f>ROUND(I1249*'Costing'!$C$4,2)</x:f>
        <x:v>105300</x:v>
      </x:c>
      <x:c r="K1249" s="17" t="n">
        <x:f>I1249+J1249</x:f>
        <x:v>690300</x:v>
      </x:c>
    </x:row>
    <x:row r="1250" ht="46" customHeight="1">
      <x:c r="A1250" s="2" t="str">
        <x:v>Sector</x:v>
      </x:c>
      <x:c r="B1250" s="2" t="str">
        <x:v>Engineering &amp; manufacturing</x:v>
      </x:c>
      <x:c r="C1250" s="12" t="str">
        <x:v>Mumbai</x:v>
      </x:c>
      <x:c r="D1250" s="12" t="str">
        <x:v>MAIN-295</x:v>
      </x:c>
      <x:c r="E1250" s="12" t="str">
        <x:v>Awfis - Adani Inspire, BKC</x:v>
      </x:c>
      <x:c r="F1250" s="11" t="n">
        <x:v>1</x:v>
      </x:c>
      <x:c r="G1250" s="11" t="n">
        <x:v>1</x:v>
      </x:c>
      <x:c r="H1250" s="11" t="n">
        <x:v>0</x:v>
      </x:c>
      <x:c r="I1250" s="17" t="n">
        <x:f>INDEX('Costing'!$P$9:$P$492,MATCH(D1250,'Costing'!$A$9:$A$492,0))</x:f>
        <x:v>15000</x:v>
      </x:c>
      <x:c r="J1250" s="17" t="n">
        <x:f>ROUND(I1250*'Costing'!$C$4,2)</x:f>
        <x:v>2700</x:v>
      </x:c>
      <x:c r="K1250" s="17" t="n">
        <x:f>I1250+J1250</x:f>
        <x:v>17700</x:v>
      </x:c>
    </x:row>
    <x:row r="1251" ht="46" customHeight="1">
      <x:c r="A1251" s="2" t="str">
        <x:v>Sector</x:v>
      </x:c>
      <x:c r="B1251" s="2" t="str">
        <x:v>Engineering &amp; manufacturing</x:v>
      </x:c>
      <x:c r="C1251" s="12" t="str">
        <x:v>Mumbai</x:v>
      </x:c>
      <x:c r="D1251" s="12" t="str">
        <x:v>MAIN-296</x:v>
      </x:c>
      <x:c r="E1251" s="12" t="str">
        <x:v>Awfis - Cyber One</x:v>
      </x:c>
      <x:c r="F1251" s="11" t="n">
        <x:v>1</x:v>
      </x:c>
      <x:c r="G1251" s="11" t="n">
        <x:v>1</x:v>
      </x:c>
      <x:c r="H1251" s="11" t="n">
        <x:v>0</x:v>
      </x:c>
      <x:c r="I1251" s="17" t="n">
        <x:f>INDEX('Costing'!$P$9:$P$492,MATCH(D1251,'Costing'!$A$9:$A$492,0))</x:f>
        <x:v>15000</x:v>
      </x:c>
      <x:c r="J1251" s="17" t="n">
        <x:f>ROUND(I1251*'Costing'!$C$4,2)</x:f>
        <x:v>2700</x:v>
      </x:c>
      <x:c r="K1251" s="17" t="n">
        <x:f>I1251+J1251</x:f>
        <x:v>17700</x:v>
      </x:c>
    </x:row>
    <x:row r="1252" ht="46" customHeight="1">
      <x:c r="A1252" s="2" t="str">
        <x:v>Sector</x:v>
      </x:c>
      <x:c r="B1252" s="2" t="str">
        <x:v>Engineering &amp; manufacturing</x:v>
      </x:c>
      <x:c r="C1252" s="12" t="str">
        <x:v>Mumbai</x:v>
      </x:c>
      <x:c r="D1252" s="12" t="str">
        <x:v>MAIN-297</x:v>
      </x:c>
      <x:c r="E1252" s="12" t="str">
        <x:v>Awfis - Empire Tower</x:v>
      </x:c>
      <x:c r="F1252" s="11" t="n">
        <x:v>1</x:v>
      </x:c>
      <x:c r="G1252" s="11" t="n">
        <x:v>1</x:v>
      </x:c>
      <x:c r="H1252" s="11" t="n">
        <x:v>0</x:v>
      </x:c>
      <x:c r="I1252" s="17" t="n">
        <x:f>INDEX('Costing'!$P$9:$P$492,MATCH(D1252,'Costing'!$A$9:$A$492,0))</x:f>
        <x:v>15000</x:v>
      </x:c>
      <x:c r="J1252" s="17" t="n">
        <x:f>ROUND(I1252*'Costing'!$C$4,2)</x:f>
        <x:v>2700</x:v>
      </x:c>
      <x:c r="K1252" s="17" t="n">
        <x:f>I1252+J1252</x:f>
        <x:v>17700</x:v>
      </x:c>
    </x:row>
    <x:row r="1253" ht="46" customHeight="1">
      <x:c r="A1253" s="2" t="str">
        <x:v>Sector</x:v>
      </x:c>
      <x:c r="B1253" s="2" t="str">
        <x:v>Engineering &amp; manufacturing</x:v>
      </x:c>
      <x:c r="C1253" s="12" t="str">
        <x:v>Mumbai</x:v>
      </x:c>
      <x:c r="D1253" s="12" t="str">
        <x:v>MAIN-299</x:v>
      </x:c>
      <x:c r="E1253" s="12" t="str">
        <x:v>Awfis - Lodha IThink</x:v>
      </x:c>
      <x:c r="F1253" s="11" t="n">
        <x:v>1</x:v>
      </x:c>
      <x:c r="G1253" s="11" t="n">
        <x:v>1</x:v>
      </x:c>
      <x:c r="H1253" s="11" t="n">
        <x:v>0</x:v>
      </x:c>
      <x:c r="I1253" s="17" t="n">
        <x:f>INDEX('Costing'!$P$9:$P$492,MATCH(D1253,'Costing'!$A$9:$A$492,0))</x:f>
        <x:v>15000</x:v>
      </x:c>
      <x:c r="J1253" s="17" t="n">
        <x:f>ROUND(I1253*'Costing'!$C$4,2)</x:f>
        <x:v>2700</x:v>
      </x:c>
      <x:c r="K1253" s="17" t="n">
        <x:f>I1253+J1253</x:f>
        <x:v>17700</x:v>
      </x:c>
    </x:row>
    <x:row r="1254" ht="46" customHeight="1">
      <x:c r="A1254" s="2" t="str">
        <x:v>Sector</x:v>
      </x:c>
      <x:c r="B1254" s="2" t="str">
        <x:v>Engineering &amp; manufacturing</x:v>
      </x:c>
      <x:c r="C1254" s="12" t="str">
        <x:v>Mumbai</x:v>
      </x:c>
      <x:c r="D1254" s="12" t="str">
        <x:v>MAIN-303</x:v>
      </x:c>
      <x:c r="E1254" s="12" t="str">
        <x:v>Awfis - Schindler House</x:v>
      </x:c>
      <x:c r="F1254" s="11" t="n">
        <x:v>1</x:v>
      </x:c>
      <x:c r="G1254" s="11" t="n">
        <x:v>1</x:v>
      </x:c>
      <x:c r="H1254" s="11" t="n">
        <x:v>0</x:v>
      </x:c>
      <x:c r="I1254" s="17" t="n">
        <x:f>INDEX('Costing'!$P$9:$P$492,MATCH(D1254,'Costing'!$A$9:$A$492,0))</x:f>
        <x:v>15000</x:v>
      </x:c>
      <x:c r="J1254" s="17" t="n">
        <x:f>ROUND(I1254*'Costing'!$C$4,2)</x:f>
        <x:v>2700</x:v>
      </x:c>
      <x:c r="K1254" s="17" t="n">
        <x:f>I1254+J1254</x:f>
        <x:v>17700</x:v>
      </x:c>
    </x:row>
    <x:row r="1255" ht="46" customHeight="1">
      <x:c r="A1255" s="2" t="str">
        <x:v>Sector</x:v>
      </x:c>
      <x:c r="B1255" s="2" t="str">
        <x:v>Engineering &amp; manufacturing</x:v>
      </x:c>
      <x:c r="C1255" s="12" t="str">
        <x:v>Mumbai</x:v>
      </x:c>
      <x:c r="D1255" s="12" t="str">
        <x:v>MAIN-304</x:v>
      </x:c>
      <x:c r="E1255" s="12" t="str">
        <x:v>Awfis - Skyline Icon</x:v>
      </x:c>
      <x:c r="F1255" s="11" t="n">
        <x:v>2</x:v>
      </x:c>
      <x:c r="G1255" s="11" t="n">
        <x:v>2</x:v>
      </x:c>
      <x:c r="H1255" s="11" t="n">
        <x:v>0</x:v>
      </x:c>
      <x:c r="I1255" s="17" t="n">
        <x:f>INDEX('Costing'!$P$9:$P$492,MATCH(D1255,'Costing'!$A$9:$A$492,0))</x:f>
        <x:v>30000</x:v>
      </x:c>
      <x:c r="J1255" s="17" t="n">
        <x:f>ROUND(I1255*'Costing'!$C$4,2)</x:f>
        <x:v>5400</x:v>
      </x:c>
      <x:c r="K1255" s="17" t="n">
        <x:f>I1255+J1255</x:f>
        <x:v>35400</x:v>
      </x:c>
    </x:row>
    <x:row r="1256" ht="46" customHeight="1">
      <x:c r="A1256" s="2" t="str">
        <x:v>Sector</x:v>
      </x:c>
      <x:c r="B1256" s="2" t="str">
        <x:v>Engineering &amp; manufacturing</x:v>
      </x:c>
      <x:c r="C1256" s="12" t="str">
        <x:v>Mumbai</x:v>
      </x:c>
      <x:c r="D1256" s="12" t="str">
        <x:v>MAIN-306</x:v>
      </x:c>
      <x:c r="E1256" s="12" t="str">
        <x:v>Awfis - Vios Towers</x:v>
      </x:c>
      <x:c r="F1256" s="11" t="n">
        <x:v>1</x:v>
      </x:c>
      <x:c r="G1256" s="11" t="n">
        <x:v>1</x:v>
      </x:c>
      <x:c r="H1256" s="11" t="n">
        <x:v>0</x:v>
      </x:c>
      <x:c r="I1256" s="17" t="n">
        <x:f>INDEX('Costing'!$P$9:$P$492,MATCH(D1256,'Costing'!$A$9:$A$492,0))</x:f>
        <x:v>15000</x:v>
      </x:c>
      <x:c r="J1256" s="17" t="n">
        <x:f>ROUND(I1256*'Costing'!$C$4,2)</x:f>
        <x:v>2700</x:v>
      </x:c>
      <x:c r="K1256" s="17" t="n">
        <x:f>I1256+J1256</x:f>
        <x:v>17700</x:v>
      </x:c>
    </x:row>
    <x:row r="1257" ht="46" customHeight="1">
      <x:c r="A1257" s="2" t="str">
        <x:v>Sector</x:v>
      </x:c>
      <x:c r="B1257" s="2" t="str">
        <x:v>Engineering &amp; manufacturing</x:v>
      </x:c>
      <x:c r="C1257" s="12" t="str">
        <x:v>Mumbai</x:v>
      </x:c>
      <x:c r="D1257" s="12" t="str">
        <x:v>MAIN-307</x:v>
      </x:c>
      <x:c r="E1257" s="12" t="str">
        <x:v>Blue Rose IND</x:v>
      </x:c>
      <x:c r="F1257" s="11" t="n">
        <x:v>22</x:v>
      </x:c>
      <x:c r="G1257" s="11" t="n">
        <x:v>22</x:v>
      </x:c>
      <x:c r="H1257" s="11" t="n">
        <x:v>0</x:v>
      </x:c>
      <x:c r="I1257" s="17" t="n">
        <x:f>INDEX('Costing'!$P$9:$P$492,MATCH(D1257,'Costing'!$A$9:$A$492,0))</x:f>
        <x:v>330000</x:v>
      </x:c>
      <x:c r="J1257" s="17" t="n">
        <x:f>ROUND(I1257*'Costing'!$C$4,2)</x:f>
        <x:v>59400</x:v>
      </x:c>
      <x:c r="K1257" s="17" t="n">
        <x:f>I1257+J1257</x:f>
        <x:v>389400</x:v>
      </x:c>
    </x:row>
    <x:row r="1258" ht="46" customHeight="1">
      <x:c r="A1258" s="2" t="str">
        <x:v>Sector</x:v>
      </x:c>
      <x:c r="B1258" s="2" t="str">
        <x:v>Engineering &amp; manufacturing</x:v>
      </x:c>
      <x:c r="C1258" s="12" t="str">
        <x:v>Mumbai</x:v>
      </x:c>
      <x:c r="D1258" s="12" t="str">
        <x:v>MAIN-308</x:v>
      </x:c>
      <x:c r="E1258" s="12" t="str">
        <x:v>Bsel Tech Park</x:v>
      </x:c>
      <x:c r="F1258" s="11" t="n">
        <x:v>47</x:v>
      </x:c>
      <x:c r="G1258" s="11" t="n">
        <x:v>47</x:v>
      </x:c>
      <x:c r="H1258" s="11" t="n">
        <x:v>0</x:v>
      </x:c>
      <x:c r="I1258" s="17" t="n">
        <x:f>INDEX('Costing'!$P$9:$P$492,MATCH(D1258,'Costing'!$A$9:$A$492,0))</x:f>
        <x:v>705000</x:v>
      </x:c>
      <x:c r="J1258" s="17" t="n">
        <x:f>ROUND(I1258*'Costing'!$C$4,2)</x:f>
        <x:v>126900</x:v>
      </x:c>
      <x:c r="K1258" s="17" t="n">
        <x:f>I1258+J1258</x:f>
        <x:v>831900</x:v>
      </x:c>
    </x:row>
    <x:row r="1259" ht="46" customHeight="1">
      <x:c r="A1259" s="2" t="str">
        <x:v>Sector</x:v>
      </x:c>
      <x:c r="B1259" s="2" t="str">
        <x:v>Engineering &amp; manufacturing</x:v>
      </x:c>
      <x:c r="C1259" s="12" t="str">
        <x:v>Mumbai</x:v>
      </x:c>
      <x:c r="D1259" s="12" t="str">
        <x:v>MAIN-313</x:v>
      </x:c>
      <x:c r="E1259" s="12" t="str">
        <x:v>Everest Nirwana</x:v>
      </x:c>
      <x:c r="F1259" s="11" t="n">
        <x:v>21</x:v>
      </x:c>
      <x:c r="G1259" s="11" t="n">
        <x:v>21</x:v>
      </x:c>
      <x:c r="H1259" s="11" t="n">
        <x:v>0</x:v>
      </x:c>
      <x:c r="I1259" s="17" t="n">
        <x:f>INDEX('Costing'!$P$9:$P$492,MATCH(D1259,'Costing'!$A$9:$A$492,0))</x:f>
        <x:v>315000</x:v>
      </x:c>
      <x:c r="J1259" s="17" t="n">
        <x:f>ROUND(I1259*'Costing'!$C$4,2)</x:f>
        <x:v>56700</x:v>
      </x:c>
      <x:c r="K1259" s="17" t="n">
        <x:f>I1259+J1259</x:f>
        <x:v>371700</x:v>
      </x:c>
    </x:row>
    <x:row r="1260" ht="46" customHeight="1">
      <x:c r="A1260" s="2" t="str">
        <x:v>Sector</x:v>
      </x:c>
      <x:c r="B1260" s="2" t="str">
        <x:v>Engineering &amp; manufacturing</x:v>
      </x:c>
      <x:c r="C1260" s="12" t="str">
        <x:v>Mumbai</x:v>
      </x:c>
      <x:c r="D1260" s="12" t="str">
        <x:v>MAIN-316</x:v>
      </x:c>
      <x:c r="E1260" s="12" t="str">
        <x:v>Fleet House Global Park</x:v>
      </x:c>
      <x:c r="F1260" s="11" t="n">
        <x:v>2</x:v>
      </x:c>
      <x:c r="G1260" s="11" t="n">
        <x:v>2</x:v>
      </x:c>
      <x:c r="H1260" s="11" t="n">
        <x:v>0</x:v>
      </x:c>
      <x:c r="I1260" s="17" t="n">
        <x:f>INDEX('Costing'!$P$9:$P$492,MATCH(D1260,'Costing'!$A$9:$A$492,0))</x:f>
        <x:v>40000</x:v>
      </x:c>
      <x:c r="J1260" s="17" t="n">
        <x:f>ROUND(I1260*'Costing'!$C$4,2)</x:f>
        <x:v>7200</x:v>
      </x:c>
      <x:c r="K1260" s="17" t="n">
        <x:f>I1260+J1260</x:f>
        <x:v>47200</x:v>
      </x:c>
    </x:row>
    <x:row r="1261" ht="46" customHeight="1">
      <x:c r="A1261" s="2" t="str">
        <x:v>Sector</x:v>
      </x:c>
      <x:c r="B1261" s="2" t="str">
        <x:v>Engineering &amp; manufacturing</x:v>
      </x:c>
      <x:c r="C1261" s="12" t="str">
        <x:v>Mumbai</x:v>
      </x:c>
      <x:c r="D1261" s="12" t="str">
        <x:v>MAIN-319</x:v>
      </x:c>
      <x:c r="E1261" s="12" t="str">
        <x:v>Kalpataru Prime (Redbrick Offices)</x:v>
      </x:c>
      <x:c r="F1261" s="11" t="n">
        <x:v>1</x:v>
      </x:c>
      <x:c r="G1261" s="11" t="n">
        <x:v>1</x:v>
      </x:c>
      <x:c r="H1261" s="11" t="n">
        <x:v>0</x:v>
      </x:c>
      <x:c r="I1261" s="17" t="n">
        <x:f>INDEX('Costing'!$P$9:$P$492,MATCH(D1261,'Costing'!$A$9:$A$492,0))</x:f>
        <x:v>15000</x:v>
      </x:c>
      <x:c r="J1261" s="17" t="n">
        <x:f>ROUND(I1261*'Costing'!$C$4,2)</x:f>
        <x:v>2700</x:v>
      </x:c>
      <x:c r="K1261" s="17" t="n">
        <x:f>I1261+J1261</x:f>
        <x:v>17700</x:v>
      </x:c>
    </x:row>
    <x:row r="1262" ht="46" customHeight="1">
      <x:c r="A1262" s="2" t="str">
        <x:v>Sector</x:v>
      </x:c>
      <x:c r="B1262" s="2" t="str">
        <x:v>Engineering &amp; manufacturing</x:v>
      </x:c>
      <x:c r="C1262" s="12" t="str">
        <x:v>Mumbai</x:v>
      </x:c>
      <x:c r="D1262" s="12" t="str">
        <x:v>MAIN-320</x:v>
      </x:c>
      <x:c r="E1262" s="12" t="str">
        <x:v>Kane Plaza</x:v>
      </x:c>
      <x:c r="F1262" s="11" t="n">
        <x:v>6</x:v>
      </x:c>
      <x:c r="G1262" s="11" t="n">
        <x:v>6</x:v>
      </x:c>
      <x:c r="H1262" s="11" t="n">
        <x:v>0</x:v>
      </x:c>
      <x:c r="I1262" s="17" t="n">
        <x:f>INDEX('Costing'!$P$9:$P$492,MATCH(D1262,'Costing'!$A$9:$A$492,0))</x:f>
        <x:v>90000</x:v>
      </x:c>
      <x:c r="J1262" s="17" t="n">
        <x:f>ROUND(I1262*'Costing'!$C$4,2)</x:f>
        <x:v>16200</x:v>
      </x:c>
      <x:c r="K1262" s="17" t="n">
        <x:f>I1262+J1262</x:f>
        <x:v>106200</x:v>
      </x:c>
    </x:row>
    <x:row r="1263" ht="46" customHeight="1">
      <x:c r="A1263" s="2" t="str">
        <x:v>Sector</x:v>
      </x:c>
      <x:c r="B1263" s="2" t="str">
        <x:v>Engineering &amp; manufacturing</x:v>
      </x:c>
      <x:c r="C1263" s="12" t="str">
        <x:v>Mumbai</x:v>
      </x:c>
      <x:c r="D1263" s="12" t="str">
        <x:v>MAIN-321</x:v>
      </x:c>
      <x:c r="E1263" s="12" t="str">
        <x:v>Lodha Ithink (Redbrick Offices)</x:v>
      </x:c>
      <x:c r="F1263" s="11" t="n">
        <x:v>1</x:v>
      </x:c>
      <x:c r="G1263" s="11" t="n">
        <x:v>1</x:v>
      </x:c>
      <x:c r="H1263" s="11" t="n">
        <x:v>0</x:v>
      </x:c>
      <x:c r="I1263" s="17" t="n">
        <x:f>INDEX('Costing'!$P$9:$P$492,MATCH(D1263,'Costing'!$A$9:$A$492,0))</x:f>
        <x:v>15000</x:v>
      </x:c>
      <x:c r="J1263" s="17" t="n">
        <x:f>ROUND(I1263*'Costing'!$C$4,2)</x:f>
        <x:v>2700</x:v>
      </x:c>
      <x:c r="K1263" s="17" t="n">
        <x:f>I1263+J1263</x:f>
        <x:v>17700</x:v>
      </x:c>
    </x:row>
    <x:row r="1264" ht="46" customHeight="1">
      <x:c r="A1264" s="2" t="str">
        <x:v>Sector</x:v>
      </x:c>
      <x:c r="B1264" s="2" t="str">
        <x:v>Engineering &amp; manufacturing</x:v>
      </x:c>
      <x:c r="C1264" s="12" t="str">
        <x:v>Mumbai</x:v>
      </x:c>
      <x:c r="D1264" s="12" t="str">
        <x:v>MAIN-325</x:v>
      </x:c>
      <x:c r="E1264" s="12" t="str">
        <x:v>Nucleus - One BKC</x:v>
      </x:c>
      <x:c r="F1264" s="11" t="n">
        <x:v>2</x:v>
      </x:c>
      <x:c r="G1264" s="11" t="n">
        <x:v>2</x:v>
      </x:c>
      <x:c r="H1264" s="11" t="n">
        <x:v>0</x:v>
      </x:c>
      <x:c r="I1264" s="17" t="n">
        <x:f>INDEX('Costing'!$P$9:$P$492,MATCH(D1264,'Costing'!$A$9:$A$492,0))</x:f>
        <x:v>80000</x:v>
      </x:c>
      <x:c r="J1264" s="17" t="n">
        <x:f>ROUND(I1264*'Costing'!$C$4,2)</x:f>
        <x:v>14400</x:v>
      </x:c>
      <x:c r="K1264" s="17" t="n">
        <x:f>I1264+J1264</x:f>
        <x:v>94400</x:v>
      </x:c>
    </x:row>
    <x:row r="1265" ht="46" customHeight="1">
      <x:c r="A1265" s="2" t="str">
        <x:v>Sector</x:v>
      </x:c>
      <x:c r="B1265" s="2" t="str">
        <x:v>Engineering &amp; manufacturing</x:v>
      </x:c>
      <x:c r="C1265" s="12" t="str">
        <x:v>Mumbai</x:v>
      </x:c>
      <x:c r="D1265" s="12" t="str">
        <x:v>MAIN-326</x:v>
      </x:c>
      <x:c r="E1265" s="12" t="str">
        <x:v>Nucleus - One International Center</x:v>
      </x:c>
      <x:c r="F1265" s="11" t="n">
        <x:v>9</x:v>
      </x:c>
      <x:c r="G1265" s="11" t="n">
        <x:v>9</x:v>
      </x:c>
      <x:c r="H1265" s="11" t="n">
        <x:v>0</x:v>
      </x:c>
      <x:c r="I1265" s="17" t="n">
        <x:f>INDEX('Costing'!$P$9:$P$492,MATCH(D1265,'Costing'!$A$9:$A$492,0))</x:f>
        <x:v>360000</x:v>
      </x:c>
      <x:c r="J1265" s="17" t="n">
        <x:f>ROUND(I1265*'Costing'!$C$4,2)</x:f>
        <x:v>64800</x:v>
      </x:c>
      <x:c r="K1265" s="17" t="n">
        <x:f>I1265+J1265</x:f>
        <x:v>424800</x:v>
      </x:c>
    </x:row>
    <x:row r="1266" ht="46" customHeight="1">
      <x:c r="A1266" s="2" t="str">
        <x:v>Sector</x:v>
      </x:c>
      <x:c r="B1266" s="2" t="str">
        <x:v>Engineering &amp; manufacturing</x:v>
      </x:c>
      <x:c r="C1266" s="12" t="str">
        <x:v>Mumbai</x:v>
      </x:c>
      <x:c r="D1266" s="12" t="str">
        <x:v>MAIN-328</x:v>
      </x:c>
      <x:c r="E1266" s="12" t="str">
        <x:v>Nucleus - Prima Bay</x:v>
      </x:c>
      <x:c r="F1266" s="11" t="n">
        <x:v>3</x:v>
      </x:c>
      <x:c r="G1266" s="11" t="n">
        <x:v>3</x:v>
      </x:c>
      <x:c r="H1266" s="11" t="n">
        <x:v>0</x:v>
      </x:c>
      <x:c r="I1266" s="17" t="n">
        <x:f>INDEX('Costing'!$P$9:$P$492,MATCH(D1266,'Costing'!$A$9:$A$492,0))</x:f>
        <x:v>120000</x:v>
      </x:c>
      <x:c r="J1266" s="17" t="n">
        <x:f>ROUND(I1266*'Costing'!$C$4,2)</x:f>
        <x:v>21600</x:v>
      </x:c>
      <x:c r="K1266" s="17" t="n">
        <x:f>I1266+J1266</x:f>
        <x:v>141600</x:v>
      </x:c>
    </x:row>
    <x:row r="1267" ht="46" customHeight="1">
      <x:c r="A1267" s="2" t="str">
        <x:v>Sector</x:v>
      </x:c>
      <x:c r="B1267" s="2" t="str">
        <x:v>Engineering &amp; manufacturing</x:v>
      </x:c>
      <x:c r="C1267" s="12" t="str">
        <x:v>Mumbai</x:v>
      </x:c>
      <x:c r="D1267" s="12" t="str">
        <x:v>MAIN-331</x:v>
      </x:c>
      <x:c r="E1267" s="12" t="str">
        <x:v>One World Centre (Redbrick Offices)</x:v>
      </x:c>
      <x:c r="F1267" s="11" t="n">
        <x:v>1</x:v>
      </x:c>
      <x:c r="G1267" s="11" t="n">
        <x:v>1</x:v>
      </x:c>
      <x:c r="H1267" s="11" t="n">
        <x:v>0</x:v>
      </x:c>
      <x:c r="I1267" s="17" t="n">
        <x:f>INDEX('Costing'!$P$9:$P$492,MATCH(D1267,'Costing'!$A$9:$A$492,0))</x:f>
        <x:v>15000</x:v>
      </x:c>
      <x:c r="J1267" s="17" t="n">
        <x:f>ROUND(I1267*'Costing'!$C$4,2)</x:f>
        <x:v>2700</x:v>
      </x:c>
      <x:c r="K1267" s="17" t="n">
        <x:f>I1267+J1267</x:f>
        <x:v>17700</x:v>
      </x:c>
    </x:row>
    <x:row r="1268" ht="46" customHeight="1">
      <x:c r="A1268" s="2" t="str">
        <x:v>Sector</x:v>
      </x:c>
      <x:c r="B1268" s="2" t="str">
        <x:v>Engineering &amp; manufacturing</x:v>
      </x:c>
      <x:c r="C1268" s="12" t="str">
        <x:v>Mumbai</x:v>
      </x:c>
      <x:c r="D1268" s="12" t="str">
        <x:v>MAIN-337</x:v>
      </x:c>
      <x:c r="E1268" s="12" t="str">
        <x:v>Raheja Mindspace IT Park - Airoli East</x:v>
      </x:c>
      <x:c r="F1268" s="11" t="n">
        <x:v>12</x:v>
      </x:c>
      <x:c r="G1268" s="11" t="n">
        <x:v>12</x:v>
      </x:c>
      <x:c r="H1268" s="11" t="n">
        <x:v>0</x:v>
      </x:c>
      <x:c r="I1268" s="17" t="n">
        <x:f>INDEX('Costing'!$P$9:$P$492,MATCH(D1268,'Costing'!$A$9:$A$492,0))</x:f>
        <x:v>390000</x:v>
      </x:c>
      <x:c r="J1268" s="17" t="n">
        <x:f>ROUND(I1268*'Costing'!$C$4,2)</x:f>
        <x:v>70200</x:v>
      </x:c>
      <x:c r="K1268" s="17" t="n">
        <x:f>I1268+J1268</x:f>
        <x:v>460200</x:v>
      </x:c>
    </x:row>
    <x:row r="1269" ht="46" customHeight="1">
      <x:c r="A1269" s="2" t="str">
        <x:v>Sector</x:v>
      </x:c>
      <x:c r="B1269" s="2" t="str">
        <x:v>Engineering &amp; manufacturing</x:v>
      </x:c>
      <x:c r="C1269" s="12" t="str">
        <x:v>Mumbai</x:v>
      </x:c>
      <x:c r="D1269" s="12" t="str">
        <x:v>MAIN-338</x:v>
      </x:c>
      <x:c r="E1269" s="12" t="str">
        <x:v>Raheja Mindspaces - Airoli West</x:v>
      </x:c>
      <x:c r="F1269" s="11" t="n">
        <x:v>5</x:v>
      </x:c>
      <x:c r="G1269" s="11" t="n">
        <x:v>5</x:v>
      </x:c>
      <x:c r="H1269" s="11" t="n">
        <x:v>0</x:v>
      </x:c>
      <x:c r="I1269" s="17" t="n">
        <x:f>INDEX('Costing'!$P$9:$P$492,MATCH(D1269,'Costing'!$A$9:$A$492,0))</x:f>
        <x:v>200000</x:v>
      </x:c>
      <x:c r="J1269" s="17" t="n">
        <x:f>ROUND(I1269*'Costing'!$C$4,2)</x:f>
        <x:v>36000</x:v>
      </x:c>
      <x:c r="K1269" s="17" t="n">
        <x:f>I1269+J1269</x:f>
        <x:v>236000</x:v>
      </x:c>
    </x:row>
    <x:row r="1270" ht="46" customHeight="1">
      <x:c r="A1270" s="2" t="str">
        <x:v>Sector</x:v>
      </x:c>
      <x:c r="B1270" s="2" t="str">
        <x:v>Engineering &amp; manufacturing</x:v>
      </x:c>
      <x:c r="C1270" s="12" t="str">
        <x:v>Mumbai</x:v>
      </x:c>
      <x:c r="D1270" s="12" t="str">
        <x:v>MAIN-341</x:v>
      </x:c>
      <x:c r="E1270" s="12" t="str">
        <x:v>Rupa Renaissance (Redbrick Offices)</x:v>
      </x:c>
      <x:c r="F1270" s="11" t="n">
        <x:v>1</x:v>
      </x:c>
      <x:c r="G1270" s="11" t="n">
        <x:v>1</x:v>
      </x:c>
      <x:c r="H1270" s="11" t="n">
        <x:v>0</x:v>
      </x:c>
      <x:c r="I1270" s="17" t="n">
        <x:f>INDEX('Costing'!$P$9:$P$492,MATCH(D1270,'Costing'!$A$9:$A$492,0))</x:f>
        <x:v>15000</x:v>
      </x:c>
      <x:c r="J1270" s="17" t="n">
        <x:f>ROUND(I1270*'Costing'!$C$4,2)</x:f>
        <x:v>2700</x:v>
      </x:c>
      <x:c r="K1270" s="17" t="n">
        <x:f>I1270+J1270</x:f>
        <x:v>17700</x:v>
      </x:c>
    </x:row>
    <x:row r="1271" ht="46" customHeight="1">
      <x:c r="A1271" s="2" t="str">
        <x:v>Sector</x:v>
      </x:c>
      <x:c r="B1271" s="2" t="str">
        <x:v>Engineering &amp; manufacturing</x:v>
      </x:c>
      <x:c r="C1271" s="12" t="str">
        <x:v>Mumbai</x:v>
      </x:c>
      <x:c r="D1271" s="12" t="str">
        <x:v>MAIN-342</x:v>
      </x:c>
      <x:c r="E1271" s="12" t="str">
        <x:v>Rustomjee Eaze Zone Mall</x:v>
      </x:c>
      <x:c r="F1271" s="11" t="n">
        <x:v>26</x:v>
      </x:c>
      <x:c r="G1271" s="11" t="n">
        <x:v>26</x:v>
      </x:c>
      <x:c r="H1271" s="11" t="n">
        <x:v>0</x:v>
      </x:c>
      <x:c r="I1271" s="17" t="n">
        <x:f>INDEX('Costing'!$P$9:$P$492,MATCH(D1271,'Costing'!$A$9:$A$492,0))</x:f>
        <x:v>390000</x:v>
      </x:c>
      <x:c r="J1271" s="17" t="n">
        <x:f>ROUND(I1271*'Costing'!$C$4,2)</x:f>
        <x:v>70200</x:v>
      </x:c>
      <x:c r="K1271" s="17" t="n">
        <x:f>I1271+J1271</x:f>
        <x:v>460200</x:v>
      </x:c>
    </x:row>
    <x:row r="1272" ht="46" customHeight="1">
      <x:c r="A1272" s="2" t="str">
        <x:v>Sector</x:v>
      </x:c>
      <x:c r="B1272" s="2" t="str">
        <x:v>Engineering &amp; manufacturing</x:v>
      </x:c>
      <x:c r="C1272" s="12" t="str">
        <x:v>Mumbai</x:v>
      </x:c>
      <x:c r="D1272" s="12" t="str">
        <x:v>MAIN-343</x:v>
      </x:c>
      <x:c r="E1272" s="12" t="str">
        <x:v>Sagar Tech Plaza A </x:v>
      </x:c>
      <x:c r="F1272" s="11" t="n">
        <x:v>2</x:v>
      </x:c>
      <x:c r="G1272" s="11" t="n">
        <x:v>2</x:v>
      </x:c>
      <x:c r="H1272" s="11" t="n">
        <x:v>0</x:v>
      </x:c>
      <x:c r="I1272" s="17" t="n">
        <x:f>INDEX('Costing'!$P$9:$P$492,MATCH(D1272,'Costing'!$A$9:$A$492,0))</x:f>
        <x:v>30000</x:v>
      </x:c>
      <x:c r="J1272" s="17" t="n">
        <x:f>ROUND(I1272*'Costing'!$C$4,2)</x:f>
        <x:v>5400</x:v>
      </x:c>
      <x:c r="K1272" s="17" t="n">
        <x:f>I1272+J1272</x:f>
        <x:v>35400</x:v>
      </x:c>
    </x:row>
    <x:row r="1273" ht="46" customHeight="1">
      <x:c r="A1273" s="2" t="str">
        <x:v>Sector</x:v>
      </x:c>
      <x:c r="B1273" s="2" t="str">
        <x:v>Engineering &amp; manufacturing</x:v>
      </x:c>
      <x:c r="C1273" s="12" t="str">
        <x:v>Mumbai</x:v>
      </x:c>
      <x:c r="D1273" s="12" t="str">
        <x:v>MAIN-344</x:v>
      </x:c>
      <x:c r="E1273" s="12" t="str">
        <x:v>Sagar Tech Plaza A {IE}</x:v>
      </x:c>
      <x:c r="F1273" s="11" t="n">
        <x:v>3</x:v>
      </x:c>
      <x:c r="G1273" s="11" t="n">
        <x:v>3</x:v>
      </x:c>
      <x:c r="H1273" s="11" t="n">
        <x:v>0</x:v>
      </x:c>
      <x:c r="I1273" s="17" t="n">
        <x:f>INDEX('Costing'!$P$9:$P$492,MATCH(D1273,'Costing'!$A$9:$A$492,0))</x:f>
        <x:v>45000</x:v>
      </x:c>
      <x:c r="J1273" s="17" t="n">
        <x:f>ROUND(I1273*'Costing'!$C$4,2)</x:f>
        <x:v>8100</x:v>
      </x:c>
      <x:c r="K1273" s="17" t="n">
        <x:f>I1273+J1273</x:f>
        <x:v>53100</x:v>
      </x:c>
    </x:row>
    <x:row r="1274" ht="46" customHeight="1">
      <x:c r="A1274" s="2" t="str">
        <x:v>Sector</x:v>
      </x:c>
      <x:c r="B1274" s="2" t="str">
        <x:v>Engineering &amp; manufacturing</x:v>
      </x:c>
      <x:c r="C1274" s="12" t="str">
        <x:v>Mumbai</x:v>
      </x:c>
      <x:c r="D1274" s="12" t="str">
        <x:v>MAIN-345</x:v>
      </x:c>
      <x:c r="E1274" s="12" t="str">
        <x:v>Sagar Tech Plaza B </x:v>
      </x:c>
      <x:c r="F1274" s="11" t="n">
        <x:v>1</x:v>
      </x:c>
      <x:c r="G1274" s="11" t="n">
        <x:v>1</x:v>
      </x:c>
      <x:c r="H1274" s="11" t="n">
        <x:v>0</x:v>
      </x:c>
      <x:c r="I1274" s="17" t="n">
        <x:f>INDEX('Costing'!$P$9:$P$492,MATCH(D1274,'Costing'!$A$9:$A$492,0))</x:f>
        <x:v>15000</x:v>
      </x:c>
      <x:c r="J1274" s="17" t="n">
        <x:f>ROUND(I1274*'Costing'!$C$4,2)</x:f>
        <x:v>2700</x:v>
      </x:c>
      <x:c r="K1274" s="17" t="n">
        <x:f>I1274+J1274</x:f>
        <x:v>17700</x:v>
      </x:c>
    </x:row>
    <x:row r="1275" ht="46" customHeight="1">
      <x:c r="A1275" s="2" t="str">
        <x:v>Sector</x:v>
      </x:c>
      <x:c r="B1275" s="2" t="str">
        <x:v>Engineering &amp; manufacturing</x:v>
      </x:c>
      <x:c r="C1275" s="12" t="str">
        <x:v>Mumbai</x:v>
      </x:c>
      <x:c r="D1275" s="12" t="str">
        <x:v>MAIN-346</x:v>
      </x:c>
      <x:c r="E1275" s="12" t="str">
        <x:v>Sagar Tech Plaza B {IE}</x:v>
      </x:c>
      <x:c r="F1275" s="11" t="n">
        <x:v>3</x:v>
      </x:c>
      <x:c r="G1275" s="11" t="n">
        <x:v>3</x:v>
      </x:c>
      <x:c r="H1275" s="11" t="n">
        <x:v>0</x:v>
      </x:c>
      <x:c r="I1275" s="17" t="n">
        <x:f>INDEX('Costing'!$P$9:$P$492,MATCH(D1275,'Costing'!$A$9:$A$492,0))</x:f>
        <x:v>45000</x:v>
      </x:c>
      <x:c r="J1275" s="17" t="n">
        <x:f>ROUND(I1275*'Costing'!$C$4,2)</x:f>
        <x:v>8100</x:v>
      </x:c>
      <x:c r="K1275" s="17" t="n">
        <x:f>I1275+J1275</x:f>
        <x:v>53100</x:v>
      </x:c>
    </x:row>
    <x:row r="1276" ht="46" customHeight="1">
      <x:c r="A1276" s="2" t="str">
        <x:v>Sector</x:v>
      </x:c>
      <x:c r="B1276" s="2" t="str">
        <x:v>Engineering &amp; manufacturing</x:v>
      </x:c>
      <x:c r="C1276" s="12" t="str">
        <x:v>Mumbai</x:v>
      </x:c>
      <x:c r="D1276" s="12" t="str">
        <x:v>MAIN-348</x:v>
      </x:c>
      <x:c r="E1276" s="12" t="str">
        <x:v>TEX Centre (Redbrick Offices)</x:v>
      </x:c>
      <x:c r="F1276" s="11" t="n">
        <x:v>1</x:v>
      </x:c>
      <x:c r="G1276" s="11" t="n">
        <x:v>1</x:v>
      </x:c>
      <x:c r="H1276" s="11" t="n">
        <x:v>0</x:v>
      </x:c>
      <x:c r="I1276" s="17" t="n">
        <x:f>INDEX('Costing'!$P$9:$P$492,MATCH(D1276,'Costing'!$A$9:$A$492,0))</x:f>
        <x:v>15000</x:v>
      </x:c>
      <x:c r="J1276" s="17" t="n">
        <x:f>ROUND(I1276*'Costing'!$C$4,2)</x:f>
        <x:v>2700</x:v>
      </x:c>
      <x:c r="K1276" s="17" t="n">
        <x:f>I1276+J1276</x:f>
        <x:v>17700</x:v>
      </x:c>
    </x:row>
    <x:row r="1277" ht="46" customHeight="1">
      <x:c r="A1277" s="2" t="str">
        <x:v>Sector</x:v>
      </x:c>
      <x:c r="B1277" s="2" t="str">
        <x:v>Engineering &amp; manufacturing</x:v>
      </x:c>
      <x:c r="C1277" s="12" t="str">
        <x:v>Mumbai</x:v>
      </x:c>
      <x:c r="D1277" s="12" t="str">
        <x:v>MAIN-351</x:v>
      </x:c>
      <x:c r="E1277" s="12" t="str">
        <x:v>The Western Edge 2</x:v>
      </x:c>
      <x:c r="F1277" s="11" t="n">
        <x:v>39</x:v>
      </x:c>
      <x:c r="G1277" s="11" t="n">
        <x:v>39</x:v>
      </x:c>
      <x:c r="H1277" s="11" t="n">
        <x:v>0</x:v>
      </x:c>
      <x:c r="I1277" s="17" t="n">
        <x:f>INDEX('Costing'!$P$9:$P$492,MATCH(D1277,'Costing'!$A$9:$A$492,0))</x:f>
        <x:v>585000</x:v>
      </x:c>
      <x:c r="J1277" s="17" t="n">
        <x:f>ROUND(I1277*'Costing'!$C$4,2)</x:f>
        <x:v>105300</x:v>
      </x:c>
      <x:c r="K1277" s="17" t="n">
        <x:f>I1277+J1277</x:f>
        <x:v>690300</x:v>
      </x:c>
    </x:row>
    <x:row r="1278" ht="46" customHeight="1">
      <x:c r="A1278" s="2" t="str">
        <x:v>Sector</x:v>
      </x:c>
      <x:c r="B1278" s="2" t="str">
        <x:v>Engineering &amp; manufacturing</x:v>
      </x:c>
      <x:c r="C1278" s="12" t="str">
        <x:v>Mumbai</x:v>
      </x:c>
      <x:c r="D1278" s="12" t="str">
        <x:v>MAIN-352</x:v>
      </x:c>
      <x:c r="E1278" s="12" t="str">
        <x:v>Times Square Tech Park</x:v>
      </x:c>
      <x:c r="F1278" s="11" t="n">
        <x:v>4</x:v>
      </x:c>
      <x:c r="G1278" s="11" t="n">
        <x:v>4</x:v>
      </x:c>
      <x:c r="H1278" s="11" t="n">
        <x:v>0</x:v>
      </x:c>
      <x:c r="I1278" s="17" t="n">
        <x:f>INDEX('Costing'!$P$9:$P$492,MATCH(D1278,'Costing'!$A$9:$A$492,0))</x:f>
        <x:v>80000</x:v>
      </x:c>
      <x:c r="J1278" s="17" t="n">
        <x:f>ROUND(I1278*'Costing'!$C$4,2)</x:f>
        <x:v>14400</x:v>
      </x:c>
      <x:c r="K1278" s="17" t="n">
        <x:f>I1278+J1278</x:f>
        <x:v>94400</x:v>
      </x:c>
    </x:row>
    <x:row r="1279" ht="46" customHeight="1">
      <x:c r="A1279" s="2" t="str">
        <x:v>Sector</x:v>
      </x:c>
      <x:c r="B1279" s="2" t="str">
        <x:v>Engineering &amp; manufacturing</x:v>
      </x:c>
      <x:c r="C1279" s="12" t="str">
        <x:v>Mumbai</x:v>
      </x:c>
      <x:c r="D1279" s="12" t="str">
        <x:v>MAIN-357</x:v>
      </x:c>
      <x:c r="E1279" s="12" t="str">
        <x:v>Wework - Raheja Platinum</x:v>
      </x:c>
      <x:c r="F1279" s="11" t="n">
        <x:v>19</x:v>
      </x:c>
      <x:c r="G1279" s="11" t="n">
        <x:v>19</x:v>
      </x:c>
      <x:c r="H1279" s="11" t="n">
        <x:v>0</x:v>
      </x:c>
      <x:c r="I1279" s="17" t="n">
        <x:f>INDEX('Costing'!$P$9:$P$492,MATCH(D1279,'Costing'!$A$9:$A$492,0))</x:f>
        <x:v>475000</x:v>
      </x:c>
      <x:c r="J1279" s="17" t="n">
        <x:f>ROUND(I1279*'Costing'!$C$4,2)</x:f>
        <x:v>85500</x:v>
      </x:c>
      <x:c r="K1279" s="17" t="n">
        <x:f>I1279+J1279</x:f>
        <x:v>560500</x:v>
      </x:c>
    </x:row>
    <x:row r="1280" ht="46" customHeight="1">
      <x:c r="A1280" s="2" t="str">
        <x:v>Sector</x:v>
      </x:c>
      <x:c r="B1280" s="2" t="str">
        <x:v>Engineering &amp; manufacturing</x:v>
      </x:c>
      <x:c r="C1280" s="12" t="str">
        <x:v>Mumbai</x:v>
      </x:c>
      <x:c r="D1280" s="12" t="str">
        <x:v>MAIN-362</x:v>
      </x:c>
      <x:c r="E1280" s="12" t="str">
        <x:v>WeWork - Zenia</x:v>
      </x:c>
      <x:c r="F1280" s="11" t="n">
        <x:v>12</x:v>
      </x:c>
      <x:c r="G1280" s="11" t="n">
        <x:v>12</x:v>
      </x:c>
      <x:c r="H1280" s="11" t="n">
        <x:v>0</x:v>
      </x:c>
      <x:c r="I1280" s="17" t="n">
        <x:f>INDEX('Costing'!$P$9:$P$492,MATCH(D1280,'Costing'!$A$9:$A$492,0))</x:f>
        <x:v>300000</x:v>
      </x:c>
      <x:c r="J1280" s="17" t="n">
        <x:f>ROUND(I1280*'Costing'!$C$4,2)</x:f>
        <x:v>54000</x:v>
      </x:c>
      <x:c r="K1280" s="17" t="n">
        <x:f>I1280+J1280</x:f>
        <x:v>354000</x:v>
      </x:c>
    </x:row>
    <x:row r="1281" ht="46" customHeight="1">
      <x:c r="A1281" s="2" t="str">
        <x:v>Sector</x:v>
      </x:c>
      <x:c r="B1281" s="2" t="str">
        <x:v>Engineering &amp; manufacturing</x:v>
      </x:c>
      <x:c r="C1281" s="12" t="str">
        <x:v>Pune</x:v>
      </x:c>
      <x:c r="D1281" s="12" t="str">
        <x:v>MAIN-381</x:v>
      </x:c>
      <x:c r="E1281" s="12" t="str">
        <x:v>Amar Pristine Tech Park</x:v>
      </x:c>
      <x:c r="F1281" s="11" t="n">
        <x:v>4</x:v>
      </x:c>
      <x:c r="G1281" s="11" t="n">
        <x:v>4</x:v>
      </x:c>
      <x:c r="H1281" s="11" t="n">
        <x:v>0</x:v>
      </x:c>
      <x:c r="I1281" s="17" t="n">
        <x:f>INDEX('Costing'!$P$9:$P$492,MATCH(D1281,'Costing'!$A$9:$A$492,0))</x:f>
        <x:v>80000</x:v>
      </x:c>
      <x:c r="J1281" s="17" t="n">
        <x:f>ROUND(I1281*'Costing'!$C$4,2)</x:f>
        <x:v>14400</x:v>
      </x:c>
      <x:c r="K1281" s="17" t="n">
        <x:f>I1281+J1281</x:f>
        <x:v>94400</x:v>
      </x:c>
    </x:row>
    <x:row r="1282" ht="46" customHeight="1">
      <x:c r="A1282" s="2" t="str">
        <x:v>Sector</x:v>
      </x:c>
      <x:c r="B1282" s="2" t="str">
        <x:v>Engineering &amp; manufacturing</x:v>
      </x:c>
      <x:c r="C1282" s="12" t="str">
        <x:v>Pune</x:v>
      </x:c>
      <x:c r="D1282" s="12" t="str">
        <x:v>MAIN-382</x:v>
      </x:c>
      <x:c r="E1282" s="12" t="str">
        <x:v>Amar Sadanand Tech Park</x:v>
      </x:c>
      <x:c r="F1282" s="11" t="n">
        <x:v>7</x:v>
      </x:c>
      <x:c r="G1282" s="11" t="n">
        <x:v>7</x:v>
      </x:c>
      <x:c r="H1282" s="11" t="n">
        <x:v>0</x:v>
      </x:c>
      <x:c r="I1282" s="17" t="n">
        <x:f>INDEX('Costing'!$P$9:$P$492,MATCH(D1282,'Costing'!$A$9:$A$492,0))</x:f>
        <x:v>140000</x:v>
      </x:c>
      <x:c r="J1282" s="17" t="n">
        <x:f>ROUND(I1282*'Costing'!$C$4,2)</x:f>
        <x:v>25200</x:v>
      </x:c>
      <x:c r="K1282" s="17" t="n">
        <x:f>I1282+J1282</x:f>
        <x:v>165200</x:v>
      </x:c>
    </x:row>
    <x:row r="1283" ht="46" customHeight="1">
      <x:c r="A1283" s="2" t="str">
        <x:v>Sector</x:v>
      </x:c>
      <x:c r="B1283" s="2" t="str">
        <x:v>Engineering &amp; manufacturing</x:v>
      </x:c>
      <x:c r="C1283" s="12" t="str">
        <x:v>Pune</x:v>
      </x:c>
      <x:c r="D1283" s="12" t="str">
        <x:v>MAIN-383</x:v>
      </x:c>
      <x:c r="E1283" s="12" t="str">
        <x:v>Amar Tech Center</x:v>
      </x:c>
      <x:c r="F1283" s="11" t="n">
        <x:v>4</x:v>
      </x:c>
      <x:c r="G1283" s="11" t="n">
        <x:v>4</x:v>
      </x:c>
      <x:c r="H1283" s="11" t="n">
        <x:v>0</x:v>
      </x:c>
      <x:c r="I1283" s="17" t="n">
        <x:f>INDEX('Costing'!$P$9:$P$492,MATCH(D1283,'Costing'!$A$9:$A$492,0))</x:f>
        <x:v>80000</x:v>
      </x:c>
      <x:c r="J1283" s="17" t="n">
        <x:f>ROUND(I1283*'Costing'!$C$4,2)</x:f>
        <x:v>14400</x:v>
      </x:c>
      <x:c r="K1283" s="17" t="n">
        <x:f>I1283+J1283</x:f>
        <x:v>94400</x:v>
      </x:c>
    </x:row>
    <x:row r="1284" ht="46" customHeight="1">
      <x:c r="A1284" s="2" t="str">
        <x:v>Sector</x:v>
      </x:c>
      <x:c r="B1284" s="2" t="str">
        <x:v>Engineering &amp; manufacturing</x:v>
      </x:c>
      <x:c r="C1284" s="12" t="str">
        <x:v>Pune</x:v>
      </x:c>
      <x:c r="D1284" s="12" t="str">
        <x:v>MAIN-384</x:v>
      </x:c>
      <x:c r="E1284" s="12" t="str">
        <x:v>Amar Tech Park (TS)</x:v>
      </x:c>
      <x:c r="F1284" s="11" t="n">
        <x:v>2</x:v>
      </x:c>
      <x:c r="G1284" s="11" t="n">
        <x:v>2</x:v>
      </x:c>
      <x:c r="H1284" s="11" t="n">
        <x:v>0</x:v>
      </x:c>
      <x:c r="I1284" s="17" t="n">
        <x:f>INDEX('Costing'!$P$9:$P$492,MATCH(D1284,'Costing'!$A$9:$A$492,0))</x:f>
        <x:v>80000</x:v>
      </x:c>
      <x:c r="J1284" s="17" t="n">
        <x:f>ROUND(I1284*'Costing'!$C$4,2)</x:f>
        <x:v>14400</x:v>
      </x:c>
      <x:c r="K1284" s="17" t="n">
        <x:f>I1284+J1284</x:f>
        <x:v>94400</x:v>
      </x:c>
    </x:row>
    <x:row r="1285" ht="46" customHeight="1">
      <x:c r="A1285" s="2" t="str">
        <x:v>Sector</x:v>
      </x:c>
      <x:c r="B1285" s="2" t="str">
        <x:v>Engineering &amp; manufacturing</x:v>
      </x:c>
      <x:c r="C1285" s="12" t="str">
        <x:v>Pune</x:v>
      </x:c>
      <x:c r="D1285" s="12" t="str">
        <x:v>MAIN-388</x:v>
      </x:c>
      <x:c r="E1285" s="12" t="str">
        <x:v>Awfis - GK Mall</x:v>
      </x:c>
      <x:c r="F1285" s="11" t="n">
        <x:v>2</x:v>
      </x:c>
      <x:c r="G1285" s="11" t="n">
        <x:v>2</x:v>
      </x:c>
      <x:c r="H1285" s="11" t="n">
        <x:v>0</x:v>
      </x:c>
      <x:c r="I1285" s="17" t="n">
        <x:f>INDEX('Costing'!$P$9:$P$492,MATCH(D1285,'Costing'!$A$9:$A$492,0))</x:f>
        <x:v>30000</x:v>
      </x:c>
      <x:c r="J1285" s="17" t="n">
        <x:f>ROUND(I1285*'Costing'!$C$4,2)</x:f>
        <x:v>5400</x:v>
      </x:c>
      <x:c r="K1285" s="17" t="n">
        <x:f>I1285+J1285</x:f>
        <x:v>35400</x:v>
      </x:c>
    </x:row>
    <x:row r="1286" ht="46" customHeight="1">
      <x:c r="A1286" s="2" t="str">
        <x:v>Sector</x:v>
      </x:c>
      <x:c r="B1286" s="2" t="str">
        <x:v>Engineering &amp; manufacturing</x:v>
      </x:c>
      <x:c r="C1286" s="12" t="str">
        <x:v>Pune</x:v>
      </x:c>
      <x:c r="D1286" s="12" t="str">
        <x:v>MAIN-389</x:v>
      </x:c>
      <x:c r="E1286" s="12" t="str">
        <x:v>Awfis - Nyati Empress</x:v>
      </x:c>
      <x:c r="F1286" s="11" t="n">
        <x:v>2</x:v>
      </x:c>
      <x:c r="G1286" s="11" t="n">
        <x:v>2</x:v>
      </x:c>
      <x:c r="H1286" s="11" t="n">
        <x:v>0</x:v>
      </x:c>
      <x:c r="I1286" s="17" t="n">
        <x:f>INDEX('Costing'!$P$9:$P$492,MATCH(D1286,'Costing'!$A$9:$A$492,0))</x:f>
        <x:v>30000</x:v>
      </x:c>
      <x:c r="J1286" s="17" t="n">
        <x:f>ROUND(I1286*'Costing'!$C$4,2)</x:f>
        <x:v>5400</x:v>
      </x:c>
      <x:c r="K1286" s="17" t="n">
        <x:f>I1286+J1286</x:f>
        <x:v>35400</x:v>
      </x:c>
    </x:row>
    <x:row r="1287" ht="46" customHeight="1">
      <x:c r="A1287" s="2" t="str">
        <x:v>Sector</x:v>
      </x:c>
      <x:c r="B1287" s="2" t="str">
        <x:v>Engineering &amp; manufacturing</x:v>
      </x:c>
      <x:c r="C1287" s="12" t="str">
        <x:v>Pune</x:v>
      </x:c>
      <x:c r="D1287" s="12" t="str">
        <x:v>MAIN-390</x:v>
      </x:c>
      <x:c r="E1287" s="12" t="str">
        <x:v>Awfis - Que Spaces</x:v>
      </x:c>
      <x:c r="F1287" s="11" t="n">
        <x:v>1</x:v>
      </x:c>
      <x:c r="G1287" s="11" t="n">
        <x:v>1</x:v>
      </x:c>
      <x:c r="H1287" s="11" t="n">
        <x:v>0</x:v>
      </x:c>
      <x:c r="I1287" s="17" t="n">
        <x:f>INDEX('Costing'!$P$9:$P$492,MATCH(D1287,'Costing'!$A$9:$A$492,0))</x:f>
        <x:v>15000</x:v>
      </x:c>
      <x:c r="J1287" s="17" t="n">
        <x:f>ROUND(I1287*'Costing'!$C$4,2)</x:f>
        <x:v>2700</x:v>
      </x:c>
      <x:c r="K1287" s="17" t="n">
        <x:f>I1287+J1287</x:f>
        <x:v>17700</x:v>
      </x:c>
    </x:row>
    <x:row r="1288" ht="46" customHeight="1">
      <x:c r="A1288" s="2" t="str">
        <x:v>Sector</x:v>
      </x:c>
      <x:c r="B1288" s="2" t="str">
        <x:v>Engineering &amp; manufacturing</x:v>
      </x:c>
      <x:c r="C1288" s="12" t="str">
        <x:v>Pune</x:v>
      </x:c>
      <x:c r="D1288" s="12" t="str">
        <x:v>MAIN-391</x:v>
      </x:c>
      <x:c r="E1288" s="12" t="str">
        <x:v>Awfis - Sterling Towers</x:v>
      </x:c>
      <x:c r="F1288" s="11" t="n">
        <x:v>1</x:v>
      </x:c>
      <x:c r="G1288" s="11" t="n">
        <x:v>1</x:v>
      </x:c>
      <x:c r="H1288" s="11" t="n">
        <x:v>0</x:v>
      </x:c>
      <x:c r="I1288" s="17" t="n">
        <x:f>INDEX('Costing'!$P$9:$P$492,MATCH(D1288,'Costing'!$A$9:$A$492,0))</x:f>
        <x:v>15000</x:v>
      </x:c>
      <x:c r="J1288" s="17" t="n">
        <x:f>ROUND(I1288*'Costing'!$C$4,2)</x:f>
        <x:v>2700</x:v>
      </x:c>
      <x:c r="K1288" s="17" t="n">
        <x:f>I1288+J1288</x:f>
        <x:v>17700</x:v>
      </x:c>
    </x:row>
    <x:row r="1289" ht="46" customHeight="1">
      <x:c r="A1289" s="2" t="str">
        <x:v>Sector</x:v>
      </x:c>
      <x:c r="B1289" s="2" t="str">
        <x:v>Engineering &amp; manufacturing</x:v>
      </x:c>
      <x:c r="C1289" s="12" t="str">
        <x:v>Pune</x:v>
      </x:c>
      <x:c r="D1289" s="12" t="str">
        <x:v>MAIN-392</x:v>
      </x:c>
      <x:c r="E1289" s="12" t="str">
        <x:v>Awfis - The Kode</x:v>
      </x:c>
      <x:c r="F1289" s="11" t="n">
        <x:v>2</x:v>
      </x:c>
      <x:c r="G1289" s="11" t="n">
        <x:v>2</x:v>
      </x:c>
      <x:c r="H1289" s="11" t="n">
        <x:v>0</x:v>
      </x:c>
      <x:c r="I1289" s="17" t="n">
        <x:f>INDEX('Costing'!$P$9:$P$492,MATCH(D1289,'Costing'!$A$9:$A$492,0))</x:f>
        <x:v>24000</x:v>
      </x:c>
      <x:c r="J1289" s="17" t="n">
        <x:f>ROUND(I1289*'Costing'!$C$4,2)</x:f>
        <x:v>4320</x:v>
      </x:c>
      <x:c r="K1289" s="17" t="n">
        <x:f>I1289+J1289</x:f>
        <x:v>28320</x:v>
      </x:c>
    </x:row>
    <x:row r="1290" ht="46" customHeight="1">
      <x:c r="A1290" s="2" t="str">
        <x:v>Sector</x:v>
      </x:c>
      <x:c r="B1290" s="2" t="str">
        <x:v>Engineering &amp; manufacturing</x:v>
      </x:c>
      <x:c r="C1290" s="12" t="str">
        <x:v>Pune</x:v>
      </x:c>
      <x:c r="D1290" s="12" t="str">
        <x:v>MAIN-403</x:v>
      </x:c>
      <x:c r="E1290" s="12" t="str">
        <x:v>M Agile Tech Park</x:v>
      </x:c>
      <x:c r="F1290" s="11" t="n">
        <x:v>4</x:v>
      </x:c>
      <x:c r="G1290" s="11" t="n">
        <x:v>4</x:v>
      </x:c>
      <x:c r="H1290" s="11" t="n">
        <x:v>0</x:v>
      </x:c>
      <x:c r="I1290" s="17" t="n">
        <x:f>INDEX('Costing'!$P$9:$P$492,MATCH(D1290,'Costing'!$A$9:$A$492,0))</x:f>
        <x:v>80000</x:v>
      </x:c>
      <x:c r="J1290" s="17" t="n">
        <x:f>ROUND(I1290*'Costing'!$C$4,2)</x:f>
        <x:v>14400</x:v>
      </x:c>
      <x:c r="K1290" s="17" t="n">
        <x:f>I1290+J1290</x:f>
        <x:v>94400</x:v>
      </x:c>
    </x:row>
    <x:row r="1291" ht="46" customHeight="1">
      <x:c r="A1291" s="2" t="str">
        <x:v>Sector</x:v>
      </x:c>
      <x:c r="B1291" s="2" t="str">
        <x:v>Engineering &amp; manufacturing</x:v>
      </x:c>
      <x:c r="C1291" s="12" t="str">
        <x:v>Pune</x:v>
      </x:c>
      <x:c r="D1291" s="12" t="str">
        <x:v>MAIN-404</x:v>
      </x:c>
      <x:c r="E1291" s="12" t="str">
        <x:v>Mayfield Towers</x:v>
      </x:c>
      <x:c r="F1291" s="11" t="n">
        <x:v>3</x:v>
      </x:c>
      <x:c r="G1291" s="11" t="n">
        <x:v>3</x:v>
      </x:c>
      <x:c r="H1291" s="11" t="n">
        <x:v>0</x:v>
      </x:c>
      <x:c r="I1291" s="17" t="n">
        <x:f>INDEX('Costing'!$P$9:$P$492,MATCH(D1291,'Costing'!$A$9:$A$492,0))</x:f>
        <x:v>60000</x:v>
      </x:c>
      <x:c r="J1291" s="17" t="n">
        <x:f>ROUND(I1291*'Costing'!$C$4,2)</x:f>
        <x:v>10800</x:v>
      </x:c>
      <x:c r="K1291" s="17" t="n">
        <x:f>I1291+J1291</x:f>
        <x:v>70800</x:v>
      </x:c>
    </x:row>
    <x:row r="1292" ht="46" customHeight="1">
      <x:c r="A1292" s="2" t="str">
        <x:v>Sector</x:v>
      </x:c>
      <x:c r="B1292" s="2" t="str">
        <x:v>Engineering &amp; manufacturing</x:v>
      </x:c>
      <x:c r="C1292" s="12" t="str">
        <x:v>Pune</x:v>
      </x:c>
      <x:c r="D1292" s="12" t="str">
        <x:v>MAIN-407</x:v>
      </x:c>
      <x:c r="E1292" s="12" t="str">
        <x:v>Oyo Workspace - Innov8 Suman Business Park</x:v>
      </x:c>
      <x:c r="F1292" s="11" t="n">
        <x:v>2</x:v>
      </x:c>
      <x:c r="G1292" s="11" t="n">
        <x:v>2</x:v>
      </x:c>
      <x:c r="H1292" s="11" t="n">
        <x:v>0</x:v>
      </x:c>
      <x:c r="I1292" s="17" t="n">
        <x:f>INDEX('Costing'!$P$9:$P$492,MATCH(D1292,'Costing'!$A$9:$A$492,0))</x:f>
        <x:v>30000</x:v>
      </x:c>
      <x:c r="J1292" s="17" t="n">
        <x:f>ROUND(I1292*'Costing'!$C$4,2)</x:f>
        <x:v>5400</x:v>
      </x:c>
      <x:c r="K1292" s="17" t="n">
        <x:f>I1292+J1292</x:f>
        <x:v>35400</x:v>
      </x:c>
    </x:row>
    <x:row r="1293" ht="46" customHeight="1">
      <x:c r="A1293" s="2" t="str">
        <x:v>Sector</x:v>
      </x:c>
      <x:c r="B1293" s="2" t="str">
        <x:v>Engineering &amp; manufacturing</x:v>
      </x:c>
      <x:c r="C1293" s="12" t="str">
        <x:v>Pune</x:v>
      </x:c>
      <x:c r="D1293" s="12" t="str">
        <x:v>MAIN-410</x:v>
      </x:c>
      <x:c r="E1293" s="12" t="str">
        <x:v>PBP Balewadi High Street (Redbrick Offices)</x:v>
      </x:c>
      <x:c r="F1293" s="11" t="n">
        <x:v>1</x:v>
      </x:c>
      <x:c r="G1293" s="11" t="n">
        <x:v>1</x:v>
      </x:c>
      <x:c r="H1293" s="11" t="n">
        <x:v>0</x:v>
      </x:c>
      <x:c r="I1293" s="17" t="n">
        <x:f>INDEX('Costing'!$P$9:$P$492,MATCH(D1293,'Costing'!$A$9:$A$492,0))</x:f>
        <x:v>15000</x:v>
      </x:c>
      <x:c r="J1293" s="17" t="n">
        <x:f>ROUND(I1293*'Costing'!$C$4,2)</x:f>
        <x:v>2700</x:v>
      </x:c>
      <x:c r="K1293" s="17" t="n">
        <x:f>I1293+J1293</x:f>
        <x:v>17700</x:v>
      </x:c>
    </x:row>
    <x:row r="1294" ht="46" customHeight="1">
      <x:c r="A1294" s="2" t="str">
        <x:v>Sector</x:v>
      </x:c>
      <x:c r="B1294" s="2" t="str">
        <x:v>Engineering &amp; manufacturing</x:v>
      </x:c>
      <x:c r="C1294" s="12" t="str">
        <x:v>Pune</x:v>
      </x:c>
      <x:c r="D1294" s="12" t="str">
        <x:v>MAIN-413</x:v>
      </x:c>
      <x:c r="E1294" s="12" t="str">
        <x:v>Raheja Mindspaces - Yerawada</x:v>
      </x:c>
      <x:c r="F1294" s="11" t="n">
        <x:v>2</x:v>
      </x:c>
      <x:c r="G1294" s="11" t="n">
        <x:v>2</x:v>
      </x:c>
      <x:c r="H1294" s="11" t="n">
        <x:v>0</x:v>
      </x:c>
      <x:c r="I1294" s="17" t="n">
        <x:f>INDEX('Costing'!$P$9:$P$492,MATCH(D1294,'Costing'!$A$9:$A$492,0))</x:f>
        <x:v>80000</x:v>
      </x:c>
      <x:c r="J1294" s="17" t="n">
        <x:f>ROUND(I1294*'Costing'!$C$4,2)</x:f>
        <x:v>14400</x:v>
      </x:c>
      <x:c r="K1294" s="17" t="n">
        <x:f>I1294+J1294</x:f>
        <x:v>94400</x:v>
      </x:c>
    </x:row>
    <x:row r="1295" ht="46" customHeight="1">
      <x:c r="A1295" s="2" t="str">
        <x:v>Sector</x:v>
      </x:c>
      <x:c r="B1295" s="2" t="str">
        <x:v>Engineering &amp; manufacturing</x:v>
      </x:c>
      <x:c r="C1295" s="12" t="str">
        <x:v>Pune</x:v>
      </x:c>
      <x:c r="D1295" s="12" t="str">
        <x:v>MAIN-414</x:v>
      </x:c>
      <x:c r="E1295" s="12" t="str">
        <x:v>Smartworks Amar Madhuban Tech Park</x:v>
      </x:c>
      <x:c r="F1295" s="11" t="n">
        <x:v>3</x:v>
      </x:c>
      <x:c r="G1295" s="11" t="n">
        <x:v>3</x:v>
      </x:c>
      <x:c r="H1295" s="11" t="n">
        <x:v>0</x:v>
      </x:c>
      <x:c r="I1295" s="17" t="n">
        <x:f>INDEX('Costing'!$P$9:$P$492,MATCH(D1295,'Costing'!$A$9:$A$492,0))</x:f>
        <x:v>60000</x:v>
      </x:c>
      <x:c r="J1295" s="17" t="n">
        <x:f>ROUND(I1295*'Costing'!$C$4,2)</x:f>
        <x:v>10800</x:v>
      </x:c>
      <x:c r="K1295" s="17" t="n">
        <x:f>I1295+J1295</x:f>
        <x:v>70800</x:v>
      </x:c>
    </x:row>
    <x:row r="1296" ht="46" customHeight="1">
      <x:c r="A1296" s="2" t="str">
        <x:v>Sector</x:v>
      </x:c>
      <x:c r="B1296" s="2" t="str">
        <x:v>Engineering &amp; manufacturing</x:v>
      </x:c>
      <x:c r="C1296" s="12" t="str">
        <x:v>Pune</x:v>
      </x:c>
      <x:c r="D1296" s="12" t="str">
        <x:v>MAIN-415</x:v>
      </x:c>
      <x:c r="E1296" s="12" t="str">
        <x:v>The Powerpoint Coworking Space</x:v>
      </x:c>
      <x:c r="F1296" s="11" t="n">
        <x:v>1</x:v>
      </x:c>
      <x:c r="G1296" s="11" t="n">
        <x:v>1</x:v>
      </x:c>
      <x:c r="H1296" s="11" t="n">
        <x:v>0</x:v>
      </x:c>
      <x:c r="I1296" s="17" t="n">
        <x:f>INDEX('Costing'!$P$9:$P$492,MATCH(D1296,'Costing'!$A$9:$A$492,0))</x:f>
        <x:v>15000</x:v>
      </x:c>
      <x:c r="J1296" s="17" t="n">
        <x:f>ROUND(I1296*'Costing'!$C$4,2)</x:f>
        <x:v>2700</x:v>
      </x:c>
      <x:c r="K1296" s="17" t="n">
        <x:f>I1296+J1296</x:f>
        <x:v>17700</x:v>
      </x:c>
    </x:row>
    <x:row r="1297" ht="46" customHeight="1">
      <x:c r="A1297" s="2" t="str">
        <x:v>Sector</x:v>
      </x:c>
      <x:c r="B1297" s="2" t="str">
        <x:v>Engineering &amp; manufacturing</x:v>
      </x:c>
      <x:c r="C1297" s="12" t="str">
        <x:v>Pune</x:v>
      </x:c>
      <x:c r="D1297" s="12" t="str">
        <x:v>MAIN-417</x:v>
      </x:c>
      <x:c r="E1297" s="12" t="str">
        <x:v>Wework - Eleven West</x:v>
      </x:c>
      <x:c r="F1297" s="11" t="n">
        <x:v>4</x:v>
      </x:c>
      <x:c r="G1297" s="11" t="n">
        <x:v>4</x:v>
      </x:c>
      <x:c r="H1297" s="11" t="n">
        <x:v>0</x:v>
      </x:c>
      <x:c r="I1297" s="17" t="n">
        <x:f>INDEX('Costing'!$P$9:$P$492,MATCH(D1297,'Costing'!$A$9:$A$492,0))</x:f>
        <x:v>100000</x:v>
      </x:c>
      <x:c r="J1297" s="17" t="n">
        <x:f>ROUND(I1297*'Costing'!$C$4,2)</x:f>
        <x:v>18000</x:v>
      </x:c>
      <x:c r="K1297" s="17" t="n">
        <x:f>I1297+J1297</x:f>
        <x:v>118000</x:v>
      </x:c>
    </x:row>
    <x:row r="1298" ht="46" customHeight="1">
      <x:c r="A1298" s="2" t="str">
        <x:v>Sector</x:v>
      </x:c>
      <x:c r="B1298" s="2" t="str">
        <x:v>Engineering &amp; manufacturing</x:v>
      </x:c>
      <x:c r="C1298" s="12" t="str">
        <x:v>Bengaluru</x:v>
      </x:c>
      <x:c r="D1298" s="12" t="str">
        <x:v>PARTNER-M138</x:v>
      </x:c>
      <x:c r="E1298" s="12" t="str">
        <x:v>Bagmane Capital</x:v>
      </x:c>
      <x:c r="F1298" s="11" t="n">
        <x:v>8</x:v>
      </x:c>
      <x:c r="G1298" s="11" t="n">
        <x:v>8</x:v>
      </x:c>
      <x:c r="H1298" s="11" t="n">
        <x:v>0</x:v>
      </x:c>
      <x:c r="I1298" s="17" t="n">
        <x:f>INDEX('Costing'!$P$9:$P$492,MATCH(D1298,'Costing'!$A$9:$A$492,0))</x:f>
        <x:v>320000</x:v>
      </x:c>
      <x:c r="J1298" s="17" t="n">
        <x:f>ROUND(I1298*'Costing'!$C$4,2)</x:f>
        <x:v>57600</x:v>
      </x:c>
      <x:c r="K1298" s="17" t="n">
        <x:f>I1298+J1298</x:f>
        <x:v>377600</x:v>
      </x:c>
    </x:row>
    <x:row r="1299" ht="46" customHeight="1">
      <x:c r="A1299" s="2" t="str">
        <x:v>Sector</x:v>
      </x:c>
      <x:c r="B1299" s="2" t="str">
        <x:v>Engineering &amp; manufacturing</x:v>
      </x:c>
      <x:c r="C1299" s="12" t="str">
        <x:v>Bengaluru</x:v>
      </x:c>
      <x:c r="D1299" s="12" t="str">
        <x:v>PARTNER-M130</x:v>
      </x:c>
      <x:c r="E1299" s="12" t="str">
        <x:v>Bagmane Constellation </x:v>
      </x:c>
      <x:c r="F1299" s="11" t="n">
        <x:v>8</x:v>
      </x:c>
      <x:c r="G1299" s="11" t="n">
        <x:v>8</x:v>
      </x:c>
      <x:c r="H1299" s="11" t="n">
        <x:v>0</x:v>
      </x:c>
      <x:c r="I1299" s="17" t="n">
        <x:f>INDEX('Costing'!$P$9:$P$492,MATCH(D1299,'Costing'!$A$9:$A$492,0))</x:f>
        <x:v>320000</x:v>
      </x:c>
      <x:c r="J1299" s="17" t="n">
        <x:f>ROUND(I1299*'Costing'!$C$4,2)</x:f>
        <x:v>57600</x:v>
      </x:c>
      <x:c r="K1299" s="17" t="n">
        <x:f>I1299+J1299</x:f>
        <x:v>377600</x:v>
      </x:c>
    </x:row>
    <x:row r="1300" ht="46" customHeight="1">
      <x:c r="A1300" s="2" t="str">
        <x:v>Sector</x:v>
      </x:c>
      <x:c r="B1300" s="2" t="str">
        <x:v>Engineering &amp; manufacturing</x:v>
      </x:c>
      <x:c r="C1300" s="12" t="str">
        <x:v>Bengaluru</x:v>
      </x:c>
      <x:c r="D1300" s="12" t="str">
        <x:v>PARTNER-M146</x:v>
      </x:c>
      <x:c r="E1300" s="12" t="str">
        <x:v>Bagmane Solarium</x:v>
      </x:c>
      <x:c r="F1300" s="11" t="n">
        <x:v>8</x:v>
      </x:c>
      <x:c r="G1300" s="11" t="n">
        <x:v>8</x:v>
      </x:c>
      <x:c r="H1300" s="11" t="n">
        <x:v>0</x:v>
      </x:c>
      <x:c r="I1300" s="17" t="n">
        <x:f>INDEX('Costing'!$P$9:$P$492,MATCH(D1300,'Costing'!$A$9:$A$492,0))</x:f>
        <x:v>320000</x:v>
      </x:c>
      <x:c r="J1300" s="17" t="n">
        <x:f>ROUND(I1300*'Costing'!$C$4,2)</x:f>
        <x:v>57600</x:v>
      </x:c>
      <x:c r="K1300" s="17" t="n">
        <x:f>I1300+J1300</x:f>
        <x:v>377600</x:v>
      </x:c>
    </x:row>
    <x:row r="1301" ht="46" customHeight="1">
      <x:c r="A1301" s="2" t="str">
        <x:v>Sector</x:v>
      </x:c>
      <x:c r="B1301" s="2" t="str">
        <x:v>Engineering &amp; manufacturing</x:v>
      </x:c>
      <x:c r="C1301" s="12" t="str">
        <x:v>Bengaluru</x:v>
      </x:c>
      <x:c r="D1301" s="12" t="str">
        <x:v>PARTNER-M108</x:v>
      </x:c>
      <x:c r="E1301" s="12" t="str">
        <x:v>Bagmane Tech Park</x:v>
      </x:c>
      <x:c r="F1301" s="11" t="n">
        <x:v>12</x:v>
      </x:c>
      <x:c r="G1301" s="11" t="n">
        <x:v>12</x:v>
      </x:c>
      <x:c r="H1301" s="11" t="n">
        <x:v>0</x:v>
      </x:c>
      <x:c r="I1301" s="17" t="n">
        <x:f>INDEX('Costing'!$P$9:$P$492,MATCH(D1301,'Costing'!$A$9:$A$492,0))</x:f>
        <x:v>480000</x:v>
      </x:c>
      <x:c r="J1301" s="17" t="n">
        <x:f>ROUND(I1301*'Costing'!$C$4,2)</x:f>
        <x:v>86400</x:v>
      </x:c>
      <x:c r="K1301" s="17" t="n">
        <x:f>I1301+J1301</x:f>
        <x:v>566400</x:v>
      </x:c>
    </x:row>
    <x:row r="1302" ht="46" customHeight="1">
      <x:c r="A1302" s="2" t="str">
        <x:v>Sector</x:v>
      </x:c>
      <x:c r="B1302" s="2" t="str">
        <x:v>Engineering &amp; manufacturing</x:v>
      </x:c>
      <x:c r="C1302" s="12" t="str">
        <x:v>Bengaluru</x:v>
      </x:c>
      <x:c r="D1302" s="12" t="str">
        <x:v>PARTNER-M120</x:v>
      </x:c>
      <x:c r="E1302" s="12" t="str">
        <x:v>Bagmane World Technology Centre</x:v>
      </x:c>
      <x:c r="F1302" s="11" t="n">
        <x:v>10</x:v>
      </x:c>
      <x:c r="G1302" s="11" t="n">
        <x:v>10</x:v>
      </x:c>
      <x:c r="H1302" s="11" t="n">
        <x:v>0</x:v>
      </x:c>
      <x:c r="I1302" s="17" t="n">
        <x:f>INDEX('Costing'!$P$9:$P$492,MATCH(D1302,'Costing'!$A$9:$A$492,0))</x:f>
        <x:v>400000</x:v>
      </x:c>
      <x:c r="J1302" s="17" t="n">
        <x:f>ROUND(I1302*'Costing'!$C$4,2)</x:f>
        <x:v>72000</x:v>
      </x:c>
      <x:c r="K1302" s="17" t="n">
        <x:f>I1302+J1302</x:f>
        <x:v>472000</x:v>
      </x:c>
    </x:row>
    <x:row r="1303" ht="46" customHeight="1">
      <x:c r="A1303" s="2" t="str">
        <x:v>Sector</x:v>
      </x:c>
      <x:c r="B1303" s="2" t="str">
        <x:v>Engineering &amp; manufacturing</x:v>
      </x:c>
      <x:c r="C1303" s="12" t="str">
        <x:v>Bengaluru</x:v>
      </x:c>
      <x:c r="D1303" s="12" t="str">
        <x:v>PARTNER-M056</x:v>
      </x:c>
      <x:c r="E1303" s="12" t="str">
        <x:v>Brigade IRV</x:v>
      </x:c>
      <x:c r="F1303" s="11" t="n">
        <x:v>4</x:v>
      </x:c>
      <x:c r="G1303" s="11" t="n">
        <x:v>4</x:v>
      </x:c>
      <x:c r="H1303" s="11" t="n">
        <x:v>0</x:v>
      </x:c>
      <x:c r="I1303" s="17" t="n">
        <x:f>INDEX('Costing'!$P$9:$P$492,MATCH(D1303,'Costing'!$A$9:$A$492,0))</x:f>
        <x:v>160000</x:v>
      </x:c>
      <x:c r="J1303" s="17" t="n">
        <x:f>ROUND(I1303*'Costing'!$C$4,2)</x:f>
        <x:v>28800</x:v>
      </x:c>
      <x:c r="K1303" s="17" t="n">
        <x:f>I1303+J1303</x:f>
        <x:v>188800</x:v>
      </x:c>
    </x:row>
    <x:row r="1304" ht="46" customHeight="1">
      <x:c r="A1304" s="2" t="str">
        <x:v>Sector</x:v>
      </x:c>
      <x:c r="B1304" s="2" t="str">
        <x:v>Engineering &amp; manufacturing</x:v>
      </x:c>
      <x:c r="C1304" s="12" t="str">
        <x:v>Bengaluru</x:v>
      </x:c>
      <x:c r="D1304" s="12" t="str">
        <x:v>PARTNER-M166</x:v>
      </x:c>
      <x:c r="E1304" s="12" t="str">
        <x:v>Cessna Business Park</x:v>
      </x:c>
      <x:c r="F1304" s="11" t="n">
        <x:v>3</x:v>
      </x:c>
      <x:c r="G1304" s="11" t="n">
        <x:v>3</x:v>
      </x:c>
      <x:c r="H1304" s="11" t="n">
        <x:v>0</x:v>
      </x:c>
      <x:c r="I1304" s="17" t="n">
        <x:f>INDEX('Costing'!$P$9:$P$492,MATCH(D1304,'Costing'!$A$9:$A$492,0))</x:f>
        <x:v>120000</x:v>
      </x:c>
      <x:c r="J1304" s="17" t="n">
        <x:f>ROUND(I1304*'Costing'!$C$4,2)</x:f>
        <x:v>21600</x:v>
      </x:c>
      <x:c r="K1304" s="17" t="n">
        <x:f>I1304+J1304</x:f>
        <x:v>141600</x:v>
      </x:c>
    </x:row>
    <x:row r="1305" ht="46" customHeight="1">
      <x:c r="A1305" s="2" t="str">
        <x:v>Sector</x:v>
      </x:c>
      <x:c r="B1305" s="2" t="str">
        <x:v>Engineering &amp; manufacturing</x:v>
      </x:c>
      <x:c r="C1305" s="12" t="str">
        <x:v>Bengaluru</x:v>
      </x:c>
      <x:c r="D1305" s="12" t="str">
        <x:v>PARTNER-M162</x:v>
      </x:c>
      <x:c r="E1305" s="12" t="str">
        <x:v>Fincity Corproate Park </x:v>
      </x:c>
      <x:c r="F1305" s="11" t="n">
        <x:v>4</x:v>
      </x:c>
      <x:c r="G1305" s="11" t="n">
        <x:v>4</x:v>
      </x:c>
      <x:c r="H1305" s="11" t="n">
        <x:v>0</x:v>
      </x:c>
      <x:c r="I1305" s="17" t="n">
        <x:f>INDEX('Costing'!$P$9:$P$492,MATCH(D1305,'Costing'!$A$9:$A$492,0))</x:f>
        <x:v>160000</x:v>
      </x:c>
      <x:c r="J1305" s="17" t="n">
        <x:f>ROUND(I1305*'Costing'!$C$4,2)</x:f>
        <x:v>28800</x:v>
      </x:c>
      <x:c r="K1305" s="17" t="n">
        <x:f>I1305+J1305</x:f>
        <x:v>188800</x:v>
      </x:c>
    </x:row>
    <x:row r="1306" ht="46" customHeight="1">
      <x:c r="A1306" s="2" t="str">
        <x:v>Sector</x:v>
      </x:c>
      <x:c r="B1306" s="2" t="str">
        <x:v>Engineering &amp; manufacturing</x:v>
      </x:c>
      <x:c r="C1306" s="12" t="str">
        <x:v>Bengaluru</x:v>
      </x:c>
      <x:c r="D1306" s="12" t="str">
        <x:v>PARTNER-M060</x:v>
      </x:c>
      <x:c r="E1306" s="12" t="str">
        <x:v>Global Tech Park</x:v>
      </x:c>
      <x:c r="F1306" s="11" t="n">
        <x:v>5</x:v>
      </x:c>
      <x:c r="G1306" s="11" t="n">
        <x:v>5</x:v>
      </x:c>
      <x:c r="H1306" s="11" t="n">
        <x:v>0</x:v>
      </x:c>
      <x:c r="I1306" s="17" t="n">
        <x:f>INDEX('Costing'!$P$9:$P$492,MATCH(D1306,'Costing'!$A$9:$A$492,0))</x:f>
        <x:v>200000</x:v>
      </x:c>
      <x:c r="J1306" s="17" t="n">
        <x:f>ROUND(I1306*'Costing'!$C$4,2)</x:f>
        <x:v>36000</x:v>
      </x:c>
      <x:c r="K1306" s="17" t="n">
        <x:f>I1306+J1306</x:f>
        <x:v>236000</x:v>
      </x:c>
    </x:row>
    <x:row r="1307" ht="46" customHeight="1">
      <x:c r="A1307" s="2" t="str">
        <x:v>Sector</x:v>
      </x:c>
      <x:c r="B1307" s="2" t="str">
        <x:v>Engineering &amp; manufacturing</x:v>
      </x:c>
      <x:c r="C1307" s="12" t="str">
        <x:v>Bengaluru</x:v>
      </x:c>
      <x:c r="D1307" s="12" t="str">
        <x:v>PARTNER-M002</x:v>
      </x:c>
      <x:c r="E1307" s="12" t="str">
        <x:v>International Tech Park (ITPB)</x:v>
      </x:c>
      <x:c r="F1307" s="11" t="n">
        <x:v>9</x:v>
      </x:c>
      <x:c r="G1307" s="11" t="n">
        <x:v>9</x:v>
      </x:c>
      <x:c r="H1307" s="11" t="n">
        <x:v>0</x:v>
      </x:c>
      <x:c r="I1307" s="17" t="n">
        <x:f>INDEX('Costing'!$P$9:$P$492,MATCH(D1307,'Costing'!$A$9:$A$492,0))</x:f>
        <x:v>360000</x:v>
      </x:c>
      <x:c r="J1307" s="17" t="n">
        <x:f>ROUND(I1307*'Costing'!$C$4,2)</x:f>
        <x:v>64800</x:v>
      </x:c>
      <x:c r="K1307" s="17" t="n">
        <x:f>I1307+J1307</x:f>
        <x:v>424800</x:v>
      </x:c>
    </x:row>
    <x:row r="1308" ht="46" customHeight="1">
      <x:c r="A1308" s="2" t="str">
        <x:v>Sector</x:v>
      </x:c>
      <x:c r="B1308" s="2" t="str">
        <x:v>Engineering &amp; manufacturing</x:v>
      </x:c>
      <x:c r="C1308" s="12" t="str">
        <x:v>Bengaluru</x:v>
      </x:c>
      <x:c r="D1308" s="12" t="str">
        <x:v>PARTNER-M051</x:v>
      </x:c>
      <x:c r="E1308" s="12" t="str">
        <x:v>Manyata Tech park - Mfar</x:v>
      </x:c>
      <x:c r="F1308" s="11" t="n">
        <x:v>5</x:v>
      </x:c>
      <x:c r="G1308" s="11" t="n">
        <x:v>5</x:v>
      </x:c>
      <x:c r="H1308" s="11" t="n">
        <x:v>0</x:v>
      </x:c>
      <x:c r="I1308" s="17" t="n">
        <x:f>INDEX('Costing'!$P$9:$P$492,MATCH(D1308,'Costing'!$A$9:$A$492,0))</x:f>
        <x:v>200000</x:v>
      </x:c>
      <x:c r="J1308" s="17" t="n">
        <x:f>ROUND(I1308*'Costing'!$C$4,2)</x:f>
        <x:v>36000</x:v>
      </x:c>
      <x:c r="K1308" s="17" t="n">
        <x:f>I1308+J1308</x:f>
        <x:v>236000</x:v>
      </x:c>
    </x:row>
    <x:row r="1309" ht="46" customHeight="1">
      <x:c r="A1309" s="2" t="str">
        <x:v>Sector</x:v>
      </x:c>
      <x:c r="B1309" s="2" t="str">
        <x:v>Engineering &amp; manufacturing</x:v>
      </x:c>
      <x:c r="C1309" s="12" t="str">
        <x:v>Bengaluru</x:v>
      </x:c>
      <x:c r="D1309" s="12" t="str">
        <x:v>PARTNER-M154</x:v>
      </x:c>
      <x:c r="E1309" s="12" t="str">
        <x:v>Maruthi Infotech Center</x:v>
      </x:c>
      <x:c r="F1309" s="11" t="n">
        <x:v>8</x:v>
      </x:c>
      <x:c r="G1309" s="11" t="n">
        <x:v>8</x:v>
      </x:c>
      <x:c r="H1309" s="11" t="n">
        <x:v>0</x:v>
      </x:c>
      <x:c r="I1309" s="17" t="n">
        <x:f>INDEX('Costing'!$P$9:$P$492,MATCH(D1309,'Costing'!$A$9:$A$492,0))</x:f>
        <x:v>320000</x:v>
      </x:c>
      <x:c r="J1309" s="17" t="n">
        <x:f>ROUND(I1309*'Costing'!$C$4,2)</x:f>
        <x:v>57600</x:v>
      </x:c>
      <x:c r="K1309" s="17" t="n">
        <x:f>I1309+J1309</x:f>
        <x:v>377600</x:v>
      </x:c>
    </x:row>
    <x:row r="1310" ht="46" customHeight="1">
      <x:c r="A1310" s="2" t="str">
        <x:v>Sector</x:v>
      </x:c>
      <x:c r="B1310" s="2" t="str">
        <x:v>Engineering &amp; manufacturing</x:v>
      </x:c>
      <x:c r="C1310" s="12" t="str">
        <x:v>Bengaluru</x:v>
      </x:c>
      <x:c r="D1310" s="12" t="str">
        <x:v>PARTNER-M097</x:v>
      </x:c>
      <x:c r="E1310" s="12" t="str">
        <x:v>Prestige Blue Chip </x:v>
      </x:c>
      <x:c r="F1310" s="11" t="n">
        <x:v>3</x:v>
      </x:c>
      <x:c r="G1310" s="11" t="n">
        <x:v>3</x:v>
      </x:c>
      <x:c r="H1310" s="11" t="n">
        <x:v>0</x:v>
      </x:c>
      <x:c r="I1310" s="17" t="n">
        <x:f>INDEX('Costing'!$P$9:$P$492,MATCH(D1310,'Costing'!$A$9:$A$492,0))</x:f>
        <x:v>120000</x:v>
      </x:c>
      <x:c r="J1310" s="17" t="n">
        <x:f>ROUND(I1310*'Costing'!$C$4,2)</x:f>
        <x:v>21600</x:v>
      </x:c>
      <x:c r="K1310" s="17" t="n">
        <x:f>I1310+J1310</x:f>
        <x:v>141600</x:v>
      </x:c>
    </x:row>
    <x:row r="1311" ht="46" customHeight="1">
      <x:c r="A1311" s="2" t="str">
        <x:v>Sector</x:v>
      </x:c>
      <x:c r="B1311" s="2" t="str">
        <x:v>Engineering &amp; manufacturing</x:v>
      </x:c>
      <x:c r="C1311" s="12" t="str">
        <x:v>Bengaluru</x:v>
      </x:c>
      <x:c r="D1311" s="12" t="str">
        <x:v>PARTNER-M100</x:v>
      </x:c>
      <x:c r="E1311" s="12" t="str">
        <x:v>Prestige Obelisk + Prestige Atrium + Prestige Sapphire + Prestige Al Kareem + Prestige Delta</x:v>
      </x:c>
      <x:c r="F1311" s="11" t="n">
        <x:v>8</x:v>
      </x:c>
      <x:c r="G1311" s="11" t="n">
        <x:v>8</x:v>
      </x:c>
      <x:c r="H1311" s="11" t="n">
        <x:v>0</x:v>
      </x:c>
      <x:c r="I1311" s="17" t="n">
        <x:f>INDEX('Costing'!$P$9:$P$492,MATCH(D1311,'Costing'!$A$9:$A$492,0))</x:f>
        <x:v>320000</x:v>
      </x:c>
      <x:c r="J1311" s="17" t="n">
        <x:f>ROUND(I1311*'Costing'!$C$4,2)</x:f>
        <x:v>57600</x:v>
      </x:c>
      <x:c r="K1311" s="17" t="n">
        <x:f>I1311+J1311</x:f>
        <x:v>377600</x:v>
      </x:c>
    </x:row>
    <x:row r="1312" ht="46" customHeight="1">
      <x:c r="A1312" s="2" t="str">
        <x:v>Sector</x:v>
      </x:c>
      <x:c r="B1312" s="2" t="str">
        <x:v>Engineering &amp; manufacturing</x:v>
      </x:c>
      <x:c r="C1312" s="12" t="str">
        <x:v>Bengaluru</x:v>
      </x:c>
      <x:c r="D1312" s="12" t="str">
        <x:v>PARTNER-M027</x:v>
      </x:c>
      <x:c r="E1312" s="12" t="str">
        <x:v>Prestige Shantiniketan</x:v>
      </x:c>
      <x:c r="F1312" s="11" t="n">
        <x:v>7</x:v>
      </x:c>
      <x:c r="G1312" s="11" t="n">
        <x:v>7</x:v>
      </x:c>
      <x:c r="H1312" s="11" t="n">
        <x:v>0</x:v>
      </x:c>
      <x:c r="I1312" s="17" t="n">
        <x:f>INDEX('Costing'!$P$9:$P$492,MATCH(D1312,'Costing'!$A$9:$A$492,0))</x:f>
        <x:v>280000</x:v>
      </x:c>
      <x:c r="J1312" s="17" t="n">
        <x:f>ROUND(I1312*'Costing'!$C$4,2)</x:f>
        <x:v>50400</x:v>
      </x:c>
      <x:c r="K1312" s="17" t="n">
        <x:f>I1312+J1312</x:f>
        <x:v>330400</x:v>
      </x:c>
    </x:row>
    <x:row r="1313" ht="46" customHeight="1">
      <x:c r="A1313" s="2" t="str">
        <x:v>Sector</x:v>
      </x:c>
      <x:c r="B1313" s="2" t="str">
        <x:v>Engineering &amp; manufacturing</x:v>
      </x:c>
      <x:c r="C1313" s="12" t="str">
        <x:v>Bengaluru</x:v>
      </x:c>
      <x:c r="D1313" s="12" t="str">
        <x:v>PARTNER-M039</x:v>
      </x:c>
      <x:c r="E1313" s="12" t="str">
        <x:v>Prestige Tech Cloud</x:v>
      </x:c>
      <x:c r="F1313" s="11" t="n">
        <x:v>6</x:v>
      </x:c>
      <x:c r="G1313" s="11" t="n">
        <x:v>6</x:v>
      </x:c>
      <x:c r="H1313" s="11" t="n">
        <x:v>0</x:v>
      </x:c>
      <x:c r="I1313" s="17" t="n">
        <x:f>INDEX('Costing'!$P$9:$P$492,MATCH(D1313,'Costing'!$A$9:$A$492,0))</x:f>
        <x:v>240000</x:v>
      </x:c>
      <x:c r="J1313" s="17" t="n">
        <x:f>ROUND(I1313*'Costing'!$C$4,2)</x:f>
        <x:v>43200</x:v>
      </x:c>
      <x:c r="K1313" s="17" t="n">
        <x:f>I1313+J1313</x:f>
        <x:v>283200</x:v>
      </x:c>
    </x:row>
    <x:row r="1314" ht="46" customHeight="1">
      <x:c r="A1314" s="2" t="str">
        <x:v>Sector</x:v>
      </x:c>
      <x:c r="B1314" s="2" t="str">
        <x:v>Engineering &amp; manufacturing</x:v>
      </x:c>
      <x:c r="C1314" s="12" t="str">
        <x:v>Bengaluru</x:v>
      </x:c>
      <x:c r="D1314" s="12" t="str">
        <x:v>PARTNER-M045</x:v>
      </x:c>
      <x:c r="E1314" s="12" t="str">
        <x:v>Prestige Tech Pacific</x:v>
      </x:c>
      <x:c r="F1314" s="11" t="n">
        <x:v>6</x:v>
      </x:c>
      <x:c r="G1314" s="11" t="n">
        <x:v>6</x:v>
      </x:c>
      <x:c r="H1314" s="11" t="n">
        <x:v>0</x:v>
      </x:c>
      <x:c r="I1314" s="17" t="n">
        <x:f>INDEX('Costing'!$P$9:$P$492,MATCH(D1314,'Costing'!$A$9:$A$492,0))</x:f>
        <x:v>240000</x:v>
      </x:c>
      <x:c r="J1314" s="17" t="n">
        <x:f>ROUND(I1314*'Costing'!$C$4,2)</x:f>
        <x:v>43200</x:v>
      </x:c>
      <x:c r="K1314" s="17" t="n">
        <x:f>I1314+J1314</x:f>
        <x:v>283200</x:v>
      </x:c>
    </x:row>
    <x:row r="1315" ht="46" customHeight="1">
      <x:c r="A1315" s="2" t="str">
        <x:v>Sector</x:v>
      </x:c>
      <x:c r="B1315" s="2" t="str">
        <x:v>Engineering &amp; manufacturing</x:v>
      </x:c>
      <x:c r="C1315" s="12" t="str">
        <x:v>Bengaluru</x:v>
      </x:c>
      <x:c r="D1315" s="12" t="str">
        <x:v>PARTNER-M014</x:v>
      </x:c>
      <x:c r="E1315" s="12" t="str">
        <x:v>Prestige Tech Park</x:v>
      </x:c>
      <x:c r="F1315" s="11" t="n">
        <x:v>10</x:v>
      </x:c>
      <x:c r="G1315" s="11" t="n">
        <x:v>10</x:v>
      </x:c>
      <x:c r="H1315" s="11" t="n">
        <x:v>0</x:v>
      </x:c>
      <x:c r="I1315" s="17" t="n">
        <x:f>INDEX('Costing'!$P$9:$P$492,MATCH(D1315,'Costing'!$A$9:$A$492,0))</x:f>
        <x:v>400000</x:v>
      </x:c>
      <x:c r="J1315" s="17" t="n">
        <x:f>ROUND(I1315*'Costing'!$C$4,2)</x:f>
        <x:v>72000</x:v>
      </x:c>
      <x:c r="K1315" s="17" t="n">
        <x:f>I1315+J1315</x:f>
        <x:v>472000</x:v>
      </x:c>
    </x:row>
    <x:row r="1316" ht="46" customHeight="1">
      <x:c r="A1316" s="2" t="str">
        <x:v>Sector</x:v>
      </x:c>
      <x:c r="B1316" s="2" t="str">
        <x:v>Engineering &amp; manufacturing</x:v>
      </x:c>
      <x:c r="C1316" s="12" t="str">
        <x:v>Bengaluru</x:v>
      </x:c>
      <x:c r="D1316" s="12" t="str">
        <x:v>PARTNER-M034</x:v>
      </x:c>
      <x:c r="E1316" s="12" t="str">
        <x:v>Prestige Technostar</x:v>
      </x:c>
      <x:c r="F1316" s="11" t="n">
        <x:v>5</x:v>
      </x:c>
      <x:c r="G1316" s="11" t="n">
        <x:v>5</x:v>
      </x:c>
      <x:c r="H1316" s="11" t="n">
        <x:v>0</x:v>
      </x:c>
      <x:c r="I1316" s="17" t="n">
        <x:f>INDEX('Costing'!$P$9:$P$492,MATCH(D1316,'Costing'!$A$9:$A$492,0))</x:f>
        <x:v>200000</x:v>
      </x:c>
      <x:c r="J1316" s="17" t="n">
        <x:f>ROUND(I1316*'Costing'!$C$4,2)</x:f>
        <x:v>36000</x:v>
      </x:c>
      <x:c r="K1316" s="17" t="n">
        <x:f>I1316+J1316</x:f>
        <x:v>236000</x:v>
      </x:c>
    </x:row>
    <x:row r="1317" ht="46" customHeight="1">
      <x:c r="A1317" s="2" t="str">
        <x:v>Sector</x:v>
      </x:c>
      <x:c r="B1317" s="2" t="str">
        <x:v>Engineering &amp; manufacturing</x:v>
      </x:c>
      <x:c r="C1317" s="12" t="str">
        <x:v>Bengaluru</x:v>
      </x:c>
      <x:c r="D1317" s="12" t="str">
        <x:v>PARTNER-M070</x:v>
      </x:c>
      <x:c r="E1317" s="12" t="str">
        <x:v>Roach Icon</x:v>
      </x:c>
      <x:c r="F1317" s="11" t="n">
        <x:v>2</x:v>
      </x:c>
      <x:c r="G1317" s="11" t="n">
        <x:v>2</x:v>
      </x:c>
      <x:c r="H1317" s="11" t="n">
        <x:v>0</x:v>
      </x:c>
      <x:c r="I1317" s="17" t="n">
        <x:f>INDEX('Costing'!$P$9:$P$492,MATCH(D1317,'Costing'!$A$9:$A$492,0))</x:f>
        <x:v>80000</x:v>
      </x:c>
      <x:c r="J1317" s="17" t="n">
        <x:f>ROUND(I1317*'Costing'!$C$4,2)</x:f>
        <x:v>14400</x:v>
      </x:c>
      <x:c r="K1317" s="17" t="n">
        <x:f>I1317+J1317</x:f>
        <x:v>94400</x:v>
      </x:c>
    </x:row>
    <x:row r="1318" ht="46" customHeight="1">
      <x:c r="A1318" s="2" t="str">
        <x:v>Sector</x:v>
      </x:c>
      <x:c r="B1318" s="2" t="str">
        <x:v>Engineering &amp; manufacturing</x:v>
      </x:c>
      <x:c r="C1318" s="12" t="str">
        <x:v>Bengaluru</x:v>
      </x:c>
      <x:c r="D1318" s="12" t="str">
        <x:v>PARTNER-M072</x:v>
      </x:c>
      <x:c r="E1318" s="12" t="str">
        <x:v>Umiya Business Bay</x:v>
      </x:c>
      <x:c r="F1318" s="11" t="n">
        <x:v>6</x:v>
      </x:c>
      <x:c r="G1318" s="11" t="n">
        <x:v>6</x:v>
      </x:c>
      <x:c r="H1318" s="11" t="n">
        <x:v>0</x:v>
      </x:c>
      <x:c r="I1318" s="17" t="n">
        <x:f>INDEX('Costing'!$P$9:$P$492,MATCH(D1318,'Costing'!$A$9:$A$492,0))</x:f>
        <x:v>240000</x:v>
      </x:c>
      <x:c r="J1318" s="17" t="n">
        <x:f>ROUND(I1318*'Costing'!$C$4,2)</x:f>
        <x:v>43200</x:v>
      </x:c>
      <x:c r="K1318" s="17" t="n">
        <x:f>I1318+J1318</x:f>
        <x:v>283200</x:v>
      </x:c>
    </x:row>
    <x:row r="1319" ht="46" customHeight="1">
      <x:c r="A1319" s="2" t="str">
        <x:v>Sector</x:v>
      </x:c>
      <x:c r="B1319" s="2" t="str">
        <x:v>Engineering &amp; manufacturing</x:v>
      </x:c>
      <x:c r="C1319" s="12" t="str">
        <x:v>Chennai</x:v>
      </x:c>
      <x:c r="D1319" s="12" t="str">
        <x:v>PARTNER-M349</x:v>
      </x:c>
      <x:c r="E1319" s="12" t="str">
        <x:v>Kushal Towers</x:v>
      </x:c>
      <x:c r="F1319" s="11" t="n">
        <x:v>1</x:v>
      </x:c>
      <x:c r="G1319" s="11" t="n">
        <x:v>1</x:v>
      </x:c>
      <x:c r="H1319" s="11" t="n">
        <x:v>0</x:v>
      </x:c>
      <x:c r="I1319" s="17" t="n">
        <x:f>INDEX('Costing'!$P$9:$P$492,MATCH(D1319,'Costing'!$A$9:$A$492,0))</x:f>
        <x:v>40000</x:v>
      </x:c>
      <x:c r="J1319" s="17" t="n">
        <x:f>ROUND(I1319*'Costing'!$C$4,2)</x:f>
        <x:v>7200</x:v>
      </x:c>
      <x:c r="K1319" s="17" t="n">
        <x:f>I1319+J1319</x:f>
        <x:v>47200</x:v>
      </x:c>
    </x:row>
    <x:row r="1320" ht="46" customHeight="1">
      <x:c r="A1320" s="2" t="str">
        <x:v>Sector</x:v>
      </x:c>
      <x:c r="B1320" s="2" t="str">
        <x:v>Engineering &amp; manufacturing</x:v>
      </x:c>
      <x:c r="C1320" s="12" t="str">
        <x:v>Chennai</x:v>
      </x:c>
      <x:c r="D1320" s="12" t="str">
        <x:v>PARTNER-M340</x:v>
      </x:c>
      <x:c r="E1320" s="12" t="str">
        <x:v>Prestige Cosmopolitan</x:v>
      </x:c>
      <x:c r="F1320" s="11" t="n">
        <x:v>2</x:v>
      </x:c>
      <x:c r="G1320" s="11" t="n">
        <x:v>2</x:v>
      </x:c>
      <x:c r="H1320" s="11" t="n">
        <x:v>0</x:v>
      </x:c>
      <x:c r="I1320" s="17" t="n">
        <x:f>INDEX('Costing'!$P$9:$P$492,MATCH(D1320,'Costing'!$A$9:$A$492,0))</x:f>
        <x:v>80000</x:v>
      </x:c>
      <x:c r="J1320" s="17" t="n">
        <x:f>ROUND(I1320*'Costing'!$C$4,2)</x:f>
        <x:v>14400</x:v>
      </x:c>
      <x:c r="K1320" s="17" t="n">
        <x:f>I1320+J1320</x:f>
        <x:v>94400</x:v>
      </x:c>
    </x:row>
    <x:row r="1321" ht="46" customHeight="1">
      <x:c r="A1321" s="2" t="str">
        <x:v>Sector</x:v>
      </x:c>
      <x:c r="B1321" s="2" t="str">
        <x:v>Engineering &amp; manufacturing</x:v>
      </x:c>
      <x:c r="C1321" s="12" t="str">
        <x:v>Chennai</x:v>
      </x:c>
      <x:c r="D1321" s="12" t="str">
        <x:v>PARTNER-M338</x:v>
      </x:c>
      <x:c r="E1321" s="12" t="str">
        <x:v>Prestige Palladium Bayan</x:v>
      </x:c>
      <x:c r="F1321" s="11" t="n">
        <x:v>2</x:v>
      </x:c>
      <x:c r="G1321" s="11" t="n">
        <x:v>2</x:v>
      </x:c>
      <x:c r="H1321" s="11" t="n">
        <x:v>0</x:v>
      </x:c>
      <x:c r="I1321" s="17" t="n">
        <x:f>INDEX('Costing'!$P$9:$P$492,MATCH(D1321,'Costing'!$A$9:$A$492,0))</x:f>
        <x:v>80000</x:v>
      </x:c>
      <x:c r="J1321" s="17" t="n">
        <x:f>ROUND(I1321*'Costing'!$C$4,2)</x:f>
        <x:v>14400</x:v>
      </x:c>
      <x:c r="K1321" s="17" t="n">
        <x:f>I1321+J1321</x:f>
        <x:v>94400</x:v>
      </x:c>
    </x:row>
    <x:row r="1322" ht="46" customHeight="1">
      <x:c r="A1322" s="2" t="str">
        <x:v>Sector</x:v>
      </x:c>
      <x:c r="B1322" s="2" t="str">
        <x:v>Engineering &amp; manufacturing</x:v>
      </x:c>
      <x:c r="C1322" s="12" t="str">
        <x:v>Chennai</x:v>
      </x:c>
      <x:c r="D1322" s="12" t="str">
        <x:v>PARTNER-M332</x:v>
      </x:c>
      <x:c r="E1322" s="12" t="str">
        <x:v>Prestige Polygon</x:v>
      </x:c>
      <x:c r="F1322" s="11" t="n">
        <x:v>2</x:v>
      </x:c>
      <x:c r="G1322" s="11" t="n">
        <x:v>2</x:v>
      </x:c>
      <x:c r="H1322" s="11" t="n">
        <x:v>0</x:v>
      </x:c>
      <x:c r="I1322" s="17" t="n">
        <x:f>INDEX('Costing'!$P$9:$P$492,MATCH(D1322,'Costing'!$A$9:$A$492,0))</x:f>
        <x:v>80000</x:v>
      </x:c>
      <x:c r="J1322" s="17" t="n">
        <x:f>ROUND(I1322*'Costing'!$C$4,2)</x:f>
        <x:v>14400</x:v>
      </x:c>
      <x:c r="K1322" s="17" t="n">
        <x:f>I1322+J1322</x:f>
        <x:v>94400</x:v>
      </x:c>
    </x:row>
    <x:row r="1323" ht="46" customHeight="1">
      <x:c r="A1323" s="2" t="str">
        <x:v>Sector</x:v>
      </x:c>
      <x:c r="B1323" s="2" t="str">
        <x:v>Engineering &amp; manufacturing</x:v>
      </x:c>
      <x:c r="C1323" s="12" t="str">
        <x:v>Chennai</x:v>
      </x:c>
      <x:c r="D1323" s="12" t="str">
        <x:v>PARTNER-M334</x:v>
      </x:c>
      <x:c r="E1323" s="12" t="str">
        <x:v>Prestige Zakria Metropolitan</x:v>
      </x:c>
      <x:c r="F1323" s="11" t="n">
        <x:v>2</x:v>
      </x:c>
      <x:c r="G1323" s="11" t="n">
        <x:v>2</x:v>
      </x:c>
      <x:c r="H1323" s="11" t="n">
        <x:v>0</x:v>
      </x:c>
      <x:c r="I1323" s="17" t="n">
        <x:f>INDEX('Costing'!$P$9:$P$492,MATCH(D1323,'Costing'!$A$9:$A$492,0))</x:f>
        <x:v>80000</x:v>
      </x:c>
      <x:c r="J1323" s="17" t="n">
        <x:f>ROUND(I1323*'Costing'!$C$4,2)</x:f>
        <x:v>14400</x:v>
      </x:c>
      <x:c r="K1323" s="17" t="n">
        <x:f>I1323+J1323</x:f>
        <x:v>94400</x:v>
      </x:c>
    </x:row>
    <x:row r="1324" ht="46" customHeight="1">
      <x:c r="A1324" s="2" t="str">
        <x:v>Sector</x:v>
      </x:c>
      <x:c r="B1324" s="2" t="str">
        <x:v>Engineering &amp; manufacturing</x:v>
      </x:c>
      <x:c r="C1324" s="12" t="str">
        <x:v>Chennai</x:v>
      </x:c>
      <x:c r="D1324" s="12" t="str">
        <x:v>PARTNER-M350</x:v>
      </x:c>
      <x:c r="E1324" s="12" t="str">
        <x:v>Prince Infopark</x:v>
      </x:c>
      <x:c r="F1324" s="11" t="n">
        <x:v>2</x:v>
      </x:c>
      <x:c r="G1324" s="11" t="n">
        <x:v>2</x:v>
      </x:c>
      <x:c r="H1324" s="11" t="n">
        <x:v>0</x:v>
      </x:c>
      <x:c r="I1324" s="17" t="n">
        <x:f>INDEX('Costing'!$P$9:$P$492,MATCH(D1324,'Costing'!$A$9:$A$492,0))</x:f>
        <x:v>80000</x:v>
      </x:c>
      <x:c r="J1324" s="17" t="n">
        <x:f>ROUND(I1324*'Costing'!$C$4,2)</x:f>
        <x:v>14400</x:v>
      </x:c>
      <x:c r="K1324" s="17" t="n">
        <x:f>I1324+J1324</x:f>
        <x:v>94400</x:v>
      </x:c>
    </x:row>
    <x:row r="1325" ht="46" customHeight="1">
      <x:c r="A1325" s="2" t="str">
        <x:v>Sector</x:v>
      </x:c>
      <x:c r="B1325" s="2" t="str">
        <x:v>Engineering &amp; manufacturing</x:v>
      </x:c>
      <x:c r="C1325" s="12" t="str">
        <x:v>Chennai</x:v>
      </x:c>
      <x:c r="D1325" s="12" t="str">
        <x:v>PARTNER-M331</x:v>
      </x:c>
      <x:c r="E1325" s="12" t="str">
        <x:v>Prince Towers</x:v>
      </x:c>
      <x:c r="F1325" s="11" t="n">
        <x:v>1</x:v>
      </x:c>
      <x:c r="G1325" s="11" t="n">
        <x:v>1</x:v>
      </x:c>
      <x:c r="H1325" s="11" t="n">
        <x:v>0</x:v>
      </x:c>
      <x:c r="I1325" s="17" t="n">
        <x:f>INDEX('Costing'!$P$9:$P$492,MATCH(D1325,'Costing'!$A$9:$A$492,0))</x:f>
        <x:v>40000</x:v>
      </x:c>
      <x:c r="J1325" s="17" t="n">
        <x:f>ROUND(I1325*'Costing'!$C$4,2)</x:f>
        <x:v>7200</x:v>
      </x:c>
      <x:c r="K1325" s="17" t="n">
        <x:f>I1325+J1325</x:f>
        <x:v>47200</x:v>
      </x:c>
    </x:row>
    <x:row r="1326" ht="46" customHeight="1">
      <x:c r="A1326" s="2" t="str">
        <x:v>Sector</x:v>
      </x:c>
      <x:c r="B1326" s="2" t="str">
        <x:v>Engineering &amp; manufacturing</x:v>
      </x:c>
      <x:c r="C1326" s="12" t="str">
        <x:v>Chennai</x:v>
      </x:c>
      <x:c r="D1326" s="12" t="str">
        <x:v>PARTNER-M325</x:v>
      </x:c>
      <x:c r="E1326" s="12" t="str">
        <x:v>WTC Chennai</x:v>
      </x:c>
      <x:c r="F1326" s="11" t="n">
        <x:v>6</x:v>
      </x:c>
      <x:c r="G1326" s="11" t="n">
        <x:v>6</x:v>
      </x:c>
      <x:c r="H1326" s="11" t="n">
        <x:v>0</x:v>
      </x:c>
      <x:c r="I1326" s="17" t="n">
        <x:f>INDEX('Costing'!$P$9:$P$492,MATCH(D1326,'Costing'!$A$9:$A$492,0))</x:f>
        <x:v>240000</x:v>
      </x:c>
      <x:c r="J1326" s="17" t="n">
        <x:f>ROUND(I1326*'Costing'!$C$4,2)</x:f>
        <x:v>43200</x:v>
      </x:c>
      <x:c r="K1326" s="17" t="n">
        <x:f>I1326+J1326</x:f>
        <x:v>283200</x:v>
      </x:c>
    </x:row>
    <x:row r="1327" ht="46" customHeight="1">
      <x:c r="A1327" s="2" t="str">
        <x:v>Sector</x:v>
      </x:c>
      <x:c r="B1327" s="2" t="str">
        <x:v>Engineering &amp; manufacturing</x:v>
      </x:c>
      <x:c r="C1327" s="12" t="str">
        <x:v>Delhi NCR</x:v>
      </x:c>
      <x:c r="D1327" s="12" t="str">
        <x:v>PARTNER-M365</x:v>
      </x:c>
      <x:c r="E1327" s="12" t="str">
        <x:v>Urbtech Trade Centre</x:v>
      </x:c>
      <x:c r="F1327" s="11" t="n">
        <x:v>10</x:v>
      </x:c>
      <x:c r="G1327" s="11" t="n">
        <x:v>10</x:v>
      </x:c>
      <x:c r="H1327" s="11" t="n">
        <x:v>0</x:v>
      </x:c>
      <x:c r="I1327" s="17" t="n">
        <x:f>INDEX('Costing'!$P$9:$P$492,MATCH(D1327,'Costing'!$A$9:$A$492,0))</x:f>
        <x:v>400000</x:v>
      </x:c>
      <x:c r="J1327" s="17" t="n">
        <x:f>ROUND(I1327*'Costing'!$C$4,2)</x:f>
        <x:v>72000</x:v>
      </x:c>
      <x:c r="K1327" s="17" t="n">
        <x:f>I1327+J1327</x:f>
        <x:v>472000</x:v>
      </x:c>
    </x:row>
    <x:row r="1328" ht="46" customHeight="1">
      <x:c r="A1328" s="2" t="str">
        <x:v>Sector</x:v>
      </x:c>
      <x:c r="B1328" s="2" t="str">
        <x:v>Engineering &amp; manufacturing</x:v>
      </x:c>
      <x:c r="C1328" s="12" t="str">
        <x:v>Hyderabad</x:v>
      </x:c>
      <x:c r="D1328" s="12" t="str">
        <x:v>PARTNER-M308</x:v>
      </x:c>
      <x:c r="E1328" s="12" t="str">
        <x:v>Aurobindo Galaxy</x:v>
      </x:c>
      <x:c r="F1328" s="11" t="n">
        <x:v>4</x:v>
      </x:c>
      <x:c r="G1328" s="11" t="n">
        <x:v>4</x:v>
      </x:c>
      <x:c r="H1328" s="11" t="n">
        <x:v>0</x:v>
      </x:c>
      <x:c r="I1328" s="17" t="n">
        <x:f>INDEX('Costing'!$P$9:$P$492,MATCH(D1328,'Costing'!$A$9:$A$492,0))</x:f>
        <x:v>160000</x:v>
      </x:c>
      <x:c r="J1328" s="17" t="n">
        <x:f>ROUND(I1328*'Costing'!$C$4,2)</x:f>
        <x:v>28800</x:v>
      </x:c>
      <x:c r="K1328" s="17" t="n">
        <x:f>I1328+J1328</x:f>
        <x:v>188800</x:v>
      </x:c>
    </x:row>
    <x:row r="1329" ht="46" customHeight="1">
      <x:c r="A1329" s="2" t="str">
        <x:v>Sector</x:v>
      </x:c>
      <x:c r="B1329" s="2" t="str">
        <x:v>Engineering &amp; manufacturing</x:v>
      </x:c>
      <x:c r="C1329" s="12" t="str">
        <x:v>Hyderabad</x:v>
      </x:c>
      <x:c r="D1329" s="12" t="str">
        <x:v>PARTNER-M289</x:v>
      </x:c>
      <x:c r="E1329" s="12" t="str">
        <x:v>Cyber Gateway</x:v>
      </x:c>
      <x:c r="F1329" s="11" t="n">
        <x:v>6</x:v>
      </x:c>
      <x:c r="G1329" s="11" t="n">
        <x:v>6</x:v>
      </x:c>
      <x:c r="H1329" s="11" t="n">
        <x:v>0</x:v>
      </x:c>
      <x:c r="I1329" s="17" t="n">
        <x:f>INDEX('Costing'!$P$9:$P$492,MATCH(D1329,'Costing'!$A$9:$A$492,0))</x:f>
        <x:v>240000</x:v>
      </x:c>
      <x:c r="J1329" s="17" t="n">
        <x:f>ROUND(I1329*'Costing'!$C$4,2)</x:f>
        <x:v>43200</x:v>
      </x:c>
      <x:c r="K1329" s="17" t="n">
        <x:f>I1329+J1329</x:f>
        <x:v>283200</x:v>
      </x:c>
    </x:row>
    <x:row r="1330" ht="46" customHeight="1">
      <x:c r="A1330" s="2" t="str">
        <x:v>Sector</x:v>
      </x:c>
      <x:c r="B1330" s="2" t="str">
        <x:v>Engineering &amp; manufacturing</x:v>
      </x:c>
      <x:c r="C1330" s="12" t="str">
        <x:v>Hyderabad</x:v>
      </x:c>
      <x:c r="D1330" s="12" t="str">
        <x:v>PARTNER-M295</x:v>
      </x:c>
      <x:c r="E1330" s="12" t="str">
        <x:v>Cyber Tower</x:v>
      </x:c>
      <x:c r="F1330" s="11" t="n">
        <x:v>5</x:v>
      </x:c>
      <x:c r="G1330" s="11" t="n">
        <x:v>5</x:v>
      </x:c>
      <x:c r="H1330" s="11" t="n">
        <x:v>0</x:v>
      </x:c>
      <x:c r="I1330" s="17" t="n">
        <x:f>INDEX('Costing'!$P$9:$P$492,MATCH(D1330,'Costing'!$A$9:$A$492,0))</x:f>
        <x:v>200000</x:v>
      </x:c>
      <x:c r="J1330" s="17" t="n">
        <x:f>ROUND(I1330*'Costing'!$C$4,2)</x:f>
        <x:v>36000</x:v>
      </x:c>
      <x:c r="K1330" s="17" t="n">
        <x:f>I1330+J1330</x:f>
        <x:v>236000</x:v>
      </x:c>
    </x:row>
    <x:row r="1331" ht="46" customHeight="1">
      <x:c r="A1331" s="2" t="str">
        <x:v>Sector</x:v>
      </x:c>
      <x:c r="B1331" s="2" t="str">
        <x:v>Engineering &amp; manufacturing</x:v>
      </x:c>
      <x:c r="C1331" s="12" t="str">
        <x:v>Hyderabad</x:v>
      </x:c>
      <x:c r="D1331" s="12" t="str">
        <x:v>PARTNER-M283</x:v>
      </x:c>
      <x:c r="E1331" s="12" t="str">
        <x:v>iLabs Tech Park</x:v>
      </x:c>
      <x:c r="F1331" s="11" t="n">
        <x:v>6</x:v>
      </x:c>
      <x:c r="G1331" s="11" t="n">
        <x:v>6</x:v>
      </x:c>
      <x:c r="H1331" s="11" t="n">
        <x:v>0</x:v>
      </x:c>
      <x:c r="I1331" s="17" t="n">
        <x:f>INDEX('Costing'!$P$9:$P$492,MATCH(D1331,'Costing'!$A$9:$A$492,0))</x:f>
        <x:v>240000</x:v>
      </x:c>
      <x:c r="J1331" s="17" t="n">
        <x:f>ROUND(I1331*'Costing'!$C$4,2)</x:f>
        <x:v>43200</x:v>
      </x:c>
      <x:c r="K1331" s="17" t="n">
        <x:f>I1331+J1331</x:f>
        <x:v>283200</x:v>
      </x:c>
    </x:row>
    <x:row r="1332" ht="46" customHeight="1">
      <x:c r="A1332" s="2" t="str">
        <x:v>Sector</x:v>
      </x:c>
      <x:c r="B1332" s="2" t="str">
        <x:v>Engineering &amp; manufacturing</x:v>
      </x:c>
      <x:c r="C1332" s="12" t="str">
        <x:v>Hyderabad</x:v>
      </x:c>
      <x:c r="D1332" s="12" t="str">
        <x:v>PARTNER-M300</x:v>
      </x:c>
      <x:c r="E1332" s="12" t="str">
        <x:v>Waverock IT Park</x:v>
      </x:c>
      <x:c r="F1332" s="11" t="n">
        <x:v>8</x:v>
      </x:c>
      <x:c r="G1332" s="11" t="n">
        <x:v>8</x:v>
      </x:c>
      <x:c r="H1332" s="11" t="n">
        <x:v>0</x:v>
      </x:c>
      <x:c r="I1332" s="17" t="n">
        <x:f>INDEX('Costing'!$P$9:$P$492,MATCH(D1332,'Costing'!$A$9:$A$492,0))</x:f>
        <x:v>320000</x:v>
      </x:c>
      <x:c r="J1332" s="17" t="n">
        <x:f>ROUND(I1332*'Costing'!$C$4,2)</x:f>
        <x:v>57600</x:v>
      </x:c>
      <x:c r="K1332" s="17" t="n">
        <x:f>I1332+J1332</x:f>
        <x:v>377600</x:v>
      </x:c>
    </x:row>
    <x:row r="1333" ht="46" customHeight="1">
      <x:c r="A1333" s="2" t="str">
        <x:v>Sector</x:v>
      </x:c>
      <x:c r="B1333" s="2" t="str">
        <x:v>Engineering &amp; manufacturing</x:v>
      </x:c>
      <x:c r="C1333" s="12" t="str">
        <x:v>Mumbai</x:v>
      </x:c>
      <x:c r="D1333" s="12" t="str">
        <x:v>PARTNER-M241</x:v>
      </x:c>
      <x:c r="E1333" s="12" t="str">
        <x:v>Dynasty Business Park</x:v>
      </x:c>
      <x:c r="F1333" s="11" t="n">
        <x:v>2</x:v>
      </x:c>
      <x:c r="G1333" s="11" t="n">
        <x:v>2</x:v>
      </x:c>
      <x:c r="H1333" s="11" t="n">
        <x:v>0</x:v>
      </x:c>
      <x:c r="I1333" s="17" t="n">
        <x:f>INDEX('Costing'!$P$9:$P$492,MATCH(D1333,'Costing'!$A$9:$A$492,0))</x:f>
        <x:v>80000</x:v>
      </x:c>
      <x:c r="J1333" s="17" t="n">
        <x:f>ROUND(I1333*'Costing'!$C$4,2)</x:f>
        <x:v>14400</x:v>
      </x:c>
      <x:c r="K1333" s="17" t="n">
        <x:f>I1333+J1333</x:f>
        <x:v>94400</x:v>
      </x:c>
    </x:row>
    <x:row r="1334" ht="46" customHeight="1">
      <x:c r="A1334" s="2" t="str">
        <x:v>Sector</x:v>
      </x:c>
      <x:c r="B1334" s="2" t="str">
        <x:v>Engineering &amp; manufacturing</x:v>
      </x:c>
      <x:c r="C1334" s="12" t="str">
        <x:v>Mumbai</x:v>
      </x:c>
      <x:c r="D1334" s="12" t="str">
        <x:v>PARTNER-M193</x:v>
      </x:c>
      <x:c r="E1334" s="12" t="str">
        <x:v>Empire Tower</x:v>
      </x:c>
      <x:c r="F1334" s="11" t="n">
        <x:v>4</x:v>
      </x:c>
      <x:c r="G1334" s="11" t="n">
        <x:v>4</x:v>
      </x:c>
      <x:c r="H1334" s="11" t="n">
        <x:v>0</x:v>
      </x:c>
      <x:c r="I1334" s="17" t="n">
        <x:f>INDEX('Costing'!$P$9:$P$492,MATCH(D1334,'Costing'!$A$9:$A$492,0))</x:f>
        <x:v>160000</x:v>
      </x:c>
      <x:c r="J1334" s="17" t="n">
        <x:f>ROUND(I1334*'Costing'!$C$4,2)</x:f>
        <x:v>28800</x:v>
      </x:c>
      <x:c r="K1334" s="17" t="n">
        <x:f>I1334+J1334</x:f>
        <x:v>188800</x:v>
      </x:c>
    </x:row>
    <x:row r="1335" ht="46" customHeight="1">
      <x:c r="A1335" s="2" t="str">
        <x:v>Sector</x:v>
      </x:c>
      <x:c r="B1335" s="2" t="str">
        <x:v>Engineering &amp; manufacturing</x:v>
      </x:c>
      <x:c r="C1335" s="12" t="str">
        <x:v>Mumbai</x:v>
      </x:c>
      <x:c r="D1335" s="12" t="str">
        <x:v>PARTNER-M235</x:v>
      </x:c>
      <x:c r="E1335" s="12" t="str">
        <x:v>Kanakia 215 Atrium</x:v>
      </x:c>
      <x:c r="F1335" s="11" t="n">
        <x:v>4</x:v>
      </x:c>
      <x:c r="G1335" s="11" t="n">
        <x:v>4</x:v>
      </x:c>
      <x:c r="H1335" s="11" t="n">
        <x:v>0</x:v>
      </x:c>
      <x:c r="I1335" s="17" t="n">
        <x:f>INDEX('Costing'!$P$9:$P$492,MATCH(D1335,'Costing'!$A$9:$A$492,0))</x:f>
        <x:v>160000</x:v>
      </x:c>
      <x:c r="J1335" s="17" t="n">
        <x:f>ROUND(I1335*'Costing'!$C$4,2)</x:f>
        <x:v>28800</x:v>
      </x:c>
      <x:c r="K1335" s="17" t="n">
        <x:f>I1335+J1335</x:f>
        <x:v>188800</x:v>
      </x:c>
    </x:row>
    <x:row r="1336" ht="46" customHeight="1">
      <x:c r="A1336" s="2" t="str">
        <x:v>Sector</x:v>
      </x:c>
      <x:c r="B1336" s="2" t="str">
        <x:v>Engineering &amp; manufacturing</x:v>
      </x:c>
      <x:c r="C1336" s="12" t="str">
        <x:v>Mumbai</x:v>
      </x:c>
      <x:c r="D1336" s="12" t="str">
        <x:v>PARTNER-M239</x:v>
      </x:c>
      <x:c r="E1336" s="12" t="str">
        <x:v>Kanakia Atrium 2</x:v>
      </x:c>
      <x:c r="F1336" s="11" t="n">
        <x:v>2</x:v>
      </x:c>
      <x:c r="G1336" s="11" t="n">
        <x:v>2</x:v>
      </x:c>
      <x:c r="H1336" s="11" t="n">
        <x:v>0</x:v>
      </x:c>
      <x:c r="I1336" s="17" t="n">
        <x:f>INDEX('Costing'!$P$9:$P$492,MATCH(D1336,'Costing'!$A$9:$A$492,0))</x:f>
        <x:v>80000</x:v>
      </x:c>
      <x:c r="J1336" s="17" t="n">
        <x:f>ROUND(I1336*'Costing'!$C$4,2)</x:f>
        <x:v>14400</x:v>
      </x:c>
      <x:c r="K1336" s="17" t="n">
        <x:f>I1336+J1336</x:f>
        <x:v>94400</x:v>
      </x:c>
    </x:row>
    <x:row r="1337" ht="46" customHeight="1">
      <x:c r="A1337" s="2" t="str">
        <x:v>Sector</x:v>
      </x:c>
      <x:c r="B1337" s="2" t="str">
        <x:v>Engineering &amp; manufacturing</x:v>
      </x:c>
      <x:c r="C1337" s="12" t="str">
        <x:v>Mumbai</x:v>
      </x:c>
      <x:c r="D1337" s="12" t="str">
        <x:v>PARTNER-M179</x:v>
      </x:c>
      <x:c r="E1337" s="12" t="str">
        <x:v>Kanakia Boomerang</x:v>
      </x:c>
      <x:c r="F1337" s="11" t="n">
        <x:v>6</x:v>
      </x:c>
      <x:c r="G1337" s="11" t="n">
        <x:v>6</x:v>
      </x:c>
      <x:c r="H1337" s="11" t="n">
        <x:v>0</x:v>
      </x:c>
      <x:c r="I1337" s="17" t="n">
        <x:f>INDEX('Costing'!$P$9:$P$492,MATCH(D1337,'Costing'!$A$9:$A$492,0))</x:f>
        <x:v>240000</x:v>
      </x:c>
      <x:c r="J1337" s="17" t="n">
        <x:f>ROUND(I1337*'Costing'!$C$4,2)</x:f>
        <x:v>43200</x:v>
      </x:c>
      <x:c r="K1337" s="17" t="n">
        <x:f>I1337+J1337</x:f>
        <x:v>283200</x:v>
      </x:c>
    </x:row>
    <x:row r="1338" ht="46" customHeight="1">
      <x:c r="A1338" s="2" t="str">
        <x:v>Sector</x:v>
      </x:c>
      <x:c r="B1338" s="2" t="str">
        <x:v>Engineering &amp; manufacturing</x:v>
      </x:c>
      <x:c r="C1338" s="12" t="str">
        <x:v>Mumbai</x:v>
      </x:c>
      <x:c r="D1338" s="12" t="str">
        <x:v>PARTNER-M201</x:v>
      </x:c>
      <x:c r="E1338" s="12" t="str">
        <x:v>Liberty tower</x:v>
      </x:c>
      <x:c r="F1338" s="11" t="n">
        <x:v>2</x:v>
      </x:c>
      <x:c r="G1338" s="11" t="n">
        <x:v>2</x:v>
      </x:c>
      <x:c r="H1338" s="11" t="n">
        <x:v>0</x:v>
      </x:c>
      <x:c r="I1338" s="17" t="n">
        <x:f>INDEX('Costing'!$P$9:$P$492,MATCH(D1338,'Costing'!$A$9:$A$492,0))</x:f>
        <x:v>80000</x:v>
      </x:c>
      <x:c r="J1338" s="17" t="n">
        <x:f>ROUND(I1338*'Costing'!$C$4,2)</x:f>
        <x:v>14400</x:v>
      </x:c>
      <x:c r="K1338" s="17" t="n">
        <x:f>I1338+J1338</x:f>
        <x:v>94400</x:v>
      </x:c>
    </x:row>
    <x:row r="1339" ht="46" customHeight="1">
      <x:c r="A1339" s="2" t="str">
        <x:v>Sector</x:v>
      </x:c>
      <x:c r="B1339" s="2" t="str">
        <x:v>Engineering &amp; manufacturing</x:v>
      </x:c>
      <x:c r="C1339" s="12" t="str">
        <x:v>Mumbai</x:v>
      </x:c>
      <x:c r="D1339" s="12" t="str">
        <x:v>PARTNER-M245</x:v>
      </x:c>
      <x:c r="E1339" s="12" t="str">
        <x:v>Lodha iThink</x:v>
      </x:c>
      <x:c r="F1339" s="11" t="n">
        <x:v>2</x:v>
      </x:c>
      <x:c r="G1339" s="11" t="n">
        <x:v>2</x:v>
      </x:c>
      <x:c r="H1339" s="11" t="n">
        <x:v>0</x:v>
      </x:c>
      <x:c r="I1339" s="17" t="n">
        <x:f>INDEX('Costing'!$P$9:$P$492,MATCH(D1339,'Costing'!$A$9:$A$492,0))</x:f>
        <x:v>80000</x:v>
      </x:c>
      <x:c r="J1339" s="17" t="n">
        <x:f>ROUND(I1339*'Costing'!$C$4,2)</x:f>
        <x:v>14400</x:v>
      </x:c>
      <x:c r="K1339" s="17" t="n">
        <x:f>I1339+J1339</x:f>
        <x:v>94400</x:v>
      </x:c>
    </x:row>
    <x:row r="1340" ht="46" customHeight="1">
      <x:c r="A1340" s="2" t="str">
        <x:v>Sector</x:v>
      </x:c>
      <x:c r="B1340" s="2" t="str">
        <x:v>Engineering &amp; manufacturing</x:v>
      </x:c>
      <x:c r="C1340" s="12" t="str">
        <x:v>Mumbai</x:v>
      </x:c>
      <x:c r="D1340" s="12" t="str">
        <x:v>PARTNER-M247</x:v>
      </x:c>
      <x:c r="E1340" s="12" t="str">
        <x:v>Lodha Supremus</x:v>
      </x:c>
      <x:c r="F1340" s="11" t="n">
        <x:v>4</x:v>
      </x:c>
      <x:c r="G1340" s="11" t="n">
        <x:v>4</x:v>
      </x:c>
      <x:c r="H1340" s="11" t="n">
        <x:v>0</x:v>
      </x:c>
      <x:c r="I1340" s="17" t="n">
        <x:f>INDEX('Costing'!$P$9:$P$492,MATCH(D1340,'Costing'!$A$9:$A$492,0))</x:f>
        <x:v>160000</x:v>
      </x:c>
      <x:c r="J1340" s="17" t="n">
        <x:f>ROUND(I1340*'Costing'!$C$4,2)</x:f>
        <x:v>28800</x:v>
      </x:c>
      <x:c r="K1340" s="17" t="n">
        <x:f>I1340+J1340</x:f>
        <x:v>188800</x:v>
      </x:c>
    </x:row>
    <x:row r="1341" ht="46" customHeight="1">
      <x:c r="A1341" s="2" t="str">
        <x:v>Sector</x:v>
      </x:c>
      <x:c r="B1341" s="2" t="str">
        <x:v>Engineering &amp; manufacturing</x:v>
      </x:c>
      <x:c r="C1341" s="12" t="str">
        <x:v>Mumbai</x:v>
      </x:c>
      <x:c r="D1341" s="12" t="str">
        <x:v>PARTNER-M197</x:v>
      </x:c>
      <x:c r="E1341" s="12" t="str">
        <x:v>Reliable Tech Park</x:v>
      </x:c>
      <x:c r="F1341" s="11" t="n">
        <x:v>4</x:v>
      </x:c>
      <x:c r="G1341" s="11" t="n">
        <x:v>4</x:v>
      </x:c>
      <x:c r="H1341" s="11" t="n">
        <x:v>0</x:v>
      </x:c>
      <x:c r="I1341" s="17" t="n">
        <x:f>INDEX('Costing'!$P$9:$P$492,MATCH(D1341,'Costing'!$A$9:$A$492,0))</x:f>
        <x:v>160000</x:v>
      </x:c>
      <x:c r="J1341" s="17" t="n">
        <x:f>ROUND(I1341*'Costing'!$C$4,2)</x:f>
        <x:v>28800</x:v>
      </x:c>
      <x:c r="K1341" s="17" t="n">
        <x:f>I1341+J1341</x:f>
        <x:v>188800</x:v>
      </x:c>
    </x:row>
    <x:row r="1342" ht="46" customHeight="1">
      <x:c r="A1342" s="2" t="str">
        <x:v>Sector</x:v>
      </x:c>
      <x:c r="B1342" s="2" t="str">
        <x:v>Engineering &amp; manufacturing</x:v>
      </x:c>
      <x:c r="C1342" s="12" t="str">
        <x:v>Mumbai</x:v>
      </x:c>
      <x:c r="D1342" s="12" t="str">
        <x:v>PARTNER-M205</x:v>
      </x:c>
      <x:c r="E1342" s="12" t="str">
        <x:v>Rupa Solitaire</x:v>
      </x:c>
      <x:c r="F1342" s="11" t="n">
        <x:v>10</x:v>
      </x:c>
      <x:c r="G1342" s="11" t="n">
        <x:v>10</x:v>
      </x:c>
      <x:c r="H1342" s="11" t="n">
        <x:v>0</x:v>
      </x:c>
      <x:c r="I1342" s="17" t="n">
        <x:f>INDEX('Costing'!$P$9:$P$492,MATCH(D1342,'Costing'!$A$9:$A$492,0))</x:f>
        <x:v>400000</x:v>
      </x:c>
      <x:c r="J1342" s="17" t="n">
        <x:f>ROUND(I1342*'Costing'!$C$4,2)</x:f>
        <x:v>72000</x:v>
      </x:c>
      <x:c r="K1342" s="17" t="n">
        <x:f>I1342+J1342</x:f>
        <x:v>472000</x:v>
      </x:c>
    </x:row>
    <x:row r="1343" ht="46" customHeight="1">
      <x:c r="A1343" s="2" t="str">
        <x:v>Sector</x:v>
      </x:c>
      <x:c r="B1343" s="2" t="str">
        <x:v>Engineering &amp; manufacturing</x:v>
      </x:c>
      <x:c r="C1343" s="12" t="str">
        <x:v>Mumbai</x:v>
      </x:c>
      <x:c r="D1343" s="12" t="str">
        <x:v>PARTNER-M175</x:v>
      </x:c>
      <x:c r="E1343" s="12" t="str">
        <x:v>The Capital</x:v>
      </x:c>
      <x:c r="F1343" s="11" t="n">
        <x:v>3</x:v>
      </x:c>
      <x:c r="G1343" s="11" t="n">
        <x:v>3</x:v>
      </x:c>
      <x:c r="H1343" s="11" t="n">
        <x:v>0</x:v>
      </x:c>
      <x:c r="I1343" s="17" t="n">
        <x:f>INDEX('Costing'!$P$9:$P$492,MATCH(D1343,'Costing'!$A$9:$A$492,0))</x:f>
        <x:v>120000</x:v>
      </x:c>
      <x:c r="J1343" s="17" t="n">
        <x:f>ROUND(I1343*'Costing'!$C$4,2)</x:f>
        <x:v>21600</x:v>
      </x:c>
      <x:c r="K1343" s="17" t="n">
        <x:f>I1343+J1343</x:f>
        <x:v>141600</x:v>
      </x:c>
    </x:row>
    <x:row r="1344" ht="46" customHeight="1">
      <x:c r="A1344" s="2" t="str">
        <x:v>Sector</x:v>
      </x:c>
      <x:c r="B1344" s="2" t="str">
        <x:v>Engineering &amp; manufacturing</x:v>
      </x:c>
      <x:c r="C1344" s="12" t="str">
        <x:v>Mumbai</x:v>
      </x:c>
      <x:c r="D1344" s="12" t="str">
        <x:v>PARTNER-M227</x:v>
      </x:c>
      <x:c r="E1344" s="12" t="str">
        <x:v>Windsor House</x:v>
      </x:c>
      <x:c r="F1344" s="11" t="n">
        <x:v>6</x:v>
      </x:c>
      <x:c r="G1344" s="11" t="n">
        <x:v>6</x:v>
      </x:c>
      <x:c r="H1344" s="11" t="n">
        <x:v>0</x:v>
      </x:c>
      <x:c r="I1344" s="17" t="n">
        <x:f>INDEX('Costing'!$P$9:$P$492,MATCH(D1344,'Costing'!$A$9:$A$492,0))</x:f>
        <x:v>240000</x:v>
      </x:c>
      <x:c r="J1344" s="17" t="n">
        <x:f>ROUND(I1344*'Costing'!$C$4,2)</x:f>
        <x:v>43200</x:v>
      </x:c>
      <x:c r="K1344" s="17" t="n">
        <x:f>I1344+J1344</x:f>
        <x:v>283200</x:v>
      </x:c>
    </x:row>
    <x:row r="1345" ht="46" customHeight="1">
      <x:c r="A1345" s="2" t="str">
        <x:v>Sector</x:v>
      </x:c>
      <x:c r="B1345" s="2" t="str">
        <x:v>Engineering &amp; manufacturing</x:v>
      </x:c>
      <x:c r="C1345" s="12" t="str">
        <x:v>Pune</x:v>
      </x:c>
      <x:c r="D1345" s="12" t="str">
        <x:v>PARTNER-M268</x:v>
      </x:c>
      <x:c r="E1345" s="12" t="str">
        <x:v>ICC Tech Park</x:v>
      </x:c>
      <x:c r="F1345" s="11" t="n">
        <x:v>5</x:v>
      </x:c>
      <x:c r="G1345" s="11" t="n">
        <x:v>5</x:v>
      </x:c>
      <x:c r="H1345" s="11" t="n">
        <x:v>0</x:v>
      </x:c>
      <x:c r="I1345" s="17" t="n">
        <x:f>INDEX('Costing'!$P$9:$P$492,MATCH(D1345,'Costing'!$A$9:$A$492,0))</x:f>
        <x:v>200000</x:v>
      </x:c>
      <x:c r="J1345" s="17" t="n">
        <x:f>ROUND(I1345*'Costing'!$C$4,2)</x:f>
        <x:v>36000</x:v>
      </x:c>
      <x:c r="K1345" s="17" t="n">
        <x:f>I1345+J1345</x:f>
        <x:v>236000</x:v>
      </x:c>
    </x:row>
    <x:row r="1346" ht="46" customHeight="1">
      <x:c r="A1346" s="2" t="str">
        <x:v>Sector</x:v>
      </x:c>
      <x:c r="B1346" s="2" t="str">
        <x:v>Engineering &amp; manufacturing</x:v>
      </x:c>
      <x:c r="C1346" s="12" t="str">
        <x:v>Pune</x:v>
      </x:c>
      <x:c r="D1346" s="12" t="str">
        <x:v>PARTNER-M252</x:v>
      </x:c>
      <x:c r="E1346" s="12" t="str">
        <x:v>Magarpatta Cyberpark</x:v>
      </x:c>
      <x:c r="F1346" s="11" t="n">
        <x:v>9</x:v>
      </x:c>
      <x:c r="G1346" s="11" t="n">
        <x:v>9</x:v>
      </x:c>
      <x:c r="H1346" s="11" t="n">
        <x:v>0</x:v>
      </x:c>
      <x:c r="I1346" s="17" t="n">
        <x:f>INDEX('Costing'!$P$9:$P$492,MATCH(D1346,'Costing'!$A$9:$A$492,0))</x:f>
        <x:v>360000</x:v>
      </x:c>
      <x:c r="J1346" s="17" t="n">
        <x:f>ROUND(I1346*'Costing'!$C$4,2)</x:f>
        <x:v>64800</x:v>
      </x:c>
      <x:c r="K1346" s="17" t="n">
        <x:f>I1346+J1346</x:f>
        <x:v>424800</x:v>
      </x:c>
    </x:row>
    <x:row r="1347" ht="46" customHeight="1">
      <x:c r="A1347" s="2" t="str">
        <x:v>Sector</x:v>
      </x:c>
      <x:c r="B1347" s="2" t="str">
        <x:v>Engineering &amp; manufacturing</x:v>
      </x:c>
      <x:c r="C1347" s="12" t="str">
        <x:v>Pune</x:v>
      </x:c>
      <x:c r="D1347" s="12" t="str">
        <x:v>PARTNER-M277</x:v>
      </x:c>
      <x:c r="E1347" s="12" t="str">
        <x:v>Nyati Enthral</x:v>
      </x:c>
      <x:c r="F1347" s="11" t="n">
        <x:v>5</x:v>
      </x:c>
      <x:c r="G1347" s="11" t="n">
        <x:v>5</x:v>
      </x:c>
      <x:c r="H1347" s="11" t="n">
        <x:v>0</x:v>
      </x:c>
      <x:c r="I1347" s="17" t="n">
        <x:f>INDEX('Costing'!$P$9:$P$492,MATCH(D1347,'Costing'!$A$9:$A$492,0))</x:f>
        <x:v>200000</x:v>
      </x:c>
      <x:c r="J1347" s="17" t="n">
        <x:f>ROUND(I1347*'Costing'!$C$4,2)</x:f>
        <x:v>36000</x:v>
      </x:c>
      <x:c r="K1347" s="17" t="n">
        <x:f>I1347+J1347</x:f>
        <x:v>236000</x:v>
      </x:c>
    </x:row>
    <x:row r="1348" ht="46" customHeight="1">
      <x:c r="A1348" s="2" t="str">
        <x:v>Sector</x:v>
      </x:c>
      <x:c r="B1348" s="2" t="str">
        <x:v>Engineering &amp; manufacturing</x:v>
      </x:c>
      <x:c r="C1348" s="12" t="str">
        <x:v>Pune</x:v>
      </x:c>
      <x:c r="D1348" s="12" t="str">
        <x:v>PARTNER-M261</x:v>
      </x:c>
      <x:c r="E1348" s="12" t="str">
        <x:v>Pentagon Towers</x:v>
      </x:c>
      <x:c r="F1348" s="11" t="n">
        <x:v>4</x:v>
      </x:c>
      <x:c r="G1348" s="11" t="n">
        <x:v>4</x:v>
      </x:c>
      <x:c r="H1348" s="11" t="n">
        <x:v>0</x:v>
      </x:c>
      <x:c r="I1348" s="17" t="n">
        <x:f>INDEX('Costing'!$P$9:$P$492,MATCH(D1348,'Costing'!$A$9:$A$492,0))</x:f>
        <x:v>160000</x:v>
      </x:c>
      <x:c r="J1348" s="17" t="n">
        <x:f>ROUND(I1348*'Costing'!$C$4,2)</x:f>
        <x:v>28800</x:v>
      </x:c>
      <x:c r="K1348" s="17" t="n">
        <x:f>I1348+J1348</x:f>
        <x:v>188800</x:v>
      </x:c>
    </x:row>
    <x:row r="1349" ht="46" customHeight="1">
      <x:c r="A1349" s="2" t="str">
        <x:v>Sector</x:v>
      </x:c>
      <x:c r="B1349" s="2" t="str">
        <x:v>Engineering &amp; manufacturing</x:v>
      </x:c>
      <x:c r="C1349" s="12" t="str">
        <x:v>Pune</x:v>
      </x:c>
      <x:c r="D1349" s="12" t="str">
        <x:v>PARTNER-M265</x:v>
      </x:c>
      <x:c r="E1349" s="12" t="str">
        <x:v>Symphony IT Park</x:v>
      </x:c>
      <x:c r="F1349" s="11" t="n">
        <x:v>3</x:v>
      </x:c>
      <x:c r="G1349" s="11" t="n">
        <x:v>3</x:v>
      </x:c>
      <x:c r="H1349" s="11" t="n">
        <x:v>0</x:v>
      </x:c>
      <x:c r="I1349" s="17" t="n">
        <x:f>INDEX('Costing'!$P$9:$P$492,MATCH(D1349,'Costing'!$A$9:$A$492,0))</x:f>
        <x:v>120000</x:v>
      </x:c>
      <x:c r="J1349" s="17" t="n">
        <x:f>ROUND(I1349*'Costing'!$C$4,2)</x:f>
        <x:v>21600</x:v>
      </x:c>
      <x:c r="K1349" s="17" t="n">
        <x:f>I1349+J1349</x:f>
        <x:v>141600</x:v>
      </x:c>
    </x:row>
    <x:row r="1350" ht="46" customHeight="1">
      <x:c r="A1350" s="2" t="str">
        <x:v>Sector</x:v>
      </x:c>
      <x:c r="B1350" s="2" t="str">
        <x:v>Finance &amp; insurance</x:v>
      </x:c>
      <x:c r="C1350" s="12" t="str">
        <x:v>Bengaluru</x:v>
      </x:c>
      <x:c r="D1350" s="12" t="str">
        <x:v>MAIN-009</x:v>
      </x:c>
      <x:c r="E1350" s="12" t="str">
        <x:v>Akshay Tech Park</x:v>
      </x:c>
      <x:c r="F1350" s="11" t="n">
        <x:v>8</x:v>
      </x:c>
      <x:c r="G1350" s="11" t="n">
        <x:v>8</x:v>
      </x:c>
      <x:c r="H1350" s="11" t="n">
        <x:v>0</x:v>
      </x:c>
      <x:c r="I1350" s="17" t="n">
        <x:f>INDEX('Costing'!$P$9:$P$492,MATCH(D1350,'Costing'!$A$9:$A$492,0))</x:f>
        <x:v>120000</x:v>
      </x:c>
      <x:c r="J1350" s="17" t="n">
        <x:f>ROUND(I1350*'Costing'!$C$4,2)</x:f>
        <x:v>21600</x:v>
      </x:c>
      <x:c r="K1350" s="17" t="n">
        <x:f>I1350+J1350</x:f>
        <x:v>141600</x:v>
      </x:c>
    </x:row>
    <x:row r="1351" ht="46" customHeight="1">
      <x:c r="A1351" s="2" t="str">
        <x:v>Sector</x:v>
      </x:c>
      <x:c r="B1351" s="2" t="str">
        <x:v>Finance &amp; insurance</x:v>
      </x:c>
      <x:c r="C1351" s="12" t="str">
        <x:v>Bengaluru</x:v>
      </x:c>
      <x:c r="D1351" s="12" t="str">
        <x:v>MAIN-015</x:v>
      </x:c>
      <x:c r="E1351" s="12" t="str">
        <x:v>Awfis - Prestige Blue Chip</x:v>
      </x:c>
      <x:c r="F1351" s="11" t="n">
        <x:v>1</x:v>
      </x:c>
      <x:c r="G1351" s="11" t="n">
        <x:v>1</x:v>
      </x:c>
      <x:c r="H1351" s="11" t="n">
        <x:v>0</x:v>
      </x:c>
      <x:c r="I1351" s="17" t="n">
        <x:f>INDEX('Costing'!$P$9:$P$492,MATCH(D1351,'Costing'!$A$9:$A$492,0))</x:f>
        <x:v>15000</x:v>
      </x:c>
      <x:c r="J1351" s="17" t="n">
        <x:f>ROUND(I1351*'Costing'!$C$4,2)</x:f>
        <x:v>2700</x:v>
      </x:c>
      <x:c r="K1351" s="17" t="n">
        <x:f>I1351+J1351</x:f>
        <x:v>17700</x:v>
      </x:c>
    </x:row>
    <x:row r="1352" ht="46" customHeight="1">
      <x:c r="A1352" s="2" t="str">
        <x:v>Sector</x:v>
      </x:c>
      <x:c r="B1352" s="2" t="str">
        <x:v>Finance &amp; insurance</x:v>
      </x:c>
      <x:c r="C1352" s="12" t="str">
        <x:v>Bengaluru</x:v>
      </x:c>
      <x:c r="D1352" s="12" t="str">
        <x:v>MAIN-016</x:v>
      </x:c>
      <x:c r="E1352" s="12" t="str">
        <x:v>Awfis - Prestige Dotcom</x:v>
      </x:c>
      <x:c r="F1352" s="11" t="n">
        <x:v>4</x:v>
      </x:c>
      <x:c r="G1352" s="11" t="n">
        <x:v>4</x:v>
      </x:c>
      <x:c r="H1352" s="11" t="n">
        <x:v>0</x:v>
      </x:c>
      <x:c r="I1352" s="17" t="n">
        <x:f>INDEX('Costing'!$P$9:$P$492,MATCH(D1352,'Costing'!$A$9:$A$492,0))</x:f>
        <x:v>60000</x:v>
      </x:c>
      <x:c r="J1352" s="17" t="n">
        <x:f>ROUND(I1352*'Costing'!$C$4,2)</x:f>
        <x:v>10800</x:v>
      </x:c>
      <x:c r="K1352" s="17" t="n">
        <x:f>I1352+J1352</x:f>
        <x:v>70800</x:v>
      </x:c>
    </x:row>
    <x:row r="1353" ht="46" customHeight="1">
      <x:c r="A1353" s="2" t="str">
        <x:v>Sector</x:v>
      </x:c>
      <x:c r="B1353" s="2" t="str">
        <x:v>Finance &amp; insurance</x:v>
      </x:c>
      <x:c r="C1353" s="12" t="str">
        <x:v>Bengaluru</x:v>
      </x:c>
      <x:c r="D1353" s="12" t="str">
        <x:v>MAIN-031</x:v>
      </x:c>
      <x:c r="E1353" s="12" t="str">
        <x:v>Bhive Workspace - Koramangala 5TH Block</x:v>
      </x:c>
      <x:c r="F1353" s="11" t="n">
        <x:v>2</x:v>
      </x:c>
      <x:c r="G1353" s="11" t="n">
        <x:v>2</x:v>
      </x:c>
      <x:c r="H1353" s="11" t="n">
        <x:v>0</x:v>
      </x:c>
      <x:c r="I1353" s="17" t="n">
        <x:f>INDEX('Costing'!$P$9:$P$492,MATCH(D1353,'Costing'!$A$9:$A$492,0))</x:f>
        <x:v>30000</x:v>
      </x:c>
      <x:c r="J1353" s="17" t="n">
        <x:f>ROUND(I1353*'Costing'!$C$4,2)</x:f>
        <x:v>5400</x:v>
      </x:c>
      <x:c r="K1353" s="17" t="n">
        <x:f>I1353+J1353</x:f>
        <x:v>35400</x:v>
      </x:c>
    </x:row>
    <x:row r="1354" ht="46" customHeight="1">
      <x:c r="A1354" s="2" t="str">
        <x:v>Sector</x:v>
      </x:c>
      <x:c r="B1354" s="2" t="str">
        <x:v>Finance &amp; insurance</x:v>
      </x:c>
      <x:c r="C1354" s="12" t="str">
        <x:v>Bengaluru</x:v>
      </x:c>
      <x:c r="D1354" s="12" t="str">
        <x:v>MAIN-039</x:v>
      </x:c>
      <x:c r="E1354" s="12" t="str">
        <x:v>Brookfield - EcoWorld</x:v>
      </x:c>
      <x:c r="F1354" s="11" t="n">
        <x:v>16</x:v>
      </x:c>
      <x:c r="G1354" s="11" t="n">
        <x:v>16</x:v>
      </x:c>
      <x:c r="H1354" s="11" t="n">
        <x:v>0</x:v>
      </x:c>
      <x:c r="I1354" s="17" t="n">
        <x:f>INDEX('Costing'!$P$9:$P$492,MATCH(D1354,'Costing'!$A$9:$A$492,0))</x:f>
        <x:v>640000</x:v>
      </x:c>
      <x:c r="J1354" s="17" t="n">
        <x:f>ROUND(I1354*'Costing'!$C$4,2)</x:f>
        <x:v>115200</x:v>
      </x:c>
      <x:c r="K1354" s="17" t="n">
        <x:f>I1354+J1354</x:f>
        <x:v>755200</x:v>
      </x:c>
    </x:row>
    <x:row r="1355" ht="46" customHeight="1">
      <x:c r="A1355" s="2" t="str">
        <x:v>Sector</x:v>
      </x:c>
      <x:c r="B1355" s="2" t="str">
        <x:v>Finance &amp; insurance</x:v>
      </x:c>
      <x:c r="C1355" s="12" t="str">
        <x:v>Bengaluru</x:v>
      </x:c>
      <x:c r="D1355" s="12" t="str">
        <x:v>MAIN-046</x:v>
      </x:c>
      <x:c r="E1355" s="12" t="str">
        <x:v>Global Technology Park</x:v>
      </x:c>
      <x:c r="F1355" s="11" t="n">
        <x:v>2</x:v>
      </x:c>
      <x:c r="G1355" s="11" t="n">
        <x:v>2</x:v>
      </x:c>
      <x:c r="H1355" s="11" t="n">
        <x:v>0</x:v>
      </x:c>
      <x:c r="I1355" s="17" t="n">
        <x:f>INDEX('Costing'!$P$9:$P$492,MATCH(D1355,'Costing'!$A$9:$A$492,0))</x:f>
        <x:v>40000</x:v>
      </x:c>
      <x:c r="J1355" s="17" t="n">
        <x:f>ROUND(I1355*'Costing'!$C$4,2)</x:f>
        <x:v>7200</x:v>
      </x:c>
      <x:c r="K1355" s="17" t="n">
        <x:f>I1355+J1355</x:f>
        <x:v>47200</x:v>
      </x:c>
    </x:row>
    <x:row r="1356" ht="46" customHeight="1">
      <x:c r="A1356" s="2" t="str">
        <x:v>Sector</x:v>
      </x:c>
      <x:c r="B1356" s="2" t="str">
        <x:v>Finance &amp; insurance</x:v>
      </x:c>
      <x:c r="C1356" s="12" t="str">
        <x:v>Bengaluru</x:v>
      </x:c>
      <x:c r="D1356" s="12" t="str">
        <x:v>MAIN-047</x:v>
      </x:c>
      <x:c r="E1356" s="12" t="str">
        <x:v>Global Technology park </x:v>
      </x:c>
      <x:c r="F1356" s="11" t="n">
        <x:v>4</x:v>
      </x:c>
      <x:c r="G1356" s="11" t="n">
        <x:v>4</x:v>
      </x:c>
      <x:c r="H1356" s="11" t="n">
        <x:v>0</x:v>
      </x:c>
      <x:c r="I1356" s="17" t="n">
        <x:f>INDEX('Costing'!$P$9:$P$492,MATCH(D1356,'Costing'!$A$9:$A$492,0))</x:f>
        <x:v>80000</x:v>
      </x:c>
      <x:c r="J1356" s="17" t="n">
        <x:f>ROUND(I1356*'Costing'!$C$4,2)</x:f>
        <x:v>14400</x:v>
      </x:c>
      <x:c r="K1356" s="17" t="n">
        <x:f>I1356+J1356</x:f>
        <x:v>94400</x:v>
      </x:c>
    </x:row>
    <x:row r="1357" ht="46" customHeight="1">
      <x:c r="A1357" s="2" t="str">
        <x:v>Sector</x:v>
      </x:c>
      <x:c r="B1357" s="2" t="str">
        <x:v>Finance &amp; insurance</x:v>
      </x:c>
      <x:c r="C1357" s="12" t="str">
        <x:v>Bengaluru</x:v>
      </x:c>
      <x:c r="D1357" s="12" t="str">
        <x:v>MAIN-053</x:v>
      </x:c>
      <x:c r="E1357" s="12" t="str">
        <x:v>Maruthi Mansion</x:v>
      </x:c>
      <x:c r="F1357" s="11" t="n">
        <x:v>4</x:v>
      </x:c>
      <x:c r="G1357" s="11" t="n">
        <x:v>4</x:v>
      </x:c>
      <x:c r="H1357" s="11" t="n">
        <x:v>0</x:v>
      </x:c>
      <x:c r="I1357" s="17" t="n">
        <x:f>INDEX('Costing'!$P$9:$P$492,MATCH(D1357,'Costing'!$A$9:$A$492,0))</x:f>
        <x:v>60000</x:v>
      </x:c>
      <x:c r="J1357" s="17" t="n">
        <x:f>ROUND(I1357*'Costing'!$C$4,2)</x:f>
        <x:v>10800</x:v>
      </x:c>
      <x:c r="K1357" s="17" t="n">
        <x:f>I1357+J1357</x:f>
        <x:v>70800</x:v>
      </x:c>
    </x:row>
    <x:row r="1358" ht="46" customHeight="1">
      <x:c r="A1358" s="2" t="str">
        <x:v>Sector</x:v>
      </x:c>
      <x:c r="B1358" s="2" t="str">
        <x:v>Finance &amp; insurance</x:v>
      </x:c>
      <x:c r="C1358" s="12" t="str">
        <x:v>Bengaluru</x:v>
      </x:c>
      <x:c r="D1358" s="12" t="str">
        <x:v>MAIN-054</x:v>
      </x:c>
      <x:c r="E1358" s="12" t="str">
        <x:v>Maruthi Platinum</x:v>
      </x:c>
      <x:c r="F1358" s="11" t="n">
        <x:v>19</x:v>
      </x:c>
      <x:c r="G1358" s="11" t="n">
        <x:v>19</x:v>
      </x:c>
      <x:c r="H1358" s="11" t="n">
        <x:v>0</x:v>
      </x:c>
      <x:c r="I1358" s="17" t="n">
        <x:f>INDEX('Costing'!$P$9:$P$492,MATCH(D1358,'Costing'!$A$9:$A$492,0))</x:f>
        <x:v>285000</x:v>
      </x:c>
      <x:c r="J1358" s="17" t="n">
        <x:f>ROUND(I1358*'Costing'!$C$4,2)</x:f>
        <x:v>51300</x:v>
      </x:c>
      <x:c r="K1358" s="17" t="n">
        <x:f>I1358+J1358</x:f>
        <x:v>336300</x:v>
      </x:c>
    </x:row>
    <x:row r="1359" ht="46" customHeight="1">
      <x:c r="A1359" s="2" t="str">
        <x:v>Sector</x:v>
      </x:c>
      <x:c r="B1359" s="2" t="str">
        <x:v>Finance &amp; insurance</x:v>
      </x:c>
      <x:c r="C1359" s="12" t="str">
        <x:v>Bengaluru</x:v>
      </x:c>
      <x:c r="D1359" s="12" t="str">
        <x:v>MAIN-060</x:v>
      </x:c>
      <x:c r="E1359" s="12" t="str">
        <x:v>Nucleus - Cessna Business Park</x:v>
      </x:c>
      <x:c r="F1359" s="11" t="n">
        <x:v>6</x:v>
      </x:c>
      <x:c r="G1359" s="11" t="n">
        <x:v>6</x:v>
      </x:c>
      <x:c r="H1359" s="11" t="n">
        <x:v>0</x:v>
      </x:c>
      <x:c r="I1359" s="17" t="n">
        <x:f>INDEX('Costing'!$P$9:$P$492,MATCH(D1359,'Costing'!$A$9:$A$492,0))</x:f>
        <x:v>240000</x:v>
      </x:c>
      <x:c r="J1359" s="17" t="n">
        <x:f>ROUND(I1359*'Costing'!$C$4,2)</x:f>
        <x:v>43200</x:v>
      </x:c>
      <x:c r="K1359" s="17" t="n">
        <x:f>I1359+J1359</x:f>
        <x:v>283200</x:v>
      </x:c>
    </x:row>
    <x:row r="1360" ht="46" customHeight="1">
      <x:c r="A1360" s="2" t="str">
        <x:v>Sector</x:v>
      </x:c>
      <x:c r="B1360" s="2" t="str">
        <x:v>Finance &amp; insurance</x:v>
      </x:c>
      <x:c r="C1360" s="12" t="str">
        <x:v>Bengaluru</x:v>
      </x:c>
      <x:c r="D1360" s="12" t="str">
        <x:v>MAIN-070</x:v>
      </x:c>
      <x:c r="E1360" s="12" t="str">
        <x:v>Obeya - Tranquil</x:v>
      </x:c>
      <x:c r="F1360" s="11" t="n">
        <x:v>1</x:v>
      </x:c>
      <x:c r="G1360" s="11" t="n">
        <x:v>1</x:v>
      </x:c>
      <x:c r="H1360" s="11" t="n">
        <x:v>0</x:v>
      </x:c>
      <x:c r="I1360" s="17" t="n">
        <x:f>INDEX('Costing'!$P$9:$P$492,MATCH(D1360,'Costing'!$A$9:$A$492,0))</x:f>
        <x:v>15000</x:v>
      </x:c>
      <x:c r="J1360" s="17" t="n">
        <x:f>ROUND(I1360*'Costing'!$C$4,2)</x:f>
        <x:v>2700</x:v>
      </x:c>
      <x:c r="K1360" s="17" t="n">
        <x:f>I1360+J1360</x:f>
        <x:v>17700</x:v>
      </x:c>
    </x:row>
    <x:row r="1361" ht="46" customHeight="1">
      <x:c r="A1361" s="2" t="str">
        <x:v>Sector</x:v>
      </x:c>
      <x:c r="B1361" s="2" t="str">
        <x:v>Finance &amp; insurance</x:v>
      </x:c>
      <x:c r="C1361" s="12" t="str">
        <x:v>Bengaluru</x:v>
      </x:c>
      <x:c r="D1361" s="12" t="str">
        <x:v>MAIN-071</x:v>
      </x:c>
      <x:c r="E1361" s="12" t="str">
        <x:v>Obeya - Verve</x:v>
      </x:c>
      <x:c r="F1361" s="11" t="n">
        <x:v>1</x:v>
      </x:c>
      <x:c r="G1361" s="11" t="n">
        <x:v>1</x:v>
      </x:c>
      <x:c r="H1361" s="11" t="n">
        <x:v>0</x:v>
      </x:c>
      <x:c r="I1361" s="17" t="n">
        <x:f>INDEX('Costing'!$P$9:$P$492,MATCH(D1361,'Costing'!$A$9:$A$492,0))</x:f>
        <x:v>15000</x:v>
      </x:c>
      <x:c r="J1361" s="17" t="n">
        <x:f>ROUND(I1361*'Costing'!$C$4,2)</x:f>
        <x:v>2700</x:v>
      </x:c>
      <x:c r="K1361" s="17" t="n">
        <x:f>I1361+J1361</x:f>
        <x:v>17700</x:v>
      </x:c>
    </x:row>
    <x:row r="1362" ht="46" customHeight="1">
      <x:c r="A1362" s="2" t="str">
        <x:v>Sector</x:v>
      </x:c>
      <x:c r="B1362" s="2" t="str">
        <x:v>Finance &amp; insurance</x:v>
      </x:c>
      <x:c r="C1362" s="12" t="str">
        <x:v>Bengaluru</x:v>
      </x:c>
      <x:c r="D1362" s="12" t="str">
        <x:v>MAIN-073</x:v>
      </x:c>
      <x:c r="E1362" s="12" t="str">
        <x:v>Prestige Obelisk</x:v>
      </x:c>
      <x:c r="F1362" s="11" t="n">
        <x:v>1</x:v>
      </x:c>
      <x:c r="G1362" s="11" t="n">
        <x:v>1</x:v>
      </x:c>
      <x:c r="H1362" s="11" t="n">
        <x:v>0</x:v>
      </x:c>
      <x:c r="I1362" s="17" t="n">
        <x:f>INDEX('Costing'!$P$9:$P$492,MATCH(D1362,'Costing'!$A$9:$A$492,0))</x:f>
        <x:v>40000</x:v>
      </x:c>
      <x:c r="J1362" s="17" t="n">
        <x:f>ROUND(I1362*'Costing'!$C$4,2)</x:f>
        <x:v>7200</x:v>
      </x:c>
      <x:c r="K1362" s="17" t="n">
        <x:f>I1362+J1362</x:f>
        <x:v>47200</x:v>
      </x:c>
    </x:row>
    <x:row r="1363" ht="46" customHeight="1">
      <x:c r="A1363" s="2" t="str">
        <x:v>Sector</x:v>
      </x:c>
      <x:c r="B1363" s="2" t="str">
        <x:v>Finance &amp; insurance</x:v>
      </x:c>
      <x:c r="C1363" s="12" t="str">
        <x:v>Bengaluru</x:v>
      </x:c>
      <x:c r="D1363" s="12" t="str">
        <x:v>MAIN-081</x:v>
      </x:c>
      <x:c r="E1363" s="12" t="str">
        <x:v>Sierra Cartel</x:v>
      </x:c>
      <x:c r="F1363" s="11" t="n">
        <x:v>2</x:v>
      </x:c>
      <x:c r="G1363" s="11" t="n">
        <x:v>2</x:v>
      </x:c>
      <x:c r="H1363" s="11" t="n">
        <x:v>0</x:v>
      </x:c>
      <x:c r="I1363" s="17" t="n">
        <x:f>INDEX('Costing'!$P$9:$P$492,MATCH(D1363,'Costing'!$A$9:$A$492,0))</x:f>
        <x:v>30000</x:v>
      </x:c>
      <x:c r="J1363" s="17" t="n">
        <x:f>ROUND(I1363*'Costing'!$C$4,2)</x:f>
        <x:v>5400</x:v>
      </x:c>
      <x:c r="K1363" s="17" t="n">
        <x:f>I1363+J1363</x:f>
        <x:v>35400</x:v>
      </x:c>
    </x:row>
    <x:row r="1364" ht="46" customHeight="1">
      <x:c r="A1364" s="2" t="str">
        <x:v>Sector</x:v>
      </x:c>
      <x:c r="B1364" s="2" t="str">
        <x:v>Finance &amp; insurance</x:v>
      </x:c>
      <x:c r="C1364" s="12" t="str">
        <x:v>Bengaluru</x:v>
      </x:c>
      <x:c r="D1364" s="12" t="str">
        <x:v>MAIN-086</x:v>
      </x:c>
      <x:c r="E1364" s="12" t="str">
        <x:v>Startuphuts- Unit 1</x:v>
      </x:c>
      <x:c r="F1364" s="11" t="n">
        <x:v>1</x:v>
      </x:c>
      <x:c r="G1364" s="11" t="n">
        <x:v>1</x:v>
      </x:c>
      <x:c r="H1364" s="11" t="n">
        <x:v>0</x:v>
      </x:c>
      <x:c r="I1364" s="17" t="n">
        <x:f>INDEX('Costing'!$P$9:$P$492,MATCH(D1364,'Costing'!$A$9:$A$492,0))</x:f>
        <x:v>15000</x:v>
      </x:c>
      <x:c r="J1364" s="17" t="n">
        <x:f>ROUND(I1364*'Costing'!$C$4,2)</x:f>
        <x:v>2700</x:v>
      </x:c>
      <x:c r="K1364" s="17" t="n">
        <x:f>I1364+J1364</x:f>
        <x:v>17700</x:v>
      </x:c>
    </x:row>
    <x:row r="1365" ht="46" customHeight="1">
      <x:c r="A1365" s="2" t="str">
        <x:v>Sector</x:v>
      </x:c>
      <x:c r="B1365" s="2" t="str">
        <x:v>Finance &amp; insurance</x:v>
      </x:c>
      <x:c r="C1365" s="12" t="str">
        <x:v>Bengaluru</x:v>
      </x:c>
      <x:c r="D1365" s="12" t="str">
        <x:v>MAIN-091</x:v>
      </x:c>
      <x:c r="E1365" s="12" t="str">
        <x:v>Startuphuts- Unit 8</x:v>
      </x:c>
      <x:c r="F1365" s="11" t="n">
        <x:v>2</x:v>
      </x:c>
      <x:c r="G1365" s="11" t="n">
        <x:v>2</x:v>
      </x:c>
      <x:c r="H1365" s="11" t="n">
        <x:v>0</x:v>
      </x:c>
      <x:c r="I1365" s="17" t="n">
        <x:f>INDEX('Costing'!$P$9:$P$492,MATCH(D1365,'Costing'!$A$9:$A$492,0))</x:f>
        <x:v>30000</x:v>
      </x:c>
      <x:c r="J1365" s="17" t="n">
        <x:f>ROUND(I1365*'Costing'!$C$4,2)</x:f>
        <x:v>5400</x:v>
      </x:c>
      <x:c r="K1365" s="17" t="n">
        <x:f>I1365+J1365</x:f>
        <x:v>35400</x:v>
      </x:c>
    </x:row>
    <x:row r="1366" ht="46" customHeight="1">
      <x:c r="A1366" s="2" t="str">
        <x:v>Sector</x:v>
      </x:c>
      <x:c r="B1366" s="2" t="str">
        <x:v>Finance &amp; insurance</x:v>
      </x:c>
      <x:c r="C1366" s="12" t="str">
        <x:v>Bengaluru</x:v>
      </x:c>
      <x:c r="D1366" s="12" t="str">
        <x:v>MAIN-106</x:v>
      </x:c>
      <x:c r="E1366" s="12" t="str">
        <x:v>Urban Vault- 1515</x:v>
      </x:c>
      <x:c r="F1366" s="11" t="n">
        <x:v>2</x:v>
      </x:c>
      <x:c r="G1366" s="11" t="n">
        <x:v>2</x:v>
      </x:c>
      <x:c r="H1366" s="11" t="n">
        <x:v>0</x:v>
      </x:c>
      <x:c r="I1366" s="17" t="n">
        <x:f>INDEX('Costing'!$P$9:$P$492,MATCH(D1366,'Costing'!$A$9:$A$492,0))</x:f>
        <x:v>30000</x:v>
      </x:c>
      <x:c r="J1366" s="17" t="n">
        <x:f>ROUND(I1366*'Costing'!$C$4,2)</x:f>
        <x:v>5400</x:v>
      </x:c>
      <x:c r="K1366" s="17" t="n">
        <x:f>I1366+J1366</x:f>
        <x:v>35400</x:v>
      </x:c>
    </x:row>
    <x:row r="1367" ht="46" customHeight="1">
      <x:c r="A1367" s="2" t="str">
        <x:v>Sector</x:v>
      </x:c>
      <x:c r="B1367" s="2" t="str">
        <x:v>Finance &amp; insurance</x:v>
      </x:c>
      <x:c r="C1367" s="12" t="str">
        <x:v>Bengaluru</x:v>
      </x:c>
      <x:c r="D1367" s="12" t="str">
        <x:v>MAIN-110</x:v>
      </x:c>
      <x:c r="E1367" s="12" t="str">
        <x:v>Urban Vault- 2908</x:v>
      </x:c>
      <x:c r="F1367" s="11" t="n">
        <x:v>2</x:v>
      </x:c>
      <x:c r="G1367" s="11" t="n">
        <x:v>2</x:v>
      </x:c>
      <x:c r="H1367" s="11" t="n">
        <x:v>0</x:v>
      </x:c>
      <x:c r="I1367" s="17" t="n">
        <x:f>INDEX('Costing'!$P$9:$P$492,MATCH(D1367,'Costing'!$A$9:$A$492,0))</x:f>
        <x:v>30000</x:v>
      </x:c>
      <x:c r="J1367" s="17" t="n">
        <x:f>ROUND(I1367*'Costing'!$C$4,2)</x:f>
        <x:v>5400</x:v>
      </x:c>
      <x:c r="K1367" s="17" t="n">
        <x:f>I1367+J1367</x:f>
        <x:v>35400</x:v>
      </x:c>
    </x:row>
    <x:row r="1368" ht="46" customHeight="1">
      <x:c r="A1368" s="2" t="str">
        <x:v>Sector</x:v>
      </x:c>
      <x:c r="B1368" s="2" t="str">
        <x:v>Finance &amp; insurance</x:v>
      </x:c>
      <x:c r="C1368" s="12" t="str">
        <x:v>Bengaluru</x:v>
      </x:c>
      <x:c r="D1368" s="12" t="str">
        <x:v>MAIN-100</x:v>
      </x:c>
      <x:c r="E1368" s="12" t="str">
        <x:v>Urban Vault- 591</x:v>
      </x:c>
      <x:c r="F1368" s="11" t="n">
        <x:v>2</x:v>
      </x:c>
      <x:c r="G1368" s="11" t="n">
        <x:v>2</x:v>
      </x:c>
      <x:c r="H1368" s="11" t="n">
        <x:v>0</x:v>
      </x:c>
      <x:c r="I1368" s="17" t="n">
        <x:f>INDEX('Costing'!$P$9:$P$492,MATCH(D1368,'Costing'!$A$9:$A$492,0))</x:f>
        <x:v>30000</x:v>
      </x:c>
      <x:c r="J1368" s="17" t="n">
        <x:f>ROUND(I1368*'Costing'!$C$4,2)</x:f>
        <x:v>5400</x:v>
      </x:c>
      <x:c r="K1368" s="17" t="n">
        <x:f>I1368+J1368</x:f>
        <x:v>35400</x:v>
      </x:c>
    </x:row>
    <x:row r="1369" ht="46" customHeight="1">
      <x:c r="A1369" s="2" t="str">
        <x:v>Sector</x:v>
      </x:c>
      <x:c r="B1369" s="2" t="str">
        <x:v>Finance &amp; insurance</x:v>
      </x:c>
      <x:c r="C1369" s="12" t="str">
        <x:v>Bengaluru</x:v>
      </x:c>
      <x:c r="D1369" s="12" t="str">
        <x:v>MAIN-096</x:v>
      </x:c>
      <x:c r="E1369" s="12" t="str">
        <x:v>Urban Vault- 65</x:v>
      </x:c>
      <x:c r="F1369" s="11" t="n">
        <x:v>2</x:v>
      </x:c>
      <x:c r="G1369" s="11" t="n">
        <x:v>2</x:v>
      </x:c>
      <x:c r="H1369" s="11" t="n">
        <x:v>0</x:v>
      </x:c>
      <x:c r="I1369" s="17" t="n">
        <x:f>INDEX('Costing'!$P$9:$P$492,MATCH(D1369,'Costing'!$A$9:$A$492,0))</x:f>
        <x:v>30000</x:v>
      </x:c>
      <x:c r="J1369" s="17" t="n">
        <x:f>ROUND(I1369*'Costing'!$C$4,2)</x:f>
        <x:v>5400</x:v>
      </x:c>
      <x:c r="K1369" s="17" t="n">
        <x:f>I1369+J1369</x:f>
        <x:v>35400</x:v>
      </x:c>
    </x:row>
    <x:row r="1370" ht="46" customHeight="1">
      <x:c r="A1370" s="2" t="str">
        <x:v>Sector</x:v>
      </x:c>
      <x:c r="B1370" s="2" t="str">
        <x:v>Finance &amp; insurance</x:v>
      </x:c>
      <x:c r="C1370" s="12" t="str">
        <x:v>Bengaluru</x:v>
      </x:c>
      <x:c r="D1370" s="12" t="str">
        <x:v>MAIN-112</x:v>
      </x:c>
      <x:c r="E1370" s="12" t="str">
        <x:v>WeWork - Cherry Hills</x:v>
      </x:c>
      <x:c r="F1370" s="11" t="n">
        <x:v>1</x:v>
      </x:c>
      <x:c r="G1370" s="11" t="n">
        <x:v>1</x:v>
      </x:c>
      <x:c r="H1370" s="11" t="n">
        <x:v>0</x:v>
      </x:c>
      <x:c r="I1370" s="17" t="n">
        <x:f>INDEX('Costing'!$P$9:$P$492,MATCH(D1370,'Costing'!$A$9:$A$492,0))</x:f>
        <x:v>25000</x:v>
      </x:c>
      <x:c r="J1370" s="17" t="n">
        <x:f>ROUND(I1370*'Costing'!$C$4,2)</x:f>
        <x:v>4500</x:v>
      </x:c>
      <x:c r="K1370" s="17" t="n">
        <x:f>I1370+J1370</x:f>
        <x:v>29500</x:v>
      </x:c>
    </x:row>
    <x:row r="1371" ht="46" customHeight="1">
      <x:c r="A1371" s="2" t="str">
        <x:v>Sector</x:v>
      </x:c>
      <x:c r="B1371" s="2" t="str">
        <x:v>Finance &amp; insurance</x:v>
      </x:c>
      <x:c r="C1371" s="12" t="str">
        <x:v>Bengaluru</x:v>
      </x:c>
      <x:c r="D1371" s="12" t="str">
        <x:v>MAIN-129</x:v>
      </x:c>
      <x:c r="E1371" s="12" t="str">
        <x:v>WeWork - The Galaxy</x:v>
      </x:c>
      <x:c r="F1371" s="11" t="n">
        <x:v>7</x:v>
      </x:c>
      <x:c r="G1371" s="11" t="n">
        <x:v>7</x:v>
      </x:c>
      <x:c r="H1371" s="11" t="n">
        <x:v>0</x:v>
      </x:c>
      <x:c r="I1371" s="17" t="n">
        <x:f>INDEX('Costing'!$P$9:$P$492,MATCH(D1371,'Costing'!$A$9:$A$492,0))</x:f>
        <x:v>175000</x:v>
      </x:c>
      <x:c r="J1371" s="17" t="n">
        <x:f>ROUND(I1371*'Costing'!$C$4,2)</x:f>
        <x:v>31500</x:v>
      </x:c>
      <x:c r="K1371" s="17" t="n">
        <x:f>I1371+J1371</x:f>
        <x:v>206500</x:v>
      </x:c>
    </x:row>
    <x:row r="1372" ht="46" customHeight="1">
      <x:c r="A1372" s="2" t="str">
        <x:v>Sector</x:v>
      </x:c>
      <x:c r="B1372" s="2" t="str">
        <x:v>Finance &amp; insurance</x:v>
      </x:c>
      <x:c r="C1372" s="12" t="str">
        <x:v>Bengaluru</x:v>
      </x:c>
      <x:c r="D1372" s="12" t="str">
        <x:v>MAIN-130</x:v>
      </x:c>
      <x:c r="E1372" s="12" t="str">
        <x:v>WeWork - The Pavilion</x:v>
      </x:c>
      <x:c r="F1372" s="11" t="n">
        <x:v>4</x:v>
      </x:c>
      <x:c r="G1372" s="11" t="n">
        <x:v>4</x:v>
      </x:c>
      <x:c r="H1372" s="11" t="n">
        <x:v>0</x:v>
      </x:c>
      <x:c r="I1372" s="17" t="n">
        <x:f>INDEX('Costing'!$P$9:$P$492,MATCH(D1372,'Costing'!$A$9:$A$492,0))</x:f>
        <x:v>100000</x:v>
      </x:c>
      <x:c r="J1372" s="17" t="n">
        <x:f>ROUND(I1372*'Costing'!$C$4,2)</x:f>
        <x:v>18000</x:v>
      </x:c>
      <x:c r="K1372" s="17" t="n">
        <x:f>I1372+J1372</x:f>
        <x:v>118000</x:v>
      </x:c>
    </x:row>
    <x:row r="1373" ht="46" customHeight="1">
      <x:c r="A1373" s="2" t="str">
        <x:v>Sector</x:v>
      </x:c>
      <x:c r="B1373" s="2" t="str">
        <x:v>Finance &amp; insurance</x:v>
      </x:c>
      <x:c r="C1373" s="12" t="str">
        <x:v>Bhubaneswar</x:v>
      </x:c>
      <x:c r="D1373" s="12" t="str">
        <x:v>MAIN-136</x:v>
      </x:c>
      <x:c r="E1373" s="12" t="str">
        <x:v>Awfis - Ginger</x:v>
      </x:c>
      <x:c r="F1373" s="11" t="n">
        <x:v>2</x:v>
      </x:c>
      <x:c r="G1373" s="11" t="n">
        <x:v>2</x:v>
      </x:c>
      <x:c r="H1373" s="11" t="n">
        <x:v>0</x:v>
      </x:c>
      <x:c r="I1373" s="17" t="n">
        <x:f>INDEX('Costing'!$P$9:$P$492,MATCH(D1373,'Costing'!$A$9:$A$492,0))</x:f>
        <x:v>30000</x:v>
      </x:c>
      <x:c r="J1373" s="17" t="n">
        <x:f>ROUND(I1373*'Costing'!$C$4,2)</x:f>
        <x:v>5400</x:v>
      </x:c>
      <x:c r="K1373" s="17" t="n">
        <x:f>I1373+J1373</x:f>
        <x:v>35400</x:v>
      </x:c>
    </x:row>
    <x:row r="1374" ht="46" customHeight="1">
      <x:c r="A1374" s="2" t="str">
        <x:v>Sector</x:v>
      </x:c>
      <x:c r="B1374" s="2" t="str">
        <x:v>Finance &amp; insurance</x:v>
      </x:c>
      <x:c r="C1374" s="12" t="str">
        <x:v>Chennai</x:v>
      </x:c>
      <x:c r="D1374" s="12" t="str">
        <x:v>MAIN-148</x:v>
      </x:c>
      <x:c r="E1374" s="12" t="str">
        <x:v>Kochar Globe Tech Park</x:v>
      </x:c>
      <x:c r="F1374" s="11" t="n">
        <x:v>4</x:v>
      </x:c>
      <x:c r="G1374" s="11" t="n">
        <x:v>4</x:v>
      </x:c>
      <x:c r="H1374" s="11" t="n">
        <x:v>0</x:v>
      </x:c>
      <x:c r="I1374" s="17" t="n">
        <x:f>INDEX('Costing'!$P$9:$P$492,MATCH(D1374,'Costing'!$A$9:$A$492,0))</x:f>
        <x:v>80000</x:v>
      </x:c>
      <x:c r="J1374" s="17" t="n">
        <x:f>ROUND(I1374*'Costing'!$C$4,2)</x:f>
        <x:v>14400</x:v>
      </x:c>
      <x:c r="K1374" s="17" t="n">
        <x:f>I1374+J1374</x:f>
        <x:v>94400</x:v>
      </x:c>
    </x:row>
    <x:row r="1375" ht="46" customHeight="1">
      <x:c r="A1375" s="2" t="str">
        <x:v>Sector</x:v>
      </x:c>
      <x:c r="B1375" s="2" t="str">
        <x:v>Finance &amp; insurance</x:v>
      </x:c>
      <x:c r="C1375" s="12" t="str">
        <x:v>Chennai</x:v>
      </x:c>
      <x:c r="D1375" s="12" t="str">
        <x:v>MAIN-149</x:v>
      </x:c>
      <x:c r="E1375" s="12" t="str">
        <x:v>Kochar Globe Tech Park (Pod Screens)</x:v>
      </x:c>
      <x:c r="F1375" s="11" t="n">
        <x:v>2</x:v>
      </x:c>
      <x:c r="G1375" s="11" t="n">
        <x:v>2</x:v>
      </x:c>
      <x:c r="H1375" s="11" t="n">
        <x:v>0</x:v>
      </x:c>
      <x:c r="I1375" s="17" t="n">
        <x:f>INDEX('Costing'!$P$9:$P$492,MATCH(D1375,'Costing'!$A$9:$A$492,0))</x:f>
        <x:v>40000</x:v>
      </x:c>
      <x:c r="J1375" s="17" t="n">
        <x:f>ROUND(I1375*'Costing'!$C$4,2)</x:f>
        <x:v>7200</x:v>
      </x:c>
      <x:c r="K1375" s="17" t="n">
        <x:f>I1375+J1375</x:f>
        <x:v>47200</x:v>
      </x:c>
    </x:row>
    <x:row r="1376" ht="46" customHeight="1">
      <x:c r="A1376" s="2" t="str">
        <x:v>Sector</x:v>
      </x:c>
      <x:c r="B1376" s="2" t="str">
        <x:v>Finance &amp; insurance</x:v>
      </x:c>
      <x:c r="C1376" s="12" t="str">
        <x:v>Chennai</x:v>
      </x:c>
      <x:c r="D1376" s="12" t="str">
        <x:v>MAIN-150</x:v>
      </x:c>
      <x:c r="E1376" s="12" t="str">
        <x:v>Millenia Business Park 2</x:v>
      </x:c>
      <x:c r="F1376" s="11" t="n">
        <x:v>2</x:v>
      </x:c>
      <x:c r="G1376" s="11" t="n">
        <x:v>2</x:v>
      </x:c>
      <x:c r="H1376" s="11" t="n">
        <x:v>0</x:v>
      </x:c>
      <x:c r="I1376" s="17" t="n">
        <x:f>INDEX('Costing'!$P$9:$P$492,MATCH(D1376,'Costing'!$A$9:$A$492,0))</x:f>
        <x:v>40000</x:v>
      </x:c>
      <x:c r="J1376" s="17" t="n">
        <x:f>ROUND(I1376*'Costing'!$C$4,2)</x:f>
        <x:v>7200</x:v>
      </x:c>
      <x:c r="K1376" s="17" t="n">
        <x:f>I1376+J1376</x:f>
        <x:v>47200</x:v>
      </x:c>
    </x:row>
    <x:row r="1377" ht="46" customHeight="1">
      <x:c r="A1377" s="2" t="str">
        <x:v>Sector</x:v>
      </x:c>
      <x:c r="B1377" s="2" t="str">
        <x:v>Finance &amp; insurance</x:v>
      </x:c>
      <x:c r="C1377" s="12" t="str">
        <x:v>Chennai</x:v>
      </x:c>
      <x:c r="D1377" s="12" t="str">
        <x:v>MAIN-158</x:v>
      </x:c>
      <x:c r="E1377" s="12" t="str">
        <x:v>Prestige Zackria Metropolitan</x:v>
      </x:c>
      <x:c r="F1377" s="11" t="n">
        <x:v>2</x:v>
      </x:c>
      <x:c r="G1377" s="11" t="n">
        <x:v>2</x:v>
      </x:c>
      <x:c r="H1377" s="11" t="n">
        <x:v>0</x:v>
      </x:c>
      <x:c r="I1377" s="17" t="n">
        <x:f>INDEX('Costing'!$P$9:$P$492,MATCH(D1377,'Costing'!$A$9:$A$492,0))</x:f>
        <x:v>40000</x:v>
      </x:c>
      <x:c r="J1377" s="17" t="n">
        <x:f>ROUND(I1377*'Costing'!$C$4,2)</x:f>
        <x:v>7200</x:v>
      </x:c>
      <x:c r="K1377" s="17" t="n">
        <x:f>I1377+J1377</x:f>
        <x:v>47200</x:v>
      </x:c>
    </x:row>
    <x:row r="1378" ht="46" customHeight="1">
      <x:c r="A1378" s="2" t="str">
        <x:v>Sector</x:v>
      </x:c>
      <x:c r="B1378" s="2" t="str">
        <x:v>Finance &amp; insurance</x:v>
      </x:c>
      <x:c r="C1378" s="12" t="str">
        <x:v>Delhi NCR</x:v>
      </x:c>
      <x:c r="D1378" s="12" t="str">
        <x:v>MAIN-181</x:v>
      </x:c>
      <x:c r="E1378" s="12" t="str">
        <x:v>Awfis - Suncity Success Tower</x:v>
      </x:c>
      <x:c r="F1378" s="11" t="n">
        <x:v>2</x:v>
      </x:c>
      <x:c r="G1378" s="11" t="n">
        <x:v>2</x:v>
      </x:c>
      <x:c r="H1378" s="11" t="n">
        <x:v>0</x:v>
      </x:c>
      <x:c r="I1378" s="17" t="n">
        <x:f>INDEX('Costing'!$P$9:$P$492,MATCH(D1378,'Costing'!$A$9:$A$492,0))</x:f>
        <x:v>30000</x:v>
      </x:c>
      <x:c r="J1378" s="17" t="n">
        <x:f>ROUND(I1378*'Costing'!$C$4,2)</x:f>
        <x:v>5400</x:v>
      </x:c>
      <x:c r="K1378" s="17" t="n">
        <x:f>I1378+J1378</x:f>
        <x:v>35400</x:v>
      </x:c>
    </x:row>
    <x:row r="1379" ht="46" customHeight="1">
      <x:c r="A1379" s="2" t="str">
        <x:v>Sector</x:v>
      </x:c>
      <x:c r="B1379" s="2" t="str">
        <x:v>Finance &amp; insurance</x:v>
      </x:c>
      <x:c r="C1379" s="12" t="str">
        <x:v>Delhi NCR</x:v>
      </x:c>
      <x:c r="D1379" s="12" t="str">
        <x:v>MAIN-182</x:v>
      </x:c>
      <x:c r="E1379" s="12" t="str">
        <x:v>Awfis - Unitech Cyber Park - 2</x:v>
      </x:c>
      <x:c r="F1379" s="11" t="n">
        <x:v>2</x:v>
      </x:c>
      <x:c r="G1379" s="11" t="n">
        <x:v>2</x:v>
      </x:c>
      <x:c r="H1379" s="11" t="n">
        <x:v>0</x:v>
      </x:c>
      <x:c r="I1379" s="17" t="n">
        <x:f>INDEX('Costing'!$P$9:$P$492,MATCH(D1379,'Costing'!$A$9:$A$492,0))</x:f>
        <x:v>30000</x:v>
      </x:c>
      <x:c r="J1379" s="17" t="n">
        <x:f>ROUND(I1379*'Costing'!$C$4,2)</x:f>
        <x:v>5400</x:v>
      </x:c>
      <x:c r="K1379" s="17" t="n">
        <x:f>I1379+J1379</x:f>
        <x:v>35400</x:v>
      </x:c>
    </x:row>
    <x:row r="1380" ht="46" customHeight="1">
      <x:c r="A1380" s="2" t="str">
        <x:v>Sector</x:v>
      </x:c>
      <x:c r="B1380" s="2" t="str">
        <x:v>Finance &amp; insurance</x:v>
      </x:c>
      <x:c r="C1380" s="12" t="str">
        <x:v>Delhi NCR</x:v>
      </x:c>
      <x:c r="D1380" s="12" t="str">
        <x:v>MAIN-166</x:v>
      </x:c>
      <x:c r="E1380" s="12" t="str">
        <x:v>Corporate Park</x:v>
      </x:c>
      <x:c r="F1380" s="11" t="n">
        <x:v>2</x:v>
      </x:c>
      <x:c r="G1380" s="11" t="n">
        <x:v>2</x:v>
      </x:c>
      <x:c r="H1380" s="11" t="n">
        <x:v>0</x:v>
      </x:c>
      <x:c r="I1380" s="17" t="n">
        <x:f>INDEX('Costing'!$P$9:$P$492,MATCH(D1380,'Costing'!$A$9:$A$492,0))</x:f>
        <x:v>40000</x:v>
      </x:c>
      <x:c r="J1380" s="17" t="n">
        <x:f>ROUND(I1380*'Costing'!$C$4,2)</x:f>
        <x:v>7200</x:v>
      </x:c>
      <x:c r="K1380" s="17" t="n">
        <x:f>I1380+J1380</x:f>
        <x:v>47200</x:v>
      </x:c>
    </x:row>
    <x:row r="1381" ht="46" customHeight="1">
      <x:c r="A1381" s="2" t="str">
        <x:v>Sector</x:v>
      </x:c>
      <x:c r="B1381" s="2" t="str">
        <x:v>Finance &amp; insurance</x:v>
      </x:c>
      <x:c r="C1381" s="12" t="str">
        <x:v>Delhi NCR</x:v>
      </x:c>
      <x:c r="D1381" s="12" t="str">
        <x:v>MAIN-167</x:v>
      </x:c>
      <x:c r="E1381" s="12" t="str">
        <x:v>Emaar Colonnade</x:v>
      </x:c>
      <x:c r="F1381" s="11" t="n">
        <x:v>5</x:v>
      </x:c>
      <x:c r="G1381" s="11" t="n">
        <x:v>5</x:v>
      </x:c>
      <x:c r="H1381" s="11" t="n">
        <x:v>0</x:v>
      </x:c>
      <x:c r="I1381" s="17" t="n">
        <x:f>INDEX('Costing'!$P$9:$P$492,MATCH(D1381,'Costing'!$A$9:$A$492,0))</x:f>
        <x:v>200000</x:v>
      </x:c>
      <x:c r="J1381" s="17" t="n">
        <x:f>ROUND(I1381*'Costing'!$C$4,2)</x:f>
        <x:v>36000</x:v>
      </x:c>
      <x:c r="K1381" s="17" t="n">
        <x:f>I1381+J1381</x:f>
        <x:v>236000</x:v>
      </x:c>
    </x:row>
    <x:row r="1382" ht="46" customHeight="1">
      <x:c r="A1382" s="2" t="str">
        <x:v>Sector</x:v>
      </x:c>
      <x:c r="B1382" s="2" t="str">
        <x:v>Finance &amp; insurance</x:v>
      </x:c>
      <x:c r="C1382" s="12" t="str">
        <x:v>Delhi NCR</x:v>
      </x:c>
      <x:c r="D1382" s="12" t="str">
        <x:v>MAIN-194</x:v>
      </x:c>
      <x:c r="E1382" s="12" t="str">
        <x:v>India Accelerator Coworking - MGF Metropolis Mall</x:v>
      </x:c>
      <x:c r="F1382" s="11" t="n">
        <x:v>6</x:v>
      </x:c>
      <x:c r="G1382" s="11" t="n">
        <x:v>6</x:v>
      </x:c>
      <x:c r="H1382" s="11" t="n">
        <x:v>0</x:v>
      </x:c>
      <x:c r="I1382" s="17" t="n">
        <x:f>INDEX('Costing'!$P$9:$P$492,MATCH(D1382,'Costing'!$A$9:$A$492,0))</x:f>
        <x:v>240000</x:v>
      </x:c>
      <x:c r="J1382" s="17" t="n">
        <x:f>ROUND(I1382*'Costing'!$C$4,2)</x:f>
        <x:v>43200</x:v>
      </x:c>
      <x:c r="K1382" s="17" t="n">
        <x:f>I1382+J1382</x:f>
        <x:v>283200</x:v>
      </x:c>
    </x:row>
    <x:row r="1383" ht="46" customHeight="1">
      <x:c r="A1383" s="2" t="str">
        <x:v>Sector</x:v>
      </x:c>
      <x:c r="B1383" s="2" t="str">
        <x:v>Finance &amp; insurance</x:v>
      </x:c>
      <x:c r="C1383" s="12" t="str">
        <x:v>Delhi NCR</x:v>
      </x:c>
      <x:c r="D1383" s="12" t="str">
        <x:v>MAIN-374</x:v>
      </x:c>
      <x:c r="E1383" s="12" t="str">
        <x:v>Logix Infotech Park</x:v>
      </x:c>
      <x:c r="F1383" s="11" t="n">
        <x:v>2</x:v>
      </x:c>
      <x:c r="G1383" s="11" t="n">
        <x:v>2</x:v>
      </x:c>
      <x:c r="H1383" s="11" t="n">
        <x:v>0</x:v>
      </x:c>
      <x:c r="I1383" s="17" t="n">
        <x:f>INDEX('Costing'!$P$9:$P$492,MATCH(D1383,'Costing'!$A$9:$A$492,0))</x:f>
        <x:v>80000</x:v>
      </x:c>
      <x:c r="J1383" s="17" t="n">
        <x:f>ROUND(I1383*'Costing'!$C$4,2)</x:f>
        <x:v>14400</x:v>
      </x:c>
      <x:c r="K1383" s="17" t="n">
        <x:f>I1383+J1383</x:f>
        <x:v>94400</x:v>
      </x:c>
    </x:row>
    <x:row r="1384" ht="46" customHeight="1">
      <x:c r="A1384" s="2" t="str">
        <x:v>Sector</x:v>
      </x:c>
      <x:c r="B1384" s="2" t="str">
        <x:v>Finance &amp; insurance</x:v>
      </x:c>
      <x:c r="C1384" s="12" t="str">
        <x:v>Delhi NCR</x:v>
      </x:c>
      <x:c r="D1384" s="12" t="str">
        <x:v>MAIN-375</x:v>
      </x:c>
      <x:c r="E1384" s="12" t="str">
        <x:v>Logix Infotech Park</x:v>
      </x:c>
      <x:c r="F1384" s="11" t="n">
        <x:v>4</x:v>
      </x:c>
      <x:c r="G1384" s="11" t="n">
        <x:v>4</x:v>
      </x:c>
      <x:c r="H1384" s="11" t="n">
        <x:v>0</x:v>
      </x:c>
      <x:c r="I1384" s="17" t="n">
        <x:f>INDEX('Costing'!$P$9:$P$492,MATCH(D1384,'Costing'!$A$9:$A$492,0))</x:f>
        <x:v>60000</x:v>
      </x:c>
      <x:c r="J1384" s="17" t="n">
        <x:f>ROUND(I1384*'Costing'!$C$4,2)</x:f>
        <x:v>10800</x:v>
      </x:c>
      <x:c r="K1384" s="17" t="n">
        <x:f>I1384+J1384</x:f>
        <x:v>70800</x:v>
      </x:c>
    </x:row>
    <x:row r="1385" ht="46" customHeight="1">
      <x:c r="A1385" s="2" t="str">
        <x:v>Sector</x:v>
      </x:c>
      <x:c r="B1385" s="2" t="str">
        <x:v>Finance &amp; insurance</x:v>
      </x:c>
      <x:c r="C1385" s="12" t="str">
        <x:v>Delhi NCR</x:v>
      </x:c>
      <x:c r="D1385" s="12" t="str">
        <x:v>MAIN-202</x:v>
      </x:c>
      <x:c r="E1385" s="12" t="str">
        <x:v>Unitech - Business Zone</x:v>
      </x:c>
      <x:c r="F1385" s="11" t="n">
        <x:v>4</x:v>
      </x:c>
      <x:c r="G1385" s="11" t="n">
        <x:v>4</x:v>
      </x:c>
      <x:c r="H1385" s="11" t="n">
        <x:v>0</x:v>
      </x:c>
      <x:c r="I1385" s="17" t="n">
        <x:f>INDEX('Costing'!$P$9:$P$492,MATCH(D1385,'Costing'!$A$9:$A$492,0))</x:f>
        <x:v>160000</x:v>
      </x:c>
      <x:c r="J1385" s="17" t="n">
        <x:f>ROUND(I1385*'Costing'!$C$4,2)</x:f>
        <x:v>28800</x:v>
      </x:c>
      <x:c r="K1385" s="17" t="n">
        <x:f>I1385+J1385</x:f>
        <x:v>188800</x:v>
      </x:c>
    </x:row>
    <x:row r="1386" ht="46" customHeight="1">
      <x:c r="A1386" s="2" t="str">
        <x:v>Sector</x:v>
      </x:c>
      <x:c r="B1386" s="2" t="str">
        <x:v>Finance &amp; insurance</x:v>
      </x:c>
      <x:c r="C1386" s="12" t="str">
        <x:v>Delhi NCR</x:v>
      </x:c>
      <x:c r="D1386" s="12" t="str">
        <x:v>MAIN-203</x:v>
      </x:c>
      <x:c r="E1386" s="12" t="str">
        <x:v>Unitech - Commercial Tower 2</x:v>
      </x:c>
      <x:c r="F1386" s="11" t="n">
        <x:v>1</x:v>
      </x:c>
      <x:c r="G1386" s="11" t="n">
        <x:v>1</x:v>
      </x:c>
      <x:c r="H1386" s="11" t="n">
        <x:v>0</x:v>
      </x:c>
      <x:c r="I1386" s="17" t="n">
        <x:f>INDEX('Costing'!$P$9:$P$492,MATCH(D1386,'Costing'!$A$9:$A$492,0))</x:f>
        <x:v>40000</x:v>
      </x:c>
      <x:c r="J1386" s="17" t="n">
        <x:f>ROUND(I1386*'Costing'!$C$4,2)</x:f>
        <x:v>7200</x:v>
      </x:c>
      <x:c r="K1386" s="17" t="n">
        <x:f>I1386+J1386</x:f>
        <x:v>47200</x:v>
      </x:c>
    </x:row>
    <x:row r="1387" ht="46" customHeight="1">
      <x:c r="A1387" s="2" t="str">
        <x:v>Sector</x:v>
      </x:c>
      <x:c r="B1387" s="2" t="str">
        <x:v>Finance &amp; insurance</x:v>
      </x:c>
      <x:c r="C1387" s="12" t="str">
        <x:v>Delhi NCR</x:v>
      </x:c>
      <x:c r="D1387" s="12" t="str">
        <x:v>MAIN-208</x:v>
      </x:c>
      <x:c r="E1387" s="12" t="str">
        <x:v>Unitech - Trade Center</x:v>
      </x:c>
      <x:c r="F1387" s="11" t="n">
        <x:v>1</x:v>
      </x:c>
      <x:c r="G1387" s="11" t="n">
        <x:v>1</x:v>
      </x:c>
      <x:c r="H1387" s="11" t="n">
        <x:v>0</x:v>
      </x:c>
      <x:c r="I1387" s="17" t="n">
        <x:f>INDEX('Costing'!$P$9:$P$492,MATCH(D1387,'Costing'!$A$9:$A$492,0))</x:f>
        <x:v>40000</x:v>
      </x:c>
      <x:c r="J1387" s="17" t="n">
        <x:f>ROUND(I1387*'Costing'!$C$4,2)</x:f>
        <x:v>7200</x:v>
      </x:c>
      <x:c r="K1387" s="17" t="n">
        <x:f>I1387+J1387</x:f>
        <x:v>47200</x:v>
      </x:c>
    </x:row>
    <x:row r="1388" ht="46" customHeight="1">
      <x:c r="A1388" s="2" t="str">
        <x:v>Sector</x:v>
      </x:c>
      <x:c r="B1388" s="2" t="str">
        <x:v>Finance &amp; insurance</x:v>
      </x:c>
      <x:c r="C1388" s="12" t="str">
        <x:v>Delhi NCR</x:v>
      </x:c>
      <x:c r="D1388" s="12" t="str">
        <x:v>MAIN-175</x:v>
      </x:c>
      <x:c r="E1388" s="12" t="str">
        <x:v>Workflow by Oyo - Old Fort Saket</x:v>
      </x:c>
      <x:c r="F1388" s="11" t="n">
        <x:v>1</x:v>
      </x:c>
      <x:c r="G1388" s="11" t="n">
        <x:v>1</x:v>
      </x:c>
      <x:c r="H1388" s="11" t="n">
        <x:v>0</x:v>
      </x:c>
      <x:c r="I1388" s="17" t="n">
        <x:f>INDEX('Costing'!$P$9:$P$492,MATCH(D1388,'Costing'!$A$9:$A$492,0))</x:f>
        <x:v>15000</x:v>
      </x:c>
      <x:c r="J1388" s="17" t="n">
        <x:f>ROUND(I1388*'Costing'!$C$4,2)</x:f>
        <x:v>2700</x:v>
      </x:c>
      <x:c r="K1388" s="17" t="n">
        <x:f>I1388+J1388</x:f>
        <x:v>17700</x:v>
      </x:c>
    </x:row>
    <x:row r="1389" ht="46" customHeight="1">
      <x:c r="A1389" s="2" t="str">
        <x:v>Sector</x:v>
      </x:c>
      <x:c r="B1389" s="2" t="str">
        <x:v>Finance &amp; insurance</x:v>
      </x:c>
      <x:c r="C1389" s="12" t="str">
        <x:v>Hyderabad</x:v>
      </x:c>
      <x:c r="D1389" s="12" t="str">
        <x:v>MAIN-219</x:v>
      </x:c>
      <x:c r="E1389" s="12" t="str">
        <x:v>Awfis - Hitech City 6th</x:v>
      </x:c>
      <x:c r="F1389" s="11" t="n">
        <x:v>2</x:v>
      </x:c>
      <x:c r="G1389" s="11" t="n">
        <x:v>2</x:v>
      </x:c>
      <x:c r="H1389" s="11" t="n">
        <x:v>0</x:v>
      </x:c>
      <x:c r="I1389" s="17" t="n">
        <x:f>INDEX('Costing'!$P$9:$P$492,MATCH(D1389,'Costing'!$A$9:$A$492,0))</x:f>
        <x:v>30000</x:v>
      </x:c>
      <x:c r="J1389" s="17" t="n">
        <x:f>ROUND(I1389*'Costing'!$C$4,2)</x:f>
        <x:v>5400</x:v>
      </x:c>
      <x:c r="K1389" s="17" t="n">
        <x:f>I1389+J1389</x:f>
        <x:v>35400</x:v>
      </x:c>
    </x:row>
    <x:row r="1390" ht="46" customHeight="1">
      <x:c r="A1390" s="2" t="str">
        <x:v>Sector</x:v>
      </x:c>
      <x:c r="B1390" s="2" t="str">
        <x:v>Finance &amp; insurance</x:v>
      </x:c>
      <x:c r="C1390" s="12" t="str">
        <x:v>Hyderabad</x:v>
      </x:c>
      <x:c r="D1390" s="12" t="str">
        <x:v>MAIN-221</x:v>
      </x:c>
      <x:c r="E1390" s="12" t="str">
        <x:v>Awfis - Oyster Complex</x:v>
      </x:c>
      <x:c r="F1390" s="11" t="n">
        <x:v>3</x:v>
      </x:c>
      <x:c r="G1390" s="11" t="n">
        <x:v>3</x:v>
      </x:c>
      <x:c r="H1390" s="11" t="n">
        <x:v>0</x:v>
      </x:c>
      <x:c r="I1390" s="17" t="n">
        <x:f>INDEX('Costing'!$P$9:$P$492,MATCH(D1390,'Costing'!$A$9:$A$492,0))</x:f>
        <x:v>45000</x:v>
      </x:c>
      <x:c r="J1390" s="17" t="n">
        <x:f>ROUND(I1390*'Costing'!$C$4,2)</x:f>
        <x:v>8100</x:v>
      </x:c>
      <x:c r="K1390" s="17" t="n">
        <x:f>I1390+J1390</x:f>
        <x:v>53100</x:v>
      </x:c>
    </x:row>
    <x:row r="1391" ht="46" customHeight="1">
      <x:c r="A1391" s="2" t="str">
        <x:v>Sector</x:v>
      </x:c>
      <x:c r="B1391" s="2" t="str">
        <x:v>Finance &amp; insurance</x:v>
      </x:c>
      <x:c r="C1391" s="12" t="str">
        <x:v>Hyderabad</x:v>
      </x:c>
      <x:c r="D1391" s="12" t="str">
        <x:v>MAIN-222</x:v>
      </x:c>
      <x:c r="E1391" s="12" t="str">
        <x:v>Awfis - Prestige Phoenix</x:v>
      </x:c>
      <x:c r="F1391" s="11" t="n">
        <x:v>3</x:v>
      </x:c>
      <x:c r="G1391" s="11" t="n">
        <x:v>3</x:v>
      </x:c>
      <x:c r="H1391" s="11" t="n">
        <x:v>0</x:v>
      </x:c>
      <x:c r="I1391" s="17" t="n">
        <x:f>INDEX('Costing'!$P$9:$P$492,MATCH(D1391,'Costing'!$A$9:$A$492,0))</x:f>
        <x:v>45000</x:v>
      </x:c>
      <x:c r="J1391" s="17" t="n">
        <x:f>ROUND(I1391*'Costing'!$C$4,2)</x:f>
        <x:v>8100</x:v>
      </x:c>
      <x:c r="K1391" s="17" t="n">
        <x:f>I1391+J1391</x:f>
        <x:v>53100</x:v>
      </x:c>
    </x:row>
    <x:row r="1392" ht="46" customHeight="1">
      <x:c r="A1392" s="2" t="str">
        <x:v>Sector</x:v>
      </x:c>
      <x:c r="B1392" s="2" t="str">
        <x:v>Finance &amp; insurance</x:v>
      </x:c>
      <x:c r="C1392" s="12" t="str">
        <x:v>Hyderabad</x:v>
      </x:c>
      <x:c r="D1392" s="12" t="str">
        <x:v>MAIN-235</x:v>
      </x:c>
      <x:c r="E1392" s="12" t="str">
        <x:v>GAR Laxmi Infobahn (T5, T6)</x:v>
      </x:c>
      <x:c r="F1392" s="11" t="n">
        <x:v>9</x:v>
      </x:c>
      <x:c r="G1392" s="11" t="n">
        <x:v>9</x:v>
      </x:c>
      <x:c r="H1392" s="11" t="n">
        <x:v>0</x:v>
      </x:c>
      <x:c r="I1392" s="17" t="n">
        <x:f>INDEX('Costing'!$P$9:$P$492,MATCH(D1392,'Costing'!$A$9:$A$492,0))</x:f>
        <x:v>360000</x:v>
      </x:c>
      <x:c r="J1392" s="17" t="n">
        <x:f>ROUND(I1392*'Costing'!$C$4,2)</x:f>
        <x:v>64800</x:v>
      </x:c>
      <x:c r="K1392" s="17" t="n">
        <x:f>I1392+J1392</x:f>
        <x:v>424800</x:v>
      </x:c>
    </x:row>
    <x:row r="1393" ht="46" customHeight="1">
      <x:c r="A1393" s="2" t="str">
        <x:v>Sector</x:v>
      </x:c>
      <x:c r="B1393" s="2" t="str">
        <x:v>Finance &amp; insurance</x:v>
      </x:c>
      <x:c r="C1393" s="12" t="str">
        <x:v>Hyderabad</x:v>
      </x:c>
      <x:c r="D1393" s="12" t="str">
        <x:v>MAIN-236</x:v>
      </x:c>
      <x:c r="E1393" s="12" t="str">
        <x:v>GAR Laxmi Infobahn (T5, T6){IE}</x:v>
      </x:c>
      <x:c r="F1393" s="11" t="n">
        <x:v>27</x:v>
      </x:c>
      <x:c r="G1393" s="11" t="n">
        <x:v>27</x:v>
      </x:c>
      <x:c r="H1393" s="11" t="n">
        <x:v>0</x:v>
      </x:c>
      <x:c r="I1393" s="17" t="n">
        <x:f>INDEX('Costing'!$P$9:$P$492,MATCH(D1393,'Costing'!$A$9:$A$492,0))</x:f>
        <x:v>405000</x:v>
      </x:c>
      <x:c r="J1393" s="17" t="n">
        <x:f>ROUND(I1393*'Costing'!$C$4,2)</x:f>
        <x:v>72900</x:v>
      </x:c>
      <x:c r="K1393" s="17" t="n">
        <x:f>I1393+J1393</x:f>
        <x:v>477900</x:v>
      </x:c>
    </x:row>
    <x:row r="1394" ht="46" customHeight="1">
      <x:c r="A1394" s="2" t="str">
        <x:v>Sector</x:v>
      </x:c>
      <x:c r="B1394" s="2" t="str">
        <x:v>Finance &amp; insurance</x:v>
      </x:c>
      <x:c r="C1394" s="12" t="str">
        <x:v>Hyderabad</x:v>
      </x:c>
      <x:c r="D1394" s="12" t="str">
        <x:v>MAIN-238</x:v>
      </x:c>
      <x:c r="E1394" s="12" t="str">
        <x:v>Meenakshi Tech Park {IE}</x:v>
      </x:c>
      <x:c r="F1394" s="11" t="n">
        <x:v>11</x:v>
      </x:c>
      <x:c r="G1394" s="11" t="n">
        <x:v>11</x:v>
      </x:c>
      <x:c r="H1394" s="11" t="n">
        <x:v>0</x:v>
      </x:c>
      <x:c r="I1394" s="17" t="n">
        <x:f>INDEX('Costing'!$P$9:$P$492,MATCH(D1394,'Costing'!$A$9:$A$492,0))</x:f>
        <x:v>165000</x:v>
      </x:c>
      <x:c r="J1394" s="17" t="n">
        <x:f>ROUND(I1394*'Costing'!$C$4,2)</x:f>
        <x:v>29700</x:v>
      </x:c>
      <x:c r="K1394" s="17" t="n">
        <x:f>I1394+J1394</x:f>
        <x:v>194700</x:v>
      </x:c>
    </x:row>
    <x:row r="1395" ht="46" customHeight="1">
      <x:c r="A1395" s="2" t="str">
        <x:v>Sector</x:v>
      </x:c>
      <x:c r="B1395" s="2" t="str">
        <x:v>Finance &amp; insurance</x:v>
      </x:c>
      <x:c r="C1395" s="12" t="str">
        <x:v>Hyderabad</x:v>
      </x:c>
      <x:c r="D1395" s="12" t="str">
        <x:v>MAIN-239</x:v>
      </x:c>
      <x:c r="E1395" s="12" t="str">
        <x:v>Meenakshi Tech Park-43 Inch Pods</x:v>
      </x:c>
      <x:c r="F1395" s="11" t="n">
        <x:v>12</x:v>
      </x:c>
      <x:c r="G1395" s="11" t="n">
        <x:v>12</x:v>
      </x:c>
      <x:c r="H1395" s="11" t="n">
        <x:v>0</x:v>
      </x:c>
      <x:c r="I1395" s="17" t="n">
        <x:f>INDEX('Costing'!$P$9:$P$492,MATCH(D1395,'Costing'!$A$9:$A$492,0))</x:f>
        <x:v>240000</x:v>
      </x:c>
      <x:c r="J1395" s="17" t="n">
        <x:f>ROUND(I1395*'Costing'!$C$4,2)</x:f>
        <x:v>43200</x:v>
      </x:c>
      <x:c r="K1395" s="17" t="n">
        <x:f>I1395+J1395</x:f>
        <x:v>283200</x:v>
      </x:c>
    </x:row>
    <x:row r="1396" ht="46" customHeight="1">
      <x:c r="A1396" s="2" t="str">
        <x:v>Sector</x:v>
      </x:c>
      <x:c r="B1396" s="2" t="str">
        <x:v>Finance &amp; insurance</x:v>
      </x:c>
      <x:c r="C1396" s="12" t="str">
        <x:v>Hyderabad</x:v>
      </x:c>
      <x:c r="D1396" s="12" t="str">
        <x:v>MAIN-240</x:v>
      </x:c>
      <x:c r="E1396" s="12" t="str">
        <x:v>NSL Arena Tech Park</x:v>
      </x:c>
      <x:c r="F1396" s="11" t="n">
        <x:v>13</x:v>
      </x:c>
      <x:c r="G1396" s="11" t="n">
        <x:v>13</x:v>
      </x:c>
      <x:c r="H1396" s="11" t="n">
        <x:v>0</x:v>
      </x:c>
      <x:c r="I1396" s="17" t="n">
        <x:f>INDEX('Costing'!$P$9:$P$492,MATCH(D1396,'Costing'!$A$9:$A$492,0))</x:f>
        <x:v>195000</x:v>
      </x:c>
      <x:c r="J1396" s="17" t="n">
        <x:f>ROUND(I1396*'Costing'!$C$4,2)</x:f>
        <x:v>35100</x:v>
      </x:c>
      <x:c r="K1396" s="17" t="n">
        <x:f>I1396+J1396</x:f>
        <x:v>230100</x:v>
      </x:c>
    </x:row>
    <x:row r="1397" ht="46" customHeight="1">
      <x:c r="A1397" s="2" t="str">
        <x:v>Sector</x:v>
      </x:c>
      <x:c r="B1397" s="2" t="str">
        <x:v>Finance &amp; insurance</x:v>
      </x:c>
      <x:c r="C1397" s="12" t="str">
        <x:v>Hyderabad</x:v>
      </x:c>
      <x:c r="D1397" s="12" t="str">
        <x:v>MAIN-244</x:v>
      </x:c>
      <x:c r="E1397" s="12" t="str">
        <x:v>Oyo Workspace - Hitech</x:v>
      </x:c>
      <x:c r="F1397" s="11" t="n">
        <x:v>2</x:v>
      </x:c>
      <x:c r="G1397" s="11" t="n">
        <x:v>2</x:v>
      </x:c>
      <x:c r="H1397" s="11" t="n">
        <x:v>0</x:v>
      </x:c>
      <x:c r="I1397" s="17" t="n">
        <x:f>INDEX('Costing'!$P$9:$P$492,MATCH(D1397,'Costing'!$A$9:$A$492,0))</x:f>
        <x:v>30000</x:v>
      </x:c>
      <x:c r="J1397" s="17" t="n">
        <x:f>ROUND(I1397*'Costing'!$C$4,2)</x:f>
        <x:v>5400</x:v>
      </x:c>
      <x:c r="K1397" s="17" t="n">
        <x:f>I1397+J1397</x:f>
        <x:v>35400</x:v>
      </x:c>
    </x:row>
    <x:row r="1398" ht="46" customHeight="1">
      <x:c r="A1398" s="2" t="str">
        <x:v>Sector</x:v>
      </x:c>
      <x:c r="B1398" s="2" t="str">
        <x:v>Finance &amp; insurance</x:v>
      </x:c>
      <x:c r="C1398" s="12" t="str">
        <x:v>Hyderabad</x:v>
      </x:c>
      <x:c r="D1398" s="12" t="str">
        <x:v>MAIN-245</x:v>
      </x:c>
      <x:c r="E1398" s="12" t="str">
        <x:v>Phoenix IVY</x:v>
      </x:c>
      <x:c r="F1398" s="11" t="n">
        <x:v>1</x:v>
      </x:c>
      <x:c r="G1398" s="11" t="n">
        <x:v>1</x:v>
      </x:c>
      <x:c r="H1398" s="11" t="n">
        <x:v>0</x:v>
      </x:c>
      <x:c r="I1398" s="17" t="n">
        <x:f>INDEX('Costing'!$P$9:$P$492,MATCH(D1398,'Costing'!$A$9:$A$492,0))</x:f>
        <x:v>40000</x:v>
      </x:c>
      <x:c r="J1398" s="17" t="n">
        <x:f>ROUND(I1398*'Costing'!$C$4,2)</x:f>
        <x:v>7200</x:v>
      </x:c>
      <x:c r="K1398" s="17" t="n">
        <x:f>I1398+J1398</x:f>
        <x:v>47200</x:v>
      </x:c>
    </x:row>
    <x:row r="1399" ht="46" customHeight="1">
      <x:c r="A1399" s="2" t="str">
        <x:v>Sector</x:v>
      </x:c>
      <x:c r="B1399" s="2" t="str">
        <x:v>Finance &amp; insurance</x:v>
      </x:c>
      <x:c r="C1399" s="12" t="str">
        <x:v>Hyderabad</x:v>
      </x:c>
      <x:c r="D1399" s="12" t="str">
        <x:v>MAIN-253</x:v>
      </x:c>
      <x:c r="E1399" s="12" t="str">
        <x:v>Raheja Mindspace IT Park - Madhapur</x:v>
      </x:c>
      <x:c r="F1399" s="11" t="n">
        <x:v>21</x:v>
      </x:c>
      <x:c r="G1399" s="11" t="n">
        <x:v>21</x:v>
      </x:c>
      <x:c r="H1399" s="11" t="n">
        <x:v>0</x:v>
      </x:c>
      <x:c r="I1399" s="17" t="n">
        <x:f>INDEX('Costing'!$P$9:$P$492,MATCH(D1399,'Costing'!$A$9:$A$492,0))</x:f>
        <x:v>840000</x:v>
      </x:c>
      <x:c r="J1399" s="17" t="n">
        <x:f>ROUND(I1399*'Costing'!$C$4,2)</x:f>
        <x:v>151200</x:v>
      </x:c>
      <x:c r="K1399" s="17" t="n">
        <x:f>I1399+J1399</x:f>
        <x:v>991200</x:v>
      </x:c>
    </x:row>
    <x:row r="1400" ht="46" customHeight="1">
      <x:c r="A1400" s="2" t="str">
        <x:v>Sector</x:v>
      </x:c>
      <x:c r="B1400" s="2" t="str">
        <x:v>Finance &amp; insurance</x:v>
      </x:c>
      <x:c r="C1400" s="12" t="str">
        <x:v>Hyderabad</x:v>
      </x:c>
      <x:c r="D1400" s="12" t="str">
        <x:v>MAIN-254</x:v>
      </x:c>
      <x:c r="E1400" s="12" t="str">
        <x:v>Sattva Octave (Redbrick Offices)</x:v>
      </x:c>
      <x:c r="F1400" s="11" t="n">
        <x:v>1</x:v>
      </x:c>
      <x:c r="G1400" s="11" t="n">
        <x:v>1</x:v>
      </x:c>
      <x:c r="H1400" s="11" t="n">
        <x:v>0</x:v>
      </x:c>
      <x:c r="I1400" s="17" t="n">
        <x:f>INDEX('Costing'!$P$9:$P$492,MATCH(D1400,'Costing'!$A$9:$A$492,0))</x:f>
        <x:v>15000</x:v>
      </x:c>
      <x:c r="J1400" s="17" t="n">
        <x:f>ROUND(I1400*'Costing'!$C$4,2)</x:f>
        <x:v>2700</x:v>
      </x:c>
      <x:c r="K1400" s="17" t="n">
        <x:f>I1400+J1400</x:f>
        <x:v>17700</x:v>
      </x:c>
    </x:row>
    <x:row r="1401" ht="46" customHeight="1">
      <x:c r="A1401" s="2" t="str">
        <x:v>Sector</x:v>
      </x:c>
      <x:c r="B1401" s="2" t="str">
        <x:v>Finance &amp; insurance</x:v>
      </x:c>
      <x:c r="C1401" s="12" t="str">
        <x:v>Hyderabad</x:v>
      </x:c>
      <x:c r="D1401" s="12" t="str">
        <x:v>MAIN-255</x:v>
      </x:c>
      <x:c r="E1401" s="12" t="str">
        <x:v>Sattva Orwell (Redbrick Offices)</x:v>
      </x:c>
      <x:c r="F1401" s="11" t="n">
        <x:v>3</x:v>
      </x:c>
      <x:c r="G1401" s="11" t="n">
        <x:v>3</x:v>
      </x:c>
      <x:c r="H1401" s="11" t="n">
        <x:v>0</x:v>
      </x:c>
      <x:c r="I1401" s="17" t="n">
        <x:f>INDEX('Costing'!$P$9:$P$492,MATCH(D1401,'Costing'!$A$9:$A$492,0))</x:f>
        <x:v>45000</x:v>
      </x:c>
      <x:c r="J1401" s="17" t="n">
        <x:f>ROUND(I1401*'Costing'!$C$4,2)</x:f>
        <x:v>8100</x:v>
      </x:c>
      <x:c r="K1401" s="17" t="n">
        <x:f>I1401+J1401</x:f>
        <x:v>53100</x:v>
      </x:c>
    </x:row>
    <x:row r="1402" ht="46" customHeight="1">
      <x:c r="A1402" s="2" t="str">
        <x:v>Sector</x:v>
      </x:c>
      <x:c r="B1402" s="2" t="str">
        <x:v>Finance &amp; insurance</x:v>
      </x:c>
      <x:c r="C1402" s="12" t="str">
        <x:v>Hyderabad</x:v>
      </x:c>
      <x:c r="D1402" s="12" t="str">
        <x:v>MAIN-257</x:v>
      </x:c>
      <x:c r="E1402" s="12" t="str">
        <x:v>Symbyont Smart Space Aurobindo Orbit</x:v>
      </x:c>
      <x:c r="F1402" s="11" t="n">
        <x:v>2</x:v>
      </x:c>
      <x:c r="G1402" s="11" t="n">
        <x:v>2</x:v>
      </x:c>
      <x:c r="H1402" s="11" t="n">
        <x:v>0</x:v>
      </x:c>
      <x:c r="I1402" s="17" t="n">
        <x:f>INDEX('Costing'!$P$9:$P$492,MATCH(D1402,'Costing'!$A$9:$A$492,0))</x:f>
        <x:v>40000</x:v>
      </x:c>
      <x:c r="J1402" s="17" t="n">
        <x:f>ROUND(I1402*'Costing'!$C$4,2)</x:f>
        <x:v>7200</x:v>
      </x:c>
      <x:c r="K1402" s="17" t="n">
        <x:f>I1402+J1402</x:f>
        <x:v>47200</x:v>
      </x:c>
    </x:row>
    <x:row r="1403" ht="46" customHeight="1">
      <x:c r="A1403" s="2" t="str">
        <x:v>Sector</x:v>
      </x:c>
      <x:c r="B1403" s="2" t="str">
        <x:v>Finance &amp; insurance</x:v>
      </x:c>
      <x:c r="C1403" s="12" t="str">
        <x:v>Hyderabad</x:v>
      </x:c>
      <x:c r="D1403" s="12" t="str">
        <x:v>MAIN-263</x:v>
      </x:c>
      <x:c r="E1403" s="12" t="str">
        <x:v>WeWork - Mindspace</x:v>
      </x:c>
      <x:c r="F1403" s="11" t="n">
        <x:v>1</x:v>
      </x:c>
      <x:c r="G1403" s="11" t="n">
        <x:v>1</x:v>
      </x:c>
      <x:c r="H1403" s="11" t="n">
        <x:v>0</x:v>
      </x:c>
      <x:c r="I1403" s="17" t="n">
        <x:f>INDEX('Costing'!$P$9:$P$492,MATCH(D1403,'Costing'!$A$9:$A$492,0))</x:f>
        <x:v>25000</x:v>
      </x:c>
      <x:c r="J1403" s="17" t="n">
        <x:f>ROUND(I1403*'Costing'!$C$4,2)</x:f>
        <x:v>4500</x:v>
      </x:c>
      <x:c r="K1403" s="17" t="n">
        <x:f>I1403+J1403</x:f>
        <x:v>29500</x:v>
      </x:c>
    </x:row>
    <x:row r="1404" ht="46" customHeight="1">
      <x:c r="A1404" s="2" t="str">
        <x:v>Sector</x:v>
      </x:c>
      <x:c r="B1404" s="2" t="str">
        <x:v>Finance &amp; insurance</x:v>
      </x:c>
      <x:c r="C1404" s="12" t="str">
        <x:v>Indore</x:v>
      </x:c>
      <x:c r="D1404" s="12" t="str">
        <x:v>MAIN-266</x:v>
      </x:c>
      <x:c r="E1404" s="12" t="str">
        <x:v>Airen Heights</x:v>
      </x:c>
      <x:c r="F1404" s="11" t="n">
        <x:v>1</x:v>
      </x:c>
      <x:c r="G1404" s="11" t="n">
        <x:v>1</x:v>
      </x:c>
      <x:c r="H1404" s="11" t="n">
        <x:v>0</x:v>
      </x:c>
      <x:c r="I1404" s="17" t="n">
        <x:f>INDEX('Costing'!$P$9:$P$492,MATCH(D1404,'Costing'!$A$9:$A$492,0))</x:f>
        <x:v>20000</x:v>
      </x:c>
      <x:c r="J1404" s="17" t="n">
        <x:f>ROUND(I1404*'Costing'!$C$4,2)</x:f>
        <x:v>3600</x:v>
      </x:c>
      <x:c r="K1404" s="17" t="n">
        <x:f>I1404+J1404</x:f>
        <x:v>23600</x:v>
      </x:c>
    </x:row>
    <x:row r="1405" ht="46" customHeight="1">
      <x:c r="A1405" s="2" t="str">
        <x:v>Sector</x:v>
      </x:c>
      <x:c r="B1405" s="2" t="str">
        <x:v>Finance &amp; insurance</x:v>
      </x:c>
      <x:c r="C1405" s="12" t="str">
        <x:v>Indore</x:v>
      </x:c>
      <x:c r="D1405" s="12" t="str">
        <x:v>MAIN-267</x:v>
      </x:c>
      <x:c r="E1405" s="12" t="str">
        <x:v>Apollo Gold Plaza</x:v>
      </x:c>
      <x:c r="F1405" s="11" t="n">
        <x:v>2</x:v>
      </x:c>
      <x:c r="G1405" s="11" t="n">
        <x:v>2</x:v>
      </x:c>
      <x:c r="H1405" s="11" t="n">
        <x:v>0</x:v>
      </x:c>
      <x:c r="I1405" s="17" t="n">
        <x:f>INDEX('Costing'!$P$9:$P$492,MATCH(D1405,'Costing'!$A$9:$A$492,0))</x:f>
        <x:v>40000</x:v>
      </x:c>
      <x:c r="J1405" s="17" t="n">
        <x:f>ROUND(I1405*'Costing'!$C$4,2)</x:f>
        <x:v>7200</x:v>
      </x:c>
      <x:c r="K1405" s="17" t="n">
        <x:f>I1405+J1405</x:f>
        <x:v>47200</x:v>
      </x:c>
    </x:row>
    <x:row r="1406" ht="46" customHeight="1">
      <x:c r="A1406" s="2" t="str">
        <x:v>Sector</x:v>
      </x:c>
      <x:c r="B1406" s="2" t="str">
        <x:v>Finance &amp; insurance</x:v>
      </x:c>
      <x:c r="C1406" s="12" t="str">
        <x:v>Indore</x:v>
      </x:c>
      <x:c r="D1406" s="12" t="str">
        <x:v>MAIN-268</x:v>
      </x:c>
      <x:c r="E1406" s="12" t="str">
        <x:v>Apollo Premier</x:v>
      </x:c>
      <x:c r="F1406" s="11" t="n">
        <x:v>2</x:v>
      </x:c>
      <x:c r="G1406" s="11" t="n">
        <x:v>2</x:v>
      </x:c>
      <x:c r="H1406" s="11" t="n">
        <x:v>0</x:v>
      </x:c>
      <x:c r="I1406" s="17" t="n">
        <x:f>INDEX('Costing'!$P$9:$P$492,MATCH(D1406,'Costing'!$A$9:$A$492,0))</x:f>
        <x:v>80000</x:v>
      </x:c>
      <x:c r="J1406" s="17" t="n">
        <x:f>ROUND(I1406*'Costing'!$C$4,2)</x:f>
        <x:v>14400</x:v>
      </x:c>
      <x:c r="K1406" s="17" t="n">
        <x:f>I1406+J1406</x:f>
        <x:v>94400</x:v>
      </x:c>
    </x:row>
    <x:row r="1407" ht="46" customHeight="1">
      <x:c r="A1407" s="2" t="str">
        <x:v>Sector</x:v>
      </x:c>
      <x:c r="B1407" s="2" t="str">
        <x:v>Finance &amp; insurance</x:v>
      </x:c>
      <x:c r="C1407" s="12" t="str">
        <x:v>Indore</x:v>
      </x:c>
      <x:c r="D1407" s="12" t="str">
        <x:v>MAIN-269</x:v>
      </x:c>
      <x:c r="E1407" s="12" t="str">
        <x:v>Benchmark</x:v>
      </x:c>
      <x:c r="F1407" s="11" t="n">
        <x:v>1</x:v>
      </x:c>
      <x:c r="G1407" s="11" t="n">
        <x:v>1</x:v>
      </x:c>
      <x:c r="H1407" s="11" t="n">
        <x:v>0</x:v>
      </x:c>
      <x:c r="I1407" s="17" t="n">
        <x:f>INDEX('Costing'!$P$9:$P$492,MATCH(D1407,'Costing'!$A$9:$A$492,0))</x:f>
        <x:v>40000</x:v>
      </x:c>
      <x:c r="J1407" s="17" t="n">
        <x:f>ROUND(I1407*'Costing'!$C$4,2)</x:f>
        <x:v>7200</x:v>
      </x:c>
      <x:c r="K1407" s="17" t="n">
        <x:f>I1407+J1407</x:f>
        <x:v>47200</x:v>
      </x:c>
    </x:row>
    <x:row r="1408" ht="46" customHeight="1">
      <x:c r="A1408" s="2" t="str">
        <x:v>Sector</x:v>
      </x:c>
      <x:c r="B1408" s="2" t="str">
        <x:v>Finance &amp; insurance</x:v>
      </x:c>
      <x:c r="C1408" s="12" t="str">
        <x:v>Indore</x:v>
      </x:c>
      <x:c r="D1408" s="12" t="str">
        <x:v>MAIN-270</x:v>
      </x:c>
      <x:c r="E1408" s="12" t="str">
        <x:v>Cliffton Corporate</x:v>
      </x:c>
      <x:c r="F1408" s="11" t="n">
        <x:v>1</x:v>
      </x:c>
      <x:c r="G1408" s="11" t="n">
        <x:v>1</x:v>
      </x:c>
      <x:c r="H1408" s="11" t="n">
        <x:v>0</x:v>
      </x:c>
      <x:c r="I1408" s="17" t="n">
        <x:f>INDEX('Costing'!$P$9:$P$492,MATCH(D1408,'Costing'!$A$9:$A$492,0))</x:f>
        <x:v>20000</x:v>
      </x:c>
      <x:c r="J1408" s="17" t="n">
        <x:f>ROUND(I1408*'Costing'!$C$4,2)</x:f>
        <x:v>3600</x:v>
      </x:c>
      <x:c r="K1408" s="17" t="n">
        <x:f>I1408+J1408</x:f>
        <x:v>23600</x:v>
      </x:c>
    </x:row>
    <x:row r="1409" ht="46" customHeight="1">
      <x:c r="A1409" s="2" t="str">
        <x:v>Sector</x:v>
      </x:c>
      <x:c r="B1409" s="2" t="str">
        <x:v>Finance &amp; insurance</x:v>
      </x:c>
      <x:c r="C1409" s="12" t="str">
        <x:v>Indore</x:v>
      </x:c>
      <x:c r="D1409" s="12" t="str">
        <x:v>MAIN-271</x:v>
      </x:c>
      <x:c r="E1409" s="12" t="str">
        <x:v>Dhan Trident</x:v>
      </x:c>
      <x:c r="F1409" s="11" t="n">
        <x:v>2</x:v>
      </x:c>
      <x:c r="G1409" s="11" t="n">
        <x:v>2</x:v>
      </x:c>
      <x:c r="H1409" s="11" t="n">
        <x:v>0</x:v>
      </x:c>
      <x:c r="I1409" s="17" t="n">
        <x:f>INDEX('Costing'!$P$9:$P$492,MATCH(D1409,'Costing'!$A$9:$A$492,0))</x:f>
        <x:v>40000</x:v>
      </x:c>
      <x:c r="J1409" s="17" t="n">
        <x:f>ROUND(I1409*'Costing'!$C$4,2)</x:f>
        <x:v>7200</x:v>
      </x:c>
      <x:c r="K1409" s="17" t="n">
        <x:f>I1409+J1409</x:f>
        <x:v>47200</x:v>
      </x:c>
    </x:row>
    <x:row r="1410" ht="46" customHeight="1">
      <x:c r="A1410" s="2" t="str">
        <x:v>Sector</x:v>
      </x:c>
      <x:c r="B1410" s="2" t="str">
        <x:v>Finance &amp; insurance</x:v>
      </x:c>
      <x:c r="C1410" s="12" t="str">
        <x:v>Indore</x:v>
      </x:c>
      <x:c r="D1410" s="12" t="str">
        <x:v>MAIN-272</x:v>
      </x:c>
      <x:c r="E1410" s="12" t="str">
        <x:v>Maloo - 01</x:v>
      </x:c>
      <x:c r="F1410" s="11" t="n">
        <x:v>1</x:v>
      </x:c>
      <x:c r="G1410" s="11" t="n">
        <x:v>1</x:v>
      </x:c>
      <x:c r="H1410" s="11" t="n">
        <x:v>0</x:v>
      </x:c>
      <x:c r="I1410" s="17" t="n">
        <x:f>INDEX('Costing'!$P$9:$P$492,MATCH(D1410,'Costing'!$A$9:$A$492,0))</x:f>
        <x:v>20000</x:v>
      </x:c>
      <x:c r="J1410" s="17" t="n">
        <x:f>ROUND(I1410*'Costing'!$C$4,2)</x:f>
        <x:v>3600</x:v>
      </x:c>
      <x:c r="K1410" s="17" t="n">
        <x:f>I1410+J1410</x:f>
        <x:v>23600</x:v>
      </x:c>
    </x:row>
    <x:row r="1411" ht="46" customHeight="1">
      <x:c r="A1411" s="2" t="str">
        <x:v>Sector</x:v>
      </x:c>
      <x:c r="B1411" s="2" t="str">
        <x:v>Finance &amp; insurance</x:v>
      </x:c>
      <x:c r="C1411" s="12" t="str">
        <x:v>Indore</x:v>
      </x:c>
      <x:c r="D1411" s="12" t="str">
        <x:v>MAIN-273</x:v>
      </x:c>
      <x:c r="E1411" s="12" t="str">
        <x:v>Metro Tower</x:v>
      </x:c>
      <x:c r="F1411" s="11" t="n">
        <x:v>2</x:v>
      </x:c>
      <x:c r="G1411" s="11" t="n">
        <x:v>2</x:v>
      </x:c>
      <x:c r="H1411" s="11" t="n">
        <x:v>0</x:v>
      </x:c>
      <x:c r="I1411" s="17" t="n">
        <x:f>INDEX('Costing'!$P$9:$P$492,MATCH(D1411,'Costing'!$A$9:$A$492,0))</x:f>
        <x:v>40000</x:v>
      </x:c>
      <x:c r="J1411" s="17" t="n">
        <x:f>ROUND(I1411*'Costing'!$C$4,2)</x:f>
        <x:v>7200</x:v>
      </x:c>
      <x:c r="K1411" s="17" t="n">
        <x:f>I1411+J1411</x:f>
        <x:v>47200</x:v>
      </x:c>
    </x:row>
    <x:row r="1412" ht="46" customHeight="1">
      <x:c r="A1412" s="2" t="str">
        <x:v>Sector</x:v>
      </x:c>
      <x:c r="B1412" s="2" t="str">
        <x:v>Finance &amp; insurance</x:v>
      </x:c>
      <x:c r="C1412" s="12" t="str">
        <x:v>Indore</x:v>
      </x:c>
      <x:c r="D1412" s="12" t="str">
        <x:v>MAIN-274</x:v>
      </x:c>
      <x:c r="E1412" s="12" t="str">
        <x:v>Princess Sky Line</x:v>
      </x:c>
      <x:c r="F1412" s="11" t="n">
        <x:v>1</x:v>
      </x:c>
      <x:c r="G1412" s="11" t="n">
        <x:v>1</x:v>
      </x:c>
      <x:c r="H1412" s="11" t="n">
        <x:v>0</x:v>
      </x:c>
      <x:c r="I1412" s="17" t="n">
        <x:f>INDEX('Costing'!$P$9:$P$492,MATCH(D1412,'Costing'!$A$9:$A$492,0))</x:f>
        <x:v>40000</x:v>
      </x:c>
      <x:c r="J1412" s="17" t="n">
        <x:f>ROUND(I1412*'Costing'!$C$4,2)</x:f>
        <x:v>7200</x:v>
      </x:c>
      <x:c r="K1412" s="17" t="n">
        <x:f>I1412+J1412</x:f>
        <x:v>47200</x:v>
      </x:c>
    </x:row>
    <x:row r="1413" ht="46" customHeight="1">
      <x:c r="A1413" s="2" t="str">
        <x:v>Sector</x:v>
      </x:c>
      <x:c r="B1413" s="2" t="str">
        <x:v>Finance &amp; insurance</x:v>
      </x:c>
      <x:c r="C1413" s="12" t="str">
        <x:v>Indore</x:v>
      </x:c>
      <x:c r="D1413" s="12" t="str">
        <x:v>MAIN-275</x:v>
      </x:c>
      <x:c r="E1413" s="12" t="str">
        <x:v>Princess Sky Park</x:v>
      </x:c>
      <x:c r="F1413" s="11" t="n">
        <x:v>1</x:v>
      </x:c>
      <x:c r="G1413" s="11" t="n">
        <x:v>1</x:v>
      </x:c>
      <x:c r="H1413" s="11" t="n">
        <x:v>0</x:v>
      </x:c>
      <x:c r="I1413" s="17" t="n">
        <x:f>INDEX('Costing'!$P$9:$P$492,MATCH(D1413,'Costing'!$A$9:$A$492,0))</x:f>
        <x:v>40000</x:v>
      </x:c>
      <x:c r="J1413" s="17" t="n">
        <x:f>ROUND(I1413*'Costing'!$C$4,2)</x:f>
        <x:v>7200</x:v>
      </x:c>
      <x:c r="K1413" s="17" t="n">
        <x:f>I1413+J1413</x:f>
        <x:v>47200</x:v>
      </x:c>
    </x:row>
    <x:row r="1414" ht="46" customHeight="1">
      <x:c r="A1414" s="2" t="str">
        <x:v>Sector</x:v>
      </x:c>
      <x:c r="B1414" s="2" t="str">
        <x:v>Finance &amp; insurance</x:v>
      </x:c>
      <x:c r="C1414" s="12" t="str">
        <x:v>Indore</x:v>
      </x:c>
      <x:c r="D1414" s="12" t="str">
        <x:v>MAIN-276</x:v>
      </x:c>
      <x:c r="E1414" s="12" t="str">
        <x:v>Satyaraj Complex</x:v>
      </x:c>
      <x:c r="F1414" s="11" t="n">
        <x:v>1</x:v>
      </x:c>
      <x:c r="G1414" s="11" t="n">
        <x:v>1</x:v>
      </x:c>
      <x:c r="H1414" s="11" t="n">
        <x:v>0</x:v>
      </x:c>
      <x:c r="I1414" s="17" t="n">
        <x:f>INDEX('Costing'!$P$9:$P$492,MATCH(D1414,'Costing'!$A$9:$A$492,0))</x:f>
        <x:v>20000</x:v>
      </x:c>
      <x:c r="J1414" s="17" t="n">
        <x:f>ROUND(I1414*'Costing'!$C$4,2)</x:f>
        <x:v>3600</x:v>
      </x:c>
      <x:c r="K1414" s="17" t="n">
        <x:f>I1414+J1414</x:f>
        <x:v>23600</x:v>
      </x:c>
    </x:row>
    <x:row r="1415" ht="46" customHeight="1">
      <x:c r="A1415" s="2" t="str">
        <x:v>Sector</x:v>
      </x:c>
      <x:c r="B1415" s="2" t="str">
        <x:v>Finance &amp; insurance</x:v>
      </x:c>
      <x:c r="C1415" s="12" t="str">
        <x:v>Kolkata</x:v>
      </x:c>
      <x:c r="D1415" s="12" t="str">
        <x:v>MAIN-281</x:v>
      </x:c>
      <x:c r="E1415" s="12" t="str">
        <x:v>Awfis - Ecospace Business Park</x:v>
      </x:c>
      <x:c r="F1415" s="11" t="n">
        <x:v>1</x:v>
      </x:c>
      <x:c r="G1415" s="11" t="n">
        <x:v>1</x:v>
      </x:c>
      <x:c r="H1415" s="11" t="n">
        <x:v>0</x:v>
      </x:c>
      <x:c r="I1415" s="17" t="n">
        <x:f>INDEX('Costing'!$P$9:$P$492,MATCH(D1415,'Costing'!$A$9:$A$492,0))</x:f>
        <x:v>15000</x:v>
      </x:c>
      <x:c r="J1415" s="17" t="n">
        <x:f>ROUND(I1415*'Costing'!$C$4,2)</x:f>
        <x:v>2700</x:v>
      </x:c>
      <x:c r="K1415" s="17" t="n">
        <x:f>I1415+J1415</x:f>
        <x:v>17700</x:v>
      </x:c>
    </x:row>
    <x:row r="1416" ht="46" customHeight="1">
      <x:c r="A1416" s="2" t="str">
        <x:v>Sector</x:v>
      </x:c>
      <x:c r="B1416" s="2" t="str">
        <x:v>Finance &amp; insurance</x:v>
      </x:c>
      <x:c r="C1416" s="12" t="str">
        <x:v>Kolkata</x:v>
      </x:c>
      <x:c r="D1416" s="12" t="str">
        <x:v>MAIN-283</x:v>
      </x:c>
      <x:c r="E1416" s="12" t="str">
        <x:v>Awfis - Siddha Esplanade</x:v>
      </x:c>
      <x:c r="F1416" s="11" t="n">
        <x:v>2</x:v>
      </x:c>
      <x:c r="G1416" s="11" t="n">
        <x:v>2</x:v>
      </x:c>
      <x:c r="H1416" s="11" t="n">
        <x:v>0</x:v>
      </x:c>
      <x:c r="I1416" s="17" t="n">
        <x:f>INDEX('Costing'!$P$9:$P$492,MATCH(D1416,'Costing'!$A$9:$A$492,0))</x:f>
        <x:v>30000</x:v>
      </x:c>
      <x:c r="J1416" s="17" t="n">
        <x:f>ROUND(I1416*'Costing'!$C$4,2)</x:f>
        <x:v>5400</x:v>
      </x:c>
      <x:c r="K1416" s="17" t="n">
        <x:f>I1416+J1416</x:f>
        <x:v>35400</x:v>
      </x:c>
    </x:row>
    <x:row r="1417" ht="46" customHeight="1">
      <x:c r="A1417" s="2" t="str">
        <x:v>Sector</x:v>
      </x:c>
      <x:c r="B1417" s="2" t="str">
        <x:v>Finance &amp; insurance</x:v>
      </x:c>
      <x:c r="C1417" s="12" t="str">
        <x:v>Lucknow</x:v>
      </x:c>
      <x:c r="D1417" s="12" t="str">
        <x:v>MAIN-291</x:v>
      </x:c>
      <x:c r="E1417" s="12" t="str">
        <x:v>Levana Cyber Heights</x:v>
      </x:c>
      <x:c r="F1417" s="11" t="n">
        <x:v>4</x:v>
      </x:c>
      <x:c r="G1417" s="11" t="n">
        <x:v>4</x:v>
      </x:c>
      <x:c r="H1417" s="11" t="n">
        <x:v>0</x:v>
      </x:c>
      <x:c r="I1417" s="17" t="n">
        <x:f>INDEX('Costing'!$P$9:$P$492,MATCH(D1417,'Costing'!$A$9:$A$492,0))</x:f>
        <x:v>160000</x:v>
      </x:c>
      <x:c r="J1417" s="17" t="n">
        <x:f>ROUND(I1417*'Costing'!$C$4,2)</x:f>
        <x:v>28800</x:v>
      </x:c>
      <x:c r="K1417" s="17" t="n">
        <x:f>I1417+J1417</x:f>
        <x:v>188800</x:v>
      </x:c>
    </x:row>
    <x:row r="1418" ht="46" customHeight="1">
      <x:c r="A1418" s="2" t="str">
        <x:v>Sector</x:v>
      </x:c>
      <x:c r="B1418" s="2" t="str">
        <x:v>Finance &amp; insurance</x:v>
      </x:c>
      <x:c r="C1418" s="12" t="str">
        <x:v>Lucknow</x:v>
      </x:c>
      <x:c r="D1418" s="12" t="str">
        <x:v>MAIN-292</x:v>
      </x:c>
      <x:c r="E1418" s="12" t="str">
        <x:v>Levana Cyber Tower</x:v>
      </x:c>
      <x:c r="F1418" s="11" t="n">
        <x:v>3</x:v>
      </x:c>
      <x:c r="G1418" s="11" t="n">
        <x:v>3</x:v>
      </x:c>
      <x:c r="H1418" s="11" t="n">
        <x:v>0</x:v>
      </x:c>
      <x:c r="I1418" s="17" t="n">
        <x:f>INDEX('Costing'!$P$9:$P$492,MATCH(D1418,'Costing'!$A$9:$A$492,0))</x:f>
        <x:v>120000</x:v>
      </x:c>
      <x:c r="J1418" s="17" t="n">
        <x:f>ROUND(I1418*'Costing'!$C$4,2)</x:f>
        <x:v>21600</x:v>
      </x:c>
      <x:c r="K1418" s="17" t="n">
        <x:f>I1418+J1418</x:f>
        <x:v>141600</x:v>
      </x:c>
    </x:row>
    <x:row r="1419" ht="46" customHeight="1">
      <x:c r="A1419" s="2" t="str">
        <x:v>Sector</x:v>
      </x:c>
      <x:c r="B1419" s="2" t="str">
        <x:v>Finance &amp; insurance</x:v>
      </x:c>
      <x:c r="C1419" s="12" t="str">
        <x:v>Mumbai</x:v>
      </x:c>
      <x:c r="D1419" s="12" t="str">
        <x:v>MAIN-293</x:v>
      </x:c>
      <x:c r="E1419" s="12" t="str">
        <x:v>Altimus (TS)</x:v>
      </x:c>
      <x:c r="F1419" s="11" t="n">
        <x:v>1</x:v>
      </x:c>
      <x:c r="G1419" s="11" t="n">
        <x:v>1</x:v>
      </x:c>
      <x:c r="H1419" s="11" t="n">
        <x:v>0</x:v>
      </x:c>
      <x:c r="I1419" s="17" t="n">
        <x:f>INDEX('Costing'!$P$9:$P$492,MATCH(D1419,'Costing'!$A$9:$A$492,0))</x:f>
        <x:v>40000</x:v>
      </x:c>
      <x:c r="J1419" s="17" t="n">
        <x:f>ROUND(I1419*'Costing'!$C$4,2)</x:f>
        <x:v>7200</x:v>
      </x:c>
      <x:c r="K1419" s="17" t="n">
        <x:f>I1419+J1419</x:f>
        <x:v>47200</x:v>
      </x:c>
    </x:row>
    <x:row r="1420" ht="46" customHeight="1">
      <x:c r="A1420" s="2" t="str">
        <x:v>Sector</x:v>
      </x:c>
      <x:c r="B1420" s="2" t="str">
        <x:v>Finance &amp; insurance</x:v>
      </x:c>
      <x:c r="C1420" s="12" t="str">
        <x:v>Mumbai</x:v>
      </x:c>
      <x:c r="D1420" s="12" t="str">
        <x:v>MAIN-295</x:v>
      </x:c>
      <x:c r="E1420" s="12" t="str">
        <x:v>Awfis - Adani Inspire, BKC</x:v>
      </x:c>
      <x:c r="F1420" s="11" t="n">
        <x:v>1</x:v>
      </x:c>
      <x:c r="G1420" s="11" t="n">
        <x:v>1</x:v>
      </x:c>
      <x:c r="H1420" s="11" t="n">
        <x:v>0</x:v>
      </x:c>
      <x:c r="I1420" s="17" t="n">
        <x:f>INDEX('Costing'!$P$9:$P$492,MATCH(D1420,'Costing'!$A$9:$A$492,0))</x:f>
        <x:v>15000</x:v>
      </x:c>
      <x:c r="J1420" s="17" t="n">
        <x:f>ROUND(I1420*'Costing'!$C$4,2)</x:f>
        <x:v>2700</x:v>
      </x:c>
      <x:c r="K1420" s="17" t="n">
        <x:f>I1420+J1420</x:f>
        <x:v>17700</x:v>
      </x:c>
    </x:row>
    <x:row r="1421" ht="46" customHeight="1">
      <x:c r="A1421" s="2" t="str">
        <x:v>Sector</x:v>
      </x:c>
      <x:c r="B1421" s="2" t="str">
        <x:v>Finance &amp; insurance</x:v>
      </x:c>
      <x:c r="C1421" s="12" t="str">
        <x:v>Mumbai</x:v>
      </x:c>
      <x:c r="D1421" s="12" t="str">
        <x:v>MAIN-299</x:v>
      </x:c>
      <x:c r="E1421" s="12" t="str">
        <x:v>Awfis - Lodha IThink</x:v>
      </x:c>
      <x:c r="F1421" s="11" t="n">
        <x:v>1</x:v>
      </x:c>
      <x:c r="G1421" s="11" t="n">
        <x:v>1</x:v>
      </x:c>
      <x:c r="H1421" s="11" t="n">
        <x:v>0</x:v>
      </x:c>
      <x:c r="I1421" s="17" t="n">
        <x:f>INDEX('Costing'!$P$9:$P$492,MATCH(D1421,'Costing'!$A$9:$A$492,0))</x:f>
        <x:v>15000</x:v>
      </x:c>
      <x:c r="J1421" s="17" t="n">
        <x:f>ROUND(I1421*'Costing'!$C$4,2)</x:f>
        <x:v>2700</x:v>
      </x:c>
      <x:c r="K1421" s="17" t="n">
        <x:f>I1421+J1421</x:f>
        <x:v>17700</x:v>
      </x:c>
    </x:row>
    <x:row r="1422" ht="46" customHeight="1">
      <x:c r="A1422" s="2" t="str">
        <x:v>Sector</x:v>
      </x:c>
      <x:c r="B1422" s="2" t="str">
        <x:v>Finance &amp; insurance</x:v>
      </x:c>
      <x:c r="C1422" s="12" t="str">
        <x:v>Mumbai</x:v>
      </x:c>
      <x:c r="D1422" s="12" t="str">
        <x:v>MAIN-302</x:v>
      </x:c>
      <x:c r="E1422" s="12" t="str">
        <x:v>Awfis - Ruby Towers</x:v>
      </x:c>
      <x:c r="F1422" s="11" t="n">
        <x:v>2</x:v>
      </x:c>
      <x:c r="G1422" s="11" t="n">
        <x:v>2</x:v>
      </x:c>
      <x:c r="H1422" s="11" t="n">
        <x:v>0</x:v>
      </x:c>
      <x:c r="I1422" s="17" t="n">
        <x:f>INDEX('Costing'!$P$9:$P$492,MATCH(D1422,'Costing'!$A$9:$A$492,0))</x:f>
        <x:v>30000</x:v>
      </x:c>
      <x:c r="J1422" s="17" t="n">
        <x:f>ROUND(I1422*'Costing'!$C$4,2)</x:f>
        <x:v>5400</x:v>
      </x:c>
      <x:c r="K1422" s="17" t="n">
        <x:f>I1422+J1422</x:f>
        <x:v>35400</x:v>
      </x:c>
    </x:row>
    <x:row r="1423" ht="46" customHeight="1">
      <x:c r="A1423" s="2" t="str">
        <x:v>Sector</x:v>
      </x:c>
      <x:c r="B1423" s="2" t="str">
        <x:v>Finance &amp; insurance</x:v>
      </x:c>
      <x:c r="C1423" s="12" t="str">
        <x:v>Mumbai</x:v>
      </x:c>
      <x:c r="D1423" s="12" t="str">
        <x:v>MAIN-304</x:v>
      </x:c>
      <x:c r="E1423" s="12" t="str">
        <x:v>Awfis - Skyline Icon</x:v>
      </x:c>
      <x:c r="F1423" s="11" t="n">
        <x:v>2</x:v>
      </x:c>
      <x:c r="G1423" s="11" t="n">
        <x:v>2</x:v>
      </x:c>
      <x:c r="H1423" s="11" t="n">
        <x:v>0</x:v>
      </x:c>
      <x:c r="I1423" s="17" t="n">
        <x:f>INDEX('Costing'!$P$9:$P$492,MATCH(D1423,'Costing'!$A$9:$A$492,0))</x:f>
        <x:v>30000</x:v>
      </x:c>
      <x:c r="J1423" s="17" t="n">
        <x:f>ROUND(I1423*'Costing'!$C$4,2)</x:f>
        <x:v>5400</x:v>
      </x:c>
      <x:c r="K1423" s="17" t="n">
        <x:f>I1423+J1423</x:f>
        <x:v>35400</x:v>
      </x:c>
    </x:row>
    <x:row r="1424" ht="46" customHeight="1">
      <x:c r="A1424" s="2" t="str">
        <x:v>Sector</x:v>
      </x:c>
      <x:c r="B1424" s="2" t="str">
        <x:v>Finance &amp; insurance</x:v>
      </x:c>
      <x:c r="C1424" s="12" t="str">
        <x:v>Mumbai</x:v>
      </x:c>
      <x:c r="D1424" s="12" t="str">
        <x:v>MAIN-305</x:v>
      </x:c>
      <x:c r="E1424" s="12" t="str">
        <x:v>Awfis - Vaman Techno Center</x:v>
      </x:c>
      <x:c r="F1424" s="11" t="n">
        <x:v>2</x:v>
      </x:c>
      <x:c r="G1424" s="11" t="n">
        <x:v>2</x:v>
      </x:c>
      <x:c r="H1424" s="11" t="n">
        <x:v>0</x:v>
      </x:c>
      <x:c r="I1424" s="17" t="n">
        <x:f>INDEX('Costing'!$P$9:$P$492,MATCH(D1424,'Costing'!$A$9:$A$492,0))</x:f>
        <x:v>30000</x:v>
      </x:c>
      <x:c r="J1424" s="17" t="n">
        <x:f>ROUND(I1424*'Costing'!$C$4,2)</x:f>
        <x:v>5400</x:v>
      </x:c>
      <x:c r="K1424" s="17" t="n">
        <x:f>I1424+J1424</x:f>
        <x:v>35400</x:v>
      </x:c>
    </x:row>
    <x:row r="1425" ht="46" customHeight="1">
      <x:c r="A1425" s="2" t="str">
        <x:v>Sector</x:v>
      </x:c>
      <x:c r="B1425" s="2" t="str">
        <x:v>Finance &amp; insurance</x:v>
      </x:c>
      <x:c r="C1425" s="12" t="str">
        <x:v>Mumbai</x:v>
      </x:c>
      <x:c r="D1425" s="12" t="str">
        <x:v>MAIN-308</x:v>
      </x:c>
      <x:c r="E1425" s="12" t="str">
        <x:v>Bsel Tech Park</x:v>
      </x:c>
      <x:c r="F1425" s="11" t="n">
        <x:v>47</x:v>
      </x:c>
      <x:c r="G1425" s="11" t="n">
        <x:v>47</x:v>
      </x:c>
      <x:c r="H1425" s="11" t="n">
        <x:v>0</x:v>
      </x:c>
      <x:c r="I1425" s="17" t="n">
        <x:f>INDEX('Costing'!$P$9:$P$492,MATCH(D1425,'Costing'!$A$9:$A$492,0))</x:f>
        <x:v>705000</x:v>
      </x:c>
      <x:c r="J1425" s="17" t="n">
        <x:f>ROUND(I1425*'Costing'!$C$4,2)</x:f>
        <x:v>126900</x:v>
      </x:c>
      <x:c r="K1425" s="17" t="n">
        <x:f>I1425+J1425</x:f>
        <x:v>831900</x:v>
      </x:c>
    </x:row>
    <x:row r="1426" ht="46" customHeight="1">
      <x:c r="A1426" s="2" t="str">
        <x:v>Sector</x:v>
      </x:c>
      <x:c r="B1426" s="2" t="str">
        <x:v>Finance &amp; insurance</x:v>
      </x:c>
      <x:c r="C1426" s="12" t="str">
        <x:v>Mumbai</x:v>
      </x:c>
      <x:c r="D1426" s="12" t="str">
        <x:v>MAIN-316</x:v>
      </x:c>
      <x:c r="E1426" s="12" t="str">
        <x:v>Fleet House Global Park</x:v>
      </x:c>
      <x:c r="F1426" s="11" t="n">
        <x:v>2</x:v>
      </x:c>
      <x:c r="G1426" s="11" t="n">
        <x:v>2</x:v>
      </x:c>
      <x:c r="H1426" s="11" t="n">
        <x:v>0</x:v>
      </x:c>
      <x:c r="I1426" s="17" t="n">
        <x:f>INDEX('Costing'!$P$9:$P$492,MATCH(D1426,'Costing'!$A$9:$A$492,0))</x:f>
        <x:v>40000</x:v>
      </x:c>
      <x:c r="J1426" s="17" t="n">
        <x:f>ROUND(I1426*'Costing'!$C$4,2)</x:f>
        <x:v>7200</x:v>
      </x:c>
      <x:c r="K1426" s="17" t="n">
        <x:f>I1426+J1426</x:f>
        <x:v>47200</x:v>
      </x:c>
    </x:row>
    <x:row r="1427" ht="46" customHeight="1">
      <x:c r="A1427" s="2" t="str">
        <x:v>Sector</x:v>
      </x:c>
      <x:c r="B1427" s="2" t="str">
        <x:v>Finance &amp; insurance</x:v>
      </x:c>
      <x:c r="C1427" s="12" t="str">
        <x:v>Mumbai</x:v>
      </x:c>
      <x:c r="D1427" s="12" t="str">
        <x:v>MAIN-318</x:v>
      </x:c>
      <x:c r="E1427" s="12" t="str">
        <x:v>Kaledonia (Redbrick Offices)</x:v>
      </x:c>
      <x:c r="F1427" s="11" t="n">
        <x:v>2</x:v>
      </x:c>
      <x:c r="G1427" s="11" t="n">
        <x:v>2</x:v>
      </x:c>
      <x:c r="H1427" s="11" t="n">
        <x:v>0</x:v>
      </x:c>
      <x:c r="I1427" s="17" t="n">
        <x:f>INDEX('Costing'!$P$9:$P$492,MATCH(D1427,'Costing'!$A$9:$A$492,0))</x:f>
        <x:v>30000</x:v>
      </x:c>
      <x:c r="J1427" s="17" t="n">
        <x:f>ROUND(I1427*'Costing'!$C$4,2)</x:f>
        <x:v>5400</x:v>
      </x:c>
      <x:c r="K1427" s="17" t="n">
        <x:f>I1427+J1427</x:f>
        <x:v>35400</x:v>
      </x:c>
    </x:row>
    <x:row r="1428" ht="46" customHeight="1">
      <x:c r="A1428" s="2" t="str">
        <x:v>Sector</x:v>
      </x:c>
      <x:c r="B1428" s="2" t="str">
        <x:v>Finance &amp; insurance</x:v>
      </x:c>
      <x:c r="C1428" s="12" t="str">
        <x:v>Mumbai</x:v>
      </x:c>
      <x:c r="D1428" s="12" t="str">
        <x:v>MAIN-319</x:v>
      </x:c>
      <x:c r="E1428" s="12" t="str">
        <x:v>Kalpataru Prime (Redbrick Offices)</x:v>
      </x:c>
      <x:c r="F1428" s="11" t="n">
        <x:v>1</x:v>
      </x:c>
      <x:c r="G1428" s="11" t="n">
        <x:v>1</x:v>
      </x:c>
      <x:c r="H1428" s="11" t="n">
        <x:v>0</x:v>
      </x:c>
      <x:c r="I1428" s="17" t="n">
        <x:f>INDEX('Costing'!$P$9:$P$492,MATCH(D1428,'Costing'!$A$9:$A$492,0))</x:f>
        <x:v>15000</x:v>
      </x:c>
      <x:c r="J1428" s="17" t="n">
        <x:f>ROUND(I1428*'Costing'!$C$4,2)</x:f>
        <x:v>2700</x:v>
      </x:c>
      <x:c r="K1428" s="17" t="n">
        <x:f>I1428+J1428</x:f>
        <x:v>17700</x:v>
      </x:c>
    </x:row>
    <x:row r="1429" ht="46" customHeight="1">
      <x:c r="A1429" s="2" t="str">
        <x:v>Sector</x:v>
      </x:c>
      <x:c r="B1429" s="2" t="str">
        <x:v>Finance &amp; insurance</x:v>
      </x:c>
      <x:c r="C1429" s="12" t="str">
        <x:v>Mumbai</x:v>
      </x:c>
      <x:c r="D1429" s="12" t="str">
        <x:v>MAIN-321</x:v>
      </x:c>
      <x:c r="E1429" s="12" t="str">
        <x:v>Lodha Ithink (Redbrick Offices)</x:v>
      </x:c>
      <x:c r="F1429" s="11" t="n">
        <x:v>1</x:v>
      </x:c>
      <x:c r="G1429" s="11" t="n">
        <x:v>1</x:v>
      </x:c>
      <x:c r="H1429" s="11" t="n">
        <x:v>0</x:v>
      </x:c>
      <x:c r="I1429" s="17" t="n">
        <x:f>INDEX('Costing'!$P$9:$P$492,MATCH(D1429,'Costing'!$A$9:$A$492,0))</x:f>
        <x:v>15000</x:v>
      </x:c>
      <x:c r="J1429" s="17" t="n">
        <x:f>ROUND(I1429*'Costing'!$C$4,2)</x:f>
        <x:v>2700</x:v>
      </x:c>
      <x:c r="K1429" s="17" t="n">
        <x:f>I1429+J1429</x:f>
        <x:v>17700</x:v>
      </x:c>
    </x:row>
    <x:row r="1430" ht="46" customHeight="1">
      <x:c r="A1430" s="2" t="str">
        <x:v>Sector</x:v>
      </x:c>
      <x:c r="B1430" s="2" t="str">
        <x:v>Finance &amp; insurance</x:v>
      </x:c>
      <x:c r="C1430" s="12" t="str">
        <x:v>Mumbai</x:v>
      </x:c>
      <x:c r="D1430" s="12" t="str">
        <x:v>MAIN-323</x:v>
      </x:c>
      <x:c r="E1430" s="12" t="str">
        <x:v>Mumbai - BKC</x:v>
      </x:c>
      <x:c r="F1430" s="11" t="n">
        <x:v>1</x:v>
      </x:c>
      <x:c r="G1430" s="11" t="n">
        <x:v>1</x:v>
      </x:c>
      <x:c r="H1430" s="11" t="n">
        <x:v>0</x:v>
      </x:c>
      <x:c r="I1430" s="17" t="n">
        <x:f>INDEX('Costing'!$P$9:$P$492,MATCH(D1430,'Costing'!$A$9:$A$492,0))</x:f>
        <x:v>15000</x:v>
      </x:c>
      <x:c r="J1430" s="17" t="n">
        <x:f>ROUND(I1430*'Costing'!$C$4,2)</x:f>
        <x:v>2700</x:v>
      </x:c>
      <x:c r="K1430" s="17" t="n">
        <x:f>I1430+J1430</x:f>
        <x:v>17700</x:v>
      </x:c>
    </x:row>
    <x:row r="1431" ht="46" customHeight="1">
      <x:c r="A1431" s="2" t="str">
        <x:v>Sector</x:v>
      </x:c>
      <x:c r="B1431" s="2" t="str">
        <x:v>Finance &amp; insurance</x:v>
      </x:c>
      <x:c r="C1431" s="12" t="str">
        <x:v>Mumbai</x:v>
      </x:c>
      <x:c r="D1431" s="12" t="str">
        <x:v>MAIN-325</x:v>
      </x:c>
      <x:c r="E1431" s="12" t="str">
        <x:v>Nucleus - One BKC</x:v>
      </x:c>
      <x:c r="F1431" s="11" t="n">
        <x:v>2</x:v>
      </x:c>
      <x:c r="G1431" s="11" t="n">
        <x:v>2</x:v>
      </x:c>
      <x:c r="H1431" s="11" t="n">
        <x:v>0</x:v>
      </x:c>
      <x:c r="I1431" s="17" t="n">
        <x:f>INDEX('Costing'!$P$9:$P$492,MATCH(D1431,'Costing'!$A$9:$A$492,0))</x:f>
        <x:v>80000</x:v>
      </x:c>
      <x:c r="J1431" s="17" t="n">
        <x:f>ROUND(I1431*'Costing'!$C$4,2)</x:f>
        <x:v>14400</x:v>
      </x:c>
      <x:c r="K1431" s="17" t="n">
        <x:f>I1431+J1431</x:f>
        <x:v>94400</x:v>
      </x:c>
    </x:row>
    <x:row r="1432" ht="46" customHeight="1">
      <x:c r="A1432" s="2" t="str">
        <x:v>Sector</x:v>
      </x:c>
      <x:c r="B1432" s="2" t="str">
        <x:v>Finance &amp; insurance</x:v>
      </x:c>
      <x:c r="C1432" s="12" t="str">
        <x:v>Mumbai</x:v>
      </x:c>
      <x:c r="D1432" s="12" t="str">
        <x:v>MAIN-326</x:v>
      </x:c>
      <x:c r="E1432" s="12" t="str">
        <x:v>Nucleus - One International Center</x:v>
      </x:c>
      <x:c r="F1432" s="11" t="n">
        <x:v>9</x:v>
      </x:c>
      <x:c r="G1432" s="11" t="n">
        <x:v>9</x:v>
      </x:c>
      <x:c r="H1432" s="11" t="n">
        <x:v>0</x:v>
      </x:c>
      <x:c r="I1432" s="17" t="n">
        <x:f>INDEX('Costing'!$P$9:$P$492,MATCH(D1432,'Costing'!$A$9:$A$492,0))</x:f>
        <x:v>360000</x:v>
      </x:c>
      <x:c r="J1432" s="17" t="n">
        <x:f>ROUND(I1432*'Costing'!$C$4,2)</x:f>
        <x:v>64800</x:v>
      </x:c>
      <x:c r="K1432" s="17" t="n">
        <x:f>I1432+J1432</x:f>
        <x:v>424800</x:v>
      </x:c>
    </x:row>
    <x:row r="1433" ht="46" customHeight="1">
      <x:c r="A1433" s="2" t="str">
        <x:v>Sector</x:v>
      </x:c>
      <x:c r="B1433" s="2" t="str">
        <x:v>Finance &amp; insurance</x:v>
      </x:c>
      <x:c r="C1433" s="12" t="str">
        <x:v>Mumbai</x:v>
      </x:c>
      <x:c r="D1433" s="12" t="str">
        <x:v>MAIN-327</x:v>
      </x:c>
      <x:c r="E1433" s="12" t="str">
        <x:v>Nucleus - One World Center</x:v>
      </x:c>
      <x:c r="F1433" s="11" t="n">
        <x:v>8</x:v>
      </x:c>
      <x:c r="G1433" s="11" t="n">
        <x:v>8</x:v>
      </x:c>
      <x:c r="H1433" s="11" t="n">
        <x:v>0</x:v>
      </x:c>
      <x:c r="I1433" s="17" t="n">
        <x:f>INDEX('Costing'!$P$9:$P$492,MATCH(D1433,'Costing'!$A$9:$A$492,0))</x:f>
        <x:v>320000</x:v>
      </x:c>
      <x:c r="J1433" s="17" t="n">
        <x:f>ROUND(I1433*'Costing'!$C$4,2)</x:f>
        <x:v>57600</x:v>
      </x:c>
      <x:c r="K1433" s="17" t="n">
        <x:f>I1433+J1433</x:f>
        <x:v>377600</x:v>
      </x:c>
    </x:row>
    <x:row r="1434" ht="46" customHeight="1">
      <x:c r="A1434" s="2" t="str">
        <x:v>Sector</x:v>
      </x:c>
      <x:c r="B1434" s="2" t="str">
        <x:v>Finance &amp; insurance</x:v>
      </x:c>
      <x:c r="C1434" s="12" t="str">
        <x:v>Mumbai</x:v>
      </x:c>
      <x:c r="D1434" s="12" t="str">
        <x:v>MAIN-331</x:v>
      </x:c>
      <x:c r="E1434" s="12" t="str">
        <x:v>One World Centre (Redbrick Offices)</x:v>
      </x:c>
      <x:c r="F1434" s="11" t="n">
        <x:v>1</x:v>
      </x:c>
      <x:c r="G1434" s="11" t="n">
        <x:v>1</x:v>
      </x:c>
      <x:c r="H1434" s="11" t="n">
        <x:v>0</x:v>
      </x:c>
      <x:c r="I1434" s="17" t="n">
        <x:f>INDEX('Costing'!$P$9:$P$492,MATCH(D1434,'Costing'!$A$9:$A$492,0))</x:f>
        <x:v>15000</x:v>
      </x:c>
      <x:c r="J1434" s="17" t="n">
        <x:f>ROUND(I1434*'Costing'!$C$4,2)</x:f>
        <x:v>2700</x:v>
      </x:c>
      <x:c r="K1434" s="17" t="n">
        <x:f>I1434+J1434</x:f>
        <x:v>17700</x:v>
      </x:c>
    </x:row>
    <x:row r="1435" ht="46" customHeight="1">
      <x:c r="A1435" s="2" t="str">
        <x:v>Sector</x:v>
      </x:c>
      <x:c r="B1435" s="2" t="str">
        <x:v>Finance &amp; insurance</x:v>
      </x:c>
      <x:c r="C1435" s="12" t="str">
        <x:v>Mumbai</x:v>
      </x:c>
      <x:c r="D1435" s="12" t="str">
        <x:v>MAIN-336</x:v>
      </x:c>
      <x:c r="E1435" s="12" t="str">
        <x:v>Raheja Mindspace - Altimus </x:v>
      </x:c>
      <x:c r="F1435" s="11" t="n">
        <x:v>2</x:v>
      </x:c>
      <x:c r="G1435" s="11" t="n">
        <x:v>2</x:v>
      </x:c>
      <x:c r="H1435" s="11" t="n">
        <x:v>0</x:v>
      </x:c>
      <x:c r="I1435" s="17" t="n">
        <x:f>INDEX('Costing'!$P$9:$P$492,MATCH(D1435,'Costing'!$A$9:$A$492,0))</x:f>
        <x:v>80000</x:v>
      </x:c>
      <x:c r="J1435" s="17" t="n">
        <x:f>ROUND(I1435*'Costing'!$C$4,2)</x:f>
        <x:v>14400</x:v>
      </x:c>
      <x:c r="K1435" s="17" t="n">
        <x:f>I1435+J1435</x:f>
        <x:v>94400</x:v>
      </x:c>
    </x:row>
    <x:row r="1436" ht="46" customHeight="1">
      <x:c r="A1436" s="2" t="str">
        <x:v>Sector</x:v>
      </x:c>
      <x:c r="B1436" s="2" t="str">
        <x:v>Finance &amp; insurance</x:v>
      </x:c>
      <x:c r="C1436" s="12" t="str">
        <x:v>Mumbai</x:v>
      </x:c>
      <x:c r="D1436" s="12" t="str">
        <x:v>MAIN-337</x:v>
      </x:c>
      <x:c r="E1436" s="12" t="str">
        <x:v>Raheja Mindspace IT Park - Airoli East</x:v>
      </x:c>
      <x:c r="F1436" s="11" t="n">
        <x:v>12</x:v>
      </x:c>
      <x:c r="G1436" s="11" t="n">
        <x:v>12</x:v>
      </x:c>
      <x:c r="H1436" s="11" t="n">
        <x:v>0</x:v>
      </x:c>
      <x:c r="I1436" s="17" t="n">
        <x:f>INDEX('Costing'!$P$9:$P$492,MATCH(D1436,'Costing'!$A$9:$A$492,0))</x:f>
        <x:v>390000</x:v>
      </x:c>
      <x:c r="J1436" s="17" t="n">
        <x:f>ROUND(I1436*'Costing'!$C$4,2)</x:f>
        <x:v>70200</x:v>
      </x:c>
      <x:c r="K1436" s="17" t="n">
        <x:f>I1436+J1436</x:f>
        <x:v>460200</x:v>
      </x:c>
    </x:row>
    <x:row r="1437" ht="46" customHeight="1">
      <x:c r="A1437" s="2" t="str">
        <x:v>Sector</x:v>
      </x:c>
      <x:c r="B1437" s="2" t="str">
        <x:v>Finance &amp; insurance</x:v>
      </x:c>
      <x:c r="C1437" s="12" t="str">
        <x:v>Mumbai</x:v>
      </x:c>
      <x:c r="D1437" s="12" t="str">
        <x:v>MAIN-338</x:v>
      </x:c>
      <x:c r="E1437" s="12" t="str">
        <x:v>Raheja Mindspaces - Airoli West</x:v>
      </x:c>
      <x:c r="F1437" s="11" t="n">
        <x:v>5</x:v>
      </x:c>
      <x:c r="G1437" s="11" t="n">
        <x:v>5</x:v>
      </x:c>
      <x:c r="H1437" s="11" t="n">
        <x:v>0</x:v>
      </x:c>
      <x:c r="I1437" s="17" t="n">
        <x:f>INDEX('Costing'!$P$9:$P$492,MATCH(D1437,'Costing'!$A$9:$A$492,0))</x:f>
        <x:v>200000</x:v>
      </x:c>
      <x:c r="J1437" s="17" t="n">
        <x:f>ROUND(I1437*'Costing'!$C$4,2)</x:f>
        <x:v>36000</x:v>
      </x:c>
      <x:c r="K1437" s="17" t="n">
        <x:f>I1437+J1437</x:f>
        <x:v>236000</x:v>
      </x:c>
    </x:row>
    <x:row r="1438" ht="46" customHeight="1">
      <x:c r="A1438" s="2" t="str">
        <x:v>Sector</x:v>
      </x:c>
      <x:c r="B1438" s="2" t="str">
        <x:v>Finance &amp; insurance</x:v>
      </x:c>
      <x:c r="C1438" s="12" t="str">
        <x:v>Mumbai</x:v>
      </x:c>
      <x:c r="D1438" s="12" t="str">
        <x:v>MAIN-341</x:v>
      </x:c>
      <x:c r="E1438" s="12" t="str">
        <x:v>Rupa Renaissance (Redbrick Offices)</x:v>
      </x:c>
      <x:c r="F1438" s="11" t="n">
        <x:v>1</x:v>
      </x:c>
      <x:c r="G1438" s="11" t="n">
        <x:v>1</x:v>
      </x:c>
      <x:c r="H1438" s="11" t="n">
        <x:v>0</x:v>
      </x:c>
      <x:c r="I1438" s="17" t="n">
        <x:f>INDEX('Costing'!$P$9:$P$492,MATCH(D1438,'Costing'!$A$9:$A$492,0))</x:f>
        <x:v>15000</x:v>
      </x:c>
      <x:c r="J1438" s="17" t="n">
        <x:f>ROUND(I1438*'Costing'!$C$4,2)</x:f>
        <x:v>2700</x:v>
      </x:c>
      <x:c r="K1438" s="17" t="n">
        <x:f>I1438+J1438</x:f>
        <x:v>17700</x:v>
      </x:c>
    </x:row>
    <x:row r="1439" ht="46" customHeight="1">
      <x:c r="A1439" s="2" t="str">
        <x:v>Sector</x:v>
      </x:c>
      <x:c r="B1439" s="2" t="str">
        <x:v>Finance &amp; insurance</x:v>
      </x:c>
      <x:c r="C1439" s="12" t="str">
        <x:v>Mumbai</x:v>
      </x:c>
      <x:c r="D1439" s="12" t="str">
        <x:v>MAIN-342</x:v>
      </x:c>
      <x:c r="E1439" s="12" t="str">
        <x:v>Rustomjee Eaze Zone Mall</x:v>
      </x:c>
      <x:c r="F1439" s="11" t="n">
        <x:v>26</x:v>
      </x:c>
      <x:c r="G1439" s="11" t="n">
        <x:v>26</x:v>
      </x:c>
      <x:c r="H1439" s="11" t="n">
        <x:v>0</x:v>
      </x:c>
      <x:c r="I1439" s="17" t="n">
        <x:f>INDEX('Costing'!$P$9:$P$492,MATCH(D1439,'Costing'!$A$9:$A$492,0))</x:f>
        <x:v>390000</x:v>
      </x:c>
      <x:c r="J1439" s="17" t="n">
        <x:f>ROUND(I1439*'Costing'!$C$4,2)</x:f>
        <x:v>70200</x:v>
      </x:c>
      <x:c r="K1439" s="17" t="n">
        <x:f>I1439+J1439</x:f>
        <x:v>460200</x:v>
      </x:c>
    </x:row>
    <x:row r="1440" ht="46" customHeight="1">
      <x:c r="A1440" s="2" t="str">
        <x:v>Sector</x:v>
      </x:c>
      <x:c r="B1440" s="2" t="str">
        <x:v>Finance &amp; insurance</x:v>
      </x:c>
      <x:c r="C1440" s="12" t="str">
        <x:v>Mumbai</x:v>
      </x:c>
      <x:c r="D1440" s="12" t="str">
        <x:v>MAIN-350</x:v>
      </x:c>
      <x:c r="E1440" s="12" t="str">
        <x:v>The Summit Business Park Premises</x:v>
      </x:c>
      <x:c r="F1440" s="11" t="n">
        <x:v>70</x:v>
      </x:c>
      <x:c r="G1440" s="11" t="n">
        <x:v>70</x:v>
      </x:c>
      <x:c r="H1440" s="11" t="n">
        <x:v>0</x:v>
      </x:c>
      <x:c r="I1440" s="17" t="n">
        <x:f>INDEX('Costing'!$P$9:$P$492,MATCH(D1440,'Costing'!$A$9:$A$492,0))</x:f>
        <x:v>1050000</x:v>
      </x:c>
      <x:c r="J1440" s="17" t="n">
        <x:f>ROUND(I1440*'Costing'!$C$4,2)</x:f>
        <x:v>189000</x:v>
      </x:c>
      <x:c r="K1440" s="17" t="n">
        <x:f>I1440+J1440</x:f>
        <x:v>1239000</x:v>
      </x:c>
    </x:row>
    <x:row r="1441" ht="46" customHeight="1">
      <x:c r="A1441" s="2" t="str">
        <x:v>Sector</x:v>
      </x:c>
      <x:c r="B1441" s="2" t="str">
        <x:v>Finance &amp; insurance</x:v>
      </x:c>
      <x:c r="C1441" s="12" t="str">
        <x:v>Mumbai</x:v>
      </x:c>
      <x:c r="D1441" s="12" t="str">
        <x:v>MAIN-351</x:v>
      </x:c>
      <x:c r="E1441" s="12" t="str">
        <x:v>The Western Edge 2</x:v>
      </x:c>
      <x:c r="F1441" s="11" t="n">
        <x:v>39</x:v>
      </x:c>
      <x:c r="G1441" s="11" t="n">
        <x:v>39</x:v>
      </x:c>
      <x:c r="H1441" s="11" t="n">
        <x:v>0</x:v>
      </x:c>
      <x:c r="I1441" s="17" t="n">
        <x:f>INDEX('Costing'!$P$9:$P$492,MATCH(D1441,'Costing'!$A$9:$A$492,0))</x:f>
        <x:v>585000</x:v>
      </x:c>
      <x:c r="J1441" s="17" t="n">
        <x:f>ROUND(I1441*'Costing'!$C$4,2)</x:f>
        <x:v>105300</x:v>
      </x:c>
      <x:c r="K1441" s="17" t="n">
        <x:f>I1441+J1441</x:f>
        <x:v>690300</x:v>
      </x:c>
    </x:row>
    <x:row r="1442" ht="46" customHeight="1">
      <x:c r="A1442" s="2" t="str">
        <x:v>Sector</x:v>
      </x:c>
      <x:c r="B1442" s="2" t="str">
        <x:v>Finance &amp; insurance</x:v>
      </x:c>
      <x:c r="C1442" s="12" t="str">
        <x:v>Mumbai</x:v>
      </x:c>
      <x:c r="D1442" s="12" t="str">
        <x:v>MAIN-352</x:v>
      </x:c>
      <x:c r="E1442" s="12" t="str">
        <x:v>Times Square Tech Park</x:v>
      </x:c>
      <x:c r="F1442" s="11" t="n">
        <x:v>4</x:v>
      </x:c>
      <x:c r="G1442" s="11" t="n">
        <x:v>4</x:v>
      </x:c>
      <x:c r="H1442" s="11" t="n">
        <x:v>0</x:v>
      </x:c>
      <x:c r="I1442" s="17" t="n">
        <x:f>INDEX('Costing'!$P$9:$P$492,MATCH(D1442,'Costing'!$A$9:$A$492,0))</x:f>
        <x:v>80000</x:v>
      </x:c>
      <x:c r="J1442" s="17" t="n">
        <x:f>ROUND(I1442*'Costing'!$C$4,2)</x:f>
        <x:v>14400</x:v>
      </x:c>
      <x:c r="K1442" s="17" t="n">
        <x:f>I1442+J1442</x:f>
        <x:v>94400</x:v>
      </x:c>
    </x:row>
    <x:row r="1443" ht="46" customHeight="1">
      <x:c r="A1443" s="2" t="str">
        <x:v>Sector</x:v>
      </x:c>
      <x:c r="B1443" s="2" t="str">
        <x:v>Finance &amp; insurance</x:v>
      </x:c>
      <x:c r="C1443" s="12" t="str">
        <x:v>Mumbai</x:v>
      </x:c>
      <x:c r="D1443" s="12" t="str">
        <x:v>MAIN-356</x:v>
      </x:c>
      <x:c r="E1443" s="12" t="str">
        <x:v>WeWork - Oberoi Commerz</x:v>
      </x:c>
      <x:c r="F1443" s="11" t="n">
        <x:v>8</x:v>
      </x:c>
      <x:c r="G1443" s="11" t="n">
        <x:v>8</x:v>
      </x:c>
      <x:c r="H1443" s="11" t="n">
        <x:v>0</x:v>
      </x:c>
      <x:c r="I1443" s="17" t="n">
        <x:f>INDEX('Costing'!$P$9:$P$492,MATCH(D1443,'Costing'!$A$9:$A$492,0))</x:f>
        <x:v>200000</x:v>
      </x:c>
      <x:c r="J1443" s="17" t="n">
        <x:f>ROUND(I1443*'Costing'!$C$4,2)</x:f>
        <x:v>36000</x:v>
      </x:c>
      <x:c r="K1443" s="17" t="n">
        <x:f>I1443+J1443</x:f>
        <x:v>236000</x:v>
      </x:c>
    </x:row>
    <x:row r="1444" ht="46" customHeight="1">
      <x:c r="A1444" s="2" t="str">
        <x:v>Sector</x:v>
      </x:c>
      <x:c r="B1444" s="2" t="str">
        <x:v>Finance &amp; insurance</x:v>
      </x:c>
      <x:c r="C1444" s="12" t="str">
        <x:v>Mumbai</x:v>
      </x:c>
      <x:c r="D1444" s="12" t="str">
        <x:v>MAIN-357</x:v>
      </x:c>
      <x:c r="E1444" s="12" t="str">
        <x:v>Wework - Raheja Platinum</x:v>
      </x:c>
      <x:c r="F1444" s="11" t="n">
        <x:v>19</x:v>
      </x:c>
      <x:c r="G1444" s="11" t="n">
        <x:v>19</x:v>
      </x:c>
      <x:c r="H1444" s="11" t="n">
        <x:v>0</x:v>
      </x:c>
      <x:c r="I1444" s="17" t="n">
        <x:f>INDEX('Costing'!$P$9:$P$492,MATCH(D1444,'Costing'!$A$9:$A$492,0))</x:f>
        <x:v>475000</x:v>
      </x:c>
      <x:c r="J1444" s="17" t="n">
        <x:f>ROUND(I1444*'Costing'!$C$4,2)</x:f>
        <x:v>85500</x:v>
      </x:c>
      <x:c r="K1444" s="17" t="n">
        <x:f>I1444+J1444</x:f>
        <x:v>560500</x:v>
      </x:c>
    </x:row>
    <x:row r="1445" ht="46" customHeight="1">
      <x:c r="A1445" s="2" t="str">
        <x:v>Sector</x:v>
      </x:c>
      <x:c r="B1445" s="2" t="str">
        <x:v>Finance &amp; insurance</x:v>
      </x:c>
      <x:c r="C1445" s="12" t="str">
        <x:v>Mumbai</x:v>
      </x:c>
      <x:c r="D1445" s="12" t="str">
        <x:v>MAIN-358</x:v>
      </x:c>
      <x:c r="E1445" s="12" t="str">
        <x:v>WeWork - Spectrum</x:v>
      </x:c>
      <x:c r="F1445" s="11" t="n">
        <x:v>8</x:v>
      </x:c>
      <x:c r="G1445" s="11" t="n">
        <x:v>8</x:v>
      </x:c>
      <x:c r="H1445" s="11" t="n">
        <x:v>0</x:v>
      </x:c>
      <x:c r="I1445" s="17" t="n">
        <x:f>INDEX('Costing'!$P$9:$P$492,MATCH(D1445,'Costing'!$A$9:$A$492,0))</x:f>
        <x:v>200000</x:v>
      </x:c>
      <x:c r="J1445" s="17" t="n">
        <x:f>ROUND(I1445*'Costing'!$C$4,2)</x:f>
        <x:v>36000</x:v>
      </x:c>
      <x:c r="K1445" s="17" t="n">
        <x:f>I1445+J1445</x:f>
        <x:v>236000</x:v>
      </x:c>
    </x:row>
    <x:row r="1446" ht="46" customHeight="1">
      <x:c r="A1446" s="2" t="str">
        <x:v>Sector</x:v>
      </x:c>
      <x:c r="B1446" s="2" t="str">
        <x:v>Finance &amp; insurance</x:v>
      </x:c>
      <x:c r="C1446" s="12" t="str">
        <x:v>Mumbai</x:v>
      </x:c>
      <x:c r="D1446" s="12" t="str">
        <x:v>MAIN-361</x:v>
      </x:c>
      <x:c r="E1446" s="12" t="str">
        <x:v>WeWork - Vikhroil 247</x:v>
      </x:c>
      <x:c r="F1446" s="11" t="n">
        <x:v>4</x:v>
      </x:c>
      <x:c r="G1446" s="11" t="n">
        <x:v>4</x:v>
      </x:c>
      <x:c r="H1446" s="11" t="n">
        <x:v>0</x:v>
      </x:c>
      <x:c r="I1446" s="17" t="n">
        <x:f>INDEX('Costing'!$P$9:$P$492,MATCH(D1446,'Costing'!$A$9:$A$492,0))</x:f>
        <x:v>100000</x:v>
      </x:c>
      <x:c r="J1446" s="17" t="n">
        <x:f>ROUND(I1446*'Costing'!$C$4,2)</x:f>
        <x:v>18000</x:v>
      </x:c>
      <x:c r="K1446" s="17" t="n">
        <x:f>I1446+J1446</x:f>
        <x:v>118000</x:v>
      </x:c>
    </x:row>
    <x:row r="1447" ht="46" customHeight="1">
      <x:c r="A1447" s="2" t="str">
        <x:v>Sector</x:v>
      </x:c>
      <x:c r="B1447" s="2" t="str">
        <x:v>Finance &amp; insurance</x:v>
      </x:c>
      <x:c r="C1447" s="12" t="str">
        <x:v>Pune</x:v>
      </x:c>
      <x:c r="D1447" s="12" t="str">
        <x:v>MAIN-380</x:v>
      </x:c>
      <x:c r="E1447" s="12" t="str">
        <x:v>43Eq Technology Park</x:v>
      </x:c>
      <x:c r="F1447" s="11" t="n">
        <x:v>6</x:v>
      </x:c>
      <x:c r="G1447" s="11" t="n">
        <x:v>6</x:v>
      </x:c>
      <x:c r="H1447" s="11" t="n">
        <x:v>0</x:v>
      </x:c>
      <x:c r="I1447" s="17" t="n">
        <x:f>INDEX('Costing'!$P$9:$P$492,MATCH(D1447,'Costing'!$A$9:$A$492,0))</x:f>
        <x:v>120000</x:v>
      </x:c>
      <x:c r="J1447" s="17" t="n">
        <x:f>ROUND(I1447*'Costing'!$C$4,2)</x:f>
        <x:v>21600</x:v>
      </x:c>
      <x:c r="K1447" s="17" t="n">
        <x:f>I1447+J1447</x:f>
        <x:v>141600</x:v>
      </x:c>
    </x:row>
    <x:row r="1448" ht="46" customHeight="1">
      <x:c r="A1448" s="2" t="str">
        <x:v>Sector</x:v>
      </x:c>
      <x:c r="B1448" s="2" t="str">
        <x:v>Finance &amp; insurance</x:v>
      </x:c>
      <x:c r="C1448" s="12" t="str">
        <x:v>Pune</x:v>
      </x:c>
      <x:c r="D1448" s="12" t="str">
        <x:v>MAIN-381</x:v>
      </x:c>
      <x:c r="E1448" s="12" t="str">
        <x:v>Amar Pristine Tech Park</x:v>
      </x:c>
      <x:c r="F1448" s="11" t="n">
        <x:v>4</x:v>
      </x:c>
      <x:c r="G1448" s="11" t="n">
        <x:v>4</x:v>
      </x:c>
      <x:c r="H1448" s="11" t="n">
        <x:v>0</x:v>
      </x:c>
      <x:c r="I1448" s="17" t="n">
        <x:f>INDEX('Costing'!$P$9:$P$492,MATCH(D1448,'Costing'!$A$9:$A$492,0))</x:f>
        <x:v>80000</x:v>
      </x:c>
      <x:c r="J1448" s="17" t="n">
        <x:f>ROUND(I1448*'Costing'!$C$4,2)</x:f>
        <x:v>14400</x:v>
      </x:c>
      <x:c r="K1448" s="17" t="n">
        <x:f>I1448+J1448</x:f>
        <x:v>94400</x:v>
      </x:c>
    </x:row>
    <x:row r="1449" ht="46" customHeight="1">
      <x:c r="A1449" s="2" t="str">
        <x:v>Sector</x:v>
      </x:c>
      <x:c r="B1449" s="2" t="str">
        <x:v>Finance &amp; insurance</x:v>
      </x:c>
      <x:c r="C1449" s="12" t="str">
        <x:v>Pune</x:v>
      </x:c>
      <x:c r="D1449" s="12" t="str">
        <x:v>MAIN-391</x:v>
      </x:c>
      <x:c r="E1449" s="12" t="str">
        <x:v>Awfis - Sterling Towers</x:v>
      </x:c>
      <x:c r="F1449" s="11" t="n">
        <x:v>1</x:v>
      </x:c>
      <x:c r="G1449" s="11" t="n">
        <x:v>1</x:v>
      </x:c>
      <x:c r="H1449" s="11" t="n">
        <x:v>0</x:v>
      </x:c>
      <x:c r="I1449" s="17" t="n">
        <x:f>INDEX('Costing'!$P$9:$P$492,MATCH(D1449,'Costing'!$A$9:$A$492,0))</x:f>
        <x:v>15000</x:v>
      </x:c>
      <x:c r="J1449" s="17" t="n">
        <x:f>ROUND(I1449*'Costing'!$C$4,2)</x:f>
        <x:v>2700</x:v>
      </x:c>
      <x:c r="K1449" s="17" t="n">
        <x:f>I1449+J1449</x:f>
        <x:v>17700</x:v>
      </x:c>
    </x:row>
    <x:row r="1450" ht="46" customHeight="1">
      <x:c r="A1450" s="2" t="str">
        <x:v>Sector</x:v>
      </x:c>
      <x:c r="B1450" s="2" t="str">
        <x:v>Finance &amp; insurance</x:v>
      </x:c>
      <x:c r="C1450" s="12" t="str">
        <x:v>Pune</x:v>
      </x:c>
      <x:c r="D1450" s="12" t="str">
        <x:v>MAIN-404</x:v>
      </x:c>
      <x:c r="E1450" s="12" t="str">
        <x:v>Mayfield Towers</x:v>
      </x:c>
      <x:c r="F1450" s="11" t="n">
        <x:v>3</x:v>
      </x:c>
      <x:c r="G1450" s="11" t="n">
        <x:v>3</x:v>
      </x:c>
      <x:c r="H1450" s="11" t="n">
        <x:v>0</x:v>
      </x:c>
      <x:c r="I1450" s="17" t="n">
        <x:f>INDEX('Costing'!$P$9:$P$492,MATCH(D1450,'Costing'!$A$9:$A$492,0))</x:f>
        <x:v>60000</x:v>
      </x:c>
      <x:c r="J1450" s="17" t="n">
        <x:f>ROUND(I1450*'Costing'!$C$4,2)</x:f>
        <x:v>10800</x:v>
      </x:c>
      <x:c r="K1450" s="17" t="n">
        <x:f>I1450+J1450</x:f>
        <x:v>70800</x:v>
      </x:c>
    </x:row>
    <x:row r="1451" ht="46" customHeight="1">
      <x:c r="A1451" s="2" t="str">
        <x:v>Sector</x:v>
      </x:c>
      <x:c r="B1451" s="2" t="str">
        <x:v>Finance &amp; insurance</x:v>
      </x:c>
      <x:c r="C1451" s="12" t="str">
        <x:v>Pune</x:v>
      </x:c>
      <x:c r="D1451" s="12" t="str">
        <x:v>MAIN-405</x:v>
      </x:c>
      <x:c r="E1451" s="12" t="str">
        <x:v>Olympia B Premises</x:v>
      </x:c>
      <x:c r="F1451" s="11" t="n">
        <x:v>1</x:v>
      </x:c>
      <x:c r="G1451" s="11" t="n">
        <x:v>1</x:v>
      </x:c>
      <x:c r="H1451" s="11" t="n">
        <x:v>0</x:v>
      </x:c>
      <x:c r="I1451" s="17" t="n">
        <x:f>INDEX('Costing'!$P$9:$P$492,MATCH(D1451,'Costing'!$A$9:$A$492,0))</x:f>
        <x:v>15000</x:v>
      </x:c>
      <x:c r="J1451" s="17" t="n">
        <x:f>ROUND(I1451*'Costing'!$C$4,2)</x:f>
        <x:v>2700</x:v>
      </x:c>
      <x:c r="K1451" s="17" t="n">
        <x:f>I1451+J1451</x:f>
        <x:v>17700</x:v>
      </x:c>
    </x:row>
    <x:row r="1452" ht="46" customHeight="1">
      <x:c r="A1452" s="2" t="str">
        <x:v>Sector</x:v>
      </x:c>
      <x:c r="B1452" s="2" t="str">
        <x:v>Finance &amp; insurance</x:v>
      </x:c>
      <x:c r="C1452" s="12" t="str">
        <x:v>Pune</x:v>
      </x:c>
      <x:c r="D1452" s="12" t="str">
        <x:v>MAIN-406</x:v>
      </x:c>
      <x:c r="E1452" s="12" t="str">
        <x:v>OLYMPIA B PREMISES Inside Elevator</x:v>
      </x:c>
      <x:c r="F1452" s="11" t="n">
        <x:v>1</x:v>
      </x:c>
      <x:c r="G1452" s="11" t="n">
        <x:v>1</x:v>
      </x:c>
      <x:c r="H1452" s="11" t="n">
        <x:v>0</x:v>
      </x:c>
      <x:c r="I1452" s="17" t="n">
        <x:f>INDEX('Costing'!$P$9:$P$492,MATCH(D1452,'Costing'!$A$9:$A$492,0))</x:f>
        <x:v>15000</x:v>
      </x:c>
      <x:c r="J1452" s="17" t="n">
        <x:f>ROUND(I1452*'Costing'!$C$4,2)</x:f>
        <x:v>2700</x:v>
      </x:c>
      <x:c r="K1452" s="17" t="n">
        <x:f>I1452+J1452</x:f>
        <x:v>17700</x:v>
      </x:c>
    </x:row>
    <x:row r="1453" ht="46" customHeight="1">
      <x:c r="A1453" s="2" t="str">
        <x:v>Sector</x:v>
      </x:c>
      <x:c r="B1453" s="2" t="str">
        <x:v>Finance &amp; insurance</x:v>
      </x:c>
      <x:c r="C1453" s="12" t="str">
        <x:v>Pune</x:v>
      </x:c>
      <x:c r="D1453" s="12" t="str">
        <x:v>MAIN-407</x:v>
      </x:c>
      <x:c r="E1453" s="12" t="str">
        <x:v>Oyo Workspace - Innov8 Suman Business Park</x:v>
      </x:c>
      <x:c r="F1453" s="11" t="n">
        <x:v>2</x:v>
      </x:c>
      <x:c r="G1453" s="11" t="n">
        <x:v>2</x:v>
      </x:c>
      <x:c r="H1453" s="11" t="n">
        <x:v>0</x:v>
      </x:c>
      <x:c r="I1453" s="17" t="n">
        <x:f>INDEX('Costing'!$P$9:$P$492,MATCH(D1453,'Costing'!$A$9:$A$492,0))</x:f>
        <x:v>30000</x:v>
      </x:c>
      <x:c r="J1453" s="17" t="n">
        <x:f>ROUND(I1453*'Costing'!$C$4,2)</x:f>
        <x:v>5400</x:v>
      </x:c>
      <x:c r="K1453" s="17" t="n">
        <x:f>I1453+J1453</x:f>
        <x:v>35400</x:v>
      </x:c>
    </x:row>
    <x:row r="1454" ht="46" customHeight="1">
      <x:c r="A1454" s="2" t="str">
        <x:v>Sector</x:v>
      </x:c>
      <x:c r="B1454" s="2" t="str">
        <x:v>Finance &amp; insurance</x:v>
      </x:c>
      <x:c r="C1454" s="12" t="str">
        <x:v>Pune</x:v>
      </x:c>
      <x:c r="D1454" s="12" t="str">
        <x:v>MAIN-413</x:v>
      </x:c>
      <x:c r="E1454" s="12" t="str">
        <x:v>Raheja Mindspaces - Yerawada</x:v>
      </x:c>
      <x:c r="F1454" s="11" t="n">
        <x:v>2</x:v>
      </x:c>
      <x:c r="G1454" s="11" t="n">
        <x:v>2</x:v>
      </x:c>
      <x:c r="H1454" s="11" t="n">
        <x:v>0</x:v>
      </x:c>
      <x:c r="I1454" s="17" t="n">
        <x:f>INDEX('Costing'!$P$9:$P$492,MATCH(D1454,'Costing'!$A$9:$A$492,0))</x:f>
        <x:v>80000</x:v>
      </x:c>
      <x:c r="J1454" s="17" t="n">
        <x:f>ROUND(I1454*'Costing'!$C$4,2)</x:f>
        <x:v>14400</x:v>
      </x:c>
      <x:c r="K1454" s="17" t="n">
        <x:f>I1454+J1454</x:f>
        <x:v>94400</x:v>
      </x:c>
    </x:row>
    <x:row r="1455" ht="46" customHeight="1">
      <x:c r="A1455" s="2" t="str">
        <x:v>Sector</x:v>
      </x:c>
      <x:c r="B1455" s="2" t="str">
        <x:v>Finance &amp; insurance</x:v>
      </x:c>
      <x:c r="C1455" s="12" t="str">
        <x:v>Pune</x:v>
      </x:c>
      <x:c r="D1455" s="12" t="str">
        <x:v>MAIN-419</x:v>
      </x:c>
      <x:c r="E1455" s="12" t="str">
        <x:v>WeWork - Futura</x:v>
      </x:c>
      <x:c r="F1455" s="11" t="n">
        <x:v>2</x:v>
      </x:c>
      <x:c r="G1455" s="11" t="n">
        <x:v>2</x:v>
      </x:c>
      <x:c r="H1455" s="11" t="n">
        <x:v>0</x:v>
      </x:c>
      <x:c r="I1455" s="17" t="n">
        <x:f>INDEX('Costing'!$P$9:$P$492,MATCH(D1455,'Costing'!$A$9:$A$492,0))</x:f>
        <x:v>50000</x:v>
      </x:c>
      <x:c r="J1455" s="17" t="n">
        <x:f>ROUND(I1455*'Costing'!$C$4,2)</x:f>
        <x:v>9000</x:v>
      </x:c>
      <x:c r="K1455" s="17" t="n">
        <x:f>I1455+J1455</x:f>
        <x:v>59000</x:v>
      </x:c>
    </x:row>
    <x:row r="1456" ht="46" customHeight="1">
      <x:c r="A1456" s="2" t="str">
        <x:v>Sector</x:v>
      </x:c>
      <x:c r="B1456" s="2" t="str">
        <x:v>Finance &amp; insurance</x:v>
      </x:c>
      <x:c r="C1456" s="12" t="str">
        <x:v>Pune</x:v>
      </x:c>
      <x:c r="D1456" s="12" t="str">
        <x:v>MAIN-422</x:v>
      </x:c>
      <x:c r="E1456" s="12" t="str">
        <x:v>Workflow by Oyo - Icon Tower</x:v>
      </x:c>
      <x:c r="F1456" s="11" t="n">
        <x:v>3</x:v>
      </x:c>
      <x:c r="G1456" s="11" t="n">
        <x:v>3</x:v>
      </x:c>
      <x:c r="H1456" s="11" t="n">
        <x:v>0</x:v>
      </x:c>
      <x:c r="I1456" s="17" t="n">
        <x:f>INDEX('Costing'!$P$9:$P$492,MATCH(D1456,'Costing'!$A$9:$A$492,0))</x:f>
        <x:v>45000</x:v>
      </x:c>
      <x:c r="J1456" s="17" t="n">
        <x:f>ROUND(I1456*'Costing'!$C$4,2)</x:f>
        <x:v>8100</x:v>
      </x:c>
      <x:c r="K1456" s="17" t="n">
        <x:f>I1456+J1456</x:f>
        <x:v>53100</x:v>
      </x:c>
    </x:row>
    <x:row r="1457" ht="46" customHeight="1">
      <x:c r="A1457" s="2" t="str">
        <x:v>Sector</x:v>
      </x:c>
      <x:c r="B1457" s="2" t="str">
        <x:v>Finance &amp; insurance</x:v>
      </x:c>
      <x:c r="C1457" s="12" t="str">
        <x:v>Bengaluru</x:v>
      </x:c>
      <x:c r="D1457" s="12" t="str">
        <x:v>PARTNER-M138</x:v>
      </x:c>
      <x:c r="E1457" s="12" t="str">
        <x:v>Bagmane Capital</x:v>
      </x:c>
      <x:c r="F1457" s="11" t="n">
        <x:v>8</x:v>
      </x:c>
      <x:c r="G1457" s="11" t="n">
        <x:v>8</x:v>
      </x:c>
      <x:c r="H1457" s="11" t="n">
        <x:v>0</x:v>
      </x:c>
      <x:c r="I1457" s="17" t="n">
        <x:f>INDEX('Costing'!$P$9:$P$492,MATCH(D1457,'Costing'!$A$9:$A$492,0))</x:f>
        <x:v>320000</x:v>
      </x:c>
      <x:c r="J1457" s="17" t="n">
        <x:f>ROUND(I1457*'Costing'!$C$4,2)</x:f>
        <x:v>57600</x:v>
      </x:c>
      <x:c r="K1457" s="17" t="n">
        <x:f>I1457+J1457</x:f>
        <x:v>377600</x:v>
      </x:c>
    </x:row>
    <x:row r="1458" ht="46" customHeight="1">
      <x:c r="A1458" s="2" t="str">
        <x:v>Sector</x:v>
      </x:c>
      <x:c r="B1458" s="2" t="str">
        <x:v>Finance &amp; insurance</x:v>
      </x:c>
      <x:c r="C1458" s="12" t="str">
        <x:v>Bengaluru</x:v>
      </x:c>
      <x:c r="D1458" s="12" t="str">
        <x:v>PARTNER-M146</x:v>
      </x:c>
      <x:c r="E1458" s="12" t="str">
        <x:v>Bagmane Solarium</x:v>
      </x:c>
      <x:c r="F1458" s="11" t="n">
        <x:v>8</x:v>
      </x:c>
      <x:c r="G1458" s="11" t="n">
        <x:v>8</x:v>
      </x:c>
      <x:c r="H1458" s="11" t="n">
        <x:v>0</x:v>
      </x:c>
      <x:c r="I1458" s="17" t="n">
        <x:f>INDEX('Costing'!$P$9:$P$492,MATCH(D1458,'Costing'!$A$9:$A$492,0))</x:f>
        <x:v>320000</x:v>
      </x:c>
      <x:c r="J1458" s="17" t="n">
        <x:f>ROUND(I1458*'Costing'!$C$4,2)</x:f>
        <x:v>57600</x:v>
      </x:c>
      <x:c r="K1458" s="17" t="n">
        <x:f>I1458+J1458</x:f>
        <x:v>377600</x:v>
      </x:c>
    </x:row>
    <x:row r="1459" ht="46" customHeight="1">
      <x:c r="A1459" s="2" t="str">
        <x:v>Sector</x:v>
      </x:c>
      <x:c r="B1459" s="2" t="str">
        <x:v>Finance &amp; insurance</x:v>
      </x:c>
      <x:c r="C1459" s="12" t="str">
        <x:v>Bengaluru</x:v>
      </x:c>
      <x:c r="D1459" s="12" t="str">
        <x:v>PARTNER-M120</x:v>
      </x:c>
      <x:c r="E1459" s="12" t="str">
        <x:v>Bagmane World Technology Centre</x:v>
      </x:c>
      <x:c r="F1459" s="11" t="n">
        <x:v>10</x:v>
      </x:c>
      <x:c r="G1459" s="11" t="n">
        <x:v>10</x:v>
      </x:c>
      <x:c r="H1459" s="11" t="n">
        <x:v>0</x:v>
      </x:c>
      <x:c r="I1459" s="17" t="n">
        <x:f>INDEX('Costing'!$P$9:$P$492,MATCH(D1459,'Costing'!$A$9:$A$492,0))</x:f>
        <x:v>400000</x:v>
      </x:c>
      <x:c r="J1459" s="17" t="n">
        <x:f>ROUND(I1459*'Costing'!$C$4,2)</x:f>
        <x:v>72000</x:v>
      </x:c>
      <x:c r="K1459" s="17" t="n">
        <x:f>I1459+J1459</x:f>
        <x:v>472000</x:v>
      </x:c>
    </x:row>
    <x:row r="1460" ht="46" customHeight="1">
      <x:c r="A1460" s="2" t="str">
        <x:v>Sector</x:v>
      </x:c>
      <x:c r="B1460" s="2" t="str">
        <x:v>Finance &amp; insurance</x:v>
      </x:c>
      <x:c r="C1460" s="12" t="str">
        <x:v>Bengaluru</x:v>
      </x:c>
      <x:c r="D1460" s="12" t="str">
        <x:v>PARTNER-M162</x:v>
      </x:c>
      <x:c r="E1460" s="12" t="str">
        <x:v>Fincity Corproate Park </x:v>
      </x:c>
      <x:c r="F1460" s="11" t="n">
        <x:v>4</x:v>
      </x:c>
      <x:c r="G1460" s="11" t="n">
        <x:v>4</x:v>
      </x:c>
      <x:c r="H1460" s="11" t="n">
        <x:v>0</x:v>
      </x:c>
      <x:c r="I1460" s="17" t="n">
        <x:f>INDEX('Costing'!$P$9:$P$492,MATCH(D1460,'Costing'!$A$9:$A$492,0))</x:f>
        <x:v>160000</x:v>
      </x:c>
      <x:c r="J1460" s="17" t="n">
        <x:f>ROUND(I1460*'Costing'!$C$4,2)</x:f>
        <x:v>28800</x:v>
      </x:c>
      <x:c r="K1460" s="17" t="n">
        <x:f>I1460+J1460</x:f>
        <x:v>188800</x:v>
      </x:c>
    </x:row>
    <x:row r="1461" ht="46" customHeight="1">
      <x:c r="A1461" s="2" t="str">
        <x:v>Sector</x:v>
      </x:c>
      <x:c r="B1461" s="2" t="str">
        <x:v>Finance &amp; insurance</x:v>
      </x:c>
      <x:c r="C1461" s="12" t="str">
        <x:v>Bengaluru</x:v>
      </x:c>
      <x:c r="D1461" s="12" t="str">
        <x:v>PARTNER-M011</x:v>
      </x:c>
      <x:c r="E1461" s="12" t="str">
        <x:v>International Tech Park (ITPB - SEZ)</x:v>
      </x:c>
      <x:c r="F1461" s="11" t="n">
        <x:v>3</x:v>
      </x:c>
      <x:c r="G1461" s="11" t="n">
        <x:v>3</x:v>
      </x:c>
      <x:c r="H1461" s="11" t="n">
        <x:v>0</x:v>
      </x:c>
      <x:c r="I1461" s="17" t="n">
        <x:f>INDEX('Costing'!$P$9:$P$492,MATCH(D1461,'Costing'!$A$9:$A$492,0))</x:f>
        <x:v>120000</x:v>
      </x:c>
      <x:c r="J1461" s="17" t="n">
        <x:f>ROUND(I1461*'Costing'!$C$4,2)</x:f>
        <x:v>21600</x:v>
      </x:c>
      <x:c r="K1461" s="17" t="n">
        <x:f>I1461+J1461</x:f>
        <x:v>141600</x:v>
      </x:c>
    </x:row>
    <x:row r="1462" ht="46" customHeight="1">
      <x:c r="A1462" s="2" t="str">
        <x:v>Sector</x:v>
      </x:c>
      <x:c r="B1462" s="2" t="str">
        <x:v>Finance &amp; insurance</x:v>
      </x:c>
      <x:c r="C1462" s="12" t="str">
        <x:v>Bengaluru</x:v>
      </x:c>
      <x:c r="D1462" s="12" t="str">
        <x:v>PARTNER-M002</x:v>
      </x:c>
      <x:c r="E1462" s="12" t="str">
        <x:v>International Tech Park (ITPB)</x:v>
      </x:c>
      <x:c r="F1462" s="11" t="n">
        <x:v>9</x:v>
      </x:c>
      <x:c r="G1462" s="11" t="n">
        <x:v>9</x:v>
      </x:c>
      <x:c r="H1462" s="11" t="n">
        <x:v>0</x:v>
      </x:c>
      <x:c r="I1462" s="17" t="n">
        <x:f>INDEX('Costing'!$P$9:$P$492,MATCH(D1462,'Costing'!$A$9:$A$492,0))</x:f>
        <x:v>360000</x:v>
      </x:c>
      <x:c r="J1462" s="17" t="n">
        <x:f>ROUND(I1462*'Costing'!$C$4,2)</x:f>
        <x:v>64800</x:v>
      </x:c>
      <x:c r="K1462" s="17" t="n">
        <x:f>I1462+J1462</x:f>
        <x:v>424800</x:v>
      </x:c>
    </x:row>
    <x:row r="1463" ht="46" customHeight="1">
      <x:c r="A1463" s="2" t="str">
        <x:v>Sector</x:v>
      </x:c>
      <x:c r="B1463" s="2" t="str">
        <x:v>Finance &amp; insurance</x:v>
      </x:c>
      <x:c r="C1463" s="12" t="str">
        <x:v>Bengaluru</x:v>
      </x:c>
      <x:c r="D1463" s="12" t="str">
        <x:v>PARTNER-M051</x:v>
      </x:c>
      <x:c r="E1463" s="12" t="str">
        <x:v>Manyata Tech park - Mfar</x:v>
      </x:c>
      <x:c r="F1463" s="11" t="n">
        <x:v>5</x:v>
      </x:c>
      <x:c r="G1463" s="11" t="n">
        <x:v>5</x:v>
      </x:c>
      <x:c r="H1463" s="11" t="n">
        <x:v>0</x:v>
      </x:c>
      <x:c r="I1463" s="17" t="n">
        <x:f>INDEX('Costing'!$P$9:$P$492,MATCH(D1463,'Costing'!$A$9:$A$492,0))</x:f>
        <x:v>200000</x:v>
      </x:c>
      <x:c r="J1463" s="17" t="n">
        <x:f>ROUND(I1463*'Costing'!$C$4,2)</x:f>
        <x:v>36000</x:v>
      </x:c>
      <x:c r="K1463" s="17" t="n">
        <x:f>I1463+J1463</x:f>
        <x:v>236000</x:v>
      </x:c>
    </x:row>
    <x:row r="1464" ht="46" customHeight="1">
      <x:c r="A1464" s="2" t="str">
        <x:v>Sector</x:v>
      </x:c>
      <x:c r="B1464" s="2" t="str">
        <x:v>Finance &amp; insurance</x:v>
      </x:c>
      <x:c r="C1464" s="12" t="str">
        <x:v>Bengaluru</x:v>
      </x:c>
      <x:c r="D1464" s="12" t="str">
        <x:v>PARTNER-M154</x:v>
      </x:c>
      <x:c r="E1464" s="12" t="str">
        <x:v>Maruthi Infotech Center</x:v>
      </x:c>
      <x:c r="F1464" s="11" t="n">
        <x:v>8</x:v>
      </x:c>
      <x:c r="G1464" s="11" t="n">
        <x:v>8</x:v>
      </x:c>
      <x:c r="H1464" s="11" t="n">
        <x:v>0</x:v>
      </x:c>
      <x:c r="I1464" s="17" t="n">
        <x:f>INDEX('Costing'!$P$9:$P$492,MATCH(D1464,'Costing'!$A$9:$A$492,0))</x:f>
        <x:v>320000</x:v>
      </x:c>
      <x:c r="J1464" s="17" t="n">
        <x:f>ROUND(I1464*'Costing'!$C$4,2)</x:f>
        <x:v>57600</x:v>
      </x:c>
      <x:c r="K1464" s="17" t="n">
        <x:f>I1464+J1464</x:f>
        <x:v>377600</x:v>
      </x:c>
    </x:row>
    <x:row r="1465" ht="46" customHeight="1">
      <x:c r="A1465" s="2" t="str">
        <x:v>Sector</x:v>
      </x:c>
      <x:c r="B1465" s="2" t="str">
        <x:v>Finance &amp; insurance</x:v>
      </x:c>
      <x:c r="C1465" s="12" t="str">
        <x:v>Bengaluru</x:v>
      </x:c>
      <x:c r="D1465" s="12" t="str">
        <x:v>PARTNER-M097</x:v>
      </x:c>
      <x:c r="E1465" s="12" t="str">
        <x:v>Prestige Blue Chip </x:v>
      </x:c>
      <x:c r="F1465" s="11" t="n">
        <x:v>3</x:v>
      </x:c>
      <x:c r="G1465" s="11" t="n">
        <x:v>3</x:v>
      </x:c>
      <x:c r="H1465" s="11" t="n">
        <x:v>0</x:v>
      </x:c>
      <x:c r="I1465" s="17" t="n">
        <x:f>INDEX('Costing'!$P$9:$P$492,MATCH(D1465,'Costing'!$A$9:$A$492,0))</x:f>
        <x:v>120000</x:v>
      </x:c>
      <x:c r="J1465" s="17" t="n">
        <x:f>ROUND(I1465*'Costing'!$C$4,2)</x:f>
        <x:v>21600</x:v>
      </x:c>
      <x:c r="K1465" s="17" t="n">
        <x:f>I1465+J1465</x:f>
        <x:v>141600</x:v>
      </x:c>
    </x:row>
    <x:row r="1466" ht="46" customHeight="1">
      <x:c r="A1466" s="2" t="str">
        <x:v>Sector</x:v>
      </x:c>
      <x:c r="B1466" s="2" t="str">
        <x:v>Finance &amp; insurance</x:v>
      </x:c>
      <x:c r="C1466" s="12" t="str">
        <x:v>Bengaluru</x:v>
      </x:c>
      <x:c r="D1466" s="12" t="str">
        <x:v>PARTNER-M100</x:v>
      </x:c>
      <x:c r="E1466" s="12" t="str">
        <x:v>Prestige Obelisk + Prestige Atrium + Prestige Sapphire + Prestige Al Kareem + Prestige Delta</x:v>
      </x:c>
      <x:c r="F1466" s="11" t="n">
        <x:v>8</x:v>
      </x:c>
      <x:c r="G1466" s="11" t="n">
        <x:v>8</x:v>
      </x:c>
      <x:c r="H1466" s="11" t="n">
        <x:v>0</x:v>
      </x:c>
      <x:c r="I1466" s="17" t="n">
        <x:f>INDEX('Costing'!$P$9:$P$492,MATCH(D1466,'Costing'!$A$9:$A$492,0))</x:f>
        <x:v>320000</x:v>
      </x:c>
      <x:c r="J1466" s="17" t="n">
        <x:f>ROUND(I1466*'Costing'!$C$4,2)</x:f>
        <x:v>57600</x:v>
      </x:c>
      <x:c r="K1466" s="17" t="n">
        <x:f>I1466+J1466</x:f>
        <x:v>377600</x:v>
      </x:c>
    </x:row>
    <x:row r="1467" ht="46" customHeight="1">
      <x:c r="A1467" s="2" t="str">
        <x:v>Sector</x:v>
      </x:c>
      <x:c r="B1467" s="2" t="str">
        <x:v>Finance &amp; insurance</x:v>
      </x:c>
      <x:c r="C1467" s="12" t="str">
        <x:v>Bengaluru</x:v>
      </x:c>
      <x:c r="D1467" s="12" t="str">
        <x:v>PARTNER-M027</x:v>
      </x:c>
      <x:c r="E1467" s="12" t="str">
        <x:v>Prestige Shantiniketan</x:v>
      </x:c>
      <x:c r="F1467" s="11" t="n">
        <x:v>7</x:v>
      </x:c>
      <x:c r="G1467" s="11" t="n">
        <x:v>7</x:v>
      </x:c>
      <x:c r="H1467" s="11" t="n">
        <x:v>0</x:v>
      </x:c>
      <x:c r="I1467" s="17" t="n">
        <x:f>INDEX('Costing'!$P$9:$P$492,MATCH(D1467,'Costing'!$A$9:$A$492,0))</x:f>
        <x:v>280000</x:v>
      </x:c>
      <x:c r="J1467" s="17" t="n">
        <x:f>ROUND(I1467*'Costing'!$C$4,2)</x:f>
        <x:v>50400</x:v>
      </x:c>
      <x:c r="K1467" s="17" t="n">
        <x:f>I1467+J1467</x:f>
        <x:v>330400</x:v>
      </x:c>
    </x:row>
    <x:row r="1468" ht="46" customHeight="1">
      <x:c r="A1468" s="2" t="str">
        <x:v>Sector</x:v>
      </x:c>
      <x:c r="B1468" s="2" t="str">
        <x:v>Finance &amp; insurance</x:v>
      </x:c>
      <x:c r="C1468" s="12" t="str">
        <x:v>Bengaluru</x:v>
      </x:c>
      <x:c r="D1468" s="12" t="str">
        <x:v>PARTNER-M082</x:v>
      </x:c>
      <x:c r="E1468" s="12" t="str">
        <x:v>Prestige Sterling Square + Prestige Solitaire + Prestige Sigma + Prestige Loka + Prestige Emerald + Prestige Towers</x:v>
      </x:c>
      <x:c r="F1468" s="11" t="n">
        <x:v>11</x:v>
      </x:c>
      <x:c r="G1468" s="11" t="n">
        <x:v>11</x:v>
      </x:c>
      <x:c r="H1468" s="11" t="n">
        <x:v>0</x:v>
      </x:c>
      <x:c r="I1468" s="17" t="n">
        <x:f>INDEX('Costing'!$P$9:$P$492,MATCH(D1468,'Costing'!$A$9:$A$492,0))</x:f>
        <x:v>440000</x:v>
      </x:c>
      <x:c r="J1468" s="17" t="n">
        <x:f>ROUND(I1468*'Costing'!$C$4,2)</x:f>
        <x:v>79200</x:v>
      </x:c>
      <x:c r="K1468" s="17" t="n">
        <x:f>I1468+J1468</x:f>
        <x:v>519200</x:v>
      </x:c>
    </x:row>
    <x:row r="1469" ht="46" customHeight="1">
      <x:c r="A1469" s="2" t="str">
        <x:v>Sector</x:v>
      </x:c>
      <x:c r="B1469" s="2" t="str">
        <x:v>Finance &amp; insurance</x:v>
      </x:c>
      <x:c r="C1469" s="12" t="str">
        <x:v>Bengaluru</x:v>
      </x:c>
      <x:c r="D1469" s="12" t="str">
        <x:v>PARTNER-M093</x:v>
      </x:c>
      <x:c r="E1469" s="12" t="str">
        <x:v>Prestige Summit</x:v>
      </x:c>
      <x:c r="F1469" s="11" t="n">
        <x:v>4</x:v>
      </x:c>
      <x:c r="G1469" s="11" t="n">
        <x:v>4</x:v>
      </x:c>
      <x:c r="H1469" s="11" t="n">
        <x:v>0</x:v>
      </x:c>
      <x:c r="I1469" s="17" t="n">
        <x:f>INDEX('Costing'!$P$9:$P$492,MATCH(D1469,'Costing'!$A$9:$A$492,0))</x:f>
        <x:v>160000</x:v>
      </x:c>
      <x:c r="J1469" s="17" t="n">
        <x:f>ROUND(I1469*'Costing'!$C$4,2)</x:f>
        <x:v>28800</x:v>
      </x:c>
      <x:c r="K1469" s="17" t="n">
        <x:f>I1469+J1469</x:f>
        <x:v>188800</x:v>
      </x:c>
    </x:row>
    <x:row r="1470" ht="46" customHeight="1">
      <x:c r="A1470" s="2" t="str">
        <x:v>Sector</x:v>
      </x:c>
      <x:c r="B1470" s="2" t="str">
        <x:v>Finance &amp; insurance</x:v>
      </x:c>
      <x:c r="C1470" s="12" t="str">
        <x:v>Bengaluru</x:v>
      </x:c>
      <x:c r="D1470" s="12" t="str">
        <x:v>PARTNER-M039</x:v>
      </x:c>
      <x:c r="E1470" s="12" t="str">
        <x:v>Prestige Tech Cloud</x:v>
      </x:c>
      <x:c r="F1470" s="11" t="n">
        <x:v>6</x:v>
      </x:c>
      <x:c r="G1470" s="11" t="n">
        <x:v>6</x:v>
      </x:c>
      <x:c r="H1470" s="11" t="n">
        <x:v>0</x:v>
      </x:c>
      <x:c r="I1470" s="17" t="n">
        <x:f>INDEX('Costing'!$P$9:$P$492,MATCH(D1470,'Costing'!$A$9:$A$492,0))</x:f>
        <x:v>240000</x:v>
      </x:c>
      <x:c r="J1470" s="17" t="n">
        <x:f>ROUND(I1470*'Costing'!$C$4,2)</x:f>
        <x:v>43200</x:v>
      </x:c>
      <x:c r="K1470" s="17" t="n">
        <x:f>I1470+J1470</x:f>
        <x:v>283200</x:v>
      </x:c>
    </x:row>
    <x:row r="1471" ht="46" customHeight="1">
      <x:c r="A1471" s="2" t="str">
        <x:v>Sector</x:v>
      </x:c>
      <x:c r="B1471" s="2" t="str">
        <x:v>Finance &amp; insurance</x:v>
      </x:c>
      <x:c r="C1471" s="12" t="str">
        <x:v>Bengaluru</x:v>
      </x:c>
      <x:c r="D1471" s="12" t="str">
        <x:v>PARTNER-M045</x:v>
      </x:c>
      <x:c r="E1471" s="12" t="str">
        <x:v>Prestige Tech Pacific</x:v>
      </x:c>
      <x:c r="F1471" s="11" t="n">
        <x:v>6</x:v>
      </x:c>
      <x:c r="G1471" s="11" t="n">
        <x:v>6</x:v>
      </x:c>
      <x:c r="H1471" s="11" t="n">
        <x:v>0</x:v>
      </x:c>
      <x:c r="I1471" s="17" t="n">
        <x:f>INDEX('Costing'!$P$9:$P$492,MATCH(D1471,'Costing'!$A$9:$A$492,0))</x:f>
        <x:v>240000</x:v>
      </x:c>
      <x:c r="J1471" s="17" t="n">
        <x:f>ROUND(I1471*'Costing'!$C$4,2)</x:f>
        <x:v>43200</x:v>
      </x:c>
      <x:c r="K1471" s="17" t="n">
        <x:f>I1471+J1471</x:f>
        <x:v>283200</x:v>
      </x:c>
    </x:row>
    <x:row r="1472" ht="46" customHeight="1">
      <x:c r="A1472" s="2" t="str">
        <x:v>Sector</x:v>
      </x:c>
      <x:c r="B1472" s="2" t="str">
        <x:v>Finance &amp; insurance</x:v>
      </x:c>
      <x:c r="C1472" s="12" t="str">
        <x:v>Bengaluru</x:v>
      </x:c>
      <x:c r="D1472" s="12" t="str">
        <x:v>PARTNER-M014</x:v>
      </x:c>
      <x:c r="E1472" s="12" t="str">
        <x:v>Prestige Tech Park</x:v>
      </x:c>
      <x:c r="F1472" s="11" t="n">
        <x:v>10</x:v>
      </x:c>
      <x:c r="G1472" s="11" t="n">
        <x:v>10</x:v>
      </x:c>
      <x:c r="H1472" s="11" t="n">
        <x:v>0</x:v>
      </x:c>
      <x:c r="I1472" s="17" t="n">
        <x:f>INDEX('Costing'!$P$9:$P$492,MATCH(D1472,'Costing'!$A$9:$A$492,0))</x:f>
        <x:v>400000</x:v>
      </x:c>
      <x:c r="J1472" s="17" t="n">
        <x:f>ROUND(I1472*'Costing'!$C$4,2)</x:f>
        <x:v>72000</x:v>
      </x:c>
      <x:c r="K1472" s="17" t="n">
        <x:f>I1472+J1472</x:f>
        <x:v>472000</x:v>
      </x:c>
    </x:row>
    <x:row r="1473" ht="46" customHeight="1">
      <x:c r="A1473" s="2" t="str">
        <x:v>Sector</x:v>
      </x:c>
      <x:c r="B1473" s="2" t="str">
        <x:v>Finance &amp; insurance</x:v>
      </x:c>
      <x:c r="C1473" s="12" t="str">
        <x:v>Bengaluru</x:v>
      </x:c>
      <x:c r="D1473" s="12" t="str">
        <x:v>PARTNER-M072</x:v>
      </x:c>
      <x:c r="E1473" s="12" t="str">
        <x:v>Umiya Business Bay</x:v>
      </x:c>
      <x:c r="F1473" s="11" t="n">
        <x:v>6</x:v>
      </x:c>
      <x:c r="G1473" s="11" t="n">
        <x:v>6</x:v>
      </x:c>
      <x:c r="H1473" s="11" t="n">
        <x:v>0</x:v>
      </x:c>
      <x:c r="I1473" s="17" t="n">
        <x:f>INDEX('Costing'!$P$9:$P$492,MATCH(D1473,'Costing'!$A$9:$A$492,0))</x:f>
        <x:v>240000</x:v>
      </x:c>
      <x:c r="J1473" s="17" t="n">
        <x:f>ROUND(I1473*'Costing'!$C$4,2)</x:f>
        <x:v>43200</x:v>
      </x:c>
      <x:c r="K1473" s="17" t="n">
        <x:f>I1473+J1473</x:f>
        <x:v>283200</x:v>
      </x:c>
    </x:row>
    <x:row r="1474" ht="46" customHeight="1">
      <x:c r="A1474" s="2" t="str">
        <x:v>Sector</x:v>
      </x:c>
      <x:c r="B1474" s="2" t="str">
        <x:v>Finance &amp; insurance</x:v>
      </x:c>
      <x:c r="C1474" s="12" t="str">
        <x:v>Chennai</x:v>
      </x:c>
      <x:c r="D1474" s="12" t="str">
        <x:v>PARTNER-M340</x:v>
      </x:c>
      <x:c r="E1474" s="12" t="str">
        <x:v>Prestige Cosmopolitan</x:v>
      </x:c>
      <x:c r="F1474" s="11" t="n">
        <x:v>2</x:v>
      </x:c>
      <x:c r="G1474" s="11" t="n">
        <x:v>2</x:v>
      </x:c>
      <x:c r="H1474" s="11" t="n">
        <x:v>0</x:v>
      </x:c>
      <x:c r="I1474" s="17" t="n">
        <x:f>INDEX('Costing'!$P$9:$P$492,MATCH(D1474,'Costing'!$A$9:$A$492,0))</x:f>
        <x:v>80000</x:v>
      </x:c>
      <x:c r="J1474" s="17" t="n">
        <x:f>ROUND(I1474*'Costing'!$C$4,2)</x:f>
        <x:v>14400</x:v>
      </x:c>
      <x:c r="K1474" s="17" t="n">
        <x:f>I1474+J1474</x:f>
        <x:v>94400</x:v>
      </x:c>
    </x:row>
    <x:row r="1475" ht="46" customHeight="1">
      <x:c r="A1475" s="2" t="str">
        <x:v>Sector</x:v>
      </x:c>
      <x:c r="B1475" s="2" t="str">
        <x:v>Finance &amp; insurance</x:v>
      </x:c>
      <x:c r="C1475" s="12" t="str">
        <x:v>Chennai</x:v>
      </x:c>
      <x:c r="D1475" s="12" t="str">
        <x:v>PARTNER-M338</x:v>
      </x:c>
      <x:c r="E1475" s="12" t="str">
        <x:v>Prestige Palladium Bayan</x:v>
      </x:c>
      <x:c r="F1475" s="11" t="n">
        <x:v>2</x:v>
      </x:c>
      <x:c r="G1475" s="11" t="n">
        <x:v>2</x:v>
      </x:c>
      <x:c r="H1475" s="11" t="n">
        <x:v>0</x:v>
      </x:c>
      <x:c r="I1475" s="17" t="n">
        <x:f>INDEX('Costing'!$P$9:$P$492,MATCH(D1475,'Costing'!$A$9:$A$492,0))</x:f>
        <x:v>80000</x:v>
      </x:c>
      <x:c r="J1475" s="17" t="n">
        <x:f>ROUND(I1475*'Costing'!$C$4,2)</x:f>
        <x:v>14400</x:v>
      </x:c>
      <x:c r="K1475" s="17" t="n">
        <x:f>I1475+J1475</x:f>
        <x:v>94400</x:v>
      </x:c>
    </x:row>
    <x:row r="1476" ht="46" customHeight="1">
      <x:c r="A1476" s="2" t="str">
        <x:v>Sector</x:v>
      </x:c>
      <x:c r="B1476" s="2" t="str">
        <x:v>Finance &amp; insurance</x:v>
      </x:c>
      <x:c r="C1476" s="12" t="str">
        <x:v>Chennai</x:v>
      </x:c>
      <x:c r="D1476" s="12" t="str">
        <x:v>PARTNER-M332</x:v>
      </x:c>
      <x:c r="E1476" s="12" t="str">
        <x:v>Prestige Polygon</x:v>
      </x:c>
      <x:c r="F1476" s="11" t="n">
        <x:v>2</x:v>
      </x:c>
      <x:c r="G1476" s="11" t="n">
        <x:v>2</x:v>
      </x:c>
      <x:c r="H1476" s="11" t="n">
        <x:v>0</x:v>
      </x:c>
      <x:c r="I1476" s="17" t="n">
        <x:f>INDEX('Costing'!$P$9:$P$492,MATCH(D1476,'Costing'!$A$9:$A$492,0))</x:f>
        <x:v>80000</x:v>
      </x:c>
      <x:c r="J1476" s="17" t="n">
        <x:f>ROUND(I1476*'Costing'!$C$4,2)</x:f>
        <x:v>14400</x:v>
      </x:c>
      <x:c r="K1476" s="17" t="n">
        <x:f>I1476+J1476</x:f>
        <x:v>94400</x:v>
      </x:c>
    </x:row>
    <x:row r="1477" ht="46" customHeight="1">
      <x:c r="A1477" s="2" t="str">
        <x:v>Sector</x:v>
      </x:c>
      <x:c r="B1477" s="2" t="str">
        <x:v>Finance &amp; insurance</x:v>
      </x:c>
      <x:c r="C1477" s="12" t="str">
        <x:v>Chennai</x:v>
      </x:c>
      <x:c r="D1477" s="12" t="str">
        <x:v>PARTNER-M334</x:v>
      </x:c>
      <x:c r="E1477" s="12" t="str">
        <x:v>Prestige Zakria Metropolitan</x:v>
      </x:c>
      <x:c r="F1477" s="11" t="n">
        <x:v>2</x:v>
      </x:c>
      <x:c r="G1477" s="11" t="n">
        <x:v>2</x:v>
      </x:c>
      <x:c r="H1477" s="11" t="n">
        <x:v>0</x:v>
      </x:c>
      <x:c r="I1477" s="17" t="n">
        <x:f>INDEX('Costing'!$P$9:$P$492,MATCH(D1477,'Costing'!$A$9:$A$492,0))</x:f>
        <x:v>80000</x:v>
      </x:c>
      <x:c r="J1477" s="17" t="n">
        <x:f>ROUND(I1477*'Costing'!$C$4,2)</x:f>
        <x:v>14400</x:v>
      </x:c>
      <x:c r="K1477" s="17" t="n">
        <x:f>I1477+J1477</x:f>
        <x:v>94400</x:v>
      </x:c>
    </x:row>
    <x:row r="1478" ht="46" customHeight="1">
      <x:c r="A1478" s="2" t="str">
        <x:v>Sector</x:v>
      </x:c>
      <x:c r="B1478" s="2" t="str">
        <x:v>Finance &amp; insurance</x:v>
      </x:c>
      <x:c r="C1478" s="12" t="str">
        <x:v>Chennai</x:v>
      </x:c>
      <x:c r="D1478" s="12" t="str">
        <x:v>PARTNER-M347</x:v>
      </x:c>
      <x:c r="E1478" s="12" t="str">
        <x:v>Prince Infocity 1</x:v>
      </x:c>
      <x:c r="F1478" s="11" t="n">
        <x:v>2</x:v>
      </x:c>
      <x:c r="G1478" s="11" t="n">
        <x:v>2</x:v>
      </x:c>
      <x:c r="H1478" s="11" t="n">
        <x:v>0</x:v>
      </x:c>
      <x:c r="I1478" s="17" t="n">
        <x:f>INDEX('Costing'!$P$9:$P$492,MATCH(D1478,'Costing'!$A$9:$A$492,0))</x:f>
        <x:v>80000</x:v>
      </x:c>
      <x:c r="J1478" s="17" t="n">
        <x:f>ROUND(I1478*'Costing'!$C$4,2)</x:f>
        <x:v>14400</x:v>
      </x:c>
      <x:c r="K1478" s="17" t="n">
        <x:f>I1478+J1478</x:f>
        <x:v>94400</x:v>
      </x:c>
    </x:row>
    <x:row r="1479" ht="46" customHeight="1">
      <x:c r="A1479" s="2" t="str">
        <x:v>Sector</x:v>
      </x:c>
      <x:c r="B1479" s="2" t="str">
        <x:v>Finance &amp; insurance</x:v>
      </x:c>
      <x:c r="C1479" s="12" t="str">
        <x:v>Chennai</x:v>
      </x:c>
      <x:c r="D1479" s="12" t="str">
        <x:v>PARTNER-M331</x:v>
      </x:c>
      <x:c r="E1479" s="12" t="str">
        <x:v>Prince Towers</x:v>
      </x:c>
      <x:c r="F1479" s="11" t="n">
        <x:v>1</x:v>
      </x:c>
      <x:c r="G1479" s="11" t="n">
        <x:v>1</x:v>
      </x:c>
      <x:c r="H1479" s="11" t="n">
        <x:v>0</x:v>
      </x:c>
      <x:c r="I1479" s="17" t="n">
        <x:f>INDEX('Costing'!$P$9:$P$492,MATCH(D1479,'Costing'!$A$9:$A$492,0))</x:f>
        <x:v>40000</x:v>
      </x:c>
      <x:c r="J1479" s="17" t="n">
        <x:f>ROUND(I1479*'Costing'!$C$4,2)</x:f>
        <x:v>7200</x:v>
      </x:c>
      <x:c r="K1479" s="17" t="n">
        <x:f>I1479+J1479</x:f>
        <x:v>47200</x:v>
      </x:c>
    </x:row>
    <x:row r="1480" ht="46" customHeight="1">
      <x:c r="A1480" s="2" t="str">
        <x:v>Sector</x:v>
      </x:c>
      <x:c r="B1480" s="2" t="str">
        <x:v>Finance &amp; insurance</x:v>
      </x:c>
      <x:c r="C1480" s="12" t="str">
        <x:v>Delhi NCR</x:v>
      </x:c>
      <x:c r="D1480" s="12" t="str">
        <x:v>PARTNER-M379</x:v>
      </x:c>
      <x:c r="E1480" s="12" t="str">
        <x:v>Add India Tower 6A</x:v>
      </x:c>
      <x:c r="F1480" s="11" t="n">
        <x:v>5</x:v>
      </x:c>
      <x:c r="G1480" s="11" t="n">
        <x:v>5</x:v>
      </x:c>
      <x:c r="H1480" s="11" t="n">
        <x:v>0</x:v>
      </x:c>
      <x:c r="I1480" s="17" t="n">
        <x:f>INDEX('Costing'!$P$9:$P$492,MATCH(D1480,'Costing'!$A$9:$A$492,0))</x:f>
        <x:v>200000</x:v>
      </x:c>
      <x:c r="J1480" s="17" t="n">
        <x:f>ROUND(I1480*'Costing'!$C$4,2)</x:f>
        <x:v>36000</x:v>
      </x:c>
      <x:c r="K1480" s="17" t="n">
        <x:f>I1480+J1480</x:f>
        <x:v>236000</x:v>
      </x:c>
    </x:row>
    <x:row r="1481" ht="46" customHeight="1">
      <x:c r="A1481" s="2" t="str">
        <x:v>Sector</x:v>
      </x:c>
      <x:c r="B1481" s="2" t="str">
        <x:v>Finance &amp; insurance</x:v>
      </x:c>
      <x:c r="C1481" s="12" t="str">
        <x:v>Hyderabad</x:v>
      </x:c>
      <x:c r="D1481" s="12" t="str">
        <x:v>PARTNER-M289</x:v>
      </x:c>
      <x:c r="E1481" s="12" t="str">
        <x:v>Cyber Gateway</x:v>
      </x:c>
      <x:c r="F1481" s="11" t="n">
        <x:v>6</x:v>
      </x:c>
      <x:c r="G1481" s="11" t="n">
        <x:v>6</x:v>
      </x:c>
      <x:c r="H1481" s="11" t="n">
        <x:v>0</x:v>
      </x:c>
      <x:c r="I1481" s="17" t="n">
        <x:f>INDEX('Costing'!$P$9:$P$492,MATCH(D1481,'Costing'!$A$9:$A$492,0))</x:f>
        <x:v>240000</x:v>
      </x:c>
      <x:c r="J1481" s="17" t="n">
        <x:f>ROUND(I1481*'Costing'!$C$4,2)</x:f>
        <x:v>43200</x:v>
      </x:c>
      <x:c r="K1481" s="17" t="n">
        <x:f>I1481+J1481</x:f>
        <x:v>283200</x:v>
      </x:c>
    </x:row>
    <x:row r="1482" ht="46" customHeight="1">
      <x:c r="A1482" s="2" t="str">
        <x:v>Sector</x:v>
      </x:c>
      <x:c r="B1482" s="2" t="str">
        <x:v>Finance &amp; insurance</x:v>
      </x:c>
      <x:c r="C1482" s="12" t="str">
        <x:v>Hyderabad</x:v>
      </x:c>
      <x:c r="D1482" s="12" t="str">
        <x:v>PARTNER-M283</x:v>
      </x:c>
      <x:c r="E1482" s="12" t="str">
        <x:v>iLabs Tech Park</x:v>
      </x:c>
      <x:c r="F1482" s="11" t="n">
        <x:v>6</x:v>
      </x:c>
      <x:c r="G1482" s="11" t="n">
        <x:v>6</x:v>
      </x:c>
      <x:c r="H1482" s="11" t="n">
        <x:v>0</x:v>
      </x:c>
      <x:c r="I1482" s="17" t="n">
        <x:f>INDEX('Costing'!$P$9:$P$492,MATCH(D1482,'Costing'!$A$9:$A$492,0))</x:f>
        <x:v>240000</x:v>
      </x:c>
      <x:c r="J1482" s="17" t="n">
        <x:f>ROUND(I1482*'Costing'!$C$4,2)</x:f>
        <x:v>43200</x:v>
      </x:c>
      <x:c r="K1482" s="17" t="n">
        <x:f>I1482+J1482</x:f>
        <x:v>283200</x:v>
      </x:c>
    </x:row>
    <x:row r="1483" ht="46" customHeight="1">
      <x:c r="A1483" s="2" t="str">
        <x:v>Sector</x:v>
      </x:c>
      <x:c r="B1483" s="2" t="str">
        <x:v>Finance &amp; insurance</x:v>
      </x:c>
      <x:c r="C1483" s="12" t="str">
        <x:v>Hyderabad</x:v>
      </x:c>
      <x:c r="D1483" s="12" t="str">
        <x:v>PARTNER-M317</x:v>
      </x:c>
      <x:c r="E1483" s="12" t="str">
        <x:v>Kapil Towers</x:v>
      </x:c>
      <x:c r="F1483" s="11" t="n">
        <x:v>7</x:v>
      </x:c>
      <x:c r="G1483" s="11" t="n">
        <x:v>7</x:v>
      </x:c>
      <x:c r="H1483" s="11" t="n">
        <x:v>0</x:v>
      </x:c>
      <x:c r="I1483" s="17" t="n">
        <x:f>INDEX('Costing'!$P$9:$P$492,MATCH(D1483,'Costing'!$A$9:$A$492,0))</x:f>
        <x:v>280000</x:v>
      </x:c>
      <x:c r="J1483" s="17" t="n">
        <x:f>ROUND(I1483*'Costing'!$C$4,2)</x:f>
        <x:v>50400</x:v>
      </x:c>
      <x:c r="K1483" s="17" t="n">
        <x:f>I1483+J1483</x:f>
        <x:v>330400</x:v>
      </x:c>
    </x:row>
    <x:row r="1484" ht="46" customHeight="1">
      <x:c r="A1484" s="2" t="str">
        <x:v>Sector</x:v>
      </x:c>
      <x:c r="B1484" s="2" t="str">
        <x:v>Finance &amp; insurance</x:v>
      </x:c>
      <x:c r="C1484" s="12" t="str">
        <x:v>Mumbai</x:v>
      </x:c>
      <x:c r="D1484" s="12" t="str">
        <x:v>PARTNER-M241</x:v>
      </x:c>
      <x:c r="E1484" s="12" t="str">
        <x:v>Dynasty Business Park</x:v>
      </x:c>
      <x:c r="F1484" s="11" t="n">
        <x:v>2</x:v>
      </x:c>
      <x:c r="G1484" s="11" t="n">
        <x:v>2</x:v>
      </x:c>
      <x:c r="H1484" s="11" t="n">
        <x:v>0</x:v>
      </x:c>
      <x:c r="I1484" s="17" t="n">
        <x:f>INDEX('Costing'!$P$9:$P$492,MATCH(D1484,'Costing'!$A$9:$A$492,0))</x:f>
        <x:v>80000</x:v>
      </x:c>
      <x:c r="J1484" s="17" t="n">
        <x:f>ROUND(I1484*'Costing'!$C$4,2)</x:f>
        <x:v>14400</x:v>
      </x:c>
      <x:c r="K1484" s="17" t="n">
        <x:f>I1484+J1484</x:f>
        <x:v>94400</x:v>
      </x:c>
    </x:row>
    <x:row r="1485" ht="46" customHeight="1">
      <x:c r="A1485" s="2" t="str">
        <x:v>Sector</x:v>
      </x:c>
      <x:c r="B1485" s="2" t="str">
        <x:v>Finance &amp; insurance</x:v>
      </x:c>
      <x:c r="C1485" s="12" t="str">
        <x:v>Mumbai</x:v>
      </x:c>
      <x:c r="D1485" s="12" t="str">
        <x:v>PARTNER-M185</x:v>
      </x:c>
      <x:c r="E1485" s="12" t="str">
        <x:v>G Corp Tech Park</x:v>
      </x:c>
      <x:c r="F1485" s="11" t="n">
        <x:v>3</x:v>
      </x:c>
      <x:c r="G1485" s="11" t="n">
        <x:v>3</x:v>
      </x:c>
      <x:c r="H1485" s="11" t="n">
        <x:v>0</x:v>
      </x:c>
      <x:c r="I1485" s="17" t="n">
        <x:f>INDEX('Costing'!$P$9:$P$492,MATCH(D1485,'Costing'!$A$9:$A$492,0))</x:f>
        <x:v>120000</x:v>
      </x:c>
      <x:c r="J1485" s="17" t="n">
        <x:f>ROUND(I1485*'Costing'!$C$4,2)</x:f>
        <x:v>21600</x:v>
      </x:c>
      <x:c r="K1485" s="17" t="n">
        <x:f>I1485+J1485</x:f>
        <x:v>141600</x:v>
      </x:c>
    </x:row>
    <x:row r="1486" ht="46" customHeight="1">
      <x:c r="A1486" s="2" t="str">
        <x:v>Sector</x:v>
      </x:c>
      <x:c r="B1486" s="2" t="str">
        <x:v>Finance &amp; insurance</x:v>
      </x:c>
      <x:c r="C1486" s="12" t="str">
        <x:v>Mumbai</x:v>
      </x:c>
      <x:c r="D1486" s="12" t="str">
        <x:v>PARTNER-M235</x:v>
      </x:c>
      <x:c r="E1486" s="12" t="str">
        <x:v>Kanakia 215 Atrium</x:v>
      </x:c>
      <x:c r="F1486" s="11" t="n">
        <x:v>4</x:v>
      </x:c>
      <x:c r="G1486" s="11" t="n">
        <x:v>4</x:v>
      </x:c>
      <x:c r="H1486" s="11" t="n">
        <x:v>0</x:v>
      </x:c>
      <x:c r="I1486" s="17" t="n">
        <x:f>INDEX('Costing'!$P$9:$P$492,MATCH(D1486,'Costing'!$A$9:$A$492,0))</x:f>
        <x:v>160000</x:v>
      </x:c>
      <x:c r="J1486" s="17" t="n">
        <x:f>ROUND(I1486*'Costing'!$C$4,2)</x:f>
        <x:v>28800</x:v>
      </x:c>
      <x:c r="K1486" s="17" t="n">
        <x:f>I1486+J1486</x:f>
        <x:v>188800</x:v>
      </x:c>
    </x:row>
    <x:row r="1487" ht="46" customHeight="1">
      <x:c r="A1487" s="2" t="str">
        <x:v>Sector</x:v>
      </x:c>
      <x:c r="B1487" s="2" t="str">
        <x:v>Finance &amp; insurance</x:v>
      </x:c>
      <x:c r="C1487" s="12" t="str">
        <x:v>Mumbai</x:v>
      </x:c>
      <x:c r="D1487" s="12" t="str">
        <x:v>PARTNER-M201</x:v>
      </x:c>
      <x:c r="E1487" s="12" t="str">
        <x:v>Liberty tower</x:v>
      </x:c>
      <x:c r="F1487" s="11" t="n">
        <x:v>2</x:v>
      </x:c>
      <x:c r="G1487" s="11" t="n">
        <x:v>2</x:v>
      </x:c>
      <x:c r="H1487" s="11" t="n">
        <x:v>0</x:v>
      </x:c>
      <x:c r="I1487" s="17" t="n">
        <x:f>INDEX('Costing'!$P$9:$P$492,MATCH(D1487,'Costing'!$A$9:$A$492,0))</x:f>
        <x:v>80000</x:v>
      </x:c>
      <x:c r="J1487" s="17" t="n">
        <x:f>ROUND(I1487*'Costing'!$C$4,2)</x:f>
        <x:v>14400</x:v>
      </x:c>
      <x:c r="K1487" s="17" t="n">
        <x:f>I1487+J1487</x:f>
        <x:v>94400</x:v>
      </x:c>
    </x:row>
    <x:row r="1488" ht="46" customHeight="1">
      <x:c r="A1488" s="2" t="str">
        <x:v>Sector</x:v>
      </x:c>
      <x:c r="B1488" s="2" t="str">
        <x:v>Finance &amp; insurance</x:v>
      </x:c>
      <x:c r="C1488" s="12" t="str">
        <x:v>Mumbai</x:v>
      </x:c>
      <x:c r="D1488" s="12" t="str">
        <x:v>PARTNER-M247</x:v>
      </x:c>
      <x:c r="E1488" s="12" t="str">
        <x:v>Lodha Supremus</x:v>
      </x:c>
      <x:c r="F1488" s="11" t="n">
        <x:v>4</x:v>
      </x:c>
      <x:c r="G1488" s="11" t="n">
        <x:v>4</x:v>
      </x:c>
      <x:c r="H1488" s="11" t="n">
        <x:v>0</x:v>
      </x:c>
      <x:c r="I1488" s="17" t="n">
        <x:f>INDEX('Costing'!$P$9:$P$492,MATCH(D1488,'Costing'!$A$9:$A$492,0))</x:f>
        <x:v>160000</x:v>
      </x:c>
      <x:c r="J1488" s="17" t="n">
        <x:f>ROUND(I1488*'Costing'!$C$4,2)</x:f>
        <x:v>28800</x:v>
      </x:c>
      <x:c r="K1488" s="17" t="n">
        <x:f>I1488+J1488</x:f>
        <x:v>188800</x:v>
      </x:c>
    </x:row>
    <x:row r="1489" ht="46" customHeight="1">
      <x:c r="A1489" s="2" t="str">
        <x:v>Sector</x:v>
      </x:c>
      <x:c r="B1489" s="2" t="str">
        <x:v>Finance &amp; insurance</x:v>
      </x:c>
      <x:c r="C1489" s="12" t="str">
        <x:v>Mumbai</x:v>
      </x:c>
      <x:c r="D1489" s="12" t="str">
        <x:v>PARTNER-M171</x:v>
      </x:c>
      <x:c r="E1489" s="12" t="str">
        <x:v>Parinee Crescenzo Business Park</x:v>
      </x:c>
      <x:c r="F1489" s="11" t="n">
        <x:v>4</x:v>
      </x:c>
      <x:c r="G1489" s="11" t="n">
        <x:v>4</x:v>
      </x:c>
      <x:c r="H1489" s="11" t="n">
        <x:v>0</x:v>
      </x:c>
      <x:c r="I1489" s="17" t="n">
        <x:f>INDEX('Costing'!$P$9:$P$492,MATCH(D1489,'Costing'!$A$9:$A$492,0))</x:f>
        <x:v>160000</x:v>
      </x:c>
      <x:c r="J1489" s="17" t="n">
        <x:f>ROUND(I1489*'Costing'!$C$4,2)</x:f>
        <x:v>28800</x:v>
      </x:c>
      <x:c r="K1489" s="17" t="n">
        <x:f>I1489+J1489</x:f>
        <x:v>188800</x:v>
      </x:c>
    </x:row>
    <x:row r="1490" ht="46" customHeight="1">
      <x:c r="A1490" s="2" t="str">
        <x:v>Sector</x:v>
      </x:c>
      <x:c r="B1490" s="2" t="str">
        <x:v>Finance &amp; insurance</x:v>
      </x:c>
      <x:c r="C1490" s="12" t="str">
        <x:v>Mumbai</x:v>
      </x:c>
      <x:c r="D1490" s="12" t="str">
        <x:v>PARTNER-M197</x:v>
      </x:c>
      <x:c r="E1490" s="12" t="str">
        <x:v>Reliable Tech Park</x:v>
      </x:c>
      <x:c r="F1490" s="11" t="n">
        <x:v>4</x:v>
      </x:c>
      <x:c r="G1490" s="11" t="n">
        <x:v>4</x:v>
      </x:c>
      <x:c r="H1490" s="11" t="n">
        <x:v>0</x:v>
      </x:c>
      <x:c r="I1490" s="17" t="n">
        <x:f>INDEX('Costing'!$P$9:$P$492,MATCH(D1490,'Costing'!$A$9:$A$492,0))</x:f>
        <x:v>160000</x:v>
      </x:c>
      <x:c r="J1490" s="17" t="n">
        <x:f>ROUND(I1490*'Costing'!$C$4,2)</x:f>
        <x:v>28800</x:v>
      </x:c>
      <x:c r="K1490" s="17" t="n">
        <x:f>I1490+J1490</x:f>
        <x:v>188800</x:v>
      </x:c>
    </x:row>
    <x:row r="1491" ht="46" customHeight="1">
      <x:c r="A1491" s="2" t="str">
        <x:v>Sector</x:v>
      </x:c>
      <x:c r="B1491" s="2" t="str">
        <x:v>Finance &amp; insurance</x:v>
      </x:c>
      <x:c r="C1491" s="12" t="str">
        <x:v>Mumbai</x:v>
      </x:c>
      <x:c r="D1491" s="12" t="str">
        <x:v>PARTNER-M205</x:v>
      </x:c>
      <x:c r="E1491" s="12" t="str">
        <x:v>Rupa Solitaire</x:v>
      </x:c>
      <x:c r="F1491" s="11" t="n">
        <x:v>10</x:v>
      </x:c>
      <x:c r="G1491" s="11" t="n">
        <x:v>10</x:v>
      </x:c>
      <x:c r="H1491" s="11" t="n">
        <x:v>0</x:v>
      </x:c>
      <x:c r="I1491" s="17" t="n">
        <x:f>INDEX('Costing'!$P$9:$P$492,MATCH(D1491,'Costing'!$A$9:$A$492,0))</x:f>
        <x:v>400000</x:v>
      </x:c>
      <x:c r="J1491" s="17" t="n">
        <x:f>ROUND(I1491*'Costing'!$C$4,2)</x:f>
        <x:v>72000</x:v>
      </x:c>
      <x:c r="K1491" s="17" t="n">
        <x:f>I1491+J1491</x:f>
        <x:v>472000</x:v>
      </x:c>
    </x:row>
    <x:row r="1492" ht="46" customHeight="1">
      <x:c r="A1492" s="2" t="str">
        <x:v>Sector</x:v>
      </x:c>
      <x:c r="B1492" s="2" t="str">
        <x:v>Finance &amp; insurance</x:v>
      </x:c>
      <x:c r="C1492" s="12" t="str">
        <x:v>Mumbai</x:v>
      </x:c>
      <x:c r="D1492" s="12" t="str">
        <x:v>PARTNER-M175</x:v>
      </x:c>
      <x:c r="E1492" s="12" t="str">
        <x:v>The Capital</x:v>
      </x:c>
      <x:c r="F1492" s="11" t="n">
        <x:v>3</x:v>
      </x:c>
      <x:c r="G1492" s="11" t="n">
        <x:v>3</x:v>
      </x:c>
      <x:c r="H1492" s="11" t="n">
        <x:v>0</x:v>
      </x:c>
      <x:c r="I1492" s="17" t="n">
        <x:f>INDEX('Costing'!$P$9:$P$492,MATCH(D1492,'Costing'!$A$9:$A$492,0))</x:f>
        <x:v>120000</x:v>
      </x:c>
      <x:c r="J1492" s="17" t="n">
        <x:f>ROUND(I1492*'Costing'!$C$4,2)</x:f>
        <x:v>21600</x:v>
      </x:c>
      <x:c r="K1492" s="17" t="n">
        <x:f>I1492+J1492</x:f>
        <x:v>141600</x:v>
      </x:c>
    </x:row>
    <x:row r="1493" ht="46" customHeight="1">
      <x:c r="A1493" s="2" t="str">
        <x:v>Sector</x:v>
      </x:c>
      <x:c r="B1493" s="2" t="str">
        <x:v>Finance &amp; insurance</x:v>
      </x:c>
      <x:c r="C1493" s="12" t="str">
        <x:v>Mumbai</x:v>
      </x:c>
      <x:c r="D1493" s="12" t="str">
        <x:v>PARTNER-M188</x:v>
      </x:c>
      <x:c r="E1493" s="12" t="str">
        <x:v>Urmi Estate</x:v>
      </x:c>
      <x:c r="F1493" s="11" t="n">
        <x:v>4</x:v>
      </x:c>
      <x:c r="G1493" s="11" t="n">
        <x:v>4</x:v>
      </x:c>
      <x:c r="H1493" s="11" t="n">
        <x:v>0</x:v>
      </x:c>
      <x:c r="I1493" s="17" t="n">
        <x:f>INDEX('Costing'!$P$9:$P$492,MATCH(D1493,'Costing'!$A$9:$A$492,0))</x:f>
        <x:v>160000</x:v>
      </x:c>
      <x:c r="J1493" s="17" t="n">
        <x:f>ROUND(I1493*'Costing'!$C$4,2)</x:f>
        <x:v>28800</x:v>
      </x:c>
      <x:c r="K1493" s="17" t="n">
        <x:f>I1493+J1493</x:f>
        <x:v>188800</x:v>
      </x:c>
    </x:row>
    <x:row r="1494" ht="46" customHeight="1">
      <x:c r="A1494" s="2" t="str">
        <x:v>Sector</x:v>
      </x:c>
      <x:c r="B1494" s="2" t="str">
        <x:v>Finance &amp; insurance</x:v>
      </x:c>
      <x:c r="C1494" s="12" t="str">
        <x:v>Mumbai</x:v>
      </x:c>
      <x:c r="D1494" s="12" t="str">
        <x:v>PARTNER-M227</x:v>
      </x:c>
      <x:c r="E1494" s="12" t="str">
        <x:v>Windsor House</x:v>
      </x:c>
      <x:c r="F1494" s="11" t="n">
        <x:v>6</x:v>
      </x:c>
      <x:c r="G1494" s="11" t="n">
        <x:v>6</x:v>
      </x:c>
      <x:c r="H1494" s="11" t="n">
        <x:v>0</x:v>
      </x:c>
      <x:c r="I1494" s="17" t="n">
        <x:f>INDEX('Costing'!$P$9:$P$492,MATCH(D1494,'Costing'!$A$9:$A$492,0))</x:f>
        <x:v>240000</x:v>
      </x:c>
      <x:c r="J1494" s="17" t="n">
        <x:f>ROUND(I1494*'Costing'!$C$4,2)</x:f>
        <x:v>43200</x:v>
      </x:c>
      <x:c r="K1494" s="17" t="n">
        <x:f>I1494+J1494</x:f>
        <x:v>283200</x:v>
      </x:c>
    </x:row>
    <x:row r="1495" ht="46" customHeight="1">
      <x:c r="A1495" s="2" t="str">
        <x:v>Sector</x:v>
      </x:c>
      <x:c r="B1495" s="2" t="str">
        <x:v>Finance &amp; insurance</x:v>
      </x:c>
      <x:c r="C1495" s="12" t="str">
        <x:v>Pune</x:v>
      </x:c>
      <x:c r="D1495" s="12" t="str">
        <x:v>PARTNER-M252</x:v>
      </x:c>
      <x:c r="E1495" s="12" t="str">
        <x:v>Magarpatta Cyberpark</x:v>
      </x:c>
      <x:c r="F1495" s="11" t="n">
        <x:v>9</x:v>
      </x:c>
      <x:c r="G1495" s="11" t="n">
        <x:v>9</x:v>
      </x:c>
      <x:c r="H1495" s="11" t="n">
        <x:v>0</x:v>
      </x:c>
      <x:c r="I1495" s="17" t="n">
        <x:f>INDEX('Costing'!$P$9:$P$492,MATCH(D1495,'Costing'!$A$9:$A$492,0))</x:f>
        <x:v>360000</x:v>
      </x:c>
      <x:c r="J1495" s="17" t="n">
        <x:f>ROUND(I1495*'Costing'!$C$4,2)</x:f>
        <x:v>64800</x:v>
      </x:c>
      <x:c r="K1495" s="17" t="n">
        <x:f>I1495+J1495</x:f>
        <x:v>424800</x:v>
      </x:c>
    </x:row>
    <x:row r="1496" ht="46" customHeight="1">
      <x:c r="A1496" s="2" t="str">
        <x:v>Sector</x:v>
      </x:c>
      <x:c r="B1496" s="2" t="str">
        <x:v>Finance &amp; insurance</x:v>
      </x:c>
      <x:c r="C1496" s="12" t="str">
        <x:v>Pune</x:v>
      </x:c>
      <x:c r="D1496" s="12" t="str">
        <x:v>PARTNER-M265</x:v>
      </x:c>
      <x:c r="E1496" s="12" t="str">
        <x:v>Symphony IT Park</x:v>
      </x:c>
      <x:c r="F1496" s="11" t="n">
        <x:v>3</x:v>
      </x:c>
      <x:c r="G1496" s="11" t="n">
        <x:v>3</x:v>
      </x:c>
      <x:c r="H1496" s="11" t="n">
        <x:v>0</x:v>
      </x:c>
      <x:c r="I1496" s="17" t="n">
        <x:f>INDEX('Costing'!$P$9:$P$492,MATCH(D1496,'Costing'!$A$9:$A$492,0))</x:f>
        <x:v>120000</x:v>
      </x:c>
      <x:c r="J1496" s="17" t="n">
        <x:f>ROUND(I1496*'Costing'!$C$4,2)</x:f>
        <x:v>21600</x:v>
      </x:c>
      <x:c r="K1496" s="17" t="n">
        <x:f>I1496+J1496</x:f>
        <x:v>141600</x:v>
      </x:c>
    </x:row>
    <x:row r="1497" ht="46" customHeight="1">
      <x:c r="A1497" s="2" t="str">
        <x:v>Sector</x:v>
      </x:c>
      <x:c r="B1497" s="2" t="str">
        <x:v>Government &amp; nonprofit</x:v>
      </x:c>
      <x:c r="C1497" s="12" t="str">
        <x:v>Bengaluru</x:v>
      </x:c>
      <x:c r="D1497" s="12" t="str">
        <x:v>MAIN-062</x:v>
      </x:c>
      <x:c r="E1497" s="12" t="str">
        <x:v>Nucleus - Exora Business Park</x:v>
      </x:c>
      <x:c r="F1497" s="11" t="n">
        <x:v>5</x:v>
      </x:c>
      <x:c r="G1497" s="11" t="n">
        <x:v>5</x:v>
      </x:c>
      <x:c r="H1497" s="11" t="n">
        <x:v>0</x:v>
      </x:c>
      <x:c r="I1497" s="17" t="n">
        <x:f>INDEX('Costing'!$P$9:$P$492,MATCH(D1497,'Costing'!$A$9:$A$492,0))</x:f>
        <x:v>200000</x:v>
      </x:c>
      <x:c r="J1497" s="17" t="n">
        <x:f>ROUND(I1497*'Costing'!$C$4,2)</x:f>
        <x:v>36000</x:v>
      </x:c>
      <x:c r="K1497" s="17" t="n">
        <x:f>I1497+J1497</x:f>
        <x:v>236000</x:v>
      </x:c>
    </x:row>
    <x:row r="1498" ht="46" customHeight="1">
      <x:c r="A1498" s="2" t="str">
        <x:v>Sector</x:v>
      </x:c>
      <x:c r="B1498" s="2" t="str">
        <x:v>Government &amp; nonprofit</x:v>
      </x:c>
      <x:c r="C1498" s="12" t="str">
        <x:v>Bengaluru</x:v>
      </x:c>
      <x:c r="D1498" s="12" t="str">
        <x:v>MAIN-072</x:v>
      </x:c>
      <x:c r="E1498" s="12" t="str">
        <x:v>Prestige Etamin (Redbrick Offices)</x:v>
      </x:c>
      <x:c r="F1498" s="11" t="n">
        <x:v>1</x:v>
      </x:c>
      <x:c r="G1498" s="11" t="n">
        <x:v>1</x:v>
      </x:c>
      <x:c r="H1498" s="11" t="n">
        <x:v>0</x:v>
      </x:c>
      <x:c r="I1498" s="17" t="n">
        <x:f>INDEX('Costing'!$P$9:$P$492,MATCH(D1498,'Costing'!$A$9:$A$492,0))</x:f>
        <x:v>15000</x:v>
      </x:c>
      <x:c r="J1498" s="17" t="n">
        <x:f>ROUND(I1498*'Costing'!$C$4,2)</x:f>
        <x:v>2700</x:v>
      </x:c>
      <x:c r="K1498" s="17" t="n">
        <x:f>I1498+J1498</x:f>
        <x:v>17700</x:v>
      </x:c>
    </x:row>
    <x:row r="1499" ht="46" customHeight="1">
      <x:c r="A1499" s="2" t="str">
        <x:v>Sector</x:v>
      </x:c>
      <x:c r="B1499" s="2" t="str">
        <x:v>Government &amp; nonprofit</x:v>
      </x:c>
      <x:c r="C1499" s="12" t="str">
        <x:v>Bengaluru</x:v>
      </x:c>
      <x:c r="D1499" s="12" t="str">
        <x:v>MAIN-073</x:v>
      </x:c>
      <x:c r="E1499" s="12" t="str">
        <x:v>Prestige Obelisk</x:v>
      </x:c>
      <x:c r="F1499" s="11" t="n">
        <x:v>1</x:v>
      </x:c>
      <x:c r="G1499" s="11" t="n">
        <x:v>1</x:v>
      </x:c>
      <x:c r="H1499" s="11" t="n">
        <x:v>0</x:v>
      </x:c>
      <x:c r="I1499" s="17" t="n">
        <x:f>INDEX('Costing'!$P$9:$P$492,MATCH(D1499,'Costing'!$A$9:$A$492,0))</x:f>
        <x:v>40000</x:v>
      </x:c>
      <x:c r="J1499" s="17" t="n">
        <x:f>ROUND(I1499*'Costing'!$C$4,2)</x:f>
        <x:v>7200</x:v>
      </x:c>
      <x:c r="K1499" s="17" t="n">
        <x:f>I1499+J1499</x:f>
        <x:v>47200</x:v>
      </x:c>
    </x:row>
    <x:row r="1500" ht="46" customHeight="1">
      <x:c r="A1500" s="2" t="str">
        <x:v>Sector</x:v>
      </x:c>
      <x:c r="B1500" s="2" t="str">
        <x:v>Government &amp; nonprofit</x:v>
      </x:c>
      <x:c r="C1500" s="12" t="str">
        <x:v>Bengaluru</x:v>
      </x:c>
      <x:c r="D1500" s="12" t="str">
        <x:v>MAIN-077</x:v>
      </x:c>
      <x:c r="E1500" s="12" t="str">
        <x:v>Raheja Towers</x:v>
      </x:c>
      <x:c r="F1500" s="11" t="n">
        <x:v>11</x:v>
      </x:c>
      <x:c r="G1500" s="11" t="n">
        <x:v>11</x:v>
      </x:c>
      <x:c r="H1500" s="11" t="n">
        <x:v>0</x:v>
      </x:c>
      <x:c r="I1500" s="17" t="n">
        <x:f>INDEX('Costing'!$P$9:$P$492,MATCH(D1500,'Costing'!$A$9:$A$492,0))</x:f>
        <x:v>165000</x:v>
      </x:c>
      <x:c r="J1500" s="17" t="n">
        <x:f>ROUND(I1500*'Costing'!$C$4,2)</x:f>
        <x:v>29700</x:v>
      </x:c>
      <x:c r="K1500" s="17" t="n">
        <x:f>I1500+J1500</x:f>
        <x:v>194700</x:v>
      </x:c>
    </x:row>
    <x:row r="1501" ht="46" customHeight="1">
      <x:c r="A1501" s="2" t="str">
        <x:v>Sector</x:v>
      </x:c>
      <x:c r="B1501" s="2" t="str">
        <x:v>Government &amp; nonprofit</x:v>
      </x:c>
      <x:c r="C1501" s="12" t="str">
        <x:v>Bengaluru</x:v>
      </x:c>
      <x:c r="D1501" s="12" t="str">
        <x:v>MAIN-114</x:v>
      </x:c>
      <x:c r="E1501" s="12" t="str">
        <x:v>Wework - Embassy One</x:v>
      </x:c>
      <x:c r="F1501" s="11" t="n">
        <x:v>2</x:v>
      </x:c>
      <x:c r="G1501" s="11" t="n">
        <x:v>2</x:v>
      </x:c>
      <x:c r="H1501" s="11" t="n">
        <x:v>0</x:v>
      </x:c>
      <x:c r="I1501" s="17" t="n">
        <x:f>INDEX('Costing'!$P$9:$P$492,MATCH(D1501,'Costing'!$A$9:$A$492,0))</x:f>
        <x:v>50000</x:v>
      </x:c>
      <x:c r="J1501" s="17" t="n">
        <x:f>ROUND(I1501*'Costing'!$C$4,2)</x:f>
        <x:v>9000</x:v>
      </x:c>
      <x:c r="K1501" s="17" t="n">
        <x:f>I1501+J1501</x:f>
        <x:v>59000</x:v>
      </x:c>
    </x:row>
    <x:row r="1502" ht="46" customHeight="1">
      <x:c r="A1502" s="2" t="str">
        <x:v>Sector</x:v>
      </x:c>
      <x:c r="B1502" s="2" t="str">
        <x:v>Government &amp; nonprofit</x:v>
      </x:c>
      <x:c r="C1502" s="12" t="str">
        <x:v>Hyderabad</x:v>
      </x:c>
      <x:c r="D1502" s="12" t="str">
        <x:v>MAIN-227</x:v>
      </x:c>
      <x:c r="E1502" s="12" t="str">
        <x:v>Draper</x:v>
      </x:c>
      <x:c r="F1502" s="11" t="n">
        <x:v>3</x:v>
      </x:c>
      <x:c r="G1502" s="11" t="n">
        <x:v>3</x:v>
      </x:c>
      <x:c r="H1502" s="11" t="n">
        <x:v>0</x:v>
      </x:c>
      <x:c r="I1502" s="17" t="n">
        <x:f>INDEX('Costing'!$P$9:$P$492,MATCH(D1502,'Costing'!$A$9:$A$492,0))</x:f>
        <x:v>45000</x:v>
      </x:c>
      <x:c r="J1502" s="17" t="n">
        <x:f>ROUND(I1502*'Costing'!$C$4,2)</x:f>
        <x:v>8100</x:v>
      </x:c>
      <x:c r="K1502" s="17" t="n">
        <x:f>I1502+J1502</x:f>
        <x:v>53100</x:v>
      </x:c>
    </x:row>
    <x:row r="1503" ht="46" customHeight="1">
      <x:c r="A1503" s="2" t="str">
        <x:v>Sector</x:v>
      </x:c>
      <x:c r="B1503" s="2" t="str">
        <x:v>Government &amp; nonprofit</x:v>
      </x:c>
      <x:c r="C1503" s="12" t="str">
        <x:v>Indore</x:v>
      </x:c>
      <x:c r="D1503" s="12" t="str">
        <x:v>MAIN-267</x:v>
      </x:c>
      <x:c r="E1503" s="12" t="str">
        <x:v>Apollo Gold Plaza</x:v>
      </x:c>
      <x:c r="F1503" s="11" t="n">
        <x:v>2</x:v>
      </x:c>
      <x:c r="G1503" s="11" t="n">
        <x:v>2</x:v>
      </x:c>
      <x:c r="H1503" s="11" t="n">
        <x:v>0</x:v>
      </x:c>
      <x:c r="I1503" s="17" t="n">
        <x:f>INDEX('Costing'!$P$9:$P$492,MATCH(D1503,'Costing'!$A$9:$A$492,0))</x:f>
        <x:v>40000</x:v>
      </x:c>
      <x:c r="J1503" s="17" t="n">
        <x:f>ROUND(I1503*'Costing'!$C$4,2)</x:f>
        <x:v>7200</x:v>
      </x:c>
      <x:c r="K1503" s="17" t="n">
        <x:f>I1503+J1503</x:f>
        <x:v>47200</x:v>
      </x:c>
    </x:row>
    <x:row r="1504" ht="46" customHeight="1">
      <x:c r="A1504" s="2" t="str">
        <x:v>Sector</x:v>
      </x:c>
      <x:c r="B1504" s="2" t="str">
        <x:v>Government &amp; nonprofit</x:v>
      </x:c>
      <x:c r="C1504" s="12" t="str">
        <x:v>Mumbai</x:v>
      </x:c>
      <x:c r="D1504" s="12" t="str">
        <x:v>MAIN-325</x:v>
      </x:c>
      <x:c r="E1504" s="12" t="str">
        <x:v>Nucleus - One BKC</x:v>
      </x:c>
      <x:c r="F1504" s="11" t="n">
        <x:v>2</x:v>
      </x:c>
      <x:c r="G1504" s="11" t="n">
        <x:v>2</x:v>
      </x:c>
      <x:c r="H1504" s="11" t="n">
        <x:v>0</x:v>
      </x:c>
      <x:c r="I1504" s="17" t="n">
        <x:f>INDEX('Costing'!$P$9:$P$492,MATCH(D1504,'Costing'!$A$9:$A$492,0))</x:f>
        <x:v>80000</x:v>
      </x:c>
      <x:c r="J1504" s="17" t="n">
        <x:f>ROUND(I1504*'Costing'!$C$4,2)</x:f>
        <x:v>14400</x:v>
      </x:c>
      <x:c r="K1504" s="17" t="n">
        <x:f>I1504+J1504</x:f>
        <x:v>94400</x:v>
      </x:c>
    </x:row>
    <x:row r="1505" ht="46" customHeight="1">
      <x:c r="A1505" s="2" t="str">
        <x:v>Sector</x:v>
      </x:c>
      <x:c r="B1505" s="2" t="str">
        <x:v>Government &amp; nonprofit</x:v>
      </x:c>
      <x:c r="C1505" s="12" t="str">
        <x:v>Mumbai</x:v>
      </x:c>
      <x:c r="D1505" s="12" t="str">
        <x:v>MAIN-326</x:v>
      </x:c>
      <x:c r="E1505" s="12" t="str">
        <x:v>Nucleus - One International Center</x:v>
      </x:c>
      <x:c r="F1505" s="11" t="n">
        <x:v>9</x:v>
      </x:c>
      <x:c r="G1505" s="11" t="n">
        <x:v>9</x:v>
      </x:c>
      <x:c r="H1505" s="11" t="n">
        <x:v>0</x:v>
      </x:c>
      <x:c r="I1505" s="17" t="n">
        <x:f>INDEX('Costing'!$P$9:$P$492,MATCH(D1505,'Costing'!$A$9:$A$492,0))</x:f>
        <x:v>360000</x:v>
      </x:c>
      <x:c r="J1505" s="17" t="n">
        <x:f>ROUND(I1505*'Costing'!$C$4,2)</x:f>
        <x:v>64800</x:v>
      </x:c>
      <x:c r="K1505" s="17" t="n">
        <x:f>I1505+J1505</x:f>
        <x:v>424800</x:v>
      </x:c>
    </x:row>
    <x:row r="1506" ht="46" customHeight="1">
      <x:c r="A1506" s="2" t="str">
        <x:v>Sector</x:v>
      </x:c>
      <x:c r="B1506" s="2" t="str">
        <x:v>Government &amp; nonprofit</x:v>
      </x:c>
      <x:c r="C1506" s="12" t="str">
        <x:v>Mumbai</x:v>
      </x:c>
      <x:c r="D1506" s="12" t="str">
        <x:v>MAIN-331</x:v>
      </x:c>
      <x:c r="E1506" s="12" t="str">
        <x:v>One World Centre (Redbrick Offices)</x:v>
      </x:c>
      <x:c r="F1506" s="11" t="n">
        <x:v>1</x:v>
      </x:c>
      <x:c r="G1506" s="11" t="n">
        <x:v>1</x:v>
      </x:c>
      <x:c r="H1506" s="11" t="n">
        <x:v>0</x:v>
      </x:c>
      <x:c r="I1506" s="17" t="n">
        <x:f>INDEX('Costing'!$P$9:$P$492,MATCH(D1506,'Costing'!$A$9:$A$492,0))</x:f>
        <x:v>15000</x:v>
      </x:c>
      <x:c r="J1506" s="17" t="n">
        <x:f>ROUND(I1506*'Costing'!$C$4,2)</x:f>
        <x:v>2700</x:v>
      </x:c>
      <x:c r="K1506" s="17" t="n">
        <x:f>I1506+J1506</x:f>
        <x:v>17700</x:v>
      </x:c>
    </x:row>
    <x:row r="1507" ht="46" customHeight="1">
      <x:c r="A1507" s="2" t="str">
        <x:v>Sector</x:v>
      </x:c>
      <x:c r="B1507" s="2" t="str">
        <x:v>Government &amp; nonprofit</x:v>
      </x:c>
      <x:c r="C1507" s="12" t="str">
        <x:v>Mumbai</x:v>
      </x:c>
      <x:c r="D1507" s="12" t="str">
        <x:v>MAIN-333</x:v>
      </x:c>
      <x:c r="E1507" s="12" t="str">
        <x:v>Oyo Workspace - Time Square</x:v>
      </x:c>
      <x:c r="F1507" s="11" t="n">
        <x:v>1</x:v>
      </x:c>
      <x:c r="G1507" s="11" t="n">
        <x:v>1</x:v>
      </x:c>
      <x:c r="H1507" s="11" t="n">
        <x:v>0</x:v>
      </x:c>
      <x:c r="I1507" s="17" t="n">
        <x:f>INDEX('Costing'!$P$9:$P$492,MATCH(D1507,'Costing'!$A$9:$A$492,0))</x:f>
        <x:v>15000</x:v>
      </x:c>
      <x:c r="J1507" s="17" t="n">
        <x:f>ROUND(I1507*'Costing'!$C$4,2)</x:f>
        <x:v>2700</x:v>
      </x:c>
      <x:c r="K1507" s="17" t="n">
        <x:f>I1507+J1507</x:f>
        <x:v>17700</x:v>
      </x:c>
    </x:row>
    <x:row r="1508" ht="46" customHeight="1">
      <x:c r="A1508" s="2" t="str">
        <x:v>Sector</x:v>
      </x:c>
      <x:c r="B1508" s="2" t="str">
        <x:v>Government &amp; nonprofit</x:v>
      </x:c>
      <x:c r="C1508" s="12" t="str">
        <x:v>Mumbai</x:v>
      </x:c>
      <x:c r="D1508" s="12" t="str">
        <x:v>MAIN-354</x:v>
      </x:c>
      <x:c r="E1508" s="12" t="str">
        <x:v>Wework - Express Tower</x:v>
      </x:c>
      <x:c r="F1508" s="11" t="n">
        <x:v>1</x:v>
      </x:c>
      <x:c r="G1508" s="11" t="n">
        <x:v>1</x:v>
      </x:c>
      <x:c r="H1508" s="11" t="n">
        <x:v>0</x:v>
      </x:c>
      <x:c r="I1508" s="17" t="n">
        <x:f>INDEX('Costing'!$P$9:$P$492,MATCH(D1508,'Costing'!$A$9:$A$492,0))</x:f>
        <x:v>25000</x:v>
      </x:c>
      <x:c r="J1508" s="17" t="n">
        <x:f>ROUND(I1508*'Costing'!$C$4,2)</x:f>
        <x:v>4500</x:v>
      </x:c>
      <x:c r="K1508" s="17" t="n">
        <x:f>I1508+J1508</x:f>
        <x:v>29500</x:v>
      </x:c>
    </x:row>
    <x:row r="1509" ht="46" customHeight="1">
      <x:c r="A1509" s="2" t="str">
        <x:v>Sector</x:v>
      </x:c>
      <x:c r="B1509" s="2" t="str">
        <x:v>Government &amp; nonprofit</x:v>
      </x:c>
      <x:c r="C1509" s="12" t="str">
        <x:v>Pune</x:v>
      </x:c>
      <x:c r="D1509" s="12" t="str">
        <x:v>MAIN-407</x:v>
      </x:c>
      <x:c r="E1509" s="12" t="str">
        <x:v>Oyo Workspace - Innov8 Suman Business Park</x:v>
      </x:c>
      <x:c r="F1509" s="11" t="n">
        <x:v>2</x:v>
      </x:c>
      <x:c r="G1509" s="11" t="n">
        <x:v>2</x:v>
      </x:c>
      <x:c r="H1509" s="11" t="n">
        <x:v>0</x:v>
      </x:c>
      <x:c r="I1509" s="17" t="n">
        <x:f>INDEX('Costing'!$P$9:$P$492,MATCH(D1509,'Costing'!$A$9:$A$492,0))</x:f>
        <x:v>30000</x:v>
      </x:c>
      <x:c r="J1509" s="17" t="n">
        <x:f>ROUND(I1509*'Costing'!$C$4,2)</x:f>
        <x:v>5400</x:v>
      </x:c>
      <x:c r="K1509" s="17" t="n">
        <x:f>I1509+J1509</x:f>
        <x:v>35400</x:v>
      </x:c>
    </x:row>
    <x:row r="1510" ht="46" customHeight="1">
      <x:c r="A1510" s="2" t="str">
        <x:v>Sector</x:v>
      </x:c>
      <x:c r="B1510" s="2" t="str">
        <x:v>Government &amp; nonprofit</x:v>
      </x:c>
      <x:c r="C1510" s="12" t="str">
        <x:v>Bengaluru</x:v>
      </x:c>
      <x:c r="D1510" s="12" t="str">
        <x:v>PARTNER-M100</x:v>
      </x:c>
      <x:c r="E1510" s="12" t="str">
        <x:v>Prestige Obelisk + Prestige Atrium + Prestige Sapphire + Prestige Al Kareem + Prestige Delta</x:v>
      </x:c>
      <x:c r="F1510" s="11" t="n">
        <x:v>8</x:v>
      </x:c>
      <x:c r="G1510" s="11" t="n">
        <x:v>8</x:v>
      </x:c>
      <x:c r="H1510" s="11" t="n">
        <x:v>0</x:v>
      </x:c>
      <x:c r="I1510" s="17" t="n">
        <x:f>INDEX('Costing'!$P$9:$P$492,MATCH(D1510,'Costing'!$A$9:$A$492,0))</x:f>
        <x:v>320000</x:v>
      </x:c>
      <x:c r="J1510" s="17" t="n">
        <x:f>ROUND(I1510*'Costing'!$C$4,2)</x:f>
        <x:v>57600</x:v>
      </x:c>
      <x:c r="K1510" s="17" t="n">
        <x:f>I1510+J1510</x:f>
        <x:v>377600</x:v>
      </x:c>
    </x:row>
    <x:row r="1511" ht="46" customHeight="1">
      <x:c r="A1511" s="2" t="str">
        <x:v>Sector</x:v>
      </x:c>
      <x:c r="B1511" s="2" t="str">
        <x:v>Government &amp; nonprofit</x:v>
      </x:c>
      <x:c r="C1511" s="12" t="str">
        <x:v>Chennai</x:v>
      </x:c>
      <x:c r="D1511" s="12" t="str">
        <x:v>PARTNER-M332</x:v>
      </x:c>
      <x:c r="E1511" s="12" t="str">
        <x:v>Prestige Polygon</x:v>
      </x:c>
      <x:c r="F1511" s="11" t="n">
        <x:v>2</x:v>
      </x:c>
      <x:c r="G1511" s="11" t="n">
        <x:v>2</x:v>
      </x:c>
      <x:c r="H1511" s="11" t="n">
        <x:v>0</x:v>
      </x:c>
      <x:c r="I1511" s="17" t="n">
        <x:f>INDEX('Costing'!$P$9:$P$492,MATCH(D1511,'Costing'!$A$9:$A$492,0))</x:f>
        <x:v>80000</x:v>
      </x:c>
      <x:c r="J1511" s="17" t="n">
        <x:f>ROUND(I1511*'Costing'!$C$4,2)</x:f>
        <x:v>14400</x:v>
      </x:c>
      <x:c r="K1511" s="17" t="n">
        <x:f>I1511+J1511</x:f>
        <x:v>94400</x:v>
      </x:c>
    </x:row>
    <x:row r="1512" ht="46" customHeight="1">
      <x:c r="A1512" s="2" t="str">
        <x:v>Sector</x:v>
      </x:c>
      <x:c r="B1512" s="2" t="str">
        <x:v>Government &amp; nonprofit</x:v>
      </x:c>
      <x:c r="C1512" s="12" t="str">
        <x:v>Mumbai</x:v>
      </x:c>
      <x:c r="D1512" s="12" t="str">
        <x:v>PARTNER-M235</x:v>
      </x:c>
      <x:c r="E1512" s="12" t="str">
        <x:v>Kanakia 215 Atrium</x:v>
      </x:c>
      <x:c r="F1512" s="11" t="n">
        <x:v>4</x:v>
      </x:c>
      <x:c r="G1512" s="11" t="n">
        <x:v>4</x:v>
      </x:c>
      <x:c r="H1512" s="11" t="n">
        <x:v>0</x:v>
      </x:c>
      <x:c r="I1512" s="17" t="n">
        <x:f>INDEX('Costing'!$P$9:$P$492,MATCH(D1512,'Costing'!$A$9:$A$492,0))</x:f>
        <x:v>160000</x:v>
      </x:c>
      <x:c r="J1512" s="17" t="n">
        <x:f>ROUND(I1512*'Costing'!$C$4,2)</x:f>
        <x:v>28800</x:v>
      </x:c>
      <x:c r="K1512" s="17" t="n">
        <x:f>I1512+J1512</x:f>
        <x:v>188800</x:v>
      </x:c>
    </x:row>
    <x:row r="1513" ht="46" customHeight="1">
      <x:c r="A1513" s="2" t="str">
        <x:v>Sector</x:v>
      </x:c>
      <x:c r="B1513" s="2" t="str">
        <x:v>Government &amp; nonprofit</x:v>
      </x:c>
      <x:c r="C1513" s="12" t="str">
        <x:v>Mumbai</x:v>
      </x:c>
      <x:c r="D1513" s="12" t="str">
        <x:v>PARTNER-M179</x:v>
      </x:c>
      <x:c r="E1513" s="12" t="str">
        <x:v>Kanakia Boomerang</x:v>
      </x:c>
      <x:c r="F1513" s="11" t="n">
        <x:v>6</x:v>
      </x:c>
      <x:c r="G1513" s="11" t="n">
        <x:v>6</x:v>
      </x:c>
      <x:c r="H1513" s="11" t="n">
        <x:v>0</x:v>
      </x:c>
      <x:c r="I1513" s="17" t="n">
        <x:f>INDEX('Costing'!$P$9:$P$492,MATCH(D1513,'Costing'!$A$9:$A$492,0))</x:f>
        <x:v>240000</x:v>
      </x:c>
      <x:c r="J1513" s="17" t="n">
        <x:f>ROUND(I1513*'Costing'!$C$4,2)</x:f>
        <x:v>43200</x:v>
      </x:c>
      <x:c r="K1513" s="17" t="n">
        <x:f>I1513+J1513</x:f>
        <x:v>283200</x:v>
      </x:c>
    </x:row>
    <x:row r="1514" ht="46" customHeight="1">
      <x:c r="A1514" s="2" t="str">
        <x:v>Sector</x:v>
      </x:c>
      <x:c r="B1514" s="2" t="str">
        <x:v>Government &amp; nonprofit</x:v>
      </x:c>
      <x:c r="C1514" s="12" t="str">
        <x:v>Mumbai</x:v>
      </x:c>
      <x:c r="D1514" s="12" t="str">
        <x:v>PARTNER-M243</x:v>
      </x:c>
      <x:c r="E1514" s="12" t="str">
        <x:v>Kohinoor City</x:v>
      </x:c>
      <x:c r="F1514" s="11" t="n">
        <x:v>2</x:v>
      </x:c>
      <x:c r="G1514" s="11" t="n">
        <x:v>2</x:v>
      </x:c>
      <x:c r="H1514" s="11" t="n">
        <x:v>0</x:v>
      </x:c>
      <x:c r="I1514" s="17" t="n">
        <x:f>INDEX('Costing'!$P$9:$P$492,MATCH(D1514,'Costing'!$A$9:$A$492,0))</x:f>
        <x:v>80000</x:v>
      </x:c>
      <x:c r="J1514" s="17" t="n">
        <x:f>ROUND(I1514*'Costing'!$C$4,2)</x:f>
        <x:v>14400</x:v>
      </x:c>
      <x:c r="K1514" s="17" t="n">
        <x:f>I1514+J1514</x:f>
        <x:v>94400</x:v>
      </x:c>
    </x:row>
    <x:row r="1515" ht="46" customHeight="1">
      <x:c r="A1515" s="2" t="str">
        <x:v>Sector</x:v>
      </x:c>
      <x:c r="B1515" s="2" t="str">
        <x:v>Government &amp; nonprofit</x:v>
      </x:c>
      <x:c r="C1515" s="12" t="str">
        <x:v>Mumbai</x:v>
      </x:c>
      <x:c r="D1515" s="12" t="str">
        <x:v>PARTNER-M201</x:v>
      </x:c>
      <x:c r="E1515" s="12" t="str">
        <x:v>Liberty tower</x:v>
      </x:c>
      <x:c r="F1515" s="11" t="n">
        <x:v>2</x:v>
      </x:c>
      <x:c r="G1515" s="11" t="n">
        <x:v>2</x:v>
      </x:c>
      <x:c r="H1515" s="11" t="n">
        <x:v>0</x:v>
      </x:c>
      <x:c r="I1515" s="17" t="n">
        <x:f>INDEX('Costing'!$P$9:$P$492,MATCH(D1515,'Costing'!$A$9:$A$492,0))</x:f>
        <x:v>80000</x:v>
      </x:c>
      <x:c r="J1515" s="17" t="n">
        <x:f>ROUND(I1515*'Costing'!$C$4,2)</x:f>
        <x:v>14400</x:v>
      </x:c>
      <x:c r="K1515" s="17" t="n">
        <x:f>I1515+J1515</x:f>
        <x:v>94400</x:v>
      </x:c>
    </x:row>
    <x:row r="1516" ht="46" customHeight="1">
      <x:c r="A1516" s="2" t="str">
        <x:v>Sector</x:v>
      </x:c>
      <x:c r="B1516" s="2" t="str">
        <x:v>Government &amp; nonprofit</x:v>
      </x:c>
      <x:c r="C1516" s="12" t="str">
        <x:v>Mumbai</x:v>
      </x:c>
      <x:c r="D1516" s="12" t="str">
        <x:v>PARTNER-M175</x:v>
      </x:c>
      <x:c r="E1516" s="12" t="str">
        <x:v>The Capital</x:v>
      </x:c>
      <x:c r="F1516" s="11" t="n">
        <x:v>3</x:v>
      </x:c>
      <x:c r="G1516" s="11" t="n">
        <x:v>3</x:v>
      </x:c>
      <x:c r="H1516" s="11" t="n">
        <x:v>0</x:v>
      </x:c>
      <x:c r="I1516" s="17" t="n">
        <x:f>INDEX('Costing'!$P$9:$P$492,MATCH(D1516,'Costing'!$A$9:$A$492,0))</x:f>
        <x:v>120000</x:v>
      </x:c>
      <x:c r="J1516" s="17" t="n">
        <x:f>ROUND(I1516*'Costing'!$C$4,2)</x:f>
        <x:v>21600</x:v>
      </x:c>
      <x:c r="K1516" s="17" t="n">
        <x:f>I1516+J1516</x:f>
        <x:v>141600</x:v>
      </x:c>
    </x:row>
    <x:row r="1517" ht="46" customHeight="1">
      <x:c r="A1517" s="2" t="str">
        <x:v>Sector</x:v>
      </x:c>
      <x:c r="B1517" s="2" t="str">
        <x:v>Government &amp; nonprofit</x:v>
      </x:c>
      <x:c r="C1517" s="12" t="str">
        <x:v>Mumbai</x:v>
      </x:c>
      <x:c r="D1517" s="12" t="str">
        <x:v>PARTNER-M188</x:v>
      </x:c>
      <x:c r="E1517" s="12" t="str">
        <x:v>Urmi Estate</x:v>
      </x:c>
      <x:c r="F1517" s="11" t="n">
        <x:v>4</x:v>
      </x:c>
      <x:c r="G1517" s="11" t="n">
        <x:v>4</x:v>
      </x:c>
      <x:c r="H1517" s="11" t="n">
        <x:v>0</x:v>
      </x:c>
      <x:c r="I1517" s="17" t="n">
        <x:f>INDEX('Costing'!$P$9:$P$492,MATCH(D1517,'Costing'!$A$9:$A$492,0))</x:f>
        <x:v>160000</x:v>
      </x:c>
      <x:c r="J1517" s="17" t="n">
        <x:f>ROUND(I1517*'Costing'!$C$4,2)</x:f>
        <x:v>28800</x:v>
      </x:c>
      <x:c r="K1517" s="17" t="n">
        <x:f>I1517+J1517</x:f>
        <x:v>188800</x:v>
      </x:c>
    </x:row>
    <x:row r="1518" ht="46" customHeight="1">
      <x:c r="A1518" s="2" t="str">
        <x:v>Sector</x:v>
      </x:c>
      <x:c r="B1518" s="2" t="str">
        <x:v>Healthcare &amp; life sciences</x:v>
      </x:c>
      <x:c r="C1518" s="12" t="str">
        <x:v>Bengaluru</x:v>
      </x:c>
      <x:c r="D1518" s="12" t="str">
        <x:v>MAIN-015</x:v>
      </x:c>
      <x:c r="E1518" s="12" t="str">
        <x:v>Awfis - Prestige Blue Chip</x:v>
      </x:c>
      <x:c r="F1518" s="11" t="n">
        <x:v>1</x:v>
      </x:c>
      <x:c r="G1518" s="11" t="n">
        <x:v>1</x:v>
      </x:c>
      <x:c r="H1518" s="11" t="n">
        <x:v>0</x:v>
      </x:c>
      <x:c r="I1518" s="17" t="n">
        <x:f>INDEX('Costing'!$P$9:$P$492,MATCH(D1518,'Costing'!$A$9:$A$492,0))</x:f>
        <x:v>15000</x:v>
      </x:c>
      <x:c r="J1518" s="17" t="n">
        <x:f>ROUND(I1518*'Costing'!$C$4,2)</x:f>
        <x:v>2700</x:v>
      </x:c>
      <x:c r="K1518" s="17" t="n">
        <x:f>I1518+J1518</x:f>
        <x:v>17700</x:v>
      </x:c>
    </x:row>
    <x:row r="1519" ht="46" customHeight="1">
      <x:c r="A1519" s="2" t="str">
        <x:v>Sector</x:v>
      </x:c>
      <x:c r="B1519" s="2" t="str">
        <x:v>Healthcare &amp; life sciences</x:v>
      </x:c>
      <x:c r="C1519" s="12" t="str">
        <x:v>Bengaluru</x:v>
      </x:c>
      <x:c r="D1519" s="12" t="str">
        <x:v>MAIN-017</x:v>
      </x:c>
      <x:c r="E1519" s="12" t="str">
        <x:v>Awfis - Prestige Shantiniketan</x:v>
      </x:c>
      <x:c r="F1519" s="11" t="n">
        <x:v>2</x:v>
      </x:c>
      <x:c r="G1519" s="11" t="n">
        <x:v>2</x:v>
      </x:c>
      <x:c r="H1519" s="11" t="n">
        <x:v>0</x:v>
      </x:c>
      <x:c r="I1519" s="17" t="n">
        <x:f>INDEX('Costing'!$P$9:$P$492,MATCH(D1519,'Costing'!$A$9:$A$492,0))</x:f>
        <x:v>30000</x:v>
      </x:c>
      <x:c r="J1519" s="17" t="n">
        <x:f>ROUND(I1519*'Costing'!$C$4,2)</x:f>
        <x:v>5400</x:v>
      </x:c>
      <x:c r="K1519" s="17" t="n">
        <x:f>I1519+J1519</x:f>
        <x:v>35400</x:v>
      </x:c>
    </x:row>
    <x:row r="1520" ht="46" customHeight="1">
      <x:c r="A1520" s="2" t="str">
        <x:v>Sector</x:v>
      </x:c>
      <x:c r="B1520" s="2" t="str">
        <x:v>Healthcare &amp; life sciences</x:v>
      </x:c>
      <x:c r="C1520" s="12" t="str">
        <x:v>Bengaluru</x:v>
      </x:c>
      <x:c r="D1520" s="12" t="str">
        <x:v>MAIN-050</x:v>
      </x:c>
      <x:c r="E1520" s="12" t="str">
        <x:v>Golden Square</x:v>
      </x:c>
      <x:c r="F1520" s="11" t="n">
        <x:v>1</x:v>
      </x:c>
      <x:c r="G1520" s="11" t="n">
        <x:v>1</x:v>
      </x:c>
      <x:c r="H1520" s="11" t="n">
        <x:v>0</x:v>
      </x:c>
      <x:c r="I1520" s="17" t="n">
        <x:f>INDEX('Costing'!$P$9:$P$492,MATCH(D1520,'Costing'!$A$9:$A$492,0))</x:f>
        <x:v>15000</x:v>
      </x:c>
      <x:c r="J1520" s="17" t="n">
        <x:f>ROUND(I1520*'Costing'!$C$4,2)</x:f>
        <x:v>2700</x:v>
      </x:c>
      <x:c r="K1520" s="17" t="n">
        <x:f>I1520+J1520</x:f>
        <x:v>17700</x:v>
      </x:c>
    </x:row>
    <x:row r="1521" ht="46" customHeight="1">
      <x:c r="A1521" s="2" t="str">
        <x:v>Sector</x:v>
      </x:c>
      <x:c r="B1521" s="2" t="str">
        <x:v>Healthcare &amp; life sciences</x:v>
      </x:c>
      <x:c r="C1521" s="12" t="str">
        <x:v>Bengaluru</x:v>
      </x:c>
      <x:c r="D1521" s="12" t="str">
        <x:v>MAIN-059</x:v>
      </x:c>
      <x:c r="E1521" s="12" t="str">
        <x:v>Novel Tech Park</x:v>
      </x:c>
      <x:c r="F1521" s="11" t="n">
        <x:v>8</x:v>
      </x:c>
      <x:c r="G1521" s="11" t="n">
        <x:v>8</x:v>
      </x:c>
      <x:c r="H1521" s="11" t="n">
        <x:v>0</x:v>
      </x:c>
      <x:c r="I1521" s="17" t="n">
        <x:f>INDEX('Costing'!$P$9:$P$492,MATCH(D1521,'Costing'!$A$9:$A$492,0))</x:f>
        <x:v>120000</x:v>
      </x:c>
      <x:c r="J1521" s="17" t="n">
        <x:f>ROUND(I1521*'Costing'!$C$4,2)</x:f>
        <x:v>21600</x:v>
      </x:c>
      <x:c r="K1521" s="17" t="n">
        <x:f>I1521+J1521</x:f>
        <x:v>141600</x:v>
      </x:c>
    </x:row>
    <x:row r="1522" ht="46" customHeight="1">
      <x:c r="A1522" s="2" t="str">
        <x:v>Sector</x:v>
      </x:c>
      <x:c r="B1522" s="2" t="str">
        <x:v>Healthcare &amp; life sciences</x:v>
      </x:c>
      <x:c r="C1522" s="12" t="str">
        <x:v>Bengaluru</x:v>
      </x:c>
      <x:c r="D1522" s="12" t="str">
        <x:v>MAIN-063</x:v>
      </x:c>
      <x:c r="E1522" s="12" t="str">
        <x:v>Nucleus - Prestige One Trade Tower</x:v>
      </x:c>
      <x:c r="F1522" s="11" t="n">
        <x:v>2</x:v>
      </x:c>
      <x:c r="G1522" s="11" t="n">
        <x:v>2</x:v>
      </x:c>
      <x:c r="H1522" s="11" t="n">
        <x:v>0</x:v>
      </x:c>
      <x:c r="I1522" s="17" t="n">
        <x:f>INDEX('Costing'!$P$9:$P$492,MATCH(D1522,'Costing'!$A$9:$A$492,0))</x:f>
        <x:v>80000</x:v>
      </x:c>
      <x:c r="J1522" s="17" t="n">
        <x:f>ROUND(I1522*'Costing'!$C$4,2)</x:f>
        <x:v>14400</x:v>
      </x:c>
      <x:c r="K1522" s="17" t="n">
        <x:f>I1522+J1522</x:f>
        <x:v>94400</x:v>
      </x:c>
    </x:row>
    <x:row r="1523" ht="46" customHeight="1">
      <x:c r="A1523" s="2" t="str">
        <x:v>Sector</x:v>
      </x:c>
      <x:c r="B1523" s="2" t="str">
        <x:v>Healthcare &amp; life sciences</x:v>
      </x:c>
      <x:c r="C1523" s="12" t="str">
        <x:v>Bengaluru</x:v>
      </x:c>
      <x:c r="D1523" s="12" t="str">
        <x:v>MAIN-067</x:v>
      </x:c>
      <x:c r="E1523" s="12" t="str">
        <x:v>Obeya - Pulse</x:v>
      </x:c>
      <x:c r="F1523" s="11" t="n">
        <x:v>2</x:v>
      </x:c>
      <x:c r="G1523" s="11" t="n">
        <x:v>2</x:v>
      </x:c>
      <x:c r="H1523" s="11" t="n">
        <x:v>0</x:v>
      </x:c>
      <x:c r="I1523" s="17" t="n">
        <x:f>INDEX('Costing'!$P$9:$P$492,MATCH(D1523,'Costing'!$A$9:$A$492,0))</x:f>
        <x:v>30000</x:v>
      </x:c>
      <x:c r="J1523" s="17" t="n">
        <x:f>ROUND(I1523*'Costing'!$C$4,2)</x:f>
        <x:v>5400</x:v>
      </x:c>
      <x:c r="K1523" s="17" t="n">
        <x:f>I1523+J1523</x:f>
        <x:v>35400</x:v>
      </x:c>
    </x:row>
    <x:row r="1524" ht="46" customHeight="1">
      <x:c r="A1524" s="2" t="str">
        <x:v>Sector</x:v>
      </x:c>
      <x:c r="B1524" s="2" t="str">
        <x:v>Healthcare &amp; life sciences</x:v>
      </x:c>
      <x:c r="C1524" s="12" t="str">
        <x:v>Bengaluru</x:v>
      </x:c>
      <x:c r="D1524" s="12" t="str">
        <x:v>MAIN-071</x:v>
      </x:c>
      <x:c r="E1524" s="12" t="str">
        <x:v>Obeya - Verve</x:v>
      </x:c>
      <x:c r="F1524" s="11" t="n">
        <x:v>1</x:v>
      </x:c>
      <x:c r="G1524" s="11" t="n">
        <x:v>1</x:v>
      </x:c>
      <x:c r="H1524" s="11" t="n">
        <x:v>0</x:v>
      </x:c>
      <x:c r="I1524" s="17" t="n">
        <x:f>INDEX('Costing'!$P$9:$P$492,MATCH(D1524,'Costing'!$A$9:$A$492,0))</x:f>
        <x:v>15000</x:v>
      </x:c>
      <x:c r="J1524" s="17" t="n">
        <x:f>ROUND(I1524*'Costing'!$C$4,2)</x:f>
        <x:v>2700</x:v>
      </x:c>
      <x:c r="K1524" s="17" t="n">
        <x:f>I1524+J1524</x:f>
        <x:v>17700</x:v>
      </x:c>
    </x:row>
    <x:row r="1525" ht="46" customHeight="1">
      <x:c r="A1525" s="2" t="str">
        <x:v>Sector</x:v>
      </x:c>
      <x:c r="B1525" s="2" t="str">
        <x:v>Healthcare &amp; life sciences</x:v>
      </x:c>
      <x:c r="C1525" s="12" t="str">
        <x:v>Bengaluru</x:v>
      </x:c>
      <x:c r="D1525" s="12" t="str">
        <x:v>MAIN-072</x:v>
      </x:c>
      <x:c r="E1525" s="12" t="str">
        <x:v>Prestige Etamin (Redbrick Offices)</x:v>
      </x:c>
      <x:c r="F1525" s="11" t="n">
        <x:v>1</x:v>
      </x:c>
      <x:c r="G1525" s="11" t="n">
        <x:v>1</x:v>
      </x:c>
      <x:c r="H1525" s="11" t="n">
        <x:v>0</x:v>
      </x:c>
      <x:c r="I1525" s="17" t="n">
        <x:f>INDEX('Costing'!$P$9:$P$492,MATCH(D1525,'Costing'!$A$9:$A$492,0))</x:f>
        <x:v>15000</x:v>
      </x:c>
      <x:c r="J1525" s="17" t="n">
        <x:f>ROUND(I1525*'Costing'!$C$4,2)</x:f>
        <x:v>2700</x:v>
      </x:c>
      <x:c r="K1525" s="17" t="n">
        <x:f>I1525+J1525</x:f>
        <x:v>17700</x:v>
      </x:c>
    </x:row>
    <x:row r="1526" ht="46" customHeight="1">
      <x:c r="A1526" s="2" t="str">
        <x:v>Sector</x:v>
      </x:c>
      <x:c r="B1526" s="2" t="str">
        <x:v>Healthcare &amp; life sciences</x:v>
      </x:c>
      <x:c r="C1526" s="12" t="str">
        <x:v>Bengaluru</x:v>
      </x:c>
      <x:c r="D1526" s="12" t="str">
        <x:v>MAIN-073</x:v>
      </x:c>
      <x:c r="E1526" s="12" t="str">
        <x:v>Prestige Obelisk</x:v>
      </x:c>
      <x:c r="F1526" s="11" t="n">
        <x:v>1</x:v>
      </x:c>
      <x:c r="G1526" s="11" t="n">
        <x:v>1</x:v>
      </x:c>
      <x:c r="H1526" s="11" t="n">
        <x:v>0</x:v>
      </x:c>
      <x:c r="I1526" s="17" t="n">
        <x:f>INDEX('Costing'!$P$9:$P$492,MATCH(D1526,'Costing'!$A$9:$A$492,0))</x:f>
        <x:v>40000</x:v>
      </x:c>
      <x:c r="J1526" s="17" t="n">
        <x:f>ROUND(I1526*'Costing'!$C$4,2)</x:f>
        <x:v>7200</x:v>
      </x:c>
      <x:c r="K1526" s="17" t="n">
        <x:f>I1526+J1526</x:f>
        <x:v>47200</x:v>
      </x:c>
    </x:row>
    <x:row r="1527" ht="46" customHeight="1">
      <x:c r="A1527" s="2" t="str">
        <x:v>Sector</x:v>
      </x:c>
      <x:c r="B1527" s="2" t="str">
        <x:v>Healthcare &amp; life sciences</x:v>
      </x:c>
      <x:c r="C1527" s="12" t="str">
        <x:v>Bengaluru</x:v>
      </x:c>
      <x:c r="D1527" s="12" t="str">
        <x:v>MAIN-081</x:v>
      </x:c>
      <x:c r="E1527" s="12" t="str">
        <x:v>Sierra Cartel</x:v>
      </x:c>
      <x:c r="F1527" s="11" t="n">
        <x:v>2</x:v>
      </x:c>
      <x:c r="G1527" s="11" t="n">
        <x:v>2</x:v>
      </x:c>
      <x:c r="H1527" s="11" t="n">
        <x:v>0</x:v>
      </x:c>
      <x:c r="I1527" s="17" t="n">
        <x:f>INDEX('Costing'!$P$9:$P$492,MATCH(D1527,'Costing'!$A$9:$A$492,0))</x:f>
        <x:v>30000</x:v>
      </x:c>
      <x:c r="J1527" s="17" t="n">
        <x:f>ROUND(I1527*'Costing'!$C$4,2)</x:f>
        <x:v>5400</x:v>
      </x:c>
      <x:c r="K1527" s="17" t="n">
        <x:f>I1527+J1527</x:f>
        <x:v>35400</x:v>
      </x:c>
    </x:row>
    <x:row r="1528" ht="46" customHeight="1">
      <x:c r="A1528" s="2" t="str">
        <x:v>Sector</x:v>
      </x:c>
      <x:c r="B1528" s="2" t="str">
        <x:v>Healthcare &amp; life sciences</x:v>
      </x:c>
      <x:c r="C1528" s="12" t="str">
        <x:v>Bengaluru</x:v>
      </x:c>
      <x:c r="D1528" s="12" t="str">
        <x:v>MAIN-090</x:v>
      </x:c>
      <x:c r="E1528" s="12" t="str">
        <x:v>Startuphuts- Unit 7</x:v>
      </x:c>
      <x:c r="F1528" s="11" t="n">
        <x:v>2</x:v>
      </x:c>
      <x:c r="G1528" s="11" t="n">
        <x:v>2</x:v>
      </x:c>
      <x:c r="H1528" s="11" t="n">
        <x:v>0</x:v>
      </x:c>
      <x:c r="I1528" s="17" t="n">
        <x:f>INDEX('Costing'!$P$9:$P$492,MATCH(D1528,'Costing'!$A$9:$A$492,0))</x:f>
        <x:v>30000</x:v>
      </x:c>
      <x:c r="J1528" s="17" t="n">
        <x:f>ROUND(I1528*'Costing'!$C$4,2)</x:f>
        <x:v>5400</x:v>
      </x:c>
      <x:c r="K1528" s="17" t="n">
        <x:f>I1528+J1528</x:f>
        <x:v>35400</x:v>
      </x:c>
    </x:row>
    <x:row r="1529" ht="46" customHeight="1">
      <x:c r="A1529" s="2" t="str">
        <x:v>Sector</x:v>
      </x:c>
      <x:c r="B1529" s="2" t="str">
        <x:v>Healthcare &amp; life sciences</x:v>
      </x:c>
      <x:c r="C1529" s="12" t="str">
        <x:v>Bengaluru</x:v>
      </x:c>
      <x:c r="D1529" s="12" t="str">
        <x:v>MAIN-098</x:v>
      </x:c>
      <x:c r="E1529" s="12" t="str">
        <x:v>Urban Vault- 145</x:v>
      </x:c>
      <x:c r="F1529" s="11" t="n">
        <x:v>2</x:v>
      </x:c>
      <x:c r="G1529" s="11" t="n">
        <x:v>2</x:v>
      </x:c>
      <x:c r="H1529" s="11" t="n">
        <x:v>0</x:v>
      </x:c>
      <x:c r="I1529" s="17" t="n">
        <x:f>INDEX('Costing'!$P$9:$P$492,MATCH(D1529,'Costing'!$A$9:$A$492,0))</x:f>
        <x:v>30000</x:v>
      </x:c>
      <x:c r="J1529" s="17" t="n">
        <x:f>ROUND(I1529*'Costing'!$C$4,2)</x:f>
        <x:v>5400</x:v>
      </x:c>
      <x:c r="K1529" s="17" t="n">
        <x:f>I1529+J1529</x:f>
        <x:v>35400</x:v>
      </x:c>
    </x:row>
    <x:row r="1530" ht="46" customHeight="1">
      <x:c r="A1530" s="2" t="str">
        <x:v>Sector</x:v>
      </x:c>
      <x:c r="B1530" s="2" t="str">
        <x:v>Healthcare &amp; life sciences</x:v>
      </x:c>
      <x:c r="C1530" s="12" t="str">
        <x:v>Bengaluru</x:v>
      </x:c>
      <x:c r="D1530" s="12" t="str">
        <x:v>MAIN-114</x:v>
      </x:c>
      <x:c r="E1530" s="12" t="str">
        <x:v>Wework - Embassy One</x:v>
      </x:c>
      <x:c r="F1530" s="11" t="n">
        <x:v>2</x:v>
      </x:c>
      <x:c r="G1530" s="11" t="n">
        <x:v>2</x:v>
      </x:c>
      <x:c r="H1530" s="11" t="n">
        <x:v>0</x:v>
      </x:c>
      <x:c r="I1530" s="17" t="n">
        <x:f>INDEX('Costing'!$P$9:$P$492,MATCH(D1530,'Costing'!$A$9:$A$492,0))</x:f>
        <x:v>50000</x:v>
      </x:c>
      <x:c r="J1530" s="17" t="n">
        <x:f>ROUND(I1530*'Costing'!$C$4,2)</x:f>
        <x:v>9000</x:v>
      </x:c>
      <x:c r="K1530" s="17" t="n">
        <x:f>I1530+J1530</x:f>
        <x:v>59000</x:v>
      </x:c>
    </x:row>
    <x:row r="1531" ht="46" customHeight="1">
      <x:c r="A1531" s="2" t="str">
        <x:v>Sector</x:v>
      </x:c>
      <x:c r="B1531" s="2" t="str">
        <x:v>Healthcare &amp; life sciences</x:v>
      </x:c>
      <x:c r="C1531" s="12" t="str">
        <x:v>Bengaluru</x:v>
      </x:c>
      <x:c r="D1531" s="12" t="str">
        <x:v>MAIN-129</x:v>
      </x:c>
      <x:c r="E1531" s="12" t="str">
        <x:v>WeWork - The Galaxy</x:v>
      </x:c>
      <x:c r="F1531" s="11" t="n">
        <x:v>7</x:v>
      </x:c>
      <x:c r="G1531" s="11" t="n">
        <x:v>7</x:v>
      </x:c>
      <x:c r="H1531" s="11" t="n">
        <x:v>0</x:v>
      </x:c>
      <x:c r="I1531" s="17" t="n">
        <x:f>INDEX('Costing'!$P$9:$P$492,MATCH(D1531,'Costing'!$A$9:$A$492,0))</x:f>
        <x:v>175000</x:v>
      </x:c>
      <x:c r="J1531" s="17" t="n">
        <x:f>ROUND(I1531*'Costing'!$C$4,2)</x:f>
        <x:v>31500</x:v>
      </x:c>
      <x:c r="K1531" s="17" t="n">
        <x:f>I1531+J1531</x:f>
        <x:v>206500</x:v>
      </x:c>
    </x:row>
    <x:row r="1532" ht="46" customHeight="1">
      <x:c r="A1532" s="2" t="str">
        <x:v>Sector</x:v>
      </x:c>
      <x:c r="B1532" s="2" t="str">
        <x:v>Healthcare &amp; life sciences</x:v>
      </x:c>
      <x:c r="C1532" s="12" t="str">
        <x:v>Chennai</x:v>
      </x:c>
      <x:c r="D1532" s="12" t="str">
        <x:v>MAIN-152</x:v>
      </x:c>
      <x:c r="E1532" s="12" t="str">
        <x:v>Olympia Cyberspace</x:v>
      </x:c>
      <x:c r="F1532" s="11" t="n">
        <x:v>2</x:v>
      </x:c>
      <x:c r="G1532" s="11" t="n">
        <x:v>2</x:v>
      </x:c>
      <x:c r="H1532" s="11" t="n">
        <x:v>0</x:v>
      </x:c>
      <x:c r="I1532" s="17" t="n">
        <x:f>INDEX('Costing'!$P$9:$P$492,MATCH(D1532,'Costing'!$A$9:$A$492,0))</x:f>
        <x:v>40000</x:v>
      </x:c>
      <x:c r="J1532" s="17" t="n">
        <x:f>ROUND(I1532*'Costing'!$C$4,2)</x:f>
        <x:v>7200</x:v>
      </x:c>
      <x:c r="K1532" s="17" t="n">
        <x:f>I1532+J1532</x:f>
        <x:v>47200</x:v>
      </x:c>
    </x:row>
    <x:row r="1533" ht="46" customHeight="1">
      <x:c r="A1533" s="2" t="str">
        <x:v>Sector</x:v>
      </x:c>
      <x:c r="B1533" s="2" t="str">
        <x:v>Healthcare &amp; life sciences</x:v>
      </x:c>
      <x:c r="C1533" s="12" t="str">
        <x:v>Chennai</x:v>
      </x:c>
      <x:c r="D1533" s="12" t="str">
        <x:v>MAIN-161</x:v>
      </x:c>
      <x:c r="E1533" s="12" t="str">
        <x:v>Workflow by Oyo - Guindy</x:v>
      </x:c>
      <x:c r="F1533" s="11" t="n">
        <x:v>1</x:v>
      </x:c>
      <x:c r="G1533" s="11" t="n">
        <x:v>1</x:v>
      </x:c>
      <x:c r="H1533" s="11" t="n">
        <x:v>0</x:v>
      </x:c>
      <x:c r="I1533" s="17" t="n">
        <x:f>INDEX('Costing'!$P$9:$P$492,MATCH(D1533,'Costing'!$A$9:$A$492,0))</x:f>
        <x:v>15000</x:v>
      </x:c>
      <x:c r="J1533" s="17" t="n">
        <x:f>ROUND(I1533*'Costing'!$C$4,2)</x:f>
        <x:v>2700</x:v>
      </x:c>
      <x:c r="K1533" s="17" t="n">
        <x:f>I1533+J1533</x:f>
        <x:v>17700</x:v>
      </x:c>
    </x:row>
    <x:row r="1534" ht="46" customHeight="1">
      <x:c r="A1534" s="2" t="str">
        <x:v>Sector</x:v>
      </x:c>
      <x:c r="B1534" s="2" t="str">
        <x:v>Healthcare &amp; life sciences</x:v>
      </x:c>
      <x:c r="C1534" s="12" t="str">
        <x:v>Delhi NCR</x:v>
      </x:c>
      <x:c r="D1534" s="12" t="str">
        <x:v>MAIN-163</x:v>
      </x:c>
      <x:c r="E1534" s="12" t="str">
        <x:v>Awfis - Mohan Cooperative</x:v>
      </x:c>
      <x:c r="F1534" s="11" t="n">
        <x:v>3</x:v>
      </x:c>
      <x:c r="G1534" s="11" t="n">
        <x:v>3</x:v>
      </x:c>
      <x:c r="H1534" s="11" t="n">
        <x:v>0</x:v>
      </x:c>
      <x:c r="I1534" s="17" t="n">
        <x:f>INDEX('Costing'!$P$9:$P$492,MATCH(D1534,'Costing'!$A$9:$A$492,0))</x:f>
        <x:v>45000</x:v>
      </x:c>
      <x:c r="J1534" s="17" t="n">
        <x:f>ROUND(I1534*'Costing'!$C$4,2)</x:f>
        <x:v>8100</x:v>
      </x:c>
      <x:c r="K1534" s="17" t="n">
        <x:f>I1534+J1534</x:f>
        <x:v>53100</x:v>
      </x:c>
    </x:row>
    <x:row r="1535" ht="46" customHeight="1">
      <x:c r="A1535" s="2" t="str">
        <x:v>Sector</x:v>
      </x:c>
      <x:c r="B1535" s="2" t="str">
        <x:v>Healthcare &amp; life sciences</x:v>
      </x:c>
      <x:c r="C1535" s="12" t="str">
        <x:v>Delhi NCR</x:v>
      </x:c>
      <x:c r="D1535" s="12" t="str">
        <x:v>MAIN-164</x:v>
      </x:c>
      <x:c r="E1535" s="12" t="str">
        <x:v>Awfis - Mohan Cooperative 2</x:v>
      </x:c>
      <x:c r="F1535" s="11" t="n">
        <x:v>1</x:v>
      </x:c>
      <x:c r="G1535" s="11" t="n">
        <x:v>1</x:v>
      </x:c>
      <x:c r="H1535" s="11" t="n">
        <x:v>0</x:v>
      </x:c>
      <x:c r="I1535" s="17" t="n">
        <x:f>INDEX('Costing'!$P$9:$P$492,MATCH(D1535,'Costing'!$A$9:$A$492,0))</x:f>
        <x:v>15000</x:v>
      </x:c>
      <x:c r="J1535" s="17" t="n">
        <x:f>ROUND(I1535*'Costing'!$C$4,2)</x:f>
        <x:v>2700</x:v>
      </x:c>
      <x:c r="K1535" s="17" t="n">
        <x:f>I1535+J1535</x:f>
        <x:v>17700</x:v>
      </x:c>
    </x:row>
    <x:row r="1536" ht="46" customHeight="1">
      <x:c r="A1536" s="2" t="str">
        <x:v>Sector</x:v>
      </x:c>
      <x:c r="B1536" s="2" t="str">
        <x:v>Healthcare &amp; life sciences</x:v>
      </x:c>
      <x:c r="C1536" s="12" t="str">
        <x:v>Delhi NCR</x:v>
      </x:c>
      <x:c r="D1536" s="12" t="str">
        <x:v>MAIN-180</x:v>
      </x:c>
      <x:c r="E1536" s="12" t="str">
        <x:v>Awfis - Paras Trinity</x:v>
      </x:c>
      <x:c r="F1536" s="11" t="n">
        <x:v>3</x:v>
      </x:c>
      <x:c r="G1536" s="11" t="n">
        <x:v>3</x:v>
      </x:c>
      <x:c r="H1536" s="11" t="n">
        <x:v>0</x:v>
      </x:c>
      <x:c r="I1536" s="17" t="n">
        <x:f>INDEX('Costing'!$P$9:$P$492,MATCH(D1536,'Costing'!$A$9:$A$492,0))</x:f>
        <x:v>45000</x:v>
      </x:c>
      <x:c r="J1536" s="17" t="n">
        <x:f>ROUND(I1536*'Costing'!$C$4,2)</x:f>
        <x:v>8100</x:v>
      </x:c>
      <x:c r="K1536" s="17" t="n">
        <x:f>I1536+J1536</x:f>
        <x:v>53100</x:v>
      </x:c>
    </x:row>
    <x:row r="1537" ht="46" customHeight="1">
      <x:c r="A1537" s="2" t="str">
        <x:v>Sector</x:v>
      </x:c>
      <x:c r="B1537" s="2" t="str">
        <x:v>Healthcare &amp; life sciences</x:v>
      </x:c>
      <x:c r="C1537" s="12" t="str">
        <x:v>Delhi NCR</x:v>
      </x:c>
      <x:c r="D1537" s="12" t="str">
        <x:v>MAIN-183</x:v>
      </x:c>
      <x:c r="E1537" s="12" t="str">
        <x:v>Centrum Plaza</x:v>
      </x:c>
      <x:c r="F1537" s="11" t="n">
        <x:v>1</x:v>
      </x:c>
      <x:c r="G1537" s="11" t="n">
        <x:v>1</x:v>
      </x:c>
      <x:c r="H1537" s="11" t="n">
        <x:v>0</x:v>
      </x:c>
      <x:c r="I1537" s="17" t="n">
        <x:f>INDEX('Costing'!$P$9:$P$492,MATCH(D1537,'Costing'!$A$9:$A$492,0))</x:f>
        <x:v>15000</x:v>
      </x:c>
      <x:c r="J1537" s="17" t="n">
        <x:f>ROUND(I1537*'Costing'!$C$4,2)</x:f>
        <x:v>2700</x:v>
      </x:c>
      <x:c r="K1537" s="17" t="n">
        <x:f>I1537+J1537</x:f>
        <x:v>17700</x:v>
      </x:c>
    </x:row>
    <x:row r="1538" ht="46" customHeight="1">
      <x:c r="A1538" s="2" t="str">
        <x:v>Sector</x:v>
      </x:c>
      <x:c r="B1538" s="2" t="str">
        <x:v>Healthcare &amp; life sciences</x:v>
      </x:c>
      <x:c r="C1538" s="12" t="str">
        <x:v>Delhi NCR</x:v>
      </x:c>
      <x:c r="D1538" s="12" t="str">
        <x:v>MAIN-184</x:v>
      </x:c>
      <x:c r="E1538" s="12" t="str">
        <x:v>Centrum Plaza</x:v>
      </x:c>
      <x:c r="F1538" s="11" t="n">
        <x:v>3</x:v>
      </x:c>
      <x:c r="G1538" s="11" t="n">
        <x:v>3</x:v>
      </x:c>
      <x:c r="H1538" s="11" t="n">
        <x:v>0</x:v>
      </x:c>
      <x:c r="I1538" s="17" t="n">
        <x:f>INDEX('Costing'!$P$9:$P$492,MATCH(D1538,'Costing'!$A$9:$A$492,0))</x:f>
        <x:v>60000</x:v>
      </x:c>
      <x:c r="J1538" s="17" t="n">
        <x:f>ROUND(I1538*'Costing'!$C$4,2)</x:f>
        <x:v>10800</x:v>
      </x:c>
      <x:c r="K1538" s="17" t="n">
        <x:f>I1538+J1538</x:f>
        <x:v>70800</x:v>
      </x:c>
    </x:row>
    <x:row r="1539" ht="46" customHeight="1">
      <x:c r="A1539" s="2" t="str">
        <x:v>Sector</x:v>
      </x:c>
      <x:c r="B1539" s="2" t="str">
        <x:v>Healthcare &amp; life sciences</x:v>
      </x:c>
      <x:c r="C1539" s="12" t="str">
        <x:v>Delhi NCR</x:v>
      </x:c>
      <x:c r="D1539" s="12" t="str">
        <x:v>MAIN-196</x:v>
      </x:c>
      <x:c r="E1539" s="12" t="str">
        <x:v>Kallton</x:v>
      </x:c>
      <x:c r="F1539" s="11" t="n">
        <x:v>5</x:v>
      </x:c>
      <x:c r="G1539" s="11" t="n">
        <x:v>5</x:v>
      </x:c>
      <x:c r="H1539" s="11" t="n">
        <x:v>0</x:v>
      </x:c>
      <x:c r="I1539" s="17" t="n">
        <x:f>INDEX('Costing'!$P$9:$P$492,MATCH(D1539,'Costing'!$A$9:$A$492,0))</x:f>
        <x:v>200000</x:v>
      </x:c>
      <x:c r="J1539" s="17" t="n">
        <x:f>ROUND(I1539*'Costing'!$C$4,2)</x:f>
        <x:v>36000</x:v>
      </x:c>
      <x:c r="K1539" s="17" t="n">
        <x:f>I1539+J1539</x:f>
        <x:v>236000</x:v>
      </x:c>
    </x:row>
    <x:row r="1540" ht="46" customHeight="1">
      <x:c r="A1540" s="2" t="str">
        <x:v>Sector</x:v>
      </x:c>
      <x:c r="B1540" s="2" t="str">
        <x:v>Healthcare &amp; life sciences</x:v>
      </x:c>
      <x:c r="C1540" s="12" t="str">
        <x:v>Delhi NCR</x:v>
      </x:c>
      <x:c r="D1540" s="12" t="str">
        <x:v>MAIN-169</x:v>
      </x:c>
      <x:c r="E1540" s="12" t="str">
        <x:v>Logix Cyber Park</x:v>
      </x:c>
      <x:c r="F1540" s="11" t="n">
        <x:v>15</x:v>
      </x:c>
      <x:c r="G1540" s="11" t="n">
        <x:v>15</x:v>
      </x:c>
      <x:c r="H1540" s="11" t="n">
        <x:v>0</x:v>
      </x:c>
      <x:c r="I1540" s="17" t="n">
        <x:f>INDEX('Costing'!$P$9:$P$492,MATCH(D1540,'Costing'!$A$9:$A$492,0))</x:f>
        <x:v>300000</x:v>
      </x:c>
      <x:c r="J1540" s="17" t="n">
        <x:f>ROUND(I1540*'Costing'!$C$4,2)</x:f>
        <x:v>54000</x:v>
      </x:c>
      <x:c r="K1540" s="17" t="n">
        <x:f>I1540+J1540</x:f>
        <x:v>354000</x:v>
      </x:c>
    </x:row>
    <x:row r="1541" ht="46" customHeight="1">
      <x:c r="A1541" s="2" t="str">
        <x:v>Sector</x:v>
      </x:c>
      <x:c r="B1541" s="2" t="str">
        <x:v>Healthcare &amp; life sciences</x:v>
      </x:c>
      <x:c r="C1541" s="12" t="str">
        <x:v>Delhi NCR</x:v>
      </x:c>
      <x:c r="D1541" s="12" t="str">
        <x:v>MAIN-374</x:v>
      </x:c>
      <x:c r="E1541" s="12" t="str">
        <x:v>Logix Infotech Park</x:v>
      </x:c>
      <x:c r="F1541" s="11" t="n">
        <x:v>2</x:v>
      </x:c>
      <x:c r="G1541" s="11" t="n">
        <x:v>2</x:v>
      </x:c>
      <x:c r="H1541" s="11" t="n">
        <x:v>0</x:v>
      </x:c>
      <x:c r="I1541" s="17" t="n">
        <x:f>INDEX('Costing'!$P$9:$P$492,MATCH(D1541,'Costing'!$A$9:$A$492,0))</x:f>
        <x:v>80000</x:v>
      </x:c>
      <x:c r="J1541" s="17" t="n">
        <x:f>ROUND(I1541*'Costing'!$C$4,2)</x:f>
        <x:v>14400</x:v>
      </x:c>
      <x:c r="K1541" s="17" t="n">
        <x:f>I1541+J1541</x:f>
        <x:v>94400</x:v>
      </x:c>
    </x:row>
    <x:row r="1542" ht="46" customHeight="1">
      <x:c r="A1542" s="2" t="str">
        <x:v>Sector</x:v>
      </x:c>
      <x:c r="B1542" s="2" t="str">
        <x:v>Healthcare &amp; life sciences</x:v>
      </x:c>
      <x:c r="C1542" s="12" t="str">
        <x:v>Delhi NCR</x:v>
      </x:c>
      <x:c r="D1542" s="12" t="str">
        <x:v>MAIN-375</x:v>
      </x:c>
      <x:c r="E1542" s="12" t="str">
        <x:v>Logix Infotech Park</x:v>
      </x:c>
      <x:c r="F1542" s="11" t="n">
        <x:v>4</x:v>
      </x:c>
      <x:c r="G1542" s="11" t="n">
        <x:v>4</x:v>
      </x:c>
      <x:c r="H1542" s="11" t="n">
        <x:v>0</x:v>
      </x:c>
      <x:c r="I1542" s="17" t="n">
        <x:f>INDEX('Costing'!$P$9:$P$492,MATCH(D1542,'Costing'!$A$9:$A$492,0))</x:f>
        <x:v>60000</x:v>
      </x:c>
      <x:c r="J1542" s="17" t="n">
        <x:f>ROUND(I1542*'Costing'!$C$4,2)</x:f>
        <x:v>10800</x:v>
      </x:c>
      <x:c r="K1542" s="17" t="n">
        <x:f>I1542+J1542</x:f>
        <x:v>70800</x:v>
      </x:c>
    </x:row>
    <x:row r="1543" ht="46" customHeight="1">
      <x:c r="A1543" s="2" t="str">
        <x:v>Sector</x:v>
      </x:c>
      <x:c r="B1543" s="2" t="str">
        <x:v>Healthcare &amp; life sciences</x:v>
      </x:c>
      <x:c r="C1543" s="12" t="str">
        <x:v>Delhi NCR</x:v>
      </x:c>
      <x:c r="D1543" s="12" t="str">
        <x:v>MAIN-198</x:v>
      </x:c>
      <x:c r="E1543" s="12" t="str">
        <x:v>Satya The Element One</x:v>
      </x:c>
      <x:c r="F1543" s="11" t="n">
        <x:v>4</x:v>
      </x:c>
      <x:c r="G1543" s="11" t="n">
        <x:v>4</x:v>
      </x:c>
      <x:c r="H1543" s="11" t="n">
        <x:v>0</x:v>
      </x:c>
      <x:c r="I1543" s="17" t="n">
        <x:f>INDEX('Costing'!$P$9:$P$492,MATCH(D1543,'Costing'!$A$9:$A$492,0))</x:f>
        <x:v>60000</x:v>
      </x:c>
      <x:c r="J1543" s="17" t="n">
        <x:f>ROUND(I1543*'Costing'!$C$4,2)</x:f>
        <x:v>10800</x:v>
      </x:c>
      <x:c r="K1543" s="17" t="n">
        <x:f>I1543+J1543</x:f>
        <x:v>70800</x:v>
      </x:c>
    </x:row>
    <x:row r="1544" ht="46" customHeight="1">
      <x:c r="A1544" s="2" t="str">
        <x:v>Sector</x:v>
      </x:c>
      <x:c r="B1544" s="2" t="str">
        <x:v>Healthcare &amp; life sciences</x:v>
      </x:c>
      <x:c r="C1544" s="12" t="str">
        <x:v>Delhi NCR</x:v>
      </x:c>
      <x:c r="D1544" s="12" t="str">
        <x:v>MAIN-199</x:v>
      </x:c>
      <x:c r="E1544" s="12" t="str">
        <x:v>Satya The Hive</x:v>
      </x:c>
      <x:c r="F1544" s="11" t="n">
        <x:v>1</x:v>
      </x:c>
      <x:c r="G1544" s="11" t="n">
        <x:v>1</x:v>
      </x:c>
      <x:c r="H1544" s="11" t="n">
        <x:v>0</x:v>
      </x:c>
      <x:c r="I1544" s="17" t="n">
        <x:f>INDEX('Costing'!$P$9:$P$492,MATCH(D1544,'Costing'!$A$9:$A$492,0))</x:f>
        <x:v>40000</x:v>
      </x:c>
      <x:c r="J1544" s="17" t="n">
        <x:f>ROUND(I1544*'Costing'!$C$4,2)</x:f>
        <x:v>7200</x:v>
      </x:c>
      <x:c r="K1544" s="17" t="n">
        <x:f>I1544+J1544</x:f>
        <x:v>47200</x:v>
      </x:c>
    </x:row>
    <x:row r="1545" ht="46" customHeight="1">
      <x:c r="A1545" s="2" t="str">
        <x:v>Sector</x:v>
      </x:c>
      <x:c r="B1545" s="2" t="str">
        <x:v>Healthcare &amp; life sciences</x:v>
      </x:c>
      <x:c r="C1545" s="12" t="str">
        <x:v>Delhi NCR</x:v>
      </x:c>
      <x:c r="D1545" s="12" t="str">
        <x:v>MAIN-206</x:v>
      </x:c>
      <x:c r="E1545" s="12" t="str">
        <x:v>Unitech - Global Business Park</x:v>
      </x:c>
      <x:c r="F1545" s="11" t="n">
        <x:v>3</x:v>
      </x:c>
      <x:c r="G1545" s="11" t="n">
        <x:v>3</x:v>
      </x:c>
      <x:c r="H1545" s="11" t="n">
        <x:v>0</x:v>
      </x:c>
      <x:c r="I1545" s="17" t="n">
        <x:f>INDEX('Costing'!$P$9:$P$492,MATCH(D1545,'Costing'!$A$9:$A$492,0))</x:f>
        <x:v>120000</x:v>
      </x:c>
      <x:c r="J1545" s="17" t="n">
        <x:f>ROUND(I1545*'Costing'!$C$4,2)</x:f>
        <x:v>21600</x:v>
      </x:c>
      <x:c r="K1545" s="17" t="n">
        <x:f>I1545+J1545</x:f>
        <x:v>141600</x:v>
      </x:c>
    </x:row>
    <x:row r="1546" ht="46" customHeight="1">
      <x:c r="A1546" s="2" t="str">
        <x:v>Sector</x:v>
      </x:c>
      <x:c r="B1546" s="2" t="str">
        <x:v>Healthcare &amp; life sciences</x:v>
      </x:c>
      <x:c r="C1546" s="12" t="str">
        <x:v>Delhi NCR</x:v>
      </x:c>
      <x:c r="D1546" s="12" t="str">
        <x:v>MAIN-207</x:v>
      </x:c>
      <x:c r="E1546" s="12" t="str">
        <x:v>Unitech - Signature Tower</x:v>
      </x:c>
      <x:c r="F1546" s="11" t="n">
        <x:v>2</x:v>
      </x:c>
      <x:c r="G1546" s="11" t="n">
        <x:v>2</x:v>
      </x:c>
      <x:c r="H1546" s="11" t="n">
        <x:v>0</x:v>
      </x:c>
      <x:c r="I1546" s="17" t="n">
        <x:f>INDEX('Costing'!$P$9:$P$492,MATCH(D1546,'Costing'!$A$9:$A$492,0))</x:f>
        <x:v>80000</x:v>
      </x:c>
      <x:c r="J1546" s="17" t="n">
        <x:f>ROUND(I1546*'Costing'!$C$4,2)</x:f>
        <x:v>14400</x:v>
      </x:c>
      <x:c r="K1546" s="17" t="n">
        <x:f>I1546+J1546</x:f>
        <x:v>94400</x:v>
      </x:c>
    </x:row>
    <x:row r="1547" ht="46" customHeight="1">
      <x:c r="A1547" s="2" t="str">
        <x:v>Sector</x:v>
      </x:c>
      <x:c r="B1547" s="2" t="str">
        <x:v>Healthcare &amp; life sciences</x:v>
      </x:c>
      <x:c r="C1547" s="12" t="str">
        <x:v>Delhi NCR</x:v>
      </x:c>
      <x:c r="D1547" s="12" t="str">
        <x:v>MAIN-171</x:v>
      </x:c>
      <x:c r="E1547" s="12" t="str">
        <x:v>WeWork - Eldeco</x:v>
      </x:c>
      <x:c r="F1547" s="11" t="n">
        <x:v>1</x:v>
      </x:c>
      <x:c r="G1547" s="11" t="n">
        <x:v>1</x:v>
      </x:c>
      <x:c r="H1547" s="11" t="n">
        <x:v>0</x:v>
      </x:c>
      <x:c r="I1547" s="17" t="n">
        <x:f>INDEX('Costing'!$P$9:$P$492,MATCH(D1547,'Costing'!$A$9:$A$492,0))</x:f>
        <x:v>25000</x:v>
      </x:c>
      <x:c r="J1547" s="17" t="n">
        <x:f>ROUND(I1547*'Costing'!$C$4,2)</x:f>
        <x:v>4500</x:v>
      </x:c>
      <x:c r="K1547" s="17" t="n">
        <x:f>I1547+J1547</x:f>
        <x:v>29500</x:v>
      </x:c>
    </x:row>
    <x:row r="1548" ht="46" customHeight="1">
      <x:c r="A1548" s="2" t="str">
        <x:v>Sector</x:v>
      </x:c>
      <x:c r="B1548" s="2" t="str">
        <x:v>Healthcare &amp; life sciences</x:v>
      </x:c>
      <x:c r="C1548" s="12" t="str">
        <x:v>Delhi NCR</x:v>
      </x:c>
      <x:c r="D1548" s="12" t="str">
        <x:v>MAIN-378</x:v>
      </x:c>
      <x:c r="E1548" s="12" t="str">
        <x:v>World Trade Tower</x:v>
      </x:c>
      <x:c r="F1548" s="11" t="n">
        <x:v>13</x:v>
      </x:c>
      <x:c r="G1548" s="11" t="n">
        <x:v>13</x:v>
      </x:c>
      <x:c r="H1548" s="11" t="n">
        <x:v>0</x:v>
      </x:c>
      <x:c r="I1548" s="17" t="n">
        <x:f>INDEX('Costing'!$P$9:$P$492,MATCH(D1548,'Costing'!$A$9:$A$492,0))</x:f>
        <x:v>260000</x:v>
      </x:c>
      <x:c r="J1548" s="17" t="n">
        <x:f>ROUND(I1548*'Costing'!$C$4,2)</x:f>
        <x:v>46800</x:v>
      </x:c>
      <x:c r="K1548" s="17" t="n">
        <x:f>I1548+J1548</x:f>
        <x:v>306800</x:v>
      </x:c>
    </x:row>
    <x:row r="1549" ht="46" customHeight="1">
      <x:c r="A1549" s="2" t="str">
        <x:v>Sector</x:v>
      </x:c>
      <x:c r="B1549" s="2" t="str">
        <x:v>Healthcare &amp; life sciences</x:v>
      </x:c>
      <x:c r="C1549" s="12" t="str">
        <x:v>Hyderabad</x:v>
      </x:c>
      <x:c r="D1549" s="12" t="str">
        <x:v>MAIN-218</x:v>
      </x:c>
      <x:c r="E1549" s="12" t="str">
        <x:v>Awfis - Hitech City 4th</x:v>
      </x:c>
      <x:c r="F1549" s="11" t="n">
        <x:v>3</x:v>
      </x:c>
      <x:c r="G1549" s="11" t="n">
        <x:v>3</x:v>
      </x:c>
      <x:c r="H1549" s="11" t="n">
        <x:v>0</x:v>
      </x:c>
      <x:c r="I1549" s="17" t="n">
        <x:f>INDEX('Costing'!$P$9:$P$492,MATCH(D1549,'Costing'!$A$9:$A$492,0))</x:f>
        <x:v>45000</x:v>
      </x:c>
      <x:c r="J1549" s="17" t="n">
        <x:f>ROUND(I1549*'Costing'!$C$4,2)</x:f>
        <x:v>8100</x:v>
      </x:c>
      <x:c r="K1549" s="17" t="n">
        <x:f>I1549+J1549</x:f>
        <x:v>53100</x:v>
      </x:c>
    </x:row>
    <x:row r="1550" ht="46" customHeight="1">
      <x:c r="A1550" s="2" t="str">
        <x:v>Sector</x:v>
      </x:c>
      <x:c r="B1550" s="2" t="str">
        <x:v>Healthcare &amp; life sciences</x:v>
      </x:c>
      <x:c r="C1550" s="12" t="str">
        <x:v>Hyderabad</x:v>
      </x:c>
      <x:c r="D1550" s="12" t="str">
        <x:v>MAIN-219</x:v>
      </x:c>
      <x:c r="E1550" s="12" t="str">
        <x:v>Awfis - Hitech City 6th</x:v>
      </x:c>
      <x:c r="F1550" s="11" t="n">
        <x:v>2</x:v>
      </x:c>
      <x:c r="G1550" s="11" t="n">
        <x:v>2</x:v>
      </x:c>
      <x:c r="H1550" s="11" t="n">
        <x:v>0</x:v>
      </x:c>
      <x:c r="I1550" s="17" t="n">
        <x:f>INDEX('Costing'!$P$9:$P$492,MATCH(D1550,'Costing'!$A$9:$A$492,0))</x:f>
        <x:v>30000</x:v>
      </x:c>
      <x:c r="J1550" s="17" t="n">
        <x:f>ROUND(I1550*'Costing'!$C$4,2)</x:f>
        <x:v>5400</x:v>
      </x:c>
      <x:c r="K1550" s="17" t="n">
        <x:f>I1550+J1550</x:f>
        <x:v>35400</x:v>
      </x:c>
    </x:row>
    <x:row r="1551" ht="46" customHeight="1">
      <x:c r="A1551" s="2" t="str">
        <x:v>Sector</x:v>
      </x:c>
      <x:c r="B1551" s="2" t="str">
        <x:v>Healthcare &amp; life sciences</x:v>
      </x:c>
      <x:c r="C1551" s="12" t="str">
        <x:v>Hyderabad</x:v>
      </x:c>
      <x:c r="D1551" s="12" t="str">
        <x:v>MAIN-222</x:v>
      </x:c>
      <x:c r="E1551" s="12" t="str">
        <x:v>Awfis - Prestige Phoenix</x:v>
      </x:c>
      <x:c r="F1551" s="11" t="n">
        <x:v>3</x:v>
      </x:c>
      <x:c r="G1551" s="11" t="n">
        <x:v>3</x:v>
      </x:c>
      <x:c r="H1551" s="11" t="n">
        <x:v>0</x:v>
      </x:c>
      <x:c r="I1551" s="17" t="n">
        <x:f>INDEX('Costing'!$P$9:$P$492,MATCH(D1551,'Costing'!$A$9:$A$492,0))</x:f>
        <x:v>45000</x:v>
      </x:c>
      <x:c r="J1551" s="17" t="n">
        <x:f>ROUND(I1551*'Costing'!$C$4,2)</x:f>
        <x:v>8100</x:v>
      </x:c>
      <x:c r="K1551" s="17" t="n">
        <x:f>I1551+J1551</x:f>
        <x:v>53100</x:v>
      </x:c>
    </x:row>
    <x:row r="1552" ht="46" customHeight="1">
      <x:c r="A1552" s="2" t="str">
        <x:v>Sector</x:v>
      </x:c>
      <x:c r="B1552" s="2" t="str">
        <x:v>Healthcare &amp; life sciences</x:v>
      </x:c>
      <x:c r="C1552" s="12" t="str">
        <x:v>Hyderabad</x:v>
      </x:c>
      <x:c r="D1552" s="12" t="str">
        <x:v>MAIN-225</x:v>
      </x:c>
      <x:c r="E1552" s="12" t="str">
        <x:v>Awfis - Vasavi MPM Mall</x:v>
      </x:c>
      <x:c r="F1552" s="11" t="n">
        <x:v>2</x:v>
      </x:c>
      <x:c r="G1552" s="11" t="n">
        <x:v>2</x:v>
      </x:c>
      <x:c r="H1552" s="11" t="n">
        <x:v>0</x:v>
      </x:c>
      <x:c r="I1552" s="17" t="n">
        <x:f>INDEX('Costing'!$P$9:$P$492,MATCH(D1552,'Costing'!$A$9:$A$492,0))</x:f>
        <x:v>30000</x:v>
      </x:c>
      <x:c r="J1552" s="17" t="n">
        <x:f>ROUND(I1552*'Costing'!$C$4,2)</x:f>
        <x:v>5400</x:v>
      </x:c>
      <x:c r="K1552" s="17" t="n">
        <x:f>I1552+J1552</x:f>
        <x:v>35400</x:v>
      </x:c>
    </x:row>
    <x:row r="1553" ht="46" customHeight="1">
      <x:c r="A1553" s="2" t="str">
        <x:v>Sector</x:v>
      </x:c>
      <x:c r="B1553" s="2" t="str">
        <x:v>Healthcare &amp; life sciences</x:v>
      </x:c>
      <x:c r="C1553" s="12" t="str">
        <x:v>Hyderabad</x:v>
      </x:c>
      <x:c r="D1553" s="12" t="str">
        <x:v>MAIN-226</x:v>
      </x:c>
      <x:c r="E1553" s="12" t="str">
        <x:v>CIE Office Space</x:v>
      </x:c>
      <x:c r="F1553" s="11" t="n">
        <x:v>4</x:v>
      </x:c>
      <x:c r="G1553" s="11" t="n">
        <x:v>4</x:v>
      </x:c>
      <x:c r="H1553" s="11" t="n">
        <x:v>0</x:v>
      </x:c>
      <x:c r="I1553" s="17" t="n">
        <x:f>INDEX('Costing'!$P$9:$P$492,MATCH(D1553,'Costing'!$A$9:$A$492,0))</x:f>
        <x:v>60000</x:v>
      </x:c>
      <x:c r="J1553" s="17" t="n">
        <x:f>ROUND(I1553*'Costing'!$C$4,2)</x:f>
        <x:v>10800</x:v>
      </x:c>
      <x:c r="K1553" s="17" t="n">
        <x:f>I1553+J1553</x:f>
        <x:v>70800</x:v>
      </x:c>
    </x:row>
    <x:row r="1554" ht="46" customHeight="1">
      <x:c r="A1554" s="2" t="str">
        <x:v>Sector</x:v>
      </x:c>
      <x:c r="B1554" s="2" t="str">
        <x:v>Healthcare &amp; life sciences</x:v>
      </x:c>
      <x:c r="C1554" s="12" t="str">
        <x:v>Hyderabad</x:v>
      </x:c>
      <x:c r="D1554" s="12" t="str">
        <x:v>MAIN-232</x:v>
      </x:c>
      <x:c r="E1554" s="12" t="str">
        <x:v>GAR Laxmi Infobahn (T1, T2){IE}</x:v>
      </x:c>
      <x:c r="F1554" s="11" t="n">
        <x:v>21</x:v>
      </x:c>
      <x:c r="G1554" s="11" t="n">
        <x:v>21</x:v>
      </x:c>
      <x:c r="H1554" s="11" t="n">
        <x:v>0</x:v>
      </x:c>
      <x:c r="I1554" s="17" t="n">
        <x:f>INDEX('Costing'!$P$9:$P$492,MATCH(D1554,'Costing'!$A$9:$A$492,0))</x:f>
        <x:v>315000</x:v>
      </x:c>
      <x:c r="J1554" s="17" t="n">
        <x:f>ROUND(I1554*'Costing'!$C$4,2)</x:f>
        <x:v>56700</x:v>
      </x:c>
      <x:c r="K1554" s="17" t="n">
        <x:f>I1554+J1554</x:f>
        <x:v>371700</x:v>
      </x:c>
    </x:row>
    <x:row r="1555" ht="46" customHeight="1">
      <x:c r="A1555" s="2" t="str">
        <x:v>Sector</x:v>
      </x:c>
      <x:c r="B1555" s="2" t="str">
        <x:v>Healthcare &amp; life sciences</x:v>
      </x:c>
      <x:c r="C1555" s="12" t="str">
        <x:v>Hyderabad</x:v>
      </x:c>
      <x:c r="D1555" s="12" t="str">
        <x:v>MAIN-240</x:v>
      </x:c>
      <x:c r="E1555" s="12" t="str">
        <x:v>NSL Arena Tech Park</x:v>
      </x:c>
      <x:c r="F1555" s="11" t="n">
        <x:v>13</x:v>
      </x:c>
      <x:c r="G1555" s="11" t="n">
        <x:v>13</x:v>
      </x:c>
      <x:c r="H1555" s="11" t="n">
        <x:v>0</x:v>
      </x:c>
      <x:c r="I1555" s="17" t="n">
        <x:f>INDEX('Costing'!$P$9:$P$492,MATCH(D1555,'Costing'!$A$9:$A$492,0))</x:f>
        <x:v>195000</x:v>
      </x:c>
      <x:c r="J1555" s="17" t="n">
        <x:f>ROUND(I1555*'Costing'!$C$4,2)</x:f>
        <x:v>35100</x:v>
      </x:c>
      <x:c r="K1555" s="17" t="n">
        <x:f>I1555+J1555</x:f>
        <x:v>230100</x:v>
      </x:c>
    </x:row>
    <x:row r="1556" ht="46" customHeight="1">
      <x:c r="A1556" s="2" t="str">
        <x:v>Sector</x:v>
      </x:c>
      <x:c r="B1556" s="2" t="str">
        <x:v>Healthcare &amp; life sciences</x:v>
      </x:c>
      <x:c r="C1556" s="12" t="str">
        <x:v>Hyderabad</x:v>
      </x:c>
      <x:c r="D1556" s="12" t="str">
        <x:v>MAIN-245</x:v>
      </x:c>
      <x:c r="E1556" s="12" t="str">
        <x:v>Phoenix IVY</x:v>
      </x:c>
      <x:c r="F1556" s="11" t="n">
        <x:v>1</x:v>
      </x:c>
      <x:c r="G1556" s="11" t="n">
        <x:v>1</x:v>
      </x:c>
      <x:c r="H1556" s="11" t="n">
        <x:v>0</x:v>
      </x:c>
      <x:c r="I1556" s="17" t="n">
        <x:f>INDEX('Costing'!$P$9:$P$492,MATCH(D1556,'Costing'!$A$9:$A$492,0))</x:f>
        <x:v>40000</x:v>
      </x:c>
      <x:c r="J1556" s="17" t="n">
        <x:f>ROUND(I1556*'Costing'!$C$4,2)</x:f>
        <x:v>7200</x:v>
      </x:c>
      <x:c r="K1556" s="17" t="n">
        <x:f>I1556+J1556</x:f>
        <x:v>47200</x:v>
      </x:c>
    </x:row>
    <x:row r="1557" ht="46" customHeight="1">
      <x:c r="A1557" s="2" t="str">
        <x:v>Sector</x:v>
      </x:c>
      <x:c r="B1557" s="2" t="str">
        <x:v>Healthcare &amp; life sciences</x:v>
      </x:c>
      <x:c r="C1557" s="12" t="str">
        <x:v>Hyderabad</x:v>
      </x:c>
      <x:c r="D1557" s="12" t="str">
        <x:v>MAIN-251</x:v>
      </x:c>
      <x:c r="E1557" s="12" t="str">
        <x:v>Raheja IT Park Tower 3</x:v>
      </x:c>
      <x:c r="F1557" s="11" t="n">
        <x:v>2</x:v>
      </x:c>
      <x:c r="G1557" s="11" t="n">
        <x:v>2</x:v>
      </x:c>
      <x:c r="H1557" s="11" t="n">
        <x:v>0</x:v>
      </x:c>
      <x:c r="I1557" s="17" t="n">
        <x:f>INDEX('Costing'!$P$9:$P$492,MATCH(D1557,'Costing'!$A$9:$A$492,0))</x:f>
        <x:v>40000</x:v>
      </x:c>
      <x:c r="J1557" s="17" t="n">
        <x:f>ROUND(I1557*'Costing'!$C$4,2)</x:f>
        <x:v>7200</x:v>
      </x:c>
      <x:c r="K1557" s="17" t="n">
        <x:f>I1557+J1557</x:f>
        <x:v>47200</x:v>
      </x:c>
    </x:row>
    <x:row r="1558" ht="46" customHeight="1">
      <x:c r="A1558" s="2" t="str">
        <x:v>Sector</x:v>
      </x:c>
      <x:c r="B1558" s="2" t="str">
        <x:v>Healthcare &amp; life sciences</x:v>
      </x:c>
      <x:c r="C1558" s="12" t="str">
        <x:v>Hyderabad</x:v>
      </x:c>
      <x:c r="D1558" s="12" t="str">
        <x:v>MAIN-255</x:v>
      </x:c>
      <x:c r="E1558" s="12" t="str">
        <x:v>Sattva Orwell (Redbrick Offices)</x:v>
      </x:c>
      <x:c r="F1558" s="11" t="n">
        <x:v>3</x:v>
      </x:c>
      <x:c r="G1558" s="11" t="n">
        <x:v>3</x:v>
      </x:c>
      <x:c r="H1558" s="11" t="n">
        <x:v>0</x:v>
      </x:c>
      <x:c r="I1558" s="17" t="n">
        <x:f>INDEX('Costing'!$P$9:$P$492,MATCH(D1558,'Costing'!$A$9:$A$492,0))</x:f>
        <x:v>45000</x:v>
      </x:c>
      <x:c r="J1558" s="17" t="n">
        <x:f>ROUND(I1558*'Costing'!$C$4,2)</x:f>
        <x:v>8100</x:v>
      </x:c>
      <x:c r="K1558" s="17" t="n">
        <x:f>I1558+J1558</x:f>
        <x:v>53100</x:v>
      </x:c>
    </x:row>
    <x:row r="1559" ht="46" customHeight="1">
      <x:c r="A1559" s="2" t="str">
        <x:v>Sector</x:v>
      </x:c>
      <x:c r="B1559" s="2" t="str">
        <x:v>Healthcare &amp; life sciences</x:v>
      </x:c>
      <x:c r="C1559" s="12" t="str">
        <x:v>Hyderabad</x:v>
      </x:c>
      <x:c r="D1559" s="12" t="str">
        <x:v>MAIN-260</x:v>
      </x:c>
      <x:c r="E1559" s="12" t="str">
        <x:v>T-Hub</x:v>
      </x:c>
      <x:c r="F1559" s="11" t="n">
        <x:v>22</x:v>
      </x:c>
      <x:c r="G1559" s="11" t="n">
        <x:v>22</x:v>
      </x:c>
      <x:c r="H1559" s="11" t="n">
        <x:v>0</x:v>
      </x:c>
      <x:c r="I1559" s="17" t="n">
        <x:f>INDEX('Costing'!$P$9:$P$492,MATCH(D1559,'Costing'!$A$9:$A$492,0))</x:f>
        <x:v>715000</x:v>
      </x:c>
      <x:c r="J1559" s="17" t="n">
        <x:f>ROUND(I1559*'Costing'!$C$4,2)</x:f>
        <x:v>128700</x:v>
      </x:c>
      <x:c r="K1559" s="17" t="n">
        <x:f>I1559+J1559</x:f>
        <x:v>843700</x:v>
      </x:c>
    </x:row>
    <x:row r="1560" ht="46" customHeight="1">
      <x:c r="A1560" s="2" t="str">
        <x:v>Sector</x:v>
      </x:c>
      <x:c r="B1560" s="2" t="str">
        <x:v>Healthcare &amp; life sciences</x:v>
      </x:c>
      <x:c r="C1560" s="12" t="str">
        <x:v>Indore</x:v>
      </x:c>
      <x:c r="D1560" s="12" t="str">
        <x:v>MAIN-267</x:v>
      </x:c>
      <x:c r="E1560" s="12" t="str">
        <x:v>Apollo Gold Plaza</x:v>
      </x:c>
      <x:c r="F1560" s="11" t="n">
        <x:v>2</x:v>
      </x:c>
      <x:c r="G1560" s="11" t="n">
        <x:v>2</x:v>
      </x:c>
      <x:c r="H1560" s="11" t="n">
        <x:v>0</x:v>
      </x:c>
      <x:c r="I1560" s="17" t="n">
        <x:f>INDEX('Costing'!$P$9:$P$492,MATCH(D1560,'Costing'!$A$9:$A$492,0))</x:f>
        <x:v>40000</x:v>
      </x:c>
      <x:c r="J1560" s="17" t="n">
        <x:f>ROUND(I1560*'Costing'!$C$4,2)</x:f>
        <x:v>7200</x:v>
      </x:c>
      <x:c r="K1560" s="17" t="n">
        <x:f>I1560+J1560</x:f>
        <x:v>47200</x:v>
      </x:c>
    </x:row>
    <x:row r="1561" ht="46" customHeight="1">
      <x:c r="A1561" s="2" t="str">
        <x:v>Sector</x:v>
      </x:c>
      <x:c r="B1561" s="2" t="str">
        <x:v>Healthcare &amp; life sciences</x:v>
      </x:c>
      <x:c r="C1561" s="12" t="str">
        <x:v>Indore</x:v>
      </x:c>
      <x:c r="D1561" s="12" t="str">
        <x:v>MAIN-269</x:v>
      </x:c>
      <x:c r="E1561" s="12" t="str">
        <x:v>Benchmark</x:v>
      </x:c>
      <x:c r="F1561" s="11" t="n">
        <x:v>1</x:v>
      </x:c>
      <x:c r="G1561" s="11" t="n">
        <x:v>1</x:v>
      </x:c>
      <x:c r="H1561" s="11" t="n">
        <x:v>0</x:v>
      </x:c>
      <x:c r="I1561" s="17" t="n">
        <x:f>INDEX('Costing'!$P$9:$P$492,MATCH(D1561,'Costing'!$A$9:$A$492,0))</x:f>
        <x:v>40000</x:v>
      </x:c>
      <x:c r="J1561" s="17" t="n">
        <x:f>ROUND(I1561*'Costing'!$C$4,2)</x:f>
        <x:v>7200</x:v>
      </x:c>
      <x:c r="K1561" s="17" t="n">
        <x:f>I1561+J1561</x:f>
        <x:v>47200</x:v>
      </x:c>
    </x:row>
    <x:row r="1562" ht="46" customHeight="1">
      <x:c r="A1562" s="2" t="str">
        <x:v>Sector</x:v>
      </x:c>
      <x:c r="B1562" s="2" t="str">
        <x:v>Healthcare &amp; life sciences</x:v>
      </x:c>
      <x:c r="C1562" s="12" t="str">
        <x:v>Indore</x:v>
      </x:c>
      <x:c r="D1562" s="12" t="str">
        <x:v>MAIN-272</x:v>
      </x:c>
      <x:c r="E1562" s="12" t="str">
        <x:v>Maloo - 01</x:v>
      </x:c>
      <x:c r="F1562" s="11" t="n">
        <x:v>1</x:v>
      </x:c>
      <x:c r="G1562" s="11" t="n">
        <x:v>1</x:v>
      </x:c>
      <x:c r="H1562" s="11" t="n">
        <x:v>0</x:v>
      </x:c>
      <x:c r="I1562" s="17" t="n">
        <x:f>INDEX('Costing'!$P$9:$P$492,MATCH(D1562,'Costing'!$A$9:$A$492,0))</x:f>
        <x:v>20000</x:v>
      </x:c>
      <x:c r="J1562" s="17" t="n">
        <x:f>ROUND(I1562*'Costing'!$C$4,2)</x:f>
        <x:v>3600</x:v>
      </x:c>
      <x:c r="K1562" s="17" t="n">
        <x:f>I1562+J1562</x:f>
        <x:v>23600</x:v>
      </x:c>
    </x:row>
    <x:row r="1563" ht="46" customHeight="1">
      <x:c r="A1563" s="2" t="str">
        <x:v>Sector</x:v>
      </x:c>
      <x:c r="B1563" s="2" t="str">
        <x:v>Healthcare &amp; life sciences</x:v>
      </x:c>
      <x:c r="C1563" s="12" t="str">
        <x:v>Indore</x:v>
      </x:c>
      <x:c r="D1563" s="12" t="str">
        <x:v>MAIN-273</x:v>
      </x:c>
      <x:c r="E1563" s="12" t="str">
        <x:v>Metro Tower</x:v>
      </x:c>
      <x:c r="F1563" s="11" t="n">
        <x:v>2</x:v>
      </x:c>
      <x:c r="G1563" s="11" t="n">
        <x:v>2</x:v>
      </x:c>
      <x:c r="H1563" s="11" t="n">
        <x:v>0</x:v>
      </x:c>
      <x:c r="I1563" s="17" t="n">
        <x:f>INDEX('Costing'!$P$9:$P$492,MATCH(D1563,'Costing'!$A$9:$A$492,0))</x:f>
        <x:v>40000</x:v>
      </x:c>
      <x:c r="J1563" s="17" t="n">
        <x:f>ROUND(I1563*'Costing'!$C$4,2)</x:f>
        <x:v>7200</x:v>
      </x:c>
      <x:c r="K1563" s="17" t="n">
        <x:f>I1563+J1563</x:f>
        <x:v>47200</x:v>
      </x:c>
    </x:row>
    <x:row r="1564" ht="46" customHeight="1">
      <x:c r="A1564" s="2" t="str">
        <x:v>Sector</x:v>
      </x:c>
      <x:c r="B1564" s="2" t="str">
        <x:v>Healthcare &amp; life sciences</x:v>
      </x:c>
      <x:c r="C1564" s="12" t="str">
        <x:v>Indore</x:v>
      </x:c>
      <x:c r="D1564" s="12" t="str">
        <x:v>MAIN-276</x:v>
      </x:c>
      <x:c r="E1564" s="12" t="str">
        <x:v>Satyaraj Complex</x:v>
      </x:c>
      <x:c r="F1564" s="11" t="n">
        <x:v>1</x:v>
      </x:c>
      <x:c r="G1564" s="11" t="n">
        <x:v>1</x:v>
      </x:c>
      <x:c r="H1564" s="11" t="n">
        <x:v>0</x:v>
      </x:c>
      <x:c r="I1564" s="17" t="n">
        <x:f>INDEX('Costing'!$P$9:$P$492,MATCH(D1564,'Costing'!$A$9:$A$492,0))</x:f>
        <x:v>20000</x:v>
      </x:c>
      <x:c r="J1564" s="17" t="n">
        <x:f>ROUND(I1564*'Costing'!$C$4,2)</x:f>
        <x:v>3600</x:v>
      </x:c>
      <x:c r="K1564" s="17" t="n">
        <x:f>I1564+J1564</x:f>
        <x:v>23600</x:v>
      </x:c>
    </x:row>
    <x:row r="1565" ht="46" customHeight="1">
      <x:c r="A1565" s="2" t="str">
        <x:v>Sector</x:v>
      </x:c>
      <x:c r="B1565" s="2" t="str">
        <x:v>Healthcare &amp; life sciences</x:v>
      </x:c>
      <x:c r="C1565" s="12" t="str">
        <x:v>Kolkata</x:v>
      </x:c>
      <x:c r="D1565" s="12" t="str">
        <x:v>MAIN-282</x:v>
      </x:c>
      <x:c r="E1565" s="12" t="str">
        <x:v>Awfis - Ecospace Business Park 2</x:v>
      </x:c>
      <x:c r="F1565" s="11" t="n">
        <x:v>2</x:v>
      </x:c>
      <x:c r="G1565" s="11" t="n">
        <x:v>2</x:v>
      </x:c>
      <x:c r="H1565" s="11" t="n">
        <x:v>0</x:v>
      </x:c>
      <x:c r="I1565" s="17" t="n">
        <x:f>INDEX('Costing'!$P$9:$P$492,MATCH(D1565,'Costing'!$A$9:$A$492,0))</x:f>
        <x:v>30000</x:v>
      </x:c>
      <x:c r="J1565" s="17" t="n">
        <x:f>ROUND(I1565*'Costing'!$C$4,2)</x:f>
        <x:v>5400</x:v>
      </x:c>
      <x:c r="K1565" s="17" t="n">
        <x:f>I1565+J1565</x:f>
        <x:v>35400</x:v>
      </x:c>
    </x:row>
    <x:row r="1566" ht="46" customHeight="1">
      <x:c r="A1566" s="2" t="str">
        <x:v>Sector</x:v>
      </x:c>
      <x:c r="B1566" s="2" t="str">
        <x:v>Healthcare &amp; life sciences</x:v>
      </x:c>
      <x:c r="C1566" s="12" t="str">
        <x:v>Lucknow</x:v>
      </x:c>
      <x:c r="D1566" s="12" t="str">
        <x:v>MAIN-291</x:v>
      </x:c>
      <x:c r="E1566" s="12" t="str">
        <x:v>Levana Cyber Heights</x:v>
      </x:c>
      <x:c r="F1566" s="11" t="n">
        <x:v>4</x:v>
      </x:c>
      <x:c r="G1566" s="11" t="n">
        <x:v>4</x:v>
      </x:c>
      <x:c r="H1566" s="11" t="n">
        <x:v>0</x:v>
      </x:c>
      <x:c r="I1566" s="17" t="n">
        <x:f>INDEX('Costing'!$P$9:$P$492,MATCH(D1566,'Costing'!$A$9:$A$492,0))</x:f>
        <x:v>160000</x:v>
      </x:c>
      <x:c r="J1566" s="17" t="n">
        <x:f>ROUND(I1566*'Costing'!$C$4,2)</x:f>
        <x:v>28800</x:v>
      </x:c>
      <x:c r="K1566" s="17" t="n">
        <x:f>I1566+J1566</x:f>
        <x:v>188800</x:v>
      </x:c>
    </x:row>
    <x:row r="1567" ht="46" customHeight="1">
      <x:c r="A1567" s="2" t="str">
        <x:v>Sector</x:v>
      </x:c>
      <x:c r="B1567" s="2" t="str">
        <x:v>Healthcare &amp; life sciences</x:v>
      </x:c>
      <x:c r="C1567" s="12" t="str">
        <x:v>Lucknow</x:v>
      </x:c>
      <x:c r="D1567" s="12" t="str">
        <x:v>MAIN-292</x:v>
      </x:c>
      <x:c r="E1567" s="12" t="str">
        <x:v>Levana Cyber Tower</x:v>
      </x:c>
      <x:c r="F1567" s="11" t="n">
        <x:v>3</x:v>
      </x:c>
      <x:c r="G1567" s="11" t="n">
        <x:v>3</x:v>
      </x:c>
      <x:c r="H1567" s="11" t="n">
        <x:v>0</x:v>
      </x:c>
      <x:c r="I1567" s="17" t="n">
        <x:f>INDEX('Costing'!$P$9:$P$492,MATCH(D1567,'Costing'!$A$9:$A$492,0))</x:f>
        <x:v>120000</x:v>
      </x:c>
      <x:c r="J1567" s="17" t="n">
        <x:f>ROUND(I1567*'Costing'!$C$4,2)</x:f>
        <x:v>21600</x:v>
      </x:c>
      <x:c r="K1567" s="17" t="n">
        <x:f>I1567+J1567</x:f>
        <x:v>141600</x:v>
      </x:c>
    </x:row>
    <x:row r="1568" ht="46" customHeight="1">
      <x:c r="A1568" s="2" t="str">
        <x:v>Sector</x:v>
      </x:c>
      <x:c r="B1568" s="2" t="str">
        <x:v>Healthcare &amp; life sciences</x:v>
      </x:c>
      <x:c r="C1568" s="12" t="str">
        <x:v>Mumbai</x:v>
      </x:c>
      <x:c r="D1568" s="12" t="str">
        <x:v>MAIN-296</x:v>
      </x:c>
      <x:c r="E1568" s="12" t="str">
        <x:v>Awfis - Cyber One</x:v>
      </x:c>
      <x:c r="F1568" s="11" t="n">
        <x:v>1</x:v>
      </x:c>
      <x:c r="G1568" s="11" t="n">
        <x:v>1</x:v>
      </x:c>
      <x:c r="H1568" s="11" t="n">
        <x:v>0</x:v>
      </x:c>
      <x:c r="I1568" s="17" t="n">
        <x:f>INDEX('Costing'!$P$9:$P$492,MATCH(D1568,'Costing'!$A$9:$A$492,0))</x:f>
        <x:v>15000</x:v>
      </x:c>
      <x:c r="J1568" s="17" t="n">
        <x:f>ROUND(I1568*'Costing'!$C$4,2)</x:f>
        <x:v>2700</x:v>
      </x:c>
      <x:c r="K1568" s="17" t="n">
        <x:f>I1568+J1568</x:f>
        <x:v>17700</x:v>
      </x:c>
    </x:row>
    <x:row r="1569" ht="46" customHeight="1">
      <x:c r="A1569" s="2" t="str">
        <x:v>Sector</x:v>
      </x:c>
      <x:c r="B1569" s="2" t="str">
        <x:v>Healthcare &amp; life sciences</x:v>
      </x:c>
      <x:c r="C1569" s="12" t="str">
        <x:v>Mumbai</x:v>
      </x:c>
      <x:c r="D1569" s="12" t="str">
        <x:v>MAIN-297</x:v>
      </x:c>
      <x:c r="E1569" s="12" t="str">
        <x:v>Awfis - Empire Tower</x:v>
      </x:c>
      <x:c r="F1569" s="11" t="n">
        <x:v>1</x:v>
      </x:c>
      <x:c r="G1569" s="11" t="n">
        <x:v>1</x:v>
      </x:c>
      <x:c r="H1569" s="11" t="n">
        <x:v>0</x:v>
      </x:c>
      <x:c r="I1569" s="17" t="n">
        <x:f>INDEX('Costing'!$P$9:$P$492,MATCH(D1569,'Costing'!$A$9:$A$492,0))</x:f>
        <x:v>15000</x:v>
      </x:c>
      <x:c r="J1569" s="17" t="n">
        <x:f>ROUND(I1569*'Costing'!$C$4,2)</x:f>
        <x:v>2700</x:v>
      </x:c>
      <x:c r="K1569" s="17" t="n">
        <x:f>I1569+J1569</x:f>
        <x:v>17700</x:v>
      </x:c>
    </x:row>
    <x:row r="1570" ht="46" customHeight="1">
      <x:c r="A1570" s="2" t="str">
        <x:v>Sector</x:v>
      </x:c>
      <x:c r="B1570" s="2" t="str">
        <x:v>Healthcare &amp; life sciences</x:v>
      </x:c>
      <x:c r="C1570" s="12" t="str">
        <x:v>Mumbai</x:v>
      </x:c>
      <x:c r="D1570" s="12" t="str">
        <x:v>MAIN-300</x:v>
      </x:c>
      <x:c r="E1570" s="12" t="str">
        <x:v>Awfis - Lokhandwala Aston Building</x:v>
      </x:c>
      <x:c r="F1570" s="11" t="n">
        <x:v>1</x:v>
      </x:c>
      <x:c r="G1570" s="11" t="n">
        <x:v>1</x:v>
      </x:c>
      <x:c r="H1570" s="11" t="n">
        <x:v>0</x:v>
      </x:c>
      <x:c r="I1570" s="17" t="n">
        <x:f>INDEX('Costing'!$P$9:$P$492,MATCH(D1570,'Costing'!$A$9:$A$492,0))</x:f>
        <x:v>15000</x:v>
      </x:c>
      <x:c r="J1570" s="17" t="n">
        <x:f>ROUND(I1570*'Costing'!$C$4,2)</x:f>
        <x:v>2700</x:v>
      </x:c>
      <x:c r="K1570" s="17" t="n">
        <x:f>I1570+J1570</x:f>
        <x:v>17700</x:v>
      </x:c>
    </x:row>
    <x:row r="1571" ht="46" customHeight="1">
      <x:c r="A1571" s="2" t="str">
        <x:v>Sector</x:v>
      </x:c>
      <x:c r="B1571" s="2" t="str">
        <x:v>Healthcare &amp; life sciences</x:v>
      </x:c>
      <x:c r="C1571" s="12" t="str">
        <x:v>Mumbai</x:v>
      </x:c>
      <x:c r="D1571" s="12" t="str">
        <x:v>MAIN-305</x:v>
      </x:c>
      <x:c r="E1571" s="12" t="str">
        <x:v>Awfis - Vaman Techno Center</x:v>
      </x:c>
      <x:c r="F1571" s="11" t="n">
        <x:v>2</x:v>
      </x:c>
      <x:c r="G1571" s="11" t="n">
        <x:v>2</x:v>
      </x:c>
      <x:c r="H1571" s="11" t="n">
        <x:v>0</x:v>
      </x:c>
      <x:c r="I1571" s="17" t="n">
        <x:f>INDEX('Costing'!$P$9:$P$492,MATCH(D1571,'Costing'!$A$9:$A$492,0))</x:f>
        <x:v>30000</x:v>
      </x:c>
      <x:c r="J1571" s="17" t="n">
        <x:f>ROUND(I1571*'Costing'!$C$4,2)</x:f>
        <x:v>5400</x:v>
      </x:c>
      <x:c r="K1571" s="17" t="n">
        <x:f>I1571+J1571</x:f>
        <x:v>35400</x:v>
      </x:c>
    </x:row>
    <x:row r="1572" ht="46" customHeight="1">
      <x:c r="A1572" s="2" t="str">
        <x:v>Sector</x:v>
      </x:c>
      <x:c r="B1572" s="2" t="str">
        <x:v>Healthcare &amp; life sciences</x:v>
      </x:c>
      <x:c r="C1572" s="12" t="str">
        <x:v>Mumbai</x:v>
      </x:c>
      <x:c r="D1572" s="12" t="str">
        <x:v>MAIN-308</x:v>
      </x:c>
      <x:c r="E1572" s="12" t="str">
        <x:v>Bsel Tech Park</x:v>
      </x:c>
      <x:c r="F1572" s="11" t="n">
        <x:v>47</x:v>
      </x:c>
      <x:c r="G1572" s="11" t="n">
        <x:v>47</x:v>
      </x:c>
      <x:c r="H1572" s="11" t="n">
        <x:v>0</x:v>
      </x:c>
      <x:c r="I1572" s="17" t="n">
        <x:f>INDEX('Costing'!$P$9:$P$492,MATCH(D1572,'Costing'!$A$9:$A$492,0))</x:f>
        <x:v>705000</x:v>
      </x:c>
      <x:c r="J1572" s="17" t="n">
        <x:f>ROUND(I1572*'Costing'!$C$4,2)</x:f>
        <x:v>126900</x:v>
      </x:c>
      <x:c r="K1572" s="17" t="n">
        <x:f>I1572+J1572</x:f>
        <x:v>831900</x:v>
      </x:c>
    </x:row>
    <x:row r="1573" ht="46" customHeight="1">
      <x:c r="A1573" s="2" t="str">
        <x:v>Sector</x:v>
      </x:c>
      <x:c r="B1573" s="2" t="str">
        <x:v>Healthcare &amp; life sciences</x:v>
      </x:c>
      <x:c r="C1573" s="12" t="str">
        <x:v>Mumbai</x:v>
      </x:c>
      <x:c r="D1573" s="12" t="str">
        <x:v>MAIN-316</x:v>
      </x:c>
      <x:c r="E1573" s="12" t="str">
        <x:v>Fleet House Global Park</x:v>
      </x:c>
      <x:c r="F1573" s="11" t="n">
        <x:v>2</x:v>
      </x:c>
      <x:c r="G1573" s="11" t="n">
        <x:v>2</x:v>
      </x:c>
      <x:c r="H1573" s="11" t="n">
        <x:v>0</x:v>
      </x:c>
      <x:c r="I1573" s="17" t="n">
        <x:f>INDEX('Costing'!$P$9:$P$492,MATCH(D1573,'Costing'!$A$9:$A$492,0))</x:f>
        <x:v>40000</x:v>
      </x:c>
      <x:c r="J1573" s="17" t="n">
        <x:f>ROUND(I1573*'Costing'!$C$4,2)</x:f>
        <x:v>7200</x:v>
      </x:c>
      <x:c r="K1573" s="17" t="n">
        <x:f>I1573+J1573</x:f>
        <x:v>47200</x:v>
      </x:c>
    </x:row>
    <x:row r="1574" ht="46" customHeight="1">
      <x:c r="A1574" s="2" t="str">
        <x:v>Sector</x:v>
      </x:c>
      <x:c r="B1574" s="2" t="str">
        <x:v>Healthcare &amp; life sciences</x:v>
      </x:c>
      <x:c r="C1574" s="12" t="str">
        <x:v>Mumbai</x:v>
      </x:c>
      <x:c r="D1574" s="12" t="str">
        <x:v>MAIN-323</x:v>
      </x:c>
      <x:c r="E1574" s="12" t="str">
        <x:v>Mumbai - BKC</x:v>
      </x:c>
      <x:c r="F1574" s="11" t="n">
        <x:v>1</x:v>
      </x:c>
      <x:c r="G1574" s="11" t="n">
        <x:v>1</x:v>
      </x:c>
      <x:c r="H1574" s="11" t="n">
        <x:v>0</x:v>
      </x:c>
      <x:c r="I1574" s="17" t="n">
        <x:f>INDEX('Costing'!$P$9:$P$492,MATCH(D1574,'Costing'!$A$9:$A$492,0))</x:f>
        <x:v>15000</x:v>
      </x:c>
      <x:c r="J1574" s="17" t="n">
        <x:f>ROUND(I1574*'Costing'!$C$4,2)</x:f>
        <x:v>2700</x:v>
      </x:c>
      <x:c r="K1574" s="17" t="n">
        <x:f>I1574+J1574</x:f>
        <x:v>17700</x:v>
      </x:c>
    </x:row>
    <x:row r="1575" ht="46" customHeight="1">
      <x:c r="A1575" s="2" t="str">
        <x:v>Sector</x:v>
      </x:c>
      <x:c r="B1575" s="2" t="str">
        <x:v>Healthcare &amp; life sciences</x:v>
      </x:c>
      <x:c r="C1575" s="12" t="str">
        <x:v>Mumbai</x:v>
      </x:c>
      <x:c r="D1575" s="12" t="str">
        <x:v>MAIN-326</x:v>
      </x:c>
      <x:c r="E1575" s="12" t="str">
        <x:v>Nucleus - One International Center</x:v>
      </x:c>
      <x:c r="F1575" s="11" t="n">
        <x:v>9</x:v>
      </x:c>
      <x:c r="G1575" s="11" t="n">
        <x:v>9</x:v>
      </x:c>
      <x:c r="H1575" s="11" t="n">
        <x:v>0</x:v>
      </x:c>
      <x:c r="I1575" s="17" t="n">
        <x:f>INDEX('Costing'!$P$9:$P$492,MATCH(D1575,'Costing'!$A$9:$A$492,0))</x:f>
        <x:v>360000</x:v>
      </x:c>
      <x:c r="J1575" s="17" t="n">
        <x:f>ROUND(I1575*'Costing'!$C$4,2)</x:f>
        <x:v>64800</x:v>
      </x:c>
      <x:c r="K1575" s="17" t="n">
        <x:f>I1575+J1575</x:f>
        <x:v>424800</x:v>
      </x:c>
    </x:row>
    <x:row r="1576" ht="46" customHeight="1">
      <x:c r="A1576" s="2" t="str">
        <x:v>Sector</x:v>
      </x:c>
      <x:c r="B1576" s="2" t="str">
        <x:v>Healthcare &amp; life sciences</x:v>
      </x:c>
      <x:c r="C1576" s="12" t="str">
        <x:v>Mumbai</x:v>
      </x:c>
      <x:c r="D1576" s="12" t="str">
        <x:v>MAIN-327</x:v>
      </x:c>
      <x:c r="E1576" s="12" t="str">
        <x:v>Nucleus - One World Center</x:v>
      </x:c>
      <x:c r="F1576" s="11" t="n">
        <x:v>8</x:v>
      </x:c>
      <x:c r="G1576" s="11" t="n">
        <x:v>8</x:v>
      </x:c>
      <x:c r="H1576" s="11" t="n">
        <x:v>0</x:v>
      </x:c>
      <x:c r="I1576" s="17" t="n">
        <x:f>INDEX('Costing'!$P$9:$P$492,MATCH(D1576,'Costing'!$A$9:$A$492,0))</x:f>
        <x:v>320000</x:v>
      </x:c>
      <x:c r="J1576" s="17" t="n">
        <x:f>ROUND(I1576*'Costing'!$C$4,2)</x:f>
        <x:v>57600</x:v>
      </x:c>
      <x:c r="K1576" s="17" t="n">
        <x:f>I1576+J1576</x:f>
        <x:v>377600</x:v>
      </x:c>
    </x:row>
    <x:row r="1577" ht="46" customHeight="1">
      <x:c r="A1577" s="2" t="str">
        <x:v>Sector</x:v>
      </x:c>
      <x:c r="B1577" s="2" t="str">
        <x:v>Healthcare &amp; life sciences</x:v>
      </x:c>
      <x:c r="C1577" s="12" t="str">
        <x:v>Mumbai</x:v>
      </x:c>
      <x:c r="D1577" s="12" t="str">
        <x:v>MAIN-331</x:v>
      </x:c>
      <x:c r="E1577" s="12" t="str">
        <x:v>One World Centre (Redbrick Offices)</x:v>
      </x:c>
      <x:c r="F1577" s="11" t="n">
        <x:v>1</x:v>
      </x:c>
      <x:c r="G1577" s="11" t="n">
        <x:v>1</x:v>
      </x:c>
      <x:c r="H1577" s="11" t="n">
        <x:v>0</x:v>
      </x:c>
      <x:c r="I1577" s="17" t="n">
        <x:f>INDEX('Costing'!$P$9:$P$492,MATCH(D1577,'Costing'!$A$9:$A$492,0))</x:f>
        <x:v>15000</x:v>
      </x:c>
      <x:c r="J1577" s="17" t="n">
        <x:f>ROUND(I1577*'Costing'!$C$4,2)</x:f>
        <x:v>2700</x:v>
      </x:c>
      <x:c r="K1577" s="17" t="n">
        <x:f>I1577+J1577</x:f>
        <x:v>17700</x:v>
      </x:c>
    </x:row>
    <x:row r="1578" ht="46" customHeight="1">
      <x:c r="A1578" s="2" t="str">
        <x:v>Sector</x:v>
      </x:c>
      <x:c r="B1578" s="2" t="str">
        <x:v>Healthcare &amp; life sciences</x:v>
      </x:c>
      <x:c r="C1578" s="12" t="str">
        <x:v>Mumbai</x:v>
      </x:c>
      <x:c r="D1578" s="12" t="str">
        <x:v>MAIN-337</x:v>
      </x:c>
      <x:c r="E1578" s="12" t="str">
        <x:v>Raheja Mindspace IT Park - Airoli East</x:v>
      </x:c>
      <x:c r="F1578" s="11" t="n">
        <x:v>12</x:v>
      </x:c>
      <x:c r="G1578" s="11" t="n">
        <x:v>12</x:v>
      </x:c>
      <x:c r="H1578" s="11" t="n">
        <x:v>0</x:v>
      </x:c>
      <x:c r="I1578" s="17" t="n">
        <x:f>INDEX('Costing'!$P$9:$P$492,MATCH(D1578,'Costing'!$A$9:$A$492,0))</x:f>
        <x:v>390000</x:v>
      </x:c>
      <x:c r="J1578" s="17" t="n">
        <x:f>ROUND(I1578*'Costing'!$C$4,2)</x:f>
        <x:v>70200</x:v>
      </x:c>
      <x:c r="K1578" s="17" t="n">
        <x:f>I1578+J1578</x:f>
        <x:v>460200</x:v>
      </x:c>
    </x:row>
    <x:row r="1579" ht="46" customHeight="1">
      <x:c r="A1579" s="2" t="str">
        <x:v>Sector</x:v>
      </x:c>
      <x:c r="B1579" s="2" t="str">
        <x:v>Healthcare &amp; life sciences</x:v>
      </x:c>
      <x:c r="C1579" s="12" t="str">
        <x:v>Mumbai</x:v>
      </x:c>
      <x:c r="D1579" s="12" t="str">
        <x:v>MAIN-348</x:v>
      </x:c>
      <x:c r="E1579" s="12" t="str">
        <x:v>TEX Centre (Redbrick Offices)</x:v>
      </x:c>
      <x:c r="F1579" s="11" t="n">
        <x:v>1</x:v>
      </x:c>
      <x:c r="G1579" s="11" t="n">
        <x:v>1</x:v>
      </x:c>
      <x:c r="H1579" s="11" t="n">
        <x:v>0</x:v>
      </x:c>
      <x:c r="I1579" s="17" t="n">
        <x:f>INDEX('Costing'!$P$9:$P$492,MATCH(D1579,'Costing'!$A$9:$A$492,0))</x:f>
        <x:v>15000</x:v>
      </x:c>
      <x:c r="J1579" s="17" t="n">
        <x:f>ROUND(I1579*'Costing'!$C$4,2)</x:f>
        <x:v>2700</x:v>
      </x:c>
      <x:c r="K1579" s="17" t="n">
        <x:f>I1579+J1579</x:f>
        <x:v>17700</x:v>
      </x:c>
    </x:row>
    <x:row r="1580" ht="46" customHeight="1">
      <x:c r="A1580" s="2" t="str">
        <x:v>Sector</x:v>
      </x:c>
      <x:c r="B1580" s="2" t="str">
        <x:v>Healthcare &amp; life sciences</x:v>
      </x:c>
      <x:c r="C1580" s="12" t="str">
        <x:v>Mumbai</x:v>
      </x:c>
      <x:c r="D1580" s="12" t="str">
        <x:v>MAIN-350</x:v>
      </x:c>
      <x:c r="E1580" s="12" t="str">
        <x:v>The Summit Business Park Premises</x:v>
      </x:c>
      <x:c r="F1580" s="11" t="n">
        <x:v>70</x:v>
      </x:c>
      <x:c r="G1580" s="11" t="n">
        <x:v>70</x:v>
      </x:c>
      <x:c r="H1580" s="11" t="n">
        <x:v>0</x:v>
      </x:c>
      <x:c r="I1580" s="17" t="n">
        <x:f>INDEX('Costing'!$P$9:$P$492,MATCH(D1580,'Costing'!$A$9:$A$492,0))</x:f>
        <x:v>1050000</x:v>
      </x:c>
      <x:c r="J1580" s="17" t="n">
        <x:f>ROUND(I1580*'Costing'!$C$4,2)</x:f>
        <x:v>189000</x:v>
      </x:c>
      <x:c r="K1580" s="17" t="n">
        <x:f>I1580+J1580</x:f>
        <x:v>1239000</x:v>
      </x:c>
    </x:row>
    <x:row r="1581" ht="46" customHeight="1">
      <x:c r="A1581" s="2" t="str">
        <x:v>Sector</x:v>
      </x:c>
      <x:c r="B1581" s="2" t="str">
        <x:v>Healthcare &amp; life sciences</x:v>
      </x:c>
      <x:c r="C1581" s="12" t="str">
        <x:v>Mumbai</x:v>
      </x:c>
      <x:c r="D1581" s="12" t="str">
        <x:v>MAIN-351</x:v>
      </x:c>
      <x:c r="E1581" s="12" t="str">
        <x:v>The Western Edge 2</x:v>
      </x:c>
      <x:c r="F1581" s="11" t="n">
        <x:v>39</x:v>
      </x:c>
      <x:c r="G1581" s="11" t="n">
        <x:v>39</x:v>
      </x:c>
      <x:c r="H1581" s="11" t="n">
        <x:v>0</x:v>
      </x:c>
      <x:c r="I1581" s="17" t="n">
        <x:f>INDEX('Costing'!$P$9:$P$492,MATCH(D1581,'Costing'!$A$9:$A$492,0))</x:f>
        <x:v>585000</x:v>
      </x:c>
      <x:c r="J1581" s="17" t="n">
        <x:f>ROUND(I1581*'Costing'!$C$4,2)</x:f>
        <x:v>105300</x:v>
      </x:c>
      <x:c r="K1581" s="17" t="n">
        <x:f>I1581+J1581</x:f>
        <x:v>690300</x:v>
      </x:c>
    </x:row>
    <x:row r="1582" ht="46" customHeight="1">
      <x:c r="A1582" s="2" t="str">
        <x:v>Sector</x:v>
      </x:c>
      <x:c r="B1582" s="2" t="str">
        <x:v>Healthcare &amp; life sciences</x:v>
      </x:c>
      <x:c r="C1582" s="12" t="str">
        <x:v>Mumbai</x:v>
      </x:c>
      <x:c r="D1582" s="12" t="str">
        <x:v>MAIN-352</x:v>
      </x:c>
      <x:c r="E1582" s="12" t="str">
        <x:v>Times Square Tech Park</x:v>
      </x:c>
      <x:c r="F1582" s="11" t="n">
        <x:v>4</x:v>
      </x:c>
      <x:c r="G1582" s="11" t="n">
        <x:v>4</x:v>
      </x:c>
      <x:c r="H1582" s="11" t="n">
        <x:v>0</x:v>
      </x:c>
      <x:c r="I1582" s="17" t="n">
        <x:f>INDEX('Costing'!$P$9:$P$492,MATCH(D1582,'Costing'!$A$9:$A$492,0))</x:f>
        <x:v>80000</x:v>
      </x:c>
      <x:c r="J1582" s="17" t="n">
        <x:f>ROUND(I1582*'Costing'!$C$4,2)</x:f>
        <x:v>14400</x:v>
      </x:c>
      <x:c r="K1582" s="17" t="n">
        <x:f>I1582+J1582</x:f>
        <x:v>94400</x:v>
      </x:c>
    </x:row>
    <x:row r="1583" ht="46" customHeight="1">
      <x:c r="A1583" s="2" t="str">
        <x:v>Sector</x:v>
      </x:c>
      <x:c r="B1583" s="2" t="str">
        <x:v>Healthcare &amp; life sciences</x:v>
      </x:c>
      <x:c r="C1583" s="12" t="str">
        <x:v>Mumbai</x:v>
      </x:c>
      <x:c r="D1583" s="12" t="str">
        <x:v>MAIN-361</x:v>
      </x:c>
      <x:c r="E1583" s="12" t="str">
        <x:v>WeWork - Vikhroil 247</x:v>
      </x:c>
      <x:c r="F1583" s="11" t="n">
        <x:v>4</x:v>
      </x:c>
      <x:c r="G1583" s="11" t="n">
        <x:v>4</x:v>
      </x:c>
      <x:c r="H1583" s="11" t="n">
        <x:v>0</x:v>
      </x:c>
      <x:c r="I1583" s="17" t="n">
        <x:f>INDEX('Costing'!$P$9:$P$492,MATCH(D1583,'Costing'!$A$9:$A$492,0))</x:f>
        <x:v>100000</x:v>
      </x:c>
      <x:c r="J1583" s="17" t="n">
        <x:f>ROUND(I1583*'Costing'!$C$4,2)</x:f>
        <x:v>18000</x:v>
      </x:c>
      <x:c r="K1583" s="17" t="n">
        <x:f>I1583+J1583</x:f>
        <x:v>118000</x:v>
      </x:c>
    </x:row>
    <x:row r="1584" ht="46" customHeight="1">
      <x:c r="A1584" s="2" t="str">
        <x:v>Sector</x:v>
      </x:c>
      <x:c r="B1584" s="2" t="str">
        <x:v>Healthcare &amp; life sciences</x:v>
      </x:c>
      <x:c r="C1584" s="12" t="str">
        <x:v>Pune</x:v>
      </x:c>
      <x:c r="D1584" s="12" t="str">
        <x:v>MAIN-379</x:v>
      </x:c>
      <x:c r="E1584" s="12" t="str">
        <x:v>11 Cowork</x:v>
      </x:c>
      <x:c r="F1584" s="11" t="n">
        <x:v>1</x:v>
      </x:c>
      <x:c r="G1584" s="11" t="n">
        <x:v>1</x:v>
      </x:c>
      <x:c r="H1584" s="11" t="n">
        <x:v>0</x:v>
      </x:c>
      <x:c r="I1584" s="17" t="n">
        <x:f>INDEX('Costing'!$P$9:$P$492,MATCH(D1584,'Costing'!$A$9:$A$492,0))</x:f>
        <x:v>15000</x:v>
      </x:c>
      <x:c r="J1584" s="17" t="n">
        <x:f>ROUND(I1584*'Costing'!$C$4,2)</x:f>
        <x:v>2700</x:v>
      </x:c>
      <x:c r="K1584" s="17" t="n">
        <x:f>I1584+J1584</x:f>
        <x:v>17700</x:v>
      </x:c>
    </x:row>
    <x:row r="1585" ht="46" customHeight="1">
      <x:c r="A1585" s="2" t="str">
        <x:v>Sector</x:v>
      </x:c>
      <x:c r="B1585" s="2" t="str">
        <x:v>Healthcare &amp; life sciences</x:v>
      </x:c>
      <x:c r="C1585" s="12" t="str">
        <x:v>Pune</x:v>
      </x:c>
      <x:c r="D1585" s="12" t="str">
        <x:v>MAIN-385</x:v>
      </x:c>
      <x:c r="E1585" s="12" t="str">
        <x:v>Anchors Coworking</x:v>
      </x:c>
      <x:c r="F1585" s="11" t="n">
        <x:v>1</x:v>
      </x:c>
      <x:c r="G1585" s="11" t="n">
        <x:v>1</x:v>
      </x:c>
      <x:c r="H1585" s="11" t="n">
        <x:v>0</x:v>
      </x:c>
      <x:c r="I1585" s="17" t="n">
        <x:f>INDEX('Costing'!$P$9:$P$492,MATCH(D1585,'Costing'!$A$9:$A$492,0))</x:f>
        <x:v>15000</x:v>
      </x:c>
      <x:c r="J1585" s="17" t="n">
        <x:f>ROUND(I1585*'Costing'!$C$4,2)</x:f>
        <x:v>2700</x:v>
      </x:c>
      <x:c r="K1585" s="17" t="n">
        <x:f>I1585+J1585</x:f>
        <x:v>17700</x:v>
      </x:c>
    </x:row>
    <x:row r="1586" ht="46" customHeight="1">
      <x:c r="A1586" s="2" t="str">
        <x:v>Sector</x:v>
      </x:c>
      <x:c r="B1586" s="2" t="str">
        <x:v>Healthcare &amp; life sciences</x:v>
      </x:c>
      <x:c r="C1586" s="12" t="str">
        <x:v>Pune</x:v>
      </x:c>
      <x:c r="D1586" s="12" t="str">
        <x:v>MAIN-395</x:v>
      </x:c>
      <x:c r="E1586" s="12" t="str">
        <x:v>Bootstart Arcadian</x:v>
      </x:c>
      <x:c r="F1586" s="11" t="n">
        <x:v>1</x:v>
      </x:c>
      <x:c r="G1586" s="11" t="n">
        <x:v>1</x:v>
      </x:c>
      <x:c r="H1586" s="11" t="n">
        <x:v>0</x:v>
      </x:c>
      <x:c r="I1586" s="17" t="n">
        <x:f>INDEX('Costing'!$P$9:$P$492,MATCH(D1586,'Costing'!$A$9:$A$492,0))</x:f>
        <x:v>15000</x:v>
      </x:c>
      <x:c r="J1586" s="17" t="n">
        <x:f>ROUND(I1586*'Costing'!$C$4,2)</x:f>
        <x:v>2700</x:v>
      </x:c>
      <x:c r="K1586" s="17" t="n">
        <x:f>I1586+J1586</x:f>
        <x:v>17700</x:v>
      </x:c>
    </x:row>
    <x:row r="1587" ht="46" customHeight="1">
      <x:c r="A1587" s="2" t="str">
        <x:v>Sector</x:v>
      </x:c>
      <x:c r="B1587" s="2" t="str">
        <x:v>Healthcare &amp; life sciences</x:v>
      </x:c>
      <x:c r="C1587" s="12" t="str">
        <x:v>Pune</x:v>
      </x:c>
      <x:c r="D1587" s="12" t="str">
        <x:v>MAIN-409</x:v>
      </x:c>
      <x:c r="E1587" s="12" t="str">
        <x:v>Pavillion Mall (Redbrick Offices)</x:v>
      </x:c>
      <x:c r="F1587" s="11" t="n">
        <x:v>1</x:v>
      </x:c>
      <x:c r="G1587" s="11" t="n">
        <x:v>1</x:v>
      </x:c>
      <x:c r="H1587" s="11" t="n">
        <x:v>0</x:v>
      </x:c>
      <x:c r="I1587" s="17" t="n">
        <x:f>INDEX('Costing'!$P$9:$P$492,MATCH(D1587,'Costing'!$A$9:$A$492,0))</x:f>
        <x:v>15000</x:v>
      </x:c>
      <x:c r="J1587" s="17" t="n">
        <x:f>ROUND(I1587*'Costing'!$C$4,2)</x:f>
        <x:v>2700</x:v>
      </x:c>
      <x:c r="K1587" s="17" t="n">
        <x:f>I1587+J1587</x:f>
        <x:v>17700</x:v>
      </x:c>
    </x:row>
    <x:row r="1588" ht="46" customHeight="1">
      <x:c r="A1588" s="2" t="str">
        <x:v>Sector</x:v>
      </x:c>
      <x:c r="B1588" s="2" t="str">
        <x:v>Healthcare &amp; life sciences</x:v>
      </x:c>
      <x:c r="C1588" s="12" t="str">
        <x:v>Pune</x:v>
      </x:c>
      <x:c r="D1588" s="12" t="str">
        <x:v>MAIN-413</x:v>
      </x:c>
      <x:c r="E1588" s="12" t="str">
        <x:v>Raheja Mindspaces - Yerawada</x:v>
      </x:c>
      <x:c r="F1588" s="11" t="n">
        <x:v>2</x:v>
      </x:c>
      <x:c r="G1588" s="11" t="n">
        <x:v>2</x:v>
      </x:c>
      <x:c r="H1588" s="11" t="n">
        <x:v>0</x:v>
      </x:c>
      <x:c r="I1588" s="17" t="n">
        <x:f>INDEX('Costing'!$P$9:$P$492,MATCH(D1588,'Costing'!$A$9:$A$492,0))</x:f>
        <x:v>80000</x:v>
      </x:c>
      <x:c r="J1588" s="17" t="n">
        <x:f>ROUND(I1588*'Costing'!$C$4,2)</x:f>
        <x:v>14400</x:v>
      </x:c>
      <x:c r="K1588" s="17" t="n">
        <x:f>I1588+J1588</x:f>
        <x:v>94400</x:v>
      </x:c>
    </x:row>
    <x:row r="1589" ht="46" customHeight="1">
      <x:c r="A1589" s="2" t="str">
        <x:v>Sector</x:v>
      </x:c>
      <x:c r="B1589" s="2" t="str">
        <x:v>Healthcare &amp; life sciences</x:v>
      </x:c>
      <x:c r="C1589" s="12" t="str">
        <x:v>Pune</x:v>
      </x:c>
      <x:c r="D1589" s="12" t="str">
        <x:v>MAIN-415</x:v>
      </x:c>
      <x:c r="E1589" s="12" t="str">
        <x:v>The Powerpoint Coworking Space</x:v>
      </x:c>
      <x:c r="F1589" s="11" t="n">
        <x:v>1</x:v>
      </x:c>
      <x:c r="G1589" s="11" t="n">
        <x:v>1</x:v>
      </x:c>
      <x:c r="H1589" s="11" t="n">
        <x:v>0</x:v>
      </x:c>
      <x:c r="I1589" s="17" t="n">
        <x:f>INDEX('Costing'!$P$9:$P$492,MATCH(D1589,'Costing'!$A$9:$A$492,0))</x:f>
        <x:v>15000</x:v>
      </x:c>
      <x:c r="J1589" s="17" t="n">
        <x:f>ROUND(I1589*'Costing'!$C$4,2)</x:f>
        <x:v>2700</x:v>
      </x:c>
      <x:c r="K1589" s="17" t="n">
        <x:f>I1589+J1589</x:f>
        <x:v>17700</x:v>
      </x:c>
    </x:row>
    <x:row r="1590" ht="46" customHeight="1">
      <x:c r="A1590" s="2" t="str">
        <x:v>Sector</x:v>
      </x:c>
      <x:c r="B1590" s="2" t="str">
        <x:v>Healthcare &amp; life sciences</x:v>
      </x:c>
      <x:c r="C1590" s="12" t="str">
        <x:v>Pune</x:v>
      </x:c>
      <x:c r="D1590" s="12" t="str">
        <x:v>MAIN-422</x:v>
      </x:c>
      <x:c r="E1590" s="12" t="str">
        <x:v>Workflow by Oyo - Icon Tower</x:v>
      </x:c>
      <x:c r="F1590" s="11" t="n">
        <x:v>3</x:v>
      </x:c>
      <x:c r="G1590" s="11" t="n">
        <x:v>3</x:v>
      </x:c>
      <x:c r="H1590" s="11" t="n">
        <x:v>0</x:v>
      </x:c>
      <x:c r="I1590" s="17" t="n">
        <x:f>INDEX('Costing'!$P$9:$P$492,MATCH(D1590,'Costing'!$A$9:$A$492,0))</x:f>
        <x:v>45000</x:v>
      </x:c>
      <x:c r="J1590" s="17" t="n">
        <x:f>ROUND(I1590*'Costing'!$C$4,2)</x:f>
        <x:v>8100</x:v>
      </x:c>
      <x:c r="K1590" s="17" t="n">
        <x:f>I1590+J1590</x:f>
        <x:v>53100</x:v>
      </x:c>
    </x:row>
    <x:row r="1591" ht="46" customHeight="1">
      <x:c r="A1591" s="2" t="str">
        <x:v>Sector</x:v>
      </x:c>
      <x:c r="B1591" s="2" t="str">
        <x:v>Healthcare &amp; life sciences</x:v>
      </x:c>
      <x:c r="C1591" s="12" t="str">
        <x:v>Bengaluru</x:v>
      </x:c>
      <x:c r="D1591" s="12" t="str">
        <x:v>PARTNER-M138</x:v>
      </x:c>
      <x:c r="E1591" s="12" t="str">
        <x:v>Bagmane Capital</x:v>
      </x:c>
      <x:c r="F1591" s="11" t="n">
        <x:v>8</x:v>
      </x:c>
      <x:c r="G1591" s="11" t="n">
        <x:v>8</x:v>
      </x:c>
      <x:c r="H1591" s="11" t="n">
        <x:v>0</x:v>
      </x:c>
      <x:c r="I1591" s="17" t="n">
        <x:f>INDEX('Costing'!$P$9:$P$492,MATCH(D1591,'Costing'!$A$9:$A$492,0))</x:f>
        <x:v>320000</x:v>
      </x:c>
      <x:c r="J1591" s="17" t="n">
        <x:f>ROUND(I1591*'Costing'!$C$4,2)</x:f>
        <x:v>57600</x:v>
      </x:c>
      <x:c r="K1591" s="17" t="n">
        <x:f>I1591+J1591</x:f>
        <x:v>377600</x:v>
      </x:c>
    </x:row>
    <x:row r="1592" ht="46" customHeight="1">
      <x:c r="A1592" s="2" t="str">
        <x:v>Sector</x:v>
      </x:c>
      <x:c r="B1592" s="2" t="str">
        <x:v>Healthcare &amp; life sciences</x:v>
      </x:c>
      <x:c r="C1592" s="12" t="str">
        <x:v>Bengaluru</x:v>
      </x:c>
      <x:c r="D1592" s="12" t="str">
        <x:v>PARTNER-M146</x:v>
      </x:c>
      <x:c r="E1592" s="12" t="str">
        <x:v>Bagmane Solarium</x:v>
      </x:c>
      <x:c r="F1592" s="11" t="n">
        <x:v>8</x:v>
      </x:c>
      <x:c r="G1592" s="11" t="n">
        <x:v>8</x:v>
      </x:c>
      <x:c r="H1592" s="11" t="n">
        <x:v>0</x:v>
      </x:c>
      <x:c r="I1592" s="17" t="n">
        <x:f>INDEX('Costing'!$P$9:$P$492,MATCH(D1592,'Costing'!$A$9:$A$492,0))</x:f>
        <x:v>320000</x:v>
      </x:c>
      <x:c r="J1592" s="17" t="n">
        <x:f>ROUND(I1592*'Costing'!$C$4,2)</x:f>
        <x:v>57600</x:v>
      </x:c>
      <x:c r="K1592" s="17" t="n">
        <x:f>I1592+J1592</x:f>
        <x:v>377600</x:v>
      </x:c>
    </x:row>
    <x:row r="1593" ht="46" customHeight="1">
      <x:c r="A1593" s="2" t="str">
        <x:v>Sector</x:v>
      </x:c>
      <x:c r="B1593" s="2" t="str">
        <x:v>Healthcare &amp; life sciences</x:v>
      </x:c>
      <x:c r="C1593" s="12" t="str">
        <x:v>Bengaluru</x:v>
      </x:c>
      <x:c r="D1593" s="12" t="str">
        <x:v>PARTNER-M067</x:v>
      </x:c>
      <x:c r="E1593" s="12" t="str">
        <x:v>Cessna - Embassy Tech Square</x:v>
      </x:c>
      <x:c r="F1593" s="11" t="n">
        <x:v>3</x:v>
      </x:c>
      <x:c r="G1593" s="11" t="n">
        <x:v>3</x:v>
      </x:c>
      <x:c r="H1593" s="11" t="n">
        <x:v>0</x:v>
      </x:c>
      <x:c r="I1593" s="17" t="n">
        <x:f>INDEX('Costing'!$P$9:$P$492,MATCH(D1593,'Costing'!$A$9:$A$492,0))</x:f>
        <x:v>120000</x:v>
      </x:c>
      <x:c r="J1593" s="17" t="n">
        <x:f>ROUND(I1593*'Costing'!$C$4,2)</x:f>
        <x:v>21600</x:v>
      </x:c>
      <x:c r="K1593" s="17" t="n">
        <x:f>I1593+J1593</x:f>
        <x:v>141600</x:v>
      </x:c>
    </x:row>
    <x:row r="1594" ht="46" customHeight="1">
      <x:c r="A1594" s="2" t="str">
        <x:v>Sector</x:v>
      </x:c>
      <x:c r="B1594" s="2" t="str">
        <x:v>Healthcare &amp; life sciences</x:v>
      </x:c>
      <x:c r="C1594" s="12" t="str">
        <x:v>Bengaluru</x:v>
      </x:c>
      <x:c r="D1594" s="12" t="str">
        <x:v>PARTNER-M060</x:v>
      </x:c>
      <x:c r="E1594" s="12" t="str">
        <x:v>Global Tech Park</x:v>
      </x:c>
      <x:c r="F1594" s="11" t="n">
        <x:v>5</x:v>
      </x:c>
      <x:c r="G1594" s="11" t="n">
        <x:v>5</x:v>
      </x:c>
      <x:c r="H1594" s="11" t="n">
        <x:v>0</x:v>
      </x:c>
      <x:c r="I1594" s="17" t="n">
        <x:f>INDEX('Costing'!$P$9:$P$492,MATCH(D1594,'Costing'!$A$9:$A$492,0))</x:f>
        <x:v>200000</x:v>
      </x:c>
      <x:c r="J1594" s="17" t="n">
        <x:f>ROUND(I1594*'Costing'!$C$4,2)</x:f>
        <x:v>36000</x:v>
      </x:c>
      <x:c r="K1594" s="17" t="n">
        <x:f>I1594+J1594</x:f>
        <x:v>236000</x:v>
      </x:c>
    </x:row>
    <x:row r="1595" ht="46" customHeight="1">
      <x:c r="A1595" s="2" t="str">
        <x:v>Sector</x:v>
      </x:c>
      <x:c r="B1595" s="2" t="str">
        <x:v>Healthcare &amp; life sciences</x:v>
      </x:c>
      <x:c r="C1595" s="12" t="str">
        <x:v>Bengaluru</x:v>
      </x:c>
      <x:c r="D1595" s="12" t="str">
        <x:v>PARTNER-M051</x:v>
      </x:c>
      <x:c r="E1595" s="12" t="str">
        <x:v>Manyata Tech park - Mfar</x:v>
      </x:c>
      <x:c r="F1595" s="11" t="n">
        <x:v>5</x:v>
      </x:c>
      <x:c r="G1595" s="11" t="n">
        <x:v>5</x:v>
      </x:c>
      <x:c r="H1595" s="11" t="n">
        <x:v>0</x:v>
      </x:c>
      <x:c r="I1595" s="17" t="n">
        <x:f>INDEX('Costing'!$P$9:$P$492,MATCH(D1595,'Costing'!$A$9:$A$492,0))</x:f>
        <x:v>200000</x:v>
      </x:c>
      <x:c r="J1595" s="17" t="n">
        <x:f>ROUND(I1595*'Costing'!$C$4,2)</x:f>
        <x:v>36000</x:v>
      </x:c>
      <x:c r="K1595" s="17" t="n">
        <x:f>I1595+J1595</x:f>
        <x:v>236000</x:v>
      </x:c>
    </x:row>
    <x:row r="1596" ht="46" customHeight="1">
      <x:c r="A1596" s="2" t="str">
        <x:v>Sector</x:v>
      </x:c>
      <x:c r="B1596" s="2" t="str">
        <x:v>Healthcare &amp; life sciences</x:v>
      </x:c>
      <x:c r="C1596" s="12" t="str">
        <x:v>Bengaluru</x:v>
      </x:c>
      <x:c r="D1596" s="12" t="str">
        <x:v>PARTNER-M097</x:v>
      </x:c>
      <x:c r="E1596" s="12" t="str">
        <x:v>Prestige Blue Chip </x:v>
      </x:c>
      <x:c r="F1596" s="11" t="n">
        <x:v>3</x:v>
      </x:c>
      <x:c r="G1596" s="11" t="n">
        <x:v>3</x:v>
      </x:c>
      <x:c r="H1596" s="11" t="n">
        <x:v>0</x:v>
      </x:c>
      <x:c r="I1596" s="17" t="n">
        <x:f>INDEX('Costing'!$P$9:$P$492,MATCH(D1596,'Costing'!$A$9:$A$492,0))</x:f>
        <x:v>120000</x:v>
      </x:c>
      <x:c r="J1596" s="17" t="n">
        <x:f>ROUND(I1596*'Costing'!$C$4,2)</x:f>
        <x:v>21600</x:v>
      </x:c>
      <x:c r="K1596" s="17" t="n">
        <x:f>I1596+J1596</x:f>
        <x:v>141600</x:v>
      </x:c>
    </x:row>
    <x:row r="1597" ht="46" customHeight="1">
      <x:c r="A1597" s="2" t="str">
        <x:v>Sector</x:v>
      </x:c>
      <x:c r="B1597" s="2" t="str">
        <x:v>Healthcare &amp; life sciences</x:v>
      </x:c>
      <x:c r="C1597" s="12" t="str">
        <x:v>Bengaluru</x:v>
      </x:c>
      <x:c r="D1597" s="12" t="str">
        <x:v>PARTNER-M100</x:v>
      </x:c>
      <x:c r="E1597" s="12" t="str">
        <x:v>Prestige Obelisk + Prestige Atrium + Prestige Sapphire + Prestige Al Kareem + Prestige Delta</x:v>
      </x:c>
      <x:c r="F1597" s="11" t="n">
        <x:v>8</x:v>
      </x:c>
      <x:c r="G1597" s="11" t="n">
        <x:v>8</x:v>
      </x:c>
      <x:c r="H1597" s="11" t="n">
        <x:v>0</x:v>
      </x:c>
      <x:c r="I1597" s="17" t="n">
        <x:f>INDEX('Costing'!$P$9:$P$492,MATCH(D1597,'Costing'!$A$9:$A$492,0))</x:f>
        <x:v>320000</x:v>
      </x:c>
      <x:c r="J1597" s="17" t="n">
        <x:f>ROUND(I1597*'Costing'!$C$4,2)</x:f>
        <x:v>57600</x:v>
      </x:c>
      <x:c r="K1597" s="17" t="n">
        <x:f>I1597+J1597</x:f>
        <x:v>377600</x:v>
      </x:c>
    </x:row>
    <x:row r="1598" ht="46" customHeight="1">
      <x:c r="A1598" s="2" t="str">
        <x:v>Sector</x:v>
      </x:c>
      <x:c r="B1598" s="2" t="str">
        <x:v>Healthcare &amp; life sciences</x:v>
      </x:c>
      <x:c r="C1598" s="12" t="str">
        <x:v>Bengaluru</x:v>
      </x:c>
      <x:c r="D1598" s="12" t="str">
        <x:v>PARTNER-M027</x:v>
      </x:c>
      <x:c r="E1598" s="12" t="str">
        <x:v>Prestige Shantiniketan</x:v>
      </x:c>
      <x:c r="F1598" s="11" t="n">
        <x:v>7</x:v>
      </x:c>
      <x:c r="G1598" s="11" t="n">
        <x:v>7</x:v>
      </x:c>
      <x:c r="H1598" s="11" t="n">
        <x:v>0</x:v>
      </x:c>
      <x:c r="I1598" s="17" t="n">
        <x:f>INDEX('Costing'!$P$9:$P$492,MATCH(D1598,'Costing'!$A$9:$A$492,0))</x:f>
        <x:v>280000</x:v>
      </x:c>
      <x:c r="J1598" s="17" t="n">
        <x:f>ROUND(I1598*'Costing'!$C$4,2)</x:f>
        <x:v>50400</x:v>
      </x:c>
      <x:c r="K1598" s="17" t="n">
        <x:f>I1598+J1598</x:f>
        <x:v>330400</x:v>
      </x:c>
    </x:row>
    <x:row r="1599" ht="46" customHeight="1">
      <x:c r="A1599" s="2" t="str">
        <x:v>Sector</x:v>
      </x:c>
      <x:c r="B1599" s="2" t="str">
        <x:v>Healthcare &amp; life sciences</x:v>
      </x:c>
      <x:c r="C1599" s="12" t="str">
        <x:v>Bengaluru</x:v>
      </x:c>
      <x:c r="D1599" s="12" t="str">
        <x:v>PARTNER-M082</x:v>
      </x:c>
      <x:c r="E1599" s="12" t="str">
        <x:v>Prestige Sterling Square + Prestige Solitaire + Prestige Sigma + Prestige Loka + Prestige Emerald + Prestige Towers</x:v>
      </x:c>
      <x:c r="F1599" s="11" t="n">
        <x:v>11</x:v>
      </x:c>
      <x:c r="G1599" s="11" t="n">
        <x:v>11</x:v>
      </x:c>
      <x:c r="H1599" s="11" t="n">
        <x:v>0</x:v>
      </x:c>
      <x:c r="I1599" s="17" t="n">
        <x:f>INDEX('Costing'!$P$9:$P$492,MATCH(D1599,'Costing'!$A$9:$A$492,0))</x:f>
        <x:v>440000</x:v>
      </x:c>
      <x:c r="J1599" s="17" t="n">
        <x:f>ROUND(I1599*'Costing'!$C$4,2)</x:f>
        <x:v>79200</x:v>
      </x:c>
      <x:c r="K1599" s="17" t="n">
        <x:f>I1599+J1599</x:f>
        <x:v>519200</x:v>
      </x:c>
    </x:row>
    <x:row r="1600" ht="46" customHeight="1">
      <x:c r="A1600" s="2" t="str">
        <x:v>Sector</x:v>
      </x:c>
      <x:c r="B1600" s="2" t="str">
        <x:v>Healthcare &amp; life sciences</x:v>
      </x:c>
      <x:c r="C1600" s="12" t="str">
        <x:v>Bengaluru</x:v>
      </x:c>
      <x:c r="D1600" s="12" t="str">
        <x:v>PARTNER-M034</x:v>
      </x:c>
      <x:c r="E1600" s="12" t="str">
        <x:v>Prestige Technostar</x:v>
      </x:c>
      <x:c r="F1600" s="11" t="n">
        <x:v>5</x:v>
      </x:c>
      <x:c r="G1600" s="11" t="n">
        <x:v>5</x:v>
      </x:c>
      <x:c r="H1600" s="11" t="n">
        <x:v>0</x:v>
      </x:c>
      <x:c r="I1600" s="17" t="n">
        <x:f>INDEX('Costing'!$P$9:$P$492,MATCH(D1600,'Costing'!$A$9:$A$492,0))</x:f>
        <x:v>200000</x:v>
      </x:c>
      <x:c r="J1600" s="17" t="n">
        <x:f>ROUND(I1600*'Costing'!$C$4,2)</x:f>
        <x:v>36000</x:v>
      </x:c>
      <x:c r="K1600" s="17" t="n">
        <x:f>I1600+J1600</x:f>
        <x:v>236000</x:v>
      </x:c>
    </x:row>
    <x:row r="1601" ht="46" customHeight="1">
      <x:c r="A1601" s="2" t="str">
        <x:v>Sector</x:v>
      </x:c>
      <x:c r="B1601" s="2" t="str">
        <x:v>Healthcare &amp; life sciences</x:v>
      </x:c>
      <x:c r="C1601" s="12" t="str">
        <x:v>Chennai</x:v>
      </x:c>
      <x:c r="D1601" s="12" t="str">
        <x:v>PARTNER-M349</x:v>
      </x:c>
      <x:c r="E1601" s="12" t="str">
        <x:v>Kushal Towers</x:v>
      </x:c>
      <x:c r="F1601" s="11" t="n">
        <x:v>1</x:v>
      </x:c>
      <x:c r="G1601" s="11" t="n">
        <x:v>1</x:v>
      </x:c>
      <x:c r="H1601" s="11" t="n">
        <x:v>0</x:v>
      </x:c>
      <x:c r="I1601" s="17" t="n">
        <x:f>INDEX('Costing'!$P$9:$P$492,MATCH(D1601,'Costing'!$A$9:$A$492,0))</x:f>
        <x:v>40000</x:v>
      </x:c>
      <x:c r="J1601" s="17" t="n">
        <x:f>ROUND(I1601*'Costing'!$C$4,2)</x:f>
        <x:v>7200</x:v>
      </x:c>
      <x:c r="K1601" s="17" t="n">
        <x:f>I1601+J1601</x:f>
        <x:v>47200</x:v>
      </x:c>
    </x:row>
    <x:row r="1602" ht="46" customHeight="1">
      <x:c r="A1602" s="2" t="str">
        <x:v>Sector</x:v>
      </x:c>
      <x:c r="B1602" s="2" t="str">
        <x:v>Healthcare &amp; life sciences</x:v>
      </x:c>
      <x:c r="C1602" s="12" t="str">
        <x:v>Chennai</x:v>
      </x:c>
      <x:c r="D1602" s="12" t="str">
        <x:v>PARTNER-M338</x:v>
      </x:c>
      <x:c r="E1602" s="12" t="str">
        <x:v>Prestige Palladium Bayan</x:v>
      </x:c>
      <x:c r="F1602" s="11" t="n">
        <x:v>2</x:v>
      </x:c>
      <x:c r="G1602" s="11" t="n">
        <x:v>2</x:v>
      </x:c>
      <x:c r="H1602" s="11" t="n">
        <x:v>0</x:v>
      </x:c>
      <x:c r="I1602" s="17" t="n">
        <x:f>INDEX('Costing'!$P$9:$P$492,MATCH(D1602,'Costing'!$A$9:$A$492,0))</x:f>
        <x:v>80000</x:v>
      </x:c>
      <x:c r="J1602" s="17" t="n">
        <x:f>ROUND(I1602*'Costing'!$C$4,2)</x:f>
        <x:v>14400</x:v>
      </x:c>
      <x:c r="K1602" s="17" t="n">
        <x:f>I1602+J1602</x:f>
        <x:v>94400</x:v>
      </x:c>
    </x:row>
    <x:row r="1603" ht="46" customHeight="1">
      <x:c r="A1603" s="2" t="str">
        <x:v>Sector</x:v>
      </x:c>
      <x:c r="B1603" s="2" t="str">
        <x:v>Healthcare &amp; life sciences</x:v>
      </x:c>
      <x:c r="C1603" s="12" t="str">
        <x:v>Chennai</x:v>
      </x:c>
      <x:c r="D1603" s="12" t="str">
        <x:v>PARTNER-M342</x:v>
      </x:c>
      <x:c r="E1603" s="12" t="str">
        <x:v>Prince Infocity 2</x:v>
      </x:c>
      <x:c r="F1603" s="11" t="n">
        <x:v>5</x:v>
      </x:c>
      <x:c r="G1603" s="11" t="n">
        <x:v>5</x:v>
      </x:c>
      <x:c r="H1603" s="11" t="n">
        <x:v>0</x:v>
      </x:c>
      <x:c r="I1603" s="17" t="n">
        <x:f>INDEX('Costing'!$P$9:$P$492,MATCH(D1603,'Costing'!$A$9:$A$492,0))</x:f>
        <x:v>200000</x:v>
      </x:c>
      <x:c r="J1603" s="17" t="n">
        <x:f>ROUND(I1603*'Costing'!$C$4,2)</x:f>
        <x:v>36000</x:v>
      </x:c>
      <x:c r="K1603" s="17" t="n">
        <x:f>I1603+J1603</x:f>
        <x:v>236000</x:v>
      </x:c>
    </x:row>
    <x:row r="1604" ht="46" customHeight="1">
      <x:c r="A1604" s="2" t="str">
        <x:v>Sector</x:v>
      </x:c>
      <x:c r="B1604" s="2" t="str">
        <x:v>Healthcare &amp; life sciences</x:v>
      </x:c>
      <x:c r="C1604" s="12" t="str">
        <x:v>Chennai</x:v>
      </x:c>
      <x:c r="D1604" s="12" t="str">
        <x:v>PARTNER-M350</x:v>
      </x:c>
      <x:c r="E1604" s="12" t="str">
        <x:v>Prince Infopark</x:v>
      </x:c>
      <x:c r="F1604" s="11" t="n">
        <x:v>2</x:v>
      </x:c>
      <x:c r="G1604" s="11" t="n">
        <x:v>2</x:v>
      </x:c>
      <x:c r="H1604" s="11" t="n">
        <x:v>0</x:v>
      </x:c>
      <x:c r="I1604" s="17" t="n">
        <x:f>INDEX('Costing'!$P$9:$P$492,MATCH(D1604,'Costing'!$A$9:$A$492,0))</x:f>
        <x:v>80000</x:v>
      </x:c>
      <x:c r="J1604" s="17" t="n">
        <x:f>ROUND(I1604*'Costing'!$C$4,2)</x:f>
        <x:v>14400</x:v>
      </x:c>
      <x:c r="K1604" s="17" t="n">
        <x:f>I1604+J1604</x:f>
        <x:v>94400</x:v>
      </x:c>
    </x:row>
    <x:row r="1605" ht="46" customHeight="1">
      <x:c r="A1605" s="2" t="str">
        <x:v>Sector</x:v>
      </x:c>
      <x:c r="B1605" s="2" t="str">
        <x:v>Healthcare &amp; life sciences</x:v>
      </x:c>
      <x:c r="C1605" s="12" t="str">
        <x:v>Delhi NCR</x:v>
      </x:c>
      <x:c r="D1605" s="12" t="str">
        <x:v>PARTNER-M353</x:v>
      </x:c>
      <x:c r="E1605" s="12" t="str">
        <x:v>iLabs Info Technology Center</x:v>
      </x:c>
      <x:c r="F1605" s="11" t="n">
        <x:v>5</x:v>
      </x:c>
      <x:c r="G1605" s="11" t="n">
        <x:v>5</x:v>
      </x:c>
      <x:c r="H1605" s="11" t="n">
        <x:v>0</x:v>
      </x:c>
      <x:c r="I1605" s="17" t="n">
        <x:f>INDEX('Costing'!$P$9:$P$492,MATCH(D1605,'Costing'!$A$9:$A$492,0))</x:f>
        <x:v>200000</x:v>
      </x:c>
      <x:c r="J1605" s="17" t="n">
        <x:f>ROUND(I1605*'Costing'!$C$4,2)</x:f>
        <x:v>36000</x:v>
      </x:c>
      <x:c r="K1605" s="17" t="n">
        <x:f>I1605+J1605</x:f>
        <x:v>236000</x:v>
      </x:c>
    </x:row>
    <x:row r="1606" ht="46" customHeight="1">
      <x:c r="A1606" s="2" t="str">
        <x:v>Sector</x:v>
      </x:c>
      <x:c r="B1606" s="2" t="str">
        <x:v>Healthcare &amp; life sciences</x:v>
      </x:c>
      <x:c r="C1606" s="12" t="str">
        <x:v>Delhi NCR</x:v>
      </x:c>
      <x:c r="D1606" s="12" t="str">
        <x:v>PARTNER-M365</x:v>
      </x:c>
      <x:c r="E1606" s="12" t="str">
        <x:v>Urbtech Trade Centre</x:v>
      </x:c>
      <x:c r="F1606" s="11" t="n">
        <x:v>10</x:v>
      </x:c>
      <x:c r="G1606" s="11" t="n">
        <x:v>10</x:v>
      </x:c>
      <x:c r="H1606" s="11" t="n">
        <x:v>0</x:v>
      </x:c>
      <x:c r="I1606" s="17" t="n">
        <x:f>INDEX('Costing'!$P$9:$P$492,MATCH(D1606,'Costing'!$A$9:$A$492,0))</x:f>
        <x:v>400000</x:v>
      </x:c>
      <x:c r="J1606" s="17" t="n">
        <x:f>ROUND(I1606*'Costing'!$C$4,2)</x:f>
        <x:v>72000</x:v>
      </x:c>
      <x:c r="K1606" s="17" t="n">
        <x:f>I1606+J1606</x:f>
        <x:v>472000</x:v>
      </x:c>
    </x:row>
    <x:row r="1607" ht="46" customHeight="1">
      <x:c r="A1607" s="2" t="str">
        <x:v>Sector</x:v>
      </x:c>
      <x:c r="B1607" s="2" t="str">
        <x:v>Healthcare &amp; life sciences</x:v>
      </x:c>
      <x:c r="C1607" s="12" t="str">
        <x:v>Hyderabad</x:v>
      </x:c>
      <x:c r="D1607" s="12" t="str">
        <x:v>PARTNER-M308</x:v>
      </x:c>
      <x:c r="E1607" s="12" t="str">
        <x:v>Aurobindo Galaxy</x:v>
      </x:c>
      <x:c r="F1607" s="11" t="n">
        <x:v>4</x:v>
      </x:c>
      <x:c r="G1607" s="11" t="n">
        <x:v>4</x:v>
      </x:c>
      <x:c r="H1607" s="11" t="n">
        <x:v>0</x:v>
      </x:c>
      <x:c r="I1607" s="17" t="n">
        <x:f>INDEX('Costing'!$P$9:$P$492,MATCH(D1607,'Costing'!$A$9:$A$492,0))</x:f>
        <x:v>160000</x:v>
      </x:c>
      <x:c r="J1607" s="17" t="n">
        <x:f>ROUND(I1607*'Costing'!$C$4,2)</x:f>
        <x:v>28800</x:v>
      </x:c>
      <x:c r="K1607" s="17" t="n">
        <x:f>I1607+J1607</x:f>
        <x:v>188800</x:v>
      </x:c>
    </x:row>
    <x:row r="1608" ht="46" customHeight="1">
      <x:c r="A1608" s="2" t="str">
        <x:v>Sector</x:v>
      </x:c>
      <x:c r="B1608" s="2" t="str">
        <x:v>Healthcare &amp; life sciences</x:v>
      </x:c>
      <x:c r="C1608" s="12" t="str">
        <x:v>Hyderabad</x:v>
      </x:c>
      <x:c r="D1608" s="12" t="str">
        <x:v>PARTNER-M289</x:v>
      </x:c>
      <x:c r="E1608" s="12" t="str">
        <x:v>Cyber Gateway</x:v>
      </x:c>
      <x:c r="F1608" s="11" t="n">
        <x:v>6</x:v>
      </x:c>
      <x:c r="G1608" s="11" t="n">
        <x:v>6</x:v>
      </x:c>
      <x:c r="H1608" s="11" t="n">
        <x:v>0</x:v>
      </x:c>
      <x:c r="I1608" s="17" t="n">
        <x:f>INDEX('Costing'!$P$9:$P$492,MATCH(D1608,'Costing'!$A$9:$A$492,0))</x:f>
        <x:v>240000</x:v>
      </x:c>
      <x:c r="J1608" s="17" t="n">
        <x:f>ROUND(I1608*'Costing'!$C$4,2)</x:f>
        <x:v>43200</x:v>
      </x:c>
      <x:c r="K1608" s="17" t="n">
        <x:f>I1608+J1608</x:f>
        <x:v>283200</x:v>
      </x:c>
    </x:row>
    <x:row r="1609" ht="46" customHeight="1">
      <x:c r="A1609" s="2" t="str">
        <x:v>Sector</x:v>
      </x:c>
      <x:c r="B1609" s="2" t="str">
        <x:v>Healthcare &amp; life sciences</x:v>
      </x:c>
      <x:c r="C1609" s="12" t="str">
        <x:v>Hyderabad</x:v>
      </x:c>
      <x:c r="D1609" s="12" t="str">
        <x:v>PARTNER-M317</x:v>
      </x:c>
      <x:c r="E1609" s="12" t="str">
        <x:v>Kapil Towers</x:v>
      </x:c>
      <x:c r="F1609" s="11" t="n">
        <x:v>7</x:v>
      </x:c>
      <x:c r="G1609" s="11" t="n">
        <x:v>7</x:v>
      </x:c>
      <x:c r="H1609" s="11" t="n">
        <x:v>0</x:v>
      </x:c>
      <x:c r="I1609" s="17" t="n">
        <x:f>INDEX('Costing'!$P$9:$P$492,MATCH(D1609,'Costing'!$A$9:$A$492,0))</x:f>
        <x:v>280000</x:v>
      </x:c>
      <x:c r="J1609" s="17" t="n">
        <x:f>ROUND(I1609*'Costing'!$C$4,2)</x:f>
        <x:v>50400</x:v>
      </x:c>
      <x:c r="K1609" s="17" t="n">
        <x:f>I1609+J1609</x:f>
        <x:v>330400</x:v>
      </x:c>
    </x:row>
    <x:row r="1610" ht="46" customHeight="1">
      <x:c r="A1610" s="2" t="str">
        <x:v>Sector</x:v>
      </x:c>
      <x:c r="B1610" s="2" t="str">
        <x:v>Healthcare &amp; life sciences</x:v>
      </x:c>
      <x:c r="C1610" s="12" t="str">
        <x:v>Hyderabad</x:v>
      </x:c>
      <x:c r="D1610" s="12" t="str">
        <x:v>PARTNER-M312</x:v>
      </x:c>
      <x:c r="E1610" s="12" t="str">
        <x:v>Prestige Skytech </x:v>
      </x:c>
      <x:c r="F1610" s="11" t="n">
        <x:v>5</x:v>
      </x:c>
      <x:c r="G1610" s="11" t="n">
        <x:v>5</x:v>
      </x:c>
      <x:c r="H1610" s="11" t="n">
        <x:v>0</x:v>
      </x:c>
      <x:c r="I1610" s="17" t="n">
        <x:f>INDEX('Costing'!$P$9:$P$492,MATCH(D1610,'Costing'!$A$9:$A$492,0))</x:f>
        <x:v>200000</x:v>
      </x:c>
      <x:c r="J1610" s="17" t="n">
        <x:f>ROUND(I1610*'Costing'!$C$4,2)</x:f>
        <x:v>36000</x:v>
      </x:c>
      <x:c r="K1610" s="17" t="n">
        <x:f>I1610+J1610</x:f>
        <x:v>236000</x:v>
      </x:c>
    </x:row>
    <x:row r="1611" ht="46" customHeight="1">
      <x:c r="A1611" s="2" t="str">
        <x:v>Sector</x:v>
      </x:c>
      <x:c r="B1611" s="2" t="str">
        <x:v>Healthcare &amp; life sciences</x:v>
      </x:c>
      <x:c r="C1611" s="12" t="str">
        <x:v>Mumbai</x:v>
      </x:c>
      <x:c r="D1611" s="12" t="str">
        <x:v>PARTNER-M193</x:v>
      </x:c>
      <x:c r="E1611" s="12" t="str">
        <x:v>Empire Tower</x:v>
      </x:c>
      <x:c r="F1611" s="11" t="n">
        <x:v>4</x:v>
      </x:c>
      <x:c r="G1611" s="11" t="n">
        <x:v>4</x:v>
      </x:c>
      <x:c r="H1611" s="11" t="n">
        <x:v>0</x:v>
      </x:c>
      <x:c r="I1611" s="17" t="n">
        <x:f>INDEX('Costing'!$P$9:$P$492,MATCH(D1611,'Costing'!$A$9:$A$492,0))</x:f>
        <x:v>160000</x:v>
      </x:c>
      <x:c r="J1611" s="17" t="n">
        <x:f>ROUND(I1611*'Costing'!$C$4,2)</x:f>
        <x:v>28800</x:v>
      </x:c>
      <x:c r="K1611" s="17" t="n">
        <x:f>I1611+J1611</x:f>
        <x:v>188800</x:v>
      </x:c>
    </x:row>
    <x:row r="1612" ht="46" customHeight="1">
      <x:c r="A1612" s="2" t="str">
        <x:v>Sector</x:v>
      </x:c>
      <x:c r="B1612" s="2" t="str">
        <x:v>Healthcare &amp; life sciences</x:v>
      </x:c>
      <x:c r="C1612" s="12" t="str">
        <x:v>Mumbai</x:v>
      </x:c>
      <x:c r="D1612" s="12" t="str">
        <x:v>PARTNER-M185</x:v>
      </x:c>
      <x:c r="E1612" s="12" t="str">
        <x:v>G Corp Tech Park</x:v>
      </x:c>
      <x:c r="F1612" s="11" t="n">
        <x:v>3</x:v>
      </x:c>
      <x:c r="G1612" s="11" t="n">
        <x:v>3</x:v>
      </x:c>
      <x:c r="H1612" s="11" t="n">
        <x:v>0</x:v>
      </x:c>
      <x:c r="I1612" s="17" t="n">
        <x:f>INDEX('Costing'!$P$9:$P$492,MATCH(D1612,'Costing'!$A$9:$A$492,0))</x:f>
        <x:v>120000</x:v>
      </x:c>
      <x:c r="J1612" s="17" t="n">
        <x:f>ROUND(I1612*'Costing'!$C$4,2)</x:f>
        <x:v>21600</x:v>
      </x:c>
      <x:c r="K1612" s="17" t="n">
        <x:f>I1612+J1612</x:f>
        <x:v>141600</x:v>
      </x:c>
    </x:row>
    <x:row r="1613" ht="46" customHeight="1">
      <x:c r="A1613" s="2" t="str">
        <x:v>Sector</x:v>
      </x:c>
      <x:c r="B1613" s="2" t="str">
        <x:v>Healthcare &amp; life sciences</x:v>
      </x:c>
      <x:c r="C1613" s="12" t="str">
        <x:v>Mumbai</x:v>
      </x:c>
      <x:c r="D1613" s="12" t="str">
        <x:v>PARTNER-M235</x:v>
      </x:c>
      <x:c r="E1613" s="12" t="str">
        <x:v>Kanakia 215 Atrium</x:v>
      </x:c>
      <x:c r="F1613" s="11" t="n">
        <x:v>4</x:v>
      </x:c>
      <x:c r="G1613" s="11" t="n">
        <x:v>4</x:v>
      </x:c>
      <x:c r="H1613" s="11" t="n">
        <x:v>0</x:v>
      </x:c>
      <x:c r="I1613" s="17" t="n">
        <x:f>INDEX('Costing'!$P$9:$P$492,MATCH(D1613,'Costing'!$A$9:$A$492,0))</x:f>
        <x:v>160000</x:v>
      </x:c>
      <x:c r="J1613" s="17" t="n">
        <x:f>ROUND(I1613*'Costing'!$C$4,2)</x:f>
        <x:v>28800</x:v>
      </x:c>
      <x:c r="K1613" s="17" t="n">
        <x:f>I1613+J1613</x:f>
        <x:v>188800</x:v>
      </x:c>
    </x:row>
    <x:row r="1614" ht="46" customHeight="1">
      <x:c r="A1614" s="2" t="str">
        <x:v>Sector</x:v>
      </x:c>
      <x:c r="B1614" s="2" t="str">
        <x:v>Healthcare &amp; life sciences</x:v>
      </x:c>
      <x:c r="C1614" s="12" t="str">
        <x:v>Mumbai</x:v>
      </x:c>
      <x:c r="D1614" s="12" t="str">
        <x:v>PARTNER-M239</x:v>
      </x:c>
      <x:c r="E1614" s="12" t="str">
        <x:v>Kanakia Atrium 2</x:v>
      </x:c>
      <x:c r="F1614" s="11" t="n">
        <x:v>2</x:v>
      </x:c>
      <x:c r="G1614" s="11" t="n">
        <x:v>2</x:v>
      </x:c>
      <x:c r="H1614" s="11" t="n">
        <x:v>0</x:v>
      </x:c>
      <x:c r="I1614" s="17" t="n">
        <x:f>INDEX('Costing'!$P$9:$P$492,MATCH(D1614,'Costing'!$A$9:$A$492,0))</x:f>
        <x:v>80000</x:v>
      </x:c>
      <x:c r="J1614" s="17" t="n">
        <x:f>ROUND(I1614*'Costing'!$C$4,2)</x:f>
        <x:v>14400</x:v>
      </x:c>
      <x:c r="K1614" s="17" t="n">
        <x:f>I1614+J1614</x:f>
        <x:v>94400</x:v>
      </x:c>
    </x:row>
    <x:row r="1615" ht="46" customHeight="1">
      <x:c r="A1615" s="2" t="str">
        <x:v>Sector</x:v>
      </x:c>
      <x:c r="B1615" s="2" t="str">
        <x:v>Healthcare &amp; life sciences</x:v>
      </x:c>
      <x:c r="C1615" s="12" t="str">
        <x:v>Mumbai</x:v>
      </x:c>
      <x:c r="D1615" s="12" t="str">
        <x:v>PARTNER-M201</x:v>
      </x:c>
      <x:c r="E1615" s="12" t="str">
        <x:v>Liberty tower</x:v>
      </x:c>
      <x:c r="F1615" s="11" t="n">
        <x:v>2</x:v>
      </x:c>
      <x:c r="G1615" s="11" t="n">
        <x:v>2</x:v>
      </x:c>
      <x:c r="H1615" s="11" t="n">
        <x:v>0</x:v>
      </x:c>
      <x:c r="I1615" s="17" t="n">
        <x:f>INDEX('Costing'!$P$9:$P$492,MATCH(D1615,'Costing'!$A$9:$A$492,0))</x:f>
        <x:v>80000</x:v>
      </x:c>
      <x:c r="J1615" s="17" t="n">
        <x:f>ROUND(I1615*'Costing'!$C$4,2)</x:f>
        <x:v>14400</x:v>
      </x:c>
      <x:c r="K1615" s="17" t="n">
        <x:f>I1615+J1615</x:f>
        <x:v>94400</x:v>
      </x:c>
    </x:row>
    <x:row r="1616" ht="46" customHeight="1">
      <x:c r="A1616" s="2" t="str">
        <x:v>Sector</x:v>
      </x:c>
      <x:c r="B1616" s="2" t="str">
        <x:v>Healthcare &amp; life sciences</x:v>
      </x:c>
      <x:c r="C1616" s="12" t="str">
        <x:v>Mumbai</x:v>
      </x:c>
      <x:c r="D1616" s="12" t="str">
        <x:v>PARTNER-M233</x:v>
      </x:c>
      <x:c r="E1616" s="12" t="str">
        <x:v>Lodha Supremus</x:v>
      </x:c>
      <x:c r="F1616" s="11" t="n">
        <x:v>2</x:v>
      </x:c>
      <x:c r="G1616" s="11" t="n">
        <x:v>2</x:v>
      </x:c>
      <x:c r="H1616" s="11" t="n">
        <x:v>0</x:v>
      </x:c>
      <x:c r="I1616" s="17" t="n">
        <x:f>INDEX('Costing'!$P$9:$P$492,MATCH(D1616,'Costing'!$A$9:$A$492,0))</x:f>
        <x:v>80000</x:v>
      </x:c>
      <x:c r="J1616" s="17" t="n">
        <x:f>ROUND(I1616*'Costing'!$C$4,2)</x:f>
        <x:v>14400</x:v>
      </x:c>
      <x:c r="K1616" s="17" t="n">
        <x:f>I1616+J1616</x:f>
        <x:v>94400</x:v>
      </x:c>
    </x:row>
    <x:row r="1617" ht="46" customHeight="1">
      <x:c r="A1617" s="2" t="str">
        <x:v>Sector</x:v>
      </x:c>
      <x:c r="B1617" s="2" t="str">
        <x:v>Healthcare &amp; life sciences</x:v>
      </x:c>
      <x:c r="C1617" s="12" t="str">
        <x:v>Mumbai</x:v>
      </x:c>
      <x:c r="D1617" s="12" t="str">
        <x:v>PARTNER-M171</x:v>
      </x:c>
      <x:c r="E1617" s="12" t="str">
        <x:v>Parinee Crescenzo Business Park</x:v>
      </x:c>
      <x:c r="F1617" s="11" t="n">
        <x:v>4</x:v>
      </x:c>
      <x:c r="G1617" s="11" t="n">
        <x:v>4</x:v>
      </x:c>
      <x:c r="H1617" s="11" t="n">
        <x:v>0</x:v>
      </x:c>
      <x:c r="I1617" s="17" t="n">
        <x:f>INDEX('Costing'!$P$9:$P$492,MATCH(D1617,'Costing'!$A$9:$A$492,0))</x:f>
        <x:v>160000</x:v>
      </x:c>
      <x:c r="J1617" s="17" t="n">
        <x:f>ROUND(I1617*'Costing'!$C$4,2)</x:f>
        <x:v>28800</x:v>
      </x:c>
      <x:c r="K1617" s="17" t="n">
        <x:f>I1617+J1617</x:f>
        <x:v>188800</x:v>
      </x:c>
    </x:row>
    <x:row r="1618" ht="46" customHeight="1">
      <x:c r="A1618" s="2" t="str">
        <x:v>Sector</x:v>
      </x:c>
      <x:c r="B1618" s="2" t="str">
        <x:v>Healthcare &amp; life sciences</x:v>
      </x:c>
      <x:c r="C1618" s="12" t="str">
        <x:v>Mumbai</x:v>
      </x:c>
      <x:c r="D1618" s="12" t="str">
        <x:v>PARTNER-M203</x:v>
      </x:c>
      <x:c r="E1618" s="12" t="str">
        <x:v>Reliable Plaza</x:v>
      </x:c>
      <x:c r="F1618" s="11" t="n">
        <x:v>2</x:v>
      </x:c>
      <x:c r="G1618" s="11" t="n">
        <x:v>2</x:v>
      </x:c>
      <x:c r="H1618" s="11" t="n">
        <x:v>0</x:v>
      </x:c>
      <x:c r="I1618" s="17" t="n">
        <x:f>INDEX('Costing'!$P$9:$P$492,MATCH(D1618,'Costing'!$A$9:$A$492,0))</x:f>
        <x:v>80000</x:v>
      </x:c>
      <x:c r="J1618" s="17" t="n">
        <x:f>ROUND(I1618*'Costing'!$C$4,2)</x:f>
        <x:v>14400</x:v>
      </x:c>
      <x:c r="K1618" s="17" t="n">
        <x:f>I1618+J1618</x:f>
        <x:v>94400</x:v>
      </x:c>
    </x:row>
    <x:row r="1619" ht="46" customHeight="1">
      <x:c r="A1619" s="2" t="str">
        <x:v>Sector</x:v>
      </x:c>
      <x:c r="B1619" s="2" t="str">
        <x:v>Healthcare &amp; life sciences</x:v>
      </x:c>
      <x:c r="C1619" s="12" t="str">
        <x:v>Mumbai</x:v>
      </x:c>
      <x:c r="D1619" s="12" t="str">
        <x:v>PARTNER-M197</x:v>
      </x:c>
      <x:c r="E1619" s="12" t="str">
        <x:v>Reliable Tech Park</x:v>
      </x:c>
      <x:c r="F1619" s="11" t="n">
        <x:v>4</x:v>
      </x:c>
      <x:c r="G1619" s="11" t="n">
        <x:v>4</x:v>
      </x:c>
      <x:c r="H1619" s="11" t="n">
        <x:v>0</x:v>
      </x:c>
      <x:c r="I1619" s="17" t="n">
        <x:f>INDEX('Costing'!$P$9:$P$492,MATCH(D1619,'Costing'!$A$9:$A$492,0))</x:f>
        <x:v>160000</x:v>
      </x:c>
      <x:c r="J1619" s="17" t="n">
        <x:f>ROUND(I1619*'Costing'!$C$4,2)</x:f>
        <x:v>28800</x:v>
      </x:c>
      <x:c r="K1619" s="17" t="n">
        <x:f>I1619+J1619</x:f>
        <x:v>188800</x:v>
      </x:c>
    </x:row>
    <x:row r="1620" ht="46" customHeight="1">
      <x:c r="A1620" s="2" t="str">
        <x:v>Sector</x:v>
      </x:c>
      <x:c r="B1620" s="2" t="str">
        <x:v>Healthcare &amp; life sciences</x:v>
      </x:c>
      <x:c r="C1620" s="12" t="str">
        <x:v>Mumbai</x:v>
      </x:c>
      <x:c r="D1620" s="12" t="str">
        <x:v>PARTNER-M205</x:v>
      </x:c>
      <x:c r="E1620" s="12" t="str">
        <x:v>Rupa Solitaire</x:v>
      </x:c>
      <x:c r="F1620" s="11" t="n">
        <x:v>10</x:v>
      </x:c>
      <x:c r="G1620" s="11" t="n">
        <x:v>10</x:v>
      </x:c>
      <x:c r="H1620" s="11" t="n">
        <x:v>0</x:v>
      </x:c>
      <x:c r="I1620" s="17" t="n">
        <x:f>INDEX('Costing'!$P$9:$P$492,MATCH(D1620,'Costing'!$A$9:$A$492,0))</x:f>
        <x:v>400000</x:v>
      </x:c>
      <x:c r="J1620" s="17" t="n">
        <x:f>ROUND(I1620*'Costing'!$C$4,2)</x:f>
        <x:v>72000</x:v>
      </x:c>
      <x:c r="K1620" s="17" t="n">
        <x:f>I1620+J1620</x:f>
        <x:v>472000</x:v>
      </x:c>
    </x:row>
    <x:row r="1621" ht="46" customHeight="1">
      <x:c r="A1621" s="2" t="str">
        <x:v>Sector</x:v>
      </x:c>
      <x:c r="B1621" s="2" t="str">
        <x:v>Healthcare &amp; life sciences</x:v>
      </x:c>
      <x:c r="C1621" s="12" t="str">
        <x:v>Mumbai</x:v>
      </x:c>
      <x:c r="D1621" s="12" t="str">
        <x:v>PARTNER-M223</x:v>
      </x:c>
      <x:c r="E1621" s="12" t="str">
        <x:v>Technology Center IV</x:v>
      </x:c>
      <x:c r="F1621" s="11" t="n">
        <x:v>4</x:v>
      </x:c>
      <x:c r="G1621" s="11" t="n">
        <x:v>4</x:v>
      </x:c>
      <x:c r="H1621" s="11" t="n">
        <x:v>0</x:v>
      </x:c>
      <x:c r="I1621" s="17" t="n">
        <x:f>INDEX('Costing'!$P$9:$P$492,MATCH(D1621,'Costing'!$A$9:$A$492,0))</x:f>
        <x:v>160000</x:v>
      </x:c>
      <x:c r="J1621" s="17" t="n">
        <x:f>ROUND(I1621*'Costing'!$C$4,2)</x:f>
        <x:v>28800</x:v>
      </x:c>
      <x:c r="K1621" s="17" t="n">
        <x:f>I1621+J1621</x:f>
        <x:v>188800</x:v>
      </x:c>
    </x:row>
    <x:row r="1622" ht="46" customHeight="1">
      <x:c r="A1622" s="2" t="str">
        <x:v>Sector</x:v>
      </x:c>
      <x:c r="B1622" s="2" t="str">
        <x:v>Healthcare &amp; life sciences</x:v>
      </x:c>
      <x:c r="C1622" s="12" t="str">
        <x:v>Mumbai</x:v>
      </x:c>
      <x:c r="D1622" s="12" t="str">
        <x:v>PARTNER-M175</x:v>
      </x:c>
      <x:c r="E1622" s="12" t="str">
        <x:v>The Capital</x:v>
      </x:c>
      <x:c r="F1622" s="11" t="n">
        <x:v>3</x:v>
      </x:c>
      <x:c r="G1622" s="11" t="n">
        <x:v>3</x:v>
      </x:c>
      <x:c r="H1622" s="11" t="n">
        <x:v>0</x:v>
      </x:c>
      <x:c r="I1622" s="17" t="n">
        <x:f>INDEX('Costing'!$P$9:$P$492,MATCH(D1622,'Costing'!$A$9:$A$492,0))</x:f>
        <x:v>120000</x:v>
      </x:c>
      <x:c r="J1622" s="17" t="n">
        <x:f>ROUND(I1622*'Costing'!$C$4,2)</x:f>
        <x:v>21600</x:v>
      </x:c>
      <x:c r="K1622" s="17" t="n">
        <x:f>I1622+J1622</x:f>
        <x:v>141600</x:v>
      </x:c>
    </x:row>
    <x:row r="1623" ht="46" customHeight="1">
      <x:c r="A1623" s="2" t="str">
        <x:v>Sector</x:v>
      </x:c>
      <x:c r="B1623" s="2" t="str">
        <x:v>Healthcare &amp; life sciences</x:v>
      </x:c>
      <x:c r="C1623" s="12" t="str">
        <x:v>Pune</x:v>
      </x:c>
      <x:c r="D1623" s="12" t="str">
        <x:v>PARTNER-M252</x:v>
      </x:c>
      <x:c r="E1623" s="12" t="str">
        <x:v>Magarpatta Cyberpark</x:v>
      </x:c>
      <x:c r="F1623" s="11" t="n">
        <x:v>9</x:v>
      </x:c>
      <x:c r="G1623" s="11" t="n">
        <x:v>9</x:v>
      </x:c>
      <x:c r="H1623" s="11" t="n">
        <x:v>0</x:v>
      </x:c>
      <x:c r="I1623" s="17" t="n">
        <x:f>INDEX('Costing'!$P$9:$P$492,MATCH(D1623,'Costing'!$A$9:$A$492,0))</x:f>
        <x:v>360000</x:v>
      </x:c>
      <x:c r="J1623" s="17" t="n">
        <x:f>ROUND(I1623*'Costing'!$C$4,2)</x:f>
        <x:v>64800</x:v>
      </x:c>
      <x:c r="K1623" s="17" t="n">
        <x:f>I1623+J1623</x:f>
        <x:v>424800</x:v>
      </x:c>
    </x:row>
    <x:row r="1624" ht="46" customHeight="1">
      <x:c r="A1624" s="2" t="str">
        <x:v>Sector</x:v>
      </x:c>
      <x:c r="B1624" s="2" t="str">
        <x:v>Healthcare &amp; life sciences</x:v>
      </x:c>
      <x:c r="C1624" s="12" t="str">
        <x:v>Pune</x:v>
      </x:c>
      <x:c r="D1624" s="12" t="str">
        <x:v>PARTNER-M261</x:v>
      </x:c>
      <x:c r="E1624" s="12" t="str">
        <x:v>Pentagon Towers</x:v>
      </x:c>
      <x:c r="F1624" s="11" t="n">
        <x:v>4</x:v>
      </x:c>
      <x:c r="G1624" s="11" t="n">
        <x:v>4</x:v>
      </x:c>
      <x:c r="H1624" s="11" t="n">
        <x:v>0</x:v>
      </x:c>
      <x:c r="I1624" s="17" t="n">
        <x:f>INDEX('Costing'!$P$9:$P$492,MATCH(D1624,'Costing'!$A$9:$A$492,0))</x:f>
        <x:v>160000</x:v>
      </x:c>
      <x:c r="J1624" s="17" t="n">
        <x:f>ROUND(I1624*'Costing'!$C$4,2)</x:f>
        <x:v>28800</x:v>
      </x:c>
      <x:c r="K1624" s="17" t="n">
        <x:f>I1624+J1624</x:f>
        <x:v>188800</x:v>
      </x:c>
    </x:row>
    <x:row r="1625" ht="46" customHeight="1">
      <x:c r="A1625" s="2" t="str">
        <x:v>Sector</x:v>
      </x:c>
      <x:c r="B1625" s="2" t="str">
        <x:v>IT &amp; digital</x:v>
      </x:c>
      <x:c r="C1625" s="12" t="str">
        <x:v>Ahmedabad</x:v>
      </x:c>
      <x:c r="D1625" s="12" t="str">
        <x:v>MAIN-006</x:v>
      </x:c>
      <x:c r="E1625" s="12" t="str">
        <x:v>Awfis - RE11</x:v>
      </x:c>
      <x:c r="F1625" s="11" t="n">
        <x:v>1</x:v>
      </x:c>
      <x:c r="G1625" s="11" t="n">
        <x:v>1</x:v>
      </x:c>
      <x:c r="H1625" s="11" t="n">
        <x:v>0</x:v>
      </x:c>
      <x:c r="I1625" s="17" t="n">
        <x:f>INDEX('Costing'!$P$9:$P$492,MATCH(D1625,'Costing'!$A$9:$A$492,0))</x:f>
        <x:v>15000</x:v>
      </x:c>
      <x:c r="J1625" s="17" t="n">
        <x:f>ROUND(I1625*'Costing'!$C$4,2)</x:f>
        <x:v>2700</x:v>
      </x:c>
      <x:c r="K1625" s="17" t="n">
        <x:f>I1625+J1625</x:f>
        <x:v>17700</x:v>
      </x:c>
    </x:row>
    <x:row r="1626" ht="46" customHeight="1">
      <x:c r="A1626" s="2" t="str">
        <x:v>Sector</x:v>
      </x:c>
      <x:c r="B1626" s="2" t="str">
        <x:v>IT &amp; digital</x:v>
      </x:c>
      <x:c r="C1626" s="12" t="str">
        <x:v>Bengaluru</x:v>
      </x:c>
      <x:c r="D1626" s="12" t="str">
        <x:v>MAIN-009</x:v>
      </x:c>
      <x:c r="E1626" s="12" t="str">
        <x:v>Akshay Tech Park</x:v>
      </x:c>
      <x:c r="F1626" s="11" t="n">
        <x:v>8</x:v>
      </x:c>
      <x:c r="G1626" s="11" t="n">
        <x:v>8</x:v>
      </x:c>
      <x:c r="H1626" s="11" t="n">
        <x:v>0</x:v>
      </x:c>
      <x:c r="I1626" s="17" t="n">
        <x:f>INDEX('Costing'!$P$9:$P$492,MATCH(D1626,'Costing'!$A$9:$A$492,0))</x:f>
        <x:v>120000</x:v>
      </x:c>
      <x:c r="J1626" s="17" t="n">
        <x:f>ROUND(I1626*'Costing'!$C$4,2)</x:f>
        <x:v>21600</x:v>
      </x:c>
      <x:c r="K1626" s="17" t="n">
        <x:f>I1626+J1626</x:f>
        <x:v>141600</x:v>
      </x:c>
    </x:row>
    <x:row r="1627" ht="46" customHeight="1">
      <x:c r="A1627" s="2" t="str">
        <x:v>Sector</x:v>
      </x:c>
      <x:c r="B1627" s="2" t="str">
        <x:v>IT &amp; digital</x:v>
      </x:c>
      <x:c r="C1627" s="12" t="str">
        <x:v>Bengaluru</x:v>
      </x:c>
      <x:c r="D1627" s="12" t="str">
        <x:v>MAIN-010</x:v>
      </x:c>
      <x:c r="E1627" s="12" t="str">
        <x:v>Ataura Business Centre</x:v>
      </x:c>
      <x:c r="F1627" s="11" t="n">
        <x:v>1</x:v>
      </x:c>
      <x:c r="G1627" s="11" t="n">
        <x:v>1</x:v>
      </x:c>
      <x:c r="H1627" s="11" t="n">
        <x:v>0</x:v>
      </x:c>
      <x:c r="I1627" s="17" t="n">
        <x:f>INDEX('Costing'!$P$9:$P$492,MATCH(D1627,'Costing'!$A$9:$A$492,0))</x:f>
        <x:v>15000</x:v>
      </x:c>
      <x:c r="J1627" s="17" t="n">
        <x:f>ROUND(I1627*'Costing'!$C$4,2)</x:f>
        <x:v>2700</x:v>
      </x:c>
      <x:c r="K1627" s="17" t="n">
        <x:f>I1627+J1627</x:f>
        <x:v>17700</x:v>
      </x:c>
    </x:row>
    <x:row r="1628" ht="46" customHeight="1">
      <x:c r="A1628" s="2" t="str">
        <x:v>Sector</x:v>
      </x:c>
      <x:c r="B1628" s="2" t="str">
        <x:v>IT &amp; digital</x:v>
      </x:c>
      <x:c r="C1628" s="12" t="str">
        <x:v>Bengaluru</x:v>
      </x:c>
      <x:c r="D1628" s="12" t="str">
        <x:v>MAIN-011</x:v>
      </x:c>
      <x:c r="E1628" s="12" t="str">
        <x:v>Awfis - Brigade Metropolis</x:v>
      </x:c>
      <x:c r="F1628" s="11" t="n">
        <x:v>1</x:v>
      </x:c>
      <x:c r="G1628" s="11" t="n">
        <x:v>1</x:v>
      </x:c>
      <x:c r="H1628" s="11" t="n">
        <x:v>0</x:v>
      </x:c>
      <x:c r="I1628" s="17" t="n">
        <x:f>INDEX('Costing'!$P$9:$P$492,MATCH(D1628,'Costing'!$A$9:$A$492,0))</x:f>
        <x:v>15000</x:v>
      </x:c>
      <x:c r="J1628" s="17" t="n">
        <x:f>ROUND(I1628*'Costing'!$C$4,2)</x:f>
        <x:v>2700</x:v>
      </x:c>
      <x:c r="K1628" s="17" t="n">
        <x:f>I1628+J1628</x:f>
        <x:v>17700</x:v>
      </x:c>
    </x:row>
    <x:row r="1629" ht="46" customHeight="1">
      <x:c r="A1629" s="2" t="str">
        <x:v>Sector</x:v>
      </x:c>
      <x:c r="B1629" s="2" t="str">
        <x:v>IT &amp; digital</x:v>
      </x:c>
      <x:c r="C1629" s="12" t="str">
        <x:v>Bengaluru</x:v>
      </x:c>
      <x:c r="D1629" s="12" t="str">
        <x:v>MAIN-012</x:v>
      </x:c>
      <x:c r="E1629" s="12" t="str">
        <x:v>Awfis - Kirloskar Tech Park</x:v>
      </x:c>
      <x:c r="F1629" s="11" t="n">
        <x:v>2</x:v>
      </x:c>
      <x:c r="G1629" s="11" t="n">
        <x:v>2</x:v>
      </x:c>
      <x:c r="H1629" s="11" t="n">
        <x:v>0</x:v>
      </x:c>
      <x:c r="I1629" s="17" t="n">
        <x:f>INDEX('Costing'!$P$9:$P$492,MATCH(D1629,'Costing'!$A$9:$A$492,0))</x:f>
        <x:v>30000</x:v>
      </x:c>
      <x:c r="J1629" s="17" t="n">
        <x:f>ROUND(I1629*'Costing'!$C$4,2)</x:f>
        <x:v>5400</x:v>
      </x:c>
      <x:c r="K1629" s="17" t="n">
        <x:f>I1629+J1629</x:f>
        <x:v>35400</x:v>
      </x:c>
    </x:row>
    <x:row r="1630" ht="46" customHeight="1">
      <x:c r="A1630" s="2" t="str">
        <x:v>Sector</x:v>
      </x:c>
      <x:c r="B1630" s="2" t="str">
        <x:v>IT &amp; digital</x:v>
      </x:c>
      <x:c r="C1630" s="12" t="str">
        <x:v>Bengaluru</x:v>
      </x:c>
      <x:c r="D1630" s="12" t="str">
        <x:v>MAIN-013</x:v>
      </x:c>
      <x:c r="E1630" s="12" t="str">
        <x:v>Awfis - Mantri Commerce</x:v>
      </x:c>
      <x:c r="F1630" s="11" t="n">
        <x:v>2</x:v>
      </x:c>
      <x:c r="G1630" s="11" t="n">
        <x:v>2</x:v>
      </x:c>
      <x:c r="H1630" s="11" t="n">
        <x:v>0</x:v>
      </x:c>
      <x:c r="I1630" s="17" t="n">
        <x:f>INDEX('Costing'!$P$9:$P$492,MATCH(D1630,'Costing'!$A$9:$A$492,0))</x:f>
        <x:v>30000</x:v>
      </x:c>
      <x:c r="J1630" s="17" t="n">
        <x:f>ROUND(I1630*'Costing'!$C$4,2)</x:f>
        <x:v>5400</x:v>
      </x:c>
      <x:c r="K1630" s="17" t="n">
        <x:f>I1630+J1630</x:f>
        <x:v>35400</x:v>
      </x:c>
    </x:row>
    <x:row r="1631" ht="46" customHeight="1">
      <x:c r="A1631" s="2" t="str">
        <x:v>Sector</x:v>
      </x:c>
      <x:c r="B1631" s="2" t="str">
        <x:v>IT &amp; digital</x:v>
      </x:c>
      <x:c r="C1631" s="12" t="str">
        <x:v>Bengaluru</x:v>
      </x:c>
      <x:c r="D1631" s="12" t="str">
        <x:v>MAIN-014</x:v>
      </x:c>
      <x:c r="E1631" s="12" t="str">
        <x:v>Awfis - Mission Road</x:v>
      </x:c>
      <x:c r="F1631" s="11" t="n">
        <x:v>4</x:v>
      </x:c>
      <x:c r="G1631" s="11" t="n">
        <x:v>4</x:v>
      </x:c>
      <x:c r="H1631" s="11" t="n">
        <x:v>0</x:v>
      </x:c>
      <x:c r="I1631" s="17" t="n">
        <x:f>INDEX('Costing'!$P$9:$P$492,MATCH(D1631,'Costing'!$A$9:$A$492,0))</x:f>
        <x:v>60000</x:v>
      </x:c>
      <x:c r="J1631" s="17" t="n">
        <x:f>ROUND(I1631*'Costing'!$C$4,2)</x:f>
        <x:v>10800</x:v>
      </x:c>
      <x:c r="K1631" s="17" t="n">
        <x:f>I1631+J1631</x:f>
        <x:v>70800</x:v>
      </x:c>
    </x:row>
    <x:row r="1632" ht="46" customHeight="1">
      <x:c r="A1632" s="2" t="str">
        <x:v>Sector</x:v>
      </x:c>
      <x:c r="B1632" s="2" t="str">
        <x:v>IT &amp; digital</x:v>
      </x:c>
      <x:c r="C1632" s="12" t="str">
        <x:v>Bengaluru</x:v>
      </x:c>
      <x:c r="D1632" s="12" t="str">
        <x:v>MAIN-015</x:v>
      </x:c>
      <x:c r="E1632" s="12" t="str">
        <x:v>Awfis - Prestige Blue Chip</x:v>
      </x:c>
      <x:c r="F1632" s="11" t="n">
        <x:v>1</x:v>
      </x:c>
      <x:c r="G1632" s="11" t="n">
        <x:v>1</x:v>
      </x:c>
      <x:c r="H1632" s="11" t="n">
        <x:v>0</x:v>
      </x:c>
      <x:c r="I1632" s="17" t="n">
        <x:f>INDEX('Costing'!$P$9:$P$492,MATCH(D1632,'Costing'!$A$9:$A$492,0))</x:f>
        <x:v>15000</x:v>
      </x:c>
      <x:c r="J1632" s="17" t="n">
        <x:f>ROUND(I1632*'Costing'!$C$4,2)</x:f>
        <x:v>2700</x:v>
      </x:c>
      <x:c r="K1632" s="17" t="n">
        <x:f>I1632+J1632</x:f>
        <x:v>17700</x:v>
      </x:c>
    </x:row>
    <x:row r="1633" ht="46" customHeight="1">
      <x:c r="A1633" s="2" t="str">
        <x:v>Sector</x:v>
      </x:c>
      <x:c r="B1633" s="2" t="str">
        <x:v>IT &amp; digital</x:v>
      </x:c>
      <x:c r="C1633" s="12" t="str">
        <x:v>Bengaluru</x:v>
      </x:c>
      <x:c r="D1633" s="12" t="str">
        <x:v>MAIN-017</x:v>
      </x:c>
      <x:c r="E1633" s="12" t="str">
        <x:v>Awfis - Prestige Shantiniketan</x:v>
      </x:c>
      <x:c r="F1633" s="11" t="n">
        <x:v>2</x:v>
      </x:c>
      <x:c r="G1633" s="11" t="n">
        <x:v>2</x:v>
      </x:c>
      <x:c r="H1633" s="11" t="n">
        <x:v>0</x:v>
      </x:c>
      <x:c r="I1633" s="17" t="n">
        <x:f>INDEX('Costing'!$P$9:$P$492,MATCH(D1633,'Costing'!$A$9:$A$492,0))</x:f>
        <x:v>30000</x:v>
      </x:c>
      <x:c r="J1633" s="17" t="n">
        <x:f>ROUND(I1633*'Costing'!$C$4,2)</x:f>
        <x:v>5400</x:v>
      </x:c>
      <x:c r="K1633" s="17" t="n">
        <x:f>I1633+J1633</x:f>
        <x:v>35400</x:v>
      </x:c>
    </x:row>
    <x:row r="1634" ht="46" customHeight="1">
      <x:c r="A1634" s="2" t="str">
        <x:v>Sector</x:v>
      </x:c>
      <x:c r="B1634" s="2" t="str">
        <x:v>IT &amp; digital</x:v>
      </x:c>
      <x:c r="C1634" s="12" t="str">
        <x:v>Bengaluru</x:v>
      </x:c>
      <x:c r="D1634" s="12" t="str">
        <x:v>MAIN-019</x:v>
      </x:c>
      <x:c r="E1634" s="12" t="str">
        <x:v>Awfis - Prestige Tech Park 2 (Mercury)</x:v>
      </x:c>
      <x:c r="F1634" s="11" t="n">
        <x:v>4</x:v>
      </x:c>
      <x:c r="G1634" s="11" t="n">
        <x:v>4</x:v>
      </x:c>
      <x:c r="H1634" s="11" t="n">
        <x:v>0</x:v>
      </x:c>
      <x:c r="I1634" s="17" t="n">
        <x:f>INDEX('Costing'!$P$9:$P$492,MATCH(D1634,'Costing'!$A$9:$A$492,0))</x:f>
        <x:v>60000</x:v>
      </x:c>
      <x:c r="J1634" s="17" t="n">
        <x:f>ROUND(I1634*'Costing'!$C$4,2)</x:f>
        <x:v>10800</x:v>
      </x:c>
      <x:c r="K1634" s="17" t="n">
        <x:f>I1634+J1634</x:f>
        <x:v>70800</x:v>
      </x:c>
    </x:row>
    <x:row r="1635" ht="46" customHeight="1">
      <x:c r="A1635" s="2" t="str">
        <x:v>Sector</x:v>
      </x:c>
      <x:c r="B1635" s="2" t="str">
        <x:v>IT &amp; digital</x:v>
      </x:c>
      <x:c r="C1635" s="12" t="str">
        <x:v>Bengaluru</x:v>
      </x:c>
      <x:c r="D1635" s="12" t="str">
        <x:v>MAIN-020</x:v>
      </x:c>
      <x:c r="E1635" s="12" t="str">
        <x:v>AWFIS - PTP 4 Jupiter</x:v>
      </x:c>
      <x:c r="F1635" s="11" t="n">
        <x:v>1</x:v>
      </x:c>
      <x:c r="G1635" s="11" t="n">
        <x:v>1</x:v>
      </x:c>
      <x:c r="H1635" s="11" t="n">
        <x:v>0</x:v>
      </x:c>
      <x:c r="I1635" s="17" t="n">
        <x:f>INDEX('Costing'!$P$9:$P$492,MATCH(D1635,'Costing'!$A$9:$A$492,0))</x:f>
        <x:v>15000</x:v>
      </x:c>
      <x:c r="J1635" s="17" t="n">
        <x:f>ROUND(I1635*'Costing'!$C$4,2)</x:f>
        <x:v>2700</x:v>
      </x:c>
      <x:c r="K1635" s="17" t="n">
        <x:f>I1635+J1635</x:f>
        <x:v>17700</x:v>
      </x:c>
    </x:row>
    <x:row r="1636" ht="46" customHeight="1">
      <x:c r="A1636" s="2" t="str">
        <x:v>Sector</x:v>
      </x:c>
      <x:c r="B1636" s="2" t="str">
        <x:v>IT &amp; digital</x:v>
      </x:c>
      <x:c r="C1636" s="12" t="str">
        <x:v>Bengaluru</x:v>
      </x:c>
      <x:c r="D1636" s="12" t="str">
        <x:v>MAIN-022</x:v>
      </x:c>
      <x:c r="E1636" s="12" t="str">
        <x:v>Awfis - Residency Road</x:v>
      </x:c>
      <x:c r="F1636" s="11" t="n">
        <x:v>2</x:v>
      </x:c>
      <x:c r="G1636" s="11" t="n">
        <x:v>2</x:v>
      </x:c>
      <x:c r="H1636" s="11" t="n">
        <x:v>0</x:v>
      </x:c>
      <x:c r="I1636" s="17" t="n">
        <x:f>INDEX('Costing'!$P$9:$P$492,MATCH(D1636,'Costing'!$A$9:$A$492,0))</x:f>
        <x:v>30000</x:v>
      </x:c>
      <x:c r="J1636" s="17" t="n">
        <x:f>ROUND(I1636*'Costing'!$C$4,2)</x:f>
        <x:v>5400</x:v>
      </x:c>
      <x:c r="K1636" s="17" t="n">
        <x:f>I1636+J1636</x:f>
        <x:v>35400</x:v>
      </x:c>
    </x:row>
    <x:row r="1637" ht="46" customHeight="1">
      <x:c r="A1637" s="2" t="str">
        <x:v>Sector</x:v>
      </x:c>
      <x:c r="B1637" s="2" t="str">
        <x:v>IT &amp; digital</x:v>
      </x:c>
      <x:c r="C1637" s="12" t="str">
        <x:v>Bengaluru</x:v>
      </x:c>
      <x:c r="D1637" s="12" t="str">
        <x:v>MAIN-023</x:v>
      </x:c>
      <x:c r="E1637" s="12" t="str">
        <x:v>Awfis - Residency Square</x:v>
      </x:c>
      <x:c r="F1637" s="11" t="n">
        <x:v>6</x:v>
      </x:c>
      <x:c r="G1637" s="11" t="n">
        <x:v>6</x:v>
      </x:c>
      <x:c r="H1637" s="11" t="n">
        <x:v>0</x:v>
      </x:c>
      <x:c r="I1637" s="17" t="n">
        <x:f>INDEX('Costing'!$P$9:$P$492,MATCH(D1637,'Costing'!$A$9:$A$492,0))</x:f>
        <x:v>90000</x:v>
      </x:c>
      <x:c r="J1637" s="17" t="n">
        <x:f>ROUND(I1637*'Costing'!$C$4,2)</x:f>
        <x:v>16200</x:v>
      </x:c>
      <x:c r="K1637" s="17" t="n">
        <x:f>I1637+J1637</x:f>
        <x:v>106200</x:v>
      </x:c>
    </x:row>
    <x:row r="1638" ht="46" customHeight="1">
      <x:c r="A1638" s="2" t="str">
        <x:v>Sector</x:v>
      </x:c>
      <x:c r="B1638" s="2" t="str">
        <x:v>IT &amp; digital</x:v>
      </x:c>
      <x:c r="C1638" s="12" t="str">
        <x:v>Bengaluru</x:v>
      </x:c>
      <x:c r="D1638" s="12" t="str">
        <x:v>MAIN-025</x:v>
      </x:c>
      <x:c r="E1638" s="12" t="str">
        <x:v>Awfis - ST Mark's Road</x:v>
      </x:c>
      <x:c r="F1638" s="11" t="n">
        <x:v>5</x:v>
      </x:c>
      <x:c r="G1638" s="11" t="n">
        <x:v>5</x:v>
      </x:c>
      <x:c r="H1638" s="11" t="n">
        <x:v>0</x:v>
      </x:c>
      <x:c r="I1638" s="17" t="n">
        <x:f>INDEX('Costing'!$P$9:$P$492,MATCH(D1638,'Costing'!$A$9:$A$492,0))</x:f>
        <x:v>75000</x:v>
      </x:c>
      <x:c r="J1638" s="17" t="n">
        <x:f>ROUND(I1638*'Costing'!$C$4,2)</x:f>
        <x:v>13500</x:v>
      </x:c>
      <x:c r="K1638" s="17" t="n">
        <x:f>I1638+J1638</x:f>
        <x:v>88500</x:v>
      </x:c>
    </x:row>
    <x:row r="1639" ht="46" customHeight="1">
      <x:c r="A1639" s="2" t="str">
        <x:v>Sector</x:v>
      </x:c>
      <x:c r="B1639" s="2" t="str">
        <x:v>IT &amp; digital</x:v>
      </x:c>
      <x:c r="C1639" s="12" t="str">
        <x:v>Bengaluru</x:v>
      </x:c>
      <x:c r="D1639" s="12" t="str">
        <x:v>MAIN-026</x:v>
      </x:c>
      <x:c r="E1639" s="12" t="str">
        <x:v>Awfis - Vajram Esteva</x:v>
      </x:c>
      <x:c r="F1639" s="11" t="n">
        <x:v>4</x:v>
      </x:c>
      <x:c r="G1639" s="11" t="n">
        <x:v>4</x:v>
      </x:c>
      <x:c r="H1639" s="11" t="n">
        <x:v>0</x:v>
      </x:c>
      <x:c r="I1639" s="17" t="n">
        <x:f>INDEX('Costing'!$P$9:$P$492,MATCH(D1639,'Costing'!$A$9:$A$492,0))</x:f>
        <x:v>60000</x:v>
      </x:c>
      <x:c r="J1639" s="17" t="n">
        <x:f>ROUND(I1639*'Costing'!$C$4,2)</x:f>
        <x:v>10800</x:v>
      </x:c>
      <x:c r="K1639" s="17" t="n">
        <x:f>I1639+J1639</x:f>
        <x:v>70800</x:v>
      </x:c>
    </x:row>
    <x:row r="1640" ht="46" customHeight="1">
      <x:c r="A1640" s="2" t="str">
        <x:v>Sector</x:v>
      </x:c>
      <x:c r="B1640" s="2" t="str">
        <x:v>IT &amp; digital</x:v>
      </x:c>
      <x:c r="C1640" s="12" t="str">
        <x:v>Bengaluru</x:v>
      </x:c>
      <x:c r="D1640" s="12" t="str">
        <x:v>MAIN-027</x:v>
      </x:c>
      <x:c r="E1640" s="12" t="str">
        <x:v>Bhive Workspace - AKR Tech Park</x:v>
      </x:c>
      <x:c r="F1640" s="11" t="n">
        <x:v>6</x:v>
      </x:c>
      <x:c r="G1640" s="11" t="n">
        <x:v>6</x:v>
      </x:c>
      <x:c r="H1640" s="11" t="n">
        <x:v>0</x:v>
      </x:c>
      <x:c r="I1640" s="17" t="n">
        <x:f>INDEX('Costing'!$P$9:$P$492,MATCH(D1640,'Costing'!$A$9:$A$492,0))</x:f>
        <x:v>90000</x:v>
      </x:c>
      <x:c r="J1640" s="17" t="n">
        <x:f>ROUND(I1640*'Costing'!$C$4,2)</x:f>
        <x:v>16200</x:v>
      </x:c>
      <x:c r="K1640" s="17" t="n">
        <x:f>I1640+J1640</x:f>
        <x:v>106200</x:v>
      </x:c>
    </x:row>
    <x:row r="1641" ht="46" customHeight="1">
      <x:c r="A1641" s="2" t="str">
        <x:v>Sector</x:v>
      </x:c>
      <x:c r="B1641" s="2" t="str">
        <x:v>IT &amp; digital</x:v>
      </x:c>
      <x:c r="C1641" s="12" t="str">
        <x:v>Bengaluru</x:v>
      </x:c>
      <x:c r="D1641" s="12" t="str">
        <x:v>MAIN-028</x:v>
      </x:c>
      <x:c r="E1641" s="12" t="str">
        <x:v>Bhive Workspace - HSR Layout 27Th Main</x:v>
      </x:c>
      <x:c r="F1641" s="11" t="n">
        <x:v>1</x:v>
      </x:c>
      <x:c r="G1641" s="11" t="n">
        <x:v>1</x:v>
      </x:c>
      <x:c r="H1641" s="11" t="n">
        <x:v>0</x:v>
      </x:c>
      <x:c r="I1641" s="17" t="n">
        <x:f>INDEX('Costing'!$P$9:$P$492,MATCH(D1641,'Costing'!$A$9:$A$492,0))</x:f>
        <x:v>15000</x:v>
      </x:c>
      <x:c r="J1641" s="17" t="n">
        <x:f>ROUND(I1641*'Costing'!$C$4,2)</x:f>
        <x:v>2700</x:v>
      </x:c>
      <x:c r="K1641" s="17" t="n">
        <x:f>I1641+J1641</x:f>
        <x:v>17700</x:v>
      </x:c>
    </x:row>
    <x:row r="1642" ht="46" customHeight="1">
      <x:c r="A1642" s="2" t="str">
        <x:v>Sector</x:v>
      </x:c>
      <x:c r="B1642" s="2" t="str">
        <x:v>IT &amp; digital</x:v>
      </x:c>
      <x:c r="C1642" s="12" t="str">
        <x:v>Bengaluru</x:v>
      </x:c>
      <x:c r="D1642" s="12" t="str">
        <x:v>MAIN-030</x:v>
      </x:c>
      <x:c r="E1642" s="12" t="str">
        <x:v>Bhive Workspace - Indiranagar</x:v>
      </x:c>
      <x:c r="F1642" s="11" t="n">
        <x:v>6</x:v>
      </x:c>
      <x:c r="G1642" s="11" t="n">
        <x:v>6</x:v>
      </x:c>
      <x:c r="H1642" s="11" t="n">
        <x:v>0</x:v>
      </x:c>
      <x:c r="I1642" s="17" t="n">
        <x:f>INDEX('Costing'!$P$9:$P$492,MATCH(D1642,'Costing'!$A$9:$A$492,0))</x:f>
        <x:v>90000</x:v>
      </x:c>
      <x:c r="J1642" s="17" t="n">
        <x:f>ROUND(I1642*'Costing'!$C$4,2)</x:f>
        <x:v>16200</x:v>
      </x:c>
      <x:c r="K1642" s="17" t="n">
        <x:f>I1642+J1642</x:f>
        <x:v>106200</x:v>
      </x:c>
    </x:row>
    <x:row r="1643" ht="46" customHeight="1">
      <x:c r="A1643" s="2" t="str">
        <x:v>Sector</x:v>
      </x:c>
      <x:c r="B1643" s="2" t="str">
        <x:v>IT &amp; digital</x:v>
      </x:c>
      <x:c r="C1643" s="12" t="str">
        <x:v>Bengaluru</x:v>
      </x:c>
      <x:c r="D1643" s="12" t="str">
        <x:v>MAIN-037</x:v>
      </x:c>
      <x:c r="E1643" s="12" t="str">
        <x:v>Brookfield - Centennial</x:v>
      </x:c>
      <x:c r="F1643" s="11" t="n">
        <x:v>2</x:v>
      </x:c>
      <x:c r="G1643" s="11" t="n">
        <x:v>2</x:v>
      </x:c>
      <x:c r="H1643" s="11" t="n">
        <x:v>0</x:v>
      </x:c>
      <x:c r="I1643" s="17" t="n">
        <x:f>INDEX('Costing'!$P$9:$P$492,MATCH(D1643,'Costing'!$A$9:$A$492,0))</x:f>
        <x:v>80000</x:v>
      </x:c>
      <x:c r="J1643" s="17" t="n">
        <x:f>ROUND(I1643*'Costing'!$C$4,2)</x:f>
        <x:v>14400</x:v>
      </x:c>
      <x:c r="K1643" s="17" t="n">
        <x:f>I1643+J1643</x:f>
        <x:v>94400</x:v>
      </x:c>
    </x:row>
    <x:row r="1644" ht="46" customHeight="1">
      <x:c r="A1644" s="2" t="str">
        <x:v>Sector</x:v>
      </x:c>
      <x:c r="B1644" s="2" t="str">
        <x:v>IT &amp; digital</x:v>
      </x:c>
      <x:c r="C1644" s="12" t="str">
        <x:v>Bengaluru</x:v>
      </x:c>
      <x:c r="D1644" s="12" t="str">
        <x:v>MAIN-039</x:v>
      </x:c>
      <x:c r="E1644" s="12" t="str">
        <x:v>Brookfield - EcoWorld</x:v>
      </x:c>
      <x:c r="F1644" s="11" t="n">
        <x:v>16</x:v>
      </x:c>
      <x:c r="G1644" s="11" t="n">
        <x:v>16</x:v>
      </x:c>
      <x:c r="H1644" s="11" t="n">
        <x:v>0</x:v>
      </x:c>
      <x:c r="I1644" s="17" t="n">
        <x:f>INDEX('Costing'!$P$9:$P$492,MATCH(D1644,'Costing'!$A$9:$A$492,0))</x:f>
        <x:v>640000</x:v>
      </x:c>
      <x:c r="J1644" s="17" t="n">
        <x:f>ROUND(I1644*'Costing'!$C$4,2)</x:f>
        <x:v>115200</x:v>
      </x:c>
      <x:c r="K1644" s="17" t="n">
        <x:f>I1644+J1644</x:f>
        <x:v>755200</x:v>
      </x:c>
    </x:row>
    <x:row r="1645" ht="46" customHeight="1">
      <x:c r="A1645" s="2" t="str">
        <x:v>Sector</x:v>
      </x:c>
      <x:c r="B1645" s="2" t="str">
        <x:v>IT &amp; digital</x:v>
      </x:c>
      <x:c r="C1645" s="12" t="str">
        <x:v>Bengaluru</x:v>
      </x:c>
      <x:c r="D1645" s="12" t="str">
        <x:v>MAIN-044</x:v>
      </x:c>
      <x:c r="E1645" s="12" t="str">
        <x:v>DSR Techno Cube IT Park</x:v>
      </x:c>
      <x:c r="F1645" s="11" t="n">
        <x:v>2</x:v>
      </x:c>
      <x:c r="G1645" s="11" t="n">
        <x:v>2</x:v>
      </x:c>
      <x:c r="H1645" s="11" t="n">
        <x:v>0</x:v>
      </x:c>
      <x:c r="I1645" s="17" t="n">
        <x:f>INDEX('Costing'!$P$9:$P$492,MATCH(D1645,'Costing'!$A$9:$A$492,0))</x:f>
        <x:v>40000</x:v>
      </x:c>
      <x:c r="J1645" s="17" t="n">
        <x:f>ROUND(I1645*'Costing'!$C$4,2)</x:f>
        <x:v>7200</x:v>
      </x:c>
      <x:c r="K1645" s="17" t="n">
        <x:f>I1645+J1645</x:f>
        <x:v>47200</x:v>
      </x:c>
    </x:row>
    <x:row r="1646" ht="46" customHeight="1">
      <x:c r="A1646" s="2" t="str">
        <x:v>Sector</x:v>
      </x:c>
      <x:c r="B1646" s="2" t="str">
        <x:v>IT &amp; digital</x:v>
      </x:c>
      <x:c r="C1646" s="12" t="str">
        <x:v>Bengaluru</x:v>
      </x:c>
      <x:c r="D1646" s="12" t="str">
        <x:v>MAIN-045</x:v>
      </x:c>
      <x:c r="E1646" s="12" t="str">
        <x:v>Ecradle Coworking Space</x:v>
      </x:c>
      <x:c r="F1646" s="11" t="n">
        <x:v>2</x:v>
      </x:c>
      <x:c r="G1646" s="11" t="n">
        <x:v>2</x:v>
      </x:c>
      <x:c r="H1646" s="11" t="n">
        <x:v>0</x:v>
      </x:c>
      <x:c r="I1646" s="17" t="n">
        <x:f>INDEX('Costing'!$P$9:$P$492,MATCH(D1646,'Costing'!$A$9:$A$492,0))</x:f>
        <x:v>30000</x:v>
      </x:c>
      <x:c r="J1646" s="17" t="n">
        <x:f>ROUND(I1646*'Costing'!$C$4,2)</x:f>
        <x:v>5400</x:v>
      </x:c>
      <x:c r="K1646" s="17" t="n">
        <x:f>I1646+J1646</x:f>
        <x:v>35400</x:v>
      </x:c>
    </x:row>
    <x:row r="1647" ht="46" customHeight="1">
      <x:c r="A1647" s="2" t="str">
        <x:v>Sector</x:v>
      </x:c>
      <x:c r="B1647" s="2" t="str">
        <x:v>IT &amp; digital</x:v>
      </x:c>
      <x:c r="C1647" s="12" t="str">
        <x:v>Bengaluru</x:v>
      </x:c>
      <x:c r="D1647" s="12" t="str">
        <x:v>MAIN-046</x:v>
      </x:c>
      <x:c r="E1647" s="12" t="str">
        <x:v>Global Technology Park</x:v>
      </x:c>
      <x:c r="F1647" s="11" t="n">
        <x:v>2</x:v>
      </x:c>
      <x:c r="G1647" s="11" t="n">
        <x:v>2</x:v>
      </x:c>
      <x:c r="H1647" s="11" t="n">
        <x:v>0</x:v>
      </x:c>
      <x:c r="I1647" s="17" t="n">
        <x:f>INDEX('Costing'!$P$9:$P$492,MATCH(D1647,'Costing'!$A$9:$A$492,0))</x:f>
        <x:v>40000</x:v>
      </x:c>
      <x:c r="J1647" s="17" t="n">
        <x:f>ROUND(I1647*'Costing'!$C$4,2)</x:f>
        <x:v>7200</x:v>
      </x:c>
      <x:c r="K1647" s="17" t="n">
        <x:f>I1647+J1647</x:f>
        <x:v>47200</x:v>
      </x:c>
    </x:row>
    <x:row r="1648" ht="46" customHeight="1">
      <x:c r="A1648" s="2" t="str">
        <x:v>Sector</x:v>
      </x:c>
      <x:c r="B1648" s="2" t="str">
        <x:v>IT &amp; digital</x:v>
      </x:c>
      <x:c r="C1648" s="12" t="str">
        <x:v>Bengaluru</x:v>
      </x:c>
      <x:c r="D1648" s="12" t="str">
        <x:v>MAIN-047</x:v>
      </x:c>
      <x:c r="E1648" s="12" t="str">
        <x:v>Global Technology park </x:v>
      </x:c>
      <x:c r="F1648" s="11" t="n">
        <x:v>4</x:v>
      </x:c>
      <x:c r="G1648" s="11" t="n">
        <x:v>4</x:v>
      </x:c>
      <x:c r="H1648" s="11" t="n">
        <x:v>0</x:v>
      </x:c>
      <x:c r="I1648" s="17" t="n">
        <x:f>INDEX('Costing'!$P$9:$P$492,MATCH(D1648,'Costing'!$A$9:$A$492,0))</x:f>
        <x:v>80000</x:v>
      </x:c>
      <x:c r="J1648" s="17" t="n">
        <x:f>ROUND(I1648*'Costing'!$C$4,2)</x:f>
        <x:v>14400</x:v>
      </x:c>
      <x:c r="K1648" s="17" t="n">
        <x:f>I1648+J1648</x:f>
        <x:v>94400</x:v>
      </x:c>
    </x:row>
    <x:row r="1649" ht="46" customHeight="1">
      <x:c r="A1649" s="2" t="str">
        <x:v>Sector</x:v>
      </x:c>
      <x:c r="B1649" s="2" t="str">
        <x:v>IT &amp; digital</x:v>
      </x:c>
      <x:c r="C1649" s="12" t="str">
        <x:v>Bengaluru</x:v>
      </x:c>
      <x:c r="D1649" s="12" t="str">
        <x:v>MAIN-049</x:v>
      </x:c>
      <x:c r="E1649" s="12" t="str">
        <x:v>Golden Millenium Tech Park (Pod Screens)</x:v>
      </x:c>
      <x:c r="F1649" s="11" t="n">
        <x:v>2</x:v>
      </x:c>
      <x:c r="G1649" s="11" t="n">
        <x:v>2</x:v>
      </x:c>
      <x:c r="H1649" s="11" t="n">
        <x:v>0</x:v>
      </x:c>
      <x:c r="I1649" s="17" t="n">
        <x:f>INDEX('Costing'!$P$9:$P$492,MATCH(D1649,'Costing'!$A$9:$A$492,0))</x:f>
        <x:v>40000</x:v>
      </x:c>
      <x:c r="J1649" s="17" t="n">
        <x:f>ROUND(I1649*'Costing'!$C$4,2)</x:f>
        <x:v>7200</x:v>
      </x:c>
      <x:c r="K1649" s="17" t="n">
        <x:f>I1649+J1649</x:f>
        <x:v>47200</x:v>
      </x:c>
    </x:row>
    <x:row r="1650" ht="46" customHeight="1">
      <x:c r="A1650" s="2" t="str">
        <x:v>Sector</x:v>
      </x:c>
      <x:c r="B1650" s="2" t="str">
        <x:v>IT &amp; digital</x:v>
      </x:c>
      <x:c r="C1650" s="12" t="str">
        <x:v>Bengaluru</x:v>
      </x:c>
      <x:c r="D1650" s="12" t="str">
        <x:v>MAIN-050</x:v>
      </x:c>
      <x:c r="E1650" s="12" t="str">
        <x:v>Golden Square</x:v>
      </x:c>
      <x:c r="F1650" s="11" t="n">
        <x:v>1</x:v>
      </x:c>
      <x:c r="G1650" s="11" t="n">
        <x:v>1</x:v>
      </x:c>
      <x:c r="H1650" s="11" t="n">
        <x:v>0</x:v>
      </x:c>
      <x:c r="I1650" s="17" t="n">
        <x:f>INDEX('Costing'!$P$9:$P$492,MATCH(D1650,'Costing'!$A$9:$A$492,0))</x:f>
        <x:v>15000</x:v>
      </x:c>
      <x:c r="J1650" s="17" t="n">
        <x:f>ROUND(I1650*'Costing'!$C$4,2)</x:f>
        <x:v>2700</x:v>
      </x:c>
      <x:c r="K1650" s="17" t="n">
        <x:f>I1650+J1650</x:f>
        <x:v>17700</x:v>
      </x:c>
    </x:row>
    <x:row r="1651" ht="46" customHeight="1">
      <x:c r="A1651" s="2" t="str">
        <x:v>Sector</x:v>
      </x:c>
      <x:c r="B1651" s="2" t="str">
        <x:v>IT &amp; digital</x:v>
      </x:c>
      <x:c r="C1651" s="12" t="str">
        <x:v>Bengaluru</x:v>
      </x:c>
      <x:c r="D1651" s="12" t="str">
        <x:v>MAIN-052</x:v>
      </x:c>
      <x:c r="E1651" s="12" t="str">
        <x:v>Mantri Commercio</x:v>
      </x:c>
      <x:c r="F1651" s="11" t="n">
        <x:v>18</x:v>
      </x:c>
      <x:c r="G1651" s="11" t="n">
        <x:v>18</x:v>
      </x:c>
      <x:c r="H1651" s="11" t="n">
        <x:v>0</x:v>
      </x:c>
      <x:c r="I1651" s="17" t="n">
        <x:f>INDEX('Costing'!$P$9:$P$492,MATCH(D1651,'Costing'!$A$9:$A$492,0))</x:f>
        <x:v>270000</x:v>
      </x:c>
      <x:c r="J1651" s="17" t="n">
        <x:f>ROUND(I1651*'Costing'!$C$4,2)</x:f>
        <x:v>48600</x:v>
      </x:c>
      <x:c r="K1651" s="17" t="n">
        <x:f>I1651+J1651</x:f>
        <x:v>318600</x:v>
      </x:c>
    </x:row>
    <x:row r="1652" ht="46" customHeight="1">
      <x:c r="A1652" s="2" t="str">
        <x:v>Sector</x:v>
      </x:c>
      <x:c r="B1652" s="2" t="str">
        <x:v>IT &amp; digital</x:v>
      </x:c>
      <x:c r="C1652" s="12" t="str">
        <x:v>Bengaluru</x:v>
      </x:c>
      <x:c r="D1652" s="12" t="str">
        <x:v>MAIN-054</x:v>
      </x:c>
      <x:c r="E1652" s="12" t="str">
        <x:v>Maruthi Platinum</x:v>
      </x:c>
      <x:c r="F1652" s="11" t="n">
        <x:v>19</x:v>
      </x:c>
      <x:c r="G1652" s="11" t="n">
        <x:v>19</x:v>
      </x:c>
      <x:c r="H1652" s="11" t="n">
        <x:v>0</x:v>
      </x:c>
      <x:c r="I1652" s="17" t="n">
        <x:f>INDEX('Costing'!$P$9:$P$492,MATCH(D1652,'Costing'!$A$9:$A$492,0))</x:f>
        <x:v>285000</x:v>
      </x:c>
      <x:c r="J1652" s="17" t="n">
        <x:f>ROUND(I1652*'Costing'!$C$4,2)</x:f>
        <x:v>51300</x:v>
      </x:c>
      <x:c r="K1652" s="17" t="n">
        <x:f>I1652+J1652</x:f>
        <x:v>336300</x:v>
      </x:c>
    </x:row>
    <x:row r="1653" ht="46" customHeight="1">
      <x:c r="A1653" s="2" t="str">
        <x:v>Sector</x:v>
      </x:c>
      <x:c r="B1653" s="2" t="str">
        <x:v>IT &amp; digital</x:v>
      </x:c>
      <x:c r="C1653" s="12" t="str">
        <x:v>Bengaluru</x:v>
      </x:c>
      <x:c r="D1653" s="12" t="str">
        <x:v>MAIN-MSRY7ANC</x:v>
      </x:c>
      <x:c r="E1653" s="12" t="str">
        <x:v>Novel Offices - MSR Novel</x:v>
      </x:c>
      <x:c r="F1653" s="11" t="n">
        <x:v>6</x:v>
      </x:c>
      <x:c r="G1653" s="11" t="n">
        <x:v>6</x:v>
      </x:c>
      <x:c r="H1653" s="11" t="n">
        <x:v>0</x:v>
      </x:c>
      <x:c r="I1653" s="17" t="n">
        <x:f>INDEX('Costing'!$P$9:$P$492,MATCH(D1653,'Costing'!$A$9:$A$492,0))</x:f>
        <x:v>120000</x:v>
      </x:c>
      <x:c r="J1653" s="17" t="n">
        <x:f>ROUND(I1653*'Costing'!$C$4,2)</x:f>
        <x:v>21600</x:v>
      </x:c>
      <x:c r="K1653" s="17" t="n">
        <x:f>I1653+J1653</x:f>
        <x:v>141600</x:v>
      </x:c>
    </x:row>
    <x:row r="1654" ht="46" customHeight="1">
      <x:c r="A1654" s="2" t="str">
        <x:v>Sector</x:v>
      </x:c>
      <x:c r="B1654" s="2" t="str">
        <x:v>IT &amp; digital</x:v>
      </x:c>
      <x:c r="C1654" s="12" t="str">
        <x:v>Bengaluru</x:v>
      </x:c>
      <x:c r="D1654" s="12" t="str">
        <x:v>MAIN-059</x:v>
      </x:c>
      <x:c r="E1654" s="12" t="str">
        <x:v>Novel Tech Park</x:v>
      </x:c>
      <x:c r="F1654" s="11" t="n">
        <x:v>8</x:v>
      </x:c>
      <x:c r="G1654" s="11" t="n">
        <x:v>8</x:v>
      </x:c>
      <x:c r="H1654" s="11" t="n">
        <x:v>0</x:v>
      </x:c>
      <x:c r="I1654" s="17" t="n">
        <x:f>INDEX('Costing'!$P$9:$P$492,MATCH(D1654,'Costing'!$A$9:$A$492,0))</x:f>
        <x:v>120000</x:v>
      </x:c>
      <x:c r="J1654" s="17" t="n">
        <x:f>ROUND(I1654*'Costing'!$C$4,2)</x:f>
        <x:v>21600</x:v>
      </x:c>
      <x:c r="K1654" s="17" t="n">
        <x:f>I1654+J1654</x:f>
        <x:v>141600</x:v>
      </x:c>
    </x:row>
    <x:row r="1655" ht="46" customHeight="1">
      <x:c r="A1655" s="2" t="str">
        <x:v>Sector</x:v>
      </x:c>
      <x:c r="B1655" s="2" t="str">
        <x:v>IT &amp; digital</x:v>
      </x:c>
      <x:c r="C1655" s="12" t="str">
        <x:v>Bengaluru</x:v>
      </x:c>
      <x:c r="D1655" s="12" t="str">
        <x:v>MAIN-060</x:v>
      </x:c>
      <x:c r="E1655" s="12" t="str">
        <x:v>Nucleus - Cessna Business Park</x:v>
      </x:c>
      <x:c r="F1655" s="11" t="n">
        <x:v>6</x:v>
      </x:c>
      <x:c r="G1655" s="11" t="n">
        <x:v>6</x:v>
      </x:c>
      <x:c r="H1655" s="11" t="n">
        <x:v>0</x:v>
      </x:c>
      <x:c r="I1655" s="17" t="n">
        <x:f>INDEX('Costing'!$P$9:$P$492,MATCH(D1655,'Costing'!$A$9:$A$492,0))</x:f>
        <x:v>240000</x:v>
      </x:c>
      <x:c r="J1655" s="17" t="n">
        <x:f>ROUND(I1655*'Costing'!$C$4,2)</x:f>
        <x:v>43200</x:v>
      </x:c>
      <x:c r="K1655" s="17" t="n">
        <x:f>I1655+J1655</x:f>
        <x:v>283200</x:v>
      </x:c>
    </x:row>
    <x:row r="1656" ht="46" customHeight="1">
      <x:c r="A1656" s="2" t="str">
        <x:v>Sector</x:v>
      </x:c>
      <x:c r="B1656" s="2" t="str">
        <x:v>IT &amp; digital</x:v>
      </x:c>
      <x:c r="C1656" s="12" t="str">
        <x:v>Bengaluru</x:v>
      </x:c>
      <x:c r="D1656" s="12" t="str">
        <x:v>MAIN-062</x:v>
      </x:c>
      <x:c r="E1656" s="12" t="str">
        <x:v>Nucleus - Exora Business Park</x:v>
      </x:c>
      <x:c r="F1656" s="11" t="n">
        <x:v>5</x:v>
      </x:c>
      <x:c r="G1656" s="11" t="n">
        <x:v>5</x:v>
      </x:c>
      <x:c r="H1656" s="11" t="n">
        <x:v>0</x:v>
      </x:c>
      <x:c r="I1656" s="17" t="n">
        <x:f>INDEX('Costing'!$P$9:$P$492,MATCH(D1656,'Costing'!$A$9:$A$492,0))</x:f>
        <x:v>200000</x:v>
      </x:c>
      <x:c r="J1656" s="17" t="n">
        <x:f>ROUND(I1656*'Costing'!$C$4,2)</x:f>
        <x:v>36000</x:v>
      </x:c>
      <x:c r="K1656" s="17" t="n">
        <x:f>I1656+J1656</x:f>
        <x:v>236000</x:v>
      </x:c>
    </x:row>
    <x:row r="1657" ht="46" customHeight="1">
      <x:c r="A1657" s="2" t="str">
        <x:v>Sector</x:v>
      </x:c>
      <x:c r="B1657" s="2" t="str">
        <x:v>IT &amp; digital</x:v>
      </x:c>
      <x:c r="C1657" s="12" t="str">
        <x:v>Bengaluru</x:v>
      </x:c>
      <x:c r="D1657" s="12" t="str">
        <x:v>MAIN-063</x:v>
      </x:c>
      <x:c r="E1657" s="12" t="str">
        <x:v>Nucleus - Prestige One Trade Tower</x:v>
      </x:c>
      <x:c r="F1657" s="11" t="n">
        <x:v>2</x:v>
      </x:c>
      <x:c r="G1657" s="11" t="n">
        <x:v>2</x:v>
      </x:c>
      <x:c r="H1657" s="11" t="n">
        <x:v>0</x:v>
      </x:c>
      <x:c r="I1657" s="17" t="n">
        <x:f>INDEX('Costing'!$P$9:$P$492,MATCH(D1657,'Costing'!$A$9:$A$492,0))</x:f>
        <x:v>80000</x:v>
      </x:c>
      <x:c r="J1657" s="17" t="n">
        <x:f>ROUND(I1657*'Costing'!$C$4,2)</x:f>
        <x:v>14400</x:v>
      </x:c>
      <x:c r="K1657" s="17" t="n">
        <x:f>I1657+J1657</x:f>
        <x:v>94400</x:v>
      </x:c>
    </x:row>
    <x:row r="1658" ht="46" customHeight="1">
      <x:c r="A1658" s="2" t="str">
        <x:v>Sector</x:v>
      </x:c>
      <x:c r="B1658" s="2" t="str">
        <x:v>IT &amp; digital</x:v>
      </x:c>
      <x:c r="C1658" s="12" t="str">
        <x:v>Bengaluru</x:v>
      </x:c>
      <x:c r="D1658" s="12" t="str">
        <x:v>MAIN-064</x:v>
      </x:c>
      <x:c r="E1658" s="12" t="str">
        <x:v>Obeya - Brio</x:v>
      </x:c>
      <x:c r="F1658" s="11" t="n">
        <x:v>1</x:v>
      </x:c>
      <x:c r="G1658" s="11" t="n">
        <x:v>1</x:v>
      </x:c>
      <x:c r="H1658" s="11" t="n">
        <x:v>0</x:v>
      </x:c>
      <x:c r="I1658" s="17" t="n">
        <x:f>INDEX('Costing'!$P$9:$P$492,MATCH(D1658,'Costing'!$A$9:$A$492,0))</x:f>
        <x:v>15000</x:v>
      </x:c>
      <x:c r="J1658" s="17" t="n">
        <x:f>ROUND(I1658*'Costing'!$C$4,2)</x:f>
        <x:v>2700</x:v>
      </x:c>
      <x:c r="K1658" s="17" t="n">
        <x:f>I1658+J1658</x:f>
        <x:v>17700</x:v>
      </x:c>
    </x:row>
    <x:row r="1659" ht="46" customHeight="1">
      <x:c r="A1659" s="2" t="str">
        <x:v>Sector</x:v>
      </x:c>
      <x:c r="B1659" s="2" t="str">
        <x:v>IT &amp; digital</x:v>
      </x:c>
      <x:c r="C1659" s="12" t="str">
        <x:v>Bengaluru</x:v>
      </x:c>
      <x:c r="D1659" s="12" t="str">
        <x:v>MAIN-065</x:v>
      </x:c>
      <x:c r="E1659" s="12" t="str">
        <x:v>Obeya - Elan</x:v>
      </x:c>
      <x:c r="F1659" s="11" t="n">
        <x:v>1</x:v>
      </x:c>
      <x:c r="G1659" s="11" t="n">
        <x:v>1</x:v>
      </x:c>
      <x:c r="H1659" s="11" t="n">
        <x:v>0</x:v>
      </x:c>
      <x:c r="I1659" s="17" t="n">
        <x:f>INDEX('Costing'!$P$9:$P$492,MATCH(D1659,'Costing'!$A$9:$A$492,0))</x:f>
        <x:v>15000</x:v>
      </x:c>
      <x:c r="J1659" s="17" t="n">
        <x:f>ROUND(I1659*'Costing'!$C$4,2)</x:f>
        <x:v>2700</x:v>
      </x:c>
      <x:c r="K1659" s="17" t="n">
        <x:f>I1659+J1659</x:f>
        <x:v>17700</x:v>
      </x:c>
    </x:row>
    <x:row r="1660" ht="46" customHeight="1">
      <x:c r="A1660" s="2" t="str">
        <x:v>Sector</x:v>
      </x:c>
      <x:c r="B1660" s="2" t="str">
        <x:v>IT &amp; digital</x:v>
      </x:c>
      <x:c r="C1660" s="12" t="str">
        <x:v>Bengaluru</x:v>
      </x:c>
      <x:c r="D1660" s="12" t="str">
        <x:v>MAIN-067</x:v>
      </x:c>
      <x:c r="E1660" s="12" t="str">
        <x:v>Obeya - Pulse</x:v>
      </x:c>
      <x:c r="F1660" s="11" t="n">
        <x:v>2</x:v>
      </x:c>
      <x:c r="G1660" s="11" t="n">
        <x:v>2</x:v>
      </x:c>
      <x:c r="H1660" s="11" t="n">
        <x:v>0</x:v>
      </x:c>
      <x:c r="I1660" s="17" t="n">
        <x:f>INDEX('Costing'!$P$9:$P$492,MATCH(D1660,'Costing'!$A$9:$A$492,0))</x:f>
        <x:v>30000</x:v>
      </x:c>
      <x:c r="J1660" s="17" t="n">
        <x:f>ROUND(I1660*'Costing'!$C$4,2)</x:f>
        <x:v>5400</x:v>
      </x:c>
      <x:c r="K1660" s="17" t="n">
        <x:f>I1660+J1660</x:f>
        <x:v>35400</x:v>
      </x:c>
    </x:row>
    <x:row r="1661" ht="46" customHeight="1">
      <x:c r="A1661" s="2" t="str">
        <x:v>Sector</x:v>
      </x:c>
      <x:c r="B1661" s="2" t="str">
        <x:v>IT &amp; digital</x:v>
      </x:c>
      <x:c r="C1661" s="12" t="str">
        <x:v>Bengaluru</x:v>
      </x:c>
      <x:c r="D1661" s="12" t="str">
        <x:v>MAIN-068</x:v>
      </x:c>
      <x:c r="E1661" s="12" t="str">
        <x:v>Obeya - Roses</x:v>
      </x:c>
      <x:c r="F1661" s="11" t="n">
        <x:v>1</x:v>
      </x:c>
      <x:c r="G1661" s="11" t="n">
        <x:v>1</x:v>
      </x:c>
      <x:c r="H1661" s="11" t="n">
        <x:v>0</x:v>
      </x:c>
      <x:c r="I1661" s="17" t="n">
        <x:f>INDEX('Costing'!$P$9:$P$492,MATCH(D1661,'Costing'!$A$9:$A$492,0))</x:f>
        <x:v>15000</x:v>
      </x:c>
      <x:c r="J1661" s="17" t="n">
        <x:f>ROUND(I1661*'Costing'!$C$4,2)</x:f>
        <x:v>2700</x:v>
      </x:c>
      <x:c r="K1661" s="17" t="n">
        <x:f>I1661+J1661</x:f>
        <x:v>17700</x:v>
      </x:c>
    </x:row>
    <x:row r="1662" ht="46" customHeight="1">
      <x:c r="A1662" s="2" t="str">
        <x:v>Sector</x:v>
      </x:c>
      <x:c r="B1662" s="2" t="str">
        <x:v>IT &amp; digital</x:v>
      </x:c>
      <x:c r="C1662" s="12" t="str">
        <x:v>Bengaluru</x:v>
      </x:c>
      <x:c r="D1662" s="12" t="str">
        <x:v>MAIN-069</x:v>
      </x:c>
      <x:c r="E1662" s="12" t="str">
        <x:v>Obeya - Spurce</x:v>
      </x:c>
      <x:c r="F1662" s="11" t="n">
        <x:v>2</x:v>
      </x:c>
      <x:c r="G1662" s="11" t="n">
        <x:v>2</x:v>
      </x:c>
      <x:c r="H1662" s="11" t="n">
        <x:v>0</x:v>
      </x:c>
      <x:c r="I1662" s="17" t="n">
        <x:f>INDEX('Costing'!$P$9:$P$492,MATCH(D1662,'Costing'!$A$9:$A$492,0))</x:f>
        <x:v>30000</x:v>
      </x:c>
      <x:c r="J1662" s="17" t="n">
        <x:f>ROUND(I1662*'Costing'!$C$4,2)</x:f>
        <x:v>5400</x:v>
      </x:c>
      <x:c r="K1662" s="17" t="n">
        <x:f>I1662+J1662</x:f>
        <x:v>35400</x:v>
      </x:c>
    </x:row>
    <x:row r="1663" ht="46" customHeight="1">
      <x:c r="A1663" s="2" t="str">
        <x:v>Sector</x:v>
      </x:c>
      <x:c r="B1663" s="2" t="str">
        <x:v>IT &amp; digital</x:v>
      </x:c>
      <x:c r="C1663" s="12" t="str">
        <x:v>Bengaluru</x:v>
      </x:c>
      <x:c r="D1663" s="12" t="str">
        <x:v>MAIN-071</x:v>
      </x:c>
      <x:c r="E1663" s="12" t="str">
        <x:v>Obeya - Verve</x:v>
      </x:c>
      <x:c r="F1663" s="11" t="n">
        <x:v>1</x:v>
      </x:c>
      <x:c r="G1663" s="11" t="n">
        <x:v>1</x:v>
      </x:c>
      <x:c r="H1663" s="11" t="n">
        <x:v>0</x:v>
      </x:c>
      <x:c r="I1663" s="17" t="n">
        <x:f>INDEX('Costing'!$P$9:$P$492,MATCH(D1663,'Costing'!$A$9:$A$492,0))</x:f>
        <x:v>15000</x:v>
      </x:c>
      <x:c r="J1663" s="17" t="n">
        <x:f>ROUND(I1663*'Costing'!$C$4,2)</x:f>
        <x:v>2700</x:v>
      </x:c>
      <x:c r="K1663" s="17" t="n">
        <x:f>I1663+J1663</x:f>
        <x:v>17700</x:v>
      </x:c>
    </x:row>
    <x:row r="1664" ht="46" customHeight="1">
      <x:c r="A1664" s="2" t="str">
        <x:v>Sector</x:v>
      </x:c>
      <x:c r="B1664" s="2" t="str">
        <x:v>IT &amp; digital</x:v>
      </x:c>
      <x:c r="C1664" s="12" t="str">
        <x:v>Bengaluru</x:v>
      </x:c>
      <x:c r="D1664" s="12" t="str">
        <x:v>MAIN-072</x:v>
      </x:c>
      <x:c r="E1664" s="12" t="str">
        <x:v>Prestige Etamin (Redbrick Offices)</x:v>
      </x:c>
      <x:c r="F1664" s="11" t="n">
        <x:v>1</x:v>
      </x:c>
      <x:c r="G1664" s="11" t="n">
        <x:v>1</x:v>
      </x:c>
      <x:c r="H1664" s="11" t="n">
        <x:v>0</x:v>
      </x:c>
      <x:c r="I1664" s="17" t="n">
        <x:f>INDEX('Costing'!$P$9:$P$492,MATCH(D1664,'Costing'!$A$9:$A$492,0))</x:f>
        <x:v>15000</x:v>
      </x:c>
      <x:c r="J1664" s="17" t="n">
        <x:f>ROUND(I1664*'Costing'!$C$4,2)</x:f>
        <x:v>2700</x:v>
      </x:c>
      <x:c r="K1664" s="17" t="n">
        <x:f>I1664+J1664</x:f>
        <x:v>17700</x:v>
      </x:c>
    </x:row>
    <x:row r="1665" ht="46" customHeight="1">
      <x:c r="A1665" s="2" t="str">
        <x:v>Sector</x:v>
      </x:c>
      <x:c r="B1665" s="2" t="str">
        <x:v>IT &amp; digital</x:v>
      </x:c>
      <x:c r="C1665" s="12" t="str">
        <x:v>Bengaluru</x:v>
      </x:c>
      <x:c r="D1665" s="12" t="str">
        <x:v>MAIN-073</x:v>
      </x:c>
      <x:c r="E1665" s="12" t="str">
        <x:v>Prestige Obelisk</x:v>
      </x:c>
      <x:c r="F1665" s="11" t="n">
        <x:v>1</x:v>
      </x:c>
      <x:c r="G1665" s="11" t="n">
        <x:v>1</x:v>
      </x:c>
      <x:c r="H1665" s="11" t="n">
        <x:v>0</x:v>
      </x:c>
      <x:c r="I1665" s="17" t="n">
        <x:f>INDEX('Costing'!$P$9:$P$492,MATCH(D1665,'Costing'!$A$9:$A$492,0))</x:f>
        <x:v>40000</x:v>
      </x:c>
      <x:c r="J1665" s="17" t="n">
        <x:f>ROUND(I1665*'Costing'!$C$4,2)</x:f>
        <x:v>7200</x:v>
      </x:c>
      <x:c r="K1665" s="17" t="n">
        <x:f>I1665+J1665</x:f>
        <x:v>47200</x:v>
      </x:c>
    </x:row>
    <x:row r="1666" ht="46" customHeight="1">
      <x:c r="A1666" s="2" t="str">
        <x:v>Sector</x:v>
      </x:c>
      <x:c r="B1666" s="2" t="str">
        <x:v>IT &amp; digital</x:v>
      </x:c>
      <x:c r="C1666" s="12" t="str">
        <x:v>Bengaluru</x:v>
      </x:c>
      <x:c r="D1666" s="12" t="str">
        <x:v>MAIN-077</x:v>
      </x:c>
      <x:c r="E1666" s="12" t="str">
        <x:v>Raheja Towers</x:v>
      </x:c>
      <x:c r="F1666" s="11" t="n">
        <x:v>11</x:v>
      </x:c>
      <x:c r="G1666" s="11" t="n">
        <x:v>11</x:v>
      </x:c>
      <x:c r="H1666" s="11" t="n">
        <x:v>0</x:v>
      </x:c>
      <x:c r="I1666" s="17" t="n">
        <x:f>INDEX('Costing'!$P$9:$P$492,MATCH(D1666,'Costing'!$A$9:$A$492,0))</x:f>
        <x:v>165000</x:v>
      </x:c>
      <x:c r="J1666" s="17" t="n">
        <x:f>ROUND(I1666*'Costing'!$C$4,2)</x:f>
        <x:v>29700</x:v>
      </x:c>
      <x:c r="K1666" s="17" t="n">
        <x:f>I1666+J1666</x:f>
        <x:v>194700</x:v>
      </x:c>
    </x:row>
    <x:row r="1667" ht="46" customHeight="1">
      <x:c r="A1667" s="2" t="str">
        <x:v>Sector</x:v>
      </x:c>
      <x:c r="B1667" s="2" t="str">
        <x:v>IT &amp; digital</x:v>
      </x:c>
      <x:c r="C1667" s="12" t="str">
        <x:v>Bengaluru</x:v>
      </x:c>
      <x:c r="D1667" s="12" t="str">
        <x:v>MAIN-078</x:v>
      </x:c>
      <x:c r="E1667" s="12" t="str">
        <x:v>Sargod Imperial Tech Park</x:v>
      </x:c>
      <x:c r="F1667" s="11" t="n">
        <x:v>5</x:v>
      </x:c>
      <x:c r="G1667" s="11" t="n">
        <x:v>5</x:v>
      </x:c>
      <x:c r="H1667" s="11" t="n">
        <x:v>0</x:v>
      </x:c>
      <x:c r="I1667" s="17" t="n">
        <x:f>INDEX('Costing'!$P$9:$P$492,MATCH(D1667,'Costing'!$A$9:$A$492,0))</x:f>
        <x:v>100000</x:v>
      </x:c>
      <x:c r="J1667" s="17" t="n">
        <x:f>ROUND(I1667*'Costing'!$C$4,2)</x:f>
        <x:v>18000</x:v>
      </x:c>
      <x:c r="K1667" s="17" t="n">
        <x:f>I1667+J1667</x:f>
        <x:v>118000</x:v>
      </x:c>
    </x:row>
    <x:row r="1668" ht="46" customHeight="1">
      <x:c r="A1668" s="2" t="str">
        <x:v>Sector</x:v>
      </x:c>
      <x:c r="B1668" s="2" t="str">
        <x:v>IT &amp; digital</x:v>
      </x:c>
      <x:c r="C1668" s="12" t="str">
        <x:v>Bengaluru</x:v>
      </x:c>
      <x:c r="D1668" s="12" t="str">
        <x:v>MAIN-081</x:v>
      </x:c>
      <x:c r="E1668" s="12" t="str">
        <x:v>Sierra Cartel</x:v>
      </x:c>
      <x:c r="F1668" s="11" t="n">
        <x:v>2</x:v>
      </x:c>
      <x:c r="G1668" s="11" t="n">
        <x:v>2</x:v>
      </x:c>
      <x:c r="H1668" s="11" t="n">
        <x:v>0</x:v>
      </x:c>
      <x:c r="I1668" s="17" t="n">
        <x:f>INDEX('Costing'!$P$9:$P$492,MATCH(D1668,'Costing'!$A$9:$A$492,0))</x:f>
        <x:v>30000</x:v>
      </x:c>
      <x:c r="J1668" s="17" t="n">
        <x:f>ROUND(I1668*'Costing'!$C$4,2)</x:f>
        <x:v>5400</x:v>
      </x:c>
      <x:c r="K1668" s="17" t="n">
        <x:f>I1668+J1668</x:f>
        <x:v>35400</x:v>
      </x:c>
    </x:row>
    <x:row r="1669" ht="46" customHeight="1">
      <x:c r="A1669" s="2" t="str">
        <x:v>Sector</x:v>
      </x:c>
      <x:c r="B1669" s="2" t="str">
        <x:v>IT &amp; digital</x:v>
      </x:c>
      <x:c r="C1669" s="12" t="str">
        <x:v>Bengaluru</x:v>
      </x:c>
      <x:c r="D1669" s="12" t="str">
        <x:v>MAIN-085</x:v>
      </x:c>
      <x:c r="E1669" s="12" t="str">
        <x:v>Smartworks The Cube</x:v>
      </x:c>
      <x:c r="F1669" s="11" t="n">
        <x:v>3</x:v>
      </x:c>
      <x:c r="G1669" s="11" t="n">
        <x:v>3</x:v>
      </x:c>
      <x:c r="H1669" s="11" t="n">
        <x:v>0</x:v>
      </x:c>
      <x:c r="I1669" s="17" t="n">
        <x:f>INDEX('Costing'!$P$9:$P$492,MATCH(D1669,'Costing'!$A$9:$A$492,0))</x:f>
        <x:v>60000</x:v>
      </x:c>
      <x:c r="J1669" s="17" t="n">
        <x:f>ROUND(I1669*'Costing'!$C$4,2)</x:f>
        <x:v>10800</x:v>
      </x:c>
      <x:c r="K1669" s="17" t="n">
        <x:f>I1669+J1669</x:f>
        <x:v>70800</x:v>
      </x:c>
    </x:row>
    <x:row r="1670" ht="46" customHeight="1">
      <x:c r="A1670" s="2" t="str">
        <x:v>Sector</x:v>
      </x:c>
      <x:c r="B1670" s="2" t="str">
        <x:v>IT &amp; digital</x:v>
      </x:c>
      <x:c r="C1670" s="12" t="str">
        <x:v>Bengaluru</x:v>
      </x:c>
      <x:c r="D1670" s="12" t="str">
        <x:v>MAIN-086</x:v>
      </x:c>
      <x:c r="E1670" s="12" t="str">
        <x:v>Startuphuts- Unit 1</x:v>
      </x:c>
      <x:c r="F1670" s="11" t="n">
        <x:v>1</x:v>
      </x:c>
      <x:c r="G1670" s="11" t="n">
        <x:v>1</x:v>
      </x:c>
      <x:c r="H1670" s="11" t="n">
        <x:v>0</x:v>
      </x:c>
      <x:c r="I1670" s="17" t="n">
        <x:f>INDEX('Costing'!$P$9:$P$492,MATCH(D1670,'Costing'!$A$9:$A$492,0))</x:f>
        <x:v>15000</x:v>
      </x:c>
      <x:c r="J1670" s="17" t="n">
        <x:f>ROUND(I1670*'Costing'!$C$4,2)</x:f>
        <x:v>2700</x:v>
      </x:c>
      <x:c r="K1670" s="17" t="n">
        <x:f>I1670+J1670</x:f>
        <x:v>17700</x:v>
      </x:c>
    </x:row>
    <x:row r="1671" ht="46" customHeight="1">
      <x:c r="A1671" s="2" t="str">
        <x:v>Sector</x:v>
      </x:c>
      <x:c r="B1671" s="2" t="str">
        <x:v>IT &amp; digital</x:v>
      </x:c>
      <x:c r="C1671" s="12" t="str">
        <x:v>Bengaluru</x:v>
      </x:c>
      <x:c r="D1671" s="12" t="str">
        <x:v>MAIN-088</x:v>
      </x:c>
      <x:c r="E1671" s="12" t="str">
        <x:v>Startuphuts- Unit 4</x:v>
      </x:c>
      <x:c r="F1671" s="11" t="n">
        <x:v>2</x:v>
      </x:c>
      <x:c r="G1671" s="11" t="n">
        <x:v>2</x:v>
      </x:c>
      <x:c r="H1671" s="11" t="n">
        <x:v>0</x:v>
      </x:c>
      <x:c r="I1671" s="17" t="n">
        <x:f>INDEX('Costing'!$P$9:$P$492,MATCH(D1671,'Costing'!$A$9:$A$492,0))</x:f>
        <x:v>30000</x:v>
      </x:c>
      <x:c r="J1671" s="17" t="n">
        <x:f>ROUND(I1671*'Costing'!$C$4,2)</x:f>
        <x:v>5400</x:v>
      </x:c>
      <x:c r="K1671" s="17" t="n">
        <x:f>I1671+J1671</x:f>
        <x:v>35400</x:v>
      </x:c>
    </x:row>
    <x:row r="1672" ht="46" customHeight="1">
      <x:c r="A1672" s="2" t="str">
        <x:v>Sector</x:v>
      </x:c>
      <x:c r="B1672" s="2" t="str">
        <x:v>IT &amp; digital</x:v>
      </x:c>
      <x:c r="C1672" s="12" t="str">
        <x:v>Bengaluru</x:v>
      </x:c>
      <x:c r="D1672" s="12" t="str">
        <x:v>MAIN-089</x:v>
      </x:c>
      <x:c r="E1672" s="12" t="str">
        <x:v>Startuphuts- Unit 6</x:v>
      </x:c>
      <x:c r="F1672" s="11" t="n">
        <x:v>1</x:v>
      </x:c>
      <x:c r="G1672" s="11" t="n">
        <x:v>1</x:v>
      </x:c>
      <x:c r="H1672" s="11" t="n">
        <x:v>0</x:v>
      </x:c>
      <x:c r="I1672" s="17" t="n">
        <x:f>INDEX('Costing'!$P$9:$P$492,MATCH(D1672,'Costing'!$A$9:$A$492,0))</x:f>
        <x:v>15000</x:v>
      </x:c>
      <x:c r="J1672" s="17" t="n">
        <x:f>ROUND(I1672*'Costing'!$C$4,2)</x:f>
        <x:v>2700</x:v>
      </x:c>
      <x:c r="K1672" s="17" t="n">
        <x:f>I1672+J1672</x:f>
        <x:v>17700</x:v>
      </x:c>
    </x:row>
    <x:row r="1673" ht="46" customHeight="1">
      <x:c r="A1673" s="2" t="str">
        <x:v>Sector</x:v>
      </x:c>
      <x:c r="B1673" s="2" t="str">
        <x:v>IT &amp; digital</x:v>
      </x:c>
      <x:c r="C1673" s="12" t="str">
        <x:v>Bengaluru</x:v>
      </x:c>
      <x:c r="D1673" s="12" t="str">
        <x:v>MAIN-091</x:v>
      </x:c>
      <x:c r="E1673" s="12" t="str">
        <x:v>Startuphuts- Unit 8</x:v>
      </x:c>
      <x:c r="F1673" s="11" t="n">
        <x:v>2</x:v>
      </x:c>
      <x:c r="G1673" s="11" t="n">
        <x:v>2</x:v>
      </x:c>
      <x:c r="H1673" s="11" t="n">
        <x:v>0</x:v>
      </x:c>
      <x:c r="I1673" s="17" t="n">
        <x:f>INDEX('Costing'!$P$9:$P$492,MATCH(D1673,'Costing'!$A$9:$A$492,0))</x:f>
        <x:v>30000</x:v>
      </x:c>
      <x:c r="J1673" s="17" t="n">
        <x:f>ROUND(I1673*'Costing'!$C$4,2)</x:f>
        <x:v>5400</x:v>
      </x:c>
      <x:c r="K1673" s="17" t="n">
        <x:f>I1673+J1673</x:f>
        <x:v>35400</x:v>
      </x:c>
    </x:row>
    <x:row r="1674" ht="46" customHeight="1">
      <x:c r="A1674" s="2" t="str">
        <x:v>Sector</x:v>
      </x:c>
      <x:c r="B1674" s="2" t="str">
        <x:v>IT &amp; digital</x:v>
      </x:c>
      <x:c r="C1674" s="12" t="str">
        <x:v>Bengaluru</x:v>
      </x:c>
      <x:c r="D1674" s="12" t="str">
        <x:v>MAIN-092</x:v>
      </x:c>
      <x:c r="E1674" s="12" t="str">
        <x:v>The Cube (Karle)It Park (Pod Screens)</x:v>
      </x:c>
      <x:c r="F1674" s="11" t="n">
        <x:v>2</x:v>
      </x:c>
      <x:c r="G1674" s="11" t="n">
        <x:v>2</x:v>
      </x:c>
      <x:c r="H1674" s="11" t="n">
        <x:v>0</x:v>
      </x:c>
      <x:c r="I1674" s="17" t="n">
        <x:f>INDEX('Costing'!$P$9:$P$492,MATCH(D1674,'Costing'!$A$9:$A$492,0))</x:f>
        <x:v>40000</x:v>
      </x:c>
      <x:c r="J1674" s="17" t="n">
        <x:f>ROUND(I1674*'Costing'!$C$4,2)</x:f>
        <x:v>7200</x:v>
      </x:c>
      <x:c r="K1674" s="17" t="n">
        <x:f>I1674+J1674</x:f>
        <x:v>47200</x:v>
      </x:c>
    </x:row>
    <x:row r="1675" ht="46" customHeight="1">
      <x:c r="A1675" s="2" t="str">
        <x:v>Sector</x:v>
      </x:c>
      <x:c r="B1675" s="2" t="str">
        <x:v>IT &amp; digital</x:v>
      </x:c>
      <x:c r="C1675" s="12" t="str">
        <x:v>Bengaluru</x:v>
      </x:c>
      <x:c r="D1675" s="12" t="str">
        <x:v>MAIN-093</x:v>
      </x:c>
      <x:c r="E1675" s="12" t="str">
        <x:v>The Venture Studios</x:v>
      </x:c>
      <x:c r="F1675" s="11" t="n">
        <x:v>1</x:v>
      </x:c>
      <x:c r="G1675" s="11" t="n">
        <x:v>1</x:v>
      </x:c>
      <x:c r="H1675" s="11" t="n">
        <x:v>0</x:v>
      </x:c>
      <x:c r="I1675" s="17" t="n">
        <x:f>INDEX('Costing'!$P$9:$P$492,MATCH(D1675,'Costing'!$A$9:$A$492,0))</x:f>
        <x:v>15000</x:v>
      </x:c>
      <x:c r="J1675" s="17" t="n">
        <x:f>ROUND(I1675*'Costing'!$C$4,2)</x:f>
        <x:v>2700</x:v>
      </x:c>
      <x:c r="K1675" s="17" t="n">
        <x:f>I1675+J1675</x:f>
        <x:v>17700</x:v>
      </x:c>
    </x:row>
    <x:row r="1676" ht="46" customHeight="1">
      <x:c r="A1676" s="2" t="str">
        <x:v>Sector</x:v>
      </x:c>
      <x:c r="B1676" s="2" t="str">
        <x:v>IT &amp; digital</x:v>
      </x:c>
      <x:c r="C1676" s="12" t="str">
        <x:v>Bengaluru</x:v>
      </x:c>
      <x:c r="D1676" s="12" t="str">
        <x:v>MAIN-103</x:v>
      </x:c>
      <x:c r="E1676" s="12" t="str">
        <x:v>Urban Vault- 1086</x:v>
      </x:c>
      <x:c r="F1676" s="11" t="n">
        <x:v>1</x:v>
      </x:c>
      <x:c r="G1676" s="11" t="n">
        <x:v>1</x:v>
      </x:c>
      <x:c r="H1676" s="11" t="n">
        <x:v>0</x:v>
      </x:c>
      <x:c r="I1676" s="17" t="n">
        <x:f>INDEX('Costing'!$P$9:$P$492,MATCH(D1676,'Costing'!$A$9:$A$492,0))</x:f>
        <x:v>15000</x:v>
      </x:c>
      <x:c r="J1676" s="17" t="n">
        <x:f>ROUND(I1676*'Costing'!$C$4,2)</x:f>
        <x:v>2700</x:v>
      </x:c>
      <x:c r="K1676" s="17" t="n">
        <x:f>I1676+J1676</x:f>
        <x:v>17700</x:v>
      </x:c>
    </x:row>
    <x:row r="1677" ht="46" customHeight="1">
      <x:c r="A1677" s="2" t="str">
        <x:v>Sector</x:v>
      </x:c>
      <x:c r="B1677" s="2" t="str">
        <x:v>IT &amp; digital</x:v>
      </x:c>
      <x:c r="C1677" s="12" t="str">
        <x:v>Bengaluru</x:v>
      </x:c>
      <x:c r="D1677" s="12" t="str">
        <x:v>MAIN-104</x:v>
      </x:c>
      <x:c r="E1677" s="12" t="str">
        <x:v>Urban Vault- 1090/A</x:v>
      </x:c>
      <x:c r="F1677" s="11" t="n">
        <x:v>1</x:v>
      </x:c>
      <x:c r="G1677" s="11" t="n">
        <x:v>1</x:v>
      </x:c>
      <x:c r="H1677" s="11" t="n">
        <x:v>0</x:v>
      </x:c>
      <x:c r="I1677" s="17" t="n">
        <x:f>INDEX('Costing'!$P$9:$P$492,MATCH(D1677,'Costing'!$A$9:$A$492,0))</x:f>
        <x:v>15000</x:v>
      </x:c>
      <x:c r="J1677" s="17" t="n">
        <x:f>ROUND(I1677*'Costing'!$C$4,2)</x:f>
        <x:v>2700</x:v>
      </x:c>
      <x:c r="K1677" s="17" t="n">
        <x:f>I1677+J1677</x:f>
        <x:v>17700</x:v>
      </x:c>
    </x:row>
    <x:row r="1678" ht="46" customHeight="1">
      <x:c r="A1678" s="2" t="str">
        <x:v>Sector</x:v>
      </x:c>
      <x:c r="B1678" s="2" t="str">
        <x:v>IT &amp; digital</x:v>
      </x:c>
      <x:c r="C1678" s="12" t="str">
        <x:v>Bengaluru</x:v>
      </x:c>
      <x:c r="D1678" s="12" t="str">
        <x:v>MAIN-105</x:v>
      </x:c>
      <x:c r="E1678" s="12" t="str">
        <x:v>Urban Vault- 1498</x:v>
      </x:c>
      <x:c r="F1678" s="11" t="n">
        <x:v>1</x:v>
      </x:c>
      <x:c r="G1678" s="11" t="n">
        <x:v>1</x:v>
      </x:c>
      <x:c r="H1678" s="11" t="n">
        <x:v>0</x:v>
      </x:c>
      <x:c r="I1678" s="17" t="n">
        <x:f>INDEX('Costing'!$P$9:$P$492,MATCH(D1678,'Costing'!$A$9:$A$492,0))</x:f>
        <x:v>15000</x:v>
      </x:c>
      <x:c r="J1678" s="17" t="n">
        <x:f>ROUND(I1678*'Costing'!$C$4,2)</x:f>
        <x:v>2700</x:v>
      </x:c>
      <x:c r="K1678" s="17" t="n">
        <x:f>I1678+J1678</x:f>
        <x:v>17700</x:v>
      </x:c>
    </x:row>
    <x:row r="1679" ht="46" customHeight="1">
      <x:c r="A1679" s="2" t="str">
        <x:v>Sector</x:v>
      </x:c>
      <x:c r="B1679" s="2" t="str">
        <x:v>IT &amp; digital</x:v>
      </x:c>
      <x:c r="C1679" s="12" t="str">
        <x:v>Bengaluru</x:v>
      </x:c>
      <x:c r="D1679" s="12" t="str">
        <x:v>MAIN-107</x:v>
      </x:c>
      <x:c r="E1679" s="12" t="str">
        <x:v>Urban Vault- 1608</x:v>
      </x:c>
      <x:c r="F1679" s="11" t="n">
        <x:v>2</x:v>
      </x:c>
      <x:c r="G1679" s="11" t="n">
        <x:v>2</x:v>
      </x:c>
      <x:c r="H1679" s="11" t="n">
        <x:v>0</x:v>
      </x:c>
      <x:c r="I1679" s="17" t="n">
        <x:f>INDEX('Costing'!$P$9:$P$492,MATCH(D1679,'Costing'!$A$9:$A$492,0))</x:f>
        <x:v>30000</x:v>
      </x:c>
      <x:c r="J1679" s="17" t="n">
        <x:f>ROUND(I1679*'Costing'!$C$4,2)</x:f>
        <x:v>5400</x:v>
      </x:c>
      <x:c r="K1679" s="17" t="n">
        <x:f>I1679+J1679</x:f>
        <x:v>35400</x:v>
      </x:c>
    </x:row>
    <x:row r="1680" ht="46" customHeight="1">
      <x:c r="A1680" s="2" t="str">
        <x:v>Sector</x:v>
      </x:c>
      <x:c r="B1680" s="2" t="str">
        <x:v>IT &amp; digital</x:v>
      </x:c>
      <x:c r="C1680" s="12" t="str">
        <x:v>Bengaluru</x:v>
      </x:c>
      <x:c r="D1680" s="12" t="str">
        <x:v>MAIN-108</x:v>
      </x:c>
      <x:c r="E1680" s="12" t="str">
        <x:v>Urban Vault- 1781</x:v>
      </x:c>
      <x:c r="F1680" s="11" t="n">
        <x:v>2</x:v>
      </x:c>
      <x:c r="G1680" s="11" t="n">
        <x:v>2</x:v>
      </x:c>
      <x:c r="H1680" s="11" t="n">
        <x:v>0</x:v>
      </x:c>
      <x:c r="I1680" s="17" t="n">
        <x:f>INDEX('Costing'!$P$9:$P$492,MATCH(D1680,'Costing'!$A$9:$A$492,0))</x:f>
        <x:v>30000</x:v>
      </x:c>
      <x:c r="J1680" s="17" t="n">
        <x:f>ROUND(I1680*'Costing'!$C$4,2)</x:f>
        <x:v>5400</x:v>
      </x:c>
      <x:c r="K1680" s="17" t="n">
        <x:f>I1680+J1680</x:f>
        <x:v>35400</x:v>
      </x:c>
    </x:row>
    <x:row r="1681" ht="46" customHeight="1">
      <x:c r="A1681" s="2" t="str">
        <x:v>Sector</x:v>
      </x:c>
      <x:c r="B1681" s="2" t="str">
        <x:v>IT &amp; digital</x:v>
      </x:c>
      <x:c r="C1681" s="12" t="str">
        <x:v>Bengaluru</x:v>
      </x:c>
      <x:c r="D1681" s="12" t="str">
        <x:v>MAIN-099</x:v>
      </x:c>
      <x:c r="E1681" s="12" t="str">
        <x:v>Urban Vault- 316</x:v>
      </x:c>
      <x:c r="F1681" s="11" t="n">
        <x:v>2</x:v>
      </x:c>
      <x:c r="G1681" s="11" t="n">
        <x:v>2</x:v>
      </x:c>
      <x:c r="H1681" s="11" t="n">
        <x:v>0</x:v>
      </x:c>
      <x:c r="I1681" s="17" t="n">
        <x:f>INDEX('Costing'!$P$9:$P$492,MATCH(D1681,'Costing'!$A$9:$A$492,0))</x:f>
        <x:v>30000</x:v>
      </x:c>
      <x:c r="J1681" s="17" t="n">
        <x:f>ROUND(I1681*'Costing'!$C$4,2)</x:f>
        <x:v>5400</x:v>
      </x:c>
      <x:c r="K1681" s="17" t="n">
        <x:f>I1681+J1681</x:f>
        <x:v>35400</x:v>
      </x:c>
    </x:row>
    <x:row r="1682" ht="46" customHeight="1">
      <x:c r="A1682" s="2" t="str">
        <x:v>Sector</x:v>
      </x:c>
      <x:c r="B1682" s="2" t="str">
        <x:v>IT &amp; digital</x:v>
      </x:c>
      <x:c r="C1682" s="12" t="str">
        <x:v>Bengaluru</x:v>
      </x:c>
      <x:c r="D1682" s="12" t="str">
        <x:v>MAIN-096</x:v>
      </x:c>
      <x:c r="E1682" s="12" t="str">
        <x:v>Urban Vault- 65</x:v>
      </x:c>
      <x:c r="F1682" s="11" t="n">
        <x:v>2</x:v>
      </x:c>
      <x:c r="G1682" s="11" t="n">
        <x:v>2</x:v>
      </x:c>
      <x:c r="H1682" s="11" t="n">
        <x:v>0</x:v>
      </x:c>
      <x:c r="I1682" s="17" t="n">
        <x:f>INDEX('Costing'!$P$9:$P$492,MATCH(D1682,'Costing'!$A$9:$A$492,0))</x:f>
        <x:v>30000</x:v>
      </x:c>
      <x:c r="J1682" s="17" t="n">
        <x:f>ROUND(I1682*'Costing'!$C$4,2)</x:f>
        <x:v>5400</x:v>
      </x:c>
      <x:c r="K1682" s="17" t="n">
        <x:f>I1682+J1682</x:f>
        <x:v>35400</x:v>
      </x:c>
    </x:row>
    <x:row r="1683" ht="46" customHeight="1">
      <x:c r="A1683" s="2" t="str">
        <x:v>Sector</x:v>
      </x:c>
      <x:c r="B1683" s="2" t="str">
        <x:v>IT &amp; digital</x:v>
      </x:c>
      <x:c r="C1683" s="12" t="str">
        <x:v>Bengaluru</x:v>
      </x:c>
      <x:c r="D1683" s="12" t="str">
        <x:v>MAIN-101</x:v>
      </x:c>
      <x:c r="E1683" s="12" t="str">
        <x:v>Urban Vault- 761</x:v>
      </x:c>
      <x:c r="F1683" s="11" t="n">
        <x:v>2</x:v>
      </x:c>
      <x:c r="G1683" s="11" t="n">
        <x:v>2</x:v>
      </x:c>
      <x:c r="H1683" s="11" t="n">
        <x:v>0</x:v>
      </x:c>
      <x:c r="I1683" s="17" t="n">
        <x:f>INDEX('Costing'!$P$9:$P$492,MATCH(D1683,'Costing'!$A$9:$A$492,0))</x:f>
        <x:v>30000</x:v>
      </x:c>
      <x:c r="J1683" s="17" t="n">
        <x:f>ROUND(I1683*'Costing'!$C$4,2)</x:f>
        <x:v>5400</x:v>
      </x:c>
      <x:c r="K1683" s="17" t="n">
        <x:f>I1683+J1683</x:f>
        <x:v>35400</x:v>
      </x:c>
    </x:row>
    <x:row r="1684" ht="46" customHeight="1">
      <x:c r="A1684" s="2" t="str">
        <x:v>Sector</x:v>
      </x:c>
      <x:c r="B1684" s="2" t="str">
        <x:v>IT &amp; digital</x:v>
      </x:c>
      <x:c r="C1684" s="12" t="str">
        <x:v>Bengaluru</x:v>
      </x:c>
      <x:c r="D1684" s="12" t="str">
        <x:v>MAIN-102</x:v>
      </x:c>
      <x:c r="E1684" s="12" t="str">
        <x:v>Urban Vault- 762</x:v>
      </x:c>
      <x:c r="F1684" s="11" t="n">
        <x:v>2</x:v>
      </x:c>
      <x:c r="G1684" s="11" t="n">
        <x:v>2</x:v>
      </x:c>
      <x:c r="H1684" s="11" t="n">
        <x:v>0</x:v>
      </x:c>
      <x:c r="I1684" s="17" t="n">
        <x:f>INDEX('Costing'!$P$9:$P$492,MATCH(D1684,'Costing'!$A$9:$A$492,0))</x:f>
        <x:v>30000</x:v>
      </x:c>
      <x:c r="J1684" s="17" t="n">
        <x:f>ROUND(I1684*'Costing'!$C$4,2)</x:f>
        <x:v>5400</x:v>
      </x:c>
      <x:c r="K1684" s="17" t="n">
        <x:f>I1684+J1684</x:f>
        <x:v>35400</x:v>
      </x:c>
    </x:row>
    <x:row r="1685" ht="46" customHeight="1">
      <x:c r="A1685" s="2" t="str">
        <x:v>Sector</x:v>
      </x:c>
      <x:c r="B1685" s="2" t="str">
        <x:v>IT &amp; digital</x:v>
      </x:c>
      <x:c r="C1685" s="12" t="str">
        <x:v>Bengaluru</x:v>
      </x:c>
      <x:c r="D1685" s="12" t="str">
        <x:v>MAIN-097</x:v>
      </x:c>
      <x:c r="E1685" s="12" t="str">
        <x:v>Urban Vault- 97</x:v>
      </x:c>
      <x:c r="F1685" s="11" t="n">
        <x:v>1</x:v>
      </x:c>
      <x:c r="G1685" s="11" t="n">
        <x:v>1</x:v>
      </x:c>
      <x:c r="H1685" s="11" t="n">
        <x:v>0</x:v>
      </x:c>
      <x:c r="I1685" s="17" t="n">
        <x:f>INDEX('Costing'!$P$9:$P$492,MATCH(D1685,'Costing'!$A$9:$A$492,0))</x:f>
        <x:v>15000</x:v>
      </x:c>
      <x:c r="J1685" s="17" t="n">
        <x:f>ROUND(I1685*'Costing'!$C$4,2)</x:f>
        <x:v>2700</x:v>
      </x:c>
      <x:c r="K1685" s="17" t="n">
        <x:f>I1685+J1685</x:f>
        <x:v>17700</x:v>
      </x:c>
    </x:row>
    <x:row r="1686" ht="46" customHeight="1">
      <x:c r="A1686" s="2" t="str">
        <x:v>Sector</x:v>
      </x:c>
      <x:c r="B1686" s="2" t="str">
        <x:v>IT &amp; digital</x:v>
      </x:c>
      <x:c r="C1686" s="12" t="str">
        <x:v>Bengaluru</x:v>
      </x:c>
      <x:c r="D1686" s="12" t="str">
        <x:v>MAIN-111</x:v>
      </x:c>
      <x:c r="E1686" s="12" t="str">
        <x:v>Urban Vault- Head Quarters</x:v>
      </x:c>
      <x:c r="F1686" s="11" t="n">
        <x:v>1</x:v>
      </x:c>
      <x:c r="G1686" s="11" t="n">
        <x:v>1</x:v>
      </x:c>
      <x:c r="H1686" s="11" t="n">
        <x:v>0</x:v>
      </x:c>
      <x:c r="I1686" s="17" t="n">
        <x:f>INDEX('Costing'!$P$9:$P$492,MATCH(D1686,'Costing'!$A$9:$A$492,0))</x:f>
        <x:v>15000</x:v>
      </x:c>
      <x:c r="J1686" s="17" t="n">
        <x:f>ROUND(I1686*'Costing'!$C$4,2)</x:f>
        <x:v>2700</x:v>
      </x:c>
      <x:c r="K1686" s="17" t="n">
        <x:f>I1686+J1686</x:f>
        <x:v>17700</x:v>
      </x:c>
    </x:row>
    <x:row r="1687" ht="46" customHeight="1">
      <x:c r="A1687" s="2" t="str">
        <x:v>Sector</x:v>
      </x:c>
      <x:c r="B1687" s="2" t="str">
        <x:v>IT &amp; digital</x:v>
      </x:c>
      <x:c r="C1687" s="12" t="str">
        <x:v>Bengaluru</x:v>
      </x:c>
      <x:c r="D1687" s="12" t="str">
        <x:v>MAIN-112</x:v>
      </x:c>
      <x:c r="E1687" s="12" t="str">
        <x:v>WeWork - Cherry Hills</x:v>
      </x:c>
      <x:c r="F1687" s="11" t="n">
        <x:v>1</x:v>
      </x:c>
      <x:c r="G1687" s="11" t="n">
        <x:v>1</x:v>
      </x:c>
      <x:c r="H1687" s="11" t="n">
        <x:v>0</x:v>
      </x:c>
      <x:c r="I1687" s="17" t="n">
        <x:f>INDEX('Costing'!$P$9:$P$492,MATCH(D1687,'Costing'!$A$9:$A$492,0))</x:f>
        <x:v>25000</x:v>
      </x:c>
      <x:c r="J1687" s="17" t="n">
        <x:f>ROUND(I1687*'Costing'!$C$4,2)</x:f>
        <x:v>4500</x:v>
      </x:c>
      <x:c r="K1687" s="17" t="n">
        <x:f>I1687+J1687</x:f>
        <x:v>29500</x:v>
      </x:c>
    </x:row>
    <x:row r="1688" ht="46" customHeight="1">
      <x:c r="A1688" s="2" t="str">
        <x:v>Sector</x:v>
      </x:c>
      <x:c r="B1688" s="2" t="str">
        <x:v>IT &amp; digital</x:v>
      </x:c>
      <x:c r="C1688" s="12" t="str">
        <x:v>Bengaluru</x:v>
      </x:c>
      <x:c r="D1688" s="12" t="str">
        <x:v>MAIN-113</x:v>
      </x:c>
      <x:c r="E1688" s="12" t="str">
        <x:v>WeWork - EGL</x:v>
      </x:c>
      <x:c r="F1688" s="11" t="n">
        <x:v>4</x:v>
      </x:c>
      <x:c r="G1688" s="11" t="n">
        <x:v>4</x:v>
      </x:c>
      <x:c r="H1688" s="11" t="n">
        <x:v>0</x:v>
      </x:c>
      <x:c r="I1688" s="17" t="n">
        <x:f>INDEX('Costing'!$P$9:$P$492,MATCH(D1688,'Costing'!$A$9:$A$492,0))</x:f>
        <x:v>100000</x:v>
      </x:c>
      <x:c r="J1688" s="17" t="n">
        <x:f>ROUND(I1688*'Costing'!$C$4,2)</x:f>
        <x:v>18000</x:v>
      </x:c>
      <x:c r="K1688" s="17" t="n">
        <x:f>I1688+J1688</x:f>
        <x:v>118000</x:v>
      </x:c>
    </x:row>
    <x:row r="1689" ht="46" customHeight="1">
      <x:c r="A1689" s="2" t="str">
        <x:v>Sector</x:v>
      </x:c>
      <x:c r="B1689" s="2" t="str">
        <x:v>IT &amp; digital</x:v>
      </x:c>
      <x:c r="C1689" s="12" t="str">
        <x:v>Bengaluru</x:v>
      </x:c>
      <x:c r="D1689" s="12" t="str">
        <x:v>MAIN-114</x:v>
      </x:c>
      <x:c r="E1689" s="12" t="str">
        <x:v>Wework - Embassy One</x:v>
      </x:c>
      <x:c r="F1689" s="11" t="n">
        <x:v>2</x:v>
      </x:c>
      <x:c r="G1689" s="11" t="n">
        <x:v>2</x:v>
      </x:c>
      <x:c r="H1689" s="11" t="n">
        <x:v>0</x:v>
      </x:c>
      <x:c r="I1689" s="17" t="n">
        <x:f>INDEX('Costing'!$P$9:$P$492,MATCH(D1689,'Costing'!$A$9:$A$492,0))</x:f>
        <x:v>50000</x:v>
      </x:c>
      <x:c r="J1689" s="17" t="n">
        <x:f>ROUND(I1689*'Costing'!$C$4,2)</x:f>
        <x:v>9000</x:v>
      </x:c>
      <x:c r="K1689" s="17" t="n">
        <x:f>I1689+J1689</x:f>
        <x:v>59000</x:v>
      </x:c>
    </x:row>
    <x:row r="1690" ht="46" customHeight="1">
      <x:c r="A1690" s="2" t="str">
        <x:v>Sector</x:v>
      </x:c>
      <x:c r="B1690" s="2" t="str">
        <x:v>IT &amp; digital</x:v>
      </x:c>
      <x:c r="C1690" s="12" t="str">
        <x:v>Bengaluru</x:v>
      </x:c>
      <x:c r="D1690" s="12" t="str">
        <x:v>MAIN-116</x:v>
      </x:c>
      <x:c r="E1690" s="12" t="str">
        <x:v>WeWork - ETV</x:v>
      </x:c>
      <x:c r="F1690" s="11" t="n">
        <x:v>7</x:v>
      </x:c>
      <x:c r="G1690" s="11" t="n">
        <x:v>7</x:v>
      </x:c>
      <x:c r="H1690" s="11" t="n">
        <x:v>0</x:v>
      </x:c>
      <x:c r="I1690" s="17" t="n">
        <x:f>INDEX('Costing'!$P$9:$P$492,MATCH(D1690,'Costing'!$A$9:$A$492,0))</x:f>
        <x:v>175000</x:v>
      </x:c>
      <x:c r="J1690" s="17" t="n">
        <x:f>ROUND(I1690*'Costing'!$C$4,2)</x:f>
        <x:v>31500</x:v>
      </x:c>
      <x:c r="K1690" s="17" t="n">
        <x:f>I1690+J1690</x:f>
        <x:v>206500</x:v>
      </x:c>
    </x:row>
    <x:row r="1691" ht="46" customHeight="1">
      <x:c r="A1691" s="2" t="str">
        <x:v>Sector</x:v>
      </x:c>
      <x:c r="B1691" s="2" t="str">
        <x:v>IT &amp; digital</x:v>
      </x:c>
      <x:c r="C1691" s="12" t="str">
        <x:v>Bengaluru</x:v>
      </x:c>
      <x:c r="D1691" s="12" t="str">
        <x:v>MAIN-118</x:v>
      </x:c>
      <x:c r="E1691" s="12" t="str">
        <x:v>WeWork - Manyata Mahogany</x:v>
      </x:c>
      <x:c r="F1691" s="11" t="n">
        <x:v>2</x:v>
      </x:c>
      <x:c r="G1691" s="11" t="n">
        <x:v>2</x:v>
      </x:c>
      <x:c r="H1691" s="11" t="n">
        <x:v>0</x:v>
      </x:c>
      <x:c r="I1691" s="17" t="n">
        <x:f>INDEX('Costing'!$P$9:$P$492,MATCH(D1691,'Costing'!$A$9:$A$492,0))</x:f>
        <x:v>50000</x:v>
      </x:c>
      <x:c r="J1691" s="17" t="n">
        <x:f>ROUND(I1691*'Costing'!$C$4,2)</x:f>
        <x:v>9000</x:v>
      </x:c>
      <x:c r="K1691" s="17" t="n">
        <x:f>I1691+J1691</x:f>
        <x:v>59000</x:v>
      </x:c>
    </x:row>
    <x:row r="1692" ht="46" customHeight="1">
      <x:c r="A1692" s="2" t="str">
        <x:v>Sector</x:v>
      </x:c>
      <x:c r="B1692" s="2" t="str">
        <x:v>IT &amp; digital</x:v>
      </x:c>
      <x:c r="C1692" s="12" t="str">
        <x:v>Bengaluru</x:v>
      </x:c>
      <x:c r="D1692" s="12" t="str">
        <x:v>MAIN-119</x:v>
      </x:c>
      <x:c r="E1692" s="12" t="str">
        <x:v>WeWork - Prestige Atlanta</x:v>
      </x:c>
      <x:c r="F1692" s="11" t="n">
        <x:v>5</x:v>
      </x:c>
      <x:c r="G1692" s="11" t="n">
        <x:v>5</x:v>
      </x:c>
      <x:c r="H1692" s="11" t="n">
        <x:v>0</x:v>
      </x:c>
      <x:c r="I1692" s="17" t="n">
        <x:f>INDEX('Costing'!$P$9:$P$492,MATCH(D1692,'Costing'!$A$9:$A$492,0))</x:f>
        <x:v>125000</x:v>
      </x:c>
      <x:c r="J1692" s="17" t="n">
        <x:f>ROUND(I1692*'Costing'!$C$4,2)</x:f>
        <x:v>22500</x:v>
      </x:c>
      <x:c r="K1692" s="17" t="n">
        <x:f>I1692+J1692</x:f>
        <x:v>147500</x:v>
      </x:c>
    </x:row>
    <x:row r="1693" ht="46" customHeight="1">
      <x:c r="A1693" s="2" t="str">
        <x:v>Sector</x:v>
      </x:c>
      <x:c r="B1693" s="2" t="str">
        <x:v>IT &amp; digital</x:v>
      </x:c>
      <x:c r="C1693" s="12" t="str">
        <x:v>Bengaluru</x:v>
      </x:c>
      <x:c r="D1693" s="12" t="str">
        <x:v>MAIN-121</x:v>
      </x:c>
      <x:c r="E1693" s="12" t="str">
        <x:v>Wework - Prestige Cube</x:v>
      </x:c>
      <x:c r="F1693" s="11" t="n">
        <x:v>4</x:v>
      </x:c>
      <x:c r="G1693" s="11" t="n">
        <x:v>4</x:v>
      </x:c>
      <x:c r="H1693" s="11" t="n">
        <x:v>0</x:v>
      </x:c>
      <x:c r="I1693" s="17" t="n">
        <x:f>INDEX('Costing'!$P$9:$P$492,MATCH(D1693,'Costing'!$A$9:$A$492,0))</x:f>
        <x:v>100000</x:v>
      </x:c>
      <x:c r="J1693" s="17" t="n">
        <x:f>ROUND(I1693*'Costing'!$C$4,2)</x:f>
        <x:v>18000</x:v>
      </x:c>
      <x:c r="K1693" s="17" t="n">
        <x:f>I1693+J1693</x:f>
        <x:v>118000</x:v>
      </x:c>
    </x:row>
    <x:row r="1694" ht="46" customHeight="1">
      <x:c r="A1694" s="2" t="str">
        <x:v>Sector</x:v>
      </x:c>
      <x:c r="B1694" s="2" t="str">
        <x:v>IT &amp; digital</x:v>
      </x:c>
      <x:c r="C1694" s="12" t="str">
        <x:v>Bengaluru</x:v>
      </x:c>
      <x:c r="D1694" s="12" t="str">
        <x:v>MAIN-122</x:v>
      </x:c>
      <x:c r="E1694" s="12" t="str">
        <x:v>Wework - Princeville</x:v>
      </x:c>
      <x:c r="F1694" s="11" t="n">
        <x:v>3</x:v>
      </x:c>
      <x:c r="G1694" s="11" t="n">
        <x:v>3</x:v>
      </x:c>
      <x:c r="H1694" s="11" t="n">
        <x:v>0</x:v>
      </x:c>
      <x:c r="I1694" s="17" t="n">
        <x:f>INDEX('Costing'!$P$9:$P$492,MATCH(D1694,'Costing'!$A$9:$A$492,0))</x:f>
        <x:v>75000</x:v>
      </x:c>
      <x:c r="J1694" s="17" t="n">
        <x:f>ROUND(I1694*'Costing'!$C$4,2)</x:f>
        <x:v>13500</x:v>
      </x:c>
      <x:c r="K1694" s="17" t="n">
        <x:f>I1694+J1694</x:f>
        <x:v>88500</x:v>
      </x:c>
    </x:row>
    <x:row r="1695" ht="46" customHeight="1">
      <x:c r="A1695" s="2" t="str">
        <x:v>Sector</x:v>
      </x:c>
      <x:c r="B1695" s="2" t="str">
        <x:v>IT &amp; digital</x:v>
      </x:c>
      <x:c r="C1695" s="12" t="str">
        <x:v>Bengaluru</x:v>
      </x:c>
      <x:c r="D1695" s="12" t="str">
        <x:v>MAIN-124</x:v>
      </x:c>
      <x:c r="E1695" s="12" t="str">
        <x:v>WeWork - RMZ Latitude</x:v>
      </x:c>
      <x:c r="F1695" s="11" t="n">
        <x:v>4</x:v>
      </x:c>
      <x:c r="G1695" s="11" t="n">
        <x:v>4</x:v>
      </x:c>
      <x:c r="H1695" s="11" t="n">
        <x:v>0</x:v>
      </x:c>
      <x:c r="I1695" s="17" t="n">
        <x:f>INDEX('Costing'!$P$9:$P$492,MATCH(D1695,'Costing'!$A$9:$A$492,0))</x:f>
        <x:v>100000</x:v>
      </x:c>
      <x:c r="J1695" s="17" t="n">
        <x:f>ROUND(I1695*'Costing'!$C$4,2)</x:f>
        <x:v>18000</x:v>
      </x:c>
      <x:c r="K1695" s="17" t="n">
        <x:f>I1695+J1695</x:f>
        <x:v>118000</x:v>
      </x:c>
    </x:row>
    <x:row r="1696" ht="46" customHeight="1">
      <x:c r="A1696" s="2" t="str">
        <x:v>Sector</x:v>
      </x:c>
      <x:c r="B1696" s="2" t="str">
        <x:v>IT &amp; digital</x:v>
      </x:c>
      <x:c r="C1696" s="12" t="str">
        <x:v>Bengaluru</x:v>
      </x:c>
      <x:c r="D1696" s="12" t="str">
        <x:v>MAIN-126</x:v>
      </x:c>
      <x:c r="E1696" s="12" t="str">
        <x:v>WeWork - Salarpuria Magnificia</x:v>
      </x:c>
      <x:c r="F1696" s="11" t="n">
        <x:v>8</x:v>
      </x:c>
      <x:c r="G1696" s="11" t="n">
        <x:v>8</x:v>
      </x:c>
      <x:c r="H1696" s="11" t="n">
        <x:v>0</x:v>
      </x:c>
      <x:c r="I1696" s="17" t="n">
        <x:f>INDEX('Costing'!$P$9:$P$492,MATCH(D1696,'Costing'!$A$9:$A$492,0))</x:f>
        <x:v>200000</x:v>
      </x:c>
      <x:c r="J1696" s="17" t="n">
        <x:f>ROUND(I1696*'Costing'!$C$4,2)</x:f>
        <x:v>36000</x:v>
      </x:c>
      <x:c r="K1696" s="17" t="n">
        <x:f>I1696+J1696</x:f>
        <x:v>236000</x:v>
      </x:c>
    </x:row>
    <x:row r="1697" ht="46" customHeight="1">
      <x:c r="A1697" s="2" t="str">
        <x:v>Sector</x:v>
      </x:c>
      <x:c r="B1697" s="2" t="str">
        <x:v>IT &amp; digital</x:v>
      </x:c>
      <x:c r="C1697" s="12" t="str">
        <x:v>Bengaluru</x:v>
      </x:c>
      <x:c r="D1697" s="12" t="str">
        <x:v>MAIN-127</x:v>
      </x:c>
      <x:c r="E1697" s="12" t="str">
        <x:v>WeWork - Salarpuria Symbiosis</x:v>
      </x:c>
      <x:c r="F1697" s="11" t="n">
        <x:v>5</x:v>
      </x:c>
      <x:c r="G1697" s="11" t="n">
        <x:v>5</x:v>
      </x:c>
      <x:c r="H1697" s="11" t="n">
        <x:v>0</x:v>
      </x:c>
      <x:c r="I1697" s="17" t="n">
        <x:f>INDEX('Costing'!$P$9:$P$492,MATCH(D1697,'Costing'!$A$9:$A$492,0))</x:f>
        <x:v>125000</x:v>
      </x:c>
      <x:c r="J1697" s="17" t="n">
        <x:f>ROUND(I1697*'Costing'!$C$4,2)</x:f>
        <x:v>22500</x:v>
      </x:c>
      <x:c r="K1697" s="17" t="n">
        <x:f>I1697+J1697</x:f>
        <x:v>147500</x:v>
      </x:c>
    </x:row>
    <x:row r="1698" ht="46" customHeight="1">
      <x:c r="A1698" s="2" t="str">
        <x:v>Sector</x:v>
      </x:c>
      <x:c r="B1698" s="2" t="str">
        <x:v>IT &amp; digital</x:v>
      </x:c>
      <x:c r="C1698" s="12" t="str">
        <x:v>Bengaluru</x:v>
      </x:c>
      <x:c r="D1698" s="12" t="str">
        <x:v>MAIN-128</x:v>
      </x:c>
      <x:c r="E1698" s="12" t="str">
        <x:v>Wework - Sunriver</x:v>
      </x:c>
      <x:c r="F1698" s="11" t="n">
        <x:v>1</x:v>
      </x:c>
      <x:c r="G1698" s="11" t="n">
        <x:v>1</x:v>
      </x:c>
      <x:c r="H1698" s="11" t="n">
        <x:v>0</x:v>
      </x:c>
      <x:c r="I1698" s="17" t="n">
        <x:f>INDEX('Costing'!$P$9:$P$492,MATCH(D1698,'Costing'!$A$9:$A$492,0))</x:f>
        <x:v>25000</x:v>
      </x:c>
      <x:c r="J1698" s="17" t="n">
        <x:f>ROUND(I1698*'Costing'!$C$4,2)</x:f>
        <x:v>4500</x:v>
      </x:c>
      <x:c r="K1698" s="17" t="n">
        <x:f>I1698+J1698</x:f>
        <x:v>29500</x:v>
      </x:c>
    </x:row>
    <x:row r="1699" ht="46" customHeight="1">
      <x:c r="A1699" s="2" t="str">
        <x:v>Sector</x:v>
      </x:c>
      <x:c r="B1699" s="2" t="str">
        <x:v>IT &amp; digital</x:v>
      </x:c>
      <x:c r="C1699" s="12" t="str">
        <x:v>Bengaluru</x:v>
      </x:c>
      <x:c r="D1699" s="12" t="str">
        <x:v>MAIN-131</x:v>
      </x:c>
      <x:c r="E1699" s="12" t="str">
        <x:v>Wework - Vaishnavi Signature</x:v>
      </x:c>
      <x:c r="F1699" s="11" t="n">
        <x:v>11</x:v>
      </x:c>
      <x:c r="G1699" s="11" t="n">
        <x:v>11</x:v>
      </x:c>
      <x:c r="H1699" s="11" t="n">
        <x:v>0</x:v>
      </x:c>
      <x:c r="I1699" s="17" t="n">
        <x:f>INDEX('Costing'!$P$9:$P$492,MATCH(D1699,'Costing'!$A$9:$A$492,0))</x:f>
        <x:v>275000</x:v>
      </x:c>
      <x:c r="J1699" s="17" t="n">
        <x:f>ROUND(I1699*'Costing'!$C$4,2)</x:f>
        <x:v>49500</x:v>
      </x:c>
      <x:c r="K1699" s="17" t="n">
        <x:f>I1699+J1699</x:f>
        <x:v>324500</x:v>
      </x:c>
    </x:row>
    <x:row r="1700" ht="46" customHeight="1">
      <x:c r="A1700" s="2" t="str">
        <x:v>Sector</x:v>
      </x:c>
      <x:c r="B1700" s="2" t="str">
        <x:v>IT &amp; digital</x:v>
      </x:c>
      <x:c r="C1700" s="12" t="str">
        <x:v>Bhubaneswar</x:v>
      </x:c>
      <x:c r="D1700" s="12" t="str">
        <x:v>MAIN-137</x:v>
      </x:c>
      <x:c r="E1700" s="12" t="str">
        <x:v>Awfis - SRB Tower</x:v>
      </x:c>
      <x:c r="F1700" s="11" t="n">
        <x:v>2</x:v>
      </x:c>
      <x:c r="G1700" s="11" t="n">
        <x:v>2</x:v>
      </x:c>
      <x:c r="H1700" s="11" t="n">
        <x:v>0</x:v>
      </x:c>
      <x:c r="I1700" s="17" t="n">
        <x:f>INDEX('Costing'!$P$9:$P$492,MATCH(D1700,'Costing'!$A$9:$A$492,0))</x:f>
        <x:v>30000</x:v>
      </x:c>
      <x:c r="J1700" s="17" t="n">
        <x:f>ROUND(I1700*'Costing'!$C$4,2)</x:f>
        <x:v>5400</x:v>
      </x:c>
      <x:c r="K1700" s="17" t="n">
        <x:f>I1700+J1700</x:f>
        <x:v>35400</x:v>
      </x:c>
    </x:row>
    <x:row r="1701" ht="46" customHeight="1">
      <x:c r="A1701" s="2" t="str">
        <x:v>Sector</x:v>
      </x:c>
      <x:c r="B1701" s="2" t="str">
        <x:v>IT &amp; digital</x:v>
      </x:c>
      <x:c r="C1701" s="12" t="str">
        <x:v>Chennai</x:v>
      </x:c>
      <x:c r="D1701" s="12" t="str">
        <x:v>MAIN-138</x:v>
      </x:c>
      <x:c r="E1701" s="12" t="str">
        <x:v>Arihant Verge Global Park (Pod Screens)</x:v>
      </x:c>
      <x:c r="F1701" s="11" t="n">
        <x:v>2</x:v>
      </x:c>
      <x:c r="G1701" s="11" t="n">
        <x:v>2</x:v>
      </x:c>
      <x:c r="H1701" s="11" t="n">
        <x:v>0</x:v>
      </x:c>
      <x:c r="I1701" s="17" t="n">
        <x:f>INDEX('Costing'!$P$9:$P$492,MATCH(D1701,'Costing'!$A$9:$A$492,0))</x:f>
        <x:v>40000</x:v>
      </x:c>
      <x:c r="J1701" s="17" t="n">
        <x:f>ROUND(I1701*'Costing'!$C$4,2)</x:f>
        <x:v>7200</x:v>
      </x:c>
      <x:c r="K1701" s="17" t="n">
        <x:f>I1701+J1701</x:f>
        <x:v>47200</x:v>
      </x:c>
    </x:row>
    <x:row r="1702" ht="46" customHeight="1">
      <x:c r="A1702" s="2" t="str">
        <x:v>Sector</x:v>
      </x:c>
      <x:c r="B1702" s="2" t="str">
        <x:v>IT &amp; digital</x:v>
      </x:c>
      <x:c r="C1702" s="12" t="str">
        <x:v>Chennai</x:v>
      </x:c>
      <x:c r="D1702" s="12" t="str">
        <x:v>MAIN-140</x:v>
      </x:c>
      <x:c r="E1702" s="12" t="str">
        <x:v>Awfis - OMR</x:v>
      </x:c>
      <x:c r="F1702" s="11" t="n">
        <x:v>7</x:v>
      </x:c>
      <x:c r="G1702" s="11" t="n">
        <x:v>7</x:v>
      </x:c>
      <x:c r="H1702" s="11" t="n">
        <x:v>0</x:v>
      </x:c>
      <x:c r="I1702" s="17" t="n">
        <x:f>INDEX('Costing'!$P$9:$P$492,MATCH(D1702,'Costing'!$A$9:$A$492,0))</x:f>
        <x:v>105000</x:v>
      </x:c>
      <x:c r="J1702" s="17" t="n">
        <x:f>ROUND(I1702*'Costing'!$C$4,2)</x:f>
        <x:v>18900</x:v>
      </x:c>
      <x:c r="K1702" s="17" t="n">
        <x:f>I1702+J1702</x:f>
        <x:v>123900</x:v>
      </x:c>
    </x:row>
    <x:row r="1703" ht="46" customHeight="1">
      <x:c r="A1703" s="2" t="str">
        <x:v>Sector</x:v>
      </x:c>
      <x:c r="B1703" s="2" t="str">
        <x:v>IT &amp; digital</x:v>
      </x:c>
      <x:c r="C1703" s="12" t="str">
        <x:v>Chennai</x:v>
      </x:c>
      <x:c r="D1703" s="12" t="str">
        <x:v>MAIN-142</x:v>
      </x:c>
      <x:c r="E1703" s="12" t="str">
        <x:v>Awfis - Sierra</x:v>
      </x:c>
      <x:c r="F1703" s="11" t="n">
        <x:v>3</x:v>
      </x:c>
      <x:c r="G1703" s="11" t="n">
        <x:v>3</x:v>
      </x:c>
      <x:c r="H1703" s="11" t="n">
        <x:v>0</x:v>
      </x:c>
      <x:c r="I1703" s="17" t="n">
        <x:f>INDEX('Costing'!$P$9:$P$492,MATCH(D1703,'Costing'!$A$9:$A$492,0))</x:f>
        <x:v>45000</x:v>
      </x:c>
      <x:c r="J1703" s="17" t="n">
        <x:f>ROUND(I1703*'Costing'!$C$4,2)</x:f>
        <x:v>8100</x:v>
      </x:c>
      <x:c r="K1703" s="17" t="n">
        <x:f>I1703+J1703</x:f>
        <x:v>53100</x:v>
      </x:c>
    </x:row>
    <x:row r="1704" ht="46" customHeight="1">
      <x:c r="A1704" s="2" t="str">
        <x:v>Sector</x:v>
      </x:c>
      <x:c r="B1704" s="2" t="str">
        <x:v>IT &amp; digital</x:v>
      </x:c>
      <x:c r="C1704" s="12" t="str">
        <x:v>Chennai</x:v>
      </x:c>
      <x:c r="D1704" s="12" t="str">
        <x:v>MAIN-143</x:v>
      </x:c>
      <x:c r="E1704" s="12" t="str">
        <x:v>Bharati Vilas Tech Park</x:v>
      </x:c>
      <x:c r="F1704" s="11" t="n">
        <x:v>2</x:v>
      </x:c>
      <x:c r="G1704" s="11" t="n">
        <x:v>2</x:v>
      </x:c>
      <x:c r="H1704" s="11" t="n">
        <x:v>0</x:v>
      </x:c>
      <x:c r="I1704" s="17" t="n">
        <x:f>INDEX('Costing'!$P$9:$P$492,MATCH(D1704,'Costing'!$A$9:$A$492,0))</x:f>
        <x:v>40000</x:v>
      </x:c>
      <x:c r="J1704" s="17" t="n">
        <x:f>ROUND(I1704*'Costing'!$C$4,2)</x:f>
        <x:v>7200</x:v>
      </x:c>
      <x:c r="K1704" s="17" t="n">
        <x:f>I1704+J1704</x:f>
        <x:v>47200</x:v>
      </x:c>
    </x:row>
    <x:row r="1705" ht="46" customHeight="1">
      <x:c r="A1705" s="2" t="str">
        <x:v>Sector</x:v>
      </x:c>
      <x:c r="B1705" s="2" t="str">
        <x:v>IT &amp; digital</x:v>
      </x:c>
      <x:c r="C1705" s="12" t="str">
        <x:v>Chennai</x:v>
      </x:c>
      <x:c r="D1705" s="12" t="str">
        <x:v>MAIN-144</x:v>
      </x:c>
      <x:c r="E1705" s="12" t="str">
        <x:v>Bharati Vilas Tech Park(POD Screens)</x:v>
      </x:c>
      <x:c r="F1705" s="11" t="n">
        <x:v>1</x:v>
      </x:c>
      <x:c r="G1705" s="11" t="n">
        <x:v>1</x:v>
      </x:c>
      <x:c r="H1705" s="11" t="n">
        <x:v>0</x:v>
      </x:c>
      <x:c r="I1705" s="17" t="n">
        <x:f>INDEX('Costing'!$P$9:$P$492,MATCH(D1705,'Costing'!$A$9:$A$492,0))</x:f>
        <x:v>20000</x:v>
      </x:c>
      <x:c r="J1705" s="17" t="n">
        <x:f>ROUND(I1705*'Costing'!$C$4,2)</x:f>
        <x:v>3600</x:v>
      </x:c>
      <x:c r="K1705" s="17" t="n">
        <x:f>I1705+J1705</x:f>
        <x:v>23600</x:v>
      </x:c>
    </x:row>
    <x:row r="1706" ht="46" customHeight="1">
      <x:c r="A1706" s="2" t="str">
        <x:v>Sector</x:v>
      </x:c>
      <x:c r="B1706" s="2" t="str">
        <x:v>IT &amp; digital</x:v>
      </x:c>
      <x:c r="C1706" s="12" t="str">
        <x:v>Chennai</x:v>
      </x:c>
      <x:c r="D1706" s="12" t="str">
        <x:v>MAIN-148</x:v>
      </x:c>
      <x:c r="E1706" s="12" t="str">
        <x:v>Kochar Globe Tech Park</x:v>
      </x:c>
      <x:c r="F1706" s="11" t="n">
        <x:v>4</x:v>
      </x:c>
      <x:c r="G1706" s="11" t="n">
        <x:v>4</x:v>
      </x:c>
      <x:c r="H1706" s="11" t="n">
        <x:v>0</x:v>
      </x:c>
      <x:c r="I1706" s="17" t="n">
        <x:f>INDEX('Costing'!$P$9:$P$492,MATCH(D1706,'Costing'!$A$9:$A$492,0))</x:f>
        <x:v>80000</x:v>
      </x:c>
      <x:c r="J1706" s="17" t="n">
        <x:f>ROUND(I1706*'Costing'!$C$4,2)</x:f>
        <x:v>14400</x:v>
      </x:c>
      <x:c r="K1706" s="17" t="n">
        <x:f>I1706+J1706</x:f>
        <x:v>94400</x:v>
      </x:c>
    </x:row>
    <x:row r="1707" ht="46" customHeight="1">
      <x:c r="A1707" s="2" t="str">
        <x:v>Sector</x:v>
      </x:c>
      <x:c r="B1707" s="2" t="str">
        <x:v>IT &amp; digital</x:v>
      </x:c>
      <x:c r="C1707" s="12" t="str">
        <x:v>Chennai</x:v>
      </x:c>
      <x:c r="D1707" s="12" t="str">
        <x:v>MAIN-149</x:v>
      </x:c>
      <x:c r="E1707" s="12" t="str">
        <x:v>Kochar Globe Tech Park (Pod Screens)</x:v>
      </x:c>
      <x:c r="F1707" s="11" t="n">
        <x:v>2</x:v>
      </x:c>
      <x:c r="G1707" s="11" t="n">
        <x:v>2</x:v>
      </x:c>
      <x:c r="H1707" s="11" t="n">
        <x:v>0</x:v>
      </x:c>
      <x:c r="I1707" s="17" t="n">
        <x:f>INDEX('Costing'!$P$9:$P$492,MATCH(D1707,'Costing'!$A$9:$A$492,0))</x:f>
        <x:v>40000</x:v>
      </x:c>
      <x:c r="J1707" s="17" t="n">
        <x:f>ROUND(I1707*'Costing'!$C$4,2)</x:f>
        <x:v>7200</x:v>
      </x:c>
      <x:c r="K1707" s="17" t="n">
        <x:f>I1707+J1707</x:f>
        <x:v>47200</x:v>
      </x:c>
    </x:row>
    <x:row r="1708" ht="46" customHeight="1">
      <x:c r="A1708" s="2" t="str">
        <x:v>Sector</x:v>
      </x:c>
      <x:c r="B1708" s="2" t="str">
        <x:v>IT &amp; digital</x:v>
      </x:c>
      <x:c r="C1708" s="12" t="str">
        <x:v>Chennai</x:v>
      </x:c>
      <x:c r="D1708" s="12" t="str">
        <x:v>MAIN-150</x:v>
      </x:c>
      <x:c r="E1708" s="12" t="str">
        <x:v>Millenia Business Park 2</x:v>
      </x:c>
      <x:c r="F1708" s="11" t="n">
        <x:v>2</x:v>
      </x:c>
      <x:c r="G1708" s="11" t="n">
        <x:v>2</x:v>
      </x:c>
      <x:c r="H1708" s="11" t="n">
        <x:v>0</x:v>
      </x:c>
      <x:c r="I1708" s="17" t="n">
        <x:f>INDEX('Costing'!$P$9:$P$492,MATCH(D1708,'Costing'!$A$9:$A$492,0))</x:f>
        <x:v>40000</x:v>
      </x:c>
      <x:c r="J1708" s="17" t="n">
        <x:f>ROUND(I1708*'Costing'!$C$4,2)</x:f>
        <x:v>7200</x:v>
      </x:c>
      <x:c r="K1708" s="17" t="n">
        <x:f>I1708+J1708</x:f>
        <x:v>47200</x:v>
      </x:c>
    </x:row>
    <x:row r="1709" ht="46" customHeight="1">
      <x:c r="A1709" s="2" t="str">
        <x:v>Sector</x:v>
      </x:c>
      <x:c r="B1709" s="2" t="str">
        <x:v>IT &amp; digital</x:v>
      </x:c>
      <x:c r="C1709" s="12" t="str">
        <x:v>Chennai</x:v>
      </x:c>
      <x:c r="D1709" s="12" t="str">
        <x:v>MAIN-151</x:v>
      </x:c>
      <x:c r="E1709" s="12" t="str">
        <x:v>Nucleus - Kosmo One</x:v>
      </x:c>
      <x:c r="F1709" s="11" t="n">
        <x:v>4</x:v>
      </x:c>
      <x:c r="G1709" s="11" t="n">
        <x:v>4</x:v>
      </x:c>
      <x:c r="H1709" s="11" t="n">
        <x:v>0</x:v>
      </x:c>
      <x:c r="I1709" s="17" t="n">
        <x:f>INDEX('Costing'!$P$9:$P$492,MATCH(D1709,'Costing'!$A$9:$A$492,0))</x:f>
        <x:v>160000</x:v>
      </x:c>
      <x:c r="J1709" s="17" t="n">
        <x:f>ROUND(I1709*'Costing'!$C$4,2)</x:f>
        <x:v>28800</x:v>
      </x:c>
      <x:c r="K1709" s="17" t="n">
        <x:f>I1709+J1709</x:f>
        <x:v>188800</x:v>
      </x:c>
    </x:row>
    <x:row r="1710" ht="46" customHeight="1">
      <x:c r="A1710" s="2" t="str">
        <x:v>Sector</x:v>
      </x:c>
      <x:c r="B1710" s="2" t="str">
        <x:v>IT &amp; digital</x:v>
      </x:c>
      <x:c r="C1710" s="12" t="str">
        <x:v>Chennai</x:v>
      </x:c>
      <x:c r="D1710" s="12" t="str">
        <x:v>MAIN-152</x:v>
      </x:c>
      <x:c r="E1710" s="12" t="str">
        <x:v>Olympia Cyberspace</x:v>
      </x:c>
      <x:c r="F1710" s="11" t="n">
        <x:v>2</x:v>
      </x:c>
      <x:c r="G1710" s="11" t="n">
        <x:v>2</x:v>
      </x:c>
      <x:c r="H1710" s="11" t="n">
        <x:v>0</x:v>
      </x:c>
      <x:c r="I1710" s="17" t="n">
        <x:f>INDEX('Costing'!$P$9:$P$492,MATCH(D1710,'Costing'!$A$9:$A$492,0))</x:f>
        <x:v>40000</x:v>
      </x:c>
      <x:c r="J1710" s="17" t="n">
        <x:f>ROUND(I1710*'Costing'!$C$4,2)</x:f>
        <x:v>7200</x:v>
      </x:c>
      <x:c r="K1710" s="17" t="n">
        <x:f>I1710+J1710</x:f>
        <x:v>47200</x:v>
      </x:c>
    </x:row>
    <x:row r="1711" ht="46" customHeight="1">
      <x:c r="A1711" s="2" t="str">
        <x:v>Sector</x:v>
      </x:c>
      <x:c r="B1711" s="2" t="str">
        <x:v>IT &amp; digital</x:v>
      </x:c>
      <x:c r="C1711" s="12" t="str">
        <x:v>Chennai</x:v>
      </x:c>
      <x:c r="D1711" s="12" t="str">
        <x:v>MAIN-153</x:v>
      </x:c>
      <x:c r="E1711" s="12" t="str">
        <x:v>Olympia National Tower</x:v>
      </x:c>
      <x:c r="F1711" s="11" t="n">
        <x:v>4</x:v>
      </x:c>
      <x:c r="G1711" s="11" t="n">
        <x:v>4</x:v>
      </x:c>
      <x:c r="H1711" s="11" t="n">
        <x:v>0</x:v>
      </x:c>
      <x:c r="I1711" s="17" t="n">
        <x:f>INDEX('Costing'!$P$9:$P$492,MATCH(D1711,'Costing'!$A$9:$A$492,0))</x:f>
        <x:v>80000</x:v>
      </x:c>
      <x:c r="J1711" s="17" t="n">
        <x:f>ROUND(I1711*'Costing'!$C$4,2)</x:f>
        <x:v>14400</x:v>
      </x:c>
      <x:c r="K1711" s="17" t="n">
        <x:f>I1711+J1711</x:f>
        <x:v>94400</x:v>
      </x:c>
    </x:row>
    <x:row r="1712" ht="46" customHeight="1">
      <x:c r="A1712" s="2" t="str">
        <x:v>Sector</x:v>
      </x:c>
      <x:c r="B1712" s="2" t="str">
        <x:v>IT &amp; digital</x:v>
      </x:c>
      <x:c r="C1712" s="12" t="str">
        <x:v>Chennai</x:v>
      </x:c>
      <x:c r="D1712" s="12" t="str">
        <x:v>MAIN-154</x:v>
      </x:c>
      <x:c r="E1712" s="12" t="str">
        <x:v>Olympia National Tower (Pod Screens)</x:v>
      </x:c>
      <x:c r="F1712" s="11" t="n">
        <x:v>2</x:v>
      </x:c>
      <x:c r="G1712" s="11" t="n">
        <x:v>2</x:v>
      </x:c>
      <x:c r="H1712" s="11" t="n">
        <x:v>0</x:v>
      </x:c>
      <x:c r="I1712" s="17" t="n">
        <x:f>INDEX('Costing'!$P$9:$P$492,MATCH(D1712,'Costing'!$A$9:$A$492,0))</x:f>
        <x:v>40000</x:v>
      </x:c>
      <x:c r="J1712" s="17" t="n">
        <x:f>ROUND(I1712*'Costing'!$C$4,2)</x:f>
        <x:v>7200</x:v>
      </x:c>
      <x:c r="K1712" s="17" t="n">
        <x:f>I1712+J1712</x:f>
        <x:v>47200</x:v>
      </x:c>
    </x:row>
    <x:row r="1713" ht="46" customHeight="1">
      <x:c r="A1713" s="2" t="str">
        <x:v>Sector</x:v>
      </x:c>
      <x:c r="B1713" s="2" t="str">
        <x:v>IT &amp; digital</x:v>
      </x:c>
      <x:c r="C1713" s="12" t="str">
        <x:v>Chennai</x:v>
      </x:c>
      <x:c r="D1713" s="12" t="str">
        <x:v>MAIN-155</x:v>
      </x:c>
      <x:c r="E1713" s="12" t="str">
        <x:v>Olympia Pinnacle Technology Park</x:v>
      </x:c>
      <x:c r="F1713" s="11" t="n">
        <x:v>1</x:v>
      </x:c>
      <x:c r="G1713" s="11" t="n">
        <x:v>1</x:v>
      </x:c>
      <x:c r="H1713" s="11" t="n">
        <x:v>0</x:v>
      </x:c>
      <x:c r="I1713" s="17" t="n">
        <x:f>INDEX('Costing'!$P$9:$P$492,MATCH(D1713,'Costing'!$A$9:$A$492,0))</x:f>
        <x:v>20000</x:v>
      </x:c>
      <x:c r="J1713" s="17" t="n">
        <x:f>ROUND(I1713*'Costing'!$C$4,2)</x:f>
        <x:v>3600</x:v>
      </x:c>
      <x:c r="K1713" s="17" t="n">
        <x:f>I1713+J1713</x:f>
        <x:v>23600</x:v>
      </x:c>
    </x:row>
    <x:row r="1714" ht="46" customHeight="1">
      <x:c r="A1714" s="2" t="str">
        <x:v>Sector</x:v>
      </x:c>
      <x:c r="B1714" s="2" t="str">
        <x:v>IT &amp; digital</x:v>
      </x:c>
      <x:c r="C1714" s="12" t="str">
        <x:v>Chennai</x:v>
      </x:c>
      <x:c r="D1714" s="12" t="str">
        <x:v>MAIN-156</x:v>
      </x:c>
      <x:c r="E1714" s="12" t="str">
        <x:v>Prestige Polygon IT Park</x:v>
      </x:c>
      <x:c r="F1714" s="11" t="n">
        <x:v>1</x:v>
      </x:c>
      <x:c r="G1714" s="11" t="n">
        <x:v>1</x:v>
      </x:c>
      <x:c r="H1714" s="11" t="n">
        <x:v>0</x:v>
      </x:c>
      <x:c r="I1714" s="17" t="n">
        <x:f>INDEX('Costing'!$P$9:$P$492,MATCH(D1714,'Costing'!$A$9:$A$492,0))</x:f>
        <x:v>20000</x:v>
      </x:c>
      <x:c r="J1714" s="17" t="n">
        <x:f>ROUND(I1714*'Costing'!$C$4,2)</x:f>
        <x:v>3600</x:v>
      </x:c>
      <x:c r="K1714" s="17" t="n">
        <x:f>I1714+J1714</x:f>
        <x:v>23600</x:v>
      </x:c>
    </x:row>
    <x:row r="1715" ht="46" customHeight="1">
      <x:c r="A1715" s="2" t="str">
        <x:v>Sector</x:v>
      </x:c>
      <x:c r="B1715" s="2" t="str">
        <x:v>IT &amp; digital</x:v>
      </x:c>
      <x:c r="C1715" s="12" t="str">
        <x:v>Chennai</x:v>
      </x:c>
      <x:c r="D1715" s="12" t="str">
        <x:v>MAIN-157</x:v>
      </x:c>
      <x:c r="E1715" s="12" t="str">
        <x:v>Prestige Polygon Tech Park (Pod Screens)</x:v>
      </x:c>
      <x:c r="F1715" s="11" t="n">
        <x:v>3</x:v>
      </x:c>
      <x:c r="G1715" s="11" t="n">
        <x:v>3</x:v>
      </x:c>
      <x:c r="H1715" s="11" t="n">
        <x:v>0</x:v>
      </x:c>
      <x:c r="I1715" s="17" t="n">
        <x:f>INDEX('Costing'!$P$9:$P$492,MATCH(D1715,'Costing'!$A$9:$A$492,0))</x:f>
        <x:v>97500</x:v>
      </x:c>
      <x:c r="J1715" s="17" t="n">
        <x:f>ROUND(I1715*'Costing'!$C$4,2)</x:f>
        <x:v>17550</x:v>
      </x:c>
      <x:c r="K1715" s="17" t="n">
        <x:f>I1715+J1715</x:f>
        <x:v>115050</x:v>
      </x:c>
    </x:row>
    <x:row r="1716" ht="46" customHeight="1">
      <x:c r="A1716" s="2" t="str">
        <x:v>Sector</x:v>
      </x:c>
      <x:c r="B1716" s="2" t="str">
        <x:v>IT &amp; digital</x:v>
      </x:c>
      <x:c r="C1716" s="12" t="str">
        <x:v>Chennai</x:v>
      </x:c>
      <x:c r="D1716" s="12" t="str">
        <x:v>MAIN-158</x:v>
      </x:c>
      <x:c r="E1716" s="12" t="str">
        <x:v>Prestige Zackria Metropolitan</x:v>
      </x:c>
      <x:c r="F1716" s="11" t="n">
        <x:v>2</x:v>
      </x:c>
      <x:c r="G1716" s="11" t="n">
        <x:v>2</x:v>
      </x:c>
      <x:c r="H1716" s="11" t="n">
        <x:v>0</x:v>
      </x:c>
      <x:c r="I1716" s="17" t="n">
        <x:f>INDEX('Costing'!$P$9:$P$492,MATCH(D1716,'Costing'!$A$9:$A$492,0))</x:f>
        <x:v>40000</x:v>
      </x:c>
      <x:c r="J1716" s="17" t="n">
        <x:f>ROUND(I1716*'Costing'!$C$4,2)</x:f>
        <x:v>7200</x:v>
      </x:c>
      <x:c r="K1716" s="17" t="n">
        <x:f>I1716+J1716</x:f>
        <x:v>47200</x:v>
      </x:c>
    </x:row>
    <x:row r="1717" ht="46" customHeight="1">
      <x:c r="A1717" s="2" t="str">
        <x:v>Sector</x:v>
      </x:c>
      <x:c r="B1717" s="2" t="str">
        <x:v>IT &amp; digital</x:v>
      </x:c>
      <x:c r="C1717" s="12" t="str">
        <x:v>Chennai</x:v>
      </x:c>
      <x:c r="D1717" s="12" t="str">
        <x:v>MAIN-159</x:v>
      </x:c>
      <x:c r="E1717" s="12" t="str">
        <x:v>Wingspace - Coworking Space IN Perungudi</x:v>
      </x:c>
      <x:c r="F1717" s="11" t="n">
        <x:v>1</x:v>
      </x:c>
      <x:c r="G1717" s="11" t="n">
        <x:v>1</x:v>
      </x:c>
      <x:c r="H1717" s="11" t="n">
        <x:v>0</x:v>
      </x:c>
      <x:c r="I1717" s="17" t="n">
        <x:f>INDEX('Costing'!$P$9:$P$492,MATCH(D1717,'Costing'!$A$9:$A$492,0))</x:f>
        <x:v>15000</x:v>
      </x:c>
      <x:c r="J1717" s="17" t="n">
        <x:f>ROUND(I1717*'Costing'!$C$4,2)</x:f>
        <x:v>2700</x:v>
      </x:c>
      <x:c r="K1717" s="17" t="n">
        <x:f>I1717+J1717</x:f>
        <x:v>17700</x:v>
      </x:c>
    </x:row>
    <x:row r="1718" ht="46" customHeight="1">
      <x:c r="A1718" s="2" t="str">
        <x:v>Sector</x:v>
      </x:c>
      <x:c r="B1718" s="2" t="str">
        <x:v>IT &amp; digital</x:v>
      </x:c>
      <x:c r="C1718" s="12" t="str">
        <x:v>Chennai</x:v>
      </x:c>
      <x:c r="D1718" s="12" t="str">
        <x:v>MAIN-160</x:v>
      </x:c>
      <x:c r="E1718" s="12" t="str">
        <x:v>Workflo by Oyo - Innov8 Millenia</x:v>
      </x:c>
      <x:c r="F1718" s="11" t="n">
        <x:v>1</x:v>
      </x:c>
      <x:c r="G1718" s="11" t="n">
        <x:v>1</x:v>
      </x:c>
      <x:c r="H1718" s="11" t="n">
        <x:v>0</x:v>
      </x:c>
      <x:c r="I1718" s="17" t="n">
        <x:f>INDEX('Costing'!$P$9:$P$492,MATCH(D1718,'Costing'!$A$9:$A$492,0))</x:f>
        <x:v>15000</x:v>
      </x:c>
      <x:c r="J1718" s="17" t="n">
        <x:f>ROUND(I1718*'Costing'!$C$4,2)</x:f>
        <x:v>2700</x:v>
      </x:c>
      <x:c r="K1718" s="17" t="n">
        <x:f>I1718+J1718</x:f>
        <x:v>17700</x:v>
      </x:c>
    </x:row>
    <x:row r="1719" ht="46" customHeight="1">
      <x:c r="A1719" s="2" t="str">
        <x:v>Sector</x:v>
      </x:c>
      <x:c r="B1719" s="2" t="str">
        <x:v>IT &amp; digital</x:v>
      </x:c>
      <x:c r="C1719" s="12" t="str">
        <x:v>Delhi NCR</x:v>
      </x:c>
      <x:c r="D1719" s="12" t="str">
        <x:v>MAIN-366</x:v>
      </x:c>
      <x:c r="E1719" s="12" t="str">
        <x:v>Awfis - Knowledge Boulevard</x:v>
      </x:c>
      <x:c r="F1719" s="11" t="n">
        <x:v>3</x:v>
      </x:c>
      <x:c r="G1719" s="11" t="n">
        <x:v>3</x:v>
      </x:c>
      <x:c r="H1719" s="11" t="n">
        <x:v>0</x:v>
      </x:c>
      <x:c r="I1719" s="17" t="n">
        <x:f>INDEX('Costing'!$P$9:$P$492,MATCH(D1719,'Costing'!$A$9:$A$492,0))</x:f>
        <x:v>45000</x:v>
      </x:c>
      <x:c r="J1719" s="17" t="n">
        <x:f>ROUND(I1719*'Costing'!$C$4,2)</x:f>
        <x:v>8100</x:v>
      </x:c>
      <x:c r="K1719" s="17" t="n">
        <x:f>I1719+J1719</x:f>
        <x:v>53100</x:v>
      </x:c>
    </x:row>
    <x:row r="1720" ht="46" customHeight="1">
      <x:c r="A1720" s="2" t="str">
        <x:v>Sector</x:v>
      </x:c>
      <x:c r="B1720" s="2" t="str">
        <x:v>IT &amp; digital</x:v>
      </x:c>
      <x:c r="C1720" s="12" t="str">
        <x:v>Delhi NCR</x:v>
      </x:c>
      <x:c r="D1720" s="12" t="str">
        <x:v>MAIN-367</x:v>
      </x:c>
      <x:c r="E1720" s="12" t="str">
        <x:v>Awfis - Majestic Signia</x:v>
      </x:c>
      <x:c r="F1720" s="11" t="n">
        <x:v>2</x:v>
      </x:c>
      <x:c r="G1720" s="11" t="n">
        <x:v>2</x:v>
      </x:c>
      <x:c r="H1720" s="11" t="n">
        <x:v>0</x:v>
      </x:c>
      <x:c r="I1720" s="17" t="n">
        <x:f>INDEX('Costing'!$P$9:$P$492,MATCH(D1720,'Costing'!$A$9:$A$492,0))</x:f>
        <x:v>30000</x:v>
      </x:c>
      <x:c r="J1720" s="17" t="n">
        <x:f>ROUND(I1720*'Costing'!$C$4,2)</x:f>
        <x:v>5400</x:v>
      </x:c>
      <x:c r="K1720" s="17" t="n">
        <x:f>I1720+J1720</x:f>
        <x:v>35400</x:v>
      </x:c>
    </x:row>
    <x:row r="1721" ht="46" customHeight="1">
      <x:c r="A1721" s="2" t="str">
        <x:v>Sector</x:v>
      </x:c>
      <x:c r="B1721" s="2" t="str">
        <x:v>IT &amp; digital</x:v>
      </x:c>
      <x:c r="C1721" s="12" t="str">
        <x:v>Delhi NCR</x:v>
      </x:c>
      <x:c r="D1721" s="12" t="str">
        <x:v>MAIN-163</x:v>
      </x:c>
      <x:c r="E1721" s="12" t="str">
        <x:v>Awfis - Mohan Cooperative</x:v>
      </x:c>
      <x:c r="F1721" s="11" t="n">
        <x:v>3</x:v>
      </x:c>
      <x:c r="G1721" s="11" t="n">
        <x:v>3</x:v>
      </x:c>
      <x:c r="H1721" s="11" t="n">
        <x:v>0</x:v>
      </x:c>
      <x:c r="I1721" s="17" t="n">
        <x:f>INDEX('Costing'!$P$9:$P$492,MATCH(D1721,'Costing'!$A$9:$A$492,0))</x:f>
        <x:v>45000</x:v>
      </x:c>
      <x:c r="J1721" s="17" t="n">
        <x:f>ROUND(I1721*'Costing'!$C$4,2)</x:f>
        <x:v>8100</x:v>
      </x:c>
      <x:c r="K1721" s="17" t="n">
        <x:f>I1721+J1721</x:f>
        <x:v>53100</x:v>
      </x:c>
    </x:row>
    <x:row r="1722" ht="46" customHeight="1">
      <x:c r="A1722" s="2" t="str">
        <x:v>Sector</x:v>
      </x:c>
      <x:c r="B1722" s="2" t="str">
        <x:v>IT &amp; digital</x:v>
      </x:c>
      <x:c r="C1722" s="12" t="str">
        <x:v>Delhi NCR</x:v>
      </x:c>
      <x:c r="D1722" s="12" t="str">
        <x:v>MAIN-164</x:v>
      </x:c>
      <x:c r="E1722" s="12" t="str">
        <x:v>Awfis - Mohan Cooperative 2</x:v>
      </x:c>
      <x:c r="F1722" s="11" t="n">
        <x:v>1</x:v>
      </x:c>
      <x:c r="G1722" s="11" t="n">
        <x:v>1</x:v>
      </x:c>
      <x:c r="H1722" s="11" t="n">
        <x:v>0</x:v>
      </x:c>
      <x:c r="I1722" s="17" t="n">
        <x:f>INDEX('Costing'!$P$9:$P$492,MATCH(D1722,'Costing'!$A$9:$A$492,0))</x:f>
        <x:v>15000</x:v>
      </x:c>
      <x:c r="J1722" s="17" t="n">
        <x:f>ROUND(I1722*'Costing'!$C$4,2)</x:f>
        <x:v>2700</x:v>
      </x:c>
      <x:c r="K1722" s="17" t="n">
        <x:f>I1722+J1722</x:f>
        <x:v>17700</x:v>
      </x:c>
    </x:row>
    <x:row r="1723" ht="46" customHeight="1">
      <x:c r="A1723" s="2" t="str">
        <x:v>Sector</x:v>
      </x:c>
      <x:c r="B1723" s="2" t="str">
        <x:v>IT &amp; digital</x:v>
      </x:c>
      <x:c r="C1723" s="12" t="str">
        <x:v>Delhi NCR</x:v>
      </x:c>
      <x:c r="D1723" s="12" t="str">
        <x:v>MAIN-180</x:v>
      </x:c>
      <x:c r="E1723" s="12" t="str">
        <x:v>Awfis - Paras Trinity</x:v>
      </x:c>
      <x:c r="F1723" s="11" t="n">
        <x:v>3</x:v>
      </x:c>
      <x:c r="G1723" s="11" t="n">
        <x:v>3</x:v>
      </x:c>
      <x:c r="H1723" s="11" t="n">
        <x:v>0</x:v>
      </x:c>
      <x:c r="I1723" s="17" t="n">
        <x:f>INDEX('Costing'!$P$9:$P$492,MATCH(D1723,'Costing'!$A$9:$A$492,0))</x:f>
        <x:v>45000</x:v>
      </x:c>
      <x:c r="J1723" s="17" t="n">
        <x:f>ROUND(I1723*'Costing'!$C$4,2)</x:f>
        <x:v>8100</x:v>
      </x:c>
      <x:c r="K1723" s="17" t="n">
        <x:f>I1723+J1723</x:f>
        <x:v>53100</x:v>
      </x:c>
    </x:row>
    <x:row r="1724" ht="46" customHeight="1">
      <x:c r="A1724" s="2" t="str">
        <x:v>Sector</x:v>
      </x:c>
      <x:c r="B1724" s="2" t="str">
        <x:v>IT &amp; digital</x:v>
      </x:c>
      <x:c r="C1724" s="12" t="str">
        <x:v>Delhi NCR</x:v>
      </x:c>
      <x:c r="D1724" s="12" t="str">
        <x:v>MAIN-181</x:v>
      </x:c>
      <x:c r="E1724" s="12" t="str">
        <x:v>Awfis - Suncity Success Tower</x:v>
      </x:c>
      <x:c r="F1724" s="11" t="n">
        <x:v>2</x:v>
      </x:c>
      <x:c r="G1724" s="11" t="n">
        <x:v>2</x:v>
      </x:c>
      <x:c r="H1724" s="11" t="n">
        <x:v>0</x:v>
      </x:c>
      <x:c r="I1724" s="17" t="n">
        <x:f>INDEX('Costing'!$P$9:$P$492,MATCH(D1724,'Costing'!$A$9:$A$492,0))</x:f>
        <x:v>30000</x:v>
      </x:c>
      <x:c r="J1724" s="17" t="n">
        <x:f>ROUND(I1724*'Costing'!$C$4,2)</x:f>
        <x:v>5400</x:v>
      </x:c>
      <x:c r="K1724" s="17" t="n">
        <x:f>I1724+J1724</x:f>
        <x:v>35400</x:v>
      </x:c>
    </x:row>
    <x:row r="1725" ht="46" customHeight="1">
      <x:c r="A1725" s="2" t="str">
        <x:v>Sector</x:v>
      </x:c>
      <x:c r="B1725" s="2" t="str">
        <x:v>IT &amp; digital</x:v>
      </x:c>
      <x:c r="C1725" s="12" t="str">
        <x:v>Delhi NCR</x:v>
      </x:c>
      <x:c r="D1725" s="12" t="str">
        <x:v>MAIN-182</x:v>
      </x:c>
      <x:c r="E1725" s="12" t="str">
        <x:v>Awfis - Unitech Cyber Park - 2</x:v>
      </x:c>
      <x:c r="F1725" s="11" t="n">
        <x:v>2</x:v>
      </x:c>
      <x:c r="G1725" s="11" t="n">
        <x:v>2</x:v>
      </x:c>
      <x:c r="H1725" s="11" t="n">
        <x:v>0</x:v>
      </x:c>
      <x:c r="I1725" s="17" t="n">
        <x:f>INDEX('Costing'!$P$9:$P$492,MATCH(D1725,'Costing'!$A$9:$A$492,0))</x:f>
        <x:v>30000</x:v>
      </x:c>
      <x:c r="J1725" s="17" t="n">
        <x:f>ROUND(I1725*'Costing'!$C$4,2)</x:f>
        <x:v>5400</x:v>
      </x:c>
      <x:c r="K1725" s="17" t="n">
        <x:f>I1725+J1725</x:f>
        <x:v>35400</x:v>
      </x:c>
    </x:row>
    <x:row r="1726" ht="46" customHeight="1">
      <x:c r="A1726" s="2" t="str">
        <x:v>Sector</x:v>
      </x:c>
      <x:c r="B1726" s="2" t="str">
        <x:v>IT &amp; digital</x:v>
      </x:c>
      <x:c r="C1726" s="12" t="str">
        <x:v>Delhi NCR</x:v>
      </x:c>
      <x:c r="D1726" s="12" t="str">
        <x:v>MAIN-166</x:v>
      </x:c>
      <x:c r="E1726" s="12" t="str">
        <x:v>Corporate Park</x:v>
      </x:c>
      <x:c r="F1726" s="11" t="n">
        <x:v>2</x:v>
      </x:c>
      <x:c r="G1726" s="11" t="n">
        <x:v>2</x:v>
      </x:c>
      <x:c r="H1726" s="11" t="n">
        <x:v>0</x:v>
      </x:c>
      <x:c r="I1726" s="17" t="n">
        <x:f>INDEX('Costing'!$P$9:$P$492,MATCH(D1726,'Costing'!$A$9:$A$492,0))</x:f>
        <x:v>40000</x:v>
      </x:c>
      <x:c r="J1726" s="17" t="n">
        <x:f>ROUND(I1726*'Costing'!$C$4,2)</x:f>
        <x:v>7200</x:v>
      </x:c>
      <x:c r="K1726" s="17" t="n">
        <x:f>I1726+J1726</x:f>
        <x:v>47200</x:v>
      </x:c>
    </x:row>
    <x:row r="1727" ht="46" customHeight="1">
      <x:c r="A1727" s="2" t="str">
        <x:v>Sector</x:v>
      </x:c>
      <x:c r="B1727" s="2" t="str">
        <x:v>IT &amp; digital</x:v>
      </x:c>
      <x:c r="C1727" s="12" t="str">
        <x:v>Delhi NCR</x:v>
      </x:c>
      <x:c r="D1727" s="12" t="str">
        <x:v>MAIN-168</x:v>
      </x:c>
      <x:c r="E1727" s="12" t="str">
        <x:v>India Accelerator Coworking - BPTP Centra One</x:v>
      </x:c>
      <x:c r="F1727" s="11" t="n">
        <x:v>5</x:v>
      </x:c>
      <x:c r="G1727" s="11" t="n">
        <x:v>5</x:v>
      </x:c>
      <x:c r="H1727" s="11" t="n">
        <x:v>0</x:v>
      </x:c>
      <x:c r="I1727" s="17" t="n">
        <x:f>INDEX('Costing'!$P$9:$P$492,MATCH(D1727,'Costing'!$A$9:$A$492,0))</x:f>
        <x:v>200000</x:v>
      </x:c>
      <x:c r="J1727" s="17" t="n">
        <x:f>ROUND(I1727*'Costing'!$C$4,2)</x:f>
        <x:v>36000</x:v>
      </x:c>
      <x:c r="K1727" s="17" t="n">
        <x:f>I1727+J1727</x:f>
        <x:v>236000</x:v>
      </x:c>
    </x:row>
    <x:row r="1728" ht="46" customHeight="1">
      <x:c r="A1728" s="2" t="str">
        <x:v>Sector</x:v>
      </x:c>
      <x:c r="B1728" s="2" t="str">
        <x:v>IT &amp; digital</x:v>
      </x:c>
      <x:c r="C1728" s="12" t="str">
        <x:v>Delhi NCR</x:v>
      </x:c>
      <x:c r="D1728" s="12" t="str">
        <x:v>MAIN-196</x:v>
      </x:c>
      <x:c r="E1728" s="12" t="str">
        <x:v>Kallton</x:v>
      </x:c>
      <x:c r="F1728" s="11" t="n">
        <x:v>5</x:v>
      </x:c>
      <x:c r="G1728" s="11" t="n">
        <x:v>5</x:v>
      </x:c>
      <x:c r="H1728" s="11" t="n">
        <x:v>0</x:v>
      </x:c>
      <x:c r="I1728" s="17" t="n">
        <x:f>INDEX('Costing'!$P$9:$P$492,MATCH(D1728,'Costing'!$A$9:$A$492,0))</x:f>
        <x:v>200000</x:v>
      </x:c>
      <x:c r="J1728" s="17" t="n">
        <x:f>ROUND(I1728*'Costing'!$C$4,2)</x:f>
        <x:v>36000</x:v>
      </x:c>
      <x:c r="K1728" s="17" t="n">
        <x:f>I1728+J1728</x:f>
        <x:v>236000</x:v>
      </x:c>
    </x:row>
    <x:row r="1729" ht="46" customHeight="1">
      <x:c r="A1729" s="2" t="str">
        <x:v>Sector</x:v>
      </x:c>
      <x:c r="B1729" s="2" t="str">
        <x:v>IT &amp; digital</x:v>
      </x:c>
      <x:c r="C1729" s="12" t="str">
        <x:v>Delhi NCR</x:v>
      </x:c>
      <x:c r="D1729" s="12" t="str">
        <x:v>MAIN-169</x:v>
      </x:c>
      <x:c r="E1729" s="12" t="str">
        <x:v>Logix Cyber Park</x:v>
      </x:c>
      <x:c r="F1729" s="11" t="n">
        <x:v>15</x:v>
      </x:c>
      <x:c r="G1729" s="11" t="n">
        <x:v>15</x:v>
      </x:c>
      <x:c r="H1729" s="11" t="n">
        <x:v>0</x:v>
      </x:c>
      <x:c r="I1729" s="17" t="n">
        <x:f>INDEX('Costing'!$P$9:$P$492,MATCH(D1729,'Costing'!$A$9:$A$492,0))</x:f>
        <x:v>300000</x:v>
      </x:c>
      <x:c r="J1729" s="17" t="n">
        <x:f>ROUND(I1729*'Costing'!$C$4,2)</x:f>
        <x:v>54000</x:v>
      </x:c>
      <x:c r="K1729" s="17" t="n">
        <x:f>I1729+J1729</x:f>
        <x:v>354000</x:v>
      </x:c>
    </x:row>
    <x:row r="1730" ht="46" customHeight="1">
      <x:c r="A1730" s="2" t="str">
        <x:v>Sector</x:v>
      </x:c>
      <x:c r="B1730" s="2" t="str">
        <x:v>IT &amp; digital</x:v>
      </x:c>
      <x:c r="C1730" s="12" t="str">
        <x:v>Delhi NCR</x:v>
      </x:c>
      <x:c r="D1730" s="12" t="str">
        <x:v>MAIN-374</x:v>
      </x:c>
      <x:c r="E1730" s="12" t="str">
        <x:v>Logix Infotech Park</x:v>
      </x:c>
      <x:c r="F1730" s="11" t="n">
        <x:v>2</x:v>
      </x:c>
      <x:c r="G1730" s="11" t="n">
        <x:v>2</x:v>
      </x:c>
      <x:c r="H1730" s="11" t="n">
        <x:v>0</x:v>
      </x:c>
      <x:c r="I1730" s="17" t="n">
        <x:f>INDEX('Costing'!$P$9:$P$492,MATCH(D1730,'Costing'!$A$9:$A$492,0))</x:f>
        <x:v>80000</x:v>
      </x:c>
      <x:c r="J1730" s="17" t="n">
        <x:f>ROUND(I1730*'Costing'!$C$4,2)</x:f>
        <x:v>14400</x:v>
      </x:c>
      <x:c r="K1730" s="17" t="n">
        <x:f>I1730+J1730</x:f>
        <x:v>94400</x:v>
      </x:c>
    </x:row>
    <x:row r="1731" ht="46" customHeight="1">
      <x:c r="A1731" s="2" t="str">
        <x:v>Sector</x:v>
      </x:c>
      <x:c r="B1731" s="2" t="str">
        <x:v>IT &amp; digital</x:v>
      </x:c>
      <x:c r="C1731" s="12" t="str">
        <x:v>Delhi NCR</x:v>
      </x:c>
      <x:c r="D1731" s="12" t="str">
        <x:v>MAIN-375</x:v>
      </x:c>
      <x:c r="E1731" s="12" t="str">
        <x:v>Logix Infotech Park</x:v>
      </x:c>
      <x:c r="F1731" s="11" t="n">
        <x:v>4</x:v>
      </x:c>
      <x:c r="G1731" s="11" t="n">
        <x:v>4</x:v>
      </x:c>
      <x:c r="H1731" s="11" t="n">
        <x:v>0</x:v>
      </x:c>
      <x:c r="I1731" s="17" t="n">
        <x:f>INDEX('Costing'!$P$9:$P$492,MATCH(D1731,'Costing'!$A$9:$A$492,0))</x:f>
        <x:v>60000</x:v>
      </x:c>
      <x:c r="J1731" s="17" t="n">
        <x:f>ROUND(I1731*'Costing'!$C$4,2)</x:f>
        <x:v>10800</x:v>
      </x:c>
      <x:c r="K1731" s="17" t="n">
        <x:f>I1731+J1731</x:f>
        <x:v>70800</x:v>
      </x:c>
    </x:row>
    <x:row r="1732" ht="46" customHeight="1">
      <x:c r="A1732" s="2" t="str">
        <x:v>Sector</x:v>
      </x:c>
      <x:c r="B1732" s="2" t="str">
        <x:v>IT &amp; digital</x:v>
      </x:c>
      <x:c r="C1732" s="12" t="str">
        <x:v>Delhi NCR</x:v>
      </x:c>
      <x:c r="D1732" s="12" t="str">
        <x:v>MAIN-199</x:v>
      </x:c>
      <x:c r="E1732" s="12" t="str">
        <x:v>Satya The Hive</x:v>
      </x:c>
      <x:c r="F1732" s="11" t="n">
        <x:v>1</x:v>
      </x:c>
      <x:c r="G1732" s="11" t="n">
        <x:v>1</x:v>
      </x:c>
      <x:c r="H1732" s="11" t="n">
        <x:v>0</x:v>
      </x:c>
      <x:c r="I1732" s="17" t="n">
        <x:f>INDEX('Costing'!$P$9:$P$492,MATCH(D1732,'Costing'!$A$9:$A$492,0))</x:f>
        <x:v>40000</x:v>
      </x:c>
      <x:c r="J1732" s="17" t="n">
        <x:f>ROUND(I1732*'Costing'!$C$4,2)</x:f>
        <x:v>7200</x:v>
      </x:c>
      <x:c r="K1732" s="17" t="n">
        <x:f>I1732+J1732</x:f>
        <x:v>47200</x:v>
      </x:c>
    </x:row>
    <x:row r="1733" ht="46" customHeight="1">
      <x:c r="A1733" s="2" t="str">
        <x:v>Sector</x:v>
      </x:c>
      <x:c r="B1733" s="2" t="str">
        <x:v>IT &amp; digital</x:v>
      </x:c>
      <x:c r="C1733" s="12" t="str">
        <x:v>Delhi NCR</x:v>
      </x:c>
      <x:c r="D1733" s="12" t="str">
        <x:v>MAIN-200</x:v>
      </x:c>
      <x:c r="E1733" s="12" t="str">
        <x:v>Satya The Hive {IE}</x:v>
      </x:c>
      <x:c r="F1733" s="11" t="n">
        <x:v>7</x:v>
      </x:c>
      <x:c r="G1733" s="11" t="n">
        <x:v>7</x:v>
      </x:c>
      <x:c r="H1733" s="11" t="n">
        <x:v>0</x:v>
      </x:c>
      <x:c r="I1733" s="17" t="n">
        <x:f>INDEX('Costing'!$P$9:$P$492,MATCH(D1733,'Costing'!$A$9:$A$492,0))</x:f>
        <x:v>105000</x:v>
      </x:c>
      <x:c r="J1733" s="17" t="n">
        <x:f>ROUND(I1733*'Costing'!$C$4,2)</x:f>
        <x:v>18900</x:v>
      </x:c>
      <x:c r="K1733" s="17" t="n">
        <x:f>I1733+J1733</x:f>
        <x:v>123900</x:v>
      </x:c>
    </x:row>
    <x:row r="1734" ht="46" customHeight="1">
      <x:c r="A1734" s="2" t="str">
        <x:v>Sector</x:v>
      </x:c>
      <x:c r="B1734" s="2" t="str">
        <x:v>IT &amp; digital</x:v>
      </x:c>
      <x:c r="C1734" s="12" t="str">
        <x:v>Delhi NCR</x:v>
      </x:c>
      <x:c r="D1734" s="12" t="str">
        <x:v>MAIN-204</x:v>
      </x:c>
      <x:c r="E1734" s="12" t="str">
        <x:v>Unitech - Cyber Park</x:v>
      </x:c>
      <x:c r="F1734" s="11" t="n">
        <x:v>4</x:v>
      </x:c>
      <x:c r="G1734" s="11" t="n">
        <x:v>4</x:v>
      </x:c>
      <x:c r="H1734" s="11" t="n">
        <x:v>0</x:v>
      </x:c>
      <x:c r="I1734" s="17" t="n">
        <x:f>INDEX('Costing'!$P$9:$P$492,MATCH(D1734,'Costing'!$A$9:$A$492,0))</x:f>
        <x:v>160000</x:v>
      </x:c>
      <x:c r="J1734" s="17" t="n">
        <x:f>ROUND(I1734*'Costing'!$C$4,2)</x:f>
        <x:v>28800</x:v>
      </x:c>
      <x:c r="K1734" s="17" t="n">
        <x:f>I1734+J1734</x:f>
        <x:v>188800</x:v>
      </x:c>
    </x:row>
    <x:row r="1735" ht="46" customHeight="1">
      <x:c r="A1735" s="2" t="str">
        <x:v>Sector</x:v>
      </x:c>
      <x:c r="B1735" s="2" t="str">
        <x:v>IT &amp; digital</x:v>
      </x:c>
      <x:c r="C1735" s="12" t="str">
        <x:v>Delhi NCR</x:v>
      </x:c>
      <x:c r="D1735" s="12" t="str">
        <x:v>MAIN-208</x:v>
      </x:c>
      <x:c r="E1735" s="12" t="str">
        <x:v>Unitech - Trade Center</x:v>
      </x:c>
      <x:c r="F1735" s="11" t="n">
        <x:v>1</x:v>
      </x:c>
      <x:c r="G1735" s="11" t="n">
        <x:v>1</x:v>
      </x:c>
      <x:c r="H1735" s="11" t="n">
        <x:v>0</x:v>
      </x:c>
      <x:c r="I1735" s="17" t="n">
        <x:f>INDEX('Costing'!$P$9:$P$492,MATCH(D1735,'Costing'!$A$9:$A$492,0))</x:f>
        <x:v>40000</x:v>
      </x:c>
      <x:c r="J1735" s="17" t="n">
        <x:f>ROUND(I1735*'Costing'!$C$4,2)</x:f>
        <x:v>7200</x:v>
      </x:c>
      <x:c r="K1735" s="17" t="n">
        <x:f>I1735+J1735</x:f>
        <x:v>47200</x:v>
      </x:c>
    </x:row>
    <x:row r="1736" ht="46" customHeight="1">
      <x:c r="A1736" s="2" t="str">
        <x:v>Sector</x:v>
      </x:c>
      <x:c r="B1736" s="2" t="str">
        <x:v>IT &amp; digital</x:v>
      </x:c>
      <x:c r="C1736" s="12" t="str">
        <x:v>Delhi NCR</x:v>
      </x:c>
      <x:c r="D1736" s="12" t="str">
        <x:v>MAIN-212</x:v>
      </x:c>
      <x:c r="E1736" s="12" t="str">
        <x:v>Workflow by Oyo - Golf Course Road</x:v>
      </x:c>
      <x:c r="F1736" s="11" t="n">
        <x:v>2</x:v>
      </x:c>
      <x:c r="G1736" s="11" t="n">
        <x:v>2</x:v>
      </x:c>
      <x:c r="H1736" s="11" t="n">
        <x:v>0</x:v>
      </x:c>
      <x:c r="I1736" s="17" t="n">
        <x:f>INDEX('Costing'!$P$9:$P$492,MATCH(D1736,'Costing'!$A$9:$A$492,0))</x:f>
        <x:v>30000</x:v>
      </x:c>
      <x:c r="J1736" s="17" t="n">
        <x:f>ROUND(I1736*'Costing'!$C$4,2)</x:f>
        <x:v>5400</x:v>
      </x:c>
      <x:c r="K1736" s="17" t="n">
        <x:f>I1736+J1736</x:f>
        <x:v>35400</x:v>
      </x:c>
    </x:row>
    <x:row r="1737" ht="46" customHeight="1">
      <x:c r="A1737" s="2" t="str">
        <x:v>Sector</x:v>
      </x:c>
      <x:c r="B1737" s="2" t="str">
        <x:v>IT &amp; digital</x:v>
      </x:c>
      <x:c r="C1737" s="12" t="str">
        <x:v>Hyderabad</x:v>
      </x:c>
      <x:c r="D1737" s="12" t="str">
        <x:v>MAIN-215</x:v>
      </x:c>
      <x:c r="E1737" s="12" t="str">
        <x:v>Awfis - B144Lorven Tiara</x:v>
      </x:c>
      <x:c r="F1737" s="11" t="n">
        <x:v>8</x:v>
      </x:c>
      <x:c r="G1737" s="11" t="n">
        <x:v>8</x:v>
      </x:c>
      <x:c r="H1737" s="11" t="n">
        <x:v>0</x:v>
      </x:c>
      <x:c r="I1737" s="17" t="n">
        <x:f>INDEX('Costing'!$P$9:$P$492,MATCH(D1737,'Costing'!$A$9:$A$492,0))</x:f>
        <x:v>120000</x:v>
      </x:c>
      <x:c r="J1737" s="17" t="n">
        <x:f>ROUND(I1737*'Costing'!$C$4,2)</x:f>
        <x:v>21600</x:v>
      </x:c>
      <x:c r="K1737" s="17" t="n">
        <x:f>I1737+J1737</x:f>
        <x:v>141600</x:v>
      </x:c>
    </x:row>
    <x:row r="1738" ht="46" customHeight="1">
      <x:c r="A1738" s="2" t="str">
        <x:v>Sector</x:v>
      </x:c>
      <x:c r="B1738" s="2" t="str">
        <x:v>IT &amp; digital</x:v>
      </x:c>
      <x:c r="C1738" s="12" t="str">
        <x:v>Hyderabad</x:v>
      </x:c>
      <x:c r="D1738" s="12" t="str">
        <x:v>MAIN-216</x:v>
      </x:c>
      <x:c r="E1738" s="12" t="str">
        <x:v>Awfis - DSL Abacus IT Park</x:v>
      </x:c>
      <x:c r="F1738" s="11" t="n">
        <x:v>2</x:v>
      </x:c>
      <x:c r="G1738" s="11" t="n">
        <x:v>2</x:v>
      </x:c>
      <x:c r="H1738" s="11" t="n">
        <x:v>0</x:v>
      </x:c>
      <x:c r="I1738" s="17" t="n">
        <x:f>INDEX('Costing'!$P$9:$P$492,MATCH(D1738,'Costing'!$A$9:$A$492,0))</x:f>
        <x:v>30000</x:v>
      </x:c>
      <x:c r="J1738" s="17" t="n">
        <x:f>ROUND(I1738*'Costing'!$C$4,2)</x:f>
        <x:v>5400</x:v>
      </x:c>
      <x:c r="K1738" s="17" t="n">
        <x:f>I1738+J1738</x:f>
        <x:v>35400</x:v>
      </x:c>
    </x:row>
    <x:row r="1739" ht="46" customHeight="1">
      <x:c r="A1739" s="2" t="str">
        <x:v>Sector</x:v>
      </x:c>
      <x:c r="B1739" s="2" t="str">
        <x:v>IT &amp; digital</x:v>
      </x:c>
      <x:c r="C1739" s="12" t="str">
        <x:v>Hyderabad</x:v>
      </x:c>
      <x:c r="D1739" s="12" t="str">
        <x:v>MAIN-217</x:v>
      </x:c>
      <x:c r="E1739" s="12" t="str">
        <x:v>Awfis - Hitech City 1st</x:v>
      </x:c>
      <x:c r="F1739" s="11" t="n">
        <x:v>3</x:v>
      </x:c>
      <x:c r="G1739" s="11" t="n">
        <x:v>3</x:v>
      </x:c>
      <x:c r="H1739" s="11" t="n">
        <x:v>0</x:v>
      </x:c>
      <x:c r="I1739" s="17" t="n">
        <x:f>INDEX('Costing'!$P$9:$P$492,MATCH(D1739,'Costing'!$A$9:$A$492,0))</x:f>
        <x:v>45000</x:v>
      </x:c>
      <x:c r="J1739" s="17" t="n">
        <x:f>ROUND(I1739*'Costing'!$C$4,2)</x:f>
        <x:v>8100</x:v>
      </x:c>
      <x:c r="K1739" s="17" t="n">
        <x:f>I1739+J1739</x:f>
        <x:v>53100</x:v>
      </x:c>
    </x:row>
    <x:row r="1740" ht="46" customHeight="1">
      <x:c r="A1740" s="2" t="str">
        <x:v>Sector</x:v>
      </x:c>
      <x:c r="B1740" s="2" t="str">
        <x:v>IT &amp; digital</x:v>
      </x:c>
      <x:c r="C1740" s="12" t="str">
        <x:v>Hyderabad</x:v>
      </x:c>
      <x:c r="D1740" s="12" t="str">
        <x:v>MAIN-219</x:v>
      </x:c>
      <x:c r="E1740" s="12" t="str">
        <x:v>Awfis - Hitech City 6th</x:v>
      </x:c>
      <x:c r="F1740" s="11" t="n">
        <x:v>2</x:v>
      </x:c>
      <x:c r="G1740" s="11" t="n">
        <x:v>2</x:v>
      </x:c>
      <x:c r="H1740" s="11" t="n">
        <x:v>0</x:v>
      </x:c>
      <x:c r="I1740" s="17" t="n">
        <x:f>INDEX('Costing'!$P$9:$P$492,MATCH(D1740,'Costing'!$A$9:$A$492,0))</x:f>
        <x:v>30000</x:v>
      </x:c>
      <x:c r="J1740" s="17" t="n">
        <x:f>ROUND(I1740*'Costing'!$C$4,2)</x:f>
        <x:v>5400</x:v>
      </x:c>
      <x:c r="K1740" s="17" t="n">
        <x:f>I1740+J1740</x:f>
        <x:v>35400</x:v>
      </x:c>
    </x:row>
    <x:row r="1741" ht="46" customHeight="1">
      <x:c r="A1741" s="2" t="str">
        <x:v>Sector</x:v>
      </x:c>
      <x:c r="B1741" s="2" t="str">
        <x:v>IT &amp; digital</x:v>
      </x:c>
      <x:c r="C1741" s="12" t="str">
        <x:v>Hyderabad</x:v>
      </x:c>
      <x:c r="D1741" s="12" t="str">
        <x:v>MAIN-223</x:v>
      </x:c>
      <x:c r="E1741" s="12" t="str">
        <x:v>Awfis - Prestige Skytech</x:v>
      </x:c>
      <x:c r="F1741" s="11" t="n">
        <x:v>2</x:v>
      </x:c>
      <x:c r="G1741" s="11" t="n">
        <x:v>2</x:v>
      </x:c>
      <x:c r="H1741" s="11" t="n">
        <x:v>0</x:v>
      </x:c>
      <x:c r="I1741" s="17" t="n">
        <x:f>INDEX('Costing'!$P$9:$P$492,MATCH(D1741,'Costing'!$A$9:$A$492,0))</x:f>
        <x:v>30000</x:v>
      </x:c>
      <x:c r="J1741" s="17" t="n">
        <x:f>ROUND(I1741*'Costing'!$C$4,2)</x:f>
        <x:v>5400</x:v>
      </x:c>
      <x:c r="K1741" s="17" t="n">
        <x:f>I1741+J1741</x:f>
        <x:v>35400</x:v>
      </x:c>
    </x:row>
    <x:row r="1742" ht="46" customHeight="1">
      <x:c r="A1742" s="2" t="str">
        <x:v>Sector</x:v>
      </x:c>
      <x:c r="B1742" s="2" t="str">
        <x:v>IT &amp; digital</x:v>
      </x:c>
      <x:c r="C1742" s="12" t="str">
        <x:v>Hyderabad</x:v>
      </x:c>
      <x:c r="D1742" s="12" t="str">
        <x:v>MAIN-224</x:v>
      </x:c>
      <x:c r="E1742" s="12" t="str">
        <x:v>Awfis - Rajapushpa Summit</x:v>
      </x:c>
      <x:c r="F1742" s="11" t="n">
        <x:v>3</x:v>
      </x:c>
      <x:c r="G1742" s="11" t="n">
        <x:v>3</x:v>
      </x:c>
      <x:c r="H1742" s="11" t="n">
        <x:v>0</x:v>
      </x:c>
      <x:c r="I1742" s="17" t="n">
        <x:f>INDEX('Costing'!$P$9:$P$492,MATCH(D1742,'Costing'!$A$9:$A$492,0))</x:f>
        <x:v>45000</x:v>
      </x:c>
      <x:c r="J1742" s="17" t="n">
        <x:f>ROUND(I1742*'Costing'!$C$4,2)</x:f>
        <x:v>8100</x:v>
      </x:c>
      <x:c r="K1742" s="17" t="n">
        <x:f>I1742+J1742</x:f>
        <x:v>53100</x:v>
      </x:c>
    </x:row>
    <x:row r="1743" ht="46" customHeight="1">
      <x:c r="A1743" s="2" t="str">
        <x:v>Sector</x:v>
      </x:c>
      <x:c r="B1743" s="2" t="str">
        <x:v>IT &amp; digital</x:v>
      </x:c>
      <x:c r="C1743" s="12" t="str">
        <x:v>Hyderabad</x:v>
      </x:c>
      <x:c r="D1743" s="12" t="str">
        <x:v>MAIN-225</x:v>
      </x:c>
      <x:c r="E1743" s="12" t="str">
        <x:v>Awfis - Vasavi MPM Mall</x:v>
      </x:c>
      <x:c r="F1743" s="11" t="n">
        <x:v>2</x:v>
      </x:c>
      <x:c r="G1743" s="11" t="n">
        <x:v>2</x:v>
      </x:c>
      <x:c r="H1743" s="11" t="n">
        <x:v>0</x:v>
      </x:c>
      <x:c r="I1743" s="17" t="n">
        <x:f>INDEX('Costing'!$P$9:$P$492,MATCH(D1743,'Costing'!$A$9:$A$492,0))</x:f>
        <x:v>30000</x:v>
      </x:c>
      <x:c r="J1743" s="17" t="n">
        <x:f>ROUND(I1743*'Costing'!$C$4,2)</x:f>
        <x:v>5400</x:v>
      </x:c>
      <x:c r="K1743" s="17" t="n">
        <x:f>I1743+J1743</x:f>
        <x:v>35400</x:v>
      </x:c>
    </x:row>
    <x:row r="1744" ht="46" customHeight="1">
      <x:c r="A1744" s="2" t="str">
        <x:v>Sector</x:v>
      </x:c>
      <x:c r="B1744" s="2" t="str">
        <x:v>IT &amp; digital</x:v>
      </x:c>
      <x:c r="C1744" s="12" t="str">
        <x:v>Hyderabad</x:v>
      </x:c>
      <x:c r="D1744" s="12" t="str">
        <x:v>MAIN-226</x:v>
      </x:c>
      <x:c r="E1744" s="12" t="str">
        <x:v>CIE Office Space</x:v>
      </x:c>
      <x:c r="F1744" s="11" t="n">
        <x:v>4</x:v>
      </x:c>
      <x:c r="G1744" s="11" t="n">
        <x:v>4</x:v>
      </x:c>
      <x:c r="H1744" s="11" t="n">
        <x:v>0</x:v>
      </x:c>
      <x:c r="I1744" s="17" t="n">
        <x:f>INDEX('Costing'!$P$9:$P$492,MATCH(D1744,'Costing'!$A$9:$A$492,0))</x:f>
        <x:v>60000</x:v>
      </x:c>
      <x:c r="J1744" s="17" t="n">
        <x:f>ROUND(I1744*'Costing'!$C$4,2)</x:f>
        <x:v>10800</x:v>
      </x:c>
      <x:c r="K1744" s="17" t="n">
        <x:f>I1744+J1744</x:f>
        <x:v>70800</x:v>
      </x:c>
    </x:row>
    <x:row r="1745" ht="46" customHeight="1">
      <x:c r="A1745" s="2" t="str">
        <x:v>Sector</x:v>
      </x:c>
      <x:c r="B1745" s="2" t="str">
        <x:v>IT &amp; digital</x:v>
      </x:c>
      <x:c r="C1745" s="12" t="str">
        <x:v>Hyderabad</x:v>
      </x:c>
      <x:c r="D1745" s="12" t="str">
        <x:v>MAIN-232</x:v>
      </x:c>
      <x:c r="E1745" s="12" t="str">
        <x:v>GAR Laxmi Infobahn (T1, T2){IE}</x:v>
      </x:c>
      <x:c r="F1745" s="11" t="n">
        <x:v>21</x:v>
      </x:c>
      <x:c r="G1745" s="11" t="n">
        <x:v>21</x:v>
      </x:c>
      <x:c r="H1745" s="11" t="n">
        <x:v>0</x:v>
      </x:c>
      <x:c r="I1745" s="17" t="n">
        <x:f>INDEX('Costing'!$P$9:$P$492,MATCH(D1745,'Costing'!$A$9:$A$492,0))</x:f>
        <x:v>315000</x:v>
      </x:c>
      <x:c r="J1745" s="17" t="n">
        <x:f>ROUND(I1745*'Costing'!$C$4,2)</x:f>
        <x:v>56700</x:v>
      </x:c>
      <x:c r="K1745" s="17" t="n">
        <x:f>I1745+J1745</x:f>
        <x:v>371700</x:v>
      </x:c>
    </x:row>
    <x:row r="1746" ht="46" customHeight="1">
      <x:c r="A1746" s="2" t="str">
        <x:v>Sector</x:v>
      </x:c>
      <x:c r="B1746" s="2" t="str">
        <x:v>IT &amp; digital</x:v>
      </x:c>
      <x:c r="C1746" s="12" t="str">
        <x:v>Hyderabad</x:v>
      </x:c>
      <x:c r="D1746" s="12" t="str">
        <x:v>MAIN-234</x:v>
      </x:c>
      <x:c r="E1746" s="12" t="str">
        <x:v>GAR Laxmi Infobahn (T3, T4) {IE}</x:v>
      </x:c>
      <x:c r="F1746" s="11" t="n">
        <x:v>16</x:v>
      </x:c>
      <x:c r="G1746" s="11" t="n">
        <x:v>16</x:v>
      </x:c>
      <x:c r="H1746" s="11" t="n">
        <x:v>0</x:v>
      </x:c>
      <x:c r="I1746" s="17" t="n">
        <x:f>INDEX('Costing'!$P$9:$P$492,MATCH(D1746,'Costing'!$A$9:$A$492,0))</x:f>
        <x:v>240000</x:v>
      </x:c>
      <x:c r="J1746" s="17" t="n">
        <x:f>ROUND(I1746*'Costing'!$C$4,2)</x:f>
        <x:v>43200</x:v>
      </x:c>
      <x:c r="K1746" s="17" t="n">
        <x:f>I1746+J1746</x:f>
        <x:v>283200</x:v>
      </x:c>
    </x:row>
    <x:row r="1747" ht="46" customHeight="1">
      <x:c r="A1747" s="2" t="str">
        <x:v>Sector</x:v>
      </x:c>
      <x:c r="B1747" s="2" t="str">
        <x:v>IT &amp; digital</x:v>
      </x:c>
      <x:c r="C1747" s="12" t="str">
        <x:v>Hyderabad</x:v>
      </x:c>
      <x:c r="D1747" s="12" t="str">
        <x:v>MAIN-235</x:v>
      </x:c>
      <x:c r="E1747" s="12" t="str">
        <x:v>GAR Laxmi Infobahn (T5, T6)</x:v>
      </x:c>
      <x:c r="F1747" s="11" t="n">
        <x:v>9</x:v>
      </x:c>
      <x:c r="G1747" s="11" t="n">
        <x:v>9</x:v>
      </x:c>
      <x:c r="H1747" s="11" t="n">
        <x:v>0</x:v>
      </x:c>
      <x:c r="I1747" s="17" t="n">
        <x:f>INDEX('Costing'!$P$9:$P$492,MATCH(D1747,'Costing'!$A$9:$A$492,0))</x:f>
        <x:v>360000</x:v>
      </x:c>
      <x:c r="J1747" s="17" t="n">
        <x:f>ROUND(I1747*'Costing'!$C$4,2)</x:f>
        <x:v>64800</x:v>
      </x:c>
      <x:c r="K1747" s="17" t="n">
        <x:f>I1747+J1747</x:f>
        <x:v>424800</x:v>
      </x:c>
    </x:row>
    <x:row r="1748" ht="46" customHeight="1">
      <x:c r="A1748" s="2" t="str">
        <x:v>Sector</x:v>
      </x:c>
      <x:c r="B1748" s="2" t="str">
        <x:v>IT &amp; digital</x:v>
      </x:c>
      <x:c r="C1748" s="12" t="str">
        <x:v>Hyderabad</x:v>
      </x:c>
      <x:c r="D1748" s="12" t="str">
        <x:v>MAIN-236</x:v>
      </x:c>
      <x:c r="E1748" s="12" t="str">
        <x:v>GAR Laxmi Infobahn (T5, T6){IE}</x:v>
      </x:c>
      <x:c r="F1748" s="11" t="n">
        <x:v>27</x:v>
      </x:c>
      <x:c r="G1748" s="11" t="n">
        <x:v>27</x:v>
      </x:c>
      <x:c r="H1748" s="11" t="n">
        <x:v>0</x:v>
      </x:c>
      <x:c r="I1748" s="17" t="n">
        <x:f>INDEX('Costing'!$P$9:$P$492,MATCH(D1748,'Costing'!$A$9:$A$492,0))</x:f>
        <x:v>405000</x:v>
      </x:c>
      <x:c r="J1748" s="17" t="n">
        <x:f>ROUND(I1748*'Costing'!$C$4,2)</x:f>
        <x:v>72900</x:v>
      </x:c>
      <x:c r="K1748" s="17" t="n">
        <x:f>I1748+J1748</x:f>
        <x:v>477900</x:v>
      </x:c>
    </x:row>
    <x:row r="1749" ht="46" customHeight="1">
      <x:c r="A1749" s="2" t="str">
        <x:v>Sector</x:v>
      </x:c>
      <x:c r="B1749" s="2" t="str">
        <x:v>IT &amp; digital</x:v>
      </x:c>
      <x:c r="C1749" s="12" t="str">
        <x:v>Hyderabad</x:v>
      </x:c>
      <x:c r="D1749" s="12" t="str">
        <x:v>MAIN-237</x:v>
      </x:c>
      <x:c r="E1749" s="12" t="str">
        <x:v>Meenakshi Tech Park</x:v>
      </x:c>
      <x:c r="F1749" s="11" t="n">
        <x:v>2</x:v>
      </x:c>
      <x:c r="G1749" s="11" t="n">
        <x:v>2</x:v>
      </x:c>
      <x:c r="H1749" s="11" t="n">
        <x:v>0</x:v>
      </x:c>
      <x:c r="I1749" s="17" t="n">
        <x:f>INDEX('Costing'!$P$9:$P$492,MATCH(D1749,'Costing'!$A$9:$A$492,0))</x:f>
        <x:v>80000</x:v>
      </x:c>
      <x:c r="J1749" s="17" t="n">
        <x:f>ROUND(I1749*'Costing'!$C$4,2)</x:f>
        <x:v>14400</x:v>
      </x:c>
      <x:c r="K1749" s="17" t="n">
        <x:f>I1749+J1749</x:f>
        <x:v>94400</x:v>
      </x:c>
    </x:row>
    <x:row r="1750" ht="46" customHeight="1">
      <x:c r="A1750" s="2" t="str">
        <x:v>Sector</x:v>
      </x:c>
      <x:c r="B1750" s="2" t="str">
        <x:v>IT &amp; digital</x:v>
      </x:c>
      <x:c r="C1750" s="12" t="str">
        <x:v>Hyderabad</x:v>
      </x:c>
      <x:c r="D1750" s="12" t="str">
        <x:v>MAIN-238</x:v>
      </x:c>
      <x:c r="E1750" s="12" t="str">
        <x:v>Meenakshi Tech Park {IE}</x:v>
      </x:c>
      <x:c r="F1750" s="11" t="n">
        <x:v>11</x:v>
      </x:c>
      <x:c r="G1750" s="11" t="n">
        <x:v>11</x:v>
      </x:c>
      <x:c r="H1750" s="11" t="n">
        <x:v>0</x:v>
      </x:c>
      <x:c r="I1750" s="17" t="n">
        <x:f>INDEX('Costing'!$P$9:$P$492,MATCH(D1750,'Costing'!$A$9:$A$492,0))</x:f>
        <x:v>165000</x:v>
      </x:c>
      <x:c r="J1750" s="17" t="n">
        <x:f>ROUND(I1750*'Costing'!$C$4,2)</x:f>
        <x:v>29700</x:v>
      </x:c>
      <x:c r="K1750" s="17" t="n">
        <x:f>I1750+J1750</x:f>
        <x:v>194700</x:v>
      </x:c>
    </x:row>
    <x:row r="1751" ht="46" customHeight="1">
      <x:c r="A1751" s="2" t="str">
        <x:v>Sector</x:v>
      </x:c>
      <x:c r="B1751" s="2" t="str">
        <x:v>IT &amp; digital</x:v>
      </x:c>
      <x:c r="C1751" s="12" t="str">
        <x:v>Hyderabad</x:v>
      </x:c>
      <x:c r="D1751" s="12" t="str">
        <x:v>MAIN-239</x:v>
      </x:c>
      <x:c r="E1751" s="12" t="str">
        <x:v>Meenakshi Tech Park-43 Inch Pods</x:v>
      </x:c>
      <x:c r="F1751" s="11" t="n">
        <x:v>12</x:v>
      </x:c>
      <x:c r="G1751" s="11" t="n">
        <x:v>12</x:v>
      </x:c>
      <x:c r="H1751" s="11" t="n">
        <x:v>0</x:v>
      </x:c>
      <x:c r="I1751" s="17" t="n">
        <x:f>INDEX('Costing'!$P$9:$P$492,MATCH(D1751,'Costing'!$A$9:$A$492,0))</x:f>
        <x:v>240000</x:v>
      </x:c>
      <x:c r="J1751" s="17" t="n">
        <x:f>ROUND(I1751*'Costing'!$C$4,2)</x:f>
        <x:v>43200</x:v>
      </x:c>
      <x:c r="K1751" s="17" t="n">
        <x:f>I1751+J1751</x:f>
        <x:v>283200</x:v>
      </x:c>
    </x:row>
    <x:row r="1752" ht="46" customHeight="1">
      <x:c r="A1752" s="2" t="str">
        <x:v>Sector</x:v>
      </x:c>
      <x:c r="B1752" s="2" t="str">
        <x:v>IT &amp; digital</x:v>
      </x:c>
      <x:c r="C1752" s="12" t="str">
        <x:v>Hyderabad</x:v>
      </x:c>
      <x:c r="D1752" s="12" t="str">
        <x:v>MAIN-240</x:v>
      </x:c>
      <x:c r="E1752" s="12" t="str">
        <x:v>NSL Arena Tech Park</x:v>
      </x:c>
      <x:c r="F1752" s="11" t="n">
        <x:v>13</x:v>
      </x:c>
      <x:c r="G1752" s="11" t="n">
        <x:v>13</x:v>
      </x:c>
      <x:c r="H1752" s="11" t="n">
        <x:v>0</x:v>
      </x:c>
      <x:c r="I1752" s="17" t="n">
        <x:f>INDEX('Costing'!$P$9:$P$492,MATCH(D1752,'Costing'!$A$9:$A$492,0))</x:f>
        <x:v>195000</x:v>
      </x:c>
      <x:c r="J1752" s="17" t="n">
        <x:f>ROUND(I1752*'Costing'!$C$4,2)</x:f>
        <x:v>35100</x:v>
      </x:c>
      <x:c r="K1752" s="17" t="n">
        <x:f>I1752+J1752</x:f>
        <x:v>230100</x:v>
      </x:c>
    </x:row>
    <x:row r="1753" ht="46" customHeight="1">
      <x:c r="A1753" s="2" t="str">
        <x:v>Sector</x:v>
      </x:c>
      <x:c r="B1753" s="2" t="str">
        <x:v>IT &amp; digital</x:v>
      </x:c>
      <x:c r="C1753" s="12" t="str">
        <x:v>Hyderabad</x:v>
      </x:c>
      <x:c r="D1753" s="12" t="str">
        <x:v>MAIN-242</x:v>
      </x:c>
      <x:c r="E1753" s="12" t="str">
        <x:v>NSL Centrum Mall</x:v>
      </x:c>
      <x:c r="F1753" s="11" t="n">
        <x:v>2</x:v>
      </x:c>
      <x:c r="G1753" s="11" t="n">
        <x:v>2</x:v>
      </x:c>
      <x:c r="H1753" s="11" t="n">
        <x:v>0</x:v>
      </x:c>
      <x:c r="I1753" s="17" t="n">
        <x:f>INDEX('Costing'!$P$9:$P$492,MATCH(D1753,'Costing'!$A$9:$A$492,0))</x:f>
        <x:v>30000</x:v>
      </x:c>
      <x:c r="J1753" s="17" t="n">
        <x:f>ROUND(I1753*'Costing'!$C$4,2)</x:f>
        <x:v>5400</x:v>
      </x:c>
      <x:c r="K1753" s="17" t="n">
        <x:f>I1753+J1753</x:f>
        <x:v>35400</x:v>
      </x:c>
    </x:row>
    <x:row r="1754" ht="46" customHeight="1">
      <x:c r="A1754" s="2" t="str">
        <x:v>Sector</x:v>
      </x:c>
      <x:c r="B1754" s="2" t="str">
        <x:v>IT &amp; digital</x:v>
      </x:c>
      <x:c r="C1754" s="12" t="str">
        <x:v>Hyderabad</x:v>
      </x:c>
      <x:c r="D1754" s="12" t="str">
        <x:v>MAIN-244</x:v>
      </x:c>
      <x:c r="E1754" s="12" t="str">
        <x:v>Oyo Workspace - Hitech</x:v>
      </x:c>
      <x:c r="F1754" s="11" t="n">
        <x:v>2</x:v>
      </x:c>
      <x:c r="G1754" s="11" t="n">
        <x:v>2</x:v>
      </x:c>
      <x:c r="H1754" s="11" t="n">
        <x:v>0</x:v>
      </x:c>
      <x:c r="I1754" s="17" t="n">
        <x:f>INDEX('Costing'!$P$9:$P$492,MATCH(D1754,'Costing'!$A$9:$A$492,0))</x:f>
        <x:v>30000</x:v>
      </x:c>
      <x:c r="J1754" s="17" t="n">
        <x:f>ROUND(I1754*'Costing'!$C$4,2)</x:f>
        <x:v>5400</x:v>
      </x:c>
      <x:c r="K1754" s="17" t="n">
        <x:f>I1754+J1754</x:f>
        <x:v>35400</x:v>
      </x:c>
    </x:row>
    <x:row r="1755" ht="46" customHeight="1">
      <x:c r="A1755" s="2" t="str">
        <x:v>Sector</x:v>
      </x:c>
      <x:c r="B1755" s="2" t="str">
        <x:v>IT &amp; digital</x:v>
      </x:c>
      <x:c r="C1755" s="12" t="str">
        <x:v>Hyderabad</x:v>
      </x:c>
      <x:c r="D1755" s="12" t="str">
        <x:v>MAIN-246</x:v>
      </x:c>
      <x:c r="E1755" s="12" t="str">
        <x:v>Purva Summit Tech Park</x:v>
      </x:c>
      <x:c r="F1755" s="11" t="n">
        <x:v>1</x:v>
      </x:c>
      <x:c r="G1755" s="11" t="n">
        <x:v>1</x:v>
      </x:c>
      <x:c r="H1755" s="11" t="n">
        <x:v>0</x:v>
      </x:c>
      <x:c r="I1755" s="17" t="n">
        <x:f>INDEX('Costing'!$P$9:$P$492,MATCH(D1755,'Costing'!$A$9:$A$492,0))</x:f>
        <x:v>20000</x:v>
      </x:c>
      <x:c r="J1755" s="17" t="n">
        <x:f>ROUND(I1755*'Costing'!$C$4,2)</x:f>
        <x:v>3600</x:v>
      </x:c>
      <x:c r="K1755" s="17" t="n">
        <x:f>I1755+J1755</x:f>
        <x:v>23600</x:v>
      </x:c>
    </x:row>
    <x:row r="1756" ht="46" customHeight="1">
      <x:c r="A1756" s="2" t="str">
        <x:v>Sector</x:v>
      </x:c>
      <x:c r="B1756" s="2" t="str">
        <x:v>IT &amp; digital</x:v>
      </x:c>
      <x:c r="C1756" s="12" t="str">
        <x:v>Hyderabad</x:v>
      </x:c>
      <x:c r="D1756" s="12" t="str">
        <x:v>MAIN-247</x:v>
      </x:c>
      <x:c r="E1756" s="12" t="str">
        <x:v>Quick Start - Cynosure Gachibowli</x:v>
      </x:c>
      <x:c r="F1756" s="11" t="n">
        <x:v>1</x:v>
      </x:c>
      <x:c r="G1756" s="11" t="n">
        <x:v>1</x:v>
      </x:c>
      <x:c r="H1756" s="11" t="n">
        <x:v>0</x:v>
      </x:c>
      <x:c r="I1756" s="17" t="n">
        <x:f>INDEX('Costing'!$P$9:$P$492,MATCH(D1756,'Costing'!$A$9:$A$492,0))</x:f>
        <x:v>15000</x:v>
      </x:c>
      <x:c r="J1756" s="17" t="n">
        <x:f>ROUND(I1756*'Costing'!$C$4,2)</x:f>
        <x:v>2700</x:v>
      </x:c>
      <x:c r="K1756" s="17" t="n">
        <x:f>I1756+J1756</x:f>
        <x:v>17700</x:v>
      </x:c>
    </x:row>
    <x:row r="1757" ht="46" customHeight="1">
      <x:c r="A1757" s="2" t="str">
        <x:v>Sector</x:v>
      </x:c>
      <x:c r="B1757" s="2" t="str">
        <x:v>IT &amp; digital</x:v>
      </x:c>
      <x:c r="C1757" s="12" t="str">
        <x:v>Hyderabad</x:v>
      </x:c>
      <x:c r="D1757" s="12" t="str">
        <x:v>MAIN-250</x:v>
      </x:c>
      <x:c r="E1757" s="12" t="str">
        <x:v>Raheja 2A (Redbrick Offices)</x:v>
      </x:c>
      <x:c r="F1757" s="11" t="n">
        <x:v>1</x:v>
      </x:c>
      <x:c r="G1757" s="11" t="n">
        <x:v>1</x:v>
      </x:c>
      <x:c r="H1757" s="11" t="n">
        <x:v>0</x:v>
      </x:c>
      <x:c r="I1757" s="17" t="n">
        <x:f>INDEX('Costing'!$P$9:$P$492,MATCH(D1757,'Costing'!$A$9:$A$492,0))</x:f>
        <x:v>15000</x:v>
      </x:c>
      <x:c r="J1757" s="17" t="n">
        <x:f>ROUND(I1757*'Costing'!$C$4,2)</x:f>
        <x:v>2700</x:v>
      </x:c>
      <x:c r="K1757" s="17" t="n">
        <x:f>I1757+J1757</x:f>
        <x:v>17700</x:v>
      </x:c>
    </x:row>
    <x:row r="1758" ht="46" customHeight="1">
      <x:c r="A1758" s="2" t="str">
        <x:v>Sector</x:v>
      </x:c>
      <x:c r="B1758" s="2" t="str">
        <x:v>IT &amp; digital</x:v>
      </x:c>
      <x:c r="C1758" s="12" t="str">
        <x:v>Hyderabad</x:v>
      </x:c>
      <x:c r="D1758" s="12" t="str">
        <x:v>MAIN-251</x:v>
      </x:c>
      <x:c r="E1758" s="12" t="str">
        <x:v>Raheja IT Park Tower 3</x:v>
      </x:c>
      <x:c r="F1758" s="11" t="n">
        <x:v>2</x:v>
      </x:c>
      <x:c r="G1758" s="11" t="n">
        <x:v>2</x:v>
      </x:c>
      <x:c r="H1758" s="11" t="n">
        <x:v>0</x:v>
      </x:c>
      <x:c r="I1758" s="17" t="n">
        <x:f>INDEX('Costing'!$P$9:$P$492,MATCH(D1758,'Costing'!$A$9:$A$492,0))</x:f>
        <x:v>40000</x:v>
      </x:c>
      <x:c r="J1758" s="17" t="n">
        <x:f>ROUND(I1758*'Costing'!$C$4,2)</x:f>
        <x:v>7200</x:v>
      </x:c>
      <x:c r="K1758" s="17" t="n">
        <x:f>I1758+J1758</x:f>
        <x:v>47200</x:v>
      </x:c>
    </x:row>
    <x:row r="1759" ht="46" customHeight="1">
      <x:c r="A1759" s="2" t="str">
        <x:v>Sector</x:v>
      </x:c>
      <x:c r="B1759" s="2" t="str">
        <x:v>IT &amp; digital</x:v>
      </x:c>
      <x:c r="C1759" s="12" t="str">
        <x:v>Hyderabad</x:v>
      </x:c>
      <x:c r="D1759" s="12" t="str">
        <x:v>MAIN-253</x:v>
      </x:c>
      <x:c r="E1759" s="12" t="str">
        <x:v>Raheja Mindspace IT Park - Madhapur</x:v>
      </x:c>
      <x:c r="F1759" s="11" t="n">
        <x:v>21</x:v>
      </x:c>
      <x:c r="G1759" s="11" t="n">
        <x:v>21</x:v>
      </x:c>
      <x:c r="H1759" s="11" t="n">
        <x:v>0</x:v>
      </x:c>
      <x:c r="I1759" s="17" t="n">
        <x:f>INDEX('Costing'!$P$9:$P$492,MATCH(D1759,'Costing'!$A$9:$A$492,0))</x:f>
        <x:v>840000</x:v>
      </x:c>
      <x:c r="J1759" s="17" t="n">
        <x:f>ROUND(I1759*'Costing'!$C$4,2)</x:f>
        <x:v>151200</x:v>
      </x:c>
      <x:c r="K1759" s="17" t="n">
        <x:f>I1759+J1759</x:f>
        <x:v>991200</x:v>
      </x:c>
    </x:row>
    <x:row r="1760" ht="46" customHeight="1">
      <x:c r="A1760" s="2" t="str">
        <x:v>Sector</x:v>
      </x:c>
      <x:c r="B1760" s="2" t="str">
        <x:v>IT &amp; digital</x:v>
      </x:c>
      <x:c r="C1760" s="12" t="str">
        <x:v>Hyderabad</x:v>
      </x:c>
      <x:c r="D1760" s="12" t="str">
        <x:v>MAIN-254</x:v>
      </x:c>
      <x:c r="E1760" s="12" t="str">
        <x:v>Sattva Octave (Redbrick Offices)</x:v>
      </x:c>
      <x:c r="F1760" s="11" t="n">
        <x:v>1</x:v>
      </x:c>
      <x:c r="G1760" s="11" t="n">
        <x:v>1</x:v>
      </x:c>
      <x:c r="H1760" s="11" t="n">
        <x:v>0</x:v>
      </x:c>
      <x:c r="I1760" s="17" t="n">
        <x:f>INDEX('Costing'!$P$9:$P$492,MATCH(D1760,'Costing'!$A$9:$A$492,0))</x:f>
        <x:v>15000</x:v>
      </x:c>
      <x:c r="J1760" s="17" t="n">
        <x:f>ROUND(I1760*'Costing'!$C$4,2)</x:f>
        <x:v>2700</x:v>
      </x:c>
      <x:c r="K1760" s="17" t="n">
        <x:f>I1760+J1760</x:f>
        <x:v>17700</x:v>
      </x:c>
    </x:row>
    <x:row r="1761" ht="46" customHeight="1">
      <x:c r="A1761" s="2" t="str">
        <x:v>Sector</x:v>
      </x:c>
      <x:c r="B1761" s="2" t="str">
        <x:v>IT &amp; digital</x:v>
      </x:c>
      <x:c r="C1761" s="12" t="str">
        <x:v>Hyderabad</x:v>
      </x:c>
      <x:c r="D1761" s="12" t="str">
        <x:v>MAIN-255</x:v>
      </x:c>
      <x:c r="E1761" s="12" t="str">
        <x:v>Sattva Orwell (Redbrick Offices)</x:v>
      </x:c>
      <x:c r="F1761" s="11" t="n">
        <x:v>3</x:v>
      </x:c>
      <x:c r="G1761" s="11" t="n">
        <x:v>3</x:v>
      </x:c>
      <x:c r="H1761" s="11" t="n">
        <x:v>0</x:v>
      </x:c>
      <x:c r="I1761" s="17" t="n">
        <x:f>INDEX('Costing'!$P$9:$P$492,MATCH(D1761,'Costing'!$A$9:$A$492,0))</x:f>
        <x:v>45000</x:v>
      </x:c>
      <x:c r="J1761" s="17" t="n">
        <x:f>ROUND(I1761*'Costing'!$C$4,2)</x:f>
        <x:v>8100</x:v>
      </x:c>
      <x:c r="K1761" s="17" t="n">
        <x:f>I1761+J1761</x:f>
        <x:v>53100</x:v>
      </x:c>
    </x:row>
    <x:row r="1762" ht="46" customHeight="1">
      <x:c r="A1762" s="2" t="str">
        <x:v>Sector</x:v>
      </x:c>
      <x:c r="B1762" s="2" t="str">
        <x:v>IT &amp; digital</x:v>
      </x:c>
      <x:c r="C1762" s="12" t="str">
        <x:v>Hyderabad</x:v>
      </x:c>
      <x:c r="D1762" s="12" t="str">
        <x:v>MAIN-256</x:v>
      </x:c>
      <x:c r="E1762" s="12" t="str">
        <x:v>Sohini Tech Park (TS)</x:v>
      </x:c>
      <x:c r="F1762" s="11" t="n">
        <x:v>2</x:v>
      </x:c>
      <x:c r="G1762" s="11" t="n">
        <x:v>2</x:v>
      </x:c>
      <x:c r="H1762" s="11" t="n">
        <x:v>0</x:v>
      </x:c>
      <x:c r="I1762" s="17" t="n">
        <x:f>INDEX('Costing'!$P$9:$P$492,MATCH(D1762,'Costing'!$A$9:$A$492,0))</x:f>
        <x:v>80000</x:v>
      </x:c>
      <x:c r="J1762" s="17" t="n">
        <x:f>ROUND(I1762*'Costing'!$C$4,2)</x:f>
        <x:v>14400</x:v>
      </x:c>
      <x:c r="K1762" s="17" t="n">
        <x:f>I1762+J1762</x:f>
        <x:v>94400</x:v>
      </x:c>
    </x:row>
    <x:row r="1763" ht="46" customHeight="1">
      <x:c r="A1763" s="2" t="str">
        <x:v>Sector</x:v>
      </x:c>
      <x:c r="B1763" s="2" t="str">
        <x:v>IT &amp; digital</x:v>
      </x:c>
      <x:c r="C1763" s="12" t="str">
        <x:v>Hyderabad</x:v>
      </x:c>
      <x:c r="D1763" s="12" t="str">
        <x:v>MAIN-257</x:v>
      </x:c>
      <x:c r="E1763" s="12" t="str">
        <x:v>Symbyont Smart Space Aurobindo Orbit</x:v>
      </x:c>
      <x:c r="F1763" s="11" t="n">
        <x:v>2</x:v>
      </x:c>
      <x:c r="G1763" s="11" t="n">
        <x:v>2</x:v>
      </x:c>
      <x:c r="H1763" s="11" t="n">
        <x:v>0</x:v>
      </x:c>
      <x:c r="I1763" s="17" t="n">
        <x:f>INDEX('Costing'!$P$9:$P$492,MATCH(D1763,'Costing'!$A$9:$A$492,0))</x:f>
        <x:v>40000</x:v>
      </x:c>
      <x:c r="J1763" s="17" t="n">
        <x:f>ROUND(I1763*'Costing'!$C$4,2)</x:f>
        <x:v>7200</x:v>
      </x:c>
      <x:c r="K1763" s="17" t="n">
        <x:f>I1763+J1763</x:f>
        <x:v>47200</x:v>
      </x:c>
    </x:row>
    <x:row r="1764" ht="46" customHeight="1">
      <x:c r="A1764" s="2" t="str">
        <x:v>Sector</x:v>
      </x:c>
      <x:c r="B1764" s="2" t="str">
        <x:v>IT &amp; digital</x:v>
      </x:c>
      <x:c r="C1764" s="12" t="str">
        <x:v>Hyderabad</x:v>
      </x:c>
      <x:c r="D1764" s="12" t="str">
        <x:v>MAIN-258</x:v>
      </x:c>
      <x:c r="E1764" s="12" t="str">
        <x:v>Symbyont Smart Space Dallas Centre</x:v>
      </x:c>
      <x:c r="F1764" s="11" t="n">
        <x:v>5</x:v>
      </x:c>
      <x:c r="G1764" s="11" t="n">
        <x:v>5</x:v>
      </x:c>
      <x:c r="H1764" s="11" t="n">
        <x:v>0</x:v>
      </x:c>
      <x:c r="I1764" s="17" t="n">
        <x:f>INDEX('Costing'!$P$9:$P$492,MATCH(D1764,'Costing'!$A$9:$A$492,0))</x:f>
        <x:v>200000</x:v>
      </x:c>
      <x:c r="J1764" s="17" t="n">
        <x:f>ROUND(I1764*'Costing'!$C$4,2)</x:f>
        <x:v>36000</x:v>
      </x:c>
      <x:c r="K1764" s="17" t="n">
        <x:f>I1764+J1764</x:f>
        <x:v>236000</x:v>
      </x:c>
    </x:row>
    <x:row r="1765" ht="46" customHeight="1">
      <x:c r="A1765" s="2" t="str">
        <x:v>Sector</x:v>
      </x:c>
      <x:c r="B1765" s="2" t="str">
        <x:v>IT &amp; digital</x:v>
      </x:c>
      <x:c r="C1765" s="12" t="str">
        <x:v>Hyderabad</x:v>
      </x:c>
      <x:c r="D1765" s="12" t="str">
        <x:v>MAIN-259</x:v>
      </x:c>
      <x:c r="E1765" s="12" t="str">
        <x:v>Symbyont Smart Space Rajapushpa Summit</x:v>
      </x:c>
      <x:c r="F1765" s="11" t="n">
        <x:v>1</x:v>
      </x:c>
      <x:c r="G1765" s="11" t="n">
        <x:v>1</x:v>
      </x:c>
      <x:c r="H1765" s="11" t="n">
        <x:v>0</x:v>
      </x:c>
      <x:c r="I1765" s="17" t="n">
        <x:f>INDEX('Costing'!$P$9:$P$492,MATCH(D1765,'Costing'!$A$9:$A$492,0))</x:f>
        <x:v>20000</x:v>
      </x:c>
      <x:c r="J1765" s="17" t="n">
        <x:f>ROUND(I1765*'Costing'!$C$4,2)</x:f>
        <x:v>3600</x:v>
      </x:c>
      <x:c r="K1765" s="17" t="n">
        <x:f>I1765+J1765</x:f>
        <x:v>23600</x:v>
      </x:c>
    </x:row>
    <x:row r="1766" ht="46" customHeight="1">
      <x:c r="A1766" s="2" t="str">
        <x:v>Sector</x:v>
      </x:c>
      <x:c r="B1766" s="2" t="str">
        <x:v>IT &amp; digital</x:v>
      </x:c>
      <x:c r="C1766" s="12" t="str">
        <x:v>Hyderabad</x:v>
      </x:c>
      <x:c r="D1766" s="12" t="str">
        <x:v>MAIN-260</x:v>
      </x:c>
      <x:c r="E1766" s="12" t="str">
        <x:v>T-Hub</x:v>
      </x:c>
      <x:c r="F1766" s="11" t="n">
        <x:v>22</x:v>
      </x:c>
      <x:c r="G1766" s="11" t="n">
        <x:v>22</x:v>
      </x:c>
      <x:c r="H1766" s="11" t="n">
        <x:v>0</x:v>
      </x:c>
      <x:c r="I1766" s="17" t="n">
        <x:f>INDEX('Costing'!$P$9:$P$492,MATCH(D1766,'Costing'!$A$9:$A$492,0))</x:f>
        <x:v>715000</x:v>
      </x:c>
      <x:c r="J1766" s="17" t="n">
        <x:f>ROUND(I1766*'Costing'!$C$4,2)</x:f>
        <x:v>128700</x:v>
      </x:c>
      <x:c r="K1766" s="17" t="n">
        <x:f>I1766+J1766</x:f>
        <x:v>843700</x:v>
      </x:c>
    </x:row>
    <x:row r="1767" ht="46" customHeight="1">
      <x:c r="A1767" s="2" t="str">
        <x:v>Sector</x:v>
      </x:c>
      <x:c r="B1767" s="2" t="str">
        <x:v>IT &amp; digital</x:v>
      </x:c>
      <x:c r="C1767" s="12" t="str">
        <x:v>Hyderabad</x:v>
      </x:c>
      <x:c r="D1767" s="12" t="str">
        <x:v>MAIN-261</x:v>
      </x:c>
      <x:c r="E1767" s="12" t="str">
        <x:v>Vasavi Sky city</x:v>
      </x:c>
      <x:c r="F1767" s="11" t="n">
        <x:v>10</x:v>
      </x:c>
      <x:c r="G1767" s="11" t="n">
        <x:v>10</x:v>
      </x:c>
      <x:c r="H1767" s="11" t="n">
        <x:v>0</x:v>
      </x:c>
      <x:c r="I1767" s="17" t="n">
        <x:f>INDEX('Costing'!$P$9:$P$492,MATCH(D1767,'Costing'!$A$9:$A$492,0))</x:f>
        <x:v>325000</x:v>
      </x:c>
      <x:c r="J1767" s="17" t="n">
        <x:f>ROUND(I1767*'Costing'!$C$4,2)</x:f>
        <x:v>58500</x:v>
      </x:c>
      <x:c r="K1767" s="17" t="n">
        <x:f>I1767+J1767</x:f>
        <x:v>383500</x:v>
      </x:c>
    </x:row>
    <x:row r="1768" ht="46" customHeight="1">
      <x:c r="A1768" s="2" t="str">
        <x:v>Sector</x:v>
      </x:c>
      <x:c r="B1768" s="2" t="str">
        <x:v>IT &amp; digital</x:v>
      </x:c>
      <x:c r="C1768" s="12" t="str">
        <x:v>Hyderabad</x:v>
      </x:c>
      <x:c r="D1768" s="12" t="str">
        <x:v>MAIN-262</x:v>
      </x:c>
      <x:c r="E1768" s="12" t="str">
        <x:v>Wework - Krishe Emerald</x:v>
      </x:c>
      <x:c r="F1768" s="11" t="n">
        <x:v>9</x:v>
      </x:c>
      <x:c r="G1768" s="11" t="n">
        <x:v>9</x:v>
      </x:c>
      <x:c r="H1768" s="11" t="n">
        <x:v>0</x:v>
      </x:c>
      <x:c r="I1768" s="17" t="n">
        <x:f>INDEX('Costing'!$P$9:$P$492,MATCH(D1768,'Costing'!$A$9:$A$492,0))</x:f>
        <x:v>225000</x:v>
      </x:c>
      <x:c r="J1768" s="17" t="n">
        <x:f>ROUND(I1768*'Costing'!$C$4,2)</x:f>
        <x:v>40500</x:v>
      </x:c>
      <x:c r="K1768" s="17" t="n">
        <x:f>I1768+J1768</x:f>
        <x:v>265500</x:v>
      </x:c>
    </x:row>
    <x:row r="1769" ht="46" customHeight="1">
      <x:c r="A1769" s="2" t="str">
        <x:v>Sector</x:v>
      </x:c>
      <x:c r="B1769" s="2" t="str">
        <x:v>IT &amp; digital</x:v>
      </x:c>
      <x:c r="C1769" s="12" t="str">
        <x:v>Hyderabad</x:v>
      </x:c>
      <x:c r="D1769" s="12" t="str">
        <x:v>MAIN-263</x:v>
      </x:c>
      <x:c r="E1769" s="12" t="str">
        <x:v>WeWork - Mindspace</x:v>
      </x:c>
      <x:c r="F1769" s="11" t="n">
        <x:v>1</x:v>
      </x:c>
      <x:c r="G1769" s="11" t="n">
        <x:v>1</x:v>
      </x:c>
      <x:c r="H1769" s="11" t="n">
        <x:v>0</x:v>
      </x:c>
      <x:c r="I1769" s="17" t="n">
        <x:f>INDEX('Costing'!$P$9:$P$492,MATCH(D1769,'Costing'!$A$9:$A$492,0))</x:f>
        <x:v>25000</x:v>
      </x:c>
      <x:c r="J1769" s="17" t="n">
        <x:f>ROUND(I1769*'Costing'!$C$4,2)</x:f>
        <x:v>4500</x:v>
      </x:c>
      <x:c r="K1769" s="17" t="n">
        <x:f>I1769+J1769</x:f>
        <x:v>29500</x:v>
      </x:c>
    </x:row>
    <x:row r="1770" ht="46" customHeight="1">
      <x:c r="A1770" s="2" t="str">
        <x:v>Sector</x:v>
      </x:c>
      <x:c r="B1770" s="2" t="str">
        <x:v>IT &amp; digital</x:v>
      </x:c>
      <x:c r="C1770" s="12" t="str">
        <x:v>Hyderabad</x:v>
      </x:c>
      <x:c r="D1770" s="12" t="str">
        <x:v>MAIN-264</x:v>
      </x:c>
      <x:c r="E1770" s="12" t="str">
        <x:v>Wework - Rajapushpa Summit</x:v>
      </x:c>
      <x:c r="F1770" s="11" t="n">
        <x:v>4</x:v>
      </x:c>
      <x:c r="G1770" s="11" t="n">
        <x:v>4</x:v>
      </x:c>
      <x:c r="H1770" s="11" t="n">
        <x:v>0</x:v>
      </x:c>
      <x:c r="I1770" s="17" t="n">
        <x:f>INDEX('Costing'!$P$9:$P$492,MATCH(D1770,'Costing'!$A$9:$A$492,0))</x:f>
        <x:v>100000</x:v>
      </x:c>
      <x:c r="J1770" s="17" t="n">
        <x:f>ROUND(I1770*'Costing'!$C$4,2)</x:f>
        <x:v>18000</x:v>
      </x:c>
      <x:c r="K1770" s="17" t="n">
        <x:f>I1770+J1770</x:f>
        <x:v>118000</x:v>
      </x:c>
    </x:row>
    <x:row r="1771" ht="46" customHeight="1">
      <x:c r="A1771" s="2" t="str">
        <x:v>Sector</x:v>
      </x:c>
      <x:c r="B1771" s="2" t="str">
        <x:v>IT &amp; digital</x:v>
      </x:c>
      <x:c r="C1771" s="12" t="str">
        <x:v>Hyderabad</x:v>
      </x:c>
      <x:c r="D1771" s="12" t="str">
        <x:v>MAIN-265</x:v>
      </x:c>
      <x:c r="E1771" s="12" t="str">
        <x:v>WeWork - RMZ Spire</x:v>
      </x:c>
      <x:c r="F1771" s="11" t="n">
        <x:v>4</x:v>
      </x:c>
      <x:c r="G1771" s="11" t="n">
        <x:v>4</x:v>
      </x:c>
      <x:c r="H1771" s="11" t="n">
        <x:v>0</x:v>
      </x:c>
      <x:c r="I1771" s="17" t="n">
        <x:f>INDEX('Costing'!$P$9:$P$492,MATCH(D1771,'Costing'!$A$9:$A$492,0))</x:f>
        <x:v>100000</x:v>
      </x:c>
      <x:c r="J1771" s="17" t="n">
        <x:f>ROUND(I1771*'Costing'!$C$4,2)</x:f>
        <x:v>18000</x:v>
      </x:c>
      <x:c r="K1771" s="17" t="n">
        <x:f>I1771+J1771</x:f>
        <x:v>118000</x:v>
      </x:c>
    </x:row>
    <x:row r="1772" ht="46" customHeight="1">
      <x:c r="A1772" s="2" t="str">
        <x:v>Sector</x:v>
      </x:c>
      <x:c r="B1772" s="2" t="str">
        <x:v>IT &amp; digital</x:v>
      </x:c>
      <x:c r="C1772" s="12" t="str">
        <x:v>Indore</x:v>
      </x:c>
      <x:c r="D1772" s="12" t="str">
        <x:v>MAIN-266</x:v>
      </x:c>
      <x:c r="E1772" s="12" t="str">
        <x:v>Airen Heights</x:v>
      </x:c>
      <x:c r="F1772" s="11" t="n">
        <x:v>1</x:v>
      </x:c>
      <x:c r="G1772" s="11" t="n">
        <x:v>1</x:v>
      </x:c>
      <x:c r="H1772" s="11" t="n">
        <x:v>0</x:v>
      </x:c>
      <x:c r="I1772" s="17" t="n">
        <x:f>INDEX('Costing'!$P$9:$P$492,MATCH(D1772,'Costing'!$A$9:$A$492,0))</x:f>
        <x:v>20000</x:v>
      </x:c>
      <x:c r="J1772" s="17" t="n">
        <x:f>ROUND(I1772*'Costing'!$C$4,2)</x:f>
        <x:v>3600</x:v>
      </x:c>
      <x:c r="K1772" s="17" t="n">
        <x:f>I1772+J1772</x:f>
        <x:v>23600</x:v>
      </x:c>
    </x:row>
    <x:row r="1773" ht="46" customHeight="1">
      <x:c r="A1773" s="2" t="str">
        <x:v>Sector</x:v>
      </x:c>
      <x:c r="B1773" s="2" t="str">
        <x:v>IT &amp; digital</x:v>
      </x:c>
      <x:c r="C1773" s="12" t="str">
        <x:v>Indore</x:v>
      </x:c>
      <x:c r="D1773" s="12" t="str">
        <x:v>MAIN-267</x:v>
      </x:c>
      <x:c r="E1773" s="12" t="str">
        <x:v>Apollo Gold Plaza</x:v>
      </x:c>
      <x:c r="F1773" s="11" t="n">
        <x:v>2</x:v>
      </x:c>
      <x:c r="G1773" s="11" t="n">
        <x:v>2</x:v>
      </x:c>
      <x:c r="H1773" s="11" t="n">
        <x:v>0</x:v>
      </x:c>
      <x:c r="I1773" s="17" t="n">
        <x:f>INDEX('Costing'!$P$9:$P$492,MATCH(D1773,'Costing'!$A$9:$A$492,0))</x:f>
        <x:v>40000</x:v>
      </x:c>
      <x:c r="J1773" s="17" t="n">
        <x:f>ROUND(I1773*'Costing'!$C$4,2)</x:f>
        <x:v>7200</x:v>
      </x:c>
      <x:c r="K1773" s="17" t="n">
        <x:f>I1773+J1773</x:f>
        <x:v>47200</x:v>
      </x:c>
    </x:row>
    <x:row r="1774" ht="46" customHeight="1">
      <x:c r="A1774" s="2" t="str">
        <x:v>Sector</x:v>
      </x:c>
      <x:c r="B1774" s="2" t="str">
        <x:v>IT &amp; digital</x:v>
      </x:c>
      <x:c r="C1774" s="12" t="str">
        <x:v>Indore</x:v>
      </x:c>
      <x:c r="D1774" s="12" t="str">
        <x:v>MAIN-268</x:v>
      </x:c>
      <x:c r="E1774" s="12" t="str">
        <x:v>Apollo Premier</x:v>
      </x:c>
      <x:c r="F1774" s="11" t="n">
        <x:v>2</x:v>
      </x:c>
      <x:c r="G1774" s="11" t="n">
        <x:v>2</x:v>
      </x:c>
      <x:c r="H1774" s="11" t="n">
        <x:v>0</x:v>
      </x:c>
      <x:c r="I1774" s="17" t="n">
        <x:f>INDEX('Costing'!$P$9:$P$492,MATCH(D1774,'Costing'!$A$9:$A$492,0))</x:f>
        <x:v>80000</x:v>
      </x:c>
      <x:c r="J1774" s="17" t="n">
        <x:f>ROUND(I1774*'Costing'!$C$4,2)</x:f>
        <x:v>14400</x:v>
      </x:c>
      <x:c r="K1774" s="17" t="n">
        <x:f>I1774+J1774</x:f>
        <x:v>94400</x:v>
      </x:c>
    </x:row>
    <x:row r="1775" ht="46" customHeight="1">
      <x:c r="A1775" s="2" t="str">
        <x:v>Sector</x:v>
      </x:c>
      <x:c r="B1775" s="2" t="str">
        <x:v>IT &amp; digital</x:v>
      </x:c>
      <x:c r="C1775" s="12" t="str">
        <x:v>Indore</x:v>
      </x:c>
      <x:c r="D1775" s="12" t="str">
        <x:v>MAIN-270</x:v>
      </x:c>
      <x:c r="E1775" s="12" t="str">
        <x:v>Cliffton Corporate</x:v>
      </x:c>
      <x:c r="F1775" s="11" t="n">
        <x:v>1</x:v>
      </x:c>
      <x:c r="G1775" s="11" t="n">
        <x:v>1</x:v>
      </x:c>
      <x:c r="H1775" s="11" t="n">
        <x:v>0</x:v>
      </x:c>
      <x:c r="I1775" s="17" t="n">
        <x:f>INDEX('Costing'!$P$9:$P$492,MATCH(D1775,'Costing'!$A$9:$A$492,0))</x:f>
        <x:v>20000</x:v>
      </x:c>
      <x:c r="J1775" s="17" t="n">
        <x:f>ROUND(I1775*'Costing'!$C$4,2)</x:f>
        <x:v>3600</x:v>
      </x:c>
      <x:c r="K1775" s="17" t="n">
        <x:f>I1775+J1775</x:f>
        <x:v>23600</x:v>
      </x:c>
    </x:row>
    <x:row r="1776" ht="46" customHeight="1">
      <x:c r="A1776" s="2" t="str">
        <x:v>Sector</x:v>
      </x:c>
      <x:c r="B1776" s="2" t="str">
        <x:v>IT &amp; digital</x:v>
      </x:c>
      <x:c r="C1776" s="12" t="str">
        <x:v>Indore</x:v>
      </x:c>
      <x:c r="D1776" s="12" t="str">
        <x:v>MAIN-272</x:v>
      </x:c>
      <x:c r="E1776" s="12" t="str">
        <x:v>Maloo - 01</x:v>
      </x:c>
      <x:c r="F1776" s="11" t="n">
        <x:v>1</x:v>
      </x:c>
      <x:c r="G1776" s="11" t="n">
        <x:v>1</x:v>
      </x:c>
      <x:c r="H1776" s="11" t="n">
        <x:v>0</x:v>
      </x:c>
      <x:c r="I1776" s="17" t="n">
        <x:f>INDEX('Costing'!$P$9:$P$492,MATCH(D1776,'Costing'!$A$9:$A$492,0))</x:f>
        <x:v>20000</x:v>
      </x:c>
      <x:c r="J1776" s="17" t="n">
        <x:f>ROUND(I1776*'Costing'!$C$4,2)</x:f>
        <x:v>3600</x:v>
      </x:c>
      <x:c r="K1776" s="17" t="n">
        <x:f>I1776+J1776</x:f>
        <x:v>23600</x:v>
      </x:c>
    </x:row>
    <x:row r="1777" ht="46" customHeight="1">
      <x:c r="A1777" s="2" t="str">
        <x:v>Sector</x:v>
      </x:c>
      <x:c r="B1777" s="2" t="str">
        <x:v>IT &amp; digital</x:v>
      </x:c>
      <x:c r="C1777" s="12" t="str">
        <x:v>Indore</x:v>
      </x:c>
      <x:c r="D1777" s="12" t="str">
        <x:v>MAIN-274</x:v>
      </x:c>
      <x:c r="E1777" s="12" t="str">
        <x:v>Princess Sky Line</x:v>
      </x:c>
      <x:c r="F1777" s="11" t="n">
        <x:v>1</x:v>
      </x:c>
      <x:c r="G1777" s="11" t="n">
        <x:v>1</x:v>
      </x:c>
      <x:c r="H1777" s="11" t="n">
        <x:v>0</x:v>
      </x:c>
      <x:c r="I1777" s="17" t="n">
        <x:f>INDEX('Costing'!$P$9:$P$492,MATCH(D1777,'Costing'!$A$9:$A$492,0))</x:f>
        <x:v>40000</x:v>
      </x:c>
      <x:c r="J1777" s="17" t="n">
        <x:f>ROUND(I1777*'Costing'!$C$4,2)</x:f>
        <x:v>7200</x:v>
      </x:c>
      <x:c r="K1777" s="17" t="n">
        <x:f>I1777+J1777</x:f>
        <x:v>47200</x:v>
      </x:c>
    </x:row>
    <x:row r="1778" ht="46" customHeight="1">
      <x:c r="A1778" s="2" t="str">
        <x:v>Sector</x:v>
      </x:c>
      <x:c r="B1778" s="2" t="str">
        <x:v>IT &amp; digital</x:v>
      </x:c>
      <x:c r="C1778" s="12" t="str">
        <x:v>Kolkata</x:v>
      </x:c>
      <x:c r="D1778" s="12" t="str">
        <x:v>MAIN-278</x:v>
      </x:c>
      <x:c r="E1778" s="12" t="str">
        <x:v>Awfis - Acropolis Mall</x:v>
      </x:c>
      <x:c r="F1778" s="11" t="n">
        <x:v>1</x:v>
      </x:c>
      <x:c r="G1778" s="11" t="n">
        <x:v>1</x:v>
      </x:c>
      <x:c r="H1778" s="11" t="n">
        <x:v>0</x:v>
      </x:c>
      <x:c r="I1778" s="17" t="n">
        <x:f>INDEX('Costing'!$P$9:$P$492,MATCH(D1778,'Costing'!$A$9:$A$492,0))</x:f>
        <x:v>15000</x:v>
      </x:c>
      <x:c r="J1778" s="17" t="n">
        <x:f>ROUND(I1778*'Costing'!$C$4,2)</x:f>
        <x:v>2700</x:v>
      </x:c>
      <x:c r="K1778" s="17" t="n">
        <x:f>I1778+J1778</x:f>
        <x:v>17700</x:v>
      </x:c>
    </x:row>
    <x:row r="1779" ht="46" customHeight="1">
      <x:c r="A1779" s="2" t="str">
        <x:v>Sector</x:v>
      </x:c>
      <x:c r="B1779" s="2" t="str">
        <x:v>IT &amp; digital</x:v>
      </x:c>
      <x:c r="C1779" s="12" t="str">
        <x:v>Kolkata</x:v>
      </x:c>
      <x:c r="D1779" s="12" t="str">
        <x:v>MAIN-280</x:v>
      </x:c>
      <x:c r="E1779" s="12" t="str">
        <x:v>Awfis - Eco Center</x:v>
      </x:c>
      <x:c r="F1779" s="11" t="n">
        <x:v>2</x:v>
      </x:c>
      <x:c r="G1779" s="11" t="n">
        <x:v>2</x:v>
      </x:c>
      <x:c r="H1779" s="11" t="n">
        <x:v>0</x:v>
      </x:c>
      <x:c r="I1779" s="17" t="n">
        <x:f>INDEX('Costing'!$P$9:$P$492,MATCH(D1779,'Costing'!$A$9:$A$492,0))</x:f>
        <x:v>30000</x:v>
      </x:c>
      <x:c r="J1779" s="17" t="n">
        <x:f>ROUND(I1779*'Costing'!$C$4,2)</x:f>
        <x:v>5400</x:v>
      </x:c>
      <x:c r="K1779" s="17" t="n">
        <x:f>I1779+J1779</x:f>
        <x:v>35400</x:v>
      </x:c>
    </x:row>
    <x:row r="1780" ht="46" customHeight="1">
      <x:c r="A1780" s="2" t="str">
        <x:v>Sector</x:v>
      </x:c>
      <x:c r="B1780" s="2" t="str">
        <x:v>IT &amp; digital</x:v>
      </x:c>
      <x:c r="C1780" s="12" t="str">
        <x:v>Kolkata</x:v>
      </x:c>
      <x:c r="D1780" s="12" t="str">
        <x:v>MAIN-281</x:v>
      </x:c>
      <x:c r="E1780" s="12" t="str">
        <x:v>Awfis - Ecospace Business Park</x:v>
      </x:c>
      <x:c r="F1780" s="11" t="n">
        <x:v>1</x:v>
      </x:c>
      <x:c r="G1780" s="11" t="n">
        <x:v>1</x:v>
      </x:c>
      <x:c r="H1780" s="11" t="n">
        <x:v>0</x:v>
      </x:c>
      <x:c r="I1780" s="17" t="n">
        <x:f>INDEX('Costing'!$P$9:$P$492,MATCH(D1780,'Costing'!$A$9:$A$492,0))</x:f>
        <x:v>15000</x:v>
      </x:c>
      <x:c r="J1780" s="17" t="n">
        <x:f>ROUND(I1780*'Costing'!$C$4,2)</x:f>
        <x:v>2700</x:v>
      </x:c>
      <x:c r="K1780" s="17" t="n">
        <x:f>I1780+J1780</x:f>
        <x:v>17700</x:v>
      </x:c>
    </x:row>
    <x:row r="1781" ht="46" customHeight="1">
      <x:c r="A1781" s="2" t="str">
        <x:v>Sector</x:v>
      </x:c>
      <x:c r="B1781" s="2" t="str">
        <x:v>IT &amp; digital</x:v>
      </x:c>
      <x:c r="C1781" s="12" t="str">
        <x:v>Kolkata</x:v>
      </x:c>
      <x:c r="D1781" s="12" t="str">
        <x:v>MAIN-283</x:v>
      </x:c>
      <x:c r="E1781" s="12" t="str">
        <x:v>Awfis - Siddha Esplanade</x:v>
      </x:c>
      <x:c r="F1781" s="11" t="n">
        <x:v>2</x:v>
      </x:c>
      <x:c r="G1781" s="11" t="n">
        <x:v>2</x:v>
      </x:c>
      <x:c r="H1781" s="11" t="n">
        <x:v>0</x:v>
      </x:c>
      <x:c r="I1781" s="17" t="n">
        <x:f>INDEX('Costing'!$P$9:$P$492,MATCH(D1781,'Costing'!$A$9:$A$492,0))</x:f>
        <x:v>30000</x:v>
      </x:c>
      <x:c r="J1781" s="17" t="n">
        <x:f>ROUND(I1781*'Costing'!$C$4,2)</x:f>
        <x:v>5400</x:v>
      </x:c>
      <x:c r="K1781" s="17" t="n">
        <x:f>I1781+J1781</x:f>
        <x:v>35400</x:v>
      </x:c>
    </x:row>
    <x:row r="1782" ht="46" customHeight="1">
      <x:c r="A1782" s="2" t="str">
        <x:v>Sector</x:v>
      </x:c>
      <x:c r="B1782" s="2" t="str">
        <x:v>IT &amp; digital</x:v>
      </x:c>
      <x:c r="C1782" s="12" t="str">
        <x:v>Kolkata</x:v>
      </x:c>
      <x:c r="D1782" s="12" t="str">
        <x:v>MAIN-284</x:v>
      </x:c>
      <x:c r="E1782" s="12" t="str">
        <x:v>Awfis - Technopolis</x:v>
      </x:c>
      <x:c r="F1782" s="11" t="n">
        <x:v>2</x:v>
      </x:c>
      <x:c r="G1782" s="11" t="n">
        <x:v>2</x:v>
      </x:c>
      <x:c r="H1782" s="11" t="n">
        <x:v>0</x:v>
      </x:c>
      <x:c r="I1782" s="17" t="n">
        <x:f>INDEX('Costing'!$P$9:$P$492,MATCH(D1782,'Costing'!$A$9:$A$492,0))</x:f>
        <x:v>30000</x:v>
      </x:c>
      <x:c r="J1782" s="17" t="n">
        <x:f>ROUND(I1782*'Costing'!$C$4,2)</x:f>
        <x:v>5400</x:v>
      </x:c>
      <x:c r="K1782" s="17" t="n">
        <x:f>I1782+J1782</x:f>
        <x:v>35400</x:v>
      </x:c>
    </x:row>
    <x:row r="1783" ht="46" customHeight="1">
      <x:c r="A1783" s="2" t="str">
        <x:v>Sector</x:v>
      </x:c>
      <x:c r="B1783" s="2" t="str">
        <x:v>IT &amp; digital</x:v>
      </x:c>
      <x:c r="C1783" s="12" t="str">
        <x:v>Kolkata</x:v>
      </x:c>
      <x:c r="D1783" s="12" t="str">
        <x:v>MAIN-285</x:v>
      </x:c>
      <x:c r="E1783" s="12" t="str">
        <x:v>Awfis - Technopolis</x:v>
      </x:c>
      <x:c r="F1783" s="11" t="n">
        <x:v>1</x:v>
      </x:c>
      <x:c r="G1783" s="11" t="n">
        <x:v>1</x:v>
      </x:c>
      <x:c r="H1783" s="11" t="n">
        <x:v>0</x:v>
      </x:c>
      <x:c r="I1783" s="17" t="n">
        <x:f>INDEX('Costing'!$P$9:$P$492,MATCH(D1783,'Costing'!$A$9:$A$492,0))</x:f>
        <x:v>15000</x:v>
      </x:c>
      <x:c r="J1783" s="17" t="n">
        <x:f>ROUND(I1783*'Costing'!$C$4,2)</x:f>
        <x:v>2700</x:v>
      </x:c>
      <x:c r="K1783" s="17" t="n">
        <x:f>I1783+J1783</x:f>
        <x:v>17700</x:v>
      </x:c>
    </x:row>
    <x:row r="1784" ht="46" customHeight="1">
      <x:c r="A1784" s="2" t="str">
        <x:v>Sector</x:v>
      </x:c>
      <x:c r="B1784" s="2" t="str">
        <x:v>IT &amp; digital</x:v>
      </x:c>
      <x:c r="C1784" s="12" t="str">
        <x:v>Kolkata</x:v>
      </x:c>
      <x:c r="D1784" s="12" t="str">
        <x:v>MAIN-286</x:v>
      </x:c>
      <x:c r="E1784" s="12" t="str">
        <x:v>Awfis GWS</x:v>
      </x:c>
      <x:c r="F1784" s="11" t="n">
        <x:v>8</x:v>
      </x:c>
      <x:c r="G1784" s="11" t="n">
        <x:v>8</x:v>
      </x:c>
      <x:c r="H1784" s="11" t="n">
        <x:v>0</x:v>
      </x:c>
      <x:c r="I1784" s="17" t="n">
        <x:f>INDEX('Costing'!$P$9:$P$492,MATCH(D1784,'Costing'!$A$9:$A$492,0))</x:f>
        <x:v>120000</x:v>
      </x:c>
      <x:c r="J1784" s="17" t="n">
        <x:f>ROUND(I1784*'Costing'!$C$4,2)</x:f>
        <x:v>21600</x:v>
      </x:c>
      <x:c r="K1784" s="17" t="n">
        <x:f>I1784+J1784</x:f>
        <x:v>141600</x:v>
      </x:c>
    </x:row>
    <x:row r="1785" ht="46" customHeight="1">
      <x:c r="A1785" s="2" t="str">
        <x:v>Sector</x:v>
      </x:c>
      <x:c r="B1785" s="2" t="str">
        <x:v>IT &amp; digital</x:v>
      </x:c>
      <x:c r="C1785" s="12" t="str">
        <x:v>Mumbai</x:v>
      </x:c>
      <x:c r="D1785" s="12" t="str">
        <x:v>MAIN-294</x:v>
      </x:c>
      <x:c r="E1785" s="12" t="str">
        <x:v>Avior Corporate Park</x:v>
      </x:c>
      <x:c r="F1785" s="11" t="n">
        <x:v>39</x:v>
      </x:c>
      <x:c r="G1785" s="11" t="n">
        <x:v>39</x:v>
      </x:c>
      <x:c r="H1785" s="11" t="n">
        <x:v>0</x:v>
      </x:c>
      <x:c r="I1785" s="17" t="n">
        <x:f>INDEX('Costing'!$P$9:$P$492,MATCH(D1785,'Costing'!$A$9:$A$492,0))</x:f>
        <x:v>585000</x:v>
      </x:c>
      <x:c r="J1785" s="17" t="n">
        <x:f>ROUND(I1785*'Costing'!$C$4,2)</x:f>
        <x:v>105300</x:v>
      </x:c>
      <x:c r="K1785" s="17" t="n">
        <x:f>I1785+J1785</x:f>
        <x:v>690300</x:v>
      </x:c>
    </x:row>
    <x:row r="1786" ht="46" customHeight="1">
      <x:c r="A1786" s="2" t="str">
        <x:v>Sector</x:v>
      </x:c>
      <x:c r="B1786" s="2" t="str">
        <x:v>IT &amp; digital</x:v>
      </x:c>
      <x:c r="C1786" s="12" t="str">
        <x:v>Mumbai</x:v>
      </x:c>
      <x:c r="D1786" s="12" t="str">
        <x:v>MAIN-296</x:v>
      </x:c>
      <x:c r="E1786" s="12" t="str">
        <x:v>Awfis - Cyber One</x:v>
      </x:c>
      <x:c r="F1786" s="11" t="n">
        <x:v>1</x:v>
      </x:c>
      <x:c r="G1786" s="11" t="n">
        <x:v>1</x:v>
      </x:c>
      <x:c r="H1786" s="11" t="n">
        <x:v>0</x:v>
      </x:c>
      <x:c r="I1786" s="17" t="n">
        <x:f>INDEX('Costing'!$P$9:$P$492,MATCH(D1786,'Costing'!$A$9:$A$492,0))</x:f>
        <x:v>15000</x:v>
      </x:c>
      <x:c r="J1786" s="17" t="n">
        <x:f>ROUND(I1786*'Costing'!$C$4,2)</x:f>
        <x:v>2700</x:v>
      </x:c>
      <x:c r="K1786" s="17" t="n">
        <x:f>I1786+J1786</x:f>
        <x:v>17700</x:v>
      </x:c>
    </x:row>
    <x:row r="1787" ht="46" customHeight="1">
      <x:c r="A1787" s="2" t="str">
        <x:v>Sector</x:v>
      </x:c>
      <x:c r="B1787" s="2" t="str">
        <x:v>IT &amp; digital</x:v>
      </x:c>
      <x:c r="C1787" s="12" t="str">
        <x:v>Mumbai</x:v>
      </x:c>
      <x:c r="D1787" s="12" t="str">
        <x:v>MAIN-297</x:v>
      </x:c>
      <x:c r="E1787" s="12" t="str">
        <x:v>Awfis - Empire Tower</x:v>
      </x:c>
      <x:c r="F1787" s="11" t="n">
        <x:v>1</x:v>
      </x:c>
      <x:c r="G1787" s="11" t="n">
        <x:v>1</x:v>
      </x:c>
      <x:c r="H1787" s="11" t="n">
        <x:v>0</x:v>
      </x:c>
      <x:c r="I1787" s="17" t="n">
        <x:f>INDEX('Costing'!$P$9:$P$492,MATCH(D1787,'Costing'!$A$9:$A$492,0))</x:f>
        <x:v>15000</x:v>
      </x:c>
      <x:c r="J1787" s="17" t="n">
        <x:f>ROUND(I1787*'Costing'!$C$4,2)</x:f>
        <x:v>2700</x:v>
      </x:c>
      <x:c r="K1787" s="17" t="n">
        <x:f>I1787+J1787</x:f>
        <x:v>17700</x:v>
      </x:c>
    </x:row>
    <x:row r="1788" ht="46" customHeight="1">
      <x:c r="A1788" s="2" t="str">
        <x:v>Sector</x:v>
      </x:c>
      <x:c r="B1788" s="2" t="str">
        <x:v>IT &amp; digital</x:v>
      </x:c>
      <x:c r="C1788" s="12" t="str">
        <x:v>Mumbai</x:v>
      </x:c>
      <x:c r="D1788" s="12" t="str">
        <x:v>MAIN-302</x:v>
      </x:c>
      <x:c r="E1788" s="12" t="str">
        <x:v>Awfis - Ruby Towers</x:v>
      </x:c>
      <x:c r="F1788" s="11" t="n">
        <x:v>2</x:v>
      </x:c>
      <x:c r="G1788" s="11" t="n">
        <x:v>2</x:v>
      </x:c>
      <x:c r="H1788" s="11" t="n">
        <x:v>0</x:v>
      </x:c>
      <x:c r="I1788" s="17" t="n">
        <x:f>INDEX('Costing'!$P$9:$P$492,MATCH(D1788,'Costing'!$A$9:$A$492,0))</x:f>
        <x:v>30000</x:v>
      </x:c>
      <x:c r="J1788" s="17" t="n">
        <x:f>ROUND(I1788*'Costing'!$C$4,2)</x:f>
        <x:v>5400</x:v>
      </x:c>
      <x:c r="K1788" s="17" t="n">
        <x:f>I1788+J1788</x:f>
        <x:v>35400</x:v>
      </x:c>
    </x:row>
    <x:row r="1789" ht="46" customHeight="1">
      <x:c r="A1789" s="2" t="str">
        <x:v>Sector</x:v>
      </x:c>
      <x:c r="B1789" s="2" t="str">
        <x:v>IT &amp; digital</x:v>
      </x:c>
      <x:c r="C1789" s="12" t="str">
        <x:v>Mumbai</x:v>
      </x:c>
      <x:c r="D1789" s="12" t="str">
        <x:v>MAIN-303</x:v>
      </x:c>
      <x:c r="E1789" s="12" t="str">
        <x:v>Awfis - Schindler House</x:v>
      </x:c>
      <x:c r="F1789" s="11" t="n">
        <x:v>1</x:v>
      </x:c>
      <x:c r="G1789" s="11" t="n">
        <x:v>1</x:v>
      </x:c>
      <x:c r="H1789" s="11" t="n">
        <x:v>0</x:v>
      </x:c>
      <x:c r="I1789" s="17" t="n">
        <x:f>INDEX('Costing'!$P$9:$P$492,MATCH(D1789,'Costing'!$A$9:$A$492,0))</x:f>
        <x:v>15000</x:v>
      </x:c>
      <x:c r="J1789" s="17" t="n">
        <x:f>ROUND(I1789*'Costing'!$C$4,2)</x:f>
        <x:v>2700</x:v>
      </x:c>
      <x:c r="K1789" s="17" t="n">
        <x:f>I1789+J1789</x:f>
        <x:v>17700</x:v>
      </x:c>
    </x:row>
    <x:row r="1790" ht="46" customHeight="1">
      <x:c r="A1790" s="2" t="str">
        <x:v>Sector</x:v>
      </x:c>
      <x:c r="B1790" s="2" t="str">
        <x:v>IT &amp; digital</x:v>
      </x:c>
      <x:c r="C1790" s="12" t="str">
        <x:v>Mumbai</x:v>
      </x:c>
      <x:c r="D1790" s="12" t="str">
        <x:v>MAIN-304</x:v>
      </x:c>
      <x:c r="E1790" s="12" t="str">
        <x:v>Awfis - Skyline Icon</x:v>
      </x:c>
      <x:c r="F1790" s="11" t="n">
        <x:v>2</x:v>
      </x:c>
      <x:c r="G1790" s="11" t="n">
        <x:v>2</x:v>
      </x:c>
      <x:c r="H1790" s="11" t="n">
        <x:v>0</x:v>
      </x:c>
      <x:c r="I1790" s="17" t="n">
        <x:f>INDEX('Costing'!$P$9:$P$492,MATCH(D1790,'Costing'!$A$9:$A$492,0))</x:f>
        <x:v>30000</x:v>
      </x:c>
      <x:c r="J1790" s="17" t="n">
        <x:f>ROUND(I1790*'Costing'!$C$4,2)</x:f>
        <x:v>5400</x:v>
      </x:c>
      <x:c r="K1790" s="17" t="n">
        <x:f>I1790+J1790</x:f>
        <x:v>35400</x:v>
      </x:c>
    </x:row>
    <x:row r="1791" ht="46" customHeight="1">
      <x:c r="A1791" s="2" t="str">
        <x:v>Sector</x:v>
      </x:c>
      <x:c r="B1791" s="2" t="str">
        <x:v>IT &amp; digital</x:v>
      </x:c>
      <x:c r="C1791" s="12" t="str">
        <x:v>Mumbai</x:v>
      </x:c>
      <x:c r="D1791" s="12" t="str">
        <x:v>MAIN-307</x:v>
      </x:c>
      <x:c r="E1791" s="12" t="str">
        <x:v>Blue Rose IND</x:v>
      </x:c>
      <x:c r="F1791" s="11" t="n">
        <x:v>22</x:v>
      </x:c>
      <x:c r="G1791" s="11" t="n">
        <x:v>22</x:v>
      </x:c>
      <x:c r="H1791" s="11" t="n">
        <x:v>0</x:v>
      </x:c>
      <x:c r="I1791" s="17" t="n">
        <x:f>INDEX('Costing'!$P$9:$P$492,MATCH(D1791,'Costing'!$A$9:$A$492,0))</x:f>
        <x:v>330000</x:v>
      </x:c>
      <x:c r="J1791" s="17" t="n">
        <x:f>ROUND(I1791*'Costing'!$C$4,2)</x:f>
        <x:v>59400</x:v>
      </x:c>
      <x:c r="K1791" s="17" t="n">
        <x:f>I1791+J1791</x:f>
        <x:v>389400</x:v>
      </x:c>
    </x:row>
    <x:row r="1792" ht="46" customHeight="1">
      <x:c r="A1792" s="2" t="str">
        <x:v>Sector</x:v>
      </x:c>
      <x:c r="B1792" s="2" t="str">
        <x:v>IT &amp; digital</x:v>
      </x:c>
      <x:c r="C1792" s="12" t="str">
        <x:v>Mumbai</x:v>
      </x:c>
      <x:c r="D1792" s="12" t="str">
        <x:v>MAIN-308</x:v>
      </x:c>
      <x:c r="E1792" s="12" t="str">
        <x:v>Bsel Tech Park</x:v>
      </x:c>
      <x:c r="F1792" s="11" t="n">
        <x:v>47</x:v>
      </x:c>
      <x:c r="G1792" s="11" t="n">
        <x:v>47</x:v>
      </x:c>
      <x:c r="H1792" s="11" t="n">
        <x:v>0</x:v>
      </x:c>
      <x:c r="I1792" s="17" t="n">
        <x:f>INDEX('Costing'!$P$9:$P$492,MATCH(D1792,'Costing'!$A$9:$A$492,0))</x:f>
        <x:v>705000</x:v>
      </x:c>
      <x:c r="J1792" s="17" t="n">
        <x:f>ROUND(I1792*'Costing'!$C$4,2)</x:f>
        <x:v>126900</x:v>
      </x:c>
      <x:c r="K1792" s="17" t="n">
        <x:f>I1792+J1792</x:f>
        <x:v>831900</x:v>
      </x:c>
    </x:row>
    <x:row r="1793" ht="46" customHeight="1">
      <x:c r="A1793" s="2" t="str">
        <x:v>Sector</x:v>
      </x:c>
      <x:c r="B1793" s="2" t="str">
        <x:v>IT &amp; digital</x:v>
      </x:c>
      <x:c r="C1793" s="12" t="str">
        <x:v>Mumbai</x:v>
      </x:c>
      <x:c r="D1793" s="12" t="str">
        <x:v>MAIN-313</x:v>
      </x:c>
      <x:c r="E1793" s="12" t="str">
        <x:v>Everest Nirwana</x:v>
      </x:c>
      <x:c r="F1793" s="11" t="n">
        <x:v>21</x:v>
      </x:c>
      <x:c r="G1793" s="11" t="n">
        <x:v>21</x:v>
      </x:c>
      <x:c r="H1793" s="11" t="n">
        <x:v>0</x:v>
      </x:c>
      <x:c r="I1793" s="17" t="n">
        <x:f>INDEX('Costing'!$P$9:$P$492,MATCH(D1793,'Costing'!$A$9:$A$492,0))</x:f>
        <x:v>315000</x:v>
      </x:c>
      <x:c r="J1793" s="17" t="n">
        <x:f>ROUND(I1793*'Costing'!$C$4,2)</x:f>
        <x:v>56700</x:v>
      </x:c>
      <x:c r="K1793" s="17" t="n">
        <x:f>I1793+J1793</x:f>
        <x:v>371700</x:v>
      </x:c>
    </x:row>
    <x:row r="1794" ht="46" customHeight="1">
      <x:c r="A1794" s="2" t="str">
        <x:v>Sector</x:v>
      </x:c>
      <x:c r="B1794" s="2" t="str">
        <x:v>IT &amp; digital</x:v>
      </x:c>
      <x:c r="C1794" s="12" t="str">
        <x:v>Mumbai</x:v>
      </x:c>
      <x:c r="D1794" s="12" t="str">
        <x:v>MAIN-318</x:v>
      </x:c>
      <x:c r="E1794" s="12" t="str">
        <x:v>Kaledonia (Redbrick Offices)</x:v>
      </x:c>
      <x:c r="F1794" s="11" t="n">
        <x:v>2</x:v>
      </x:c>
      <x:c r="G1794" s="11" t="n">
        <x:v>2</x:v>
      </x:c>
      <x:c r="H1794" s="11" t="n">
        <x:v>0</x:v>
      </x:c>
      <x:c r="I1794" s="17" t="n">
        <x:f>INDEX('Costing'!$P$9:$P$492,MATCH(D1794,'Costing'!$A$9:$A$492,0))</x:f>
        <x:v>30000</x:v>
      </x:c>
      <x:c r="J1794" s="17" t="n">
        <x:f>ROUND(I1794*'Costing'!$C$4,2)</x:f>
        <x:v>5400</x:v>
      </x:c>
      <x:c r="K1794" s="17" t="n">
        <x:f>I1794+J1794</x:f>
        <x:v>35400</x:v>
      </x:c>
    </x:row>
    <x:row r="1795" ht="46" customHeight="1">
      <x:c r="A1795" s="2" t="str">
        <x:v>Sector</x:v>
      </x:c>
      <x:c r="B1795" s="2" t="str">
        <x:v>IT &amp; digital</x:v>
      </x:c>
      <x:c r="C1795" s="12" t="str">
        <x:v>Mumbai</x:v>
      </x:c>
      <x:c r="D1795" s="12" t="str">
        <x:v>MAIN-319</x:v>
      </x:c>
      <x:c r="E1795" s="12" t="str">
        <x:v>Kalpataru Prime (Redbrick Offices)</x:v>
      </x:c>
      <x:c r="F1795" s="11" t="n">
        <x:v>1</x:v>
      </x:c>
      <x:c r="G1795" s="11" t="n">
        <x:v>1</x:v>
      </x:c>
      <x:c r="H1795" s="11" t="n">
        <x:v>0</x:v>
      </x:c>
      <x:c r="I1795" s="17" t="n">
        <x:f>INDEX('Costing'!$P$9:$P$492,MATCH(D1795,'Costing'!$A$9:$A$492,0))</x:f>
        <x:v>15000</x:v>
      </x:c>
      <x:c r="J1795" s="17" t="n">
        <x:f>ROUND(I1795*'Costing'!$C$4,2)</x:f>
        <x:v>2700</x:v>
      </x:c>
      <x:c r="K1795" s="17" t="n">
        <x:f>I1795+J1795</x:f>
        <x:v>17700</x:v>
      </x:c>
    </x:row>
    <x:row r="1796" ht="46" customHeight="1">
      <x:c r="A1796" s="2" t="str">
        <x:v>Sector</x:v>
      </x:c>
      <x:c r="B1796" s="2" t="str">
        <x:v>IT &amp; digital</x:v>
      </x:c>
      <x:c r="C1796" s="12" t="str">
        <x:v>Mumbai</x:v>
      </x:c>
      <x:c r="D1796" s="12" t="str">
        <x:v>MAIN-321</x:v>
      </x:c>
      <x:c r="E1796" s="12" t="str">
        <x:v>Lodha Ithink (Redbrick Offices)</x:v>
      </x:c>
      <x:c r="F1796" s="11" t="n">
        <x:v>1</x:v>
      </x:c>
      <x:c r="G1796" s="11" t="n">
        <x:v>1</x:v>
      </x:c>
      <x:c r="H1796" s="11" t="n">
        <x:v>0</x:v>
      </x:c>
      <x:c r="I1796" s="17" t="n">
        <x:f>INDEX('Costing'!$P$9:$P$492,MATCH(D1796,'Costing'!$A$9:$A$492,0))</x:f>
        <x:v>15000</x:v>
      </x:c>
      <x:c r="J1796" s="17" t="n">
        <x:f>ROUND(I1796*'Costing'!$C$4,2)</x:f>
        <x:v>2700</x:v>
      </x:c>
      <x:c r="K1796" s="17" t="n">
        <x:f>I1796+J1796</x:f>
        <x:v>17700</x:v>
      </x:c>
    </x:row>
    <x:row r="1797" ht="46" customHeight="1">
      <x:c r="A1797" s="2" t="str">
        <x:v>Sector</x:v>
      </x:c>
      <x:c r="B1797" s="2" t="str">
        <x:v>IT &amp; digital</x:v>
      </x:c>
      <x:c r="C1797" s="12" t="str">
        <x:v>Mumbai</x:v>
      </x:c>
      <x:c r="D1797" s="12" t="str">
        <x:v>MAIN-327</x:v>
      </x:c>
      <x:c r="E1797" s="12" t="str">
        <x:v>Nucleus - One World Center</x:v>
      </x:c>
      <x:c r="F1797" s="11" t="n">
        <x:v>8</x:v>
      </x:c>
      <x:c r="G1797" s="11" t="n">
        <x:v>8</x:v>
      </x:c>
      <x:c r="H1797" s="11" t="n">
        <x:v>0</x:v>
      </x:c>
      <x:c r="I1797" s="17" t="n">
        <x:f>INDEX('Costing'!$P$9:$P$492,MATCH(D1797,'Costing'!$A$9:$A$492,0))</x:f>
        <x:v>320000</x:v>
      </x:c>
      <x:c r="J1797" s="17" t="n">
        <x:f>ROUND(I1797*'Costing'!$C$4,2)</x:f>
        <x:v>57600</x:v>
      </x:c>
      <x:c r="K1797" s="17" t="n">
        <x:f>I1797+J1797</x:f>
        <x:v>377600</x:v>
      </x:c>
    </x:row>
    <x:row r="1798" ht="46" customHeight="1">
      <x:c r="A1798" s="2" t="str">
        <x:v>Sector</x:v>
      </x:c>
      <x:c r="B1798" s="2" t="str">
        <x:v>IT &amp; digital</x:v>
      </x:c>
      <x:c r="C1798" s="12" t="str">
        <x:v>Mumbai</x:v>
      </x:c>
      <x:c r="D1798" s="12" t="str">
        <x:v>MAIN-337</x:v>
      </x:c>
      <x:c r="E1798" s="12" t="str">
        <x:v>Raheja Mindspace IT Park - Airoli East</x:v>
      </x:c>
      <x:c r="F1798" s="11" t="n">
        <x:v>12</x:v>
      </x:c>
      <x:c r="G1798" s="11" t="n">
        <x:v>12</x:v>
      </x:c>
      <x:c r="H1798" s="11" t="n">
        <x:v>0</x:v>
      </x:c>
      <x:c r="I1798" s="17" t="n">
        <x:f>INDEX('Costing'!$P$9:$P$492,MATCH(D1798,'Costing'!$A$9:$A$492,0))</x:f>
        <x:v>390000</x:v>
      </x:c>
      <x:c r="J1798" s="17" t="n">
        <x:f>ROUND(I1798*'Costing'!$C$4,2)</x:f>
        <x:v>70200</x:v>
      </x:c>
      <x:c r="K1798" s="17" t="n">
        <x:f>I1798+J1798</x:f>
        <x:v>460200</x:v>
      </x:c>
    </x:row>
    <x:row r="1799" ht="46" customHeight="1">
      <x:c r="A1799" s="2" t="str">
        <x:v>Sector</x:v>
      </x:c>
      <x:c r="B1799" s="2" t="str">
        <x:v>IT &amp; digital</x:v>
      </x:c>
      <x:c r="C1799" s="12" t="str">
        <x:v>Mumbai</x:v>
      </x:c>
      <x:c r="D1799" s="12" t="str">
        <x:v>MAIN-338</x:v>
      </x:c>
      <x:c r="E1799" s="12" t="str">
        <x:v>Raheja Mindspaces - Airoli West</x:v>
      </x:c>
      <x:c r="F1799" s="11" t="n">
        <x:v>5</x:v>
      </x:c>
      <x:c r="G1799" s="11" t="n">
        <x:v>5</x:v>
      </x:c>
      <x:c r="H1799" s="11" t="n">
        <x:v>0</x:v>
      </x:c>
      <x:c r="I1799" s="17" t="n">
        <x:f>INDEX('Costing'!$P$9:$P$492,MATCH(D1799,'Costing'!$A$9:$A$492,0))</x:f>
        <x:v>200000</x:v>
      </x:c>
      <x:c r="J1799" s="17" t="n">
        <x:f>ROUND(I1799*'Costing'!$C$4,2)</x:f>
        <x:v>36000</x:v>
      </x:c>
      <x:c r="K1799" s="17" t="n">
        <x:f>I1799+J1799</x:f>
        <x:v>236000</x:v>
      </x:c>
    </x:row>
    <x:row r="1800" ht="46" customHeight="1">
      <x:c r="A1800" s="2" t="str">
        <x:v>Sector</x:v>
      </x:c>
      <x:c r="B1800" s="2" t="str">
        <x:v>IT &amp; digital</x:v>
      </x:c>
      <x:c r="C1800" s="12" t="str">
        <x:v>Mumbai</x:v>
      </x:c>
      <x:c r="D1800" s="12" t="str">
        <x:v>MAIN-341</x:v>
      </x:c>
      <x:c r="E1800" s="12" t="str">
        <x:v>Rupa Renaissance (Redbrick Offices)</x:v>
      </x:c>
      <x:c r="F1800" s="11" t="n">
        <x:v>1</x:v>
      </x:c>
      <x:c r="G1800" s="11" t="n">
        <x:v>1</x:v>
      </x:c>
      <x:c r="H1800" s="11" t="n">
        <x:v>0</x:v>
      </x:c>
      <x:c r="I1800" s="17" t="n">
        <x:f>INDEX('Costing'!$P$9:$P$492,MATCH(D1800,'Costing'!$A$9:$A$492,0))</x:f>
        <x:v>15000</x:v>
      </x:c>
      <x:c r="J1800" s="17" t="n">
        <x:f>ROUND(I1800*'Costing'!$C$4,2)</x:f>
        <x:v>2700</x:v>
      </x:c>
      <x:c r="K1800" s="17" t="n">
        <x:f>I1800+J1800</x:f>
        <x:v>17700</x:v>
      </x:c>
    </x:row>
    <x:row r="1801" ht="46" customHeight="1">
      <x:c r="A1801" s="2" t="str">
        <x:v>Sector</x:v>
      </x:c>
      <x:c r="B1801" s="2" t="str">
        <x:v>IT &amp; digital</x:v>
      </x:c>
      <x:c r="C1801" s="12" t="str">
        <x:v>Mumbai</x:v>
      </x:c>
      <x:c r="D1801" s="12" t="str">
        <x:v>MAIN-342</x:v>
      </x:c>
      <x:c r="E1801" s="12" t="str">
        <x:v>Rustomjee Eaze Zone Mall</x:v>
      </x:c>
      <x:c r="F1801" s="11" t="n">
        <x:v>26</x:v>
      </x:c>
      <x:c r="G1801" s="11" t="n">
        <x:v>26</x:v>
      </x:c>
      <x:c r="H1801" s="11" t="n">
        <x:v>0</x:v>
      </x:c>
      <x:c r="I1801" s="17" t="n">
        <x:f>INDEX('Costing'!$P$9:$P$492,MATCH(D1801,'Costing'!$A$9:$A$492,0))</x:f>
        <x:v>390000</x:v>
      </x:c>
      <x:c r="J1801" s="17" t="n">
        <x:f>ROUND(I1801*'Costing'!$C$4,2)</x:f>
        <x:v>70200</x:v>
      </x:c>
      <x:c r="K1801" s="17" t="n">
        <x:f>I1801+J1801</x:f>
        <x:v>460200</x:v>
      </x:c>
    </x:row>
    <x:row r="1802" ht="46" customHeight="1">
      <x:c r="A1802" s="2" t="str">
        <x:v>Sector</x:v>
      </x:c>
      <x:c r="B1802" s="2" t="str">
        <x:v>IT &amp; digital</x:v>
      </x:c>
      <x:c r="C1802" s="12" t="str">
        <x:v>Mumbai</x:v>
      </x:c>
      <x:c r="D1802" s="12" t="str">
        <x:v>MAIN-345</x:v>
      </x:c>
      <x:c r="E1802" s="12" t="str">
        <x:v>Sagar Tech Plaza B </x:v>
      </x:c>
      <x:c r="F1802" s="11" t="n">
        <x:v>1</x:v>
      </x:c>
      <x:c r="G1802" s="11" t="n">
        <x:v>1</x:v>
      </x:c>
      <x:c r="H1802" s="11" t="n">
        <x:v>0</x:v>
      </x:c>
      <x:c r="I1802" s="17" t="n">
        <x:f>INDEX('Costing'!$P$9:$P$492,MATCH(D1802,'Costing'!$A$9:$A$492,0))</x:f>
        <x:v>15000</x:v>
      </x:c>
      <x:c r="J1802" s="17" t="n">
        <x:f>ROUND(I1802*'Costing'!$C$4,2)</x:f>
        <x:v>2700</x:v>
      </x:c>
      <x:c r="K1802" s="17" t="n">
        <x:f>I1802+J1802</x:f>
        <x:v>17700</x:v>
      </x:c>
    </x:row>
    <x:row r="1803" ht="46" customHeight="1">
      <x:c r="A1803" s="2" t="str">
        <x:v>Sector</x:v>
      </x:c>
      <x:c r="B1803" s="2" t="str">
        <x:v>IT &amp; digital</x:v>
      </x:c>
      <x:c r="C1803" s="12" t="str">
        <x:v>Mumbai</x:v>
      </x:c>
      <x:c r="D1803" s="12" t="str">
        <x:v>MAIN-346</x:v>
      </x:c>
      <x:c r="E1803" s="12" t="str">
        <x:v>Sagar Tech Plaza B {IE}</x:v>
      </x:c>
      <x:c r="F1803" s="11" t="n">
        <x:v>3</x:v>
      </x:c>
      <x:c r="G1803" s="11" t="n">
        <x:v>3</x:v>
      </x:c>
      <x:c r="H1803" s="11" t="n">
        <x:v>0</x:v>
      </x:c>
      <x:c r="I1803" s="17" t="n">
        <x:f>INDEX('Costing'!$P$9:$P$492,MATCH(D1803,'Costing'!$A$9:$A$492,0))</x:f>
        <x:v>45000</x:v>
      </x:c>
      <x:c r="J1803" s="17" t="n">
        <x:f>ROUND(I1803*'Costing'!$C$4,2)</x:f>
        <x:v>8100</x:v>
      </x:c>
      <x:c r="K1803" s="17" t="n">
        <x:f>I1803+J1803</x:f>
        <x:v>53100</x:v>
      </x:c>
    </x:row>
    <x:row r="1804" ht="46" customHeight="1">
      <x:c r="A1804" s="2" t="str">
        <x:v>Sector</x:v>
      </x:c>
      <x:c r="B1804" s="2" t="str">
        <x:v>IT &amp; digital</x:v>
      </x:c>
      <x:c r="C1804" s="12" t="str">
        <x:v>Mumbai</x:v>
      </x:c>
      <x:c r="D1804" s="12" t="str">
        <x:v>MAIN-347</x:v>
      </x:c>
      <x:c r="E1804" s="12" t="str">
        <x:v>Symphony IT Park (Redbrick Offices)</x:v>
      </x:c>
      <x:c r="F1804" s="11" t="n">
        <x:v>2</x:v>
      </x:c>
      <x:c r="G1804" s="11" t="n">
        <x:v>2</x:v>
      </x:c>
      <x:c r="H1804" s="11" t="n">
        <x:v>0</x:v>
      </x:c>
      <x:c r="I1804" s="17" t="n">
        <x:f>INDEX('Costing'!$P$9:$P$492,MATCH(D1804,'Costing'!$A$9:$A$492,0))</x:f>
        <x:v>24000</x:v>
      </x:c>
      <x:c r="J1804" s="17" t="n">
        <x:f>ROUND(I1804*'Costing'!$C$4,2)</x:f>
        <x:v>4320</x:v>
      </x:c>
      <x:c r="K1804" s="17" t="n">
        <x:f>I1804+J1804</x:f>
        <x:v>28320</x:v>
      </x:c>
    </x:row>
    <x:row r="1805" ht="46" customHeight="1">
      <x:c r="A1805" s="2" t="str">
        <x:v>Sector</x:v>
      </x:c>
      <x:c r="B1805" s="2" t="str">
        <x:v>IT &amp; digital</x:v>
      </x:c>
      <x:c r="C1805" s="12" t="str">
        <x:v>Mumbai</x:v>
      </x:c>
      <x:c r="D1805" s="12" t="str">
        <x:v>MAIN-350</x:v>
      </x:c>
      <x:c r="E1805" s="12" t="str">
        <x:v>The Summit Business Park Premises</x:v>
      </x:c>
      <x:c r="F1805" s="11" t="n">
        <x:v>70</x:v>
      </x:c>
      <x:c r="G1805" s="11" t="n">
        <x:v>70</x:v>
      </x:c>
      <x:c r="H1805" s="11" t="n">
        <x:v>0</x:v>
      </x:c>
      <x:c r="I1805" s="17" t="n">
        <x:f>INDEX('Costing'!$P$9:$P$492,MATCH(D1805,'Costing'!$A$9:$A$492,0))</x:f>
        <x:v>1050000</x:v>
      </x:c>
      <x:c r="J1805" s="17" t="n">
        <x:f>ROUND(I1805*'Costing'!$C$4,2)</x:f>
        <x:v>189000</x:v>
      </x:c>
      <x:c r="K1805" s="17" t="n">
        <x:f>I1805+J1805</x:f>
        <x:v>1239000</x:v>
      </x:c>
    </x:row>
    <x:row r="1806" ht="46" customHeight="1">
      <x:c r="A1806" s="2" t="str">
        <x:v>Sector</x:v>
      </x:c>
      <x:c r="B1806" s="2" t="str">
        <x:v>IT &amp; digital</x:v>
      </x:c>
      <x:c r="C1806" s="12" t="str">
        <x:v>Mumbai</x:v>
      </x:c>
      <x:c r="D1806" s="12" t="str">
        <x:v>MAIN-353</x:v>
      </x:c>
      <x:c r="E1806" s="12" t="str">
        <x:v>WeWork - BKC</x:v>
      </x:c>
      <x:c r="F1806" s="11" t="n">
        <x:v>17</x:v>
      </x:c>
      <x:c r="G1806" s="11" t="n">
        <x:v>17</x:v>
      </x:c>
      <x:c r="H1806" s="11" t="n">
        <x:v>0</x:v>
      </x:c>
      <x:c r="I1806" s="17" t="n">
        <x:f>INDEX('Costing'!$P$9:$P$492,MATCH(D1806,'Costing'!$A$9:$A$492,0))</x:f>
        <x:v>425000</x:v>
      </x:c>
      <x:c r="J1806" s="17" t="n">
        <x:f>ROUND(I1806*'Costing'!$C$4,2)</x:f>
        <x:v>76500</x:v>
      </x:c>
      <x:c r="K1806" s="17" t="n">
        <x:f>I1806+J1806</x:f>
        <x:v>501500</x:v>
      </x:c>
    </x:row>
    <x:row r="1807" ht="46" customHeight="1">
      <x:c r="A1807" s="2" t="str">
        <x:v>Sector</x:v>
      </x:c>
      <x:c r="B1807" s="2" t="str">
        <x:v>IT &amp; digital</x:v>
      </x:c>
      <x:c r="C1807" s="12" t="str">
        <x:v>Mumbai</x:v>
      </x:c>
      <x:c r="D1807" s="12" t="str">
        <x:v>MAIN-357</x:v>
      </x:c>
      <x:c r="E1807" s="12" t="str">
        <x:v>Wework - Raheja Platinum</x:v>
      </x:c>
      <x:c r="F1807" s="11" t="n">
        <x:v>19</x:v>
      </x:c>
      <x:c r="G1807" s="11" t="n">
        <x:v>19</x:v>
      </x:c>
      <x:c r="H1807" s="11" t="n">
        <x:v>0</x:v>
      </x:c>
      <x:c r="I1807" s="17" t="n">
        <x:f>INDEX('Costing'!$P$9:$P$492,MATCH(D1807,'Costing'!$A$9:$A$492,0))</x:f>
        <x:v>475000</x:v>
      </x:c>
      <x:c r="J1807" s="17" t="n">
        <x:f>ROUND(I1807*'Costing'!$C$4,2)</x:f>
        <x:v>85500</x:v>
      </x:c>
      <x:c r="K1807" s="17" t="n">
        <x:f>I1807+J1807</x:f>
        <x:v>560500</x:v>
      </x:c>
    </x:row>
    <x:row r="1808" ht="46" customHeight="1">
      <x:c r="A1808" s="2" t="str">
        <x:v>Sector</x:v>
      </x:c>
      <x:c r="B1808" s="2" t="str">
        <x:v>IT &amp; digital</x:v>
      </x:c>
      <x:c r="C1808" s="12" t="str">
        <x:v>Mumbai</x:v>
      </x:c>
      <x:c r="D1808" s="12" t="str">
        <x:v>MAIN-362</x:v>
      </x:c>
      <x:c r="E1808" s="12" t="str">
        <x:v>WeWork - Zenia</x:v>
      </x:c>
      <x:c r="F1808" s="11" t="n">
        <x:v>12</x:v>
      </x:c>
      <x:c r="G1808" s="11" t="n">
        <x:v>12</x:v>
      </x:c>
      <x:c r="H1808" s="11" t="n">
        <x:v>0</x:v>
      </x:c>
      <x:c r="I1808" s="17" t="n">
        <x:f>INDEX('Costing'!$P$9:$P$492,MATCH(D1808,'Costing'!$A$9:$A$492,0))</x:f>
        <x:v>300000</x:v>
      </x:c>
      <x:c r="J1808" s="17" t="n">
        <x:f>ROUND(I1808*'Costing'!$C$4,2)</x:f>
        <x:v>54000</x:v>
      </x:c>
      <x:c r="K1808" s="17" t="n">
        <x:f>I1808+J1808</x:f>
        <x:v>354000</x:v>
      </x:c>
    </x:row>
    <x:row r="1809" ht="46" customHeight="1">
      <x:c r="A1809" s="2" t="str">
        <x:v>Sector</x:v>
      </x:c>
      <x:c r="B1809" s="2" t="str">
        <x:v>IT &amp; digital</x:v>
      </x:c>
      <x:c r="C1809" s="12" t="str">
        <x:v>Pune</x:v>
      </x:c>
      <x:c r="D1809" s="12" t="str">
        <x:v>MAIN-381</x:v>
      </x:c>
      <x:c r="E1809" s="12" t="str">
        <x:v>Amar Pristine Tech Park</x:v>
      </x:c>
      <x:c r="F1809" s="11" t="n">
        <x:v>4</x:v>
      </x:c>
      <x:c r="G1809" s="11" t="n">
        <x:v>4</x:v>
      </x:c>
      <x:c r="H1809" s="11" t="n">
        <x:v>0</x:v>
      </x:c>
      <x:c r="I1809" s="17" t="n">
        <x:f>INDEX('Costing'!$P$9:$P$492,MATCH(D1809,'Costing'!$A$9:$A$492,0))</x:f>
        <x:v>80000</x:v>
      </x:c>
      <x:c r="J1809" s="17" t="n">
        <x:f>ROUND(I1809*'Costing'!$C$4,2)</x:f>
        <x:v>14400</x:v>
      </x:c>
      <x:c r="K1809" s="17" t="n">
        <x:f>I1809+J1809</x:f>
        <x:v>94400</x:v>
      </x:c>
    </x:row>
    <x:row r="1810" ht="46" customHeight="1">
      <x:c r="A1810" s="2" t="str">
        <x:v>Sector</x:v>
      </x:c>
      <x:c r="B1810" s="2" t="str">
        <x:v>IT &amp; digital</x:v>
      </x:c>
      <x:c r="C1810" s="12" t="str">
        <x:v>Pune</x:v>
      </x:c>
      <x:c r="D1810" s="12" t="str">
        <x:v>MAIN-384</x:v>
      </x:c>
      <x:c r="E1810" s="12" t="str">
        <x:v>Amar Tech Park (TS)</x:v>
      </x:c>
      <x:c r="F1810" s="11" t="n">
        <x:v>2</x:v>
      </x:c>
      <x:c r="G1810" s="11" t="n">
        <x:v>2</x:v>
      </x:c>
      <x:c r="H1810" s="11" t="n">
        <x:v>0</x:v>
      </x:c>
      <x:c r="I1810" s="17" t="n">
        <x:f>INDEX('Costing'!$P$9:$P$492,MATCH(D1810,'Costing'!$A$9:$A$492,0))</x:f>
        <x:v>80000</x:v>
      </x:c>
      <x:c r="J1810" s="17" t="n">
        <x:f>ROUND(I1810*'Costing'!$C$4,2)</x:f>
        <x:v>14400</x:v>
      </x:c>
      <x:c r="K1810" s="17" t="n">
        <x:f>I1810+J1810</x:f>
        <x:v>94400</x:v>
      </x:c>
    </x:row>
    <x:row r="1811" ht="46" customHeight="1">
      <x:c r="A1811" s="2" t="str">
        <x:v>Sector</x:v>
      </x:c>
      <x:c r="B1811" s="2" t="str">
        <x:v>IT &amp; digital</x:v>
      </x:c>
      <x:c r="C1811" s="12" t="str">
        <x:v>Pune</x:v>
      </x:c>
      <x:c r="D1811" s="12" t="str">
        <x:v>MAIN-386</x:v>
      </x:c>
      <x:c r="E1811" s="12" t="str">
        <x:v>Awfis - Amanora Mall</x:v>
      </x:c>
      <x:c r="F1811" s="11" t="n">
        <x:v>1</x:v>
      </x:c>
      <x:c r="G1811" s="11" t="n">
        <x:v>1</x:v>
      </x:c>
      <x:c r="H1811" s="11" t="n">
        <x:v>0</x:v>
      </x:c>
      <x:c r="I1811" s="17" t="n">
        <x:f>INDEX('Costing'!$P$9:$P$492,MATCH(D1811,'Costing'!$A$9:$A$492,0))</x:f>
        <x:v>15000</x:v>
      </x:c>
      <x:c r="J1811" s="17" t="n">
        <x:f>ROUND(I1811*'Costing'!$C$4,2)</x:f>
        <x:v>2700</x:v>
      </x:c>
      <x:c r="K1811" s="17" t="n">
        <x:f>I1811+J1811</x:f>
        <x:v>17700</x:v>
      </x:c>
    </x:row>
    <x:row r="1812" ht="46" customHeight="1">
      <x:c r="A1812" s="2" t="str">
        <x:v>Sector</x:v>
      </x:c>
      <x:c r="B1812" s="2" t="str">
        <x:v>IT &amp; digital</x:v>
      </x:c>
      <x:c r="C1812" s="12" t="str">
        <x:v>Pune</x:v>
      </x:c>
      <x:c r="D1812" s="12" t="str">
        <x:v>MAIN-388</x:v>
      </x:c>
      <x:c r="E1812" s="12" t="str">
        <x:v>Awfis - GK Mall</x:v>
      </x:c>
      <x:c r="F1812" s="11" t="n">
        <x:v>2</x:v>
      </x:c>
      <x:c r="G1812" s="11" t="n">
        <x:v>2</x:v>
      </x:c>
      <x:c r="H1812" s="11" t="n">
        <x:v>0</x:v>
      </x:c>
      <x:c r="I1812" s="17" t="n">
        <x:f>INDEX('Costing'!$P$9:$P$492,MATCH(D1812,'Costing'!$A$9:$A$492,0))</x:f>
        <x:v>30000</x:v>
      </x:c>
      <x:c r="J1812" s="17" t="n">
        <x:f>ROUND(I1812*'Costing'!$C$4,2)</x:f>
        <x:v>5400</x:v>
      </x:c>
      <x:c r="K1812" s="17" t="n">
        <x:f>I1812+J1812</x:f>
        <x:v>35400</x:v>
      </x:c>
    </x:row>
    <x:row r="1813" ht="46" customHeight="1">
      <x:c r="A1813" s="2" t="str">
        <x:v>Sector</x:v>
      </x:c>
      <x:c r="B1813" s="2" t="str">
        <x:v>IT &amp; digital</x:v>
      </x:c>
      <x:c r="C1813" s="12" t="str">
        <x:v>Pune</x:v>
      </x:c>
      <x:c r="D1813" s="12" t="str">
        <x:v>MAIN-389</x:v>
      </x:c>
      <x:c r="E1813" s="12" t="str">
        <x:v>Awfis - Nyati Empress</x:v>
      </x:c>
      <x:c r="F1813" s="11" t="n">
        <x:v>2</x:v>
      </x:c>
      <x:c r="G1813" s="11" t="n">
        <x:v>2</x:v>
      </x:c>
      <x:c r="H1813" s="11" t="n">
        <x:v>0</x:v>
      </x:c>
      <x:c r="I1813" s="17" t="n">
        <x:f>INDEX('Costing'!$P$9:$P$492,MATCH(D1813,'Costing'!$A$9:$A$492,0))</x:f>
        <x:v>30000</x:v>
      </x:c>
      <x:c r="J1813" s="17" t="n">
        <x:f>ROUND(I1813*'Costing'!$C$4,2)</x:f>
        <x:v>5400</x:v>
      </x:c>
      <x:c r="K1813" s="17" t="n">
        <x:f>I1813+J1813</x:f>
        <x:v>35400</x:v>
      </x:c>
    </x:row>
    <x:row r="1814" ht="46" customHeight="1">
      <x:c r="A1814" s="2" t="str">
        <x:v>Sector</x:v>
      </x:c>
      <x:c r="B1814" s="2" t="str">
        <x:v>IT &amp; digital</x:v>
      </x:c>
      <x:c r="C1814" s="12" t="str">
        <x:v>Pune</x:v>
      </x:c>
      <x:c r="D1814" s="12" t="str">
        <x:v>MAIN-394</x:v>
      </x:c>
      <x:c r="E1814" s="12" t="str">
        <x:v>Bootstart - Clover Hills Plaza</x:v>
      </x:c>
      <x:c r="F1814" s="11" t="n">
        <x:v>1</x:v>
      </x:c>
      <x:c r="G1814" s="11" t="n">
        <x:v>1</x:v>
      </x:c>
      <x:c r="H1814" s="11" t="n">
        <x:v>0</x:v>
      </x:c>
      <x:c r="I1814" s="17" t="n">
        <x:f>INDEX('Costing'!$P$9:$P$492,MATCH(D1814,'Costing'!$A$9:$A$492,0))</x:f>
        <x:v>15000</x:v>
      </x:c>
      <x:c r="J1814" s="17" t="n">
        <x:f>ROUND(I1814*'Costing'!$C$4,2)</x:f>
        <x:v>2700</x:v>
      </x:c>
      <x:c r="K1814" s="17" t="n">
        <x:f>I1814+J1814</x:f>
        <x:v>17700</x:v>
      </x:c>
    </x:row>
    <x:row r="1815" ht="46" customHeight="1">
      <x:c r="A1815" s="2" t="str">
        <x:v>Sector</x:v>
      </x:c>
      <x:c r="B1815" s="2" t="str">
        <x:v>IT &amp; digital</x:v>
      </x:c>
      <x:c r="C1815" s="12" t="str">
        <x:v>Pune</x:v>
      </x:c>
      <x:c r="D1815" s="12" t="str">
        <x:v>MAIN-398</x:v>
      </x:c>
      <x:c r="E1815" s="12" t="str">
        <x:v>Credence Global Solutions</x:v>
      </x:c>
      <x:c r="F1815" s="11" t="n">
        <x:v>7</x:v>
      </x:c>
      <x:c r="G1815" s="11" t="n">
        <x:v>7</x:v>
      </x:c>
      <x:c r="H1815" s="11" t="n">
        <x:v>0</x:v>
      </x:c>
      <x:c r="I1815" s="17" t="n">
        <x:f>INDEX('Costing'!$P$9:$P$492,MATCH(D1815,'Costing'!$A$9:$A$492,0))</x:f>
        <x:v>105000</x:v>
      </x:c>
      <x:c r="J1815" s="17" t="n">
        <x:f>ROUND(I1815*'Costing'!$C$4,2)</x:f>
        <x:v>18900</x:v>
      </x:c>
      <x:c r="K1815" s="17" t="n">
        <x:f>I1815+J1815</x:f>
        <x:v>123900</x:v>
      </x:c>
    </x:row>
    <x:row r="1816" ht="46" customHeight="1">
      <x:c r="A1816" s="2" t="str">
        <x:v>Sector</x:v>
      </x:c>
      <x:c r="B1816" s="2" t="str">
        <x:v>IT &amp; digital</x:v>
      </x:c>
      <x:c r="C1816" s="12" t="str">
        <x:v>Pune</x:v>
      </x:c>
      <x:c r="D1816" s="12" t="str">
        <x:v>MAIN-402</x:v>
      </x:c>
      <x:c r="E1816" s="12" t="str">
        <x:v>Kolte Patil Downtown City Vista</x:v>
      </x:c>
      <x:c r="F1816" s="11" t="n">
        <x:v>9</x:v>
      </x:c>
      <x:c r="G1816" s="11" t="n">
        <x:v>9</x:v>
      </x:c>
      <x:c r="H1816" s="11" t="n">
        <x:v>0</x:v>
      </x:c>
      <x:c r="I1816" s="17" t="n">
        <x:f>INDEX('Costing'!$P$9:$P$492,MATCH(D1816,'Costing'!$A$9:$A$492,0))</x:f>
        <x:v>135000</x:v>
      </x:c>
      <x:c r="J1816" s="17" t="n">
        <x:f>ROUND(I1816*'Costing'!$C$4,2)</x:f>
        <x:v>24300</x:v>
      </x:c>
      <x:c r="K1816" s="17" t="n">
        <x:f>I1816+J1816</x:f>
        <x:v>159300</x:v>
      </x:c>
    </x:row>
    <x:row r="1817" ht="46" customHeight="1">
      <x:c r="A1817" s="2" t="str">
        <x:v>Sector</x:v>
      </x:c>
      <x:c r="B1817" s="2" t="str">
        <x:v>IT &amp; digital</x:v>
      </x:c>
      <x:c r="C1817" s="12" t="str">
        <x:v>Pune</x:v>
      </x:c>
      <x:c r="D1817" s="12" t="str">
        <x:v>MAIN-403</x:v>
      </x:c>
      <x:c r="E1817" s="12" t="str">
        <x:v>M Agile Tech Park</x:v>
      </x:c>
      <x:c r="F1817" s="11" t="n">
        <x:v>4</x:v>
      </x:c>
      <x:c r="G1817" s="11" t="n">
        <x:v>4</x:v>
      </x:c>
      <x:c r="H1817" s="11" t="n">
        <x:v>0</x:v>
      </x:c>
      <x:c r="I1817" s="17" t="n">
        <x:f>INDEX('Costing'!$P$9:$P$492,MATCH(D1817,'Costing'!$A$9:$A$492,0))</x:f>
        <x:v>80000</x:v>
      </x:c>
      <x:c r="J1817" s="17" t="n">
        <x:f>ROUND(I1817*'Costing'!$C$4,2)</x:f>
        <x:v>14400</x:v>
      </x:c>
      <x:c r="K1817" s="17" t="n">
        <x:f>I1817+J1817</x:f>
        <x:v>94400</x:v>
      </x:c>
    </x:row>
    <x:row r="1818" ht="46" customHeight="1">
      <x:c r="A1818" s="2" t="str">
        <x:v>Sector</x:v>
      </x:c>
      <x:c r="B1818" s="2" t="str">
        <x:v>IT &amp; digital</x:v>
      </x:c>
      <x:c r="C1818" s="12" t="str">
        <x:v>Pune</x:v>
      </x:c>
      <x:c r="D1818" s="12" t="str">
        <x:v>MAIN-404</x:v>
      </x:c>
      <x:c r="E1818" s="12" t="str">
        <x:v>Mayfield Towers</x:v>
      </x:c>
      <x:c r="F1818" s="11" t="n">
        <x:v>3</x:v>
      </x:c>
      <x:c r="G1818" s="11" t="n">
        <x:v>3</x:v>
      </x:c>
      <x:c r="H1818" s="11" t="n">
        <x:v>0</x:v>
      </x:c>
      <x:c r="I1818" s="17" t="n">
        <x:f>INDEX('Costing'!$P$9:$P$492,MATCH(D1818,'Costing'!$A$9:$A$492,0))</x:f>
        <x:v>60000</x:v>
      </x:c>
      <x:c r="J1818" s="17" t="n">
        <x:f>ROUND(I1818*'Costing'!$C$4,2)</x:f>
        <x:v>10800</x:v>
      </x:c>
      <x:c r="K1818" s="17" t="n">
        <x:f>I1818+J1818</x:f>
        <x:v>70800</x:v>
      </x:c>
    </x:row>
    <x:row r="1819" ht="46" customHeight="1">
      <x:c r="A1819" s="2" t="str">
        <x:v>Sector</x:v>
      </x:c>
      <x:c r="B1819" s="2" t="str">
        <x:v>IT &amp; digital</x:v>
      </x:c>
      <x:c r="C1819" s="12" t="str">
        <x:v>Pune</x:v>
      </x:c>
      <x:c r="D1819" s="12" t="str">
        <x:v>MAIN-405</x:v>
      </x:c>
      <x:c r="E1819" s="12" t="str">
        <x:v>Olympia B Premises</x:v>
      </x:c>
      <x:c r="F1819" s="11" t="n">
        <x:v>1</x:v>
      </x:c>
      <x:c r="G1819" s="11" t="n">
        <x:v>1</x:v>
      </x:c>
      <x:c r="H1819" s="11" t="n">
        <x:v>0</x:v>
      </x:c>
      <x:c r="I1819" s="17" t="n">
        <x:f>INDEX('Costing'!$P$9:$P$492,MATCH(D1819,'Costing'!$A$9:$A$492,0))</x:f>
        <x:v>15000</x:v>
      </x:c>
      <x:c r="J1819" s="17" t="n">
        <x:f>ROUND(I1819*'Costing'!$C$4,2)</x:f>
        <x:v>2700</x:v>
      </x:c>
      <x:c r="K1819" s="17" t="n">
        <x:f>I1819+J1819</x:f>
        <x:v>17700</x:v>
      </x:c>
    </x:row>
    <x:row r="1820" ht="46" customHeight="1">
      <x:c r="A1820" s="2" t="str">
        <x:v>Sector</x:v>
      </x:c>
      <x:c r="B1820" s="2" t="str">
        <x:v>IT &amp; digital</x:v>
      </x:c>
      <x:c r="C1820" s="12" t="str">
        <x:v>Pune</x:v>
      </x:c>
      <x:c r="D1820" s="12" t="str">
        <x:v>MAIN-406</x:v>
      </x:c>
      <x:c r="E1820" s="12" t="str">
        <x:v>OLYMPIA B PREMISES Inside Elevator</x:v>
      </x:c>
      <x:c r="F1820" s="11" t="n">
        <x:v>1</x:v>
      </x:c>
      <x:c r="G1820" s="11" t="n">
        <x:v>1</x:v>
      </x:c>
      <x:c r="H1820" s="11" t="n">
        <x:v>0</x:v>
      </x:c>
      <x:c r="I1820" s="17" t="n">
        <x:f>INDEX('Costing'!$P$9:$P$492,MATCH(D1820,'Costing'!$A$9:$A$492,0))</x:f>
        <x:v>15000</x:v>
      </x:c>
      <x:c r="J1820" s="17" t="n">
        <x:f>ROUND(I1820*'Costing'!$C$4,2)</x:f>
        <x:v>2700</x:v>
      </x:c>
      <x:c r="K1820" s="17" t="n">
        <x:f>I1820+J1820</x:f>
        <x:v>17700</x:v>
      </x:c>
    </x:row>
    <x:row r="1821" ht="46" customHeight="1">
      <x:c r="A1821" s="2" t="str">
        <x:v>Sector</x:v>
      </x:c>
      <x:c r="B1821" s="2" t="str">
        <x:v>IT &amp; digital</x:v>
      </x:c>
      <x:c r="C1821" s="12" t="str">
        <x:v>Pune</x:v>
      </x:c>
      <x:c r="D1821" s="12" t="str">
        <x:v>MAIN-407</x:v>
      </x:c>
      <x:c r="E1821" s="12" t="str">
        <x:v>Oyo Workspace - Innov8 Suman Business Park</x:v>
      </x:c>
      <x:c r="F1821" s="11" t="n">
        <x:v>2</x:v>
      </x:c>
      <x:c r="G1821" s="11" t="n">
        <x:v>2</x:v>
      </x:c>
      <x:c r="H1821" s="11" t="n">
        <x:v>0</x:v>
      </x:c>
      <x:c r="I1821" s="17" t="n">
        <x:f>INDEX('Costing'!$P$9:$P$492,MATCH(D1821,'Costing'!$A$9:$A$492,0))</x:f>
        <x:v>30000</x:v>
      </x:c>
      <x:c r="J1821" s="17" t="n">
        <x:f>ROUND(I1821*'Costing'!$C$4,2)</x:f>
        <x:v>5400</x:v>
      </x:c>
      <x:c r="K1821" s="17" t="n">
        <x:f>I1821+J1821</x:f>
        <x:v>35400</x:v>
      </x:c>
    </x:row>
    <x:row r="1822" ht="46" customHeight="1">
      <x:c r="A1822" s="2" t="str">
        <x:v>Sector</x:v>
      </x:c>
      <x:c r="B1822" s="2" t="str">
        <x:v>IT &amp; digital</x:v>
      </x:c>
      <x:c r="C1822" s="12" t="str">
        <x:v>Pune</x:v>
      </x:c>
      <x:c r="D1822" s="12" t="str">
        <x:v>MAIN-409</x:v>
      </x:c>
      <x:c r="E1822" s="12" t="str">
        <x:v>Pavillion Mall (Redbrick Offices)</x:v>
      </x:c>
      <x:c r="F1822" s="11" t="n">
        <x:v>1</x:v>
      </x:c>
      <x:c r="G1822" s="11" t="n">
        <x:v>1</x:v>
      </x:c>
      <x:c r="H1822" s="11" t="n">
        <x:v>0</x:v>
      </x:c>
      <x:c r="I1822" s="17" t="n">
        <x:f>INDEX('Costing'!$P$9:$P$492,MATCH(D1822,'Costing'!$A$9:$A$492,0))</x:f>
        <x:v>15000</x:v>
      </x:c>
      <x:c r="J1822" s="17" t="n">
        <x:f>ROUND(I1822*'Costing'!$C$4,2)</x:f>
        <x:v>2700</x:v>
      </x:c>
      <x:c r="K1822" s="17" t="n">
        <x:f>I1822+J1822</x:f>
        <x:v>17700</x:v>
      </x:c>
    </x:row>
    <x:row r="1823" ht="46" customHeight="1">
      <x:c r="A1823" s="2" t="str">
        <x:v>Sector</x:v>
      </x:c>
      <x:c r="B1823" s="2" t="str">
        <x:v>IT &amp; digital</x:v>
      </x:c>
      <x:c r="C1823" s="12" t="str">
        <x:v>Pune</x:v>
      </x:c>
      <x:c r="D1823" s="12" t="str">
        <x:v>MAIN-413</x:v>
      </x:c>
      <x:c r="E1823" s="12" t="str">
        <x:v>Raheja Mindspaces - Yerawada</x:v>
      </x:c>
      <x:c r="F1823" s="11" t="n">
        <x:v>2</x:v>
      </x:c>
      <x:c r="G1823" s="11" t="n">
        <x:v>2</x:v>
      </x:c>
      <x:c r="H1823" s="11" t="n">
        <x:v>0</x:v>
      </x:c>
      <x:c r="I1823" s="17" t="n">
        <x:f>INDEX('Costing'!$P$9:$P$492,MATCH(D1823,'Costing'!$A$9:$A$492,0))</x:f>
        <x:v>80000</x:v>
      </x:c>
      <x:c r="J1823" s="17" t="n">
        <x:f>ROUND(I1823*'Costing'!$C$4,2)</x:f>
        <x:v>14400</x:v>
      </x:c>
      <x:c r="K1823" s="17" t="n">
        <x:f>I1823+J1823</x:f>
        <x:v>94400</x:v>
      </x:c>
    </x:row>
    <x:row r="1824" ht="46" customHeight="1">
      <x:c r="A1824" s="2" t="str">
        <x:v>Sector</x:v>
      </x:c>
      <x:c r="B1824" s="2" t="str">
        <x:v>IT &amp; digital</x:v>
      </x:c>
      <x:c r="C1824" s="12" t="str">
        <x:v>Pune</x:v>
      </x:c>
      <x:c r="D1824" s="12" t="str">
        <x:v>MAIN-414</x:v>
      </x:c>
      <x:c r="E1824" s="12" t="str">
        <x:v>Smartworks Amar Madhuban Tech Park</x:v>
      </x:c>
      <x:c r="F1824" s="11" t="n">
        <x:v>3</x:v>
      </x:c>
      <x:c r="G1824" s="11" t="n">
        <x:v>3</x:v>
      </x:c>
      <x:c r="H1824" s="11" t="n">
        <x:v>0</x:v>
      </x:c>
      <x:c r="I1824" s="17" t="n">
        <x:f>INDEX('Costing'!$P$9:$P$492,MATCH(D1824,'Costing'!$A$9:$A$492,0))</x:f>
        <x:v>60000</x:v>
      </x:c>
      <x:c r="J1824" s="17" t="n">
        <x:f>ROUND(I1824*'Costing'!$C$4,2)</x:f>
        <x:v>10800</x:v>
      </x:c>
      <x:c r="K1824" s="17" t="n">
        <x:f>I1824+J1824</x:f>
        <x:v>70800</x:v>
      </x:c>
    </x:row>
    <x:row r="1825" ht="46" customHeight="1">
      <x:c r="A1825" s="2" t="str">
        <x:v>Sector</x:v>
      </x:c>
      <x:c r="B1825" s="2" t="str">
        <x:v>IT &amp; digital</x:v>
      </x:c>
      <x:c r="C1825" s="12" t="str">
        <x:v>Pune</x:v>
      </x:c>
      <x:c r="D1825" s="12" t="str">
        <x:v>MAIN-421</x:v>
      </x:c>
      <x:c r="E1825" s="12" t="str">
        <x:v>WeWork - World Trade Centre</x:v>
      </x:c>
      <x:c r="F1825" s="11" t="n">
        <x:v>4</x:v>
      </x:c>
      <x:c r="G1825" s="11" t="n">
        <x:v>4</x:v>
      </x:c>
      <x:c r="H1825" s="11" t="n">
        <x:v>0</x:v>
      </x:c>
      <x:c r="I1825" s="17" t="n">
        <x:f>INDEX('Costing'!$P$9:$P$492,MATCH(D1825,'Costing'!$A$9:$A$492,0))</x:f>
        <x:v>100000</x:v>
      </x:c>
      <x:c r="J1825" s="17" t="n">
        <x:f>ROUND(I1825*'Costing'!$C$4,2)</x:f>
        <x:v>18000</x:v>
      </x:c>
      <x:c r="K1825" s="17" t="n">
        <x:f>I1825+J1825</x:f>
        <x:v>118000</x:v>
      </x:c>
    </x:row>
    <x:row r="1826" ht="46" customHeight="1">
      <x:c r="A1826" s="2" t="str">
        <x:v>Sector</x:v>
      </x:c>
      <x:c r="B1826" s="2" t="str">
        <x:v>IT &amp; digital</x:v>
      </x:c>
      <x:c r="C1826" s="12" t="str">
        <x:v>Pune</x:v>
      </x:c>
      <x:c r="D1826" s="12" t="str">
        <x:v>MAIN-422</x:v>
      </x:c>
      <x:c r="E1826" s="12" t="str">
        <x:v>Workflow by Oyo - Icon Tower</x:v>
      </x:c>
      <x:c r="F1826" s="11" t="n">
        <x:v>3</x:v>
      </x:c>
      <x:c r="G1826" s="11" t="n">
        <x:v>3</x:v>
      </x:c>
      <x:c r="H1826" s="11" t="n">
        <x:v>0</x:v>
      </x:c>
      <x:c r="I1826" s="17" t="n">
        <x:f>INDEX('Costing'!$P$9:$P$492,MATCH(D1826,'Costing'!$A$9:$A$492,0))</x:f>
        <x:v>45000</x:v>
      </x:c>
      <x:c r="J1826" s="17" t="n">
        <x:f>ROUND(I1826*'Costing'!$C$4,2)</x:f>
        <x:v>8100</x:v>
      </x:c>
      <x:c r="K1826" s="17" t="n">
        <x:f>I1826+J1826</x:f>
        <x:v>53100</x:v>
      </x:c>
    </x:row>
    <x:row r="1827" ht="46" customHeight="1">
      <x:c r="A1827" s="2" t="str">
        <x:v>Sector</x:v>
      </x:c>
      <x:c r="B1827" s="2" t="str">
        <x:v>IT &amp; digital</x:v>
      </x:c>
      <x:c r="C1827" s="12" t="str">
        <x:v>Bengaluru</x:v>
      </x:c>
      <x:c r="D1827" s="12" t="str">
        <x:v>PARTNER-M138</x:v>
      </x:c>
      <x:c r="E1827" s="12" t="str">
        <x:v>Bagmane Capital</x:v>
      </x:c>
      <x:c r="F1827" s="11" t="n">
        <x:v>8</x:v>
      </x:c>
      <x:c r="G1827" s="11" t="n">
        <x:v>8</x:v>
      </x:c>
      <x:c r="H1827" s="11" t="n">
        <x:v>0</x:v>
      </x:c>
      <x:c r="I1827" s="17" t="n">
        <x:f>INDEX('Costing'!$P$9:$P$492,MATCH(D1827,'Costing'!$A$9:$A$492,0))</x:f>
        <x:v>320000</x:v>
      </x:c>
      <x:c r="J1827" s="17" t="n">
        <x:f>ROUND(I1827*'Costing'!$C$4,2)</x:f>
        <x:v>57600</x:v>
      </x:c>
      <x:c r="K1827" s="17" t="n">
        <x:f>I1827+J1827</x:f>
        <x:v>377600</x:v>
      </x:c>
    </x:row>
    <x:row r="1828" ht="46" customHeight="1">
      <x:c r="A1828" s="2" t="str">
        <x:v>Sector</x:v>
      </x:c>
      <x:c r="B1828" s="2" t="str">
        <x:v>IT &amp; digital</x:v>
      </x:c>
      <x:c r="C1828" s="12" t="str">
        <x:v>Bengaluru</x:v>
      </x:c>
      <x:c r="D1828" s="12" t="str">
        <x:v>PARTNER-M130</x:v>
      </x:c>
      <x:c r="E1828" s="12" t="str">
        <x:v>Bagmane Constellation </x:v>
      </x:c>
      <x:c r="F1828" s="11" t="n">
        <x:v>8</x:v>
      </x:c>
      <x:c r="G1828" s="11" t="n">
        <x:v>8</x:v>
      </x:c>
      <x:c r="H1828" s="11" t="n">
        <x:v>0</x:v>
      </x:c>
      <x:c r="I1828" s="17" t="n">
        <x:f>INDEX('Costing'!$P$9:$P$492,MATCH(D1828,'Costing'!$A$9:$A$492,0))</x:f>
        <x:v>320000</x:v>
      </x:c>
      <x:c r="J1828" s="17" t="n">
        <x:f>ROUND(I1828*'Costing'!$C$4,2)</x:f>
        <x:v>57600</x:v>
      </x:c>
      <x:c r="K1828" s="17" t="n">
        <x:f>I1828+J1828</x:f>
        <x:v>377600</x:v>
      </x:c>
    </x:row>
    <x:row r="1829" ht="46" customHeight="1">
      <x:c r="A1829" s="2" t="str">
        <x:v>Sector</x:v>
      </x:c>
      <x:c r="B1829" s="2" t="str">
        <x:v>IT &amp; digital</x:v>
      </x:c>
      <x:c r="C1829" s="12" t="str">
        <x:v>Bengaluru</x:v>
      </x:c>
      <x:c r="D1829" s="12" t="str">
        <x:v>PARTNER-M146</x:v>
      </x:c>
      <x:c r="E1829" s="12" t="str">
        <x:v>Bagmane Solarium</x:v>
      </x:c>
      <x:c r="F1829" s="11" t="n">
        <x:v>8</x:v>
      </x:c>
      <x:c r="G1829" s="11" t="n">
        <x:v>8</x:v>
      </x:c>
      <x:c r="H1829" s="11" t="n">
        <x:v>0</x:v>
      </x:c>
      <x:c r="I1829" s="17" t="n">
        <x:f>INDEX('Costing'!$P$9:$P$492,MATCH(D1829,'Costing'!$A$9:$A$492,0))</x:f>
        <x:v>320000</x:v>
      </x:c>
      <x:c r="J1829" s="17" t="n">
        <x:f>ROUND(I1829*'Costing'!$C$4,2)</x:f>
        <x:v>57600</x:v>
      </x:c>
      <x:c r="K1829" s="17" t="n">
        <x:f>I1829+J1829</x:f>
        <x:v>377600</x:v>
      </x:c>
    </x:row>
    <x:row r="1830" ht="46" customHeight="1">
      <x:c r="A1830" s="2" t="str">
        <x:v>Sector</x:v>
      </x:c>
      <x:c r="B1830" s="2" t="str">
        <x:v>IT &amp; digital</x:v>
      </x:c>
      <x:c r="C1830" s="12" t="str">
        <x:v>Bengaluru</x:v>
      </x:c>
      <x:c r="D1830" s="12" t="str">
        <x:v>PARTNER-M108</x:v>
      </x:c>
      <x:c r="E1830" s="12" t="str">
        <x:v>Bagmane Tech Park</x:v>
      </x:c>
      <x:c r="F1830" s="11" t="n">
        <x:v>12</x:v>
      </x:c>
      <x:c r="G1830" s="11" t="n">
        <x:v>12</x:v>
      </x:c>
      <x:c r="H1830" s="11" t="n">
        <x:v>0</x:v>
      </x:c>
      <x:c r="I1830" s="17" t="n">
        <x:f>INDEX('Costing'!$P$9:$P$492,MATCH(D1830,'Costing'!$A$9:$A$492,0))</x:f>
        <x:v>480000</x:v>
      </x:c>
      <x:c r="J1830" s="17" t="n">
        <x:f>ROUND(I1830*'Costing'!$C$4,2)</x:f>
        <x:v>86400</x:v>
      </x:c>
      <x:c r="K1830" s="17" t="n">
        <x:f>I1830+J1830</x:f>
        <x:v>566400</x:v>
      </x:c>
    </x:row>
    <x:row r="1831" ht="46" customHeight="1">
      <x:c r="A1831" s="2" t="str">
        <x:v>Sector</x:v>
      </x:c>
      <x:c r="B1831" s="2" t="str">
        <x:v>IT &amp; digital</x:v>
      </x:c>
      <x:c r="C1831" s="12" t="str">
        <x:v>Bengaluru</x:v>
      </x:c>
      <x:c r="D1831" s="12" t="str">
        <x:v>PARTNER-M120</x:v>
      </x:c>
      <x:c r="E1831" s="12" t="str">
        <x:v>Bagmane World Technology Centre</x:v>
      </x:c>
      <x:c r="F1831" s="11" t="n">
        <x:v>10</x:v>
      </x:c>
      <x:c r="G1831" s="11" t="n">
        <x:v>10</x:v>
      </x:c>
      <x:c r="H1831" s="11" t="n">
        <x:v>0</x:v>
      </x:c>
      <x:c r="I1831" s="17" t="n">
        <x:f>INDEX('Costing'!$P$9:$P$492,MATCH(D1831,'Costing'!$A$9:$A$492,0))</x:f>
        <x:v>400000</x:v>
      </x:c>
      <x:c r="J1831" s="17" t="n">
        <x:f>ROUND(I1831*'Costing'!$C$4,2)</x:f>
        <x:v>72000</x:v>
      </x:c>
      <x:c r="K1831" s="17" t="n">
        <x:f>I1831+J1831</x:f>
        <x:v>472000</x:v>
      </x:c>
    </x:row>
    <x:row r="1832" ht="46" customHeight="1">
      <x:c r="A1832" s="2" t="str">
        <x:v>Sector</x:v>
      </x:c>
      <x:c r="B1832" s="2" t="str">
        <x:v>IT &amp; digital</x:v>
      </x:c>
      <x:c r="C1832" s="12" t="str">
        <x:v>Bengaluru</x:v>
      </x:c>
      <x:c r="D1832" s="12" t="str">
        <x:v>PARTNER-M056</x:v>
      </x:c>
      <x:c r="E1832" s="12" t="str">
        <x:v>Brigade IRV</x:v>
      </x:c>
      <x:c r="F1832" s="11" t="n">
        <x:v>4</x:v>
      </x:c>
      <x:c r="G1832" s="11" t="n">
        <x:v>4</x:v>
      </x:c>
      <x:c r="H1832" s="11" t="n">
        <x:v>0</x:v>
      </x:c>
      <x:c r="I1832" s="17" t="n">
        <x:f>INDEX('Costing'!$P$9:$P$492,MATCH(D1832,'Costing'!$A$9:$A$492,0))</x:f>
        <x:v>160000</x:v>
      </x:c>
      <x:c r="J1832" s="17" t="n">
        <x:f>ROUND(I1832*'Costing'!$C$4,2)</x:f>
        <x:v>28800</x:v>
      </x:c>
      <x:c r="K1832" s="17" t="n">
        <x:f>I1832+J1832</x:f>
        <x:v>188800</x:v>
      </x:c>
    </x:row>
    <x:row r="1833" ht="46" customHeight="1">
      <x:c r="A1833" s="2" t="str">
        <x:v>Sector</x:v>
      </x:c>
      <x:c r="B1833" s="2" t="str">
        <x:v>IT &amp; digital</x:v>
      </x:c>
      <x:c r="C1833" s="12" t="str">
        <x:v>Bengaluru</x:v>
      </x:c>
      <x:c r="D1833" s="12" t="str">
        <x:v>PARTNER-M067</x:v>
      </x:c>
      <x:c r="E1833" s="12" t="str">
        <x:v>Cessna - Embassy Tech Square</x:v>
      </x:c>
      <x:c r="F1833" s="11" t="n">
        <x:v>3</x:v>
      </x:c>
      <x:c r="G1833" s="11" t="n">
        <x:v>3</x:v>
      </x:c>
      <x:c r="H1833" s="11" t="n">
        <x:v>0</x:v>
      </x:c>
      <x:c r="I1833" s="17" t="n">
        <x:f>INDEX('Costing'!$P$9:$P$492,MATCH(D1833,'Costing'!$A$9:$A$492,0))</x:f>
        <x:v>120000</x:v>
      </x:c>
      <x:c r="J1833" s="17" t="n">
        <x:f>ROUND(I1833*'Costing'!$C$4,2)</x:f>
        <x:v>21600</x:v>
      </x:c>
      <x:c r="K1833" s="17" t="n">
        <x:f>I1833+J1833</x:f>
        <x:v>141600</x:v>
      </x:c>
    </x:row>
    <x:row r="1834" ht="46" customHeight="1">
      <x:c r="A1834" s="2" t="str">
        <x:v>Sector</x:v>
      </x:c>
      <x:c r="B1834" s="2" t="str">
        <x:v>IT &amp; digital</x:v>
      </x:c>
      <x:c r="C1834" s="12" t="str">
        <x:v>Bengaluru</x:v>
      </x:c>
      <x:c r="D1834" s="12" t="str">
        <x:v>PARTNER-M166</x:v>
      </x:c>
      <x:c r="E1834" s="12" t="str">
        <x:v>Cessna Business Park</x:v>
      </x:c>
      <x:c r="F1834" s="11" t="n">
        <x:v>3</x:v>
      </x:c>
      <x:c r="G1834" s="11" t="n">
        <x:v>3</x:v>
      </x:c>
      <x:c r="H1834" s="11" t="n">
        <x:v>0</x:v>
      </x:c>
      <x:c r="I1834" s="17" t="n">
        <x:f>INDEX('Costing'!$P$9:$P$492,MATCH(D1834,'Costing'!$A$9:$A$492,0))</x:f>
        <x:v>120000</x:v>
      </x:c>
      <x:c r="J1834" s="17" t="n">
        <x:f>ROUND(I1834*'Costing'!$C$4,2)</x:f>
        <x:v>21600</x:v>
      </x:c>
      <x:c r="K1834" s="17" t="n">
        <x:f>I1834+J1834</x:f>
        <x:v>141600</x:v>
      </x:c>
    </x:row>
    <x:row r="1835" ht="46" customHeight="1">
      <x:c r="A1835" s="2" t="str">
        <x:v>Sector</x:v>
      </x:c>
      <x:c r="B1835" s="2" t="str">
        <x:v>IT &amp; digital</x:v>
      </x:c>
      <x:c r="C1835" s="12" t="str">
        <x:v>Bengaluru</x:v>
      </x:c>
      <x:c r="D1835" s="12" t="str">
        <x:v>PARTNER-M162</x:v>
      </x:c>
      <x:c r="E1835" s="12" t="str">
        <x:v>Fincity Corproate Park </x:v>
      </x:c>
      <x:c r="F1835" s="11" t="n">
        <x:v>4</x:v>
      </x:c>
      <x:c r="G1835" s="11" t="n">
        <x:v>4</x:v>
      </x:c>
      <x:c r="H1835" s="11" t="n">
        <x:v>0</x:v>
      </x:c>
      <x:c r="I1835" s="17" t="n">
        <x:f>INDEX('Costing'!$P$9:$P$492,MATCH(D1835,'Costing'!$A$9:$A$492,0))</x:f>
        <x:v>160000</x:v>
      </x:c>
      <x:c r="J1835" s="17" t="n">
        <x:f>ROUND(I1835*'Costing'!$C$4,2)</x:f>
        <x:v>28800</x:v>
      </x:c>
      <x:c r="K1835" s="17" t="n">
        <x:f>I1835+J1835</x:f>
        <x:v>188800</x:v>
      </x:c>
    </x:row>
    <x:row r="1836" ht="46" customHeight="1">
      <x:c r="A1836" s="2" t="str">
        <x:v>Sector</x:v>
      </x:c>
      <x:c r="B1836" s="2" t="str">
        <x:v>IT &amp; digital</x:v>
      </x:c>
      <x:c r="C1836" s="12" t="str">
        <x:v>Bengaluru</x:v>
      </x:c>
      <x:c r="D1836" s="12" t="str">
        <x:v>PARTNER-M065</x:v>
      </x:c>
      <x:c r="E1836" s="12" t="str">
        <x:v>First Technology Park</x:v>
      </x:c>
      <x:c r="F1836" s="11" t="n">
        <x:v>2</x:v>
      </x:c>
      <x:c r="G1836" s="11" t="n">
        <x:v>2</x:v>
      </x:c>
      <x:c r="H1836" s="11" t="n">
        <x:v>0</x:v>
      </x:c>
      <x:c r="I1836" s="17" t="n">
        <x:f>INDEX('Costing'!$P$9:$P$492,MATCH(D1836,'Costing'!$A$9:$A$492,0))</x:f>
        <x:v>80000</x:v>
      </x:c>
      <x:c r="J1836" s="17" t="n">
        <x:f>ROUND(I1836*'Costing'!$C$4,2)</x:f>
        <x:v>14400</x:v>
      </x:c>
      <x:c r="K1836" s="17" t="n">
        <x:f>I1836+J1836</x:f>
        <x:v>94400</x:v>
      </x:c>
    </x:row>
    <x:row r="1837" ht="46" customHeight="1">
      <x:c r="A1837" s="2" t="str">
        <x:v>Sector</x:v>
      </x:c>
      <x:c r="B1837" s="2" t="str">
        <x:v>IT &amp; digital</x:v>
      </x:c>
      <x:c r="C1837" s="12" t="str">
        <x:v>Bengaluru</x:v>
      </x:c>
      <x:c r="D1837" s="12" t="str">
        <x:v>PARTNER-M060</x:v>
      </x:c>
      <x:c r="E1837" s="12" t="str">
        <x:v>Global Tech Park</x:v>
      </x:c>
      <x:c r="F1837" s="11" t="n">
        <x:v>5</x:v>
      </x:c>
      <x:c r="G1837" s="11" t="n">
        <x:v>5</x:v>
      </x:c>
      <x:c r="H1837" s="11" t="n">
        <x:v>0</x:v>
      </x:c>
      <x:c r="I1837" s="17" t="n">
        <x:f>INDEX('Costing'!$P$9:$P$492,MATCH(D1837,'Costing'!$A$9:$A$492,0))</x:f>
        <x:v>200000</x:v>
      </x:c>
      <x:c r="J1837" s="17" t="n">
        <x:f>ROUND(I1837*'Costing'!$C$4,2)</x:f>
        <x:v>36000</x:v>
      </x:c>
      <x:c r="K1837" s="17" t="n">
        <x:f>I1837+J1837</x:f>
        <x:v>236000</x:v>
      </x:c>
    </x:row>
    <x:row r="1838" ht="46" customHeight="1">
      <x:c r="A1838" s="2" t="str">
        <x:v>Sector</x:v>
      </x:c>
      <x:c r="B1838" s="2" t="str">
        <x:v>IT &amp; digital</x:v>
      </x:c>
      <x:c r="C1838" s="12" t="str">
        <x:v>Bengaluru</x:v>
      </x:c>
      <x:c r="D1838" s="12" t="str">
        <x:v>PARTNER-M011</x:v>
      </x:c>
      <x:c r="E1838" s="12" t="str">
        <x:v>International Tech Park (ITPB - SEZ)</x:v>
      </x:c>
      <x:c r="F1838" s="11" t="n">
        <x:v>3</x:v>
      </x:c>
      <x:c r="G1838" s="11" t="n">
        <x:v>3</x:v>
      </x:c>
      <x:c r="H1838" s="11" t="n">
        <x:v>0</x:v>
      </x:c>
      <x:c r="I1838" s="17" t="n">
        <x:f>INDEX('Costing'!$P$9:$P$492,MATCH(D1838,'Costing'!$A$9:$A$492,0))</x:f>
        <x:v>120000</x:v>
      </x:c>
      <x:c r="J1838" s="17" t="n">
        <x:f>ROUND(I1838*'Costing'!$C$4,2)</x:f>
        <x:v>21600</x:v>
      </x:c>
      <x:c r="K1838" s="17" t="n">
        <x:f>I1838+J1838</x:f>
        <x:v>141600</x:v>
      </x:c>
    </x:row>
    <x:row r="1839" ht="46" customHeight="1">
      <x:c r="A1839" s="2" t="str">
        <x:v>Sector</x:v>
      </x:c>
      <x:c r="B1839" s="2" t="str">
        <x:v>IT &amp; digital</x:v>
      </x:c>
      <x:c r="C1839" s="12" t="str">
        <x:v>Bengaluru</x:v>
      </x:c>
      <x:c r="D1839" s="12" t="str">
        <x:v>PARTNER-M002</x:v>
      </x:c>
      <x:c r="E1839" s="12" t="str">
        <x:v>International Tech Park (ITPB)</x:v>
      </x:c>
      <x:c r="F1839" s="11" t="n">
        <x:v>9</x:v>
      </x:c>
      <x:c r="G1839" s="11" t="n">
        <x:v>9</x:v>
      </x:c>
      <x:c r="H1839" s="11" t="n">
        <x:v>0</x:v>
      </x:c>
      <x:c r="I1839" s="17" t="n">
        <x:f>INDEX('Costing'!$P$9:$P$492,MATCH(D1839,'Costing'!$A$9:$A$492,0))</x:f>
        <x:v>360000</x:v>
      </x:c>
      <x:c r="J1839" s="17" t="n">
        <x:f>ROUND(I1839*'Costing'!$C$4,2)</x:f>
        <x:v>64800</x:v>
      </x:c>
      <x:c r="K1839" s="17" t="n">
        <x:f>I1839+J1839</x:f>
        <x:v>424800</x:v>
      </x:c>
    </x:row>
    <x:row r="1840" ht="46" customHeight="1">
      <x:c r="A1840" s="2" t="str">
        <x:v>Sector</x:v>
      </x:c>
      <x:c r="B1840" s="2" t="str">
        <x:v>IT &amp; digital</x:v>
      </x:c>
      <x:c r="C1840" s="12" t="str">
        <x:v>Bengaluru</x:v>
      </x:c>
      <x:c r="D1840" s="12" t="str">
        <x:v>PARTNER-M051</x:v>
      </x:c>
      <x:c r="E1840" s="12" t="str">
        <x:v>Manyata Tech park - Mfar</x:v>
      </x:c>
      <x:c r="F1840" s="11" t="n">
        <x:v>5</x:v>
      </x:c>
      <x:c r="G1840" s="11" t="n">
        <x:v>5</x:v>
      </x:c>
      <x:c r="H1840" s="11" t="n">
        <x:v>0</x:v>
      </x:c>
      <x:c r="I1840" s="17" t="n">
        <x:f>INDEX('Costing'!$P$9:$P$492,MATCH(D1840,'Costing'!$A$9:$A$492,0))</x:f>
        <x:v>200000</x:v>
      </x:c>
      <x:c r="J1840" s="17" t="n">
        <x:f>ROUND(I1840*'Costing'!$C$4,2)</x:f>
        <x:v>36000</x:v>
      </x:c>
      <x:c r="K1840" s="17" t="n">
        <x:f>I1840+J1840</x:f>
        <x:v>236000</x:v>
      </x:c>
    </x:row>
    <x:row r="1841" ht="46" customHeight="1">
      <x:c r="A1841" s="2" t="str">
        <x:v>Sector</x:v>
      </x:c>
      <x:c r="B1841" s="2" t="str">
        <x:v>IT &amp; digital</x:v>
      </x:c>
      <x:c r="C1841" s="12" t="str">
        <x:v>Bengaluru</x:v>
      </x:c>
      <x:c r="D1841" s="12" t="str">
        <x:v>PARTNER-M154</x:v>
      </x:c>
      <x:c r="E1841" s="12" t="str">
        <x:v>Maruthi Infotech Center</x:v>
      </x:c>
      <x:c r="F1841" s="11" t="n">
        <x:v>8</x:v>
      </x:c>
      <x:c r="G1841" s="11" t="n">
        <x:v>8</x:v>
      </x:c>
      <x:c r="H1841" s="11" t="n">
        <x:v>0</x:v>
      </x:c>
      <x:c r="I1841" s="17" t="n">
        <x:f>INDEX('Costing'!$P$9:$P$492,MATCH(D1841,'Costing'!$A$9:$A$492,0))</x:f>
        <x:v>320000</x:v>
      </x:c>
      <x:c r="J1841" s="17" t="n">
        <x:f>ROUND(I1841*'Costing'!$C$4,2)</x:f>
        <x:v>57600</x:v>
      </x:c>
      <x:c r="K1841" s="17" t="n">
        <x:f>I1841+J1841</x:f>
        <x:v>377600</x:v>
      </x:c>
    </x:row>
    <x:row r="1842" ht="46" customHeight="1">
      <x:c r="A1842" s="2" t="str">
        <x:v>Sector</x:v>
      </x:c>
      <x:c r="B1842" s="2" t="str">
        <x:v>IT &amp; digital</x:v>
      </x:c>
      <x:c r="C1842" s="12" t="str">
        <x:v>Bengaluru</x:v>
      </x:c>
      <x:c r="D1842" s="12" t="str">
        <x:v>PARTNER-M097</x:v>
      </x:c>
      <x:c r="E1842" s="12" t="str">
        <x:v>Prestige Blue Chip </x:v>
      </x:c>
      <x:c r="F1842" s="11" t="n">
        <x:v>3</x:v>
      </x:c>
      <x:c r="G1842" s="11" t="n">
        <x:v>3</x:v>
      </x:c>
      <x:c r="H1842" s="11" t="n">
        <x:v>0</x:v>
      </x:c>
      <x:c r="I1842" s="17" t="n">
        <x:f>INDEX('Costing'!$P$9:$P$492,MATCH(D1842,'Costing'!$A$9:$A$492,0))</x:f>
        <x:v>120000</x:v>
      </x:c>
      <x:c r="J1842" s="17" t="n">
        <x:f>ROUND(I1842*'Costing'!$C$4,2)</x:f>
        <x:v>21600</x:v>
      </x:c>
      <x:c r="K1842" s="17" t="n">
        <x:f>I1842+J1842</x:f>
        <x:v>141600</x:v>
      </x:c>
    </x:row>
    <x:row r="1843" ht="46" customHeight="1">
      <x:c r="A1843" s="2" t="str">
        <x:v>Sector</x:v>
      </x:c>
      <x:c r="B1843" s="2" t="str">
        <x:v>IT &amp; digital</x:v>
      </x:c>
      <x:c r="C1843" s="12" t="str">
        <x:v>Bengaluru</x:v>
      </x:c>
      <x:c r="D1843" s="12" t="str">
        <x:v>PARTNER-M100</x:v>
      </x:c>
      <x:c r="E1843" s="12" t="str">
        <x:v>Prestige Obelisk + Prestige Atrium + Prestige Sapphire + Prestige Al Kareem + Prestige Delta</x:v>
      </x:c>
      <x:c r="F1843" s="11" t="n">
        <x:v>8</x:v>
      </x:c>
      <x:c r="G1843" s="11" t="n">
        <x:v>8</x:v>
      </x:c>
      <x:c r="H1843" s="11" t="n">
        <x:v>0</x:v>
      </x:c>
      <x:c r="I1843" s="17" t="n">
        <x:f>INDEX('Costing'!$P$9:$P$492,MATCH(D1843,'Costing'!$A$9:$A$492,0))</x:f>
        <x:v>320000</x:v>
      </x:c>
      <x:c r="J1843" s="17" t="n">
        <x:f>ROUND(I1843*'Costing'!$C$4,2)</x:f>
        <x:v>57600</x:v>
      </x:c>
      <x:c r="K1843" s="17" t="n">
        <x:f>I1843+J1843</x:f>
        <x:v>377600</x:v>
      </x:c>
    </x:row>
    <x:row r="1844" ht="46" customHeight="1">
      <x:c r="A1844" s="2" t="str">
        <x:v>Sector</x:v>
      </x:c>
      <x:c r="B1844" s="2" t="str">
        <x:v>IT &amp; digital</x:v>
      </x:c>
      <x:c r="C1844" s="12" t="str">
        <x:v>Bengaluru</x:v>
      </x:c>
      <x:c r="D1844" s="12" t="str">
        <x:v>PARTNER-M027</x:v>
      </x:c>
      <x:c r="E1844" s="12" t="str">
        <x:v>Prestige Shantiniketan</x:v>
      </x:c>
      <x:c r="F1844" s="11" t="n">
        <x:v>7</x:v>
      </x:c>
      <x:c r="G1844" s="11" t="n">
        <x:v>7</x:v>
      </x:c>
      <x:c r="H1844" s="11" t="n">
        <x:v>0</x:v>
      </x:c>
      <x:c r="I1844" s="17" t="n">
        <x:f>INDEX('Costing'!$P$9:$P$492,MATCH(D1844,'Costing'!$A$9:$A$492,0))</x:f>
        <x:v>280000</x:v>
      </x:c>
      <x:c r="J1844" s="17" t="n">
        <x:f>ROUND(I1844*'Costing'!$C$4,2)</x:f>
        <x:v>50400</x:v>
      </x:c>
      <x:c r="K1844" s="17" t="n">
        <x:f>I1844+J1844</x:f>
        <x:v>330400</x:v>
      </x:c>
    </x:row>
    <x:row r="1845" ht="46" customHeight="1">
      <x:c r="A1845" s="2" t="str">
        <x:v>Sector</x:v>
      </x:c>
      <x:c r="B1845" s="2" t="str">
        <x:v>IT &amp; digital</x:v>
      </x:c>
      <x:c r="C1845" s="12" t="str">
        <x:v>Bengaluru</x:v>
      </x:c>
      <x:c r="D1845" s="12" t="str">
        <x:v>PARTNER-M082</x:v>
      </x:c>
      <x:c r="E1845" s="12" t="str">
        <x:v>Prestige Sterling Square + Prestige Solitaire + Prestige Sigma + Prestige Loka + Prestige Emerald + Prestige Towers</x:v>
      </x:c>
      <x:c r="F1845" s="11" t="n">
        <x:v>11</x:v>
      </x:c>
      <x:c r="G1845" s="11" t="n">
        <x:v>11</x:v>
      </x:c>
      <x:c r="H1845" s="11" t="n">
        <x:v>0</x:v>
      </x:c>
      <x:c r="I1845" s="17" t="n">
        <x:f>INDEX('Costing'!$P$9:$P$492,MATCH(D1845,'Costing'!$A$9:$A$492,0))</x:f>
        <x:v>440000</x:v>
      </x:c>
      <x:c r="J1845" s="17" t="n">
        <x:f>ROUND(I1845*'Costing'!$C$4,2)</x:f>
        <x:v>79200</x:v>
      </x:c>
      <x:c r="K1845" s="17" t="n">
        <x:f>I1845+J1845</x:f>
        <x:v>519200</x:v>
      </x:c>
    </x:row>
    <x:row r="1846" ht="46" customHeight="1">
      <x:c r="A1846" s="2" t="str">
        <x:v>Sector</x:v>
      </x:c>
      <x:c r="B1846" s="2" t="str">
        <x:v>IT &amp; digital</x:v>
      </x:c>
      <x:c r="C1846" s="12" t="str">
        <x:v>Bengaluru</x:v>
      </x:c>
      <x:c r="D1846" s="12" t="str">
        <x:v>PARTNER-M093</x:v>
      </x:c>
      <x:c r="E1846" s="12" t="str">
        <x:v>Prestige Summit</x:v>
      </x:c>
      <x:c r="F1846" s="11" t="n">
        <x:v>4</x:v>
      </x:c>
      <x:c r="G1846" s="11" t="n">
        <x:v>4</x:v>
      </x:c>
      <x:c r="H1846" s="11" t="n">
        <x:v>0</x:v>
      </x:c>
      <x:c r="I1846" s="17" t="n">
        <x:f>INDEX('Costing'!$P$9:$P$492,MATCH(D1846,'Costing'!$A$9:$A$492,0))</x:f>
        <x:v>160000</x:v>
      </x:c>
      <x:c r="J1846" s="17" t="n">
        <x:f>ROUND(I1846*'Costing'!$C$4,2)</x:f>
        <x:v>28800</x:v>
      </x:c>
      <x:c r="K1846" s="17" t="n">
        <x:f>I1846+J1846</x:f>
        <x:v>188800</x:v>
      </x:c>
    </x:row>
    <x:row r="1847" ht="46" customHeight="1">
      <x:c r="A1847" s="2" t="str">
        <x:v>Sector</x:v>
      </x:c>
      <x:c r="B1847" s="2" t="str">
        <x:v>IT &amp; digital</x:v>
      </x:c>
      <x:c r="C1847" s="12" t="str">
        <x:v>Bengaluru</x:v>
      </x:c>
      <x:c r="D1847" s="12" t="str">
        <x:v>PARTNER-M039</x:v>
      </x:c>
      <x:c r="E1847" s="12" t="str">
        <x:v>Prestige Tech Cloud</x:v>
      </x:c>
      <x:c r="F1847" s="11" t="n">
        <x:v>6</x:v>
      </x:c>
      <x:c r="G1847" s="11" t="n">
        <x:v>6</x:v>
      </x:c>
      <x:c r="H1847" s="11" t="n">
        <x:v>0</x:v>
      </x:c>
      <x:c r="I1847" s="17" t="n">
        <x:f>INDEX('Costing'!$P$9:$P$492,MATCH(D1847,'Costing'!$A$9:$A$492,0))</x:f>
        <x:v>240000</x:v>
      </x:c>
      <x:c r="J1847" s="17" t="n">
        <x:f>ROUND(I1847*'Costing'!$C$4,2)</x:f>
        <x:v>43200</x:v>
      </x:c>
      <x:c r="K1847" s="17" t="n">
        <x:f>I1847+J1847</x:f>
        <x:v>283200</x:v>
      </x:c>
    </x:row>
    <x:row r="1848" ht="46" customHeight="1">
      <x:c r="A1848" s="2" t="str">
        <x:v>Sector</x:v>
      </x:c>
      <x:c r="B1848" s="2" t="str">
        <x:v>IT &amp; digital</x:v>
      </x:c>
      <x:c r="C1848" s="12" t="str">
        <x:v>Bengaluru</x:v>
      </x:c>
      <x:c r="D1848" s="12" t="str">
        <x:v>PARTNER-M045</x:v>
      </x:c>
      <x:c r="E1848" s="12" t="str">
        <x:v>Prestige Tech Pacific</x:v>
      </x:c>
      <x:c r="F1848" s="11" t="n">
        <x:v>6</x:v>
      </x:c>
      <x:c r="G1848" s="11" t="n">
        <x:v>6</x:v>
      </x:c>
      <x:c r="H1848" s="11" t="n">
        <x:v>0</x:v>
      </x:c>
      <x:c r="I1848" s="17" t="n">
        <x:f>INDEX('Costing'!$P$9:$P$492,MATCH(D1848,'Costing'!$A$9:$A$492,0))</x:f>
        <x:v>240000</x:v>
      </x:c>
      <x:c r="J1848" s="17" t="n">
        <x:f>ROUND(I1848*'Costing'!$C$4,2)</x:f>
        <x:v>43200</x:v>
      </x:c>
      <x:c r="K1848" s="17" t="n">
        <x:f>I1848+J1848</x:f>
        <x:v>283200</x:v>
      </x:c>
    </x:row>
    <x:row r="1849" ht="46" customHeight="1">
      <x:c r="A1849" s="2" t="str">
        <x:v>Sector</x:v>
      </x:c>
      <x:c r="B1849" s="2" t="str">
        <x:v>IT &amp; digital</x:v>
      </x:c>
      <x:c r="C1849" s="12" t="str">
        <x:v>Bengaluru</x:v>
      </x:c>
      <x:c r="D1849" s="12" t="str">
        <x:v>PARTNER-M014</x:v>
      </x:c>
      <x:c r="E1849" s="12" t="str">
        <x:v>Prestige Tech Park</x:v>
      </x:c>
      <x:c r="F1849" s="11" t="n">
        <x:v>10</x:v>
      </x:c>
      <x:c r="G1849" s="11" t="n">
        <x:v>10</x:v>
      </x:c>
      <x:c r="H1849" s="11" t="n">
        <x:v>0</x:v>
      </x:c>
      <x:c r="I1849" s="17" t="n">
        <x:f>INDEX('Costing'!$P$9:$P$492,MATCH(D1849,'Costing'!$A$9:$A$492,0))</x:f>
        <x:v>400000</x:v>
      </x:c>
      <x:c r="J1849" s="17" t="n">
        <x:f>ROUND(I1849*'Costing'!$C$4,2)</x:f>
        <x:v>72000</x:v>
      </x:c>
      <x:c r="K1849" s="17" t="n">
        <x:f>I1849+J1849</x:f>
        <x:v>472000</x:v>
      </x:c>
    </x:row>
    <x:row r="1850" ht="46" customHeight="1">
      <x:c r="A1850" s="2" t="str">
        <x:v>Sector</x:v>
      </x:c>
      <x:c r="B1850" s="2" t="str">
        <x:v>IT &amp; digital</x:v>
      </x:c>
      <x:c r="C1850" s="12" t="str">
        <x:v>Bengaluru</x:v>
      </x:c>
      <x:c r="D1850" s="12" t="str">
        <x:v>PARTNER-M034</x:v>
      </x:c>
      <x:c r="E1850" s="12" t="str">
        <x:v>Prestige Technostar</x:v>
      </x:c>
      <x:c r="F1850" s="11" t="n">
        <x:v>5</x:v>
      </x:c>
      <x:c r="G1850" s="11" t="n">
        <x:v>5</x:v>
      </x:c>
      <x:c r="H1850" s="11" t="n">
        <x:v>0</x:v>
      </x:c>
      <x:c r="I1850" s="17" t="n">
        <x:f>INDEX('Costing'!$P$9:$P$492,MATCH(D1850,'Costing'!$A$9:$A$492,0))</x:f>
        <x:v>200000</x:v>
      </x:c>
      <x:c r="J1850" s="17" t="n">
        <x:f>ROUND(I1850*'Costing'!$C$4,2)</x:f>
        <x:v>36000</x:v>
      </x:c>
      <x:c r="K1850" s="17" t="n">
        <x:f>I1850+J1850</x:f>
        <x:v>236000</x:v>
      </x:c>
    </x:row>
    <x:row r="1851" ht="46" customHeight="1">
      <x:c r="A1851" s="2" t="str">
        <x:v>Sector</x:v>
      </x:c>
      <x:c r="B1851" s="2" t="str">
        <x:v>IT &amp; digital</x:v>
      </x:c>
      <x:c r="C1851" s="12" t="str">
        <x:v>Bengaluru</x:v>
      </x:c>
      <x:c r="D1851" s="12" t="str">
        <x:v>PARTNER-M070</x:v>
      </x:c>
      <x:c r="E1851" s="12" t="str">
        <x:v>Roach Icon</x:v>
      </x:c>
      <x:c r="F1851" s="11" t="n">
        <x:v>2</x:v>
      </x:c>
      <x:c r="G1851" s="11" t="n">
        <x:v>2</x:v>
      </x:c>
      <x:c r="H1851" s="11" t="n">
        <x:v>0</x:v>
      </x:c>
      <x:c r="I1851" s="17" t="n">
        <x:f>INDEX('Costing'!$P$9:$P$492,MATCH(D1851,'Costing'!$A$9:$A$492,0))</x:f>
        <x:v>80000</x:v>
      </x:c>
      <x:c r="J1851" s="17" t="n">
        <x:f>ROUND(I1851*'Costing'!$C$4,2)</x:f>
        <x:v>14400</x:v>
      </x:c>
      <x:c r="K1851" s="17" t="n">
        <x:f>I1851+J1851</x:f>
        <x:v>94400</x:v>
      </x:c>
    </x:row>
    <x:row r="1852" ht="46" customHeight="1">
      <x:c r="A1852" s="2" t="str">
        <x:v>Sector</x:v>
      </x:c>
      <x:c r="B1852" s="2" t="str">
        <x:v>IT &amp; digital</x:v>
      </x:c>
      <x:c r="C1852" s="12" t="str">
        <x:v>Bengaluru</x:v>
      </x:c>
      <x:c r="D1852" s="12" t="str">
        <x:v>PARTNER-M072</x:v>
      </x:c>
      <x:c r="E1852" s="12" t="str">
        <x:v>Umiya Business Bay</x:v>
      </x:c>
      <x:c r="F1852" s="11" t="n">
        <x:v>6</x:v>
      </x:c>
      <x:c r="G1852" s="11" t="n">
        <x:v>6</x:v>
      </x:c>
      <x:c r="H1852" s="11" t="n">
        <x:v>0</x:v>
      </x:c>
      <x:c r="I1852" s="17" t="n">
        <x:f>INDEX('Costing'!$P$9:$P$492,MATCH(D1852,'Costing'!$A$9:$A$492,0))</x:f>
        <x:v>240000</x:v>
      </x:c>
      <x:c r="J1852" s="17" t="n">
        <x:f>ROUND(I1852*'Costing'!$C$4,2)</x:f>
        <x:v>43200</x:v>
      </x:c>
      <x:c r="K1852" s="17" t="n">
        <x:f>I1852+J1852</x:f>
        <x:v>283200</x:v>
      </x:c>
    </x:row>
    <x:row r="1853" ht="46" customHeight="1">
      <x:c r="A1853" s="2" t="str">
        <x:v>Sector</x:v>
      </x:c>
      <x:c r="B1853" s="2" t="str">
        <x:v>IT &amp; digital</x:v>
      </x:c>
      <x:c r="C1853" s="12" t="str">
        <x:v>Chennai</x:v>
      </x:c>
      <x:c r="D1853" s="12" t="str">
        <x:v>PARTNER-M349</x:v>
      </x:c>
      <x:c r="E1853" s="12" t="str">
        <x:v>Kushal Towers</x:v>
      </x:c>
      <x:c r="F1853" s="11" t="n">
        <x:v>1</x:v>
      </x:c>
      <x:c r="G1853" s="11" t="n">
        <x:v>1</x:v>
      </x:c>
      <x:c r="H1853" s="11" t="n">
        <x:v>0</x:v>
      </x:c>
      <x:c r="I1853" s="17" t="n">
        <x:f>INDEX('Costing'!$P$9:$P$492,MATCH(D1853,'Costing'!$A$9:$A$492,0))</x:f>
        <x:v>40000</x:v>
      </x:c>
      <x:c r="J1853" s="17" t="n">
        <x:f>ROUND(I1853*'Costing'!$C$4,2)</x:f>
        <x:v>7200</x:v>
      </x:c>
      <x:c r="K1853" s="17" t="n">
        <x:f>I1853+J1853</x:f>
        <x:v>47200</x:v>
      </x:c>
    </x:row>
    <x:row r="1854" ht="46" customHeight="1">
      <x:c r="A1854" s="2" t="str">
        <x:v>Sector</x:v>
      </x:c>
      <x:c r="B1854" s="2" t="str">
        <x:v>IT &amp; digital</x:v>
      </x:c>
      <x:c r="C1854" s="12" t="str">
        <x:v>Chennai</x:v>
      </x:c>
      <x:c r="D1854" s="12" t="str">
        <x:v>PARTNER-M336</x:v>
      </x:c>
      <x:c r="E1854" s="12" t="str">
        <x:v>Prestige Cyber Tower</x:v>
      </x:c>
      <x:c r="F1854" s="11" t="n">
        <x:v>2</x:v>
      </x:c>
      <x:c r="G1854" s="11" t="n">
        <x:v>2</x:v>
      </x:c>
      <x:c r="H1854" s="11" t="n">
        <x:v>0</x:v>
      </x:c>
      <x:c r="I1854" s="17" t="n">
        <x:f>INDEX('Costing'!$P$9:$P$492,MATCH(D1854,'Costing'!$A$9:$A$492,0))</x:f>
        <x:v>80000</x:v>
      </x:c>
      <x:c r="J1854" s="17" t="n">
        <x:f>ROUND(I1854*'Costing'!$C$4,2)</x:f>
        <x:v>14400</x:v>
      </x:c>
      <x:c r="K1854" s="17" t="n">
        <x:f>I1854+J1854</x:f>
        <x:v>94400</x:v>
      </x:c>
    </x:row>
    <x:row r="1855" ht="46" customHeight="1">
      <x:c r="A1855" s="2" t="str">
        <x:v>Sector</x:v>
      </x:c>
      <x:c r="B1855" s="2" t="str">
        <x:v>IT &amp; digital</x:v>
      </x:c>
      <x:c r="C1855" s="12" t="str">
        <x:v>Chennai</x:v>
      </x:c>
      <x:c r="D1855" s="12" t="str">
        <x:v>PARTNER-M338</x:v>
      </x:c>
      <x:c r="E1855" s="12" t="str">
        <x:v>Prestige Palladium Bayan</x:v>
      </x:c>
      <x:c r="F1855" s="11" t="n">
        <x:v>2</x:v>
      </x:c>
      <x:c r="G1855" s="11" t="n">
        <x:v>2</x:v>
      </x:c>
      <x:c r="H1855" s="11" t="n">
        <x:v>0</x:v>
      </x:c>
      <x:c r="I1855" s="17" t="n">
        <x:f>INDEX('Costing'!$P$9:$P$492,MATCH(D1855,'Costing'!$A$9:$A$492,0))</x:f>
        <x:v>80000</x:v>
      </x:c>
      <x:c r="J1855" s="17" t="n">
        <x:f>ROUND(I1855*'Costing'!$C$4,2)</x:f>
        <x:v>14400</x:v>
      </x:c>
      <x:c r="K1855" s="17" t="n">
        <x:f>I1855+J1855</x:f>
        <x:v>94400</x:v>
      </x:c>
    </x:row>
    <x:row r="1856" ht="46" customHeight="1">
      <x:c r="A1856" s="2" t="str">
        <x:v>Sector</x:v>
      </x:c>
      <x:c r="B1856" s="2" t="str">
        <x:v>IT &amp; digital</x:v>
      </x:c>
      <x:c r="C1856" s="12" t="str">
        <x:v>Chennai</x:v>
      </x:c>
      <x:c r="D1856" s="12" t="str">
        <x:v>PARTNER-M332</x:v>
      </x:c>
      <x:c r="E1856" s="12" t="str">
        <x:v>Prestige Polygon</x:v>
      </x:c>
      <x:c r="F1856" s="11" t="n">
        <x:v>2</x:v>
      </x:c>
      <x:c r="G1856" s="11" t="n">
        <x:v>2</x:v>
      </x:c>
      <x:c r="H1856" s="11" t="n">
        <x:v>0</x:v>
      </x:c>
      <x:c r="I1856" s="17" t="n">
        <x:f>INDEX('Costing'!$P$9:$P$492,MATCH(D1856,'Costing'!$A$9:$A$492,0))</x:f>
        <x:v>80000</x:v>
      </x:c>
      <x:c r="J1856" s="17" t="n">
        <x:f>ROUND(I1856*'Costing'!$C$4,2)</x:f>
        <x:v>14400</x:v>
      </x:c>
      <x:c r="K1856" s="17" t="n">
        <x:f>I1856+J1856</x:f>
        <x:v>94400</x:v>
      </x:c>
    </x:row>
    <x:row r="1857" ht="46" customHeight="1">
      <x:c r="A1857" s="2" t="str">
        <x:v>Sector</x:v>
      </x:c>
      <x:c r="B1857" s="2" t="str">
        <x:v>IT &amp; digital</x:v>
      </x:c>
      <x:c r="C1857" s="12" t="str">
        <x:v>Chennai</x:v>
      </x:c>
      <x:c r="D1857" s="12" t="str">
        <x:v>PARTNER-M334</x:v>
      </x:c>
      <x:c r="E1857" s="12" t="str">
        <x:v>Prestige Zakria Metropolitan</x:v>
      </x:c>
      <x:c r="F1857" s="11" t="n">
        <x:v>2</x:v>
      </x:c>
      <x:c r="G1857" s="11" t="n">
        <x:v>2</x:v>
      </x:c>
      <x:c r="H1857" s="11" t="n">
        <x:v>0</x:v>
      </x:c>
      <x:c r="I1857" s="17" t="n">
        <x:f>INDEX('Costing'!$P$9:$P$492,MATCH(D1857,'Costing'!$A$9:$A$492,0))</x:f>
        <x:v>80000</x:v>
      </x:c>
      <x:c r="J1857" s="17" t="n">
        <x:f>ROUND(I1857*'Costing'!$C$4,2)</x:f>
        <x:v>14400</x:v>
      </x:c>
      <x:c r="K1857" s="17" t="n">
        <x:f>I1857+J1857</x:f>
        <x:v>94400</x:v>
      </x:c>
    </x:row>
    <x:row r="1858" ht="46" customHeight="1">
      <x:c r="A1858" s="2" t="str">
        <x:v>Sector</x:v>
      </x:c>
      <x:c r="B1858" s="2" t="str">
        <x:v>IT &amp; digital</x:v>
      </x:c>
      <x:c r="C1858" s="12" t="str">
        <x:v>Chennai</x:v>
      </x:c>
      <x:c r="D1858" s="12" t="str">
        <x:v>PARTNER-M347</x:v>
      </x:c>
      <x:c r="E1858" s="12" t="str">
        <x:v>Prince Infocity 1</x:v>
      </x:c>
      <x:c r="F1858" s="11" t="n">
        <x:v>2</x:v>
      </x:c>
      <x:c r="G1858" s="11" t="n">
        <x:v>2</x:v>
      </x:c>
      <x:c r="H1858" s="11" t="n">
        <x:v>0</x:v>
      </x:c>
      <x:c r="I1858" s="17" t="n">
        <x:f>INDEX('Costing'!$P$9:$P$492,MATCH(D1858,'Costing'!$A$9:$A$492,0))</x:f>
        <x:v>80000</x:v>
      </x:c>
      <x:c r="J1858" s="17" t="n">
        <x:f>ROUND(I1858*'Costing'!$C$4,2)</x:f>
        <x:v>14400</x:v>
      </x:c>
      <x:c r="K1858" s="17" t="n">
        <x:f>I1858+J1858</x:f>
        <x:v>94400</x:v>
      </x:c>
    </x:row>
    <x:row r="1859" ht="46" customHeight="1">
      <x:c r="A1859" s="2" t="str">
        <x:v>Sector</x:v>
      </x:c>
      <x:c r="B1859" s="2" t="str">
        <x:v>IT &amp; digital</x:v>
      </x:c>
      <x:c r="C1859" s="12" t="str">
        <x:v>Chennai</x:v>
      </x:c>
      <x:c r="D1859" s="12" t="str">
        <x:v>PARTNER-M342</x:v>
      </x:c>
      <x:c r="E1859" s="12" t="str">
        <x:v>Prince Infocity 2</x:v>
      </x:c>
      <x:c r="F1859" s="11" t="n">
        <x:v>5</x:v>
      </x:c>
      <x:c r="G1859" s="11" t="n">
        <x:v>5</x:v>
      </x:c>
      <x:c r="H1859" s="11" t="n">
        <x:v>0</x:v>
      </x:c>
      <x:c r="I1859" s="17" t="n">
        <x:f>INDEX('Costing'!$P$9:$P$492,MATCH(D1859,'Costing'!$A$9:$A$492,0))</x:f>
        <x:v>200000</x:v>
      </x:c>
      <x:c r="J1859" s="17" t="n">
        <x:f>ROUND(I1859*'Costing'!$C$4,2)</x:f>
        <x:v>36000</x:v>
      </x:c>
      <x:c r="K1859" s="17" t="n">
        <x:f>I1859+J1859</x:f>
        <x:v>236000</x:v>
      </x:c>
    </x:row>
    <x:row r="1860" ht="46" customHeight="1">
      <x:c r="A1860" s="2" t="str">
        <x:v>Sector</x:v>
      </x:c>
      <x:c r="B1860" s="2" t="str">
        <x:v>IT &amp; digital</x:v>
      </x:c>
      <x:c r="C1860" s="12" t="str">
        <x:v>Chennai</x:v>
      </x:c>
      <x:c r="D1860" s="12" t="str">
        <x:v>PARTNER-M350</x:v>
      </x:c>
      <x:c r="E1860" s="12" t="str">
        <x:v>Prince Infopark</x:v>
      </x:c>
      <x:c r="F1860" s="11" t="n">
        <x:v>2</x:v>
      </x:c>
      <x:c r="G1860" s="11" t="n">
        <x:v>2</x:v>
      </x:c>
      <x:c r="H1860" s="11" t="n">
        <x:v>0</x:v>
      </x:c>
      <x:c r="I1860" s="17" t="n">
        <x:f>INDEX('Costing'!$P$9:$P$492,MATCH(D1860,'Costing'!$A$9:$A$492,0))</x:f>
        <x:v>80000</x:v>
      </x:c>
      <x:c r="J1860" s="17" t="n">
        <x:f>ROUND(I1860*'Costing'!$C$4,2)</x:f>
        <x:v>14400</x:v>
      </x:c>
      <x:c r="K1860" s="17" t="n">
        <x:f>I1860+J1860</x:f>
        <x:v>94400</x:v>
      </x:c>
    </x:row>
    <x:row r="1861" ht="46" customHeight="1">
      <x:c r="A1861" s="2" t="str">
        <x:v>Sector</x:v>
      </x:c>
      <x:c r="B1861" s="2" t="str">
        <x:v>IT &amp; digital</x:v>
      </x:c>
      <x:c r="C1861" s="12" t="str">
        <x:v>Chennai</x:v>
      </x:c>
      <x:c r="D1861" s="12" t="str">
        <x:v>PARTNER-M325</x:v>
      </x:c>
      <x:c r="E1861" s="12" t="str">
        <x:v>WTC Chennai</x:v>
      </x:c>
      <x:c r="F1861" s="11" t="n">
        <x:v>6</x:v>
      </x:c>
      <x:c r="G1861" s="11" t="n">
        <x:v>6</x:v>
      </x:c>
      <x:c r="H1861" s="11" t="n">
        <x:v>0</x:v>
      </x:c>
      <x:c r="I1861" s="17" t="n">
        <x:f>INDEX('Costing'!$P$9:$P$492,MATCH(D1861,'Costing'!$A$9:$A$492,0))</x:f>
        <x:v>240000</x:v>
      </x:c>
      <x:c r="J1861" s="17" t="n">
        <x:f>ROUND(I1861*'Costing'!$C$4,2)</x:f>
        <x:v>43200</x:v>
      </x:c>
      <x:c r="K1861" s="17" t="n">
        <x:f>I1861+J1861</x:f>
        <x:v>283200</x:v>
      </x:c>
    </x:row>
    <x:row r="1862" ht="46" customHeight="1">
      <x:c r="A1862" s="2" t="str">
        <x:v>Sector</x:v>
      </x:c>
      <x:c r="B1862" s="2" t="str">
        <x:v>IT &amp; digital</x:v>
      </x:c>
      <x:c r="C1862" s="12" t="str">
        <x:v>Delhi NCR</x:v>
      </x:c>
      <x:c r="D1862" s="12" t="str">
        <x:v>PARTNER-M375</x:v>
      </x:c>
      <x:c r="E1862" s="12" t="str">
        <x:v>Add India Height</x:v>
      </x:c>
      <x:c r="F1862" s="11" t="n">
        <x:v>4</x:v>
      </x:c>
      <x:c r="G1862" s="11" t="n">
        <x:v>4</x:v>
      </x:c>
      <x:c r="H1862" s="11" t="n">
        <x:v>0</x:v>
      </x:c>
      <x:c r="I1862" s="17" t="n">
        <x:f>INDEX('Costing'!$P$9:$P$492,MATCH(D1862,'Costing'!$A$9:$A$492,0))</x:f>
        <x:v>160000</x:v>
      </x:c>
      <x:c r="J1862" s="17" t="n">
        <x:f>ROUND(I1862*'Costing'!$C$4,2)</x:f>
        <x:v>28800</x:v>
      </x:c>
      <x:c r="K1862" s="17" t="n">
        <x:f>I1862+J1862</x:f>
        <x:v>188800</x:v>
      </x:c>
    </x:row>
    <x:row r="1863" ht="46" customHeight="1">
      <x:c r="A1863" s="2" t="str">
        <x:v>Sector</x:v>
      </x:c>
      <x:c r="B1863" s="2" t="str">
        <x:v>IT &amp; digital</x:v>
      </x:c>
      <x:c r="C1863" s="12" t="str">
        <x:v>Delhi NCR</x:v>
      </x:c>
      <x:c r="D1863" s="12" t="str">
        <x:v>PARTNER-M379</x:v>
      </x:c>
      <x:c r="E1863" s="12" t="str">
        <x:v>Add India Tower 6A</x:v>
      </x:c>
      <x:c r="F1863" s="11" t="n">
        <x:v>5</x:v>
      </x:c>
      <x:c r="G1863" s="11" t="n">
        <x:v>5</x:v>
      </x:c>
      <x:c r="H1863" s="11" t="n">
        <x:v>0</x:v>
      </x:c>
      <x:c r="I1863" s="17" t="n">
        <x:f>INDEX('Costing'!$P$9:$P$492,MATCH(D1863,'Costing'!$A$9:$A$492,0))</x:f>
        <x:v>200000</x:v>
      </x:c>
      <x:c r="J1863" s="17" t="n">
        <x:f>ROUND(I1863*'Costing'!$C$4,2)</x:f>
        <x:v>36000</x:v>
      </x:c>
      <x:c r="K1863" s="17" t="n">
        <x:f>I1863+J1863</x:f>
        <x:v>236000</x:v>
      </x:c>
    </x:row>
    <x:row r="1864" ht="46" customHeight="1">
      <x:c r="A1864" s="2" t="str">
        <x:v>Sector</x:v>
      </x:c>
      <x:c r="B1864" s="2" t="str">
        <x:v>IT &amp; digital</x:v>
      </x:c>
      <x:c r="C1864" s="12" t="str">
        <x:v>Delhi NCR</x:v>
      </x:c>
      <x:c r="D1864" s="12" t="str">
        <x:v>PARTNER-M358</x:v>
      </x:c>
      <x:c r="E1864" s="12" t="str">
        <x:v>IHDP Business Park</x:v>
      </x:c>
      <x:c r="F1864" s="11" t="n">
        <x:v>7</x:v>
      </x:c>
      <x:c r="G1864" s="11" t="n">
        <x:v>7</x:v>
      </x:c>
      <x:c r="H1864" s="11" t="n">
        <x:v>0</x:v>
      </x:c>
      <x:c r="I1864" s="17" t="n">
        <x:f>INDEX('Costing'!$P$9:$P$492,MATCH(D1864,'Costing'!$A$9:$A$492,0))</x:f>
        <x:v>280000</x:v>
      </x:c>
      <x:c r="J1864" s="17" t="n">
        <x:f>ROUND(I1864*'Costing'!$C$4,2)</x:f>
        <x:v>50400</x:v>
      </x:c>
      <x:c r="K1864" s="17" t="n">
        <x:f>I1864+J1864</x:f>
        <x:v>330400</x:v>
      </x:c>
    </x:row>
    <x:row r="1865" ht="46" customHeight="1">
      <x:c r="A1865" s="2" t="str">
        <x:v>Sector</x:v>
      </x:c>
      <x:c r="B1865" s="2" t="str">
        <x:v>IT &amp; digital</x:v>
      </x:c>
      <x:c r="C1865" s="12" t="str">
        <x:v>Delhi NCR</x:v>
      </x:c>
      <x:c r="D1865" s="12" t="str">
        <x:v>PARTNER-M353</x:v>
      </x:c>
      <x:c r="E1865" s="12" t="str">
        <x:v>iLabs Info Technology Center</x:v>
      </x:c>
      <x:c r="F1865" s="11" t="n">
        <x:v>5</x:v>
      </x:c>
      <x:c r="G1865" s="11" t="n">
        <x:v>5</x:v>
      </x:c>
      <x:c r="H1865" s="11" t="n">
        <x:v>0</x:v>
      </x:c>
      <x:c r="I1865" s="17" t="n">
        <x:f>INDEX('Costing'!$P$9:$P$492,MATCH(D1865,'Costing'!$A$9:$A$492,0))</x:f>
        <x:v>200000</x:v>
      </x:c>
      <x:c r="J1865" s="17" t="n">
        <x:f>ROUND(I1865*'Costing'!$C$4,2)</x:f>
        <x:v>36000</x:v>
      </x:c>
      <x:c r="K1865" s="17" t="n">
        <x:f>I1865+J1865</x:f>
        <x:v>236000</x:v>
      </x:c>
    </x:row>
    <x:row r="1866" ht="46" customHeight="1">
      <x:c r="A1866" s="2" t="str">
        <x:v>Sector</x:v>
      </x:c>
      <x:c r="B1866" s="2" t="str">
        <x:v>IT &amp; digital</x:v>
      </x:c>
      <x:c r="C1866" s="12" t="str">
        <x:v>Delhi NCR</x:v>
      </x:c>
      <x:c r="D1866" s="12" t="str">
        <x:v>PARTNER-M384</x:v>
      </x:c>
      <x:c r="E1866" s="12" t="str">
        <x:v>NPX Tower</x:v>
      </x:c>
      <x:c r="F1866" s="11" t="n">
        <x:v>5</x:v>
      </x:c>
      <x:c r="G1866" s="11" t="n">
        <x:v>5</x:v>
      </x:c>
      <x:c r="H1866" s="11" t="n">
        <x:v>0</x:v>
      </x:c>
      <x:c r="I1866" s="17" t="n">
        <x:f>INDEX('Costing'!$P$9:$P$492,MATCH(D1866,'Costing'!$A$9:$A$492,0))</x:f>
        <x:v>200000</x:v>
      </x:c>
      <x:c r="J1866" s="17" t="n">
        <x:f>ROUND(I1866*'Costing'!$C$4,2)</x:f>
        <x:v>36000</x:v>
      </x:c>
      <x:c r="K1866" s="17" t="n">
        <x:f>I1866+J1866</x:f>
        <x:v>236000</x:v>
      </x:c>
    </x:row>
    <x:row r="1867" ht="46" customHeight="1">
      <x:c r="A1867" s="2" t="str">
        <x:v>Sector</x:v>
      </x:c>
      <x:c r="B1867" s="2" t="str">
        <x:v>IT &amp; digital</x:v>
      </x:c>
      <x:c r="C1867" s="12" t="str">
        <x:v>Hyderabad</x:v>
      </x:c>
      <x:c r="D1867" s="12" t="str">
        <x:v>PARTNER-M308</x:v>
      </x:c>
      <x:c r="E1867" s="12" t="str">
        <x:v>Aurobindo Galaxy</x:v>
      </x:c>
      <x:c r="F1867" s="11" t="n">
        <x:v>4</x:v>
      </x:c>
      <x:c r="G1867" s="11" t="n">
        <x:v>4</x:v>
      </x:c>
      <x:c r="H1867" s="11" t="n">
        <x:v>0</x:v>
      </x:c>
      <x:c r="I1867" s="17" t="n">
        <x:f>INDEX('Costing'!$P$9:$P$492,MATCH(D1867,'Costing'!$A$9:$A$492,0))</x:f>
        <x:v>160000</x:v>
      </x:c>
      <x:c r="J1867" s="17" t="n">
        <x:f>ROUND(I1867*'Costing'!$C$4,2)</x:f>
        <x:v>28800</x:v>
      </x:c>
      <x:c r="K1867" s="17" t="n">
        <x:f>I1867+J1867</x:f>
        <x:v>188800</x:v>
      </x:c>
    </x:row>
    <x:row r="1868" ht="46" customHeight="1">
      <x:c r="A1868" s="2" t="str">
        <x:v>Sector</x:v>
      </x:c>
      <x:c r="B1868" s="2" t="str">
        <x:v>IT &amp; digital</x:v>
      </x:c>
      <x:c r="C1868" s="12" t="str">
        <x:v>Hyderabad</x:v>
      </x:c>
      <x:c r="D1868" s="12" t="str">
        <x:v>PARTNER-M289</x:v>
      </x:c>
      <x:c r="E1868" s="12" t="str">
        <x:v>Cyber Gateway</x:v>
      </x:c>
      <x:c r="F1868" s="11" t="n">
        <x:v>6</x:v>
      </x:c>
      <x:c r="G1868" s="11" t="n">
        <x:v>6</x:v>
      </x:c>
      <x:c r="H1868" s="11" t="n">
        <x:v>0</x:v>
      </x:c>
      <x:c r="I1868" s="17" t="n">
        <x:f>INDEX('Costing'!$P$9:$P$492,MATCH(D1868,'Costing'!$A$9:$A$492,0))</x:f>
        <x:v>240000</x:v>
      </x:c>
      <x:c r="J1868" s="17" t="n">
        <x:f>ROUND(I1868*'Costing'!$C$4,2)</x:f>
        <x:v>43200</x:v>
      </x:c>
      <x:c r="K1868" s="17" t="n">
        <x:f>I1868+J1868</x:f>
        <x:v>283200</x:v>
      </x:c>
    </x:row>
    <x:row r="1869" ht="46" customHeight="1">
      <x:c r="A1869" s="2" t="str">
        <x:v>Sector</x:v>
      </x:c>
      <x:c r="B1869" s="2" t="str">
        <x:v>IT &amp; digital</x:v>
      </x:c>
      <x:c r="C1869" s="12" t="str">
        <x:v>Hyderabad</x:v>
      </x:c>
      <x:c r="D1869" s="12" t="str">
        <x:v>PARTNER-M295</x:v>
      </x:c>
      <x:c r="E1869" s="12" t="str">
        <x:v>Cyber Tower</x:v>
      </x:c>
      <x:c r="F1869" s="11" t="n">
        <x:v>5</x:v>
      </x:c>
      <x:c r="G1869" s="11" t="n">
        <x:v>5</x:v>
      </x:c>
      <x:c r="H1869" s="11" t="n">
        <x:v>0</x:v>
      </x:c>
      <x:c r="I1869" s="17" t="n">
        <x:f>INDEX('Costing'!$P$9:$P$492,MATCH(D1869,'Costing'!$A$9:$A$492,0))</x:f>
        <x:v>200000</x:v>
      </x:c>
      <x:c r="J1869" s="17" t="n">
        <x:f>ROUND(I1869*'Costing'!$C$4,2)</x:f>
        <x:v>36000</x:v>
      </x:c>
      <x:c r="K1869" s="17" t="n">
        <x:f>I1869+J1869</x:f>
        <x:v>236000</x:v>
      </x:c>
    </x:row>
    <x:row r="1870" ht="46" customHeight="1">
      <x:c r="A1870" s="2" t="str">
        <x:v>Sector</x:v>
      </x:c>
      <x:c r="B1870" s="2" t="str">
        <x:v>IT &amp; digital</x:v>
      </x:c>
      <x:c r="C1870" s="12" t="str">
        <x:v>Hyderabad</x:v>
      </x:c>
      <x:c r="D1870" s="12" t="str">
        <x:v>PARTNER-M283</x:v>
      </x:c>
      <x:c r="E1870" s="12" t="str">
        <x:v>iLabs Tech Park</x:v>
      </x:c>
      <x:c r="F1870" s="11" t="n">
        <x:v>6</x:v>
      </x:c>
      <x:c r="G1870" s="11" t="n">
        <x:v>6</x:v>
      </x:c>
      <x:c r="H1870" s="11" t="n">
        <x:v>0</x:v>
      </x:c>
      <x:c r="I1870" s="17" t="n">
        <x:f>INDEX('Costing'!$P$9:$P$492,MATCH(D1870,'Costing'!$A$9:$A$492,0))</x:f>
        <x:v>240000</x:v>
      </x:c>
      <x:c r="J1870" s="17" t="n">
        <x:f>ROUND(I1870*'Costing'!$C$4,2)</x:f>
        <x:v>43200</x:v>
      </x:c>
      <x:c r="K1870" s="17" t="n">
        <x:f>I1870+J1870</x:f>
        <x:v>283200</x:v>
      </x:c>
    </x:row>
    <x:row r="1871" ht="46" customHeight="1">
      <x:c r="A1871" s="2" t="str">
        <x:v>Sector</x:v>
      </x:c>
      <x:c r="B1871" s="2" t="str">
        <x:v>IT &amp; digital</x:v>
      </x:c>
      <x:c r="C1871" s="12" t="str">
        <x:v>Hyderabad</x:v>
      </x:c>
      <x:c r="D1871" s="12" t="str">
        <x:v>PARTNER-M317</x:v>
      </x:c>
      <x:c r="E1871" s="12" t="str">
        <x:v>Kapil Towers</x:v>
      </x:c>
      <x:c r="F1871" s="11" t="n">
        <x:v>7</x:v>
      </x:c>
      <x:c r="G1871" s="11" t="n">
        <x:v>7</x:v>
      </x:c>
      <x:c r="H1871" s="11" t="n">
        <x:v>0</x:v>
      </x:c>
      <x:c r="I1871" s="17" t="n">
        <x:f>INDEX('Costing'!$P$9:$P$492,MATCH(D1871,'Costing'!$A$9:$A$492,0))</x:f>
        <x:v>280000</x:v>
      </x:c>
      <x:c r="J1871" s="17" t="n">
        <x:f>ROUND(I1871*'Costing'!$C$4,2)</x:f>
        <x:v>50400</x:v>
      </x:c>
      <x:c r="K1871" s="17" t="n">
        <x:f>I1871+J1871</x:f>
        <x:v>330400</x:v>
      </x:c>
    </x:row>
    <x:row r="1872" ht="46" customHeight="1">
      <x:c r="A1872" s="2" t="str">
        <x:v>Sector</x:v>
      </x:c>
      <x:c r="B1872" s="2" t="str">
        <x:v>IT &amp; digital</x:v>
      </x:c>
      <x:c r="C1872" s="12" t="str">
        <x:v>Hyderabad</x:v>
      </x:c>
      <x:c r="D1872" s="12" t="str">
        <x:v>PARTNER-M312</x:v>
      </x:c>
      <x:c r="E1872" s="12" t="str">
        <x:v>Prestige Skytech </x:v>
      </x:c>
      <x:c r="F1872" s="11" t="n">
        <x:v>5</x:v>
      </x:c>
      <x:c r="G1872" s="11" t="n">
        <x:v>5</x:v>
      </x:c>
      <x:c r="H1872" s="11" t="n">
        <x:v>0</x:v>
      </x:c>
      <x:c r="I1872" s="17" t="n">
        <x:f>INDEX('Costing'!$P$9:$P$492,MATCH(D1872,'Costing'!$A$9:$A$492,0))</x:f>
        <x:v>200000</x:v>
      </x:c>
      <x:c r="J1872" s="17" t="n">
        <x:f>ROUND(I1872*'Costing'!$C$4,2)</x:f>
        <x:v>36000</x:v>
      </x:c>
      <x:c r="K1872" s="17" t="n">
        <x:f>I1872+J1872</x:f>
        <x:v>236000</x:v>
      </x:c>
    </x:row>
    <x:row r="1873" ht="46" customHeight="1">
      <x:c r="A1873" s="2" t="str">
        <x:v>Sector</x:v>
      </x:c>
      <x:c r="B1873" s="2" t="str">
        <x:v>IT &amp; digital</x:v>
      </x:c>
      <x:c r="C1873" s="12" t="str">
        <x:v>Hyderabad</x:v>
      </x:c>
      <x:c r="D1873" s="12" t="str">
        <x:v>PARTNER-M300</x:v>
      </x:c>
      <x:c r="E1873" s="12" t="str">
        <x:v>Waverock IT Park</x:v>
      </x:c>
      <x:c r="F1873" s="11" t="n">
        <x:v>8</x:v>
      </x:c>
      <x:c r="G1873" s="11" t="n">
        <x:v>8</x:v>
      </x:c>
      <x:c r="H1873" s="11" t="n">
        <x:v>0</x:v>
      </x:c>
      <x:c r="I1873" s="17" t="n">
        <x:f>INDEX('Costing'!$P$9:$P$492,MATCH(D1873,'Costing'!$A$9:$A$492,0))</x:f>
        <x:v>320000</x:v>
      </x:c>
      <x:c r="J1873" s="17" t="n">
        <x:f>ROUND(I1873*'Costing'!$C$4,2)</x:f>
        <x:v>57600</x:v>
      </x:c>
      <x:c r="K1873" s="17" t="n">
        <x:f>I1873+J1873</x:f>
        <x:v>377600</x:v>
      </x:c>
    </x:row>
    <x:row r="1874" ht="46" customHeight="1">
      <x:c r="A1874" s="2" t="str">
        <x:v>Sector</x:v>
      </x:c>
      <x:c r="B1874" s="2" t="str">
        <x:v>IT &amp; digital</x:v>
      </x:c>
      <x:c r="C1874" s="12" t="str">
        <x:v>Mumbai</x:v>
      </x:c>
      <x:c r="D1874" s="12" t="str">
        <x:v>PARTNER-M241</x:v>
      </x:c>
      <x:c r="E1874" s="12" t="str">
        <x:v>Dynasty Business Park</x:v>
      </x:c>
      <x:c r="F1874" s="11" t="n">
        <x:v>2</x:v>
      </x:c>
      <x:c r="G1874" s="11" t="n">
        <x:v>2</x:v>
      </x:c>
      <x:c r="H1874" s="11" t="n">
        <x:v>0</x:v>
      </x:c>
      <x:c r="I1874" s="17" t="n">
        <x:f>INDEX('Costing'!$P$9:$P$492,MATCH(D1874,'Costing'!$A$9:$A$492,0))</x:f>
        <x:v>80000</x:v>
      </x:c>
      <x:c r="J1874" s="17" t="n">
        <x:f>ROUND(I1874*'Costing'!$C$4,2)</x:f>
        <x:v>14400</x:v>
      </x:c>
      <x:c r="K1874" s="17" t="n">
        <x:f>I1874+J1874</x:f>
        <x:v>94400</x:v>
      </x:c>
    </x:row>
    <x:row r="1875" ht="46" customHeight="1">
      <x:c r="A1875" s="2" t="str">
        <x:v>Sector</x:v>
      </x:c>
      <x:c r="B1875" s="2" t="str">
        <x:v>IT &amp; digital</x:v>
      </x:c>
      <x:c r="C1875" s="12" t="str">
        <x:v>Mumbai</x:v>
      </x:c>
      <x:c r="D1875" s="12" t="str">
        <x:v>PARTNER-M193</x:v>
      </x:c>
      <x:c r="E1875" s="12" t="str">
        <x:v>Empire Tower</x:v>
      </x:c>
      <x:c r="F1875" s="11" t="n">
        <x:v>4</x:v>
      </x:c>
      <x:c r="G1875" s="11" t="n">
        <x:v>4</x:v>
      </x:c>
      <x:c r="H1875" s="11" t="n">
        <x:v>0</x:v>
      </x:c>
      <x:c r="I1875" s="17" t="n">
        <x:f>INDEX('Costing'!$P$9:$P$492,MATCH(D1875,'Costing'!$A$9:$A$492,0))</x:f>
        <x:v>160000</x:v>
      </x:c>
      <x:c r="J1875" s="17" t="n">
        <x:f>ROUND(I1875*'Costing'!$C$4,2)</x:f>
        <x:v>28800</x:v>
      </x:c>
      <x:c r="K1875" s="17" t="n">
        <x:f>I1875+J1875</x:f>
        <x:v>188800</x:v>
      </x:c>
    </x:row>
    <x:row r="1876" ht="46" customHeight="1">
      <x:c r="A1876" s="2" t="str">
        <x:v>Sector</x:v>
      </x:c>
      <x:c r="B1876" s="2" t="str">
        <x:v>IT &amp; digital</x:v>
      </x:c>
      <x:c r="C1876" s="12" t="str">
        <x:v>Mumbai</x:v>
      </x:c>
      <x:c r="D1876" s="12" t="str">
        <x:v>PARTNER-M185</x:v>
      </x:c>
      <x:c r="E1876" s="12" t="str">
        <x:v>G Corp Tech Park</x:v>
      </x:c>
      <x:c r="F1876" s="11" t="n">
        <x:v>3</x:v>
      </x:c>
      <x:c r="G1876" s="11" t="n">
        <x:v>3</x:v>
      </x:c>
      <x:c r="H1876" s="11" t="n">
        <x:v>0</x:v>
      </x:c>
      <x:c r="I1876" s="17" t="n">
        <x:f>INDEX('Costing'!$P$9:$P$492,MATCH(D1876,'Costing'!$A$9:$A$492,0))</x:f>
        <x:v>120000</x:v>
      </x:c>
      <x:c r="J1876" s="17" t="n">
        <x:f>ROUND(I1876*'Costing'!$C$4,2)</x:f>
        <x:v>21600</x:v>
      </x:c>
      <x:c r="K1876" s="17" t="n">
        <x:f>I1876+J1876</x:f>
        <x:v>141600</x:v>
      </x:c>
    </x:row>
    <x:row r="1877" ht="46" customHeight="1">
      <x:c r="A1877" s="2" t="str">
        <x:v>Sector</x:v>
      </x:c>
      <x:c r="B1877" s="2" t="str">
        <x:v>IT &amp; digital</x:v>
      </x:c>
      <x:c r="C1877" s="12" t="str">
        <x:v>Mumbai</x:v>
      </x:c>
      <x:c r="D1877" s="12" t="str">
        <x:v>PARTNER-M179</x:v>
      </x:c>
      <x:c r="E1877" s="12" t="str">
        <x:v>Kanakia Boomerang</x:v>
      </x:c>
      <x:c r="F1877" s="11" t="n">
        <x:v>6</x:v>
      </x:c>
      <x:c r="G1877" s="11" t="n">
        <x:v>6</x:v>
      </x:c>
      <x:c r="H1877" s="11" t="n">
        <x:v>0</x:v>
      </x:c>
      <x:c r="I1877" s="17" t="n">
        <x:f>INDEX('Costing'!$P$9:$P$492,MATCH(D1877,'Costing'!$A$9:$A$492,0))</x:f>
        <x:v>240000</x:v>
      </x:c>
      <x:c r="J1877" s="17" t="n">
        <x:f>ROUND(I1877*'Costing'!$C$4,2)</x:f>
        <x:v>43200</x:v>
      </x:c>
      <x:c r="K1877" s="17" t="n">
        <x:f>I1877+J1877</x:f>
        <x:v>283200</x:v>
      </x:c>
    </x:row>
    <x:row r="1878" ht="46" customHeight="1">
      <x:c r="A1878" s="2" t="str">
        <x:v>Sector</x:v>
      </x:c>
      <x:c r="B1878" s="2" t="str">
        <x:v>IT &amp; digital</x:v>
      </x:c>
      <x:c r="C1878" s="12" t="str">
        <x:v>Mumbai</x:v>
      </x:c>
      <x:c r="D1878" s="12" t="str">
        <x:v>PARTNER-M243</x:v>
      </x:c>
      <x:c r="E1878" s="12" t="str">
        <x:v>Kohinoor City</x:v>
      </x:c>
      <x:c r="F1878" s="11" t="n">
        <x:v>2</x:v>
      </x:c>
      <x:c r="G1878" s="11" t="n">
        <x:v>2</x:v>
      </x:c>
      <x:c r="H1878" s="11" t="n">
        <x:v>0</x:v>
      </x:c>
      <x:c r="I1878" s="17" t="n">
        <x:f>INDEX('Costing'!$P$9:$P$492,MATCH(D1878,'Costing'!$A$9:$A$492,0))</x:f>
        <x:v>80000</x:v>
      </x:c>
      <x:c r="J1878" s="17" t="n">
        <x:f>ROUND(I1878*'Costing'!$C$4,2)</x:f>
        <x:v>14400</x:v>
      </x:c>
      <x:c r="K1878" s="17" t="n">
        <x:f>I1878+J1878</x:f>
        <x:v>94400</x:v>
      </x:c>
    </x:row>
    <x:row r="1879" ht="46" customHeight="1">
      <x:c r="A1879" s="2" t="str">
        <x:v>Sector</x:v>
      </x:c>
      <x:c r="B1879" s="2" t="str">
        <x:v>IT &amp; digital</x:v>
      </x:c>
      <x:c r="C1879" s="12" t="str">
        <x:v>Mumbai</x:v>
      </x:c>
      <x:c r="D1879" s="12" t="str">
        <x:v>PARTNER-M201</x:v>
      </x:c>
      <x:c r="E1879" s="12" t="str">
        <x:v>Liberty tower</x:v>
      </x:c>
      <x:c r="F1879" s="11" t="n">
        <x:v>2</x:v>
      </x:c>
      <x:c r="G1879" s="11" t="n">
        <x:v>2</x:v>
      </x:c>
      <x:c r="H1879" s="11" t="n">
        <x:v>0</x:v>
      </x:c>
      <x:c r="I1879" s="17" t="n">
        <x:f>INDEX('Costing'!$P$9:$P$492,MATCH(D1879,'Costing'!$A$9:$A$492,0))</x:f>
        <x:v>80000</x:v>
      </x:c>
      <x:c r="J1879" s="17" t="n">
        <x:f>ROUND(I1879*'Costing'!$C$4,2)</x:f>
        <x:v>14400</x:v>
      </x:c>
      <x:c r="K1879" s="17" t="n">
        <x:f>I1879+J1879</x:f>
        <x:v>94400</x:v>
      </x:c>
    </x:row>
    <x:row r="1880" ht="46" customHeight="1">
      <x:c r="A1880" s="2" t="str">
        <x:v>Sector</x:v>
      </x:c>
      <x:c r="B1880" s="2" t="str">
        <x:v>IT &amp; digital</x:v>
      </x:c>
      <x:c r="C1880" s="12" t="str">
        <x:v>Mumbai</x:v>
      </x:c>
      <x:c r="D1880" s="12" t="str">
        <x:v>PARTNER-M203</x:v>
      </x:c>
      <x:c r="E1880" s="12" t="str">
        <x:v>Reliable Plaza</x:v>
      </x:c>
      <x:c r="F1880" s="11" t="n">
        <x:v>2</x:v>
      </x:c>
      <x:c r="G1880" s="11" t="n">
        <x:v>2</x:v>
      </x:c>
      <x:c r="H1880" s="11" t="n">
        <x:v>0</x:v>
      </x:c>
      <x:c r="I1880" s="17" t="n">
        <x:f>INDEX('Costing'!$P$9:$P$492,MATCH(D1880,'Costing'!$A$9:$A$492,0))</x:f>
        <x:v>80000</x:v>
      </x:c>
      <x:c r="J1880" s="17" t="n">
        <x:f>ROUND(I1880*'Costing'!$C$4,2)</x:f>
        <x:v>14400</x:v>
      </x:c>
      <x:c r="K1880" s="17" t="n">
        <x:f>I1880+J1880</x:f>
        <x:v>94400</x:v>
      </x:c>
    </x:row>
    <x:row r="1881" ht="46" customHeight="1">
      <x:c r="A1881" s="2" t="str">
        <x:v>Sector</x:v>
      </x:c>
      <x:c r="B1881" s="2" t="str">
        <x:v>IT &amp; digital</x:v>
      </x:c>
      <x:c r="C1881" s="12" t="str">
        <x:v>Mumbai</x:v>
      </x:c>
      <x:c r="D1881" s="12" t="str">
        <x:v>PARTNER-M197</x:v>
      </x:c>
      <x:c r="E1881" s="12" t="str">
        <x:v>Reliable Tech Park</x:v>
      </x:c>
      <x:c r="F1881" s="11" t="n">
        <x:v>4</x:v>
      </x:c>
      <x:c r="G1881" s="11" t="n">
        <x:v>4</x:v>
      </x:c>
      <x:c r="H1881" s="11" t="n">
        <x:v>0</x:v>
      </x:c>
      <x:c r="I1881" s="17" t="n">
        <x:f>INDEX('Costing'!$P$9:$P$492,MATCH(D1881,'Costing'!$A$9:$A$492,0))</x:f>
        <x:v>160000</x:v>
      </x:c>
      <x:c r="J1881" s="17" t="n">
        <x:f>ROUND(I1881*'Costing'!$C$4,2)</x:f>
        <x:v>28800</x:v>
      </x:c>
      <x:c r="K1881" s="17" t="n">
        <x:f>I1881+J1881</x:f>
        <x:v>188800</x:v>
      </x:c>
    </x:row>
    <x:row r="1882" ht="46" customHeight="1">
      <x:c r="A1882" s="2" t="str">
        <x:v>Sector</x:v>
      </x:c>
      <x:c r="B1882" s="2" t="str">
        <x:v>IT &amp; digital</x:v>
      </x:c>
      <x:c r="C1882" s="12" t="str">
        <x:v>Mumbai</x:v>
      </x:c>
      <x:c r="D1882" s="12" t="str">
        <x:v>PARTNER-M205</x:v>
      </x:c>
      <x:c r="E1882" s="12" t="str">
        <x:v>Rupa Solitaire</x:v>
      </x:c>
      <x:c r="F1882" s="11" t="n">
        <x:v>10</x:v>
      </x:c>
      <x:c r="G1882" s="11" t="n">
        <x:v>10</x:v>
      </x:c>
      <x:c r="H1882" s="11" t="n">
        <x:v>0</x:v>
      </x:c>
      <x:c r="I1882" s="17" t="n">
        <x:f>INDEX('Costing'!$P$9:$P$492,MATCH(D1882,'Costing'!$A$9:$A$492,0))</x:f>
        <x:v>400000</x:v>
      </x:c>
      <x:c r="J1882" s="17" t="n">
        <x:f>ROUND(I1882*'Costing'!$C$4,2)</x:f>
        <x:v>72000</x:v>
      </x:c>
      <x:c r="K1882" s="17" t="n">
        <x:f>I1882+J1882</x:f>
        <x:v>472000</x:v>
      </x:c>
    </x:row>
    <x:row r="1883" ht="46" customHeight="1">
      <x:c r="A1883" s="2" t="str">
        <x:v>Sector</x:v>
      </x:c>
      <x:c r="B1883" s="2" t="str">
        <x:v>IT &amp; digital</x:v>
      </x:c>
      <x:c r="C1883" s="12" t="str">
        <x:v>Mumbai</x:v>
      </x:c>
      <x:c r="D1883" s="12" t="str">
        <x:v>PARTNER-M175</x:v>
      </x:c>
      <x:c r="E1883" s="12" t="str">
        <x:v>The Capital</x:v>
      </x:c>
      <x:c r="F1883" s="11" t="n">
        <x:v>3</x:v>
      </x:c>
      <x:c r="G1883" s="11" t="n">
        <x:v>3</x:v>
      </x:c>
      <x:c r="H1883" s="11" t="n">
        <x:v>0</x:v>
      </x:c>
      <x:c r="I1883" s="17" t="n">
        <x:f>INDEX('Costing'!$P$9:$P$492,MATCH(D1883,'Costing'!$A$9:$A$492,0))</x:f>
        <x:v>120000</x:v>
      </x:c>
      <x:c r="J1883" s="17" t="n">
        <x:f>ROUND(I1883*'Costing'!$C$4,2)</x:f>
        <x:v>21600</x:v>
      </x:c>
      <x:c r="K1883" s="17" t="n">
        <x:f>I1883+J1883</x:f>
        <x:v>141600</x:v>
      </x:c>
    </x:row>
    <x:row r="1884" ht="46" customHeight="1">
      <x:c r="A1884" s="2" t="str">
        <x:v>Sector</x:v>
      </x:c>
      <x:c r="B1884" s="2" t="str">
        <x:v>IT &amp; digital</x:v>
      </x:c>
      <x:c r="C1884" s="12" t="str">
        <x:v>Mumbai</x:v>
      </x:c>
      <x:c r="D1884" s="12" t="str">
        <x:v>PARTNER-M227</x:v>
      </x:c>
      <x:c r="E1884" s="12" t="str">
        <x:v>Windsor House</x:v>
      </x:c>
      <x:c r="F1884" s="11" t="n">
        <x:v>6</x:v>
      </x:c>
      <x:c r="G1884" s="11" t="n">
        <x:v>6</x:v>
      </x:c>
      <x:c r="H1884" s="11" t="n">
        <x:v>0</x:v>
      </x:c>
      <x:c r="I1884" s="17" t="n">
        <x:f>INDEX('Costing'!$P$9:$P$492,MATCH(D1884,'Costing'!$A$9:$A$492,0))</x:f>
        <x:v>240000</x:v>
      </x:c>
      <x:c r="J1884" s="17" t="n">
        <x:f>ROUND(I1884*'Costing'!$C$4,2)</x:f>
        <x:v>43200</x:v>
      </x:c>
      <x:c r="K1884" s="17" t="n">
        <x:f>I1884+J1884</x:f>
        <x:v>283200</x:v>
      </x:c>
    </x:row>
    <x:row r="1885" ht="46" customHeight="1">
      <x:c r="A1885" s="2" t="str">
        <x:v>Sector</x:v>
      </x:c>
      <x:c r="B1885" s="2" t="str">
        <x:v>IT &amp; digital</x:v>
      </x:c>
      <x:c r="C1885" s="12" t="str">
        <x:v>Pune</x:v>
      </x:c>
      <x:c r="D1885" s="12" t="str">
        <x:v>PARTNER-M268</x:v>
      </x:c>
      <x:c r="E1885" s="12" t="str">
        <x:v>ICC Tech Park</x:v>
      </x:c>
      <x:c r="F1885" s="11" t="n">
        <x:v>5</x:v>
      </x:c>
      <x:c r="G1885" s="11" t="n">
        <x:v>5</x:v>
      </x:c>
      <x:c r="H1885" s="11" t="n">
        <x:v>0</x:v>
      </x:c>
      <x:c r="I1885" s="17" t="n">
        <x:f>INDEX('Costing'!$P$9:$P$492,MATCH(D1885,'Costing'!$A$9:$A$492,0))</x:f>
        <x:v>200000</x:v>
      </x:c>
      <x:c r="J1885" s="17" t="n">
        <x:f>ROUND(I1885*'Costing'!$C$4,2)</x:f>
        <x:v>36000</x:v>
      </x:c>
      <x:c r="K1885" s="17" t="n">
        <x:f>I1885+J1885</x:f>
        <x:v>236000</x:v>
      </x:c>
    </x:row>
    <x:row r="1886" ht="46" customHeight="1">
      <x:c r="A1886" s="2" t="str">
        <x:v>Sector</x:v>
      </x:c>
      <x:c r="B1886" s="2" t="str">
        <x:v>IT &amp; digital</x:v>
      </x:c>
      <x:c r="C1886" s="12" t="str">
        <x:v>Pune</x:v>
      </x:c>
      <x:c r="D1886" s="12" t="str">
        <x:v>PARTNER-M252</x:v>
      </x:c>
      <x:c r="E1886" s="12" t="str">
        <x:v>Magarpatta Cyberpark</x:v>
      </x:c>
      <x:c r="F1886" s="11" t="n">
        <x:v>9</x:v>
      </x:c>
      <x:c r="G1886" s="11" t="n">
        <x:v>9</x:v>
      </x:c>
      <x:c r="H1886" s="11" t="n">
        <x:v>0</x:v>
      </x:c>
      <x:c r="I1886" s="17" t="n">
        <x:f>INDEX('Costing'!$P$9:$P$492,MATCH(D1886,'Costing'!$A$9:$A$492,0))</x:f>
        <x:v>360000</x:v>
      </x:c>
      <x:c r="J1886" s="17" t="n">
        <x:f>ROUND(I1886*'Costing'!$C$4,2)</x:f>
        <x:v>64800</x:v>
      </x:c>
      <x:c r="K1886" s="17" t="n">
        <x:f>I1886+J1886</x:f>
        <x:v>424800</x:v>
      </x:c>
    </x:row>
    <x:row r="1887" ht="46" customHeight="1">
      <x:c r="A1887" s="2" t="str">
        <x:v>Sector</x:v>
      </x:c>
      <x:c r="B1887" s="2" t="str">
        <x:v>IT &amp; digital</x:v>
      </x:c>
      <x:c r="C1887" s="12" t="str">
        <x:v>Pune</x:v>
      </x:c>
      <x:c r="D1887" s="12" t="str">
        <x:v>PARTNER-M277</x:v>
      </x:c>
      <x:c r="E1887" s="12" t="str">
        <x:v>Nyati Enthral</x:v>
      </x:c>
      <x:c r="F1887" s="11" t="n">
        <x:v>5</x:v>
      </x:c>
      <x:c r="G1887" s="11" t="n">
        <x:v>5</x:v>
      </x:c>
      <x:c r="H1887" s="11" t="n">
        <x:v>0</x:v>
      </x:c>
      <x:c r="I1887" s="17" t="n">
        <x:f>INDEX('Costing'!$P$9:$P$492,MATCH(D1887,'Costing'!$A$9:$A$492,0))</x:f>
        <x:v>200000</x:v>
      </x:c>
      <x:c r="J1887" s="17" t="n">
        <x:f>ROUND(I1887*'Costing'!$C$4,2)</x:f>
        <x:v>36000</x:v>
      </x:c>
      <x:c r="K1887" s="17" t="n">
        <x:f>I1887+J1887</x:f>
        <x:v>236000</x:v>
      </x:c>
    </x:row>
    <x:row r="1888" ht="46" customHeight="1">
      <x:c r="A1888" s="2" t="str">
        <x:v>Sector</x:v>
      </x:c>
      <x:c r="B1888" s="2" t="str">
        <x:v>IT &amp; digital</x:v>
      </x:c>
      <x:c r="C1888" s="12" t="str">
        <x:v>Pune</x:v>
      </x:c>
      <x:c r="D1888" s="12" t="str">
        <x:v>PARTNER-M273</x:v>
      </x:c>
      <x:c r="E1888" s="12" t="str">
        <x:v>Nyati Tech Park</x:v>
      </x:c>
      <x:c r="F1888" s="11" t="n">
        <x:v>4</x:v>
      </x:c>
      <x:c r="G1888" s="11" t="n">
        <x:v>4</x:v>
      </x:c>
      <x:c r="H1888" s="11" t="n">
        <x:v>0</x:v>
      </x:c>
      <x:c r="I1888" s="17" t="n">
        <x:f>INDEX('Costing'!$P$9:$P$492,MATCH(D1888,'Costing'!$A$9:$A$492,0))</x:f>
        <x:v>160000</x:v>
      </x:c>
      <x:c r="J1888" s="17" t="n">
        <x:f>ROUND(I1888*'Costing'!$C$4,2)</x:f>
        <x:v>28800</x:v>
      </x:c>
      <x:c r="K1888" s="17" t="n">
        <x:f>I1888+J1888</x:f>
        <x:v>188800</x:v>
      </x:c>
    </x:row>
    <x:row r="1889" ht="46" customHeight="1">
      <x:c r="A1889" s="2" t="str">
        <x:v>Sector</x:v>
      </x:c>
      <x:c r="B1889" s="2" t="str">
        <x:v>IT &amp; digital</x:v>
      </x:c>
      <x:c r="C1889" s="12" t="str">
        <x:v>Pune</x:v>
      </x:c>
      <x:c r="D1889" s="12" t="str">
        <x:v>PARTNER-M261</x:v>
      </x:c>
      <x:c r="E1889" s="12" t="str">
        <x:v>Pentagon Towers</x:v>
      </x:c>
      <x:c r="F1889" s="11" t="n">
        <x:v>4</x:v>
      </x:c>
      <x:c r="G1889" s="11" t="n">
        <x:v>4</x:v>
      </x:c>
      <x:c r="H1889" s="11" t="n">
        <x:v>0</x:v>
      </x:c>
      <x:c r="I1889" s="17" t="n">
        <x:f>INDEX('Costing'!$P$9:$P$492,MATCH(D1889,'Costing'!$A$9:$A$492,0))</x:f>
        <x:v>160000</x:v>
      </x:c>
      <x:c r="J1889" s="17" t="n">
        <x:f>ROUND(I1889*'Costing'!$C$4,2)</x:f>
        <x:v>28800</x:v>
      </x:c>
      <x:c r="K1889" s="17" t="n">
        <x:f>I1889+J1889</x:f>
        <x:v>188800</x:v>
      </x:c>
    </x:row>
    <x:row r="1890" ht="46" customHeight="1">
      <x:c r="A1890" s="2" t="str">
        <x:v>Sector</x:v>
      </x:c>
      <x:c r="B1890" s="2" t="str">
        <x:v>IT &amp; digital</x:v>
      </x:c>
      <x:c r="C1890" s="12" t="str">
        <x:v>Pune</x:v>
      </x:c>
      <x:c r="D1890" s="12" t="str">
        <x:v>PARTNER-M265</x:v>
      </x:c>
      <x:c r="E1890" s="12" t="str">
        <x:v>Symphony IT Park</x:v>
      </x:c>
      <x:c r="F1890" s="11" t="n">
        <x:v>3</x:v>
      </x:c>
      <x:c r="G1890" s="11" t="n">
        <x:v>3</x:v>
      </x:c>
      <x:c r="H1890" s="11" t="n">
        <x:v>0</x:v>
      </x:c>
      <x:c r="I1890" s="17" t="n">
        <x:f>INDEX('Costing'!$P$9:$P$492,MATCH(D1890,'Costing'!$A$9:$A$492,0))</x:f>
        <x:v>120000</x:v>
      </x:c>
      <x:c r="J1890" s="17" t="n">
        <x:f>ROUND(I1890*'Costing'!$C$4,2)</x:f>
        <x:v>21600</x:v>
      </x:c>
      <x:c r="K1890" s="17" t="n">
        <x:f>I1890+J1890</x:f>
        <x:v>141600</x:v>
      </x:c>
    </x:row>
    <x:row r="1891" ht="46" customHeight="1">
      <x:c r="A1891" s="2" t="str">
        <x:v>Sector</x:v>
      </x:c>
      <x:c r="B1891" s="2" t="str">
        <x:v>Professional services</x:v>
      </x:c>
      <x:c r="C1891" s="12" t="str">
        <x:v>Ahmedabad</x:v>
      </x:c>
      <x:c r="D1891" s="12" t="str">
        <x:v>MAIN-005</x:v>
      </x:c>
      <x:c r="E1891" s="12" t="str">
        <x:v>Awfis - Krish Cubical</x:v>
      </x:c>
      <x:c r="F1891" s="11" t="n">
        <x:v>1</x:v>
      </x:c>
      <x:c r="G1891" s="11" t="n">
        <x:v>1</x:v>
      </x:c>
      <x:c r="H1891" s="11" t="n">
        <x:v>0</x:v>
      </x:c>
      <x:c r="I1891" s="17" t="n">
        <x:f>INDEX('Costing'!$P$9:$P$492,MATCH(D1891,'Costing'!$A$9:$A$492,0))</x:f>
        <x:v>15000</x:v>
      </x:c>
      <x:c r="J1891" s="17" t="n">
        <x:f>ROUND(I1891*'Costing'!$C$4,2)</x:f>
        <x:v>2700</x:v>
      </x:c>
      <x:c r="K1891" s="17" t="n">
        <x:f>I1891+J1891</x:f>
        <x:v>17700</x:v>
      </x:c>
    </x:row>
    <x:row r="1892" ht="46" customHeight="1">
      <x:c r="A1892" s="2" t="str">
        <x:v>Sector</x:v>
      </x:c>
      <x:c r="B1892" s="2" t="str">
        <x:v>Professional services</x:v>
      </x:c>
      <x:c r="C1892" s="12" t="str">
        <x:v>Ahmedabad</x:v>
      </x:c>
      <x:c r="D1892" s="12" t="str">
        <x:v>MAIN-007</x:v>
      </x:c>
      <x:c r="E1892" s="12" t="str">
        <x:v>Oyo Workspace - Mauryansh Elanza</x:v>
      </x:c>
      <x:c r="F1892" s="11" t="n">
        <x:v>2</x:v>
      </x:c>
      <x:c r="G1892" s="11" t="n">
        <x:v>2</x:v>
      </x:c>
      <x:c r="H1892" s="11" t="n">
        <x:v>0</x:v>
      </x:c>
      <x:c r="I1892" s="17" t="n">
        <x:f>INDEX('Costing'!$P$9:$P$492,MATCH(D1892,'Costing'!$A$9:$A$492,0))</x:f>
        <x:v>30000</x:v>
      </x:c>
      <x:c r="J1892" s="17" t="n">
        <x:f>ROUND(I1892*'Costing'!$C$4,2)</x:f>
        <x:v>5400</x:v>
      </x:c>
      <x:c r="K1892" s="17" t="n">
        <x:f>I1892+J1892</x:f>
        <x:v>35400</x:v>
      </x:c>
    </x:row>
    <x:row r="1893" ht="46" customHeight="1">
      <x:c r="A1893" s="2" t="str">
        <x:v>Sector</x:v>
      </x:c>
      <x:c r="B1893" s="2" t="str">
        <x:v>Professional services</x:v>
      </x:c>
      <x:c r="C1893" s="12" t="str">
        <x:v>Bengaluru</x:v>
      </x:c>
      <x:c r="D1893" s="12" t="str">
        <x:v>MAIN-009</x:v>
      </x:c>
      <x:c r="E1893" s="12" t="str">
        <x:v>Akshay Tech Park</x:v>
      </x:c>
      <x:c r="F1893" s="11" t="n">
        <x:v>8</x:v>
      </x:c>
      <x:c r="G1893" s="11" t="n">
        <x:v>8</x:v>
      </x:c>
      <x:c r="H1893" s="11" t="n">
        <x:v>0</x:v>
      </x:c>
      <x:c r="I1893" s="17" t="n">
        <x:f>INDEX('Costing'!$P$9:$P$492,MATCH(D1893,'Costing'!$A$9:$A$492,0))</x:f>
        <x:v>120000</x:v>
      </x:c>
      <x:c r="J1893" s="17" t="n">
        <x:f>ROUND(I1893*'Costing'!$C$4,2)</x:f>
        <x:v>21600</x:v>
      </x:c>
      <x:c r="K1893" s="17" t="n">
        <x:f>I1893+J1893</x:f>
        <x:v>141600</x:v>
      </x:c>
    </x:row>
    <x:row r="1894" ht="46" customHeight="1">
      <x:c r="A1894" s="2" t="str">
        <x:v>Sector</x:v>
      </x:c>
      <x:c r="B1894" s="2" t="str">
        <x:v>Professional services</x:v>
      </x:c>
      <x:c r="C1894" s="12" t="str">
        <x:v>Bengaluru</x:v>
      </x:c>
      <x:c r="D1894" s="12" t="str">
        <x:v>MAIN-010</x:v>
      </x:c>
      <x:c r="E1894" s="12" t="str">
        <x:v>Ataura Business Centre</x:v>
      </x:c>
      <x:c r="F1894" s="11" t="n">
        <x:v>1</x:v>
      </x:c>
      <x:c r="G1894" s="11" t="n">
        <x:v>1</x:v>
      </x:c>
      <x:c r="H1894" s="11" t="n">
        <x:v>0</x:v>
      </x:c>
      <x:c r="I1894" s="17" t="n">
        <x:f>INDEX('Costing'!$P$9:$P$492,MATCH(D1894,'Costing'!$A$9:$A$492,0))</x:f>
        <x:v>15000</x:v>
      </x:c>
      <x:c r="J1894" s="17" t="n">
        <x:f>ROUND(I1894*'Costing'!$C$4,2)</x:f>
        <x:v>2700</x:v>
      </x:c>
      <x:c r="K1894" s="17" t="n">
        <x:f>I1894+J1894</x:f>
        <x:v>17700</x:v>
      </x:c>
    </x:row>
    <x:row r="1895" ht="46" customHeight="1">
      <x:c r="A1895" s="2" t="str">
        <x:v>Sector</x:v>
      </x:c>
      <x:c r="B1895" s="2" t="str">
        <x:v>Professional services</x:v>
      </x:c>
      <x:c r="C1895" s="12" t="str">
        <x:v>Bengaluru</x:v>
      </x:c>
      <x:c r="D1895" s="12" t="str">
        <x:v>MAIN-011</x:v>
      </x:c>
      <x:c r="E1895" s="12" t="str">
        <x:v>Awfis - Brigade Metropolis</x:v>
      </x:c>
      <x:c r="F1895" s="11" t="n">
        <x:v>1</x:v>
      </x:c>
      <x:c r="G1895" s="11" t="n">
        <x:v>1</x:v>
      </x:c>
      <x:c r="H1895" s="11" t="n">
        <x:v>0</x:v>
      </x:c>
      <x:c r="I1895" s="17" t="n">
        <x:f>INDEX('Costing'!$P$9:$P$492,MATCH(D1895,'Costing'!$A$9:$A$492,0))</x:f>
        <x:v>15000</x:v>
      </x:c>
      <x:c r="J1895" s="17" t="n">
        <x:f>ROUND(I1895*'Costing'!$C$4,2)</x:f>
        <x:v>2700</x:v>
      </x:c>
      <x:c r="K1895" s="17" t="n">
        <x:f>I1895+J1895</x:f>
        <x:v>17700</x:v>
      </x:c>
    </x:row>
    <x:row r="1896" ht="46" customHeight="1">
      <x:c r="A1896" s="2" t="str">
        <x:v>Sector</x:v>
      </x:c>
      <x:c r="B1896" s="2" t="str">
        <x:v>Professional services</x:v>
      </x:c>
      <x:c r="C1896" s="12" t="str">
        <x:v>Bengaluru</x:v>
      </x:c>
      <x:c r="D1896" s="12" t="str">
        <x:v>MAIN-015</x:v>
      </x:c>
      <x:c r="E1896" s="12" t="str">
        <x:v>Awfis - Prestige Blue Chip</x:v>
      </x:c>
      <x:c r="F1896" s="11" t="n">
        <x:v>1</x:v>
      </x:c>
      <x:c r="G1896" s="11" t="n">
        <x:v>1</x:v>
      </x:c>
      <x:c r="H1896" s="11" t="n">
        <x:v>0</x:v>
      </x:c>
      <x:c r="I1896" s="17" t="n">
        <x:f>INDEX('Costing'!$P$9:$P$492,MATCH(D1896,'Costing'!$A$9:$A$492,0))</x:f>
        <x:v>15000</x:v>
      </x:c>
      <x:c r="J1896" s="17" t="n">
        <x:f>ROUND(I1896*'Costing'!$C$4,2)</x:f>
        <x:v>2700</x:v>
      </x:c>
      <x:c r="K1896" s="17" t="n">
        <x:f>I1896+J1896</x:f>
        <x:v>17700</x:v>
      </x:c>
    </x:row>
    <x:row r="1897" ht="46" customHeight="1">
      <x:c r="A1897" s="2" t="str">
        <x:v>Sector</x:v>
      </x:c>
      <x:c r="B1897" s="2" t="str">
        <x:v>Professional services</x:v>
      </x:c>
      <x:c r="C1897" s="12" t="str">
        <x:v>Bengaluru</x:v>
      </x:c>
      <x:c r="D1897" s="12" t="str">
        <x:v>MAIN-018</x:v>
      </x:c>
      <x:c r="E1897" s="12" t="str">
        <x:v>Awfis - Prestige Tech Park</x:v>
      </x:c>
      <x:c r="F1897" s="11" t="n">
        <x:v>3</x:v>
      </x:c>
      <x:c r="G1897" s="11" t="n">
        <x:v>3</x:v>
      </x:c>
      <x:c r="H1897" s="11" t="n">
        <x:v>0</x:v>
      </x:c>
      <x:c r="I1897" s="17" t="n">
        <x:f>INDEX('Costing'!$P$9:$P$492,MATCH(D1897,'Costing'!$A$9:$A$492,0))</x:f>
        <x:v>45000</x:v>
      </x:c>
      <x:c r="J1897" s="17" t="n">
        <x:f>ROUND(I1897*'Costing'!$C$4,2)</x:f>
        <x:v>8100</x:v>
      </x:c>
      <x:c r="K1897" s="17" t="n">
        <x:f>I1897+J1897</x:f>
        <x:v>53100</x:v>
      </x:c>
    </x:row>
    <x:row r="1898" ht="46" customHeight="1">
      <x:c r="A1898" s="2" t="str">
        <x:v>Sector</x:v>
      </x:c>
      <x:c r="B1898" s="2" t="str">
        <x:v>Professional services</x:v>
      </x:c>
      <x:c r="C1898" s="12" t="str">
        <x:v>Bengaluru</x:v>
      </x:c>
      <x:c r="D1898" s="12" t="str">
        <x:v>MAIN-019</x:v>
      </x:c>
      <x:c r="E1898" s="12" t="str">
        <x:v>Awfis - Prestige Tech Park 2 (Mercury)</x:v>
      </x:c>
      <x:c r="F1898" s="11" t="n">
        <x:v>4</x:v>
      </x:c>
      <x:c r="G1898" s="11" t="n">
        <x:v>4</x:v>
      </x:c>
      <x:c r="H1898" s="11" t="n">
        <x:v>0</x:v>
      </x:c>
      <x:c r="I1898" s="17" t="n">
        <x:f>INDEX('Costing'!$P$9:$P$492,MATCH(D1898,'Costing'!$A$9:$A$492,0))</x:f>
        <x:v>60000</x:v>
      </x:c>
      <x:c r="J1898" s="17" t="n">
        <x:f>ROUND(I1898*'Costing'!$C$4,2)</x:f>
        <x:v>10800</x:v>
      </x:c>
      <x:c r="K1898" s="17" t="n">
        <x:f>I1898+J1898</x:f>
        <x:v>70800</x:v>
      </x:c>
    </x:row>
    <x:row r="1899" ht="46" customHeight="1">
      <x:c r="A1899" s="2" t="str">
        <x:v>Sector</x:v>
      </x:c>
      <x:c r="B1899" s="2" t="str">
        <x:v>Professional services</x:v>
      </x:c>
      <x:c r="C1899" s="12" t="str">
        <x:v>Bengaluru</x:v>
      </x:c>
      <x:c r="D1899" s="12" t="str">
        <x:v>MAIN-020</x:v>
      </x:c>
      <x:c r="E1899" s="12" t="str">
        <x:v>AWFIS - PTP 4 Jupiter</x:v>
      </x:c>
      <x:c r="F1899" s="11" t="n">
        <x:v>1</x:v>
      </x:c>
      <x:c r="G1899" s="11" t="n">
        <x:v>1</x:v>
      </x:c>
      <x:c r="H1899" s="11" t="n">
        <x:v>0</x:v>
      </x:c>
      <x:c r="I1899" s="17" t="n">
        <x:f>INDEX('Costing'!$P$9:$P$492,MATCH(D1899,'Costing'!$A$9:$A$492,0))</x:f>
        <x:v>15000</x:v>
      </x:c>
      <x:c r="J1899" s="17" t="n">
        <x:f>ROUND(I1899*'Costing'!$C$4,2)</x:f>
        <x:v>2700</x:v>
      </x:c>
      <x:c r="K1899" s="17" t="n">
        <x:f>I1899+J1899</x:f>
        <x:v>17700</x:v>
      </x:c>
    </x:row>
    <x:row r="1900" ht="46" customHeight="1">
      <x:c r="A1900" s="2" t="str">
        <x:v>Sector</x:v>
      </x:c>
      <x:c r="B1900" s="2" t="str">
        <x:v>Professional services</x:v>
      </x:c>
      <x:c r="C1900" s="12" t="str">
        <x:v>Bengaluru</x:v>
      </x:c>
      <x:c r="D1900" s="12" t="str">
        <x:v>MAIN-025</x:v>
      </x:c>
      <x:c r="E1900" s="12" t="str">
        <x:v>Awfis - ST Mark's Road</x:v>
      </x:c>
      <x:c r="F1900" s="11" t="n">
        <x:v>5</x:v>
      </x:c>
      <x:c r="G1900" s="11" t="n">
        <x:v>5</x:v>
      </x:c>
      <x:c r="H1900" s="11" t="n">
        <x:v>0</x:v>
      </x:c>
      <x:c r="I1900" s="17" t="n">
        <x:f>INDEX('Costing'!$P$9:$P$492,MATCH(D1900,'Costing'!$A$9:$A$492,0))</x:f>
        <x:v>75000</x:v>
      </x:c>
      <x:c r="J1900" s="17" t="n">
        <x:f>ROUND(I1900*'Costing'!$C$4,2)</x:f>
        <x:v>13500</x:v>
      </x:c>
      <x:c r="K1900" s="17" t="n">
        <x:f>I1900+J1900</x:f>
        <x:v>88500</x:v>
      </x:c>
    </x:row>
    <x:row r="1901" ht="46" customHeight="1">
      <x:c r="A1901" s="2" t="str">
        <x:v>Sector</x:v>
      </x:c>
      <x:c r="B1901" s="2" t="str">
        <x:v>Professional services</x:v>
      </x:c>
      <x:c r="C1901" s="12" t="str">
        <x:v>Bengaluru</x:v>
      </x:c>
      <x:c r="D1901" s="12" t="str">
        <x:v>MAIN-026</x:v>
      </x:c>
      <x:c r="E1901" s="12" t="str">
        <x:v>Awfis - Vajram Esteva</x:v>
      </x:c>
      <x:c r="F1901" s="11" t="n">
        <x:v>4</x:v>
      </x:c>
      <x:c r="G1901" s="11" t="n">
        <x:v>4</x:v>
      </x:c>
      <x:c r="H1901" s="11" t="n">
        <x:v>0</x:v>
      </x:c>
      <x:c r="I1901" s="17" t="n">
        <x:f>INDEX('Costing'!$P$9:$P$492,MATCH(D1901,'Costing'!$A$9:$A$492,0))</x:f>
        <x:v>60000</x:v>
      </x:c>
      <x:c r="J1901" s="17" t="n">
        <x:f>ROUND(I1901*'Costing'!$C$4,2)</x:f>
        <x:v>10800</x:v>
      </x:c>
      <x:c r="K1901" s="17" t="n">
        <x:f>I1901+J1901</x:f>
        <x:v>70800</x:v>
      </x:c>
    </x:row>
    <x:row r="1902" ht="46" customHeight="1">
      <x:c r="A1902" s="2" t="str">
        <x:v>Sector</x:v>
      </x:c>
      <x:c r="B1902" s="2" t="str">
        <x:v>Professional services</x:v>
      </x:c>
      <x:c r="C1902" s="12" t="str">
        <x:v>Bengaluru</x:v>
      </x:c>
      <x:c r="D1902" s="12" t="str">
        <x:v>MAIN-027</x:v>
      </x:c>
      <x:c r="E1902" s="12" t="str">
        <x:v>Bhive Workspace - AKR Tech Park</x:v>
      </x:c>
      <x:c r="F1902" s="11" t="n">
        <x:v>6</x:v>
      </x:c>
      <x:c r="G1902" s="11" t="n">
        <x:v>6</x:v>
      </x:c>
      <x:c r="H1902" s="11" t="n">
        <x:v>0</x:v>
      </x:c>
      <x:c r="I1902" s="17" t="n">
        <x:f>INDEX('Costing'!$P$9:$P$492,MATCH(D1902,'Costing'!$A$9:$A$492,0))</x:f>
        <x:v>90000</x:v>
      </x:c>
      <x:c r="J1902" s="17" t="n">
        <x:f>ROUND(I1902*'Costing'!$C$4,2)</x:f>
        <x:v>16200</x:v>
      </x:c>
      <x:c r="K1902" s="17" t="n">
        <x:f>I1902+J1902</x:f>
        <x:v>106200</x:v>
      </x:c>
    </x:row>
    <x:row r="1903" ht="46" customHeight="1">
      <x:c r="A1903" s="2" t="str">
        <x:v>Sector</x:v>
      </x:c>
      <x:c r="B1903" s="2" t="str">
        <x:v>Professional services</x:v>
      </x:c>
      <x:c r="C1903" s="12" t="str">
        <x:v>Bengaluru</x:v>
      </x:c>
      <x:c r="D1903" s="12" t="str">
        <x:v>MAIN-028</x:v>
      </x:c>
      <x:c r="E1903" s="12" t="str">
        <x:v>Bhive Workspace - HSR Layout 27Th Main</x:v>
      </x:c>
      <x:c r="F1903" s="11" t="n">
        <x:v>1</x:v>
      </x:c>
      <x:c r="G1903" s="11" t="n">
        <x:v>1</x:v>
      </x:c>
      <x:c r="H1903" s="11" t="n">
        <x:v>0</x:v>
      </x:c>
      <x:c r="I1903" s="17" t="n">
        <x:f>INDEX('Costing'!$P$9:$P$492,MATCH(D1903,'Costing'!$A$9:$A$492,0))</x:f>
        <x:v>15000</x:v>
      </x:c>
      <x:c r="J1903" s="17" t="n">
        <x:f>ROUND(I1903*'Costing'!$C$4,2)</x:f>
        <x:v>2700</x:v>
      </x:c>
      <x:c r="K1903" s="17" t="n">
        <x:f>I1903+J1903</x:f>
        <x:v>17700</x:v>
      </x:c>
    </x:row>
    <x:row r="1904" ht="46" customHeight="1">
      <x:c r="A1904" s="2" t="str">
        <x:v>Sector</x:v>
      </x:c>
      <x:c r="B1904" s="2" t="str">
        <x:v>Professional services</x:v>
      </x:c>
      <x:c r="C1904" s="12" t="str">
        <x:v>Bengaluru</x:v>
      </x:c>
      <x:c r="D1904" s="12" t="str">
        <x:v>MAIN-029</x:v>
      </x:c>
      <x:c r="E1904" s="12" t="str">
        <x:v>Bhive Workspace - HSR Sector 6 Service Road Unit A</x:v>
      </x:c>
      <x:c r="F1904" s="11" t="n">
        <x:v>3</x:v>
      </x:c>
      <x:c r="G1904" s="11" t="n">
        <x:v>3</x:v>
      </x:c>
      <x:c r="H1904" s="11" t="n">
        <x:v>0</x:v>
      </x:c>
      <x:c r="I1904" s="17" t="n">
        <x:f>INDEX('Costing'!$P$9:$P$492,MATCH(D1904,'Costing'!$A$9:$A$492,0))</x:f>
        <x:v>45000</x:v>
      </x:c>
      <x:c r="J1904" s="17" t="n">
        <x:f>ROUND(I1904*'Costing'!$C$4,2)</x:f>
        <x:v>8100</x:v>
      </x:c>
      <x:c r="K1904" s="17" t="n">
        <x:f>I1904+J1904</x:f>
        <x:v>53100</x:v>
      </x:c>
    </x:row>
    <x:row r="1905" ht="46" customHeight="1">
      <x:c r="A1905" s="2" t="str">
        <x:v>Sector</x:v>
      </x:c>
      <x:c r="B1905" s="2" t="str">
        <x:v>Professional services</x:v>
      </x:c>
      <x:c r="C1905" s="12" t="str">
        <x:v>Bengaluru</x:v>
      </x:c>
      <x:c r="D1905" s="12" t="str">
        <x:v>MAIN-030</x:v>
      </x:c>
      <x:c r="E1905" s="12" t="str">
        <x:v>Bhive Workspace - Indiranagar</x:v>
      </x:c>
      <x:c r="F1905" s="11" t="n">
        <x:v>6</x:v>
      </x:c>
      <x:c r="G1905" s="11" t="n">
        <x:v>6</x:v>
      </x:c>
      <x:c r="H1905" s="11" t="n">
        <x:v>0</x:v>
      </x:c>
      <x:c r="I1905" s="17" t="n">
        <x:f>INDEX('Costing'!$P$9:$P$492,MATCH(D1905,'Costing'!$A$9:$A$492,0))</x:f>
        <x:v>90000</x:v>
      </x:c>
      <x:c r="J1905" s="17" t="n">
        <x:f>ROUND(I1905*'Costing'!$C$4,2)</x:f>
        <x:v>16200</x:v>
      </x:c>
      <x:c r="K1905" s="17" t="n">
        <x:f>I1905+J1905</x:f>
        <x:v>106200</x:v>
      </x:c>
    </x:row>
    <x:row r="1906" ht="46" customHeight="1">
      <x:c r="A1906" s="2" t="str">
        <x:v>Sector</x:v>
      </x:c>
      <x:c r="B1906" s="2" t="str">
        <x:v>Professional services</x:v>
      </x:c>
      <x:c r="C1906" s="12" t="str">
        <x:v>Bengaluru</x:v>
      </x:c>
      <x:c r="D1906" s="12" t="str">
        <x:v>MAIN-044</x:v>
      </x:c>
      <x:c r="E1906" s="12" t="str">
        <x:v>DSR Techno Cube IT Park</x:v>
      </x:c>
      <x:c r="F1906" s="11" t="n">
        <x:v>2</x:v>
      </x:c>
      <x:c r="G1906" s="11" t="n">
        <x:v>2</x:v>
      </x:c>
      <x:c r="H1906" s="11" t="n">
        <x:v>0</x:v>
      </x:c>
      <x:c r="I1906" s="17" t="n">
        <x:f>INDEX('Costing'!$P$9:$P$492,MATCH(D1906,'Costing'!$A$9:$A$492,0))</x:f>
        <x:v>40000</x:v>
      </x:c>
      <x:c r="J1906" s="17" t="n">
        <x:f>ROUND(I1906*'Costing'!$C$4,2)</x:f>
        <x:v>7200</x:v>
      </x:c>
      <x:c r="K1906" s="17" t="n">
        <x:f>I1906+J1906</x:f>
        <x:v>47200</x:v>
      </x:c>
    </x:row>
    <x:row r="1907" ht="46" customHeight="1">
      <x:c r="A1907" s="2" t="str">
        <x:v>Sector</x:v>
      </x:c>
      <x:c r="B1907" s="2" t="str">
        <x:v>Professional services</x:v>
      </x:c>
      <x:c r="C1907" s="12" t="str">
        <x:v>Bengaluru</x:v>
      </x:c>
      <x:c r="D1907" s="12" t="str">
        <x:v>MAIN-048</x:v>
      </x:c>
      <x:c r="E1907" s="12" t="str">
        <x:v>Golden Millenium Tech Park</x:v>
      </x:c>
      <x:c r="F1907" s="11" t="n">
        <x:v>3</x:v>
      </x:c>
      <x:c r="G1907" s="11" t="n">
        <x:v>3</x:v>
      </x:c>
      <x:c r="H1907" s="11" t="n">
        <x:v>0</x:v>
      </x:c>
      <x:c r="I1907" s="17" t="n">
        <x:f>INDEX('Costing'!$P$9:$P$492,MATCH(D1907,'Costing'!$A$9:$A$492,0))</x:f>
        <x:v>60000</x:v>
      </x:c>
      <x:c r="J1907" s="17" t="n">
        <x:f>ROUND(I1907*'Costing'!$C$4,2)</x:f>
        <x:v>10800</x:v>
      </x:c>
      <x:c r="K1907" s="17" t="n">
        <x:f>I1907+J1907</x:f>
        <x:v>70800</x:v>
      </x:c>
    </x:row>
    <x:row r="1908" ht="46" customHeight="1">
      <x:c r="A1908" s="2" t="str">
        <x:v>Sector</x:v>
      </x:c>
      <x:c r="B1908" s="2" t="str">
        <x:v>Professional services</x:v>
      </x:c>
      <x:c r="C1908" s="12" t="str">
        <x:v>Bengaluru</x:v>
      </x:c>
      <x:c r="D1908" s="12" t="str">
        <x:v>MAIN-049</x:v>
      </x:c>
      <x:c r="E1908" s="12" t="str">
        <x:v>Golden Millenium Tech Park (Pod Screens)</x:v>
      </x:c>
      <x:c r="F1908" s="11" t="n">
        <x:v>2</x:v>
      </x:c>
      <x:c r="G1908" s="11" t="n">
        <x:v>2</x:v>
      </x:c>
      <x:c r="H1908" s="11" t="n">
        <x:v>0</x:v>
      </x:c>
      <x:c r="I1908" s="17" t="n">
        <x:f>INDEX('Costing'!$P$9:$P$492,MATCH(D1908,'Costing'!$A$9:$A$492,0))</x:f>
        <x:v>40000</x:v>
      </x:c>
      <x:c r="J1908" s="17" t="n">
        <x:f>ROUND(I1908*'Costing'!$C$4,2)</x:f>
        <x:v>7200</x:v>
      </x:c>
      <x:c r="K1908" s="17" t="n">
        <x:f>I1908+J1908</x:f>
        <x:v>47200</x:v>
      </x:c>
    </x:row>
    <x:row r="1909" ht="46" customHeight="1">
      <x:c r="A1909" s="2" t="str">
        <x:v>Sector</x:v>
      </x:c>
      <x:c r="B1909" s="2" t="str">
        <x:v>Professional services</x:v>
      </x:c>
      <x:c r="C1909" s="12" t="str">
        <x:v>Bengaluru</x:v>
      </x:c>
      <x:c r="D1909" s="12" t="str">
        <x:v>MAIN-059</x:v>
      </x:c>
      <x:c r="E1909" s="12" t="str">
        <x:v>Novel Tech Park</x:v>
      </x:c>
      <x:c r="F1909" s="11" t="n">
        <x:v>8</x:v>
      </x:c>
      <x:c r="G1909" s="11" t="n">
        <x:v>8</x:v>
      </x:c>
      <x:c r="H1909" s="11" t="n">
        <x:v>0</x:v>
      </x:c>
      <x:c r="I1909" s="17" t="n">
        <x:f>INDEX('Costing'!$P$9:$P$492,MATCH(D1909,'Costing'!$A$9:$A$492,0))</x:f>
        <x:v>120000</x:v>
      </x:c>
      <x:c r="J1909" s="17" t="n">
        <x:f>ROUND(I1909*'Costing'!$C$4,2)</x:f>
        <x:v>21600</x:v>
      </x:c>
      <x:c r="K1909" s="17" t="n">
        <x:f>I1909+J1909</x:f>
        <x:v>141600</x:v>
      </x:c>
    </x:row>
    <x:row r="1910" ht="46" customHeight="1">
      <x:c r="A1910" s="2" t="str">
        <x:v>Sector</x:v>
      </x:c>
      <x:c r="B1910" s="2" t="str">
        <x:v>Professional services</x:v>
      </x:c>
      <x:c r="C1910" s="12" t="str">
        <x:v>Bengaluru</x:v>
      </x:c>
      <x:c r="D1910" s="12" t="str">
        <x:v>MAIN-063</x:v>
      </x:c>
      <x:c r="E1910" s="12" t="str">
        <x:v>Nucleus - Prestige One Trade Tower</x:v>
      </x:c>
      <x:c r="F1910" s="11" t="n">
        <x:v>2</x:v>
      </x:c>
      <x:c r="G1910" s="11" t="n">
        <x:v>2</x:v>
      </x:c>
      <x:c r="H1910" s="11" t="n">
        <x:v>0</x:v>
      </x:c>
      <x:c r="I1910" s="17" t="n">
        <x:f>INDEX('Costing'!$P$9:$P$492,MATCH(D1910,'Costing'!$A$9:$A$492,0))</x:f>
        <x:v>80000</x:v>
      </x:c>
      <x:c r="J1910" s="17" t="n">
        <x:f>ROUND(I1910*'Costing'!$C$4,2)</x:f>
        <x:v>14400</x:v>
      </x:c>
      <x:c r="K1910" s="17" t="n">
        <x:f>I1910+J1910</x:f>
        <x:v>94400</x:v>
      </x:c>
    </x:row>
    <x:row r="1911" ht="46" customHeight="1">
      <x:c r="A1911" s="2" t="str">
        <x:v>Sector</x:v>
      </x:c>
      <x:c r="B1911" s="2" t="str">
        <x:v>Professional services</x:v>
      </x:c>
      <x:c r="C1911" s="12" t="str">
        <x:v>Bengaluru</x:v>
      </x:c>
      <x:c r="D1911" s="12" t="str">
        <x:v>MAIN-065</x:v>
      </x:c>
      <x:c r="E1911" s="12" t="str">
        <x:v>Obeya - Elan</x:v>
      </x:c>
      <x:c r="F1911" s="11" t="n">
        <x:v>1</x:v>
      </x:c>
      <x:c r="G1911" s="11" t="n">
        <x:v>1</x:v>
      </x:c>
      <x:c r="H1911" s="11" t="n">
        <x:v>0</x:v>
      </x:c>
      <x:c r="I1911" s="17" t="n">
        <x:f>INDEX('Costing'!$P$9:$P$492,MATCH(D1911,'Costing'!$A$9:$A$492,0))</x:f>
        <x:v>15000</x:v>
      </x:c>
      <x:c r="J1911" s="17" t="n">
        <x:f>ROUND(I1911*'Costing'!$C$4,2)</x:f>
        <x:v>2700</x:v>
      </x:c>
      <x:c r="K1911" s="17" t="n">
        <x:f>I1911+J1911</x:f>
        <x:v>17700</x:v>
      </x:c>
    </x:row>
    <x:row r="1912" ht="46" customHeight="1">
      <x:c r="A1912" s="2" t="str">
        <x:v>Sector</x:v>
      </x:c>
      <x:c r="B1912" s="2" t="str">
        <x:v>Professional services</x:v>
      </x:c>
      <x:c r="C1912" s="12" t="str">
        <x:v>Bengaluru</x:v>
      </x:c>
      <x:c r="D1912" s="12" t="str">
        <x:v>MAIN-066</x:v>
      </x:c>
      <x:c r="E1912" s="12" t="str">
        <x:v>Obeya - Gusto</x:v>
      </x:c>
      <x:c r="F1912" s="11" t="n">
        <x:v>1</x:v>
      </x:c>
      <x:c r="G1912" s="11" t="n">
        <x:v>1</x:v>
      </x:c>
      <x:c r="H1912" s="11" t="n">
        <x:v>0</x:v>
      </x:c>
      <x:c r="I1912" s="17" t="n">
        <x:f>INDEX('Costing'!$P$9:$P$492,MATCH(D1912,'Costing'!$A$9:$A$492,0))</x:f>
        <x:v>15000</x:v>
      </x:c>
      <x:c r="J1912" s="17" t="n">
        <x:f>ROUND(I1912*'Costing'!$C$4,2)</x:f>
        <x:v>2700</x:v>
      </x:c>
      <x:c r="K1912" s="17" t="n">
        <x:f>I1912+J1912</x:f>
        <x:v>17700</x:v>
      </x:c>
    </x:row>
    <x:row r="1913" ht="46" customHeight="1">
      <x:c r="A1913" s="2" t="str">
        <x:v>Sector</x:v>
      </x:c>
      <x:c r="B1913" s="2" t="str">
        <x:v>Professional services</x:v>
      </x:c>
      <x:c r="C1913" s="12" t="str">
        <x:v>Bengaluru</x:v>
      </x:c>
      <x:c r="D1913" s="12" t="str">
        <x:v>MAIN-069</x:v>
      </x:c>
      <x:c r="E1913" s="12" t="str">
        <x:v>Obeya - Spurce</x:v>
      </x:c>
      <x:c r="F1913" s="11" t="n">
        <x:v>2</x:v>
      </x:c>
      <x:c r="G1913" s="11" t="n">
        <x:v>2</x:v>
      </x:c>
      <x:c r="H1913" s="11" t="n">
        <x:v>0</x:v>
      </x:c>
      <x:c r="I1913" s="17" t="n">
        <x:f>INDEX('Costing'!$P$9:$P$492,MATCH(D1913,'Costing'!$A$9:$A$492,0))</x:f>
        <x:v>30000</x:v>
      </x:c>
      <x:c r="J1913" s="17" t="n">
        <x:f>ROUND(I1913*'Costing'!$C$4,2)</x:f>
        <x:v>5400</x:v>
      </x:c>
      <x:c r="K1913" s="17" t="n">
        <x:f>I1913+J1913</x:f>
        <x:v>35400</x:v>
      </x:c>
    </x:row>
    <x:row r="1914" ht="46" customHeight="1">
      <x:c r="A1914" s="2" t="str">
        <x:v>Sector</x:v>
      </x:c>
      <x:c r="B1914" s="2" t="str">
        <x:v>Professional services</x:v>
      </x:c>
      <x:c r="C1914" s="12" t="str">
        <x:v>Bengaluru</x:v>
      </x:c>
      <x:c r="D1914" s="12" t="str">
        <x:v>MAIN-072</x:v>
      </x:c>
      <x:c r="E1914" s="12" t="str">
        <x:v>Prestige Etamin (Redbrick Offices)</x:v>
      </x:c>
      <x:c r="F1914" s="11" t="n">
        <x:v>1</x:v>
      </x:c>
      <x:c r="G1914" s="11" t="n">
        <x:v>1</x:v>
      </x:c>
      <x:c r="H1914" s="11" t="n">
        <x:v>0</x:v>
      </x:c>
      <x:c r="I1914" s="17" t="n">
        <x:f>INDEX('Costing'!$P$9:$P$492,MATCH(D1914,'Costing'!$A$9:$A$492,0))</x:f>
        <x:v>15000</x:v>
      </x:c>
      <x:c r="J1914" s="17" t="n">
        <x:f>ROUND(I1914*'Costing'!$C$4,2)</x:f>
        <x:v>2700</x:v>
      </x:c>
      <x:c r="K1914" s="17" t="n">
        <x:f>I1914+J1914</x:f>
        <x:v>17700</x:v>
      </x:c>
    </x:row>
    <x:row r="1915" ht="46" customHeight="1">
      <x:c r="A1915" s="2" t="str">
        <x:v>Sector</x:v>
      </x:c>
      <x:c r="B1915" s="2" t="str">
        <x:v>Professional services</x:v>
      </x:c>
      <x:c r="C1915" s="12" t="str">
        <x:v>Bengaluru</x:v>
      </x:c>
      <x:c r="D1915" s="12" t="str">
        <x:v>MAIN-073</x:v>
      </x:c>
      <x:c r="E1915" s="12" t="str">
        <x:v>Prestige Obelisk</x:v>
      </x:c>
      <x:c r="F1915" s="11" t="n">
        <x:v>1</x:v>
      </x:c>
      <x:c r="G1915" s="11" t="n">
        <x:v>1</x:v>
      </x:c>
      <x:c r="H1915" s="11" t="n">
        <x:v>0</x:v>
      </x:c>
      <x:c r="I1915" s="17" t="n">
        <x:f>INDEX('Costing'!$P$9:$P$492,MATCH(D1915,'Costing'!$A$9:$A$492,0))</x:f>
        <x:v>40000</x:v>
      </x:c>
      <x:c r="J1915" s="17" t="n">
        <x:f>ROUND(I1915*'Costing'!$C$4,2)</x:f>
        <x:v>7200</x:v>
      </x:c>
      <x:c r="K1915" s="17" t="n">
        <x:f>I1915+J1915</x:f>
        <x:v>47200</x:v>
      </x:c>
    </x:row>
    <x:row r="1916" ht="46" customHeight="1">
      <x:c r="A1916" s="2" t="str">
        <x:v>Sector</x:v>
      </x:c>
      <x:c r="B1916" s="2" t="str">
        <x:v>Professional services</x:v>
      </x:c>
      <x:c r="C1916" s="12" t="str">
        <x:v>Bengaluru</x:v>
      </x:c>
      <x:c r="D1916" s="12" t="str">
        <x:v>MAIN-077</x:v>
      </x:c>
      <x:c r="E1916" s="12" t="str">
        <x:v>Raheja Towers</x:v>
      </x:c>
      <x:c r="F1916" s="11" t="n">
        <x:v>11</x:v>
      </x:c>
      <x:c r="G1916" s="11" t="n">
        <x:v>11</x:v>
      </x:c>
      <x:c r="H1916" s="11" t="n">
        <x:v>0</x:v>
      </x:c>
      <x:c r="I1916" s="17" t="n">
        <x:f>INDEX('Costing'!$P$9:$P$492,MATCH(D1916,'Costing'!$A$9:$A$492,0))</x:f>
        <x:v>165000</x:v>
      </x:c>
      <x:c r="J1916" s="17" t="n">
        <x:f>ROUND(I1916*'Costing'!$C$4,2)</x:f>
        <x:v>29700</x:v>
      </x:c>
      <x:c r="K1916" s="17" t="n">
        <x:f>I1916+J1916</x:f>
        <x:v>194700</x:v>
      </x:c>
    </x:row>
    <x:row r="1917" ht="46" customHeight="1">
      <x:c r="A1917" s="2" t="str">
        <x:v>Sector</x:v>
      </x:c>
      <x:c r="B1917" s="2" t="str">
        <x:v>Professional services</x:v>
      </x:c>
      <x:c r="C1917" s="12" t="str">
        <x:v>Bengaluru</x:v>
      </x:c>
      <x:c r="D1917" s="12" t="str">
        <x:v>MAIN-081</x:v>
      </x:c>
      <x:c r="E1917" s="12" t="str">
        <x:v>Sierra Cartel</x:v>
      </x:c>
      <x:c r="F1917" s="11" t="n">
        <x:v>2</x:v>
      </x:c>
      <x:c r="G1917" s="11" t="n">
        <x:v>2</x:v>
      </x:c>
      <x:c r="H1917" s="11" t="n">
        <x:v>0</x:v>
      </x:c>
      <x:c r="I1917" s="17" t="n">
        <x:f>INDEX('Costing'!$P$9:$P$492,MATCH(D1917,'Costing'!$A$9:$A$492,0))</x:f>
        <x:v>30000</x:v>
      </x:c>
      <x:c r="J1917" s="17" t="n">
        <x:f>ROUND(I1917*'Costing'!$C$4,2)</x:f>
        <x:v>5400</x:v>
      </x:c>
      <x:c r="K1917" s="17" t="n">
        <x:f>I1917+J1917</x:f>
        <x:v>35400</x:v>
      </x:c>
    </x:row>
    <x:row r="1918" ht="46" customHeight="1">
      <x:c r="A1918" s="2" t="str">
        <x:v>Sector</x:v>
      </x:c>
      <x:c r="B1918" s="2" t="str">
        <x:v>Professional services</x:v>
      </x:c>
      <x:c r="C1918" s="12" t="str">
        <x:v>Bengaluru</x:v>
      </x:c>
      <x:c r="D1918" s="12" t="str">
        <x:v>MAIN-089</x:v>
      </x:c>
      <x:c r="E1918" s="12" t="str">
        <x:v>Startuphuts- Unit 6</x:v>
      </x:c>
      <x:c r="F1918" s="11" t="n">
        <x:v>1</x:v>
      </x:c>
      <x:c r="G1918" s="11" t="n">
        <x:v>1</x:v>
      </x:c>
      <x:c r="H1918" s="11" t="n">
        <x:v>0</x:v>
      </x:c>
      <x:c r="I1918" s="17" t="n">
        <x:f>INDEX('Costing'!$P$9:$P$492,MATCH(D1918,'Costing'!$A$9:$A$492,0))</x:f>
        <x:v>15000</x:v>
      </x:c>
      <x:c r="J1918" s="17" t="n">
        <x:f>ROUND(I1918*'Costing'!$C$4,2)</x:f>
        <x:v>2700</x:v>
      </x:c>
      <x:c r="K1918" s="17" t="n">
        <x:f>I1918+J1918</x:f>
        <x:v>17700</x:v>
      </x:c>
    </x:row>
    <x:row r="1919" ht="46" customHeight="1">
      <x:c r="A1919" s="2" t="str">
        <x:v>Sector</x:v>
      </x:c>
      <x:c r="B1919" s="2" t="str">
        <x:v>Professional services</x:v>
      </x:c>
      <x:c r="C1919" s="12" t="str">
        <x:v>Bengaluru</x:v>
      </x:c>
      <x:c r="D1919" s="12" t="str">
        <x:v>MAIN-103</x:v>
      </x:c>
      <x:c r="E1919" s="12" t="str">
        <x:v>Urban Vault- 1086</x:v>
      </x:c>
      <x:c r="F1919" s="11" t="n">
        <x:v>1</x:v>
      </x:c>
      <x:c r="G1919" s="11" t="n">
        <x:v>1</x:v>
      </x:c>
      <x:c r="H1919" s="11" t="n">
        <x:v>0</x:v>
      </x:c>
      <x:c r="I1919" s="17" t="n">
        <x:f>INDEX('Costing'!$P$9:$P$492,MATCH(D1919,'Costing'!$A$9:$A$492,0))</x:f>
        <x:v>15000</x:v>
      </x:c>
      <x:c r="J1919" s="17" t="n">
        <x:f>ROUND(I1919*'Costing'!$C$4,2)</x:f>
        <x:v>2700</x:v>
      </x:c>
      <x:c r="K1919" s="17" t="n">
        <x:f>I1919+J1919</x:f>
        <x:v>17700</x:v>
      </x:c>
    </x:row>
    <x:row r="1920" ht="46" customHeight="1">
      <x:c r="A1920" s="2" t="str">
        <x:v>Sector</x:v>
      </x:c>
      <x:c r="B1920" s="2" t="str">
        <x:v>Professional services</x:v>
      </x:c>
      <x:c r="C1920" s="12" t="str">
        <x:v>Bengaluru</x:v>
      </x:c>
      <x:c r="D1920" s="12" t="str">
        <x:v>MAIN-102</x:v>
      </x:c>
      <x:c r="E1920" s="12" t="str">
        <x:v>Urban Vault- 762</x:v>
      </x:c>
      <x:c r="F1920" s="11" t="n">
        <x:v>2</x:v>
      </x:c>
      <x:c r="G1920" s="11" t="n">
        <x:v>2</x:v>
      </x:c>
      <x:c r="H1920" s="11" t="n">
        <x:v>0</x:v>
      </x:c>
      <x:c r="I1920" s="17" t="n">
        <x:f>INDEX('Costing'!$P$9:$P$492,MATCH(D1920,'Costing'!$A$9:$A$492,0))</x:f>
        <x:v>30000</x:v>
      </x:c>
      <x:c r="J1920" s="17" t="n">
        <x:f>ROUND(I1920*'Costing'!$C$4,2)</x:f>
        <x:v>5400</x:v>
      </x:c>
      <x:c r="K1920" s="17" t="n">
        <x:f>I1920+J1920</x:f>
        <x:v>35400</x:v>
      </x:c>
    </x:row>
    <x:row r="1921" ht="46" customHeight="1">
      <x:c r="A1921" s="2" t="str">
        <x:v>Sector</x:v>
      </x:c>
      <x:c r="B1921" s="2" t="str">
        <x:v>Professional services</x:v>
      </x:c>
      <x:c r="C1921" s="12" t="str">
        <x:v>Bengaluru</x:v>
      </x:c>
      <x:c r="D1921" s="12" t="str">
        <x:v>MAIN-113</x:v>
      </x:c>
      <x:c r="E1921" s="12" t="str">
        <x:v>WeWork - EGL</x:v>
      </x:c>
      <x:c r="F1921" s="11" t="n">
        <x:v>4</x:v>
      </x:c>
      <x:c r="G1921" s="11" t="n">
        <x:v>4</x:v>
      </x:c>
      <x:c r="H1921" s="11" t="n">
        <x:v>0</x:v>
      </x:c>
      <x:c r="I1921" s="17" t="n">
        <x:f>INDEX('Costing'!$P$9:$P$492,MATCH(D1921,'Costing'!$A$9:$A$492,0))</x:f>
        <x:v>100000</x:v>
      </x:c>
      <x:c r="J1921" s="17" t="n">
        <x:f>ROUND(I1921*'Costing'!$C$4,2)</x:f>
        <x:v>18000</x:v>
      </x:c>
      <x:c r="K1921" s="17" t="n">
        <x:f>I1921+J1921</x:f>
        <x:v>118000</x:v>
      </x:c>
    </x:row>
    <x:row r="1922" ht="46" customHeight="1">
      <x:c r="A1922" s="2" t="str">
        <x:v>Sector</x:v>
      </x:c>
      <x:c r="B1922" s="2" t="str">
        <x:v>Professional services</x:v>
      </x:c>
      <x:c r="C1922" s="12" t="str">
        <x:v>Bengaluru</x:v>
      </x:c>
      <x:c r="D1922" s="12" t="str">
        <x:v>MAIN-115</x:v>
      </x:c>
      <x:c r="E1922" s="12" t="str">
        <x:v>Wework - Embassy Quest</x:v>
      </x:c>
      <x:c r="F1922" s="11" t="n">
        <x:v>4</x:v>
      </x:c>
      <x:c r="G1922" s="11" t="n">
        <x:v>4</x:v>
      </x:c>
      <x:c r="H1922" s="11" t="n">
        <x:v>0</x:v>
      </x:c>
      <x:c r="I1922" s="17" t="n">
        <x:f>INDEX('Costing'!$P$9:$P$492,MATCH(D1922,'Costing'!$A$9:$A$492,0))</x:f>
        <x:v>100000</x:v>
      </x:c>
      <x:c r="J1922" s="17" t="n">
        <x:f>ROUND(I1922*'Costing'!$C$4,2)</x:f>
        <x:v>18000</x:v>
      </x:c>
      <x:c r="K1922" s="17" t="n">
        <x:f>I1922+J1922</x:f>
        <x:v>118000</x:v>
      </x:c>
    </x:row>
    <x:row r="1923" ht="46" customHeight="1">
      <x:c r="A1923" s="2" t="str">
        <x:v>Sector</x:v>
      </x:c>
      <x:c r="B1923" s="2" t="str">
        <x:v>Professional services</x:v>
      </x:c>
      <x:c r="C1923" s="12" t="str">
        <x:v>Bengaluru</x:v>
      </x:c>
      <x:c r="D1923" s="12" t="str">
        <x:v>MAIN-116</x:v>
      </x:c>
      <x:c r="E1923" s="12" t="str">
        <x:v>WeWork - ETV</x:v>
      </x:c>
      <x:c r="F1923" s="11" t="n">
        <x:v>7</x:v>
      </x:c>
      <x:c r="G1923" s="11" t="n">
        <x:v>7</x:v>
      </x:c>
      <x:c r="H1923" s="11" t="n">
        <x:v>0</x:v>
      </x:c>
      <x:c r="I1923" s="17" t="n">
        <x:f>INDEX('Costing'!$P$9:$P$492,MATCH(D1923,'Costing'!$A$9:$A$492,0))</x:f>
        <x:v>175000</x:v>
      </x:c>
      <x:c r="J1923" s="17" t="n">
        <x:f>ROUND(I1923*'Costing'!$C$4,2)</x:f>
        <x:v>31500</x:v>
      </x:c>
      <x:c r="K1923" s="17" t="n">
        <x:f>I1923+J1923</x:f>
        <x:v>206500</x:v>
      </x:c>
    </x:row>
    <x:row r="1924" ht="46" customHeight="1">
      <x:c r="A1924" s="2" t="str">
        <x:v>Sector</x:v>
      </x:c>
      <x:c r="B1924" s="2" t="str">
        <x:v>Professional services</x:v>
      </x:c>
      <x:c r="C1924" s="12" t="str">
        <x:v>Bengaluru</x:v>
      </x:c>
      <x:c r="D1924" s="12" t="str">
        <x:v>MAIN-117</x:v>
      </x:c>
      <x:c r="E1924" s="12" t="str">
        <x:v>WeWork - Jupiter</x:v>
      </x:c>
      <x:c r="F1924" s="11" t="n">
        <x:v>2</x:v>
      </x:c>
      <x:c r="G1924" s="11" t="n">
        <x:v>2</x:v>
      </x:c>
      <x:c r="H1924" s="11" t="n">
        <x:v>0</x:v>
      </x:c>
      <x:c r="I1924" s="17" t="n">
        <x:f>INDEX('Costing'!$P$9:$P$492,MATCH(D1924,'Costing'!$A$9:$A$492,0))</x:f>
        <x:v>50000</x:v>
      </x:c>
      <x:c r="J1924" s="17" t="n">
        <x:f>ROUND(I1924*'Costing'!$C$4,2)</x:f>
        <x:v>9000</x:v>
      </x:c>
      <x:c r="K1924" s="17" t="n">
        <x:f>I1924+J1924</x:f>
        <x:v>59000</x:v>
      </x:c>
    </x:row>
    <x:row r="1925" ht="46" customHeight="1">
      <x:c r="A1925" s="2" t="str">
        <x:v>Sector</x:v>
      </x:c>
      <x:c r="B1925" s="2" t="str">
        <x:v>Professional services</x:v>
      </x:c>
      <x:c r="C1925" s="12" t="str">
        <x:v>Bengaluru</x:v>
      </x:c>
      <x:c r="D1925" s="12" t="str">
        <x:v>MAIN-118</x:v>
      </x:c>
      <x:c r="E1925" s="12" t="str">
        <x:v>WeWork - Manyata Mahogany</x:v>
      </x:c>
      <x:c r="F1925" s="11" t="n">
        <x:v>2</x:v>
      </x:c>
      <x:c r="G1925" s="11" t="n">
        <x:v>2</x:v>
      </x:c>
      <x:c r="H1925" s="11" t="n">
        <x:v>0</x:v>
      </x:c>
      <x:c r="I1925" s="17" t="n">
        <x:f>INDEX('Costing'!$P$9:$P$492,MATCH(D1925,'Costing'!$A$9:$A$492,0))</x:f>
        <x:v>50000</x:v>
      </x:c>
      <x:c r="J1925" s="17" t="n">
        <x:f>ROUND(I1925*'Costing'!$C$4,2)</x:f>
        <x:v>9000</x:v>
      </x:c>
      <x:c r="K1925" s="17" t="n">
        <x:f>I1925+J1925</x:f>
        <x:v>59000</x:v>
      </x:c>
    </x:row>
    <x:row r="1926" ht="46" customHeight="1">
      <x:c r="A1926" s="2" t="str">
        <x:v>Sector</x:v>
      </x:c>
      <x:c r="B1926" s="2" t="str">
        <x:v>Professional services</x:v>
      </x:c>
      <x:c r="C1926" s="12" t="str">
        <x:v>Bengaluru</x:v>
      </x:c>
      <x:c r="D1926" s="12" t="str">
        <x:v>MAIN-119</x:v>
      </x:c>
      <x:c r="E1926" s="12" t="str">
        <x:v>WeWork - Prestige Atlanta</x:v>
      </x:c>
      <x:c r="F1926" s="11" t="n">
        <x:v>5</x:v>
      </x:c>
      <x:c r="G1926" s="11" t="n">
        <x:v>5</x:v>
      </x:c>
      <x:c r="H1926" s="11" t="n">
        <x:v>0</x:v>
      </x:c>
      <x:c r="I1926" s="17" t="n">
        <x:f>INDEX('Costing'!$P$9:$P$492,MATCH(D1926,'Costing'!$A$9:$A$492,0))</x:f>
        <x:v>125000</x:v>
      </x:c>
      <x:c r="J1926" s="17" t="n">
        <x:f>ROUND(I1926*'Costing'!$C$4,2)</x:f>
        <x:v>22500</x:v>
      </x:c>
      <x:c r="K1926" s="17" t="n">
        <x:f>I1926+J1926</x:f>
        <x:v>147500</x:v>
      </x:c>
    </x:row>
    <x:row r="1927" ht="46" customHeight="1">
      <x:c r="A1927" s="2" t="str">
        <x:v>Sector</x:v>
      </x:c>
      <x:c r="B1927" s="2" t="str">
        <x:v>Professional services</x:v>
      </x:c>
      <x:c r="C1927" s="12" t="str">
        <x:v>Bengaluru</x:v>
      </x:c>
      <x:c r="D1927" s="12" t="str">
        <x:v>MAIN-121</x:v>
      </x:c>
      <x:c r="E1927" s="12" t="str">
        <x:v>Wework - Prestige Cube</x:v>
      </x:c>
      <x:c r="F1927" s="11" t="n">
        <x:v>4</x:v>
      </x:c>
      <x:c r="G1927" s="11" t="n">
        <x:v>4</x:v>
      </x:c>
      <x:c r="H1927" s="11" t="n">
        <x:v>0</x:v>
      </x:c>
      <x:c r="I1927" s="17" t="n">
        <x:f>INDEX('Costing'!$P$9:$P$492,MATCH(D1927,'Costing'!$A$9:$A$492,0))</x:f>
        <x:v>100000</x:v>
      </x:c>
      <x:c r="J1927" s="17" t="n">
        <x:f>ROUND(I1927*'Costing'!$C$4,2)</x:f>
        <x:v>18000</x:v>
      </x:c>
      <x:c r="K1927" s="17" t="n">
        <x:f>I1927+J1927</x:f>
        <x:v>118000</x:v>
      </x:c>
    </x:row>
    <x:row r="1928" ht="46" customHeight="1">
      <x:c r="A1928" s="2" t="str">
        <x:v>Sector</x:v>
      </x:c>
      <x:c r="B1928" s="2" t="str">
        <x:v>Professional services</x:v>
      </x:c>
      <x:c r="C1928" s="12" t="str">
        <x:v>Bengaluru</x:v>
      </x:c>
      <x:c r="D1928" s="12" t="str">
        <x:v>MAIN-124</x:v>
      </x:c>
      <x:c r="E1928" s="12" t="str">
        <x:v>WeWork - RMZ Latitude</x:v>
      </x:c>
      <x:c r="F1928" s="11" t="n">
        <x:v>4</x:v>
      </x:c>
      <x:c r="G1928" s="11" t="n">
        <x:v>4</x:v>
      </x:c>
      <x:c r="H1928" s="11" t="n">
        <x:v>0</x:v>
      </x:c>
      <x:c r="I1928" s="17" t="n">
        <x:f>INDEX('Costing'!$P$9:$P$492,MATCH(D1928,'Costing'!$A$9:$A$492,0))</x:f>
        <x:v>100000</x:v>
      </x:c>
      <x:c r="J1928" s="17" t="n">
        <x:f>ROUND(I1928*'Costing'!$C$4,2)</x:f>
        <x:v>18000</x:v>
      </x:c>
      <x:c r="K1928" s="17" t="n">
        <x:f>I1928+J1928</x:f>
        <x:v>118000</x:v>
      </x:c>
    </x:row>
    <x:row r="1929" ht="46" customHeight="1">
      <x:c r="A1929" s="2" t="str">
        <x:v>Sector</x:v>
      </x:c>
      <x:c r="B1929" s="2" t="str">
        <x:v>Professional services</x:v>
      </x:c>
      <x:c r="C1929" s="12" t="str">
        <x:v>Bengaluru</x:v>
      </x:c>
      <x:c r="D1929" s="12" t="str">
        <x:v>MAIN-126</x:v>
      </x:c>
      <x:c r="E1929" s="12" t="str">
        <x:v>WeWork - Salarpuria Magnificia</x:v>
      </x:c>
      <x:c r="F1929" s="11" t="n">
        <x:v>8</x:v>
      </x:c>
      <x:c r="G1929" s="11" t="n">
        <x:v>8</x:v>
      </x:c>
      <x:c r="H1929" s="11" t="n">
        <x:v>0</x:v>
      </x:c>
      <x:c r="I1929" s="17" t="n">
        <x:f>INDEX('Costing'!$P$9:$P$492,MATCH(D1929,'Costing'!$A$9:$A$492,0))</x:f>
        <x:v>200000</x:v>
      </x:c>
      <x:c r="J1929" s="17" t="n">
        <x:f>ROUND(I1929*'Costing'!$C$4,2)</x:f>
        <x:v>36000</x:v>
      </x:c>
      <x:c r="K1929" s="17" t="n">
        <x:f>I1929+J1929</x:f>
        <x:v>236000</x:v>
      </x:c>
    </x:row>
    <x:row r="1930" ht="46" customHeight="1">
      <x:c r="A1930" s="2" t="str">
        <x:v>Sector</x:v>
      </x:c>
      <x:c r="B1930" s="2" t="str">
        <x:v>Professional services</x:v>
      </x:c>
      <x:c r="C1930" s="12" t="str">
        <x:v>Bengaluru</x:v>
      </x:c>
      <x:c r="D1930" s="12" t="str">
        <x:v>MAIN-127</x:v>
      </x:c>
      <x:c r="E1930" s="12" t="str">
        <x:v>WeWork - Salarpuria Symbiosis</x:v>
      </x:c>
      <x:c r="F1930" s="11" t="n">
        <x:v>5</x:v>
      </x:c>
      <x:c r="G1930" s="11" t="n">
        <x:v>5</x:v>
      </x:c>
      <x:c r="H1930" s="11" t="n">
        <x:v>0</x:v>
      </x:c>
      <x:c r="I1930" s="17" t="n">
        <x:f>INDEX('Costing'!$P$9:$P$492,MATCH(D1930,'Costing'!$A$9:$A$492,0))</x:f>
        <x:v>125000</x:v>
      </x:c>
      <x:c r="J1930" s="17" t="n">
        <x:f>ROUND(I1930*'Costing'!$C$4,2)</x:f>
        <x:v>22500</x:v>
      </x:c>
      <x:c r="K1930" s="17" t="n">
        <x:f>I1930+J1930</x:f>
        <x:v>147500</x:v>
      </x:c>
    </x:row>
    <x:row r="1931" ht="46" customHeight="1">
      <x:c r="A1931" s="2" t="str">
        <x:v>Sector</x:v>
      </x:c>
      <x:c r="B1931" s="2" t="str">
        <x:v>Professional services</x:v>
      </x:c>
      <x:c r="C1931" s="12" t="str">
        <x:v>Bengaluru</x:v>
      </x:c>
      <x:c r="D1931" s="12" t="str">
        <x:v>MAIN-128</x:v>
      </x:c>
      <x:c r="E1931" s="12" t="str">
        <x:v>Wework - Sunriver</x:v>
      </x:c>
      <x:c r="F1931" s="11" t="n">
        <x:v>1</x:v>
      </x:c>
      <x:c r="G1931" s="11" t="n">
        <x:v>1</x:v>
      </x:c>
      <x:c r="H1931" s="11" t="n">
        <x:v>0</x:v>
      </x:c>
      <x:c r="I1931" s="17" t="n">
        <x:f>INDEX('Costing'!$P$9:$P$492,MATCH(D1931,'Costing'!$A$9:$A$492,0))</x:f>
        <x:v>25000</x:v>
      </x:c>
      <x:c r="J1931" s="17" t="n">
        <x:f>ROUND(I1931*'Costing'!$C$4,2)</x:f>
        <x:v>4500</x:v>
      </x:c>
      <x:c r="K1931" s="17" t="n">
        <x:f>I1931+J1931</x:f>
        <x:v>29500</x:v>
      </x:c>
    </x:row>
    <x:row r="1932" ht="46" customHeight="1">
      <x:c r="A1932" s="2" t="str">
        <x:v>Sector</x:v>
      </x:c>
      <x:c r="B1932" s="2" t="str">
        <x:v>Professional services</x:v>
      </x:c>
      <x:c r="C1932" s="12" t="str">
        <x:v>Bengaluru</x:v>
      </x:c>
      <x:c r="D1932" s="12" t="str">
        <x:v>MAIN-129</x:v>
      </x:c>
      <x:c r="E1932" s="12" t="str">
        <x:v>WeWork - The Galaxy</x:v>
      </x:c>
      <x:c r="F1932" s="11" t="n">
        <x:v>7</x:v>
      </x:c>
      <x:c r="G1932" s="11" t="n">
        <x:v>7</x:v>
      </x:c>
      <x:c r="H1932" s="11" t="n">
        <x:v>0</x:v>
      </x:c>
      <x:c r="I1932" s="17" t="n">
        <x:f>INDEX('Costing'!$P$9:$P$492,MATCH(D1932,'Costing'!$A$9:$A$492,0))</x:f>
        <x:v>175000</x:v>
      </x:c>
      <x:c r="J1932" s="17" t="n">
        <x:f>ROUND(I1932*'Costing'!$C$4,2)</x:f>
        <x:v>31500</x:v>
      </x:c>
      <x:c r="K1932" s="17" t="n">
        <x:f>I1932+J1932</x:f>
        <x:v>206500</x:v>
      </x:c>
    </x:row>
    <x:row r="1933" ht="46" customHeight="1">
      <x:c r="A1933" s="2" t="str">
        <x:v>Sector</x:v>
      </x:c>
      <x:c r="B1933" s="2" t="str">
        <x:v>Professional services</x:v>
      </x:c>
      <x:c r="C1933" s="12" t="str">
        <x:v>Bengaluru</x:v>
      </x:c>
      <x:c r="D1933" s="12" t="str">
        <x:v>MAIN-131</x:v>
      </x:c>
      <x:c r="E1933" s="12" t="str">
        <x:v>Wework - Vaishnavi Signature</x:v>
      </x:c>
      <x:c r="F1933" s="11" t="n">
        <x:v>11</x:v>
      </x:c>
      <x:c r="G1933" s="11" t="n">
        <x:v>11</x:v>
      </x:c>
      <x:c r="H1933" s="11" t="n">
        <x:v>0</x:v>
      </x:c>
      <x:c r="I1933" s="17" t="n">
        <x:f>INDEX('Costing'!$P$9:$P$492,MATCH(D1933,'Costing'!$A$9:$A$492,0))</x:f>
        <x:v>275000</x:v>
      </x:c>
      <x:c r="J1933" s="17" t="n">
        <x:f>ROUND(I1933*'Costing'!$C$4,2)</x:f>
        <x:v>49500</x:v>
      </x:c>
      <x:c r="K1933" s="17" t="n">
        <x:f>I1933+J1933</x:f>
        <x:v>324500</x:v>
      </x:c>
    </x:row>
    <x:row r="1934" ht="46" customHeight="1">
      <x:c r="A1934" s="2" t="str">
        <x:v>Sector</x:v>
      </x:c>
      <x:c r="B1934" s="2" t="str">
        <x:v>Professional services</x:v>
      </x:c>
      <x:c r="C1934" s="12" t="str">
        <x:v>Bengaluru</x:v>
      </x:c>
      <x:c r="D1934" s="12" t="str">
        <x:v>MAIN-133</x:v>
      </x:c>
      <x:c r="E1934" s="12" t="str">
        <x:v>Workflow by Oyo - Ranka</x:v>
      </x:c>
      <x:c r="F1934" s="11" t="n">
        <x:v>2</x:v>
      </x:c>
      <x:c r="G1934" s="11" t="n">
        <x:v>2</x:v>
      </x:c>
      <x:c r="H1934" s="11" t="n">
        <x:v>0</x:v>
      </x:c>
      <x:c r="I1934" s="17" t="n">
        <x:f>INDEX('Costing'!$P$9:$P$492,MATCH(D1934,'Costing'!$A$9:$A$492,0))</x:f>
        <x:v>30000</x:v>
      </x:c>
      <x:c r="J1934" s="17" t="n">
        <x:f>ROUND(I1934*'Costing'!$C$4,2)</x:f>
        <x:v>5400</x:v>
      </x:c>
      <x:c r="K1934" s="17" t="n">
        <x:f>I1934+J1934</x:f>
        <x:v>35400</x:v>
      </x:c>
    </x:row>
    <x:row r="1935" ht="46" customHeight="1">
      <x:c r="A1935" s="2" t="str">
        <x:v>Sector</x:v>
      </x:c>
      <x:c r="B1935" s="2" t="str">
        <x:v>Professional services</x:v>
      </x:c>
      <x:c r="C1935" s="12" t="str">
        <x:v>Chennai</x:v>
      </x:c>
      <x:c r="D1935" s="12" t="str">
        <x:v>MAIN-139</x:v>
      </x:c>
      <x:c r="E1935" s="12" t="str">
        <x:v>Awfis - Gemini Circle</x:v>
      </x:c>
      <x:c r="F1935" s="11" t="n">
        <x:v>5</x:v>
      </x:c>
      <x:c r="G1935" s="11" t="n">
        <x:v>5</x:v>
      </x:c>
      <x:c r="H1935" s="11" t="n">
        <x:v>0</x:v>
      </x:c>
      <x:c r="I1935" s="17" t="n">
        <x:f>INDEX('Costing'!$P$9:$P$492,MATCH(D1935,'Costing'!$A$9:$A$492,0))</x:f>
        <x:v>75000</x:v>
      </x:c>
      <x:c r="J1935" s="17" t="n">
        <x:f>ROUND(I1935*'Costing'!$C$4,2)</x:f>
        <x:v>13500</x:v>
      </x:c>
      <x:c r="K1935" s="17" t="n">
        <x:f>I1935+J1935</x:f>
        <x:v>88500</x:v>
      </x:c>
    </x:row>
    <x:row r="1936" ht="46" customHeight="1">
      <x:c r="A1936" s="2" t="str">
        <x:v>Sector</x:v>
      </x:c>
      <x:c r="B1936" s="2" t="str">
        <x:v>Professional services</x:v>
      </x:c>
      <x:c r="C1936" s="12" t="str">
        <x:v>Chennai</x:v>
      </x:c>
      <x:c r="D1936" s="12" t="str">
        <x:v>MAIN-140</x:v>
      </x:c>
      <x:c r="E1936" s="12" t="str">
        <x:v>Awfis - OMR</x:v>
      </x:c>
      <x:c r="F1936" s="11" t="n">
        <x:v>7</x:v>
      </x:c>
      <x:c r="G1936" s="11" t="n">
        <x:v>7</x:v>
      </x:c>
      <x:c r="H1936" s="11" t="n">
        <x:v>0</x:v>
      </x:c>
      <x:c r="I1936" s="17" t="n">
        <x:f>INDEX('Costing'!$P$9:$P$492,MATCH(D1936,'Costing'!$A$9:$A$492,0))</x:f>
        <x:v>105000</x:v>
      </x:c>
      <x:c r="J1936" s="17" t="n">
        <x:f>ROUND(I1936*'Costing'!$C$4,2)</x:f>
        <x:v>18900</x:v>
      </x:c>
      <x:c r="K1936" s="17" t="n">
        <x:f>I1936+J1936</x:f>
        <x:v>123900</x:v>
      </x:c>
    </x:row>
    <x:row r="1937" ht="46" customHeight="1">
      <x:c r="A1937" s="2" t="str">
        <x:v>Sector</x:v>
      </x:c>
      <x:c r="B1937" s="2" t="str">
        <x:v>Professional services</x:v>
      </x:c>
      <x:c r="C1937" s="12" t="str">
        <x:v>Chennai</x:v>
      </x:c>
      <x:c r="D1937" s="12" t="str">
        <x:v>MAIN-141</x:v>
      </x:c>
      <x:c r="E1937" s="12" t="str">
        <x:v>Awfis - Prestige Cosmopolitan-I</x:v>
      </x:c>
      <x:c r="F1937" s="11" t="n">
        <x:v>4</x:v>
      </x:c>
      <x:c r="G1937" s="11" t="n">
        <x:v>4</x:v>
      </x:c>
      <x:c r="H1937" s="11" t="n">
        <x:v>0</x:v>
      </x:c>
      <x:c r="I1937" s="17" t="n">
        <x:f>INDEX('Costing'!$P$9:$P$492,MATCH(D1937,'Costing'!$A$9:$A$492,0))</x:f>
        <x:v>60000</x:v>
      </x:c>
      <x:c r="J1937" s="17" t="n">
        <x:f>ROUND(I1937*'Costing'!$C$4,2)</x:f>
        <x:v>10800</x:v>
      </x:c>
      <x:c r="K1937" s="17" t="n">
        <x:f>I1937+J1937</x:f>
        <x:v>70800</x:v>
      </x:c>
    </x:row>
    <x:row r="1938" ht="46" customHeight="1">
      <x:c r="A1938" s="2" t="str">
        <x:v>Sector</x:v>
      </x:c>
      <x:c r="B1938" s="2" t="str">
        <x:v>Professional services</x:v>
      </x:c>
      <x:c r="C1938" s="12" t="str">
        <x:v>Chennai</x:v>
      </x:c>
      <x:c r="D1938" s="12" t="str">
        <x:v>MAIN-142</x:v>
      </x:c>
      <x:c r="E1938" s="12" t="str">
        <x:v>Awfis - Sierra</x:v>
      </x:c>
      <x:c r="F1938" s="11" t="n">
        <x:v>3</x:v>
      </x:c>
      <x:c r="G1938" s="11" t="n">
        <x:v>3</x:v>
      </x:c>
      <x:c r="H1938" s="11" t="n">
        <x:v>0</x:v>
      </x:c>
      <x:c r="I1938" s="17" t="n">
        <x:f>INDEX('Costing'!$P$9:$P$492,MATCH(D1938,'Costing'!$A$9:$A$492,0))</x:f>
        <x:v>45000</x:v>
      </x:c>
      <x:c r="J1938" s="17" t="n">
        <x:f>ROUND(I1938*'Costing'!$C$4,2)</x:f>
        <x:v>8100</x:v>
      </x:c>
      <x:c r="K1938" s="17" t="n">
        <x:f>I1938+J1938</x:f>
        <x:v>53100</x:v>
      </x:c>
    </x:row>
    <x:row r="1939" ht="46" customHeight="1">
      <x:c r="A1939" s="2" t="str">
        <x:v>Sector</x:v>
      </x:c>
      <x:c r="B1939" s="2" t="str">
        <x:v>Professional services</x:v>
      </x:c>
      <x:c r="C1939" s="12" t="str">
        <x:v>Chennai</x:v>
      </x:c>
      <x:c r="D1939" s="12" t="str">
        <x:v>MAIN-143</x:v>
      </x:c>
      <x:c r="E1939" s="12" t="str">
        <x:v>Bharati Vilas Tech Park</x:v>
      </x:c>
      <x:c r="F1939" s="11" t="n">
        <x:v>2</x:v>
      </x:c>
      <x:c r="G1939" s="11" t="n">
        <x:v>2</x:v>
      </x:c>
      <x:c r="H1939" s="11" t="n">
        <x:v>0</x:v>
      </x:c>
      <x:c r="I1939" s="17" t="n">
        <x:f>INDEX('Costing'!$P$9:$P$492,MATCH(D1939,'Costing'!$A$9:$A$492,0))</x:f>
        <x:v>40000</x:v>
      </x:c>
      <x:c r="J1939" s="17" t="n">
        <x:f>ROUND(I1939*'Costing'!$C$4,2)</x:f>
        <x:v>7200</x:v>
      </x:c>
      <x:c r="K1939" s="17" t="n">
        <x:f>I1939+J1939</x:f>
        <x:v>47200</x:v>
      </x:c>
    </x:row>
    <x:row r="1940" ht="46" customHeight="1">
      <x:c r="A1940" s="2" t="str">
        <x:v>Sector</x:v>
      </x:c>
      <x:c r="B1940" s="2" t="str">
        <x:v>Professional services</x:v>
      </x:c>
      <x:c r="C1940" s="12" t="str">
        <x:v>Chennai</x:v>
      </x:c>
      <x:c r="D1940" s="12" t="str">
        <x:v>MAIN-144</x:v>
      </x:c>
      <x:c r="E1940" s="12" t="str">
        <x:v>Bharati Vilas Tech Park(POD Screens)</x:v>
      </x:c>
      <x:c r="F1940" s="11" t="n">
        <x:v>1</x:v>
      </x:c>
      <x:c r="G1940" s="11" t="n">
        <x:v>1</x:v>
      </x:c>
      <x:c r="H1940" s="11" t="n">
        <x:v>0</x:v>
      </x:c>
      <x:c r="I1940" s="17" t="n">
        <x:f>INDEX('Costing'!$P$9:$P$492,MATCH(D1940,'Costing'!$A$9:$A$492,0))</x:f>
        <x:v>20000</x:v>
      </x:c>
      <x:c r="J1940" s="17" t="n">
        <x:f>ROUND(I1940*'Costing'!$C$4,2)</x:f>
        <x:v>3600</x:v>
      </x:c>
      <x:c r="K1940" s="17" t="n">
        <x:f>I1940+J1940</x:f>
        <x:v>23600</x:v>
      </x:c>
    </x:row>
    <x:row r="1941" ht="46" customHeight="1">
      <x:c r="A1941" s="2" t="str">
        <x:v>Sector</x:v>
      </x:c>
      <x:c r="B1941" s="2" t="str">
        <x:v>Professional services</x:v>
      </x:c>
      <x:c r="C1941" s="12" t="str">
        <x:v>Chennai</x:v>
      </x:c>
      <x:c r="D1941" s="12" t="str">
        <x:v>MAIN-146</x:v>
      </x:c>
      <x:c r="E1941" s="12" t="str">
        <x:v>Global Infocity Park</x:v>
      </x:c>
      <x:c r="F1941" s="11" t="n">
        <x:v>4</x:v>
      </x:c>
      <x:c r="G1941" s="11" t="n">
        <x:v>4</x:v>
      </x:c>
      <x:c r="H1941" s="11" t="n">
        <x:v>0</x:v>
      </x:c>
      <x:c r="I1941" s="17" t="n">
        <x:f>INDEX('Costing'!$P$9:$P$492,MATCH(D1941,'Costing'!$A$9:$A$492,0))</x:f>
        <x:v>160000</x:v>
      </x:c>
      <x:c r="J1941" s="17" t="n">
        <x:f>ROUND(I1941*'Costing'!$C$4,2)</x:f>
        <x:v>28800</x:v>
      </x:c>
      <x:c r="K1941" s="17" t="n">
        <x:f>I1941+J1941</x:f>
        <x:v>188800</x:v>
      </x:c>
    </x:row>
    <x:row r="1942" ht="46" customHeight="1">
      <x:c r="A1942" s="2" t="str">
        <x:v>Sector</x:v>
      </x:c>
      <x:c r="B1942" s="2" t="str">
        <x:v>Professional services</x:v>
      </x:c>
      <x:c r="C1942" s="12" t="str">
        <x:v>Chennai</x:v>
      </x:c>
      <x:c r="D1942" s="12" t="str">
        <x:v>MAIN-148</x:v>
      </x:c>
      <x:c r="E1942" s="12" t="str">
        <x:v>Kochar Globe Tech Park</x:v>
      </x:c>
      <x:c r="F1942" s="11" t="n">
        <x:v>4</x:v>
      </x:c>
      <x:c r="G1942" s="11" t="n">
        <x:v>4</x:v>
      </x:c>
      <x:c r="H1942" s="11" t="n">
        <x:v>0</x:v>
      </x:c>
      <x:c r="I1942" s="17" t="n">
        <x:f>INDEX('Costing'!$P$9:$P$492,MATCH(D1942,'Costing'!$A$9:$A$492,0))</x:f>
        <x:v>80000</x:v>
      </x:c>
      <x:c r="J1942" s="17" t="n">
        <x:f>ROUND(I1942*'Costing'!$C$4,2)</x:f>
        <x:v>14400</x:v>
      </x:c>
      <x:c r="K1942" s="17" t="n">
        <x:f>I1942+J1942</x:f>
        <x:v>94400</x:v>
      </x:c>
    </x:row>
    <x:row r="1943" ht="46" customHeight="1">
      <x:c r="A1943" s="2" t="str">
        <x:v>Sector</x:v>
      </x:c>
      <x:c r="B1943" s="2" t="str">
        <x:v>Professional services</x:v>
      </x:c>
      <x:c r="C1943" s="12" t="str">
        <x:v>Chennai</x:v>
      </x:c>
      <x:c r="D1943" s="12" t="str">
        <x:v>MAIN-149</x:v>
      </x:c>
      <x:c r="E1943" s="12" t="str">
        <x:v>Kochar Globe Tech Park (Pod Screens)</x:v>
      </x:c>
      <x:c r="F1943" s="11" t="n">
        <x:v>2</x:v>
      </x:c>
      <x:c r="G1943" s="11" t="n">
        <x:v>2</x:v>
      </x:c>
      <x:c r="H1943" s="11" t="n">
        <x:v>0</x:v>
      </x:c>
      <x:c r="I1943" s="17" t="n">
        <x:f>INDEX('Costing'!$P$9:$P$492,MATCH(D1943,'Costing'!$A$9:$A$492,0))</x:f>
        <x:v>40000</x:v>
      </x:c>
      <x:c r="J1943" s="17" t="n">
        <x:f>ROUND(I1943*'Costing'!$C$4,2)</x:f>
        <x:v>7200</x:v>
      </x:c>
      <x:c r="K1943" s="17" t="n">
        <x:f>I1943+J1943</x:f>
        <x:v>47200</x:v>
      </x:c>
    </x:row>
    <x:row r="1944" ht="46" customHeight="1">
      <x:c r="A1944" s="2" t="str">
        <x:v>Sector</x:v>
      </x:c>
      <x:c r="B1944" s="2" t="str">
        <x:v>Professional services</x:v>
      </x:c>
      <x:c r="C1944" s="12" t="str">
        <x:v>Chennai</x:v>
      </x:c>
      <x:c r="D1944" s="12" t="str">
        <x:v>MAIN-153</x:v>
      </x:c>
      <x:c r="E1944" s="12" t="str">
        <x:v>Olympia National Tower</x:v>
      </x:c>
      <x:c r="F1944" s="11" t="n">
        <x:v>4</x:v>
      </x:c>
      <x:c r="G1944" s="11" t="n">
        <x:v>4</x:v>
      </x:c>
      <x:c r="H1944" s="11" t="n">
        <x:v>0</x:v>
      </x:c>
      <x:c r="I1944" s="17" t="n">
        <x:f>INDEX('Costing'!$P$9:$P$492,MATCH(D1944,'Costing'!$A$9:$A$492,0))</x:f>
        <x:v>80000</x:v>
      </x:c>
      <x:c r="J1944" s="17" t="n">
        <x:f>ROUND(I1944*'Costing'!$C$4,2)</x:f>
        <x:v>14400</x:v>
      </x:c>
      <x:c r="K1944" s="17" t="n">
        <x:f>I1944+J1944</x:f>
        <x:v>94400</x:v>
      </x:c>
    </x:row>
    <x:row r="1945" ht="46" customHeight="1">
      <x:c r="A1945" s="2" t="str">
        <x:v>Sector</x:v>
      </x:c>
      <x:c r="B1945" s="2" t="str">
        <x:v>Professional services</x:v>
      </x:c>
      <x:c r="C1945" s="12" t="str">
        <x:v>Chennai</x:v>
      </x:c>
      <x:c r="D1945" s="12" t="str">
        <x:v>MAIN-154</x:v>
      </x:c>
      <x:c r="E1945" s="12" t="str">
        <x:v>Olympia National Tower (Pod Screens)</x:v>
      </x:c>
      <x:c r="F1945" s="11" t="n">
        <x:v>2</x:v>
      </x:c>
      <x:c r="G1945" s="11" t="n">
        <x:v>2</x:v>
      </x:c>
      <x:c r="H1945" s="11" t="n">
        <x:v>0</x:v>
      </x:c>
      <x:c r="I1945" s="17" t="n">
        <x:f>INDEX('Costing'!$P$9:$P$492,MATCH(D1945,'Costing'!$A$9:$A$492,0))</x:f>
        <x:v>40000</x:v>
      </x:c>
      <x:c r="J1945" s="17" t="n">
        <x:f>ROUND(I1945*'Costing'!$C$4,2)</x:f>
        <x:v>7200</x:v>
      </x:c>
      <x:c r="K1945" s="17" t="n">
        <x:f>I1945+J1945</x:f>
        <x:v>47200</x:v>
      </x:c>
    </x:row>
    <x:row r="1946" ht="46" customHeight="1">
      <x:c r="A1946" s="2" t="str">
        <x:v>Sector</x:v>
      </x:c>
      <x:c r="B1946" s="2" t="str">
        <x:v>Professional services</x:v>
      </x:c>
      <x:c r="C1946" s="12" t="str">
        <x:v>Chennai</x:v>
      </x:c>
      <x:c r="D1946" s="12" t="str">
        <x:v>MAIN-158</x:v>
      </x:c>
      <x:c r="E1946" s="12" t="str">
        <x:v>Prestige Zackria Metropolitan</x:v>
      </x:c>
      <x:c r="F1946" s="11" t="n">
        <x:v>2</x:v>
      </x:c>
      <x:c r="G1946" s="11" t="n">
        <x:v>2</x:v>
      </x:c>
      <x:c r="H1946" s="11" t="n">
        <x:v>0</x:v>
      </x:c>
      <x:c r="I1946" s="17" t="n">
        <x:f>INDEX('Costing'!$P$9:$P$492,MATCH(D1946,'Costing'!$A$9:$A$492,0))</x:f>
        <x:v>40000</x:v>
      </x:c>
      <x:c r="J1946" s="17" t="n">
        <x:f>ROUND(I1946*'Costing'!$C$4,2)</x:f>
        <x:v>7200</x:v>
      </x:c>
      <x:c r="K1946" s="17" t="n">
        <x:f>I1946+J1946</x:f>
        <x:v>47200</x:v>
      </x:c>
    </x:row>
    <x:row r="1947" ht="46" customHeight="1">
      <x:c r="A1947" s="2" t="str">
        <x:v>Sector</x:v>
      </x:c>
      <x:c r="B1947" s="2" t="str">
        <x:v>Professional services</x:v>
      </x:c>
      <x:c r="C1947" s="12" t="str">
        <x:v>Delhi NCR</x:v>
      </x:c>
      <x:c r="D1947" s="12" t="str">
        <x:v>MAIN-366</x:v>
      </x:c>
      <x:c r="E1947" s="12" t="str">
        <x:v>Awfis - Knowledge Boulevard</x:v>
      </x:c>
      <x:c r="F1947" s="11" t="n">
        <x:v>3</x:v>
      </x:c>
      <x:c r="G1947" s="11" t="n">
        <x:v>3</x:v>
      </x:c>
      <x:c r="H1947" s="11" t="n">
        <x:v>0</x:v>
      </x:c>
      <x:c r="I1947" s="17" t="n">
        <x:f>INDEX('Costing'!$P$9:$P$492,MATCH(D1947,'Costing'!$A$9:$A$492,0))</x:f>
        <x:v>45000</x:v>
      </x:c>
      <x:c r="J1947" s="17" t="n">
        <x:f>ROUND(I1947*'Costing'!$C$4,2)</x:f>
        <x:v>8100</x:v>
      </x:c>
      <x:c r="K1947" s="17" t="n">
        <x:f>I1947+J1947</x:f>
        <x:v>53100</x:v>
      </x:c>
    </x:row>
    <x:row r="1948" ht="46" customHeight="1">
      <x:c r="A1948" s="2" t="str">
        <x:v>Sector</x:v>
      </x:c>
      <x:c r="B1948" s="2" t="str">
        <x:v>Professional services</x:v>
      </x:c>
      <x:c r="C1948" s="12" t="str">
        <x:v>Delhi NCR</x:v>
      </x:c>
      <x:c r="D1948" s="12" t="str">
        <x:v>MAIN-367</x:v>
      </x:c>
      <x:c r="E1948" s="12" t="str">
        <x:v>Awfis - Majestic Signia</x:v>
      </x:c>
      <x:c r="F1948" s="11" t="n">
        <x:v>2</x:v>
      </x:c>
      <x:c r="G1948" s="11" t="n">
        <x:v>2</x:v>
      </x:c>
      <x:c r="H1948" s="11" t="n">
        <x:v>0</x:v>
      </x:c>
      <x:c r="I1948" s="17" t="n">
        <x:f>INDEX('Costing'!$P$9:$P$492,MATCH(D1948,'Costing'!$A$9:$A$492,0))</x:f>
        <x:v>30000</x:v>
      </x:c>
      <x:c r="J1948" s="17" t="n">
        <x:f>ROUND(I1948*'Costing'!$C$4,2)</x:f>
        <x:v>5400</x:v>
      </x:c>
      <x:c r="K1948" s="17" t="n">
        <x:f>I1948+J1948</x:f>
        <x:v>35400</x:v>
      </x:c>
    </x:row>
    <x:row r="1949" ht="46" customHeight="1">
      <x:c r="A1949" s="2" t="str">
        <x:v>Sector</x:v>
      </x:c>
      <x:c r="B1949" s="2" t="str">
        <x:v>Professional services</x:v>
      </x:c>
      <x:c r="C1949" s="12" t="str">
        <x:v>Delhi NCR</x:v>
      </x:c>
      <x:c r="D1949" s="12" t="str">
        <x:v>MAIN-182</x:v>
      </x:c>
      <x:c r="E1949" s="12" t="str">
        <x:v>Awfis - Unitech Cyber Park - 2</x:v>
      </x:c>
      <x:c r="F1949" s="11" t="n">
        <x:v>2</x:v>
      </x:c>
      <x:c r="G1949" s="11" t="n">
        <x:v>2</x:v>
      </x:c>
      <x:c r="H1949" s="11" t="n">
        <x:v>0</x:v>
      </x:c>
      <x:c r="I1949" s="17" t="n">
        <x:f>INDEX('Costing'!$P$9:$P$492,MATCH(D1949,'Costing'!$A$9:$A$492,0))</x:f>
        <x:v>30000</x:v>
      </x:c>
      <x:c r="J1949" s="17" t="n">
        <x:f>ROUND(I1949*'Costing'!$C$4,2)</x:f>
        <x:v>5400</x:v>
      </x:c>
      <x:c r="K1949" s="17" t="n">
        <x:f>I1949+J1949</x:f>
        <x:v>35400</x:v>
      </x:c>
    </x:row>
    <x:row r="1950" ht="46" customHeight="1">
      <x:c r="A1950" s="2" t="str">
        <x:v>Sector</x:v>
      </x:c>
      <x:c r="B1950" s="2" t="str">
        <x:v>Professional services</x:v>
      </x:c>
      <x:c r="C1950" s="12" t="str">
        <x:v>Delhi NCR</x:v>
      </x:c>
      <x:c r="D1950" s="12" t="str">
        <x:v>MAIN-191</x:v>
      </x:c>
      <x:c r="E1950" s="12" t="str">
        <x:v>ILD Trade Centre</x:v>
      </x:c>
      <x:c r="F1950" s="11" t="n">
        <x:v>1</x:v>
      </x:c>
      <x:c r="G1950" s="11" t="n">
        <x:v>1</x:v>
      </x:c>
      <x:c r="H1950" s="11" t="n">
        <x:v>0</x:v>
      </x:c>
      <x:c r="I1950" s="17" t="n">
        <x:f>INDEX('Costing'!$P$9:$P$492,MATCH(D1950,'Costing'!$A$9:$A$492,0))</x:f>
        <x:v>40000</x:v>
      </x:c>
      <x:c r="J1950" s="17" t="n">
        <x:f>ROUND(I1950*'Costing'!$C$4,2)</x:f>
        <x:v>7200</x:v>
      </x:c>
      <x:c r="K1950" s="17" t="n">
        <x:f>I1950+J1950</x:f>
        <x:v>47200</x:v>
      </x:c>
    </x:row>
    <x:row r="1951" ht="46" customHeight="1">
      <x:c r="A1951" s="2" t="str">
        <x:v>Sector</x:v>
      </x:c>
      <x:c r="B1951" s="2" t="str">
        <x:v>Professional services</x:v>
      </x:c>
      <x:c r="C1951" s="12" t="str">
        <x:v>Delhi NCR</x:v>
      </x:c>
      <x:c r="D1951" s="12" t="str">
        <x:v>MAIN-168</x:v>
      </x:c>
      <x:c r="E1951" s="12" t="str">
        <x:v>India Accelerator Coworking - BPTP Centra One</x:v>
      </x:c>
      <x:c r="F1951" s="11" t="n">
        <x:v>5</x:v>
      </x:c>
      <x:c r="G1951" s="11" t="n">
        <x:v>5</x:v>
      </x:c>
      <x:c r="H1951" s="11" t="n">
        <x:v>0</x:v>
      </x:c>
      <x:c r="I1951" s="17" t="n">
        <x:f>INDEX('Costing'!$P$9:$P$492,MATCH(D1951,'Costing'!$A$9:$A$492,0))</x:f>
        <x:v>200000</x:v>
      </x:c>
      <x:c r="J1951" s="17" t="n">
        <x:f>ROUND(I1951*'Costing'!$C$4,2)</x:f>
        <x:v>36000</x:v>
      </x:c>
      <x:c r="K1951" s="17" t="n">
        <x:f>I1951+J1951</x:f>
        <x:v>236000</x:v>
      </x:c>
    </x:row>
    <x:row r="1952" ht="46" customHeight="1">
      <x:c r="A1952" s="2" t="str">
        <x:v>Sector</x:v>
      </x:c>
      <x:c r="B1952" s="2" t="str">
        <x:v>Professional services</x:v>
      </x:c>
      <x:c r="C1952" s="12" t="str">
        <x:v>Delhi NCR</x:v>
      </x:c>
      <x:c r="D1952" s="12" t="str">
        <x:v>MAIN-194</x:v>
      </x:c>
      <x:c r="E1952" s="12" t="str">
        <x:v>India Accelerator Coworking - MGF Metropolis Mall</x:v>
      </x:c>
      <x:c r="F1952" s="11" t="n">
        <x:v>6</x:v>
      </x:c>
      <x:c r="G1952" s="11" t="n">
        <x:v>6</x:v>
      </x:c>
      <x:c r="H1952" s="11" t="n">
        <x:v>0</x:v>
      </x:c>
      <x:c r="I1952" s="17" t="n">
        <x:f>INDEX('Costing'!$P$9:$P$492,MATCH(D1952,'Costing'!$A$9:$A$492,0))</x:f>
        <x:v>240000</x:v>
      </x:c>
      <x:c r="J1952" s="17" t="n">
        <x:f>ROUND(I1952*'Costing'!$C$4,2)</x:f>
        <x:v>43200</x:v>
      </x:c>
      <x:c r="K1952" s="17" t="n">
        <x:f>I1952+J1952</x:f>
        <x:v>283200</x:v>
      </x:c>
    </x:row>
    <x:row r="1953" ht="46" customHeight="1">
      <x:c r="A1953" s="2" t="str">
        <x:v>Sector</x:v>
      </x:c>
      <x:c r="B1953" s="2" t="str">
        <x:v>Professional services</x:v>
      </x:c>
      <x:c r="C1953" s="12" t="str">
        <x:v>Delhi NCR</x:v>
      </x:c>
      <x:c r="D1953" s="12" t="str">
        <x:v>MAIN-373</x:v>
      </x:c>
      <x:c r="E1953" s="12" t="str">
        <x:v>India Accelerator Coworking - The Iconic Corenthum</x:v>
      </x:c>
      <x:c r="F1953" s="11" t="n">
        <x:v>6</x:v>
      </x:c>
      <x:c r="G1953" s="11" t="n">
        <x:v>6</x:v>
      </x:c>
      <x:c r="H1953" s="11" t="n">
        <x:v>0</x:v>
      </x:c>
      <x:c r="I1953" s="17" t="n">
        <x:f>INDEX('Costing'!$P$9:$P$492,MATCH(D1953,'Costing'!$A$9:$A$492,0))</x:f>
        <x:v>240000</x:v>
      </x:c>
      <x:c r="J1953" s="17" t="n">
        <x:f>ROUND(I1953*'Costing'!$C$4,2)</x:f>
        <x:v>43200</x:v>
      </x:c>
      <x:c r="K1953" s="17" t="n">
        <x:f>I1953+J1953</x:f>
        <x:v>283200</x:v>
      </x:c>
    </x:row>
    <x:row r="1954" ht="46" customHeight="1">
      <x:c r="A1954" s="2" t="str">
        <x:v>Sector</x:v>
      </x:c>
      <x:c r="B1954" s="2" t="str">
        <x:v>Professional services</x:v>
      </x:c>
      <x:c r="C1954" s="12" t="str">
        <x:v>Delhi NCR</x:v>
      </x:c>
      <x:c r="D1954" s="12" t="str">
        <x:v>MAIN-195</x:v>
      </x:c>
      <x:c r="E1954" s="12" t="str">
        <x:v>India Accelerator Coworking - Vatika Triangle</x:v>
      </x:c>
      <x:c r="F1954" s="11" t="n">
        <x:v>3</x:v>
      </x:c>
      <x:c r="G1954" s="11" t="n">
        <x:v>3</x:v>
      </x:c>
      <x:c r="H1954" s="11" t="n">
        <x:v>0</x:v>
      </x:c>
      <x:c r="I1954" s="17" t="n">
        <x:f>INDEX('Costing'!$P$9:$P$492,MATCH(D1954,'Costing'!$A$9:$A$492,0))</x:f>
        <x:v>60000</x:v>
      </x:c>
      <x:c r="J1954" s="17" t="n">
        <x:f>ROUND(I1954*'Costing'!$C$4,2)</x:f>
        <x:v>10800</x:v>
      </x:c>
      <x:c r="K1954" s="17" t="n">
        <x:f>I1954+J1954</x:f>
        <x:v>70800</x:v>
      </x:c>
    </x:row>
    <x:row r="1955" ht="46" customHeight="1">
      <x:c r="A1955" s="2" t="str">
        <x:v>Sector</x:v>
      </x:c>
      <x:c r="B1955" s="2" t="str">
        <x:v>Professional services</x:v>
      </x:c>
      <x:c r="C1955" s="12" t="str">
        <x:v>Delhi NCR</x:v>
      </x:c>
      <x:c r="D1955" s="12" t="str">
        <x:v>MAIN-169</x:v>
      </x:c>
      <x:c r="E1955" s="12" t="str">
        <x:v>Logix Cyber Park</x:v>
      </x:c>
      <x:c r="F1955" s="11" t="n">
        <x:v>15</x:v>
      </x:c>
      <x:c r="G1955" s="11" t="n">
        <x:v>15</x:v>
      </x:c>
      <x:c r="H1955" s="11" t="n">
        <x:v>0</x:v>
      </x:c>
      <x:c r="I1955" s="17" t="n">
        <x:f>INDEX('Costing'!$P$9:$P$492,MATCH(D1955,'Costing'!$A$9:$A$492,0))</x:f>
        <x:v>300000</x:v>
      </x:c>
      <x:c r="J1955" s="17" t="n">
        <x:f>ROUND(I1955*'Costing'!$C$4,2)</x:f>
        <x:v>54000</x:v>
      </x:c>
      <x:c r="K1955" s="17" t="n">
        <x:f>I1955+J1955</x:f>
        <x:v>354000</x:v>
      </x:c>
    </x:row>
    <x:row r="1956" ht="46" customHeight="1">
      <x:c r="A1956" s="2" t="str">
        <x:v>Sector</x:v>
      </x:c>
      <x:c r="B1956" s="2" t="str">
        <x:v>Professional services</x:v>
      </x:c>
      <x:c r="C1956" s="12" t="str">
        <x:v>Delhi NCR</x:v>
      </x:c>
      <x:c r="D1956" s="12" t="str">
        <x:v>MAIN-200</x:v>
      </x:c>
      <x:c r="E1956" s="12" t="str">
        <x:v>Satya The Hive {IE}</x:v>
      </x:c>
      <x:c r="F1956" s="11" t="n">
        <x:v>7</x:v>
      </x:c>
      <x:c r="G1956" s="11" t="n">
        <x:v>7</x:v>
      </x:c>
      <x:c r="H1956" s="11" t="n">
        <x:v>0</x:v>
      </x:c>
      <x:c r="I1956" s="17" t="n">
        <x:f>INDEX('Costing'!$P$9:$P$492,MATCH(D1956,'Costing'!$A$9:$A$492,0))</x:f>
        <x:v>105000</x:v>
      </x:c>
      <x:c r="J1956" s="17" t="n">
        <x:f>ROUND(I1956*'Costing'!$C$4,2)</x:f>
        <x:v>18900</x:v>
      </x:c>
      <x:c r="K1956" s="17" t="n">
        <x:f>I1956+J1956</x:f>
        <x:v>123900</x:v>
      </x:c>
    </x:row>
    <x:row r="1957" ht="46" customHeight="1">
      <x:c r="A1957" s="2" t="str">
        <x:v>Sector</x:v>
      </x:c>
      <x:c r="B1957" s="2" t="str">
        <x:v>Professional services</x:v>
      </x:c>
      <x:c r="C1957" s="12" t="str">
        <x:v>Delhi NCR</x:v>
      </x:c>
      <x:c r="D1957" s="12" t="str">
        <x:v>MAIN-201</x:v>
      </x:c>
      <x:c r="E1957" s="12" t="str">
        <x:v>Unitech - Business Park</x:v>
      </x:c>
      <x:c r="F1957" s="11" t="n">
        <x:v>2</x:v>
      </x:c>
      <x:c r="G1957" s="11" t="n">
        <x:v>2</x:v>
      </x:c>
      <x:c r="H1957" s="11" t="n">
        <x:v>0</x:v>
      </x:c>
      <x:c r="I1957" s="17" t="n">
        <x:f>INDEX('Costing'!$P$9:$P$492,MATCH(D1957,'Costing'!$A$9:$A$492,0))</x:f>
        <x:v>80000</x:v>
      </x:c>
      <x:c r="J1957" s="17" t="n">
        <x:f>ROUND(I1957*'Costing'!$C$4,2)</x:f>
        <x:v>14400</x:v>
      </x:c>
      <x:c r="K1957" s="17" t="n">
        <x:f>I1957+J1957</x:f>
        <x:v>94400</x:v>
      </x:c>
    </x:row>
    <x:row r="1958" ht="46" customHeight="1">
      <x:c r="A1958" s="2" t="str">
        <x:v>Sector</x:v>
      </x:c>
      <x:c r="B1958" s="2" t="str">
        <x:v>Professional services</x:v>
      </x:c>
      <x:c r="C1958" s="12" t="str">
        <x:v>Delhi NCR</x:v>
      </x:c>
      <x:c r="D1958" s="12" t="str">
        <x:v>MAIN-202</x:v>
      </x:c>
      <x:c r="E1958" s="12" t="str">
        <x:v>Unitech - Business Zone</x:v>
      </x:c>
      <x:c r="F1958" s="11" t="n">
        <x:v>4</x:v>
      </x:c>
      <x:c r="G1958" s="11" t="n">
        <x:v>4</x:v>
      </x:c>
      <x:c r="H1958" s="11" t="n">
        <x:v>0</x:v>
      </x:c>
      <x:c r="I1958" s="17" t="n">
        <x:f>INDEX('Costing'!$P$9:$P$492,MATCH(D1958,'Costing'!$A$9:$A$492,0))</x:f>
        <x:v>160000</x:v>
      </x:c>
      <x:c r="J1958" s="17" t="n">
        <x:f>ROUND(I1958*'Costing'!$C$4,2)</x:f>
        <x:v>28800</x:v>
      </x:c>
      <x:c r="K1958" s="17" t="n">
        <x:f>I1958+J1958</x:f>
        <x:v>188800</x:v>
      </x:c>
    </x:row>
    <x:row r="1959" ht="46" customHeight="1">
      <x:c r="A1959" s="2" t="str">
        <x:v>Sector</x:v>
      </x:c>
      <x:c r="B1959" s="2" t="str">
        <x:v>Professional services</x:v>
      </x:c>
      <x:c r="C1959" s="12" t="str">
        <x:v>Delhi NCR</x:v>
      </x:c>
      <x:c r="D1959" s="12" t="str">
        <x:v>MAIN-203</x:v>
      </x:c>
      <x:c r="E1959" s="12" t="str">
        <x:v>Unitech - Commercial Tower 2</x:v>
      </x:c>
      <x:c r="F1959" s="11" t="n">
        <x:v>1</x:v>
      </x:c>
      <x:c r="G1959" s="11" t="n">
        <x:v>1</x:v>
      </x:c>
      <x:c r="H1959" s="11" t="n">
        <x:v>0</x:v>
      </x:c>
      <x:c r="I1959" s="17" t="n">
        <x:f>INDEX('Costing'!$P$9:$P$492,MATCH(D1959,'Costing'!$A$9:$A$492,0))</x:f>
        <x:v>40000</x:v>
      </x:c>
      <x:c r="J1959" s="17" t="n">
        <x:f>ROUND(I1959*'Costing'!$C$4,2)</x:f>
        <x:v>7200</x:v>
      </x:c>
      <x:c r="K1959" s="17" t="n">
        <x:f>I1959+J1959</x:f>
        <x:v>47200</x:v>
      </x:c>
    </x:row>
    <x:row r="1960" ht="46" customHeight="1">
      <x:c r="A1960" s="2" t="str">
        <x:v>Sector</x:v>
      </x:c>
      <x:c r="B1960" s="2" t="str">
        <x:v>Professional services</x:v>
      </x:c>
      <x:c r="C1960" s="12" t="str">
        <x:v>Delhi NCR</x:v>
      </x:c>
      <x:c r="D1960" s="12" t="str">
        <x:v>MAIN-204</x:v>
      </x:c>
      <x:c r="E1960" s="12" t="str">
        <x:v>Unitech - Cyber Park</x:v>
      </x:c>
      <x:c r="F1960" s="11" t="n">
        <x:v>4</x:v>
      </x:c>
      <x:c r="G1960" s="11" t="n">
        <x:v>4</x:v>
      </x:c>
      <x:c r="H1960" s="11" t="n">
        <x:v>0</x:v>
      </x:c>
      <x:c r="I1960" s="17" t="n">
        <x:f>INDEX('Costing'!$P$9:$P$492,MATCH(D1960,'Costing'!$A$9:$A$492,0))</x:f>
        <x:v>160000</x:v>
      </x:c>
      <x:c r="J1960" s="17" t="n">
        <x:f>ROUND(I1960*'Costing'!$C$4,2)</x:f>
        <x:v>28800</x:v>
      </x:c>
      <x:c r="K1960" s="17" t="n">
        <x:f>I1960+J1960</x:f>
        <x:v>188800</x:v>
      </x:c>
    </x:row>
    <x:row r="1961" ht="46" customHeight="1">
      <x:c r="A1961" s="2" t="str">
        <x:v>Sector</x:v>
      </x:c>
      <x:c r="B1961" s="2" t="str">
        <x:v>Professional services</x:v>
      </x:c>
      <x:c r="C1961" s="12" t="str">
        <x:v>Delhi NCR</x:v>
      </x:c>
      <x:c r="D1961" s="12" t="str">
        <x:v>MAIN-206</x:v>
      </x:c>
      <x:c r="E1961" s="12" t="str">
        <x:v>Unitech - Global Business Park</x:v>
      </x:c>
      <x:c r="F1961" s="11" t="n">
        <x:v>3</x:v>
      </x:c>
      <x:c r="G1961" s="11" t="n">
        <x:v>3</x:v>
      </x:c>
      <x:c r="H1961" s="11" t="n">
        <x:v>0</x:v>
      </x:c>
      <x:c r="I1961" s="17" t="n">
        <x:f>INDEX('Costing'!$P$9:$P$492,MATCH(D1961,'Costing'!$A$9:$A$492,0))</x:f>
        <x:v>120000</x:v>
      </x:c>
      <x:c r="J1961" s="17" t="n">
        <x:f>ROUND(I1961*'Costing'!$C$4,2)</x:f>
        <x:v>21600</x:v>
      </x:c>
      <x:c r="K1961" s="17" t="n">
        <x:f>I1961+J1961</x:f>
        <x:v>141600</x:v>
      </x:c>
    </x:row>
    <x:row r="1962" ht="46" customHeight="1">
      <x:c r="A1962" s="2" t="str">
        <x:v>Sector</x:v>
      </x:c>
      <x:c r="B1962" s="2" t="str">
        <x:v>Professional services</x:v>
      </x:c>
      <x:c r="C1962" s="12" t="str">
        <x:v>Delhi NCR</x:v>
      </x:c>
      <x:c r="D1962" s="12" t="str">
        <x:v>MAIN-207</x:v>
      </x:c>
      <x:c r="E1962" s="12" t="str">
        <x:v>Unitech - Signature Tower</x:v>
      </x:c>
      <x:c r="F1962" s="11" t="n">
        <x:v>2</x:v>
      </x:c>
      <x:c r="G1962" s="11" t="n">
        <x:v>2</x:v>
      </x:c>
      <x:c r="H1962" s="11" t="n">
        <x:v>0</x:v>
      </x:c>
      <x:c r="I1962" s="17" t="n">
        <x:f>INDEX('Costing'!$P$9:$P$492,MATCH(D1962,'Costing'!$A$9:$A$492,0))</x:f>
        <x:v>80000</x:v>
      </x:c>
      <x:c r="J1962" s="17" t="n">
        <x:f>ROUND(I1962*'Costing'!$C$4,2)</x:f>
        <x:v>14400</x:v>
      </x:c>
      <x:c r="K1962" s="17" t="n">
        <x:f>I1962+J1962</x:f>
        <x:v>94400</x:v>
      </x:c>
    </x:row>
    <x:row r="1963" ht="46" customHeight="1">
      <x:c r="A1963" s="2" t="str">
        <x:v>Sector</x:v>
      </x:c>
      <x:c r="B1963" s="2" t="str">
        <x:v>Professional services</x:v>
      </x:c>
      <x:c r="C1963" s="12" t="str">
        <x:v>Delhi NCR</x:v>
      </x:c>
      <x:c r="D1963" s="12" t="str">
        <x:v>MAIN-208</x:v>
      </x:c>
      <x:c r="E1963" s="12" t="str">
        <x:v>Unitech - Trade Center</x:v>
      </x:c>
      <x:c r="F1963" s="11" t="n">
        <x:v>1</x:v>
      </x:c>
      <x:c r="G1963" s="11" t="n">
        <x:v>1</x:v>
      </x:c>
      <x:c r="H1963" s="11" t="n">
        <x:v>0</x:v>
      </x:c>
      <x:c r="I1963" s="17" t="n">
        <x:f>INDEX('Costing'!$P$9:$P$492,MATCH(D1963,'Costing'!$A$9:$A$492,0))</x:f>
        <x:v>40000</x:v>
      </x:c>
      <x:c r="J1963" s="17" t="n">
        <x:f>ROUND(I1963*'Costing'!$C$4,2)</x:f>
        <x:v>7200</x:v>
      </x:c>
      <x:c r="K1963" s="17" t="n">
        <x:f>I1963+J1963</x:f>
        <x:v>47200</x:v>
      </x:c>
    </x:row>
    <x:row r="1964" ht="46" customHeight="1">
      <x:c r="A1964" s="2" t="str">
        <x:v>Sector</x:v>
      </x:c>
      <x:c r="B1964" s="2" t="str">
        <x:v>Professional services</x:v>
      </x:c>
      <x:c r="C1964" s="12" t="str">
        <x:v>Delhi NCR</x:v>
      </x:c>
      <x:c r="D1964" s="12" t="str">
        <x:v>MAIN-209</x:v>
      </x:c>
      <x:c r="E1964" s="12" t="str">
        <x:v>WeWork - Blue One Square</x:v>
      </x:c>
      <x:c r="F1964" s="11" t="n">
        <x:v>10</x:v>
      </x:c>
      <x:c r="G1964" s="11" t="n">
        <x:v>10</x:v>
      </x:c>
      <x:c r="H1964" s="11" t="n">
        <x:v>0</x:v>
      </x:c>
      <x:c r="I1964" s="17" t="n">
        <x:f>INDEX('Costing'!$P$9:$P$492,MATCH(D1964,'Costing'!$A$9:$A$492,0))</x:f>
        <x:v>250000</x:v>
      </x:c>
      <x:c r="J1964" s="17" t="n">
        <x:f>ROUND(I1964*'Costing'!$C$4,2)</x:f>
        <x:v>45000</x:v>
      </x:c>
      <x:c r="K1964" s="17" t="n">
        <x:f>I1964+J1964</x:f>
        <x:v>295000</x:v>
      </x:c>
    </x:row>
    <x:row r="1965" ht="46" customHeight="1">
      <x:c r="A1965" s="2" t="str">
        <x:v>Sector</x:v>
      </x:c>
      <x:c r="B1965" s="2" t="str">
        <x:v>Professional services</x:v>
      </x:c>
      <x:c r="C1965" s="12" t="str">
        <x:v>Delhi NCR</x:v>
      </x:c>
      <x:c r="D1965" s="12" t="str">
        <x:v>MAIN-210</x:v>
      </x:c>
      <x:c r="E1965" s="12" t="str">
        <x:v>WeWork - Forum</x:v>
      </x:c>
      <x:c r="F1965" s="11" t="n">
        <x:v>14</x:v>
      </x:c>
      <x:c r="G1965" s="11" t="n">
        <x:v>14</x:v>
      </x:c>
      <x:c r="H1965" s="11" t="n">
        <x:v>0</x:v>
      </x:c>
      <x:c r="I1965" s="17" t="n">
        <x:f>INDEX('Costing'!$P$9:$P$492,MATCH(D1965,'Costing'!$A$9:$A$492,0))</x:f>
        <x:v>350000</x:v>
      </x:c>
      <x:c r="J1965" s="17" t="n">
        <x:f>ROUND(I1965*'Costing'!$C$4,2)</x:f>
        <x:v>63000</x:v>
      </x:c>
      <x:c r="K1965" s="17" t="n">
        <x:f>I1965+J1965</x:f>
        <x:v>413000</x:v>
      </x:c>
    </x:row>
    <x:row r="1966" ht="46" customHeight="1">
      <x:c r="A1966" s="2" t="str">
        <x:v>Sector</x:v>
      </x:c>
      <x:c r="B1966" s="2" t="str">
        <x:v>Professional services</x:v>
      </x:c>
      <x:c r="C1966" s="12" t="str">
        <x:v>Delhi NCR</x:v>
      </x:c>
      <x:c r="D1966" s="12" t="str">
        <x:v>MAIN-211</x:v>
      </x:c>
      <x:c r="E1966" s="12" t="str">
        <x:v>Wework - VI John</x:v>
      </x:c>
      <x:c r="F1966" s="11" t="n">
        <x:v>8</x:v>
      </x:c>
      <x:c r="G1966" s="11" t="n">
        <x:v>8</x:v>
      </x:c>
      <x:c r="H1966" s="11" t="n">
        <x:v>0</x:v>
      </x:c>
      <x:c r="I1966" s="17" t="n">
        <x:f>INDEX('Costing'!$P$9:$P$492,MATCH(D1966,'Costing'!$A$9:$A$492,0))</x:f>
        <x:v>200000</x:v>
      </x:c>
      <x:c r="J1966" s="17" t="n">
        <x:f>ROUND(I1966*'Costing'!$C$4,2)</x:f>
        <x:v>36000</x:v>
      </x:c>
      <x:c r="K1966" s="17" t="n">
        <x:f>I1966+J1966</x:f>
        <x:v>236000</x:v>
      </x:c>
    </x:row>
    <x:row r="1967" ht="46" customHeight="1">
      <x:c r="A1967" s="2" t="str">
        <x:v>Sector</x:v>
      </x:c>
      <x:c r="B1967" s="2" t="str">
        <x:v>Professional services</x:v>
      </x:c>
      <x:c r="C1967" s="12" t="str">
        <x:v>Delhi NCR</x:v>
      </x:c>
      <x:c r="D1967" s="12" t="str">
        <x:v>MAIN-175</x:v>
      </x:c>
      <x:c r="E1967" s="12" t="str">
        <x:v>Workflow by Oyo - Old Fort Saket</x:v>
      </x:c>
      <x:c r="F1967" s="11" t="n">
        <x:v>1</x:v>
      </x:c>
      <x:c r="G1967" s="11" t="n">
        <x:v>1</x:v>
      </x:c>
      <x:c r="H1967" s="11" t="n">
        <x:v>0</x:v>
      </x:c>
      <x:c r="I1967" s="17" t="n">
        <x:f>INDEX('Costing'!$P$9:$P$492,MATCH(D1967,'Costing'!$A$9:$A$492,0))</x:f>
        <x:v>15000</x:v>
      </x:c>
      <x:c r="J1967" s="17" t="n">
        <x:f>ROUND(I1967*'Costing'!$C$4,2)</x:f>
        <x:v>2700</x:v>
      </x:c>
      <x:c r="K1967" s="17" t="n">
        <x:f>I1967+J1967</x:f>
        <x:v>17700</x:v>
      </x:c>
    </x:row>
    <x:row r="1968" ht="46" customHeight="1">
      <x:c r="A1968" s="2" t="str">
        <x:v>Sector</x:v>
      </x:c>
      <x:c r="B1968" s="2" t="str">
        <x:v>Professional services</x:v>
      </x:c>
      <x:c r="C1968" s="12" t="str">
        <x:v>Delhi NCR</x:v>
      </x:c>
      <x:c r="D1968" s="12" t="str">
        <x:v>MAIN-378</x:v>
      </x:c>
      <x:c r="E1968" s="12" t="str">
        <x:v>World Trade Tower</x:v>
      </x:c>
      <x:c r="F1968" s="11" t="n">
        <x:v>13</x:v>
      </x:c>
      <x:c r="G1968" s="11" t="n">
        <x:v>13</x:v>
      </x:c>
      <x:c r="H1968" s="11" t="n">
        <x:v>0</x:v>
      </x:c>
      <x:c r="I1968" s="17" t="n">
        <x:f>INDEX('Costing'!$P$9:$P$492,MATCH(D1968,'Costing'!$A$9:$A$492,0))</x:f>
        <x:v>260000</x:v>
      </x:c>
      <x:c r="J1968" s="17" t="n">
        <x:f>ROUND(I1968*'Costing'!$C$4,2)</x:f>
        <x:v>46800</x:v>
      </x:c>
      <x:c r="K1968" s="17" t="n">
        <x:f>I1968+J1968</x:f>
        <x:v>306800</x:v>
      </x:c>
    </x:row>
    <x:row r="1969" ht="46" customHeight="1">
      <x:c r="A1969" s="2" t="str">
        <x:v>Sector</x:v>
      </x:c>
      <x:c r="B1969" s="2" t="str">
        <x:v>Professional services</x:v>
      </x:c>
      <x:c r="C1969" s="12" t="str">
        <x:v>Hyderabad</x:v>
      </x:c>
      <x:c r="D1969" s="12" t="str">
        <x:v>MAIN-219</x:v>
      </x:c>
      <x:c r="E1969" s="12" t="str">
        <x:v>Awfis - Hitech City 6th</x:v>
      </x:c>
      <x:c r="F1969" s="11" t="n">
        <x:v>2</x:v>
      </x:c>
      <x:c r="G1969" s="11" t="n">
        <x:v>2</x:v>
      </x:c>
      <x:c r="H1969" s="11" t="n">
        <x:v>0</x:v>
      </x:c>
      <x:c r="I1969" s="17" t="n">
        <x:f>INDEX('Costing'!$P$9:$P$492,MATCH(D1969,'Costing'!$A$9:$A$492,0))</x:f>
        <x:v>30000</x:v>
      </x:c>
      <x:c r="J1969" s="17" t="n">
        <x:f>ROUND(I1969*'Costing'!$C$4,2)</x:f>
        <x:v>5400</x:v>
      </x:c>
      <x:c r="K1969" s="17" t="n">
        <x:f>I1969+J1969</x:f>
        <x:v>35400</x:v>
      </x:c>
    </x:row>
    <x:row r="1970" ht="46" customHeight="1">
      <x:c r="A1970" s="2" t="str">
        <x:v>Sector</x:v>
      </x:c>
      <x:c r="B1970" s="2" t="str">
        <x:v>Professional services</x:v>
      </x:c>
      <x:c r="C1970" s="12" t="str">
        <x:v>Hyderabad</x:v>
      </x:c>
      <x:c r="D1970" s="12" t="str">
        <x:v>MAIN-221</x:v>
      </x:c>
      <x:c r="E1970" s="12" t="str">
        <x:v>Awfis - Oyster Complex</x:v>
      </x:c>
      <x:c r="F1970" s="11" t="n">
        <x:v>3</x:v>
      </x:c>
      <x:c r="G1970" s="11" t="n">
        <x:v>3</x:v>
      </x:c>
      <x:c r="H1970" s="11" t="n">
        <x:v>0</x:v>
      </x:c>
      <x:c r="I1970" s="17" t="n">
        <x:f>INDEX('Costing'!$P$9:$P$492,MATCH(D1970,'Costing'!$A$9:$A$492,0))</x:f>
        <x:v>45000</x:v>
      </x:c>
      <x:c r="J1970" s="17" t="n">
        <x:f>ROUND(I1970*'Costing'!$C$4,2)</x:f>
        <x:v>8100</x:v>
      </x:c>
      <x:c r="K1970" s="17" t="n">
        <x:f>I1970+J1970</x:f>
        <x:v>53100</x:v>
      </x:c>
    </x:row>
    <x:row r="1971" ht="46" customHeight="1">
      <x:c r="A1971" s="2" t="str">
        <x:v>Sector</x:v>
      </x:c>
      <x:c r="B1971" s="2" t="str">
        <x:v>Professional services</x:v>
      </x:c>
      <x:c r="C1971" s="12" t="str">
        <x:v>Hyderabad</x:v>
      </x:c>
      <x:c r="D1971" s="12" t="str">
        <x:v>MAIN-225</x:v>
      </x:c>
      <x:c r="E1971" s="12" t="str">
        <x:v>Awfis - Vasavi MPM Mall</x:v>
      </x:c>
      <x:c r="F1971" s="11" t="n">
        <x:v>2</x:v>
      </x:c>
      <x:c r="G1971" s="11" t="n">
        <x:v>2</x:v>
      </x:c>
      <x:c r="H1971" s="11" t="n">
        <x:v>0</x:v>
      </x:c>
      <x:c r="I1971" s="17" t="n">
        <x:f>INDEX('Costing'!$P$9:$P$492,MATCH(D1971,'Costing'!$A$9:$A$492,0))</x:f>
        <x:v>30000</x:v>
      </x:c>
      <x:c r="J1971" s="17" t="n">
        <x:f>ROUND(I1971*'Costing'!$C$4,2)</x:f>
        <x:v>5400</x:v>
      </x:c>
      <x:c r="K1971" s="17" t="n">
        <x:f>I1971+J1971</x:f>
        <x:v>35400</x:v>
      </x:c>
    </x:row>
    <x:row r="1972" ht="46" customHeight="1">
      <x:c r="A1972" s="2" t="str">
        <x:v>Sector</x:v>
      </x:c>
      <x:c r="B1972" s="2" t="str">
        <x:v>Professional services</x:v>
      </x:c>
      <x:c r="C1972" s="12" t="str">
        <x:v>Hyderabad</x:v>
      </x:c>
      <x:c r="D1972" s="12" t="str">
        <x:v>MAIN-237</x:v>
      </x:c>
      <x:c r="E1972" s="12" t="str">
        <x:v>Meenakshi Tech Park</x:v>
      </x:c>
      <x:c r="F1972" s="11" t="n">
        <x:v>2</x:v>
      </x:c>
      <x:c r="G1972" s="11" t="n">
        <x:v>2</x:v>
      </x:c>
      <x:c r="H1972" s="11" t="n">
        <x:v>0</x:v>
      </x:c>
      <x:c r="I1972" s="17" t="n">
        <x:f>INDEX('Costing'!$P$9:$P$492,MATCH(D1972,'Costing'!$A$9:$A$492,0))</x:f>
        <x:v>80000</x:v>
      </x:c>
      <x:c r="J1972" s="17" t="n">
        <x:f>ROUND(I1972*'Costing'!$C$4,2)</x:f>
        <x:v>14400</x:v>
      </x:c>
      <x:c r="K1972" s="17" t="n">
        <x:f>I1972+J1972</x:f>
        <x:v>94400</x:v>
      </x:c>
    </x:row>
    <x:row r="1973" ht="46" customHeight="1">
      <x:c r="A1973" s="2" t="str">
        <x:v>Sector</x:v>
      </x:c>
      <x:c r="B1973" s="2" t="str">
        <x:v>Professional services</x:v>
      </x:c>
      <x:c r="C1973" s="12" t="str">
        <x:v>Hyderabad</x:v>
      </x:c>
      <x:c r="D1973" s="12" t="str">
        <x:v>MAIN-240</x:v>
      </x:c>
      <x:c r="E1973" s="12" t="str">
        <x:v>NSL Arena Tech Park</x:v>
      </x:c>
      <x:c r="F1973" s="11" t="n">
        <x:v>13</x:v>
      </x:c>
      <x:c r="G1973" s="11" t="n">
        <x:v>13</x:v>
      </x:c>
      <x:c r="H1973" s="11" t="n">
        <x:v>0</x:v>
      </x:c>
      <x:c r="I1973" s="17" t="n">
        <x:f>INDEX('Costing'!$P$9:$P$492,MATCH(D1973,'Costing'!$A$9:$A$492,0))</x:f>
        <x:v>195000</x:v>
      </x:c>
      <x:c r="J1973" s="17" t="n">
        <x:f>ROUND(I1973*'Costing'!$C$4,2)</x:f>
        <x:v>35100</x:v>
      </x:c>
      <x:c r="K1973" s="17" t="n">
        <x:f>I1973+J1973</x:f>
        <x:v>230100</x:v>
      </x:c>
    </x:row>
    <x:row r="1974" ht="46" customHeight="1">
      <x:c r="A1974" s="2" t="str">
        <x:v>Sector</x:v>
      </x:c>
      <x:c r="B1974" s="2" t="str">
        <x:v>Professional services</x:v>
      </x:c>
      <x:c r="C1974" s="12" t="str">
        <x:v>Hyderabad</x:v>
      </x:c>
      <x:c r="D1974" s="12" t="str">
        <x:v>MAIN-246</x:v>
      </x:c>
      <x:c r="E1974" s="12" t="str">
        <x:v>Purva Summit Tech Park</x:v>
      </x:c>
      <x:c r="F1974" s="11" t="n">
        <x:v>1</x:v>
      </x:c>
      <x:c r="G1974" s="11" t="n">
        <x:v>1</x:v>
      </x:c>
      <x:c r="H1974" s="11" t="n">
        <x:v>0</x:v>
      </x:c>
      <x:c r="I1974" s="17" t="n">
        <x:f>INDEX('Costing'!$P$9:$P$492,MATCH(D1974,'Costing'!$A$9:$A$492,0))</x:f>
        <x:v>20000</x:v>
      </x:c>
      <x:c r="J1974" s="17" t="n">
        <x:f>ROUND(I1974*'Costing'!$C$4,2)</x:f>
        <x:v>3600</x:v>
      </x:c>
      <x:c r="K1974" s="17" t="n">
        <x:f>I1974+J1974</x:f>
        <x:v>23600</x:v>
      </x:c>
    </x:row>
    <x:row r="1975" ht="46" customHeight="1">
      <x:c r="A1975" s="2" t="str">
        <x:v>Sector</x:v>
      </x:c>
      <x:c r="B1975" s="2" t="str">
        <x:v>Professional services</x:v>
      </x:c>
      <x:c r="C1975" s="12" t="str">
        <x:v>Hyderabad</x:v>
      </x:c>
      <x:c r="D1975" s="12" t="str">
        <x:v>MAIN-247</x:v>
      </x:c>
      <x:c r="E1975" s="12" t="str">
        <x:v>Quick Start - Cynosure Gachibowli</x:v>
      </x:c>
      <x:c r="F1975" s="11" t="n">
        <x:v>1</x:v>
      </x:c>
      <x:c r="G1975" s="11" t="n">
        <x:v>1</x:v>
      </x:c>
      <x:c r="H1975" s="11" t="n">
        <x:v>0</x:v>
      </x:c>
      <x:c r="I1975" s="17" t="n">
        <x:f>INDEX('Costing'!$P$9:$P$492,MATCH(D1975,'Costing'!$A$9:$A$492,0))</x:f>
        <x:v>15000</x:v>
      </x:c>
      <x:c r="J1975" s="17" t="n">
        <x:f>ROUND(I1975*'Costing'!$C$4,2)</x:f>
        <x:v>2700</x:v>
      </x:c>
      <x:c r="K1975" s="17" t="n">
        <x:f>I1975+J1975</x:f>
        <x:v>17700</x:v>
      </x:c>
    </x:row>
    <x:row r="1976" ht="46" customHeight="1">
      <x:c r="A1976" s="2" t="str">
        <x:v>Sector</x:v>
      </x:c>
      <x:c r="B1976" s="2" t="str">
        <x:v>Professional services</x:v>
      </x:c>
      <x:c r="C1976" s="12" t="str">
        <x:v>Hyderabad</x:v>
      </x:c>
      <x:c r="D1976" s="12" t="str">
        <x:v>MAIN-248</x:v>
      </x:c>
      <x:c r="E1976" s="12" t="str">
        <x:v>Quick Start - Madhapur</x:v>
      </x:c>
      <x:c r="F1976" s="11" t="n">
        <x:v>3</x:v>
      </x:c>
      <x:c r="G1976" s="11" t="n">
        <x:v>3</x:v>
      </x:c>
      <x:c r="H1976" s="11" t="n">
        <x:v>0</x:v>
      </x:c>
      <x:c r="I1976" s="17" t="n">
        <x:f>INDEX('Costing'!$P$9:$P$492,MATCH(D1976,'Costing'!$A$9:$A$492,0))</x:f>
        <x:v>45000</x:v>
      </x:c>
      <x:c r="J1976" s="17" t="n">
        <x:f>ROUND(I1976*'Costing'!$C$4,2)</x:f>
        <x:v>8100</x:v>
      </x:c>
      <x:c r="K1976" s="17" t="n">
        <x:f>I1976+J1976</x:f>
        <x:v>53100</x:v>
      </x:c>
    </x:row>
    <x:row r="1977" ht="46" customHeight="1">
      <x:c r="A1977" s="2" t="str">
        <x:v>Sector</x:v>
      </x:c>
      <x:c r="B1977" s="2" t="str">
        <x:v>Professional services</x:v>
      </x:c>
      <x:c r="C1977" s="12" t="str">
        <x:v>Hyderabad</x:v>
      </x:c>
      <x:c r="D1977" s="12" t="str">
        <x:v>MAIN-250</x:v>
      </x:c>
      <x:c r="E1977" s="12" t="str">
        <x:v>Raheja 2A (Redbrick Offices)</x:v>
      </x:c>
      <x:c r="F1977" s="11" t="n">
        <x:v>1</x:v>
      </x:c>
      <x:c r="G1977" s="11" t="n">
        <x:v>1</x:v>
      </x:c>
      <x:c r="H1977" s="11" t="n">
        <x:v>0</x:v>
      </x:c>
      <x:c r="I1977" s="17" t="n">
        <x:f>INDEX('Costing'!$P$9:$P$492,MATCH(D1977,'Costing'!$A$9:$A$492,0))</x:f>
        <x:v>15000</x:v>
      </x:c>
      <x:c r="J1977" s="17" t="n">
        <x:f>ROUND(I1977*'Costing'!$C$4,2)</x:f>
        <x:v>2700</x:v>
      </x:c>
      <x:c r="K1977" s="17" t="n">
        <x:f>I1977+J1977</x:f>
        <x:v>17700</x:v>
      </x:c>
    </x:row>
    <x:row r="1978" ht="46" customHeight="1">
      <x:c r="A1978" s="2" t="str">
        <x:v>Sector</x:v>
      </x:c>
      <x:c r="B1978" s="2" t="str">
        <x:v>Professional services</x:v>
      </x:c>
      <x:c r="C1978" s="12" t="str">
        <x:v>Hyderabad</x:v>
      </x:c>
      <x:c r="D1978" s="12" t="str">
        <x:v>MAIN-251</x:v>
      </x:c>
      <x:c r="E1978" s="12" t="str">
        <x:v>Raheja IT Park Tower 3</x:v>
      </x:c>
      <x:c r="F1978" s="11" t="n">
        <x:v>2</x:v>
      </x:c>
      <x:c r="G1978" s="11" t="n">
        <x:v>2</x:v>
      </x:c>
      <x:c r="H1978" s="11" t="n">
        <x:v>0</x:v>
      </x:c>
      <x:c r="I1978" s="17" t="n">
        <x:f>INDEX('Costing'!$P$9:$P$492,MATCH(D1978,'Costing'!$A$9:$A$492,0))</x:f>
        <x:v>40000</x:v>
      </x:c>
      <x:c r="J1978" s="17" t="n">
        <x:f>ROUND(I1978*'Costing'!$C$4,2)</x:f>
        <x:v>7200</x:v>
      </x:c>
      <x:c r="K1978" s="17" t="n">
        <x:f>I1978+J1978</x:f>
        <x:v>47200</x:v>
      </x:c>
    </x:row>
    <x:row r="1979" ht="46" customHeight="1">
      <x:c r="A1979" s="2" t="str">
        <x:v>Sector</x:v>
      </x:c>
      <x:c r="B1979" s="2" t="str">
        <x:v>Professional services</x:v>
      </x:c>
      <x:c r="C1979" s="12" t="str">
        <x:v>Hyderabad</x:v>
      </x:c>
      <x:c r="D1979" s="12" t="str">
        <x:v>MAIN-255</x:v>
      </x:c>
      <x:c r="E1979" s="12" t="str">
        <x:v>Sattva Orwell (Redbrick Offices)</x:v>
      </x:c>
      <x:c r="F1979" s="11" t="n">
        <x:v>3</x:v>
      </x:c>
      <x:c r="G1979" s="11" t="n">
        <x:v>3</x:v>
      </x:c>
      <x:c r="H1979" s="11" t="n">
        <x:v>0</x:v>
      </x:c>
      <x:c r="I1979" s="17" t="n">
        <x:f>INDEX('Costing'!$P$9:$P$492,MATCH(D1979,'Costing'!$A$9:$A$492,0))</x:f>
        <x:v>45000</x:v>
      </x:c>
      <x:c r="J1979" s="17" t="n">
        <x:f>ROUND(I1979*'Costing'!$C$4,2)</x:f>
        <x:v>8100</x:v>
      </x:c>
      <x:c r="K1979" s="17" t="n">
        <x:f>I1979+J1979</x:f>
        <x:v>53100</x:v>
      </x:c>
    </x:row>
    <x:row r="1980" ht="46" customHeight="1">
      <x:c r="A1980" s="2" t="str">
        <x:v>Sector</x:v>
      </x:c>
      <x:c r="B1980" s="2" t="str">
        <x:v>Professional services</x:v>
      </x:c>
      <x:c r="C1980" s="12" t="str">
        <x:v>Hyderabad</x:v>
      </x:c>
      <x:c r="D1980" s="12" t="str">
        <x:v>MAIN-256</x:v>
      </x:c>
      <x:c r="E1980" s="12" t="str">
        <x:v>Sohini Tech Park (TS)</x:v>
      </x:c>
      <x:c r="F1980" s="11" t="n">
        <x:v>2</x:v>
      </x:c>
      <x:c r="G1980" s="11" t="n">
        <x:v>2</x:v>
      </x:c>
      <x:c r="H1980" s="11" t="n">
        <x:v>0</x:v>
      </x:c>
      <x:c r="I1980" s="17" t="n">
        <x:f>INDEX('Costing'!$P$9:$P$492,MATCH(D1980,'Costing'!$A$9:$A$492,0))</x:f>
        <x:v>80000</x:v>
      </x:c>
      <x:c r="J1980" s="17" t="n">
        <x:f>ROUND(I1980*'Costing'!$C$4,2)</x:f>
        <x:v>14400</x:v>
      </x:c>
      <x:c r="K1980" s="17" t="n">
        <x:f>I1980+J1980</x:f>
        <x:v>94400</x:v>
      </x:c>
    </x:row>
    <x:row r="1981" ht="46" customHeight="1">
      <x:c r="A1981" s="2" t="str">
        <x:v>Sector</x:v>
      </x:c>
      <x:c r="B1981" s="2" t="str">
        <x:v>Professional services</x:v>
      </x:c>
      <x:c r="C1981" s="12" t="str">
        <x:v>Hyderabad</x:v>
      </x:c>
      <x:c r="D1981" s="12" t="str">
        <x:v>MAIN-259</x:v>
      </x:c>
      <x:c r="E1981" s="12" t="str">
        <x:v>Symbyont Smart Space Rajapushpa Summit</x:v>
      </x:c>
      <x:c r="F1981" s="11" t="n">
        <x:v>1</x:v>
      </x:c>
      <x:c r="G1981" s="11" t="n">
        <x:v>1</x:v>
      </x:c>
      <x:c r="H1981" s="11" t="n">
        <x:v>0</x:v>
      </x:c>
      <x:c r="I1981" s="17" t="n">
        <x:f>INDEX('Costing'!$P$9:$P$492,MATCH(D1981,'Costing'!$A$9:$A$492,0))</x:f>
        <x:v>20000</x:v>
      </x:c>
      <x:c r="J1981" s="17" t="n">
        <x:f>ROUND(I1981*'Costing'!$C$4,2)</x:f>
        <x:v>3600</x:v>
      </x:c>
      <x:c r="K1981" s="17" t="n">
        <x:f>I1981+J1981</x:f>
        <x:v>23600</x:v>
      </x:c>
    </x:row>
    <x:row r="1982" ht="46" customHeight="1">
      <x:c r="A1982" s="2" t="str">
        <x:v>Sector</x:v>
      </x:c>
      <x:c r="B1982" s="2" t="str">
        <x:v>Professional services</x:v>
      </x:c>
      <x:c r="C1982" s="12" t="str">
        <x:v>Hyderabad</x:v>
      </x:c>
      <x:c r="D1982" s="12" t="str">
        <x:v>MAIN-262</x:v>
      </x:c>
      <x:c r="E1982" s="12" t="str">
        <x:v>Wework - Krishe Emerald</x:v>
      </x:c>
      <x:c r="F1982" s="11" t="n">
        <x:v>9</x:v>
      </x:c>
      <x:c r="G1982" s="11" t="n">
        <x:v>9</x:v>
      </x:c>
      <x:c r="H1982" s="11" t="n">
        <x:v>0</x:v>
      </x:c>
      <x:c r="I1982" s="17" t="n">
        <x:f>INDEX('Costing'!$P$9:$P$492,MATCH(D1982,'Costing'!$A$9:$A$492,0))</x:f>
        <x:v>225000</x:v>
      </x:c>
      <x:c r="J1982" s="17" t="n">
        <x:f>ROUND(I1982*'Costing'!$C$4,2)</x:f>
        <x:v>40500</x:v>
      </x:c>
      <x:c r="K1982" s="17" t="n">
        <x:f>I1982+J1982</x:f>
        <x:v>265500</x:v>
      </x:c>
    </x:row>
    <x:row r="1983" ht="46" customHeight="1">
      <x:c r="A1983" s="2" t="str">
        <x:v>Sector</x:v>
      </x:c>
      <x:c r="B1983" s="2" t="str">
        <x:v>Professional services</x:v>
      </x:c>
      <x:c r="C1983" s="12" t="str">
        <x:v>Hyderabad</x:v>
      </x:c>
      <x:c r="D1983" s="12" t="str">
        <x:v>MAIN-263</x:v>
      </x:c>
      <x:c r="E1983" s="12" t="str">
        <x:v>WeWork - Mindspace</x:v>
      </x:c>
      <x:c r="F1983" s="11" t="n">
        <x:v>1</x:v>
      </x:c>
      <x:c r="G1983" s="11" t="n">
        <x:v>1</x:v>
      </x:c>
      <x:c r="H1983" s="11" t="n">
        <x:v>0</x:v>
      </x:c>
      <x:c r="I1983" s="17" t="n">
        <x:f>INDEX('Costing'!$P$9:$P$492,MATCH(D1983,'Costing'!$A$9:$A$492,0))</x:f>
        <x:v>25000</x:v>
      </x:c>
      <x:c r="J1983" s="17" t="n">
        <x:f>ROUND(I1983*'Costing'!$C$4,2)</x:f>
        <x:v>4500</x:v>
      </x:c>
      <x:c r="K1983" s="17" t="n">
        <x:f>I1983+J1983</x:f>
        <x:v>29500</x:v>
      </x:c>
    </x:row>
    <x:row r="1984" ht="46" customHeight="1">
      <x:c r="A1984" s="2" t="str">
        <x:v>Sector</x:v>
      </x:c>
      <x:c r="B1984" s="2" t="str">
        <x:v>Professional services</x:v>
      </x:c>
      <x:c r="C1984" s="12" t="str">
        <x:v>Hyderabad</x:v>
      </x:c>
      <x:c r="D1984" s="12" t="str">
        <x:v>MAIN-265</x:v>
      </x:c>
      <x:c r="E1984" s="12" t="str">
        <x:v>WeWork - RMZ Spire</x:v>
      </x:c>
      <x:c r="F1984" s="11" t="n">
        <x:v>4</x:v>
      </x:c>
      <x:c r="G1984" s="11" t="n">
        <x:v>4</x:v>
      </x:c>
      <x:c r="H1984" s="11" t="n">
        <x:v>0</x:v>
      </x:c>
      <x:c r="I1984" s="17" t="n">
        <x:f>INDEX('Costing'!$P$9:$P$492,MATCH(D1984,'Costing'!$A$9:$A$492,0))</x:f>
        <x:v>100000</x:v>
      </x:c>
      <x:c r="J1984" s="17" t="n">
        <x:f>ROUND(I1984*'Costing'!$C$4,2)</x:f>
        <x:v>18000</x:v>
      </x:c>
      <x:c r="K1984" s="17" t="n">
        <x:f>I1984+J1984</x:f>
        <x:v>118000</x:v>
      </x:c>
    </x:row>
    <x:row r="1985" ht="46" customHeight="1">
      <x:c r="A1985" s="2" t="str">
        <x:v>Sector</x:v>
      </x:c>
      <x:c r="B1985" s="2" t="str">
        <x:v>Professional services</x:v>
      </x:c>
      <x:c r="C1985" s="12" t="str">
        <x:v>Indore</x:v>
      </x:c>
      <x:c r="D1985" s="12" t="str">
        <x:v>MAIN-266</x:v>
      </x:c>
      <x:c r="E1985" s="12" t="str">
        <x:v>Airen Heights</x:v>
      </x:c>
      <x:c r="F1985" s="11" t="n">
        <x:v>1</x:v>
      </x:c>
      <x:c r="G1985" s="11" t="n">
        <x:v>1</x:v>
      </x:c>
      <x:c r="H1985" s="11" t="n">
        <x:v>0</x:v>
      </x:c>
      <x:c r="I1985" s="17" t="n">
        <x:f>INDEX('Costing'!$P$9:$P$492,MATCH(D1985,'Costing'!$A$9:$A$492,0))</x:f>
        <x:v>20000</x:v>
      </x:c>
      <x:c r="J1985" s="17" t="n">
        <x:f>ROUND(I1985*'Costing'!$C$4,2)</x:f>
        <x:v>3600</x:v>
      </x:c>
      <x:c r="K1985" s="17" t="n">
        <x:f>I1985+J1985</x:f>
        <x:v>23600</x:v>
      </x:c>
    </x:row>
    <x:row r="1986" ht="46" customHeight="1">
      <x:c r="A1986" s="2" t="str">
        <x:v>Sector</x:v>
      </x:c>
      <x:c r="B1986" s="2" t="str">
        <x:v>Professional services</x:v>
      </x:c>
      <x:c r="C1986" s="12" t="str">
        <x:v>Indore</x:v>
      </x:c>
      <x:c r="D1986" s="12" t="str">
        <x:v>MAIN-267</x:v>
      </x:c>
      <x:c r="E1986" s="12" t="str">
        <x:v>Apollo Gold Plaza</x:v>
      </x:c>
      <x:c r="F1986" s="11" t="n">
        <x:v>2</x:v>
      </x:c>
      <x:c r="G1986" s="11" t="n">
        <x:v>2</x:v>
      </x:c>
      <x:c r="H1986" s="11" t="n">
        <x:v>0</x:v>
      </x:c>
      <x:c r="I1986" s="17" t="n">
        <x:f>INDEX('Costing'!$P$9:$P$492,MATCH(D1986,'Costing'!$A$9:$A$492,0))</x:f>
        <x:v>40000</x:v>
      </x:c>
      <x:c r="J1986" s="17" t="n">
        <x:f>ROUND(I1986*'Costing'!$C$4,2)</x:f>
        <x:v>7200</x:v>
      </x:c>
      <x:c r="K1986" s="17" t="n">
        <x:f>I1986+J1986</x:f>
        <x:v>47200</x:v>
      </x:c>
    </x:row>
    <x:row r="1987" ht="46" customHeight="1">
      <x:c r="A1987" s="2" t="str">
        <x:v>Sector</x:v>
      </x:c>
      <x:c r="B1987" s="2" t="str">
        <x:v>Professional services</x:v>
      </x:c>
      <x:c r="C1987" s="12" t="str">
        <x:v>Indore</x:v>
      </x:c>
      <x:c r="D1987" s="12" t="str">
        <x:v>MAIN-271</x:v>
      </x:c>
      <x:c r="E1987" s="12" t="str">
        <x:v>Dhan Trident</x:v>
      </x:c>
      <x:c r="F1987" s="11" t="n">
        <x:v>2</x:v>
      </x:c>
      <x:c r="G1987" s="11" t="n">
        <x:v>2</x:v>
      </x:c>
      <x:c r="H1987" s="11" t="n">
        <x:v>0</x:v>
      </x:c>
      <x:c r="I1987" s="17" t="n">
        <x:f>INDEX('Costing'!$P$9:$P$492,MATCH(D1987,'Costing'!$A$9:$A$492,0))</x:f>
        <x:v>40000</x:v>
      </x:c>
      <x:c r="J1987" s="17" t="n">
        <x:f>ROUND(I1987*'Costing'!$C$4,2)</x:f>
        <x:v>7200</x:v>
      </x:c>
      <x:c r="K1987" s="17" t="n">
        <x:f>I1987+J1987</x:f>
        <x:v>47200</x:v>
      </x:c>
    </x:row>
    <x:row r="1988" ht="46" customHeight="1">
      <x:c r="A1988" s="2" t="str">
        <x:v>Sector</x:v>
      </x:c>
      <x:c r="B1988" s="2" t="str">
        <x:v>Professional services</x:v>
      </x:c>
      <x:c r="C1988" s="12" t="str">
        <x:v>Indore</x:v>
      </x:c>
      <x:c r="D1988" s="12" t="str">
        <x:v>MAIN-272</x:v>
      </x:c>
      <x:c r="E1988" s="12" t="str">
        <x:v>Maloo - 01</x:v>
      </x:c>
      <x:c r="F1988" s="11" t="n">
        <x:v>1</x:v>
      </x:c>
      <x:c r="G1988" s="11" t="n">
        <x:v>1</x:v>
      </x:c>
      <x:c r="H1988" s="11" t="n">
        <x:v>0</x:v>
      </x:c>
      <x:c r="I1988" s="17" t="n">
        <x:f>INDEX('Costing'!$P$9:$P$492,MATCH(D1988,'Costing'!$A$9:$A$492,0))</x:f>
        <x:v>20000</x:v>
      </x:c>
      <x:c r="J1988" s="17" t="n">
        <x:f>ROUND(I1988*'Costing'!$C$4,2)</x:f>
        <x:v>3600</x:v>
      </x:c>
      <x:c r="K1988" s="17" t="n">
        <x:f>I1988+J1988</x:f>
        <x:v>23600</x:v>
      </x:c>
    </x:row>
    <x:row r="1989" ht="46" customHeight="1">
      <x:c r="A1989" s="2" t="str">
        <x:v>Sector</x:v>
      </x:c>
      <x:c r="B1989" s="2" t="str">
        <x:v>Professional services</x:v>
      </x:c>
      <x:c r="C1989" s="12" t="str">
        <x:v>Indore</x:v>
      </x:c>
      <x:c r="D1989" s="12" t="str">
        <x:v>MAIN-273</x:v>
      </x:c>
      <x:c r="E1989" s="12" t="str">
        <x:v>Metro Tower</x:v>
      </x:c>
      <x:c r="F1989" s="11" t="n">
        <x:v>2</x:v>
      </x:c>
      <x:c r="G1989" s="11" t="n">
        <x:v>2</x:v>
      </x:c>
      <x:c r="H1989" s="11" t="n">
        <x:v>0</x:v>
      </x:c>
      <x:c r="I1989" s="17" t="n">
        <x:f>INDEX('Costing'!$P$9:$P$492,MATCH(D1989,'Costing'!$A$9:$A$492,0))</x:f>
        <x:v>40000</x:v>
      </x:c>
      <x:c r="J1989" s="17" t="n">
        <x:f>ROUND(I1989*'Costing'!$C$4,2)</x:f>
        <x:v>7200</x:v>
      </x:c>
      <x:c r="K1989" s="17" t="n">
        <x:f>I1989+J1989</x:f>
        <x:v>47200</x:v>
      </x:c>
    </x:row>
    <x:row r="1990" ht="46" customHeight="1">
      <x:c r="A1990" s="2" t="str">
        <x:v>Sector</x:v>
      </x:c>
      <x:c r="B1990" s="2" t="str">
        <x:v>Professional services</x:v>
      </x:c>
      <x:c r="C1990" s="12" t="str">
        <x:v>Indore</x:v>
      </x:c>
      <x:c r="D1990" s="12" t="str">
        <x:v>MAIN-274</x:v>
      </x:c>
      <x:c r="E1990" s="12" t="str">
        <x:v>Princess Sky Line</x:v>
      </x:c>
      <x:c r="F1990" s="11" t="n">
        <x:v>1</x:v>
      </x:c>
      <x:c r="G1990" s="11" t="n">
        <x:v>1</x:v>
      </x:c>
      <x:c r="H1990" s="11" t="n">
        <x:v>0</x:v>
      </x:c>
      <x:c r="I1990" s="17" t="n">
        <x:f>INDEX('Costing'!$P$9:$P$492,MATCH(D1990,'Costing'!$A$9:$A$492,0))</x:f>
        <x:v>40000</x:v>
      </x:c>
      <x:c r="J1990" s="17" t="n">
        <x:f>ROUND(I1990*'Costing'!$C$4,2)</x:f>
        <x:v>7200</x:v>
      </x:c>
      <x:c r="K1990" s="17" t="n">
        <x:f>I1990+J1990</x:f>
        <x:v>47200</x:v>
      </x:c>
    </x:row>
    <x:row r="1991" ht="46" customHeight="1">
      <x:c r="A1991" s="2" t="str">
        <x:v>Sector</x:v>
      </x:c>
      <x:c r="B1991" s="2" t="str">
        <x:v>Professional services</x:v>
      </x:c>
      <x:c r="C1991" s="12" t="str">
        <x:v>Indore</x:v>
      </x:c>
      <x:c r="D1991" s="12" t="str">
        <x:v>MAIN-275</x:v>
      </x:c>
      <x:c r="E1991" s="12" t="str">
        <x:v>Princess Sky Park</x:v>
      </x:c>
      <x:c r="F1991" s="11" t="n">
        <x:v>1</x:v>
      </x:c>
      <x:c r="G1991" s="11" t="n">
        <x:v>1</x:v>
      </x:c>
      <x:c r="H1991" s="11" t="n">
        <x:v>0</x:v>
      </x:c>
      <x:c r="I1991" s="17" t="n">
        <x:f>INDEX('Costing'!$P$9:$P$492,MATCH(D1991,'Costing'!$A$9:$A$492,0))</x:f>
        <x:v>40000</x:v>
      </x:c>
      <x:c r="J1991" s="17" t="n">
        <x:f>ROUND(I1991*'Costing'!$C$4,2)</x:f>
        <x:v>7200</x:v>
      </x:c>
      <x:c r="K1991" s="17" t="n">
        <x:f>I1991+J1991</x:f>
        <x:v>47200</x:v>
      </x:c>
    </x:row>
    <x:row r="1992" ht="46" customHeight="1">
      <x:c r="A1992" s="2" t="str">
        <x:v>Sector</x:v>
      </x:c>
      <x:c r="B1992" s="2" t="str">
        <x:v>Professional services</x:v>
      </x:c>
      <x:c r="C1992" s="12" t="str">
        <x:v>Kochi</x:v>
      </x:c>
      <x:c r="D1992" s="12" t="str">
        <x:v>MAIN-277</x:v>
      </x:c>
      <x:c r="E1992" s="12" t="str">
        <x:v>Awfis - Mezmatrix</x:v>
      </x:c>
      <x:c r="F1992" s="11" t="n">
        <x:v>2</x:v>
      </x:c>
      <x:c r="G1992" s="11" t="n">
        <x:v>2</x:v>
      </x:c>
      <x:c r="H1992" s="11" t="n">
        <x:v>0</x:v>
      </x:c>
      <x:c r="I1992" s="17" t="n">
        <x:f>INDEX('Costing'!$P$9:$P$492,MATCH(D1992,'Costing'!$A$9:$A$492,0))</x:f>
        <x:v>30000</x:v>
      </x:c>
      <x:c r="J1992" s="17" t="n">
        <x:f>ROUND(I1992*'Costing'!$C$4,2)</x:f>
        <x:v>5400</x:v>
      </x:c>
      <x:c r="K1992" s="17" t="n">
        <x:f>I1992+J1992</x:f>
        <x:v>35400</x:v>
      </x:c>
    </x:row>
    <x:row r="1993" ht="46" customHeight="1">
      <x:c r="A1993" s="2" t="str">
        <x:v>Sector</x:v>
      </x:c>
      <x:c r="B1993" s="2" t="str">
        <x:v>Professional services</x:v>
      </x:c>
      <x:c r="C1993" s="12" t="str">
        <x:v>Kolkata</x:v>
      </x:c>
      <x:c r="D1993" s="12" t="str">
        <x:v>MAIN-280</x:v>
      </x:c>
      <x:c r="E1993" s="12" t="str">
        <x:v>Awfis - Eco Center</x:v>
      </x:c>
      <x:c r="F1993" s="11" t="n">
        <x:v>2</x:v>
      </x:c>
      <x:c r="G1993" s="11" t="n">
        <x:v>2</x:v>
      </x:c>
      <x:c r="H1993" s="11" t="n">
        <x:v>0</x:v>
      </x:c>
      <x:c r="I1993" s="17" t="n">
        <x:f>INDEX('Costing'!$P$9:$P$492,MATCH(D1993,'Costing'!$A$9:$A$492,0))</x:f>
        <x:v>30000</x:v>
      </x:c>
      <x:c r="J1993" s="17" t="n">
        <x:f>ROUND(I1993*'Costing'!$C$4,2)</x:f>
        <x:v>5400</x:v>
      </x:c>
      <x:c r="K1993" s="17" t="n">
        <x:f>I1993+J1993</x:f>
        <x:v>35400</x:v>
      </x:c>
    </x:row>
    <x:row r="1994" ht="46" customHeight="1">
      <x:c r="A1994" s="2" t="str">
        <x:v>Sector</x:v>
      </x:c>
      <x:c r="B1994" s="2" t="str">
        <x:v>Professional services</x:v>
      </x:c>
      <x:c r="C1994" s="12" t="str">
        <x:v>Kolkata</x:v>
      </x:c>
      <x:c r="D1994" s="12" t="str">
        <x:v>MAIN-286</x:v>
      </x:c>
      <x:c r="E1994" s="12" t="str">
        <x:v>Awfis GWS</x:v>
      </x:c>
      <x:c r="F1994" s="11" t="n">
        <x:v>8</x:v>
      </x:c>
      <x:c r="G1994" s="11" t="n">
        <x:v>8</x:v>
      </x:c>
      <x:c r="H1994" s="11" t="n">
        <x:v>0</x:v>
      </x:c>
      <x:c r="I1994" s="17" t="n">
        <x:f>INDEX('Costing'!$P$9:$P$492,MATCH(D1994,'Costing'!$A$9:$A$492,0))</x:f>
        <x:v>120000</x:v>
      </x:c>
      <x:c r="J1994" s="17" t="n">
        <x:f>ROUND(I1994*'Costing'!$C$4,2)</x:f>
        <x:v>21600</x:v>
      </x:c>
      <x:c r="K1994" s="17" t="n">
        <x:f>I1994+J1994</x:f>
        <x:v>141600</x:v>
      </x:c>
    </x:row>
    <x:row r="1995" ht="46" customHeight="1">
      <x:c r="A1995" s="2" t="str">
        <x:v>Sector</x:v>
      </x:c>
      <x:c r="B1995" s="2" t="str">
        <x:v>Professional services</x:v>
      </x:c>
      <x:c r="C1995" s="12" t="str">
        <x:v>Lucknow</x:v>
      </x:c>
      <x:c r="D1995" s="12" t="str">
        <x:v>MAIN-290</x:v>
      </x:c>
      <x:c r="E1995" s="12" t="str">
        <x:v>Eldeco Elegente</x:v>
      </x:c>
      <x:c r="F1995" s="11" t="n">
        <x:v>1</x:v>
      </x:c>
      <x:c r="G1995" s="11" t="n">
        <x:v>1</x:v>
      </x:c>
      <x:c r="H1995" s="11" t="n">
        <x:v>0</x:v>
      </x:c>
      <x:c r="I1995" s="17" t="n">
        <x:f>INDEX('Costing'!$P$9:$P$492,MATCH(D1995,'Costing'!$A$9:$A$492,0))</x:f>
        <x:v>40000</x:v>
      </x:c>
      <x:c r="J1995" s="17" t="n">
        <x:f>ROUND(I1995*'Costing'!$C$4,2)</x:f>
        <x:v>7200</x:v>
      </x:c>
      <x:c r="K1995" s="17" t="n">
        <x:f>I1995+J1995</x:f>
        <x:v>47200</x:v>
      </x:c>
    </x:row>
    <x:row r="1996" ht="46" customHeight="1">
      <x:c r="A1996" s="2" t="str">
        <x:v>Sector</x:v>
      </x:c>
      <x:c r="B1996" s="2" t="str">
        <x:v>Professional services</x:v>
      </x:c>
      <x:c r="C1996" s="12" t="str">
        <x:v>Mumbai</x:v>
      </x:c>
      <x:c r="D1996" s="12" t="str">
        <x:v>MAIN-294</x:v>
      </x:c>
      <x:c r="E1996" s="12" t="str">
        <x:v>Avior Corporate Park</x:v>
      </x:c>
      <x:c r="F1996" s="11" t="n">
        <x:v>39</x:v>
      </x:c>
      <x:c r="G1996" s="11" t="n">
        <x:v>39</x:v>
      </x:c>
      <x:c r="H1996" s="11" t="n">
        <x:v>0</x:v>
      </x:c>
      <x:c r="I1996" s="17" t="n">
        <x:f>INDEX('Costing'!$P$9:$P$492,MATCH(D1996,'Costing'!$A$9:$A$492,0))</x:f>
        <x:v>585000</x:v>
      </x:c>
      <x:c r="J1996" s="17" t="n">
        <x:f>ROUND(I1996*'Costing'!$C$4,2)</x:f>
        <x:v>105300</x:v>
      </x:c>
      <x:c r="K1996" s="17" t="n">
        <x:f>I1996+J1996</x:f>
        <x:v>690300</x:v>
      </x:c>
    </x:row>
    <x:row r="1997" ht="46" customHeight="1">
      <x:c r="A1997" s="2" t="str">
        <x:v>Sector</x:v>
      </x:c>
      <x:c r="B1997" s="2" t="str">
        <x:v>Professional services</x:v>
      </x:c>
      <x:c r="C1997" s="12" t="str">
        <x:v>Mumbai</x:v>
      </x:c>
      <x:c r="D1997" s="12" t="str">
        <x:v>MAIN-296</x:v>
      </x:c>
      <x:c r="E1997" s="12" t="str">
        <x:v>Awfis - Cyber One</x:v>
      </x:c>
      <x:c r="F1997" s="11" t="n">
        <x:v>1</x:v>
      </x:c>
      <x:c r="G1997" s="11" t="n">
        <x:v>1</x:v>
      </x:c>
      <x:c r="H1997" s="11" t="n">
        <x:v>0</x:v>
      </x:c>
      <x:c r="I1997" s="17" t="n">
        <x:f>INDEX('Costing'!$P$9:$P$492,MATCH(D1997,'Costing'!$A$9:$A$492,0))</x:f>
        <x:v>15000</x:v>
      </x:c>
      <x:c r="J1997" s="17" t="n">
        <x:f>ROUND(I1997*'Costing'!$C$4,2)</x:f>
        <x:v>2700</x:v>
      </x:c>
      <x:c r="K1997" s="17" t="n">
        <x:f>I1997+J1997</x:f>
        <x:v>17700</x:v>
      </x:c>
    </x:row>
    <x:row r="1998" ht="46" customHeight="1">
      <x:c r="A1998" s="2" t="str">
        <x:v>Sector</x:v>
      </x:c>
      <x:c r="B1998" s="2" t="str">
        <x:v>Professional services</x:v>
      </x:c>
      <x:c r="C1998" s="12" t="str">
        <x:v>Mumbai</x:v>
      </x:c>
      <x:c r="D1998" s="12" t="str">
        <x:v>MAIN-298</x:v>
      </x:c>
      <x:c r="E1998" s="12" t="str">
        <x:v>Awfis - Kalpataru Prime</x:v>
      </x:c>
      <x:c r="F1998" s="11" t="n">
        <x:v>2</x:v>
      </x:c>
      <x:c r="G1998" s="11" t="n">
        <x:v>2</x:v>
      </x:c>
      <x:c r="H1998" s="11" t="n">
        <x:v>0</x:v>
      </x:c>
      <x:c r="I1998" s="17" t="n">
        <x:f>INDEX('Costing'!$P$9:$P$492,MATCH(D1998,'Costing'!$A$9:$A$492,0))</x:f>
        <x:v>30000</x:v>
      </x:c>
      <x:c r="J1998" s="17" t="n">
        <x:f>ROUND(I1998*'Costing'!$C$4,2)</x:f>
        <x:v>5400</x:v>
      </x:c>
      <x:c r="K1998" s="17" t="n">
        <x:f>I1998+J1998</x:f>
        <x:v>35400</x:v>
      </x:c>
    </x:row>
    <x:row r="1999" ht="46" customHeight="1">
      <x:c r="A1999" s="2" t="str">
        <x:v>Sector</x:v>
      </x:c>
      <x:c r="B1999" s="2" t="str">
        <x:v>Professional services</x:v>
      </x:c>
      <x:c r="C1999" s="12" t="str">
        <x:v>Mumbai</x:v>
      </x:c>
      <x:c r="D1999" s="12" t="str">
        <x:v>MAIN-300</x:v>
      </x:c>
      <x:c r="E1999" s="12" t="str">
        <x:v>Awfis - Lokhandwala Aston Building</x:v>
      </x:c>
      <x:c r="F1999" s="11" t="n">
        <x:v>1</x:v>
      </x:c>
      <x:c r="G1999" s="11" t="n">
        <x:v>1</x:v>
      </x:c>
      <x:c r="H1999" s="11" t="n">
        <x:v>0</x:v>
      </x:c>
      <x:c r="I1999" s="17" t="n">
        <x:f>INDEX('Costing'!$P$9:$P$492,MATCH(D1999,'Costing'!$A$9:$A$492,0))</x:f>
        <x:v>15000</x:v>
      </x:c>
      <x:c r="J1999" s="17" t="n">
        <x:f>ROUND(I1999*'Costing'!$C$4,2)</x:f>
        <x:v>2700</x:v>
      </x:c>
      <x:c r="K1999" s="17" t="n">
        <x:f>I1999+J1999</x:f>
        <x:v>17700</x:v>
      </x:c>
    </x:row>
    <x:row r="2000" ht="46" customHeight="1">
      <x:c r="A2000" s="2" t="str">
        <x:v>Sector</x:v>
      </x:c>
      <x:c r="B2000" s="2" t="str">
        <x:v>Professional services</x:v>
      </x:c>
      <x:c r="C2000" s="12" t="str">
        <x:v>Mumbai</x:v>
      </x:c>
      <x:c r="D2000" s="12" t="str">
        <x:v>MAIN-304</x:v>
      </x:c>
      <x:c r="E2000" s="12" t="str">
        <x:v>Awfis - Skyline Icon</x:v>
      </x:c>
      <x:c r="F2000" s="11" t="n">
        <x:v>2</x:v>
      </x:c>
      <x:c r="G2000" s="11" t="n">
        <x:v>2</x:v>
      </x:c>
      <x:c r="H2000" s="11" t="n">
        <x:v>0</x:v>
      </x:c>
      <x:c r="I2000" s="17" t="n">
        <x:f>INDEX('Costing'!$P$9:$P$492,MATCH(D2000,'Costing'!$A$9:$A$492,0))</x:f>
        <x:v>30000</x:v>
      </x:c>
      <x:c r="J2000" s="17" t="n">
        <x:f>ROUND(I2000*'Costing'!$C$4,2)</x:f>
        <x:v>5400</x:v>
      </x:c>
      <x:c r="K2000" s="17" t="n">
        <x:f>I2000+J2000</x:f>
        <x:v>35400</x:v>
      </x:c>
    </x:row>
    <x:row r="2001" ht="46" customHeight="1">
      <x:c r="A2001" s="2" t="str">
        <x:v>Sector</x:v>
      </x:c>
      <x:c r="B2001" s="2" t="str">
        <x:v>Professional services</x:v>
      </x:c>
      <x:c r="C2001" s="12" t="str">
        <x:v>Mumbai</x:v>
      </x:c>
      <x:c r="D2001" s="12" t="str">
        <x:v>MAIN-318</x:v>
      </x:c>
      <x:c r="E2001" s="12" t="str">
        <x:v>Kaledonia (Redbrick Offices)</x:v>
      </x:c>
      <x:c r="F2001" s="11" t="n">
        <x:v>2</x:v>
      </x:c>
      <x:c r="G2001" s="11" t="n">
        <x:v>2</x:v>
      </x:c>
      <x:c r="H2001" s="11" t="n">
        <x:v>0</x:v>
      </x:c>
      <x:c r="I2001" s="17" t="n">
        <x:f>INDEX('Costing'!$P$9:$P$492,MATCH(D2001,'Costing'!$A$9:$A$492,0))</x:f>
        <x:v>30000</x:v>
      </x:c>
      <x:c r="J2001" s="17" t="n">
        <x:f>ROUND(I2001*'Costing'!$C$4,2)</x:f>
        <x:v>5400</x:v>
      </x:c>
      <x:c r="K2001" s="17" t="n">
        <x:f>I2001+J2001</x:f>
        <x:v>35400</x:v>
      </x:c>
    </x:row>
    <x:row r="2002" ht="46" customHeight="1">
      <x:c r="A2002" s="2" t="str">
        <x:v>Sector</x:v>
      </x:c>
      <x:c r="B2002" s="2" t="str">
        <x:v>Professional services</x:v>
      </x:c>
      <x:c r="C2002" s="12" t="str">
        <x:v>Mumbai</x:v>
      </x:c>
      <x:c r="D2002" s="12" t="str">
        <x:v>MAIN-321</x:v>
      </x:c>
      <x:c r="E2002" s="12" t="str">
        <x:v>Lodha Ithink (Redbrick Offices)</x:v>
      </x:c>
      <x:c r="F2002" s="11" t="n">
        <x:v>1</x:v>
      </x:c>
      <x:c r="G2002" s="11" t="n">
        <x:v>1</x:v>
      </x:c>
      <x:c r="H2002" s="11" t="n">
        <x:v>0</x:v>
      </x:c>
      <x:c r="I2002" s="17" t="n">
        <x:f>INDEX('Costing'!$P$9:$P$492,MATCH(D2002,'Costing'!$A$9:$A$492,0))</x:f>
        <x:v>15000</x:v>
      </x:c>
      <x:c r="J2002" s="17" t="n">
        <x:f>ROUND(I2002*'Costing'!$C$4,2)</x:f>
        <x:v>2700</x:v>
      </x:c>
      <x:c r="K2002" s="17" t="n">
        <x:f>I2002+J2002</x:f>
        <x:v>17700</x:v>
      </x:c>
    </x:row>
    <x:row r="2003" ht="46" customHeight="1">
      <x:c r="A2003" s="2" t="str">
        <x:v>Sector</x:v>
      </x:c>
      <x:c r="B2003" s="2" t="str">
        <x:v>Professional services</x:v>
      </x:c>
      <x:c r="C2003" s="12" t="str">
        <x:v>Mumbai</x:v>
      </x:c>
      <x:c r="D2003" s="12" t="str">
        <x:v>MAIN-323</x:v>
      </x:c>
      <x:c r="E2003" s="12" t="str">
        <x:v>Mumbai - BKC</x:v>
      </x:c>
      <x:c r="F2003" s="11" t="n">
        <x:v>1</x:v>
      </x:c>
      <x:c r="G2003" s="11" t="n">
        <x:v>1</x:v>
      </x:c>
      <x:c r="H2003" s="11" t="n">
        <x:v>0</x:v>
      </x:c>
      <x:c r="I2003" s="17" t="n">
        <x:f>INDEX('Costing'!$P$9:$P$492,MATCH(D2003,'Costing'!$A$9:$A$492,0))</x:f>
        <x:v>15000</x:v>
      </x:c>
      <x:c r="J2003" s="17" t="n">
        <x:f>ROUND(I2003*'Costing'!$C$4,2)</x:f>
        <x:v>2700</x:v>
      </x:c>
      <x:c r="K2003" s="17" t="n">
        <x:f>I2003+J2003</x:f>
        <x:v>17700</x:v>
      </x:c>
    </x:row>
    <x:row r="2004" ht="46" customHeight="1">
      <x:c r="A2004" s="2" t="str">
        <x:v>Sector</x:v>
      </x:c>
      <x:c r="B2004" s="2" t="str">
        <x:v>Professional services</x:v>
      </x:c>
      <x:c r="C2004" s="12" t="str">
        <x:v>Mumbai</x:v>
      </x:c>
      <x:c r="D2004" s="12" t="str">
        <x:v>MAIN-327</x:v>
      </x:c>
      <x:c r="E2004" s="12" t="str">
        <x:v>Nucleus - One World Center</x:v>
      </x:c>
      <x:c r="F2004" s="11" t="n">
        <x:v>8</x:v>
      </x:c>
      <x:c r="G2004" s="11" t="n">
        <x:v>8</x:v>
      </x:c>
      <x:c r="H2004" s="11" t="n">
        <x:v>0</x:v>
      </x:c>
      <x:c r="I2004" s="17" t="n">
        <x:f>INDEX('Costing'!$P$9:$P$492,MATCH(D2004,'Costing'!$A$9:$A$492,0))</x:f>
        <x:v>320000</x:v>
      </x:c>
      <x:c r="J2004" s="17" t="n">
        <x:f>ROUND(I2004*'Costing'!$C$4,2)</x:f>
        <x:v>57600</x:v>
      </x:c>
      <x:c r="K2004" s="17" t="n">
        <x:f>I2004+J2004</x:f>
        <x:v>377600</x:v>
      </x:c>
    </x:row>
    <x:row r="2005" ht="46" customHeight="1">
      <x:c r="A2005" s="2" t="str">
        <x:v>Sector</x:v>
      </x:c>
      <x:c r="B2005" s="2" t="str">
        <x:v>Professional services</x:v>
      </x:c>
      <x:c r="C2005" s="12" t="str">
        <x:v>Mumbai</x:v>
      </x:c>
      <x:c r="D2005" s="12" t="str">
        <x:v>MAIN-333</x:v>
      </x:c>
      <x:c r="E2005" s="12" t="str">
        <x:v>Oyo Workspace - Time Square</x:v>
      </x:c>
      <x:c r="F2005" s="11" t="n">
        <x:v>1</x:v>
      </x:c>
      <x:c r="G2005" s="11" t="n">
        <x:v>1</x:v>
      </x:c>
      <x:c r="H2005" s="11" t="n">
        <x:v>0</x:v>
      </x:c>
      <x:c r="I2005" s="17" t="n">
        <x:f>INDEX('Costing'!$P$9:$P$492,MATCH(D2005,'Costing'!$A$9:$A$492,0))</x:f>
        <x:v>15000</x:v>
      </x:c>
      <x:c r="J2005" s="17" t="n">
        <x:f>ROUND(I2005*'Costing'!$C$4,2)</x:f>
        <x:v>2700</x:v>
      </x:c>
      <x:c r="K2005" s="17" t="n">
        <x:f>I2005+J2005</x:f>
        <x:v>17700</x:v>
      </x:c>
    </x:row>
    <x:row r="2006" ht="46" customHeight="1">
      <x:c r="A2006" s="2" t="str">
        <x:v>Sector</x:v>
      </x:c>
      <x:c r="B2006" s="2" t="str">
        <x:v>Professional services</x:v>
      </x:c>
      <x:c r="C2006" s="12" t="str">
        <x:v>Mumbai</x:v>
      </x:c>
      <x:c r="D2006" s="12" t="str">
        <x:v>MAIN-338</x:v>
      </x:c>
      <x:c r="E2006" s="12" t="str">
        <x:v>Raheja Mindspaces - Airoli West</x:v>
      </x:c>
      <x:c r="F2006" s="11" t="n">
        <x:v>5</x:v>
      </x:c>
      <x:c r="G2006" s="11" t="n">
        <x:v>5</x:v>
      </x:c>
      <x:c r="H2006" s="11" t="n">
        <x:v>0</x:v>
      </x:c>
      <x:c r="I2006" s="17" t="n">
        <x:f>INDEX('Costing'!$P$9:$P$492,MATCH(D2006,'Costing'!$A$9:$A$492,0))</x:f>
        <x:v>200000</x:v>
      </x:c>
      <x:c r="J2006" s="17" t="n">
        <x:f>ROUND(I2006*'Costing'!$C$4,2)</x:f>
        <x:v>36000</x:v>
      </x:c>
      <x:c r="K2006" s="17" t="n">
        <x:f>I2006+J2006</x:f>
        <x:v>236000</x:v>
      </x:c>
    </x:row>
    <x:row r="2007" ht="46" customHeight="1">
      <x:c r="A2007" s="2" t="str">
        <x:v>Sector</x:v>
      </x:c>
      <x:c r="B2007" s="2" t="str">
        <x:v>Professional services</x:v>
      </x:c>
      <x:c r="C2007" s="12" t="str">
        <x:v>Mumbai</x:v>
      </x:c>
      <x:c r="D2007" s="12" t="str">
        <x:v>MAIN-347</x:v>
      </x:c>
      <x:c r="E2007" s="12" t="str">
        <x:v>Symphony IT Park (Redbrick Offices)</x:v>
      </x:c>
      <x:c r="F2007" s="11" t="n">
        <x:v>2</x:v>
      </x:c>
      <x:c r="G2007" s="11" t="n">
        <x:v>2</x:v>
      </x:c>
      <x:c r="H2007" s="11" t="n">
        <x:v>0</x:v>
      </x:c>
      <x:c r="I2007" s="17" t="n">
        <x:f>INDEX('Costing'!$P$9:$P$492,MATCH(D2007,'Costing'!$A$9:$A$492,0))</x:f>
        <x:v>24000</x:v>
      </x:c>
      <x:c r="J2007" s="17" t="n">
        <x:f>ROUND(I2007*'Costing'!$C$4,2)</x:f>
        <x:v>4320</x:v>
      </x:c>
      <x:c r="K2007" s="17" t="n">
        <x:f>I2007+J2007</x:f>
        <x:v>28320</x:v>
      </x:c>
    </x:row>
    <x:row r="2008" ht="46" customHeight="1">
      <x:c r="A2008" s="2" t="str">
        <x:v>Sector</x:v>
      </x:c>
      <x:c r="B2008" s="2" t="str">
        <x:v>Professional services</x:v>
      </x:c>
      <x:c r="C2008" s="12" t="str">
        <x:v>Mumbai</x:v>
      </x:c>
      <x:c r="D2008" s="12" t="str">
        <x:v>MAIN-348</x:v>
      </x:c>
      <x:c r="E2008" s="12" t="str">
        <x:v>TEX Centre (Redbrick Offices)</x:v>
      </x:c>
      <x:c r="F2008" s="11" t="n">
        <x:v>1</x:v>
      </x:c>
      <x:c r="G2008" s="11" t="n">
        <x:v>1</x:v>
      </x:c>
      <x:c r="H2008" s="11" t="n">
        <x:v>0</x:v>
      </x:c>
      <x:c r="I2008" s="17" t="n">
        <x:f>INDEX('Costing'!$P$9:$P$492,MATCH(D2008,'Costing'!$A$9:$A$492,0))</x:f>
        <x:v>15000</x:v>
      </x:c>
      <x:c r="J2008" s="17" t="n">
        <x:f>ROUND(I2008*'Costing'!$C$4,2)</x:f>
        <x:v>2700</x:v>
      </x:c>
      <x:c r="K2008" s="17" t="n">
        <x:f>I2008+J2008</x:f>
        <x:v>17700</x:v>
      </x:c>
    </x:row>
    <x:row r="2009" ht="46" customHeight="1">
      <x:c r="A2009" s="2" t="str">
        <x:v>Sector</x:v>
      </x:c>
      <x:c r="B2009" s="2" t="str">
        <x:v>Professional services</x:v>
      </x:c>
      <x:c r="C2009" s="12" t="str">
        <x:v>Mumbai</x:v>
      </x:c>
      <x:c r="D2009" s="12" t="str">
        <x:v>MAIN-350</x:v>
      </x:c>
      <x:c r="E2009" s="12" t="str">
        <x:v>The Summit Business Park Premises</x:v>
      </x:c>
      <x:c r="F2009" s="11" t="n">
        <x:v>70</x:v>
      </x:c>
      <x:c r="G2009" s="11" t="n">
        <x:v>70</x:v>
      </x:c>
      <x:c r="H2009" s="11" t="n">
        <x:v>0</x:v>
      </x:c>
      <x:c r="I2009" s="17" t="n">
        <x:f>INDEX('Costing'!$P$9:$P$492,MATCH(D2009,'Costing'!$A$9:$A$492,0))</x:f>
        <x:v>1050000</x:v>
      </x:c>
      <x:c r="J2009" s="17" t="n">
        <x:f>ROUND(I2009*'Costing'!$C$4,2)</x:f>
        <x:v>189000</x:v>
      </x:c>
      <x:c r="K2009" s="17" t="n">
        <x:f>I2009+J2009</x:f>
        <x:v>1239000</x:v>
      </x:c>
    </x:row>
    <x:row r="2010" ht="46" customHeight="1">
      <x:c r="A2010" s="2" t="str">
        <x:v>Sector</x:v>
      </x:c>
      <x:c r="B2010" s="2" t="str">
        <x:v>Professional services</x:v>
      </x:c>
      <x:c r="C2010" s="12" t="str">
        <x:v>Mumbai</x:v>
      </x:c>
      <x:c r="D2010" s="12" t="str">
        <x:v>MAIN-353</x:v>
      </x:c>
      <x:c r="E2010" s="12" t="str">
        <x:v>WeWork - BKC</x:v>
      </x:c>
      <x:c r="F2010" s="11" t="n">
        <x:v>17</x:v>
      </x:c>
      <x:c r="G2010" s="11" t="n">
        <x:v>17</x:v>
      </x:c>
      <x:c r="H2010" s="11" t="n">
        <x:v>0</x:v>
      </x:c>
      <x:c r="I2010" s="17" t="n">
        <x:f>INDEX('Costing'!$P$9:$P$492,MATCH(D2010,'Costing'!$A$9:$A$492,0))</x:f>
        <x:v>425000</x:v>
      </x:c>
      <x:c r="J2010" s="17" t="n">
        <x:f>ROUND(I2010*'Costing'!$C$4,2)</x:f>
        <x:v>76500</x:v>
      </x:c>
      <x:c r="K2010" s="17" t="n">
        <x:f>I2010+J2010</x:f>
        <x:v>501500</x:v>
      </x:c>
    </x:row>
    <x:row r="2011" ht="46" customHeight="1">
      <x:c r="A2011" s="2" t="str">
        <x:v>Sector</x:v>
      </x:c>
      <x:c r="B2011" s="2" t="str">
        <x:v>Professional services</x:v>
      </x:c>
      <x:c r="C2011" s="12" t="str">
        <x:v>Mumbai</x:v>
      </x:c>
      <x:c r="D2011" s="12" t="str">
        <x:v>MAIN-355</x:v>
      </x:c>
      <x:c r="E2011" s="12" t="str">
        <x:v>WeWork - Nesco IT Park</x:v>
      </x:c>
      <x:c r="F2011" s="11" t="n">
        <x:v>4</x:v>
      </x:c>
      <x:c r="G2011" s="11" t="n">
        <x:v>4</x:v>
      </x:c>
      <x:c r="H2011" s="11" t="n">
        <x:v>0</x:v>
      </x:c>
      <x:c r="I2011" s="17" t="n">
        <x:f>INDEX('Costing'!$P$9:$P$492,MATCH(D2011,'Costing'!$A$9:$A$492,0))</x:f>
        <x:v>100000</x:v>
      </x:c>
      <x:c r="J2011" s="17" t="n">
        <x:f>ROUND(I2011*'Costing'!$C$4,2)</x:f>
        <x:v>18000</x:v>
      </x:c>
      <x:c r="K2011" s="17" t="n">
        <x:f>I2011+J2011</x:f>
        <x:v>118000</x:v>
      </x:c>
    </x:row>
    <x:row r="2012" ht="46" customHeight="1">
      <x:c r="A2012" s="2" t="str">
        <x:v>Sector</x:v>
      </x:c>
      <x:c r="B2012" s="2" t="str">
        <x:v>Professional services</x:v>
      </x:c>
      <x:c r="C2012" s="12" t="str">
        <x:v>Mumbai</x:v>
      </x:c>
      <x:c r="D2012" s="12" t="str">
        <x:v>MAIN-356</x:v>
      </x:c>
      <x:c r="E2012" s="12" t="str">
        <x:v>WeWork - Oberoi Commerz</x:v>
      </x:c>
      <x:c r="F2012" s="11" t="n">
        <x:v>8</x:v>
      </x:c>
      <x:c r="G2012" s="11" t="n">
        <x:v>8</x:v>
      </x:c>
      <x:c r="H2012" s="11" t="n">
        <x:v>0</x:v>
      </x:c>
      <x:c r="I2012" s="17" t="n">
        <x:f>INDEX('Costing'!$P$9:$P$492,MATCH(D2012,'Costing'!$A$9:$A$492,0))</x:f>
        <x:v>200000</x:v>
      </x:c>
      <x:c r="J2012" s="17" t="n">
        <x:f>ROUND(I2012*'Costing'!$C$4,2)</x:f>
        <x:v>36000</x:v>
      </x:c>
      <x:c r="K2012" s="17" t="n">
        <x:f>I2012+J2012</x:f>
        <x:v>236000</x:v>
      </x:c>
    </x:row>
    <x:row r="2013" ht="46" customHeight="1">
      <x:c r="A2013" s="2" t="str">
        <x:v>Sector</x:v>
      </x:c>
      <x:c r="B2013" s="2" t="str">
        <x:v>Professional services</x:v>
      </x:c>
      <x:c r="C2013" s="12" t="str">
        <x:v>Mumbai</x:v>
      </x:c>
      <x:c r="D2013" s="12" t="str">
        <x:v>MAIN-357</x:v>
      </x:c>
      <x:c r="E2013" s="12" t="str">
        <x:v>Wework - Raheja Platinum</x:v>
      </x:c>
      <x:c r="F2013" s="11" t="n">
        <x:v>19</x:v>
      </x:c>
      <x:c r="G2013" s="11" t="n">
        <x:v>19</x:v>
      </x:c>
      <x:c r="H2013" s="11" t="n">
        <x:v>0</x:v>
      </x:c>
      <x:c r="I2013" s="17" t="n">
        <x:f>INDEX('Costing'!$P$9:$P$492,MATCH(D2013,'Costing'!$A$9:$A$492,0))</x:f>
        <x:v>475000</x:v>
      </x:c>
      <x:c r="J2013" s="17" t="n">
        <x:f>ROUND(I2013*'Costing'!$C$4,2)</x:f>
        <x:v>85500</x:v>
      </x:c>
      <x:c r="K2013" s="17" t="n">
        <x:f>I2013+J2013</x:f>
        <x:v>560500</x:v>
      </x:c>
    </x:row>
    <x:row r="2014" ht="46" customHeight="1">
      <x:c r="A2014" s="2" t="str">
        <x:v>Sector</x:v>
      </x:c>
      <x:c r="B2014" s="2" t="str">
        <x:v>Professional services</x:v>
      </x:c>
      <x:c r="C2014" s="12" t="str">
        <x:v>Mumbai</x:v>
      </x:c>
      <x:c r="D2014" s="12" t="str">
        <x:v>MAIN-359</x:v>
      </x:c>
      <x:c r="E2014" s="12" t="str">
        <x:v>Wework - Vaswani Chambers</x:v>
      </x:c>
      <x:c r="F2014" s="11" t="n">
        <x:v>3</x:v>
      </x:c>
      <x:c r="G2014" s="11" t="n">
        <x:v>3</x:v>
      </x:c>
      <x:c r="H2014" s="11" t="n">
        <x:v>0</x:v>
      </x:c>
      <x:c r="I2014" s="17" t="n">
        <x:f>INDEX('Costing'!$P$9:$P$492,MATCH(D2014,'Costing'!$A$9:$A$492,0))</x:f>
        <x:v>75000</x:v>
      </x:c>
      <x:c r="J2014" s="17" t="n">
        <x:f>ROUND(I2014*'Costing'!$C$4,2)</x:f>
        <x:v>13500</x:v>
      </x:c>
      <x:c r="K2014" s="17" t="n">
        <x:f>I2014+J2014</x:f>
        <x:v>88500</x:v>
      </x:c>
    </x:row>
    <x:row r="2015" ht="46" customHeight="1">
      <x:c r="A2015" s="2" t="str">
        <x:v>Sector</x:v>
      </x:c>
      <x:c r="B2015" s="2" t="str">
        <x:v>Professional services</x:v>
      </x:c>
      <x:c r="C2015" s="12" t="str">
        <x:v>Mumbai</x:v>
      </x:c>
      <x:c r="D2015" s="12" t="str">
        <x:v>MAIN-361</x:v>
      </x:c>
      <x:c r="E2015" s="12" t="str">
        <x:v>WeWork - Vikhroil 247</x:v>
      </x:c>
      <x:c r="F2015" s="11" t="n">
        <x:v>4</x:v>
      </x:c>
      <x:c r="G2015" s="11" t="n">
        <x:v>4</x:v>
      </x:c>
      <x:c r="H2015" s="11" t="n">
        <x:v>0</x:v>
      </x:c>
      <x:c r="I2015" s="17" t="n">
        <x:f>INDEX('Costing'!$P$9:$P$492,MATCH(D2015,'Costing'!$A$9:$A$492,0))</x:f>
        <x:v>100000</x:v>
      </x:c>
      <x:c r="J2015" s="17" t="n">
        <x:f>ROUND(I2015*'Costing'!$C$4,2)</x:f>
        <x:v>18000</x:v>
      </x:c>
      <x:c r="K2015" s="17" t="n">
        <x:f>I2015+J2015</x:f>
        <x:v>118000</x:v>
      </x:c>
    </x:row>
    <x:row r="2016" ht="46" customHeight="1">
      <x:c r="A2016" s="2" t="str">
        <x:v>Sector</x:v>
      </x:c>
      <x:c r="B2016" s="2" t="str">
        <x:v>Professional services</x:v>
      </x:c>
      <x:c r="C2016" s="12" t="str">
        <x:v>Pune</x:v>
      </x:c>
      <x:c r="D2016" s="12" t="str">
        <x:v>MAIN-381</x:v>
      </x:c>
      <x:c r="E2016" s="12" t="str">
        <x:v>Amar Pristine Tech Park</x:v>
      </x:c>
      <x:c r="F2016" s="11" t="n">
        <x:v>4</x:v>
      </x:c>
      <x:c r="G2016" s="11" t="n">
        <x:v>4</x:v>
      </x:c>
      <x:c r="H2016" s="11" t="n">
        <x:v>0</x:v>
      </x:c>
      <x:c r="I2016" s="17" t="n">
        <x:f>INDEX('Costing'!$P$9:$P$492,MATCH(D2016,'Costing'!$A$9:$A$492,0))</x:f>
        <x:v>80000</x:v>
      </x:c>
      <x:c r="J2016" s="17" t="n">
        <x:f>ROUND(I2016*'Costing'!$C$4,2)</x:f>
        <x:v>14400</x:v>
      </x:c>
      <x:c r="K2016" s="17" t="n">
        <x:f>I2016+J2016</x:f>
        <x:v>94400</x:v>
      </x:c>
    </x:row>
    <x:row r="2017" ht="46" customHeight="1">
      <x:c r="A2017" s="2" t="str">
        <x:v>Sector</x:v>
      </x:c>
      <x:c r="B2017" s="2" t="str">
        <x:v>Professional services</x:v>
      </x:c>
      <x:c r="C2017" s="12" t="str">
        <x:v>Pune</x:v>
      </x:c>
      <x:c r="D2017" s="12" t="str">
        <x:v>MAIN-386</x:v>
      </x:c>
      <x:c r="E2017" s="12" t="str">
        <x:v>Awfis - Amanora Mall</x:v>
      </x:c>
      <x:c r="F2017" s="11" t="n">
        <x:v>1</x:v>
      </x:c>
      <x:c r="G2017" s="11" t="n">
        <x:v>1</x:v>
      </x:c>
      <x:c r="H2017" s="11" t="n">
        <x:v>0</x:v>
      </x:c>
      <x:c r="I2017" s="17" t="n">
        <x:f>INDEX('Costing'!$P$9:$P$492,MATCH(D2017,'Costing'!$A$9:$A$492,0))</x:f>
        <x:v>15000</x:v>
      </x:c>
      <x:c r="J2017" s="17" t="n">
        <x:f>ROUND(I2017*'Costing'!$C$4,2)</x:f>
        <x:v>2700</x:v>
      </x:c>
      <x:c r="K2017" s="17" t="n">
        <x:f>I2017+J2017</x:f>
        <x:v>17700</x:v>
      </x:c>
    </x:row>
    <x:row r="2018" ht="46" customHeight="1">
      <x:c r="A2018" s="2" t="str">
        <x:v>Sector</x:v>
      </x:c>
      <x:c r="B2018" s="2" t="str">
        <x:v>Professional services</x:v>
      </x:c>
      <x:c r="C2018" s="12" t="str">
        <x:v>Pune</x:v>
      </x:c>
      <x:c r="D2018" s="12" t="str">
        <x:v>MAIN-395</x:v>
      </x:c>
      <x:c r="E2018" s="12" t="str">
        <x:v>Bootstart Arcadian</x:v>
      </x:c>
      <x:c r="F2018" s="11" t="n">
        <x:v>1</x:v>
      </x:c>
      <x:c r="G2018" s="11" t="n">
        <x:v>1</x:v>
      </x:c>
      <x:c r="H2018" s="11" t="n">
        <x:v>0</x:v>
      </x:c>
      <x:c r="I2018" s="17" t="n">
        <x:f>INDEX('Costing'!$P$9:$P$492,MATCH(D2018,'Costing'!$A$9:$A$492,0))</x:f>
        <x:v>15000</x:v>
      </x:c>
      <x:c r="J2018" s="17" t="n">
        <x:f>ROUND(I2018*'Costing'!$C$4,2)</x:f>
        <x:v>2700</x:v>
      </x:c>
      <x:c r="K2018" s="17" t="n">
        <x:f>I2018+J2018</x:f>
        <x:v>17700</x:v>
      </x:c>
    </x:row>
    <x:row r="2019" ht="46" customHeight="1">
      <x:c r="A2019" s="2" t="str">
        <x:v>Sector</x:v>
      </x:c>
      <x:c r="B2019" s="2" t="str">
        <x:v>Professional services</x:v>
      </x:c>
      <x:c r="C2019" s="12" t="str">
        <x:v>Pune</x:v>
      </x:c>
      <x:c r="D2019" s="12" t="str">
        <x:v>MAIN-405</x:v>
      </x:c>
      <x:c r="E2019" s="12" t="str">
        <x:v>Olympia B Premises</x:v>
      </x:c>
      <x:c r="F2019" s="11" t="n">
        <x:v>1</x:v>
      </x:c>
      <x:c r="G2019" s="11" t="n">
        <x:v>1</x:v>
      </x:c>
      <x:c r="H2019" s="11" t="n">
        <x:v>0</x:v>
      </x:c>
      <x:c r="I2019" s="17" t="n">
        <x:f>INDEX('Costing'!$P$9:$P$492,MATCH(D2019,'Costing'!$A$9:$A$492,0))</x:f>
        <x:v>15000</x:v>
      </x:c>
      <x:c r="J2019" s="17" t="n">
        <x:f>ROUND(I2019*'Costing'!$C$4,2)</x:f>
        <x:v>2700</x:v>
      </x:c>
      <x:c r="K2019" s="17" t="n">
        <x:f>I2019+J2019</x:f>
        <x:v>17700</x:v>
      </x:c>
    </x:row>
    <x:row r="2020" ht="46" customHeight="1">
      <x:c r="A2020" s="2" t="str">
        <x:v>Sector</x:v>
      </x:c>
      <x:c r="B2020" s="2" t="str">
        <x:v>Professional services</x:v>
      </x:c>
      <x:c r="C2020" s="12" t="str">
        <x:v>Pune</x:v>
      </x:c>
      <x:c r="D2020" s="12" t="str">
        <x:v>MAIN-406</x:v>
      </x:c>
      <x:c r="E2020" s="12" t="str">
        <x:v>OLYMPIA B PREMISES Inside Elevator</x:v>
      </x:c>
      <x:c r="F2020" s="11" t="n">
        <x:v>1</x:v>
      </x:c>
      <x:c r="G2020" s="11" t="n">
        <x:v>1</x:v>
      </x:c>
      <x:c r="H2020" s="11" t="n">
        <x:v>0</x:v>
      </x:c>
      <x:c r="I2020" s="17" t="n">
        <x:f>INDEX('Costing'!$P$9:$P$492,MATCH(D2020,'Costing'!$A$9:$A$492,0))</x:f>
        <x:v>15000</x:v>
      </x:c>
      <x:c r="J2020" s="17" t="n">
        <x:f>ROUND(I2020*'Costing'!$C$4,2)</x:f>
        <x:v>2700</x:v>
      </x:c>
      <x:c r="K2020" s="17" t="n">
        <x:f>I2020+J2020</x:f>
        <x:v>17700</x:v>
      </x:c>
    </x:row>
    <x:row r="2021" ht="46" customHeight="1">
      <x:c r="A2021" s="2" t="str">
        <x:v>Sector</x:v>
      </x:c>
      <x:c r="B2021" s="2" t="str">
        <x:v>Professional services</x:v>
      </x:c>
      <x:c r="C2021" s="12" t="str">
        <x:v>Pune</x:v>
      </x:c>
      <x:c r="D2021" s="12" t="str">
        <x:v>MAIN-409</x:v>
      </x:c>
      <x:c r="E2021" s="12" t="str">
        <x:v>Pavillion Mall (Redbrick Offices)</x:v>
      </x:c>
      <x:c r="F2021" s="11" t="n">
        <x:v>1</x:v>
      </x:c>
      <x:c r="G2021" s="11" t="n">
        <x:v>1</x:v>
      </x:c>
      <x:c r="H2021" s="11" t="n">
        <x:v>0</x:v>
      </x:c>
      <x:c r="I2021" s="17" t="n">
        <x:f>INDEX('Costing'!$P$9:$P$492,MATCH(D2021,'Costing'!$A$9:$A$492,0))</x:f>
        <x:v>15000</x:v>
      </x:c>
      <x:c r="J2021" s="17" t="n">
        <x:f>ROUND(I2021*'Costing'!$C$4,2)</x:f>
        <x:v>2700</x:v>
      </x:c>
      <x:c r="K2021" s="17" t="n">
        <x:f>I2021+J2021</x:f>
        <x:v>17700</x:v>
      </x:c>
    </x:row>
    <x:row r="2022" ht="46" customHeight="1">
      <x:c r="A2022" s="2" t="str">
        <x:v>Sector</x:v>
      </x:c>
      <x:c r="B2022" s="2" t="str">
        <x:v>Professional services</x:v>
      </x:c>
      <x:c r="C2022" s="12" t="str">
        <x:v>Pune</x:v>
      </x:c>
      <x:c r="D2022" s="12" t="str">
        <x:v>MAIN-410</x:v>
      </x:c>
      <x:c r="E2022" s="12" t="str">
        <x:v>PBP Balewadi High Street (Redbrick Offices)</x:v>
      </x:c>
      <x:c r="F2022" s="11" t="n">
        <x:v>1</x:v>
      </x:c>
      <x:c r="G2022" s="11" t="n">
        <x:v>1</x:v>
      </x:c>
      <x:c r="H2022" s="11" t="n">
        <x:v>0</x:v>
      </x:c>
      <x:c r="I2022" s="17" t="n">
        <x:f>INDEX('Costing'!$P$9:$P$492,MATCH(D2022,'Costing'!$A$9:$A$492,0))</x:f>
        <x:v>15000</x:v>
      </x:c>
      <x:c r="J2022" s="17" t="n">
        <x:f>ROUND(I2022*'Costing'!$C$4,2)</x:f>
        <x:v>2700</x:v>
      </x:c>
      <x:c r="K2022" s="17" t="n">
        <x:f>I2022+J2022</x:f>
        <x:v>17700</x:v>
      </x:c>
    </x:row>
    <x:row r="2023" ht="46" customHeight="1">
      <x:c r="A2023" s="2" t="str">
        <x:v>Sector</x:v>
      </x:c>
      <x:c r="B2023" s="2" t="str">
        <x:v>Professional services</x:v>
      </x:c>
      <x:c r="C2023" s="12" t="str">
        <x:v>Pune</x:v>
      </x:c>
      <x:c r="D2023" s="12" t="str">
        <x:v>MAIN-415</x:v>
      </x:c>
      <x:c r="E2023" s="12" t="str">
        <x:v>The Powerpoint Coworking Space</x:v>
      </x:c>
      <x:c r="F2023" s="11" t="n">
        <x:v>1</x:v>
      </x:c>
      <x:c r="G2023" s="11" t="n">
        <x:v>1</x:v>
      </x:c>
      <x:c r="H2023" s="11" t="n">
        <x:v>0</x:v>
      </x:c>
      <x:c r="I2023" s="17" t="n">
        <x:f>INDEX('Costing'!$P$9:$P$492,MATCH(D2023,'Costing'!$A$9:$A$492,0))</x:f>
        <x:v>15000</x:v>
      </x:c>
      <x:c r="J2023" s="17" t="n">
        <x:f>ROUND(I2023*'Costing'!$C$4,2)</x:f>
        <x:v>2700</x:v>
      </x:c>
      <x:c r="K2023" s="17" t="n">
        <x:f>I2023+J2023</x:f>
        <x:v>17700</x:v>
      </x:c>
    </x:row>
    <x:row r="2024" ht="46" customHeight="1">
      <x:c r="A2024" s="2" t="str">
        <x:v>Sector</x:v>
      </x:c>
      <x:c r="B2024" s="2" t="str">
        <x:v>Professional services</x:v>
      </x:c>
      <x:c r="C2024" s="12" t="str">
        <x:v>Pune</x:v>
      </x:c>
      <x:c r="D2024" s="12" t="str">
        <x:v>MAIN-420</x:v>
      </x:c>
      <x:c r="E2024" s="12" t="str">
        <x:v>WeWork - Raheja Woods</x:v>
      </x:c>
      <x:c r="F2024" s="11" t="n">
        <x:v>6</x:v>
      </x:c>
      <x:c r="G2024" s="11" t="n">
        <x:v>6</x:v>
      </x:c>
      <x:c r="H2024" s="11" t="n">
        <x:v>0</x:v>
      </x:c>
      <x:c r="I2024" s="17" t="n">
        <x:f>INDEX('Costing'!$P$9:$P$492,MATCH(D2024,'Costing'!$A$9:$A$492,0))</x:f>
        <x:v>150000</x:v>
      </x:c>
      <x:c r="J2024" s="17" t="n">
        <x:f>ROUND(I2024*'Costing'!$C$4,2)</x:f>
        <x:v>27000</x:v>
      </x:c>
      <x:c r="K2024" s="17" t="n">
        <x:f>I2024+J2024</x:f>
        <x:v>177000</x:v>
      </x:c>
    </x:row>
    <x:row r="2025" ht="46" customHeight="1">
      <x:c r="A2025" s="2" t="str">
        <x:v>Sector</x:v>
      </x:c>
      <x:c r="B2025" s="2" t="str">
        <x:v>Professional services</x:v>
      </x:c>
      <x:c r="C2025" s="12" t="str">
        <x:v>Bengaluru</x:v>
      </x:c>
      <x:c r="D2025" s="12" t="str">
        <x:v>PARTNER-M130</x:v>
      </x:c>
      <x:c r="E2025" s="12" t="str">
        <x:v>Bagmane Constellation </x:v>
      </x:c>
      <x:c r="F2025" s="11" t="n">
        <x:v>8</x:v>
      </x:c>
      <x:c r="G2025" s="11" t="n">
        <x:v>8</x:v>
      </x:c>
      <x:c r="H2025" s="11" t="n">
        <x:v>0</x:v>
      </x:c>
      <x:c r="I2025" s="17" t="n">
        <x:f>INDEX('Costing'!$P$9:$P$492,MATCH(D2025,'Costing'!$A$9:$A$492,0))</x:f>
        <x:v>320000</x:v>
      </x:c>
      <x:c r="J2025" s="17" t="n">
        <x:f>ROUND(I2025*'Costing'!$C$4,2)</x:f>
        <x:v>57600</x:v>
      </x:c>
      <x:c r="K2025" s="17" t="n">
        <x:f>I2025+J2025</x:f>
        <x:v>377600</x:v>
      </x:c>
    </x:row>
    <x:row r="2026" ht="46" customHeight="1">
      <x:c r="A2026" s="2" t="str">
        <x:v>Sector</x:v>
      </x:c>
      <x:c r="B2026" s="2" t="str">
        <x:v>Professional services</x:v>
      </x:c>
      <x:c r="C2026" s="12" t="str">
        <x:v>Bengaluru</x:v>
      </x:c>
      <x:c r="D2026" s="12" t="str">
        <x:v>PARTNER-M146</x:v>
      </x:c>
      <x:c r="E2026" s="12" t="str">
        <x:v>Bagmane Solarium</x:v>
      </x:c>
      <x:c r="F2026" s="11" t="n">
        <x:v>8</x:v>
      </x:c>
      <x:c r="G2026" s="11" t="n">
        <x:v>8</x:v>
      </x:c>
      <x:c r="H2026" s="11" t="n">
        <x:v>0</x:v>
      </x:c>
      <x:c r="I2026" s="17" t="n">
        <x:f>INDEX('Costing'!$P$9:$P$492,MATCH(D2026,'Costing'!$A$9:$A$492,0))</x:f>
        <x:v>320000</x:v>
      </x:c>
      <x:c r="J2026" s="17" t="n">
        <x:f>ROUND(I2026*'Costing'!$C$4,2)</x:f>
        <x:v>57600</x:v>
      </x:c>
      <x:c r="K2026" s="17" t="n">
        <x:f>I2026+J2026</x:f>
        <x:v>377600</x:v>
      </x:c>
    </x:row>
    <x:row r="2027" ht="46" customHeight="1">
      <x:c r="A2027" s="2" t="str">
        <x:v>Sector</x:v>
      </x:c>
      <x:c r="B2027" s="2" t="str">
        <x:v>Professional services</x:v>
      </x:c>
      <x:c r="C2027" s="12" t="str">
        <x:v>Bengaluru</x:v>
      </x:c>
      <x:c r="D2027" s="12" t="str">
        <x:v>PARTNER-M108</x:v>
      </x:c>
      <x:c r="E2027" s="12" t="str">
        <x:v>Bagmane Tech Park</x:v>
      </x:c>
      <x:c r="F2027" s="11" t="n">
        <x:v>12</x:v>
      </x:c>
      <x:c r="G2027" s="11" t="n">
        <x:v>12</x:v>
      </x:c>
      <x:c r="H2027" s="11" t="n">
        <x:v>0</x:v>
      </x:c>
      <x:c r="I2027" s="17" t="n">
        <x:f>INDEX('Costing'!$P$9:$P$492,MATCH(D2027,'Costing'!$A$9:$A$492,0))</x:f>
        <x:v>480000</x:v>
      </x:c>
      <x:c r="J2027" s="17" t="n">
        <x:f>ROUND(I2027*'Costing'!$C$4,2)</x:f>
        <x:v>86400</x:v>
      </x:c>
      <x:c r="K2027" s="17" t="n">
        <x:f>I2027+J2027</x:f>
        <x:v>566400</x:v>
      </x:c>
    </x:row>
    <x:row r="2028" ht="46" customHeight="1">
      <x:c r="A2028" s="2" t="str">
        <x:v>Sector</x:v>
      </x:c>
      <x:c r="B2028" s="2" t="str">
        <x:v>Professional services</x:v>
      </x:c>
      <x:c r="C2028" s="12" t="str">
        <x:v>Bengaluru</x:v>
      </x:c>
      <x:c r="D2028" s="12" t="str">
        <x:v>PARTNER-M120</x:v>
      </x:c>
      <x:c r="E2028" s="12" t="str">
        <x:v>Bagmane World Technology Centre</x:v>
      </x:c>
      <x:c r="F2028" s="11" t="n">
        <x:v>10</x:v>
      </x:c>
      <x:c r="G2028" s="11" t="n">
        <x:v>10</x:v>
      </x:c>
      <x:c r="H2028" s="11" t="n">
        <x:v>0</x:v>
      </x:c>
      <x:c r="I2028" s="17" t="n">
        <x:f>INDEX('Costing'!$P$9:$P$492,MATCH(D2028,'Costing'!$A$9:$A$492,0))</x:f>
        <x:v>400000</x:v>
      </x:c>
      <x:c r="J2028" s="17" t="n">
        <x:f>ROUND(I2028*'Costing'!$C$4,2)</x:f>
        <x:v>72000</x:v>
      </x:c>
      <x:c r="K2028" s="17" t="n">
        <x:f>I2028+J2028</x:f>
        <x:v>472000</x:v>
      </x:c>
    </x:row>
    <x:row r="2029" ht="46" customHeight="1">
      <x:c r="A2029" s="2" t="str">
        <x:v>Sector</x:v>
      </x:c>
      <x:c r="B2029" s="2" t="str">
        <x:v>Professional services</x:v>
      </x:c>
      <x:c r="C2029" s="12" t="str">
        <x:v>Bengaluru</x:v>
      </x:c>
      <x:c r="D2029" s="12" t="str">
        <x:v>PARTNER-M056</x:v>
      </x:c>
      <x:c r="E2029" s="12" t="str">
        <x:v>Brigade IRV</x:v>
      </x:c>
      <x:c r="F2029" s="11" t="n">
        <x:v>4</x:v>
      </x:c>
      <x:c r="G2029" s="11" t="n">
        <x:v>4</x:v>
      </x:c>
      <x:c r="H2029" s="11" t="n">
        <x:v>0</x:v>
      </x:c>
      <x:c r="I2029" s="17" t="n">
        <x:f>INDEX('Costing'!$P$9:$P$492,MATCH(D2029,'Costing'!$A$9:$A$492,0))</x:f>
        <x:v>160000</x:v>
      </x:c>
      <x:c r="J2029" s="17" t="n">
        <x:f>ROUND(I2029*'Costing'!$C$4,2)</x:f>
        <x:v>28800</x:v>
      </x:c>
      <x:c r="K2029" s="17" t="n">
        <x:f>I2029+J2029</x:f>
        <x:v>188800</x:v>
      </x:c>
    </x:row>
    <x:row r="2030" ht="46" customHeight="1">
      <x:c r="A2030" s="2" t="str">
        <x:v>Sector</x:v>
      </x:c>
      <x:c r="B2030" s="2" t="str">
        <x:v>Professional services</x:v>
      </x:c>
      <x:c r="C2030" s="12" t="str">
        <x:v>Bengaluru</x:v>
      </x:c>
      <x:c r="D2030" s="12" t="str">
        <x:v>PARTNER-M067</x:v>
      </x:c>
      <x:c r="E2030" s="12" t="str">
        <x:v>Cessna - Embassy Tech Square</x:v>
      </x:c>
      <x:c r="F2030" s="11" t="n">
        <x:v>3</x:v>
      </x:c>
      <x:c r="G2030" s="11" t="n">
        <x:v>3</x:v>
      </x:c>
      <x:c r="H2030" s="11" t="n">
        <x:v>0</x:v>
      </x:c>
      <x:c r="I2030" s="17" t="n">
        <x:f>INDEX('Costing'!$P$9:$P$492,MATCH(D2030,'Costing'!$A$9:$A$492,0))</x:f>
        <x:v>120000</x:v>
      </x:c>
      <x:c r="J2030" s="17" t="n">
        <x:f>ROUND(I2030*'Costing'!$C$4,2)</x:f>
        <x:v>21600</x:v>
      </x:c>
      <x:c r="K2030" s="17" t="n">
        <x:f>I2030+J2030</x:f>
        <x:v>141600</x:v>
      </x:c>
    </x:row>
    <x:row r="2031" ht="46" customHeight="1">
      <x:c r="A2031" s="2" t="str">
        <x:v>Sector</x:v>
      </x:c>
      <x:c r="B2031" s="2" t="str">
        <x:v>Professional services</x:v>
      </x:c>
      <x:c r="C2031" s="12" t="str">
        <x:v>Bengaluru</x:v>
      </x:c>
      <x:c r="D2031" s="12" t="str">
        <x:v>PARTNER-M060</x:v>
      </x:c>
      <x:c r="E2031" s="12" t="str">
        <x:v>Global Tech Park</x:v>
      </x:c>
      <x:c r="F2031" s="11" t="n">
        <x:v>5</x:v>
      </x:c>
      <x:c r="G2031" s="11" t="n">
        <x:v>5</x:v>
      </x:c>
      <x:c r="H2031" s="11" t="n">
        <x:v>0</x:v>
      </x:c>
      <x:c r="I2031" s="17" t="n">
        <x:f>INDEX('Costing'!$P$9:$P$492,MATCH(D2031,'Costing'!$A$9:$A$492,0))</x:f>
        <x:v>200000</x:v>
      </x:c>
      <x:c r="J2031" s="17" t="n">
        <x:f>ROUND(I2031*'Costing'!$C$4,2)</x:f>
        <x:v>36000</x:v>
      </x:c>
      <x:c r="K2031" s="17" t="n">
        <x:f>I2031+J2031</x:f>
        <x:v>236000</x:v>
      </x:c>
    </x:row>
    <x:row r="2032" ht="46" customHeight="1">
      <x:c r="A2032" s="2" t="str">
        <x:v>Sector</x:v>
      </x:c>
      <x:c r="B2032" s="2" t="str">
        <x:v>Professional services</x:v>
      </x:c>
      <x:c r="C2032" s="12" t="str">
        <x:v>Bengaluru</x:v>
      </x:c>
      <x:c r="D2032" s="12" t="str">
        <x:v>PARTNER-M002</x:v>
      </x:c>
      <x:c r="E2032" s="12" t="str">
        <x:v>International Tech Park (ITPB)</x:v>
      </x:c>
      <x:c r="F2032" s="11" t="n">
        <x:v>9</x:v>
      </x:c>
      <x:c r="G2032" s="11" t="n">
        <x:v>9</x:v>
      </x:c>
      <x:c r="H2032" s="11" t="n">
        <x:v>0</x:v>
      </x:c>
      <x:c r="I2032" s="17" t="n">
        <x:f>INDEX('Costing'!$P$9:$P$492,MATCH(D2032,'Costing'!$A$9:$A$492,0))</x:f>
        <x:v>360000</x:v>
      </x:c>
      <x:c r="J2032" s="17" t="n">
        <x:f>ROUND(I2032*'Costing'!$C$4,2)</x:f>
        <x:v>64800</x:v>
      </x:c>
      <x:c r="K2032" s="17" t="n">
        <x:f>I2032+J2032</x:f>
        <x:v>424800</x:v>
      </x:c>
    </x:row>
    <x:row r="2033" ht="46" customHeight="1">
      <x:c r="A2033" s="2" t="str">
        <x:v>Sector</x:v>
      </x:c>
      <x:c r="B2033" s="2" t="str">
        <x:v>Professional services</x:v>
      </x:c>
      <x:c r="C2033" s="12" t="str">
        <x:v>Bengaluru</x:v>
      </x:c>
      <x:c r="D2033" s="12" t="str">
        <x:v>PARTNER-M051</x:v>
      </x:c>
      <x:c r="E2033" s="12" t="str">
        <x:v>Manyata Tech park - Mfar</x:v>
      </x:c>
      <x:c r="F2033" s="11" t="n">
        <x:v>5</x:v>
      </x:c>
      <x:c r="G2033" s="11" t="n">
        <x:v>5</x:v>
      </x:c>
      <x:c r="H2033" s="11" t="n">
        <x:v>0</x:v>
      </x:c>
      <x:c r="I2033" s="17" t="n">
        <x:f>INDEX('Costing'!$P$9:$P$492,MATCH(D2033,'Costing'!$A$9:$A$492,0))</x:f>
        <x:v>200000</x:v>
      </x:c>
      <x:c r="J2033" s="17" t="n">
        <x:f>ROUND(I2033*'Costing'!$C$4,2)</x:f>
        <x:v>36000</x:v>
      </x:c>
      <x:c r="K2033" s="17" t="n">
        <x:f>I2033+J2033</x:f>
        <x:v>236000</x:v>
      </x:c>
    </x:row>
    <x:row r="2034" ht="46" customHeight="1">
      <x:c r="A2034" s="2" t="str">
        <x:v>Sector</x:v>
      </x:c>
      <x:c r="B2034" s="2" t="str">
        <x:v>Professional services</x:v>
      </x:c>
      <x:c r="C2034" s="12" t="str">
        <x:v>Bengaluru</x:v>
      </x:c>
      <x:c r="D2034" s="12" t="str">
        <x:v>PARTNER-M097</x:v>
      </x:c>
      <x:c r="E2034" s="12" t="str">
        <x:v>Prestige Blue Chip </x:v>
      </x:c>
      <x:c r="F2034" s="11" t="n">
        <x:v>3</x:v>
      </x:c>
      <x:c r="G2034" s="11" t="n">
        <x:v>3</x:v>
      </x:c>
      <x:c r="H2034" s="11" t="n">
        <x:v>0</x:v>
      </x:c>
      <x:c r="I2034" s="17" t="n">
        <x:f>INDEX('Costing'!$P$9:$P$492,MATCH(D2034,'Costing'!$A$9:$A$492,0))</x:f>
        <x:v>120000</x:v>
      </x:c>
      <x:c r="J2034" s="17" t="n">
        <x:f>ROUND(I2034*'Costing'!$C$4,2)</x:f>
        <x:v>21600</x:v>
      </x:c>
      <x:c r="K2034" s="17" t="n">
        <x:f>I2034+J2034</x:f>
        <x:v>141600</x:v>
      </x:c>
    </x:row>
    <x:row r="2035" ht="46" customHeight="1">
      <x:c r="A2035" s="2" t="str">
        <x:v>Sector</x:v>
      </x:c>
      <x:c r="B2035" s="2" t="str">
        <x:v>Professional services</x:v>
      </x:c>
      <x:c r="C2035" s="12" t="str">
        <x:v>Bengaluru</x:v>
      </x:c>
      <x:c r="D2035" s="12" t="str">
        <x:v>PARTNER-M100</x:v>
      </x:c>
      <x:c r="E2035" s="12" t="str">
        <x:v>Prestige Obelisk + Prestige Atrium + Prestige Sapphire + Prestige Al Kareem + Prestige Delta</x:v>
      </x:c>
      <x:c r="F2035" s="11" t="n">
        <x:v>8</x:v>
      </x:c>
      <x:c r="G2035" s="11" t="n">
        <x:v>8</x:v>
      </x:c>
      <x:c r="H2035" s="11" t="n">
        <x:v>0</x:v>
      </x:c>
      <x:c r="I2035" s="17" t="n">
        <x:f>INDEX('Costing'!$P$9:$P$492,MATCH(D2035,'Costing'!$A$9:$A$492,0))</x:f>
        <x:v>320000</x:v>
      </x:c>
      <x:c r="J2035" s="17" t="n">
        <x:f>ROUND(I2035*'Costing'!$C$4,2)</x:f>
        <x:v>57600</x:v>
      </x:c>
      <x:c r="K2035" s="17" t="n">
        <x:f>I2035+J2035</x:f>
        <x:v>377600</x:v>
      </x:c>
    </x:row>
    <x:row r="2036" ht="46" customHeight="1">
      <x:c r="A2036" s="2" t="str">
        <x:v>Sector</x:v>
      </x:c>
      <x:c r="B2036" s="2" t="str">
        <x:v>Professional services</x:v>
      </x:c>
      <x:c r="C2036" s="12" t="str">
        <x:v>Bengaluru</x:v>
      </x:c>
      <x:c r="D2036" s="12" t="str">
        <x:v>PARTNER-M027</x:v>
      </x:c>
      <x:c r="E2036" s="12" t="str">
        <x:v>Prestige Shantiniketan</x:v>
      </x:c>
      <x:c r="F2036" s="11" t="n">
        <x:v>7</x:v>
      </x:c>
      <x:c r="G2036" s="11" t="n">
        <x:v>7</x:v>
      </x:c>
      <x:c r="H2036" s="11" t="n">
        <x:v>0</x:v>
      </x:c>
      <x:c r="I2036" s="17" t="n">
        <x:f>INDEX('Costing'!$P$9:$P$492,MATCH(D2036,'Costing'!$A$9:$A$492,0))</x:f>
        <x:v>280000</x:v>
      </x:c>
      <x:c r="J2036" s="17" t="n">
        <x:f>ROUND(I2036*'Costing'!$C$4,2)</x:f>
        <x:v>50400</x:v>
      </x:c>
      <x:c r="K2036" s="17" t="n">
        <x:f>I2036+J2036</x:f>
        <x:v>330400</x:v>
      </x:c>
    </x:row>
    <x:row r="2037" ht="46" customHeight="1">
      <x:c r="A2037" s="2" t="str">
        <x:v>Sector</x:v>
      </x:c>
      <x:c r="B2037" s="2" t="str">
        <x:v>Professional services</x:v>
      </x:c>
      <x:c r="C2037" s="12" t="str">
        <x:v>Bengaluru</x:v>
      </x:c>
      <x:c r="D2037" s="12" t="str">
        <x:v>PARTNER-M082</x:v>
      </x:c>
      <x:c r="E2037" s="12" t="str">
        <x:v>Prestige Sterling Square + Prestige Solitaire + Prestige Sigma + Prestige Loka + Prestige Emerald + Prestige Towers</x:v>
      </x:c>
      <x:c r="F2037" s="11" t="n">
        <x:v>11</x:v>
      </x:c>
      <x:c r="G2037" s="11" t="n">
        <x:v>11</x:v>
      </x:c>
      <x:c r="H2037" s="11" t="n">
        <x:v>0</x:v>
      </x:c>
      <x:c r="I2037" s="17" t="n">
        <x:f>INDEX('Costing'!$P$9:$P$492,MATCH(D2037,'Costing'!$A$9:$A$492,0))</x:f>
        <x:v>440000</x:v>
      </x:c>
      <x:c r="J2037" s="17" t="n">
        <x:f>ROUND(I2037*'Costing'!$C$4,2)</x:f>
        <x:v>79200</x:v>
      </x:c>
      <x:c r="K2037" s="17" t="n">
        <x:f>I2037+J2037</x:f>
        <x:v>519200</x:v>
      </x:c>
    </x:row>
    <x:row r="2038" ht="46" customHeight="1">
      <x:c r="A2038" s="2" t="str">
        <x:v>Sector</x:v>
      </x:c>
      <x:c r="B2038" s="2" t="str">
        <x:v>Professional services</x:v>
      </x:c>
      <x:c r="C2038" s="12" t="str">
        <x:v>Bengaluru</x:v>
      </x:c>
      <x:c r="D2038" s="12" t="str">
        <x:v>PARTNER-M093</x:v>
      </x:c>
      <x:c r="E2038" s="12" t="str">
        <x:v>Prestige Summit</x:v>
      </x:c>
      <x:c r="F2038" s="11" t="n">
        <x:v>4</x:v>
      </x:c>
      <x:c r="G2038" s="11" t="n">
        <x:v>4</x:v>
      </x:c>
      <x:c r="H2038" s="11" t="n">
        <x:v>0</x:v>
      </x:c>
      <x:c r="I2038" s="17" t="n">
        <x:f>INDEX('Costing'!$P$9:$P$492,MATCH(D2038,'Costing'!$A$9:$A$492,0))</x:f>
        <x:v>160000</x:v>
      </x:c>
      <x:c r="J2038" s="17" t="n">
        <x:f>ROUND(I2038*'Costing'!$C$4,2)</x:f>
        <x:v>28800</x:v>
      </x:c>
      <x:c r="K2038" s="17" t="n">
        <x:f>I2038+J2038</x:f>
        <x:v>188800</x:v>
      </x:c>
    </x:row>
    <x:row r="2039" ht="46" customHeight="1">
      <x:c r="A2039" s="2" t="str">
        <x:v>Sector</x:v>
      </x:c>
      <x:c r="B2039" s="2" t="str">
        <x:v>Professional services</x:v>
      </x:c>
      <x:c r="C2039" s="12" t="str">
        <x:v>Bengaluru</x:v>
      </x:c>
      <x:c r="D2039" s="12" t="str">
        <x:v>PARTNER-M039</x:v>
      </x:c>
      <x:c r="E2039" s="12" t="str">
        <x:v>Prestige Tech Cloud</x:v>
      </x:c>
      <x:c r="F2039" s="11" t="n">
        <x:v>6</x:v>
      </x:c>
      <x:c r="G2039" s="11" t="n">
        <x:v>6</x:v>
      </x:c>
      <x:c r="H2039" s="11" t="n">
        <x:v>0</x:v>
      </x:c>
      <x:c r="I2039" s="17" t="n">
        <x:f>INDEX('Costing'!$P$9:$P$492,MATCH(D2039,'Costing'!$A$9:$A$492,0))</x:f>
        <x:v>240000</x:v>
      </x:c>
      <x:c r="J2039" s="17" t="n">
        <x:f>ROUND(I2039*'Costing'!$C$4,2)</x:f>
        <x:v>43200</x:v>
      </x:c>
      <x:c r="K2039" s="17" t="n">
        <x:f>I2039+J2039</x:f>
        <x:v>283200</x:v>
      </x:c>
    </x:row>
    <x:row r="2040" ht="46" customHeight="1">
      <x:c r="A2040" s="2" t="str">
        <x:v>Sector</x:v>
      </x:c>
      <x:c r="B2040" s="2" t="str">
        <x:v>Professional services</x:v>
      </x:c>
      <x:c r="C2040" s="12" t="str">
        <x:v>Bengaluru</x:v>
      </x:c>
      <x:c r="D2040" s="12" t="str">
        <x:v>PARTNER-M014</x:v>
      </x:c>
      <x:c r="E2040" s="12" t="str">
        <x:v>Prestige Tech Park</x:v>
      </x:c>
      <x:c r="F2040" s="11" t="n">
        <x:v>10</x:v>
      </x:c>
      <x:c r="G2040" s="11" t="n">
        <x:v>10</x:v>
      </x:c>
      <x:c r="H2040" s="11" t="n">
        <x:v>0</x:v>
      </x:c>
      <x:c r="I2040" s="17" t="n">
        <x:f>INDEX('Costing'!$P$9:$P$492,MATCH(D2040,'Costing'!$A$9:$A$492,0))</x:f>
        <x:v>400000</x:v>
      </x:c>
      <x:c r="J2040" s="17" t="n">
        <x:f>ROUND(I2040*'Costing'!$C$4,2)</x:f>
        <x:v>72000</x:v>
      </x:c>
      <x:c r="K2040" s="17" t="n">
        <x:f>I2040+J2040</x:f>
        <x:v>472000</x:v>
      </x:c>
    </x:row>
    <x:row r="2041" ht="46" customHeight="1">
      <x:c r="A2041" s="2" t="str">
        <x:v>Sector</x:v>
      </x:c>
      <x:c r="B2041" s="2" t="str">
        <x:v>Professional services</x:v>
      </x:c>
      <x:c r="C2041" s="12" t="str">
        <x:v>Bengaluru</x:v>
      </x:c>
      <x:c r="D2041" s="12" t="str">
        <x:v>PARTNER-M034</x:v>
      </x:c>
      <x:c r="E2041" s="12" t="str">
        <x:v>Prestige Technostar</x:v>
      </x:c>
      <x:c r="F2041" s="11" t="n">
        <x:v>5</x:v>
      </x:c>
      <x:c r="G2041" s="11" t="n">
        <x:v>5</x:v>
      </x:c>
      <x:c r="H2041" s="11" t="n">
        <x:v>0</x:v>
      </x:c>
      <x:c r="I2041" s="17" t="n">
        <x:f>INDEX('Costing'!$P$9:$P$492,MATCH(D2041,'Costing'!$A$9:$A$492,0))</x:f>
        <x:v>200000</x:v>
      </x:c>
      <x:c r="J2041" s="17" t="n">
        <x:f>ROUND(I2041*'Costing'!$C$4,2)</x:f>
        <x:v>36000</x:v>
      </x:c>
      <x:c r="K2041" s="17" t="n">
        <x:f>I2041+J2041</x:f>
        <x:v>236000</x:v>
      </x:c>
    </x:row>
    <x:row r="2042" ht="46" customHeight="1">
      <x:c r="A2042" s="2" t="str">
        <x:v>Sector</x:v>
      </x:c>
      <x:c r="B2042" s="2" t="str">
        <x:v>Professional services</x:v>
      </x:c>
      <x:c r="C2042" s="12" t="str">
        <x:v>Chennai</x:v>
      </x:c>
      <x:c r="D2042" s="12" t="str">
        <x:v>PARTNER-M347</x:v>
      </x:c>
      <x:c r="E2042" s="12" t="str">
        <x:v>Prince Infocity 1</x:v>
      </x:c>
      <x:c r="F2042" s="11" t="n">
        <x:v>2</x:v>
      </x:c>
      <x:c r="G2042" s="11" t="n">
        <x:v>2</x:v>
      </x:c>
      <x:c r="H2042" s="11" t="n">
        <x:v>0</x:v>
      </x:c>
      <x:c r="I2042" s="17" t="n">
        <x:f>INDEX('Costing'!$P$9:$P$492,MATCH(D2042,'Costing'!$A$9:$A$492,0))</x:f>
        <x:v>80000</x:v>
      </x:c>
      <x:c r="J2042" s="17" t="n">
        <x:f>ROUND(I2042*'Costing'!$C$4,2)</x:f>
        <x:v>14400</x:v>
      </x:c>
      <x:c r="K2042" s="17" t="n">
        <x:f>I2042+J2042</x:f>
        <x:v>94400</x:v>
      </x:c>
    </x:row>
    <x:row r="2043" ht="46" customHeight="1">
      <x:c r="A2043" s="2" t="str">
        <x:v>Sector</x:v>
      </x:c>
      <x:c r="B2043" s="2" t="str">
        <x:v>Professional services</x:v>
      </x:c>
      <x:c r="C2043" s="12" t="str">
        <x:v>Chennai</x:v>
      </x:c>
      <x:c r="D2043" s="12" t="str">
        <x:v>PARTNER-M331</x:v>
      </x:c>
      <x:c r="E2043" s="12" t="str">
        <x:v>Prince Towers</x:v>
      </x:c>
      <x:c r="F2043" s="11" t="n">
        <x:v>1</x:v>
      </x:c>
      <x:c r="G2043" s="11" t="n">
        <x:v>1</x:v>
      </x:c>
      <x:c r="H2043" s="11" t="n">
        <x:v>0</x:v>
      </x:c>
      <x:c r="I2043" s="17" t="n">
        <x:f>INDEX('Costing'!$P$9:$P$492,MATCH(D2043,'Costing'!$A$9:$A$492,0))</x:f>
        <x:v>40000</x:v>
      </x:c>
      <x:c r="J2043" s="17" t="n">
        <x:f>ROUND(I2043*'Costing'!$C$4,2)</x:f>
        <x:v>7200</x:v>
      </x:c>
      <x:c r="K2043" s="17" t="n">
        <x:f>I2043+J2043</x:f>
        <x:v>47200</x:v>
      </x:c>
    </x:row>
    <x:row r="2044" ht="46" customHeight="1">
      <x:c r="A2044" s="2" t="str">
        <x:v>Sector</x:v>
      </x:c>
      <x:c r="B2044" s="2" t="str">
        <x:v>Professional services</x:v>
      </x:c>
      <x:c r="C2044" s="12" t="str">
        <x:v>Chennai</x:v>
      </x:c>
      <x:c r="D2044" s="12" t="str">
        <x:v>PARTNER-M325</x:v>
      </x:c>
      <x:c r="E2044" s="12" t="str">
        <x:v>WTC Chennai</x:v>
      </x:c>
      <x:c r="F2044" s="11" t="n">
        <x:v>6</x:v>
      </x:c>
      <x:c r="G2044" s="11" t="n">
        <x:v>6</x:v>
      </x:c>
      <x:c r="H2044" s="11" t="n">
        <x:v>0</x:v>
      </x:c>
      <x:c r="I2044" s="17" t="n">
        <x:f>INDEX('Costing'!$P$9:$P$492,MATCH(D2044,'Costing'!$A$9:$A$492,0))</x:f>
        <x:v>240000</x:v>
      </x:c>
      <x:c r="J2044" s="17" t="n">
        <x:f>ROUND(I2044*'Costing'!$C$4,2)</x:f>
        <x:v>43200</x:v>
      </x:c>
      <x:c r="K2044" s="17" t="n">
        <x:f>I2044+J2044</x:f>
        <x:v>283200</x:v>
      </x:c>
    </x:row>
    <x:row r="2045" ht="46" customHeight="1">
      <x:c r="A2045" s="2" t="str">
        <x:v>Sector</x:v>
      </x:c>
      <x:c r="B2045" s="2" t="str">
        <x:v>Professional services</x:v>
      </x:c>
      <x:c r="C2045" s="12" t="str">
        <x:v>Delhi NCR</x:v>
      </x:c>
      <x:c r="D2045" s="12" t="str">
        <x:v>PARTNER-M375</x:v>
      </x:c>
      <x:c r="E2045" s="12" t="str">
        <x:v>Add India Height</x:v>
      </x:c>
      <x:c r="F2045" s="11" t="n">
        <x:v>4</x:v>
      </x:c>
      <x:c r="G2045" s="11" t="n">
        <x:v>4</x:v>
      </x:c>
      <x:c r="H2045" s="11" t="n">
        <x:v>0</x:v>
      </x:c>
      <x:c r="I2045" s="17" t="n">
        <x:f>INDEX('Costing'!$P$9:$P$492,MATCH(D2045,'Costing'!$A$9:$A$492,0))</x:f>
        <x:v>160000</x:v>
      </x:c>
      <x:c r="J2045" s="17" t="n">
        <x:f>ROUND(I2045*'Costing'!$C$4,2)</x:f>
        <x:v>28800</x:v>
      </x:c>
      <x:c r="K2045" s="17" t="n">
        <x:f>I2045+J2045</x:f>
        <x:v>188800</x:v>
      </x:c>
    </x:row>
    <x:row r="2046" ht="46" customHeight="1">
      <x:c r="A2046" s="2" t="str">
        <x:v>Sector</x:v>
      </x:c>
      <x:c r="B2046" s="2" t="str">
        <x:v>Professional services</x:v>
      </x:c>
      <x:c r="C2046" s="12" t="str">
        <x:v>Delhi NCR</x:v>
      </x:c>
      <x:c r="D2046" s="12" t="str">
        <x:v>PARTNER-M384</x:v>
      </x:c>
      <x:c r="E2046" s="12" t="str">
        <x:v>NPX Tower</x:v>
      </x:c>
      <x:c r="F2046" s="11" t="n">
        <x:v>5</x:v>
      </x:c>
      <x:c r="G2046" s="11" t="n">
        <x:v>5</x:v>
      </x:c>
      <x:c r="H2046" s="11" t="n">
        <x:v>0</x:v>
      </x:c>
      <x:c r="I2046" s="17" t="n">
        <x:f>INDEX('Costing'!$P$9:$P$492,MATCH(D2046,'Costing'!$A$9:$A$492,0))</x:f>
        <x:v>200000</x:v>
      </x:c>
      <x:c r="J2046" s="17" t="n">
        <x:f>ROUND(I2046*'Costing'!$C$4,2)</x:f>
        <x:v>36000</x:v>
      </x:c>
      <x:c r="K2046" s="17" t="n">
        <x:f>I2046+J2046</x:f>
        <x:v>236000</x:v>
      </x:c>
    </x:row>
    <x:row r="2047" ht="46" customHeight="1">
      <x:c r="A2047" s="2" t="str">
        <x:v>Sector</x:v>
      </x:c>
      <x:c r="B2047" s="2" t="str">
        <x:v>Professional services</x:v>
      </x:c>
      <x:c r="C2047" s="12" t="str">
        <x:v>Delhi NCR</x:v>
      </x:c>
      <x:c r="D2047" s="12" t="str">
        <x:v>PARTNER-M365</x:v>
      </x:c>
      <x:c r="E2047" s="12" t="str">
        <x:v>Urbtech Trade Centre</x:v>
      </x:c>
      <x:c r="F2047" s="11" t="n">
        <x:v>10</x:v>
      </x:c>
      <x:c r="G2047" s="11" t="n">
        <x:v>10</x:v>
      </x:c>
      <x:c r="H2047" s="11" t="n">
        <x:v>0</x:v>
      </x:c>
      <x:c r="I2047" s="17" t="n">
        <x:f>INDEX('Costing'!$P$9:$P$492,MATCH(D2047,'Costing'!$A$9:$A$492,0))</x:f>
        <x:v>400000</x:v>
      </x:c>
      <x:c r="J2047" s="17" t="n">
        <x:f>ROUND(I2047*'Costing'!$C$4,2)</x:f>
        <x:v>72000</x:v>
      </x:c>
      <x:c r="K2047" s="17" t="n">
        <x:f>I2047+J2047</x:f>
        <x:v>472000</x:v>
      </x:c>
    </x:row>
    <x:row r="2048" ht="46" customHeight="1">
      <x:c r="A2048" s="2" t="str">
        <x:v>Sector</x:v>
      </x:c>
      <x:c r="B2048" s="2" t="str">
        <x:v>Professional services</x:v>
      </x:c>
      <x:c r="C2048" s="12" t="str">
        <x:v>Hyderabad</x:v>
      </x:c>
      <x:c r="D2048" s="12" t="str">
        <x:v>PARTNER-M289</x:v>
      </x:c>
      <x:c r="E2048" s="12" t="str">
        <x:v>Cyber Gateway</x:v>
      </x:c>
      <x:c r="F2048" s="11" t="n">
        <x:v>6</x:v>
      </x:c>
      <x:c r="G2048" s="11" t="n">
        <x:v>6</x:v>
      </x:c>
      <x:c r="H2048" s="11" t="n">
        <x:v>0</x:v>
      </x:c>
      <x:c r="I2048" s="17" t="n">
        <x:f>INDEX('Costing'!$P$9:$P$492,MATCH(D2048,'Costing'!$A$9:$A$492,0))</x:f>
        <x:v>240000</x:v>
      </x:c>
      <x:c r="J2048" s="17" t="n">
        <x:f>ROUND(I2048*'Costing'!$C$4,2)</x:f>
        <x:v>43200</x:v>
      </x:c>
      <x:c r="K2048" s="17" t="n">
        <x:f>I2048+J2048</x:f>
        <x:v>283200</x:v>
      </x:c>
    </x:row>
    <x:row r="2049" ht="46" customHeight="1">
      <x:c r="A2049" s="2" t="str">
        <x:v>Sector</x:v>
      </x:c>
      <x:c r="B2049" s="2" t="str">
        <x:v>Professional services</x:v>
      </x:c>
      <x:c r="C2049" s="12" t="str">
        <x:v>Hyderabad</x:v>
      </x:c>
      <x:c r="D2049" s="12" t="str">
        <x:v>PARTNER-M295</x:v>
      </x:c>
      <x:c r="E2049" s="12" t="str">
        <x:v>Cyber Tower</x:v>
      </x:c>
      <x:c r="F2049" s="11" t="n">
        <x:v>5</x:v>
      </x:c>
      <x:c r="G2049" s="11" t="n">
        <x:v>5</x:v>
      </x:c>
      <x:c r="H2049" s="11" t="n">
        <x:v>0</x:v>
      </x:c>
      <x:c r="I2049" s="17" t="n">
        <x:f>INDEX('Costing'!$P$9:$P$492,MATCH(D2049,'Costing'!$A$9:$A$492,0))</x:f>
        <x:v>200000</x:v>
      </x:c>
      <x:c r="J2049" s="17" t="n">
        <x:f>ROUND(I2049*'Costing'!$C$4,2)</x:f>
        <x:v>36000</x:v>
      </x:c>
      <x:c r="K2049" s="17" t="n">
        <x:f>I2049+J2049</x:f>
        <x:v>236000</x:v>
      </x:c>
    </x:row>
    <x:row r="2050" ht="46" customHeight="1">
      <x:c r="A2050" s="2" t="str">
        <x:v>Sector</x:v>
      </x:c>
      <x:c r="B2050" s="2" t="str">
        <x:v>Professional services</x:v>
      </x:c>
      <x:c r="C2050" s="12" t="str">
        <x:v>Hyderabad</x:v>
      </x:c>
      <x:c r="D2050" s="12" t="str">
        <x:v>PARTNER-M317</x:v>
      </x:c>
      <x:c r="E2050" s="12" t="str">
        <x:v>Kapil Towers</x:v>
      </x:c>
      <x:c r="F2050" s="11" t="n">
        <x:v>7</x:v>
      </x:c>
      <x:c r="G2050" s="11" t="n">
        <x:v>7</x:v>
      </x:c>
      <x:c r="H2050" s="11" t="n">
        <x:v>0</x:v>
      </x:c>
      <x:c r="I2050" s="17" t="n">
        <x:f>INDEX('Costing'!$P$9:$P$492,MATCH(D2050,'Costing'!$A$9:$A$492,0))</x:f>
        <x:v>280000</x:v>
      </x:c>
      <x:c r="J2050" s="17" t="n">
        <x:f>ROUND(I2050*'Costing'!$C$4,2)</x:f>
        <x:v>50400</x:v>
      </x:c>
      <x:c r="K2050" s="17" t="n">
        <x:f>I2050+J2050</x:f>
        <x:v>330400</x:v>
      </x:c>
    </x:row>
    <x:row r="2051" ht="46" customHeight="1">
      <x:c r="A2051" s="2" t="str">
        <x:v>Sector</x:v>
      </x:c>
      <x:c r="B2051" s="2" t="str">
        <x:v>Professional services</x:v>
      </x:c>
      <x:c r="C2051" s="12" t="str">
        <x:v>Hyderabad</x:v>
      </x:c>
      <x:c r="D2051" s="12" t="str">
        <x:v>PARTNER-M300</x:v>
      </x:c>
      <x:c r="E2051" s="12" t="str">
        <x:v>Waverock IT Park</x:v>
      </x:c>
      <x:c r="F2051" s="11" t="n">
        <x:v>8</x:v>
      </x:c>
      <x:c r="G2051" s="11" t="n">
        <x:v>8</x:v>
      </x:c>
      <x:c r="H2051" s="11" t="n">
        <x:v>0</x:v>
      </x:c>
      <x:c r="I2051" s="17" t="n">
        <x:f>INDEX('Costing'!$P$9:$P$492,MATCH(D2051,'Costing'!$A$9:$A$492,0))</x:f>
        <x:v>320000</x:v>
      </x:c>
      <x:c r="J2051" s="17" t="n">
        <x:f>ROUND(I2051*'Costing'!$C$4,2)</x:f>
        <x:v>57600</x:v>
      </x:c>
      <x:c r="K2051" s="17" t="n">
        <x:f>I2051+J2051</x:f>
        <x:v>377600</x:v>
      </x:c>
    </x:row>
    <x:row r="2052" ht="46" customHeight="1">
      <x:c r="A2052" s="2" t="str">
        <x:v>Sector</x:v>
      </x:c>
      <x:c r="B2052" s="2" t="str">
        <x:v>Professional services</x:v>
      </x:c>
      <x:c r="C2052" s="12" t="str">
        <x:v>Mumbai</x:v>
      </x:c>
      <x:c r="D2052" s="12" t="str">
        <x:v>PARTNER-M193</x:v>
      </x:c>
      <x:c r="E2052" s="12" t="str">
        <x:v>Empire Tower</x:v>
      </x:c>
      <x:c r="F2052" s="11" t="n">
        <x:v>4</x:v>
      </x:c>
      <x:c r="G2052" s="11" t="n">
        <x:v>4</x:v>
      </x:c>
      <x:c r="H2052" s="11" t="n">
        <x:v>0</x:v>
      </x:c>
      <x:c r="I2052" s="17" t="n">
        <x:f>INDEX('Costing'!$P$9:$P$492,MATCH(D2052,'Costing'!$A$9:$A$492,0))</x:f>
        <x:v>160000</x:v>
      </x:c>
      <x:c r="J2052" s="17" t="n">
        <x:f>ROUND(I2052*'Costing'!$C$4,2)</x:f>
        <x:v>28800</x:v>
      </x:c>
      <x:c r="K2052" s="17" t="n">
        <x:f>I2052+J2052</x:f>
        <x:v>188800</x:v>
      </x:c>
    </x:row>
    <x:row r="2053" ht="46" customHeight="1">
      <x:c r="A2053" s="2" t="str">
        <x:v>Sector</x:v>
      </x:c>
      <x:c r="B2053" s="2" t="str">
        <x:v>Professional services</x:v>
      </x:c>
      <x:c r="C2053" s="12" t="str">
        <x:v>Mumbai</x:v>
      </x:c>
      <x:c r="D2053" s="12" t="str">
        <x:v>PARTNER-M185</x:v>
      </x:c>
      <x:c r="E2053" s="12" t="str">
        <x:v>G Corp Tech Park</x:v>
      </x:c>
      <x:c r="F2053" s="11" t="n">
        <x:v>3</x:v>
      </x:c>
      <x:c r="G2053" s="11" t="n">
        <x:v>3</x:v>
      </x:c>
      <x:c r="H2053" s="11" t="n">
        <x:v>0</x:v>
      </x:c>
      <x:c r="I2053" s="17" t="n">
        <x:f>INDEX('Costing'!$P$9:$P$492,MATCH(D2053,'Costing'!$A$9:$A$492,0))</x:f>
        <x:v>120000</x:v>
      </x:c>
      <x:c r="J2053" s="17" t="n">
        <x:f>ROUND(I2053*'Costing'!$C$4,2)</x:f>
        <x:v>21600</x:v>
      </x:c>
      <x:c r="K2053" s="17" t="n">
        <x:f>I2053+J2053</x:f>
        <x:v>141600</x:v>
      </x:c>
    </x:row>
    <x:row r="2054" ht="46" customHeight="1">
      <x:c r="A2054" s="2" t="str">
        <x:v>Sector</x:v>
      </x:c>
      <x:c r="B2054" s="2" t="str">
        <x:v>Professional services</x:v>
      </x:c>
      <x:c r="C2054" s="12" t="str">
        <x:v>Mumbai</x:v>
      </x:c>
      <x:c r="D2054" s="12" t="str">
        <x:v>PARTNER-M235</x:v>
      </x:c>
      <x:c r="E2054" s="12" t="str">
        <x:v>Kanakia 215 Atrium</x:v>
      </x:c>
      <x:c r="F2054" s="11" t="n">
        <x:v>4</x:v>
      </x:c>
      <x:c r="G2054" s="11" t="n">
        <x:v>4</x:v>
      </x:c>
      <x:c r="H2054" s="11" t="n">
        <x:v>0</x:v>
      </x:c>
      <x:c r="I2054" s="17" t="n">
        <x:f>INDEX('Costing'!$P$9:$P$492,MATCH(D2054,'Costing'!$A$9:$A$492,0))</x:f>
        <x:v>160000</x:v>
      </x:c>
      <x:c r="J2054" s="17" t="n">
        <x:f>ROUND(I2054*'Costing'!$C$4,2)</x:f>
        <x:v>28800</x:v>
      </x:c>
      <x:c r="K2054" s="17" t="n">
        <x:f>I2054+J2054</x:f>
        <x:v>188800</x:v>
      </x:c>
    </x:row>
    <x:row r="2055" ht="46" customHeight="1">
      <x:c r="A2055" s="2" t="str">
        <x:v>Sector</x:v>
      </x:c>
      <x:c r="B2055" s="2" t="str">
        <x:v>Professional services</x:v>
      </x:c>
      <x:c r="C2055" s="12" t="str">
        <x:v>Mumbai</x:v>
      </x:c>
      <x:c r="D2055" s="12" t="str">
        <x:v>PARTNER-M239</x:v>
      </x:c>
      <x:c r="E2055" s="12" t="str">
        <x:v>Kanakia Atrium 2</x:v>
      </x:c>
      <x:c r="F2055" s="11" t="n">
        <x:v>2</x:v>
      </x:c>
      <x:c r="G2055" s="11" t="n">
        <x:v>2</x:v>
      </x:c>
      <x:c r="H2055" s="11" t="n">
        <x:v>0</x:v>
      </x:c>
      <x:c r="I2055" s="17" t="n">
        <x:f>INDEX('Costing'!$P$9:$P$492,MATCH(D2055,'Costing'!$A$9:$A$492,0))</x:f>
        <x:v>80000</x:v>
      </x:c>
      <x:c r="J2055" s="17" t="n">
        <x:f>ROUND(I2055*'Costing'!$C$4,2)</x:f>
        <x:v>14400</x:v>
      </x:c>
      <x:c r="K2055" s="17" t="n">
        <x:f>I2055+J2055</x:f>
        <x:v>94400</x:v>
      </x:c>
    </x:row>
    <x:row r="2056" ht="46" customHeight="1">
      <x:c r="A2056" s="2" t="str">
        <x:v>Sector</x:v>
      </x:c>
      <x:c r="B2056" s="2" t="str">
        <x:v>Professional services</x:v>
      </x:c>
      <x:c r="C2056" s="12" t="str">
        <x:v>Mumbai</x:v>
      </x:c>
      <x:c r="D2056" s="12" t="str">
        <x:v>PARTNER-M243</x:v>
      </x:c>
      <x:c r="E2056" s="12" t="str">
        <x:v>Kohinoor City</x:v>
      </x:c>
      <x:c r="F2056" s="11" t="n">
        <x:v>2</x:v>
      </x:c>
      <x:c r="G2056" s="11" t="n">
        <x:v>2</x:v>
      </x:c>
      <x:c r="H2056" s="11" t="n">
        <x:v>0</x:v>
      </x:c>
      <x:c r="I2056" s="17" t="n">
        <x:f>INDEX('Costing'!$P$9:$P$492,MATCH(D2056,'Costing'!$A$9:$A$492,0))</x:f>
        <x:v>80000</x:v>
      </x:c>
      <x:c r="J2056" s="17" t="n">
        <x:f>ROUND(I2056*'Costing'!$C$4,2)</x:f>
        <x:v>14400</x:v>
      </x:c>
      <x:c r="K2056" s="17" t="n">
        <x:f>I2056+J2056</x:f>
        <x:v>94400</x:v>
      </x:c>
    </x:row>
    <x:row r="2057" ht="46" customHeight="1">
      <x:c r="A2057" s="2" t="str">
        <x:v>Sector</x:v>
      </x:c>
      <x:c r="B2057" s="2" t="str">
        <x:v>Professional services</x:v>
      </x:c>
      <x:c r="C2057" s="12" t="str">
        <x:v>Mumbai</x:v>
      </x:c>
      <x:c r="D2057" s="12" t="str">
        <x:v>PARTNER-M245</x:v>
      </x:c>
      <x:c r="E2057" s="12" t="str">
        <x:v>Lodha iThink</x:v>
      </x:c>
      <x:c r="F2057" s="11" t="n">
        <x:v>2</x:v>
      </x:c>
      <x:c r="G2057" s="11" t="n">
        <x:v>2</x:v>
      </x:c>
      <x:c r="H2057" s="11" t="n">
        <x:v>0</x:v>
      </x:c>
      <x:c r="I2057" s="17" t="n">
        <x:f>INDEX('Costing'!$P$9:$P$492,MATCH(D2057,'Costing'!$A$9:$A$492,0))</x:f>
        <x:v>80000</x:v>
      </x:c>
      <x:c r="J2057" s="17" t="n">
        <x:f>ROUND(I2057*'Costing'!$C$4,2)</x:f>
        <x:v>14400</x:v>
      </x:c>
      <x:c r="K2057" s="17" t="n">
        <x:f>I2057+J2057</x:f>
        <x:v>94400</x:v>
      </x:c>
    </x:row>
    <x:row r="2058" ht="46" customHeight="1">
      <x:c r="A2058" s="2" t="str">
        <x:v>Sector</x:v>
      </x:c>
      <x:c r="B2058" s="2" t="str">
        <x:v>Professional services</x:v>
      </x:c>
      <x:c r="C2058" s="12" t="str">
        <x:v>Mumbai</x:v>
      </x:c>
      <x:c r="D2058" s="12" t="str">
        <x:v>PARTNER-M247</x:v>
      </x:c>
      <x:c r="E2058" s="12" t="str">
        <x:v>Lodha Supremus</x:v>
      </x:c>
      <x:c r="F2058" s="11" t="n">
        <x:v>4</x:v>
      </x:c>
      <x:c r="G2058" s="11" t="n">
        <x:v>4</x:v>
      </x:c>
      <x:c r="H2058" s="11" t="n">
        <x:v>0</x:v>
      </x:c>
      <x:c r="I2058" s="17" t="n">
        <x:f>INDEX('Costing'!$P$9:$P$492,MATCH(D2058,'Costing'!$A$9:$A$492,0))</x:f>
        <x:v>160000</x:v>
      </x:c>
      <x:c r="J2058" s="17" t="n">
        <x:f>ROUND(I2058*'Costing'!$C$4,2)</x:f>
        <x:v>28800</x:v>
      </x:c>
      <x:c r="K2058" s="17" t="n">
        <x:f>I2058+J2058</x:f>
        <x:v>188800</x:v>
      </x:c>
    </x:row>
    <x:row r="2059" ht="46" customHeight="1">
      <x:c r="A2059" s="2" t="str">
        <x:v>Sector</x:v>
      </x:c>
      <x:c r="B2059" s="2" t="str">
        <x:v>Professional services</x:v>
      </x:c>
      <x:c r="C2059" s="12" t="str">
        <x:v>Mumbai</x:v>
      </x:c>
      <x:c r="D2059" s="12" t="str">
        <x:v>PARTNER-M171</x:v>
      </x:c>
      <x:c r="E2059" s="12" t="str">
        <x:v>Parinee Crescenzo Business Park</x:v>
      </x:c>
      <x:c r="F2059" s="11" t="n">
        <x:v>4</x:v>
      </x:c>
      <x:c r="G2059" s="11" t="n">
        <x:v>4</x:v>
      </x:c>
      <x:c r="H2059" s="11" t="n">
        <x:v>0</x:v>
      </x:c>
      <x:c r="I2059" s="17" t="n">
        <x:f>INDEX('Costing'!$P$9:$P$492,MATCH(D2059,'Costing'!$A$9:$A$492,0))</x:f>
        <x:v>160000</x:v>
      </x:c>
      <x:c r="J2059" s="17" t="n">
        <x:f>ROUND(I2059*'Costing'!$C$4,2)</x:f>
        <x:v>28800</x:v>
      </x:c>
      <x:c r="K2059" s="17" t="n">
        <x:f>I2059+J2059</x:f>
        <x:v>188800</x:v>
      </x:c>
    </x:row>
    <x:row r="2060" ht="46" customHeight="1">
      <x:c r="A2060" s="2" t="str">
        <x:v>Sector</x:v>
      </x:c>
      <x:c r="B2060" s="2" t="str">
        <x:v>Professional services</x:v>
      </x:c>
      <x:c r="C2060" s="12" t="str">
        <x:v>Mumbai</x:v>
      </x:c>
      <x:c r="D2060" s="12" t="str">
        <x:v>PARTNER-M197</x:v>
      </x:c>
      <x:c r="E2060" s="12" t="str">
        <x:v>Reliable Tech Park</x:v>
      </x:c>
      <x:c r="F2060" s="11" t="n">
        <x:v>4</x:v>
      </x:c>
      <x:c r="G2060" s="11" t="n">
        <x:v>4</x:v>
      </x:c>
      <x:c r="H2060" s="11" t="n">
        <x:v>0</x:v>
      </x:c>
      <x:c r="I2060" s="17" t="n">
        <x:f>INDEX('Costing'!$P$9:$P$492,MATCH(D2060,'Costing'!$A$9:$A$492,0))</x:f>
        <x:v>160000</x:v>
      </x:c>
      <x:c r="J2060" s="17" t="n">
        <x:f>ROUND(I2060*'Costing'!$C$4,2)</x:f>
        <x:v>28800</x:v>
      </x:c>
      <x:c r="K2060" s="17" t="n">
        <x:f>I2060+J2060</x:f>
        <x:v>188800</x:v>
      </x:c>
    </x:row>
    <x:row r="2061" ht="46" customHeight="1">
      <x:c r="A2061" s="2" t="str">
        <x:v>Sector</x:v>
      </x:c>
      <x:c r="B2061" s="2" t="str">
        <x:v>Professional services</x:v>
      </x:c>
      <x:c r="C2061" s="12" t="str">
        <x:v>Mumbai</x:v>
      </x:c>
      <x:c r="D2061" s="12" t="str">
        <x:v>PARTNER-M175</x:v>
      </x:c>
      <x:c r="E2061" s="12" t="str">
        <x:v>The Capital</x:v>
      </x:c>
      <x:c r="F2061" s="11" t="n">
        <x:v>3</x:v>
      </x:c>
      <x:c r="G2061" s="11" t="n">
        <x:v>3</x:v>
      </x:c>
      <x:c r="H2061" s="11" t="n">
        <x:v>0</x:v>
      </x:c>
      <x:c r="I2061" s="17" t="n">
        <x:f>INDEX('Costing'!$P$9:$P$492,MATCH(D2061,'Costing'!$A$9:$A$492,0))</x:f>
        <x:v>120000</x:v>
      </x:c>
      <x:c r="J2061" s="17" t="n">
        <x:f>ROUND(I2061*'Costing'!$C$4,2)</x:f>
        <x:v>21600</x:v>
      </x:c>
      <x:c r="K2061" s="17" t="n">
        <x:f>I2061+J2061</x:f>
        <x:v>141600</x:v>
      </x:c>
    </x:row>
    <x:row r="2062" ht="46" customHeight="1">
      <x:c r="A2062" s="2" t="str">
        <x:v>Sector</x:v>
      </x:c>
      <x:c r="B2062" s="2" t="str">
        <x:v>Professional services</x:v>
      </x:c>
      <x:c r="C2062" s="12" t="str">
        <x:v>Mumbai</x:v>
      </x:c>
      <x:c r="D2062" s="12" t="str">
        <x:v>PARTNER-M188</x:v>
      </x:c>
      <x:c r="E2062" s="12" t="str">
        <x:v>Urmi Estate</x:v>
      </x:c>
      <x:c r="F2062" s="11" t="n">
        <x:v>4</x:v>
      </x:c>
      <x:c r="G2062" s="11" t="n">
        <x:v>4</x:v>
      </x:c>
      <x:c r="H2062" s="11" t="n">
        <x:v>0</x:v>
      </x:c>
      <x:c r="I2062" s="17" t="n">
        <x:f>INDEX('Costing'!$P$9:$P$492,MATCH(D2062,'Costing'!$A$9:$A$492,0))</x:f>
        <x:v>160000</x:v>
      </x:c>
      <x:c r="J2062" s="17" t="n">
        <x:f>ROUND(I2062*'Costing'!$C$4,2)</x:f>
        <x:v>28800</x:v>
      </x:c>
      <x:c r="K2062" s="17" t="n">
        <x:f>I2062+J2062</x:f>
        <x:v>188800</x:v>
      </x:c>
    </x:row>
    <x:row r="2063" ht="46" customHeight="1">
      <x:c r="A2063" s="2" t="str">
        <x:v>Sector</x:v>
      </x:c>
      <x:c r="B2063" s="2" t="str">
        <x:v>Professional services</x:v>
      </x:c>
      <x:c r="C2063" s="12" t="str">
        <x:v>Pune</x:v>
      </x:c>
      <x:c r="D2063" s="12" t="str">
        <x:v>PARTNER-M268</x:v>
      </x:c>
      <x:c r="E2063" s="12" t="str">
        <x:v>ICC Tech Park</x:v>
      </x:c>
      <x:c r="F2063" s="11" t="n">
        <x:v>5</x:v>
      </x:c>
      <x:c r="G2063" s="11" t="n">
        <x:v>5</x:v>
      </x:c>
      <x:c r="H2063" s="11" t="n">
        <x:v>0</x:v>
      </x:c>
      <x:c r="I2063" s="17" t="n">
        <x:f>INDEX('Costing'!$P$9:$P$492,MATCH(D2063,'Costing'!$A$9:$A$492,0))</x:f>
        <x:v>200000</x:v>
      </x:c>
      <x:c r="J2063" s="17" t="n">
        <x:f>ROUND(I2063*'Costing'!$C$4,2)</x:f>
        <x:v>36000</x:v>
      </x:c>
      <x:c r="K2063" s="17" t="n">
        <x:f>I2063+J2063</x:f>
        <x:v>236000</x:v>
      </x:c>
    </x:row>
    <x:row r="2064" ht="46" customHeight="1">
      <x:c r="A2064" s="2" t="str">
        <x:v>Sector</x:v>
      </x:c>
      <x:c r="B2064" s="2" t="str">
        <x:v>Professional services</x:v>
      </x:c>
      <x:c r="C2064" s="12" t="str">
        <x:v>Pune</x:v>
      </x:c>
      <x:c r="D2064" s="12" t="str">
        <x:v>PARTNER-M277</x:v>
      </x:c>
      <x:c r="E2064" s="12" t="str">
        <x:v>Nyati Enthral</x:v>
      </x:c>
      <x:c r="F2064" s="11" t="n">
        <x:v>5</x:v>
      </x:c>
      <x:c r="G2064" s="11" t="n">
        <x:v>5</x:v>
      </x:c>
      <x:c r="H2064" s="11" t="n">
        <x:v>0</x:v>
      </x:c>
      <x:c r="I2064" s="17" t="n">
        <x:f>INDEX('Costing'!$P$9:$P$492,MATCH(D2064,'Costing'!$A$9:$A$492,0))</x:f>
        <x:v>200000</x:v>
      </x:c>
      <x:c r="J2064" s="17" t="n">
        <x:f>ROUND(I2064*'Costing'!$C$4,2)</x:f>
        <x:v>36000</x:v>
      </x:c>
      <x:c r="K2064" s="17" t="n">
        <x:f>I2064+J2064</x:f>
        <x:v>236000</x:v>
      </x:c>
    </x:row>
    <x:row r="2065" ht="46" customHeight="1">
      <x:c r="A2065" s="2" t="str">
        <x:v>Sector</x:v>
      </x:c>
      <x:c r="B2065" s="2" t="str">
        <x:v>Professional services</x:v>
      </x:c>
      <x:c r="C2065" s="12" t="str">
        <x:v>Pune</x:v>
      </x:c>
      <x:c r="D2065" s="12" t="str">
        <x:v>PARTNER-M261</x:v>
      </x:c>
      <x:c r="E2065" s="12" t="str">
        <x:v>Pentagon Towers</x:v>
      </x:c>
      <x:c r="F2065" s="11" t="n">
        <x:v>4</x:v>
      </x:c>
      <x:c r="G2065" s="11" t="n">
        <x:v>4</x:v>
      </x:c>
      <x:c r="H2065" s="11" t="n">
        <x:v>0</x:v>
      </x:c>
      <x:c r="I2065" s="17" t="n">
        <x:f>INDEX('Costing'!$P$9:$P$492,MATCH(D2065,'Costing'!$A$9:$A$492,0))</x:f>
        <x:v>160000</x:v>
      </x:c>
      <x:c r="J2065" s="17" t="n">
        <x:f>ROUND(I2065*'Costing'!$C$4,2)</x:f>
        <x:v>28800</x:v>
      </x:c>
      <x:c r="K2065" s="17" t="n">
        <x:f>I2065+J2065</x:f>
        <x:v>188800</x:v>
      </x:c>
    </x:row>
    <x:row r="2066" ht="46" customHeight="1">
      <x:c r="A2066" s="2" t="str">
        <x:v>Sector</x:v>
      </x:c>
      <x:c r="B2066" s="2" t="str">
        <x:v>Trade, consumer &amp; logistics</x:v>
      </x:c>
      <x:c r="C2066" s="12" t="str">
        <x:v>Ahmedabad</x:v>
      </x:c>
      <x:c r="D2066" s="12" t="str">
        <x:v>MAIN-005</x:v>
      </x:c>
      <x:c r="E2066" s="12" t="str">
        <x:v>Awfis - Krish Cubical</x:v>
      </x:c>
      <x:c r="F2066" s="11" t="n">
        <x:v>1</x:v>
      </x:c>
      <x:c r="G2066" s="11" t="n">
        <x:v>1</x:v>
      </x:c>
      <x:c r="H2066" s="11" t="n">
        <x:v>0</x:v>
      </x:c>
      <x:c r="I2066" s="17" t="n">
        <x:f>INDEX('Costing'!$P$9:$P$492,MATCH(D2066,'Costing'!$A$9:$A$492,0))</x:f>
        <x:v>15000</x:v>
      </x:c>
      <x:c r="J2066" s="17" t="n">
        <x:f>ROUND(I2066*'Costing'!$C$4,2)</x:f>
        <x:v>2700</x:v>
      </x:c>
      <x:c r="K2066" s="17" t="n">
        <x:f>I2066+J2066</x:f>
        <x:v>17700</x:v>
      </x:c>
    </x:row>
    <x:row r="2067" ht="46" customHeight="1">
      <x:c r="A2067" s="2" t="str">
        <x:v>Sector</x:v>
      </x:c>
      <x:c r="B2067" s="2" t="str">
        <x:v>Trade, consumer &amp; logistics</x:v>
      </x:c>
      <x:c r="C2067" s="12" t="str">
        <x:v>Ahmedabad</x:v>
      </x:c>
      <x:c r="D2067" s="12" t="str">
        <x:v>MAIN-007</x:v>
      </x:c>
      <x:c r="E2067" s="12" t="str">
        <x:v>Oyo Workspace - Mauryansh Elanza</x:v>
      </x:c>
      <x:c r="F2067" s="11" t="n">
        <x:v>2</x:v>
      </x:c>
      <x:c r="G2067" s="11" t="n">
        <x:v>2</x:v>
      </x:c>
      <x:c r="H2067" s="11" t="n">
        <x:v>0</x:v>
      </x:c>
      <x:c r="I2067" s="17" t="n">
        <x:f>INDEX('Costing'!$P$9:$P$492,MATCH(D2067,'Costing'!$A$9:$A$492,0))</x:f>
        <x:v>30000</x:v>
      </x:c>
      <x:c r="J2067" s="17" t="n">
        <x:f>ROUND(I2067*'Costing'!$C$4,2)</x:f>
        <x:v>5400</x:v>
      </x:c>
      <x:c r="K2067" s="17" t="n">
        <x:f>I2067+J2067</x:f>
        <x:v>35400</x:v>
      </x:c>
    </x:row>
    <x:row r="2068" ht="46" customHeight="1">
      <x:c r="A2068" s="2" t="str">
        <x:v>Sector</x:v>
      </x:c>
      <x:c r="B2068" s="2" t="str">
        <x:v>Trade, consumer &amp; logistics</x:v>
      </x:c>
      <x:c r="C2068" s="12" t="str">
        <x:v>Bengaluru</x:v>
      </x:c>
      <x:c r="D2068" s="12" t="str">
        <x:v>MAIN-009</x:v>
      </x:c>
      <x:c r="E2068" s="12" t="str">
        <x:v>Akshay Tech Park</x:v>
      </x:c>
      <x:c r="F2068" s="11" t="n">
        <x:v>8</x:v>
      </x:c>
      <x:c r="G2068" s="11" t="n">
        <x:v>8</x:v>
      </x:c>
      <x:c r="H2068" s="11" t="n">
        <x:v>0</x:v>
      </x:c>
      <x:c r="I2068" s="17" t="n">
        <x:f>INDEX('Costing'!$P$9:$P$492,MATCH(D2068,'Costing'!$A$9:$A$492,0))</x:f>
        <x:v>120000</x:v>
      </x:c>
      <x:c r="J2068" s="17" t="n">
        <x:f>ROUND(I2068*'Costing'!$C$4,2)</x:f>
        <x:v>21600</x:v>
      </x:c>
      <x:c r="K2068" s="17" t="n">
        <x:f>I2068+J2068</x:f>
        <x:v>141600</x:v>
      </x:c>
    </x:row>
    <x:row r="2069" ht="46" customHeight="1">
      <x:c r="A2069" s="2" t="str">
        <x:v>Sector</x:v>
      </x:c>
      <x:c r="B2069" s="2" t="str">
        <x:v>Trade, consumer &amp; logistics</x:v>
      </x:c>
      <x:c r="C2069" s="12" t="str">
        <x:v>Bengaluru</x:v>
      </x:c>
      <x:c r="D2069" s="12" t="str">
        <x:v>MAIN-010</x:v>
      </x:c>
      <x:c r="E2069" s="12" t="str">
        <x:v>Ataura Business Centre</x:v>
      </x:c>
      <x:c r="F2069" s="11" t="n">
        <x:v>1</x:v>
      </x:c>
      <x:c r="G2069" s="11" t="n">
        <x:v>1</x:v>
      </x:c>
      <x:c r="H2069" s="11" t="n">
        <x:v>0</x:v>
      </x:c>
      <x:c r="I2069" s="17" t="n">
        <x:f>INDEX('Costing'!$P$9:$P$492,MATCH(D2069,'Costing'!$A$9:$A$492,0))</x:f>
        <x:v>15000</x:v>
      </x:c>
      <x:c r="J2069" s="17" t="n">
        <x:f>ROUND(I2069*'Costing'!$C$4,2)</x:f>
        <x:v>2700</x:v>
      </x:c>
      <x:c r="K2069" s="17" t="n">
        <x:f>I2069+J2069</x:f>
        <x:v>17700</x:v>
      </x:c>
    </x:row>
    <x:row r="2070" ht="46" customHeight="1">
      <x:c r="A2070" s="2" t="str">
        <x:v>Sector</x:v>
      </x:c>
      <x:c r="B2070" s="2" t="str">
        <x:v>Trade, consumer &amp; logistics</x:v>
      </x:c>
      <x:c r="C2070" s="12" t="str">
        <x:v>Bengaluru</x:v>
      </x:c>
      <x:c r="D2070" s="12" t="str">
        <x:v>MAIN-013</x:v>
      </x:c>
      <x:c r="E2070" s="12" t="str">
        <x:v>Awfis - Mantri Commerce</x:v>
      </x:c>
      <x:c r="F2070" s="11" t="n">
        <x:v>2</x:v>
      </x:c>
      <x:c r="G2070" s="11" t="n">
        <x:v>2</x:v>
      </x:c>
      <x:c r="H2070" s="11" t="n">
        <x:v>0</x:v>
      </x:c>
      <x:c r="I2070" s="17" t="n">
        <x:f>INDEX('Costing'!$P$9:$P$492,MATCH(D2070,'Costing'!$A$9:$A$492,0))</x:f>
        <x:v>30000</x:v>
      </x:c>
      <x:c r="J2070" s="17" t="n">
        <x:f>ROUND(I2070*'Costing'!$C$4,2)</x:f>
        <x:v>5400</x:v>
      </x:c>
      <x:c r="K2070" s="17" t="n">
        <x:f>I2070+J2070</x:f>
        <x:v>35400</x:v>
      </x:c>
    </x:row>
    <x:row r="2071" ht="46" customHeight="1">
      <x:c r="A2071" s="2" t="str">
        <x:v>Sector</x:v>
      </x:c>
      <x:c r="B2071" s="2" t="str">
        <x:v>Trade, consumer &amp; logistics</x:v>
      </x:c>
      <x:c r="C2071" s="12" t="str">
        <x:v>Bengaluru</x:v>
      </x:c>
      <x:c r="D2071" s="12" t="str">
        <x:v>MAIN-016</x:v>
      </x:c>
      <x:c r="E2071" s="12" t="str">
        <x:v>Awfis - Prestige Dotcom</x:v>
      </x:c>
      <x:c r="F2071" s="11" t="n">
        <x:v>4</x:v>
      </x:c>
      <x:c r="G2071" s="11" t="n">
        <x:v>4</x:v>
      </x:c>
      <x:c r="H2071" s="11" t="n">
        <x:v>0</x:v>
      </x:c>
      <x:c r="I2071" s="17" t="n">
        <x:f>INDEX('Costing'!$P$9:$P$492,MATCH(D2071,'Costing'!$A$9:$A$492,0))</x:f>
        <x:v>60000</x:v>
      </x:c>
      <x:c r="J2071" s="17" t="n">
        <x:f>ROUND(I2071*'Costing'!$C$4,2)</x:f>
        <x:v>10800</x:v>
      </x:c>
      <x:c r="K2071" s="17" t="n">
        <x:f>I2071+J2071</x:f>
        <x:v>70800</x:v>
      </x:c>
    </x:row>
    <x:row r="2072" ht="46" customHeight="1">
      <x:c r="A2072" s="2" t="str">
        <x:v>Sector</x:v>
      </x:c>
      <x:c r="B2072" s="2" t="str">
        <x:v>Trade, consumer &amp; logistics</x:v>
      </x:c>
      <x:c r="C2072" s="12" t="str">
        <x:v>Bengaluru</x:v>
      </x:c>
      <x:c r="D2072" s="12" t="str">
        <x:v>MAIN-017</x:v>
      </x:c>
      <x:c r="E2072" s="12" t="str">
        <x:v>Awfis - Prestige Shantiniketan</x:v>
      </x:c>
      <x:c r="F2072" s="11" t="n">
        <x:v>2</x:v>
      </x:c>
      <x:c r="G2072" s="11" t="n">
        <x:v>2</x:v>
      </x:c>
      <x:c r="H2072" s="11" t="n">
        <x:v>0</x:v>
      </x:c>
      <x:c r="I2072" s="17" t="n">
        <x:f>INDEX('Costing'!$P$9:$P$492,MATCH(D2072,'Costing'!$A$9:$A$492,0))</x:f>
        <x:v>30000</x:v>
      </x:c>
      <x:c r="J2072" s="17" t="n">
        <x:f>ROUND(I2072*'Costing'!$C$4,2)</x:f>
        <x:v>5400</x:v>
      </x:c>
      <x:c r="K2072" s="17" t="n">
        <x:f>I2072+J2072</x:f>
        <x:v>35400</x:v>
      </x:c>
    </x:row>
    <x:row r="2073" ht="46" customHeight="1">
      <x:c r="A2073" s="2" t="str">
        <x:v>Sector</x:v>
      </x:c>
      <x:c r="B2073" s="2" t="str">
        <x:v>Trade, consumer &amp; logistics</x:v>
      </x:c>
      <x:c r="C2073" s="12" t="str">
        <x:v>Bengaluru</x:v>
      </x:c>
      <x:c r="D2073" s="12" t="str">
        <x:v>MAIN-022</x:v>
      </x:c>
      <x:c r="E2073" s="12" t="str">
        <x:v>Awfis - Residency Road</x:v>
      </x:c>
      <x:c r="F2073" s="11" t="n">
        <x:v>2</x:v>
      </x:c>
      <x:c r="G2073" s="11" t="n">
        <x:v>2</x:v>
      </x:c>
      <x:c r="H2073" s="11" t="n">
        <x:v>0</x:v>
      </x:c>
      <x:c r="I2073" s="17" t="n">
        <x:f>INDEX('Costing'!$P$9:$P$492,MATCH(D2073,'Costing'!$A$9:$A$492,0))</x:f>
        <x:v>30000</x:v>
      </x:c>
      <x:c r="J2073" s="17" t="n">
        <x:f>ROUND(I2073*'Costing'!$C$4,2)</x:f>
        <x:v>5400</x:v>
      </x:c>
      <x:c r="K2073" s="17" t="n">
        <x:f>I2073+J2073</x:f>
        <x:v>35400</x:v>
      </x:c>
    </x:row>
    <x:row r="2074" ht="46" customHeight="1">
      <x:c r="A2074" s="2" t="str">
        <x:v>Sector</x:v>
      </x:c>
      <x:c r="B2074" s="2" t="str">
        <x:v>Trade, consumer &amp; logistics</x:v>
      </x:c>
      <x:c r="C2074" s="12" t="str">
        <x:v>Bengaluru</x:v>
      </x:c>
      <x:c r="D2074" s="12" t="str">
        <x:v>MAIN-024</x:v>
      </x:c>
      <x:c r="E2074" s="12" t="str">
        <x:v>Awfis - Soul Space Paradigm</x:v>
      </x:c>
      <x:c r="F2074" s="11" t="n">
        <x:v>2</x:v>
      </x:c>
      <x:c r="G2074" s="11" t="n">
        <x:v>2</x:v>
      </x:c>
      <x:c r="H2074" s="11" t="n">
        <x:v>0</x:v>
      </x:c>
      <x:c r="I2074" s="17" t="n">
        <x:f>INDEX('Costing'!$P$9:$P$492,MATCH(D2074,'Costing'!$A$9:$A$492,0))</x:f>
        <x:v>30000</x:v>
      </x:c>
      <x:c r="J2074" s="17" t="n">
        <x:f>ROUND(I2074*'Costing'!$C$4,2)</x:f>
        <x:v>5400</x:v>
      </x:c>
      <x:c r="K2074" s="17" t="n">
        <x:f>I2074+J2074</x:f>
        <x:v>35400</x:v>
      </x:c>
    </x:row>
    <x:row r="2075" ht="46" customHeight="1">
      <x:c r="A2075" s="2" t="str">
        <x:v>Sector</x:v>
      </x:c>
      <x:c r="B2075" s="2" t="str">
        <x:v>Trade, consumer &amp; logistics</x:v>
      </x:c>
      <x:c r="C2075" s="12" t="str">
        <x:v>Bengaluru</x:v>
      </x:c>
      <x:c r="D2075" s="12" t="str">
        <x:v>MAIN-026</x:v>
      </x:c>
      <x:c r="E2075" s="12" t="str">
        <x:v>Awfis - Vajram Esteva</x:v>
      </x:c>
      <x:c r="F2075" s="11" t="n">
        <x:v>4</x:v>
      </x:c>
      <x:c r="G2075" s="11" t="n">
        <x:v>4</x:v>
      </x:c>
      <x:c r="H2075" s="11" t="n">
        <x:v>0</x:v>
      </x:c>
      <x:c r="I2075" s="17" t="n">
        <x:f>INDEX('Costing'!$P$9:$P$492,MATCH(D2075,'Costing'!$A$9:$A$492,0))</x:f>
        <x:v>60000</x:v>
      </x:c>
      <x:c r="J2075" s="17" t="n">
        <x:f>ROUND(I2075*'Costing'!$C$4,2)</x:f>
        <x:v>10800</x:v>
      </x:c>
      <x:c r="K2075" s="17" t="n">
        <x:f>I2075+J2075</x:f>
        <x:v>70800</x:v>
      </x:c>
    </x:row>
    <x:row r="2076" ht="46" customHeight="1">
      <x:c r="A2076" s="2" t="str">
        <x:v>Sector</x:v>
      </x:c>
      <x:c r="B2076" s="2" t="str">
        <x:v>Trade, consumer &amp; logistics</x:v>
      </x:c>
      <x:c r="C2076" s="12" t="str">
        <x:v>Bengaluru</x:v>
      </x:c>
      <x:c r="D2076" s="12" t="str">
        <x:v>MAIN-029</x:v>
      </x:c>
      <x:c r="E2076" s="12" t="str">
        <x:v>Bhive Workspace - HSR Sector 6 Service Road Unit A</x:v>
      </x:c>
      <x:c r="F2076" s="11" t="n">
        <x:v>3</x:v>
      </x:c>
      <x:c r="G2076" s="11" t="n">
        <x:v>3</x:v>
      </x:c>
      <x:c r="H2076" s="11" t="n">
        <x:v>0</x:v>
      </x:c>
      <x:c r="I2076" s="17" t="n">
        <x:f>INDEX('Costing'!$P$9:$P$492,MATCH(D2076,'Costing'!$A$9:$A$492,0))</x:f>
        <x:v>45000</x:v>
      </x:c>
      <x:c r="J2076" s="17" t="n">
        <x:f>ROUND(I2076*'Costing'!$C$4,2)</x:f>
        <x:v>8100</x:v>
      </x:c>
      <x:c r="K2076" s="17" t="n">
        <x:f>I2076+J2076</x:f>
        <x:v>53100</x:v>
      </x:c>
    </x:row>
    <x:row r="2077" ht="46" customHeight="1">
      <x:c r="A2077" s="2" t="str">
        <x:v>Sector</x:v>
      </x:c>
      <x:c r="B2077" s="2" t="str">
        <x:v>Trade, consumer &amp; logistics</x:v>
      </x:c>
      <x:c r="C2077" s="12" t="str">
        <x:v>Bengaluru</x:v>
      </x:c>
      <x:c r="D2077" s="12" t="str">
        <x:v>MAIN-030</x:v>
      </x:c>
      <x:c r="E2077" s="12" t="str">
        <x:v>Bhive Workspace - Indiranagar</x:v>
      </x:c>
      <x:c r="F2077" s="11" t="n">
        <x:v>6</x:v>
      </x:c>
      <x:c r="G2077" s="11" t="n">
        <x:v>6</x:v>
      </x:c>
      <x:c r="H2077" s="11" t="n">
        <x:v>0</x:v>
      </x:c>
      <x:c r="I2077" s="17" t="n">
        <x:f>INDEX('Costing'!$P$9:$P$492,MATCH(D2077,'Costing'!$A$9:$A$492,0))</x:f>
        <x:v>90000</x:v>
      </x:c>
      <x:c r="J2077" s="17" t="n">
        <x:f>ROUND(I2077*'Costing'!$C$4,2)</x:f>
        <x:v>16200</x:v>
      </x:c>
      <x:c r="K2077" s="17" t="n">
        <x:f>I2077+J2077</x:f>
        <x:v>106200</x:v>
      </x:c>
    </x:row>
    <x:row r="2078" ht="46" customHeight="1">
      <x:c r="A2078" s="2" t="str">
        <x:v>Sector</x:v>
      </x:c>
      <x:c r="B2078" s="2" t="str">
        <x:v>Trade, consumer &amp; logistics</x:v>
      </x:c>
      <x:c r="C2078" s="12" t="str">
        <x:v>Bengaluru</x:v>
      </x:c>
      <x:c r="D2078" s="12" t="str">
        <x:v>MAIN-031</x:v>
      </x:c>
      <x:c r="E2078" s="12" t="str">
        <x:v>Bhive Workspace - Koramangala 5TH Block</x:v>
      </x:c>
      <x:c r="F2078" s="11" t="n">
        <x:v>2</x:v>
      </x:c>
      <x:c r="G2078" s="11" t="n">
        <x:v>2</x:v>
      </x:c>
      <x:c r="H2078" s="11" t="n">
        <x:v>0</x:v>
      </x:c>
      <x:c r="I2078" s="17" t="n">
        <x:f>INDEX('Costing'!$P$9:$P$492,MATCH(D2078,'Costing'!$A$9:$A$492,0))</x:f>
        <x:v>30000</x:v>
      </x:c>
      <x:c r="J2078" s="17" t="n">
        <x:f>ROUND(I2078*'Costing'!$C$4,2)</x:f>
        <x:v>5400</x:v>
      </x:c>
      <x:c r="K2078" s="17" t="n">
        <x:f>I2078+J2078</x:f>
        <x:v>35400</x:v>
      </x:c>
    </x:row>
    <x:row r="2079" ht="46" customHeight="1">
      <x:c r="A2079" s="2" t="str">
        <x:v>Sector</x:v>
      </x:c>
      <x:c r="B2079" s="2" t="str">
        <x:v>Trade, consumer &amp; logistics</x:v>
      </x:c>
      <x:c r="C2079" s="12" t="str">
        <x:v>Bengaluru</x:v>
      </x:c>
      <x:c r="D2079" s="12" t="str">
        <x:v>MAIN-032</x:v>
      </x:c>
      <x:c r="E2079" s="12" t="str">
        <x:v>Bhive Workspace - MG Road</x:v>
      </x:c>
      <x:c r="F2079" s="11" t="n">
        <x:v>2</x:v>
      </x:c>
      <x:c r="G2079" s="11" t="n">
        <x:v>2</x:v>
      </x:c>
      <x:c r="H2079" s="11" t="n">
        <x:v>0</x:v>
      </x:c>
      <x:c r="I2079" s="17" t="n">
        <x:f>INDEX('Costing'!$P$9:$P$492,MATCH(D2079,'Costing'!$A$9:$A$492,0))</x:f>
        <x:v>30000</x:v>
      </x:c>
      <x:c r="J2079" s="17" t="n">
        <x:f>ROUND(I2079*'Costing'!$C$4,2)</x:f>
        <x:v>5400</x:v>
      </x:c>
      <x:c r="K2079" s="17" t="n">
        <x:f>I2079+J2079</x:f>
        <x:v>35400</x:v>
      </x:c>
    </x:row>
    <x:row r="2080" ht="46" customHeight="1">
      <x:c r="A2080" s="2" t="str">
        <x:v>Sector</x:v>
      </x:c>
      <x:c r="B2080" s="2" t="str">
        <x:v>Trade, consumer &amp; logistics</x:v>
      </x:c>
      <x:c r="C2080" s="12" t="str">
        <x:v>Bengaluru</x:v>
      </x:c>
      <x:c r="D2080" s="12" t="str">
        <x:v>MAIN-045</x:v>
      </x:c>
      <x:c r="E2080" s="12" t="str">
        <x:v>Ecradle Coworking Space</x:v>
      </x:c>
      <x:c r="F2080" s="11" t="n">
        <x:v>2</x:v>
      </x:c>
      <x:c r="G2080" s="11" t="n">
        <x:v>2</x:v>
      </x:c>
      <x:c r="H2080" s="11" t="n">
        <x:v>0</x:v>
      </x:c>
      <x:c r="I2080" s="17" t="n">
        <x:f>INDEX('Costing'!$P$9:$P$492,MATCH(D2080,'Costing'!$A$9:$A$492,0))</x:f>
        <x:v>30000</x:v>
      </x:c>
      <x:c r="J2080" s="17" t="n">
        <x:f>ROUND(I2080*'Costing'!$C$4,2)</x:f>
        <x:v>5400</x:v>
      </x:c>
      <x:c r="K2080" s="17" t="n">
        <x:f>I2080+J2080</x:f>
        <x:v>35400</x:v>
      </x:c>
    </x:row>
    <x:row r="2081" ht="46" customHeight="1">
      <x:c r="A2081" s="2" t="str">
        <x:v>Sector</x:v>
      </x:c>
      <x:c r="B2081" s="2" t="str">
        <x:v>Trade, consumer &amp; logistics</x:v>
      </x:c>
      <x:c r="C2081" s="12" t="str">
        <x:v>Bengaluru</x:v>
      </x:c>
      <x:c r="D2081" s="12" t="str">
        <x:v>MAIN-048</x:v>
      </x:c>
      <x:c r="E2081" s="12" t="str">
        <x:v>Golden Millenium Tech Park</x:v>
      </x:c>
      <x:c r="F2081" s="11" t="n">
        <x:v>3</x:v>
      </x:c>
      <x:c r="G2081" s="11" t="n">
        <x:v>3</x:v>
      </x:c>
      <x:c r="H2081" s="11" t="n">
        <x:v>0</x:v>
      </x:c>
      <x:c r="I2081" s="17" t="n">
        <x:f>INDEX('Costing'!$P$9:$P$492,MATCH(D2081,'Costing'!$A$9:$A$492,0))</x:f>
        <x:v>60000</x:v>
      </x:c>
      <x:c r="J2081" s="17" t="n">
        <x:f>ROUND(I2081*'Costing'!$C$4,2)</x:f>
        <x:v>10800</x:v>
      </x:c>
      <x:c r="K2081" s="17" t="n">
        <x:f>I2081+J2081</x:f>
        <x:v>70800</x:v>
      </x:c>
    </x:row>
    <x:row r="2082" ht="46" customHeight="1">
      <x:c r="A2082" s="2" t="str">
        <x:v>Sector</x:v>
      </x:c>
      <x:c r="B2082" s="2" t="str">
        <x:v>Trade, consumer &amp; logistics</x:v>
      </x:c>
      <x:c r="C2082" s="12" t="str">
        <x:v>Bengaluru</x:v>
      </x:c>
      <x:c r="D2082" s="12" t="str">
        <x:v>MAIN-049</x:v>
      </x:c>
      <x:c r="E2082" s="12" t="str">
        <x:v>Golden Millenium Tech Park (Pod Screens)</x:v>
      </x:c>
      <x:c r="F2082" s="11" t="n">
        <x:v>2</x:v>
      </x:c>
      <x:c r="G2082" s="11" t="n">
        <x:v>2</x:v>
      </x:c>
      <x:c r="H2082" s="11" t="n">
        <x:v>0</x:v>
      </x:c>
      <x:c r="I2082" s="17" t="n">
        <x:f>INDEX('Costing'!$P$9:$P$492,MATCH(D2082,'Costing'!$A$9:$A$492,0))</x:f>
        <x:v>40000</x:v>
      </x:c>
      <x:c r="J2082" s="17" t="n">
        <x:f>ROUND(I2082*'Costing'!$C$4,2)</x:f>
        <x:v>7200</x:v>
      </x:c>
      <x:c r="K2082" s="17" t="n">
        <x:f>I2082+J2082</x:f>
        <x:v>47200</x:v>
      </x:c>
    </x:row>
    <x:row r="2083" ht="46" customHeight="1">
      <x:c r="A2083" s="2" t="str">
        <x:v>Sector</x:v>
      </x:c>
      <x:c r="B2083" s="2" t="str">
        <x:v>Trade, consumer &amp; logistics</x:v>
      </x:c>
      <x:c r="C2083" s="12" t="str">
        <x:v>Bengaluru</x:v>
      </x:c>
      <x:c r="D2083" s="12" t="str">
        <x:v>MAIN-050</x:v>
      </x:c>
      <x:c r="E2083" s="12" t="str">
        <x:v>Golden Square</x:v>
      </x:c>
      <x:c r="F2083" s="11" t="n">
        <x:v>1</x:v>
      </x:c>
      <x:c r="G2083" s="11" t="n">
        <x:v>1</x:v>
      </x:c>
      <x:c r="H2083" s="11" t="n">
        <x:v>0</x:v>
      </x:c>
      <x:c r="I2083" s="17" t="n">
        <x:f>INDEX('Costing'!$P$9:$P$492,MATCH(D2083,'Costing'!$A$9:$A$492,0))</x:f>
        <x:v>15000</x:v>
      </x:c>
      <x:c r="J2083" s="17" t="n">
        <x:f>ROUND(I2083*'Costing'!$C$4,2)</x:f>
        <x:v>2700</x:v>
      </x:c>
      <x:c r="K2083" s="17" t="n">
        <x:f>I2083+J2083</x:f>
        <x:v>17700</x:v>
      </x:c>
    </x:row>
    <x:row r="2084" ht="46" customHeight="1">
      <x:c r="A2084" s="2" t="str">
        <x:v>Sector</x:v>
      </x:c>
      <x:c r="B2084" s="2" t="str">
        <x:v>Trade, consumer &amp; logistics</x:v>
      </x:c>
      <x:c r="C2084" s="12" t="str">
        <x:v>Bengaluru</x:v>
      </x:c>
      <x:c r="D2084" s="12" t="str">
        <x:v>MAIN-MSRY7ANC</x:v>
      </x:c>
      <x:c r="E2084" s="12" t="str">
        <x:v>Novel Offices - MSR Novel</x:v>
      </x:c>
      <x:c r="F2084" s="11" t="n">
        <x:v>6</x:v>
      </x:c>
      <x:c r="G2084" s="11" t="n">
        <x:v>6</x:v>
      </x:c>
      <x:c r="H2084" s="11" t="n">
        <x:v>0</x:v>
      </x:c>
      <x:c r="I2084" s="17" t="n">
        <x:f>INDEX('Costing'!$P$9:$P$492,MATCH(D2084,'Costing'!$A$9:$A$492,0))</x:f>
        <x:v>120000</x:v>
      </x:c>
      <x:c r="J2084" s="17" t="n">
        <x:f>ROUND(I2084*'Costing'!$C$4,2)</x:f>
        <x:v>21600</x:v>
      </x:c>
      <x:c r="K2084" s="17" t="n">
        <x:f>I2084+J2084</x:f>
        <x:v>141600</x:v>
      </x:c>
    </x:row>
    <x:row r="2085" ht="46" customHeight="1">
      <x:c r="A2085" s="2" t="str">
        <x:v>Sector</x:v>
      </x:c>
      <x:c r="B2085" s="2" t="str">
        <x:v>Trade, consumer &amp; logistics</x:v>
      </x:c>
      <x:c r="C2085" s="12" t="str">
        <x:v>Bengaluru</x:v>
      </x:c>
      <x:c r="D2085" s="12" t="str">
        <x:v>MAIN-060</x:v>
      </x:c>
      <x:c r="E2085" s="12" t="str">
        <x:v>Nucleus - Cessna Business Park</x:v>
      </x:c>
      <x:c r="F2085" s="11" t="n">
        <x:v>6</x:v>
      </x:c>
      <x:c r="G2085" s="11" t="n">
        <x:v>6</x:v>
      </x:c>
      <x:c r="H2085" s="11" t="n">
        <x:v>0</x:v>
      </x:c>
      <x:c r="I2085" s="17" t="n">
        <x:f>INDEX('Costing'!$P$9:$P$492,MATCH(D2085,'Costing'!$A$9:$A$492,0))</x:f>
        <x:v>240000</x:v>
      </x:c>
      <x:c r="J2085" s="17" t="n">
        <x:f>ROUND(I2085*'Costing'!$C$4,2)</x:f>
        <x:v>43200</x:v>
      </x:c>
      <x:c r="K2085" s="17" t="n">
        <x:f>I2085+J2085</x:f>
        <x:v>283200</x:v>
      </x:c>
    </x:row>
    <x:row r="2086" ht="46" customHeight="1">
      <x:c r="A2086" s="2" t="str">
        <x:v>Sector</x:v>
      </x:c>
      <x:c r="B2086" s="2" t="str">
        <x:v>Trade, consumer &amp; logistics</x:v>
      </x:c>
      <x:c r="C2086" s="12" t="str">
        <x:v>Bengaluru</x:v>
      </x:c>
      <x:c r="D2086" s="12" t="str">
        <x:v>MAIN-063</x:v>
      </x:c>
      <x:c r="E2086" s="12" t="str">
        <x:v>Nucleus - Prestige One Trade Tower</x:v>
      </x:c>
      <x:c r="F2086" s="11" t="n">
        <x:v>2</x:v>
      </x:c>
      <x:c r="G2086" s="11" t="n">
        <x:v>2</x:v>
      </x:c>
      <x:c r="H2086" s="11" t="n">
        <x:v>0</x:v>
      </x:c>
      <x:c r="I2086" s="17" t="n">
        <x:f>INDEX('Costing'!$P$9:$P$492,MATCH(D2086,'Costing'!$A$9:$A$492,0))</x:f>
        <x:v>80000</x:v>
      </x:c>
      <x:c r="J2086" s="17" t="n">
        <x:f>ROUND(I2086*'Costing'!$C$4,2)</x:f>
        <x:v>14400</x:v>
      </x:c>
      <x:c r="K2086" s="17" t="n">
        <x:f>I2086+J2086</x:f>
        <x:v>94400</x:v>
      </x:c>
    </x:row>
    <x:row r="2087" ht="46" customHeight="1">
      <x:c r="A2087" s="2" t="str">
        <x:v>Sector</x:v>
      </x:c>
      <x:c r="B2087" s="2" t="str">
        <x:v>Trade, consumer &amp; logistics</x:v>
      </x:c>
      <x:c r="C2087" s="12" t="str">
        <x:v>Bengaluru</x:v>
      </x:c>
      <x:c r="D2087" s="12" t="str">
        <x:v>MAIN-066</x:v>
      </x:c>
      <x:c r="E2087" s="12" t="str">
        <x:v>Obeya - Gusto</x:v>
      </x:c>
      <x:c r="F2087" s="11" t="n">
        <x:v>1</x:v>
      </x:c>
      <x:c r="G2087" s="11" t="n">
        <x:v>1</x:v>
      </x:c>
      <x:c r="H2087" s="11" t="n">
        <x:v>0</x:v>
      </x:c>
      <x:c r="I2087" s="17" t="n">
        <x:f>INDEX('Costing'!$P$9:$P$492,MATCH(D2087,'Costing'!$A$9:$A$492,0))</x:f>
        <x:v>15000</x:v>
      </x:c>
      <x:c r="J2087" s="17" t="n">
        <x:f>ROUND(I2087*'Costing'!$C$4,2)</x:f>
        <x:v>2700</x:v>
      </x:c>
      <x:c r="K2087" s="17" t="n">
        <x:f>I2087+J2087</x:f>
        <x:v>17700</x:v>
      </x:c>
    </x:row>
    <x:row r="2088" ht="46" customHeight="1">
      <x:c r="A2088" s="2" t="str">
        <x:v>Sector</x:v>
      </x:c>
      <x:c r="B2088" s="2" t="str">
        <x:v>Trade, consumer &amp; logistics</x:v>
      </x:c>
      <x:c r="C2088" s="12" t="str">
        <x:v>Bengaluru</x:v>
      </x:c>
      <x:c r="D2088" s="12" t="str">
        <x:v>MAIN-067</x:v>
      </x:c>
      <x:c r="E2088" s="12" t="str">
        <x:v>Obeya - Pulse</x:v>
      </x:c>
      <x:c r="F2088" s="11" t="n">
        <x:v>2</x:v>
      </x:c>
      <x:c r="G2088" s="11" t="n">
        <x:v>2</x:v>
      </x:c>
      <x:c r="H2088" s="11" t="n">
        <x:v>0</x:v>
      </x:c>
      <x:c r="I2088" s="17" t="n">
        <x:f>INDEX('Costing'!$P$9:$P$492,MATCH(D2088,'Costing'!$A$9:$A$492,0))</x:f>
        <x:v>30000</x:v>
      </x:c>
      <x:c r="J2088" s="17" t="n">
        <x:f>ROUND(I2088*'Costing'!$C$4,2)</x:f>
        <x:v>5400</x:v>
      </x:c>
      <x:c r="K2088" s="17" t="n">
        <x:f>I2088+J2088</x:f>
        <x:v>35400</x:v>
      </x:c>
    </x:row>
    <x:row r="2089" ht="46" customHeight="1">
      <x:c r="A2089" s="2" t="str">
        <x:v>Sector</x:v>
      </x:c>
      <x:c r="B2089" s="2" t="str">
        <x:v>Trade, consumer &amp; logistics</x:v>
      </x:c>
      <x:c r="C2089" s="12" t="str">
        <x:v>Bengaluru</x:v>
      </x:c>
      <x:c r="D2089" s="12" t="str">
        <x:v>MAIN-070</x:v>
      </x:c>
      <x:c r="E2089" s="12" t="str">
        <x:v>Obeya - Tranquil</x:v>
      </x:c>
      <x:c r="F2089" s="11" t="n">
        <x:v>1</x:v>
      </x:c>
      <x:c r="G2089" s="11" t="n">
        <x:v>1</x:v>
      </x:c>
      <x:c r="H2089" s="11" t="n">
        <x:v>0</x:v>
      </x:c>
      <x:c r="I2089" s="17" t="n">
        <x:f>INDEX('Costing'!$P$9:$P$492,MATCH(D2089,'Costing'!$A$9:$A$492,0))</x:f>
        <x:v>15000</x:v>
      </x:c>
      <x:c r="J2089" s="17" t="n">
        <x:f>ROUND(I2089*'Costing'!$C$4,2)</x:f>
        <x:v>2700</x:v>
      </x:c>
      <x:c r="K2089" s="17" t="n">
        <x:f>I2089+J2089</x:f>
        <x:v>17700</x:v>
      </x:c>
    </x:row>
    <x:row r="2090" ht="46" customHeight="1">
      <x:c r="A2090" s="2" t="str">
        <x:v>Sector</x:v>
      </x:c>
      <x:c r="B2090" s="2" t="str">
        <x:v>Trade, consumer &amp; logistics</x:v>
      </x:c>
      <x:c r="C2090" s="12" t="str">
        <x:v>Bengaluru</x:v>
      </x:c>
      <x:c r="D2090" s="12" t="str">
        <x:v>MAIN-071</x:v>
      </x:c>
      <x:c r="E2090" s="12" t="str">
        <x:v>Obeya - Verve</x:v>
      </x:c>
      <x:c r="F2090" s="11" t="n">
        <x:v>1</x:v>
      </x:c>
      <x:c r="G2090" s="11" t="n">
        <x:v>1</x:v>
      </x:c>
      <x:c r="H2090" s="11" t="n">
        <x:v>0</x:v>
      </x:c>
      <x:c r="I2090" s="17" t="n">
        <x:f>INDEX('Costing'!$P$9:$P$492,MATCH(D2090,'Costing'!$A$9:$A$492,0))</x:f>
        <x:v>15000</x:v>
      </x:c>
      <x:c r="J2090" s="17" t="n">
        <x:f>ROUND(I2090*'Costing'!$C$4,2)</x:f>
        <x:v>2700</x:v>
      </x:c>
      <x:c r="K2090" s="17" t="n">
        <x:f>I2090+J2090</x:f>
        <x:v>17700</x:v>
      </x:c>
    </x:row>
    <x:row r="2091" ht="46" customHeight="1">
      <x:c r="A2091" s="2" t="str">
        <x:v>Sector</x:v>
      </x:c>
      <x:c r="B2091" s="2" t="str">
        <x:v>Trade, consumer &amp; logistics</x:v>
      </x:c>
      <x:c r="C2091" s="12" t="str">
        <x:v>Bengaluru</x:v>
      </x:c>
      <x:c r="D2091" s="12" t="str">
        <x:v>MAIN-077</x:v>
      </x:c>
      <x:c r="E2091" s="12" t="str">
        <x:v>Raheja Towers</x:v>
      </x:c>
      <x:c r="F2091" s="11" t="n">
        <x:v>11</x:v>
      </x:c>
      <x:c r="G2091" s="11" t="n">
        <x:v>11</x:v>
      </x:c>
      <x:c r="H2091" s="11" t="n">
        <x:v>0</x:v>
      </x:c>
      <x:c r="I2091" s="17" t="n">
        <x:f>INDEX('Costing'!$P$9:$P$492,MATCH(D2091,'Costing'!$A$9:$A$492,0))</x:f>
        <x:v>165000</x:v>
      </x:c>
      <x:c r="J2091" s="17" t="n">
        <x:f>ROUND(I2091*'Costing'!$C$4,2)</x:f>
        <x:v>29700</x:v>
      </x:c>
      <x:c r="K2091" s="17" t="n">
        <x:f>I2091+J2091</x:f>
        <x:v>194700</x:v>
      </x:c>
    </x:row>
    <x:row r="2092" ht="46" customHeight="1">
      <x:c r="A2092" s="2" t="str">
        <x:v>Sector</x:v>
      </x:c>
      <x:c r="B2092" s="2" t="str">
        <x:v>Trade, consumer &amp; logistics</x:v>
      </x:c>
      <x:c r="C2092" s="12" t="str">
        <x:v>Bengaluru</x:v>
      </x:c>
      <x:c r="D2092" s="12" t="str">
        <x:v>MAIN-081</x:v>
      </x:c>
      <x:c r="E2092" s="12" t="str">
        <x:v>Sierra Cartel</x:v>
      </x:c>
      <x:c r="F2092" s="11" t="n">
        <x:v>2</x:v>
      </x:c>
      <x:c r="G2092" s="11" t="n">
        <x:v>2</x:v>
      </x:c>
      <x:c r="H2092" s="11" t="n">
        <x:v>0</x:v>
      </x:c>
      <x:c r="I2092" s="17" t="n">
        <x:f>INDEX('Costing'!$P$9:$P$492,MATCH(D2092,'Costing'!$A$9:$A$492,0))</x:f>
        <x:v>30000</x:v>
      </x:c>
      <x:c r="J2092" s="17" t="n">
        <x:f>ROUND(I2092*'Costing'!$C$4,2)</x:f>
        <x:v>5400</x:v>
      </x:c>
      <x:c r="K2092" s="17" t="n">
        <x:f>I2092+J2092</x:f>
        <x:v>35400</x:v>
      </x:c>
    </x:row>
    <x:row r="2093" ht="46" customHeight="1">
      <x:c r="A2093" s="2" t="str">
        <x:v>Sector</x:v>
      </x:c>
      <x:c r="B2093" s="2" t="str">
        <x:v>Trade, consumer &amp; logistics</x:v>
      </x:c>
      <x:c r="C2093" s="12" t="str">
        <x:v>Bengaluru</x:v>
      </x:c>
      <x:c r="D2093" s="12" t="str">
        <x:v>MAIN-082</x:v>
      </x:c>
      <x:c r="E2093" s="12" t="str">
        <x:v>Sirius Building (Pod Screens)</x:v>
      </x:c>
      <x:c r="F2093" s="11" t="n">
        <x:v>2</x:v>
      </x:c>
      <x:c r="G2093" s="11" t="n">
        <x:v>2</x:v>
      </x:c>
      <x:c r="H2093" s="11" t="n">
        <x:v>0</x:v>
      </x:c>
      <x:c r="I2093" s="17" t="n">
        <x:f>INDEX('Costing'!$P$9:$P$492,MATCH(D2093,'Costing'!$A$9:$A$492,0))</x:f>
        <x:v>40000</x:v>
      </x:c>
      <x:c r="J2093" s="17" t="n">
        <x:f>ROUND(I2093*'Costing'!$C$4,2)</x:f>
        <x:v>7200</x:v>
      </x:c>
      <x:c r="K2093" s="17" t="n">
        <x:f>I2093+J2093</x:f>
        <x:v>47200</x:v>
      </x:c>
    </x:row>
    <x:row r="2094" ht="46" customHeight="1">
      <x:c r="A2094" s="2" t="str">
        <x:v>Sector</x:v>
      </x:c>
      <x:c r="B2094" s="2" t="str">
        <x:v>Trade, consumer &amp; logistics</x:v>
      </x:c>
      <x:c r="C2094" s="12" t="str">
        <x:v>Bengaluru</x:v>
      </x:c>
      <x:c r="D2094" s="12" t="str">
        <x:v>MAIN-083</x:v>
      </x:c>
      <x:c r="E2094" s="12" t="str">
        <x:v>Sirius Building Tech Park</x:v>
      </x:c>
      <x:c r="F2094" s="11" t="n">
        <x:v>3</x:v>
      </x:c>
      <x:c r="G2094" s="11" t="n">
        <x:v>3</x:v>
      </x:c>
      <x:c r="H2094" s="11" t="n">
        <x:v>0</x:v>
      </x:c>
      <x:c r="I2094" s="17" t="n">
        <x:f>INDEX('Costing'!$P$9:$P$492,MATCH(D2094,'Costing'!$A$9:$A$492,0))</x:f>
        <x:v>97500</x:v>
      </x:c>
      <x:c r="J2094" s="17" t="n">
        <x:f>ROUND(I2094*'Costing'!$C$4,2)</x:f>
        <x:v>17550</x:v>
      </x:c>
      <x:c r="K2094" s="17" t="n">
        <x:f>I2094+J2094</x:f>
        <x:v>115050</x:v>
      </x:c>
    </x:row>
    <x:row r="2095" ht="46" customHeight="1">
      <x:c r="A2095" s="2" t="str">
        <x:v>Sector</x:v>
      </x:c>
      <x:c r="B2095" s="2" t="str">
        <x:v>Trade, consumer &amp; logistics</x:v>
      </x:c>
      <x:c r="C2095" s="12" t="str">
        <x:v>Bengaluru</x:v>
      </x:c>
      <x:c r="D2095" s="12" t="str">
        <x:v>MAIN-086</x:v>
      </x:c>
      <x:c r="E2095" s="12" t="str">
        <x:v>Startuphuts- Unit 1</x:v>
      </x:c>
      <x:c r="F2095" s="11" t="n">
        <x:v>1</x:v>
      </x:c>
      <x:c r="G2095" s="11" t="n">
        <x:v>1</x:v>
      </x:c>
      <x:c r="H2095" s="11" t="n">
        <x:v>0</x:v>
      </x:c>
      <x:c r="I2095" s="17" t="n">
        <x:f>INDEX('Costing'!$P$9:$P$492,MATCH(D2095,'Costing'!$A$9:$A$492,0))</x:f>
        <x:v>15000</x:v>
      </x:c>
      <x:c r="J2095" s="17" t="n">
        <x:f>ROUND(I2095*'Costing'!$C$4,2)</x:f>
        <x:v>2700</x:v>
      </x:c>
      <x:c r="K2095" s="17" t="n">
        <x:f>I2095+J2095</x:f>
        <x:v>17700</x:v>
      </x:c>
    </x:row>
    <x:row r="2096" ht="46" customHeight="1">
      <x:c r="A2096" s="2" t="str">
        <x:v>Sector</x:v>
      </x:c>
      <x:c r="B2096" s="2" t="str">
        <x:v>Trade, consumer &amp; logistics</x:v>
      </x:c>
      <x:c r="C2096" s="12" t="str">
        <x:v>Bengaluru</x:v>
      </x:c>
      <x:c r="D2096" s="12" t="str">
        <x:v>MAIN-087</x:v>
      </x:c>
      <x:c r="E2096" s="12" t="str">
        <x:v>Startuphuts- Unit 3</x:v>
      </x:c>
      <x:c r="F2096" s="11" t="n">
        <x:v>1</x:v>
      </x:c>
      <x:c r="G2096" s="11" t="n">
        <x:v>1</x:v>
      </x:c>
      <x:c r="H2096" s="11" t="n">
        <x:v>0</x:v>
      </x:c>
      <x:c r="I2096" s="17" t="n">
        <x:f>INDEX('Costing'!$P$9:$P$492,MATCH(D2096,'Costing'!$A$9:$A$492,0))</x:f>
        <x:v>15000</x:v>
      </x:c>
      <x:c r="J2096" s="17" t="n">
        <x:f>ROUND(I2096*'Costing'!$C$4,2)</x:f>
        <x:v>2700</x:v>
      </x:c>
      <x:c r="K2096" s="17" t="n">
        <x:f>I2096+J2096</x:f>
        <x:v>17700</x:v>
      </x:c>
    </x:row>
    <x:row r="2097" ht="46" customHeight="1">
      <x:c r="A2097" s="2" t="str">
        <x:v>Sector</x:v>
      </x:c>
      <x:c r="B2097" s="2" t="str">
        <x:v>Trade, consumer &amp; logistics</x:v>
      </x:c>
      <x:c r="C2097" s="12" t="str">
        <x:v>Bengaluru</x:v>
      </x:c>
      <x:c r="D2097" s="12" t="str">
        <x:v>MAIN-093</x:v>
      </x:c>
      <x:c r="E2097" s="12" t="str">
        <x:v>The Venture Studios</x:v>
      </x:c>
      <x:c r="F2097" s="11" t="n">
        <x:v>1</x:v>
      </x:c>
      <x:c r="G2097" s="11" t="n">
        <x:v>1</x:v>
      </x:c>
      <x:c r="H2097" s="11" t="n">
        <x:v>0</x:v>
      </x:c>
      <x:c r="I2097" s="17" t="n">
        <x:f>INDEX('Costing'!$P$9:$P$492,MATCH(D2097,'Costing'!$A$9:$A$492,0))</x:f>
        <x:v>15000</x:v>
      </x:c>
      <x:c r="J2097" s="17" t="n">
        <x:f>ROUND(I2097*'Costing'!$C$4,2)</x:f>
        <x:v>2700</x:v>
      </x:c>
      <x:c r="K2097" s="17" t="n">
        <x:f>I2097+J2097</x:f>
        <x:v>17700</x:v>
      </x:c>
    </x:row>
    <x:row r="2098" ht="46" customHeight="1">
      <x:c r="A2098" s="2" t="str">
        <x:v>Sector</x:v>
      </x:c>
      <x:c r="B2098" s="2" t="str">
        <x:v>Trade, consumer &amp; logistics</x:v>
      </x:c>
      <x:c r="C2098" s="12" t="str">
        <x:v>Bengaluru</x:v>
      </x:c>
      <x:c r="D2098" s="12" t="str">
        <x:v>MAIN-103</x:v>
      </x:c>
      <x:c r="E2098" s="12" t="str">
        <x:v>Urban Vault- 1086</x:v>
      </x:c>
      <x:c r="F2098" s="11" t="n">
        <x:v>1</x:v>
      </x:c>
      <x:c r="G2098" s="11" t="n">
        <x:v>1</x:v>
      </x:c>
      <x:c r="H2098" s="11" t="n">
        <x:v>0</x:v>
      </x:c>
      <x:c r="I2098" s="17" t="n">
        <x:f>INDEX('Costing'!$P$9:$P$492,MATCH(D2098,'Costing'!$A$9:$A$492,0))</x:f>
        <x:v>15000</x:v>
      </x:c>
      <x:c r="J2098" s="17" t="n">
        <x:f>ROUND(I2098*'Costing'!$C$4,2)</x:f>
        <x:v>2700</x:v>
      </x:c>
      <x:c r="K2098" s="17" t="n">
        <x:f>I2098+J2098</x:f>
        <x:v>17700</x:v>
      </x:c>
    </x:row>
    <x:row r="2099" ht="46" customHeight="1">
      <x:c r="A2099" s="2" t="str">
        <x:v>Sector</x:v>
      </x:c>
      <x:c r="B2099" s="2" t="str">
        <x:v>Trade, consumer &amp; logistics</x:v>
      </x:c>
      <x:c r="C2099" s="12" t="str">
        <x:v>Bengaluru</x:v>
      </x:c>
      <x:c r="D2099" s="12" t="str">
        <x:v>MAIN-104</x:v>
      </x:c>
      <x:c r="E2099" s="12" t="str">
        <x:v>Urban Vault- 1090/A</x:v>
      </x:c>
      <x:c r="F2099" s="11" t="n">
        <x:v>1</x:v>
      </x:c>
      <x:c r="G2099" s="11" t="n">
        <x:v>1</x:v>
      </x:c>
      <x:c r="H2099" s="11" t="n">
        <x:v>0</x:v>
      </x:c>
      <x:c r="I2099" s="17" t="n">
        <x:f>INDEX('Costing'!$P$9:$P$492,MATCH(D2099,'Costing'!$A$9:$A$492,0))</x:f>
        <x:v>15000</x:v>
      </x:c>
      <x:c r="J2099" s="17" t="n">
        <x:f>ROUND(I2099*'Costing'!$C$4,2)</x:f>
        <x:v>2700</x:v>
      </x:c>
      <x:c r="K2099" s="17" t="n">
        <x:f>I2099+J2099</x:f>
        <x:v>17700</x:v>
      </x:c>
    </x:row>
    <x:row r="2100" ht="46" customHeight="1">
      <x:c r="A2100" s="2" t="str">
        <x:v>Sector</x:v>
      </x:c>
      <x:c r="B2100" s="2" t="str">
        <x:v>Trade, consumer &amp; logistics</x:v>
      </x:c>
      <x:c r="C2100" s="12" t="str">
        <x:v>Bengaluru</x:v>
      </x:c>
      <x:c r="D2100" s="12" t="str">
        <x:v>MAIN-098</x:v>
      </x:c>
      <x:c r="E2100" s="12" t="str">
        <x:v>Urban Vault- 145</x:v>
      </x:c>
      <x:c r="F2100" s="11" t="n">
        <x:v>2</x:v>
      </x:c>
      <x:c r="G2100" s="11" t="n">
        <x:v>2</x:v>
      </x:c>
      <x:c r="H2100" s="11" t="n">
        <x:v>0</x:v>
      </x:c>
      <x:c r="I2100" s="17" t="n">
        <x:f>INDEX('Costing'!$P$9:$P$492,MATCH(D2100,'Costing'!$A$9:$A$492,0))</x:f>
        <x:v>30000</x:v>
      </x:c>
      <x:c r="J2100" s="17" t="n">
        <x:f>ROUND(I2100*'Costing'!$C$4,2)</x:f>
        <x:v>5400</x:v>
      </x:c>
      <x:c r="K2100" s="17" t="n">
        <x:f>I2100+J2100</x:f>
        <x:v>35400</x:v>
      </x:c>
    </x:row>
    <x:row r="2101" ht="46" customHeight="1">
      <x:c r="A2101" s="2" t="str">
        <x:v>Sector</x:v>
      </x:c>
      <x:c r="B2101" s="2" t="str">
        <x:v>Trade, consumer &amp; logistics</x:v>
      </x:c>
      <x:c r="C2101" s="12" t="str">
        <x:v>Bengaluru</x:v>
      </x:c>
      <x:c r="D2101" s="12" t="str">
        <x:v>MAIN-106</x:v>
      </x:c>
      <x:c r="E2101" s="12" t="str">
        <x:v>Urban Vault- 1515</x:v>
      </x:c>
      <x:c r="F2101" s="11" t="n">
        <x:v>2</x:v>
      </x:c>
      <x:c r="G2101" s="11" t="n">
        <x:v>2</x:v>
      </x:c>
      <x:c r="H2101" s="11" t="n">
        <x:v>0</x:v>
      </x:c>
      <x:c r="I2101" s="17" t="n">
        <x:f>INDEX('Costing'!$P$9:$P$492,MATCH(D2101,'Costing'!$A$9:$A$492,0))</x:f>
        <x:v>30000</x:v>
      </x:c>
      <x:c r="J2101" s="17" t="n">
        <x:f>ROUND(I2101*'Costing'!$C$4,2)</x:f>
        <x:v>5400</x:v>
      </x:c>
      <x:c r="K2101" s="17" t="n">
        <x:f>I2101+J2101</x:f>
        <x:v>35400</x:v>
      </x:c>
    </x:row>
    <x:row r="2102" ht="46" customHeight="1">
      <x:c r="A2102" s="2" t="str">
        <x:v>Sector</x:v>
      </x:c>
      <x:c r="B2102" s="2" t="str">
        <x:v>Trade, consumer &amp; logistics</x:v>
      </x:c>
      <x:c r="C2102" s="12" t="str">
        <x:v>Bengaluru</x:v>
      </x:c>
      <x:c r="D2102" s="12" t="str">
        <x:v>MAIN-108</x:v>
      </x:c>
      <x:c r="E2102" s="12" t="str">
        <x:v>Urban Vault- 1781</x:v>
      </x:c>
      <x:c r="F2102" s="11" t="n">
        <x:v>2</x:v>
      </x:c>
      <x:c r="G2102" s="11" t="n">
        <x:v>2</x:v>
      </x:c>
      <x:c r="H2102" s="11" t="n">
        <x:v>0</x:v>
      </x:c>
      <x:c r="I2102" s="17" t="n">
        <x:f>INDEX('Costing'!$P$9:$P$492,MATCH(D2102,'Costing'!$A$9:$A$492,0))</x:f>
        <x:v>30000</x:v>
      </x:c>
      <x:c r="J2102" s="17" t="n">
        <x:f>ROUND(I2102*'Costing'!$C$4,2)</x:f>
        <x:v>5400</x:v>
      </x:c>
      <x:c r="K2102" s="17" t="n">
        <x:f>I2102+J2102</x:f>
        <x:v>35400</x:v>
      </x:c>
    </x:row>
    <x:row r="2103" ht="46" customHeight="1">
      <x:c r="A2103" s="2" t="str">
        <x:v>Sector</x:v>
      </x:c>
      <x:c r="B2103" s="2" t="str">
        <x:v>Trade, consumer &amp; logistics</x:v>
      </x:c>
      <x:c r="C2103" s="12" t="str">
        <x:v>Bengaluru</x:v>
      </x:c>
      <x:c r="D2103" s="12" t="str">
        <x:v>MAIN-109</x:v>
      </x:c>
      <x:c r="E2103" s="12" t="str">
        <x:v>Urban Vault- 2907</x:v>
      </x:c>
      <x:c r="F2103" s="11" t="n">
        <x:v>2</x:v>
      </x:c>
      <x:c r="G2103" s="11" t="n">
        <x:v>2</x:v>
      </x:c>
      <x:c r="H2103" s="11" t="n">
        <x:v>0</x:v>
      </x:c>
      <x:c r="I2103" s="17" t="n">
        <x:f>INDEX('Costing'!$P$9:$P$492,MATCH(D2103,'Costing'!$A$9:$A$492,0))</x:f>
        <x:v>30000</x:v>
      </x:c>
      <x:c r="J2103" s="17" t="n">
        <x:f>ROUND(I2103*'Costing'!$C$4,2)</x:f>
        <x:v>5400</x:v>
      </x:c>
      <x:c r="K2103" s="17" t="n">
        <x:f>I2103+J2103</x:f>
        <x:v>35400</x:v>
      </x:c>
    </x:row>
    <x:row r="2104" ht="46" customHeight="1">
      <x:c r="A2104" s="2" t="str">
        <x:v>Sector</x:v>
      </x:c>
      <x:c r="B2104" s="2" t="str">
        <x:v>Trade, consumer &amp; logistics</x:v>
      </x:c>
      <x:c r="C2104" s="12" t="str">
        <x:v>Bengaluru</x:v>
      </x:c>
      <x:c r="D2104" s="12" t="str">
        <x:v>MAIN-110</x:v>
      </x:c>
      <x:c r="E2104" s="12" t="str">
        <x:v>Urban Vault- 2908</x:v>
      </x:c>
      <x:c r="F2104" s="11" t="n">
        <x:v>2</x:v>
      </x:c>
      <x:c r="G2104" s="11" t="n">
        <x:v>2</x:v>
      </x:c>
      <x:c r="H2104" s="11" t="n">
        <x:v>0</x:v>
      </x:c>
      <x:c r="I2104" s="17" t="n">
        <x:f>INDEX('Costing'!$P$9:$P$492,MATCH(D2104,'Costing'!$A$9:$A$492,0))</x:f>
        <x:v>30000</x:v>
      </x:c>
      <x:c r="J2104" s="17" t="n">
        <x:f>ROUND(I2104*'Costing'!$C$4,2)</x:f>
        <x:v>5400</x:v>
      </x:c>
      <x:c r="K2104" s="17" t="n">
        <x:f>I2104+J2104</x:f>
        <x:v>35400</x:v>
      </x:c>
    </x:row>
    <x:row r="2105" ht="46" customHeight="1">
      <x:c r="A2105" s="2" t="str">
        <x:v>Sector</x:v>
      </x:c>
      <x:c r="B2105" s="2" t="str">
        <x:v>Trade, consumer &amp; logistics</x:v>
      </x:c>
      <x:c r="C2105" s="12" t="str">
        <x:v>Bengaluru</x:v>
      </x:c>
      <x:c r="D2105" s="12" t="str">
        <x:v>MAIN-101</x:v>
      </x:c>
      <x:c r="E2105" s="12" t="str">
        <x:v>Urban Vault- 761</x:v>
      </x:c>
      <x:c r="F2105" s="11" t="n">
        <x:v>2</x:v>
      </x:c>
      <x:c r="G2105" s="11" t="n">
        <x:v>2</x:v>
      </x:c>
      <x:c r="H2105" s="11" t="n">
        <x:v>0</x:v>
      </x:c>
      <x:c r="I2105" s="17" t="n">
        <x:f>INDEX('Costing'!$P$9:$P$492,MATCH(D2105,'Costing'!$A$9:$A$492,0))</x:f>
        <x:v>30000</x:v>
      </x:c>
      <x:c r="J2105" s="17" t="n">
        <x:f>ROUND(I2105*'Costing'!$C$4,2)</x:f>
        <x:v>5400</x:v>
      </x:c>
      <x:c r="K2105" s="17" t="n">
        <x:f>I2105+J2105</x:f>
        <x:v>35400</x:v>
      </x:c>
    </x:row>
    <x:row r="2106" ht="46" customHeight="1">
      <x:c r="A2106" s="2" t="str">
        <x:v>Sector</x:v>
      </x:c>
      <x:c r="B2106" s="2" t="str">
        <x:v>Trade, consumer &amp; logistics</x:v>
      </x:c>
      <x:c r="C2106" s="12" t="str">
        <x:v>Bengaluru</x:v>
      </x:c>
      <x:c r="D2106" s="12" t="str">
        <x:v>MAIN-097</x:v>
      </x:c>
      <x:c r="E2106" s="12" t="str">
        <x:v>Urban Vault- 97</x:v>
      </x:c>
      <x:c r="F2106" s="11" t="n">
        <x:v>1</x:v>
      </x:c>
      <x:c r="G2106" s="11" t="n">
        <x:v>1</x:v>
      </x:c>
      <x:c r="H2106" s="11" t="n">
        <x:v>0</x:v>
      </x:c>
      <x:c r="I2106" s="17" t="n">
        <x:f>INDEX('Costing'!$P$9:$P$492,MATCH(D2106,'Costing'!$A$9:$A$492,0))</x:f>
        <x:v>15000</x:v>
      </x:c>
      <x:c r="J2106" s="17" t="n">
        <x:f>ROUND(I2106*'Costing'!$C$4,2)</x:f>
        <x:v>2700</x:v>
      </x:c>
      <x:c r="K2106" s="17" t="n">
        <x:f>I2106+J2106</x:f>
        <x:v>17700</x:v>
      </x:c>
    </x:row>
    <x:row r="2107" ht="46" customHeight="1">
      <x:c r="A2107" s="2" t="str">
        <x:v>Sector</x:v>
      </x:c>
      <x:c r="B2107" s="2" t="str">
        <x:v>Trade, consumer &amp; logistics</x:v>
      </x:c>
      <x:c r="C2107" s="12" t="str">
        <x:v>Bengaluru</x:v>
      </x:c>
      <x:c r="D2107" s="12" t="str">
        <x:v>MAIN-111</x:v>
      </x:c>
      <x:c r="E2107" s="12" t="str">
        <x:v>Urban Vault- Head Quarters</x:v>
      </x:c>
      <x:c r="F2107" s="11" t="n">
        <x:v>1</x:v>
      </x:c>
      <x:c r="G2107" s="11" t="n">
        <x:v>1</x:v>
      </x:c>
      <x:c r="H2107" s="11" t="n">
        <x:v>0</x:v>
      </x:c>
      <x:c r="I2107" s="17" t="n">
        <x:f>INDEX('Costing'!$P$9:$P$492,MATCH(D2107,'Costing'!$A$9:$A$492,0))</x:f>
        <x:v>15000</x:v>
      </x:c>
      <x:c r="J2107" s="17" t="n">
        <x:f>ROUND(I2107*'Costing'!$C$4,2)</x:f>
        <x:v>2700</x:v>
      </x:c>
      <x:c r="K2107" s="17" t="n">
        <x:f>I2107+J2107</x:f>
        <x:v>17700</x:v>
      </x:c>
    </x:row>
    <x:row r="2108" ht="46" customHeight="1">
      <x:c r="A2108" s="2" t="str">
        <x:v>Sector</x:v>
      </x:c>
      <x:c r="B2108" s="2" t="str">
        <x:v>Trade, consumer &amp; logistics</x:v>
      </x:c>
      <x:c r="C2108" s="12" t="str">
        <x:v>Bengaluru</x:v>
      </x:c>
      <x:c r="D2108" s="12" t="str">
        <x:v>MAIN-112</x:v>
      </x:c>
      <x:c r="E2108" s="12" t="str">
        <x:v>WeWork - Cherry Hills</x:v>
      </x:c>
      <x:c r="F2108" s="11" t="n">
        <x:v>1</x:v>
      </x:c>
      <x:c r="G2108" s="11" t="n">
        <x:v>1</x:v>
      </x:c>
      <x:c r="H2108" s="11" t="n">
        <x:v>0</x:v>
      </x:c>
      <x:c r="I2108" s="17" t="n">
        <x:f>INDEX('Costing'!$P$9:$P$492,MATCH(D2108,'Costing'!$A$9:$A$492,0))</x:f>
        <x:v>25000</x:v>
      </x:c>
      <x:c r="J2108" s="17" t="n">
        <x:f>ROUND(I2108*'Costing'!$C$4,2)</x:f>
        <x:v>4500</x:v>
      </x:c>
      <x:c r="K2108" s="17" t="n">
        <x:f>I2108+J2108</x:f>
        <x:v>29500</x:v>
      </x:c>
    </x:row>
    <x:row r="2109" ht="46" customHeight="1">
      <x:c r="A2109" s="2" t="str">
        <x:v>Sector</x:v>
      </x:c>
      <x:c r="B2109" s="2" t="str">
        <x:v>Trade, consumer &amp; logistics</x:v>
      </x:c>
      <x:c r="C2109" s="12" t="str">
        <x:v>Bengaluru</x:v>
      </x:c>
      <x:c r="D2109" s="12" t="str">
        <x:v>MAIN-114</x:v>
      </x:c>
      <x:c r="E2109" s="12" t="str">
        <x:v>Wework - Embassy One</x:v>
      </x:c>
      <x:c r="F2109" s="11" t="n">
        <x:v>2</x:v>
      </x:c>
      <x:c r="G2109" s="11" t="n">
        <x:v>2</x:v>
      </x:c>
      <x:c r="H2109" s="11" t="n">
        <x:v>0</x:v>
      </x:c>
      <x:c r="I2109" s="17" t="n">
        <x:f>INDEX('Costing'!$P$9:$P$492,MATCH(D2109,'Costing'!$A$9:$A$492,0))</x:f>
        <x:v>50000</x:v>
      </x:c>
      <x:c r="J2109" s="17" t="n">
        <x:f>ROUND(I2109*'Costing'!$C$4,2)</x:f>
        <x:v>9000</x:v>
      </x:c>
      <x:c r="K2109" s="17" t="n">
        <x:f>I2109+J2109</x:f>
        <x:v>59000</x:v>
      </x:c>
    </x:row>
    <x:row r="2110" ht="46" customHeight="1">
      <x:c r="A2110" s="2" t="str">
        <x:v>Sector</x:v>
      </x:c>
      <x:c r="B2110" s="2" t="str">
        <x:v>Trade, consumer &amp; logistics</x:v>
      </x:c>
      <x:c r="C2110" s="12" t="str">
        <x:v>Bengaluru</x:v>
      </x:c>
      <x:c r="D2110" s="12" t="str">
        <x:v>MAIN-115</x:v>
      </x:c>
      <x:c r="E2110" s="12" t="str">
        <x:v>Wework - Embassy Quest</x:v>
      </x:c>
      <x:c r="F2110" s="11" t="n">
        <x:v>4</x:v>
      </x:c>
      <x:c r="G2110" s="11" t="n">
        <x:v>4</x:v>
      </x:c>
      <x:c r="H2110" s="11" t="n">
        <x:v>0</x:v>
      </x:c>
      <x:c r="I2110" s="17" t="n">
        <x:f>INDEX('Costing'!$P$9:$P$492,MATCH(D2110,'Costing'!$A$9:$A$492,0))</x:f>
        <x:v>100000</x:v>
      </x:c>
      <x:c r="J2110" s="17" t="n">
        <x:f>ROUND(I2110*'Costing'!$C$4,2)</x:f>
        <x:v>18000</x:v>
      </x:c>
      <x:c r="K2110" s="17" t="n">
        <x:f>I2110+J2110</x:f>
        <x:v>118000</x:v>
      </x:c>
    </x:row>
    <x:row r="2111" ht="46" customHeight="1">
      <x:c r="A2111" s="2" t="str">
        <x:v>Sector</x:v>
      </x:c>
      <x:c r="B2111" s="2" t="str">
        <x:v>Trade, consumer &amp; logistics</x:v>
      </x:c>
      <x:c r="C2111" s="12" t="str">
        <x:v>Bengaluru</x:v>
      </x:c>
      <x:c r="D2111" s="12" t="str">
        <x:v>MAIN-116</x:v>
      </x:c>
      <x:c r="E2111" s="12" t="str">
        <x:v>WeWork - ETV</x:v>
      </x:c>
      <x:c r="F2111" s="11" t="n">
        <x:v>7</x:v>
      </x:c>
      <x:c r="G2111" s="11" t="n">
        <x:v>7</x:v>
      </x:c>
      <x:c r="H2111" s="11" t="n">
        <x:v>0</x:v>
      </x:c>
      <x:c r="I2111" s="17" t="n">
        <x:f>INDEX('Costing'!$P$9:$P$492,MATCH(D2111,'Costing'!$A$9:$A$492,0))</x:f>
        <x:v>175000</x:v>
      </x:c>
      <x:c r="J2111" s="17" t="n">
        <x:f>ROUND(I2111*'Costing'!$C$4,2)</x:f>
        <x:v>31500</x:v>
      </x:c>
      <x:c r="K2111" s="17" t="n">
        <x:f>I2111+J2111</x:f>
        <x:v>206500</x:v>
      </x:c>
    </x:row>
    <x:row r="2112" ht="46" customHeight="1">
      <x:c r="A2112" s="2" t="str">
        <x:v>Sector</x:v>
      </x:c>
      <x:c r="B2112" s="2" t="str">
        <x:v>Trade, consumer &amp; logistics</x:v>
      </x:c>
      <x:c r="C2112" s="12" t="str">
        <x:v>Bengaluru</x:v>
      </x:c>
      <x:c r="D2112" s="12" t="str">
        <x:v>MAIN-124</x:v>
      </x:c>
      <x:c r="E2112" s="12" t="str">
        <x:v>WeWork - RMZ Latitude</x:v>
      </x:c>
      <x:c r="F2112" s="11" t="n">
        <x:v>4</x:v>
      </x:c>
      <x:c r="G2112" s="11" t="n">
        <x:v>4</x:v>
      </x:c>
      <x:c r="H2112" s="11" t="n">
        <x:v>0</x:v>
      </x:c>
      <x:c r="I2112" s="17" t="n">
        <x:f>INDEX('Costing'!$P$9:$P$492,MATCH(D2112,'Costing'!$A$9:$A$492,0))</x:f>
        <x:v>100000</x:v>
      </x:c>
      <x:c r="J2112" s="17" t="n">
        <x:f>ROUND(I2112*'Costing'!$C$4,2)</x:f>
        <x:v>18000</x:v>
      </x:c>
      <x:c r="K2112" s="17" t="n">
        <x:f>I2112+J2112</x:f>
        <x:v>118000</x:v>
      </x:c>
    </x:row>
    <x:row r="2113" ht="46" customHeight="1">
      <x:c r="A2113" s="2" t="str">
        <x:v>Sector</x:v>
      </x:c>
      <x:c r="B2113" s="2" t="str">
        <x:v>Trade, consumer &amp; logistics</x:v>
      </x:c>
      <x:c r="C2113" s="12" t="str">
        <x:v>Bengaluru</x:v>
      </x:c>
      <x:c r="D2113" s="12" t="str">
        <x:v>MAIN-127</x:v>
      </x:c>
      <x:c r="E2113" s="12" t="str">
        <x:v>WeWork - Salarpuria Symbiosis</x:v>
      </x:c>
      <x:c r="F2113" s="11" t="n">
        <x:v>5</x:v>
      </x:c>
      <x:c r="G2113" s="11" t="n">
        <x:v>5</x:v>
      </x:c>
      <x:c r="H2113" s="11" t="n">
        <x:v>0</x:v>
      </x:c>
      <x:c r="I2113" s="17" t="n">
        <x:f>INDEX('Costing'!$P$9:$P$492,MATCH(D2113,'Costing'!$A$9:$A$492,0))</x:f>
        <x:v>125000</x:v>
      </x:c>
      <x:c r="J2113" s="17" t="n">
        <x:f>ROUND(I2113*'Costing'!$C$4,2)</x:f>
        <x:v>22500</x:v>
      </x:c>
      <x:c r="K2113" s="17" t="n">
        <x:f>I2113+J2113</x:f>
        <x:v>147500</x:v>
      </x:c>
    </x:row>
    <x:row r="2114" ht="46" customHeight="1">
      <x:c r="A2114" s="2" t="str">
        <x:v>Sector</x:v>
      </x:c>
      <x:c r="B2114" s="2" t="str">
        <x:v>Trade, consumer &amp; logistics</x:v>
      </x:c>
      <x:c r="C2114" s="12" t="str">
        <x:v>Bengaluru</x:v>
      </x:c>
      <x:c r="D2114" s="12" t="str">
        <x:v>MAIN-130</x:v>
      </x:c>
      <x:c r="E2114" s="12" t="str">
        <x:v>WeWork - The Pavilion</x:v>
      </x:c>
      <x:c r="F2114" s="11" t="n">
        <x:v>4</x:v>
      </x:c>
      <x:c r="G2114" s="11" t="n">
        <x:v>4</x:v>
      </x:c>
      <x:c r="H2114" s="11" t="n">
        <x:v>0</x:v>
      </x:c>
      <x:c r="I2114" s="17" t="n">
        <x:f>INDEX('Costing'!$P$9:$P$492,MATCH(D2114,'Costing'!$A$9:$A$492,0))</x:f>
        <x:v>100000</x:v>
      </x:c>
      <x:c r="J2114" s="17" t="n">
        <x:f>ROUND(I2114*'Costing'!$C$4,2)</x:f>
        <x:v>18000</x:v>
      </x:c>
      <x:c r="K2114" s="17" t="n">
        <x:f>I2114+J2114</x:f>
        <x:v>118000</x:v>
      </x:c>
    </x:row>
    <x:row r="2115" ht="46" customHeight="1">
      <x:c r="A2115" s="2" t="str">
        <x:v>Sector</x:v>
      </x:c>
      <x:c r="B2115" s="2" t="str">
        <x:v>Trade, consumer &amp; logistics</x:v>
      </x:c>
      <x:c r="C2115" s="12" t="str">
        <x:v>Bengaluru</x:v>
      </x:c>
      <x:c r="D2115" s="12" t="str">
        <x:v>MAIN-134</x:v>
      </x:c>
      <x:c r="E2115" s="12" t="str">
        <x:v>Workhome - Coworking Space</x:v>
      </x:c>
      <x:c r="F2115" s="11" t="n">
        <x:v>2</x:v>
      </x:c>
      <x:c r="G2115" s="11" t="n">
        <x:v>2</x:v>
      </x:c>
      <x:c r="H2115" s="11" t="n">
        <x:v>0</x:v>
      </x:c>
      <x:c r="I2115" s="17" t="n">
        <x:f>INDEX('Costing'!$P$9:$P$492,MATCH(D2115,'Costing'!$A$9:$A$492,0))</x:f>
        <x:v>30000</x:v>
      </x:c>
      <x:c r="J2115" s="17" t="n">
        <x:f>ROUND(I2115*'Costing'!$C$4,2)</x:f>
        <x:v>5400</x:v>
      </x:c>
      <x:c r="K2115" s="17" t="n">
        <x:f>I2115+J2115</x:f>
        <x:v>35400</x:v>
      </x:c>
    </x:row>
    <x:row r="2116" ht="46" customHeight="1">
      <x:c r="A2116" s="2" t="str">
        <x:v>Sector</x:v>
      </x:c>
      <x:c r="B2116" s="2" t="str">
        <x:v>Trade, consumer &amp; logistics</x:v>
      </x:c>
      <x:c r="C2116" s="12" t="str">
        <x:v>Bengaluru</x:v>
      </x:c>
      <x:c r="D2116" s="12" t="str">
        <x:v>MAIN-135</x:v>
      </x:c>
      <x:c r="E2116" s="12" t="str">
        <x:v>Zonasha Frontier</x:v>
      </x:c>
      <x:c r="F2116" s="11" t="n">
        <x:v>1</x:v>
      </x:c>
      <x:c r="G2116" s="11" t="n">
        <x:v>1</x:v>
      </x:c>
      <x:c r="H2116" s="11" t="n">
        <x:v>0</x:v>
      </x:c>
      <x:c r="I2116" s="17" t="n">
        <x:f>INDEX('Costing'!$P$9:$P$492,MATCH(D2116,'Costing'!$A$9:$A$492,0))</x:f>
        <x:v>40000</x:v>
      </x:c>
      <x:c r="J2116" s="17" t="n">
        <x:f>ROUND(I2116*'Costing'!$C$4,2)</x:f>
        <x:v>7200</x:v>
      </x:c>
      <x:c r="K2116" s="17" t="n">
        <x:f>I2116+J2116</x:f>
        <x:v>47200</x:v>
      </x:c>
    </x:row>
    <x:row r="2117" ht="46" customHeight="1">
      <x:c r="A2117" s="2" t="str">
        <x:v>Sector</x:v>
      </x:c>
      <x:c r="B2117" s="2" t="str">
        <x:v>Trade, consumer &amp; logistics</x:v>
      </x:c>
      <x:c r="C2117" s="12" t="str">
        <x:v>Bhubaneswar</x:v>
      </x:c>
      <x:c r="D2117" s="12" t="str">
        <x:v>MAIN-137</x:v>
      </x:c>
      <x:c r="E2117" s="12" t="str">
        <x:v>Awfis - SRB Tower</x:v>
      </x:c>
      <x:c r="F2117" s="11" t="n">
        <x:v>2</x:v>
      </x:c>
      <x:c r="G2117" s="11" t="n">
        <x:v>2</x:v>
      </x:c>
      <x:c r="H2117" s="11" t="n">
        <x:v>0</x:v>
      </x:c>
      <x:c r="I2117" s="17" t="n">
        <x:f>INDEX('Costing'!$P$9:$P$492,MATCH(D2117,'Costing'!$A$9:$A$492,0))</x:f>
        <x:v>30000</x:v>
      </x:c>
      <x:c r="J2117" s="17" t="n">
        <x:f>ROUND(I2117*'Costing'!$C$4,2)</x:f>
        <x:v>5400</x:v>
      </x:c>
      <x:c r="K2117" s="17" t="n">
        <x:f>I2117+J2117</x:f>
        <x:v>35400</x:v>
      </x:c>
    </x:row>
    <x:row r="2118" ht="46" customHeight="1">
      <x:c r="A2118" s="2" t="str">
        <x:v>Sector</x:v>
      </x:c>
      <x:c r="B2118" s="2" t="str">
        <x:v>Trade, consumer &amp; logistics</x:v>
      </x:c>
      <x:c r="C2118" s="12" t="str">
        <x:v>Chennai</x:v>
      </x:c>
      <x:c r="D2118" s="12" t="str">
        <x:v>MAIN-139</x:v>
      </x:c>
      <x:c r="E2118" s="12" t="str">
        <x:v>Awfis - Gemini Circle</x:v>
      </x:c>
      <x:c r="F2118" s="11" t="n">
        <x:v>5</x:v>
      </x:c>
      <x:c r="G2118" s="11" t="n">
        <x:v>5</x:v>
      </x:c>
      <x:c r="H2118" s="11" t="n">
        <x:v>0</x:v>
      </x:c>
      <x:c r="I2118" s="17" t="n">
        <x:f>INDEX('Costing'!$P$9:$P$492,MATCH(D2118,'Costing'!$A$9:$A$492,0))</x:f>
        <x:v>75000</x:v>
      </x:c>
      <x:c r="J2118" s="17" t="n">
        <x:f>ROUND(I2118*'Costing'!$C$4,2)</x:f>
        <x:v>13500</x:v>
      </x:c>
      <x:c r="K2118" s="17" t="n">
        <x:f>I2118+J2118</x:f>
        <x:v>88500</x:v>
      </x:c>
    </x:row>
    <x:row r="2119" ht="46" customHeight="1">
      <x:c r="A2119" s="2" t="str">
        <x:v>Sector</x:v>
      </x:c>
      <x:c r="B2119" s="2" t="str">
        <x:v>Trade, consumer &amp; logistics</x:v>
      </x:c>
      <x:c r="C2119" s="12" t="str">
        <x:v>Chennai</x:v>
      </x:c>
      <x:c r="D2119" s="12" t="str">
        <x:v>MAIN-141</x:v>
      </x:c>
      <x:c r="E2119" s="12" t="str">
        <x:v>Awfis - Prestige Cosmopolitan-I</x:v>
      </x:c>
      <x:c r="F2119" s="11" t="n">
        <x:v>4</x:v>
      </x:c>
      <x:c r="G2119" s="11" t="n">
        <x:v>4</x:v>
      </x:c>
      <x:c r="H2119" s="11" t="n">
        <x:v>0</x:v>
      </x:c>
      <x:c r="I2119" s="17" t="n">
        <x:f>INDEX('Costing'!$P$9:$P$492,MATCH(D2119,'Costing'!$A$9:$A$492,0))</x:f>
        <x:v>60000</x:v>
      </x:c>
      <x:c r="J2119" s="17" t="n">
        <x:f>ROUND(I2119*'Costing'!$C$4,2)</x:f>
        <x:v>10800</x:v>
      </x:c>
      <x:c r="K2119" s="17" t="n">
        <x:f>I2119+J2119</x:f>
        <x:v>70800</x:v>
      </x:c>
    </x:row>
    <x:row r="2120" ht="46" customHeight="1">
      <x:c r="A2120" s="2" t="str">
        <x:v>Sector</x:v>
      </x:c>
      <x:c r="B2120" s="2" t="str">
        <x:v>Trade, consumer &amp; logistics</x:v>
      </x:c>
      <x:c r="C2120" s="12" t="str">
        <x:v>Chennai</x:v>
      </x:c>
      <x:c r="D2120" s="12" t="str">
        <x:v>MAIN-146</x:v>
      </x:c>
      <x:c r="E2120" s="12" t="str">
        <x:v>Global Infocity Park</x:v>
      </x:c>
      <x:c r="F2120" s="11" t="n">
        <x:v>4</x:v>
      </x:c>
      <x:c r="G2120" s="11" t="n">
        <x:v>4</x:v>
      </x:c>
      <x:c r="H2120" s="11" t="n">
        <x:v>0</x:v>
      </x:c>
      <x:c r="I2120" s="17" t="n">
        <x:f>INDEX('Costing'!$P$9:$P$492,MATCH(D2120,'Costing'!$A$9:$A$492,0))</x:f>
        <x:v>160000</x:v>
      </x:c>
      <x:c r="J2120" s="17" t="n">
        <x:f>ROUND(I2120*'Costing'!$C$4,2)</x:f>
        <x:v>28800</x:v>
      </x:c>
      <x:c r="K2120" s="17" t="n">
        <x:f>I2120+J2120</x:f>
        <x:v>188800</x:v>
      </x:c>
    </x:row>
    <x:row r="2121" ht="46" customHeight="1">
      <x:c r="A2121" s="2" t="str">
        <x:v>Sector</x:v>
      </x:c>
      <x:c r="B2121" s="2" t="str">
        <x:v>Trade, consumer &amp; logistics</x:v>
      </x:c>
      <x:c r="C2121" s="12" t="str">
        <x:v>Chennai</x:v>
      </x:c>
      <x:c r="D2121" s="12" t="str">
        <x:v>MAIN-148</x:v>
      </x:c>
      <x:c r="E2121" s="12" t="str">
        <x:v>Kochar Globe Tech Park</x:v>
      </x:c>
      <x:c r="F2121" s="11" t="n">
        <x:v>4</x:v>
      </x:c>
      <x:c r="G2121" s="11" t="n">
        <x:v>4</x:v>
      </x:c>
      <x:c r="H2121" s="11" t="n">
        <x:v>0</x:v>
      </x:c>
      <x:c r="I2121" s="17" t="n">
        <x:f>INDEX('Costing'!$P$9:$P$492,MATCH(D2121,'Costing'!$A$9:$A$492,0))</x:f>
        <x:v>80000</x:v>
      </x:c>
      <x:c r="J2121" s="17" t="n">
        <x:f>ROUND(I2121*'Costing'!$C$4,2)</x:f>
        <x:v>14400</x:v>
      </x:c>
      <x:c r="K2121" s="17" t="n">
        <x:f>I2121+J2121</x:f>
        <x:v>94400</x:v>
      </x:c>
    </x:row>
    <x:row r="2122" ht="46" customHeight="1">
      <x:c r="A2122" s="2" t="str">
        <x:v>Sector</x:v>
      </x:c>
      <x:c r="B2122" s="2" t="str">
        <x:v>Trade, consumer &amp; logistics</x:v>
      </x:c>
      <x:c r="C2122" s="12" t="str">
        <x:v>Chennai</x:v>
      </x:c>
      <x:c r="D2122" s="12" t="str">
        <x:v>MAIN-149</x:v>
      </x:c>
      <x:c r="E2122" s="12" t="str">
        <x:v>Kochar Globe Tech Park (Pod Screens)</x:v>
      </x:c>
      <x:c r="F2122" s="11" t="n">
        <x:v>2</x:v>
      </x:c>
      <x:c r="G2122" s="11" t="n">
        <x:v>2</x:v>
      </x:c>
      <x:c r="H2122" s="11" t="n">
        <x:v>0</x:v>
      </x:c>
      <x:c r="I2122" s="17" t="n">
        <x:f>INDEX('Costing'!$P$9:$P$492,MATCH(D2122,'Costing'!$A$9:$A$492,0))</x:f>
        <x:v>40000</x:v>
      </x:c>
      <x:c r="J2122" s="17" t="n">
        <x:f>ROUND(I2122*'Costing'!$C$4,2)</x:f>
        <x:v>7200</x:v>
      </x:c>
      <x:c r="K2122" s="17" t="n">
        <x:f>I2122+J2122</x:f>
        <x:v>47200</x:v>
      </x:c>
    </x:row>
    <x:row r="2123" ht="46" customHeight="1">
      <x:c r="A2123" s="2" t="str">
        <x:v>Sector</x:v>
      </x:c>
      <x:c r="B2123" s="2" t="str">
        <x:v>Trade, consumer &amp; logistics</x:v>
      </x:c>
      <x:c r="C2123" s="12" t="str">
        <x:v>Chennai</x:v>
      </x:c>
      <x:c r="D2123" s="12" t="str">
        <x:v>MAIN-152</x:v>
      </x:c>
      <x:c r="E2123" s="12" t="str">
        <x:v>Olympia Cyberspace</x:v>
      </x:c>
      <x:c r="F2123" s="11" t="n">
        <x:v>2</x:v>
      </x:c>
      <x:c r="G2123" s="11" t="n">
        <x:v>2</x:v>
      </x:c>
      <x:c r="H2123" s="11" t="n">
        <x:v>0</x:v>
      </x:c>
      <x:c r="I2123" s="17" t="n">
        <x:f>INDEX('Costing'!$P$9:$P$492,MATCH(D2123,'Costing'!$A$9:$A$492,0))</x:f>
        <x:v>40000</x:v>
      </x:c>
      <x:c r="J2123" s="17" t="n">
        <x:f>ROUND(I2123*'Costing'!$C$4,2)</x:f>
        <x:v>7200</x:v>
      </x:c>
      <x:c r="K2123" s="17" t="n">
        <x:f>I2123+J2123</x:f>
        <x:v>47200</x:v>
      </x:c>
    </x:row>
    <x:row r="2124" ht="46" customHeight="1">
      <x:c r="A2124" s="2" t="str">
        <x:v>Sector</x:v>
      </x:c>
      <x:c r="B2124" s="2" t="str">
        <x:v>Trade, consumer &amp; logistics</x:v>
      </x:c>
      <x:c r="C2124" s="12" t="str">
        <x:v>Chennai</x:v>
      </x:c>
      <x:c r="D2124" s="12" t="str">
        <x:v>MAIN-153</x:v>
      </x:c>
      <x:c r="E2124" s="12" t="str">
        <x:v>Olympia National Tower</x:v>
      </x:c>
      <x:c r="F2124" s="11" t="n">
        <x:v>4</x:v>
      </x:c>
      <x:c r="G2124" s="11" t="n">
        <x:v>4</x:v>
      </x:c>
      <x:c r="H2124" s="11" t="n">
        <x:v>0</x:v>
      </x:c>
      <x:c r="I2124" s="17" t="n">
        <x:f>INDEX('Costing'!$P$9:$P$492,MATCH(D2124,'Costing'!$A$9:$A$492,0))</x:f>
        <x:v>80000</x:v>
      </x:c>
      <x:c r="J2124" s="17" t="n">
        <x:f>ROUND(I2124*'Costing'!$C$4,2)</x:f>
        <x:v>14400</x:v>
      </x:c>
      <x:c r="K2124" s="17" t="n">
        <x:f>I2124+J2124</x:f>
        <x:v>94400</x:v>
      </x:c>
    </x:row>
    <x:row r="2125" ht="46" customHeight="1">
      <x:c r="A2125" s="2" t="str">
        <x:v>Sector</x:v>
      </x:c>
      <x:c r="B2125" s="2" t="str">
        <x:v>Trade, consumer &amp; logistics</x:v>
      </x:c>
      <x:c r="C2125" s="12" t="str">
        <x:v>Chennai</x:v>
      </x:c>
      <x:c r="D2125" s="12" t="str">
        <x:v>MAIN-154</x:v>
      </x:c>
      <x:c r="E2125" s="12" t="str">
        <x:v>Olympia National Tower (Pod Screens)</x:v>
      </x:c>
      <x:c r="F2125" s="11" t="n">
        <x:v>2</x:v>
      </x:c>
      <x:c r="G2125" s="11" t="n">
        <x:v>2</x:v>
      </x:c>
      <x:c r="H2125" s="11" t="n">
        <x:v>0</x:v>
      </x:c>
      <x:c r="I2125" s="17" t="n">
        <x:f>INDEX('Costing'!$P$9:$P$492,MATCH(D2125,'Costing'!$A$9:$A$492,0))</x:f>
        <x:v>40000</x:v>
      </x:c>
      <x:c r="J2125" s="17" t="n">
        <x:f>ROUND(I2125*'Costing'!$C$4,2)</x:f>
        <x:v>7200</x:v>
      </x:c>
      <x:c r="K2125" s="17" t="n">
        <x:f>I2125+J2125</x:f>
        <x:v>47200</x:v>
      </x:c>
    </x:row>
    <x:row r="2126" ht="46" customHeight="1">
      <x:c r="A2126" s="2" t="str">
        <x:v>Sector</x:v>
      </x:c>
      <x:c r="B2126" s="2" t="str">
        <x:v>Trade, consumer &amp; logistics</x:v>
      </x:c>
      <x:c r="C2126" s="12" t="str">
        <x:v>Chennai</x:v>
      </x:c>
      <x:c r="D2126" s="12" t="str">
        <x:v>MAIN-158</x:v>
      </x:c>
      <x:c r="E2126" s="12" t="str">
        <x:v>Prestige Zackria Metropolitan</x:v>
      </x:c>
      <x:c r="F2126" s="11" t="n">
        <x:v>2</x:v>
      </x:c>
      <x:c r="G2126" s="11" t="n">
        <x:v>2</x:v>
      </x:c>
      <x:c r="H2126" s="11" t="n">
        <x:v>0</x:v>
      </x:c>
      <x:c r="I2126" s="17" t="n">
        <x:f>INDEX('Costing'!$P$9:$P$492,MATCH(D2126,'Costing'!$A$9:$A$492,0))</x:f>
        <x:v>40000</x:v>
      </x:c>
      <x:c r="J2126" s="17" t="n">
        <x:f>ROUND(I2126*'Costing'!$C$4,2)</x:f>
        <x:v>7200</x:v>
      </x:c>
      <x:c r="K2126" s="17" t="n">
        <x:f>I2126+J2126</x:f>
        <x:v>47200</x:v>
      </x:c>
    </x:row>
    <x:row r="2127" ht="46" customHeight="1">
      <x:c r="A2127" s="2" t="str">
        <x:v>Sector</x:v>
      </x:c>
      <x:c r="B2127" s="2" t="str">
        <x:v>Trade, consumer &amp; logistics</x:v>
      </x:c>
      <x:c r="C2127" s="12" t="str">
        <x:v>Chennai</x:v>
      </x:c>
      <x:c r="D2127" s="12" t="str">
        <x:v>MAIN-159</x:v>
      </x:c>
      <x:c r="E2127" s="12" t="str">
        <x:v>Wingspace - Coworking Space IN Perungudi</x:v>
      </x:c>
      <x:c r="F2127" s="11" t="n">
        <x:v>1</x:v>
      </x:c>
      <x:c r="G2127" s="11" t="n">
        <x:v>1</x:v>
      </x:c>
      <x:c r="H2127" s="11" t="n">
        <x:v>0</x:v>
      </x:c>
      <x:c r="I2127" s="17" t="n">
        <x:f>INDEX('Costing'!$P$9:$P$492,MATCH(D2127,'Costing'!$A$9:$A$492,0))</x:f>
        <x:v>15000</x:v>
      </x:c>
      <x:c r="J2127" s="17" t="n">
        <x:f>ROUND(I2127*'Costing'!$C$4,2)</x:f>
        <x:v>2700</x:v>
      </x:c>
      <x:c r="K2127" s="17" t="n">
        <x:f>I2127+J2127</x:f>
        <x:v>17700</x:v>
      </x:c>
    </x:row>
    <x:row r="2128" ht="46" customHeight="1">
      <x:c r="A2128" s="2" t="str">
        <x:v>Sector</x:v>
      </x:c>
      <x:c r="B2128" s="2" t="str">
        <x:v>Trade, consumer &amp; logistics</x:v>
      </x:c>
      <x:c r="C2128" s="12" t="str">
        <x:v>Chennai</x:v>
      </x:c>
      <x:c r="D2128" s="12" t="str">
        <x:v>MAIN-160</x:v>
      </x:c>
      <x:c r="E2128" s="12" t="str">
        <x:v>Workflo by Oyo - Innov8 Millenia</x:v>
      </x:c>
      <x:c r="F2128" s="11" t="n">
        <x:v>1</x:v>
      </x:c>
      <x:c r="G2128" s="11" t="n">
        <x:v>1</x:v>
      </x:c>
      <x:c r="H2128" s="11" t="n">
        <x:v>0</x:v>
      </x:c>
      <x:c r="I2128" s="17" t="n">
        <x:f>INDEX('Costing'!$P$9:$P$492,MATCH(D2128,'Costing'!$A$9:$A$492,0))</x:f>
        <x:v>15000</x:v>
      </x:c>
      <x:c r="J2128" s="17" t="n">
        <x:f>ROUND(I2128*'Costing'!$C$4,2)</x:f>
        <x:v>2700</x:v>
      </x:c>
      <x:c r="K2128" s="17" t="n">
        <x:f>I2128+J2128</x:f>
        <x:v>17700</x:v>
      </x:c>
    </x:row>
    <x:row r="2129" ht="46" customHeight="1">
      <x:c r="A2129" s="2" t="str">
        <x:v>Sector</x:v>
      </x:c>
      <x:c r="B2129" s="2" t="str">
        <x:v>Trade, consumer &amp; logistics</x:v>
      </x:c>
      <x:c r="C2129" s="12" t="str">
        <x:v>Chennai</x:v>
      </x:c>
      <x:c r="D2129" s="12" t="str">
        <x:v>MAIN-161</x:v>
      </x:c>
      <x:c r="E2129" s="12" t="str">
        <x:v>Workflow by Oyo - Guindy</x:v>
      </x:c>
      <x:c r="F2129" s="11" t="n">
        <x:v>1</x:v>
      </x:c>
      <x:c r="G2129" s="11" t="n">
        <x:v>1</x:v>
      </x:c>
      <x:c r="H2129" s="11" t="n">
        <x:v>0</x:v>
      </x:c>
      <x:c r="I2129" s="17" t="n">
        <x:f>INDEX('Costing'!$P$9:$P$492,MATCH(D2129,'Costing'!$A$9:$A$492,0))</x:f>
        <x:v>15000</x:v>
      </x:c>
      <x:c r="J2129" s="17" t="n">
        <x:f>ROUND(I2129*'Costing'!$C$4,2)</x:f>
        <x:v>2700</x:v>
      </x:c>
      <x:c r="K2129" s="17" t="n">
        <x:f>I2129+J2129</x:f>
        <x:v>17700</x:v>
      </x:c>
    </x:row>
    <x:row r="2130" ht="46" customHeight="1">
      <x:c r="A2130" s="2" t="str">
        <x:v>Sector</x:v>
      </x:c>
      <x:c r="B2130" s="2" t="str">
        <x:v>Trade, consumer &amp; logistics</x:v>
      </x:c>
      <x:c r="C2130" s="12" t="str">
        <x:v>Delhi NCR</x:v>
      </x:c>
      <x:c r="D2130" s="12" t="str">
        <x:v>MAIN-179</x:v>
      </x:c>
      <x:c r="E2130" s="12" t="str">
        <x:v>Awfis - Ambience Mall</x:v>
      </x:c>
      <x:c r="F2130" s="11" t="n">
        <x:v>3</x:v>
      </x:c>
      <x:c r="G2130" s="11" t="n">
        <x:v>3</x:v>
      </x:c>
      <x:c r="H2130" s="11" t="n">
        <x:v>0</x:v>
      </x:c>
      <x:c r="I2130" s="17" t="n">
        <x:f>INDEX('Costing'!$P$9:$P$492,MATCH(D2130,'Costing'!$A$9:$A$492,0))</x:f>
        <x:v>45000</x:v>
      </x:c>
      <x:c r="J2130" s="17" t="n">
        <x:f>ROUND(I2130*'Costing'!$C$4,2)</x:f>
        <x:v>8100</x:v>
      </x:c>
      <x:c r="K2130" s="17" t="n">
        <x:f>I2130+J2130</x:f>
        <x:v>53100</x:v>
      </x:c>
    </x:row>
    <x:row r="2131" ht="46" customHeight="1">
      <x:c r="A2131" s="2" t="str">
        <x:v>Sector</x:v>
      </x:c>
      <x:c r="B2131" s="2" t="str">
        <x:v>Trade, consumer &amp; logistics</x:v>
      </x:c>
      <x:c r="C2131" s="12" t="str">
        <x:v>Delhi NCR</x:v>
      </x:c>
      <x:c r="D2131" s="12" t="str">
        <x:v>MAIN-162</x:v>
      </x:c>
      <x:c r="E2131" s="12" t="str">
        <x:v>Awfis - Connaught Place</x:v>
      </x:c>
      <x:c r="F2131" s="11" t="n">
        <x:v>2</x:v>
      </x:c>
      <x:c r="G2131" s="11" t="n">
        <x:v>2</x:v>
      </x:c>
      <x:c r="H2131" s="11" t="n">
        <x:v>0</x:v>
      </x:c>
      <x:c r="I2131" s="17" t="n">
        <x:f>INDEX('Costing'!$P$9:$P$492,MATCH(D2131,'Costing'!$A$9:$A$492,0))</x:f>
        <x:v>30000</x:v>
      </x:c>
      <x:c r="J2131" s="17" t="n">
        <x:f>ROUND(I2131*'Costing'!$C$4,2)</x:f>
        <x:v>5400</x:v>
      </x:c>
      <x:c r="K2131" s="17" t="n">
        <x:f>I2131+J2131</x:f>
        <x:v>35400</x:v>
      </x:c>
    </x:row>
    <x:row r="2132" ht="46" customHeight="1">
      <x:c r="A2132" s="2" t="str">
        <x:v>Sector</x:v>
      </x:c>
      <x:c r="B2132" s="2" t="str">
        <x:v>Trade, consumer &amp; logistics</x:v>
      </x:c>
      <x:c r="C2132" s="12" t="str">
        <x:v>Delhi NCR</x:v>
      </x:c>
      <x:c r="D2132" s="12" t="str">
        <x:v>MAIN-180</x:v>
      </x:c>
      <x:c r="E2132" s="12" t="str">
        <x:v>Awfis - Paras Trinity</x:v>
      </x:c>
      <x:c r="F2132" s="11" t="n">
        <x:v>3</x:v>
      </x:c>
      <x:c r="G2132" s="11" t="n">
        <x:v>3</x:v>
      </x:c>
      <x:c r="H2132" s="11" t="n">
        <x:v>0</x:v>
      </x:c>
      <x:c r="I2132" s="17" t="n">
        <x:f>INDEX('Costing'!$P$9:$P$492,MATCH(D2132,'Costing'!$A$9:$A$492,0))</x:f>
        <x:v>45000</x:v>
      </x:c>
      <x:c r="J2132" s="17" t="n">
        <x:f>ROUND(I2132*'Costing'!$C$4,2)</x:f>
        <x:v>8100</x:v>
      </x:c>
      <x:c r="K2132" s="17" t="n">
        <x:f>I2132+J2132</x:f>
        <x:v>53100</x:v>
      </x:c>
    </x:row>
    <x:row r="2133" ht="46" customHeight="1">
      <x:c r="A2133" s="2" t="str">
        <x:v>Sector</x:v>
      </x:c>
      <x:c r="B2133" s="2" t="str">
        <x:v>Trade, consumer &amp; logistics</x:v>
      </x:c>
      <x:c r="C2133" s="12" t="str">
        <x:v>Delhi NCR</x:v>
      </x:c>
      <x:c r="D2133" s="12" t="str">
        <x:v>MAIN-182</x:v>
      </x:c>
      <x:c r="E2133" s="12" t="str">
        <x:v>Awfis - Unitech Cyber Park - 2</x:v>
      </x:c>
      <x:c r="F2133" s="11" t="n">
        <x:v>2</x:v>
      </x:c>
      <x:c r="G2133" s="11" t="n">
        <x:v>2</x:v>
      </x:c>
      <x:c r="H2133" s="11" t="n">
        <x:v>0</x:v>
      </x:c>
      <x:c r="I2133" s="17" t="n">
        <x:f>INDEX('Costing'!$P$9:$P$492,MATCH(D2133,'Costing'!$A$9:$A$492,0))</x:f>
        <x:v>30000</x:v>
      </x:c>
      <x:c r="J2133" s="17" t="n">
        <x:f>ROUND(I2133*'Costing'!$C$4,2)</x:f>
        <x:v>5400</x:v>
      </x:c>
      <x:c r="K2133" s="17" t="n">
        <x:f>I2133+J2133</x:f>
        <x:v>35400</x:v>
      </x:c>
    </x:row>
    <x:row r="2134" ht="46" customHeight="1">
      <x:c r="A2134" s="2" t="str">
        <x:v>Sector</x:v>
      </x:c>
      <x:c r="B2134" s="2" t="str">
        <x:v>Trade, consumer &amp; logistics</x:v>
      </x:c>
      <x:c r="C2134" s="12" t="str">
        <x:v>Delhi NCR</x:v>
      </x:c>
      <x:c r="D2134" s="12" t="str">
        <x:v>MAIN-183</x:v>
      </x:c>
      <x:c r="E2134" s="12" t="str">
        <x:v>Centrum Plaza</x:v>
      </x:c>
      <x:c r="F2134" s="11" t="n">
        <x:v>1</x:v>
      </x:c>
      <x:c r="G2134" s="11" t="n">
        <x:v>1</x:v>
      </x:c>
      <x:c r="H2134" s="11" t="n">
        <x:v>0</x:v>
      </x:c>
      <x:c r="I2134" s="17" t="n">
        <x:f>INDEX('Costing'!$P$9:$P$492,MATCH(D2134,'Costing'!$A$9:$A$492,0))</x:f>
        <x:v>15000</x:v>
      </x:c>
      <x:c r="J2134" s="17" t="n">
        <x:f>ROUND(I2134*'Costing'!$C$4,2)</x:f>
        <x:v>2700</x:v>
      </x:c>
      <x:c r="K2134" s="17" t="n">
        <x:f>I2134+J2134</x:f>
        <x:v>17700</x:v>
      </x:c>
    </x:row>
    <x:row r="2135" ht="46" customHeight="1">
      <x:c r="A2135" s="2" t="str">
        <x:v>Sector</x:v>
      </x:c>
      <x:c r="B2135" s="2" t="str">
        <x:v>Trade, consumer &amp; logistics</x:v>
      </x:c>
      <x:c r="C2135" s="12" t="str">
        <x:v>Delhi NCR</x:v>
      </x:c>
      <x:c r="D2135" s="12" t="str">
        <x:v>MAIN-184</x:v>
      </x:c>
      <x:c r="E2135" s="12" t="str">
        <x:v>Centrum Plaza</x:v>
      </x:c>
      <x:c r="F2135" s="11" t="n">
        <x:v>3</x:v>
      </x:c>
      <x:c r="G2135" s="11" t="n">
        <x:v>3</x:v>
      </x:c>
      <x:c r="H2135" s="11" t="n">
        <x:v>0</x:v>
      </x:c>
      <x:c r="I2135" s="17" t="n">
        <x:f>INDEX('Costing'!$P$9:$P$492,MATCH(D2135,'Costing'!$A$9:$A$492,0))</x:f>
        <x:v>60000</x:v>
      </x:c>
      <x:c r="J2135" s="17" t="n">
        <x:f>ROUND(I2135*'Costing'!$C$4,2)</x:f>
        <x:v>10800</x:v>
      </x:c>
      <x:c r="K2135" s="17" t="n">
        <x:f>I2135+J2135</x:f>
        <x:v>70800</x:v>
      </x:c>
    </x:row>
    <x:row r="2136" ht="46" customHeight="1">
      <x:c r="A2136" s="2" t="str">
        <x:v>Sector</x:v>
      </x:c>
      <x:c r="B2136" s="2" t="str">
        <x:v>Trade, consumer &amp; logistics</x:v>
      </x:c>
      <x:c r="C2136" s="12" t="str">
        <x:v>Delhi NCR</x:v>
      </x:c>
      <x:c r="D2136" s="12" t="str">
        <x:v>MAIN-167</x:v>
      </x:c>
      <x:c r="E2136" s="12" t="str">
        <x:v>Emaar Colonnade</x:v>
      </x:c>
      <x:c r="F2136" s="11" t="n">
        <x:v>5</x:v>
      </x:c>
      <x:c r="G2136" s="11" t="n">
        <x:v>5</x:v>
      </x:c>
      <x:c r="H2136" s="11" t="n">
        <x:v>0</x:v>
      </x:c>
      <x:c r="I2136" s="17" t="n">
        <x:f>INDEX('Costing'!$P$9:$P$492,MATCH(D2136,'Costing'!$A$9:$A$492,0))</x:f>
        <x:v>200000</x:v>
      </x:c>
      <x:c r="J2136" s="17" t="n">
        <x:f>ROUND(I2136*'Costing'!$C$4,2)</x:f>
        <x:v>36000</x:v>
      </x:c>
      <x:c r="K2136" s="17" t="n">
        <x:f>I2136+J2136</x:f>
        <x:v>236000</x:v>
      </x:c>
    </x:row>
    <x:row r="2137" ht="46" customHeight="1">
      <x:c r="A2137" s="2" t="str">
        <x:v>Sector</x:v>
      </x:c>
      <x:c r="B2137" s="2" t="str">
        <x:v>Trade, consumer &amp; logistics</x:v>
      </x:c>
      <x:c r="C2137" s="12" t="str">
        <x:v>Delhi NCR</x:v>
      </x:c>
      <x:c r="D2137" s="12" t="str">
        <x:v>MAIN-168</x:v>
      </x:c>
      <x:c r="E2137" s="12" t="str">
        <x:v>India Accelerator Coworking - BPTP Centra One</x:v>
      </x:c>
      <x:c r="F2137" s="11" t="n">
        <x:v>5</x:v>
      </x:c>
      <x:c r="G2137" s="11" t="n">
        <x:v>5</x:v>
      </x:c>
      <x:c r="H2137" s="11" t="n">
        <x:v>0</x:v>
      </x:c>
      <x:c r="I2137" s="17" t="n">
        <x:f>INDEX('Costing'!$P$9:$P$492,MATCH(D2137,'Costing'!$A$9:$A$492,0))</x:f>
        <x:v>200000</x:v>
      </x:c>
      <x:c r="J2137" s="17" t="n">
        <x:f>ROUND(I2137*'Costing'!$C$4,2)</x:f>
        <x:v>36000</x:v>
      </x:c>
      <x:c r="K2137" s="17" t="n">
        <x:f>I2137+J2137</x:f>
        <x:v>236000</x:v>
      </x:c>
    </x:row>
    <x:row r="2138" ht="46" customHeight="1">
      <x:c r="A2138" s="2" t="str">
        <x:v>Sector</x:v>
      </x:c>
      <x:c r="B2138" s="2" t="str">
        <x:v>Trade, consumer &amp; logistics</x:v>
      </x:c>
      <x:c r="C2138" s="12" t="str">
        <x:v>Delhi NCR</x:v>
      </x:c>
      <x:c r="D2138" s="12" t="str">
        <x:v>MAIN-194</x:v>
      </x:c>
      <x:c r="E2138" s="12" t="str">
        <x:v>India Accelerator Coworking - MGF Metropolis Mall</x:v>
      </x:c>
      <x:c r="F2138" s="11" t="n">
        <x:v>6</x:v>
      </x:c>
      <x:c r="G2138" s="11" t="n">
        <x:v>6</x:v>
      </x:c>
      <x:c r="H2138" s="11" t="n">
        <x:v>0</x:v>
      </x:c>
      <x:c r="I2138" s="17" t="n">
        <x:f>INDEX('Costing'!$P$9:$P$492,MATCH(D2138,'Costing'!$A$9:$A$492,0))</x:f>
        <x:v>240000</x:v>
      </x:c>
      <x:c r="J2138" s="17" t="n">
        <x:f>ROUND(I2138*'Costing'!$C$4,2)</x:f>
        <x:v>43200</x:v>
      </x:c>
      <x:c r="K2138" s="17" t="n">
        <x:f>I2138+J2138</x:f>
        <x:v>283200</x:v>
      </x:c>
    </x:row>
    <x:row r="2139" ht="46" customHeight="1">
      <x:c r="A2139" s="2" t="str">
        <x:v>Sector</x:v>
      </x:c>
      <x:c r="B2139" s="2" t="str">
        <x:v>Trade, consumer &amp; logistics</x:v>
      </x:c>
      <x:c r="C2139" s="12" t="str">
        <x:v>Delhi NCR</x:v>
      </x:c>
      <x:c r="D2139" s="12" t="str">
        <x:v>MAIN-373</x:v>
      </x:c>
      <x:c r="E2139" s="12" t="str">
        <x:v>India Accelerator Coworking - The Iconic Corenthum</x:v>
      </x:c>
      <x:c r="F2139" s="11" t="n">
        <x:v>6</x:v>
      </x:c>
      <x:c r="G2139" s="11" t="n">
        <x:v>6</x:v>
      </x:c>
      <x:c r="H2139" s="11" t="n">
        <x:v>0</x:v>
      </x:c>
      <x:c r="I2139" s="17" t="n">
        <x:f>INDEX('Costing'!$P$9:$P$492,MATCH(D2139,'Costing'!$A$9:$A$492,0))</x:f>
        <x:v>240000</x:v>
      </x:c>
      <x:c r="J2139" s="17" t="n">
        <x:f>ROUND(I2139*'Costing'!$C$4,2)</x:f>
        <x:v>43200</x:v>
      </x:c>
      <x:c r="K2139" s="17" t="n">
        <x:f>I2139+J2139</x:f>
        <x:v>283200</x:v>
      </x:c>
    </x:row>
    <x:row r="2140" ht="46" customHeight="1">
      <x:c r="A2140" s="2" t="str">
        <x:v>Sector</x:v>
      </x:c>
      <x:c r="B2140" s="2" t="str">
        <x:v>Trade, consumer &amp; logistics</x:v>
      </x:c>
      <x:c r="C2140" s="12" t="str">
        <x:v>Delhi NCR</x:v>
      </x:c>
      <x:c r="D2140" s="12" t="str">
        <x:v>MAIN-195</x:v>
      </x:c>
      <x:c r="E2140" s="12" t="str">
        <x:v>India Accelerator Coworking - Vatika Triangle</x:v>
      </x:c>
      <x:c r="F2140" s="11" t="n">
        <x:v>3</x:v>
      </x:c>
      <x:c r="G2140" s="11" t="n">
        <x:v>3</x:v>
      </x:c>
      <x:c r="H2140" s="11" t="n">
        <x:v>0</x:v>
      </x:c>
      <x:c r="I2140" s="17" t="n">
        <x:f>INDEX('Costing'!$P$9:$P$492,MATCH(D2140,'Costing'!$A$9:$A$492,0))</x:f>
        <x:v>60000</x:v>
      </x:c>
      <x:c r="J2140" s="17" t="n">
        <x:f>ROUND(I2140*'Costing'!$C$4,2)</x:f>
        <x:v>10800</x:v>
      </x:c>
      <x:c r="K2140" s="17" t="n">
        <x:f>I2140+J2140</x:f>
        <x:v>70800</x:v>
      </x:c>
    </x:row>
    <x:row r="2141" ht="46" customHeight="1">
      <x:c r="A2141" s="2" t="str">
        <x:v>Sector</x:v>
      </x:c>
      <x:c r="B2141" s="2" t="str">
        <x:v>Trade, consumer &amp; logistics</x:v>
      </x:c>
      <x:c r="C2141" s="12" t="str">
        <x:v>Delhi NCR</x:v>
      </x:c>
      <x:c r="D2141" s="12" t="str">
        <x:v>MAIN-376</x:v>
      </x:c>
      <x:c r="E2141" s="12" t="str">
        <x:v>Qbicals Coworking - Sector 63</x:v>
      </x:c>
      <x:c r="F2141" s="11" t="n">
        <x:v>2</x:v>
      </x:c>
      <x:c r="G2141" s="11" t="n">
        <x:v>2</x:v>
      </x:c>
      <x:c r="H2141" s="11" t="n">
        <x:v>0</x:v>
      </x:c>
      <x:c r="I2141" s="17" t="n">
        <x:f>INDEX('Costing'!$P$9:$P$492,MATCH(D2141,'Costing'!$A$9:$A$492,0))</x:f>
        <x:v>40000</x:v>
      </x:c>
      <x:c r="J2141" s="17" t="n">
        <x:f>ROUND(I2141*'Costing'!$C$4,2)</x:f>
        <x:v>7200</x:v>
      </x:c>
      <x:c r="K2141" s="17" t="n">
        <x:f>I2141+J2141</x:f>
        <x:v>47200</x:v>
      </x:c>
    </x:row>
    <x:row r="2142" ht="46" customHeight="1">
      <x:c r="A2142" s="2" t="str">
        <x:v>Sector</x:v>
      </x:c>
      <x:c r="B2142" s="2" t="str">
        <x:v>Trade, consumer &amp; logistics</x:v>
      </x:c>
      <x:c r="C2142" s="12" t="str">
        <x:v>Delhi NCR</x:v>
      </x:c>
      <x:c r="D2142" s="12" t="str">
        <x:v>MAIN-198</x:v>
      </x:c>
      <x:c r="E2142" s="12" t="str">
        <x:v>Satya The Element One</x:v>
      </x:c>
      <x:c r="F2142" s="11" t="n">
        <x:v>4</x:v>
      </x:c>
      <x:c r="G2142" s="11" t="n">
        <x:v>4</x:v>
      </x:c>
      <x:c r="H2142" s="11" t="n">
        <x:v>0</x:v>
      </x:c>
      <x:c r="I2142" s="17" t="n">
        <x:f>INDEX('Costing'!$P$9:$P$492,MATCH(D2142,'Costing'!$A$9:$A$492,0))</x:f>
        <x:v>60000</x:v>
      </x:c>
      <x:c r="J2142" s="17" t="n">
        <x:f>ROUND(I2142*'Costing'!$C$4,2)</x:f>
        <x:v>10800</x:v>
      </x:c>
      <x:c r="K2142" s="17" t="n">
        <x:f>I2142+J2142</x:f>
        <x:v>70800</x:v>
      </x:c>
    </x:row>
    <x:row r="2143" ht="46" customHeight="1">
      <x:c r="A2143" s="2" t="str">
        <x:v>Sector</x:v>
      </x:c>
      <x:c r="B2143" s="2" t="str">
        <x:v>Trade, consumer &amp; logistics</x:v>
      </x:c>
      <x:c r="C2143" s="12" t="str">
        <x:v>Delhi NCR</x:v>
      </x:c>
      <x:c r="D2143" s="12" t="str">
        <x:v>MAIN-199</x:v>
      </x:c>
      <x:c r="E2143" s="12" t="str">
        <x:v>Satya The Hive</x:v>
      </x:c>
      <x:c r="F2143" s="11" t="n">
        <x:v>1</x:v>
      </x:c>
      <x:c r="G2143" s="11" t="n">
        <x:v>1</x:v>
      </x:c>
      <x:c r="H2143" s="11" t="n">
        <x:v>0</x:v>
      </x:c>
      <x:c r="I2143" s="17" t="n">
        <x:f>INDEX('Costing'!$P$9:$P$492,MATCH(D2143,'Costing'!$A$9:$A$492,0))</x:f>
        <x:v>40000</x:v>
      </x:c>
      <x:c r="J2143" s="17" t="n">
        <x:f>ROUND(I2143*'Costing'!$C$4,2)</x:f>
        <x:v>7200</x:v>
      </x:c>
      <x:c r="K2143" s="17" t="n">
        <x:f>I2143+J2143</x:f>
        <x:v>47200</x:v>
      </x:c>
    </x:row>
    <x:row r="2144" ht="46" customHeight="1">
      <x:c r="A2144" s="2" t="str">
        <x:v>Sector</x:v>
      </x:c>
      <x:c r="B2144" s="2" t="str">
        <x:v>Trade, consumer &amp; logistics</x:v>
      </x:c>
      <x:c r="C2144" s="12" t="str">
        <x:v>Delhi NCR</x:v>
      </x:c>
      <x:c r="D2144" s="12" t="str">
        <x:v>MAIN-200</x:v>
      </x:c>
      <x:c r="E2144" s="12" t="str">
        <x:v>Satya The Hive {IE}</x:v>
      </x:c>
      <x:c r="F2144" s="11" t="n">
        <x:v>7</x:v>
      </x:c>
      <x:c r="G2144" s="11" t="n">
        <x:v>7</x:v>
      </x:c>
      <x:c r="H2144" s="11" t="n">
        <x:v>0</x:v>
      </x:c>
      <x:c r="I2144" s="17" t="n">
        <x:f>INDEX('Costing'!$P$9:$P$492,MATCH(D2144,'Costing'!$A$9:$A$492,0))</x:f>
        <x:v>105000</x:v>
      </x:c>
      <x:c r="J2144" s="17" t="n">
        <x:f>ROUND(I2144*'Costing'!$C$4,2)</x:f>
        <x:v>18900</x:v>
      </x:c>
      <x:c r="K2144" s="17" t="n">
        <x:f>I2144+J2144</x:f>
        <x:v>123900</x:v>
      </x:c>
    </x:row>
    <x:row r="2145" ht="46" customHeight="1">
      <x:c r="A2145" s="2" t="str">
        <x:v>Sector</x:v>
      </x:c>
      <x:c r="B2145" s="2" t="str">
        <x:v>Trade, consumer &amp; logistics</x:v>
      </x:c>
      <x:c r="C2145" s="12" t="str">
        <x:v>Delhi NCR</x:v>
      </x:c>
      <x:c r="D2145" s="12" t="str">
        <x:v>MAIN-201</x:v>
      </x:c>
      <x:c r="E2145" s="12" t="str">
        <x:v>Unitech - Business Park</x:v>
      </x:c>
      <x:c r="F2145" s="11" t="n">
        <x:v>2</x:v>
      </x:c>
      <x:c r="G2145" s="11" t="n">
        <x:v>2</x:v>
      </x:c>
      <x:c r="H2145" s="11" t="n">
        <x:v>0</x:v>
      </x:c>
      <x:c r="I2145" s="17" t="n">
        <x:f>INDEX('Costing'!$P$9:$P$492,MATCH(D2145,'Costing'!$A$9:$A$492,0))</x:f>
        <x:v>80000</x:v>
      </x:c>
      <x:c r="J2145" s="17" t="n">
        <x:f>ROUND(I2145*'Costing'!$C$4,2)</x:f>
        <x:v>14400</x:v>
      </x:c>
      <x:c r="K2145" s="17" t="n">
        <x:f>I2145+J2145</x:f>
        <x:v>94400</x:v>
      </x:c>
    </x:row>
    <x:row r="2146" ht="46" customHeight="1">
      <x:c r="A2146" s="2" t="str">
        <x:v>Sector</x:v>
      </x:c>
      <x:c r="B2146" s="2" t="str">
        <x:v>Trade, consumer &amp; logistics</x:v>
      </x:c>
      <x:c r="C2146" s="12" t="str">
        <x:v>Delhi NCR</x:v>
      </x:c>
      <x:c r="D2146" s="12" t="str">
        <x:v>MAIN-202</x:v>
      </x:c>
      <x:c r="E2146" s="12" t="str">
        <x:v>Unitech - Business Zone</x:v>
      </x:c>
      <x:c r="F2146" s="11" t="n">
        <x:v>4</x:v>
      </x:c>
      <x:c r="G2146" s="11" t="n">
        <x:v>4</x:v>
      </x:c>
      <x:c r="H2146" s="11" t="n">
        <x:v>0</x:v>
      </x:c>
      <x:c r="I2146" s="17" t="n">
        <x:f>INDEX('Costing'!$P$9:$P$492,MATCH(D2146,'Costing'!$A$9:$A$492,0))</x:f>
        <x:v>160000</x:v>
      </x:c>
      <x:c r="J2146" s="17" t="n">
        <x:f>ROUND(I2146*'Costing'!$C$4,2)</x:f>
        <x:v>28800</x:v>
      </x:c>
      <x:c r="K2146" s="17" t="n">
        <x:f>I2146+J2146</x:f>
        <x:v>188800</x:v>
      </x:c>
    </x:row>
    <x:row r="2147" ht="46" customHeight="1">
      <x:c r="A2147" s="2" t="str">
        <x:v>Sector</x:v>
      </x:c>
      <x:c r="B2147" s="2" t="str">
        <x:v>Trade, consumer &amp; logistics</x:v>
      </x:c>
      <x:c r="C2147" s="12" t="str">
        <x:v>Delhi NCR</x:v>
      </x:c>
      <x:c r="D2147" s="12" t="str">
        <x:v>MAIN-203</x:v>
      </x:c>
      <x:c r="E2147" s="12" t="str">
        <x:v>Unitech - Commercial Tower 2</x:v>
      </x:c>
      <x:c r="F2147" s="11" t="n">
        <x:v>1</x:v>
      </x:c>
      <x:c r="G2147" s="11" t="n">
        <x:v>1</x:v>
      </x:c>
      <x:c r="H2147" s="11" t="n">
        <x:v>0</x:v>
      </x:c>
      <x:c r="I2147" s="17" t="n">
        <x:f>INDEX('Costing'!$P$9:$P$492,MATCH(D2147,'Costing'!$A$9:$A$492,0))</x:f>
        <x:v>40000</x:v>
      </x:c>
      <x:c r="J2147" s="17" t="n">
        <x:f>ROUND(I2147*'Costing'!$C$4,2)</x:f>
        <x:v>7200</x:v>
      </x:c>
      <x:c r="K2147" s="17" t="n">
        <x:f>I2147+J2147</x:f>
        <x:v>47200</x:v>
      </x:c>
    </x:row>
    <x:row r="2148" ht="46" customHeight="1">
      <x:c r="A2148" s="2" t="str">
        <x:v>Sector</x:v>
      </x:c>
      <x:c r="B2148" s="2" t="str">
        <x:v>Trade, consumer &amp; logistics</x:v>
      </x:c>
      <x:c r="C2148" s="12" t="str">
        <x:v>Delhi NCR</x:v>
      </x:c>
      <x:c r="D2148" s="12" t="str">
        <x:v>MAIN-204</x:v>
      </x:c>
      <x:c r="E2148" s="12" t="str">
        <x:v>Unitech - Cyber Park</x:v>
      </x:c>
      <x:c r="F2148" s="11" t="n">
        <x:v>4</x:v>
      </x:c>
      <x:c r="G2148" s="11" t="n">
        <x:v>4</x:v>
      </x:c>
      <x:c r="H2148" s="11" t="n">
        <x:v>0</x:v>
      </x:c>
      <x:c r="I2148" s="17" t="n">
        <x:f>INDEX('Costing'!$P$9:$P$492,MATCH(D2148,'Costing'!$A$9:$A$492,0))</x:f>
        <x:v>160000</x:v>
      </x:c>
      <x:c r="J2148" s="17" t="n">
        <x:f>ROUND(I2148*'Costing'!$C$4,2)</x:f>
        <x:v>28800</x:v>
      </x:c>
      <x:c r="K2148" s="17" t="n">
        <x:f>I2148+J2148</x:f>
        <x:v>188800</x:v>
      </x:c>
    </x:row>
    <x:row r="2149" ht="46" customHeight="1">
      <x:c r="A2149" s="2" t="str">
        <x:v>Sector</x:v>
      </x:c>
      <x:c r="B2149" s="2" t="str">
        <x:v>Trade, consumer &amp; logistics</x:v>
      </x:c>
      <x:c r="C2149" s="12" t="str">
        <x:v>Delhi NCR</x:v>
      </x:c>
      <x:c r="D2149" s="12" t="str">
        <x:v>MAIN-205</x:v>
      </x:c>
      <x:c r="E2149" s="12" t="str">
        <x:v>Unitech - Gateway Tower</x:v>
      </x:c>
      <x:c r="F2149" s="11" t="n">
        <x:v>1</x:v>
      </x:c>
      <x:c r="G2149" s="11" t="n">
        <x:v>1</x:v>
      </x:c>
      <x:c r="H2149" s="11" t="n">
        <x:v>0</x:v>
      </x:c>
      <x:c r="I2149" s="17" t="n">
        <x:f>INDEX('Costing'!$P$9:$P$492,MATCH(D2149,'Costing'!$A$9:$A$492,0))</x:f>
        <x:v>40000</x:v>
      </x:c>
      <x:c r="J2149" s="17" t="n">
        <x:f>ROUND(I2149*'Costing'!$C$4,2)</x:f>
        <x:v>7200</x:v>
      </x:c>
      <x:c r="K2149" s="17" t="n">
        <x:f>I2149+J2149</x:f>
        <x:v>47200</x:v>
      </x:c>
    </x:row>
    <x:row r="2150" ht="46" customHeight="1">
      <x:c r="A2150" s="2" t="str">
        <x:v>Sector</x:v>
      </x:c>
      <x:c r="B2150" s="2" t="str">
        <x:v>Trade, consumer &amp; logistics</x:v>
      </x:c>
      <x:c r="C2150" s="12" t="str">
        <x:v>Delhi NCR</x:v>
      </x:c>
      <x:c r="D2150" s="12" t="str">
        <x:v>MAIN-206</x:v>
      </x:c>
      <x:c r="E2150" s="12" t="str">
        <x:v>Unitech - Global Business Park</x:v>
      </x:c>
      <x:c r="F2150" s="11" t="n">
        <x:v>3</x:v>
      </x:c>
      <x:c r="G2150" s="11" t="n">
        <x:v>3</x:v>
      </x:c>
      <x:c r="H2150" s="11" t="n">
        <x:v>0</x:v>
      </x:c>
      <x:c r="I2150" s="17" t="n">
        <x:f>INDEX('Costing'!$P$9:$P$492,MATCH(D2150,'Costing'!$A$9:$A$492,0))</x:f>
        <x:v>120000</x:v>
      </x:c>
      <x:c r="J2150" s="17" t="n">
        <x:f>ROUND(I2150*'Costing'!$C$4,2)</x:f>
        <x:v>21600</x:v>
      </x:c>
      <x:c r="K2150" s="17" t="n">
        <x:f>I2150+J2150</x:f>
        <x:v>141600</x:v>
      </x:c>
    </x:row>
    <x:row r="2151" ht="46" customHeight="1">
      <x:c r="A2151" s="2" t="str">
        <x:v>Sector</x:v>
      </x:c>
      <x:c r="B2151" s="2" t="str">
        <x:v>Trade, consumer &amp; logistics</x:v>
      </x:c>
      <x:c r="C2151" s="12" t="str">
        <x:v>Delhi NCR</x:v>
      </x:c>
      <x:c r="D2151" s="12" t="str">
        <x:v>MAIN-207</x:v>
      </x:c>
      <x:c r="E2151" s="12" t="str">
        <x:v>Unitech - Signature Tower</x:v>
      </x:c>
      <x:c r="F2151" s="11" t="n">
        <x:v>2</x:v>
      </x:c>
      <x:c r="G2151" s="11" t="n">
        <x:v>2</x:v>
      </x:c>
      <x:c r="H2151" s="11" t="n">
        <x:v>0</x:v>
      </x:c>
      <x:c r="I2151" s="17" t="n">
        <x:f>INDEX('Costing'!$P$9:$P$492,MATCH(D2151,'Costing'!$A$9:$A$492,0))</x:f>
        <x:v>80000</x:v>
      </x:c>
      <x:c r="J2151" s="17" t="n">
        <x:f>ROUND(I2151*'Costing'!$C$4,2)</x:f>
        <x:v>14400</x:v>
      </x:c>
      <x:c r="K2151" s="17" t="n">
        <x:f>I2151+J2151</x:f>
        <x:v>94400</x:v>
      </x:c>
    </x:row>
    <x:row r="2152" ht="46" customHeight="1">
      <x:c r="A2152" s="2" t="str">
        <x:v>Sector</x:v>
      </x:c>
      <x:c r="B2152" s="2" t="str">
        <x:v>Trade, consumer &amp; logistics</x:v>
      </x:c>
      <x:c r="C2152" s="12" t="str">
        <x:v>Delhi NCR</x:v>
      </x:c>
      <x:c r="D2152" s="12" t="str">
        <x:v>MAIN-210</x:v>
      </x:c>
      <x:c r="E2152" s="12" t="str">
        <x:v>WeWork - Forum</x:v>
      </x:c>
      <x:c r="F2152" s="11" t="n">
        <x:v>14</x:v>
      </x:c>
      <x:c r="G2152" s="11" t="n">
        <x:v>14</x:v>
      </x:c>
      <x:c r="H2152" s="11" t="n">
        <x:v>0</x:v>
      </x:c>
      <x:c r="I2152" s="17" t="n">
        <x:f>INDEX('Costing'!$P$9:$P$492,MATCH(D2152,'Costing'!$A$9:$A$492,0))</x:f>
        <x:v>350000</x:v>
      </x:c>
      <x:c r="J2152" s="17" t="n">
        <x:f>ROUND(I2152*'Costing'!$C$4,2)</x:f>
        <x:v>63000</x:v>
      </x:c>
      <x:c r="K2152" s="17" t="n">
        <x:f>I2152+J2152</x:f>
        <x:v>413000</x:v>
      </x:c>
    </x:row>
    <x:row r="2153" ht="46" customHeight="1">
      <x:c r="A2153" s="2" t="str">
        <x:v>Sector</x:v>
      </x:c>
      <x:c r="B2153" s="2" t="str">
        <x:v>Trade, consumer &amp; logistics</x:v>
      </x:c>
      <x:c r="C2153" s="12" t="str">
        <x:v>Delhi NCR</x:v>
      </x:c>
      <x:c r="D2153" s="12" t="str">
        <x:v>MAIN-211</x:v>
      </x:c>
      <x:c r="E2153" s="12" t="str">
        <x:v>Wework - VI John</x:v>
      </x:c>
      <x:c r="F2153" s="11" t="n">
        <x:v>8</x:v>
      </x:c>
      <x:c r="G2153" s="11" t="n">
        <x:v>8</x:v>
      </x:c>
      <x:c r="H2153" s="11" t="n">
        <x:v>0</x:v>
      </x:c>
      <x:c r="I2153" s="17" t="n">
        <x:f>INDEX('Costing'!$P$9:$P$492,MATCH(D2153,'Costing'!$A$9:$A$492,0))</x:f>
        <x:v>200000</x:v>
      </x:c>
      <x:c r="J2153" s="17" t="n">
        <x:f>ROUND(I2153*'Costing'!$C$4,2)</x:f>
        <x:v>36000</x:v>
      </x:c>
      <x:c r="K2153" s="17" t="n">
        <x:f>I2153+J2153</x:f>
        <x:v>236000</x:v>
      </x:c>
    </x:row>
    <x:row r="2154" ht="46" customHeight="1">
      <x:c r="A2154" s="2" t="str">
        <x:v>Sector</x:v>
      </x:c>
      <x:c r="B2154" s="2" t="str">
        <x:v>Trade, consumer &amp; logistics</x:v>
      </x:c>
      <x:c r="C2154" s="12" t="str">
        <x:v>Delhi NCR</x:v>
      </x:c>
      <x:c r="D2154" s="12" t="str">
        <x:v>MAIN-173</x:v>
      </x:c>
      <x:c r="E2154" s="12" t="str">
        <x:v>Workflow by Oyo - CP Regal</x:v>
      </x:c>
      <x:c r="F2154" s="11" t="n">
        <x:v>1</x:v>
      </x:c>
      <x:c r="G2154" s="11" t="n">
        <x:v>1</x:v>
      </x:c>
      <x:c r="H2154" s="11" t="n">
        <x:v>0</x:v>
      </x:c>
      <x:c r="I2154" s="17" t="n">
        <x:f>INDEX('Costing'!$P$9:$P$492,MATCH(D2154,'Costing'!$A$9:$A$492,0))</x:f>
        <x:v>15000</x:v>
      </x:c>
      <x:c r="J2154" s="17" t="n">
        <x:f>ROUND(I2154*'Costing'!$C$4,2)</x:f>
        <x:v>2700</x:v>
      </x:c>
      <x:c r="K2154" s="17" t="n">
        <x:f>I2154+J2154</x:f>
        <x:v>17700</x:v>
      </x:c>
    </x:row>
    <x:row r="2155" ht="46" customHeight="1">
      <x:c r="A2155" s="2" t="str">
        <x:v>Sector</x:v>
      </x:c>
      <x:c r="B2155" s="2" t="str">
        <x:v>Trade, consumer &amp; logistics</x:v>
      </x:c>
      <x:c r="C2155" s="12" t="str">
        <x:v>Delhi NCR</x:v>
      </x:c>
      <x:c r="D2155" s="12" t="str">
        <x:v>MAIN-212</x:v>
      </x:c>
      <x:c r="E2155" s="12" t="str">
        <x:v>Workflow by Oyo - Golf Course Road</x:v>
      </x:c>
      <x:c r="F2155" s="11" t="n">
        <x:v>2</x:v>
      </x:c>
      <x:c r="G2155" s="11" t="n">
        <x:v>2</x:v>
      </x:c>
      <x:c r="H2155" s="11" t="n">
        <x:v>0</x:v>
      </x:c>
      <x:c r="I2155" s="17" t="n">
        <x:f>INDEX('Costing'!$P$9:$P$492,MATCH(D2155,'Costing'!$A$9:$A$492,0))</x:f>
        <x:v>30000</x:v>
      </x:c>
      <x:c r="J2155" s="17" t="n">
        <x:f>ROUND(I2155*'Costing'!$C$4,2)</x:f>
        <x:v>5400</x:v>
      </x:c>
      <x:c r="K2155" s="17" t="n">
        <x:f>I2155+J2155</x:f>
        <x:v>35400</x:v>
      </x:c>
    </x:row>
    <x:row r="2156" ht="46" customHeight="1">
      <x:c r="A2156" s="2" t="str">
        <x:v>Sector</x:v>
      </x:c>
      <x:c r="B2156" s="2" t="str">
        <x:v>Trade, consumer &amp; logistics</x:v>
      </x:c>
      <x:c r="C2156" s="12" t="str">
        <x:v>Delhi NCR</x:v>
      </x:c>
      <x:c r="D2156" s="12" t="str">
        <x:v>MAIN-175</x:v>
      </x:c>
      <x:c r="E2156" s="12" t="str">
        <x:v>Workflow by Oyo - Old Fort Saket</x:v>
      </x:c>
      <x:c r="F2156" s="11" t="n">
        <x:v>1</x:v>
      </x:c>
      <x:c r="G2156" s="11" t="n">
        <x:v>1</x:v>
      </x:c>
      <x:c r="H2156" s="11" t="n">
        <x:v>0</x:v>
      </x:c>
      <x:c r="I2156" s="17" t="n">
        <x:f>INDEX('Costing'!$P$9:$P$492,MATCH(D2156,'Costing'!$A$9:$A$492,0))</x:f>
        <x:v>15000</x:v>
      </x:c>
      <x:c r="J2156" s="17" t="n">
        <x:f>ROUND(I2156*'Costing'!$C$4,2)</x:f>
        <x:v>2700</x:v>
      </x:c>
      <x:c r="K2156" s="17" t="n">
        <x:f>I2156+J2156</x:f>
        <x:v>17700</x:v>
      </x:c>
    </x:row>
    <x:row r="2157" ht="46" customHeight="1">
      <x:c r="A2157" s="2" t="str">
        <x:v>Sector</x:v>
      </x:c>
      <x:c r="B2157" s="2" t="str">
        <x:v>Trade, consumer &amp; logistics</x:v>
      </x:c>
      <x:c r="C2157" s="12" t="str">
        <x:v>Delhi NCR</x:v>
      </x:c>
      <x:c r="D2157" s="12" t="str">
        <x:v>MAIN-378</x:v>
      </x:c>
      <x:c r="E2157" s="12" t="str">
        <x:v>World Trade Tower</x:v>
      </x:c>
      <x:c r="F2157" s="11" t="n">
        <x:v>13</x:v>
      </x:c>
      <x:c r="G2157" s="11" t="n">
        <x:v>13</x:v>
      </x:c>
      <x:c r="H2157" s="11" t="n">
        <x:v>0</x:v>
      </x:c>
      <x:c r="I2157" s="17" t="n">
        <x:f>INDEX('Costing'!$P$9:$P$492,MATCH(D2157,'Costing'!$A$9:$A$492,0))</x:f>
        <x:v>260000</x:v>
      </x:c>
      <x:c r="J2157" s="17" t="n">
        <x:f>ROUND(I2157*'Costing'!$C$4,2)</x:f>
        <x:v>46800</x:v>
      </x:c>
      <x:c r="K2157" s="17" t="n">
        <x:f>I2157+J2157</x:f>
        <x:v>306800</x:v>
      </x:c>
    </x:row>
    <x:row r="2158" ht="46" customHeight="1">
      <x:c r="A2158" s="2" t="str">
        <x:v>Sector</x:v>
      </x:c>
      <x:c r="B2158" s="2" t="str">
        <x:v>Trade, consumer &amp; logistics</x:v>
      </x:c>
      <x:c r="C2158" s="12" t="str">
        <x:v>Hyderabad</x:v>
      </x:c>
      <x:c r="D2158" s="12" t="str">
        <x:v>MAIN-219</x:v>
      </x:c>
      <x:c r="E2158" s="12" t="str">
        <x:v>Awfis - Hitech City 6th</x:v>
      </x:c>
      <x:c r="F2158" s="11" t="n">
        <x:v>2</x:v>
      </x:c>
      <x:c r="G2158" s="11" t="n">
        <x:v>2</x:v>
      </x:c>
      <x:c r="H2158" s="11" t="n">
        <x:v>0</x:v>
      </x:c>
      <x:c r="I2158" s="17" t="n">
        <x:f>INDEX('Costing'!$P$9:$P$492,MATCH(D2158,'Costing'!$A$9:$A$492,0))</x:f>
        <x:v>30000</x:v>
      </x:c>
      <x:c r="J2158" s="17" t="n">
        <x:f>ROUND(I2158*'Costing'!$C$4,2)</x:f>
        <x:v>5400</x:v>
      </x:c>
      <x:c r="K2158" s="17" t="n">
        <x:f>I2158+J2158</x:f>
        <x:v>35400</x:v>
      </x:c>
    </x:row>
    <x:row r="2159" ht="46" customHeight="1">
      <x:c r="A2159" s="2" t="str">
        <x:v>Sector</x:v>
      </x:c>
      <x:c r="B2159" s="2" t="str">
        <x:v>Trade, consumer &amp; logistics</x:v>
      </x:c>
      <x:c r="C2159" s="12" t="str">
        <x:v>Hyderabad</x:v>
      </x:c>
      <x:c r="D2159" s="12" t="str">
        <x:v>MAIN-220</x:v>
      </x:c>
      <x:c r="E2159" s="12" t="str">
        <x:v>Awfis - Myscape Weave</x:v>
      </x:c>
      <x:c r="F2159" s="11" t="n">
        <x:v>2</x:v>
      </x:c>
      <x:c r="G2159" s="11" t="n">
        <x:v>2</x:v>
      </x:c>
      <x:c r="H2159" s="11" t="n">
        <x:v>0</x:v>
      </x:c>
      <x:c r="I2159" s="17" t="n">
        <x:f>INDEX('Costing'!$P$9:$P$492,MATCH(D2159,'Costing'!$A$9:$A$492,0))</x:f>
        <x:v>30000</x:v>
      </x:c>
      <x:c r="J2159" s="17" t="n">
        <x:f>ROUND(I2159*'Costing'!$C$4,2)</x:f>
        <x:v>5400</x:v>
      </x:c>
      <x:c r="K2159" s="17" t="n">
        <x:f>I2159+J2159</x:f>
        <x:v>35400</x:v>
      </x:c>
    </x:row>
    <x:row r="2160" ht="46" customHeight="1">
      <x:c r="A2160" s="2" t="str">
        <x:v>Sector</x:v>
      </x:c>
      <x:c r="B2160" s="2" t="str">
        <x:v>Trade, consumer &amp; logistics</x:v>
      </x:c>
      <x:c r="C2160" s="12" t="str">
        <x:v>Hyderabad</x:v>
      </x:c>
      <x:c r="D2160" s="12" t="str">
        <x:v>MAIN-221</x:v>
      </x:c>
      <x:c r="E2160" s="12" t="str">
        <x:v>Awfis - Oyster Complex</x:v>
      </x:c>
      <x:c r="F2160" s="11" t="n">
        <x:v>3</x:v>
      </x:c>
      <x:c r="G2160" s="11" t="n">
        <x:v>3</x:v>
      </x:c>
      <x:c r="H2160" s="11" t="n">
        <x:v>0</x:v>
      </x:c>
      <x:c r="I2160" s="17" t="n">
        <x:f>INDEX('Costing'!$P$9:$P$492,MATCH(D2160,'Costing'!$A$9:$A$492,0))</x:f>
        <x:v>45000</x:v>
      </x:c>
      <x:c r="J2160" s="17" t="n">
        <x:f>ROUND(I2160*'Costing'!$C$4,2)</x:f>
        <x:v>8100</x:v>
      </x:c>
      <x:c r="K2160" s="17" t="n">
        <x:f>I2160+J2160</x:f>
        <x:v>53100</x:v>
      </x:c>
    </x:row>
    <x:row r="2161" ht="46" customHeight="1">
      <x:c r="A2161" s="2" t="str">
        <x:v>Sector</x:v>
      </x:c>
      <x:c r="B2161" s="2" t="str">
        <x:v>Trade, consumer &amp; logistics</x:v>
      </x:c>
      <x:c r="C2161" s="12" t="str">
        <x:v>Hyderabad</x:v>
      </x:c>
      <x:c r="D2161" s="12" t="str">
        <x:v>MAIN-224</x:v>
      </x:c>
      <x:c r="E2161" s="12" t="str">
        <x:v>Awfis - Rajapushpa Summit</x:v>
      </x:c>
      <x:c r="F2161" s="11" t="n">
        <x:v>3</x:v>
      </x:c>
      <x:c r="G2161" s="11" t="n">
        <x:v>3</x:v>
      </x:c>
      <x:c r="H2161" s="11" t="n">
        <x:v>0</x:v>
      </x:c>
      <x:c r="I2161" s="17" t="n">
        <x:f>INDEX('Costing'!$P$9:$P$492,MATCH(D2161,'Costing'!$A$9:$A$492,0))</x:f>
        <x:v>45000</x:v>
      </x:c>
      <x:c r="J2161" s="17" t="n">
        <x:f>ROUND(I2161*'Costing'!$C$4,2)</x:f>
        <x:v>8100</x:v>
      </x:c>
      <x:c r="K2161" s="17" t="n">
        <x:f>I2161+J2161</x:f>
        <x:v>53100</x:v>
      </x:c>
    </x:row>
    <x:row r="2162" ht="46" customHeight="1">
      <x:c r="A2162" s="2" t="str">
        <x:v>Sector</x:v>
      </x:c>
      <x:c r="B2162" s="2" t="str">
        <x:v>Trade, consumer &amp; logistics</x:v>
      </x:c>
      <x:c r="C2162" s="12" t="str">
        <x:v>Hyderabad</x:v>
      </x:c>
      <x:c r="D2162" s="12" t="str">
        <x:v>MAIN-230</x:v>
      </x:c>
      <x:c r="E2162" s="12" t="str">
        <x:v>Elemental</x:v>
      </x:c>
      <x:c r="F2162" s="11" t="n">
        <x:v>4</x:v>
      </x:c>
      <x:c r="G2162" s="11" t="n">
        <x:v>4</x:v>
      </x:c>
      <x:c r="H2162" s="11" t="n">
        <x:v>0</x:v>
      </x:c>
      <x:c r="I2162" s="17" t="n">
        <x:f>INDEX('Costing'!$P$9:$P$492,MATCH(D2162,'Costing'!$A$9:$A$492,0))</x:f>
        <x:v>80000</x:v>
      </x:c>
      <x:c r="J2162" s="17" t="n">
        <x:f>ROUND(I2162*'Costing'!$C$4,2)</x:f>
        <x:v>14400</x:v>
      </x:c>
      <x:c r="K2162" s="17" t="n">
        <x:f>I2162+J2162</x:f>
        <x:v>94400</x:v>
      </x:c>
    </x:row>
    <x:row r="2163" ht="46" customHeight="1">
      <x:c r="A2163" s="2" t="str">
        <x:v>Sector</x:v>
      </x:c>
      <x:c r="B2163" s="2" t="str">
        <x:v>Trade, consumer &amp; logistics</x:v>
      </x:c>
      <x:c r="C2163" s="12" t="str">
        <x:v>Hyderabad</x:v>
      </x:c>
      <x:c r="D2163" s="12" t="str">
        <x:v>MAIN-235</x:v>
      </x:c>
      <x:c r="E2163" s="12" t="str">
        <x:v>GAR Laxmi Infobahn (T5, T6)</x:v>
      </x:c>
      <x:c r="F2163" s="11" t="n">
        <x:v>9</x:v>
      </x:c>
      <x:c r="G2163" s="11" t="n">
        <x:v>9</x:v>
      </x:c>
      <x:c r="H2163" s="11" t="n">
        <x:v>0</x:v>
      </x:c>
      <x:c r="I2163" s="17" t="n">
        <x:f>INDEX('Costing'!$P$9:$P$492,MATCH(D2163,'Costing'!$A$9:$A$492,0))</x:f>
        <x:v>360000</x:v>
      </x:c>
      <x:c r="J2163" s="17" t="n">
        <x:f>ROUND(I2163*'Costing'!$C$4,2)</x:f>
        <x:v>64800</x:v>
      </x:c>
      <x:c r="K2163" s="17" t="n">
        <x:f>I2163+J2163</x:f>
        <x:v>424800</x:v>
      </x:c>
    </x:row>
    <x:row r="2164" ht="46" customHeight="1">
      <x:c r="A2164" s="2" t="str">
        <x:v>Sector</x:v>
      </x:c>
      <x:c r="B2164" s="2" t="str">
        <x:v>Trade, consumer &amp; logistics</x:v>
      </x:c>
      <x:c r="C2164" s="12" t="str">
        <x:v>Hyderabad</x:v>
      </x:c>
      <x:c r="D2164" s="12" t="str">
        <x:v>MAIN-236</x:v>
      </x:c>
      <x:c r="E2164" s="12" t="str">
        <x:v>GAR Laxmi Infobahn (T5, T6){IE}</x:v>
      </x:c>
      <x:c r="F2164" s="11" t="n">
        <x:v>27</x:v>
      </x:c>
      <x:c r="G2164" s="11" t="n">
        <x:v>27</x:v>
      </x:c>
      <x:c r="H2164" s="11" t="n">
        <x:v>0</x:v>
      </x:c>
      <x:c r="I2164" s="17" t="n">
        <x:f>INDEX('Costing'!$P$9:$P$492,MATCH(D2164,'Costing'!$A$9:$A$492,0))</x:f>
        <x:v>405000</x:v>
      </x:c>
      <x:c r="J2164" s="17" t="n">
        <x:f>ROUND(I2164*'Costing'!$C$4,2)</x:f>
        <x:v>72900</x:v>
      </x:c>
      <x:c r="K2164" s="17" t="n">
        <x:f>I2164+J2164</x:f>
        <x:v>477900</x:v>
      </x:c>
    </x:row>
    <x:row r="2165" ht="46" customHeight="1">
      <x:c r="A2165" s="2" t="str">
        <x:v>Sector</x:v>
      </x:c>
      <x:c r="B2165" s="2" t="str">
        <x:v>Trade, consumer &amp; logistics</x:v>
      </x:c>
      <x:c r="C2165" s="12" t="str">
        <x:v>Hyderabad</x:v>
      </x:c>
      <x:c r="D2165" s="12" t="str">
        <x:v>MAIN-237</x:v>
      </x:c>
      <x:c r="E2165" s="12" t="str">
        <x:v>Meenakshi Tech Park</x:v>
      </x:c>
      <x:c r="F2165" s="11" t="n">
        <x:v>2</x:v>
      </x:c>
      <x:c r="G2165" s="11" t="n">
        <x:v>2</x:v>
      </x:c>
      <x:c r="H2165" s="11" t="n">
        <x:v>0</x:v>
      </x:c>
      <x:c r="I2165" s="17" t="n">
        <x:f>INDEX('Costing'!$P$9:$P$492,MATCH(D2165,'Costing'!$A$9:$A$492,0))</x:f>
        <x:v>80000</x:v>
      </x:c>
      <x:c r="J2165" s="17" t="n">
        <x:f>ROUND(I2165*'Costing'!$C$4,2)</x:f>
        <x:v>14400</x:v>
      </x:c>
      <x:c r="K2165" s="17" t="n">
        <x:f>I2165+J2165</x:f>
        <x:v>94400</x:v>
      </x:c>
    </x:row>
    <x:row r="2166" ht="46" customHeight="1">
      <x:c r="A2166" s="2" t="str">
        <x:v>Sector</x:v>
      </x:c>
      <x:c r="B2166" s="2" t="str">
        <x:v>Trade, consumer &amp; logistics</x:v>
      </x:c>
      <x:c r="C2166" s="12" t="str">
        <x:v>Hyderabad</x:v>
      </x:c>
      <x:c r="D2166" s="12" t="str">
        <x:v>MAIN-238</x:v>
      </x:c>
      <x:c r="E2166" s="12" t="str">
        <x:v>Meenakshi Tech Park {IE}</x:v>
      </x:c>
      <x:c r="F2166" s="11" t="n">
        <x:v>11</x:v>
      </x:c>
      <x:c r="G2166" s="11" t="n">
        <x:v>11</x:v>
      </x:c>
      <x:c r="H2166" s="11" t="n">
        <x:v>0</x:v>
      </x:c>
      <x:c r="I2166" s="17" t="n">
        <x:f>INDEX('Costing'!$P$9:$P$492,MATCH(D2166,'Costing'!$A$9:$A$492,0))</x:f>
        <x:v>165000</x:v>
      </x:c>
      <x:c r="J2166" s="17" t="n">
        <x:f>ROUND(I2166*'Costing'!$C$4,2)</x:f>
        <x:v>29700</x:v>
      </x:c>
      <x:c r="K2166" s="17" t="n">
        <x:f>I2166+J2166</x:f>
        <x:v>194700</x:v>
      </x:c>
    </x:row>
    <x:row r="2167" ht="46" customHeight="1">
      <x:c r="A2167" s="2" t="str">
        <x:v>Sector</x:v>
      </x:c>
      <x:c r="B2167" s="2" t="str">
        <x:v>Trade, consumer &amp; logistics</x:v>
      </x:c>
      <x:c r="C2167" s="12" t="str">
        <x:v>Hyderabad</x:v>
      </x:c>
      <x:c r="D2167" s="12" t="str">
        <x:v>MAIN-239</x:v>
      </x:c>
      <x:c r="E2167" s="12" t="str">
        <x:v>Meenakshi Tech Park-43 Inch Pods</x:v>
      </x:c>
      <x:c r="F2167" s="11" t="n">
        <x:v>12</x:v>
      </x:c>
      <x:c r="G2167" s="11" t="n">
        <x:v>12</x:v>
      </x:c>
      <x:c r="H2167" s="11" t="n">
        <x:v>0</x:v>
      </x:c>
      <x:c r="I2167" s="17" t="n">
        <x:f>INDEX('Costing'!$P$9:$P$492,MATCH(D2167,'Costing'!$A$9:$A$492,0))</x:f>
        <x:v>240000</x:v>
      </x:c>
      <x:c r="J2167" s="17" t="n">
        <x:f>ROUND(I2167*'Costing'!$C$4,2)</x:f>
        <x:v>43200</x:v>
      </x:c>
      <x:c r="K2167" s="17" t="n">
        <x:f>I2167+J2167</x:f>
        <x:v>283200</x:v>
      </x:c>
    </x:row>
    <x:row r="2168" ht="46" customHeight="1">
      <x:c r="A2168" s="2" t="str">
        <x:v>Sector</x:v>
      </x:c>
      <x:c r="B2168" s="2" t="str">
        <x:v>Trade, consumer &amp; logistics</x:v>
      </x:c>
      <x:c r="C2168" s="12" t="str">
        <x:v>Hyderabad</x:v>
      </x:c>
      <x:c r="D2168" s="12" t="str">
        <x:v>MAIN-240</x:v>
      </x:c>
      <x:c r="E2168" s="12" t="str">
        <x:v>NSL Arena Tech Park</x:v>
      </x:c>
      <x:c r="F2168" s="11" t="n">
        <x:v>13</x:v>
      </x:c>
      <x:c r="G2168" s="11" t="n">
        <x:v>13</x:v>
      </x:c>
      <x:c r="H2168" s="11" t="n">
        <x:v>0</x:v>
      </x:c>
      <x:c r="I2168" s="17" t="n">
        <x:f>INDEX('Costing'!$P$9:$P$492,MATCH(D2168,'Costing'!$A$9:$A$492,0))</x:f>
        <x:v>195000</x:v>
      </x:c>
      <x:c r="J2168" s="17" t="n">
        <x:f>ROUND(I2168*'Costing'!$C$4,2)</x:f>
        <x:v>35100</x:v>
      </x:c>
      <x:c r="K2168" s="17" t="n">
        <x:f>I2168+J2168</x:f>
        <x:v>230100</x:v>
      </x:c>
    </x:row>
    <x:row r="2169" ht="46" customHeight="1">
      <x:c r="A2169" s="2" t="str">
        <x:v>Sector</x:v>
      </x:c>
      <x:c r="B2169" s="2" t="str">
        <x:v>Trade, consumer &amp; logistics</x:v>
      </x:c>
      <x:c r="C2169" s="12" t="str">
        <x:v>Hyderabad</x:v>
      </x:c>
      <x:c r="D2169" s="12" t="str">
        <x:v>MAIN-243</x:v>
      </x:c>
      <x:c r="E2169" s="12" t="str">
        <x:v>NSL Icon</x:v>
      </x:c>
      <x:c r="F2169" s="11" t="n">
        <x:v>2</x:v>
      </x:c>
      <x:c r="G2169" s="11" t="n">
        <x:v>2</x:v>
      </x:c>
      <x:c r="H2169" s="11" t="n">
        <x:v>0</x:v>
      </x:c>
      <x:c r="I2169" s="17" t="n">
        <x:f>INDEX('Costing'!$P$9:$P$492,MATCH(D2169,'Costing'!$A$9:$A$492,0))</x:f>
        <x:v>40000</x:v>
      </x:c>
      <x:c r="J2169" s="17" t="n">
        <x:f>ROUND(I2169*'Costing'!$C$4,2)</x:f>
        <x:v>7200</x:v>
      </x:c>
      <x:c r="K2169" s="17" t="n">
        <x:f>I2169+J2169</x:f>
        <x:v>47200</x:v>
      </x:c>
    </x:row>
    <x:row r="2170" ht="46" customHeight="1">
      <x:c r="A2170" s="2" t="str">
        <x:v>Sector</x:v>
      </x:c>
      <x:c r="B2170" s="2" t="str">
        <x:v>Trade, consumer &amp; logistics</x:v>
      </x:c>
      <x:c r="C2170" s="12" t="str">
        <x:v>Hyderabad</x:v>
      </x:c>
      <x:c r="D2170" s="12" t="str">
        <x:v>MAIN-244</x:v>
      </x:c>
      <x:c r="E2170" s="12" t="str">
        <x:v>Oyo Workspace - Hitech</x:v>
      </x:c>
      <x:c r="F2170" s="11" t="n">
        <x:v>2</x:v>
      </x:c>
      <x:c r="G2170" s="11" t="n">
        <x:v>2</x:v>
      </x:c>
      <x:c r="H2170" s="11" t="n">
        <x:v>0</x:v>
      </x:c>
      <x:c r="I2170" s="17" t="n">
        <x:f>INDEX('Costing'!$P$9:$P$492,MATCH(D2170,'Costing'!$A$9:$A$492,0))</x:f>
        <x:v>30000</x:v>
      </x:c>
      <x:c r="J2170" s="17" t="n">
        <x:f>ROUND(I2170*'Costing'!$C$4,2)</x:f>
        <x:v>5400</x:v>
      </x:c>
      <x:c r="K2170" s="17" t="n">
        <x:f>I2170+J2170</x:f>
        <x:v>35400</x:v>
      </x:c>
    </x:row>
    <x:row r="2171" ht="46" customHeight="1">
      <x:c r="A2171" s="2" t="str">
        <x:v>Sector</x:v>
      </x:c>
      <x:c r="B2171" s="2" t="str">
        <x:v>Trade, consumer &amp; logistics</x:v>
      </x:c>
      <x:c r="C2171" s="12" t="str">
        <x:v>Hyderabad</x:v>
      </x:c>
      <x:c r="D2171" s="12" t="str">
        <x:v>MAIN-249</x:v>
      </x:c>
      <x:c r="E2171" s="12" t="str">
        <x:v>Quick Start - Vasavi Sky City Gachibowli</x:v>
      </x:c>
      <x:c r="F2171" s="11" t="n">
        <x:v>3</x:v>
      </x:c>
      <x:c r="G2171" s="11" t="n">
        <x:v>3</x:v>
      </x:c>
      <x:c r="H2171" s="11" t="n">
        <x:v>0</x:v>
      </x:c>
      <x:c r="I2171" s="17" t="n">
        <x:f>INDEX('Costing'!$P$9:$P$492,MATCH(D2171,'Costing'!$A$9:$A$492,0))</x:f>
        <x:v>45000</x:v>
      </x:c>
      <x:c r="J2171" s="17" t="n">
        <x:f>ROUND(I2171*'Costing'!$C$4,2)</x:f>
        <x:v>8100</x:v>
      </x:c>
      <x:c r="K2171" s="17" t="n">
        <x:f>I2171+J2171</x:f>
        <x:v>53100</x:v>
      </x:c>
    </x:row>
    <x:row r="2172" ht="46" customHeight="1">
      <x:c r="A2172" s="2" t="str">
        <x:v>Sector</x:v>
      </x:c>
      <x:c r="B2172" s="2" t="str">
        <x:v>Trade, consumer &amp; logistics</x:v>
      </x:c>
      <x:c r="C2172" s="12" t="str">
        <x:v>Hyderabad</x:v>
      </x:c>
      <x:c r="D2172" s="12" t="str">
        <x:v>MAIN-250</x:v>
      </x:c>
      <x:c r="E2172" s="12" t="str">
        <x:v>Raheja 2A (Redbrick Offices)</x:v>
      </x:c>
      <x:c r="F2172" s="11" t="n">
        <x:v>1</x:v>
      </x:c>
      <x:c r="G2172" s="11" t="n">
        <x:v>1</x:v>
      </x:c>
      <x:c r="H2172" s="11" t="n">
        <x:v>0</x:v>
      </x:c>
      <x:c r="I2172" s="17" t="n">
        <x:f>INDEX('Costing'!$P$9:$P$492,MATCH(D2172,'Costing'!$A$9:$A$492,0))</x:f>
        <x:v>15000</x:v>
      </x:c>
      <x:c r="J2172" s="17" t="n">
        <x:f>ROUND(I2172*'Costing'!$C$4,2)</x:f>
        <x:v>2700</x:v>
      </x:c>
      <x:c r="K2172" s="17" t="n">
        <x:f>I2172+J2172</x:f>
        <x:v>17700</x:v>
      </x:c>
    </x:row>
    <x:row r="2173" ht="46" customHeight="1">
      <x:c r="A2173" s="2" t="str">
        <x:v>Sector</x:v>
      </x:c>
      <x:c r="B2173" s="2" t="str">
        <x:v>Trade, consumer &amp; logistics</x:v>
      </x:c>
      <x:c r="C2173" s="12" t="str">
        <x:v>Hyderabad</x:v>
      </x:c>
      <x:c r="D2173" s="12" t="str">
        <x:v>MAIN-251</x:v>
      </x:c>
      <x:c r="E2173" s="12" t="str">
        <x:v>Raheja IT Park Tower 3</x:v>
      </x:c>
      <x:c r="F2173" s="11" t="n">
        <x:v>2</x:v>
      </x:c>
      <x:c r="G2173" s="11" t="n">
        <x:v>2</x:v>
      </x:c>
      <x:c r="H2173" s="11" t="n">
        <x:v>0</x:v>
      </x:c>
      <x:c r="I2173" s="17" t="n">
        <x:f>INDEX('Costing'!$P$9:$P$492,MATCH(D2173,'Costing'!$A$9:$A$492,0))</x:f>
        <x:v>40000</x:v>
      </x:c>
      <x:c r="J2173" s="17" t="n">
        <x:f>ROUND(I2173*'Costing'!$C$4,2)</x:f>
        <x:v>7200</x:v>
      </x:c>
      <x:c r="K2173" s="17" t="n">
        <x:f>I2173+J2173</x:f>
        <x:v>47200</x:v>
      </x:c>
    </x:row>
    <x:row r="2174" ht="46" customHeight="1">
      <x:c r="A2174" s="2" t="str">
        <x:v>Sector</x:v>
      </x:c>
      <x:c r="B2174" s="2" t="str">
        <x:v>Trade, consumer &amp; logistics</x:v>
      </x:c>
      <x:c r="C2174" s="12" t="str">
        <x:v>Hyderabad</x:v>
      </x:c>
      <x:c r="D2174" s="12" t="str">
        <x:v>MAIN-254</x:v>
      </x:c>
      <x:c r="E2174" s="12" t="str">
        <x:v>Sattva Octave (Redbrick Offices)</x:v>
      </x:c>
      <x:c r="F2174" s="11" t="n">
        <x:v>1</x:v>
      </x:c>
      <x:c r="G2174" s="11" t="n">
        <x:v>1</x:v>
      </x:c>
      <x:c r="H2174" s="11" t="n">
        <x:v>0</x:v>
      </x:c>
      <x:c r="I2174" s="17" t="n">
        <x:f>INDEX('Costing'!$P$9:$P$492,MATCH(D2174,'Costing'!$A$9:$A$492,0))</x:f>
        <x:v>15000</x:v>
      </x:c>
      <x:c r="J2174" s="17" t="n">
        <x:f>ROUND(I2174*'Costing'!$C$4,2)</x:f>
        <x:v>2700</x:v>
      </x:c>
      <x:c r="K2174" s="17" t="n">
        <x:f>I2174+J2174</x:f>
        <x:v>17700</x:v>
      </x:c>
    </x:row>
    <x:row r="2175" ht="46" customHeight="1">
      <x:c r="A2175" s="2" t="str">
        <x:v>Sector</x:v>
      </x:c>
      <x:c r="B2175" s="2" t="str">
        <x:v>Trade, consumer &amp; logistics</x:v>
      </x:c>
      <x:c r="C2175" s="12" t="str">
        <x:v>Hyderabad</x:v>
      </x:c>
      <x:c r="D2175" s="12" t="str">
        <x:v>MAIN-255</x:v>
      </x:c>
      <x:c r="E2175" s="12" t="str">
        <x:v>Sattva Orwell (Redbrick Offices)</x:v>
      </x:c>
      <x:c r="F2175" s="11" t="n">
        <x:v>3</x:v>
      </x:c>
      <x:c r="G2175" s="11" t="n">
        <x:v>3</x:v>
      </x:c>
      <x:c r="H2175" s="11" t="n">
        <x:v>0</x:v>
      </x:c>
      <x:c r="I2175" s="17" t="n">
        <x:f>INDEX('Costing'!$P$9:$P$492,MATCH(D2175,'Costing'!$A$9:$A$492,0))</x:f>
        <x:v>45000</x:v>
      </x:c>
      <x:c r="J2175" s="17" t="n">
        <x:f>ROUND(I2175*'Costing'!$C$4,2)</x:f>
        <x:v>8100</x:v>
      </x:c>
      <x:c r="K2175" s="17" t="n">
        <x:f>I2175+J2175</x:f>
        <x:v>53100</x:v>
      </x:c>
    </x:row>
    <x:row r="2176" ht="46" customHeight="1">
      <x:c r="A2176" s="2" t="str">
        <x:v>Sector</x:v>
      </x:c>
      <x:c r="B2176" s="2" t="str">
        <x:v>Trade, consumer &amp; logistics</x:v>
      </x:c>
      <x:c r="C2176" s="12" t="str">
        <x:v>Hyderabad</x:v>
      </x:c>
      <x:c r="D2176" s="12" t="str">
        <x:v>MAIN-258</x:v>
      </x:c>
      <x:c r="E2176" s="12" t="str">
        <x:v>Symbyont Smart Space Dallas Centre</x:v>
      </x:c>
      <x:c r="F2176" s="11" t="n">
        <x:v>5</x:v>
      </x:c>
      <x:c r="G2176" s="11" t="n">
        <x:v>5</x:v>
      </x:c>
      <x:c r="H2176" s="11" t="n">
        <x:v>0</x:v>
      </x:c>
      <x:c r="I2176" s="17" t="n">
        <x:f>INDEX('Costing'!$P$9:$P$492,MATCH(D2176,'Costing'!$A$9:$A$492,0))</x:f>
        <x:v>200000</x:v>
      </x:c>
      <x:c r="J2176" s="17" t="n">
        <x:f>ROUND(I2176*'Costing'!$C$4,2)</x:f>
        <x:v>36000</x:v>
      </x:c>
      <x:c r="K2176" s="17" t="n">
        <x:f>I2176+J2176</x:f>
        <x:v>236000</x:v>
      </x:c>
    </x:row>
    <x:row r="2177" ht="46" customHeight="1">
      <x:c r="A2177" s="2" t="str">
        <x:v>Sector</x:v>
      </x:c>
      <x:c r="B2177" s="2" t="str">
        <x:v>Trade, consumer &amp; logistics</x:v>
      </x:c>
      <x:c r="C2177" s="12" t="str">
        <x:v>Hyderabad</x:v>
      </x:c>
      <x:c r="D2177" s="12" t="str">
        <x:v>MAIN-260</x:v>
      </x:c>
      <x:c r="E2177" s="12" t="str">
        <x:v>T-Hub</x:v>
      </x:c>
      <x:c r="F2177" s="11" t="n">
        <x:v>22</x:v>
      </x:c>
      <x:c r="G2177" s="11" t="n">
        <x:v>22</x:v>
      </x:c>
      <x:c r="H2177" s="11" t="n">
        <x:v>0</x:v>
      </x:c>
      <x:c r="I2177" s="17" t="n">
        <x:f>INDEX('Costing'!$P$9:$P$492,MATCH(D2177,'Costing'!$A$9:$A$492,0))</x:f>
        <x:v>715000</x:v>
      </x:c>
      <x:c r="J2177" s="17" t="n">
        <x:f>ROUND(I2177*'Costing'!$C$4,2)</x:f>
        <x:v>128700</x:v>
      </x:c>
      <x:c r="K2177" s="17" t="n">
        <x:f>I2177+J2177</x:f>
        <x:v>843700</x:v>
      </x:c>
    </x:row>
    <x:row r="2178" ht="46" customHeight="1">
      <x:c r="A2178" s="2" t="str">
        <x:v>Sector</x:v>
      </x:c>
      <x:c r="B2178" s="2" t="str">
        <x:v>Trade, consumer &amp; logistics</x:v>
      </x:c>
      <x:c r="C2178" s="12" t="str">
        <x:v>Hyderabad</x:v>
      </x:c>
      <x:c r="D2178" s="12" t="str">
        <x:v>MAIN-263</x:v>
      </x:c>
      <x:c r="E2178" s="12" t="str">
        <x:v>WeWork - Mindspace</x:v>
      </x:c>
      <x:c r="F2178" s="11" t="n">
        <x:v>1</x:v>
      </x:c>
      <x:c r="G2178" s="11" t="n">
        <x:v>1</x:v>
      </x:c>
      <x:c r="H2178" s="11" t="n">
        <x:v>0</x:v>
      </x:c>
      <x:c r="I2178" s="17" t="n">
        <x:f>INDEX('Costing'!$P$9:$P$492,MATCH(D2178,'Costing'!$A$9:$A$492,0))</x:f>
        <x:v>25000</x:v>
      </x:c>
      <x:c r="J2178" s="17" t="n">
        <x:f>ROUND(I2178*'Costing'!$C$4,2)</x:f>
        <x:v>4500</x:v>
      </x:c>
      <x:c r="K2178" s="17" t="n">
        <x:f>I2178+J2178</x:f>
        <x:v>29500</x:v>
      </x:c>
    </x:row>
    <x:row r="2179" ht="46" customHeight="1">
      <x:c r="A2179" s="2" t="str">
        <x:v>Sector</x:v>
      </x:c>
      <x:c r="B2179" s="2" t="str">
        <x:v>Trade, consumer &amp; logistics</x:v>
      </x:c>
      <x:c r="C2179" s="12" t="str">
        <x:v>Hyderabad</x:v>
      </x:c>
      <x:c r="D2179" s="12" t="str">
        <x:v>MAIN-265</x:v>
      </x:c>
      <x:c r="E2179" s="12" t="str">
        <x:v>WeWork - RMZ Spire</x:v>
      </x:c>
      <x:c r="F2179" s="11" t="n">
        <x:v>4</x:v>
      </x:c>
      <x:c r="G2179" s="11" t="n">
        <x:v>4</x:v>
      </x:c>
      <x:c r="H2179" s="11" t="n">
        <x:v>0</x:v>
      </x:c>
      <x:c r="I2179" s="17" t="n">
        <x:f>INDEX('Costing'!$P$9:$P$492,MATCH(D2179,'Costing'!$A$9:$A$492,0))</x:f>
        <x:v>100000</x:v>
      </x:c>
      <x:c r="J2179" s="17" t="n">
        <x:f>ROUND(I2179*'Costing'!$C$4,2)</x:f>
        <x:v>18000</x:v>
      </x:c>
      <x:c r="K2179" s="17" t="n">
        <x:f>I2179+J2179</x:f>
        <x:v>118000</x:v>
      </x:c>
    </x:row>
    <x:row r="2180" ht="46" customHeight="1">
      <x:c r="A2180" s="2" t="str">
        <x:v>Sector</x:v>
      </x:c>
      <x:c r="B2180" s="2" t="str">
        <x:v>Trade, consumer &amp; logistics</x:v>
      </x:c>
      <x:c r="C2180" s="12" t="str">
        <x:v>Indore</x:v>
      </x:c>
      <x:c r="D2180" s="12" t="str">
        <x:v>MAIN-266</x:v>
      </x:c>
      <x:c r="E2180" s="12" t="str">
        <x:v>Airen Heights</x:v>
      </x:c>
      <x:c r="F2180" s="11" t="n">
        <x:v>1</x:v>
      </x:c>
      <x:c r="G2180" s="11" t="n">
        <x:v>1</x:v>
      </x:c>
      <x:c r="H2180" s="11" t="n">
        <x:v>0</x:v>
      </x:c>
      <x:c r="I2180" s="17" t="n">
        <x:f>INDEX('Costing'!$P$9:$P$492,MATCH(D2180,'Costing'!$A$9:$A$492,0))</x:f>
        <x:v>20000</x:v>
      </x:c>
      <x:c r="J2180" s="17" t="n">
        <x:f>ROUND(I2180*'Costing'!$C$4,2)</x:f>
        <x:v>3600</x:v>
      </x:c>
      <x:c r="K2180" s="17" t="n">
        <x:f>I2180+J2180</x:f>
        <x:v>23600</x:v>
      </x:c>
    </x:row>
    <x:row r="2181" ht="46" customHeight="1">
      <x:c r="A2181" s="2" t="str">
        <x:v>Sector</x:v>
      </x:c>
      <x:c r="B2181" s="2" t="str">
        <x:v>Trade, consumer &amp; logistics</x:v>
      </x:c>
      <x:c r="C2181" s="12" t="str">
        <x:v>Indore</x:v>
      </x:c>
      <x:c r="D2181" s="12" t="str">
        <x:v>MAIN-267</x:v>
      </x:c>
      <x:c r="E2181" s="12" t="str">
        <x:v>Apollo Gold Plaza</x:v>
      </x:c>
      <x:c r="F2181" s="11" t="n">
        <x:v>2</x:v>
      </x:c>
      <x:c r="G2181" s="11" t="n">
        <x:v>2</x:v>
      </x:c>
      <x:c r="H2181" s="11" t="n">
        <x:v>0</x:v>
      </x:c>
      <x:c r="I2181" s="17" t="n">
        <x:f>INDEX('Costing'!$P$9:$P$492,MATCH(D2181,'Costing'!$A$9:$A$492,0))</x:f>
        <x:v>40000</x:v>
      </x:c>
      <x:c r="J2181" s="17" t="n">
        <x:f>ROUND(I2181*'Costing'!$C$4,2)</x:f>
        <x:v>7200</x:v>
      </x:c>
      <x:c r="K2181" s="17" t="n">
        <x:f>I2181+J2181</x:f>
        <x:v>47200</x:v>
      </x:c>
    </x:row>
    <x:row r="2182" ht="46" customHeight="1">
      <x:c r="A2182" s="2" t="str">
        <x:v>Sector</x:v>
      </x:c>
      <x:c r="B2182" s="2" t="str">
        <x:v>Trade, consumer &amp; logistics</x:v>
      </x:c>
      <x:c r="C2182" s="12" t="str">
        <x:v>Indore</x:v>
      </x:c>
      <x:c r="D2182" s="12" t="str">
        <x:v>MAIN-268</x:v>
      </x:c>
      <x:c r="E2182" s="12" t="str">
        <x:v>Apollo Premier</x:v>
      </x:c>
      <x:c r="F2182" s="11" t="n">
        <x:v>2</x:v>
      </x:c>
      <x:c r="G2182" s="11" t="n">
        <x:v>2</x:v>
      </x:c>
      <x:c r="H2182" s="11" t="n">
        <x:v>0</x:v>
      </x:c>
      <x:c r="I2182" s="17" t="n">
        <x:f>INDEX('Costing'!$P$9:$P$492,MATCH(D2182,'Costing'!$A$9:$A$492,0))</x:f>
        <x:v>80000</x:v>
      </x:c>
      <x:c r="J2182" s="17" t="n">
        <x:f>ROUND(I2182*'Costing'!$C$4,2)</x:f>
        <x:v>14400</x:v>
      </x:c>
      <x:c r="K2182" s="17" t="n">
        <x:f>I2182+J2182</x:f>
        <x:v>94400</x:v>
      </x:c>
    </x:row>
    <x:row r="2183" ht="46" customHeight="1">
      <x:c r="A2183" s="2" t="str">
        <x:v>Sector</x:v>
      </x:c>
      <x:c r="B2183" s="2" t="str">
        <x:v>Trade, consumer &amp; logistics</x:v>
      </x:c>
      <x:c r="C2183" s="12" t="str">
        <x:v>Indore</x:v>
      </x:c>
      <x:c r="D2183" s="12" t="str">
        <x:v>MAIN-269</x:v>
      </x:c>
      <x:c r="E2183" s="12" t="str">
        <x:v>Benchmark</x:v>
      </x:c>
      <x:c r="F2183" s="11" t="n">
        <x:v>1</x:v>
      </x:c>
      <x:c r="G2183" s="11" t="n">
        <x:v>1</x:v>
      </x:c>
      <x:c r="H2183" s="11" t="n">
        <x:v>0</x:v>
      </x:c>
      <x:c r="I2183" s="17" t="n">
        <x:f>INDEX('Costing'!$P$9:$P$492,MATCH(D2183,'Costing'!$A$9:$A$492,0))</x:f>
        <x:v>40000</x:v>
      </x:c>
      <x:c r="J2183" s="17" t="n">
        <x:f>ROUND(I2183*'Costing'!$C$4,2)</x:f>
        <x:v>7200</x:v>
      </x:c>
      <x:c r="K2183" s="17" t="n">
        <x:f>I2183+J2183</x:f>
        <x:v>47200</x:v>
      </x:c>
    </x:row>
    <x:row r="2184" ht="46" customHeight="1">
      <x:c r="A2184" s="2" t="str">
        <x:v>Sector</x:v>
      </x:c>
      <x:c r="B2184" s="2" t="str">
        <x:v>Trade, consumer &amp; logistics</x:v>
      </x:c>
      <x:c r="C2184" s="12" t="str">
        <x:v>Indore</x:v>
      </x:c>
      <x:c r="D2184" s="12" t="str">
        <x:v>MAIN-270</x:v>
      </x:c>
      <x:c r="E2184" s="12" t="str">
        <x:v>Cliffton Corporate</x:v>
      </x:c>
      <x:c r="F2184" s="11" t="n">
        <x:v>1</x:v>
      </x:c>
      <x:c r="G2184" s="11" t="n">
        <x:v>1</x:v>
      </x:c>
      <x:c r="H2184" s="11" t="n">
        <x:v>0</x:v>
      </x:c>
      <x:c r="I2184" s="17" t="n">
        <x:f>INDEX('Costing'!$P$9:$P$492,MATCH(D2184,'Costing'!$A$9:$A$492,0))</x:f>
        <x:v>20000</x:v>
      </x:c>
      <x:c r="J2184" s="17" t="n">
        <x:f>ROUND(I2184*'Costing'!$C$4,2)</x:f>
        <x:v>3600</x:v>
      </x:c>
      <x:c r="K2184" s="17" t="n">
        <x:f>I2184+J2184</x:f>
        <x:v>23600</x:v>
      </x:c>
    </x:row>
    <x:row r="2185" ht="46" customHeight="1">
      <x:c r="A2185" s="2" t="str">
        <x:v>Sector</x:v>
      </x:c>
      <x:c r="B2185" s="2" t="str">
        <x:v>Trade, consumer &amp; logistics</x:v>
      </x:c>
      <x:c r="C2185" s="12" t="str">
        <x:v>Indore</x:v>
      </x:c>
      <x:c r="D2185" s="12" t="str">
        <x:v>MAIN-271</x:v>
      </x:c>
      <x:c r="E2185" s="12" t="str">
        <x:v>Dhan Trident</x:v>
      </x:c>
      <x:c r="F2185" s="11" t="n">
        <x:v>2</x:v>
      </x:c>
      <x:c r="G2185" s="11" t="n">
        <x:v>2</x:v>
      </x:c>
      <x:c r="H2185" s="11" t="n">
        <x:v>0</x:v>
      </x:c>
      <x:c r="I2185" s="17" t="n">
        <x:f>INDEX('Costing'!$P$9:$P$492,MATCH(D2185,'Costing'!$A$9:$A$492,0))</x:f>
        <x:v>40000</x:v>
      </x:c>
      <x:c r="J2185" s="17" t="n">
        <x:f>ROUND(I2185*'Costing'!$C$4,2)</x:f>
        <x:v>7200</x:v>
      </x:c>
      <x:c r="K2185" s="17" t="n">
        <x:f>I2185+J2185</x:f>
        <x:v>47200</x:v>
      </x:c>
    </x:row>
    <x:row r="2186" ht="46" customHeight="1">
      <x:c r="A2186" s="2" t="str">
        <x:v>Sector</x:v>
      </x:c>
      <x:c r="B2186" s="2" t="str">
        <x:v>Trade, consumer &amp; logistics</x:v>
      </x:c>
      <x:c r="C2186" s="12" t="str">
        <x:v>Indore</x:v>
      </x:c>
      <x:c r="D2186" s="12" t="str">
        <x:v>MAIN-272</x:v>
      </x:c>
      <x:c r="E2186" s="12" t="str">
        <x:v>Maloo - 01</x:v>
      </x:c>
      <x:c r="F2186" s="11" t="n">
        <x:v>1</x:v>
      </x:c>
      <x:c r="G2186" s="11" t="n">
        <x:v>1</x:v>
      </x:c>
      <x:c r="H2186" s="11" t="n">
        <x:v>0</x:v>
      </x:c>
      <x:c r="I2186" s="17" t="n">
        <x:f>INDEX('Costing'!$P$9:$P$492,MATCH(D2186,'Costing'!$A$9:$A$492,0))</x:f>
        <x:v>20000</x:v>
      </x:c>
      <x:c r="J2186" s="17" t="n">
        <x:f>ROUND(I2186*'Costing'!$C$4,2)</x:f>
        <x:v>3600</x:v>
      </x:c>
      <x:c r="K2186" s="17" t="n">
        <x:f>I2186+J2186</x:f>
        <x:v>23600</x:v>
      </x:c>
    </x:row>
    <x:row r="2187" ht="46" customHeight="1">
      <x:c r="A2187" s="2" t="str">
        <x:v>Sector</x:v>
      </x:c>
      <x:c r="B2187" s="2" t="str">
        <x:v>Trade, consumer &amp; logistics</x:v>
      </x:c>
      <x:c r="C2187" s="12" t="str">
        <x:v>Indore</x:v>
      </x:c>
      <x:c r="D2187" s="12" t="str">
        <x:v>MAIN-273</x:v>
      </x:c>
      <x:c r="E2187" s="12" t="str">
        <x:v>Metro Tower</x:v>
      </x:c>
      <x:c r="F2187" s="11" t="n">
        <x:v>2</x:v>
      </x:c>
      <x:c r="G2187" s="11" t="n">
        <x:v>2</x:v>
      </x:c>
      <x:c r="H2187" s="11" t="n">
        <x:v>0</x:v>
      </x:c>
      <x:c r="I2187" s="17" t="n">
        <x:f>INDEX('Costing'!$P$9:$P$492,MATCH(D2187,'Costing'!$A$9:$A$492,0))</x:f>
        <x:v>40000</x:v>
      </x:c>
      <x:c r="J2187" s="17" t="n">
        <x:f>ROUND(I2187*'Costing'!$C$4,2)</x:f>
        <x:v>7200</x:v>
      </x:c>
      <x:c r="K2187" s="17" t="n">
        <x:f>I2187+J2187</x:f>
        <x:v>47200</x:v>
      </x:c>
    </x:row>
    <x:row r="2188" ht="46" customHeight="1">
      <x:c r="A2188" s="2" t="str">
        <x:v>Sector</x:v>
      </x:c>
      <x:c r="B2188" s="2" t="str">
        <x:v>Trade, consumer &amp; logistics</x:v>
      </x:c>
      <x:c r="C2188" s="12" t="str">
        <x:v>Indore</x:v>
      </x:c>
      <x:c r="D2188" s="12" t="str">
        <x:v>MAIN-274</x:v>
      </x:c>
      <x:c r="E2188" s="12" t="str">
        <x:v>Princess Sky Line</x:v>
      </x:c>
      <x:c r="F2188" s="11" t="n">
        <x:v>1</x:v>
      </x:c>
      <x:c r="G2188" s="11" t="n">
        <x:v>1</x:v>
      </x:c>
      <x:c r="H2188" s="11" t="n">
        <x:v>0</x:v>
      </x:c>
      <x:c r="I2188" s="17" t="n">
        <x:f>INDEX('Costing'!$P$9:$P$492,MATCH(D2188,'Costing'!$A$9:$A$492,0))</x:f>
        <x:v>40000</x:v>
      </x:c>
      <x:c r="J2188" s="17" t="n">
        <x:f>ROUND(I2188*'Costing'!$C$4,2)</x:f>
        <x:v>7200</x:v>
      </x:c>
      <x:c r="K2188" s="17" t="n">
        <x:f>I2188+J2188</x:f>
        <x:v>47200</x:v>
      </x:c>
    </x:row>
    <x:row r="2189" ht="46" customHeight="1">
      <x:c r="A2189" s="2" t="str">
        <x:v>Sector</x:v>
      </x:c>
      <x:c r="B2189" s="2" t="str">
        <x:v>Trade, consumer &amp; logistics</x:v>
      </x:c>
      <x:c r="C2189" s="12" t="str">
        <x:v>Indore</x:v>
      </x:c>
      <x:c r="D2189" s="12" t="str">
        <x:v>MAIN-275</x:v>
      </x:c>
      <x:c r="E2189" s="12" t="str">
        <x:v>Princess Sky Park</x:v>
      </x:c>
      <x:c r="F2189" s="11" t="n">
        <x:v>1</x:v>
      </x:c>
      <x:c r="G2189" s="11" t="n">
        <x:v>1</x:v>
      </x:c>
      <x:c r="H2189" s="11" t="n">
        <x:v>0</x:v>
      </x:c>
      <x:c r="I2189" s="17" t="n">
        <x:f>INDEX('Costing'!$P$9:$P$492,MATCH(D2189,'Costing'!$A$9:$A$492,0))</x:f>
        <x:v>40000</x:v>
      </x:c>
      <x:c r="J2189" s="17" t="n">
        <x:f>ROUND(I2189*'Costing'!$C$4,2)</x:f>
        <x:v>7200</x:v>
      </x:c>
      <x:c r="K2189" s="17" t="n">
        <x:f>I2189+J2189</x:f>
        <x:v>47200</x:v>
      </x:c>
    </x:row>
    <x:row r="2190" ht="46" customHeight="1">
      <x:c r="A2190" s="2" t="str">
        <x:v>Sector</x:v>
      </x:c>
      <x:c r="B2190" s="2" t="str">
        <x:v>Trade, consumer &amp; logistics</x:v>
      </x:c>
      <x:c r="C2190" s="12" t="str">
        <x:v>Indore</x:v>
      </x:c>
      <x:c r="D2190" s="12" t="str">
        <x:v>MAIN-276</x:v>
      </x:c>
      <x:c r="E2190" s="12" t="str">
        <x:v>Satyaraj Complex</x:v>
      </x:c>
      <x:c r="F2190" s="11" t="n">
        <x:v>1</x:v>
      </x:c>
      <x:c r="G2190" s="11" t="n">
        <x:v>1</x:v>
      </x:c>
      <x:c r="H2190" s="11" t="n">
        <x:v>0</x:v>
      </x:c>
      <x:c r="I2190" s="17" t="n">
        <x:f>INDEX('Costing'!$P$9:$P$492,MATCH(D2190,'Costing'!$A$9:$A$492,0))</x:f>
        <x:v>20000</x:v>
      </x:c>
      <x:c r="J2190" s="17" t="n">
        <x:f>ROUND(I2190*'Costing'!$C$4,2)</x:f>
        <x:v>3600</x:v>
      </x:c>
      <x:c r="K2190" s="17" t="n">
        <x:f>I2190+J2190</x:f>
        <x:v>23600</x:v>
      </x:c>
    </x:row>
    <x:row r="2191" ht="46" customHeight="1">
      <x:c r="A2191" s="2" t="str">
        <x:v>Sector</x:v>
      </x:c>
      <x:c r="B2191" s="2" t="str">
        <x:v>Trade, consumer &amp; logistics</x:v>
      </x:c>
      <x:c r="C2191" s="12" t="str">
        <x:v>Kochi</x:v>
      </x:c>
      <x:c r="D2191" s="12" t="str">
        <x:v>MAIN-277</x:v>
      </x:c>
      <x:c r="E2191" s="12" t="str">
        <x:v>Awfis - Mezmatrix</x:v>
      </x:c>
      <x:c r="F2191" s="11" t="n">
        <x:v>2</x:v>
      </x:c>
      <x:c r="G2191" s="11" t="n">
        <x:v>2</x:v>
      </x:c>
      <x:c r="H2191" s="11" t="n">
        <x:v>0</x:v>
      </x:c>
      <x:c r="I2191" s="17" t="n">
        <x:f>INDEX('Costing'!$P$9:$P$492,MATCH(D2191,'Costing'!$A$9:$A$492,0))</x:f>
        <x:v>30000</x:v>
      </x:c>
      <x:c r="J2191" s="17" t="n">
        <x:f>ROUND(I2191*'Costing'!$C$4,2)</x:f>
        <x:v>5400</x:v>
      </x:c>
      <x:c r="K2191" s="17" t="n">
        <x:f>I2191+J2191</x:f>
        <x:v>35400</x:v>
      </x:c>
    </x:row>
    <x:row r="2192" ht="46" customHeight="1">
      <x:c r="A2192" s="2" t="str">
        <x:v>Sector</x:v>
      </x:c>
      <x:c r="B2192" s="2" t="str">
        <x:v>Trade, consumer &amp; logistics</x:v>
      </x:c>
      <x:c r="C2192" s="12" t="str">
        <x:v>Kolkata</x:v>
      </x:c>
      <x:c r="D2192" s="12" t="str">
        <x:v>MAIN-278</x:v>
      </x:c>
      <x:c r="E2192" s="12" t="str">
        <x:v>Awfis - Acropolis Mall</x:v>
      </x:c>
      <x:c r="F2192" s="11" t="n">
        <x:v>1</x:v>
      </x:c>
      <x:c r="G2192" s="11" t="n">
        <x:v>1</x:v>
      </x:c>
      <x:c r="H2192" s="11" t="n">
        <x:v>0</x:v>
      </x:c>
      <x:c r="I2192" s="17" t="n">
        <x:f>INDEX('Costing'!$P$9:$P$492,MATCH(D2192,'Costing'!$A$9:$A$492,0))</x:f>
        <x:v>15000</x:v>
      </x:c>
      <x:c r="J2192" s="17" t="n">
        <x:f>ROUND(I2192*'Costing'!$C$4,2)</x:f>
        <x:v>2700</x:v>
      </x:c>
      <x:c r="K2192" s="17" t="n">
        <x:f>I2192+J2192</x:f>
        <x:v>17700</x:v>
      </x:c>
    </x:row>
    <x:row r="2193" ht="46" customHeight="1">
      <x:c r="A2193" s="2" t="str">
        <x:v>Sector</x:v>
      </x:c>
      <x:c r="B2193" s="2" t="str">
        <x:v>Trade, consumer &amp; logistics</x:v>
      </x:c>
      <x:c r="C2193" s="12" t="str">
        <x:v>Kolkata</x:v>
      </x:c>
      <x:c r="D2193" s="12" t="str">
        <x:v>MAIN-280</x:v>
      </x:c>
      <x:c r="E2193" s="12" t="str">
        <x:v>Awfis - Eco Center</x:v>
      </x:c>
      <x:c r="F2193" s="11" t="n">
        <x:v>2</x:v>
      </x:c>
      <x:c r="G2193" s="11" t="n">
        <x:v>2</x:v>
      </x:c>
      <x:c r="H2193" s="11" t="n">
        <x:v>0</x:v>
      </x:c>
      <x:c r="I2193" s="17" t="n">
        <x:f>INDEX('Costing'!$P$9:$P$492,MATCH(D2193,'Costing'!$A$9:$A$492,0))</x:f>
        <x:v>30000</x:v>
      </x:c>
      <x:c r="J2193" s="17" t="n">
        <x:f>ROUND(I2193*'Costing'!$C$4,2)</x:f>
        <x:v>5400</x:v>
      </x:c>
      <x:c r="K2193" s="17" t="n">
        <x:f>I2193+J2193</x:f>
        <x:v>35400</x:v>
      </x:c>
    </x:row>
    <x:row r="2194" ht="46" customHeight="1">
      <x:c r="A2194" s="2" t="str">
        <x:v>Sector</x:v>
      </x:c>
      <x:c r="B2194" s="2" t="str">
        <x:v>Trade, consumer &amp; logistics</x:v>
      </x:c>
      <x:c r="C2194" s="12" t="str">
        <x:v>Kolkata</x:v>
      </x:c>
      <x:c r="D2194" s="12" t="str">
        <x:v>MAIN-281</x:v>
      </x:c>
      <x:c r="E2194" s="12" t="str">
        <x:v>Awfis - Ecospace Business Park</x:v>
      </x:c>
      <x:c r="F2194" s="11" t="n">
        <x:v>1</x:v>
      </x:c>
      <x:c r="G2194" s="11" t="n">
        <x:v>1</x:v>
      </x:c>
      <x:c r="H2194" s="11" t="n">
        <x:v>0</x:v>
      </x:c>
      <x:c r="I2194" s="17" t="n">
        <x:f>INDEX('Costing'!$P$9:$P$492,MATCH(D2194,'Costing'!$A$9:$A$492,0))</x:f>
        <x:v>15000</x:v>
      </x:c>
      <x:c r="J2194" s="17" t="n">
        <x:f>ROUND(I2194*'Costing'!$C$4,2)</x:f>
        <x:v>2700</x:v>
      </x:c>
      <x:c r="K2194" s="17" t="n">
        <x:f>I2194+J2194</x:f>
        <x:v>17700</x:v>
      </x:c>
    </x:row>
    <x:row r="2195" ht="46" customHeight="1">
      <x:c r="A2195" s="2" t="str">
        <x:v>Sector</x:v>
      </x:c>
      <x:c r="B2195" s="2" t="str">
        <x:v>Trade, consumer &amp; logistics</x:v>
      </x:c>
      <x:c r="C2195" s="12" t="str">
        <x:v>Kolkata</x:v>
      </x:c>
      <x:c r="D2195" s="12" t="str">
        <x:v>MAIN-282</x:v>
      </x:c>
      <x:c r="E2195" s="12" t="str">
        <x:v>Awfis - Ecospace Business Park 2</x:v>
      </x:c>
      <x:c r="F2195" s="11" t="n">
        <x:v>2</x:v>
      </x:c>
      <x:c r="G2195" s="11" t="n">
        <x:v>2</x:v>
      </x:c>
      <x:c r="H2195" s="11" t="n">
        <x:v>0</x:v>
      </x:c>
      <x:c r="I2195" s="17" t="n">
        <x:f>INDEX('Costing'!$P$9:$P$492,MATCH(D2195,'Costing'!$A$9:$A$492,0))</x:f>
        <x:v>30000</x:v>
      </x:c>
      <x:c r="J2195" s="17" t="n">
        <x:f>ROUND(I2195*'Costing'!$C$4,2)</x:f>
        <x:v>5400</x:v>
      </x:c>
      <x:c r="K2195" s="17" t="n">
        <x:f>I2195+J2195</x:f>
        <x:v>35400</x:v>
      </x:c>
    </x:row>
    <x:row r="2196" ht="46" customHeight="1">
      <x:c r="A2196" s="2" t="str">
        <x:v>Sector</x:v>
      </x:c>
      <x:c r="B2196" s="2" t="str">
        <x:v>Trade, consumer &amp; logistics</x:v>
      </x:c>
      <x:c r="C2196" s="12" t="str">
        <x:v>Kolkata</x:v>
      </x:c>
      <x:c r="D2196" s="12" t="str">
        <x:v>MAIN-286</x:v>
      </x:c>
      <x:c r="E2196" s="12" t="str">
        <x:v>Awfis GWS</x:v>
      </x:c>
      <x:c r="F2196" s="11" t="n">
        <x:v>8</x:v>
      </x:c>
      <x:c r="G2196" s="11" t="n">
        <x:v>8</x:v>
      </x:c>
      <x:c r="H2196" s="11" t="n">
        <x:v>0</x:v>
      </x:c>
      <x:c r="I2196" s="17" t="n">
        <x:f>INDEX('Costing'!$P$9:$P$492,MATCH(D2196,'Costing'!$A$9:$A$492,0))</x:f>
        <x:v>120000</x:v>
      </x:c>
      <x:c r="J2196" s="17" t="n">
        <x:f>ROUND(I2196*'Costing'!$C$4,2)</x:f>
        <x:v>21600</x:v>
      </x:c>
      <x:c r="K2196" s="17" t="n">
        <x:f>I2196+J2196</x:f>
        <x:v>141600</x:v>
      </x:c>
    </x:row>
    <x:row r="2197" ht="46" customHeight="1">
      <x:c r="A2197" s="2" t="str">
        <x:v>Sector</x:v>
      </x:c>
      <x:c r="B2197" s="2" t="str">
        <x:v>Trade, consumer &amp; logistics</x:v>
      </x:c>
      <x:c r="C2197" s="12" t="str">
        <x:v>Kolkata</x:v>
      </x:c>
      <x:c r="D2197" s="12" t="str">
        <x:v>MAIN-287</x:v>
      </x:c>
      <x:c r="E2197" s="12" t="str">
        <x:v>DLF Galleria</x:v>
      </x:c>
      <x:c r="F2197" s="11" t="n">
        <x:v>5</x:v>
      </x:c>
      <x:c r="G2197" s="11" t="n">
        <x:v>5</x:v>
      </x:c>
      <x:c r="H2197" s="11" t="n">
        <x:v>0</x:v>
      </x:c>
      <x:c r="I2197" s="17" t="n">
        <x:f>INDEX('Costing'!$P$9:$P$492,MATCH(D2197,'Costing'!$A$9:$A$492,0))</x:f>
        <x:v>75000</x:v>
      </x:c>
      <x:c r="J2197" s="17" t="n">
        <x:f>ROUND(I2197*'Costing'!$C$4,2)</x:f>
        <x:v>13500</x:v>
      </x:c>
      <x:c r="K2197" s="17" t="n">
        <x:f>I2197+J2197</x:f>
        <x:v>88500</x:v>
      </x:c>
    </x:row>
    <x:row r="2198" ht="46" customHeight="1">
      <x:c r="A2198" s="2" t="str">
        <x:v>Sector</x:v>
      </x:c>
      <x:c r="B2198" s="2" t="str">
        <x:v>Trade, consumer &amp; logistics</x:v>
      </x:c>
      <x:c r="C2198" s="12" t="str">
        <x:v>Lucknow</x:v>
      </x:c>
      <x:c r="D2198" s="12" t="str">
        <x:v>MAIN-288</x:v>
      </x:c>
      <x:c r="E2198" s="12" t="str">
        <x:v>Bhavya Corporate Tower</x:v>
      </x:c>
      <x:c r="F2198" s="11" t="n">
        <x:v>2</x:v>
      </x:c>
      <x:c r="G2198" s="11" t="n">
        <x:v>2</x:v>
      </x:c>
      <x:c r="H2198" s="11" t="n">
        <x:v>0</x:v>
      </x:c>
      <x:c r="I2198" s="17" t="n">
        <x:f>INDEX('Costing'!$P$9:$P$492,MATCH(D2198,'Costing'!$A$9:$A$492,0))</x:f>
        <x:v>40000</x:v>
      </x:c>
      <x:c r="J2198" s="17" t="n">
        <x:f>ROUND(I2198*'Costing'!$C$4,2)</x:f>
        <x:v>7200</x:v>
      </x:c>
      <x:c r="K2198" s="17" t="n">
        <x:f>I2198+J2198</x:f>
        <x:v>47200</x:v>
      </x:c>
    </x:row>
    <x:row r="2199" ht="46" customHeight="1">
      <x:c r="A2199" s="2" t="str">
        <x:v>Sector</x:v>
      </x:c>
      <x:c r="B2199" s="2" t="str">
        <x:v>Trade, consumer &amp; logistics</x:v>
      </x:c>
      <x:c r="C2199" s="12" t="str">
        <x:v>Lucknow</x:v>
      </x:c>
      <x:c r="D2199" s="12" t="str">
        <x:v>MAIN-290</x:v>
      </x:c>
      <x:c r="E2199" s="12" t="str">
        <x:v>Eldeco Elegente</x:v>
      </x:c>
      <x:c r="F2199" s="11" t="n">
        <x:v>1</x:v>
      </x:c>
      <x:c r="G2199" s="11" t="n">
        <x:v>1</x:v>
      </x:c>
      <x:c r="H2199" s="11" t="n">
        <x:v>0</x:v>
      </x:c>
      <x:c r="I2199" s="17" t="n">
        <x:f>INDEX('Costing'!$P$9:$P$492,MATCH(D2199,'Costing'!$A$9:$A$492,0))</x:f>
        <x:v>40000</x:v>
      </x:c>
      <x:c r="J2199" s="17" t="n">
        <x:f>ROUND(I2199*'Costing'!$C$4,2)</x:f>
        <x:v>7200</x:v>
      </x:c>
      <x:c r="K2199" s="17" t="n">
        <x:f>I2199+J2199</x:f>
        <x:v>47200</x:v>
      </x:c>
    </x:row>
    <x:row r="2200" ht="46" customHeight="1">
      <x:c r="A2200" s="2" t="str">
        <x:v>Sector</x:v>
      </x:c>
      <x:c r="B2200" s="2" t="str">
        <x:v>Trade, consumer &amp; logistics</x:v>
      </x:c>
      <x:c r="C2200" s="12" t="str">
        <x:v>Lucknow</x:v>
      </x:c>
      <x:c r="D2200" s="12" t="str">
        <x:v>MAIN-291</x:v>
      </x:c>
      <x:c r="E2200" s="12" t="str">
        <x:v>Levana Cyber Heights</x:v>
      </x:c>
      <x:c r="F2200" s="11" t="n">
        <x:v>4</x:v>
      </x:c>
      <x:c r="G2200" s="11" t="n">
        <x:v>4</x:v>
      </x:c>
      <x:c r="H2200" s="11" t="n">
        <x:v>0</x:v>
      </x:c>
      <x:c r="I2200" s="17" t="n">
        <x:f>INDEX('Costing'!$P$9:$P$492,MATCH(D2200,'Costing'!$A$9:$A$492,0))</x:f>
        <x:v>160000</x:v>
      </x:c>
      <x:c r="J2200" s="17" t="n">
        <x:f>ROUND(I2200*'Costing'!$C$4,2)</x:f>
        <x:v>28800</x:v>
      </x:c>
      <x:c r="K2200" s="17" t="n">
        <x:f>I2200+J2200</x:f>
        <x:v>188800</x:v>
      </x:c>
    </x:row>
    <x:row r="2201" ht="46" customHeight="1">
      <x:c r="A2201" s="2" t="str">
        <x:v>Sector</x:v>
      </x:c>
      <x:c r="B2201" s="2" t="str">
        <x:v>Trade, consumer &amp; logistics</x:v>
      </x:c>
      <x:c r="C2201" s="12" t="str">
        <x:v>Lucknow</x:v>
      </x:c>
      <x:c r="D2201" s="12" t="str">
        <x:v>MAIN-292</x:v>
      </x:c>
      <x:c r="E2201" s="12" t="str">
        <x:v>Levana Cyber Tower</x:v>
      </x:c>
      <x:c r="F2201" s="11" t="n">
        <x:v>3</x:v>
      </x:c>
      <x:c r="G2201" s="11" t="n">
        <x:v>3</x:v>
      </x:c>
      <x:c r="H2201" s="11" t="n">
        <x:v>0</x:v>
      </x:c>
      <x:c r="I2201" s="17" t="n">
        <x:f>INDEX('Costing'!$P$9:$P$492,MATCH(D2201,'Costing'!$A$9:$A$492,0))</x:f>
        <x:v>120000</x:v>
      </x:c>
      <x:c r="J2201" s="17" t="n">
        <x:f>ROUND(I2201*'Costing'!$C$4,2)</x:f>
        <x:v>21600</x:v>
      </x:c>
      <x:c r="K2201" s="17" t="n">
        <x:f>I2201+J2201</x:f>
        <x:v>141600</x:v>
      </x:c>
    </x:row>
    <x:row r="2202" ht="46" customHeight="1">
      <x:c r="A2202" s="2" t="str">
        <x:v>Sector</x:v>
      </x:c>
      <x:c r="B2202" s="2" t="str">
        <x:v>Trade, consumer &amp; logistics</x:v>
      </x:c>
      <x:c r="C2202" s="12" t="str">
        <x:v>Mumbai</x:v>
      </x:c>
      <x:c r="D2202" s="12" t="str">
        <x:v>MAIN-294</x:v>
      </x:c>
      <x:c r="E2202" s="12" t="str">
        <x:v>Avior Corporate Park</x:v>
      </x:c>
      <x:c r="F2202" s="11" t="n">
        <x:v>39</x:v>
      </x:c>
      <x:c r="G2202" s="11" t="n">
        <x:v>39</x:v>
      </x:c>
      <x:c r="H2202" s="11" t="n">
        <x:v>0</x:v>
      </x:c>
      <x:c r="I2202" s="17" t="n">
        <x:f>INDEX('Costing'!$P$9:$P$492,MATCH(D2202,'Costing'!$A$9:$A$492,0))</x:f>
        <x:v>585000</x:v>
      </x:c>
      <x:c r="J2202" s="17" t="n">
        <x:f>ROUND(I2202*'Costing'!$C$4,2)</x:f>
        <x:v>105300</x:v>
      </x:c>
      <x:c r="K2202" s="17" t="n">
        <x:f>I2202+J2202</x:f>
        <x:v>690300</x:v>
      </x:c>
    </x:row>
    <x:row r="2203" ht="46" customHeight="1">
      <x:c r="A2203" s="2" t="str">
        <x:v>Sector</x:v>
      </x:c>
      <x:c r="B2203" s="2" t="str">
        <x:v>Trade, consumer &amp; logistics</x:v>
      </x:c>
      <x:c r="C2203" s="12" t="str">
        <x:v>Mumbai</x:v>
      </x:c>
      <x:c r="D2203" s="12" t="str">
        <x:v>MAIN-300</x:v>
      </x:c>
      <x:c r="E2203" s="12" t="str">
        <x:v>Awfis - Lokhandwala Aston Building</x:v>
      </x:c>
      <x:c r="F2203" s="11" t="n">
        <x:v>1</x:v>
      </x:c>
      <x:c r="G2203" s="11" t="n">
        <x:v>1</x:v>
      </x:c>
      <x:c r="H2203" s="11" t="n">
        <x:v>0</x:v>
      </x:c>
      <x:c r="I2203" s="17" t="n">
        <x:f>INDEX('Costing'!$P$9:$P$492,MATCH(D2203,'Costing'!$A$9:$A$492,0))</x:f>
        <x:v>15000</x:v>
      </x:c>
      <x:c r="J2203" s="17" t="n">
        <x:f>ROUND(I2203*'Costing'!$C$4,2)</x:f>
        <x:v>2700</x:v>
      </x:c>
      <x:c r="K2203" s="17" t="n">
        <x:f>I2203+J2203</x:f>
        <x:v>17700</x:v>
      </x:c>
    </x:row>
    <x:row r="2204" ht="46" customHeight="1">
      <x:c r="A2204" s="2" t="str">
        <x:v>Sector</x:v>
      </x:c>
      <x:c r="B2204" s="2" t="str">
        <x:v>Trade, consumer &amp; logistics</x:v>
      </x:c>
      <x:c r="C2204" s="12" t="str">
        <x:v>Mumbai</x:v>
      </x:c>
      <x:c r="D2204" s="12" t="str">
        <x:v>MAIN-303</x:v>
      </x:c>
      <x:c r="E2204" s="12" t="str">
        <x:v>Awfis - Schindler House</x:v>
      </x:c>
      <x:c r="F2204" s="11" t="n">
        <x:v>1</x:v>
      </x:c>
      <x:c r="G2204" s="11" t="n">
        <x:v>1</x:v>
      </x:c>
      <x:c r="H2204" s="11" t="n">
        <x:v>0</x:v>
      </x:c>
      <x:c r="I2204" s="17" t="n">
        <x:f>INDEX('Costing'!$P$9:$P$492,MATCH(D2204,'Costing'!$A$9:$A$492,0))</x:f>
        <x:v>15000</x:v>
      </x:c>
      <x:c r="J2204" s="17" t="n">
        <x:f>ROUND(I2204*'Costing'!$C$4,2)</x:f>
        <x:v>2700</x:v>
      </x:c>
      <x:c r="K2204" s="17" t="n">
        <x:f>I2204+J2204</x:f>
        <x:v>17700</x:v>
      </x:c>
    </x:row>
    <x:row r="2205" ht="46" customHeight="1">
      <x:c r="A2205" s="2" t="str">
        <x:v>Sector</x:v>
      </x:c>
      <x:c r="B2205" s="2" t="str">
        <x:v>Trade, consumer &amp; logistics</x:v>
      </x:c>
      <x:c r="C2205" s="12" t="str">
        <x:v>Mumbai</x:v>
      </x:c>
      <x:c r="D2205" s="12" t="str">
        <x:v>MAIN-304</x:v>
      </x:c>
      <x:c r="E2205" s="12" t="str">
        <x:v>Awfis - Skyline Icon</x:v>
      </x:c>
      <x:c r="F2205" s="11" t="n">
        <x:v>2</x:v>
      </x:c>
      <x:c r="G2205" s="11" t="n">
        <x:v>2</x:v>
      </x:c>
      <x:c r="H2205" s="11" t="n">
        <x:v>0</x:v>
      </x:c>
      <x:c r="I2205" s="17" t="n">
        <x:f>INDEX('Costing'!$P$9:$P$492,MATCH(D2205,'Costing'!$A$9:$A$492,0))</x:f>
        <x:v>30000</x:v>
      </x:c>
      <x:c r="J2205" s="17" t="n">
        <x:f>ROUND(I2205*'Costing'!$C$4,2)</x:f>
        <x:v>5400</x:v>
      </x:c>
      <x:c r="K2205" s="17" t="n">
        <x:f>I2205+J2205</x:f>
        <x:v>35400</x:v>
      </x:c>
    </x:row>
    <x:row r="2206" ht="46" customHeight="1">
      <x:c r="A2206" s="2" t="str">
        <x:v>Sector</x:v>
      </x:c>
      <x:c r="B2206" s="2" t="str">
        <x:v>Trade, consumer &amp; logistics</x:v>
      </x:c>
      <x:c r="C2206" s="12" t="str">
        <x:v>Mumbai</x:v>
      </x:c>
      <x:c r="D2206" s="12" t="str">
        <x:v>MAIN-305</x:v>
      </x:c>
      <x:c r="E2206" s="12" t="str">
        <x:v>Awfis - Vaman Techno Center</x:v>
      </x:c>
      <x:c r="F2206" s="11" t="n">
        <x:v>2</x:v>
      </x:c>
      <x:c r="G2206" s="11" t="n">
        <x:v>2</x:v>
      </x:c>
      <x:c r="H2206" s="11" t="n">
        <x:v>0</x:v>
      </x:c>
      <x:c r="I2206" s="17" t="n">
        <x:f>INDEX('Costing'!$P$9:$P$492,MATCH(D2206,'Costing'!$A$9:$A$492,0))</x:f>
        <x:v>30000</x:v>
      </x:c>
      <x:c r="J2206" s="17" t="n">
        <x:f>ROUND(I2206*'Costing'!$C$4,2)</x:f>
        <x:v>5400</x:v>
      </x:c>
      <x:c r="K2206" s="17" t="n">
        <x:f>I2206+J2206</x:f>
        <x:v>35400</x:v>
      </x:c>
    </x:row>
    <x:row r="2207" ht="46" customHeight="1">
      <x:c r="A2207" s="2" t="str">
        <x:v>Sector</x:v>
      </x:c>
      <x:c r="B2207" s="2" t="str">
        <x:v>Trade, consumer &amp; logistics</x:v>
      </x:c>
      <x:c r="C2207" s="12" t="str">
        <x:v>Mumbai</x:v>
      </x:c>
      <x:c r="D2207" s="12" t="str">
        <x:v>MAIN-307</x:v>
      </x:c>
      <x:c r="E2207" s="12" t="str">
        <x:v>Blue Rose IND</x:v>
      </x:c>
      <x:c r="F2207" s="11" t="n">
        <x:v>22</x:v>
      </x:c>
      <x:c r="G2207" s="11" t="n">
        <x:v>22</x:v>
      </x:c>
      <x:c r="H2207" s="11" t="n">
        <x:v>0</x:v>
      </x:c>
      <x:c r="I2207" s="17" t="n">
        <x:f>INDEX('Costing'!$P$9:$P$492,MATCH(D2207,'Costing'!$A$9:$A$492,0))</x:f>
        <x:v>330000</x:v>
      </x:c>
      <x:c r="J2207" s="17" t="n">
        <x:f>ROUND(I2207*'Costing'!$C$4,2)</x:f>
        <x:v>59400</x:v>
      </x:c>
      <x:c r="K2207" s="17" t="n">
        <x:f>I2207+J2207</x:f>
        <x:v>389400</x:v>
      </x:c>
    </x:row>
    <x:row r="2208" ht="46" customHeight="1">
      <x:c r="A2208" s="2" t="str">
        <x:v>Sector</x:v>
      </x:c>
      <x:c r="B2208" s="2" t="str">
        <x:v>Trade, consumer &amp; logistics</x:v>
      </x:c>
      <x:c r="C2208" s="12" t="str">
        <x:v>Mumbai</x:v>
      </x:c>
      <x:c r="D2208" s="12" t="str">
        <x:v>MAIN-309</x:v>
      </x:c>
      <x:c r="E2208" s="12" t="str">
        <x:v>Carnival HUB Work Spaces</x:v>
      </x:c>
      <x:c r="F2208" s="11" t="n">
        <x:v>1</x:v>
      </x:c>
      <x:c r="G2208" s="11" t="n">
        <x:v>1</x:v>
      </x:c>
      <x:c r="H2208" s="11" t="n">
        <x:v>0</x:v>
      </x:c>
      <x:c r="I2208" s="17" t="n">
        <x:f>INDEX('Costing'!$P$9:$P$492,MATCH(D2208,'Costing'!$A$9:$A$492,0))</x:f>
        <x:v>15000</x:v>
      </x:c>
      <x:c r="J2208" s="17" t="n">
        <x:f>ROUND(I2208*'Costing'!$C$4,2)</x:f>
        <x:v>2700</x:v>
      </x:c>
      <x:c r="K2208" s="17" t="n">
        <x:f>I2208+J2208</x:f>
        <x:v>17700</x:v>
      </x:c>
    </x:row>
    <x:row r="2209" ht="46" customHeight="1">
      <x:c r="A2209" s="2" t="str">
        <x:v>Sector</x:v>
      </x:c>
      <x:c r="B2209" s="2" t="str">
        <x:v>Trade, consumer &amp; logistics</x:v>
      </x:c>
      <x:c r="C2209" s="12" t="str">
        <x:v>Mumbai</x:v>
      </x:c>
      <x:c r="D2209" s="12" t="str">
        <x:v>MAIN-313</x:v>
      </x:c>
      <x:c r="E2209" s="12" t="str">
        <x:v>Everest Nirwana</x:v>
      </x:c>
      <x:c r="F2209" s="11" t="n">
        <x:v>21</x:v>
      </x:c>
      <x:c r="G2209" s="11" t="n">
        <x:v>21</x:v>
      </x:c>
      <x:c r="H2209" s="11" t="n">
        <x:v>0</x:v>
      </x:c>
      <x:c r="I2209" s="17" t="n">
        <x:f>INDEX('Costing'!$P$9:$P$492,MATCH(D2209,'Costing'!$A$9:$A$492,0))</x:f>
        <x:v>315000</x:v>
      </x:c>
      <x:c r="J2209" s="17" t="n">
        <x:f>ROUND(I2209*'Costing'!$C$4,2)</x:f>
        <x:v>56700</x:v>
      </x:c>
      <x:c r="K2209" s="17" t="n">
        <x:f>I2209+J2209</x:f>
        <x:v>371700</x:v>
      </x:c>
    </x:row>
    <x:row r="2210" ht="46" customHeight="1">
      <x:c r="A2210" s="2" t="str">
        <x:v>Sector</x:v>
      </x:c>
      <x:c r="B2210" s="2" t="str">
        <x:v>Trade, consumer &amp; logistics</x:v>
      </x:c>
      <x:c r="C2210" s="12" t="str">
        <x:v>Mumbai</x:v>
      </x:c>
      <x:c r="D2210" s="12" t="str">
        <x:v>MAIN-318</x:v>
      </x:c>
      <x:c r="E2210" s="12" t="str">
        <x:v>Kaledonia (Redbrick Offices)</x:v>
      </x:c>
      <x:c r="F2210" s="11" t="n">
        <x:v>2</x:v>
      </x:c>
      <x:c r="G2210" s="11" t="n">
        <x:v>2</x:v>
      </x:c>
      <x:c r="H2210" s="11" t="n">
        <x:v>0</x:v>
      </x:c>
      <x:c r="I2210" s="17" t="n">
        <x:f>INDEX('Costing'!$P$9:$P$492,MATCH(D2210,'Costing'!$A$9:$A$492,0))</x:f>
        <x:v>30000</x:v>
      </x:c>
      <x:c r="J2210" s="17" t="n">
        <x:f>ROUND(I2210*'Costing'!$C$4,2)</x:f>
        <x:v>5400</x:v>
      </x:c>
      <x:c r="K2210" s="17" t="n">
        <x:f>I2210+J2210</x:f>
        <x:v>35400</x:v>
      </x:c>
    </x:row>
    <x:row r="2211" ht="46" customHeight="1">
      <x:c r="A2211" s="2" t="str">
        <x:v>Sector</x:v>
      </x:c>
      <x:c r="B2211" s="2" t="str">
        <x:v>Trade, consumer &amp; logistics</x:v>
      </x:c>
      <x:c r="C2211" s="12" t="str">
        <x:v>Mumbai</x:v>
      </x:c>
      <x:c r="D2211" s="12" t="str">
        <x:v>MAIN-320</x:v>
      </x:c>
      <x:c r="E2211" s="12" t="str">
        <x:v>Kane Plaza</x:v>
      </x:c>
      <x:c r="F2211" s="11" t="n">
        <x:v>6</x:v>
      </x:c>
      <x:c r="G2211" s="11" t="n">
        <x:v>6</x:v>
      </x:c>
      <x:c r="H2211" s="11" t="n">
        <x:v>0</x:v>
      </x:c>
      <x:c r="I2211" s="17" t="n">
        <x:f>INDEX('Costing'!$P$9:$P$492,MATCH(D2211,'Costing'!$A$9:$A$492,0))</x:f>
        <x:v>90000</x:v>
      </x:c>
      <x:c r="J2211" s="17" t="n">
        <x:f>ROUND(I2211*'Costing'!$C$4,2)</x:f>
        <x:v>16200</x:v>
      </x:c>
      <x:c r="K2211" s="17" t="n">
        <x:f>I2211+J2211</x:f>
        <x:v>106200</x:v>
      </x:c>
    </x:row>
    <x:row r="2212" ht="46" customHeight="1">
      <x:c r="A2212" s="2" t="str">
        <x:v>Sector</x:v>
      </x:c>
      <x:c r="B2212" s="2" t="str">
        <x:v>Trade, consumer &amp; logistics</x:v>
      </x:c>
      <x:c r="C2212" s="12" t="str">
        <x:v>Mumbai</x:v>
      </x:c>
      <x:c r="D2212" s="12" t="str">
        <x:v>MAIN-321</x:v>
      </x:c>
      <x:c r="E2212" s="12" t="str">
        <x:v>Lodha Ithink (Redbrick Offices)</x:v>
      </x:c>
      <x:c r="F2212" s="11" t="n">
        <x:v>1</x:v>
      </x:c>
      <x:c r="G2212" s="11" t="n">
        <x:v>1</x:v>
      </x:c>
      <x:c r="H2212" s="11" t="n">
        <x:v>0</x:v>
      </x:c>
      <x:c r="I2212" s="17" t="n">
        <x:f>INDEX('Costing'!$P$9:$P$492,MATCH(D2212,'Costing'!$A$9:$A$492,0))</x:f>
        <x:v>15000</x:v>
      </x:c>
      <x:c r="J2212" s="17" t="n">
        <x:f>ROUND(I2212*'Costing'!$C$4,2)</x:f>
        <x:v>2700</x:v>
      </x:c>
      <x:c r="K2212" s="17" t="n">
        <x:f>I2212+J2212</x:f>
        <x:v>17700</x:v>
      </x:c>
    </x:row>
    <x:row r="2213" ht="46" customHeight="1">
      <x:c r="A2213" s="2" t="str">
        <x:v>Sector</x:v>
      </x:c>
      <x:c r="B2213" s="2" t="str">
        <x:v>Trade, consumer &amp; logistics</x:v>
      </x:c>
      <x:c r="C2213" s="12" t="str">
        <x:v>Mumbai</x:v>
      </x:c>
      <x:c r="D2213" s="12" t="str">
        <x:v>MAIN-323</x:v>
      </x:c>
      <x:c r="E2213" s="12" t="str">
        <x:v>Mumbai - BKC</x:v>
      </x:c>
      <x:c r="F2213" s="11" t="n">
        <x:v>1</x:v>
      </x:c>
      <x:c r="G2213" s="11" t="n">
        <x:v>1</x:v>
      </x:c>
      <x:c r="H2213" s="11" t="n">
        <x:v>0</x:v>
      </x:c>
      <x:c r="I2213" s="17" t="n">
        <x:f>INDEX('Costing'!$P$9:$P$492,MATCH(D2213,'Costing'!$A$9:$A$492,0))</x:f>
        <x:v>15000</x:v>
      </x:c>
      <x:c r="J2213" s="17" t="n">
        <x:f>ROUND(I2213*'Costing'!$C$4,2)</x:f>
        <x:v>2700</x:v>
      </x:c>
      <x:c r="K2213" s="17" t="n">
        <x:f>I2213+J2213</x:f>
        <x:v>17700</x:v>
      </x:c>
    </x:row>
    <x:row r="2214" ht="46" customHeight="1">
      <x:c r="A2214" s="2" t="str">
        <x:v>Sector</x:v>
      </x:c>
      <x:c r="B2214" s="2" t="str">
        <x:v>Trade, consumer &amp; logistics</x:v>
      </x:c>
      <x:c r="C2214" s="12" t="str">
        <x:v>Mumbai</x:v>
      </x:c>
      <x:c r="D2214" s="12" t="str">
        <x:v>MAIN-325</x:v>
      </x:c>
      <x:c r="E2214" s="12" t="str">
        <x:v>Nucleus - One BKC</x:v>
      </x:c>
      <x:c r="F2214" s="11" t="n">
        <x:v>2</x:v>
      </x:c>
      <x:c r="G2214" s="11" t="n">
        <x:v>2</x:v>
      </x:c>
      <x:c r="H2214" s="11" t="n">
        <x:v>0</x:v>
      </x:c>
      <x:c r="I2214" s="17" t="n">
        <x:f>INDEX('Costing'!$P$9:$P$492,MATCH(D2214,'Costing'!$A$9:$A$492,0))</x:f>
        <x:v>80000</x:v>
      </x:c>
      <x:c r="J2214" s="17" t="n">
        <x:f>ROUND(I2214*'Costing'!$C$4,2)</x:f>
        <x:v>14400</x:v>
      </x:c>
      <x:c r="K2214" s="17" t="n">
        <x:f>I2214+J2214</x:f>
        <x:v>94400</x:v>
      </x:c>
    </x:row>
    <x:row r="2215" ht="46" customHeight="1">
      <x:c r="A2215" s="2" t="str">
        <x:v>Sector</x:v>
      </x:c>
      <x:c r="B2215" s="2" t="str">
        <x:v>Trade, consumer &amp; logistics</x:v>
      </x:c>
      <x:c r="C2215" s="12" t="str">
        <x:v>Mumbai</x:v>
      </x:c>
      <x:c r="D2215" s="12" t="str">
        <x:v>MAIN-326</x:v>
      </x:c>
      <x:c r="E2215" s="12" t="str">
        <x:v>Nucleus - One International Center</x:v>
      </x:c>
      <x:c r="F2215" s="11" t="n">
        <x:v>9</x:v>
      </x:c>
      <x:c r="G2215" s="11" t="n">
        <x:v>9</x:v>
      </x:c>
      <x:c r="H2215" s="11" t="n">
        <x:v>0</x:v>
      </x:c>
      <x:c r="I2215" s="17" t="n">
        <x:f>INDEX('Costing'!$P$9:$P$492,MATCH(D2215,'Costing'!$A$9:$A$492,0))</x:f>
        <x:v>360000</x:v>
      </x:c>
      <x:c r="J2215" s="17" t="n">
        <x:f>ROUND(I2215*'Costing'!$C$4,2)</x:f>
        <x:v>64800</x:v>
      </x:c>
      <x:c r="K2215" s="17" t="n">
        <x:f>I2215+J2215</x:f>
        <x:v>424800</x:v>
      </x:c>
    </x:row>
    <x:row r="2216" ht="46" customHeight="1">
      <x:c r="A2216" s="2" t="str">
        <x:v>Sector</x:v>
      </x:c>
      <x:c r="B2216" s="2" t="str">
        <x:v>Trade, consumer &amp; logistics</x:v>
      </x:c>
      <x:c r="C2216" s="12" t="str">
        <x:v>Mumbai</x:v>
      </x:c>
      <x:c r="D2216" s="12" t="str">
        <x:v>MAIN-327</x:v>
      </x:c>
      <x:c r="E2216" s="12" t="str">
        <x:v>Nucleus - One World Center</x:v>
      </x:c>
      <x:c r="F2216" s="11" t="n">
        <x:v>8</x:v>
      </x:c>
      <x:c r="G2216" s="11" t="n">
        <x:v>8</x:v>
      </x:c>
      <x:c r="H2216" s="11" t="n">
        <x:v>0</x:v>
      </x:c>
      <x:c r="I2216" s="17" t="n">
        <x:f>INDEX('Costing'!$P$9:$P$492,MATCH(D2216,'Costing'!$A$9:$A$492,0))</x:f>
        <x:v>320000</x:v>
      </x:c>
      <x:c r="J2216" s="17" t="n">
        <x:f>ROUND(I2216*'Costing'!$C$4,2)</x:f>
        <x:v>57600</x:v>
      </x:c>
      <x:c r="K2216" s="17" t="n">
        <x:f>I2216+J2216</x:f>
        <x:v>377600</x:v>
      </x:c>
    </x:row>
    <x:row r="2217" ht="46" customHeight="1">
      <x:c r="A2217" s="2" t="str">
        <x:v>Sector</x:v>
      </x:c>
      <x:c r="B2217" s="2" t="str">
        <x:v>Trade, consumer &amp; logistics</x:v>
      </x:c>
      <x:c r="C2217" s="12" t="str">
        <x:v>Mumbai</x:v>
      </x:c>
      <x:c r="D2217" s="12" t="str">
        <x:v>MAIN-333</x:v>
      </x:c>
      <x:c r="E2217" s="12" t="str">
        <x:v>Oyo Workspace - Time Square</x:v>
      </x:c>
      <x:c r="F2217" s="11" t="n">
        <x:v>1</x:v>
      </x:c>
      <x:c r="G2217" s="11" t="n">
        <x:v>1</x:v>
      </x:c>
      <x:c r="H2217" s="11" t="n">
        <x:v>0</x:v>
      </x:c>
      <x:c r="I2217" s="17" t="n">
        <x:f>INDEX('Costing'!$P$9:$P$492,MATCH(D2217,'Costing'!$A$9:$A$492,0))</x:f>
        <x:v>15000</x:v>
      </x:c>
      <x:c r="J2217" s="17" t="n">
        <x:f>ROUND(I2217*'Costing'!$C$4,2)</x:f>
        <x:v>2700</x:v>
      </x:c>
      <x:c r="K2217" s="17" t="n">
        <x:f>I2217+J2217</x:f>
        <x:v>17700</x:v>
      </x:c>
    </x:row>
    <x:row r="2218" ht="46" customHeight="1">
      <x:c r="A2218" s="2" t="str">
        <x:v>Sector</x:v>
      </x:c>
      <x:c r="B2218" s="2" t="str">
        <x:v>Trade, consumer &amp; logistics</x:v>
      </x:c>
      <x:c r="C2218" s="12" t="str">
        <x:v>Mumbai</x:v>
      </x:c>
      <x:c r="D2218" s="12" t="str">
        <x:v>MAIN-334</x:v>
      </x:c>
      <x:c r="E2218" s="12" t="str">
        <x:v>Paradigm Technology Park</x:v>
      </x:c>
      <x:c r="F2218" s="11" t="n">
        <x:v>1</x:v>
      </x:c>
      <x:c r="G2218" s="11" t="n">
        <x:v>1</x:v>
      </x:c>
      <x:c r="H2218" s="11" t="n">
        <x:v>0</x:v>
      </x:c>
      <x:c r="I2218" s="17" t="n">
        <x:f>INDEX('Costing'!$P$9:$P$492,MATCH(D2218,'Costing'!$A$9:$A$492,0))</x:f>
        <x:v>20000</x:v>
      </x:c>
      <x:c r="J2218" s="17" t="n">
        <x:f>ROUND(I2218*'Costing'!$C$4,2)</x:f>
        <x:v>3600</x:v>
      </x:c>
      <x:c r="K2218" s="17" t="n">
        <x:f>I2218+J2218</x:f>
        <x:v>23600</x:v>
      </x:c>
    </x:row>
    <x:row r="2219" ht="46" customHeight="1">
      <x:c r="A2219" s="2" t="str">
        <x:v>Sector</x:v>
      </x:c>
      <x:c r="B2219" s="2" t="str">
        <x:v>Trade, consumer &amp; logistics</x:v>
      </x:c>
      <x:c r="C2219" s="12" t="str">
        <x:v>Mumbai</x:v>
      </x:c>
      <x:c r="D2219" s="12" t="str">
        <x:v>MAIN-341</x:v>
      </x:c>
      <x:c r="E2219" s="12" t="str">
        <x:v>Rupa Renaissance (Redbrick Offices)</x:v>
      </x:c>
      <x:c r="F2219" s="11" t="n">
        <x:v>1</x:v>
      </x:c>
      <x:c r="G2219" s="11" t="n">
        <x:v>1</x:v>
      </x:c>
      <x:c r="H2219" s="11" t="n">
        <x:v>0</x:v>
      </x:c>
      <x:c r="I2219" s="17" t="n">
        <x:f>INDEX('Costing'!$P$9:$P$492,MATCH(D2219,'Costing'!$A$9:$A$492,0))</x:f>
        <x:v>15000</x:v>
      </x:c>
      <x:c r="J2219" s="17" t="n">
        <x:f>ROUND(I2219*'Costing'!$C$4,2)</x:f>
        <x:v>2700</x:v>
      </x:c>
      <x:c r="K2219" s="17" t="n">
        <x:f>I2219+J2219</x:f>
        <x:v>17700</x:v>
      </x:c>
    </x:row>
    <x:row r="2220" ht="46" customHeight="1">
      <x:c r="A2220" s="2" t="str">
        <x:v>Sector</x:v>
      </x:c>
      <x:c r="B2220" s="2" t="str">
        <x:v>Trade, consumer &amp; logistics</x:v>
      </x:c>
      <x:c r="C2220" s="12" t="str">
        <x:v>Mumbai</x:v>
      </x:c>
      <x:c r="D2220" s="12" t="str">
        <x:v>MAIN-342</x:v>
      </x:c>
      <x:c r="E2220" s="12" t="str">
        <x:v>Rustomjee Eaze Zone Mall</x:v>
      </x:c>
      <x:c r="F2220" s="11" t="n">
        <x:v>26</x:v>
      </x:c>
      <x:c r="G2220" s="11" t="n">
        <x:v>26</x:v>
      </x:c>
      <x:c r="H2220" s="11" t="n">
        <x:v>0</x:v>
      </x:c>
      <x:c r="I2220" s="17" t="n">
        <x:f>INDEX('Costing'!$P$9:$P$492,MATCH(D2220,'Costing'!$A$9:$A$492,0))</x:f>
        <x:v>390000</x:v>
      </x:c>
      <x:c r="J2220" s="17" t="n">
        <x:f>ROUND(I2220*'Costing'!$C$4,2)</x:f>
        <x:v>70200</x:v>
      </x:c>
      <x:c r="K2220" s="17" t="n">
        <x:f>I2220+J2220</x:f>
        <x:v>460200</x:v>
      </x:c>
    </x:row>
    <x:row r="2221" ht="46" customHeight="1">
      <x:c r="A2221" s="2" t="str">
        <x:v>Sector</x:v>
      </x:c>
      <x:c r="B2221" s="2" t="str">
        <x:v>Trade, consumer &amp; logistics</x:v>
      </x:c>
      <x:c r="C2221" s="12" t="str">
        <x:v>Mumbai</x:v>
      </x:c>
      <x:c r="D2221" s="12" t="str">
        <x:v>MAIN-343</x:v>
      </x:c>
      <x:c r="E2221" s="12" t="str">
        <x:v>Sagar Tech Plaza A </x:v>
      </x:c>
      <x:c r="F2221" s="11" t="n">
        <x:v>2</x:v>
      </x:c>
      <x:c r="G2221" s="11" t="n">
        <x:v>2</x:v>
      </x:c>
      <x:c r="H2221" s="11" t="n">
        <x:v>0</x:v>
      </x:c>
      <x:c r="I2221" s="17" t="n">
        <x:f>INDEX('Costing'!$P$9:$P$492,MATCH(D2221,'Costing'!$A$9:$A$492,0))</x:f>
        <x:v>30000</x:v>
      </x:c>
      <x:c r="J2221" s="17" t="n">
        <x:f>ROUND(I2221*'Costing'!$C$4,2)</x:f>
        <x:v>5400</x:v>
      </x:c>
      <x:c r="K2221" s="17" t="n">
        <x:f>I2221+J2221</x:f>
        <x:v>35400</x:v>
      </x:c>
    </x:row>
    <x:row r="2222" ht="46" customHeight="1">
      <x:c r="A2222" s="2" t="str">
        <x:v>Sector</x:v>
      </x:c>
      <x:c r="B2222" s="2" t="str">
        <x:v>Trade, consumer &amp; logistics</x:v>
      </x:c>
      <x:c r="C2222" s="12" t="str">
        <x:v>Mumbai</x:v>
      </x:c>
      <x:c r="D2222" s="12" t="str">
        <x:v>MAIN-344</x:v>
      </x:c>
      <x:c r="E2222" s="12" t="str">
        <x:v>Sagar Tech Plaza A {IE}</x:v>
      </x:c>
      <x:c r="F2222" s="11" t="n">
        <x:v>3</x:v>
      </x:c>
      <x:c r="G2222" s="11" t="n">
        <x:v>3</x:v>
      </x:c>
      <x:c r="H2222" s="11" t="n">
        <x:v>0</x:v>
      </x:c>
      <x:c r="I2222" s="17" t="n">
        <x:f>INDEX('Costing'!$P$9:$P$492,MATCH(D2222,'Costing'!$A$9:$A$492,0))</x:f>
        <x:v>45000</x:v>
      </x:c>
      <x:c r="J2222" s="17" t="n">
        <x:f>ROUND(I2222*'Costing'!$C$4,2)</x:f>
        <x:v>8100</x:v>
      </x:c>
      <x:c r="K2222" s="17" t="n">
        <x:f>I2222+J2222</x:f>
        <x:v>53100</x:v>
      </x:c>
    </x:row>
    <x:row r="2223" ht="46" customHeight="1">
      <x:c r="A2223" s="2" t="str">
        <x:v>Sector</x:v>
      </x:c>
      <x:c r="B2223" s="2" t="str">
        <x:v>Trade, consumer &amp; logistics</x:v>
      </x:c>
      <x:c r="C2223" s="12" t="str">
        <x:v>Mumbai</x:v>
      </x:c>
      <x:c r="D2223" s="12" t="str">
        <x:v>MAIN-345</x:v>
      </x:c>
      <x:c r="E2223" s="12" t="str">
        <x:v>Sagar Tech Plaza B </x:v>
      </x:c>
      <x:c r="F2223" s="11" t="n">
        <x:v>1</x:v>
      </x:c>
      <x:c r="G2223" s="11" t="n">
        <x:v>1</x:v>
      </x:c>
      <x:c r="H2223" s="11" t="n">
        <x:v>0</x:v>
      </x:c>
      <x:c r="I2223" s="17" t="n">
        <x:f>INDEX('Costing'!$P$9:$P$492,MATCH(D2223,'Costing'!$A$9:$A$492,0))</x:f>
        <x:v>15000</x:v>
      </x:c>
      <x:c r="J2223" s="17" t="n">
        <x:f>ROUND(I2223*'Costing'!$C$4,2)</x:f>
        <x:v>2700</x:v>
      </x:c>
      <x:c r="K2223" s="17" t="n">
        <x:f>I2223+J2223</x:f>
        <x:v>17700</x:v>
      </x:c>
    </x:row>
    <x:row r="2224" ht="46" customHeight="1">
      <x:c r="A2224" s="2" t="str">
        <x:v>Sector</x:v>
      </x:c>
      <x:c r="B2224" s="2" t="str">
        <x:v>Trade, consumer &amp; logistics</x:v>
      </x:c>
      <x:c r="C2224" s="12" t="str">
        <x:v>Mumbai</x:v>
      </x:c>
      <x:c r="D2224" s="12" t="str">
        <x:v>MAIN-346</x:v>
      </x:c>
      <x:c r="E2224" s="12" t="str">
        <x:v>Sagar Tech Plaza B {IE}</x:v>
      </x:c>
      <x:c r="F2224" s="11" t="n">
        <x:v>3</x:v>
      </x:c>
      <x:c r="G2224" s="11" t="n">
        <x:v>3</x:v>
      </x:c>
      <x:c r="H2224" s="11" t="n">
        <x:v>0</x:v>
      </x:c>
      <x:c r="I2224" s="17" t="n">
        <x:f>INDEX('Costing'!$P$9:$P$492,MATCH(D2224,'Costing'!$A$9:$A$492,0))</x:f>
        <x:v>45000</x:v>
      </x:c>
      <x:c r="J2224" s="17" t="n">
        <x:f>ROUND(I2224*'Costing'!$C$4,2)</x:f>
        <x:v>8100</x:v>
      </x:c>
      <x:c r="K2224" s="17" t="n">
        <x:f>I2224+J2224</x:f>
        <x:v>53100</x:v>
      </x:c>
    </x:row>
    <x:row r="2225" ht="46" customHeight="1">
      <x:c r="A2225" s="2" t="str">
        <x:v>Sector</x:v>
      </x:c>
      <x:c r="B2225" s="2" t="str">
        <x:v>Trade, consumer &amp; logistics</x:v>
      </x:c>
      <x:c r="C2225" s="12" t="str">
        <x:v>Mumbai</x:v>
      </x:c>
      <x:c r="D2225" s="12" t="str">
        <x:v>MAIN-348</x:v>
      </x:c>
      <x:c r="E2225" s="12" t="str">
        <x:v>TEX Centre (Redbrick Offices)</x:v>
      </x:c>
      <x:c r="F2225" s="11" t="n">
        <x:v>1</x:v>
      </x:c>
      <x:c r="G2225" s="11" t="n">
        <x:v>1</x:v>
      </x:c>
      <x:c r="H2225" s="11" t="n">
        <x:v>0</x:v>
      </x:c>
      <x:c r="I2225" s="17" t="n">
        <x:f>INDEX('Costing'!$P$9:$P$492,MATCH(D2225,'Costing'!$A$9:$A$492,0))</x:f>
        <x:v>15000</x:v>
      </x:c>
      <x:c r="J2225" s="17" t="n">
        <x:f>ROUND(I2225*'Costing'!$C$4,2)</x:f>
        <x:v>2700</x:v>
      </x:c>
      <x:c r="K2225" s="17" t="n">
        <x:f>I2225+J2225</x:f>
        <x:v>17700</x:v>
      </x:c>
    </x:row>
    <x:row r="2226" ht="46" customHeight="1">
      <x:c r="A2226" s="2" t="str">
        <x:v>Sector</x:v>
      </x:c>
      <x:c r="B2226" s="2" t="str">
        <x:v>Trade, consumer &amp; logistics</x:v>
      </x:c>
      <x:c r="C2226" s="12" t="str">
        <x:v>Mumbai</x:v>
      </x:c>
      <x:c r="D2226" s="12" t="str">
        <x:v>MAIN-349</x:v>
      </x:c>
      <x:c r="E2226" s="12" t="str">
        <x:v>The Landmark - Kharghar</x:v>
      </x:c>
      <x:c r="F2226" s="11" t="n">
        <x:v>10</x:v>
      </x:c>
      <x:c r="G2226" s="11" t="n">
        <x:v>10</x:v>
      </x:c>
      <x:c r="H2226" s="11" t="n">
        <x:v>0</x:v>
      </x:c>
      <x:c r="I2226" s="17" t="n">
        <x:f>INDEX('Costing'!$P$9:$P$492,MATCH(D2226,'Costing'!$A$9:$A$492,0))</x:f>
        <x:v>150000</x:v>
      </x:c>
      <x:c r="J2226" s="17" t="n">
        <x:f>ROUND(I2226*'Costing'!$C$4,2)</x:f>
        <x:v>27000</x:v>
      </x:c>
      <x:c r="K2226" s="17" t="n">
        <x:f>I2226+J2226</x:f>
        <x:v>177000</x:v>
      </x:c>
    </x:row>
    <x:row r="2227" ht="46" customHeight="1">
      <x:c r="A2227" s="2" t="str">
        <x:v>Sector</x:v>
      </x:c>
      <x:c r="B2227" s="2" t="str">
        <x:v>Trade, consumer &amp; logistics</x:v>
      </x:c>
      <x:c r="C2227" s="12" t="str">
        <x:v>Mumbai</x:v>
      </x:c>
      <x:c r="D2227" s="12" t="str">
        <x:v>MAIN-350</x:v>
      </x:c>
      <x:c r="E2227" s="12" t="str">
        <x:v>The Summit Business Park Premises</x:v>
      </x:c>
      <x:c r="F2227" s="11" t="n">
        <x:v>70</x:v>
      </x:c>
      <x:c r="G2227" s="11" t="n">
        <x:v>70</x:v>
      </x:c>
      <x:c r="H2227" s="11" t="n">
        <x:v>0</x:v>
      </x:c>
      <x:c r="I2227" s="17" t="n">
        <x:f>INDEX('Costing'!$P$9:$P$492,MATCH(D2227,'Costing'!$A$9:$A$492,0))</x:f>
        <x:v>1050000</x:v>
      </x:c>
      <x:c r="J2227" s="17" t="n">
        <x:f>ROUND(I2227*'Costing'!$C$4,2)</x:f>
        <x:v>189000</x:v>
      </x:c>
      <x:c r="K2227" s="17" t="n">
        <x:f>I2227+J2227</x:f>
        <x:v>1239000</x:v>
      </x:c>
    </x:row>
    <x:row r="2228" ht="46" customHeight="1">
      <x:c r="A2228" s="2" t="str">
        <x:v>Sector</x:v>
      </x:c>
      <x:c r="B2228" s="2" t="str">
        <x:v>Trade, consumer &amp; logistics</x:v>
      </x:c>
      <x:c r="C2228" s="12" t="str">
        <x:v>Mumbai</x:v>
      </x:c>
      <x:c r="D2228" s="12" t="str">
        <x:v>MAIN-351</x:v>
      </x:c>
      <x:c r="E2228" s="12" t="str">
        <x:v>The Western Edge 2</x:v>
      </x:c>
      <x:c r="F2228" s="11" t="n">
        <x:v>39</x:v>
      </x:c>
      <x:c r="G2228" s="11" t="n">
        <x:v>39</x:v>
      </x:c>
      <x:c r="H2228" s="11" t="n">
        <x:v>0</x:v>
      </x:c>
      <x:c r="I2228" s="17" t="n">
        <x:f>INDEX('Costing'!$P$9:$P$492,MATCH(D2228,'Costing'!$A$9:$A$492,0))</x:f>
        <x:v>585000</x:v>
      </x:c>
      <x:c r="J2228" s="17" t="n">
        <x:f>ROUND(I2228*'Costing'!$C$4,2)</x:f>
        <x:v>105300</x:v>
      </x:c>
      <x:c r="K2228" s="17" t="n">
        <x:f>I2228+J2228</x:f>
        <x:v>690300</x:v>
      </x:c>
    </x:row>
    <x:row r="2229" ht="46" customHeight="1">
      <x:c r="A2229" s="2" t="str">
        <x:v>Sector</x:v>
      </x:c>
      <x:c r="B2229" s="2" t="str">
        <x:v>Trade, consumer &amp; logistics</x:v>
      </x:c>
      <x:c r="C2229" s="12" t="str">
        <x:v>Mumbai</x:v>
      </x:c>
      <x:c r="D2229" s="12" t="str">
        <x:v>MAIN-352</x:v>
      </x:c>
      <x:c r="E2229" s="12" t="str">
        <x:v>Times Square Tech Park</x:v>
      </x:c>
      <x:c r="F2229" s="11" t="n">
        <x:v>4</x:v>
      </x:c>
      <x:c r="G2229" s="11" t="n">
        <x:v>4</x:v>
      </x:c>
      <x:c r="H2229" s="11" t="n">
        <x:v>0</x:v>
      </x:c>
      <x:c r="I2229" s="17" t="n">
        <x:f>INDEX('Costing'!$P$9:$P$492,MATCH(D2229,'Costing'!$A$9:$A$492,0))</x:f>
        <x:v>80000</x:v>
      </x:c>
      <x:c r="J2229" s="17" t="n">
        <x:f>ROUND(I2229*'Costing'!$C$4,2)</x:f>
        <x:v>14400</x:v>
      </x:c>
      <x:c r="K2229" s="17" t="n">
        <x:f>I2229+J2229</x:f>
        <x:v>94400</x:v>
      </x:c>
    </x:row>
    <x:row r="2230" ht="46" customHeight="1">
      <x:c r="A2230" s="2" t="str">
        <x:v>Sector</x:v>
      </x:c>
      <x:c r="B2230" s="2" t="str">
        <x:v>Trade, consumer &amp; logistics</x:v>
      </x:c>
      <x:c r="C2230" s="12" t="str">
        <x:v>Mumbai</x:v>
      </x:c>
      <x:c r="D2230" s="12" t="str">
        <x:v>MAIN-354</x:v>
      </x:c>
      <x:c r="E2230" s="12" t="str">
        <x:v>Wework - Express Tower</x:v>
      </x:c>
      <x:c r="F2230" s="11" t="n">
        <x:v>1</x:v>
      </x:c>
      <x:c r="G2230" s="11" t="n">
        <x:v>1</x:v>
      </x:c>
      <x:c r="H2230" s="11" t="n">
        <x:v>0</x:v>
      </x:c>
      <x:c r="I2230" s="17" t="n">
        <x:f>INDEX('Costing'!$P$9:$P$492,MATCH(D2230,'Costing'!$A$9:$A$492,0))</x:f>
        <x:v>25000</x:v>
      </x:c>
      <x:c r="J2230" s="17" t="n">
        <x:f>ROUND(I2230*'Costing'!$C$4,2)</x:f>
        <x:v>4500</x:v>
      </x:c>
      <x:c r="K2230" s="17" t="n">
        <x:f>I2230+J2230</x:f>
        <x:v>29500</x:v>
      </x:c>
    </x:row>
    <x:row r="2231" ht="46" customHeight="1">
      <x:c r="A2231" s="2" t="str">
        <x:v>Sector</x:v>
      </x:c>
      <x:c r="B2231" s="2" t="str">
        <x:v>Trade, consumer &amp; logistics</x:v>
      </x:c>
      <x:c r="C2231" s="12" t="str">
        <x:v>Mumbai</x:v>
      </x:c>
      <x:c r="D2231" s="12" t="str">
        <x:v>MAIN-355</x:v>
      </x:c>
      <x:c r="E2231" s="12" t="str">
        <x:v>WeWork - Nesco IT Park</x:v>
      </x:c>
      <x:c r="F2231" s="11" t="n">
        <x:v>4</x:v>
      </x:c>
      <x:c r="G2231" s="11" t="n">
        <x:v>4</x:v>
      </x:c>
      <x:c r="H2231" s="11" t="n">
        <x:v>0</x:v>
      </x:c>
      <x:c r="I2231" s="17" t="n">
        <x:f>INDEX('Costing'!$P$9:$P$492,MATCH(D2231,'Costing'!$A$9:$A$492,0))</x:f>
        <x:v>100000</x:v>
      </x:c>
      <x:c r="J2231" s="17" t="n">
        <x:f>ROUND(I2231*'Costing'!$C$4,2)</x:f>
        <x:v>18000</x:v>
      </x:c>
      <x:c r="K2231" s="17" t="n">
        <x:f>I2231+J2231</x:f>
        <x:v>118000</x:v>
      </x:c>
    </x:row>
    <x:row r="2232" ht="46" customHeight="1">
      <x:c r="A2232" s="2" t="str">
        <x:v>Sector</x:v>
      </x:c>
      <x:c r="B2232" s="2" t="str">
        <x:v>Trade, consumer &amp; logistics</x:v>
      </x:c>
      <x:c r="C2232" s="12" t="str">
        <x:v>Mumbai</x:v>
      </x:c>
      <x:c r="D2232" s="12" t="str">
        <x:v>MAIN-356</x:v>
      </x:c>
      <x:c r="E2232" s="12" t="str">
        <x:v>WeWork - Oberoi Commerz</x:v>
      </x:c>
      <x:c r="F2232" s="11" t="n">
        <x:v>8</x:v>
      </x:c>
      <x:c r="G2232" s="11" t="n">
        <x:v>8</x:v>
      </x:c>
      <x:c r="H2232" s="11" t="n">
        <x:v>0</x:v>
      </x:c>
      <x:c r="I2232" s="17" t="n">
        <x:f>INDEX('Costing'!$P$9:$P$492,MATCH(D2232,'Costing'!$A$9:$A$492,0))</x:f>
        <x:v>200000</x:v>
      </x:c>
      <x:c r="J2232" s="17" t="n">
        <x:f>ROUND(I2232*'Costing'!$C$4,2)</x:f>
        <x:v>36000</x:v>
      </x:c>
      <x:c r="K2232" s="17" t="n">
        <x:f>I2232+J2232</x:f>
        <x:v>236000</x:v>
      </x:c>
    </x:row>
    <x:row r="2233" ht="46" customHeight="1">
      <x:c r="A2233" s="2" t="str">
        <x:v>Sector</x:v>
      </x:c>
      <x:c r="B2233" s="2" t="str">
        <x:v>Trade, consumer &amp; logistics</x:v>
      </x:c>
      <x:c r="C2233" s="12" t="str">
        <x:v>Mumbai</x:v>
      </x:c>
      <x:c r="D2233" s="12" t="str">
        <x:v>MAIN-357</x:v>
      </x:c>
      <x:c r="E2233" s="12" t="str">
        <x:v>Wework - Raheja Platinum</x:v>
      </x:c>
      <x:c r="F2233" s="11" t="n">
        <x:v>19</x:v>
      </x:c>
      <x:c r="G2233" s="11" t="n">
        <x:v>19</x:v>
      </x:c>
      <x:c r="H2233" s="11" t="n">
        <x:v>0</x:v>
      </x:c>
      <x:c r="I2233" s="17" t="n">
        <x:f>INDEX('Costing'!$P$9:$P$492,MATCH(D2233,'Costing'!$A$9:$A$492,0))</x:f>
        <x:v>475000</x:v>
      </x:c>
      <x:c r="J2233" s="17" t="n">
        <x:f>ROUND(I2233*'Costing'!$C$4,2)</x:f>
        <x:v>85500</x:v>
      </x:c>
      <x:c r="K2233" s="17" t="n">
        <x:f>I2233+J2233</x:f>
        <x:v>560500</x:v>
      </x:c>
    </x:row>
    <x:row r="2234" ht="46" customHeight="1">
      <x:c r="A2234" s="2" t="str">
        <x:v>Sector</x:v>
      </x:c>
      <x:c r="B2234" s="2" t="str">
        <x:v>Trade, consumer &amp; logistics</x:v>
      </x:c>
      <x:c r="C2234" s="12" t="str">
        <x:v>Mumbai</x:v>
      </x:c>
      <x:c r="D2234" s="12" t="str">
        <x:v>MAIN-359</x:v>
      </x:c>
      <x:c r="E2234" s="12" t="str">
        <x:v>Wework - Vaswani Chambers</x:v>
      </x:c>
      <x:c r="F2234" s="11" t="n">
        <x:v>3</x:v>
      </x:c>
      <x:c r="G2234" s="11" t="n">
        <x:v>3</x:v>
      </x:c>
      <x:c r="H2234" s="11" t="n">
        <x:v>0</x:v>
      </x:c>
      <x:c r="I2234" s="17" t="n">
        <x:f>INDEX('Costing'!$P$9:$P$492,MATCH(D2234,'Costing'!$A$9:$A$492,0))</x:f>
        <x:v>75000</x:v>
      </x:c>
      <x:c r="J2234" s="17" t="n">
        <x:f>ROUND(I2234*'Costing'!$C$4,2)</x:f>
        <x:v>13500</x:v>
      </x:c>
      <x:c r="K2234" s="17" t="n">
        <x:f>I2234+J2234</x:f>
        <x:v>88500</x:v>
      </x:c>
    </x:row>
    <x:row r="2235" ht="46" customHeight="1">
      <x:c r="A2235" s="2" t="str">
        <x:v>Sector</x:v>
      </x:c>
      <x:c r="B2235" s="2" t="str">
        <x:v>Trade, consumer &amp; logistics</x:v>
      </x:c>
      <x:c r="C2235" s="12" t="str">
        <x:v>Mumbai</x:v>
      </x:c>
      <x:c r="D2235" s="12" t="str">
        <x:v>MAIN-360</x:v>
      </x:c>
      <x:c r="E2235" s="12" t="str">
        <x:v>Wework - Vijay Diamond</x:v>
      </x:c>
      <x:c r="F2235" s="11" t="n">
        <x:v>4</x:v>
      </x:c>
      <x:c r="G2235" s="11" t="n">
        <x:v>4</x:v>
      </x:c>
      <x:c r="H2235" s="11" t="n">
        <x:v>0</x:v>
      </x:c>
      <x:c r="I2235" s="17" t="n">
        <x:f>INDEX('Costing'!$P$9:$P$492,MATCH(D2235,'Costing'!$A$9:$A$492,0))</x:f>
        <x:v>100000</x:v>
      </x:c>
      <x:c r="J2235" s="17" t="n">
        <x:f>ROUND(I2235*'Costing'!$C$4,2)</x:f>
        <x:v>18000</x:v>
      </x:c>
      <x:c r="K2235" s="17" t="n">
        <x:f>I2235+J2235</x:f>
        <x:v>118000</x:v>
      </x:c>
    </x:row>
    <x:row r="2236" ht="46" customHeight="1">
      <x:c r="A2236" s="2" t="str">
        <x:v>Sector</x:v>
      </x:c>
      <x:c r="B2236" s="2" t="str">
        <x:v>Trade, consumer &amp; logistics</x:v>
      </x:c>
      <x:c r="C2236" s="12" t="str">
        <x:v>Mumbai</x:v>
      </x:c>
      <x:c r="D2236" s="12" t="str">
        <x:v>MAIN-361</x:v>
      </x:c>
      <x:c r="E2236" s="12" t="str">
        <x:v>WeWork - Vikhroil 247</x:v>
      </x:c>
      <x:c r="F2236" s="11" t="n">
        <x:v>4</x:v>
      </x:c>
      <x:c r="G2236" s="11" t="n">
        <x:v>4</x:v>
      </x:c>
      <x:c r="H2236" s="11" t="n">
        <x:v>0</x:v>
      </x:c>
      <x:c r="I2236" s="17" t="n">
        <x:f>INDEX('Costing'!$P$9:$P$492,MATCH(D2236,'Costing'!$A$9:$A$492,0))</x:f>
        <x:v>100000</x:v>
      </x:c>
      <x:c r="J2236" s="17" t="n">
        <x:f>ROUND(I2236*'Costing'!$C$4,2)</x:f>
        <x:v>18000</x:v>
      </x:c>
      <x:c r="K2236" s="17" t="n">
        <x:f>I2236+J2236</x:f>
        <x:v>118000</x:v>
      </x:c>
    </x:row>
    <x:row r="2237" ht="46" customHeight="1">
      <x:c r="A2237" s="2" t="str">
        <x:v>Sector</x:v>
      </x:c>
      <x:c r="B2237" s="2" t="str">
        <x:v>Trade, consumer &amp; logistics</x:v>
      </x:c>
      <x:c r="C2237" s="12" t="str">
        <x:v>Mumbai</x:v>
      </x:c>
      <x:c r="D2237" s="12" t="str">
        <x:v>MAIN-362</x:v>
      </x:c>
      <x:c r="E2237" s="12" t="str">
        <x:v>WeWork - Zenia</x:v>
      </x:c>
      <x:c r="F2237" s="11" t="n">
        <x:v>12</x:v>
      </x:c>
      <x:c r="G2237" s="11" t="n">
        <x:v>12</x:v>
      </x:c>
      <x:c r="H2237" s="11" t="n">
        <x:v>0</x:v>
      </x:c>
      <x:c r="I2237" s="17" t="n">
        <x:f>INDEX('Costing'!$P$9:$P$492,MATCH(D2237,'Costing'!$A$9:$A$492,0))</x:f>
        <x:v>300000</x:v>
      </x:c>
      <x:c r="J2237" s="17" t="n">
        <x:f>ROUND(I2237*'Costing'!$C$4,2)</x:f>
        <x:v>54000</x:v>
      </x:c>
      <x:c r="K2237" s="17" t="n">
        <x:f>I2237+J2237</x:f>
        <x:v>354000</x:v>
      </x:c>
    </x:row>
    <x:row r="2238" ht="46" customHeight="1">
      <x:c r="A2238" s="2" t="str">
        <x:v>Sector</x:v>
      </x:c>
      <x:c r="B2238" s="2" t="str">
        <x:v>Trade, consumer &amp; logistics</x:v>
      </x:c>
      <x:c r="C2238" s="12" t="str">
        <x:v>Pune</x:v>
      </x:c>
      <x:c r="D2238" s="12" t="str">
        <x:v>MAIN-379</x:v>
      </x:c>
      <x:c r="E2238" s="12" t="str">
        <x:v>11 Cowork</x:v>
      </x:c>
      <x:c r="F2238" s="11" t="n">
        <x:v>1</x:v>
      </x:c>
      <x:c r="G2238" s="11" t="n">
        <x:v>1</x:v>
      </x:c>
      <x:c r="H2238" s="11" t="n">
        <x:v>0</x:v>
      </x:c>
      <x:c r="I2238" s="17" t="n">
        <x:f>INDEX('Costing'!$P$9:$P$492,MATCH(D2238,'Costing'!$A$9:$A$492,0))</x:f>
        <x:v>15000</x:v>
      </x:c>
      <x:c r="J2238" s="17" t="n">
        <x:f>ROUND(I2238*'Costing'!$C$4,2)</x:f>
        <x:v>2700</x:v>
      </x:c>
      <x:c r="K2238" s="17" t="n">
        <x:f>I2238+J2238</x:f>
        <x:v>17700</x:v>
      </x:c>
    </x:row>
    <x:row r="2239" ht="46" customHeight="1">
      <x:c r="A2239" s="2" t="str">
        <x:v>Sector</x:v>
      </x:c>
      <x:c r="B2239" s="2" t="str">
        <x:v>Trade, consumer &amp; logistics</x:v>
      </x:c>
      <x:c r="C2239" s="12" t="str">
        <x:v>Pune</x:v>
      </x:c>
      <x:c r="D2239" s="12" t="str">
        <x:v>MAIN-381</x:v>
      </x:c>
      <x:c r="E2239" s="12" t="str">
        <x:v>Amar Pristine Tech Park</x:v>
      </x:c>
      <x:c r="F2239" s="11" t="n">
        <x:v>4</x:v>
      </x:c>
      <x:c r="G2239" s="11" t="n">
        <x:v>4</x:v>
      </x:c>
      <x:c r="H2239" s="11" t="n">
        <x:v>0</x:v>
      </x:c>
      <x:c r="I2239" s="17" t="n">
        <x:f>INDEX('Costing'!$P$9:$P$492,MATCH(D2239,'Costing'!$A$9:$A$492,0))</x:f>
        <x:v>80000</x:v>
      </x:c>
      <x:c r="J2239" s="17" t="n">
        <x:f>ROUND(I2239*'Costing'!$C$4,2)</x:f>
        <x:v>14400</x:v>
      </x:c>
      <x:c r="K2239" s="17" t="n">
        <x:f>I2239+J2239</x:f>
        <x:v>94400</x:v>
      </x:c>
    </x:row>
    <x:row r="2240" ht="46" customHeight="1">
      <x:c r="A2240" s="2" t="str">
        <x:v>Sector</x:v>
      </x:c>
      <x:c r="B2240" s="2" t="str">
        <x:v>Trade, consumer &amp; logistics</x:v>
      </x:c>
      <x:c r="C2240" s="12" t="str">
        <x:v>Pune</x:v>
      </x:c>
      <x:c r="D2240" s="12" t="str">
        <x:v>MAIN-382</x:v>
      </x:c>
      <x:c r="E2240" s="12" t="str">
        <x:v>Amar Sadanand Tech Park</x:v>
      </x:c>
      <x:c r="F2240" s="11" t="n">
        <x:v>7</x:v>
      </x:c>
      <x:c r="G2240" s="11" t="n">
        <x:v>7</x:v>
      </x:c>
      <x:c r="H2240" s="11" t="n">
        <x:v>0</x:v>
      </x:c>
      <x:c r="I2240" s="17" t="n">
        <x:f>INDEX('Costing'!$P$9:$P$492,MATCH(D2240,'Costing'!$A$9:$A$492,0))</x:f>
        <x:v>140000</x:v>
      </x:c>
      <x:c r="J2240" s="17" t="n">
        <x:f>ROUND(I2240*'Costing'!$C$4,2)</x:f>
        <x:v>25200</x:v>
      </x:c>
      <x:c r="K2240" s="17" t="n">
        <x:f>I2240+J2240</x:f>
        <x:v>165200</x:v>
      </x:c>
    </x:row>
    <x:row r="2241" ht="46" customHeight="1">
      <x:c r="A2241" s="2" t="str">
        <x:v>Sector</x:v>
      </x:c>
      <x:c r="B2241" s="2" t="str">
        <x:v>Trade, consumer &amp; logistics</x:v>
      </x:c>
      <x:c r="C2241" s="12" t="str">
        <x:v>Pune</x:v>
      </x:c>
      <x:c r="D2241" s="12" t="str">
        <x:v>MAIN-385</x:v>
      </x:c>
      <x:c r="E2241" s="12" t="str">
        <x:v>Anchors Coworking</x:v>
      </x:c>
      <x:c r="F2241" s="11" t="n">
        <x:v>1</x:v>
      </x:c>
      <x:c r="G2241" s="11" t="n">
        <x:v>1</x:v>
      </x:c>
      <x:c r="H2241" s="11" t="n">
        <x:v>0</x:v>
      </x:c>
      <x:c r="I2241" s="17" t="n">
        <x:f>INDEX('Costing'!$P$9:$P$492,MATCH(D2241,'Costing'!$A$9:$A$492,0))</x:f>
        <x:v>15000</x:v>
      </x:c>
      <x:c r="J2241" s="17" t="n">
        <x:f>ROUND(I2241*'Costing'!$C$4,2)</x:f>
        <x:v>2700</x:v>
      </x:c>
      <x:c r="K2241" s="17" t="n">
        <x:f>I2241+J2241</x:f>
        <x:v>17700</x:v>
      </x:c>
    </x:row>
    <x:row r="2242" ht="46" customHeight="1">
      <x:c r="A2242" s="2" t="str">
        <x:v>Sector</x:v>
      </x:c>
      <x:c r="B2242" s="2" t="str">
        <x:v>Trade, consumer &amp; logistics</x:v>
      </x:c>
      <x:c r="C2242" s="12" t="str">
        <x:v>Pune</x:v>
      </x:c>
      <x:c r="D2242" s="12" t="str">
        <x:v>MAIN-386</x:v>
      </x:c>
      <x:c r="E2242" s="12" t="str">
        <x:v>Awfis - Amanora Mall</x:v>
      </x:c>
      <x:c r="F2242" s="11" t="n">
        <x:v>1</x:v>
      </x:c>
      <x:c r="G2242" s="11" t="n">
        <x:v>1</x:v>
      </x:c>
      <x:c r="H2242" s="11" t="n">
        <x:v>0</x:v>
      </x:c>
      <x:c r="I2242" s="17" t="n">
        <x:f>INDEX('Costing'!$P$9:$P$492,MATCH(D2242,'Costing'!$A$9:$A$492,0))</x:f>
        <x:v>15000</x:v>
      </x:c>
      <x:c r="J2242" s="17" t="n">
        <x:f>ROUND(I2242*'Costing'!$C$4,2)</x:f>
        <x:v>2700</x:v>
      </x:c>
      <x:c r="K2242" s="17" t="n">
        <x:f>I2242+J2242</x:f>
        <x:v>17700</x:v>
      </x:c>
    </x:row>
    <x:row r="2243" ht="46" customHeight="1">
      <x:c r="A2243" s="2" t="str">
        <x:v>Sector</x:v>
      </x:c>
      <x:c r="B2243" s="2" t="str">
        <x:v>Trade, consumer &amp; logistics</x:v>
      </x:c>
      <x:c r="C2243" s="12" t="str">
        <x:v>Pune</x:v>
      </x:c>
      <x:c r="D2243" s="12" t="str">
        <x:v>MAIN-389</x:v>
      </x:c>
      <x:c r="E2243" s="12" t="str">
        <x:v>Awfis - Nyati Empress</x:v>
      </x:c>
      <x:c r="F2243" s="11" t="n">
        <x:v>2</x:v>
      </x:c>
      <x:c r="G2243" s="11" t="n">
        <x:v>2</x:v>
      </x:c>
      <x:c r="H2243" s="11" t="n">
        <x:v>0</x:v>
      </x:c>
      <x:c r="I2243" s="17" t="n">
        <x:f>INDEX('Costing'!$P$9:$P$492,MATCH(D2243,'Costing'!$A$9:$A$492,0))</x:f>
        <x:v>30000</x:v>
      </x:c>
      <x:c r="J2243" s="17" t="n">
        <x:f>ROUND(I2243*'Costing'!$C$4,2)</x:f>
        <x:v>5400</x:v>
      </x:c>
      <x:c r="K2243" s="17" t="n">
        <x:f>I2243+J2243</x:f>
        <x:v>35400</x:v>
      </x:c>
    </x:row>
    <x:row r="2244" ht="46" customHeight="1">
      <x:c r="A2244" s="2" t="str">
        <x:v>Sector</x:v>
      </x:c>
      <x:c r="B2244" s="2" t="str">
        <x:v>Trade, consumer &amp; logistics</x:v>
      </x:c>
      <x:c r="C2244" s="12" t="str">
        <x:v>Pune</x:v>
      </x:c>
      <x:c r="D2244" s="12" t="str">
        <x:v>MAIN-390</x:v>
      </x:c>
      <x:c r="E2244" s="12" t="str">
        <x:v>Awfis - Que Spaces</x:v>
      </x:c>
      <x:c r="F2244" s="11" t="n">
        <x:v>1</x:v>
      </x:c>
      <x:c r="G2244" s="11" t="n">
        <x:v>1</x:v>
      </x:c>
      <x:c r="H2244" s="11" t="n">
        <x:v>0</x:v>
      </x:c>
      <x:c r="I2244" s="17" t="n">
        <x:f>INDEX('Costing'!$P$9:$P$492,MATCH(D2244,'Costing'!$A$9:$A$492,0))</x:f>
        <x:v>15000</x:v>
      </x:c>
      <x:c r="J2244" s="17" t="n">
        <x:f>ROUND(I2244*'Costing'!$C$4,2)</x:f>
        <x:v>2700</x:v>
      </x:c>
      <x:c r="K2244" s="17" t="n">
        <x:f>I2244+J2244</x:f>
        <x:v>17700</x:v>
      </x:c>
    </x:row>
    <x:row r="2245" ht="46" customHeight="1">
      <x:c r="A2245" s="2" t="str">
        <x:v>Sector</x:v>
      </x:c>
      <x:c r="B2245" s="2" t="str">
        <x:v>Trade, consumer &amp; logistics</x:v>
      </x:c>
      <x:c r="C2245" s="12" t="str">
        <x:v>Pune</x:v>
      </x:c>
      <x:c r="D2245" s="12" t="str">
        <x:v>MAIN-392</x:v>
      </x:c>
      <x:c r="E2245" s="12" t="str">
        <x:v>Awfis - The Kode</x:v>
      </x:c>
      <x:c r="F2245" s="11" t="n">
        <x:v>2</x:v>
      </x:c>
      <x:c r="G2245" s="11" t="n">
        <x:v>2</x:v>
      </x:c>
      <x:c r="H2245" s="11" t="n">
        <x:v>0</x:v>
      </x:c>
      <x:c r="I2245" s="17" t="n">
        <x:f>INDEX('Costing'!$P$9:$P$492,MATCH(D2245,'Costing'!$A$9:$A$492,0))</x:f>
        <x:v>24000</x:v>
      </x:c>
      <x:c r="J2245" s="17" t="n">
        <x:f>ROUND(I2245*'Costing'!$C$4,2)</x:f>
        <x:v>4320</x:v>
      </x:c>
      <x:c r="K2245" s="17" t="n">
        <x:f>I2245+J2245</x:f>
        <x:v>28320</x:v>
      </x:c>
    </x:row>
    <x:row r="2246" ht="46" customHeight="1">
      <x:c r="A2246" s="2" t="str">
        <x:v>Sector</x:v>
      </x:c>
      <x:c r="B2246" s="2" t="str">
        <x:v>Trade, consumer &amp; logistics</x:v>
      </x:c>
      <x:c r="C2246" s="12" t="str">
        <x:v>Pune</x:v>
      </x:c>
      <x:c r="D2246" s="12" t="str">
        <x:v>MAIN-395</x:v>
      </x:c>
      <x:c r="E2246" s="12" t="str">
        <x:v>Bootstart Arcadian</x:v>
      </x:c>
      <x:c r="F2246" s="11" t="n">
        <x:v>1</x:v>
      </x:c>
      <x:c r="G2246" s="11" t="n">
        <x:v>1</x:v>
      </x:c>
      <x:c r="H2246" s="11" t="n">
        <x:v>0</x:v>
      </x:c>
      <x:c r="I2246" s="17" t="n">
        <x:f>INDEX('Costing'!$P$9:$P$492,MATCH(D2246,'Costing'!$A$9:$A$492,0))</x:f>
        <x:v>15000</x:v>
      </x:c>
      <x:c r="J2246" s="17" t="n">
        <x:f>ROUND(I2246*'Costing'!$C$4,2)</x:f>
        <x:v>2700</x:v>
      </x:c>
      <x:c r="K2246" s="17" t="n">
        <x:f>I2246+J2246</x:f>
        <x:v>17700</x:v>
      </x:c>
    </x:row>
    <x:row r="2247" ht="46" customHeight="1">
      <x:c r="A2247" s="2" t="str">
        <x:v>Sector</x:v>
      </x:c>
      <x:c r="B2247" s="2" t="str">
        <x:v>Trade, consumer &amp; logistics</x:v>
      </x:c>
      <x:c r="C2247" s="12" t="str">
        <x:v>Pune</x:v>
      </x:c>
      <x:c r="D2247" s="12" t="str">
        <x:v>MAIN-404</x:v>
      </x:c>
      <x:c r="E2247" s="12" t="str">
        <x:v>Mayfield Towers</x:v>
      </x:c>
      <x:c r="F2247" s="11" t="n">
        <x:v>3</x:v>
      </x:c>
      <x:c r="G2247" s="11" t="n">
        <x:v>3</x:v>
      </x:c>
      <x:c r="H2247" s="11" t="n">
        <x:v>0</x:v>
      </x:c>
      <x:c r="I2247" s="17" t="n">
        <x:f>INDEX('Costing'!$P$9:$P$492,MATCH(D2247,'Costing'!$A$9:$A$492,0))</x:f>
        <x:v>60000</x:v>
      </x:c>
      <x:c r="J2247" s="17" t="n">
        <x:f>ROUND(I2247*'Costing'!$C$4,2)</x:f>
        <x:v>10800</x:v>
      </x:c>
      <x:c r="K2247" s="17" t="n">
        <x:f>I2247+J2247</x:f>
        <x:v>70800</x:v>
      </x:c>
    </x:row>
    <x:row r="2248" ht="46" customHeight="1">
      <x:c r="A2248" s="2" t="str">
        <x:v>Sector</x:v>
      </x:c>
      <x:c r="B2248" s="2" t="str">
        <x:v>Trade, consumer &amp; logistics</x:v>
      </x:c>
      <x:c r="C2248" s="12" t="str">
        <x:v>Pune</x:v>
      </x:c>
      <x:c r="D2248" s="12" t="str">
        <x:v>MAIN-405</x:v>
      </x:c>
      <x:c r="E2248" s="12" t="str">
        <x:v>Olympia B Premises</x:v>
      </x:c>
      <x:c r="F2248" s="11" t="n">
        <x:v>1</x:v>
      </x:c>
      <x:c r="G2248" s="11" t="n">
        <x:v>1</x:v>
      </x:c>
      <x:c r="H2248" s="11" t="n">
        <x:v>0</x:v>
      </x:c>
      <x:c r="I2248" s="17" t="n">
        <x:f>INDEX('Costing'!$P$9:$P$492,MATCH(D2248,'Costing'!$A$9:$A$492,0))</x:f>
        <x:v>15000</x:v>
      </x:c>
      <x:c r="J2248" s="17" t="n">
        <x:f>ROUND(I2248*'Costing'!$C$4,2)</x:f>
        <x:v>2700</x:v>
      </x:c>
      <x:c r="K2248" s="17" t="n">
        <x:f>I2248+J2248</x:f>
        <x:v>17700</x:v>
      </x:c>
    </x:row>
    <x:row r="2249" ht="46" customHeight="1">
      <x:c r="A2249" s="2" t="str">
        <x:v>Sector</x:v>
      </x:c>
      <x:c r="B2249" s="2" t="str">
        <x:v>Trade, consumer &amp; logistics</x:v>
      </x:c>
      <x:c r="C2249" s="12" t="str">
        <x:v>Pune</x:v>
      </x:c>
      <x:c r="D2249" s="12" t="str">
        <x:v>MAIN-406</x:v>
      </x:c>
      <x:c r="E2249" s="12" t="str">
        <x:v>OLYMPIA B PREMISES Inside Elevator</x:v>
      </x:c>
      <x:c r="F2249" s="11" t="n">
        <x:v>1</x:v>
      </x:c>
      <x:c r="G2249" s="11" t="n">
        <x:v>1</x:v>
      </x:c>
      <x:c r="H2249" s="11" t="n">
        <x:v>0</x:v>
      </x:c>
      <x:c r="I2249" s="17" t="n">
        <x:f>INDEX('Costing'!$P$9:$P$492,MATCH(D2249,'Costing'!$A$9:$A$492,0))</x:f>
        <x:v>15000</x:v>
      </x:c>
      <x:c r="J2249" s="17" t="n">
        <x:f>ROUND(I2249*'Costing'!$C$4,2)</x:f>
        <x:v>2700</x:v>
      </x:c>
      <x:c r="K2249" s="17" t="n">
        <x:f>I2249+J2249</x:f>
        <x:v>17700</x:v>
      </x:c>
    </x:row>
    <x:row r="2250" ht="46" customHeight="1">
      <x:c r="A2250" s="2" t="str">
        <x:v>Sector</x:v>
      </x:c>
      <x:c r="B2250" s="2" t="str">
        <x:v>Trade, consumer &amp; logistics</x:v>
      </x:c>
      <x:c r="C2250" s="12" t="str">
        <x:v>Pune</x:v>
      </x:c>
      <x:c r="D2250" s="12" t="str">
        <x:v>MAIN-407</x:v>
      </x:c>
      <x:c r="E2250" s="12" t="str">
        <x:v>Oyo Workspace - Innov8 Suman Business Park</x:v>
      </x:c>
      <x:c r="F2250" s="11" t="n">
        <x:v>2</x:v>
      </x:c>
      <x:c r="G2250" s="11" t="n">
        <x:v>2</x:v>
      </x:c>
      <x:c r="H2250" s="11" t="n">
        <x:v>0</x:v>
      </x:c>
      <x:c r="I2250" s="17" t="n">
        <x:f>INDEX('Costing'!$P$9:$P$492,MATCH(D2250,'Costing'!$A$9:$A$492,0))</x:f>
        <x:v>30000</x:v>
      </x:c>
      <x:c r="J2250" s="17" t="n">
        <x:f>ROUND(I2250*'Costing'!$C$4,2)</x:f>
        <x:v>5400</x:v>
      </x:c>
      <x:c r="K2250" s="17" t="n">
        <x:f>I2250+J2250</x:f>
        <x:v>35400</x:v>
      </x:c>
    </x:row>
    <x:row r="2251" ht="46" customHeight="1">
      <x:c r="A2251" s="2" t="str">
        <x:v>Sector</x:v>
      </x:c>
      <x:c r="B2251" s="2" t="str">
        <x:v>Trade, consumer &amp; logistics</x:v>
      </x:c>
      <x:c r="C2251" s="12" t="str">
        <x:v>Pune</x:v>
      </x:c>
      <x:c r="D2251" s="12" t="str">
        <x:v>MAIN-410</x:v>
      </x:c>
      <x:c r="E2251" s="12" t="str">
        <x:v>PBP Balewadi High Street (Redbrick Offices)</x:v>
      </x:c>
      <x:c r="F2251" s="11" t="n">
        <x:v>1</x:v>
      </x:c>
      <x:c r="G2251" s="11" t="n">
        <x:v>1</x:v>
      </x:c>
      <x:c r="H2251" s="11" t="n">
        <x:v>0</x:v>
      </x:c>
      <x:c r="I2251" s="17" t="n">
        <x:f>INDEX('Costing'!$P$9:$P$492,MATCH(D2251,'Costing'!$A$9:$A$492,0))</x:f>
        <x:v>15000</x:v>
      </x:c>
      <x:c r="J2251" s="17" t="n">
        <x:f>ROUND(I2251*'Costing'!$C$4,2)</x:f>
        <x:v>2700</x:v>
      </x:c>
      <x:c r="K2251" s="17" t="n">
        <x:f>I2251+J2251</x:f>
        <x:v>17700</x:v>
      </x:c>
    </x:row>
    <x:row r="2252" ht="46" customHeight="1">
      <x:c r="A2252" s="2" t="str">
        <x:v>Sector</x:v>
      </x:c>
      <x:c r="B2252" s="2" t="str">
        <x:v>Trade, consumer &amp; logistics</x:v>
      </x:c>
      <x:c r="C2252" s="12" t="str">
        <x:v>Pune</x:v>
      </x:c>
      <x:c r="D2252" s="12" t="str">
        <x:v>MAIN-413</x:v>
      </x:c>
      <x:c r="E2252" s="12" t="str">
        <x:v>Raheja Mindspaces - Yerawada</x:v>
      </x:c>
      <x:c r="F2252" s="11" t="n">
        <x:v>2</x:v>
      </x:c>
      <x:c r="G2252" s="11" t="n">
        <x:v>2</x:v>
      </x:c>
      <x:c r="H2252" s="11" t="n">
        <x:v>0</x:v>
      </x:c>
      <x:c r="I2252" s="17" t="n">
        <x:f>INDEX('Costing'!$P$9:$P$492,MATCH(D2252,'Costing'!$A$9:$A$492,0))</x:f>
        <x:v>80000</x:v>
      </x:c>
      <x:c r="J2252" s="17" t="n">
        <x:f>ROUND(I2252*'Costing'!$C$4,2)</x:f>
        <x:v>14400</x:v>
      </x:c>
      <x:c r="K2252" s="17" t="n">
        <x:f>I2252+J2252</x:f>
        <x:v>94400</x:v>
      </x:c>
    </x:row>
    <x:row r="2253" ht="46" customHeight="1">
      <x:c r="A2253" s="2" t="str">
        <x:v>Sector</x:v>
      </x:c>
      <x:c r="B2253" s="2" t="str">
        <x:v>Trade, consumer &amp; logistics</x:v>
      </x:c>
      <x:c r="C2253" s="12" t="str">
        <x:v>Pune</x:v>
      </x:c>
      <x:c r="D2253" s="12" t="str">
        <x:v>MAIN-415</x:v>
      </x:c>
      <x:c r="E2253" s="12" t="str">
        <x:v>The Powerpoint Coworking Space</x:v>
      </x:c>
      <x:c r="F2253" s="11" t="n">
        <x:v>1</x:v>
      </x:c>
      <x:c r="G2253" s="11" t="n">
        <x:v>1</x:v>
      </x:c>
      <x:c r="H2253" s="11" t="n">
        <x:v>0</x:v>
      </x:c>
      <x:c r="I2253" s="17" t="n">
        <x:f>INDEX('Costing'!$P$9:$P$492,MATCH(D2253,'Costing'!$A$9:$A$492,0))</x:f>
        <x:v>15000</x:v>
      </x:c>
      <x:c r="J2253" s="17" t="n">
        <x:f>ROUND(I2253*'Costing'!$C$4,2)</x:f>
        <x:v>2700</x:v>
      </x:c>
      <x:c r="K2253" s="17" t="n">
        <x:f>I2253+J2253</x:f>
        <x:v>17700</x:v>
      </x:c>
    </x:row>
    <x:row r="2254" ht="46" customHeight="1">
      <x:c r="A2254" s="2" t="str">
        <x:v>Sector</x:v>
      </x:c>
      <x:c r="B2254" s="2" t="str">
        <x:v>Trade, consumer &amp; logistics</x:v>
      </x:c>
      <x:c r="C2254" s="12" t="str">
        <x:v>Pune</x:v>
      </x:c>
      <x:c r="D2254" s="12" t="str">
        <x:v>MAIN-419</x:v>
      </x:c>
      <x:c r="E2254" s="12" t="str">
        <x:v>WeWork - Futura</x:v>
      </x:c>
      <x:c r="F2254" s="11" t="n">
        <x:v>2</x:v>
      </x:c>
      <x:c r="G2254" s="11" t="n">
        <x:v>2</x:v>
      </x:c>
      <x:c r="H2254" s="11" t="n">
        <x:v>0</x:v>
      </x:c>
      <x:c r="I2254" s="17" t="n">
        <x:f>INDEX('Costing'!$P$9:$P$492,MATCH(D2254,'Costing'!$A$9:$A$492,0))</x:f>
        <x:v>50000</x:v>
      </x:c>
      <x:c r="J2254" s="17" t="n">
        <x:f>ROUND(I2254*'Costing'!$C$4,2)</x:f>
        <x:v>9000</x:v>
      </x:c>
      <x:c r="K2254" s="17" t="n">
        <x:f>I2254+J2254</x:f>
        <x:v>59000</x:v>
      </x:c>
    </x:row>
    <x:row r="2255" ht="46" customHeight="1">
      <x:c r="A2255" s="2" t="str">
        <x:v>Sector</x:v>
      </x:c>
      <x:c r="B2255" s="2" t="str">
        <x:v>Trade, consumer &amp; logistics</x:v>
      </x:c>
      <x:c r="C2255" s="12" t="str">
        <x:v>Pune</x:v>
      </x:c>
      <x:c r="D2255" s="12" t="str">
        <x:v>MAIN-422</x:v>
      </x:c>
      <x:c r="E2255" s="12" t="str">
        <x:v>Workflow by Oyo - Icon Tower</x:v>
      </x:c>
      <x:c r="F2255" s="11" t="n">
        <x:v>3</x:v>
      </x:c>
      <x:c r="G2255" s="11" t="n">
        <x:v>3</x:v>
      </x:c>
      <x:c r="H2255" s="11" t="n">
        <x:v>0</x:v>
      </x:c>
      <x:c r="I2255" s="17" t="n">
        <x:f>INDEX('Costing'!$P$9:$P$492,MATCH(D2255,'Costing'!$A$9:$A$492,0))</x:f>
        <x:v>45000</x:v>
      </x:c>
      <x:c r="J2255" s="17" t="n">
        <x:f>ROUND(I2255*'Costing'!$C$4,2)</x:f>
        <x:v>8100</x:v>
      </x:c>
      <x:c r="K2255" s="17" t="n">
        <x:f>I2255+J2255</x:f>
        <x:v>53100</x:v>
      </x:c>
    </x:row>
    <x:row r="2256" ht="46" customHeight="1">
      <x:c r="A2256" s="2" t="str">
        <x:v>Sector</x:v>
      </x:c>
      <x:c r="B2256" s="2" t="str">
        <x:v>Trade, consumer &amp; logistics</x:v>
      </x:c>
      <x:c r="C2256" s="12" t="str">
        <x:v>Bengaluru</x:v>
      </x:c>
      <x:c r="D2256" s="12" t="str">
        <x:v>PARTNER-M138</x:v>
      </x:c>
      <x:c r="E2256" s="12" t="str">
        <x:v>Bagmane Capital</x:v>
      </x:c>
      <x:c r="F2256" s="11" t="n">
        <x:v>8</x:v>
      </x:c>
      <x:c r="G2256" s="11" t="n">
        <x:v>8</x:v>
      </x:c>
      <x:c r="H2256" s="11" t="n">
        <x:v>0</x:v>
      </x:c>
      <x:c r="I2256" s="17" t="n">
        <x:f>INDEX('Costing'!$P$9:$P$492,MATCH(D2256,'Costing'!$A$9:$A$492,0))</x:f>
        <x:v>320000</x:v>
      </x:c>
      <x:c r="J2256" s="17" t="n">
        <x:f>ROUND(I2256*'Costing'!$C$4,2)</x:f>
        <x:v>57600</x:v>
      </x:c>
      <x:c r="K2256" s="17" t="n">
        <x:f>I2256+J2256</x:f>
        <x:v>377600</x:v>
      </x:c>
    </x:row>
    <x:row r="2257" ht="46" customHeight="1">
      <x:c r="A2257" s="2" t="str">
        <x:v>Sector</x:v>
      </x:c>
      <x:c r="B2257" s="2" t="str">
        <x:v>Trade, consumer &amp; logistics</x:v>
      </x:c>
      <x:c r="C2257" s="12" t="str">
        <x:v>Bengaluru</x:v>
      </x:c>
      <x:c r="D2257" s="12" t="str">
        <x:v>PARTNER-M108</x:v>
      </x:c>
      <x:c r="E2257" s="12" t="str">
        <x:v>Bagmane Tech Park</x:v>
      </x:c>
      <x:c r="F2257" s="11" t="n">
        <x:v>12</x:v>
      </x:c>
      <x:c r="G2257" s="11" t="n">
        <x:v>12</x:v>
      </x:c>
      <x:c r="H2257" s="11" t="n">
        <x:v>0</x:v>
      </x:c>
      <x:c r="I2257" s="17" t="n">
        <x:f>INDEX('Costing'!$P$9:$P$492,MATCH(D2257,'Costing'!$A$9:$A$492,0))</x:f>
        <x:v>480000</x:v>
      </x:c>
      <x:c r="J2257" s="17" t="n">
        <x:f>ROUND(I2257*'Costing'!$C$4,2)</x:f>
        <x:v>86400</x:v>
      </x:c>
      <x:c r="K2257" s="17" t="n">
        <x:f>I2257+J2257</x:f>
        <x:v>566400</x:v>
      </x:c>
    </x:row>
    <x:row r="2258" ht="46" customHeight="1">
      <x:c r="A2258" s="2" t="str">
        <x:v>Sector</x:v>
      </x:c>
      <x:c r="B2258" s="2" t="str">
        <x:v>Trade, consumer &amp; logistics</x:v>
      </x:c>
      <x:c r="C2258" s="12" t="str">
        <x:v>Bengaluru</x:v>
      </x:c>
      <x:c r="D2258" s="12" t="str">
        <x:v>PARTNER-M120</x:v>
      </x:c>
      <x:c r="E2258" s="12" t="str">
        <x:v>Bagmane World Technology Centre</x:v>
      </x:c>
      <x:c r="F2258" s="11" t="n">
        <x:v>10</x:v>
      </x:c>
      <x:c r="G2258" s="11" t="n">
        <x:v>10</x:v>
      </x:c>
      <x:c r="H2258" s="11" t="n">
        <x:v>0</x:v>
      </x:c>
      <x:c r="I2258" s="17" t="n">
        <x:f>INDEX('Costing'!$P$9:$P$492,MATCH(D2258,'Costing'!$A$9:$A$492,0))</x:f>
        <x:v>400000</x:v>
      </x:c>
      <x:c r="J2258" s="17" t="n">
        <x:f>ROUND(I2258*'Costing'!$C$4,2)</x:f>
        <x:v>72000</x:v>
      </x:c>
      <x:c r="K2258" s="17" t="n">
        <x:f>I2258+J2258</x:f>
        <x:v>472000</x:v>
      </x:c>
    </x:row>
    <x:row r="2259" ht="46" customHeight="1">
      <x:c r="A2259" s="2" t="str">
        <x:v>Sector</x:v>
      </x:c>
      <x:c r="B2259" s="2" t="str">
        <x:v>Trade, consumer &amp; logistics</x:v>
      </x:c>
      <x:c r="C2259" s="12" t="str">
        <x:v>Bengaluru</x:v>
      </x:c>
      <x:c r="D2259" s="12" t="str">
        <x:v>PARTNER-M056</x:v>
      </x:c>
      <x:c r="E2259" s="12" t="str">
        <x:v>Brigade IRV</x:v>
      </x:c>
      <x:c r="F2259" s="11" t="n">
        <x:v>4</x:v>
      </x:c>
      <x:c r="G2259" s="11" t="n">
        <x:v>4</x:v>
      </x:c>
      <x:c r="H2259" s="11" t="n">
        <x:v>0</x:v>
      </x:c>
      <x:c r="I2259" s="17" t="n">
        <x:f>INDEX('Costing'!$P$9:$P$492,MATCH(D2259,'Costing'!$A$9:$A$492,0))</x:f>
        <x:v>160000</x:v>
      </x:c>
      <x:c r="J2259" s="17" t="n">
        <x:f>ROUND(I2259*'Costing'!$C$4,2)</x:f>
        <x:v>28800</x:v>
      </x:c>
      <x:c r="K2259" s="17" t="n">
        <x:f>I2259+J2259</x:f>
        <x:v>188800</x:v>
      </x:c>
    </x:row>
    <x:row r="2260" ht="46" customHeight="1">
      <x:c r="A2260" s="2" t="str">
        <x:v>Sector</x:v>
      </x:c>
      <x:c r="B2260" s="2" t="str">
        <x:v>Trade, consumer &amp; logistics</x:v>
      </x:c>
      <x:c r="C2260" s="12" t="str">
        <x:v>Bengaluru</x:v>
      </x:c>
      <x:c r="D2260" s="12" t="str">
        <x:v>PARTNER-M067</x:v>
      </x:c>
      <x:c r="E2260" s="12" t="str">
        <x:v>Cessna - Embassy Tech Square</x:v>
      </x:c>
      <x:c r="F2260" s="11" t="n">
        <x:v>3</x:v>
      </x:c>
      <x:c r="G2260" s="11" t="n">
        <x:v>3</x:v>
      </x:c>
      <x:c r="H2260" s="11" t="n">
        <x:v>0</x:v>
      </x:c>
      <x:c r="I2260" s="17" t="n">
        <x:f>INDEX('Costing'!$P$9:$P$492,MATCH(D2260,'Costing'!$A$9:$A$492,0))</x:f>
        <x:v>120000</x:v>
      </x:c>
      <x:c r="J2260" s="17" t="n">
        <x:f>ROUND(I2260*'Costing'!$C$4,2)</x:f>
        <x:v>21600</x:v>
      </x:c>
      <x:c r="K2260" s="17" t="n">
        <x:f>I2260+J2260</x:f>
        <x:v>141600</x:v>
      </x:c>
    </x:row>
    <x:row r="2261" ht="46" customHeight="1">
      <x:c r="A2261" s="2" t="str">
        <x:v>Sector</x:v>
      </x:c>
      <x:c r="B2261" s="2" t="str">
        <x:v>Trade, consumer &amp; logistics</x:v>
      </x:c>
      <x:c r="C2261" s="12" t="str">
        <x:v>Bengaluru</x:v>
      </x:c>
      <x:c r="D2261" s="12" t="str">
        <x:v>PARTNER-M166</x:v>
      </x:c>
      <x:c r="E2261" s="12" t="str">
        <x:v>Cessna Business Park</x:v>
      </x:c>
      <x:c r="F2261" s="11" t="n">
        <x:v>3</x:v>
      </x:c>
      <x:c r="G2261" s="11" t="n">
        <x:v>3</x:v>
      </x:c>
      <x:c r="H2261" s="11" t="n">
        <x:v>0</x:v>
      </x:c>
      <x:c r="I2261" s="17" t="n">
        <x:f>INDEX('Costing'!$P$9:$P$492,MATCH(D2261,'Costing'!$A$9:$A$492,0))</x:f>
        <x:v>120000</x:v>
      </x:c>
      <x:c r="J2261" s="17" t="n">
        <x:f>ROUND(I2261*'Costing'!$C$4,2)</x:f>
        <x:v>21600</x:v>
      </x:c>
      <x:c r="K2261" s="17" t="n">
        <x:f>I2261+J2261</x:f>
        <x:v>141600</x:v>
      </x:c>
    </x:row>
    <x:row r="2262" ht="46" customHeight="1">
      <x:c r="A2262" s="2" t="str">
        <x:v>Sector</x:v>
      </x:c>
      <x:c r="B2262" s="2" t="str">
        <x:v>Trade, consumer &amp; logistics</x:v>
      </x:c>
      <x:c r="C2262" s="12" t="str">
        <x:v>Bengaluru</x:v>
      </x:c>
      <x:c r="D2262" s="12" t="str">
        <x:v>PARTNER-M162</x:v>
      </x:c>
      <x:c r="E2262" s="12" t="str">
        <x:v>Fincity Corproate Park </x:v>
      </x:c>
      <x:c r="F2262" s="11" t="n">
        <x:v>4</x:v>
      </x:c>
      <x:c r="G2262" s="11" t="n">
        <x:v>4</x:v>
      </x:c>
      <x:c r="H2262" s="11" t="n">
        <x:v>0</x:v>
      </x:c>
      <x:c r="I2262" s="17" t="n">
        <x:f>INDEX('Costing'!$P$9:$P$492,MATCH(D2262,'Costing'!$A$9:$A$492,0))</x:f>
        <x:v>160000</x:v>
      </x:c>
      <x:c r="J2262" s="17" t="n">
        <x:f>ROUND(I2262*'Costing'!$C$4,2)</x:f>
        <x:v>28800</x:v>
      </x:c>
      <x:c r="K2262" s="17" t="n">
        <x:f>I2262+J2262</x:f>
        <x:v>188800</x:v>
      </x:c>
    </x:row>
    <x:row r="2263" ht="46" customHeight="1">
      <x:c r="A2263" s="2" t="str">
        <x:v>Sector</x:v>
      </x:c>
      <x:c r="B2263" s="2" t="str">
        <x:v>Trade, consumer &amp; logistics</x:v>
      </x:c>
      <x:c r="C2263" s="12" t="str">
        <x:v>Bengaluru</x:v>
      </x:c>
      <x:c r="D2263" s="12" t="str">
        <x:v>PARTNER-M060</x:v>
      </x:c>
      <x:c r="E2263" s="12" t="str">
        <x:v>Global Tech Park</x:v>
      </x:c>
      <x:c r="F2263" s="11" t="n">
        <x:v>5</x:v>
      </x:c>
      <x:c r="G2263" s="11" t="n">
        <x:v>5</x:v>
      </x:c>
      <x:c r="H2263" s="11" t="n">
        <x:v>0</x:v>
      </x:c>
      <x:c r="I2263" s="17" t="n">
        <x:f>INDEX('Costing'!$P$9:$P$492,MATCH(D2263,'Costing'!$A$9:$A$492,0))</x:f>
        <x:v>200000</x:v>
      </x:c>
      <x:c r="J2263" s="17" t="n">
        <x:f>ROUND(I2263*'Costing'!$C$4,2)</x:f>
        <x:v>36000</x:v>
      </x:c>
      <x:c r="K2263" s="17" t="n">
        <x:f>I2263+J2263</x:f>
        <x:v>236000</x:v>
      </x:c>
    </x:row>
    <x:row r="2264" ht="46" customHeight="1">
      <x:c r="A2264" s="2" t="str">
        <x:v>Sector</x:v>
      </x:c>
      <x:c r="B2264" s="2" t="str">
        <x:v>Trade, consumer &amp; logistics</x:v>
      </x:c>
      <x:c r="C2264" s="12" t="str">
        <x:v>Bengaluru</x:v>
      </x:c>
      <x:c r="D2264" s="12" t="str">
        <x:v>PARTNER-M011</x:v>
      </x:c>
      <x:c r="E2264" s="12" t="str">
        <x:v>International Tech Park (ITPB - SEZ)</x:v>
      </x:c>
      <x:c r="F2264" s="11" t="n">
        <x:v>3</x:v>
      </x:c>
      <x:c r="G2264" s="11" t="n">
        <x:v>3</x:v>
      </x:c>
      <x:c r="H2264" s="11" t="n">
        <x:v>0</x:v>
      </x:c>
      <x:c r="I2264" s="17" t="n">
        <x:f>INDEX('Costing'!$P$9:$P$492,MATCH(D2264,'Costing'!$A$9:$A$492,0))</x:f>
        <x:v>120000</x:v>
      </x:c>
      <x:c r="J2264" s="17" t="n">
        <x:f>ROUND(I2264*'Costing'!$C$4,2)</x:f>
        <x:v>21600</x:v>
      </x:c>
      <x:c r="K2264" s="17" t="n">
        <x:f>I2264+J2264</x:f>
        <x:v>141600</x:v>
      </x:c>
    </x:row>
    <x:row r="2265" ht="46" customHeight="1">
      <x:c r="A2265" s="2" t="str">
        <x:v>Sector</x:v>
      </x:c>
      <x:c r="B2265" s="2" t="str">
        <x:v>Trade, consumer &amp; logistics</x:v>
      </x:c>
      <x:c r="C2265" s="12" t="str">
        <x:v>Bengaluru</x:v>
      </x:c>
      <x:c r="D2265" s="12" t="str">
        <x:v>PARTNER-M002</x:v>
      </x:c>
      <x:c r="E2265" s="12" t="str">
        <x:v>International Tech Park (ITPB)</x:v>
      </x:c>
      <x:c r="F2265" s="11" t="n">
        <x:v>9</x:v>
      </x:c>
      <x:c r="G2265" s="11" t="n">
        <x:v>9</x:v>
      </x:c>
      <x:c r="H2265" s="11" t="n">
        <x:v>0</x:v>
      </x:c>
      <x:c r="I2265" s="17" t="n">
        <x:f>INDEX('Costing'!$P$9:$P$492,MATCH(D2265,'Costing'!$A$9:$A$492,0))</x:f>
        <x:v>360000</x:v>
      </x:c>
      <x:c r="J2265" s="17" t="n">
        <x:f>ROUND(I2265*'Costing'!$C$4,2)</x:f>
        <x:v>64800</x:v>
      </x:c>
      <x:c r="K2265" s="17" t="n">
        <x:f>I2265+J2265</x:f>
        <x:v>424800</x:v>
      </x:c>
    </x:row>
    <x:row r="2266" ht="46" customHeight="1">
      <x:c r="A2266" s="2" t="str">
        <x:v>Sector</x:v>
      </x:c>
      <x:c r="B2266" s="2" t="str">
        <x:v>Trade, consumer &amp; logistics</x:v>
      </x:c>
      <x:c r="C2266" s="12" t="str">
        <x:v>Bengaluru</x:v>
      </x:c>
      <x:c r="D2266" s="12" t="str">
        <x:v>PARTNER-M051</x:v>
      </x:c>
      <x:c r="E2266" s="12" t="str">
        <x:v>Manyata Tech park - Mfar</x:v>
      </x:c>
      <x:c r="F2266" s="11" t="n">
        <x:v>5</x:v>
      </x:c>
      <x:c r="G2266" s="11" t="n">
        <x:v>5</x:v>
      </x:c>
      <x:c r="H2266" s="11" t="n">
        <x:v>0</x:v>
      </x:c>
      <x:c r="I2266" s="17" t="n">
        <x:f>INDEX('Costing'!$P$9:$P$492,MATCH(D2266,'Costing'!$A$9:$A$492,0))</x:f>
        <x:v>200000</x:v>
      </x:c>
      <x:c r="J2266" s="17" t="n">
        <x:f>ROUND(I2266*'Costing'!$C$4,2)</x:f>
        <x:v>36000</x:v>
      </x:c>
      <x:c r="K2266" s="17" t="n">
        <x:f>I2266+J2266</x:f>
        <x:v>236000</x:v>
      </x:c>
    </x:row>
    <x:row r="2267" ht="46" customHeight="1">
      <x:c r="A2267" s="2" t="str">
        <x:v>Sector</x:v>
      </x:c>
      <x:c r="B2267" s="2" t="str">
        <x:v>Trade, consumer &amp; logistics</x:v>
      </x:c>
      <x:c r="C2267" s="12" t="str">
        <x:v>Bengaluru</x:v>
      </x:c>
      <x:c r="D2267" s="12" t="str">
        <x:v>PARTNER-M154</x:v>
      </x:c>
      <x:c r="E2267" s="12" t="str">
        <x:v>Maruthi Infotech Center</x:v>
      </x:c>
      <x:c r="F2267" s="11" t="n">
        <x:v>8</x:v>
      </x:c>
      <x:c r="G2267" s="11" t="n">
        <x:v>8</x:v>
      </x:c>
      <x:c r="H2267" s="11" t="n">
        <x:v>0</x:v>
      </x:c>
      <x:c r="I2267" s="17" t="n">
        <x:f>INDEX('Costing'!$P$9:$P$492,MATCH(D2267,'Costing'!$A$9:$A$492,0))</x:f>
        <x:v>320000</x:v>
      </x:c>
      <x:c r="J2267" s="17" t="n">
        <x:f>ROUND(I2267*'Costing'!$C$4,2)</x:f>
        <x:v>57600</x:v>
      </x:c>
      <x:c r="K2267" s="17" t="n">
        <x:f>I2267+J2267</x:f>
        <x:v>377600</x:v>
      </x:c>
    </x:row>
    <x:row r="2268" ht="46" customHeight="1">
      <x:c r="A2268" s="2" t="str">
        <x:v>Sector</x:v>
      </x:c>
      <x:c r="B2268" s="2" t="str">
        <x:v>Trade, consumer &amp; logistics</x:v>
      </x:c>
      <x:c r="C2268" s="12" t="str">
        <x:v>Bengaluru</x:v>
      </x:c>
      <x:c r="D2268" s="12" t="str">
        <x:v>PARTNER-M027</x:v>
      </x:c>
      <x:c r="E2268" s="12" t="str">
        <x:v>Prestige Shantiniketan</x:v>
      </x:c>
      <x:c r="F2268" s="11" t="n">
        <x:v>7</x:v>
      </x:c>
      <x:c r="G2268" s="11" t="n">
        <x:v>7</x:v>
      </x:c>
      <x:c r="H2268" s="11" t="n">
        <x:v>0</x:v>
      </x:c>
      <x:c r="I2268" s="17" t="n">
        <x:f>INDEX('Costing'!$P$9:$P$492,MATCH(D2268,'Costing'!$A$9:$A$492,0))</x:f>
        <x:v>280000</x:v>
      </x:c>
      <x:c r="J2268" s="17" t="n">
        <x:f>ROUND(I2268*'Costing'!$C$4,2)</x:f>
        <x:v>50400</x:v>
      </x:c>
      <x:c r="K2268" s="17" t="n">
        <x:f>I2268+J2268</x:f>
        <x:v>330400</x:v>
      </x:c>
    </x:row>
    <x:row r="2269" ht="46" customHeight="1">
      <x:c r="A2269" s="2" t="str">
        <x:v>Sector</x:v>
      </x:c>
      <x:c r="B2269" s="2" t="str">
        <x:v>Trade, consumer &amp; logistics</x:v>
      </x:c>
      <x:c r="C2269" s="12" t="str">
        <x:v>Bengaluru</x:v>
      </x:c>
      <x:c r="D2269" s="12" t="str">
        <x:v>PARTNER-M082</x:v>
      </x:c>
      <x:c r="E2269" s="12" t="str">
        <x:v>Prestige Sterling Square + Prestige Solitaire + Prestige Sigma + Prestige Loka + Prestige Emerald + Prestige Towers</x:v>
      </x:c>
      <x:c r="F2269" s="11" t="n">
        <x:v>11</x:v>
      </x:c>
      <x:c r="G2269" s="11" t="n">
        <x:v>11</x:v>
      </x:c>
      <x:c r="H2269" s="11" t="n">
        <x:v>0</x:v>
      </x:c>
      <x:c r="I2269" s="17" t="n">
        <x:f>INDEX('Costing'!$P$9:$P$492,MATCH(D2269,'Costing'!$A$9:$A$492,0))</x:f>
        <x:v>440000</x:v>
      </x:c>
      <x:c r="J2269" s="17" t="n">
        <x:f>ROUND(I2269*'Costing'!$C$4,2)</x:f>
        <x:v>79200</x:v>
      </x:c>
      <x:c r="K2269" s="17" t="n">
        <x:f>I2269+J2269</x:f>
        <x:v>519200</x:v>
      </x:c>
    </x:row>
    <x:row r="2270" ht="46" customHeight="1">
      <x:c r="A2270" s="2" t="str">
        <x:v>Sector</x:v>
      </x:c>
      <x:c r="B2270" s="2" t="str">
        <x:v>Trade, consumer &amp; logistics</x:v>
      </x:c>
      <x:c r="C2270" s="12" t="str">
        <x:v>Bengaluru</x:v>
      </x:c>
      <x:c r="D2270" s="12" t="str">
        <x:v>PARTNER-M093</x:v>
      </x:c>
      <x:c r="E2270" s="12" t="str">
        <x:v>Prestige Summit</x:v>
      </x:c>
      <x:c r="F2270" s="11" t="n">
        <x:v>4</x:v>
      </x:c>
      <x:c r="G2270" s="11" t="n">
        <x:v>4</x:v>
      </x:c>
      <x:c r="H2270" s="11" t="n">
        <x:v>0</x:v>
      </x:c>
      <x:c r="I2270" s="17" t="n">
        <x:f>INDEX('Costing'!$P$9:$P$492,MATCH(D2270,'Costing'!$A$9:$A$492,0))</x:f>
        <x:v>160000</x:v>
      </x:c>
      <x:c r="J2270" s="17" t="n">
        <x:f>ROUND(I2270*'Costing'!$C$4,2)</x:f>
        <x:v>28800</x:v>
      </x:c>
      <x:c r="K2270" s="17" t="n">
        <x:f>I2270+J2270</x:f>
        <x:v>188800</x:v>
      </x:c>
    </x:row>
    <x:row r="2271" ht="46" customHeight="1">
      <x:c r="A2271" s="2" t="str">
        <x:v>Sector</x:v>
      </x:c>
      <x:c r="B2271" s="2" t="str">
        <x:v>Trade, consumer &amp; logistics</x:v>
      </x:c>
      <x:c r="C2271" s="12" t="str">
        <x:v>Bengaluru</x:v>
      </x:c>
      <x:c r="D2271" s="12" t="str">
        <x:v>PARTNER-M014</x:v>
      </x:c>
      <x:c r="E2271" s="12" t="str">
        <x:v>Prestige Tech Park</x:v>
      </x:c>
      <x:c r="F2271" s="11" t="n">
        <x:v>10</x:v>
      </x:c>
      <x:c r="G2271" s="11" t="n">
        <x:v>10</x:v>
      </x:c>
      <x:c r="H2271" s="11" t="n">
        <x:v>0</x:v>
      </x:c>
      <x:c r="I2271" s="17" t="n">
        <x:f>INDEX('Costing'!$P$9:$P$492,MATCH(D2271,'Costing'!$A$9:$A$492,0))</x:f>
        <x:v>400000</x:v>
      </x:c>
      <x:c r="J2271" s="17" t="n">
        <x:f>ROUND(I2271*'Costing'!$C$4,2)</x:f>
        <x:v>72000</x:v>
      </x:c>
      <x:c r="K2271" s="17" t="n">
        <x:f>I2271+J2271</x:f>
        <x:v>472000</x:v>
      </x:c>
    </x:row>
    <x:row r="2272" ht="46" customHeight="1">
      <x:c r="A2272" s="2" t="str">
        <x:v>Sector</x:v>
      </x:c>
      <x:c r="B2272" s="2" t="str">
        <x:v>Trade, consumer &amp; logistics</x:v>
      </x:c>
      <x:c r="C2272" s="12" t="str">
        <x:v>Bengaluru</x:v>
      </x:c>
      <x:c r="D2272" s="12" t="str">
        <x:v>PARTNER-M072</x:v>
      </x:c>
      <x:c r="E2272" s="12" t="str">
        <x:v>Umiya Business Bay</x:v>
      </x:c>
      <x:c r="F2272" s="11" t="n">
        <x:v>6</x:v>
      </x:c>
      <x:c r="G2272" s="11" t="n">
        <x:v>6</x:v>
      </x:c>
      <x:c r="H2272" s="11" t="n">
        <x:v>0</x:v>
      </x:c>
      <x:c r="I2272" s="17" t="n">
        <x:f>INDEX('Costing'!$P$9:$P$492,MATCH(D2272,'Costing'!$A$9:$A$492,0))</x:f>
        <x:v>240000</x:v>
      </x:c>
      <x:c r="J2272" s="17" t="n">
        <x:f>ROUND(I2272*'Costing'!$C$4,2)</x:f>
        <x:v>43200</x:v>
      </x:c>
      <x:c r="K2272" s="17" t="n">
        <x:f>I2272+J2272</x:f>
        <x:v>283200</x:v>
      </x:c>
    </x:row>
    <x:row r="2273" ht="46" customHeight="1">
      <x:c r="A2273" s="2" t="str">
        <x:v>Sector</x:v>
      </x:c>
      <x:c r="B2273" s="2" t="str">
        <x:v>Trade, consumer &amp; logistics</x:v>
      </x:c>
      <x:c r="C2273" s="12" t="str">
        <x:v>Bengaluru</x:v>
      </x:c>
      <x:c r="D2273" s="12" t="str">
        <x:v>PARTNER-M078</x:v>
      </x:c>
      <x:c r="E2273" s="12" t="str">
        <x:v>Umiya Velociti</x:v>
      </x:c>
      <x:c r="F2273" s="11" t="n">
        <x:v>4</x:v>
      </x:c>
      <x:c r="G2273" s="11" t="n">
        <x:v>4</x:v>
      </x:c>
      <x:c r="H2273" s="11" t="n">
        <x:v>0</x:v>
      </x:c>
      <x:c r="I2273" s="17" t="n">
        <x:f>INDEX('Costing'!$P$9:$P$492,MATCH(D2273,'Costing'!$A$9:$A$492,0))</x:f>
        <x:v>160000</x:v>
      </x:c>
      <x:c r="J2273" s="17" t="n">
        <x:f>ROUND(I2273*'Costing'!$C$4,2)</x:f>
        <x:v>28800</x:v>
      </x:c>
      <x:c r="K2273" s="17" t="n">
        <x:f>I2273+J2273</x:f>
        <x:v>188800</x:v>
      </x:c>
    </x:row>
    <x:row r="2274" ht="46" customHeight="1">
      <x:c r="A2274" s="2" t="str">
        <x:v>Sector</x:v>
      </x:c>
      <x:c r="B2274" s="2" t="str">
        <x:v>Trade, consumer &amp; logistics</x:v>
      </x:c>
      <x:c r="C2274" s="12" t="str">
        <x:v>Chennai</x:v>
      </x:c>
      <x:c r="D2274" s="12" t="str">
        <x:v>PARTNER-M349</x:v>
      </x:c>
      <x:c r="E2274" s="12" t="str">
        <x:v>Kushal Towers</x:v>
      </x:c>
      <x:c r="F2274" s="11" t="n">
        <x:v>1</x:v>
      </x:c>
      <x:c r="G2274" s="11" t="n">
        <x:v>1</x:v>
      </x:c>
      <x:c r="H2274" s="11" t="n">
        <x:v>0</x:v>
      </x:c>
      <x:c r="I2274" s="17" t="n">
        <x:f>INDEX('Costing'!$P$9:$P$492,MATCH(D2274,'Costing'!$A$9:$A$492,0))</x:f>
        <x:v>40000</x:v>
      </x:c>
      <x:c r="J2274" s="17" t="n">
        <x:f>ROUND(I2274*'Costing'!$C$4,2)</x:f>
        <x:v>7200</x:v>
      </x:c>
      <x:c r="K2274" s="17" t="n">
        <x:f>I2274+J2274</x:f>
        <x:v>47200</x:v>
      </x:c>
    </x:row>
    <x:row r="2275" ht="46" customHeight="1">
      <x:c r="A2275" s="2" t="str">
        <x:v>Sector</x:v>
      </x:c>
      <x:c r="B2275" s="2" t="str">
        <x:v>Trade, consumer &amp; logistics</x:v>
      </x:c>
      <x:c r="C2275" s="12" t="str">
        <x:v>Chennai</x:v>
      </x:c>
      <x:c r="D2275" s="12" t="str">
        <x:v>PARTNER-M338</x:v>
      </x:c>
      <x:c r="E2275" s="12" t="str">
        <x:v>Prestige Palladium Bayan</x:v>
      </x:c>
      <x:c r="F2275" s="11" t="n">
        <x:v>2</x:v>
      </x:c>
      <x:c r="G2275" s="11" t="n">
        <x:v>2</x:v>
      </x:c>
      <x:c r="H2275" s="11" t="n">
        <x:v>0</x:v>
      </x:c>
      <x:c r="I2275" s="17" t="n">
        <x:f>INDEX('Costing'!$P$9:$P$492,MATCH(D2275,'Costing'!$A$9:$A$492,0))</x:f>
        <x:v>80000</x:v>
      </x:c>
      <x:c r="J2275" s="17" t="n">
        <x:f>ROUND(I2275*'Costing'!$C$4,2)</x:f>
        <x:v>14400</x:v>
      </x:c>
      <x:c r="K2275" s="17" t="n">
        <x:f>I2275+J2275</x:f>
        <x:v>94400</x:v>
      </x:c>
    </x:row>
    <x:row r="2276" ht="46" customHeight="1">
      <x:c r="A2276" s="2" t="str">
        <x:v>Sector</x:v>
      </x:c>
      <x:c r="B2276" s="2" t="str">
        <x:v>Trade, consumer &amp; logistics</x:v>
      </x:c>
      <x:c r="C2276" s="12" t="str">
        <x:v>Chennai</x:v>
      </x:c>
      <x:c r="D2276" s="12" t="str">
        <x:v>PARTNER-M332</x:v>
      </x:c>
      <x:c r="E2276" s="12" t="str">
        <x:v>Prestige Polygon</x:v>
      </x:c>
      <x:c r="F2276" s="11" t="n">
        <x:v>2</x:v>
      </x:c>
      <x:c r="G2276" s="11" t="n">
        <x:v>2</x:v>
      </x:c>
      <x:c r="H2276" s="11" t="n">
        <x:v>0</x:v>
      </x:c>
      <x:c r="I2276" s="17" t="n">
        <x:f>INDEX('Costing'!$P$9:$P$492,MATCH(D2276,'Costing'!$A$9:$A$492,0))</x:f>
        <x:v>80000</x:v>
      </x:c>
      <x:c r="J2276" s="17" t="n">
        <x:f>ROUND(I2276*'Costing'!$C$4,2)</x:f>
        <x:v>14400</x:v>
      </x:c>
      <x:c r="K2276" s="17" t="n">
        <x:f>I2276+J2276</x:f>
        <x:v>94400</x:v>
      </x:c>
    </x:row>
    <x:row r="2277" ht="46" customHeight="1">
      <x:c r="A2277" s="2" t="str">
        <x:v>Sector</x:v>
      </x:c>
      <x:c r="B2277" s="2" t="str">
        <x:v>Trade, consumer &amp; logistics</x:v>
      </x:c>
      <x:c r="C2277" s="12" t="str">
        <x:v>Chennai</x:v>
      </x:c>
      <x:c r="D2277" s="12" t="str">
        <x:v>PARTNER-M334</x:v>
      </x:c>
      <x:c r="E2277" s="12" t="str">
        <x:v>Prestige Zakria Metropolitan</x:v>
      </x:c>
      <x:c r="F2277" s="11" t="n">
        <x:v>2</x:v>
      </x:c>
      <x:c r="G2277" s="11" t="n">
        <x:v>2</x:v>
      </x:c>
      <x:c r="H2277" s="11" t="n">
        <x:v>0</x:v>
      </x:c>
      <x:c r="I2277" s="17" t="n">
        <x:f>INDEX('Costing'!$P$9:$P$492,MATCH(D2277,'Costing'!$A$9:$A$492,0))</x:f>
        <x:v>80000</x:v>
      </x:c>
      <x:c r="J2277" s="17" t="n">
        <x:f>ROUND(I2277*'Costing'!$C$4,2)</x:f>
        <x:v>14400</x:v>
      </x:c>
      <x:c r="K2277" s="17" t="n">
        <x:f>I2277+J2277</x:f>
        <x:v>94400</x:v>
      </x:c>
    </x:row>
    <x:row r="2278" ht="46" customHeight="1">
      <x:c r="A2278" s="2" t="str">
        <x:v>Sector</x:v>
      </x:c>
      <x:c r="B2278" s="2" t="str">
        <x:v>Trade, consumer &amp; logistics</x:v>
      </x:c>
      <x:c r="C2278" s="12" t="str">
        <x:v>Chennai</x:v>
      </x:c>
      <x:c r="D2278" s="12" t="str">
        <x:v>PARTNER-M350</x:v>
      </x:c>
      <x:c r="E2278" s="12" t="str">
        <x:v>Prince Infopark</x:v>
      </x:c>
      <x:c r="F2278" s="11" t="n">
        <x:v>2</x:v>
      </x:c>
      <x:c r="G2278" s="11" t="n">
        <x:v>2</x:v>
      </x:c>
      <x:c r="H2278" s="11" t="n">
        <x:v>0</x:v>
      </x:c>
      <x:c r="I2278" s="17" t="n">
        <x:f>INDEX('Costing'!$P$9:$P$492,MATCH(D2278,'Costing'!$A$9:$A$492,0))</x:f>
        <x:v>80000</x:v>
      </x:c>
      <x:c r="J2278" s="17" t="n">
        <x:f>ROUND(I2278*'Costing'!$C$4,2)</x:f>
        <x:v>14400</x:v>
      </x:c>
      <x:c r="K2278" s="17" t="n">
        <x:f>I2278+J2278</x:f>
        <x:v>94400</x:v>
      </x:c>
    </x:row>
    <x:row r="2279" ht="46" customHeight="1">
      <x:c r="A2279" s="2" t="str">
        <x:v>Sector</x:v>
      </x:c>
      <x:c r="B2279" s="2" t="str">
        <x:v>Trade, consumer &amp; logistics</x:v>
      </x:c>
      <x:c r="C2279" s="12" t="str">
        <x:v>Chennai</x:v>
      </x:c>
      <x:c r="D2279" s="12" t="str">
        <x:v>PARTNER-M325</x:v>
      </x:c>
      <x:c r="E2279" s="12" t="str">
        <x:v>WTC Chennai</x:v>
      </x:c>
      <x:c r="F2279" s="11" t="n">
        <x:v>6</x:v>
      </x:c>
      <x:c r="G2279" s="11" t="n">
        <x:v>6</x:v>
      </x:c>
      <x:c r="H2279" s="11" t="n">
        <x:v>0</x:v>
      </x:c>
      <x:c r="I2279" s="17" t="n">
        <x:f>INDEX('Costing'!$P$9:$P$492,MATCH(D2279,'Costing'!$A$9:$A$492,0))</x:f>
        <x:v>240000</x:v>
      </x:c>
      <x:c r="J2279" s="17" t="n">
        <x:f>ROUND(I2279*'Costing'!$C$4,2)</x:f>
        <x:v>43200</x:v>
      </x:c>
      <x:c r="K2279" s="17" t="n">
        <x:f>I2279+J2279</x:f>
        <x:v>283200</x:v>
      </x:c>
    </x:row>
    <x:row r="2280" ht="46" customHeight="1">
      <x:c r="A2280" s="2" t="str">
        <x:v>Sector</x:v>
      </x:c>
      <x:c r="B2280" s="2" t="str">
        <x:v>Trade, consumer &amp; logistics</x:v>
      </x:c>
      <x:c r="C2280" s="12" t="str">
        <x:v>Delhi NCR</x:v>
      </x:c>
      <x:c r="D2280" s="12" t="str">
        <x:v>PARTNER-M375</x:v>
      </x:c>
      <x:c r="E2280" s="12" t="str">
        <x:v>Add India Height</x:v>
      </x:c>
      <x:c r="F2280" s="11" t="n">
        <x:v>4</x:v>
      </x:c>
      <x:c r="G2280" s="11" t="n">
        <x:v>4</x:v>
      </x:c>
      <x:c r="H2280" s="11" t="n">
        <x:v>0</x:v>
      </x:c>
      <x:c r="I2280" s="17" t="n">
        <x:f>INDEX('Costing'!$P$9:$P$492,MATCH(D2280,'Costing'!$A$9:$A$492,0))</x:f>
        <x:v>160000</x:v>
      </x:c>
      <x:c r="J2280" s="17" t="n">
        <x:f>ROUND(I2280*'Costing'!$C$4,2)</x:f>
        <x:v>28800</x:v>
      </x:c>
      <x:c r="K2280" s="17" t="n">
        <x:f>I2280+J2280</x:f>
        <x:v>188800</x:v>
      </x:c>
    </x:row>
    <x:row r="2281" ht="46" customHeight="1">
      <x:c r="A2281" s="2" t="str">
        <x:v>Sector</x:v>
      </x:c>
      <x:c r="B2281" s="2" t="str">
        <x:v>Trade, consumer &amp; logistics</x:v>
      </x:c>
      <x:c r="C2281" s="12" t="str">
        <x:v>Delhi NCR</x:v>
      </x:c>
      <x:c r="D2281" s="12" t="str">
        <x:v>PARTNER-M379</x:v>
      </x:c>
      <x:c r="E2281" s="12" t="str">
        <x:v>Add India Tower 6A</x:v>
      </x:c>
      <x:c r="F2281" s="11" t="n">
        <x:v>5</x:v>
      </x:c>
      <x:c r="G2281" s="11" t="n">
        <x:v>5</x:v>
      </x:c>
      <x:c r="H2281" s="11" t="n">
        <x:v>0</x:v>
      </x:c>
      <x:c r="I2281" s="17" t="n">
        <x:f>INDEX('Costing'!$P$9:$P$492,MATCH(D2281,'Costing'!$A$9:$A$492,0))</x:f>
        <x:v>200000</x:v>
      </x:c>
      <x:c r="J2281" s="17" t="n">
        <x:f>ROUND(I2281*'Costing'!$C$4,2)</x:f>
        <x:v>36000</x:v>
      </x:c>
      <x:c r="K2281" s="17" t="n">
        <x:f>I2281+J2281</x:f>
        <x:v>236000</x:v>
      </x:c>
    </x:row>
    <x:row r="2282" ht="46" customHeight="1">
      <x:c r="A2282" s="2" t="str">
        <x:v>Sector</x:v>
      </x:c>
      <x:c r="B2282" s="2" t="str">
        <x:v>Trade, consumer &amp; logistics</x:v>
      </x:c>
      <x:c r="C2282" s="12" t="str">
        <x:v>Delhi NCR</x:v>
      </x:c>
      <x:c r="D2282" s="12" t="str">
        <x:v>PARTNER-M384</x:v>
      </x:c>
      <x:c r="E2282" s="12" t="str">
        <x:v>NPX Tower</x:v>
      </x:c>
      <x:c r="F2282" s="11" t="n">
        <x:v>5</x:v>
      </x:c>
      <x:c r="G2282" s="11" t="n">
        <x:v>5</x:v>
      </x:c>
      <x:c r="H2282" s="11" t="n">
        <x:v>0</x:v>
      </x:c>
      <x:c r="I2282" s="17" t="n">
        <x:f>INDEX('Costing'!$P$9:$P$492,MATCH(D2282,'Costing'!$A$9:$A$492,0))</x:f>
        <x:v>200000</x:v>
      </x:c>
      <x:c r="J2282" s="17" t="n">
        <x:f>ROUND(I2282*'Costing'!$C$4,2)</x:f>
        <x:v>36000</x:v>
      </x:c>
      <x:c r="K2282" s="17" t="n">
        <x:f>I2282+J2282</x:f>
        <x:v>236000</x:v>
      </x:c>
    </x:row>
    <x:row r="2283" ht="46" customHeight="1">
      <x:c r="A2283" s="2" t="str">
        <x:v>Sector</x:v>
      </x:c>
      <x:c r="B2283" s="2" t="str">
        <x:v>Trade, consumer &amp; logistics</x:v>
      </x:c>
      <x:c r="C2283" s="12" t="str">
        <x:v>Delhi NCR</x:v>
      </x:c>
      <x:c r="D2283" s="12" t="str">
        <x:v>PARTNER-M365</x:v>
      </x:c>
      <x:c r="E2283" s="12" t="str">
        <x:v>Urbtech Trade Centre</x:v>
      </x:c>
      <x:c r="F2283" s="11" t="n">
        <x:v>10</x:v>
      </x:c>
      <x:c r="G2283" s="11" t="n">
        <x:v>10</x:v>
      </x:c>
      <x:c r="H2283" s="11" t="n">
        <x:v>0</x:v>
      </x:c>
      <x:c r="I2283" s="17" t="n">
        <x:f>INDEX('Costing'!$P$9:$P$492,MATCH(D2283,'Costing'!$A$9:$A$492,0))</x:f>
        <x:v>400000</x:v>
      </x:c>
      <x:c r="J2283" s="17" t="n">
        <x:f>ROUND(I2283*'Costing'!$C$4,2)</x:f>
        <x:v>72000</x:v>
      </x:c>
      <x:c r="K2283" s="17" t="n">
        <x:f>I2283+J2283</x:f>
        <x:v>472000</x:v>
      </x:c>
    </x:row>
    <x:row r="2284" ht="46" customHeight="1">
      <x:c r="A2284" s="2" t="str">
        <x:v>Sector</x:v>
      </x:c>
      <x:c r="B2284" s="2" t="str">
        <x:v>Trade, consumer &amp; logistics</x:v>
      </x:c>
      <x:c r="C2284" s="12" t="str">
        <x:v>Hyderabad</x:v>
      </x:c>
      <x:c r="D2284" s="12" t="str">
        <x:v>PARTNER-M289</x:v>
      </x:c>
      <x:c r="E2284" s="12" t="str">
        <x:v>Cyber Gateway</x:v>
      </x:c>
      <x:c r="F2284" s="11" t="n">
        <x:v>6</x:v>
      </x:c>
      <x:c r="G2284" s="11" t="n">
        <x:v>6</x:v>
      </x:c>
      <x:c r="H2284" s="11" t="n">
        <x:v>0</x:v>
      </x:c>
      <x:c r="I2284" s="17" t="n">
        <x:f>INDEX('Costing'!$P$9:$P$492,MATCH(D2284,'Costing'!$A$9:$A$492,0))</x:f>
        <x:v>240000</x:v>
      </x:c>
      <x:c r="J2284" s="17" t="n">
        <x:f>ROUND(I2284*'Costing'!$C$4,2)</x:f>
        <x:v>43200</x:v>
      </x:c>
      <x:c r="K2284" s="17" t="n">
        <x:f>I2284+J2284</x:f>
        <x:v>283200</x:v>
      </x:c>
    </x:row>
    <x:row r="2285" ht="46" customHeight="1">
      <x:c r="A2285" s="2" t="str">
        <x:v>Sector</x:v>
      </x:c>
      <x:c r="B2285" s="2" t="str">
        <x:v>Trade, consumer &amp; logistics</x:v>
      </x:c>
      <x:c r="C2285" s="12" t="str">
        <x:v>Hyderabad</x:v>
      </x:c>
      <x:c r="D2285" s="12" t="str">
        <x:v>PARTNER-M317</x:v>
      </x:c>
      <x:c r="E2285" s="12" t="str">
        <x:v>Kapil Towers</x:v>
      </x:c>
      <x:c r="F2285" s="11" t="n">
        <x:v>7</x:v>
      </x:c>
      <x:c r="G2285" s="11" t="n">
        <x:v>7</x:v>
      </x:c>
      <x:c r="H2285" s="11" t="n">
        <x:v>0</x:v>
      </x:c>
      <x:c r="I2285" s="17" t="n">
        <x:f>INDEX('Costing'!$P$9:$P$492,MATCH(D2285,'Costing'!$A$9:$A$492,0))</x:f>
        <x:v>280000</x:v>
      </x:c>
      <x:c r="J2285" s="17" t="n">
        <x:f>ROUND(I2285*'Costing'!$C$4,2)</x:f>
        <x:v>50400</x:v>
      </x:c>
      <x:c r="K2285" s="17" t="n">
        <x:f>I2285+J2285</x:f>
        <x:v>330400</x:v>
      </x:c>
    </x:row>
    <x:row r="2286" ht="46" customHeight="1">
      <x:c r="A2286" s="2" t="str">
        <x:v>Sector</x:v>
      </x:c>
      <x:c r="B2286" s="2" t="str">
        <x:v>Trade, consumer &amp; logistics</x:v>
      </x:c>
      <x:c r="C2286" s="12" t="str">
        <x:v>Hyderabad</x:v>
      </x:c>
      <x:c r="D2286" s="12" t="str">
        <x:v>PARTNER-M312</x:v>
      </x:c>
      <x:c r="E2286" s="12" t="str">
        <x:v>Prestige Skytech </x:v>
      </x:c>
      <x:c r="F2286" s="11" t="n">
        <x:v>5</x:v>
      </x:c>
      <x:c r="G2286" s="11" t="n">
        <x:v>5</x:v>
      </x:c>
      <x:c r="H2286" s="11" t="n">
        <x:v>0</x:v>
      </x:c>
      <x:c r="I2286" s="17" t="n">
        <x:f>INDEX('Costing'!$P$9:$P$492,MATCH(D2286,'Costing'!$A$9:$A$492,0))</x:f>
        <x:v>200000</x:v>
      </x:c>
      <x:c r="J2286" s="17" t="n">
        <x:f>ROUND(I2286*'Costing'!$C$4,2)</x:f>
        <x:v>36000</x:v>
      </x:c>
      <x:c r="K2286" s="17" t="n">
        <x:f>I2286+J2286</x:f>
        <x:v>236000</x:v>
      </x:c>
    </x:row>
    <x:row r="2287" ht="46" customHeight="1">
      <x:c r="A2287" s="2" t="str">
        <x:v>Sector</x:v>
      </x:c>
      <x:c r="B2287" s="2" t="str">
        <x:v>Trade, consumer &amp; logistics</x:v>
      </x:c>
      <x:c r="C2287" s="12" t="str">
        <x:v>Mumbai</x:v>
      </x:c>
      <x:c r="D2287" s="12" t="str">
        <x:v>PARTNER-M241</x:v>
      </x:c>
      <x:c r="E2287" s="12" t="str">
        <x:v>Dynasty Business Park</x:v>
      </x:c>
      <x:c r="F2287" s="11" t="n">
        <x:v>2</x:v>
      </x:c>
      <x:c r="G2287" s="11" t="n">
        <x:v>2</x:v>
      </x:c>
      <x:c r="H2287" s="11" t="n">
        <x:v>0</x:v>
      </x:c>
      <x:c r="I2287" s="17" t="n">
        <x:f>INDEX('Costing'!$P$9:$P$492,MATCH(D2287,'Costing'!$A$9:$A$492,0))</x:f>
        <x:v>80000</x:v>
      </x:c>
      <x:c r="J2287" s="17" t="n">
        <x:f>ROUND(I2287*'Costing'!$C$4,2)</x:f>
        <x:v>14400</x:v>
      </x:c>
      <x:c r="K2287" s="17" t="n">
        <x:f>I2287+J2287</x:f>
        <x:v>94400</x:v>
      </x:c>
    </x:row>
    <x:row r="2288" ht="46" customHeight="1">
      <x:c r="A2288" s="2" t="str">
        <x:v>Sector</x:v>
      </x:c>
      <x:c r="B2288" s="2" t="str">
        <x:v>Trade, consumer &amp; logistics</x:v>
      </x:c>
      <x:c r="C2288" s="12" t="str">
        <x:v>Mumbai</x:v>
      </x:c>
      <x:c r="D2288" s="12" t="str">
        <x:v>PARTNER-M193</x:v>
      </x:c>
      <x:c r="E2288" s="12" t="str">
        <x:v>Empire Tower</x:v>
      </x:c>
      <x:c r="F2288" s="11" t="n">
        <x:v>4</x:v>
      </x:c>
      <x:c r="G2288" s="11" t="n">
        <x:v>4</x:v>
      </x:c>
      <x:c r="H2288" s="11" t="n">
        <x:v>0</x:v>
      </x:c>
      <x:c r="I2288" s="17" t="n">
        <x:f>INDEX('Costing'!$P$9:$P$492,MATCH(D2288,'Costing'!$A$9:$A$492,0))</x:f>
        <x:v>160000</x:v>
      </x:c>
      <x:c r="J2288" s="17" t="n">
        <x:f>ROUND(I2288*'Costing'!$C$4,2)</x:f>
        <x:v>28800</x:v>
      </x:c>
      <x:c r="K2288" s="17" t="n">
        <x:f>I2288+J2288</x:f>
        <x:v>188800</x:v>
      </x:c>
    </x:row>
    <x:row r="2289" ht="46" customHeight="1">
      <x:c r="A2289" s="2" t="str">
        <x:v>Sector</x:v>
      </x:c>
      <x:c r="B2289" s="2" t="str">
        <x:v>Trade, consumer &amp; logistics</x:v>
      </x:c>
      <x:c r="C2289" s="12" t="str">
        <x:v>Mumbai</x:v>
      </x:c>
      <x:c r="D2289" s="12" t="str">
        <x:v>PARTNER-M235</x:v>
      </x:c>
      <x:c r="E2289" s="12" t="str">
        <x:v>Kanakia 215 Atrium</x:v>
      </x:c>
      <x:c r="F2289" s="11" t="n">
        <x:v>4</x:v>
      </x:c>
      <x:c r="G2289" s="11" t="n">
        <x:v>4</x:v>
      </x:c>
      <x:c r="H2289" s="11" t="n">
        <x:v>0</x:v>
      </x:c>
      <x:c r="I2289" s="17" t="n">
        <x:f>INDEX('Costing'!$P$9:$P$492,MATCH(D2289,'Costing'!$A$9:$A$492,0))</x:f>
        <x:v>160000</x:v>
      </x:c>
      <x:c r="J2289" s="17" t="n">
        <x:f>ROUND(I2289*'Costing'!$C$4,2)</x:f>
        <x:v>28800</x:v>
      </x:c>
      <x:c r="K2289" s="17" t="n">
        <x:f>I2289+J2289</x:f>
        <x:v>188800</x:v>
      </x:c>
    </x:row>
    <x:row r="2290" ht="46" customHeight="1">
      <x:c r="A2290" s="2" t="str">
        <x:v>Sector</x:v>
      </x:c>
      <x:c r="B2290" s="2" t="str">
        <x:v>Trade, consumer &amp; logistics</x:v>
      </x:c>
      <x:c r="C2290" s="12" t="str">
        <x:v>Mumbai</x:v>
      </x:c>
      <x:c r="D2290" s="12" t="str">
        <x:v>PARTNER-M239</x:v>
      </x:c>
      <x:c r="E2290" s="12" t="str">
        <x:v>Kanakia Atrium 2</x:v>
      </x:c>
      <x:c r="F2290" s="11" t="n">
        <x:v>2</x:v>
      </x:c>
      <x:c r="G2290" s="11" t="n">
        <x:v>2</x:v>
      </x:c>
      <x:c r="H2290" s="11" t="n">
        <x:v>0</x:v>
      </x:c>
      <x:c r="I2290" s="17" t="n">
        <x:f>INDEX('Costing'!$P$9:$P$492,MATCH(D2290,'Costing'!$A$9:$A$492,0))</x:f>
        <x:v>80000</x:v>
      </x:c>
      <x:c r="J2290" s="17" t="n">
        <x:f>ROUND(I2290*'Costing'!$C$4,2)</x:f>
        <x:v>14400</x:v>
      </x:c>
      <x:c r="K2290" s="17" t="n">
        <x:f>I2290+J2290</x:f>
        <x:v>94400</x:v>
      </x:c>
    </x:row>
    <x:row r="2291" ht="46" customHeight="1">
      <x:c r="A2291" s="2" t="str">
        <x:v>Sector</x:v>
      </x:c>
      <x:c r="B2291" s="2" t="str">
        <x:v>Trade, consumer &amp; logistics</x:v>
      </x:c>
      <x:c r="C2291" s="12" t="str">
        <x:v>Mumbai</x:v>
      </x:c>
      <x:c r="D2291" s="12" t="str">
        <x:v>PARTNER-M179</x:v>
      </x:c>
      <x:c r="E2291" s="12" t="str">
        <x:v>Kanakia Boomerang</x:v>
      </x:c>
      <x:c r="F2291" s="11" t="n">
        <x:v>6</x:v>
      </x:c>
      <x:c r="G2291" s="11" t="n">
        <x:v>6</x:v>
      </x:c>
      <x:c r="H2291" s="11" t="n">
        <x:v>0</x:v>
      </x:c>
      <x:c r="I2291" s="17" t="n">
        <x:f>INDEX('Costing'!$P$9:$P$492,MATCH(D2291,'Costing'!$A$9:$A$492,0))</x:f>
        <x:v>240000</x:v>
      </x:c>
      <x:c r="J2291" s="17" t="n">
        <x:f>ROUND(I2291*'Costing'!$C$4,2)</x:f>
        <x:v>43200</x:v>
      </x:c>
      <x:c r="K2291" s="17" t="n">
        <x:f>I2291+J2291</x:f>
        <x:v>283200</x:v>
      </x:c>
    </x:row>
    <x:row r="2292" ht="46" customHeight="1">
      <x:c r="A2292" s="2" t="str">
        <x:v>Sector</x:v>
      </x:c>
      <x:c r="B2292" s="2" t="str">
        <x:v>Trade, consumer &amp; logistics</x:v>
      </x:c>
      <x:c r="C2292" s="12" t="str">
        <x:v>Mumbai</x:v>
      </x:c>
      <x:c r="D2292" s="12" t="str">
        <x:v>PARTNER-M243</x:v>
      </x:c>
      <x:c r="E2292" s="12" t="str">
        <x:v>Kohinoor City</x:v>
      </x:c>
      <x:c r="F2292" s="11" t="n">
        <x:v>2</x:v>
      </x:c>
      <x:c r="G2292" s="11" t="n">
        <x:v>2</x:v>
      </x:c>
      <x:c r="H2292" s="11" t="n">
        <x:v>0</x:v>
      </x:c>
      <x:c r="I2292" s="17" t="n">
        <x:f>INDEX('Costing'!$P$9:$P$492,MATCH(D2292,'Costing'!$A$9:$A$492,0))</x:f>
        <x:v>80000</x:v>
      </x:c>
      <x:c r="J2292" s="17" t="n">
        <x:f>ROUND(I2292*'Costing'!$C$4,2)</x:f>
        <x:v>14400</x:v>
      </x:c>
      <x:c r="K2292" s="17" t="n">
        <x:f>I2292+J2292</x:f>
        <x:v>94400</x:v>
      </x:c>
    </x:row>
    <x:row r="2293" ht="46" customHeight="1">
      <x:c r="A2293" s="2" t="str">
        <x:v>Sector</x:v>
      </x:c>
      <x:c r="B2293" s="2" t="str">
        <x:v>Trade, consumer &amp; logistics</x:v>
      </x:c>
      <x:c r="C2293" s="12" t="str">
        <x:v>Mumbai</x:v>
      </x:c>
      <x:c r="D2293" s="12" t="str">
        <x:v>PARTNER-M201</x:v>
      </x:c>
      <x:c r="E2293" s="12" t="str">
        <x:v>Liberty tower</x:v>
      </x:c>
      <x:c r="F2293" s="11" t="n">
        <x:v>2</x:v>
      </x:c>
      <x:c r="G2293" s="11" t="n">
        <x:v>2</x:v>
      </x:c>
      <x:c r="H2293" s="11" t="n">
        <x:v>0</x:v>
      </x:c>
      <x:c r="I2293" s="17" t="n">
        <x:f>INDEX('Costing'!$P$9:$P$492,MATCH(D2293,'Costing'!$A$9:$A$492,0))</x:f>
        <x:v>80000</x:v>
      </x:c>
      <x:c r="J2293" s="17" t="n">
        <x:f>ROUND(I2293*'Costing'!$C$4,2)</x:f>
        <x:v>14400</x:v>
      </x:c>
      <x:c r="K2293" s="17" t="n">
        <x:f>I2293+J2293</x:f>
        <x:v>94400</x:v>
      </x:c>
    </x:row>
    <x:row r="2294" ht="46" customHeight="1">
      <x:c r="A2294" s="2" t="str">
        <x:v>Sector</x:v>
      </x:c>
      <x:c r="B2294" s="2" t="str">
        <x:v>Trade, consumer &amp; logistics</x:v>
      </x:c>
      <x:c r="C2294" s="12" t="str">
        <x:v>Mumbai</x:v>
      </x:c>
      <x:c r="D2294" s="12" t="str">
        <x:v>PARTNER-M245</x:v>
      </x:c>
      <x:c r="E2294" s="12" t="str">
        <x:v>Lodha iThink</x:v>
      </x:c>
      <x:c r="F2294" s="11" t="n">
        <x:v>2</x:v>
      </x:c>
      <x:c r="G2294" s="11" t="n">
        <x:v>2</x:v>
      </x:c>
      <x:c r="H2294" s="11" t="n">
        <x:v>0</x:v>
      </x:c>
      <x:c r="I2294" s="17" t="n">
        <x:f>INDEX('Costing'!$P$9:$P$492,MATCH(D2294,'Costing'!$A$9:$A$492,0))</x:f>
        <x:v>80000</x:v>
      </x:c>
      <x:c r="J2294" s="17" t="n">
        <x:f>ROUND(I2294*'Costing'!$C$4,2)</x:f>
        <x:v>14400</x:v>
      </x:c>
      <x:c r="K2294" s="17" t="n">
        <x:f>I2294+J2294</x:f>
        <x:v>94400</x:v>
      </x:c>
    </x:row>
    <x:row r="2295" ht="46" customHeight="1">
      <x:c r="A2295" s="2" t="str">
        <x:v>Sector</x:v>
      </x:c>
      <x:c r="B2295" s="2" t="str">
        <x:v>Trade, consumer &amp; logistics</x:v>
      </x:c>
      <x:c r="C2295" s="12" t="str">
        <x:v>Mumbai</x:v>
      </x:c>
      <x:c r="D2295" s="12" t="str">
        <x:v>PARTNER-M233</x:v>
      </x:c>
      <x:c r="E2295" s="12" t="str">
        <x:v>Lodha Supremus</x:v>
      </x:c>
      <x:c r="F2295" s="11" t="n">
        <x:v>2</x:v>
      </x:c>
      <x:c r="G2295" s="11" t="n">
        <x:v>2</x:v>
      </x:c>
      <x:c r="H2295" s="11" t="n">
        <x:v>0</x:v>
      </x:c>
      <x:c r="I2295" s="17" t="n">
        <x:f>INDEX('Costing'!$P$9:$P$492,MATCH(D2295,'Costing'!$A$9:$A$492,0))</x:f>
        <x:v>80000</x:v>
      </x:c>
      <x:c r="J2295" s="17" t="n">
        <x:f>ROUND(I2295*'Costing'!$C$4,2)</x:f>
        <x:v>14400</x:v>
      </x:c>
      <x:c r="K2295" s="17" t="n">
        <x:f>I2295+J2295</x:f>
        <x:v>94400</x:v>
      </x:c>
    </x:row>
    <x:row r="2296" ht="46" customHeight="1">
      <x:c r="A2296" s="2" t="str">
        <x:v>Sector</x:v>
      </x:c>
      <x:c r="B2296" s="2" t="str">
        <x:v>Trade, consumer &amp; logistics</x:v>
      </x:c>
      <x:c r="C2296" s="12" t="str">
        <x:v>Mumbai</x:v>
      </x:c>
      <x:c r="D2296" s="12" t="str">
        <x:v>PARTNER-M247</x:v>
      </x:c>
      <x:c r="E2296" s="12" t="str">
        <x:v>Lodha Supremus</x:v>
      </x:c>
      <x:c r="F2296" s="11" t="n">
        <x:v>4</x:v>
      </x:c>
      <x:c r="G2296" s="11" t="n">
        <x:v>4</x:v>
      </x:c>
      <x:c r="H2296" s="11" t="n">
        <x:v>0</x:v>
      </x:c>
      <x:c r="I2296" s="17" t="n">
        <x:f>INDEX('Costing'!$P$9:$P$492,MATCH(D2296,'Costing'!$A$9:$A$492,0))</x:f>
        <x:v>160000</x:v>
      </x:c>
      <x:c r="J2296" s="17" t="n">
        <x:f>ROUND(I2296*'Costing'!$C$4,2)</x:f>
        <x:v>28800</x:v>
      </x:c>
      <x:c r="K2296" s="17" t="n">
        <x:f>I2296+J2296</x:f>
        <x:v>188800</x:v>
      </x:c>
    </x:row>
    <x:row r="2297" ht="46" customHeight="1">
      <x:c r="A2297" s="2" t="str">
        <x:v>Sector</x:v>
      </x:c>
      <x:c r="B2297" s="2" t="str">
        <x:v>Trade, consumer &amp; logistics</x:v>
      </x:c>
      <x:c r="C2297" s="12" t="str">
        <x:v>Mumbai</x:v>
      </x:c>
      <x:c r="D2297" s="12" t="str">
        <x:v>PARTNER-M197</x:v>
      </x:c>
      <x:c r="E2297" s="12" t="str">
        <x:v>Reliable Tech Park</x:v>
      </x:c>
      <x:c r="F2297" s="11" t="n">
        <x:v>4</x:v>
      </x:c>
      <x:c r="G2297" s="11" t="n">
        <x:v>4</x:v>
      </x:c>
      <x:c r="H2297" s="11" t="n">
        <x:v>0</x:v>
      </x:c>
      <x:c r="I2297" s="17" t="n">
        <x:f>INDEX('Costing'!$P$9:$P$492,MATCH(D2297,'Costing'!$A$9:$A$492,0))</x:f>
        <x:v>160000</x:v>
      </x:c>
      <x:c r="J2297" s="17" t="n">
        <x:f>ROUND(I2297*'Costing'!$C$4,2)</x:f>
        <x:v>28800</x:v>
      </x:c>
      <x:c r="K2297" s="17" t="n">
        <x:f>I2297+J2297</x:f>
        <x:v>188800</x:v>
      </x:c>
    </x:row>
    <x:row r="2298" ht="46" customHeight="1">
      <x:c r="A2298" s="2" t="str">
        <x:v>Sector</x:v>
      </x:c>
      <x:c r="B2298" s="2" t="str">
        <x:v>Trade, consumer &amp; logistics</x:v>
      </x:c>
      <x:c r="C2298" s="12" t="str">
        <x:v>Mumbai</x:v>
      </x:c>
      <x:c r="D2298" s="12" t="str">
        <x:v>PARTNER-M175</x:v>
      </x:c>
      <x:c r="E2298" s="12" t="str">
        <x:v>The Capital</x:v>
      </x:c>
      <x:c r="F2298" s="11" t="n">
        <x:v>3</x:v>
      </x:c>
      <x:c r="G2298" s="11" t="n">
        <x:v>3</x:v>
      </x:c>
      <x:c r="H2298" s="11" t="n">
        <x:v>0</x:v>
      </x:c>
      <x:c r="I2298" s="17" t="n">
        <x:f>INDEX('Costing'!$P$9:$P$492,MATCH(D2298,'Costing'!$A$9:$A$492,0))</x:f>
        <x:v>120000</x:v>
      </x:c>
      <x:c r="J2298" s="17" t="n">
        <x:f>ROUND(I2298*'Costing'!$C$4,2)</x:f>
        <x:v>21600</x:v>
      </x:c>
      <x:c r="K2298" s="17" t="n">
        <x:f>I2298+J2298</x:f>
        <x:v>141600</x:v>
      </x:c>
    </x:row>
    <x:row r="2299" ht="46" customHeight="1">
      <x:c r="A2299" s="2" t="str">
        <x:v>Sector</x:v>
      </x:c>
      <x:c r="B2299" s="2" t="str">
        <x:v>Trade, consumer &amp; logistics</x:v>
      </x:c>
      <x:c r="C2299" s="12" t="str">
        <x:v>Mumbai</x:v>
      </x:c>
      <x:c r="D2299" s="12" t="str">
        <x:v>PARTNER-M188</x:v>
      </x:c>
      <x:c r="E2299" s="12" t="str">
        <x:v>Urmi Estate</x:v>
      </x:c>
      <x:c r="F2299" s="11" t="n">
        <x:v>4</x:v>
      </x:c>
      <x:c r="G2299" s="11" t="n">
        <x:v>4</x:v>
      </x:c>
      <x:c r="H2299" s="11" t="n">
        <x:v>0</x:v>
      </x:c>
      <x:c r="I2299" s="17" t="n">
        <x:f>INDEX('Costing'!$P$9:$P$492,MATCH(D2299,'Costing'!$A$9:$A$492,0))</x:f>
        <x:v>160000</x:v>
      </x:c>
      <x:c r="J2299" s="17" t="n">
        <x:f>ROUND(I2299*'Costing'!$C$4,2)</x:f>
        <x:v>28800</x:v>
      </x:c>
      <x:c r="K2299" s="17" t="n">
        <x:f>I2299+J2299</x:f>
        <x:v>188800</x:v>
      </x:c>
    </x:row>
    <x:row r="2300" ht="46" customHeight="1">
      <x:c r="A2300" s="2" t="str">
        <x:v>Sector</x:v>
      </x:c>
      <x:c r="B2300" s="2" t="str">
        <x:v>Trade, consumer &amp; logistics</x:v>
      </x:c>
      <x:c r="C2300" s="12" t="str">
        <x:v>Mumbai</x:v>
      </x:c>
      <x:c r="D2300" s="12" t="str">
        <x:v>PARTNER-M227</x:v>
      </x:c>
      <x:c r="E2300" s="12" t="str">
        <x:v>Windsor House</x:v>
      </x:c>
      <x:c r="F2300" s="11" t="n">
        <x:v>6</x:v>
      </x:c>
      <x:c r="G2300" s="11" t="n">
        <x:v>6</x:v>
      </x:c>
      <x:c r="H2300" s="11" t="n">
        <x:v>0</x:v>
      </x:c>
      <x:c r="I2300" s="17" t="n">
        <x:f>INDEX('Costing'!$P$9:$P$492,MATCH(D2300,'Costing'!$A$9:$A$492,0))</x:f>
        <x:v>240000</x:v>
      </x:c>
      <x:c r="J2300" s="17" t="n">
        <x:f>ROUND(I2300*'Costing'!$C$4,2)</x:f>
        <x:v>43200</x:v>
      </x:c>
      <x:c r="K2300" s="17" t="n">
        <x:f>I2300+J2300</x:f>
        <x:v>283200</x:v>
      </x:c>
    </x:row>
    <x:row r="2301" ht="46" customHeight="1">
      <x:c r="A2301" s="2" t="str">
        <x:v>Sector</x:v>
      </x:c>
      <x:c r="B2301" s="2" t="str">
        <x:v>Trade, consumer &amp; logistics</x:v>
      </x:c>
      <x:c r="C2301" s="12" t="str">
        <x:v>Pune</x:v>
      </x:c>
      <x:c r="D2301" s="12" t="str">
        <x:v>PARTNER-M252</x:v>
      </x:c>
      <x:c r="E2301" s="12" t="str">
        <x:v>Magarpatta Cyberpark</x:v>
      </x:c>
      <x:c r="F2301" s="11" t="n">
        <x:v>9</x:v>
      </x:c>
      <x:c r="G2301" s="11" t="n">
        <x:v>9</x:v>
      </x:c>
      <x:c r="H2301" s="11" t="n">
        <x:v>0</x:v>
      </x:c>
      <x:c r="I2301" s="17" t="n">
        <x:f>INDEX('Costing'!$P$9:$P$492,MATCH(D2301,'Costing'!$A$9:$A$492,0))</x:f>
        <x:v>360000</x:v>
      </x:c>
      <x:c r="J2301" s="17" t="n">
        <x:f>ROUND(I2301*'Costing'!$C$4,2)</x:f>
        <x:v>64800</x:v>
      </x:c>
      <x:c r="K2301" s="17" t="n">
        <x:f>I2301+J2301</x:f>
        <x:v>424800</x:v>
      </x:c>
    </x:row>
    <x:row r="2302" ht="46" customHeight="1">
      <x:c r="A2302" s="2" t="str">
        <x:v>Sector</x:v>
      </x:c>
      <x:c r="B2302" s="2" t="str">
        <x:v>Trade, consumer &amp; logistics</x:v>
      </x:c>
      <x:c r="C2302" s="12" t="str">
        <x:v>Pune</x:v>
      </x:c>
      <x:c r="D2302" s="12" t="str">
        <x:v>PARTNER-M277</x:v>
      </x:c>
      <x:c r="E2302" s="12" t="str">
        <x:v>Nyati Enthral</x:v>
      </x:c>
      <x:c r="F2302" s="11" t="n">
        <x:v>5</x:v>
      </x:c>
      <x:c r="G2302" s="11" t="n">
        <x:v>5</x:v>
      </x:c>
      <x:c r="H2302" s="11" t="n">
        <x:v>0</x:v>
      </x:c>
      <x:c r="I2302" s="17" t="n">
        <x:f>INDEX('Costing'!$P$9:$P$492,MATCH(D2302,'Costing'!$A$9:$A$492,0))</x:f>
        <x:v>200000</x:v>
      </x:c>
      <x:c r="J2302" s="17" t="n">
        <x:f>ROUND(I2302*'Costing'!$C$4,2)</x:f>
        <x:v>36000</x:v>
      </x:c>
      <x:c r="K2302" s="17" t="n">
        <x:f>I2302+J2302</x:f>
        <x:v>236000</x:v>
      </x:c>
    </x:row>
    <x:row r="2303" ht="46" customHeight="1">
      <x:c r="A2303" s="2" t="str">
        <x:v>Sector</x:v>
      </x:c>
      <x:c r="B2303" s="2" t="str">
        <x:v>Trade, consumer &amp; logistics</x:v>
      </x:c>
      <x:c r="C2303" s="12" t="str">
        <x:v>Pune</x:v>
      </x:c>
      <x:c r="D2303" s="12" t="str">
        <x:v>PARTNER-M261</x:v>
      </x:c>
      <x:c r="E2303" s="12" t="str">
        <x:v>Pentagon Towers</x:v>
      </x:c>
      <x:c r="F2303" s="11" t="n">
        <x:v>4</x:v>
      </x:c>
      <x:c r="G2303" s="11" t="n">
        <x:v>4</x:v>
      </x:c>
      <x:c r="H2303" s="11" t="n">
        <x:v>0</x:v>
      </x:c>
      <x:c r="I2303" s="17" t="n">
        <x:f>INDEX('Costing'!$P$9:$P$492,MATCH(D2303,'Costing'!$A$9:$A$492,0))</x:f>
        <x:v>160000</x:v>
      </x:c>
      <x:c r="J2303" s="17" t="n">
        <x:f>ROUND(I2303*'Costing'!$C$4,2)</x:f>
        <x:v>28800</x:v>
      </x:c>
      <x:c r="K2303" s="17" t="n">
        <x:f>I2303+J2303</x:f>
        <x:v>188800</x:v>
      </x:c>
    </x:row>
    <x:row r="2304" ht="46" customHeight="1">
      <x:c r="A2304" s="2" t="str">
        <x:v>Sector</x:v>
      </x:c>
      <x:c r="B2304" s="2" t="str">
        <x:v>Unclassified</x:v>
      </x:c>
      <x:c r="C2304" s="12" t="str">
        <x:v>Ahmedabad</x:v>
      </x:c>
      <x:c r="D2304" s="12" t="str">
        <x:v>MAIN-008</x:v>
      </x:c>
      <x:c r="E2304" s="12" t="str">
        <x:v>Solaris Business Park</x:v>
      </x:c>
      <x:c r="F2304" s="11" t="n">
        <x:v>8</x:v>
      </x:c>
      <x:c r="G2304" s="11" t="n">
        <x:v>8</x:v>
      </x:c>
      <x:c r="H2304" s="11" t="n">
        <x:v>0</x:v>
      </x:c>
      <x:c r="I2304" s="17" t="n">
        <x:f>INDEX('Costing'!$P$9:$P$492,MATCH(D2304,'Costing'!$A$9:$A$492,0))</x:f>
        <x:v>120000</x:v>
      </x:c>
      <x:c r="J2304" s="17" t="n">
        <x:f>ROUND(I2304*'Costing'!$C$4,2)</x:f>
        <x:v>21600</x:v>
      </x:c>
      <x:c r="K2304" s="17" t="n">
        <x:f>I2304+J2304</x:f>
        <x:v>141600</x:v>
      </x:c>
    </x:row>
    <x:row r="2305" ht="46" customHeight="1">
      <x:c r="A2305" s="2" t="str">
        <x:v>Sector</x:v>
      </x:c>
      <x:c r="B2305" s="2" t="str">
        <x:v>Unclassified</x:v>
      </x:c>
      <x:c r="C2305" s="12" t="str">
        <x:v>Bengaluru</x:v>
      </x:c>
      <x:c r="D2305" s="12" t="str">
        <x:v>MAIN-034</x:v>
      </x:c>
      <x:c r="E2305" s="12" t="str">
        <x:v>Bridge - Landmark</x:v>
      </x:c>
      <x:c r="F2305" s="11" t="n">
        <x:v>1</x:v>
      </x:c>
      <x:c r="G2305" s="11" t="n">
        <x:v>1</x:v>
      </x:c>
      <x:c r="H2305" s="11" t="n">
        <x:v>0</x:v>
      </x:c>
      <x:c r="I2305" s="17" t="n">
        <x:f>INDEX('Costing'!$P$9:$P$492,MATCH(D2305,'Costing'!$A$9:$A$492,0))</x:f>
        <x:v>15000</x:v>
      </x:c>
      <x:c r="J2305" s="17" t="n">
        <x:f>ROUND(I2305*'Costing'!$C$4,2)</x:f>
        <x:v>2700</x:v>
      </x:c>
      <x:c r="K2305" s="17" t="n">
        <x:f>I2305+J2305</x:f>
        <x:v>17700</x:v>
      </x:c>
    </x:row>
    <x:row r="2306" ht="46" customHeight="1">
      <x:c r="A2306" s="2" t="str">
        <x:v>Sector</x:v>
      </x:c>
      <x:c r="B2306" s="2" t="str">
        <x:v>Unclassified</x:v>
      </x:c>
      <x:c r="C2306" s="12" t="str">
        <x:v>Bengaluru</x:v>
      </x:c>
      <x:c r="D2306" s="12" t="str">
        <x:v>MAIN-036</x:v>
      </x:c>
      <x:c r="E2306" s="12" t="str">
        <x:v>Brookfield - Azure</x:v>
      </x:c>
      <x:c r="F2306" s="11" t="n">
        <x:v>2</x:v>
      </x:c>
      <x:c r="G2306" s="11" t="n">
        <x:v>2</x:v>
      </x:c>
      <x:c r="H2306" s="11" t="n">
        <x:v>0</x:v>
      </x:c>
      <x:c r="I2306" s="17" t="n">
        <x:f>INDEX('Costing'!$P$9:$P$492,MATCH(D2306,'Costing'!$A$9:$A$492,0))</x:f>
        <x:v>80000</x:v>
      </x:c>
      <x:c r="J2306" s="17" t="n">
        <x:f>ROUND(I2306*'Costing'!$C$4,2)</x:f>
        <x:v>14400</x:v>
      </x:c>
      <x:c r="K2306" s="17" t="n">
        <x:f>I2306+J2306</x:f>
        <x:v>94400</x:v>
      </x:c>
    </x:row>
    <x:row r="2307" ht="46" customHeight="1">
      <x:c r="A2307" s="2" t="str">
        <x:v>Sector</x:v>
      </x:c>
      <x:c r="B2307" s="2" t="str">
        <x:v>Unclassified</x:v>
      </x:c>
      <x:c r="C2307" s="12" t="str">
        <x:v>Bengaluru</x:v>
      </x:c>
      <x:c r="D2307" s="12" t="str">
        <x:v>MAIN-038</x:v>
      </x:c>
      <x:c r="E2307" s="12" t="str">
        <x:v>Brookfield - Ecospace</x:v>
      </x:c>
      <x:c r="F2307" s="11" t="n">
        <x:v>4</x:v>
      </x:c>
      <x:c r="G2307" s="11" t="n">
        <x:v>4</x:v>
      </x:c>
      <x:c r="H2307" s="11" t="n">
        <x:v>0</x:v>
      </x:c>
      <x:c r="I2307" s="17" t="n">
        <x:f>INDEX('Costing'!$P$9:$P$492,MATCH(D2307,'Costing'!$A$9:$A$492,0))</x:f>
        <x:v>160000</x:v>
      </x:c>
      <x:c r="J2307" s="17" t="n">
        <x:f>ROUND(I2307*'Costing'!$C$4,2)</x:f>
        <x:v>28800</x:v>
      </x:c>
      <x:c r="K2307" s="17" t="n">
        <x:f>I2307+J2307</x:f>
        <x:v>188800</x:v>
      </x:c>
    </x:row>
    <x:row r="2308" ht="46" customHeight="1">
      <x:c r="A2308" s="2" t="str">
        <x:v>Sector</x:v>
      </x:c>
      <x:c r="B2308" s="2" t="str">
        <x:v>Unclassified</x:v>
      </x:c>
      <x:c r="C2308" s="12" t="str">
        <x:v>Bengaluru</x:v>
      </x:c>
      <x:c r="D2308" s="12" t="str">
        <x:v>MAIN-040</x:v>
      </x:c>
      <x:c r="E2308" s="12" t="str">
        <x:v>Brookfield - North Star</x:v>
      </x:c>
      <x:c r="F2308" s="11" t="n">
        <x:v>2</x:v>
      </x:c>
      <x:c r="G2308" s="11" t="n">
        <x:v>2</x:v>
      </x:c>
      <x:c r="H2308" s="11" t="n">
        <x:v>0</x:v>
      </x:c>
      <x:c r="I2308" s="17" t="n">
        <x:f>INDEX('Costing'!$P$9:$P$492,MATCH(D2308,'Costing'!$A$9:$A$492,0))</x:f>
        <x:v>80000</x:v>
      </x:c>
      <x:c r="J2308" s="17" t="n">
        <x:f>ROUND(I2308*'Costing'!$C$4,2)</x:f>
        <x:v>14400</x:v>
      </x:c>
      <x:c r="K2308" s="17" t="n">
        <x:f>I2308+J2308</x:f>
        <x:v>94400</x:v>
      </x:c>
    </x:row>
    <x:row r="2309" ht="46" customHeight="1">
      <x:c r="A2309" s="2" t="str">
        <x:v>Sector</x:v>
      </x:c>
      <x:c r="B2309" s="2" t="str">
        <x:v>Unclassified</x:v>
      </x:c>
      <x:c r="C2309" s="12" t="str">
        <x:v>Bengaluru</x:v>
      </x:c>
      <x:c r="D2309" s="12" t="str">
        <x:v>MAIN-041</x:v>
      </x:c>
      <x:c r="E2309" s="12" t="str">
        <x:v>Brookfield - NXT</x:v>
      </x:c>
      <x:c r="F2309" s="11" t="n">
        <x:v>4</x:v>
      </x:c>
      <x:c r="G2309" s="11" t="n">
        <x:v>4</x:v>
      </x:c>
      <x:c r="H2309" s="11" t="n">
        <x:v>0</x:v>
      </x:c>
      <x:c r="I2309" s="17" t="n">
        <x:f>INDEX('Costing'!$P$9:$P$492,MATCH(D2309,'Costing'!$A$9:$A$492,0))</x:f>
        <x:v>160000</x:v>
      </x:c>
      <x:c r="J2309" s="17" t="n">
        <x:f>ROUND(I2309*'Costing'!$C$4,2)</x:f>
        <x:v>28800</x:v>
      </x:c>
      <x:c r="K2309" s="17" t="n">
        <x:f>I2309+J2309</x:f>
        <x:v>188800</x:v>
      </x:c>
    </x:row>
    <x:row r="2310" ht="46" customHeight="1">
      <x:c r="A2310" s="2" t="str">
        <x:v>Sector</x:v>
      </x:c>
      <x:c r="B2310" s="2" t="str">
        <x:v>Unclassified</x:v>
      </x:c>
      <x:c r="C2310" s="12" t="str">
        <x:v>Bengaluru</x:v>
      </x:c>
      <x:c r="D2310" s="12" t="str">
        <x:v>MAIN-043</x:v>
      </x:c>
      <x:c r="E2310" s="12" t="str">
        <x:v>Coffee Day Square(TST)</x:v>
      </x:c>
      <x:c r="F2310" s="11" t="n">
        <x:v>4</x:v>
      </x:c>
      <x:c r="G2310" s="11" t="n">
        <x:v>4</x:v>
      </x:c>
      <x:c r="H2310" s="11" t="n">
        <x:v>0</x:v>
      </x:c>
      <x:c r="I2310" s="17" t="n">
        <x:f>INDEX('Costing'!$P$9:$P$492,MATCH(D2310,'Costing'!$A$9:$A$492,0))</x:f>
        <x:v>160000</x:v>
      </x:c>
      <x:c r="J2310" s="17" t="n">
        <x:f>ROUND(I2310*'Costing'!$C$4,2)</x:f>
        <x:v>28800</x:v>
      </x:c>
      <x:c r="K2310" s="17" t="n">
        <x:f>I2310+J2310</x:f>
        <x:v>188800</x:v>
      </x:c>
    </x:row>
    <x:row r="2311" ht="46" customHeight="1">
      <x:c r="A2311" s="2" t="str">
        <x:v>Sector</x:v>
      </x:c>
      <x:c r="B2311" s="2" t="str">
        <x:v>Unclassified</x:v>
      </x:c>
      <x:c r="C2311" s="12" t="str">
        <x:v>Bengaluru</x:v>
      </x:c>
      <x:c r="D2311" s="12" t="str">
        <x:v>MAIN-051</x:v>
      </x:c>
      <x:c r="E2311" s="12" t="str">
        <x:v>Kalyani Camellia (TST Whitefield)</x:v>
      </x:c>
      <x:c r="F2311" s="11" t="n">
        <x:v>2</x:v>
      </x:c>
      <x:c r="G2311" s="11" t="n">
        <x:v>2</x:v>
      </x:c>
      <x:c r="H2311" s="11" t="n">
        <x:v>0</x:v>
      </x:c>
      <x:c r="I2311" s="17" t="n">
        <x:f>INDEX('Costing'!$P$9:$P$492,MATCH(D2311,'Costing'!$A$9:$A$492,0))</x:f>
        <x:v>80000</x:v>
      </x:c>
      <x:c r="J2311" s="17" t="n">
        <x:f>ROUND(I2311*'Costing'!$C$4,2)</x:f>
        <x:v>14400</x:v>
      </x:c>
      <x:c r="K2311" s="17" t="n">
        <x:f>I2311+J2311</x:f>
        <x:v>94400</x:v>
      </x:c>
    </x:row>
    <x:row r="2312" ht="46" customHeight="1">
      <x:c r="A2312" s="2" t="str">
        <x:v>Sector</x:v>
      </x:c>
      <x:c r="B2312" s="2" t="str">
        <x:v>Unclassified</x:v>
      </x:c>
      <x:c r="C2312" s="12" t="str">
        <x:v>Bengaluru</x:v>
      </x:c>
      <x:c r="D2312" s="12" t="str">
        <x:v>MAIN-074</x:v>
      </x:c>
      <x:c r="E2312" s="12" t="str">
        <x:v>Prestige Trade Tower</x:v>
      </x:c>
      <x:c r="F2312" s="11" t="n">
        <x:v>3</x:v>
      </x:c>
      <x:c r="G2312" s="11" t="n">
        <x:v>3</x:v>
      </x:c>
      <x:c r="H2312" s="11" t="n">
        <x:v>0</x:v>
      </x:c>
      <x:c r="I2312" s="17" t="n">
        <x:f>INDEX('Costing'!$P$9:$P$492,MATCH(D2312,'Costing'!$A$9:$A$492,0))</x:f>
        <x:v>120000</x:v>
      </x:c>
      <x:c r="J2312" s="17" t="n">
        <x:f>ROUND(I2312*'Costing'!$C$4,2)</x:f>
        <x:v>21600</x:v>
      </x:c>
      <x:c r="K2312" s="17" t="n">
        <x:f>I2312+J2312</x:f>
        <x:v>141600</x:v>
      </x:c>
    </x:row>
    <x:row r="2313" ht="46" customHeight="1">
      <x:c r="A2313" s="2" t="str">
        <x:v>Sector</x:v>
      </x:c>
      <x:c r="B2313" s="2" t="str">
        <x:v>Unclassified</x:v>
      </x:c>
      <x:c r="C2313" s="12" t="str">
        <x:v>Bengaluru</x:v>
      </x:c>
      <x:c r="D2313" s="12" t="str">
        <x:v>MAIN-079</x:v>
      </x:c>
      <x:c r="E2313" s="12" t="str">
        <x:v>Senate </x:v>
      </x:c>
      <x:c r="F2313" s="11" t="n">
        <x:v>2</x:v>
      </x:c>
      <x:c r="G2313" s="11" t="n">
        <x:v>2</x:v>
      </x:c>
      <x:c r="H2313" s="11" t="n">
        <x:v>0</x:v>
      </x:c>
      <x:c r="I2313" s="17" t="n">
        <x:f>INDEX('Costing'!$P$9:$P$492,MATCH(D2313,'Costing'!$A$9:$A$492,0))</x:f>
        <x:v>80000</x:v>
      </x:c>
      <x:c r="J2313" s="17" t="n">
        <x:f>ROUND(I2313*'Costing'!$C$4,2)</x:f>
        <x:v>14400</x:v>
      </x:c>
      <x:c r="K2313" s="17" t="n">
        <x:f>I2313+J2313</x:f>
        <x:v>94400</x:v>
      </x:c>
    </x:row>
    <x:row r="2314" ht="46" customHeight="1">
      <x:c r="A2314" s="2" t="str">
        <x:v>Sector</x:v>
      </x:c>
      <x:c r="B2314" s="2" t="str">
        <x:v>Unclassified</x:v>
      </x:c>
      <x:c r="C2314" s="12" t="str">
        <x:v>Bengaluru</x:v>
      </x:c>
      <x:c r="D2314" s="12" t="str">
        <x:v>MAIN-080</x:v>
      </x:c>
      <x:c r="E2314" s="12" t="str">
        <x:v>Shankar Hospital</x:v>
      </x:c>
      <x:c r="F2314" s="11" t="n">
        <x:v>1</x:v>
      </x:c>
      <x:c r="G2314" s="11" t="n">
        <x:v>1</x:v>
      </x:c>
      <x:c r="H2314" s="11" t="n">
        <x:v>0</x:v>
      </x:c>
      <x:c r="I2314" s="17" t="n">
        <x:f>INDEX('Costing'!$P$9:$P$492,MATCH(D2314,'Costing'!$A$9:$A$492,0))</x:f>
        <x:v>12000</x:v>
      </x:c>
      <x:c r="J2314" s="17" t="n">
        <x:f>ROUND(I2314*'Costing'!$C$4,2)</x:f>
        <x:v>2160</x:v>
      </x:c>
      <x:c r="K2314" s="17" t="n">
        <x:f>I2314+J2314</x:f>
        <x:v>14160</x:v>
      </x:c>
    </x:row>
    <x:row r="2315" ht="46" customHeight="1">
      <x:c r="A2315" s="2" t="str">
        <x:v>Sector</x:v>
      </x:c>
      <x:c r="B2315" s="2" t="str">
        <x:v>Unclassified</x:v>
      </x:c>
      <x:c r="C2315" s="12" t="str">
        <x:v>Bengaluru</x:v>
      </x:c>
      <x:c r="D2315" s="12" t="str">
        <x:v>MAIN-084</x:v>
      </x:c>
      <x:c r="E2315" s="12" t="str">
        <x:v>SJR Union City</x:v>
      </x:c>
      <x:c r="F2315" s="11" t="n">
        <x:v>2</x:v>
      </x:c>
      <x:c r="G2315" s="11" t="n">
        <x:v>2</x:v>
      </x:c>
      <x:c r="H2315" s="11" t="n">
        <x:v>0</x:v>
      </x:c>
      <x:c r="I2315" s="17" t="n">
        <x:f>INDEX('Costing'!$P$9:$P$492,MATCH(D2315,'Costing'!$A$9:$A$492,0))</x:f>
        <x:v>80000</x:v>
      </x:c>
      <x:c r="J2315" s="17" t="n">
        <x:f>ROUND(I2315*'Costing'!$C$4,2)</x:f>
        <x:v>14400</x:v>
      </x:c>
      <x:c r="K2315" s="17" t="n">
        <x:f>I2315+J2315</x:f>
        <x:v>94400</x:v>
      </x:c>
    </x:row>
    <x:row r="2316" ht="46" customHeight="1">
      <x:c r="A2316" s="2" t="str">
        <x:v>Sector</x:v>
      </x:c>
      <x:c r="B2316" s="2" t="str">
        <x:v>Unclassified</x:v>
      </x:c>
      <x:c r="C2316" s="12" t="str">
        <x:v>Bengaluru</x:v>
      </x:c>
      <x:c r="D2316" s="12" t="str">
        <x:v>MAIN-094</x:v>
      </x:c>
      <x:c r="E2316" s="12" t="str">
        <x:v>UB City</x:v>
      </x:c>
      <x:c r="F2316" s="11" t="n">
        <x:v>1</x:v>
      </x:c>
      <x:c r="G2316" s="11" t="n">
        <x:v>1</x:v>
      </x:c>
      <x:c r="H2316" s="11" t="n">
        <x:v>0</x:v>
      </x:c>
      <x:c r="I2316" s="17" t="n">
        <x:f>INDEX('Costing'!$P$9:$P$492,MATCH(D2316,'Costing'!$A$9:$A$492,0))</x:f>
        <x:v>40000</x:v>
      </x:c>
      <x:c r="J2316" s="17" t="n">
        <x:f>ROUND(I2316*'Costing'!$C$4,2)</x:f>
        <x:v>7200</x:v>
      </x:c>
      <x:c r="K2316" s="17" t="n">
        <x:f>I2316+J2316</x:f>
        <x:v>47200</x:v>
      </x:c>
    </x:row>
    <x:row r="2317" ht="46" customHeight="1">
      <x:c r="A2317" s="2" t="str">
        <x:v>Sector</x:v>
      </x:c>
      <x:c r="B2317" s="2" t="str">
        <x:v>Unclassified</x:v>
      </x:c>
      <x:c r="C2317" s="12" t="str">
        <x:v>Chennai</x:v>
      </x:c>
      <x:c r="D2317" s="12" t="str">
        <x:v>MAIN-147</x:v>
      </x:c>
      <x:c r="E2317" s="12" t="str">
        <x:v>K Raheja Corp - Commerzone</x:v>
      </x:c>
      <x:c r="F2317" s="11" t="n">
        <x:v>5</x:v>
      </x:c>
      <x:c r="G2317" s="11" t="n">
        <x:v>5</x:v>
      </x:c>
      <x:c r="H2317" s="11" t="n">
        <x:v>0</x:v>
      </x:c>
      <x:c r="I2317" s="17" t="n">
        <x:f>INDEX('Costing'!$P$9:$P$492,MATCH(D2317,'Costing'!$A$9:$A$492,0))</x:f>
        <x:v>200000</x:v>
      </x:c>
      <x:c r="J2317" s="17" t="n">
        <x:f>ROUND(I2317*'Costing'!$C$4,2)</x:f>
        <x:v>36000</x:v>
      </x:c>
      <x:c r="K2317" s="17" t="n">
        <x:f>I2317+J2317</x:f>
        <x:v>236000</x:v>
      </x:c>
    </x:row>
    <x:row r="2318" ht="46" customHeight="1">
      <x:c r="A2318" s="2" t="str">
        <x:v>Sector</x:v>
      </x:c>
      <x:c r="B2318" s="2" t="str">
        <x:v>Unclassified</x:v>
      </x:c>
      <x:c r="C2318" s="12" t="str">
        <x:v>Delhi NCR</x:v>
      </x:c>
      <x:c r="D2318" s="12" t="str">
        <x:v>MAIN-178</x:v>
      </x:c>
      <x:c r="E2318" s="12" t="str">
        <x:v>Atrium Spaces</x:v>
      </x:c>
      <x:c r="F2318" s="11" t="n">
        <x:v>1</x:v>
      </x:c>
      <x:c r="G2318" s="11" t="n">
        <x:v>1</x:v>
      </x:c>
      <x:c r="H2318" s="11" t="n">
        <x:v>0</x:v>
      </x:c>
      <x:c r="I2318" s="17" t="n">
        <x:f>INDEX('Costing'!$P$9:$P$492,MATCH(D2318,'Costing'!$A$9:$A$492,0))</x:f>
        <x:v>40000</x:v>
      </x:c>
      <x:c r="J2318" s="17" t="n">
        <x:f>ROUND(I2318*'Costing'!$C$4,2)</x:f>
        <x:v>7200</x:v>
      </x:c>
      <x:c r="K2318" s="17" t="n">
        <x:f>I2318+J2318</x:f>
        <x:v>47200</x:v>
      </x:c>
    </x:row>
    <x:row r="2319" ht="46" customHeight="1">
      <x:c r="A2319" s="2" t="str">
        <x:v>Sector</x:v>
      </x:c>
      <x:c r="B2319" s="2" t="str">
        <x:v>Unclassified</x:v>
      </x:c>
      <x:c r="C2319" s="12" t="str">
        <x:v>Delhi NCR</x:v>
      </x:c>
      <x:c r="D2319" s="12" t="str">
        <x:v>MAIN-363</x:v>
      </x:c>
      <x:c r="E2319" s="12" t="str">
        <x:v>ATS Bouquet</x:v>
      </x:c>
      <x:c r="F2319" s="11" t="n">
        <x:v>6</x:v>
      </x:c>
      <x:c r="G2319" s="11" t="n">
        <x:v>6</x:v>
      </x:c>
      <x:c r="H2319" s="11" t="n">
        <x:v>0</x:v>
      </x:c>
      <x:c r="I2319" s="17" t="n">
        <x:f>INDEX('Costing'!$P$9:$P$492,MATCH(D2319,'Costing'!$A$9:$A$492,0))</x:f>
        <x:v>240000</x:v>
      </x:c>
      <x:c r="J2319" s="17" t="n">
        <x:f>ROUND(I2319*'Costing'!$C$4,2)</x:f>
        <x:v>43200</x:v>
      </x:c>
      <x:c r="K2319" s="17" t="n">
        <x:f>I2319+J2319</x:f>
        <x:v>283200</x:v>
      </x:c>
    </x:row>
    <x:row r="2320" ht="46" customHeight="1">
      <x:c r="A2320" s="2" t="str">
        <x:v>Sector</x:v>
      </x:c>
      <x:c r="B2320" s="2" t="str">
        <x:v>Unclassified</x:v>
      </x:c>
      <x:c r="C2320" s="12" t="str">
        <x:v>Delhi NCR</x:v>
      </x:c>
      <x:c r="D2320" s="12" t="str">
        <x:v>MAIN-368</x:v>
      </x:c>
      <x:c r="E2320" s="12" t="str">
        <x:v>BPTP Capital City</x:v>
      </x:c>
      <x:c r="F2320" s="11" t="n">
        <x:v>4</x:v>
      </x:c>
      <x:c r="G2320" s="11" t="n">
        <x:v>4</x:v>
      </x:c>
      <x:c r="H2320" s="11" t="n">
        <x:v>0</x:v>
      </x:c>
      <x:c r="I2320" s="17" t="n">
        <x:f>INDEX('Costing'!$P$9:$P$492,MATCH(D2320,'Costing'!$A$9:$A$492,0))</x:f>
        <x:v>160000</x:v>
      </x:c>
      <x:c r="J2320" s="17" t="n">
        <x:f>ROUND(I2320*'Costing'!$C$4,2)</x:f>
        <x:v>28800</x:v>
      </x:c>
      <x:c r="K2320" s="17" t="n">
        <x:f>I2320+J2320</x:f>
        <x:v>188800</x:v>
      </x:c>
    </x:row>
    <x:row r="2321" ht="46" customHeight="1">
      <x:c r="A2321" s="2" t="str">
        <x:v>Sector</x:v>
      </x:c>
      <x:c r="B2321" s="2" t="str">
        <x:v>Unclassified</x:v>
      </x:c>
      <x:c r="C2321" s="12" t="str">
        <x:v>Delhi NCR</x:v>
      </x:c>
      <x:c r="D2321" s="12" t="str">
        <x:v>MAIN-369</x:v>
      </x:c>
      <x:c r="E2321" s="12" t="str">
        <x:v>Corporate Park-Maple</x:v>
      </x:c>
      <x:c r="F2321" s="11" t="n">
        <x:v>2</x:v>
      </x:c>
      <x:c r="G2321" s="11" t="n">
        <x:v>2</x:v>
      </x:c>
      <x:c r="H2321" s="11" t="n">
        <x:v>0</x:v>
      </x:c>
      <x:c r="I2321" s="17" t="n">
        <x:f>INDEX('Costing'!$P$9:$P$492,MATCH(D2321,'Costing'!$A$9:$A$492,0))</x:f>
        <x:v>40000</x:v>
      </x:c>
      <x:c r="J2321" s="17" t="n">
        <x:f>ROUND(I2321*'Costing'!$C$4,2)</x:f>
        <x:v>7200</x:v>
      </x:c>
      <x:c r="K2321" s="17" t="n">
        <x:f>I2321+J2321</x:f>
        <x:v>47200</x:v>
      </x:c>
    </x:row>
    <x:row r="2322" ht="46" customHeight="1">
      <x:c r="A2322" s="2" t="str">
        <x:v>Sector</x:v>
      </x:c>
      <x:c r="B2322" s="2" t="str">
        <x:v>Unclassified</x:v>
      </x:c>
      <x:c r="C2322" s="12" t="str">
        <x:v>Delhi NCR</x:v>
      </x:c>
      <x:c r="D2322" s="12" t="str">
        <x:v>MAIN-186</x:v>
      </x:c>
      <x:c r="E2322" s="12" t="str">
        <x:v>DLF Cyber City Building 10</x:v>
      </x:c>
      <x:c r="F2322" s="11" t="n">
        <x:v>3</x:v>
      </x:c>
      <x:c r="G2322" s="11" t="n">
        <x:v>3</x:v>
      </x:c>
      <x:c r="H2322" s="11" t="n">
        <x:v>0</x:v>
      </x:c>
      <x:c r="I2322" s="17" t="n">
        <x:f>INDEX('Costing'!$P$9:$P$492,MATCH(D2322,'Costing'!$A$9:$A$492,0))</x:f>
        <x:v>120000</x:v>
      </x:c>
      <x:c r="J2322" s="17" t="n">
        <x:f>ROUND(I2322*'Costing'!$C$4,2)</x:f>
        <x:v>21600</x:v>
      </x:c>
      <x:c r="K2322" s="17" t="n">
        <x:f>I2322+J2322</x:f>
        <x:v>141600</x:v>
      </x:c>
    </x:row>
    <x:row r="2323" ht="46" customHeight="1">
      <x:c r="A2323" s="2" t="str">
        <x:v>Sector</x:v>
      </x:c>
      <x:c r="B2323" s="2" t="str">
        <x:v>Unclassified</x:v>
      </x:c>
      <x:c r="C2323" s="12" t="str">
        <x:v>Delhi NCR</x:v>
      </x:c>
      <x:c r="D2323" s="12" t="str">
        <x:v>MAIN-185</x:v>
      </x:c>
      <x:c r="E2323" s="12" t="str">
        <x:v>DLF Cyber City Building 8</x:v>
      </x:c>
      <x:c r="F2323" s="11" t="n">
        <x:v>2</x:v>
      </x:c>
      <x:c r="G2323" s="11" t="n">
        <x:v>2</x:v>
      </x:c>
      <x:c r="H2323" s="11" t="n">
        <x:v>0</x:v>
      </x:c>
      <x:c r="I2323" s="17" t="n">
        <x:f>INDEX('Costing'!$P$9:$P$492,MATCH(D2323,'Costing'!$A$9:$A$492,0))</x:f>
        <x:v>80000</x:v>
      </x:c>
      <x:c r="J2323" s="17" t="n">
        <x:f>ROUND(I2323*'Costing'!$C$4,2)</x:f>
        <x:v>14400</x:v>
      </x:c>
      <x:c r="K2323" s="17" t="n">
        <x:f>I2323+J2323</x:f>
        <x:v>94400</x:v>
      </x:c>
    </x:row>
    <x:row r="2324" ht="46" customHeight="1">
      <x:c r="A2324" s="2" t="str">
        <x:v>Sector</x:v>
      </x:c>
      <x:c r="B2324" s="2" t="str">
        <x:v>Unclassified</x:v>
      </x:c>
      <x:c r="C2324" s="12" t="str">
        <x:v>Delhi NCR</x:v>
      </x:c>
      <x:c r="D2324" s="12" t="str">
        <x:v>MAIN-370</x:v>
      </x:c>
      <x:c r="E2324" s="12" t="str">
        <x:v>DLF Tech Park</x:v>
      </x:c>
      <x:c r="F2324" s="11" t="n">
        <x:v>3</x:v>
      </x:c>
      <x:c r="G2324" s="11" t="n">
        <x:v>3</x:v>
      </x:c>
      <x:c r="H2324" s="11" t="n">
        <x:v>0</x:v>
      </x:c>
      <x:c r="I2324" s="17" t="n">
        <x:f>INDEX('Costing'!$P$9:$P$492,MATCH(D2324,'Costing'!$A$9:$A$492,0))</x:f>
        <x:v>120000</x:v>
      </x:c>
      <x:c r="J2324" s="17" t="n">
        <x:f>ROUND(I2324*'Costing'!$C$4,2)</x:f>
        <x:v>21600</x:v>
      </x:c>
      <x:c r="K2324" s="17" t="n">
        <x:f>I2324+J2324</x:f>
        <x:v>141600</x:v>
      </x:c>
    </x:row>
    <x:row r="2325" ht="46" customHeight="1">
      <x:c r="A2325" s="2" t="str">
        <x:v>Sector</x:v>
      </x:c>
      <x:c r="B2325" s="2" t="str">
        <x:v>Unclassified</x:v>
      </x:c>
      <x:c r="C2325" s="12" t="str">
        <x:v>Delhi NCR</x:v>
      </x:c>
      <x:c r="D2325" s="12" t="str">
        <x:v>MAIN-188</x:v>
      </x:c>
      <x:c r="E2325" s="12" t="str">
        <x:v>DLF Two Horizon Center</x:v>
      </x:c>
      <x:c r="F2325" s="11" t="n">
        <x:v>2</x:v>
      </x:c>
      <x:c r="G2325" s="11" t="n">
        <x:v>2</x:v>
      </x:c>
      <x:c r="H2325" s="11" t="n">
        <x:v>0</x:v>
      </x:c>
      <x:c r="I2325" s="17" t="n">
        <x:f>INDEX('Costing'!$P$9:$P$492,MATCH(D2325,'Costing'!$A$9:$A$492,0))</x:f>
        <x:v>80000</x:v>
      </x:c>
      <x:c r="J2325" s="17" t="n">
        <x:f>ROUND(I2325*'Costing'!$C$4,2)</x:f>
        <x:v>14400</x:v>
      </x:c>
      <x:c r="K2325" s="17" t="n">
        <x:f>I2325+J2325</x:f>
        <x:v>94400</x:v>
      </x:c>
    </x:row>
    <x:row r="2326" ht="46" customHeight="1">
      <x:c r="A2326" s="2" t="str">
        <x:v>Sector</x:v>
      </x:c>
      <x:c r="B2326" s="2" t="str">
        <x:v>Unclassified</x:v>
      </x:c>
      <x:c r="C2326" s="12" t="str">
        <x:v>Delhi NCR</x:v>
      </x:c>
      <x:c r="D2326" s="12" t="str">
        <x:v>MAIN-372</x:v>
      </x:c>
      <x:c r="E2326" s="12" t="str">
        <x:v>Express Trade Towers 2</x:v>
      </x:c>
      <x:c r="F2326" s="11" t="n">
        <x:v>48</x:v>
      </x:c>
      <x:c r="G2326" s="11" t="n">
        <x:v>48</x:v>
      </x:c>
      <x:c r="H2326" s="11" t="n">
        <x:v>0</x:v>
      </x:c>
      <x:c r="I2326" s="17" t="n">
        <x:f>INDEX('Costing'!$P$9:$P$492,MATCH(D2326,'Costing'!$A$9:$A$492,0))</x:f>
        <x:v>720000</x:v>
      </x:c>
      <x:c r="J2326" s="17" t="n">
        <x:f>ROUND(I2326*'Costing'!$C$4,2)</x:f>
        <x:v>129600</x:v>
      </x:c>
      <x:c r="K2326" s="17" t="n">
        <x:f>I2326+J2326</x:f>
        <x:v>849600</x:v>
      </x:c>
    </x:row>
    <x:row r="2327" ht="46" customHeight="1">
      <x:c r="A2327" s="2" t="str">
        <x:v>Sector</x:v>
      </x:c>
      <x:c r="B2327" s="2" t="str">
        <x:v>Unclassified</x:v>
      </x:c>
      <x:c r="C2327" s="12" t="str">
        <x:v>Delhi NCR</x:v>
      </x:c>
      <x:c r="D2327" s="12" t="str">
        <x:v>MAIN-189</x:v>
      </x:c>
      <x:c r="E2327" s="12" t="str">
        <x:v>Global Gateway</x:v>
      </x:c>
      <x:c r="F2327" s="11" t="n">
        <x:v>1</x:v>
      </x:c>
      <x:c r="G2327" s="11" t="n">
        <x:v>1</x:v>
      </x:c>
      <x:c r="H2327" s="11" t="n">
        <x:v>0</x:v>
      </x:c>
      <x:c r="I2327" s="17" t="n">
        <x:f>INDEX('Costing'!$P$9:$P$492,MATCH(D2327,'Costing'!$A$9:$A$492,0))</x:f>
        <x:v>40000</x:v>
      </x:c>
      <x:c r="J2327" s="17" t="n">
        <x:f>ROUND(I2327*'Costing'!$C$4,2)</x:f>
        <x:v>7200</x:v>
      </x:c>
      <x:c r="K2327" s="17" t="n">
        <x:f>I2327+J2327</x:f>
        <x:v>47200</x:v>
      </x:c>
    </x:row>
    <x:row r="2328" ht="46" customHeight="1">
      <x:c r="A2328" s="2" t="str">
        <x:v>Sector</x:v>
      </x:c>
      <x:c r="B2328" s="2" t="str">
        <x:v>Unclassified</x:v>
      </x:c>
      <x:c r="C2328" s="12" t="str">
        <x:v>Delhi NCR</x:v>
      </x:c>
      <x:c r="D2328" s="12" t="str">
        <x:v>MAIN-190</x:v>
      </x:c>
      <x:c r="E2328" s="12" t="str">
        <x:v>Good Earth Business Bay</x:v>
      </x:c>
      <x:c r="F2328" s="11" t="n">
        <x:v>2</x:v>
      </x:c>
      <x:c r="G2328" s="11" t="n">
        <x:v>2</x:v>
      </x:c>
      <x:c r="H2328" s="11" t="n">
        <x:v>0</x:v>
      </x:c>
      <x:c r="I2328" s="17" t="n">
        <x:f>INDEX('Costing'!$P$9:$P$492,MATCH(D2328,'Costing'!$A$9:$A$492,0))</x:f>
        <x:v>80000</x:v>
      </x:c>
      <x:c r="J2328" s="17" t="n">
        <x:f>ROUND(I2328*'Costing'!$C$4,2)</x:f>
        <x:v>14400</x:v>
      </x:c>
      <x:c r="K2328" s="17" t="n">
        <x:f>I2328+J2328</x:f>
        <x:v>94400</x:v>
      </x:c>
    </x:row>
    <x:row r="2329" ht="46" customHeight="1">
      <x:c r="A2329" s="2" t="str">
        <x:v>Sector</x:v>
      </x:c>
      <x:c r="B2329" s="2" t="str">
        <x:v>Unclassified</x:v>
      </x:c>
      <x:c r="C2329" s="12" t="str">
        <x:v>Delhi NCR</x:v>
      </x:c>
      <x:c r="D2329" s="12" t="str">
        <x:v>MAIN-170</x:v>
      </x:c>
      <x:c r="E2329" s="12" t="str">
        <x:v>Logix Infotech Park - 2</x:v>
      </x:c>
      <x:c r="F2329" s="11" t="n">
        <x:v>4</x:v>
      </x:c>
      <x:c r="G2329" s="11" t="n">
        <x:v>4</x:v>
      </x:c>
      <x:c r="H2329" s="11" t="n">
        <x:v>0</x:v>
      </x:c>
      <x:c r="I2329" s="17" t="n">
        <x:f>INDEX('Costing'!$P$9:$P$492,MATCH(D2329,'Costing'!$A$9:$A$492,0))</x:f>
        <x:v>60000</x:v>
      </x:c>
      <x:c r="J2329" s="17" t="n">
        <x:f>ROUND(I2329*'Costing'!$C$4,2)</x:f>
        <x:v>10800</x:v>
      </x:c>
      <x:c r="K2329" s="17" t="n">
        <x:f>I2329+J2329</x:f>
        <x:v>70800</x:v>
      </x:c>
    </x:row>
    <x:row r="2330" ht="46" customHeight="1">
      <x:c r="A2330" s="2" t="str">
        <x:v>Sector</x:v>
      </x:c>
      <x:c r="B2330" s="2" t="str">
        <x:v>Unclassified</x:v>
      </x:c>
      <x:c r="C2330" s="12" t="str">
        <x:v>Delhi NCR</x:v>
      </x:c>
      <x:c r="D2330" s="12" t="str">
        <x:v>MAIN-177</x:v>
      </x:c>
      <x:c r="E2330" s="12" t="str">
        <x:v>Worldmark 4</x:v>
      </x:c>
      <x:c r="F2330" s="11" t="n">
        <x:v>1</x:v>
      </x:c>
      <x:c r="G2330" s="11" t="n">
        <x:v>1</x:v>
      </x:c>
      <x:c r="H2330" s="11" t="n">
        <x:v>0</x:v>
      </x:c>
      <x:c r="I2330" s="17" t="n">
        <x:f>INDEX('Costing'!$P$9:$P$492,MATCH(D2330,'Costing'!$A$9:$A$492,0))</x:f>
        <x:v>40000</x:v>
      </x:c>
      <x:c r="J2330" s="17" t="n">
        <x:f>ROUND(I2330*'Costing'!$C$4,2)</x:f>
        <x:v>7200</x:v>
      </x:c>
      <x:c r="K2330" s="17" t="n">
        <x:f>I2330+J2330</x:f>
        <x:v>47200</x:v>
      </x:c>
    </x:row>
    <x:row r="2331" ht="46" customHeight="1">
      <x:c r="A2331" s="2" t="str">
        <x:v>Sector</x:v>
      </x:c>
      <x:c r="B2331" s="2" t="str">
        <x:v>Unclassified</x:v>
      </x:c>
      <x:c r="C2331" s="12" t="str">
        <x:v>Hyderabad</x:v>
      </x:c>
      <x:c r="D2331" s="12" t="str">
        <x:v>MAIN-213</x:v>
      </x:c>
      <x:c r="E2331" s="12" t="str">
        <x:v>Aurobindo Galaxy (TS)</x:v>
      </x:c>
      <x:c r="F2331" s="11" t="n">
        <x:v>5</x:v>
      </x:c>
      <x:c r="G2331" s="11" t="n">
        <x:v>5</x:v>
      </x:c>
      <x:c r="H2331" s="11" t="n">
        <x:v>0</x:v>
      </x:c>
      <x:c r="I2331" s="17" t="n">
        <x:f>INDEX('Costing'!$P$9:$P$492,MATCH(D2331,'Costing'!$A$9:$A$492,0))</x:f>
        <x:v>200000</x:v>
      </x:c>
      <x:c r="J2331" s="17" t="n">
        <x:f>ROUND(I2331*'Costing'!$C$4,2)</x:f>
        <x:v>36000</x:v>
      </x:c>
      <x:c r="K2331" s="17" t="n">
        <x:f>I2331+J2331</x:f>
        <x:v>236000</x:v>
      </x:c>
    </x:row>
    <x:row r="2332" ht="46" customHeight="1">
      <x:c r="A2332" s="2" t="str">
        <x:v>Sector</x:v>
      </x:c>
      <x:c r="B2332" s="2" t="str">
        <x:v>Unclassified</x:v>
      </x:c>
      <x:c r="C2332" s="12" t="str">
        <x:v>Hyderabad</x:v>
      </x:c>
      <x:c r="D2332" s="12" t="str">
        <x:v>MAIN-228</x:v>
      </x:c>
      <x:c r="E2332" s="12" t="str">
        <x:v>DSL Abacus IT Park</x:v>
      </x:c>
      <x:c r="F2332" s="11" t="n">
        <x:v>4</x:v>
      </x:c>
      <x:c r="G2332" s="11" t="n">
        <x:v>4</x:v>
      </x:c>
      <x:c r="H2332" s="11" t="n">
        <x:v>0</x:v>
      </x:c>
      <x:c r="I2332" s="17" t="n">
        <x:f>INDEX('Costing'!$P$9:$P$492,MATCH(D2332,'Costing'!$A$9:$A$492,0))</x:f>
        <x:v>60000</x:v>
      </x:c>
      <x:c r="J2332" s="17" t="n">
        <x:f>ROUND(I2332*'Costing'!$C$4,2)</x:f>
        <x:v>10800</x:v>
      </x:c>
      <x:c r="K2332" s="17" t="n">
        <x:f>I2332+J2332</x:f>
        <x:v>70800</x:v>
      </x:c>
    </x:row>
    <x:row r="2333" ht="46" customHeight="1">
      <x:c r="A2333" s="2" t="str">
        <x:v>Sector</x:v>
      </x:c>
      <x:c r="B2333" s="2" t="str">
        <x:v>Unclassified</x:v>
      </x:c>
      <x:c r="C2333" s="12" t="str">
        <x:v>Hyderabad</x:v>
      </x:c>
      <x:c r="D2333" s="12" t="str">
        <x:v>MAIN-252</x:v>
      </x:c>
      <x:c r="E2333" s="12" t="str">
        <x:v>Raheja Mindspace Building 4 (TS)</x:v>
      </x:c>
      <x:c r="F2333" s="11" t="n">
        <x:v>8</x:v>
      </x:c>
      <x:c r="G2333" s="11" t="n">
        <x:v>8</x:v>
      </x:c>
      <x:c r="H2333" s="11" t="n">
        <x:v>0</x:v>
      </x:c>
      <x:c r="I2333" s="17" t="n">
        <x:f>INDEX('Costing'!$P$9:$P$492,MATCH(D2333,'Costing'!$A$9:$A$492,0))</x:f>
        <x:v>320000</x:v>
      </x:c>
      <x:c r="J2333" s="17" t="n">
        <x:f>ROUND(I2333*'Costing'!$C$4,2)</x:f>
        <x:v>57600</x:v>
      </x:c>
      <x:c r="K2333" s="17" t="n">
        <x:f>I2333+J2333</x:f>
        <x:v>377600</x:v>
      </x:c>
    </x:row>
    <x:row r="2334" ht="46" customHeight="1">
      <x:c r="A2334" s="2" t="str">
        <x:v>Sector</x:v>
      </x:c>
      <x:c r="B2334" s="2" t="str">
        <x:v>Unclassified</x:v>
      </x:c>
      <x:c r="C2334" s="12" t="str">
        <x:v>Lucknow</x:v>
      </x:c>
      <x:c r="D2334" s="12" t="str">
        <x:v>MAIN-289</x:v>
      </x:c>
      <x:c r="E2334" s="12" t="str">
        <x:v>Eldeco Corporate Chamber 1</x:v>
      </x:c>
      <x:c r="F2334" s="11" t="n">
        <x:v>1</x:v>
      </x:c>
      <x:c r="G2334" s="11" t="n">
        <x:v>1</x:v>
      </x:c>
      <x:c r="H2334" s="11" t="n">
        <x:v>0</x:v>
      </x:c>
      <x:c r="I2334" s="17" t="n">
        <x:f>INDEX('Costing'!$P$9:$P$492,MATCH(D2334,'Costing'!$A$9:$A$492,0))</x:f>
        <x:v>40000</x:v>
      </x:c>
      <x:c r="J2334" s="17" t="n">
        <x:f>ROUND(I2334*'Costing'!$C$4,2)</x:f>
        <x:v>7200</x:v>
      </x:c>
      <x:c r="K2334" s="17" t="n">
        <x:f>I2334+J2334</x:f>
        <x:v>47200</x:v>
      </x:c>
    </x:row>
    <x:row r="2335" ht="46" customHeight="1">
      <x:c r="A2335" s="2" t="str">
        <x:v>Sector</x:v>
      </x:c>
      <x:c r="B2335" s="2" t="str">
        <x:v>Unclassified</x:v>
      </x:c>
      <x:c r="C2335" s="12" t="str">
        <x:v>Mumbai</x:v>
      </x:c>
      <x:c r="D2335" s="12" t="str">
        <x:v>MAIN-310</x:v>
      </x:c>
      <x:c r="E2335" s="12" t="str">
        <x:v>Centrum IT Park</x:v>
      </x:c>
      <x:c r="F2335" s="11" t="n">
        <x:v>2</x:v>
      </x:c>
      <x:c r="G2335" s="11" t="n">
        <x:v>2</x:v>
      </x:c>
      <x:c r="H2335" s="11" t="n">
        <x:v>0</x:v>
      </x:c>
      <x:c r="I2335" s="17" t="n">
        <x:f>INDEX('Costing'!$P$9:$P$492,MATCH(D2335,'Costing'!$A$9:$A$492,0))</x:f>
        <x:v>80000</x:v>
      </x:c>
      <x:c r="J2335" s="17" t="n">
        <x:f>ROUND(I2335*'Costing'!$C$4,2)</x:f>
        <x:v>14400</x:v>
      </x:c>
      <x:c r="K2335" s="17" t="n">
        <x:f>I2335+J2335</x:f>
        <x:v>94400</x:v>
      </x:c>
    </x:row>
    <x:row r="2336" ht="46" customHeight="1">
      <x:c r="A2336" s="2" t="str">
        <x:v>Sector</x:v>
      </x:c>
      <x:c r="B2336" s="2" t="str">
        <x:v>Unclassified</x:v>
      </x:c>
      <x:c r="C2336" s="12" t="str">
        <x:v>Mumbai</x:v>
      </x:c>
      <x:c r="D2336" s="12" t="str">
        <x:v>MAIN-311</x:v>
      </x:c>
      <x:c r="E2336" s="12" t="str">
        <x:v>Centrum IT Park</x:v>
      </x:c>
      <x:c r="F2336" s="11" t="n">
        <x:v>12</x:v>
      </x:c>
      <x:c r="G2336" s="11" t="n">
        <x:v>12</x:v>
      </x:c>
      <x:c r="H2336" s="11" t="n">
        <x:v>0</x:v>
      </x:c>
      <x:c r="I2336" s="17" t="n">
        <x:f>INDEX('Costing'!$P$9:$P$492,MATCH(D2336,'Costing'!$A$9:$A$492,0))</x:f>
        <x:v>180000</x:v>
      </x:c>
      <x:c r="J2336" s="17" t="n">
        <x:f>ROUND(I2336*'Costing'!$C$4,2)</x:f>
        <x:v>32400</x:v>
      </x:c>
      <x:c r="K2336" s="17" t="n">
        <x:f>I2336+J2336</x:f>
        <x:v>212400</x:v>
      </x:c>
    </x:row>
    <x:row r="2337" ht="46" customHeight="1">
      <x:c r="A2337" s="2" t="str">
        <x:v>Sector</x:v>
      </x:c>
      <x:c r="B2337" s="2" t="str">
        <x:v>Unclassified</x:v>
      </x:c>
      <x:c r="C2337" s="12" t="str">
        <x:v>Mumbai</x:v>
      </x:c>
      <x:c r="D2337" s="12" t="str">
        <x:v>MAIN-314</x:v>
      </x:c>
      <x:c r="E2337" s="12" t="str">
        <x:v>Fitness Kingdom Golds</x:v>
      </x:c>
      <x:c r="F2337" s="11" t="n">
        <x:v>2</x:v>
      </x:c>
      <x:c r="G2337" s="11" t="n">
        <x:v>2</x:v>
      </x:c>
      <x:c r="H2337" s="11" t="n">
        <x:v>0</x:v>
      </x:c>
      <x:c r="I2337" s="17" t="n">
        <x:f>INDEX('Costing'!$P$9:$P$492,MATCH(D2337,'Costing'!$A$9:$A$492,0))</x:f>
        <x:v>30000</x:v>
      </x:c>
      <x:c r="J2337" s="17" t="n">
        <x:f>ROUND(I2337*'Costing'!$C$4,2)</x:f>
        <x:v>5400</x:v>
      </x:c>
      <x:c r="K2337" s="17" t="n">
        <x:f>I2337+J2337</x:f>
        <x:v>35400</x:v>
      </x:c>
    </x:row>
    <x:row r="2338" ht="46" customHeight="1">
      <x:c r="A2338" s="2" t="str">
        <x:v>Sector</x:v>
      </x:c>
      <x:c r="B2338" s="2" t="str">
        <x:v>Unclassified</x:v>
      </x:c>
      <x:c r="C2338" s="12" t="str">
        <x:v>Mumbai</x:v>
      </x:c>
      <x:c r="D2338" s="12" t="str">
        <x:v>MAIN-315</x:v>
      </x:c>
      <x:c r="E2338" s="12" t="str">
        <x:v>Fitness Kingdom Platinum</x:v>
      </x:c>
      <x:c r="F2338" s="11" t="n">
        <x:v>3</x:v>
      </x:c>
      <x:c r="G2338" s="11" t="n">
        <x:v>3</x:v>
      </x:c>
      <x:c r="H2338" s="11" t="n">
        <x:v>0</x:v>
      </x:c>
      <x:c r="I2338" s="17" t="n">
        <x:f>INDEX('Costing'!$P$9:$P$492,MATCH(D2338,'Costing'!$A$9:$A$492,0))</x:f>
        <x:v>45000</x:v>
      </x:c>
      <x:c r="J2338" s="17" t="n">
        <x:f>ROUND(I2338*'Costing'!$C$4,2)</x:f>
        <x:v>8100</x:v>
      </x:c>
      <x:c r="K2338" s="17" t="n">
        <x:f>I2338+J2338</x:f>
        <x:v>53100</x:v>
      </x:c>
    </x:row>
    <x:row r="2339" ht="46" customHeight="1">
      <x:c r="A2339" s="2" t="str">
        <x:v>Sector</x:v>
      </x:c>
      <x:c r="B2339" s="2" t="str">
        <x:v>Unclassified</x:v>
      </x:c>
      <x:c r="C2339" s="12" t="str">
        <x:v>Mumbai</x:v>
      </x:c>
      <x:c r="D2339" s="12" t="str">
        <x:v>MAIN-317</x:v>
      </x:c>
      <x:c r="E2339" s="12" t="str">
        <x:v>GigaPlex</x:v>
      </x:c>
      <x:c r="F2339" s="11" t="n">
        <x:v>1</x:v>
      </x:c>
      <x:c r="G2339" s="11" t="n">
        <x:v>1</x:v>
      </x:c>
      <x:c r="H2339" s="11" t="n">
        <x:v>0</x:v>
      </x:c>
      <x:c r="I2339" s="17" t="n">
        <x:f>INDEX('Costing'!$P$9:$P$492,MATCH(D2339,'Costing'!$A$9:$A$492,0))</x:f>
        <x:v>40000</x:v>
      </x:c>
      <x:c r="J2339" s="17" t="n">
        <x:f>ROUND(I2339*'Costing'!$C$4,2)</x:f>
        <x:v>7200</x:v>
      </x:c>
      <x:c r="K2339" s="17" t="n">
        <x:f>I2339+J2339</x:f>
        <x:v>47200</x:v>
      </x:c>
    </x:row>
    <x:row r="2340" ht="46" customHeight="1">
      <x:c r="A2340" s="2" t="str">
        <x:v>Sector</x:v>
      </x:c>
      <x:c r="B2340" s="2" t="str">
        <x:v>Unclassified</x:v>
      </x:c>
      <x:c r="C2340" s="12" t="str">
        <x:v>Mumbai</x:v>
      </x:c>
      <x:c r="D2340" s="12" t="str">
        <x:v>MAIN-324</x:v>
      </x:c>
      <x:c r="E2340" s="12" t="str">
        <x:v>NMS Titanium</x:v>
      </x:c>
      <x:c r="F2340" s="11" t="n">
        <x:v>5</x:v>
      </x:c>
      <x:c r="G2340" s="11" t="n">
        <x:v>5</x:v>
      </x:c>
      <x:c r="H2340" s="11" t="n">
        <x:v>0</x:v>
      </x:c>
      <x:c r="I2340" s="17" t="n">
        <x:f>INDEX('Costing'!$P$9:$P$492,MATCH(D2340,'Costing'!$A$9:$A$492,0))</x:f>
        <x:v>162500</x:v>
      </x:c>
      <x:c r="J2340" s="17" t="n">
        <x:f>ROUND(I2340*'Costing'!$C$4,2)</x:f>
        <x:v>29250</x:v>
      </x:c>
      <x:c r="K2340" s="17" t="n">
        <x:f>I2340+J2340</x:f>
        <x:v>191750</x:v>
      </x:c>
    </x:row>
    <x:row r="2341" ht="46" customHeight="1">
      <x:c r="A2341" s="2" t="str">
        <x:v>Sector</x:v>
      </x:c>
      <x:c r="B2341" s="2" t="str">
        <x:v>Unclassified</x:v>
      </x:c>
      <x:c r="C2341" s="12" t="str">
        <x:v>Mumbai</x:v>
      </x:c>
      <x:c r="D2341" s="12" t="str">
        <x:v>MAIN-330</x:v>
      </x:c>
      <x:c r="E2341" s="12" t="str">
        <x:v>Oberoi Commerz-III</x:v>
      </x:c>
      <x:c r="F2341" s="11" t="n">
        <x:v>1</x:v>
      </x:c>
      <x:c r="G2341" s="11" t="n">
        <x:v>1</x:v>
      </x:c>
      <x:c r="H2341" s="11" t="n">
        <x:v>0</x:v>
      </x:c>
      <x:c r="I2341" s="17" t="n">
        <x:f>INDEX('Costing'!$P$9:$P$492,MATCH(D2341,'Costing'!$A$9:$A$492,0))</x:f>
        <x:v>40000</x:v>
      </x:c>
      <x:c r="J2341" s="17" t="n">
        <x:f>ROUND(I2341*'Costing'!$C$4,2)</x:f>
        <x:v>7200</x:v>
      </x:c>
      <x:c r="K2341" s="17" t="n">
        <x:f>I2341+J2341</x:f>
        <x:v>47200</x:v>
      </x:c>
    </x:row>
    <x:row r="2342" ht="46" customHeight="1">
      <x:c r="A2342" s="2" t="str">
        <x:v>Sector</x:v>
      </x:c>
      <x:c r="B2342" s="2" t="str">
        <x:v>Unclassified</x:v>
      </x:c>
      <x:c r="C2342" s="12" t="str">
        <x:v>Mumbai</x:v>
      </x:c>
      <x:c r="D2342" s="12" t="str">
        <x:v>MAIN-335</x:v>
      </x:c>
      <x:c r="E2342" s="12" t="str">
        <x:v>R Square</x:v>
      </x:c>
      <x:c r="F2342" s="11" t="n">
        <x:v>2</x:v>
      </x:c>
      <x:c r="G2342" s="11" t="n">
        <x:v>2</x:v>
      </x:c>
      <x:c r="H2342" s="11" t="n">
        <x:v>0</x:v>
      </x:c>
      <x:c r="I2342" s="17" t="n">
        <x:f>INDEX('Costing'!$P$9:$P$492,MATCH(D2342,'Costing'!$A$9:$A$492,0))</x:f>
        <x:v>80000</x:v>
      </x:c>
      <x:c r="J2342" s="17" t="n">
        <x:f>ROUND(I2342*'Costing'!$C$4,2)</x:f>
        <x:v>14400</x:v>
      </x:c>
      <x:c r="K2342" s="17" t="n">
        <x:f>I2342+J2342</x:f>
        <x:v>94400</x:v>
      </x:c>
    </x:row>
    <x:row r="2343" ht="46" customHeight="1">
      <x:c r="A2343" s="2" t="str">
        <x:v>Sector</x:v>
      </x:c>
      <x:c r="B2343" s="2" t="str">
        <x:v>Unclassified</x:v>
      </x:c>
      <x:c r="C2343" s="12" t="str">
        <x:v>Mumbai</x:v>
      </x:c>
      <x:c r="D2343" s="12" t="str">
        <x:v>MAIN-339</x:v>
      </x:c>
      <x:c r="E2343" s="12" t="str">
        <x:v>Raheja Mindspaces - Ascent</x:v>
      </x:c>
      <x:c r="F2343" s="11" t="n">
        <x:v>2</x:v>
      </x:c>
      <x:c r="G2343" s="11" t="n">
        <x:v>2</x:v>
      </x:c>
      <x:c r="H2343" s="11" t="n">
        <x:v>0</x:v>
      </x:c>
      <x:c r="I2343" s="17" t="n">
        <x:f>INDEX('Costing'!$P$9:$P$492,MATCH(D2343,'Costing'!$A$9:$A$492,0))</x:f>
        <x:v>80000</x:v>
      </x:c>
      <x:c r="J2343" s="17" t="n">
        <x:f>ROUND(I2343*'Costing'!$C$4,2)</x:f>
        <x:v>14400</x:v>
      </x:c>
      <x:c r="K2343" s="17" t="n">
        <x:f>I2343+J2343</x:f>
        <x:v>94400</x:v>
      </x:c>
    </x:row>
    <x:row r="2344" ht="46" customHeight="1">
      <x:c r="A2344" s="2" t="str">
        <x:v>Sector</x:v>
      </x:c>
      <x:c r="B2344" s="2" t="str">
        <x:v>Unclassified</x:v>
      </x:c>
      <x:c r="C2344" s="12" t="str">
        <x:v>Mumbai</x:v>
      </x:c>
      <x:c r="D2344" s="12" t="str">
        <x:v>MAIN-340</x:v>
      </x:c>
      <x:c r="E2344" s="12" t="str">
        <x:v>Raheja Mindspaces - Juinagar</x:v>
      </x:c>
      <x:c r="F2344" s="11" t="n">
        <x:v>3</x:v>
      </x:c>
      <x:c r="G2344" s="11" t="n">
        <x:v>3</x:v>
      </x:c>
      <x:c r="H2344" s="11" t="n">
        <x:v>0</x:v>
      </x:c>
      <x:c r="I2344" s="17" t="n">
        <x:f>INDEX('Costing'!$P$9:$P$492,MATCH(D2344,'Costing'!$A$9:$A$492,0))</x:f>
        <x:v>120000</x:v>
      </x:c>
      <x:c r="J2344" s="17" t="n">
        <x:f>ROUND(I2344*'Costing'!$C$4,2)</x:f>
        <x:v>21600</x:v>
      </x:c>
      <x:c r="K2344" s="17" t="n">
        <x:f>I2344+J2344</x:f>
        <x:v>141600</x:v>
      </x:c>
    </x:row>
    <x:row r="2345" ht="46" customHeight="1">
      <x:c r="A2345" s="2" t="str">
        <x:v>Sector</x:v>
      </x:c>
      <x:c r="B2345" s="2" t="str">
        <x:v>Unclassified</x:v>
      </x:c>
      <x:c r="C2345" s="12" t="str">
        <x:v>Pune</x:v>
      </x:c>
      <x:c r="D2345" s="12" t="str">
        <x:v>MAIN-393</x:v>
      </x:c>
      <x:c r="E2345" s="12" t="str">
        <x:v>Balewadi Tech Park</x:v>
      </x:c>
      <x:c r="F2345" s="11" t="n">
        <x:v>1</x:v>
      </x:c>
      <x:c r="G2345" s="11" t="n">
        <x:v>1</x:v>
      </x:c>
      <x:c r="H2345" s="11" t="n">
        <x:v>0</x:v>
      </x:c>
      <x:c r="I2345" s="17" t="n">
        <x:f>INDEX('Costing'!$P$9:$P$492,MATCH(D2345,'Costing'!$A$9:$A$492,0))</x:f>
        <x:v>40000</x:v>
      </x:c>
      <x:c r="J2345" s="17" t="n">
        <x:f>ROUND(I2345*'Costing'!$C$4,2)</x:f>
        <x:v>7200</x:v>
      </x:c>
      <x:c r="K2345" s="17" t="n">
        <x:f>I2345+J2345</x:f>
        <x:v>47200</x:v>
      </x:c>
    </x:row>
    <x:row r="2346" ht="46" customHeight="1">
      <x:c r="A2346" s="2" t="str">
        <x:v>Sector</x:v>
      </x:c>
      <x:c r="B2346" s="2" t="str">
        <x:v>Unclassified</x:v>
      </x:c>
      <x:c r="C2346" s="12" t="str">
        <x:v>Pune</x:v>
      </x:c>
      <x:c r="D2346" s="12" t="str">
        <x:v>MAIN-396</x:v>
      </x:c>
      <x:c r="E2346" s="12" t="str">
        <x:v>Brookfield - 45Icon Business Parks</x:v>
      </x:c>
      <x:c r="F2346" s="11" t="n">
        <x:v>5</x:v>
      </x:c>
      <x:c r="G2346" s="11" t="n">
        <x:v>5</x:v>
      </x:c>
      <x:c r="H2346" s="11" t="n">
        <x:v>0</x:v>
      </x:c>
      <x:c r="I2346" s="17" t="n">
        <x:f>INDEX('Costing'!$P$9:$P$492,MATCH(D2346,'Costing'!$A$9:$A$492,0))</x:f>
        <x:v>200000</x:v>
      </x:c>
      <x:c r="J2346" s="17" t="n">
        <x:f>ROUND(I2346*'Costing'!$C$4,2)</x:f>
        <x:v>36000</x:v>
      </x:c>
      <x:c r="K2346" s="17" t="n">
        <x:f>I2346+J2346</x:f>
        <x:v>236000</x:v>
      </x:c>
    </x:row>
    <x:row r="2347" ht="46" customHeight="1">
      <x:c r="A2347" s="2" t="str">
        <x:v>Sector</x:v>
      </x:c>
      <x:c r="B2347" s="2" t="str">
        <x:v>Unclassified</x:v>
      </x:c>
      <x:c r="C2347" s="12" t="str">
        <x:v>Pune</x:v>
      </x:c>
      <x:c r="D2347" s="12" t="str">
        <x:v>MAIN-399</x:v>
      </x:c>
      <x:c r="E2347" s="12" t="str">
        <x:v>GLT Raheja Woods </x:v>
      </x:c>
      <x:c r="F2347" s="11" t="n">
        <x:v>1</x:v>
      </x:c>
      <x:c r="G2347" s="11" t="n">
        <x:v>1</x:v>
      </x:c>
      <x:c r="H2347" s="11" t="n">
        <x:v>0</x:v>
      </x:c>
      <x:c r="I2347" s="17" t="n">
        <x:f>INDEX('Costing'!$P$9:$P$492,MATCH(D2347,'Costing'!$A$9:$A$492,0))</x:f>
        <x:v>40000</x:v>
      </x:c>
      <x:c r="J2347" s="17" t="n">
        <x:f>ROUND(I2347*'Costing'!$C$4,2)</x:f>
        <x:v>7200</x:v>
      </x:c>
      <x:c r="K2347" s="17" t="n">
        <x:f>I2347+J2347</x:f>
        <x:v>47200</x:v>
      </x:c>
    </x:row>
    <x:row r="2348" ht="46" customHeight="1">
      <x:c r="A2348" s="2" t="str">
        <x:v>Sector</x:v>
      </x:c>
      <x:c r="B2348" s="2" t="str">
        <x:v>Unclassified</x:v>
      </x:c>
      <x:c r="C2348" s="12" t="str">
        <x:v>Pune</x:v>
      </x:c>
      <x:c r="D2348" s="12" t="str">
        <x:v>MAIN-400</x:v>
      </x:c>
      <x:c r="E2348" s="12" t="str">
        <x:v>Godrej Koregaon Park Annex</x:v>
      </x:c>
      <x:c r="F2348" s="11" t="n">
        <x:v>1</x:v>
      </x:c>
      <x:c r="G2348" s="11" t="n">
        <x:v>1</x:v>
      </x:c>
      <x:c r="H2348" s="11" t="n">
        <x:v>0</x:v>
      </x:c>
      <x:c r="I2348" s="17" t="n">
        <x:f>INDEX('Costing'!$P$9:$P$492,MATCH(D2348,'Costing'!$A$9:$A$492,0))</x:f>
        <x:v>40000</x:v>
      </x:c>
      <x:c r="J2348" s="17" t="n">
        <x:f>ROUND(I2348*'Costing'!$C$4,2)</x:f>
        <x:v>7200</x:v>
      </x:c>
      <x:c r="K2348" s="17" t="n">
        <x:f>I2348+J2348</x:f>
        <x:v>47200</x:v>
      </x:c>
    </x:row>
    <x:row r="2349" ht="46" customHeight="1">
      <x:c r="A2349" s="2" t="str">
        <x:v>Sector</x:v>
      </x:c>
      <x:c r="B2349" s="2" t="str">
        <x:v>Unclassified</x:v>
      </x:c>
      <x:c r="C2349" s="12" t="str">
        <x:v>Pune</x:v>
      </x:c>
      <x:c r="D2349" s="12" t="str">
        <x:v>MAIN-401</x:v>
      </x:c>
      <x:c r="E2349" s="12" t="str">
        <x:v>International Tech Park Pune - ITPP</x:v>
      </x:c>
      <x:c r="F2349" s="11" t="n">
        <x:v>1</x:v>
      </x:c>
      <x:c r="G2349" s="11" t="n">
        <x:v>1</x:v>
      </x:c>
      <x:c r="H2349" s="11" t="n">
        <x:v>0</x:v>
      </x:c>
      <x:c r="I2349" s="17" t="n">
        <x:f>INDEX('Costing'!$P$9:$P$492,MATCH(D2349,'Costing'!$A$9:$A$492,0))</x:f>
        <x:v>40000</x:v>
      </x:c>
      <x:c r="J2349" s="17" t="n">
        <x:f>ROUND(I2349*'Costing'!$C$4,2)</x:f>
        <x:v>7200</x:v>
      </x:c>
      <x:c r="K2349" s="17" t="n">
        <x:f>I2349+J2349</x:f>
        <x:v>47200</x:v>
      </x:c>
    </x:row>
    <x:row r="2350" ht="46" customHeight="1">
      <x:c r="A2350" s="2" t="str">
        <x:v>Sector</x:v>
      </x:c>
      <x:c r="B2350" s="2" t="str">
        <x:v>Unclassified</x:v>
      </x:c>
      <x:c r="C2350" s="12" t="str">
        <x:v>Pune</x:v>
      </x:c>
      <x:c r="D2350" s="12" t="str">
        <x:v>MAIN-408</x:v>
      </x:c>
      <x:c r="E2350" s="12" t="str">
        <x:v>Panchshil Viman Nagar (TS)</x:v>
      </x:c>
      <x:c r="F2350" s="11" t="n">
        <x:v>1</x:v>
      </x:c>
      <x:c r="G2350" s="11" t="n">
        <x:v>1</x:v>
      </x:c>
      <x:c r="H2350" s="11" t="n">
        <x:v>0</x:v>
      </x:c>
      <x:c r="I2350" s="17" t="n">
        <x:f>INDEX('Costing'!$P$9:$P$492,MATCH(D2350,'Costing'!$A$9:$A$492,0))</x:f>
        <x:v>40000</x:v>
      </x:c>
      <x:c r="J2350" s="17" t="n">
        <x:f>ROUND(I2350*'Costing'!$C$4,2)</x:f>
        <x:v>7200</x:v>
      </x:c>
      <x:c r="K2350" s="17" t="n">
        <x:f>I2350+J2350</x:f>
        <x:v>47200</x:v>
      </x:c>
    </x:row>
    <x:row r="2351" ht="46" customHeight="1">
      <x:c r="A2351" s="2" t="str">
        <x:v>Sector</x:v>
      </x:c>
      <x:c r="B2351" s="2" t="str">
        <x:v>Unclassified</x:v>
      </x:c>
      <x:c r="C2351" s="12" t="str">
        <x:v>Pune</x:v>
      </x:c>
      <x:c r="D2351" s="12" t="str">
        <x:v>MAIN-411</x:v>
      </x:c>
      <x:c r="E2351" s="12" t="str">
        <x:v>Raheja Mindspace - The Square</x:v>
      </x:c>
      <x:c r="F2351" s="11" t="n">
        <x:v>1</x:v>
      </x:c>
      <x:c r="G2351" s="11" t="n">
        <x:v>1</x:v>
      </x:c>
      <x:c r="H2351" s="11" t="n">
        <x:v>0</x:v>
      </x:c>
      <x:c r="I2351" s="17" t="n">
        <x:f>INDEX('Costing'!$P$9:$P$492,MATCH(D2351,'Costing'!$A$9:$A$492,0))</x:f>
        <x:v>40000</x:v>
      </x:c>
      <x:c r="J2351" s="17" t="n">
        <x:f>ROUND(I2351*'Costing'!$C$4,2)</x:f>
        <x:v>7200</x:v>
      </x:c>
      <x:c r="K2351" s="17" t="n">
        <x:f>I2351+J2351</x:f>
        <x:v>47200</x:v>
      </x:c>
    </x:row>
    <x:row r="2352" ht="46" customHeight="1">
      <x:c r="A2352" s="2" t="str">
        <x:v>Sector</x:v>
      </x:c>
      <x:c r="B2352" s="2" t="str">
        <x:v>Unclassified</x:v>
      </x:c>
      <x:c r="C2352" s="12" t="str">
        <x:v>Pune</x:v>
      </x:c>
      <x:c r="D2352" s="12" t="str">
        <x:v>MAIN-412</x:v>
      </x:c>
      <x:c r="E2352" s="12" t="str">
        <x:v>Raheja Mindspaces - Kharadi</x:v>
      </x:c>
      <x:c r="F2352" s="11" t="n">
        <x:v>3</x:v>
      </x:c>
      <x:c r="G2352" s="11" t="n">
        <x:v>3</x:v>
      </x:c>
      <x:c r="H2352" s="11" t="n">
        <x:v>0</x:v>
      </x:c>
      <x:c r="I2352" s="17" t="n">
        <x:f>INDEX('Costing'!$P$9:$P$492,MATCH(D2352,'Costing'!$A$9:$A$492,0))</x:f>
        <x:v>120000</x:v>
      </x:c>
      <x:c r="J2352" s="17" t="n">
        <x:f>ROUND(I2352*'Costing'!$C$4,2)</x:f>
        <x:v>21600</x:v>
      </x:c>
      <x:c r="K2352" s="17" t="n">
        <x:f>I2352+J2352</x:f>
        <x:v>141600</x:v>
      </x:c>
    </x:row>
    <x:row r="2353" ht="46" customHeight="1">
      <x:c r="A2353" s="2" t="str">
        <x:v>Sector</x:v>
      </x:c>
      <x:c r="B2353" s="2" t="str">
        <x:v>Unclassified</x:v>
      </x:c>
      <x:c r="C2353" s="12" t="str">
        <x:v>Pune</x:v>
      </x:c>
      <x:c r="D2353" s="12" t="str">
        <x:v>MAIN-423</x:v>
      </x:c>
      <x:c r="E2353" s="12" t="str">
        <x:v>World Trade Center (TS)</x:v>
      </x:c>
      <x:c r="F2353" s="11" t="n">
        <x:v>1</x:v>
      </x:c>
      <x:c r="G2353" s="11" t="n">
        <x:v>1</x:v>
      </x:c>
      <x:c r="H2353" s="11" t="n">
        <x:v>0</x:v>
      </x:c>
      <x:c r="I2353" s="17" t="n">
        <x:f>INDEX('Costing'!$P$9:$P$492,MATCH(D2353,'Costing'!$A$9:$A$492,0))</x:f>
        <x:v>40000</x:v>
      </x:c>
      <x:c r="J2353" s="17" t="n">
        <x:f>ROUND(I2353*'Costing'!$C$4,2)</x:f>
        <x:v>7200</x:v>
      </x:c>
      <x:c r="K2353" s="17" t="n">
        <x:f>I2353+J2353</x:f>
        <x:v>47200</x:v>
      </x:c>
    </x:row>
    <x:row r="2354" ht="46" customHeight="1">
      <x:c r="A2354" s="2" t="str">
        <x:v>Sector</x:v>
      </x:c>
      <x:c r="B2354" s="2" t="str">
        <x:v>Unresolved</x:v>
      </x:c>
      <x:c r="C2354" s="12" t="str">
        <x:v>Ahmedabad</x:v>
      </x:c>
      <x:c r="D2354" s="12" t="str">
        <x:v>MAIN-007</x:v>
      </x:c>
      <x:c r="E2354" s="12" t="str">
        <x:v>Oyo Workspace - Mauryansh Elanza</x:v>
      </x:c>
      <x:c r="F2354" s="11" t="n">
        <x:v>2</x:v>
      </x:c>
      <x:c r="G2354" s="11" t="n">
        <x:v>2</x:v>
      </x:c>
      <x:c r="H2354" s="11" t="n">
        <x:v>0</x:v>
      </x:c>
      <x:c r="I2354" s="17" t="n">
        <x:f>INDEX('Costing'!$P$9:$P$492,MATCH(D2354,'Costing'!$A$9:$A$492,0))</x:f>
        <x:v>30000</x:v>
      </x:c>
      <x:c r="J2354" s="17" t="n">
        <x:f>ROUND(I2354*'Costing'!$C$4,2)</x:f>
        <x:v>5400</x:v>
      </x:c>
      <x:c r="K2354" s="17" t="n">
        <x:f>I2354+J2354</x:f>
        <x:v>35400</x:v>
      </x:c>
    </x:row>
    <x:row r="2355" ht="46" customHeight="1">
      <x:c r="A2355" s="2" t="str">
        <x:v>Sector</x:v>
      </x:c>
      <x:c r="B2355" s="2" t="str">
        <x:v>Unresolved</x:v>
      </x:c>
      <x:c r="C2355" s="12" t="str">
        <x:v>Bengaluru</x:v>
      </x:c>
      <x:c r="D2355" s="12" t="str">
        <x:v>MAIN-009</x:v>
      </x:c>
      <x:c r="E2355" s="12" t="str">
        <x:v>Akshay Tech Park</x:v>
      </x:c>
      <x:c r="F2355" s="11" t="n">
        <x:v>8</x:v>
      </x:c>
      <x:c r="G2355" s="11" t="n">
        <x:v>8</x:v>
      </x:c>
      <x:c r="H2355" s="11" t="n">
        <x:v>0</x:v>
      </x:c>
      <x:c r="I2355" s="17" t="n">
        <x:f>INDEX('Costing'!$P$9:$P$492,MATCH(D2355,'Costing'!$A$9:$A$492,0))</x:f>
        <x:v>120000</x:v>
      </x:c>
      <x:c r="J2355" s="17" t="n">
        <x:f>ROUND(I2355*'Costing'!$C$4,2)</x:f>
        <x:v>21600</x:v>
      </x:c>
      <x:c r="K2355" s="17" t="n">
        <x:f>I2355+J2355</x:f>
        <x:v>141600</x:v>
      </x:c>
    </x:row>
    <x:row r="2356" ht="46" customHeight="1">
      <x:c r="A2356" s="2" t="str">
        <x:v>Sector</x:v>
      </x:c>
      <x:c r="B2356" s="2" t="str">
        <x:v>Unresolved</x:v>
      </x:c>
      <x:c r="C2356" s="12" t="str">
        <x:v>Bengaluru</x:v>
      </x:c>
      <x:c r="D2356" s="12" t="str">
        <x:v>MAIN-010</x:v>
      </x:c>
      <x:c r="E2356" s="12" t="str">
        <x:v>Ataura Business Centre</x:v>
      </x:c>
      <x:c r="F2356" s="11" t="n">
        <x:v>1</x:v>
      </x:c>
      <x:c r="G2356" s="11" t="n">
        <x:v>1</x:v>
      </x:c>
      <x:c r="H2356" s="11" t="n">
        <x:v>0</x:v>
      </x:c>
      <x:c r="I2356" s="17" t="n">
        <x:f>INDEX('Costing'!$P$9:$P$492,MATCH(D2356,'Costing'!$A$9:$A$492,0))</x:f>
        <x:v>15000</x:v>
      </x:c>
      <x:c r="J2356" s="17" t="n">
        <x:f>ROUND(I2356*'Costing'!$C$4,2)</x:f>
        <x:v>2700</x:v>
      </x:c>
      <x:c r="K2356" s="17" t="n">
        <x:f>I2356+J2356</x:f>
        <x:v>17700</x:v>
      </x:c>
    </x:row>
    <x:row r="2357" ht="46" customHeight="1">
      <x:c r="A2357" s="2" t="str">
        <x:v>Sector</x:v>
      </x:c>
      <x:c r="B2357" s="2" t="str">
        <x:v>Unresolved</x:v>
      </x:c>
      <x:c r="C2357" s="12" t="str">
        <x:v>Bengaluru</x:v>
      </x:c>
      <x:c r="D2357" s="12" t="str">
        <x:v>MAIN-011</x:v>
      </x:c>
      <x:c r="E2357" s="12" t="str">
        <x:v>Awfis - Brigade Metropolis</x:v>
      </x:c>
      <x:c r="F2357" s="11" t="n">
        <x:v>1</x:v>
      </x:c>
      <x:c r="G2357" s="11" t="n">
        <x:v>1</x:v>
      </x:c>
      <x:c r="H2357" s="11" t="n">
        <x:v>0</x:v>
      </x:c>
      <x:c r="I2357" s="17" t="n">
        <x:f>INDEX('Costing'!$P$9:$P$492,MATCH(D2357,'Costing'!$A$9:$A$492,0))</x:f>
        <x:v>15000</x:v>
      </x:c>
      <x:c r="J2357" s="17" t="n">
        <x:f>ROUND(I2357*'Costing'!$C$4,2)</x:f>
        <x:v>2700</x:v>
      </x:c>
      <x:c r="K2357" s="17" t="n">
        <x:f>I2357+J2357</x:f>
        <x:v>17700</x:v>
      </x:c>
    </x:row>
    <x:row r="2358" ht="46" customHeight="1">
      <x:c r="A2358" s="2" t="str">
        <x:v>Sector</x:v>
      </x:c>
      <x:c r="B2358" s="2" t="str">
        <x:v>Unresolved</x:v>
      </x:c>
      <x:c r="C2358" s="12" t="str">
        <x:v>Bengaluru</x:v>
      </x:c>
      <x:c r="D2358" s="12" t="str">
        <x:v>MAIN-014</x:v>
      </x:c>
      <x:c r="E2358" s="12" t="str">
        <x:v>Awfis - Mission Road</x:v>
      </x:c>
      <x:c r="F2358" s="11" t="n">
        <x:v>4</x:v>
      </x:c>
      <x:c r="G2358" s="11" t="n">
        <x:v>4</x:v>
      </x:c>
      <x:c r="H2358" s="11" t="n">
        <x:v>0</x:v>
      </x:c>
      <x:c r="I2358" s="17" t="n">
        <x:f>INDEX('Costing'!$P$9:$P$492,MATCH(D2358,'Costing'!$A$9:$A$492,0))</x:f>
        <x:v>60000</x:v>
      </x:c>
      <x:c r="J2358" s="17" t="n">
        <x:f>ROUND(I2358*'Costing'!$C$4,2)</x:f>
        <x:v>10800</x:v>
      </x:c>
      <x:c r="K2358" s="17" t="n">
        <x:f>I2358+J2358</x:f>
        <x:v>70800</x:v>
      </x:c>
    </x:row>
    <x:row r="2359" ht="46" customHeight="1">
      <x:c r="A2359" s="2" t="str">
        <x:v>Sector</x:v>
      </x:c>
      <x:c r="B2359" s="2" t="str">
        <x:v>Unresolved</x:v>
      </x:c>
      <x:c r="C2359" s="12" t="str">
        <x:v>Bengaluru</x:v>
      </x:c>
      <x:c r="D2359" s="12" t="str">
        <x:v>MAIN-015</x:v>
      </x:c>
      <x:c r="E2359" s="12" t="str">
        <x:v>Awfis - Prestige Blue Chip</x:v>
      </x:c>
      <x:c r="F2359" s="11" t="n">
        <x:v>1</x:v>
      </x:c>
      <x:c r="G2359" s="11" t="n">
        <x:v>1</x:v>
      </x:c>
      <x:c r="H2359" s="11" t="n">
        <x:v>0</x:v>
      </x:c>
      <x:c r="I2359" s="17" t="n">
        <x:f>INDEX('Costing'!$P$9:$P$492,MATCH(D2359,'Costing'!$A$9:$A$492,0))</x:f>
        <x:v>15000</x:v>
      </x:c>
      <x:c r="J2359" s="17" t="n">
        <x:f>ROUND(I2359*'Costing'!$C$4,2)</x:f>
        <x:v>2700</x:v>
      </x:c>
      <x:c r="K2359" s="17" t="n">
        <x:f>I2359+J2359</x:f>
        <x:v>17700</x:v>
      </x:c>
    </x:row>
    <x:row r="2360" ht="46" customHeight="1">
      <x:c r="A2360" s="2" t="str">
        <x:v>Sector</x:v>
      </x:c>
      <x:c r="B2360" s="2" t="str">
        <x:v>Unresolved</x:v>
      </x:c>
      <x:c r="C2360" s="12" t="str">
        <x:v>Bengaluru</x:v>
      </x:c>
      <x:c r="D2360" s="12" t="str">
        <x:v>MAIN-016</x:v>
      </x:c>
      <x:c r="E2360" s="12" t="str">
        <x:v>Awfis - Prestige Dotcom</x:v>
      </x:c>
      <x:c r="F2360" s="11" t="n">
        <x:v>4</x:v>
      </x:c>
      <x:c r="G2360" s="11" t="n">
        <x:v>4</x:v>
      </x:c>
      <x:c r="H2360" s="11" t="n">
        <x:v>0</x:v>
      </x:c>
      <x:c r="I2360" s="17" t="n">
        <x:f>INDEX('Costing'!$P$9:$P$492,MATCH(D2360,'Costing'!$A$9:$A$492,0))</x:f>
        <x:v>60000</x:v>
      </x:c>
      <x:c r="J2360" s="17" t="n">
        <x:f>ROUND(I2360*'Costing'!$C$4,2)</x:f>
        <x:v>10800</x:v>
      </x:c>
      <x:c r="K2360" s="17" t="n">
        <x:f>I2360+J2360</x:f>
        <x:v>70800</x:v>
      </x:c>
    </x:row>
    <x:row r="2361" ht="46" customHeight="1">
      <x:c r="A2361" s="2" t="str">
        <x:v>Sector</x:v>
      </x:c>
      <x:c r="B2361" s="2" t="str">
        <x:v>Unresolved</x:v>
      </x:c>
      <x:c r="C2361" s="12" t="str">
        <x:v>Bengaluru</x:v>
      </x:c>
      <x:c r="D2361" s="12" t="str">
        <x:v>MAIN-019</x:v>
      </x:c>
      <x:c r="E2361" s="12" t="str">
        <x:v>Awfis - Prestige Tech Park 2 (Mercury)</x:v>
      </x:c>
      <x:c r="F2361" s="11" t="n">
        <x:v>4</x:v>
      </x:c>
      <x:c r="G2361" s="11" t="n">
        <x:v>4</x:v>
      </x:c>
      <x:c r="H2361" s="11" t="n">
        <x:v>0</x:v>
      </x:c>
      <x:c r="I2361" s="17" t="n">
        <x:f>INDEX('Costing'!$P$9:$P$492,MATCH(D2361,'Costing'!$A$9:$A$492,0))</x:f>
        <x:v>60000</x:v>
      </x:c>
      <x:c r="J2361" s="17" t="n">
        <x:f>ROUND(I2361*'Costing'!$C$4,2)</x:f>
        <x:v>10800</x:v>
      </x:c>
      <x:c r="K2361" s="17" t="n">
        <x:f>I2361+J2361</x:f>
        <x:v>70800</x:v>
      </x:c>
    </x:row>
    <x:row r="2362" ht="46" customHeight="1">
      <x:c r="A2362" s="2" t="str">
        <x:v>Sector</x:v>
      </x:c>
      <x:c r="B2362" s="2" t="str">
        <x:v>Unresolved</x:v>
      </x:c>
      <x:c r="C2362" s="12" t="str">
        <x:v>Bengaluru</x:v>
      </x:c>
      <x:c r="D2362" s="12" t="str">
        <x:v>MAIN-021</x:v>
      </x:c>
      <x:c r="E2362" s="12" t="str">
        <x:v>AWFIS - PTP 4 Venus</x:v>
      </x:c>
      <x:c r="F2362" s="11" t="n">
        <x:v>1</x:v>
      </x:c>
      <x:c r="G2362" s="11" t="n">
        <x:v>1</x:v>
      </x:c>
      <x:c r="H2362" s="11" t="n">
        <x:v>0</x:v>
      </x:c>
      <x:c r="I2362" s="17" t="n">
        <x:f>INDEX('Costing'!$P$9:$P$492,MATCH(D2362,'Costing'!$A$9:$A$492,0))</x:f>
        <x:v>15000</x:v>
      </x:c>
      <x:c r="J2362" s="17" t="n">
        <x:f>ROUND(I2362*'Costing'!$C$4,2)</x:f>
        <x:v>2700</x:v>
      </x:c>
      <x:c r="K2362" s="17" t="n">
        <x:f>I2362+J2362</x:f>
        <x:v>17700</x:v>
      </x:c>
    </x:row>
    <x:row r="2363" ht="46" customHeight="1">
      <x:c r="A2363" s="2" t="str">
        <x:v>Sector</x:v>
      </x:c>
      <x:c r="B2363" s="2" t="str">
        <x:v>Unresolved</x:v>
      </x:c>
      <x:c r="C2363" s="12" t="str">
        <x:v>Bengaluru</x:v>
      </x:c>
      <x:c r="D2363" s="12" t="str">
        <x:v>MAIN-022</x:v>
      </x:c>
      <x:c r="E2363" s="12" t="str">
        <x:v>Awfis - Residency Road</x:v>
      </x:c>
      <x:c r="F2363" s="11" t="n">
        <x:v>2</x:v>
      </x:c>
      <x:c r="G2363" s="11" t="n">
        <x:v>2</x:v>
      </x:c>
      <x:c r="H2363" s="11" t="n">
        <x:v>0</x:v>
      </x:c>
      <x:c r="I2363" s="17" t="n">
        <x:f>INDEX('Costing'!$P$9:$P$492,MATCH(D2363,'Costing'!$A$9:$A$492,0))</x:f>
        <x:v>30000</x:v>
      </x:c>
      <x:c r="J2363" s="17" t="n">
        <x:f>ROUND(I2363*'Costing'!$C$4,2)</x:f>
        <x:v>5400</x:v>
      </x:c>
      <x:c r="K2363" s="17" t="n">
        <x:f>I2363+J2363</x:f>
        <x:v>35400</x:v>
      </x:c>
    </x:row>
    <x:row r="2364" ht="46" customHeight="1">
      <x:c r="A2364" s="2" t="str">
        <x:v>Sector</x:v>
      </x:c>
      <x:c r="B2364" s="2" t="str">
        <x:v>Unresolved</x:v>
      </x:c>
      <x:c r="C2364" s="12" t="str">
        <x:v>Bengaluru</x:v>
      </x:c>
      <x:c r="D2364" s="12" t="str">
        <x:v>MAIN-025</x:v>
      </x:c>
      <x:c r="E2364" s="12" t="str">
        <x:v>Awfis - ST Mark's Road</x:v>
      </x:c>
      <x:c r="F2364" s="11" t="n">
        <x:v>5</x:v>
      </x:c>
      <x:c r="G2364" s="11" t="n">
        <x:v>5</x:v>
      </x:c>
      <x:c r="H2364" s="11" t="n">
        <x:v>0</x:v>
      </x:c>
      <x:c r="I2364" s="17" t="n">
        <x:f>INDEX('Costing'!$P$9:$P$492,MATCH(D2364,'Costing'!$A$9:$A$492,0))</x:f>
        <x:v>75000</x:v>
      </x:c>
      <x:c r="J2364" s="17" t="n">
        <x:f>ROUND(I2364*'Costing'!$C$4,2)</x:f>
        <x:v>13500</x:v>
      </x:c>
      <x:c r="K2364" s="17" t="n">
        <x:f>I2364+J2364</x:f>
        <x:v>88500</x:v>
      </x:c>
    </x:row>
    <x:row r="2365" ht="46" customHeight="1">
      <x:c r="A2365" s="2" t="str">
        <x:v>Sector</x:v>
      </x:c>
      <x:c r="B2365" s="2" t="str">
        <x:v>Unresolved</x:v>
      </x:c>
      <x:c r="C2365" s="12" t="str">
        <x:v>Bengaluru</x:v>
      </x:c>
      <x:c r="D2365" s="12" t="str">
        <x:v>MAIN-028</x:v>
      </x:c>
      <x:c r="E2365" s="12" t="str">
        <x:v>Bhive Workspace - HSR Layout 27Th Main</x:v>
      </x:c>
      <x:c r="F2365" s="11" t="n">
        <x:v>1</x:v>
      </x:c>
      <x:c r="G2365" s="11" t="n">
        <x:v>1</x:v>
      </x:c>
      <x:c r="H2365" s="11" t="n">
        <x:v>0</x:v>
      </x:c>
      <x:c r="I2365" s="17" t="n">
        <x:f>INDEX('Costing'!$P$9:$P$492,MATCH(D2365,'Costing'!$A$9:$A$492,0))</x:f>
        <x:v>15000</x:v>
      </x:c>
      <x:c r="J2365" s="17" t="n">
        <x:f>ROUND(I2365*'Costing'!$C$4,2)</x:f>
        <x:v>2700</x:v>
      </x:c>
      <x:c r="K2365" s="17" t="n">
        <x:f>I2365+J2365</x:f>
        <x:v>17700</x:v>
      </x:c>
    </x:row>
    <x:row r="2366" ht="46" customHeight="1">
      <x:c r="A2366" s="2" t="str">
        <x:v>Sector</x:v>
      </x:c>
      <x:c r="B2366" s="2" t="str">
        <x:v>Unresolved</x:v>
      </x:c>
      <x:c r="C2366" s="12" t="str">
        <x:v>Bengaluru</x:v>
      </x:c>
      <x:c r="D2366" s="12" t="str">
        <x:v>MAIN-029</x:v>
      </x:c>
      <x:c r="E2366" s="12" t="str">
        <x:v>Bhive Workspace - HSR Sector 6 Service Road Unit A</x:v>
      </x:c>
      <x:c r="F2366" s="11" t="n">
        <x:v>3</x:v>
      </x:c>
      <x:c r="G2366" s="11" t="n">
        <x:v>3</x:v>
      </x:c>
      <x:c r="H2366" s="11" t="n">
        <x:v>0</x:v>
      </x:c>
      <x:c r="I2366" s="17" t="n">
        <x:f>INDEX('Costing'!$P$9:$P$492,MATCH(D2366,'Costing'!$A$9:$A$492,0))</x:f>
        <x:v>45000</x:v>
      </x:c>
      <x:c r="J2366" s="17" t="n">
        <x:f>ROUND(I2366*'Costing'!$C$4,2)</x:f>
        <x:v>8100</x:v>
      </x:c>
      <x:c r="K2366" s="17" t="n">
        <x:f>I2366+J2366</x:f>
        <x:v>53100</x:v>
      </x:c>
    </x:row>
    <x:row r="2367" ht="46" customHeight="1">
      <x:c r="A2367" s="2" t="str">
        <x:v>Sector</x:v>
      </x:c>
      <x:c r="B2367" s="2" t="str">
        <x:v>Unresolved</x:v>
      </x:c>
      <x:c r="C2367" s="12" t="str">
        <x:v>Bengaluru</x:v>
      </x:c>
      <x:c r="D2367" s="12" t="str">
        <x:v>MAIN-030</x:v>
      </x:c>
      <x:c r="E2367" s="12" t="str">
        <x:v>Bhive Workspace - Indiranagar</x:v>
      </x:c>
      <x:c r="F2367" s="11" t="n">
        <x:v>6</x:v>
      </x:c>
      <x:c r="G2367" s="11" t="n">
        <x:v>6</x:v>
      </x:c>
      <x:c r="H2367" s="11" t="n">
        <x:v>0</x:v>
      </x:c>
      <x:c r="I2367" s="17" t="n">
        <x:f>INDEX('Costing'!$P$9:$P$492,MATCH(D2367,'Costing'!$A$9:$A$492,0))</x:f>
        <x:v>90000</x:v>
      </x:c>
      <x:c r="J2367" s="17" t="n">
        <x:f>ROUND(I2367*'Costing'!$C$4,2)</x:f>
        <x:v>16200</x:v>
      </x:c>
      <x:c r="K2367" s="17" t="n">
        <x:f>I2367+J2367</x:f>
        <x:v>106200</x:v>
      </x:c>
    </x:row>
    <x:row r="2368" ht="46" customHeight="1">
      <x:c r="A2368" s="2" t="str">
        <x:v>Sector</x:v>
      </x:c>
      <x:c r="B2368" s="2" t="str">
        <x:v>Unresolved</x:v>
      </x:c>
      <x:c r="C2368" s="12" t="str">
        <x:v>Bengaluru</x:v>
      </x:c>
      <x:c r="D2368" s="12" t="str">
        <x:v>MAIN-031</x:v>
      </x:c>
      <x:c r="E2368" s="12" t="str">
        <x:v>Bhive Workspace - Koramangala 5TH Block</x:v>
      </x:c>
      <x:c r="F2368" s="11" t="n">
        <x:v>2</x:v>
      </x:c>
      <x:c r="G2368" s="11" t="n">
        <x:v>2</x:v>
      </x:c>
      <x:c r="H2368" s="11" t="n">
        <x:v>0</x:v>
      </x:c>
      <x:c r="I2368" s="17" t="n">
        <x:f>INDEX('Costing'!$P$9:$P$492,MATCH(D2368,'Costing'!$A$9:$A$492,0))</x:f>
        <x:v>30000</x:v>
      </x:c>
      <x:c r="J2368" s="17" t="n">
        <x:f>ROUND(I2368*'Costing'!$C$4,2)</x:f>
        <x:v>5400</x:v>
      </x:c>
      <x:c r="K2368" s="17" t="n">
        <x:f>I2368+J2368</x:f>
        <x:v>35400</x:v>
      </x:c>
    </x:row>
    <x:row r="2369" ht="46" customHeight="1">
      <x:c r="A2369" s="2" t="str">
        <x:v>Sector</x:v>
      </x:c>
      <x:c r="B2369" s="2" t="str">
        <x:v>Unresolved</x:v>
      </x:c>
      <x:c r="C2369" s="12" t="str">
        <x:v>Bengaluru</x:v>
      </x:c>
      <x:c r="D2369" s="12" t="str">
        <x:v>MAIN-032</x:v>
      </x:c>
      <x:c r="E2369" s="12" t="str">
        <x:v>Bhive Workspace - MG Road</x:v>
      </x:c>
      <x:c r="F2369" s="11" t="n">
        <x:v>2</x:v>
      </x:c>
      <x:c r="G2369" s="11" t="n">
        <x:v>2</x:v>
      </x:c>
      <x:c r="H2369" s="11" t="n">
        <x:v>0</x:v>
      </x:c>
      <x:c r="I2369" s="17" t="n">
        <x:f>INDEX('Costing'!$P$9:$P$492,MATCH(D2369,'Costing'!$A$9:$A$492,0))</x:f>
        <x:v>30000</x:v>
      </x:c>
      <x:c r="J2369" s="17" t="n">
        <x:f>ROUND(I2369*'Costing'!$C$4,2)</x:f>
        <x:v>5400</x:v>
      </x:c>
      <x:c r="K2369" s="17" t="n">
        <x:f>I2369+J2369</x:f>
        <x:v>35400</x:v>
      </x:c>
    </x:row>
    <x:row r="2370" ht="46" customHeight="1">
      <x:c r="A2370" s="2" t="str">
        <x:v>Sector</x:v>
      </x:c>
      <x:c r="B2370" s="2" t="str">
        <x:v>Unresolved</x:v>
      </x:c>
      <x:c r="C2370" s="12" t="str">
        <x:v>Bengaluru</x:v>
      </x:c>
      <x:c r="D2370" s="12" t="str">
        <x:v>MAIN-033</x:v>
      </x:c>
      <x:c r="E2370" s="12" t="str">
        <x:v>Bridge - Excel</x:v>
      </x:c>
      <x:c r="F2370" s="11" t="n">
        <x:v>1</x:v>
      </x:c>
      <x:c r="G2370" s="11" t="n">
        <x:v>1</x:v>
      </x:c>
      <x:c r="H2370" s="11" t="n">
        <x:v>0</x:v>
      </x:c>
      <x:c r="I2370" s="17" t="n">
        <x:f>INDEX('Costing'!$P$9:$P$492,MATCH(D2370,'Costing'!$A$9:$A$492,0))</x:f>
        <x:v>15000</x:v>
      </x:c>
      <x:c r="J2370" s="17" t="n">
        <x:f>ROUND(I2370*'Costing'!$C$4,2)</x:f>
        <x:v>2700</x:v>
      </x:c>
      <x:c r="K2370" s="17" t="n">
        <x:f>I2370+J2370</x:f>
        <x:v>17700</x:v>
      </x:c>
    </x:row>
    <x:row r="2371" ht="46" customHeight="1">
      <x:c r="A2371" s="2" t="str">
        <x:v>Sector</x:v>
      </x:c>
      <x:c r="B2371" s="2" t="str">
        <x:v>Unresolved</x:v>
      </x:c>
      <x:c r="C2371" s="12" t="str">
        <x:v>Bengaluru</x:v>
      </x:c>
      <x:c r="D2371" s="12" t="str">
        <x:v>MAIN-035</x:v>
      </x:c>
      <x:c r="E2371" s="12" t="str">
        <x:v>Bridge - Work 365 Space</x:v>
      </x:c>
      <x:c r="F2371" s="11" t="n">
        <x:v>1</x:v>
      </x:c>
      <x:c r="G2371" s="11" t="n">
        <x:v>1</x:v>
      </x:c>
      <x:c r="H2371" s="11" t="n">
        <x:v>0</x:v>
      </x:c>
      <x:c r="I2371" s="17" t="n">
        <x:f>INDEX('Costing'!$P$9:$P$492,MATCH(D2371,'Costing'!$A$9:$A$492,0))</x:f>
        <x:v>15000</x:v>
      </x:c>
      <x:c r="J2371" s="17" t="n">
        <x:f>ROUND(I2371*'Costing'!$C$4,2)</x:f>
        <x:v>2700</x:v>
      </x:c>
      <x:c r="K2371" s="17" t="n">
        <x:f>I2371+J2371</x:f>
        <x:v>17700</x:v>
      </x:c>
    </x:row>
    <x:row r="2372" ht="46" customHeight="1">
      <x:c r="A2372" s="2" t="str">
        <x:v>Sector</x:v>
      </x:c>
      <x:c r="B2372" s="2" t="str">
        <x:v>Unresolved</x:v>
      </x:c>
      <x:c r="C2372" s="12" t="str">
        <x:v>Bengaluru</x:v>
      </x:c>
      <x:c r="D2372" s="12" t="str">
        <x:v>MAIN-045</x:v>
      </x:c>
      <x:c r="E2372" s="12" t="str">
        <x:v>Ecradle Coworking Space</x:v>
      </x:c>
      <x:c r="F2372" s="11" t="n">
        <x:v>2</x:v>
      </x:c>
      <x:c r="G2372" s="11" t="n">
        <x:v>2</x:v>
      </x:c>
      <x:c r="H2372" s="11" t="n">
        <x:v>0</x:v>
      </x:c>
      <x:c r="I2372" s="17" t="n">
        <x:f>INDEX('Costing'!$P$9:$P$492,MATCH(D2372,'Costing'!$A$9:$A$492,0))</x:f>
        <x:v>30000</x:v>
      </x:c>
      <x:c r="J2372" s="17" t="n">
        <x:f>ROUND(I2372*'Costing'!$C$4,2)</x:f>
        <x:v>5400</x:v>
      </x:c>
      <x:c r="K2372" s="17" t="n">
        <x:f>I2372+J2372</x:f>
        <x:v>35400</x:v>
      </x:c>
    </x:row>
    <x:row r="2373" ht="46" customHeight="1">
      <x:c r="A2373" s="2" t="str">
        <x:v>Sector</x:v>
      </x:c>
      <x:c r="B2373" s="2" t="str">
        <x:v>Unresolved</x:v>
      </x:c>
      <x:c r="C2373" s="12" t="str">
        <x:v>Bengaluru</x:v>
      </x:c>
      <x:c r="D2373" s="12" t="str">
        <x:v>MAIN-050</x:v>
      </x:c>
      <x:c r="E2373" s="12" t="str">
        <x:v>Golden Square</x:v>
      </x:c>
      <x:c r="F2373" s="11" t="n">
        <x:v>1</x:v>
      </x:c>
      <x:c r="G2373" s="11" t="n">
        <x:v>1</x:v>
      </x:c>
      <x:c r="H2373" s="11" t="n">
        <x:v>0</x:v>
      </x:c>
      <x:c r="I2373" s="17" t="n">
        <x:f>INDEX('Costing'!$P$9:$P$492,MATCH(D2373,'Costing'!$A$9:$A$492,0))</x:f>
        <x:v>15000</x:v>
      </x:c>
      <x:c r="J2373" s="17" t="n">
        <x:f>ROUND(I2373*'Costing'!$C$4,2)</x:f>
        <x:v>2700</x:v>
      </x:c>
      <x:c r="K2373" s="17" t="n">
        <x:f>I2373+J2373</x:f>
        <x:v>17700</x:v>
      </x:c>
    </x:row>
    <x:row r="2374" ht="46" customHeight="1">
      <x:c r="A2374" s="2" t="str">
        <x:v>Sector</x:v>
      </x:c>
      <x:c r="B2374" s="2" t="str">
        <x:v>Unresolved</x:v>
      </x:c>
      <x:c r="C2374" s="12" t="str">
        <x:v>Bengaluru</x:v>
      </x:c>
      <x:c r="D2374" s="12" t="str">
        <x:v>MAIN-052</x:v>
      </x:c>
      <x:c r="E2374" s="12" t="str">
        <x:v>Mantri Commercio</x:v>
      </x:c>
      <x:c r="F2374" s="11" t="n">
        <x:v>18</x:v>
      </x:c>
      <x:c r="G2374" s="11" t="n">
        <x:v>18</x:v>
      </x:c>
      <x:c r="H2374" s="11" t="n">
        <x:v>0</x:v>
      </x:c>
      <x:c r="I2374" s="17" t="n">
        <x:f>INDEX('Costing'!$P$9:$P$492,MATCH(D2374,'Costing'!$A$9:$A$492,0))</x:f>
        <x:v>270000</x:v>
      </x:c>
      <x:c r="J2374" s="17" t="n">
        <x:f>ROUND(I2374*'Costing'!$C$4,2)</x:f>
        <x:v>48600</x:v>
      </x:c>
      <x:c r="K2374" s="17" t="n">
        <x:f>I2374+J2374</x:f>
        <x:v>318600</x:v>
      </x:c>
    </x:row>
    <x:row r="2375" ht="46" customHeight="1">
      <x:c r="A2375" s="2" t="str">
        <x:v>Sector</x:v>
      </x:c>
      <x:c r="B2375" s="2" t="str">
        <x:v>Unresolved</x:v>
      </x:c>
      <x:c r="C2375" s="12" t="str">
        <x:v>Bengaluru</x:v>
      </x:c>
      <x:c r="D2375" s="12" t="str">
        <x:v>MAIN-053</x:v>
      </x:c>
      <x:c r="E2375" s="12" t="str">
        <x:v>Maruthi Mansion</x:v>
      </x:c>
      <x:c r="F2375" s="11" t="n">
        <x:v>4</x:v>
      </x:c>
      <x:c r="G2375" s="11" t="n">
        <x:v>4</x:v>
      </x:c>
      <x:c r="H2375" s="11" t="n">
        <x:v>0</x:v>
      </x:c>
      <x:c r="I2375" s="17" t="n">
        <x:f>INDEX('Costing'!$P$9:$P$492,MATCH(D2375,'Costing'!$A$9:$A$492,0))</x:f>
        <x:v>60000</x:v>
      </x:c>
      <x:c r="J2375" s="17" t="n">
        <x:f>ROUND(I2375*'Costing'!$C$4,2)</x:f>
        <x:v>10800</x:v>
      </x:c>
      <x:c r="K2375" s="17" t="n">
        <x:f>I2375+J2375</x:f>
        <x:v>70800</x:v>
      </x:c>
    </x:row>
    <x:row r="2376" ht="46" customHeight="1">
      <x:c r="A2376" s="2" t="str">
        <x:v>Sector</x:v>
      </x:c>
      <x:c r="B2376" s="2" t="str">
        <x:v>Unresolved</x:v>
      </x:c>
      <x:c r="C2376" s="12" t="str">
        <x:v>Bengaluru</x:v>
      </x:c>
      <x:c r="D2376" s="12" t="str">
        <x:v>MAIN-MSRY7ANC</x:v>
      </x:c>
      <x:c r="E2376" s="12" t="str">
        <x:v>Novel Offices - MSR Novel</x:v>
      </x:c>
      <x:c r="F2376" s="11" t="n">
        <x:v>6</x:v>
      </x:c>
      <x:c r="G2376" s="11" t="n">
        <x:v>6</x:v>
      </x:c>
      <x:c r="H2376" s="11" t="n">
        <x:v>0</x:v>
      </x:c>
      <x:c r="I2376" s="17" t="n">
        <x:f>INDEX('Costing'!$P$9:$P$492,MATCH(D2376,'Costing'!$A$9:$A$492,0))</x:f>
        <x:v>120000</x:v>
      </x:c>
      <x:c r="J2376" s="17" t="n">
        <x:f>ROUND(I2376*'Costing'!$C$4,2)</x:f>
        <x:v>21600</x:v>
      </x:c>
      <x:c r="K2376" s="17" t="n">
        <x:f>I2376+J2376</x:f>
        <x:v>141600</x:v>
      </x:c>
    </x:row>
    <x:row r="2377" ht="46" customHeight="1">
      <x:c r="A2377" s="2" t="str">
        <x:v>Sector</x:v>
      </x:c>
      <x:c r="B2377" s="2" t="str">
        <x:v>Unresolved</x:v>
      </x:c>
      <x:c r="C2377" s="12" t="str">
        <x:v>Bengaluru</x:v>
      </x:c>
      <x:c r="D2377" s="12" t="str">
        <x:v>MAIN-059</x:v>
      </x:c>
      <x:c r="E2377" s="12" t="str">
        <x:v>Novel Tech Park</x:v>
      </x:c>
      <x:c r="F2377" s="11" t="n">
        <x:v>8</x:v>
      </x:c>
      <x:c r="G2377" s="11" t="n">
        <x:v>8</x:v>
      </x:c>
      <x:c r="H2377" s="11" t="n">
        <x:v>0</x:v>
      </x:c>
      <x:c r="I2377" s="17" t="n">
        <x:f>INDEX('Costing'!$P$9:$P$492,MATCH(D2377,'Costing'!$A$9:$A$492,0))</x:f>
        <x:v>120000</x:v>
      </x:c>
      <x:c r="J2377" s="17" t="n">
        <x:f>ROUND(I2377*'Costing'!$C$4,2)</x:f>
        <x:v>21600</x:v>
      </x:c>
      <x:c r="K2377" s="17" t="n">
        <x:f>I2377+J2377</x:f>
        <x:v>141600</x:v>
      </x:c>
    </x:row>
    <x:row r="2378" ht="46" customHeight="1">
      <x:c r="A2378" s="2" t="str">
        <x:v>Sector</x:v>
      </x:c>
      <x:c r="B2378" s="2" t="str">
        <x:v>Unresolved</x:v>
      </x:c>
      <x:c r="C2378" s="12" t="str">
        <x:v>Bengaluru</x:v>
      </x:c>
      <x:c r="D2378" s="12" t="str">
        <x:v>MAIN-060</x:v>
      </x:c>
      <x:c r="E2378" s="12" t="str">
        <x:v>Nucleus - Cessna Business Park</x:v>
      </x:c>
      <x:c r="F2378" s="11" t="n">
        <x:v>6</x:v>
      </x:c>
      <x:c r="G2378" s="11" t="n">
        <x:v>6</x:v>
      </x:c>
      <x:c r="H2378" s="11" t="n">
        <x:v>0</x:v>
      </x:c>
      <x:c r="I2378" s="17" t="n">
        <x:f>INDEX('Costing'!$P$9:$P$492,MATCH(D2378,'Costing'!$A$9:$A$492,0))</x:f>
        <x:v>240000</x:v>
      </x:c>
      <x:c r="J2378" s="17" t="n">
        <x:f>ROUND(I2378*'Costing'!$C$4,2)</x:f>
        <x:v>43200</x:v>
      </x:c>
      <x:c r="K2378" s="17" t="n">
        <x:f>I2378+J2378</x:f>
        <x:v>283200</x:v>
      </x:c>
    </x:row>
    <x:row r="2379" ht="46" customHeight="1">
      <x:c r="A2379" s="2" t="str">
        <x:v>Sector</x:v>
      </x:c>
      <x:c r="B2379" s="2" t="str">
        <x:v>Unresolved</x:v>
      </x:c>
      <x:c r="C2379" s="12" t="str">
        <x:v>Bengaluru</x:v>
      </x:c>
      <x:c r="D2379" s="12" t="str">
        <x:v>MAIN-062</x:v>
      </x:c>
      <x:c r="E2379" s="12" t="str">
        <x:v>Nucleus - Exora Business Park</x:v>
      </x:c>
      <x:c r="F2379" s="11" t="n">
        <x:v>5</x:v>
      </x:c>
      <x:c r="G2379" s="11" t="n">
        <x:v>5</x:v>
      </x:c>
      <x:c r="H2379" s="11" t="n">
        <x:v>0</x:v>
      </x:c>
      <x:c r="I2379" s="17" t="n">
        <x:f>INDEX('Costing'!$P$9:$P$492,MATCH(D2379,'Costing'!$A$9:$A$492,0))</x:f>
        <x:v>200000</x:v>
      </x:c>
      <x:c r="J2379" s="17" t="n">
        <x:f>ROUND(I2379*'Costing'!$C$4,2)</x:f>
        <x:v>36000</x:v>
      </x:c>
      <x:c r="K2379" s="17" t="n">
        <x:f>I2379+J2379</x:f>
        <x:v>236000</x:v>
      </x:c>
    </x:row>
    <x:row r="2380" ht="46" customHeight="1">
      <x:c r="A2380" s="2" t="str">
        <x:v>Sector</x:v>
      </x:c>
      <x:c r="B2380" s="2" t="str">
        <x:v>Unresolved</x:v>
      </x:c>
      <x:c r="C2380" s="12" t="str">
        <x:v>Bengaluru</x:v>
      </x:c>
      <x:c r="D2380" s="12" t="str">
        <x:v>MAIN-063</x:v>
      </x:c>
      <x:c r="E2380" s="12" t="str">
        <x:v>Nucleus - Prestige One Trade Tower</x:v>
      </x:c>
      <x:c r="F2380" s="11" t="n">
        <x:v>2</x:v>
      </x:c>
      <x:c r="G2380" s="11" t="n">
        <x:v>2</x:v>
      </x:c>
      <x:c r="H2380" s="11" t="n">
        <x:v>0</x:v>
      </x:c>
      <x:c r="I2380" s="17" t="n">
        <x:f>INDEX('Costing'!$P$9:$P$492,MATCH(D2380,'Costing'!$A$9:$A$492,0))</x:f>
        <x:v>80000</x:v>
      </x:c>
      <x:c r="J2380" s="17" t="n">
        <x:f>ROUND(I2380*'Costing'!$C$4,2)</x:f>
        <x:v>14400</x:v>
      </x:c>
      <x:c r="K2380" s="17" t="n">
        <x:f>I2380+J2380</x:f>
        <x:v>94400</x:v>
      </x:c>
    </x:row>
    <x:row r="2381" ht="46" customHeight="1">
      <x:c r="A2381" s="2" t="str">
        <x:v>Sector</x:v>
      </x:c>
      <x:c r="B2381" s="2" t="str">
        <x:v>Unresolved</x:v>
      </x:c>
      <x:c r="C2381" s="12" t="str">
        <x:v>Bengaluru</x:v>
      </x:c>
      <x:c r="D2381" s="12" t="str">
        <x:v>MAIN-064</x:v>
      </x:c>
      <x:c r="E2381" s="12" t="str">
        <x:v>Obeya - Brio</x:v>
      </x:c>
      <x:c r="F2381" s="11" t="n">
        <x:v>1</x:v>
      </x:c>
      <x:c r="G2381" s="11" t="n">
        <x:v>1</x:v>
      </x:c>
      <x:c r="H2381" s="11" t="n">
        <x:v>0</x:v>
      </x:c>
      <x:c r="I2381" s="17" t="n">
        <x:f>INDEX('Costing'!$P$9:$P$492,MATCH(D2381,'Costing'!$A$9:$A$492,0))</x:f>
        <x:v>15000</x:v>
      </x:c>
      <x:c r="J2381" s="17" t="n">
        <x:f>ROUND(I2381*'Costing'!$C$4,2)</x:f>
        <x:v>2700</x:v>
      </x:c>
      <x:c r="K2381" s="17" t="n">
        <x:f>I2381+J2381</x:f>
        <x:v>17700</x:v>
      </x:c>
    </x:row>
    <x:row r="2382" ht="46" customHeight="1">
      <x:c r="A2382" s="2" t="str">
        <x:v>Sector</x:v>
      </x:c>
      <x:c r="B2382" s="2" t="str">
        <x:v>Unresolved</x:v>
      </x:c>
      <x:c r="C2382" s="12" t="str">
        <x:v>Bengaluru</x:v>
      </x:c>
      <x:c r="D2382" s="12" t="str">
        <x:v>MAIN-066</x:v>
      </x:c>
      <x:c r="E2382" s="12" t="str">
        <x:v>Obeya - Gusto</x:v>
      </x:c>
      <x:c r="F2382" s="11" t="n">
        <x:v>1</x:v>
      </x:c>
      <x:c r="G2382" s="11" t="n">
        <x:v>1</x:v>
      </x:c>
      <x:c r="H2382" s="11" t="n">
        <x:v>0</x:v>
      </x:c>
      <x:c r="I2382" s="17" t="n">
        <x:f>INDEX('Costing'!$P$9:$P$492,MATCH(D2382,'Costing'!$A$9:$A$492,0))</x:f>
        <x:v>15000</x:v>
      </x:c>
      <x:c r="J2382" s="17" t="n">
        <x:f>ROUND(I2382*'Costing'!$C$4,2)</x:f>
        <x:v>2700</x:v>
      </x:c>
      <x:c r="K2382" s="17" t="n">
        <x:f>I2382+J2382</x:f>
        <x:v>17700</x:v>
      </x:c>
    </x:row>
    <x:row r="2383" ht="46" customHeight="1">
      <x:c r="A2383" s="2" t="str">
        <x:v>Sector</x:v>
      </x:c>
      <x:c r="B2383" s="2" t="str">
        <x:v>Unresolved</x:v>
      </x:c>
      <x:c r="C2383" s="12" t="str">
        <x:v>Bengaluru</x:v>
      </x:c>
      <x:c r="D2383" s="12" t="str">
        <x:v>MAIN-067</x:v>
      </x:c>
      <x:c r="E2383" s="12" t="str">
        <x:v>Obeya - Pulse</x:v>
      </x:c>
      <x:c r="F2383" s="11" t="n">
        <x:v>2</x:v>
      </x:c>
      <x:c r="G2383" s="11" t="n">
        <x:v>2</x:v>
      </x:c>
      <x:c r="H2383" s="11" t="n">
        <x:v>0</x:v>
      </x:c>
      <x:c r="I2383" s="17" t="n">
        <x:f>INDEX('Costing'!$P$9:$P$492,MATCH(D2383,'Costing'!$A$9:$A$492,0))</x:f>
        <x:v>30000</x:v>
      </x:c>
      <x:c r="J2383" s="17" t="n">
        <x:f>ROUND(I2383*'Costing'!$C$4,2)</x:f>
        <x:v>5400</x:v>
      </x:c>
      <x:c r="K2383" s="17" t="n">
        <x:f>I2383+J2383</x:f>
        <x:v>35400</x:v>
      </x:c>
    </x:row>
    <x:row r="2384" ht="46" customHeight="1">
      <x:c r="A2384" s="2" t="str">
        <x:v>Sector</x:v>
      </x:c>
      <x:c r="B2384" s="2" t="str">
        <x:v>Unresolved</x:v>
      </x:c>
      <x:c r="C2384" s="12" t="str">
        <x:v>Bengaluru</x:v>
      </x:c>
      <x:c r="D2384" s="12" t="str">
        <x:v>MAIN-069</x:v>
      </x:c>
      <x:c r="E2384" s="12" t="str">
        <x:v>Obeya - Spurce</x:v>
      </x:c>
      <x:c r="F2384" s="11" t="n">
        <x:v>2</x:v>
      </x:c>
      <x:c r="G2384" s="11" t="n">
        <x:v>2</x:v>
      </x:c>
      <x:c r="H2384" s="11" t="n">
        <x:v>0</x:v>
      </x:c>
      <x:c r="I2384" s="17" t="n">
        <x:f>INDEX('Costing'!$P$9:$P$492,MATCH(D2384,'Costing'!$A$9:$A$492,0))</x:f>
        <x:v>30000</x:v>
      </x:c>
      <x:c r="J2384" s="17" t="n">
        <x:f>ROUND(I2384*'Costing'!$C$4,2)</x:f>
        <x:v>5400</x:v>
      </x:c>
      <x:c r="K2384" s="17" t="n">
        <x:f>I2384+J2384</x:f>
        <x:v>35400</x:v>
      </x:c>
    </x:row>
    <x:row r="2385" ht="46" customHeight="1">
      <x:c r="A2385" s="2" t="str">
        <x:v>Sector</x:v>
      </x:c>
      <x:c r="B2385" s="2" t="str">
        <x:v>Unresolved</x:v>
      </x:c>
      <x:c r="C2385" s="12" t="str">
        <x:v>Bengaluru</x:v>
      </x:c>
      <x:c r="D2385" s="12" t="str">
        <x:v>MAIN-070</x:v>
      </x:c>
      <x:c r="E2385" s="12" t="str">
        <x:v>Obeya - Tranquil</x:v>
      </x:c>
      <x:c r="F2385" s="11" t="n">
        <x:v>1</x:v>
      </x:c>
      <x:c r="G2385" s="11" t="n">
        <x:v>1</x:v>
      </x:c>
      <x:c r="H2385" s="11" t="n">
        <x:v>0</x:v>
      </x:c>
      <x:c r="I2385" s="17" t="n">
        <x:f>INDEX('Costing'!$P$9:$P$492,MATCH(D2385,'Costing'!$A$9:$A$492,0))</x:f>
        <x:v>15000</x:v>
      </x:c>
      <x:c r="J2385" s="17" t="n">
        <x:f>ROUND(I2385*'Costing'!$C$4,2)</x:f>
        <x:v>2700</x:v>
      </x:c>
      <x:c r="K2385" s="17" t="n">
        <x:f>I2385+J2385</x:f>
        <x:v>17700</x:v>
      </x:c>
    </x:row>
    <x:row r="2386" ht="46" customHeight="1">
      <x:c r="A2386" s="2" t="str">
        <x:v>Sector</x:v>
      </x:c>
      <x:c r="B2386" s="2" t="str">
        <x:v>Unresolved</x:v>
      </x:c>
      <x:c r="C2386" s="12" t="str">
        <x:v>Bengaluru</x:v>
      </x:c>
      <x:c r="D2386" s="12" t="str">
        <x:v>MAIN-071</x:v>
      </x:c>
      <x:c r="E2386" s="12" t="str">
        <x:v>Obeya - Verve</x:v>
      </x:c>
      <x:c r="F2386" s="11" t="n">
        <x:v>1</x:v>
      </x:c>
      <x:c r="G2386" s="11" t="n">
        <x:v>1</x:v>
      </x:c>
      <x:c r="H2386" s="11" t="n">
        <x:v>0</x:v>
      </x:c>
      <x:c r="I2386" s="17" t="n">
        <x:f>INDEX('Costing'!$P$9:$P$492,MATCH(D2386,'Costing'!$A$9:$A$492,0))</x:f>
        <x:v>15000</x:v>
      </x:c>
      <x:c r="J2386" s="17" t="n">
        <x:f>ROUND(I2386*'Costing'!$C$4,2)</x:f>
        <x:v>2700</x:v>
      </x:c>
      <x:c r="K2386" s="17" t="n">
        <x:f>I2386+J2386</x:f>
        <x:v>17700</x:v>
      </x:c>
    </x:row>
    <x:row r="2387" ht="46" customHeight="1">
      <x:c r="A2387" s="2" t="str">
        <x:v>Sector</x:v>
      </x:c>
      <x:c r="B2387" s="2" t="str">
        <x:v>Unresolved</x:v>
      </x:c>
      <x:c r="C2387" s="12" t="str">
        <x:v>Bengaluru</x:v>
      </x:c>
      <x:c r="D2387" s="12" t="str">
        <x:v>MAIN-073</x:v>
      </x:c>
      <x:c r="E2387" s="12" t="str">
        <x:v>Prestige Obelisk</x:v>
      </x:c>
      <x:c r="F2387" s="11" t="n">
        <x:v>1</x:v>
      </x:c>
      <x:c r="G2387" s="11" t="n">
        <x:v>1</x:v>
      </x:c>
      <x:c r="H2387" s="11" t="n">
        <x:v>0</x:v>
      </x:c>
      <x:c r="I2387" s="17" t="n">
        <x:f>INDEX('Costing'!$P$9:$P$492,MATCH(D2387,'Costing'!$A$9:$A$492,0))</x:f>
        <x:v>40000</x:v>
      </x:c>
      <x:c r="J2387" s="17" t="n">
        <x:f>ROUND(I2387*'Costing'!$C$4,2)</x:f>
        <x:v>7200</x:v>
      </x:c>
      <x:c r="K2387" s="17" t="n">
        <x:f>I2387+J2387</x:f>
        <x:v>47200</x:v>
      </x:c>
    </x:row>
    <x:row r="2388" ht="46" customHeight="1">
      <x:c r="A2388" s="2" t="str">
        <x:v>Sector</x:v>
      </x:c>
      <x:c r="B2388" s="2" t="str">
        <x:v>Unresolved</x:v>
      </x:c>
      <x:c r="C2388" s="12" t="str">
        <x:v>Bengaluru</x:v>
      </x:c>
      <x:c r="D2388" s="12" t="str">
        <x:v>MAIN-077</x:v>
      </x:c>
      <x:c r="E2388" s="12" t="str">
        <x:v>Raheja Towers</x:v>
      </x:c>
      <x:c r="F2388" s="11" t="n">
        <x:v>11</x:v>
      </x:c>
      <x:c r="G2388" s="11" t="n">
        <x:v>11</x:v>
      </x:c>
      <x:c r="H2388" s="11" t="n">
        <x:v>0</x:v>
      </x:c>
      <x:c r="I2388" s="17" t="n">
        <x:f>INDEX('Costing'!$P$9:$P$492,MATCH(D2388,'Costing'!$A$9:$A$492,0))</x:f>
        <x:v>165000</x:v>
      </x:c>
      <x:c r="J2388" s="17" t="n">
        <x:f>ROUND(I2388*'Costing'!$C$4,2)</x:f>
        <x:v>29700</x:v>
      </x:c>
      <x:c r="K2388" s="17" t="n">
        <x:f>I2388+J2388</x:f>
        <x:v>194700</x:v>
      </x:c>
    </x:row>
    <x:row r="2389" ht="46" customHeight="1">
      <x:c r="A2389" s="2" t="str">
        <x:v>Sector</x:v>
      </x:c>
      <x:c r="B2389" s="2" t="str">
        <x:v>Unresolved</x:v>
      </x:c>
      <x:c r="C2389" s="12" t="str">
        <x:v>Bengaluru</x:v>
      </x:c>
      <x:c r="D2389" s="12" t="str">
        <x:v>MAIN-081</x:v>
      </x:c>
      <x:c r="E2389" s="12" t="str">
        <x:v>Sierra Cartel</x:v>
      </x:c>
      <x:c r="F2389" s="11" t="n">
        <x:v>2</x:v>
      </x:c>
      <x:c r="G2389" s="11" t="n">
        <x:v>2</x:v>
      </x:c>
      <x:c r="H2389" s="11" t="n">
        <x:v>0</x:v>
      </x:c>
      <x:c r="I2389" s="17" t="n">
        <x:f>INDEX('Costing'!$P$9:$P$492,MATCH(D2389,'Costing'!$A$9:$A$492,0))</x:f>
        <x:v>30000</x:v>
      </x:c>
      <x:c r="J2389" s="17" t="n">
        <x:f>ROUND(I2389*'Costing'!$C$4,2)</x:f>
        <x:v>5400</x:v>
      </x:c>
      <x:c r="K2389" s="17" t="n">
        <x:f>I2389+J2389</x:f>
        <x:v>35400</x:v>
      </x:c>
    </x:row>
    <x:row r="2390" ht="46" customHeight="1">
      <x:c r="A2390" s="2" t="str">
        <x:v>Sector</x:v>
      </x:c>
      <x:c r="B2390" s="2" t="str">
        <x:v>Unresolved</x:v>
      </x:c>
      <x:c r="C2390" s="12" t="str">
        <x:v>Bengaluru</x:v>
      </x:c>
      <x:c r="D2390" s="12" t="str">
        <x:v>MAIN-086</x:v>
      </x:c>
      <x:c r="E2390" s="12" t="str">
        <x:v>Startuphuts- Unit 1</x:v>
      </x:c>
      <x:c r="F2390" s="11" t="n">
        <x:v>1</x:v>
      </x:c>
      <x:c r="G2390" s="11" t="n">
        <x:v>1</x:v>
      </x:c>
      <x:c r="H2390" s="11" t="n">
        <x:v>0</x:v>
      </x:c>
      <x:c r="I2390" s="17" t="n">
        <x:f>INDEX('Costing'!$P$9:$P$492,MATCH(D2390,'Costing'!$A$9:$A$492,0))</x:f>
        <x:v>15000</x:v>
      </x:c>
      <x:c r="J2390" s="17" t="n">
        <x:f>ROUND(I2390*'Costing'!$C$4,2)</x:f>
        <x:v>2700</x:v>
      </x:c>
      <x:c r="K2390" s="17" t="n">
        <x:f>I2390+J2390</x:f>
        <x:v>17700</x:v>
      </x:c>
    </x:row>
    <x:row r="2391" ht="46" customHeight="1">
      <x:c r="A2391" s="2" t="str">
        <x:v>Sector</x:v>
      </x:c>
      <x:c r="B2391" s="2" t="str">
        <x:v>Unresolved</x:v>
      </x:c>
      <x:c r="C2391" s="12" t="str">
        <x:v>Bengaluru</x:v>
      </x:c>
      <x:c r="D2391" s="12" t="str">
        <x:v>MAIN-087</x:v>
      </x:c>
      <x:c r="E2391" s="12" t="str">
        <x:v>Startuphuts- Unit 3</x:v>
      </x:c>
      <x:c r="F2391" s="11" t="n">
        <x:v>1</x:v>
      </x:c>
      <x:c r="G2391" s="11" t="n">
        <x:v>1</x:v>
      </x:c>
      <x:c r="H2391" s="11" t="n">
        <x:v>0</x:v>
      </x:c>
      <x:c r="I2391" s="17" t="n">
        <x:f>INDEX('Costing'!$P$9:$P$492,MATCH(D2391,'Costing'!$A$9:$A$492,0))</x:f>
        <x:v>15000</x:v>
      </x:c>
      <x:c r="J2391" s="17" t="n">
        <x:f>ROUND(I2391*'Costing'!$C$4,2)</x:f>
        <x:v>2700</x:v>
      </x:c>
      <x:c r="K2391" s="17" t="n">
        <x:f>I2391+J2391</x:f>
        <x:v>17700</x:v>
      </x:c>
    </x:row>
    <x:row r="2392" ht="46" customHeight="1">
      <x:c r="A2392" s="2" t="str">
        <x:v>Sector</x:v>
      </x:c>
      <x:c r="B2392" s="2" t="str">
        <x:v>Unresolved</x:v>
      </x:c>
      <x:c r="C2392" s="12" t="str">
        <x:v>Bengaluru</x:v>
      </x:c>
      <x:c r="D2392" s="12" t="str">
        <x:v>MAIN-089</x:v>
      </x:c>
      <x:c r="E2392" s="12" t="str">
        <x:v>Startuphuts- Unit 6</x:v>
      </x:c>
      <x:c r="F2392" s="11" t="n">
        <x:v>1</x:v>
      </x:c>
      <x:c r="G2392" s="11" t="n">
        <x:v>1</x:v>
      </x:c>
      <x:c r="H2392" s="11" t="n">
        <x:v>0</x:v>
      </x:c>
      <x:c r="I2392" s="17" t="n">
        <x:f>INDEX('Costing'!$P$9:$P$492,MATCH(D2392,'Costing'!$A$9:$A$492,0))</x:f>
        <x:v>15000</x:v>
      </x:c>
      <x:c r="J2392" s="17" t="n">
        <x:f>ROUND(I2392*'Costing'!$C$4,2)</x:f>
        <x:v>2700</x:v>
      </x:c>
      <x:c r="K2392" s="17" t="n">
        <x:f>I2392+J2392</x:f>
        <x:v>17700</x:v>
      </x:c>
    </x:row>
    <x:row r="2393" ht="46" customHeight="1">
      <x:c r="A2393" s="2" t="str">
        <x:v>Sector</x:v>
      </x:c>
      <x:c r="B2393" s="2" t="str">
        <x:v>Unresolved</x:v>
      </x:c>
      <x:c r="C2393" s="12" t="str">
        <x:v>Bengaluru</x:v>
      </x:c>
      <x:c r="D2393" s="12" t="str">
        <x:v>MAIN-090</x:v>
      </x:c>
      <x:c r="E2393" s="12" t="str">
        <x:v>Startuphuts- Unit 7</x:v>
      </x:c>
      <x:c r="F2393" s="11" t="n">
        <x:v>2</x:v>
      </x:c>
      <x:c r="G2393" s="11" t="n">
        <x:v>2</x:v>
      </x:c>
      <x:c r="H2393" s="11" t="n">
        <x:v>0</x:v>
      </x:c>
      <x:c r="I2393" s="17" t="n">
        <x:f>INDEX('Costing'!$P$9:$P$492,MATCH(D2393,'Costing'!$A$9:$A$492,0))</x:f>
        <x:v>30000</x:v>
      </x:c>
      <x:c r="J2393" s="17" t="n">
        <x:f>ROUND(I2393*'Costing'!$C$4,2)</x:f>
        <x:v>5400</x:v>
      </x:c>
      <x:c r="K2393" s="17" t="n">
        <x:f>I2393+J2393</x:f>
        <x:v>35400</x:v>
      </x:c>
    </x:row>
    <x:row r="2394" ht="46" customHeight="1">
      <x:c r="A2394" s="2" t="str">
        <x:v>Sector</x:v>
      </x:c>
      <x:c r="B2394" s="2" t="str">
        <x:v>Unresolved</x:v>
      </x:c>
      <x:c r="C2394" s="12" t="str">
        <x:v>Bengaluru</x:v>
      </x:c>
      <x:c r="D2394" s="12" t="str">
        <x:v>MAIN-093</x:v>
      </x:c>
      <x:c r="E2394" s="12" t="str">
        <x:v>The Venture Studios</x:v>
      </x:c>
      <x:c r="F2394" s="11" t="n">
        <x:v>1</x:v>
      </x:c>
      <x:c r="G2394" s="11" t="n">
        <x:v>1</x:v>
      </x:c>
      <x:c r="H2394" s="11" t="n">
        <x:v>0</x:v>
      </x:c>
      <x:c r="I2394" s="17" t="n">
        <x:f>INDEX('Costing'!$P$9:$P$492,MATCH(D2394,'Costing'!$A$9:$A$492,0))</x:f>
        <x:v>15000</x:v>
      </x:c>
      <x:c r="J2394" s="17" t="n">
        <x:f>ROUND(I2394*'Costing'!$C$4,2)</x:f>
        <x:v>2700</x:v>
      </x:c>
      <x:c r="K2394" s="17" t="n">
        <x:f>I2394+J2394</x:f>
        <x:v>17700</x:v>
      </x:c>
    </x:row>
    <x:row r="2395" ht="46" customHeight="1">
      <x:c r="A2395" s="2" t="str">
        <x:v>Sector</x:v>
      </x:c>
      <x:c r="B2395" s="2" t="str">
        <x:v>Unresolved</x:v>
      </x:c>
      <x:c r="C2395" s="12" t="str">
        <x:v>Bengaluru</x:v>
      </x:c>
      <x:c r="D2395" s="12" t="str">
        <x:v>MAIN-103</x:v>
      </x:c>
      <x:c r="E2395" s="12" t="str">
        <x:v>Urban Vault- 1086</x:v>
      </x:c>
      <x:c r="F2395" s="11" t="n">
        <x:v>1</x:v>
      </x:c>
      <x:c r="G2395" s="11" t="n">
        <x:v>1</x:v>
      </x:c>
      <x:c r="H2395" s="11" t="n">
        <x:v>0</x:v>
      </x:c>
      <x:c r="I2395" s="17" t="n">
        <x:f>INDEX('Costing'!$P$9:$P$492,MATCH(D2395,'Costing'!$A$9:$A$492,0))</x:f>
        <x:v>15000</x:v>
      </x:c>
      <x:c r="J2395" s="17" t="n">
        <x:f>ROUND(I2395*'Costing'!$C$4,2)</x:f>
        <x:v>2700</x:v>
      </x:c>
      <x:c r="K2395" s="17" t="n">
        <x:f>I2395+J2395</x:f>
        <x:v>17700</x:v>
      </x:c>
    </x:row>
    <x:row r="2396" ht="46" customHeight="1">
      <x:c r="A2396" s="2" t="str">
        <x:v>Sector</x:v>
      </x:c>
      <x:c r="B2396" s="2" t="str">
        <x:v>Unresolved</x:v>
      </x:c>
      <x:c r="C2396" s="12" t="str">
        <x:v>Bengaluru</x:v>
      </x:c>
      <x:c r="D2396" s="12" t="str">
        <x:v>MAIN-106</x:v>
      </x:c>
      <x:c r="E2396" s="12" t="str">
        <x:v>Urban Vault- 1515</x:v>
      </x:c>
      <x:c r="F2396" s="11" t="n">
        <x:v>2</x:v>
      </x:c>
      <x:c r="G2396" s="11" t="n">
        <x:v>2</x:v>
      </x:c>
      <x:c r="H2396" s="11" t="n">
        <x:v>0</x:v>
      </x:c>
      <x:c r="I2396" s="17" t="n">
        <x:f>INDEX('Costing'!$P$9:$P$492,MATCH(D2396,'Costing'!$A$9:$A$492,0))</x:f>
        <x:v>30000</x:v>
      </x:c>
      <x:c r="J2396" s="17" t="n">
        <x:f>ROUND(I2396*'Costing'!$C$4,2)</x:f>
        <x:v>5400</x:v>
      </x:c>
      <x:c r="K2396" s="17" t="n">
        <x:f>I2396+J2396</x:f>
        <x:v>35400</x:v>
      </x:c>
    </x:row>
    <x:row r="2397" ht="46" customHeight="1">
      <x:c r="A2397" s="2" t="str">
        <x:v>Sector</x:v>
      </x:c>
      <x:c r="B2397" s="2" t="str">
        <x:v>Unresolved</x:v>
      </x:c>
      <x:c r="C2397" s="12" t="str">
        <x:v>Bengaluru</x:v>
      </x:c>
      <x:c r="D2397" s="12" t="str">
        <x:v>MAIN-107</x:v>
      </x:c>
      <x:c r="E2397" s="12" t="str">
        <x:v>Urban Vault- 1608</x:v>
      </x:c>
      <x:c r="F2397" s="11" t="n">
        <x:v>2</x:v>
      </x:c>
      <x:c r="G2397" s="11" t="n">
        <x:v>2</x:v>
      </x:c>
      <x:c r="H2397" s="11" t="n">
        <x:v>0</x:v>
      </x:c>
      <x:c r="I2397" s="17" t="n">
        <x:f>INDEX('Costing'!$P$9:$P$492,MATCH(D2397,'Costing'!$A$9:$A$492,0))</x:f>
        <x:v>30000</x:v>
      </x:c>
      <x:c r="J2397" s="17" t="n">
        <x:f>ROUND(I2397*'Costing'!$C$4,2)</x:f>
        <x:v>5400</x:v>
      </x:c>
      <x:c r="K2397" s="17" t="n">
        <x:f>I2397+J2397</x:f>
        <x:v>35400</x:v>
      </x:c>
    </x:row>
    <x:row r="2398" ht="46" customHeight="1">
      <x:c r="A2398" s="2" t="str">
        <x:v>Sector</x:v>
      </x:c>
      <x:c r="B2398" s="2" t="str">
        <x:v>Unresolved</x:v>
      </x:c>
      <x:c r="C2398" s="12" t="str">
        <x:v>Bengaluru</x:v>
      </x:c>
      <x:c r="D2398" s="12" t="str">
        <x:v>MAIN-109</x:v>
      </x:c>
      <x:c r="E2398" s="12" t="str">
        <x:v>Urban Vault- 2907</x:v>
      </x:c>
      <x:c r="F2398" s="11" t="n">
        <x:v>2</x:v>
      </x:c>
      <x:c r="G2398" s="11" t="n">
        <x:v>2</x:v>
      </x:c>
      <x:c r="H2398" s="11" t="n">
        <x:v>0</x:v>
      </x:c>
      <x:c r="I2398" s="17" t="n">
        <x:f>INDEX('Costing'!$P$9:$P$492,MATCH(D2398,'Costing'!$A$9:$A$492,0))</x:f>
        <x:v>30000</x:v>
      </x:c>
      <x:c r="J2398" s="17" t="n">
        <x:f>ROUND(I2398*'Costing'!$C$4,2)</x:f>
        <x:v>5400</x:v>
      </x:c>
      <x:c r="K2398" s="17" t="n">
        <x:f>I2398+J2398</x:f>
        <x:v>35400</x:v>
      </x:c>
    </x:row>
    <x:row r="2399" ht="46" customHeight="1">
      <x:c r="A2399" s="2" t="str">
        <x:v>Sector</x:v>
      </x:c>
      <x:c r="B2399" s="2" t="str">
        <x:v>Unresolved</x:v>
      </x:c>
      <x:c r="C2399" s="12" t="str">
        <x:v>Bengaluru</x:v>
      </x:c>
      <x:c r="D2399" s="12" t="str">
        <x:v>MAIN-110</x:v>
      </x:c>
      <x:c r="E2399" s="12" t="str">
        <x:v>Urban Vault- 2908</x:v>
      </x:c>
      <x:c r="F2399" s="11" t="n">
        <x:v>2</x:v>
      </x:c>
      <x:c r="G2399" s="11" t="n">
        <x:v>2</x:v>
      </x:c>
      <x:c r="H2399" s="11" t="n">
        <x:v>0</x:v>
      </x:c>
      <x:c r="I2399" s="17" t="n">
        <x:f>INDEX('Costing'!$P$9:$P$492,MATCH(D2399,'Costing'!$A$9:$A$492,0))</x:f>
        <x:v>30000</x:v>
      </x:c>
      <x:c r="J2399" s="17" t="n">
        <x:f>ROUND(I2399*'Costing'!$C$4,2)</x:f>
        <x:v>5400</x:v>
      </x:c>
      <x:c r="K2399" s="17" t="n">
        <x:f>I2399+J2399</x:f>
        <x:v>35400</x:v>
      </x:c>
    </x:row>
    <x:row r="2400" ht="46" customHeight="1">
      <x:c r="A2400" s="2" t="str">
        <x:v>Sector</x:v>
      </x:c>
      <x:c r="B2400" s="2" t="str">
        <x:v>Unresolved</x:v>
      </x:c>
      <x:c r="C2400" s="12" t="str">
        <x:v>Bengaluru</x:v>
      </x:c>
      <x:c r="D2400" s="12" t="str">
        <x:v>MAIN-100</x:v>
      </x:c>
      <x:c r="E2400" s="12" t="str">
        <x:v>Urban Vault- 591</x:v>
      </x:c>
      <x:c r="F2400" s="11" t="n">
        <x:v>2</x:v>
      </x:c>
      <x:c r="G2400" s="11" t="n">
        <x:v>2</x:v>
      </x:c>
      <x:c r="H2400" s="11" t="n">
        <x:v>0</x:v>
      </x:c>
      <x:c r="I2400" s="17" t="n">
        <x:f>INDEX('Costing'!$P$9:$P$492,MATCH(D2400,'Costing'!$A$9:$A$492,0))</x:f>
        <x:v>30000</x:v>
      </x:c>
      <x:c r="J2400" s="17" t="n">
        <x:f>ROUND(I2400*'Costing'!$C$4,2)</x:f>
        <x:v>5400</x:v>
      </x:c>
      <x:c r="K2400" s="17" t="n">
        <x:f>I2400+J2400</x:f>
        <x:v>35400</x:v>
      </x:c>
    </x:row>
    <x:row r="2401" ht="46" customHeight="1">
      <x:c r="A2401" s="2" t="str">
        <x:v>Sector</x:v>
      </x:c>
      <x:c r="B2401" s="2" t="str">
        <x:v>Unresolved</x:v>
      </x:c>
      <x:c r="C2401" s="12" t="str">
        <x:v>Bengaluru</x:v>
      </x:c>
      <x:c r="D2401" s="12" t="str">
        <x:v>MAIN-095</x:v>
      </x:c>
      <x:c r="E2401" s="12" t="str">
        <x:v>Urban Vault- 6/A</x:v>
      </x:c>
      <x:c r="F2401" s="11" t="n">
        <x:v>2</x:v>
      </x:c>
      <x:c r="G2401" s="11" t="n">
        <x:v>2</x:v>
      </x:c>
      <x:c r="H2401" s="11" t="n">
        <x:v>0</x:v>
      </x:c>
      <x:c r="I2401" s="17" t="n">
        <x:f>INDEX('Costing'!$P$9:$P$492,MATCH(D2401,'Costing'!$A$9:$A$492,0))</x:f>
        <x:v>30000</x:v>
      </x:c>
      <x:c r="J2401" s="17" t="n">
        <x:f>ROUND(I2401*'Costing'!$C$4,2)</x:f>
        <x:v>5400</x:v>
      </x:c>
      <x:c r="K2401" s="17" t="n">
        <x:f>I2401+J2401</x:f>
        <x:v>35400</x:v>
      </x:c>
    </x:row>
    <x:row r="2402" ht="46" customHeight="1">
      <x:c r="A2402" s="2" t="str">
        <x:v>Sector</x:v>
      </x:c>
      <x:c r="B2402" s="2" t="str">
        <x:v>Unresolved</x:v>
      </x:c>
      <x:c r="C2402" s="12" t="str">
        <x:v>Bengaluru</x:v>
      </x:c>
      <x:c r="D2402" s="12" t="str">
        <x:v>MAIN-113</x:v>
      </x:c>
      <x:c r="E2402" s="12" t="str">
        <x:v>WeWork - EGL</x:v>
      </x:c>
      <x:c r="F2402" s="11" t="n">
        <x:v>4</x:v>
      </x:c>
      <x:c r="G2402" s="11" t="n">
        <x:v>4</x:v>
      </x:c>
      <x:c r="H2402" s="11" t="n">
        <x:v>0</x:v>
      </x:c>
      <x:c r="I2402" s="17" t="n">
        <x:f>INDEX('Costing'!$P$9:$P$492,MATCH(D2402,'Costing'!$A$9:$A$492,0))</x:f>
        <x:v>100000</x:v>
      </x:c>
      <x:c r="J2402" s="17" t="n">
        <x:f>ROUND(I2402*'Costing'!$C$4,2)</x:f>
        <x:v>18000</x:v>
      </x:c>
      <x:c r="K2402" s="17" t="n">
        <x:f>I2402+J2402</x:f>
        <x:v>118000</x:v>
      </x:c>
    </x:row>
    <x:row r="2403" ht="46" customHeight="1">
      <x:c r="A2403" s="2" t="str">
        <x:v>Sector</x:v>
      </x:c>
      <x:c r="B2403" s="2" t="str">
        <x:v>Unresolved</x:v>
      </x:c>
      <x:c r="C2403" s="12" t="str">
        <x:v>Bengaluru</x:v>
      </x:c>
      <x:c r="D2403" s="12" t="str">
        <x:v>MAIN-115</x:v>
      </x:c>
      <x:c r="E2403" s="12" t="str">
        <x:v>Wework - Embassy Quest</x:v>
      </x:c>
      <x:c r="F2403" s="11" t="n">
        <x:v>4</x:v>
      </x:c>
      <x:c r="G2403" s="11" t="n">
        <x:v>4</x:v>
      </x:c>
      <x:c r="H2403" s="11" t="n">
        <x:v>0</x:v>
      </x:c>
      <x:c r="I2403" s="17" t="n">
        <x:f>INDEX('Costing'!$P$9:$P$492,MATCH(D2403,'Costing'!$A$9:$A$492,0))</x:f>
        <x:v>100000</x:v>
      </x:c>
      <x:c r="J2403" s="17" t="n">
        <x:f>ROUND(I2403*'Costing'!$C$4,2)</x:f>
        <x:v>18000</x:v>
      </x:c>
      <x:c r="K2403" s="17" t="n">
        <x:f>I2403+J2403</x:f>
        <x:v>118000</x:v>
      </x:c>
    </x:row>
    <x:row r="2404" ht="46" customHeight="1">
      <x:c r="A2404" s="2" t="str">
        <x:v>Sector</x:v>
      </x:c>
      <x:c r="B2404" s="2" t="str">
        <x:v>Unresolved</x:v>
      </x:c>
      <x:c r="C2404" s="12" t="str">
        <x:v>Bengaluru</x:v>
      </x:c>
      <x:c r="D2404" s="12" t="str">
        <x:v>MAIN-116</x:v>
      </x:c>
      <x:c r="E2404" s="12" t="str">
        <x:v>WeWork - ETV</x:v>
      </x:c>
      <x:c r="F2404" s="11" t="n">
        <x:v>7</x:v>
      </x:c>
      <x:c r="G2404" s="11" t="n">
        <x:v>7</x:v>
      </x:c>
      <x:c r="H2404" s="11" t="n">
        <x:v>0</x:v>
      </x:c>
      <x:c r="I2404" s="17" t="n">
        <x:f>INDEX('Costing'!$P$9:$P$492,MATCH(D2404,'Costing'!$A$9:$A$492,0))</x:f>
        <x:v>175000</x:v>
      </x:c>
      <x:c r="J2404" s="17" t="n">
        <x:f>ROUND(I2404*'Costing'!$C$4,2)</x:f>
        <x:v>31500</x:v>
      </x:c>
      <x:c r="K2404" s="17" t="n">
        <x:f>I2404+J2404</x:f>
        <x:v>206500</x:v>
      </x:c>
    </x:row>
    <x:row r="2405" ht="46" customHeight="1">
      <x:c r="A2405" s="2" t="str">
        <x:v>Sector</x:v>
      </x:c>
      <x:c r="B2405" s="2" t="str">
        <x:v>Unresolved</x:v>
      </x:c>
      <x:c r="C2405" s="12" t="str">
        <x:v>Bengaluru</x:v>
      </x:c>
      <x:c r="D2405" s="12" t="str">
        <x:v>MAIN-118</x:v>
      </x:c>
      <x:c r="E2405" s="12" t="str">
        <x:v>WeWork - Manyata Mahogany</x:v>
      </x:c>
      <x:c r="F2405" s="11" t="n">
        <x:v>2</x:v>
      </x:c>
      <x:c r="G2405" s="11" t="n">
        <x:v>2</x:v>
      </x:c>
      <x:c r="H2405" s="11" t="n">
        <x:v>0</x:v>
      </x:c>
      <x:c r="I2405" s="17" t="n">
        <x:f>INDEX('Costing'!$P$9:$P$492,MATCH(D2405,'Costing'!$A$9:$A$492,0))</x:f>
        <x:v>50000</x:v>
      </x:c>
      <x:c r="J2405" s="17" t="n">
        <x:f>ROUND(I2405*'Costing'!$C$4,2)</x:f>
        <x:v>9000</x:v>
      </x:c>
      <x:c r="K2405" s="17" t="n">
        <x:f>I2405+J2405</x:f>
        <x:v>59000</x:v>
      </x:c>
    </x:row>
    <x:row r="2406" ht="46" customHeight="1">
      <x:c r="A2406" s="2" t="str">
        <x:v>Sector</x:v>
      </x:c>
      <x:c r="B2406" s="2" t="str">
        <x:v>Unresolved</x:v>
      </x:c>
      <x:c r="C2406" s="12" t="str">
        <x:v>Bengaluru</x:v>
      </x:c>
      <x:c r="D2406" s="12" t="str">
        <x:v>MAIN-119</x:v>
      </x:c>
      <x:c r="E2406" s="12" t="str">
        <x:v>WeWork - Prestige Atlanta</x:v>
      </x:c>
      <x:c r="F2406" s="11" t="n">
        <x:v>5</x:v>
      </x:c>
      <x:c r="G2406" s="11" t="n">
        <x:v>5</x:v>
      </x:c>
      <x:c r="H2406" s="11" t="n">
        <x:v>0</x:v>
      </x:c>
      <x:c r="I2406" s="17" t="n">
        <x:f>INDEX('Costing'!$P$9:$P$492,MATCH(D2406,'Costing'!$A$9:$A$492,0))</x:f>
        <x:v>125000</x:v>
      </x:c>
      <x:c r="J2406" s="17" t="n">
        <x:f>ROUND(I2406*'Costing'!$C$4,2)</x:f>
        <x:v>22500</x:v>
      </x:c>
      <x:c r="K2406" s="17" t="n">
        <x:f>I2406+J2406</x:f>
        <x:v>147500</x:v>
      </x:c>
    </x:row>
    <x:row r="2407" ht="46" customHeight="1">
      <x:c r="A2407" s="2" t="str">
        <x:v>Sector</x:v>
      </x:c>
      <x:c r="B2407" s="2" t="str">
        <x:v>Unresolved</x:v>
      </x:c>
      <x:c r="C2407" s="12" t="str">
        <x:v>Bengaluru</x:v>
      </x:c>
      <x:c r="D2407" s="12" t="str">
        <x:v>MAIN-124</x:v>
      </x:c>
      <x:c r="E2407" s="12" t="str">
        <x:v>WeWork - RMZ Latitude</x:v>
      </x:c>
      <x:c r="F2407" s="11" t="n">
        <x:v>4</x:v>
      </x:c>
      <x:c r="G2407" s="11" t="n">
        <x:v>4</x:v>
      </x:c>
      <x:c r="H2407" s="11" t="n">
        <x:v>0</x:v>
      </x:c>
      <x:c r="I2407" s="17" t="n">
        <x:f>INDEX('Costing'!$P$9:$P$492,MATCH(D2407,'Costing'!$A$9:$A$492,0))</x:f>
        <x:v>100000</x:v>
      </x:c>
      <x:c r="J2407" s="17" t="n">
        <x:f>ROUND(I2407*'Costing'!$C$4,2)</x:f>
        <x:v>18000</x:v>
      </x:c>
      <x:c r="K2407" s="17" t="n">
        <x:f>I2407+J2407</x:f>
        <x:v>118000</x:v>
      </x:c>
    </x:row>
    <x:row r="2408" ht="46" customHeight="1">
      <x:c r="A2408" s="2" t="str">
        <x:v>Sector</x:v>
      </x:c>
      <x:c r="B2408" s="2" t="str">
        <x:v>Unresolved</x:v>
      </x:c>
      <x:c r="C2408" s="12" t="str">
        <x:v>Bengaluru</x:v>
      </x:c>
      <x:c r="D2408" s="12" t="str">
        <x:v>MAIN-126</x:v>
      </x:c>
      <x:c r="E2408" s="12" t="str">
        <x:v>WeWork - Salarpuria Magnificia</x:v>
      </x:c>
      <x:c r="F2408" s="11" t="n">
        <x:v>8</x:v>
      </x:c>
      <x:c r="G2408" s="11" t="n">
        <x:v>8</x:v>
      </x:c>
      <x:c r="H2408" s="11" t="n">
        <x:v>0</x:v>
      </x:c>
      <x:c r="I2408" s="17" t="n">
        <x:f>INDEX('Costing'!$P$9:$P$492,MATCH(D2408,'Costing'!$A$9:$A$492,0))</x:f>
        <x:v>200000</x:v>
      </x:c>
      <x:c r="J2408" s="17" t="n">
        <x:f>ROUND(I2408*'Costing'!$C$4,2)</x:f>
        <x:v>36000</x:v>
      </x:c>
      <x:c r="K2408" s="17" t="n">
        <x:f>I2408+J2408</x:f>
        <x:v>236000</x:v>
      </x:c>
    </x:row>
    <x:row r="2409" ht="46" customHeight="1">
      <x:c r="A2409" s="2" t="str">
        <x:v>Sector</x:v>
      </x:c>
      <x:c r="B2409" s="2" t="str">
        <x:v>Unresolved</x:v>
      </x:c>
      <x:c r="C2409" s="12" t="str">
        <x:v>Bengaluru</x:v>
      </x:c>
      <x:c r="D2409" s="12" t="str">
        <x:v>MAIN-127</x:v>
      </x:c>
      <x:c r="E2409" s="12" t="str">
        <x:v>WeWork - Salarpuria Symbiosis</x:v>
      </x:c>
      <x:c r="F2409" s="11" t="n">
        <x:v>5</x:v>
      </x:c>
      <x:c r="G2409" s="11" t="n">
        <x:v>5</x:v>
      </x:c>
      <x:c r="H2409" s="11" t="n">
        <x:v>0</x:v>
      </x:c>
      <x:c r="I2409" s="17" t="n">
        <x:f>INDEX('Costing'!$P$9:$P$492,MATCH(D2409,'Costing'!$A$9:$A$492,0))</x:f>
        <x:v>125000</x:v>
      </x:c>
      <x:c r="J2409" s="17" t="n">
        <x:f>ROUND(I2409*'Costing'!$C$4,2)</x:f>
        <x:v>22500</x:v>
      </x:c>
      <x:c r="K2409" s="17" t="n">
        <x:f>I2409+J2409</x:f>
        <x:v>147500</x:v>
      </x:c>
    </x:row>
    <x:row r="2410" ht="46" customHeight="1">
      <x:c r="A2410" s="2" t="str">
        <x:v>Sector</x:v>
      </x:c>
      <x:c r="B2410" s="2" t="str">
        <x:v>Unresolved</x:v>
      </x:c>
      <x:c r="C2410" s="12" t="str">
        <x:v>Bengaluru</x:v>
      </x:c>
      <x:c r="D2410" s="12" t="str">
        <x:v>MAIN-128</x:v>
      </x:c>
      <x:c r="E2410" s="12" t="str">
        <x:v>Wework - Sunriver</x:v>
      </x:c>
      <x:c r="F2410" s="11" t="n">
        <x:v>1</x:v>
      </x:c>
      <x:c r="G2410" s="11" t="n">
        <x:v>1</x:v>
      </x:c>
      <x:c r="H2410" s="11" t="n">
        <x:v>0</x:v>
      </x:c>
      <x:c r="I2410" s="17" t="n">
        <x:f>INDEX('Costing'!$P$9:$P$492,MATCH(D2410,'Costing'!$A$9:$A$492,0))</x:f>
        <x:v>25000</x:v>
      </x:c>
      <x:c r="J2410" s="17" t="n">
        <x:f>ROUND(I2410*'Costing'!$C$4,2)</x:f>
        <x:v>4500</x:v>
      </x:c>
      <x:c r="K2410" s="17" t="n">
        <x:f>I2410+J2410</x:f>
        <x:v>29500</x:v>
      </x:c>
    </x:row>
    <x:row r="2411" ht="46" customHeight="1">
      <x:c r="A2411" s="2" t="str">
        <x:v>Sector</x:v>
      </x:c>
      <x:c r="B2411" s="2" t="str">
        <x:v>Unresolved</x:v>
      </x:c>
      <x:c r="C2411" s="12" t="str">
        <x:v>Bengaluru</x:v>
      </x:c>
      <x:c r="D2411" s="12" t="str">
        <x:v>MAIN-129</x:v>
      </x:c>
      <x:c r="E2411" s="12" t="str">
        <x:v>WeWork - The Galaxy</x:v>
      </x:c>
      <x:c r="F2411" s="11" t="n">
        <x:v>7</x:v>
      </x:c>
      <x:c r="G2411" s="11" t="n">
        <x:v>7</x:v>
      </x:c>
      <x:c r="H2411" s="11" t="n">
        <x:v>0</x:v>
      </x:c>
      <x:c r="I2411" s="17" t="n">
        <x:f>INDEX('Costing'!$P$9:$P$492,MATCH(D2411,'Costing'!$A$9:$A$492,0))</x:f>
        <x:v>175000</x:v>
      </x:c>
      <x:c r="J2411" s="17" t="n">
        <x:f>ROUND(I2411*'Costing'!$C$4,2)</x:f>
        <x:v>31500</x:v>
      </x:c>
      <x:c r="K2411" s="17" t="n">
        <x:f>I2411+J2411</x:f>
        <x:v>206500</x:v>
      </x:c>
    </x:row>
    <x:row r="2412" ht="46" customHeight="1">
      <x:c r="A2412" s="2" t="str">
        <x:v>Sector</x:v>
      </x:c>
      <x:c r="B2412" s="2" t="str">
        <x:v>Unresolved</x:v>
      </x:c>
      <x:c r="C2412" s="12" t="str">
        <x:v>Bengaluru</x:v>
      </x:c>
      <x:c r="D2412" s="12" t="str">
        <x:v>MAIN-130</x:v>
      </x:c>
      <x:c r="E2412" s="12" t="str">
        <x:v>WeWork - The Pavilion</x:v>
      </x:c>
      <x:c r="F2412" s="11" t="n">
        <x:v>4</x:v>
      </x:c>
      <x:c r="G2412" s="11" t="n">
        <x:v>4</x:v>
      </x:c>
      <x:c r="H2412" s="11" t="n">
        <x:v>0</x:v>
      </x:c>
      <x:c r="I2412" s="17" t="n">
        <x:f>INDEX('Costing'!$P$9:$P$492,MATCH(D2412,'Costing'!$A$9:$A$492,0))</x:f>
        <x:v>100000</x:v>
      </x:c>
      <x:c r="J2412" s="17" t="n">
        <x:f>ROUND(I2412*'Costing'!$C$4,2)</x:f>
        <x:v>18000</x:v>
      </x:c>
      <x:c r="K2412" s="17" t="n">
        <x:f>I2412+J2412</x:f>
        <x:v>118000</x:v>
      </x:c>
    </x:row>
    <x:row r="2413" ht="46" customHeight="1">
      <x:c r="A2413" s="2" t="str">
        <x:v>Sector</x:v>
      </x:c>
      <x:c r="B2413" s="2" t="str">
        <x:v>Unresolved</x:v>
      </x:c>
      <x:c r="C2413" s="12" t="str">
        <x:v>Bengaluru</x:v>
      </x:c>
      <x:c r="D2413" s="12" t="str">
        <x:v>MAIN-131</x:v>
      </x:c>
      <x:c r="E2413" s="12" t="str">
        <x:v>Wework - Vaishnavi Signature</x:v>
      </x:c>
      <x:c r="F2413" s="11" t="n">
        <x:v>11</x:v>
      </x:c>
      <x:c r="G2413" s="11" t="n">
        <x:v>11</x:v>
      </x:c>
      <x:c r="H2413" s="11" t="n">
        <x:v>0</x:v>
      </x:c>
      <x:c r="I2413" s="17" t="n">
        <x:f>INDEX('Costing'!$P$9:$P$492,MATCH(D2413,'Costing'!$A$9:$A$492,0))</x:f>
        <x:v>275000</x:v>
      </x:c>
      <x:c r="J2413" s="17" t="n">
        <x:f>ROUND(I2413*'Costing'!$C$4,2)</x:f>
        <x:v>49500</x:v>
      </x:c>
      <x:c r="K2413" s="17" t="n">
        <x:f>I2413+J2413</x:f>
        <x:v>324500</x:v>
      </x:c>
    </x:row>
    <x:row r="2414" ht="46" customHeight="1">
      <x:c r="A2414" s="2" t="str">
        <x:v>Sector</x:v>
      </x:c>
      <x:c r="B2414" s="2" t="str">
        <x:v>Unresolved</x:v>
      </x:c>
      <x:c r="C2414" s="12" t="str">
        <x:v>Bengaluru</x:v>
      </x:c>
      <x:c r="D2414" s="12" t="str">
        <x:v>MAIN-133</x:v>
      </x:c>
      <x:c r="E2414" s="12" t="str">
        <x:v>Workflow by Oyo - Ranka</x:v>
      </x:c>
      <x:c r="F2414" s="11" t="n">
        <x:v>2</x:v>
      </x:c>
      <x:c r="G2414" s="11" t="n">
        <x:v>2</x:v>
      </x:c>
      <x:c r="H2414" s="11" t="n">
        <x:v>0</x:v>
      </x:c>
      <x:c r="I2414" s="17" t="n">
        <x:f>INDEX('Costing'!$P$9:$P$492,MATCH(D2414,'Costing'!$A$9:$A$492,0))</x:f>
        <x:v>30000</x:v>
      </x:c>
      <x:c r="J2414" s="17" t="n">
        <x:f>ROUND(I2414*'Costing'!$C$4,2)</x:f>
        <x:v>5400</x:v>
      </x:c>
      <x:c r="K2414" s="17" t="n">
        <x:f>I2414+J2414</x:f>
        <x:v>35400</x:v>
      </x:c>
    </x:row>
    <x:row r="2415" ht="46" customHeight="1">
      <x:c r="A2415" s="2" t="str">
        <x:v>Sector</x:v>
      </x:c>
      <x:c r="B2415" s="2" t="str">
        <x:v>Unresolved</x:v>
      </x:c>
      <x:c r="C2415" s="12" t="str">
        <x:v>Bengaluru</x:v>
      </x:c>
      <x:c r="D2415" s="12" t="str">
        <x:v>MAIN-134</x:v>
      </x:c>
      <x:c r="E2415" s="12" t="str">
        <x:v>Workhome - Coworking Space</x:v>
      </x:c>
      <x:c r="F2415" s="11" t="n">
        <x:v>2</x:v>
      </x:c>
      <x:c r="G2415" s="11" t="n">
        <x:v>2</x:v>
      </x:c>
      <x:c r="H2415" s="11" t="n">
        <x:v>0</x:v>
      </x:c>
      <x:c r="I2415" s="17" t="n">
        <x:f>INDEX('Costing'!$P$9:$P$492,MATCH(D2415,'Costing'!$A$9:$A$492,0))</x:f>
        <x:v>30000</x:v>
      </x:c>
      <x:c r="J2415" s="17" t="n">
        <x:f>ROUND(I2415*'Costing'!$C$4,2)</x:f>
        <x:v>5400</x:v>
      </x:c>
      <x:c r="K2415" s="17" t="n">
        <x:f>I2415+J2415</x:f>
        <x:v>35400</x:v>
      </x:c>
    </x:row>
    <x:row r="2416" ht="46" customHeight="1">
      <x:c r="A2416" s="2" t="str">
        <x:v>Sector</x:v>
      </x:c>
      <x:c r="B2416" s="2" t="str">
        <x:v>Unresolved</x:v>
      </x:c>
      <x:c r="C2416" s="12" t="str">
        <x:v>Chennai</x:v>
      </x:c>
      <x:c r="D2416" s="12" t="str">
        <x:v>MAIN-138</x:v>
      </x:c>
      <x:c r="E2416" s="12" t="str">
        <x:v>Arihant Verge Global Park (Pod Screens)</x:v>
      </x:c>
      <x:c r="F2416" s="11" t="n">
        <x:v>2</x:v>
      </x:c>
      <x:c r="G2416" s="11" t="n">
        <x:v>2</x:v>
      </x:c>
      <x:c r="H2416" s="11" t="n">
        <x:v>0</x:v>
      </x:c>
      <x:c r="I2416" s="17" t="n">
        <x:f>INDEX('Costing'!$P$9:$P$492,MATCH(D2416,'Costing'!$A$9:$A$492,0))</x:f>
        <x:v>40000</x:v>
      </x:c>
      <x:c r="J2416" s="17" t="n">
        <x:f>ROUND(I2416*'Costing'!$C$4,2)</x:f>
        <x:v>7200</x:v>
      </x:c>
      <x:c r="K2416" s="17" t="n">
        <x:f>I2416+J2416</x:f>
        <x:v>47200</x:v>
      </x:c>
    </x:row>
    <x:row r="2417" ht="46" customHeight="1">
      <x:c r="A2417" s="2" t="str">
        <x:v>Sector</x:v>
      </x:c>
      <x:c r="B2417" s="2" t="str">
        <x:v>Unresolved</x:v>
      </x:c>
      <x:c r="C2417" s="12" t="str">
        <x:v>Chennai</x:v>
      </x:c>
      <x:c r="D2417" s="12" t="str">
        <x:v>MAIN-139</x:v>
      </x:c>
      <x:c r="E2417" s="12" t="str">
        <x:v>Awfis - Gemini Circle</x:v>
      </x:c>
      <x:c r="F2417" s="11" t="n">
        <x:v>5</x:v>
      </x:c>
      <x:c r="G2417" s="11" t="n">
        <x:v>5</x:v>
      </x:c>
      <x:c r="H2417" s="11" t="n">
        <x:v>0</x:v>
      </x:c>
      <x:c r="I2417" s="17" t="n">
        <x:f>INDEX('Costing'!$P$9:$P$492,MATCH(D2417,'Costing'!$A$9:$A$492,0))</x:f>
        <x:v>75000</x:v>
      </x:c>
      <x:c r="J2417" s="17" t="n">
        <x:f>ROUND(I2417*'Costing'!$C$4,2)</x:f>
        <x:v>13500</x:v>
      </x:c>
      <x:c r="K2417" s="17" t="n">
        <x:f>I2417+J2417</x:f>
        <x:v>88500</x:v>
      </x:c>
    </x:row>
    <x:row r="2418" ht="46" customHeight="1">
      <x:c r="A2418" s="2" t="str">
        <x:v>Sector</x:v>
      </x:c>
      <x:c r="B2418" s="2" t="str">
        <x:v>Unresolved</x:v>
      </x:c>
      <x:c r="C2418" s="12" t="str">
        <x:v>Chennai</x:v>
      </x:c>
      <x:c r="D2418" s="12" t="str">
        <x:v>MAIN-140</x:v>
      </x:c>
      <x:c r="E2418" s="12" t="str">
        <x:v>Awfis - OMR</x:v>
      </x:c>
      <x:c r="F2418" s="11" t="n">
        <x:v>7</x:v>
      </x:c>
      <x:c r="G2418" s="11" t="n">
        <x:v>7</x:v>
      </x:c>
      <x:c r="H2418" s="11" t="n">
        <x:v>0</x:v>
      </x:c>
      <x:c r="I2418" s="17" t="n">
        <x:f>INDEX('Costing'!$P$9:$P$492,MATCH(D2418,'Costing'!$A$9:$A$492,0))</x:f>
        <x:v>105000</x:v>
      </x:c>
      <x:c r="J2418" s="17" t="n">
        <x:f>ROUND(I2418*'Costing'!$C$4,2)</x:f>
        <x:v>18900</x:v>
      </x:c>
      <x:c r="K2418" s="17" t="n">
        <x:f>I2418+J2418</x:f>
        <x:v>123900</x:v>
      </x:c>
    </x:row>
    <x:row r="2419" ht="46" customHeight="1">
      <x:c r="A2419" s="2" t="str">
        <x:v>Sector</x:v>
      </x:c>
      <x:c r="B2419" s="2" t="str">
        <x:v>Unresolved</x:v>
      </x:c>
      <x:c r="C2419" s="12" t="str">
        <x:v>Chennai</x:v>
      </x:c>
      <x:c r="D2419" s="12" t="str">
        <x:v>MAIN-141</x:v>
      </x:c>
      <x:c r="E2419" s="12" t="str">
        <x:v>Awfis - Prestige Cosmopolitan-I</x:v>
      </x:c>
      <x:c r="F2419" s="11" t="n">
        <x:v>4</x:v>
      </x:c>
      <x:c r="G2419" s="11" t="n">
        <x:v>4</x:v>
      </x:c>
      <x:c r="H2419" s="11" t="n">
        <x:v>0</x:v>
      </x:c>
      <x:c r="I2419" s="17" t="n">
        <x:f>INDEX('Costing'!$P$9:$P$492,MATCH(D2419,'Costing'!$A$9:$A$492,0))</x:f>
        <x:v>60000</x:v>
      </x:c>
      <x:c r="J2419" s="17" t="n">
        <x:f>ROUND(I2419*'Costing'!$C$4,2)</x:f>
        <x:v>10800</x:v>
      </x:c>
      <x:c r="K2419" s="17" t="n">
        <x:f>I2419+J2419</x:f>
        <x:v>70800</x:v>
      </x:c>
    </x:row>
    <x:row r="2420" ht="46" customHeight="1">
      <x:c r="A2420" s="2" t="str">
        <x:v>Sector</x:v>
      </x:c>
      <x:c r="B2420" s="2" t="str">
        <x:v>Unresolved</x:v>
      </x:c>
      <x:c r="C2420" s="12" t="str">
        <x:v>Chennai</x:v>
      </x:c>
      <x:c r="D2420" s="12" t="str">
        <x:v>MAIN-142</x:v>
      </x:c>
      <x:c r="E2420" s="12" t="str">
        <x:v>Awfis - Sierra</x:v>
      </x:c>
      <x:c r="F2420" s="11" t="n">
        <x:v>3</x:v>
      </x:c>
      <x:c r="G2420" s="11" t="n">
        <x:v>3</x:v>
      </x:c>
      <x:c r="H2420" s="11" t="n">
        <x:v>0</x:v>
      </x:c>
      <x:c r="I2420" s="17" t="n">
        <x:f>INDEX('Costing'!$P$9:$P$492,MATCH(D2420,'Costing'!$A$9:$A$492,0))</x:f>
        <x:v>45000</x:v>
      </x:c>
      <x:c r="J2420" s="17" t="n">
        <x:f>ROUND(I2420*'Costing'!$C$4,2)</x:f>
        <x:v>8100</x:v>
      </x:c>
      <x:c r="K2420" s="17" t="n">
        <x:f>I2420+J2420</x:f>
        <x:v>53100</x:v>
      </x:c>
    </x:row>
    <x:row r="2421" ht="46" customHeight="1">
      <x:c r="A2421" s="2" t="str">
        <x:v>Sector</x:v>
      </x:c>
      <x:c r="B2421" s="2" t="str">
        <x:v>Unresolved</x:v>
      </x:c>
      <x:c r="C2421" s="12" t="str">
        <x:v>Chennai</x:v>
      </x:c>
      <x:c r="D2421" s="12" t="str">
        <x:v>MAIN-143</x:v>
      </x:c>
      <x:c r="E2421" s="12" t="str">
        <x:v>Bharati Vilas Tech Park</x:v>
      </x:c>
      <x:c r="F2421" s="11" t="n">
        <x:v>2</x:v>
      </x:c>
      <x:c r="G2421" s="11" t="n">
        <x:v>2</x:v>
      </x:c>
      <x:c r="H2421" s="11" t="n">
        <x:v>0</x:v>
      </x:c>
      <x:c r="I2421" s="17" t="n">
        <x:f>INDEX('Costing'!$P$9:$P$492,MATCH(D2421,'Costing'!$A$9:$A$492,0))</x:f>
        <x:v>40000</x:v>
      </x:c>
      <x:c r="J2421" s="17" t="n">
        <x:f>ROUND(I2421*'Costing'!$C$4,2)</x:f>
        <x:v>7200</x:v>
      </x:c>
      <x:c r="K2421" s="17" t="n">
        <x:f>I2421+J2421</x:f>
        <x:v>47200</x:v>
      </x:c>
    </x:row>
    <x:row r="2422" ht="46" customHeight="1">
      <x:c r="A2422" s="2" t="str">
        <x:v>Sector</x:v>
      </x:c>
      <x:c r="B2422" s="2" t="str">
        <x:v>Unresolved</x:v>
      </x:c>
      <x:c r="C2422" s="12" t="str">
        <x:v>Chennai</x:v>
      </x:c>
      <x:c r="D2422" s="12" t="str">
        <x:v>MAIN-144</x:v>
      </x:c>
      <x:c r="E2422" s="12" t="str">
        <x:v>Bharati Vilas Tech Park(POD Screens)</x:v>
      </x:c>
      <x:c r="F2422" s="11" t="n">
        <x:v>1</x:v>
      </x:c>
      <x:c r="G2422" s="11" t="n">
        <x:v>1</x:v>
      </x:c>
      <x:c r="H2422" s="11" t="n">
        <x:v>0</x:v>
      </x:c>
      <x:c r="I2422" s="17" t="n">
        <x:f>INDEX('Costing'!$P$9:$P$492,MATCH(D2422,'Costing'!$A$9:$A$492,0))</x:f>
        <x:v>20000</x:v>
      </x:c>
      <x:c r="J2422" s="17" t="n">
        <x:f>ROUND(I2422*'Costing'!$C$4,2)</x:f>
        <x:v>3600</x:v>
      </x:c>
      <x:c r="K2422" s="17" t="n">
        <x:f>I2422+J2422</x:f>
        <x:v>23600</x:v>
      </x:c>
    </x:row>
    <x:row r="2423" ht="46" customHeight="1">
      <x:c r="A2423" s="2" t="str">
        <x:v>Sector</x:v>
      </x:c>
      <x:c r="B2423" s="2" t="str">
        <x:v>Unresolved</x:v>
      </x:c>
      <x:c r="C2423" s="12" t="str">
        <x:v>Chennai</x:v>
      </x:c>
      <x:c r="D2423" s="12" t="str">
        <x:v>MAIN-148</x:v>
      </x:c>
      <x:c r="E2423" s="12" t="str">
        <x:v>Kochar Globe Tech Park</x:v>
      </x:c>
      <x:c r="F2423" s="11" t="n">
        <x:v>4</x:v>
      </x:c>
      <x:c r="G2423" s="11" t="n">
        <x:v>4</x:v>
      </x:c>
      <x:c r="H2423" s="11" t="n">
        <x:v>0</x:v>
      </x:c>
      <x:c r="I2423" s="17" t="n">
        <x:f>INDEX('Costing'!$P$9:$P$492,MATCH(D2423,'Costing'!$A$9:$A$492,0))</x:f>
        <x:v>80000</x:v>
      </x:c>
      <x:c r="J2423" s="17" t="n">
        <x:f>ROUND(I2423*'Costing'!$C$4,2)</x:f>
        <x:v>14400</x:v>
      </x:c>
      <x:c r="K2423" s="17" t="n">
        <x:f>I2423+J2423</x:f>
        <x:v>94400</x:v>
      </x:c>
    </x:row>
    <x:row r="2424" ht="46" customHeight="1">
      <x:c r="A2424" s="2" t="str">
        <x:v>Sector</x:v>
      </x:c>
      <x:c r="B2424" s="2" t="str">
        <x:v>Unresolved</x:v>
      </x:c>
      <x:c r="C2424" s="12" t="str">
        <x:v>Chennai</x:v>
      </x:c>
      <x:c r="D2424" s="12" t="str">
        <x:v>MAIN-149</x:v>
      </x:c>
      <x:c r="E2424" s="12" t="str">
        <x:v>Kochar Globe Tech Park (Pod Screens)</x:v>
      </x:c>
      <x:c r="F2424" s="11" t="n">
        <x:v>2</x:v>
      </x:c>
      <x:c r="G2424" s="11" t="n">
        <x:v>2</x:v>
      </x:c>
      <x:c r="H2424" s="11" t="n">
        <x:v>0</x:v>
      </x:c>
      <x:c r="I2424" s="17" t="n">
        <x:f>INDEX('Costing'!$P$9:$P$492,MATCH(D2424,'Costing'!$A$9:$A$492,0))</x:f>
        <x:v>40000</x:v>
      </x:c>
      <x:c r="J2424" s="17" t="n">
        <x:f>ROUND(I2424*'Costing'!$C$4,2)</x:f>
        <x:v>7200</x:v>
      </x:c>
      <x:c r="K2424" s="17" t="n">
        <x:f>I2424+J2424</x:f>
        <x:v>47200</x:v>
      </x:c>
    </x:row>
    <x:row r="2425" ht="46" customHeight="1">
      <x:c r="A2425" s="2" t="str">
        <x:v>Sector</x:v>
      </x:c>
      <x:c r="B2425" s="2" t="str">
        <x:v>Unresolved</x:v>
      </x:c>
      <x:c r="C2425" s="12" t="str">
        <x:v>Chennai</x:v>
      </x:c>
      <x:c r="D2425" s="12" t="str">
        <x:v>MAIN-151</x:v>
      </x:c>
      <x:c r="E2425" s="12" t="str">
        <x:v>Nucleus - Kosmo One</x:v>
      </x:c>
      <x:c r="F2425" s="11" t="n">
        <x:v>4</x:v>
      </x:c>
      <x:c r="G2425" s="11" t="n">
        <x:v>4</x:v>
      </x:c>
      <x:c r="H2425" s="11" t="n">
        <x:v>0</x:v>
      </x:c>
      <x:c r="I2425" s="17" t="n">
        <x:f>INDEX('Costing'!$P$9:$P$492,MATCH(D2425,'Costing'!$A$9:$A$492,0))</x:f>
        <x:v>160000</x:v>
      </x:c>
      <x:c r="J2425" s="17" t="n">
        <x:f>ROUND(I2425*'Costing'!$C$4,2)</x:f>
        <x:v>28800</x:v>
      </x:c>
      <x:c r="K2425" s="17" t="n">
        <x:f>I2425+J2425</x:f>
        <x:v>188800</x:v>
      </x:c>
    </x:row>
    <x:row r="2426" ht="46" customHeight="1">
      <x:c r="A2426" s="2" t="str">
        <x:v>Sector</x:v>
      </x:c>
      <x:c r="B2426" s="2" t="str">
        <x:v>Unresolved</x:v>
      </x:c>
      <x:c r="C2426" s="12" t="str">
        <x:v>Chennai</x:v>
      </x:c>
      <x:c r="D2426" s="12" t="str">
        <x:v>MAIN-152</x:v>
      </x:c>
      <x:c r="E2426" s="12" t="str">
        <x:v>Olympia Cyberspace</x:v>
      </x:c>
      <x:c r="F2426" s="11" t="n">
        <x:v>2</x:v>
      </x:c>
      <x:c r="G2426" s="11" t="n">
        <x:v>2</x:v>
      </x:c>
      <x:c r="H2426" s="11" t="n">
        <x:v>0</x:v>
      </x:c>
      <x:c r="I2426" s="17" t="n">
        <x:f>INDEX('Costing'!$P$9:$P$492,MATCH(D2426,'Costing'!$A$9:$A$492,0))</x:f>
        <x:v>40000</x:v>
      </x:c>
      <x:c r="J2426" s="17" t="n">
        <x:f>ROUND(I2426*'Costing'!$C$4,2)</x:f>
        <x:v>7200</x:v>
      </x:c>
      <x:c r="K2426" s="17" t="n">
        <x:f>I2426+J2426</x:f>
        <x:v>47200</x:v>
      </x:c>
    </x:row>
    <x:row r="2427" ht="46" customHeight="1">
      <x:c r="A2427" s="2" t="str">
        <x:v>Sector</x:v>
      </x:c>
      <x:c r="B2427" s="2" t="str">
        <x:v>Unresolved</x:v>
      </x:c>
      <x:c r="C2427" s="12" t="str">
        <x:v>Chennai</x:v>
      </x:c>
      <x:c r="D2427" s="12" t="str">
        <x:v>MAIN-153</x:v>
      </x:c>
      <x:c r="E2427" s="12" t="str">
        <x:v>Olympia National Tower</x:v>
      </x:c>
      <x:c r="F2427" s="11" t="n">
        <x:v>4</x:v>
      </x:c>
      <x:c r="G2427" s="11" t="n">
        <x:v>4</x:v>
      </x:c>
      <x:c r="H2427" s="11" t="n">
        <x:v>0</x:v>
      </x:c>
      <x:c r="I2427" s="17" t="n">
        <x:f>INDEX('Costing'!$P$9:$P$492,MATCH(D2427,'Costing'!$A$9:$A$492,0))</x:f>
        <x:v>80000</x:v>
      </x:c>
      <x:c r="J2427" s="17" t="n">
        <x:f>ROUND(I2427*'Costing'!$C$4,2)</x:f>
        <x:v>14400</x:v>
      </x:c>
      <x:c r="K2427" s="17" t="n">
        <x:f>I2427+J2427</x:f>
        <x:v>94400</x:v>
      </x:c>
    </x:row>
    <x:row r="2428" ht="46" customHeight="1">
      <x:c r="A2428" s="2" t="str">
        <x:v>Sector</x:v>
      </x:c>
      <x:c r="B2428" s="2" t="str">
        <x:v>Unresolved</x:v>
      </x:c>
      <x:c r="C2428" s="12" t="str">
        <x:v>Chennai</x:v>
      </x:c>
      <x:c r="D2428" s="12" t="str">
        <x:v>MAIN-156</x:v>
      </x:c>
      <x:c r="E2428" s="12" t="str">
        <x:v>Prestige Polygon IT Park</x:v>
      </x:c>
      <x:c r="F2428" s="11" t="n">
        <x:v>1</x:v>
      </x:c>
      <x:c r="G2428" s="11" t="n">
        <x:v>1</x:v>
      </x:c>
      <x:c r="H2428" s="11" t="n">
        <x:v>0</x:v>
      </x:c>
      <x:c r="I2428" s="17" t="n">
        <x:f>INDEX('Costing'!$P$9:$P$492,MATCH(D2428,'Costing'!$A$9:$A$492,0))</x:f>
        <x:v>20000</x:v>
      </x:c>
      <x:c r="J2428" s="17" t="n">
        <x:f>ROUND(I2428*'Costing'!$C$4,2)</x:f>
        <x:v>3600</x:v>
      </x:c>
      <x:c r="K2428" s="17" t="n">
        <x:f>I2428+J2428</x:f>
        <x:v>23600</x:v>
      </x:c>
    </x:row>
    <x:row r="2429" ht="46" customHeight="1">
      <x:c r="A2429" s="2" t="str">
        <x:v>Sector</x:v>
      </x:c>
      <x:c r="B2429" s="2" t="str">
        <x:v>Unresolved</x:v>
      </x:c>
      <x:c r="C2429" s="12" t="str">
        <x:v>Chennai</x:v>
      </x:c>
      <x:c r="D2429" s="12" t="str">
        <x:v>MAIN-157</x:v>
      </x:c>
      <x:c r="E2429" s="12" t="str">
        <x:v>Prestige Polygon Tech Park (Pod Screens)</x:v>
      </x:c>
      <x:c r="F2429" s="11" t="n">
        <x:v>3</x:v>
      </x:c>
      <x:c r="G2429" s="11" t="n">
        <x:v>3</x:v>
      </x:c>
      <x:c r="H2429" s="11" t="n">
        <x:v>0</x:v>
      </x:c>
      <x:c r="I2429" s="17" t="n">
        <x:f>INDEX('Costing'!$P$9:$P$492,MATCH(D2429,'Costing'!$A$9:$A$492,0))</x:f>
        <x:v>97500</x:v>
      </x:c>
      <x:c r="J2429" s="17" t="n">
        <x:f>ROUND(I2429*'Costing'!$C$4,2)</x:f>
        <x:v>17550</x:v>
      </x:c>
      <x:c r="K2429" s="17" t="n">
        <x:f>I2429+J2429</x:f>
        <x:v>115050</x:v>
      </x:c>
    </x:row>
    <x:row r="2430" ht="46" customHeight="1">
      <x:c r="A2430" s="2" t="str">
        <x:v>Sector</x:v>
      </x:c>
      <x:c r="B2430" s="2" t="str">
        <x:v>Unresolved</x:v>
      </x:c>
      <x:c r="C2430" s="12" t="str">
        <x:v>Chennai</x:v>
      </x:c>
      <x:c r="D2430" s="12" t="str">
        <x:v>MAIN-158</x:v>
      </x:c>
      <x:c r="E2430" s="12" t="str">
        <x:v>Prestige Zackria Metropolitan</x:v>
      </x:c>
      <x:c r="F2430" s="11" t="n">
        <x:v>2</x:v>
      </x:c>
      <x:c r="G2430" s="11" t="n">
        <x:v>2</x:v>
      </x:c>
      <x:c r="H2430" s="11" t="n">
        <x:v>0</x:v>
      </x:c>
      <x:c r="I2430" s="17" t="n">
        <x:f>INDEX('Costing'!$P$9:$P$492,MATCH(D2430,'Costing'!$A$9:$A$492,0))</x:f>
        <x:v>40000</x:v>
      </x:c>
      <x:c r="J2430" s="17" t="n">
        <x:f>ROUND(I2430*'Costing'!$C$4,2)</x:f>
        <x:v>7200</x:v>
      </x:c>
      <x:c r="K2430" s="17" t="n">
        <x:f>I2430+J2430</x:f>
        <x:v>47200</x:v>
      </x:c>
    </x:row>
    <x:row r="2431" ht="46" customHeight="1">
      <x:c r="A2431" s="2" t="str">
        <x:v>Sector</x:v>
      </x:c>
      <x:c r="B2431" s="2" t="str">
        <x:v>Unresolved</x:v>
      </x:c>
      <x:c r="C2431" s="12" t="str">
        <x:v>Chennai</x:v>
      </x:c>
      <x:c r="D2431" s="12" t="str">
        <x:v>MAIN-159</x:v>
      </x:c>
      <x:c r="E2431" s="12" t="str">
        <x:v>Wingspace - Coworking Space IN Perungudi</x:v>
      </x:c>
      <x:c r="F2431" s="11" t="n">
        <x:v>1</x:v>
      </x:c>
      <x:c r="G2431" s="11" t="n">
        <x:v>1</x:v>
      </x:c>
      <x:c r="H2431" s="11" t="n">
        <x:v>0</x:v>
      </x:c>
      <x:c r="I2431" s="17" t="n">
        <x:f>INDEX('Costing'!$P$9:$P$492,MATCH(D2431,'Costing'!$A$9:$A$492,0))</x:f>
        <x:v>15000</x:v>
      </x:c>
      <x:c r="J2431" s="17" t="n">
        <x:f>ROUND(I2431*'Costing'!$C$4,2)</x:f>
        <x:v>2700</x:v>
      </x:c>
      <x:c r="K2431" s="17" t="n">
        <x:f>I2431+J2431</x:f>
        <x:v>17700</x:v>
      </x:c>
    </x:row>
    <x:row r="2432" ht="46" customHeight="1">
      <x:c r="A2432" s="2" t="str">
        <x:v>Sector</x:v>
      </x:c>
      <x:c r="B2432" s="2" t="str">
        <x:v>Unresolved</x:v>
      </x:c>
      <x:c r="C2432" s="12" t="str">
        <x:v>Chennai</x:v>
      </x:c>
      <x:c r="D2432" s="12" t="str">
        <x:v>MAIN-161</x:v>
      </x:c>
      <x:c r="E2432" s="12" t="str">
        <x:v>Workflow by Oyo - Guindy</x:v>
      </x:c>
      <x:c r="F2432" s="11" t="n">
        <x:v>1</x:v>
      </x:c>
      <x:c r="G2432" s="11" t="n">
        <x:v>1</x:v>
      </x:c>
      <x:c r="H2432" s="11" t="n">
        <x:v>0</x:v>
      </x:c>
      <x:c r="I2432" s="17" t="n">
        <x:f>INDEX('Costing'!$P$9:$P$492,MATCH(D2432,'Costing'!$A$9:$A$492,0))</x:f>
        <x:v>15000</x:v>
      </x:c>
      <x:c r="J2432" s="17" t="n">
        <x:f>ROUND(I2432*'Costing'!$C$4,2)</x:f>
        <x:v>2700</x:v>
      </x:c>
      <x:c r="K2432" s="17" t="n">
        <x:f>I2432+J2432</x:f>
        <x:v>17700</x:v>
      </x:c>
    </x:row>
    <x:row r="2433" ht="46" customHeight="1">
      <x:c r="A2433" s="2" t="str">
        <x:v>Sector</x:v>
      </x:c>
      <x:c r="B2433" s="2" t="str">
        <x:v>Unresolved</x:v>
      </x:c>
      <x:c r="C2433" s="12" t="str">
        <x:v>Delhi NCR</x:v>
      </x:c>
      <x:c r="D2433" s="12" t="str">
        <x:v>MAIN-179</x:v>
      </x:c>
      <x:c r="E2433" s="12" t="str">
        <x:v>Awfis - Ambience Mall</x:v>
      </x:c>
      <x:c r="F2433" s="11" t="n">
        <x:v>3</x:v>
      </x:c>
      <x:c r="G2433" s="11" t="n">
        <x:v>3</x:v>
      </x:c>
      <x:c r="H2433" s="11" t="n">
        <x:v>0</x:v>
      </x:c>
      <x:c r="I2433" s="17" t="n">
        <x:f>INDEX('Costing'!$P$9:$P$492,MATCH(D2433,'Costing'!$A$9:$A$492,0))</x:f>
        <x:v>45000</x:v>
      </x:c>
      <x:c r="J2433" s="17" t="n">
        <x:f>ROUND(I2433*'Costing'!$C$4,2)</x:f>
        <x:v>8100</x:v>
      </x:c>
      <x:c r="K2433" s="17" t="n">
        <x:f>I2433+J2433</x:f>
        <x:v>53100</x:v>
      </x:c>
    </x:row>
    <x:row r="2434" ht="46" customHeight="1">
      <x:c r="A2434" s="2" t="str">
        <x:v>Sector</x:v>
      </x:c>
      <x:c r="B2434" s="2" t="str">
        <x:v>Unresolved</x:v>
      </x:c>
      <x:c r="C2434" s="12" t="str">
        <x:v>Delhi NCR</x:v>
      </x:c>
      <x:c r="D2434" s="12" t="str">
        <x:v>MAIN-162</x:v>
      </x:c>
      <x:c r="E2434" s="12" t="str">
        <x:v>Awfis - Connaught Place</x:v>
      </x:c>
      <x:c r="F2434" s="11" t="n">
        <x:v>2</x:v>
      </x:c>
      <x:c r="G2434" s="11" t="n">
        <x:v>2</x:v>
      </x:c>
      <x:c r="H2434" s="11" t="n">
        <x:v>0</x:v>
      </x:c>
      <x:c r="I2434" s="17" t="n">
        <x:f>INDEX('Costing'!$P$9:$P$492,MATCH(D2434,'Costing'!$A$9:$A$492,0))</x:f>
        <x:v>30000</x:v>
      </x:c>
      <x:c r="J2434" s="17" t="n">
        <x:f>ROUND(I2434*'Costing'!$C$4,2)</x:f>
        <x:v>5400</x:v>
      </x:c>
      <x:c r="K2434" s="17" t="n">
        <x:f>I2434+J2434</x:f>
        <x:v>35400</x:v>
      </x:c>
    </x:row>
    <x:row r="2435" ht="46" customHeight="1">
      <x:c r="A2435" s="2" t="str">
        <x:v>Sector</x:v>
      </x:c>
      <x:c r="B2435" s="2" t="str">
        <x:v>Unresolved</x:v>
      </x:c>
      <x:c r="C2435" s="12" t="str">
        <x:v>Delhi NCR</x:v>
      </x:c>
      <x:c r="D2435" s="12" t="str">
        <x:v>MAIN-366</x:v>
      </x:c>
      <x:c r="E2435" s="12" t="str">
        <x:v>Awfis - Knowledge Boulevard</x:v>
      </x:c>
      <x:c r="F2435" s="11" t="n">
        <x:v>3</x:v>
      </x:c>
      <x:c r="G2435" s="11" t="n">
        <x:v>3</x:v>
      </x:c>
      <x:c r="H2435" s="11" t="n">
        <x:v>0</x:v>
      </x:c>
      <x:c r="I2435" s="17" t="n">
        <x:f>INDEX('Costing'!$P$9:$P$492,MATCH(D2435,'Costing'!$A$9:$A$492,0))</x:f>
        <x:v>45000</x:v>
      </x:c>
      <x:c r="J2435" s="17" t="n">
        <x:f>ROUND(I2435*'Costing'!$C$4,2)</x:f>
        <x:v>8100</x:v>
      </x:c>
      <x:c r="K2435" s="17" t="n">
        <x:f>I2435+J2435</x:f>
        <x:v>53100</x:v>
      </x:c>
    </x:row>
    <x:row r="2436" ht="46" customHeight="1">
      <x:c r="A2436" s="2" t="str">
        <x:v>Sector</x:v>
      </x:c>
      <x:c r="B2436" s="2" t="str">
        <x:v>Unresolved</x:v>
      </x:c>
      <x:c r="C2436" s="12" t="str">
        <x:v>Delhi NCR</x:v>
      </x:c>
      <x:c r="D2436" s="12" t="str">
        <x:v>MAIN-367</x:v>
      </x:c>
      <x:c r="E2436" s="12" t="str">
        <x:v>Awfis - Majestic Signia</x:v>
      </x:c>
      <x:c r="F2436" s="11" t="n">
        <x:v>2</x:v>
      </x:c>
      <x:c r="G2436" s="11" t="n">
        <x:v>2</x:v>
      </x:c>
      <x:c r="H2436" s="11" t="n">
        <x:v>0</x:v>
      </x:c>
      <x:c r="I2436" s="17" t="n">
        <x:f>INDEX('Costing'!$P$9:$P$492,MATCH(D2436,'Costing'!$A$9:$A$492,0))</x:f>
        <x:v>30000</x:v>
      </x:c>
      <x:c r="J2436" s="17" t="n">
        <x:f>ROUND(I2436*'Costing'!$C$4,2)</x:f>
        <x:v>5400</x:v>
      </x:c>
      <x:c r="K2436" s="17" t="n">
        <x:f>I2436+J2436</x:f>
        <x:v>35400</x:v>
      </x:c>
    </x:row>
    <x:row r="2437" ht="46" customHeight="1">
      <x:c r="A2437" s="2" t="str">
        <x:v>Sector</x:v>
      </x:c>
      <x:c r="B2437" s="2" t="str">
        <x:v>Unresolved</x:v>
      </x:c>
      <x:c r="C2437" s="12" t="str">
        <x:v>Delhi NCR</x:v>
      </x:c>
      <x:c r="D2437" s="12" t="str">
        <x:v>MAIN-163</x:v>
      </x:c>
      <x:c r="E2437" s="12" t="str">
        <x:v>Awfis - Mohan Cooperative</x:v>
      </x:c>
      <x:c r="F2437" s="11" t="n">
        <x:v>3</x:v>
      </x:c>
      <x:c r="G2437" s="11" t="n">
        <x:v>3</x:v>
      </x:c>
      <x:c r="H2437" s="11" t="n">
        <x:v>0</x:v>
      </x:c>
      <x:c r="I2437" s="17" t="n">
        <x:f>INDEX('Costing'!$P$9:$P$492,MATCH(D2437,'Costing'!$A$9:$A$492,0))</x:f>
        <x:v>45000</x:v>
      </x:c>
      <x:c r="J2437" s="17" t="n">
        <x:f>ROUND(I2437*'Costing'!$C$4,2)</x:f>
        <x:v>8100</x:v>
      </x:c>
      <x:c r="K2437" s="17" t="n">
        <x:f>I2437+J2437</x:f>
        <x:v>53100</x:v>
      </x:c>
    </x:row>
    <x:row r="2438" ht="46" customHeight="1">
      <x:c r="A2438" s="2" t="str">
        <x:v>Sector</x:v>
      </x:c>
      <x:c r="B2438" s="2" t="str">
        <x:v>Unresolved</x:v>
      </x:c>
      <x:c r="C2438" s="12" t="str">
        <x:v>Delhi NCR</x:v>
      </x:c>
      <x:c r="D2438" s="12" t="str">
        <x:v>MAIN-164</x:v>
      </x:c>
      <x:c r="E2438" s="12" t="str">
        <x:v>Awfis - Mohan Cooperative 2</x:v>
      </x:c>
      <x:c r="F2438" s="11" t="n">
        <x:v>1</x:v>
      </x:c>
      <x:c r="G2438" s="11" t="n">
        <x:v>1</x:v>
      </x:c>
      <x:c r="H2438" s="11" t="n">
        <x:v>0</x:v>
      </x:c>
      <x:c r="I2438" s="17" t="n">
        <x:f>INDEX('Costing'!$P$9:$P$492,MATCH(D2438,'Costing'!$A$9:$A$492,0))</x:f>
        <x:v>15000</x:v>
      </x:c>
      <x:c r="J2438" s="17" t="n">
        <x:f>ROUND(I2438*'Costing'!$C$4,2)</x:f>
        <x:v>2700</x:v>
      </x:c>
      <x:c r="K2438" s="17" t="n">
        <x:f>I2438+J2438</x:f>
        <x:v>17700</x:v>
      </x:c>
    </x:row>
    <x:row r="2439" ht="46" customHeight="1">
      <x:c r="A2439" s="2" t="str">
        <x:v>Sector</x:v>
      </x:c>
      <x:c r="B2439" s="2" t="str">
        <x:v>Unresolved</x:v>
      </x:c>
      <x:c r="C2439" s="12" t="str">
        <x:v>Delhi NCR</x:v>
      </x:c>
      <x:c r="D2439" s="12" t="str">
        <x:v>MAIN-180</x:v>
      </x:c>
      <x:c r="E2439" s="12" t="str">
        <x:v>Awfis - Paras Trinity</x:v>
      </x:c>
      <x:c r="F2439" s="11" t="n">
        <x:v>3</x:v>
      </x:c>
      <x:c r="G2439" s="11" t="n">
        <x:v>3</x:v>
      </x:c>
      <x:c r="H2439" s="11" t="n">
        <x:v>0</x:v>
      </x:c>
      <x:c r="I2439" s="17" t="n">
        <x:f>INDEX('Costing'!$P$9:$P$492,MATCH(D2439,'Costing'!$A$9:$A$492,0))</x:f>
        <x:v>45000</x:v>
      </x:c>
      <x:c r="J2439" s="17" t="n">
        <x:f>ROUND(I2439*'Costing'!$C$4,2)</x:f>
        <x:v>8100</x:v>
      </x:c>
      <x:c r="K2439" s="17" t="n">
        <x:f>I2439+J2439</x:f>
        <x:v>53100</x:v>
      </x:c>
    </x:row>
    <x:row r="2440" ht="46" customHeight="1">
      <x:c r="A2440" s="2" t="str">
        <x:v>Sector</x:v>
      </x:c>
      <x:c r="B2440" s="2" t="str">
        <x:v>Unresolved</x:v>
      </x:c>
      <x:c r="C2440" s="12" t="str">
        <x:v>Delhi NCR</x:v>
      </x:c>
      <x:c r="D2440" s="12" t="str">
        <x:v>MAIN-182</x:v>
      </x:c>
      <x:c r="E2440" s="12" t="str">
        <x:v>Awfis - Unitech Cyber Park - 2</x:v>
      </x:c>
      <x:c r="F2440" s="11" t="n">
        <x:v>2</x:v>
      </x:c>
      <x:c r="G2440" s="11" t="n">
        <x:v>2</x:v>
      </x:c>
      <x:c r="H2440" s="11" t="n">
        <x:v>0</x:v>
      </x:c>
      <x:c r="I2440" s="17" t="n">
        <x:f>INDEX('Costing'!$P$9:$P$492,MATCH(D2440,'Costing'!$A$9:$A$492,0))</x:f>
        <x:v>30000</x:v>
      </x:c>
      <x:c r="J2440" s="17" t="n">
        <x:f>ROUND(I2440*'Costing'!$C$4,2)</x:f>
        <x:v>5400</x:v>
      </x:c>
      <x:c r="K2440" s="17" t="n">
        <x:f>I2440+J2440</x:f>
        <x:v>35400</x:v>
      </x:c>
    </x:row>
    <x:row r="2441" ht="46" customHeight="1">
      <x:c r="A2441" s="2" t="str">
        <x:v>Sector</x:v>
      </x:c>
      <x:c r="B2441" s="2" t="str">
        <x:v>Unresolved</x:v>
      </x:c>
      <x:c r="C2441" s="12" t="str">
        <x:v>Delhi NCR</x:v>
      </x:c>
      <x:c r="D2441" s="12" t="str">
        <x:v>MAIN-183</x:v>
      </x:c>
      <x:c r="E2441" s="12" t="str">
        <x:v>Centrum Plaza</x:v>
      </x:c>
      <x:c r="F2441" s="11" t="n">
        <x:v>1</x:v>
      </x:c>
      <x:c r="G2441" s="11" t="n">
        <x:v>1</x:v>
      </x:c>
      <x:c r="H2441" s="11" t="n">
        <x:v>0</x:v>
      </x:c>
      <x:c r="I2441" s="17" t="n">
        <x:f>INDEX('Costing'!$P$9:$P$492,MATCH(D2441,'Costing'!$A$9:$A$492,0))</x:f>
        <x:v>15000</x:v>
      </x:c>
      <x:c r="J2441" s="17" t="n">
        <x:f>ROUND(I2441*'Costing'!$C$4,2)</x:f>
        <x:v>2700</x:v>
      </x:c>
      <x:c r="K2441" s="17" t="n">
        <x:f>I2441+J2441</x:f>
        <x:v>17700</x:v>
      </x:c>
    </x:row>
    <x:row r="2442" ht="46" customHeight="1">
      <x:c r="A2442" s="2" t="str">
        <x:v>Sector</x:v>
      </x:c>
      <x:c r="B2442" s="2" t="str">
        <x:v>Unresolved</x:v>
      </x:c>
      <x:c r="C2442" s="12" t="str">
        <x:v>Delhi NCR</x:v>
      </x:c>
      <x:c r="D2442" s="12" t="str">
        <x:v>MAIN-184</x:v>
      </x:c>
      <x:c r="E2442" s="12" t="str">
        <x:v>Centrum Plaza</x:v>
      </x:c>
      <x:c r="F2442" s="11" t="n">
        <x:v>3</x:v>
      </x:c>
      <x:c r="G2442" s="11" t="n">
        <x:v>3</x:v>
      </x:c>
      <x:c r="H2442" s="11" t="n">
        <x:v>0</x:v>
      </x:c>
      <x:c r="I2442" s="17" t="n">
        <x:f>INDEX('Costing'!$P$9:$P$492,MATCH(D2442,'Costing'!$A$9:$A$492,0))</x:f>
        <x:v>60000</x:v>
      </x:c>
      <x:c r="J2442" s="17" t="n">
        <x:f>ROUND(I2442*'Costing'!$C$4,2)</x:f>
        <x:v>10800</x:v>
      </x:c>
      <x:c r="K2442" s="17" t="n">
        <x:f>I2442+J2442</x:f>
        <x:v>70800</x:v>
      </x:c>
    </x:row>
    <x:row r="2443" ht="46" customHeight="1">
      <x:c r="A2443" s="2" t="str">
        <x:v>Sector</x:v>
      </x:c>
      <x:c r="B2443" s="2" t="str">
        <x:v>Unresolved</x:v>
      </x:c>
      <x:c r="C2443" s="12" t="str">
        <x:v>Delhi NCR</x:v>
      </x:c>
      <x:c r="D2443" s="12" t="str">
        <x:v>MAIN-167</x:v>
      </x:c>
      <x:c r="E2443" s="12" t="str">
        <x:v>Emaar Colonnade</x:v>
      </x:c>
      <x:c r="F2443" s="11" t="n">
        <x:v>5</x:v>
      </x:c>
      <x:c r="G2443" s="11" t="n">
        <x:v>5</x:v>
      </x:c>
      <x:c r="H2443" s="11" t="n">
        <x:v>0</x:v>
      </x:c>
      <x:c r="I2443" s="17" t="n">
        <x:f>INDEX('Costing'!$P$9:$P$492,MATCH(D2443,'Costing'!$A$9:$A$492,0))</x:f>
        <x:v>200000</x:v>
      </x:c>
      <x:c r="J2443" s="17" t="n">
        <x:f>ROUND(I2443*'Costing'!$C$4,2)</x:f>
        <x:v>36000</x:v>
      </x:c>
      <x:c r="K2443" s="17" t="n">
        <x:f>I2443+J2443</x:f>
        <x:v>236000</x:v>
      </x:c>
    </x:row>
    <x:row r="2444" ht="46" customHeight="1">
      <x:c r="A2444" s="2" t="str">
        <x:v>Sector</x:v>
      </x:c>
      <x:c r="B2444" s="2" t="str">
        <x:v>Unresolved</x:v>
      </x:c>
      <x:c r="C2444" s="12" t="str">
        <x:v>Delhi NCR</x:v>
      </x:c>
      <x:c r="D2444" s="12" t="str">
        <x:v>MAIN-371</x:v>
      </x:c>
      <x:c r="E2444" s="12" t="str">
        <x:v>Etherea - Coworking Space</x:v>
      </x:c>
      <x:c r="F2444" s="11" t="n">
        <x:v>3</x:v>
      </x:c>
      <x:c r="G2444" s="11" t="n">
        <x:v>3</x:v>
      </x:c>
      <x:c r="H2444" s="11" t="n">
        <x:v>0</x:v>
      </x:c>
      <x:c r="I2444" s="17" t="n">
        <x:f>INDEX('Costing'!$P$9:$P$492,MATCH(D2444,'Costing'!$A$9:$A$492,0))</x:f>
        <x:v>45000</x:v>
      </x:c>
      <x:c r="J2444" s="17" t="n">
        <x:f>ROUND(I2444*'Costing'!$C$4,2)</x:f>
        <x:v>8100</x:v>
      </x:c>
      <x:c r="K2444" s="17" t="n">
        <x:f>I2444+J2444</x:f>
        <x:v>53100</x:v>
      </x:c>
    </x:row>
    <x:row r="2445" ht="46" customHeight="1">
      <x:c r="A2445" s="2" t="str">
        <x:v>Sector</x:v>
      </x:c>
      <x:c r="B2445" s="2" t="str">
        <x:v>Unresolved</x:v>
      </x:c>
      <x:c r="C2445" s="12" t="str">
        <x:v>Delhi NCR</x:v>
      </x:c>
      <x:c r="D2445" s="12" t="str">
        <x:v>MAIN-191</x:v>
      </x:c>
      <x:c r="E2445" s="12" t="str">
        <x:v>ILD Trade Centre</x:v>
      </x:c>
      <x:c r="F2445" s="11" t="n">
        <x:v>1</x:v>
      </x:c>
      <x:c r="G2445" s="11" t="n">
        <x:v>1</x:v>
      </x:c>
      <x:c r="H2445" s="11" t="n">
        <x:v>0</x:v>
      </x:c>
      <x:c r="I2445" s="17" t="n">
        <x:f>INDEX('Costing'!$P$9:$P$492,MATCH(D2445,'Costing'!$A$9:$A$492,0))</x:f>
        <x:v>40000</x:v>
      </x:c>
      <x:c r="J2445" s="17" t="n">
        <x:f>ROUND(I2445*'Costing'!$C$4,2)</x:f>
        <x:v>7200</x:v>
      </x:c>
      <x:c r="K2445" s="17" t="n">
        <x:f>I2445+J2445</x:f>
        <x:v>47200</x:v>
      </x:c>
    </x:row>
    <x:row r="2446" ht="46" customHeight="1">
      <x:c r="A2446" s="2" t="str">
        <x:v>Sector</x:v>
      </x:c>
      <x:c r="B2446" s="2" t="str">
        <x:v>Unresolved</x:v>
      </x:c>
      <x:c r="C2446" s="12" t="str">
        <x:v>Delhi NCR</x:v>
      </x:c>
      <x:c r="D2446" s="12" t="str">
        <x:v>MAIN-168</x:v>
      </x:c>
      <x:c r="E2446" s="12" t="str">
        <x:v>India Accelerator Coworking - BPTP Centra One</x:v>
      </x:c>
      <x:c r="F2446" s="11" t="n">
        <x:v>5</x:v>
      </x:c>
      <x:c r="G2446" s="11" t="n">
        <x:v>5</x:v>
      </x:c>
      <x:c r="H2446" s="11" t="n">
        <x:v>0</x:v>
      </x:c>
      <x:c r="I2446" s="17" t="n">
        <x:f>INDEX('Costing'!$P$9:$P$492,MATCH(D2446,'Costing'!$A$9:$A$492,0))</x:f>
        <x:v>200000</x:v>
      </x:c>
      <x:c r="J2446" s="17" t="n">
        <x:f>ROUND(I2446*'Costing'!$C$4,2)</x:f>
        <x:v>36000</x:v>
      </x:c>
      <x:c r="K2446" s="17" t="n">
        <x:f>I2446+J2446</x:f>
        <x:v>236000</x:v>
      </x:c>
    </x:row>
    <x:row r="2447" ht="46" customHeight="1">
      <x:c r="A2447" s="2" t="str">
        <x:v>Sector</x:v>
      </x:c>
      <x:c r="B2447" s="2" t="str">
        <x:v>Unresolved</x:v>
      </x:c>
      <x:c r="C2447" s="12" t="str">
        <x:v>Delhi NCR</x:v>
      </x:c>
      <x:c r="D2447" s="12" t="str">
        <x:v>MAIN-373</x:v>
      </x:c>
      <x:c r="E2447" s="12" t="str">
        <x:v>India Accelerator Coworking - The Iconic Corenthum</x:v>
      </x:c>
      <x:c r="F2447" s="11" t="n">
        <x:v>6</x:v>
      </x:c>
      <x:c r="G2447" s="11" t="n">
        <x:v>6</x:v>
      </x:c>
      <x:c r="H2447" s="11" t="n">
        <x:v>0</x:v>
      </x:c>
      <x:c r="I2447" s="17" t="n">
        <x:f>INDEX('Costing'!$P$9:$P$492,MATCH(D2447,'Costing'!$A$9:$A$492,0))</x:f>
        <x:v>240000</x:v>
      </x:c>
      <x:c r="J2447" s="17" t="n">
        <x:f>ROUND(I2447*'Costing'!$C$4,2)</x:f>
        <x:v>43200</x:v>
      </x:c>
      <x:c r="K2447" s="17" t="n">
        <x:f>I2447+J2447</x:f>
        <x:v>283200</x:v>
      </x:c>
    </x:row>
    <x:row r="2448" ht="46" customHeight="1">
      <x:c r="A2448" s="2" t="str">
        <x:v>Sector</x:v>
      </x:c>
      <x:c r="B2448" s="2" t="str">
        <x:v>Unresolved</x:v>
      </x:c>
      <x:c r="C2448" s="12" t="str">
        <x:v>Delhi NCR</x:v>
      </x:c>
      <x:c r="D2448" s="12" t="str">
        <x:v>MAIN-195</x:v>
      </x:c>
      <x:c r="E2448" s="12" t="str">
        <x:v>India Accelerator Coworking - Vatika Triangle</x:v>
      </x:c>
      <x:c r="F2448" s="11" t="n">
        <x:v>3</x:v>
      </x:c>
      <x:c r="G2448" s="11" t="n">
        <x:v>3</x:v>
      </x:c>
      <x:c r="H2448" s="11" t="n">
        <x:v>0</x:v>
      </x:c>
      <x:c r="I2448" s="17" t="n">
        <x:f>INDEX('Costing'!$P$9:$P$492,MATCH(D2448,'Costing'!$A$9:$A$492,0))</x:f>
        <x:v>60000</x:v>
      </x:c>
      <x:c r="J2448" s="17" t="n">
        <x:f>ROUND(I2448*'Costing'!$C$4,2)</x:f>
        <x:v>10800</x:v>
      </x:c>
      <x:c r="K2448" s="17" t="n">
        <x:f>I2448+J2448</x:f>
        <x:v>70800</x:v>
      </x:c>
    </x:row>
    <x:row r="2449" ht="46" customHeight="1">
      <x:c r="A2449" s="2" t="str">
        <x:v>Sector</x:v>
      </x:c>
      <x:c r="B2449" s="2" t="str">
        <x:v>Unresolved</x:v>
      </x:c>
      <x:c r="C2449" s="12" t="str">
        <x:v>Delhi NCR</x:v>
      </x:c>
      <x:c r="D2449" s="12" t="str">
        <x:v>MAIN-169</x:v>
      </x:c>
      <x:c r="E2449" s="12" t="str">
        <x:v>Logix Cyber Park</x:v>
      </x:c>
      <x:c r="F2449" s="11" t="n">
        <x:v>15</x:v>
      </x:c>
      <x:c r="G2449" s="11" t="n">
        <x:v>15</x:v>
      </x:c>
      <x:c r="H2449" s="11" t="n">
        <x:v>0</x:v>
      </x:c>
      <x:c r="I2449" s="17" t="n">
        <x:f>INDEX('Costing'!$P$9:$P$492,MATCH(D2449,'Costing'!$A$9:$A$492,0))</x:f>
        <x:v>300000</x:v>
      </x:c>
      <x:c r="J2449" s="17" t="n">
        <x:f>ROUND(I2449*'Costing'!$C$4,2)</x:f>
        <x:v>54000</x:v>
      </x:c>
      <x:c r="K2449" s="17" t="n">
        <x:f>I2449+J2449</x:f>
        <x:v>354000</x:v>
      </x:c>
    </x:row>
    <x:row r="2450" ht="46" customHeight="1">
      <x:c r="A2450" s="2" t="str">
        <x:v>Sector</x:v>
      </x:c>
      <x:c r="B2450" s="2" t="str">
        <x:v>Unresolved</x:v>
      </x:c>
      <x:c r="C2450" s="12" t="str">
        <x:v>Delhi NCR</x:v>
      </x:c>
      <x:c r="D2450" s="12" t="str">
        <x:v>MAIN-374</x:v>
      </x:c>
      <x:c r="E2450" s="12" t="str">
        <x:v>Logix Infotech Park</x:v>
      </x:c>
      <x:c r="F2450" s="11" t="n">
        <x:v>2</x:v>
      </x:c>
      <x:c r="G2450" s="11" t="n">
        <x:v>2</x:v>
      </x:c>
      <x:c r="H2450" s="11" t="n">
        <x:v>0</x:v>
      </x:c>
      <x:c r="I2450" s="17" t="n">
        <x:f>INDEX('Costing'!$P$9:$P$492,MATCH(D2450,'Costing'!$A$9:$A$492,0))</x:f>
        <x:v>80000</x:v>
      </x:c>
      <x:c r="J2450" s="17" t="n">
        <x:f>ROUND(I2450*'Costing'!$C$4,2)</x:f>
        <x:v>14400</x:v>
      </x:c>
      <x:c r="K2450" s="17" t="n">
        <x:f>I2450+J2450</x:f>
        <x:v>94400</x:v>
      </x:c>
    </x:row>
    <x:row r="2451" ht="46" customHeight="1">
      <x:c r="A2451" s="2" t="str">
        <x:v>Sector</x:v>
      </x:c>
      <x:c r="B2451" s="2" t="str">
        <x:v>Unresolved</x:v>
      </x:c>
      <x:c r="C2451" s="12" t="str">
        <x:v>Delhi NCR</x:v>
      </x:c>
      <x:c r="D2451" s="12" t="str">
        <x:v>MAIN-375</x:v>
      </x:c>
      <x:c r="E2451" s="12" t="str">
        <x:v>Logix Infotech Park</x:v>
      </x:c>
      <x:c r="F2451" s="11" t="n">
        <x:v>4</x:v>
      </x:c>
      <x:c r="G2451" s="11" t="n">
        <x:v>4</x:v>
      </x:c>
      <x:c r="H2451" s="11" t="n">
        <x:v>0</x:v>
      </x:c>
      <x:c r="I2451" s="17" t="n">
        <x:f>INDEX('Costing'!$P$9:$P$492,MATCH(D2451,'Costing'!$A$9:$A$492,0))</x:f>
        <x:v>60000</x:v>
      </x:c>
      <x:c r="J2451" s="17" t="n">
        <x:f>ROUND(I2451*'Costing'!$C$4,2)</x:f>
        <x:v>10800</x:v>
      </x:c>
      <x:c r="K2451" s="17" t="n">
        <x:f>I2451+J2451</x:f>
        <x:v>70800</x:v>
      </x:c>
    </x:row>
    <x:row r="2452" ht="46" customHeight="1">
      <x:c r="A2452" s="2" t="str">
        <x:v>Sector</x:v>
      </x:c>
      <x:c r="B2452" s="2" t="str">
        <x:v>Unresolved</x:v>
      </x:c>
      <x:c r="C2452" s="12" t="str">
        <x:v>Delhi NCR</x:v>
      </x:c>
      <x:c r="D2452" s="12" t="str">
        <x:v>MAIN-199</x:v>
      </x:c>
      <x:c r="E2452" s="12" t="str">
        <x:v>Satya The Hive</x:v>
      </x:c>
      <x:c r="F2452" s="11" t="n">
        <x:v>1</x:v>
      </x:c>
      <x:c r="G2452" s="11" t="n">
        <x:v>1</x:v>
      </x:c>
      <x:c r="H2452" s="11" t="n">
        <x:v>0</x:v>
      </x:c>
      <x:c r="I2452" s="17" t="n">
        <x:f>INDEX('Costing'!$P$9:$P$492,MATCH(D2452,'Costing'!$A$9:$A$492,0))</x:f>
        <x:v>40000</x:v>
      </x:c>
      <x:c r="J2452" s="17" t="n">
        <x:f>ROUND(I2452*'Costing'!$C$4,2)</x:f>
        <x:v>7200</x:v>
      </x:c>
      <x:c r="K2452" s="17" t="n">
        <x:f>I2452+J2452</x:f>
        <x:v>47200</x:v>
      </x:c>
    </x:row>
    <x:row r="2453" ht="46" customHeight="1">
      <x:c r="A2453" s="2" t="str">
        <x:v>Sector</x:v>
      </x:c>
      <x:c r="B2453" s="2" t="str">
        <x:v>Unresolved</x:v>
      </x:c>
      <x:c r="C2453" s="12" t="str">
        <x:v>Delhi NCR</x:v>
      </x:c>
      <x:c r="D2453" s="12" t="str">
        <x:v>MAIN-200</x:v>
      </x:c>
      <x:c r="E2453" s="12" t="str">
        <x:v>Satya The Hive {IE}</x:v>
      </x:c>
      <x:c r="F2453" s="11" t="n">
        <x:v>7</x:v>
      </x:c>
      <x:c r="G2453" s="11" t="n">
        <x:v>7</x:v>
      </x:c>
      <x:c r="H2453" s="11" t="n">
        <x:v>0</x:v>
      </x:c>
      <x:c r="I2453" s="17" t="n">
        <x:f>INDEX('Costing'!$P$9:$P$492,MATCH(D2453,'Costing'!$A$9:$A$492,0))</x:f>
        <x:v>105000</x:v>
      </x:c>
      <x:c r="J2453" s="17" t="n">
        <x:f>ROUND(I2453*'Costing'!$C$4,2)</x:f>
        <x:v>18900</x:v>
      </x:c>
      <x:c r="K2453" s="17" t="n">
        <x:f>I2453+J2453</x:f>
        <x:v>123900</x:v>
      </x:c>
    </x:row>
    <x:row r="2454" ht="46" customHeight="1">
      <x:c r="A2454" s="2" t="str">
        <x:v>Sector</x:v>
      </x:c>
      <x:c r="B2454" s="2" t="str">
        <x:v>Unresolved</x:v>
      </x:c>
      <x:c r="C2454" s="12" t="str">
        <x:v>Delhi NCR</x:v>
      </x:c>
      <x:c r="D2454" s="12" t="str">
        <x:v>MAIN-201</x:v>
      </x:c>
      <x:c r="E2454" s="12" t="str">
        <x:v>Unitech - Business Park</x:v>
      </x:c>
      <x:c r="F2454" s="11" t="n">
        <x:v>2</x:v>
      </x:c>
      <x:c r="G2454" s="11" t="n">
        <x:v>2</x:v>
      </x:c>
      <x:c r="H2454" s="11" t="n">
        <x:v>0</x:v>
      </x:c>
      <x:c r="I2454" s="17" t="n">
        <x:f>INDEX('Costing'!$P$9:$P$492,MATCH(D2454,'Costing'!$A$9:$A$492,0))</x:f>
        <x:v>80000</x:v>
      </x:c>
      <x:c r="J2454" s="17" t="n">
        <x:f>ROUND(I2454*'Costing'!$C$4,2)</x:f>
        <x:v>14400</x:v>
      </x:c>
      <x:c r="K2454" s="17" t="n">
        <x:f>I2454+J2454</x:f>
        <x:v>94400</x:v>
      </x:c>
    </x:row>
    <x:row r="2455" ht="46" customHeight="1">
      <x:c r="A2455" s="2" t="str">
        <x:v>Sector</x:v>
      </x:c>
      <x:c r="B2455" s="2" t="str">
        <x:v>Unresolved</x:v>
      </x:c>
      <x:c r="C2455" s="12" t="str">
        <x:v>Delhi NCR</x:v>
      </x:c>
      <x:c r="D2455" s="12" t="str">
        <x:v>MAIN-202</x:v>
      </x:c>
      <x:c r="E2455" s="12" t="str">
        <x:v>Unitech - Business Zone</x:v>
      </x:c>
      <x:c r="F2455" s="11" t="n">
        <x:v>4</x:v>
      </x:c>
      <x:c r="G2455" s="11" t="n">
        <x:v>4</x:v>
      </x:c>
      <x:c r="H2455" s="11" t="n">
        <x:v>0</x:v>
      </x:c>
      <x:c r="I2455" s="17" t="n">
        <x:f>INDEX('Costing'!$P$9:$P$492,MATCH(D2455,'Costing'!$A$9:$A$492,0))</x:f>
        <x:v>160000</x:v>
      </x:c>
      <x:c r="J2455" s="17" t="n">
        <x:f>ROUND(I2455*'Costing'!$C$4,2)</x:f>
        <x:v>28800</x:v>
      </x:c>
      <x:c r="K2455" s="17" t="n">
        <x:f>I2455+J2455</x:f>
        <x:v>188800</x:v>
      </x:c>
    </x:row>
    <x:row r="2456" ht="46" customHeight="1">
      <x:c r="A2456" s="2" t="str">
        <x:v>Sector</x:v>
      </x:c>
      <x:c r="B2456" s="2" t="str">
        <x:v>Unresolved</x:v>
      </x:c>
      <x:c r="C2456" s="12" t="str">
        <x:v>Delhi NCR</x:v>
      </x:c>
      <x:c r="D2456" s="12" t="str">
        <x:v>MAIN-203</x:v>
      </x:c>
      <x:c r="E2456" s="12" t="str">
        <x:v>Unitech - Commercial Tower 2</x:v>
      </x:c>
      <x:c r="F2456" s="11" t="n">
        <x:v>1</x:v>
      </x:c>
      <x:c r="G2456" s="11" t="n">
        <x:v>1</x:v>
      </x:c>
      <x:c r="H2456" s="11" t="n">
        <x:v>0</x:v>
      </x:c>
      <x:c r="I2456" s="17" t="n">
        <x:f>INDEX('Costing'!$P$9:$P$492,MATCH(D2456,'Costing'!$A$9:$A$492,0))</x:f>
        <x:v>40000</x:v>
      </x:c>
      <x:c r="J2456" s="17" t="n">
        <x:f>ROUND(I2456*'Costing'!$C$4,2)</x:f>
        <x:v>7200</x:v>
      </x:c>
      <x:c r="K2456" s="17" t="n">
        <x:f>I2456+J2456</x:f>
        <x:v>47200</x:v>
      </x:c>
    </x:row>
    <x:row r="2457" ht="46" customHeight="1">
      <x:c r="A2457" s="2" t="str">
        <x:v>Sector</x:v>
      </x:c>
      <x:c r="B2457" s="2" t="str">
        <x:v>Unresolved</x:v>
      </x:c>
      <x:c r="C2457" s="12" t="str">
        <x:v>Delhi NCR</x:v>
      </x:c>
      <x:c r="D2457" s="12" t="str">
        <x:v>MAIN-204</x:v>
      </x:c>
      <x:c r="E2457" s="12" t="str">
        <x:v>Unitech - Cyber Park</x:v>
      </x:c>
      <x:c r="F2457" s="11" t="n">
        <x:v>4</x:v>
      </x:c>
      <x:c r="G2457" s="11" t="n">
        <x:v>4</x:v>
      </x:c>
      <x:c r="H2457" s="11" t="n">
        <x:v>0</x:v>
      </x:c>
      <x:c r="I2457" s="17" t="n">
        <x:f>INDEX('Costing'!$P$9:$P$492,MATCH(D2457,'Costing'!$A$9:$A$492,0))</x:f>
        <x:v>160000</x:v>
      </x:c>
      <x:c r="J2457" s="17" t="n">
        <x:f>ROUND(I2457*'Costing'!$C$4,2)</x:f>
        <x:v>28800</x:v>
      </x:c>
      <x:c r="K2457" s="17" t="n">
        <x:f>I2457+J2457</x:f>
        <x:v>188800</x:v>
      </x:c>
    </x:row>
    <x:row r="2458" ht="46" customHeight="1">
      <x:c r="A2458" s="2" t="str">
        <x:v>Sector</x:v>
      </x:c>
      <x:c r="B2458" s="2" t="str">
        <x:v>Unresolved</x:v>
      </x:c>
      <x:c r="C2458" s="12" t="str">
        <x:v>Delhi NCR</x:v>
      </x:c>
      <x:c r="D2458" s="12" t="str">
        <x:v>MAIN-206</x:v>
      </x:c>
      <x:c r="E2458" s="12" t="str">
        <x:v>Unitech - Global Business Park</x:v>
      </x:c>
      <x:c r="F2458" s="11" t="n">
        <x:v>3</x:v>
      </x:c>
      <x:c r="G2458" s="11" t="n">
        <x:v>3</x:v>
      </x:c>
      <x:c r="H2458" s="11" t="n">
        <x:v>0</x:v>
      </x:c>
      <x:c r="I2458" s="17" t="n">
        <x:f>INDEX('Costing'!$P$9:$P$492,MATCH(D2458,'Costing'!$A$9:$A$492,0))</x:f>
        <x:v>120000</x:v>
      </x:c>
      <x:c r="J2458" s="17" t="n">
        <x:f>ROUND(I2458*'Costing'!$C$4,2)</x:f>
        <x:v>21600</x:v>
      </x:c>
      <x:c r="K2458" s="17" t="n">
        <x:f>I2458+J2458</x:f>
        <x:v>141600</x:v>
      </x:c>
    </x:row>
    <x:row r="2459" ht="46" customHeight="1">
      <x:c r="A2459" s="2" t="str">
        <x:v>Sector</x:v>
      </x:c>
      <x:c r="B2459" s="2" t="str">
        <x:v>Unresolved</x:v>
      </x:c>
      <x:c r="C2459" s="12" t="str">
        <x:v>Delhi NCR</x:v>
      </x:c>
      <x:c r="D2459" s="12" t="str">
        <x:v>MAIN-207</x:v>
      </x:c>
      <x:c r="E2459" s="12" t="str">
        <x:v>Unitech - Signature Tower</x:v>
      </x:c>
      <x:c r="F2459" s="11" t="n">
        <x:v>2</x:v>
      </x:c>
      <x:c r="G2459" s="11" t="n">
        <x:v>2</x:v>
      </x:c>
      <x:c r="H2459" s="11" t="n">
        <x:v>0</x:v>
      </x:c>
      <x:c r="I2459" s="17" t="n">
        <x:f>INDEX('Costing'!$P$9:$P$492,MATCH(D2459,'Costing'!$A$9:$A$492,0))</x:f>
        <x:v>80000</x:v>
      </x:c>
      <x:c r="J2459" s="17" t="n">
        <x:f>ROUND(I2459*'Costing'!$C$4,2)</x:f>
        <x:v>14400</x:v>
      </x:c>
      <x:c r="K2459" s="17" t="n">
        <x:f>I2459+J2459</x:f>
        <x:v>94400</x:v>
      </x:c>
    </x:row>
    <x:row r="2460" ht="46" customHeight="1">
      <x:c r="A2460" s="2" t="str">
        <x:v>Sector</x:v>
      </x:c>
      <x:c r="B2460" s="2" t="str">
        <x:v>Unresolved</x:v>
      </x:c>
      <x:c r="C2460" s="12" t="str">
        <x:v>Delhi NCR</x:v>
      </x:c>
      <x:c r="D2460" s="12" t="str">
        <x:v>MAIN-208</x:v>
      </x:c>
      <x:c r="E2460" s="12" t="str">
        <x:v>Unitech - Trade Center</x:v>
      </x:c>
      <x:c r="F2460" s="11" t="n">
        <x:v>1</x:v>
      </x:c>
      <x:c r="G2460" s="11" t="n">
        <x:v>1</x:v>
      </x:c>
      <x:c r="H2460" s="11" t="n">
        <x:v>0</x:v>
      </x:c>
      <x:c r="I2460" s="17" t="n">
        <x:f>INDEX('Costing'!$P$9:$P$492,MATCH(D2460,'Costing'!$A$9:$A$492,0))</x:f>
        <x:v>40000</x:v>
      </x:c>
      <x:c r="J2460" s="17" t="n">
        <x:f>ROUND(I2460*'Costing'!$C$4,2)</x:f>
        <x:v>7200</x:v>
      </x:c>
      <x:c r="K2460" s="17" t="n">
        <x:f>I2460+J2460</x:f>
        <x:v>47200</x:v>
      </x:c>
    </x:row>
    <x:row r="2461" ht="46" customHeight="1">
      <x:c r="A2461" s="2" t="str">
        <x:v>Sector</x:v>
      </x:c>
      <x:c r="B2461" s="2" t="str">
        <x:v>Unresolved</x:v>
      </x:c>
      <x:c r="C2461" s="12" t="str">
        <x:v>Delhi NCR</x:v>
      </x:c>
      <x:c r="D2461" s="12" t="str">
        <x:v>MAIN-210</x:v>
      </x:c>
      <x:c r="E2461" s="12" t="str">
        <x:v>WeWork - Forum</x:v>
      </x:c>
      <x:c r="F2461" s="11" t="n">
        <x:v>14</x:v>
      </x:c>
      <x:c r="G2461" s="11" t="n">
        <x:v>14</x:v>
      </x:c>
      <x:c r="H2461" s="11" t="n">
        <x:v>0</x:v>
      </x:c>
      <x:c r="I2461" s="17" t="n">
        <x:f>INDEX('Costing'!$P$9:$P$492,MATCH(D2461,'Costing'!$A$9:$A$492,0))</x:f>
        <x:v>350000</x:v>
      </x:c>
      <x:c r="J2461" s="17" t="n">
        <x:f>ROUND(I2461*'Costing'!$C$4,2)</x:f>
        <x:v>63000</x:v>
      </x:c>
      <x:c r="K2461" s="17" t="n">
        <x:f>I2461+J2461</x:f>
        <x:v>413000</x:v>
      </x:c>
    </x:row>
    <x:row r="2462" ht="46" customHeight="1">
      <x:c r="A2462" s="2" t="str">
        <x:v>Sector</x:v>
      </x:c>
      <x:c r="B2462" s="2" t="str">
        <x:v>Unresolved</x:v>
      </x:c>
      <x:c r="C2462" s="12" t="str">
        <x:v>Delhi NCR</x:v>
      </x:c>
      <x:c r="D2462" s="12" t="str">
        <x:v>MAIN-211</x:v>
      </x:c>
      <x:c r="E2462" s="12" t="str">
        <x:v>Wework - VI John</x:v>
      </x:c>
      <x:c r="F2462" s="11" t="n">
        <x:v>8</x:v>
      </x:c>
      <x:c r="G2462" s="11" t="n">
        <x:v>8</x:v>
      </x:c>
      <x:c r="H2462" s="11" t="n">
        <x:v>0</x:v>
      </x:c>
      <x:c r="I2462" s="17" t="n">
        <x:f>INDEX('Costing'!$P$9:$P$492,MATCH(D2462,'Costing'!$A$9:$A$492,0))</x:f>
        <x:v>200000</x:v>
      </x:c>
      <x:c r="J2462" s="17" t="n">
        <x:f>ROUND(I2462*'Costing'!$C$4,2)</x:f>
        <x:v>36000</x:v>
      </x:c>
      <x:c r="K2462" s="17" t="n">
        <x:f>I2462+J2462</x:f>
        <x:v>236000</x:v>
      </x:c>
    </x:row>
    <x:row r="2463" ht="46" customHeight="1">
      <x:c r="A2463" s="2" t="str">
        <x:v>Sector</x:v>
      </x:c>
      <x:c r="B2463" s="2" t="str">
        <x:v>Unresolved</x:v>
      </x:c>
      <x:c r="C2463" s="12" t="str">
        <x:v>Delhi NCR</x:v>
      </x:c>
      <x:c r="D2463" s="12" t="str">
        <x:v>MAIN-172</x:v>
      </x:c>
      <x:c r="E2463" s="12" t="str">
        <x:v>Workflow by Oyo - Aerocity</x:v>
      </x:c>
      <x:c r="F2463" s="11" t="n">
        <x:v>3</x:v>
      </x:c>
      <x:c r="G2463" s="11" t="n">
        <x:v>3</x:v>
      </x:c>
      <x:c r="H2463" s="11" t="n">
        <x:v>0</x:v>
      </x:c>
      <x:c r="I2463" s="17" t="n">
        <x:f>INDEX('Costing'!$P$9:$P$492,MATCH(D2463,'Costing'!$A$9:$A$492,0))</x:f>
        <x:v>45000</x:v>
      </x:c>
      <x:c r="J2463" s="17" t="n">
        <x:f>ROUND(I2463*'Costing'!$C$4,2)</x:f>
        <x:v>8100</x:v>
      </x:c>
      <x:c r="K2463" s="17" t="n">
        <x:f>I2463+J2463</x:f>
        <x:v>53100</x:v>
      </x:c>
    </x:row>
    <x:row r="2464" ht="46" customHeight="1">
      <x:c r="A2464" s="2" t="str">
        <x:v>Sector</x:v>
      </x:c>
      <x:c r="B2464" s="2" t="str">
        <x:v>Unresolved</x:v>
      </x:c>
      <x:c r="C2464" s="12" t="str">
        <x:v>Delhi NCR</x:v>
      </x:c>
      <x:c r="D2464" s="12" t="str">
        <x:v>MAIN-173</x:v>
      </x:c>
      <x:c r="E2464" s="12" t="str">
        <x:v>Workflow by Oyo - CP Regal</x:v>
      </x:c>
      <x:c r="F2464" s="11" t="n">
        <x:v>1</x:v>
      </x:c>
      <x:c r="G2464" s="11" t="n">
        <x:v>1</x:v>
      </x:c>
      <x:c r="H2464" s="11" t="n">
        <x:v>0</x:v>
      </x:c>
      <x:c r="I2464" s="17" t="n">
        <x:f>INDEX('Costing'!$P$9:$P$492,MATCH(D2464,'Costing'!$A$9:$A$492,0))</x:f>
        <x:v>15000</x:v>
      </x:c>
      <x:c r="J2464" s="17" t="n">
        <x:f>ROUND(I2464*'Costing'!$C$4,2)</x:f>
        <x:v>2700</x:v>
      </x:c>
      <x:c r="K2464" s="17" t="n">
        <x:f>I2464+J2464</x:f>
        <x:v>17700</x:v>
      </x:c>
    </x:row>
    <x:row r="2465" ht="46" customHeight="1">
      <x:c r="A2465" s="2" t="str">
        <x:v>Sector</x:v>
      </x:c>
      <x:c r="B2465" s="2" t="str">
        <x:v>Unresolved</x:v>
      </x:c>
      <x:c r="C2465" s="12" t="str">
        <x:v>Delhi NCR</x:v>
      </x:c>
      <x:c r="D2465" s="12" t="str">
        <x:v>MAIN-212</x:v>
      </x:c>
      <x:c r="E2465" s="12" t="str">
        <x:v>Workflow by Oyo - Golf Course Road</x:v>
      </x:c>
      <x:c r="F2465" s="11" t="n">
        <x:v>2</x:v>
      </x:c>
      <x:c r="G2465" s="11" t="n">
        <x:v>2</x:v>
      </x:c>
      <x:c r="H2465" s="11" t="n">
        <x:v>0</x:v>
      </x:c>
      <x:c r="I2465" s="17" t="n">
        <x:f>INDEX('Costing'!$P$9:$P$492,MATCH(D2465,'Costing'!$A$9:$A$492,0))</x:f>
        <x:v>30000</x:v>
      </x:c>
      <x:c r="J2465" s="17" t="n">
        <x:f>ROUND(I2465*'Costing'!$C$4,2)</x:f>
        <x:v>5400</x:v>
      </x:c>
      <x:c r="K2465" s="17" t="n">
        <x:f>I2465+J2465</x:f>
        <x:v>35400</x:v>
      </x:c>
    </x:row>
    <x:row r="2466" ht="46" customHeight="1">
      <x:c r="A2466" s="2" t="str">
        <x:v>Sector</x:v>
      </x:c>
      <x:c r="B2466" s="2" t="str">
        <x:v>Unresolved</x:v>
      </x:c>
      <x:c r="C2466" s="12" t="str">
        <x:v>Delhi NCR</x:v>
      </x:c>
      <x:c r="D2466" s="12" t="str">
        <x:v>MAIN-175</x:v>
      </x:c>
      <x:c r="E2466" s="12" t="str">
        <x:v>Workflow by Oyo - Old Fort Saket</x:v>
      </x:c>
      <x:c r="F2466" s="11" t="n">
        <x:v>1</x:v>
      </x:c>
      <x:c r="G2466" s="11" t="n">
        <x:v>1</x:v>
      </x:c>
      <x:c r="H2466" s="11" t="n">
        <x:v>0</x:v>
      </x:c>
      <x:c r="I2466" s="17" t="n">
        <x:f>INDEX('Costing'!$P$9:$P$492,MATCH(D2466,'Costing'!$A$9:$A$492,0))</x:f>
        <x:v>15000</x:v>
      </x:c>
      <x:c r="J2466" s="17" t="n">
        <x:f>ROUND(I2466*'Costing'!$C$4,2)</x:f>
        <x:v>2700</x:v>
      </x:c>
      <x:c r="K2466" s="17" t="n">
        <x:f>I2466+J2466</x:f>
        <x:v>17700</x:v>
      </x:c>
    </x:row>
    <x:row r="2467" ht="46" customHeight="1">
      <x:c r="A2467" s="2" t="str">
        <x:v>Sector</x:v>
      </x:c>
      <x:c r="B2467" s="2" t="str">
        <x:v>Unresolved</x:v>
      </x:c>
      <x:c r="C2467" s="12" t="str">
        <x:v>Hyderabad</x:v>
      </x:c>
      <x:c r="D2467" s="12" t="str">
        <x:v>MAIN-215</x:v>
      </x:c>
      <x:c r="E2467" s="12" t="str">
        <x:v>Awfis - B144Lorven Tiara</x:v>
      </x:c>
      <x:c r="F2467" s="11" t="n">
        <x:v>8</x:v>
      </x:c>
      <x:c r="G2467" s="11" t="n">
        <x:v>8</x:v>
      </x:c>
      <x:c r="H2467" s="11" t="n">
        <x:v>0</x:v>
      </x:c>
      <x:c r="I2467" s="17" t="n">
        <x:f>INDEX('Costing'!$P$9:$P$492,MATCH(D2467,'Costing'!$A$9:$A$492,0))</x:f>
        <x:v>120000</x:v>
      </x:c>
      <x:c r="J2467" s="17" t="n">
        <x:f>ROUND(I2467*'Costing'!$C$4,2)</x:f>
        <x:v>21600</x:v>
      </x:c>
      <x:c r="K2467" s="17" t="n">
        <x:f>I2467+J2467</x:f>
        <x:v>141600</x:v>
      </x:c>
    </x:row>
    <x:row r="2468" ht="46" customHeight="1">
      <x:c r="A2468" s="2" t="str">
        <x:v>Sector</x:v>
      </x:c>
      <x:c r="B2468" s="2" t="str">
        <x:v>Unresolved</x:v>
      </x:c>
      <x:c r="C2468" s="12" t="str">
        <x:v>Hyderabad</x:v>
      </x:c>
      <x:c r="D2468" s="12" t="str">
        <x:v>MAIN-216</x:v>
      </x:c>
      <x:c r="E2468" s="12" t="str">
        <x:v>Awfis - DSL Abacus IT Park</x:v>
      </x:c>
      <x:c r="F2468" s="11" t="n">
        <x:v>2</x:v>
      </x:c>
      <x:c r="G2468" s="11" t="n">
        <x:v>2</x:v>
      </x:c>
      <x:c r="H2468" s="11" t="n">
        <x:v>0</x:v>
      </x:c>
      <x:c r="I2468" s="17" t="n">
        <x:f>INDEX('Costing'!$P$9:$P$492,MATCH(D2468,'Costing'!$A$9:$A$492,0))</x:f>
        <x:v>30000</x:v>
      </x:c>
      <x:c r="J2468" s="17" t="n">
        <x:f>ROUND(I2468*'Costing'!$C$4,2)</x:f>
        <x:v>5400</x:v>
      </x:c>
      <x:c r="K2468" s="17" t="n">
        <x:f>I2468+J2468</x:f>
        <x:v>35400</x:v>
      </x:c>
    </x:row>
    <x:row r="2469" ht="46" customHeight="1">
      <x:c r="A2469" s="2" t="str">
        <x:v>Sector</x:v>
      </x:c>
      <x:c r="B2469" s="2" t="str">
        <x:v>Unresolved</x:v>
      </x:c>
      <x:c r="C2469" s="12" t="str">
        <x:v>Hyderabad</x:v>
      </x:c>
      <x:c r="D2469" s="12" t="str">
        <x:v>MAIN-217</x:v>
      </x:c>
      <x:c r="E2469" s="12" t="str">
        <x:v>Awfis - Hitech City 1st</x:v>
      </x:c>
      <x:c r="F2469" s="11" t="n">
        <x:v>3</x:v>
      </x:c>
      <x:c r="G2469" s="11" t="n">
        <x:v>3</x:v>
      </x:c>
      <x:c r="H2469" s="11" t="n">
        <x:v>0</x:v>
      </x:c>
      <x:c r="I2469" s="17" t="n">
        <x:f>INDEX('Costing'!$P$9:$P$492,MATCH(D2469,'Costing'!$A$9:$A$492,0))</x:f>
        <x:v>45000</x:v>
      </x:c>
      <x:c r="J2469" s="17" t="n">
        <x:f>ROUND(I2469*'Costing'!$C$4,2)</x:f>
        <x:v>8100</x:v>
      </x:c>
      <x:c r="K2469" s="17" t="n">
        <x:f>I2469+J2469</x:f>
        <x:v>53100</x:v>
      </x:c>
    </x:row>
    <x:row r="2470" ht="46" customHeight="1">
      <x:c r="A2470" s="2" t="str">
        <x:v>Sector</x:v>
      </x:c>
      <x:c r="B2470" s="2" t="str">
        <x:v>Unresolved</x:v>
      </x:c>
      <x:c r="C2470" s="12" t="str">
        <x:v>Hyderabad</x:v>
      </x:c>
      <x:c r="D2470" s="12" t="str">
        <x:v>MAIN-218</x:v>
      </x:c>
      <x:c r="E2470" s="12" t="str">
        <x:v>Awfis - Hitech City 4th</x:v>
      </x:c>
      <x:c r="F2470" s="11" t="n">
        <x:v>3</x:v>
      </x:c>
      <x:c r="G2470" s="11" t="n">
        <x:v>3</x:v>
      </x:c>
      <x:c r="H2470" s="11" t="n">
        <x:v>0</x:v>
      </x:c>
      <x:c r="I2470" s="17" t="n">
        <x:f>INDEX('Costing'!$P$9:$P$492,MATCH(D2470,'Costing'!$A$9:$A$492,0))</x:f>
        <x:v>45000</x:v>
      </x:c>
      <x:c r="J2470" s="17" t="n">
        <x:f>ROUND(I2470*'Costing'!$C$4,2)</x:f>
        <x:v>8100</x:v>
      </x:c>
      <x:c r="K2470" s="17" t="n">
        <x:f>I2470+J2470</x:f>
        <x:v>53100</x:v>
      </x:c>
    </x:row>
    <x:row r="2471" ht="46" customHeight="1">
      <x:c r="A2471" s="2" t="str">
        <x:v>Sector</x:v>
      </x:c>
      <x:c r="B2471" s="2" t="str">
        <x:v>Unresolved</x:v>
      </x:c>
      <x:c r="C2471" s="12" t="str">
        <x:v>Hyderabad</x:v>
      </x:c>
      <x:c r="D2471" s="12" t="str">
        <x:v>MAIN-219</x:v>
      </x:c>
      <x:c r="E2471" s="12" t="str">
        <x:v>Awfis - Hitech City 6th</x:v>
      </x:c>
      <x:c r="F2471" s="11" t="n">
        <x:v>2</x:v>
      </x:c>
      <x:c r="G2471" s="11" t="n">
        <x:v>2</x:v>
      </x:c>
      <x:c r="H2471" s="11" t="n">
        <x:v>0</x:v>
      </x:c>
      <x:c r="I2471" s="17" t="n">
        <x:f>INDEX('Costing'!$P$9:$P$492,MATCH(D2471,'Costing'!$A$9:$A$492,0))</x:f>
        <x:v>30000</x:v>
      </x:c>
      <x:c r="J2471" s="17" t="n">
        <x:f>ROUND(I2471*'Costing'!$C$4,2)</x:f>
        <x:v>5400</x:v>
      </x:c>
      <x:c r="K2471" s="17" t="n">
        <x:f>I2471+J2471</x:f>
        <x:v>35400</x:v>
      </x:c>
    </x:row>
    <x:row r="2472" ht="46" customHeight="1">
      <x:c r="A2472" s="2" t="str">
        <x:v>Sector</x:v>
      </x:c>
      <x:c r="B2472" s="2" t="str">
        <x:v>Unresolved</x:v>
      </x:c>
      <x:c r="C2472" s="12" t="str">
        <x:v>Hyderabad</x:v>
      </x:c>
      <x:c r="D2472" s="12" t="str">
        <x:v>MAIN-221</x:v>
      </x:c>
      <x:c r="E2472" s="12" t="str">
        <x:v>Awfis - Oyster Complex</x:v>
      </x:c>
      <x:c r="F2472" s="11" t="n">
        <x:v>3</x:v>
      </x:c>
      <x:c r="G2472" s="11" t="n">
        <x:v>3</x:v>
      </x:c>
      <x:c r="H2472" s="11" t="n">
        <x:v>0</x:v>
      </x:c>
      <x:c r="I2472" s="17" t="n">
        <x:f>INDEX('Costing'!$P$9:$P$492,MATCH(D2472,'Costing'!$A$9:$A$492,0))</x:f>
        <x:v>45000</x:v>
      </x:c>
      <x:c r="J2472" s="17" t="n">
        <x:f>ROUND(I2472*'Costing'!$C$4,2)</x:f>
        <x:v>8100</x:v>
      </x:c>
      <x:c r="K2472" s="17" t="n">
        <x:f>I2472+J2472</x:f>
        <x:v>53100</x:v>
      </x:c>
    </x:row>
    <x:row r="2473" ht="46" customHeight="1">
      <x:c r="A2473" s="2" t="str">
        <x:v>Sector</x:v>
      </x:c>
      <x:c r="B2473" s="2" t="str">
        <x:v>Unresolved</x:v>
      </x:c>
      <x:c r="C2473" s="12" t="str">
        <x:v>Hyderabad</x:v>
      </x:c>
      <x:c r="D2473" s="12" t="str">
        <x:v>MAIN-224</x:v>
      </x:c>
      <x:c r="E2473" s="12" t="str">
        <x:v>Awfis - Rajapushpa Summit</x:v>
      </x:c>
      <x:c r="F2473" s="11" t="n">
        <x:v>3</x:v>
      </x:c>
      <x:c r="G2473" s="11" t="n">
        <x:v>3</x:v>
      </x:c>
      <x:c r="H2473" s="11" t="n">
        <x:v>0</x:v>
      </x:c>
      <x:c r="I2473" s="17" t="n">
        <x:f>INDEX('Costing'!$P$9:$P$492,MATCH(D2473,'Costing'!$A$9:$A$492,0))</x:f>
        <x:v>45000</x:v>
      </x:c>
      <x:c r="J2473" s="17" t="n">
        <x:f>ROUND(I2473*'Costing'!$C$4,2)</x:f>
        <x:v>8100</x:v>
      </x:c>
      <x:c r="K2473" s="17" t="n">
        <x:f>I2473+J2473</x:f>
        <x:v>53100</x:v>
      </x:c>
    </x:row>
    <x:row r="2474" ht="46" customHeight="1">
      <x:c r="A2474" s="2" t="str">
        <x:v>Sector</x:v>
      </x:c>
      <x:c r="B2474" s="2" t="str">
        <x:v>Unresolved</x:v>
      </x:c>
      <x:c r="C2474" s="12" t="str">
        <x:v>Hyderabad</x:v>
      </x:c>
      <x:c r="D2474" s="12" t="str">
        <x:v>MAIN-225</x:v>
      </x:c>
      <x:c r="E2474" s="12" t="str">
        <x:v>Awfis - Vasavi MPM Mall</x:v>
      </x:c>
      <x:c r="F2474" s="11" t="n">
        <x:v>2</x:v>
      </x:c>
      <x:c r="G2474" s="11" t="n">
        <x:v>2</x:v>
      </x:c>
      <x:c r="H2474" s="11" t="n">
        <x:v>0</x:v>
      </x:c>
      <x:c r="I2474" s="17" t="n">
        <x:f>INDEX('Costing'!$P$9:$P$492,MATCH(D2474,'Costing'!$A$9:$A$492,0))</x:f>
        <x:v>30000</x:v>
      </x:c>
      <x:c r="J2474" s="17" t="n">
        <x:f>ROUND(I2474*'Costing'!$C$4,2)</x:f>
        <x:v>5400</x:v>
      </x:c>
      <x:c r="K2474" s="17" t="n">
        <x:f>I2474+J2474</x:f>
        <x:v>35400</x:v>
      </x:c>
    </x:row>
    <x:row r="2475" ht="46" customHeight="1">
      <x:c r="A2475" s="2" t="str">
        <x:v>Sector</x:v>
      </x:c>
      <x:c r="B2475" s="2" t="str">
        <x:v>Unresolved</x:v>
      </x:c>
      <x:c r="C2475" s="12" t="str">
        <x:v>Hyderabad</x:v>
      </x:c>
      <x:c r="D2475" s="12" t="str">
        <x:v>MAIN-226</x:v>
      </x:c>
      <x:c r="E2475" s="12" t="str">
        <x:v>CIE Office Space</x:v>
      </x:c>
      <x:c r="F2475" s="11" t="n">
        <x:v>4</x:v>
      </x:c>
      <x:c r="G2475" s="11" t="n">
        <x:v>4</x:v>
      </x:c>
      <x:c r="H2475" s="11" t="n">
        <x:v>0</x:v>
      </x:c>
      <x:c r="I2475" s="17" t="n">
        <x:f>INDEX('Costing'!$P$9:$P$492,MATCH(D2475,'Costing'!$A$9:$A$492,0))</x:f>
        <x:v>60000</x:v>
      </x:c>
      <x:c r="J2475" s="17" t="n">
        <x:f>ROUND(I2475*'Costing'!$C$4,2)</x:f>
        <x:v>10800</x:v>
      </x:c>
      <x:c r="K2475" s="17" t="n">
        <x:f>I2475+J2475</x:f>
        <x:v>70800</x:v>
      </x:c>
    </x:row>
    <x:row r="2476" ht="46" customHeight="1">
      <x:c r="A2476" s="2" t="str">
        <x:v>Sector</x:v>
      </x:c>
      <x:c r="B2476" s="2" t="str">
        <x:v>Unresolved</x:v>
      </x:c>
      <x:c r="C2476" s="12" t="str">
        <x:v>Hyderabad</x:v>
      </x:c>
      <x:c r="D2476" s="12" t="str">
        <x:v>MAIN-227</x:v>
      </x:c>
      <x:c r="E2476" s="12" t="str">
        <x:v>Draper</x:v>
      </x:c>
      <x:c r="F2476" s="11" t="n">
        <x:v>3</x:v>
      </x:c>
      <x:c r="G2476" s="11" t="n">
        <x:v>3</x:v>
      </x:c>
      <x:c r="H2476" s="11" t="n">
        <x:v>0</x:v>
      </x:c>
      <x:c r="I2476" s="17" t="n">
        <x:f>INDEX('Costing'!$P$9:$P$492,MATCH(D2476,'Costing'!$A$9:$A$492,0))</x:f>
        <x:v>45000</x:v>
      </x:c>
      <x:c r="J2476" s="17" t="n">
        <x:f>ROUND(I2476*'Costing'!$C$4,2)</x:f>
        <x:v>8100</x:v>
      </x:c>
      <x:c r="K2476" s="17" t="n">
        <x:f>I2476+J2476</x:f>
        <x:v>53100</x:v>
      </x:c>
    </x:row>
    <x:row r="2477" ht="46" customHeight="1">
      <x:c r="A2477" s="2" t="str">
        <x:v>Sector</x:v>
      </x:c>
      <x:c r="B2477" s="2" t="str">
        <x:v>Unresolved</x:v>
      </x:c>
      <x:c r="C2477" s="12" t="str">
        <x:v>Hyderabad</x:v>
      </x:c>
      <x:c r="D2477" s="12" t="str">
        <x:v>MAIN-230</x:v>
      </x:c>
      <x:c r="E2477" s="12" t="str">
        <x:v>Elemental</x:v>
      </x:c>
      <x:c r="F2477" s="11" t="n">
        <x:v>4</x:v>
      </x:c>
      <x:c r="G2477" s="11" t="n">
        <x:v>4</x:v>
      </x:c>
      <x:c r="H2477" s="11" t="n">
        <x:v>0</x:v>
      </x:c>
      <x:c r="I2477" s="17" t="n">
        <x:f>INDEX('Costing'!$P$9:$P$492,MATCH(D2477,'Costing'!$A$9:$A$492,0))</x:f>
        <x:v>80000</x:v>
      </x:c>
      <x:c r="J2477" s="17" t="n">
        <x:f>ROUND(I2477*'Costing'!$C$4,2)</x:f>
        <x:v>14400</x:v>
      </x:c>
      <x:c r="K2477" s="17" t="n">
        <x:f>I2477+J2477</x:f>
        <x:v>94400</x:v>
      </x:c>
    </x:row>
    <x:row r="2478" ht="46" customHeight="1">
      <x:c r="A2478" s="2" t="str">
        <x:v>Sector</x:v>
      </x:c>
      <x:c r="B2478" s="2" t="str">
        <x:v>Unresolved</x:v>
      </x:c>
      <x:c r="C2478" s="12" t="str">
        <x:v>Hyderabad</x:v>
      </x:c>
      <x:c r="D2478" s="12" t="str">
        <x:v>MAIN-237</x:v>
      </x:c>
      <x:c r="E2478" s="12" t="str">
        <x:v>Meenakshi Tech Park</x:v>
      </x:c>
      <x:c r="F2478" s="11" t="n">
        <x:v>2</x:v>
      </x:c>
      <x:c r="G2478" s="11" t="n">
        <x:v>2</x:v>
      </x:c>
      <x:c r="H2478" s="11" t="n">
        <x:v>0</x:v>
      </x:c>
      <x:c r="I2478" s="17" t="n">
        <x:f>INDEX('Costing'!$P$9:$P$492,MATCH(D2478,'Costing'!$A$9:$A$492,0))</x:f>
        <x:v>80000</x:v>
      </x:c>
      <x:c r="J2478" s="17" t="n">
        <x:f>ROUND(I2478*'Costing'!$C$4,2)</x:f>
        <x:v>14400</x:v>
      </x:c>
      <x:c r="K2478" s="17" t="n">
        <x:f>I2478+J2478</x:f>
        <x:v>94400</x:v>
      </x:c>
    </x:row>
    <x:row r="2479" ht="46" customHeight="1">
      <x:c r="A2479" s="2" t="str">
        <x:v>Sector</x:v>
      </x:c>
      <x:c r="B2479" s="2" t="str">
        <x:v>Unresolved</x:v>
      </x:c>
      <x:c r="C2479" s="12" t="str">
        <x:v>Hyderabad</x:v>
      </x:c>
      <x:c r="D2479" s="12" t="str">
        <x:v>MAIN-238</x:v>
      </x:c>
      <x:c r="E2479" s="12" t="str">
        <x:v>Meenakshi Tech Park {IE}</x:v>
      </x:c>
      <x:c r="F2479" s="11" t="n">
        <x:v>11</x:v>
      </x:c>
      <x:c r="G2479" s="11" t="n">
        <x:v>11</x:v>
      </x:c>
      <x:c r="H2479" s="11" t="n">
        <x:v>0</x:v>
      </x:c>
      <x:c r="I2479" s="17" t="n">
        <x:f>INDEX('Costing'!$P$9:$P$492,MATCH(D2479,'Costing'!$A$9:$A$492,0))</x:f>
        <x:v>165000</x:v>
      </x:c>
      <x:c r="J2479" s="17" t="n">
        <x:f>ROUND(I2479*'Costing'!$C$4,2)</x:f>
        <x:v>29700</x:v>
      </x:c>
      <x:c r="K2479" s="17" t="n">
        <x:f>I2479+J2479</x:f>
        <x:v>194700</x:v>
      </x:c>
    </x:row>
    <x:row r="2480" ht="46" customHeight="1">
      <x:c r="A2480" s="2" t="str">
        <x:v>Sector</x:v>
      </x:c>
      <x:c r="B2480" s="2" t="str">
        <x:v>Unresolved</x:v>
      </x:c>
      <x:c r="C2480" s="12" t="str">
        <x:v>Hyderabad</x:v>
      </x:c>
      <x:c r="D2480" s="12" t="str">
        <x:v>MAIN-239</x:v>
      </x:c>
      <x:c r="E2480" s="12" t="str">
        <x:v>Meenakshi Tech Park-43 Inch Pods</x:v>
      </x:c>
      <x:c r="F2480" s="11" t="n">
        <x:v>12</x:v>
      </x:c>
      <x:c r="G2480" s="11" t="n">
        <x:v>12</x:v>
      </x:c>
      <x:c r="H2480" s="11" t="n">
        <x:v>0</x:v>
      </x:c>
      <x:c r="I2480" s="17" t="n">
        <x:f>INDEX('Costing'!$P$9:$P$492,MATCH(D2480,'Costing'!$A$9:$A$492,0))</x:f>
        <x:v>240000</x:v>
      </x:c>
      <x:c r="J2480" s="17" t="n">
        <x:f>ROUND(I2480*'Costing'!$C$4,2)</x:f>
        <x:v>43200</x:v>
      </x:c>
      <x:c r="K2480" s="17" t="n">
        <x:f>I2480+J2480</x:f>
        <x:v>283200</x:v>
      </x:c>
    </x:row>
    <x:row r="2481" ht="46" customHeight="1">
      <x:c r="A2481" s="2" t="str">
        <x:v>Sector</x:v>
      </x:c>
      <x:c r="B2481" s="2" t="str">
        <x:v>Unresolved</x:v>
      </x:c>
      <x:c r="C2481" s="12" t="str">
        <x:v>Hyderabad</x:v>
      </x:c>
      <x:c r="D2481" s="12" t="str">
        <x:v>MAIN-240</x:v>
      </x:c>
      <x:c r="E2481" s="12" t="str">
        <x:v>NSL Arena Tech Park</x:v>
      </x:c>
      <x:c r="F2481" s="11" t="n">
        <x:v>13</x:v>
      </x:c>
      <x:c r="G2481" s="11" t="n">
        <x:v>13</x:v>
      </x:c>
      <x:c r="H2481" s="11" t="n">
        <x:v>0</x:v>
      </x:c>
      <x:c r="I2481" s="17" t="n">
        <x:f>INDEX('Costing'!$P$9:$P$492,MATCH(D2481,'Costing'!$A$9:$A$492,0))</x:f>
        <x:v>195000</x:v>
      </x:c>
      <x:c r="J2481" s="17" t="n">
        <x:f>ROUND(I2481*'Costing'!$C$4,2)</x:f>
        <x:v>35100</x:v>
      </x:c>
      <x:c r="K2481" s="17" t="n">
        <x:f>I2481+J2481</x:f>
        <x:v>230100</x:v>
      </x:c>
    </x:row>
    <x:row r="2482" ht="46" customHeight="1">
      <x:c r="A2482" s="2" t="str">
        <x:v>Sector</x:v>
      </x:c>
      <x:c r="B2482" s="2" t="str">
        <x:v>Unresolved</x:v>
      </x:c>
      <x:c r="C2482" s="12" t="str">
        <x:v>Hyderabad</x:v>
      </x:c>
      <x:c r="D2482" s="12" t="str">
        <x:v>MAIN-244</x:v>
      </x:c>
      <x:c r="E2482" s="12" t="str">
        <x:v>Oyo Workspace - Hitech</x:v>
      </x:c>
      <x:c r="F2482" s="11" t="n">
        <x:v>2</x:v>
      </x:c>
      <x:c r="G2482" s="11" t="n">
        <x:v>2</x:v>
      </x:c>
      <x:c r="H2482" s="11" t="n">
        <x:v>0</x:v>
      </x:c>
      <x:c r="I2482" s="17" t="n">
        <x:f>INDEX('Costing'!$P$9:$P$492,MATCH(D2482,'Costing'!$A$9:$A$492,0))</x:f>
        <x:v>30000</x:v>
      </x:c>
      <x:c r="J2482" s="17" t="n">
        <x:f>ROUND(I2482*'Costing'!$C$4,2)</x:f>
        <x:v>5400</x:v>
      </x:c>
      <x:c r="K2482" s="17" t="n">
        <x:f>I2482+J2482</x:f>
        <x:v>35400</x:v>
      </x:c>
    </x:row>
    <x:row r="2483" ht="46" customHeight="1">
      <x:c r="A2483" s="2" t="str">
        <x:v>Sector</x:v>
      </x:c>
      <x:c r="B2483" s="2" t="str">
        <x:v>Unresolved</x:v>
      </x:c>
      <x:c r="C2483" s="12" t="str">
        <x:v>Hyderabad</x:v>
      </x:c>
      <x:c r="D2483" s="12" t="str">
        <x:v>MAIN-247</x:v>
      </x:c>
      <x:c r="E2483" s="12" t="str">
        <x:v>Quick Start - Cynosure Gachibowli</x:v>
      </x:c>
      <x:c r="F2483" s="11" t="n">
        <x:v>1</x:v>
      </x:c>
      <x:c r="G2483" s="11" t="n">
        <x:v>1</x:v>
      </x:c>
      <x:c r="H2483" s="11" t="n">
        <x:v>0</x:v>
      </x:c>
      <x:c r="I2483" s="17" t="n">
        <x:f>INDEX('Costing'!$P$9:$P$492,MATCH(D2483,'Costing'!$A$9:$A$492,0))</x:f>
        <x:v>15000</x:v>
      </x:c>
      <x:c r="J2483" s="17" t="n">
        <x:f>ROUND(I2483*'Costing'!$C$4,2)</x:f>
        <x:v>2700</x:v>
      </x:c>
      <x:c r="K2483" s="17" t="n">
        <x:f>I2483+J2483</x:f>
        <x:v>17700</x:v>
      </x:c>
    </x:row>
    <x:row r="2484" ht="46" customHeight="1">
      <x:c r="A2484" s="2" t="str">
        <x:v>Sector</x:v>
      </x:c>
      <x:c r="B2484" s="2" t="str">
        <x:v>Unresolved</x:v>
      </x:c>
      <x:c r="C2484" s="12" t="str">
        <x:v>Hyderabad</x:v>
      </x:c>
      <x:c r="D2484" s="12" t="str">
        <x:v>MAIN-248</x:v>
      </x:c>
      <x:c r="E2484" s="12" t="str">
        <x:v>Quick Start - Madhapur</x:v>
      </x:c>
      <x:c r="F2484" s="11" t="n">
        <x:v>3</x:v>
      </x:c>
      <x:c r="G2484" s="11" t="n">
        <x:v>3</x:v>
      </x:c>
      <x:c r="H2484" s="11" t="n">
        <x:v>0</x:v>
      </x:c>
      <x:c r="I2484" s="17" t="n">
        <x:f>INDEX('Costing'!$P$9:$P$492,MATCH(D2484,'Costing'!$A$9:$A$492,0))</x:f>
        <x:v>45000</x:v>
      </x:c>
      <x:c r="J2484" s="17" t="n">
        <x:f>ROUND(I2484*'Costing'!$C$4,2)</x:f>
        <x:v>8100</x:v>
      </x:c>
      <x:c r="K2484" s="17" t="n">
        <x:f>I2484+J2484</x:f>
        <x:v>53100</x:v>
      </x:c>
    </x:row>
    <x:row r="2485" ht="46" customHeight="1">
      <x:c r="A2485" s="2" t="str">
        <x:v>Sector</x:v>
      </x:c>
      <x:c r="B2485" s="2" t="str">
        <x:v>Unresolved</x:v>
      </x:c>
      <x:c r="C2485" s="12" t="str">
        <x:v>Hyderabad</x:v>
      </x:c>
      <x:c r="D2485" s="12" t="str">
        <x:v>MAIN-249</x:v>
      </x:c>
      <x:c r="E2485" s="12" t="str">
        <x:v>Quick Start - Vasavi Sky City Gachibowli</x:v>
      </x:c>
      <x:c r="F2485" s="11" t="n">
        <x:v>3</x:v>
      </x:c>
      <x:c r="G2485" s="11" t="n">
        <x:v>3</x:v>
      </x:c>
      <x:c r="H2485" s="11" t="n">
        <x:v>0</x:v>
      </x:c>
      <x:c r="I2485" s="17" t="n">
        <x:f>INDEX('Costing'!$P$9:$P$492,MATCH(D2485,'Costing'!$A$9:$A$492,0))</x:f>
        <x:v>45000</x:v>
      </x:c>
      <x:c r="J2485" s="17" t="n">
        <x:f>ROUND(I2485*'Costing'!$C$4,2)</x:f>
        <x:v>8100</x:v>
      </x:c>
      <x:c r="K2485" s="17" t="n">
        <x:f>I2485+J2485</x:f>
        <x:v>53100</x:v>
      </x:c>
    </x:row>
    <x:row r="2486" ht="46" customHeight="1">
      <x:c r="A2486" s="2" t="str">
        <x:v>Sector</x:v>
      </x:c>
      <x:c r="B2486" s="2" t="str">
        <x:v>Unresolved</x:v>
      </x:c>
      <x:c r="C2486" s="12" t="str">
        <x:v>Hyderabad</x:v>
      </x:c>
      <x:c r="D2486" s="12" t="str">
        <x:v>MAIN-251</x:v>
      </x:c>
      <x:c r="E2486" s="12" t="str">
        <x:v>Raheja IT Park Tower 3</x:v>
      </x:c>
      <x:c r="F2486" s="11" t="n">
        <x:v>2</x:v>
      </x:c>
      <x:c r="G2486" s="11" t="n">
        <x:v>2</x:v>
      </x:c>
      <x:c r="H2486" s="11" t="n">
        <x:v>0</x:v>
      </x:c>
      <x:c r="I2486" s="17" t="n">
        <x:f>INDEX('Costing'!$P$9:$P$492,MATCH(D2486,'Costing'!$A$9:$A$492,0))</x:f>
        <x:v>40000</x:v>
      </x:c>
      <x:c r="J2486" s="17" t="n">
        <x:f>ROUND(I2486*'Costing'!$C$4,2)</x:f>
        <x:v>7200</x:v>
      </x:c>
      <x:c r="K2486" s="17" t="n">
        <x:f>I2486+J2486</x:f>
        <x:v>47200</x:v>
      </x:c>
    </x:row>
    <x:row r="2487" ht="46" customHeight="1">
      <x:c r="A2487" s="2" t="str">
        <x:v>Sector</x:v>
      </x:c>
      <x:c r="B2487" s="2" t="str">
        <x:v>Unresolved</x:v>
      </x:c>
      <x:c r="C2487" s="12" t="str">
        <x:v>Hyderabad</x:v>
      </x:c>
      <x:c r="D2487" s="12" t="str">
        <x:v>MAIN-255</x:v>
      </x:c>
      <x:c r="E2487" s="12" t="str">
        <x:v>Sattva Orwell (Redbrick Offices)</x:v>
      </x:c>
      <x:c r="F2487" s="11" t="n">
        <x:v>3</x:v>
      </x:c>
      <x:c r="G2487" s="11" t="n">
        <x:v>3</x:v>
      </x:c>
      <x:c r="H2487" s="11" t="n">
        <x:v>0</x:v>
      </x:c>
      <x:c r="I2487" s="17" t="n">
        <x:f>INDEX('Costing'!$P$9:$P$492,MATCH(D2487,'Costing'!$A$9:$A$492,0))</x:f>
        <x:v>45000</x:v>
      </x:c>
      <x:c r="J2487" s="17" t="n">
        <x:f>ROUND(I2487*'Costing'!$C$4,2)</x:f>
        <x:v>8100</x:v>
      </x:c>
      <x:c r="K2487" s="17" t="n">
        <x:f>I2487+J2487</x:f>
        <x:v>53100</x:v>
      </x:c>
    </x:row>
    <x:row r="2488" ht="46" customHeight="1">
      <x:c r="A2488" s="2" t="str">
        <x:v>Sector</x:v>
      </x:c>
      <x:c r="B2488" s="2" t="str">
        <x:v>Unresolved</x:v>
      </x:c>
      <x:c r="C2488" s="12" t="str">
        <x:v>Hyderabad</x:v>
      </x:c>
      <x:c r="D2488" s="12" t="str">
        <x:v>MAIN-258</x:v>
      </x:c>
      <x:c r="E2488" s="12" t="str">
        <x:v>Symbyont Smart Space Dallas Centre</x:v>
      </x:c>
      <x:c r="F2488" s="11" t="n">
        <x:v>5</x:v>
      </x:c>
      <x:c r="G2488" s="11" t="n">
        <x:v>5</x:v>
      </x:c>
      <x:c r="H2488" s="11" t="n">
        <x:v>0</x:v>
      </x:c>
      <x:c r="I2488" s="17" t="n">
        <x:f>INDEX('Costing'!$P$9:$P$492,MATCH(D2488,'Costing'!$A$9:$A$492,0))</x:f>
        <x:v>200000</x:v>
      </x:c>
      <x:c r="J2488" s="17" t="n">
        <x:f>ROUND(I2488*'Costing'!$C$4,2)</x:f>
        <x:v>36000</x:v>
      </x:c>
      <x:c r="K2488" s="17" t="n">
        <x:f>I2488+J2488</x:f>
        <x:v>236000</x:v>
      </x:c>
    </x:row>
    <x:row r="2489" ht="46" customHeight="1">
      <x:c r="A2489" s="2" t="str">
        <x:v>Sector</x:v>
      </x:c>
      <x:c r="B2489" s="2" t="str">
        <x:v>Unresolved</x:v>
      </x:c>
      <x:c r="C2489" s="12" t="str">
        <x:v>Hyderabad</x:v>
      </x:c>
      <x:c r="D2489" s="12" t="str">
        <x:v>MAIN-259</x:v>
      </x:c>
      <x:c r="E2489" s="12" t="str">
        <x:v>Symbyont Smart Space Rajapushpa Summit</x:v>
      </x:c>
      <x:c r="F2489" s="11" t="n">
        <x:v>1</x:v>
      </x:c>
      <x:c r="G2489" s="11" t="n">
        <x:v>1</x:v>
      </x:c>
      <x:c r="H2489" s="11" t="n">
        <x:v>0</x:v>
      </x:c>
      <x:c r="I2489" s="17" t="n">
        <x:f>INDEX('Costing'!$P$9:$P$492,MATCH(D2489,'Costing'!$A$9:$A$492,0))</x:f>
        <x:v>20000</x:v>
      </x:c>
      <x:c r="J2489" s="17" t="n">
        <x:f>ROUND(I2489*'Costing'!$C$4,2)</x:f>
        <x:v>3600</x:v>
      </x:c>
      <x:c r="K2489" s="17" t="n">
        <x:f>I2489+J2489</x:f>
        <x:v>23600</x:v>
      </x:c>
    </x:row>
    <x:row r="2490" ht="46" customHeight="1">
      <x:c r="A2490" s="2" t="str">
        <x:v>Sector</x:v>
      </x:c>
      <x:c r="B2490" s="2" t="str">
        <x:v>Unresolved</x:v>
      </x:c>
      <x:c r="C2490" s="12" t="str">
        <x:v>Hyderabad</x:v>
      </x:c>
      <x:c r="D2490" s="12" t="str">
        <x:v>MAIN-260</x:v>
      </x:c>
      <x:c r="E2490" s="12" t="str">
        <x:v>T-Hub</x:v>
      </x:c>
      <x:c r="F2490" s="11" t="n">
        <x:v>22</x:v>
      </x:c>
      <x:c r="G2490" s="11" t="n">
        <x:v>22</x:v>
      </x:c>
      <x:c r="H2490" s="11" t="n">
        <x:v>0</x:v>
      </x:c>
      <x:c r="I2490" s="17" t="n">
        <x:f>INDEX('Costing'!$P$9:$P$492,MATCH(D2490,'Costing'!$A$9:$A$492,0))</x:f>
        <x:v>715000</x:v>
      </x:c>
      <x:c r="J2490" s="17" t="n">
        <x:f>ROUND(I2490*'Costing'!$C$4,2)</x:f>
        <x:v>128700</x:v>
      </x:c>
      <x:c r="K2490" s="17" t="n">
        <x:f>I2490+J2490</x:f>
        <x:v>843700</x:v>
      </x:c>
    </x:row>
    <x:row r="2491" ht="46" customHeight="1">
      <x:c r="A2491" s="2" t="str">
        <x:v>Sector</x:v>
      </x:c>
      <x:c r="B2491" s="2" t="str">
        <x:v>Unresolved</x:v>
      </x:c>
      <x:c r="C2491" s="12" t="str">
        <x:v>Hyderabad</x:v>
      </x:c>
      <x:c r="D2491" s="12" t="str">
        <x:v>MAIN-261</x:v>
      </x:c>
      <x:c r="E2491" s="12" t="str">
        <x:v>Vasavi Sky city</x:v>
      </x:c>
      <x:c r="F2491" s="11" t="n">
        <x:v>10</x:v>
      </x:c>
      <x:c r="G2491" s="11" t="n">
        <x:v>10</x:v>
      </x:c>
      <x:c r="H2491" s="11" t="n">
        <x:v>0</x:v>
      </x:c>
      <x:c r="I2491" s="17" t="n">
        <x:f>INDEX('Costing'!$P$9:$P$492,MATCH(D2491,'Costing'!$A$9:$A$492,0))</x:f>
        <x:v>325000</x:v>
      </x:c>
      <x:c r="J2491" s="17" t="n">
        <x:f>ROUND(I2491*'Costing'!$C$4,2)</x:f>
        <x:v>58500</x:v>
      </x:c>
      <x:c r="K2491" s="17" t="n">
        <x:f>I2491+J2491</x:f>
        <x:v>383500</x:v>
      </x:c>
    </x:row>
    <x:row r="2492" ht="46" customHeight="1">
      <x:c r="A2492" s="2" t="str">
        <x:v>Sector</x:v>
      </x:c>
      <x:c r="B2492" s="2" t="str">
        <x:v>Unresolved</x:v>
      </x:c>
      <x:c r="C2492" s="12" t="str">
        <x:v>Hyderabad</x:v>
      </x:c>
      <x:c r="D2492" s="12" t="str">
        <x:v>MAIN-262</x:v>
      </x:c>
      <x:c r="E2492" s="12" t="str">
        <x:v>Wework - Krishe Emerald</x:v>
      </x:c>
      <x:c r="F2492" s="11" t="n">
        <x:v>9</x:v>
      </x:c>
      <x:c r="G2492" s="11" t="n">
        <x:v>9</x:v>
      </x:c>
      <x:c r="H2492" s="11" t="n">
        <x:v>0</x:v>
      </x:c>
      <x:c r="I2492" s="17" t="n">
        <x:f>INDEX('Costing'!$P$9:$P$492,MATCH(D2492,'Costing'!$A$9:$A$492,0))</x:f>
        <x:v>225000</x:v>
      </x:c>
      <x:c r="J2492" s="17" t="n">
        <x:f>ROUND(I2492*'Costing'!$C$4,2)</x:f>
        <x:v>40500</x:v>
      </x:c>
      <x:c r="K2492" s="17" t="n">
        <x:f>I2492+J2492</x:f>
        <x:v>265500</x:v>
      </x:c>
    </x:row>
    <x:row r="2493" ht="46" customHeight="1">
      <x:c r="A2493" s="2" t="str">
        <x:v>Sector</x:v>
      </x:c>
      <x:c r="B2493" s="2" t="str">
        <x:v>Unresolved</x:v>
      </x:c>
      <x:c r="C2493" s="12" t="str">
        <x:v>Hyderabad</x:v>
      </x:c>
      <x:c r="D2493" s="12" t="str">
        <x:v>MAIN-264</x:v>
      </x:c>
      <x:c r="E2493" s="12" t="str">
        <x:v>Wework - Rajapushpa Summit</x:v>
      </x:c>
      <x:c r="F2493" s="11" t="n">
        <x:v>4</x:v>
      </x:c>
      <x:c r="G2493" s="11" t="n">
        <x:v>4</x:v>
      </x:c>
      <x:c r="H2493" s="11" t="n">
        <x:v>0</x:v>
      </x:c>
      <x:c r="I2493" s="17" t="n">
        <x:f>INDEX('Costing'!$P$9:$P$492,MATCH(D2493,'Costing'!$A$9:$A$492,0))</x:f>
        <x:v>100000</x:v>
      </x:c>
      <x:c r="J2493" s="17" t="n">
        <x:f>ROUND(I2493*'Costing'!$C$4,2)</x:f>
        <x:v>18000</x:v>
      </x:c>
      <x:c r="K2493" s="17" t="n">
        <x:f>I2493+J2493</x:f>
        <x:v>118000</x:v>
      </x:c>
    </x:row>
    <x:row r="2494" ht="46" customHeight="1">
      <x:c r="A2494" s="2" t="str">
        <x:v>Sector</x:v>
      </x:c>
      <x:c r="B2494" s="2" t="str">
        <x:v>Unresolved</x:v>
      </x:c>
      <x:c r="C2494" s="12" t="str">
        <x:v>Hyderabad</x:v>
      </x:c>
      <x:c r="D2494" s="12" t="str">
        <x:v>MAIN-265</x:v>
      </x:c>
      <x:c r="E2494" s="12" t="str">
        <x:v>WeWork - RMZ Spire</x:v>
      </x:c>
      <x:c r="F2494" s="11" t="n">
        <x:v>4</x:v>
      </x:c>
      <x:c r="G2494" s="11" t="n">
        <x:v>4</x:v>
      </x:c>
      <x:c r="H2494" s="11" t="n">
        <x:v>0</x:v>
      </x:c>
      <x:c r="I2494" s="17" t="n">
        <x:f>INDEX('Costing'!$P$9:$P$492,MATCH(D2494,'Costing'!$A$9:$A$492,0))</x:f>
        <x:v>100000</x:v>
      </x:c>
      <x:c r="J2494" s="17" t="n">
        <x:f>ROUND(I2494*'Costing'!$C$4,2)</x:f>
        <x:v>18000</x:v>
      </x:c>
      <x:c r="K2494" s="17" t="n">
        <x:f>I2494+J2494</x:f>
        <x:v>118000</x:v>
      </x:c>
    </x:row>
    <x:row r="2495" ht="46" customHeight="1">
      <x:c r="A2495" s="2" t="str">
        <x:v>Sector</x:v>
      </x:c>
      <x:c r="B2495" s="2" t="str">
        <x:v>Unresolved</x:v>
      </x:c>
      <x:c r="C2495" s="12" t="str">
        <x:v>Indore</x:v>
      </x:c>
      <x:c r="D2495" s="12" t="str">
        <x:v>MAIN-266</x:v>
      </x:c>
      <x:c r="E2495" s="12" t="str">
        <x:v>Airen Heights</x:v>
      </x:c>
      <x:c r="F2495" s="11" t="n">
        <x:v>1</x:v>
      </x:c>
      <x:c r="G2495" s="11" t="n">
        <x:v>1</x:v>
      </x:c>
      <x:c r="H2495" s="11" t="n">
        <x:v>0</x:v>
      </x:c>
      <x:c r="I2495" s="17" t="n">
        <x:f>INDEX('Costing'!$P$9:$P$492,MATCH(D2495,'Costing'!$A$9:$A$492,0))</x:f>
        <x:v>20000</x:v>
      </x:c>
      <x:c r="J2495" s="17" t="n">
        <x:f>ROUND(I2495*'Costing'!$C$4,2)</x:f>
        <x:v>3600</x:v>
      </x:c>
      <x:c r="K2495" s="17" t="n">
        <x:f>I2495+J2495</x:f>
        <x:v>23600</x:v>
      </x:c>
    </x:row>
    <x:row r="2496" ht="46" customHeight="1">
      <x:c r="A2496" s="2" t="str">
        <x:v>Sector</x:v>
      </x:c>
      <x:c r="B2496" s="2" t="str">
        <x:v>Unresolved</x:v>
      </x:c>
      <x:c r="C2496" s="12" t="str">
        <x:v>Indore</x:v>
      </x:c>
      <x:c r="D2496" s="12" t="str">
        <x:v>MAIN-267</x:v>
      </x:c>
      <x:c r="E2496" s="12" t="str">
        <x:v>Apollo Gold Plaza</x:v>
      </x:c>
      <x:c r="F2496" s="11" t="n">
        <x:v>2</x:v>
      </x:c>
      <x:c r="G2496" s="11" t="n">
        <x:v>2</x:v>
      </x:c>
      <x:c r="H2496" s="11" t="n">
        <x:v>0</x:v>
      </x:c>
      <x:c r="I2496" s="17" t="n">
        <x:f>INDEX('Costing'!$P$9:$P$492,MATCH(D2496,'Costing'!$A$9:$A$492,0))</x:f>
        <x:v>40000</x:v>
      </x:c>
      <x:c r="J2496" s="17" t="n">
        <x:f>ROUND(I2496*'Costing'!$C$4,2)</x:f>
        <x:v>7200</x:v>
      </x:c>
      <x:c r="K2496" s="17" t="n">
        <x:f>I2496+J2496</x:f>
        <x:v>47200</x:v>
      </x:c>
    </x:row>
    <x:row r="2497" ht="46" customHeight="1">
      <x:c r="A2497" s="2" t="str">
        <x:v>Sector</x:v>
      </x:c>
      <x:c r="B2497" s="2" t="str">
        <x:v>Unresolved</x:v>
      </x:c>
      <x:c r="C2497" s="12" t="str">
        <x:v>Indore</x:v>
      </x:c>
      <x:c r="D2497" s="12" t="str">
        <x:v>MAIN-268</x:v>
      </x:c>
      <x:c r="E2497" s="12" t="str">
        <x:v>Apollo Premier</x:v>
      </x:c>
      <x:c r="F2497" s="11" t="n">
        <x:v>2</x:v>
      </x:c>
      <x:c r="G2497" s="11" t="n">
        <x:v>2</x:v>
      </x:c>
      <x:c r="H2497" s="11" t="n">
        <x:v>0</x:v>
      </x:c>
      <x:c r="I2497" s="17" t="n">
        <x:f>INDEX('Costing'!$P$9:$P$492,MATCH(D2497,'Costing'!$A$9:$A$492,0))</x:f>
        <x:v>80000</x:v>
      </x:c>
      <x:c r="J2497" s="17" t="n">
        <x:f>ROUND(I2497*'Costing'!$C$4,2)</x:f>
        <x:v>14400</x:v>
      </x:c>
      <x:c r="K2497" s="17" t="n">
        <x:f>I2497+J2497</x:f>
        <x:v>94400</x:v>
      </x:c>
    </x:row>
    <x:row r="2498" ht="46" customHeight="1">
      <x:c r="A2498" s="2" t="str">
        <x:v>Sector</x:v>
      </x:c>
      <x:c r="B2498" s="2" t="str">
        <x:v>Unresolved</x:v>
      </x:c>
      <x:c r="C2498" s="12" t="str">
        <x:v>Indore</x:v>
      </x:c>
      <x:c r="D2498" s="12" t="str">
        <x:v>MAIN-269</x:v>
      </x:c>
      <x:c r="E2498" s="12" t="str">
        <x:v>Benchmark</x:v>
      </x:c>
      <x:c r="F2498" s="11" t="n">
        <x:v>1</x:v>
      </x:c>
      <x:c r="G2498" s="11" t="n">
        <x:v>1</x:v>
      </x:c>
      <x:c r="H2498" s="11" t="n">
        <x:v>0</x:v>
      </x:c>
      <x:c r="I2498" s="17" t="n">
        <x:f>INDEX('Costing'!$P$9:$P$492,MATCH(D2498,'Costing'!$A$9:$A$492,0))</x:f>
        <x:v>40000</x:v>
      </x:c>
      <x:c r="J2498" s="17" t="n">
        <x:f>ROUND(I2498*'Costing'!$C$4,2)</x:f>
        <x:v>7200</x:v>
      </x:c>
      <x:c r="K2498" s="17" t="n">
        <x:f>I2498+J2498</x:f>
        <x:v>47200</x:v>
      </x:c>
    </x:row>
    <x:row r="2499" ht="46" customHeight="1">
      <x:c r="A2499" s="2" t="str">
        <x:v>Sector</x:v>
      </x:c>
      <x:c r="B2499" s="2" t="str">
        <x:v>Unresolved</x:v>
      </x:c>
      <x:c r="C2499" s="12" t="str">
        <x:v>Indore</x:v>
      </x:c>
      <x:c r="D2499" s="12" t="str">
        <x:v>MAIN-270</x:v>
      </x:c>
      <x:c r="E2499" s="12" t="str">
        <x:v>Cliffton Corporate</x:v>
      </x:c>
      <x:c r="F2499" s="11" t="n">
        <x:v>1</x:v>
      </x:c>
      <x:c r="G2499" s="11" t="n">
        <x:v>1</x:v>
      </x:c>
      <x:c r="H2499" s="11" t="n">
        <x:v>0</x:v>
      </x:c>
      <x:c r="I2499" s="17" t="n">
        <x:f>INDEX('Costing'!$P$9:$P$492,MATCH(D2499,'Costing'!$A$9:$A$492,0))</x:f>
        <x:v>20000</x:v>
      </x:c>
      <x:c r="J2499" s="17" t="n">
        <x:f>ROUND(I2499*'Costing'!$C$4,2)</x:f>
        <x:v>3600</x:v>
      </x:c>
      <x:c r="K2499" s="17" t="n">
        <x:f>I2499+J2499</x:f>
        <x:v>23600</x:v>
      </x:c>
    </x:row>
    <x:row r="2500" ht="46" customHeight="1">
      <x:c r="A2500" s="2" t="str">
        <x:v>Sector</x:v>
      </x:c>
      <x:c r="B2500" s="2" t="str">
        <x:v>Unresolved</x:v>
      </x:c>
      <x:c r="C2500" s="12" t="str">
        <x:v>Indore</x:v>
      </x:c>
      <x:c r="D2500" s="12" t="str">
        <x:v>MAIN-271</x:v>
      </x:c>
      <x:c r="E2500" s="12" t="str">
        <x:v>Dhan Trident</x:v>
      </x:c>
      <x:c r="F2500" s="11" t="n">
        <x:v>2</x:v>
      </x:c>
      <x:c r="G2500" s="11" t="n">
        <x:v>2</x:v>
      </x:c>
      <x:c r="H2500" s="11" t="n">
        <x:v>0</x:v>
      </x:c>
      <x:c r="I2500" s="17" t="n">
        <x:f>INDEX('Costing'!$P$9:$P$492,MATCH(D2500,'Costing'!$A$9:$A$492,0))</x:f>
        <x:v>40000</x:v>
      </x:c>
      <x:c r="J2500" s="17" t="n">
        <x:f>ROUND(I2500*'Costing'!$C$4,2)</x:f>
        <x:v>7200</x:v>
      </x:c>
      <x:c r="K2500" s="17" t="n">
        <x:f>I2500+J2500</x:f>
        <x:v>47200</x:v>
      </x:c>
    </x:row>
    <x:row r="2501" ht="46" customHeight="1">
      <x:c r="A2501" s="2" t="str">
        <x:v>Sector</x:v>
      </x:c>
      <x:c r="B2501" s="2" t="str">
        <x:v>Unresolved</x:v>
      </x:c>
      <x:c r="C2501" s="12" t="str">
        <x:v>Indore</x:v>
      </x:c>
      <x:c r="D2501" s="12" t="str">
        <x:v>MAIN-272</x:v>
      </x:c>
      <x:c r="E2501" s="12" t="str">
        <x:v>Maloo - 01</x:v>
      </x:c>
      <x:c r="F2501" s="11" t="n">
        <x:v>1</x:v>
      </x:c>
      <x:c r="G2501" s="11" t="n">
        <x:v>1</x:v>
      </x:c>
      <x:c r="H2501" s="11" t="n">
        <x:v>0</x:v>
      </x:c>
      <x:c r="I2501" s="17" t="n">
        <x:f>INDEX('Costing'!$P$9:$P$492,MATCH(D2501,'Costing'!$A$9:$A$492,0))</x:f>
        <x:v>20000</x:v>
      </x:c>
      <x:c r="J2501" s="17" t="n">
        <x:f>ROUND(I2501*'Costing'!$C$4,2)</x:f>
        <x:v>3600</x:v>
      </x:c>
      <x:c r="K2501" s="17" t="n">
        <x:f>I2501+J2501</x:f>
        <x:v>23600</x:v>
      </x:c>
    </x:row>
    <x:row r="2502" ht="46" customHeight="1">
      <x:c r="A2502" s="2" t="str">
        <x:v>Sector</x:v>
      </x:c>
      <x:c r="B2502" s="2" t="str">
        <x:v>Unresolved</x:v>
      </x:c>
      <x:c r="C2502" s="12" t="str">
        <x:v>Indore</x:v>
      </x:c>
      <x:c r="D2502" s="12" t="str">
        <x:v>MAIN-273</x:v>
      </x:c>
      <x:c r="E2502" s="12" t="str">
        <x:v>Metro Tower</x:v>
      </x:c>
      <x:c r="F2502" s="11" t="n">
        <x:v>2</x:v>
      </x:c>
      <x:c r="G2502" s="11" t="n">
        <x:v>2</x:v>
      </x:c>
      <x:c r="H2502" s="11" t="n">
        <x:v>0</x:v>
      </x:c>
      <x:c r="I2502" s="17" t="n">
        <x:f>INDEX('Costing'!$P$9:$P$492,MATCH(D2502,'Costing'!$A$9:$A$492,0))</x:f>
        <x:v>40000</x:v>
      </x:c>
      <x:c r="J2502" s="17" t="n">
        <x:f>ROUND(I2502*'Costing'!$C$4,2)</x:f>
        <x:v>7200</x:v>
      </x:c>
      <x:c r="K2502" s="17" t="n">
        <x:f>I2502+J2502</x:f>
        <x:v>47200</x:v>
      </x:c>
    </x:row>
    <x:row r="2503" ht="46" customHeight="1">
      <x:c r="A2503" s="2" t="str">
        <x:v>Sector</x:v>
      </x:c>
      <x:c r="B2503" s="2" t="str">
        <x:v>Unresolved</x:v>
      </x:c>
      <x:c r="C2503" s="12" t="str">
        <x:v>Indore</x:v>
      </x:c>
      <x:c r="D2503" s="12" t="str">
        <x:v>MAIN-274</x:v>
      </x:c>
      <x:c r="E2503" s="12" t="str">
        <x:v>Princess Sky Line</x:v>
      </x:c>
      <x:c r="F2503" s="11" t="n">
        <x:v>1</x:v>
      </x:c>
      <x:c r="G2503" s="11" t="n">
        <x:v>1</x:v>
      </x:c>
      <x:c r="H2503" s="11" t="n">
        <x:v>0</x:v>
      </x:c>
      <x:c r="I2503" s="17" t="n">
        <x:f>INDEX('Costing'!$P$9:$P$492,MATCH(D2503,'Costing'!$A$9:$A$492,0))</x:f>
        <x:v>40000</x:v>
      </x:c>
      <x:c r="J2503" s="17" t="n">
        <x:f>ROUND(I2503*'Costing'!$C$4,2)</x:f>
        <x:v>7200</x:v>
      </x:c>
      <x:c r="K2503" s="17" t="n">
        <x:f>I2503+J2503</x:f>
        <x:v>47200</x:v>
      </x:c>
    </x:row>
    <x:row r="2504" ht="46" customHeight="1">
      <x:c r="A2504" s="2" t="str">
        <x:v>Sector</x:v>
      </x:c>
      <x:c r="B2504" s="2" t="str">
        <x:v>Unresolved</x:v>
      </x:c>
      <x:c r="C2504" s="12" t="str">
        <x:v>Indore</x:v>
      </x:c>
      <x:c r="D2504" s="12" t="str">
        <x:v>MAIN-275</x:v>
      </x:c>
      <x:c r="E2504" s="12" t="str">
        <x:v>Princess Sky Park</x:v>
      </x:c>
      <x:c r="F2504" s="11" t="n">
        <x:v>1</x:v>
      </x:c>
      <x:c r="G2504" s="11" t="n">
        <x:v>1</x:v>
      </x:c>
      <x:c r="H2504" s="11" t="n">
        <x:v>0</x:v>
      </x:c>
      <x:c r="I2504" s="17" t="n">
        <x:f>INDEX('Costing'!$P$9:$P$492,MATCH(D2504,'Costing'!$A$9:$A$492,0))</x:f>
        <x:v>40000</x:v>
      </x:c>
      <x:c r="J2504" s="17" t="n">
        <x:f>ROUND(I2504*'Costing'!$C$4,2)</x:f>
        <x:v>7200</x:v>
      </x:c>
      <x:c r="K2504" s="17" t="n">
        <x:f>I2504+J2504</x:f>
        <x:v>47200</x:v>
      </x:c>
    </x:row>
    <x:row r="2505" ht="46" customHeight="1">
      <x:c r="A2505" s="2" t="str">
        <x:v>Sector</x:v>
      </x:c>
      <x:c r="B2505" s="2" t="str">
        <x:v>Unresolved</x:v>
      </x:c>
      <x:c r="C2505" s="12" t="str">
        <x:v>Indore</x:v>
      </x:c>
      <x:c r="D2505" s="12" t="str">
        <x:v>MAIN-276</x:v>
      </x:c>
      <x:c r="E2505" s="12" t="str">
        <x:v>Satyaraj Complex</x:v>
      </x:c>
      <x:c r="F2505" s="11" t="n">
        <x:v>1</x:v>
      </x:c>
      <x:c r="G2505" s="11" t="n">
        <x:v>1</x:v>
      </x:c>
      <x:c r="H2505" s="11" t="n">
        <x:v>0</x:v>
      </x:c>
      <x:c r="I2505" s="17" t="n">
        <x:f>INDEX('Costing'!$P$9:$P$492,MATCH(D2505,'Costing'!$A$9:$A$492,0))</x:f>
        <x:v>20000</x:v>
      </x:c>
      <x:c r="J2505" s="17" t="n">
        <x:f>ROUND(I2505*'Costing'!$C$4,2)</x:f>
        <x:v>3600</x:v>
      </x:c>
      <x:c r="K2505" s="17" t="n">
        <x:f>I2505+J2505</x:f>
        <x:v>23600</x:v>
      </x:c>
    </x:row>
    <x:row r="2506" ht="46" customHeight="1">
      <x:c r="A2506" s="2" t="str">
        <x:v>Sector</x:v>
      </x:c>
      <x:c r="B2506" s="2" t="str">
        <x:v>Unresolved</x:v>
      </x:c>
      <x:c r="C2506" s="12" t="str">
        <x:v>Kochi</x:v>
      </x:c>
      <x:c r="D2506" s="12" t="str">
        <x:v>MAIN-277</x:v>
      </x:c>
      <x:c r="E2506" s="12" t="str">
        <x:v>Awfis - Mezmatrix</x:v>
      </x:c>
      <x:c r="F2506" s="11" t="n">
        <x:v>2</x:v>
      </x:c>
      <x:c r="G2506" s="11" t="n">
        <x:v>2</x:v>
      </x:c>
      <x:c r="H2506" s="11" t="n">
        <x:v>0</x:v>
      </x:c>
      <x:c r="I2506" s="17" t="n">
        <x:f>INDEX('Costing'!$P$9:$P$492,MATCH(D2506,'Costing'!$A$9:$A$492,0))</x:f>
        <x:v>30000</x:v>
      </x:c>
      <x:c r="J2506" s="17" t="n">
        <x:f>ROUND(I2506*'Costing'!$C$4,2)</x:f>
        <x:v>5400</x:v>
      </x:c>
      <x:c r="K2506" s="17" t="n">
        <x:f>I2506+J2506</x:f>
        <x:v>35400</x:v>
      </x:c>
    </x:row>
    <x:row r="2507" ht="46" customHeight="1">
      <x:c r="A2507" s="2" t="str">
        <x:v>Sector</x:v>
      </x:c>
      <x:c r="B2507" s="2" t="str">
        <x:v>Unresolved</x:v>
      </x:c>
      <x:c r="C2507" s="12" t="str">
        <x:v>Kolkata</x:v>
      </x:c>
      <x:c r="D2507" s="12" t="str">
        <x:v>MAIN-278</x:v>
      </x:c>
      <x:c r="E2507" s="12" t="str">
        <x:v>Awfis - Acropolis Mall</x:v>
      </x:c>
      <x:c r="F2507" s="11" t="n">
        <x:v>1</x:v>
      </x:c>
      <x:c r="G2507" s="11" t="n">
        <x:v>1</x:v>
      </x:c>
      <x:c r="H2507" s="11" t="n">
        <x:v>0</x:v>
      </x:c>
      <x:c r="I2507" s="17" t="n">
        <x:f>INDEX('Costing'!$P$9:$P$492,MATCH(D2507,'Costing'!$A$9:$A$492,0))</x:f>
        <x:v>15000</x:v>
      </x:c>
      <x:c r="J2507" s="17" t="n">
        <x:f>ROUND(I2507*'Costing'!$C$4,2)</x:f>
        <x:v>2700</x:v>
      </x:c>
      <x:c r="K2507" s="17" t="n">
        <x:f>I2507+J2507</x:f>
        <x:v>17700</x:v>
      </x:c>
    </x:row>
    <x:row r="2508" ht="46" customHeight="1">
      <x:c r="A2508" s="2" t="str">
        <x:v>Sector</x:v>
      </x:c>
      <x:c r="B2508" s="2" t="str">
        <x:v>Unresolved</x:v>
      </x:c>
      <x:c r="C2508" s="12" t="str">
        <x:v>Kolkata</x:v>
      </x:c>
      <x:c r="D2508" s="12" t="str">
        <x:v>MAIN-280</x:v>
      </x:c>
      <x:c r="E2508" s="12" t="str">
        <x:v>Awfis - Eco Center</x:v>
      </x:c>
      <x:c r="F2508" s="11" t="n">
        <x:v>2</x:v>
      </x:c>
      <x:c r="G2508" s="11" t="n">
        <x:v>2</x:v>
      </x:c>
      <x:c r="H2508" s="11" t="n">
        <x:v>0</x:v>
      </x:c>
      <x:c r="I2508" s="17" t="n">
        <x:f>INDEX('Costing'!$P$9:$P$492,MATCH(D2508,'Costing'!$A$9:$A$492,0))</x:f>
        <x:v>30000</x:v>
      </x:c>
      <x:c r="J2508" s="17" t="n">
        <x:f>ROUND(I2508*'Costing'!$C$4,2)</x:f>
        <x:v>5400</x:v>
      </x:c>
      <x:c r="K2508" s="17" t="n">
        <x:f>I2508+J2508</x:f>
        <x:v>35400</x:v>
      </x:c>
    </x:row>
    <x:row r="2509" ht="46" customHeight="1">
      <x:c r="A2509" s="2" t="str">
        <x:v>Sector</x:v>
      </x:c>
      <x:c r="B2509" s="2" t="str">
        <x:v>Unresolved</x:v>
      </x:c>
      <x:c r="C2509" s="12" t="str">
        <x:v>Kolkata</x:v>
      </x:c>
      <x:c r="D2509" s="12" t="str">
        <x:v>MAIN-282</x:v>
      </x:c>
      <x:c r="E2509" s="12" t="str">
        <x:v>Awfis - Ecospace Business Park 2</x:v>
      </x:c>
      <x:c r="F2509" s="11" t="n">
        <x:v>2</x:v>
      </x:c>
      <x:c r="G2509" s="11" t="n">
        <x:v>2</x:v>
      </x:c>
      <x:c r="H2509" s="11" t="n">
        <x:v>0</x:v>
      </x:c>
      <x:c r="I2509" s="17" t="n">
        <x:f>INDEX('Costing'!$P$9:$P$492,MATCH(D2509,'Costing'!$A$9:$A$492,0))</x:f>
        <x:v>30000</x:v>
      </x:c>
      <x:c r="J2509" s="17" t="n">
        <x:f>ROUND(I2509*'Costing'!$C$4,2)</x:f>
        <x:v>5400</x:v>
      </x:c>
      <x:c r="K2509" s="17" t="n">
        <x:f>I2509+J2509</x:f>
        <x:v>35400</x:v>
      </x:c>
    </x:row>
    <x:row r="2510" ht="46" customHeight="1">
      <x:c r="A2510" s="2" t="str">
        <x:v>Sector</x:v>
      </x:c>
      <x:c r="B2510" s="2" t="str">
        <x:v>Unresolved</x:v>
      </x:c>
      <x:c r="C2510" s="12" t="str">
        <x:v>Kolkata</x:v>
      </x:c>
      <x:c r="D2510" s="12" t="str">
        <x:v>MAIN-284</x:v>
      </x:c>
      <x:c r="E2510" s="12" t="str">
        <x:v>Awfis - Technopolis</x:v>
      </x:c>
      <x:c r="F2510" s="11" t="n">
        <x:v>2</x:v>
      </x:c>
      <x:c r="G2510" s="11" t="n">
        <x:v>2</x:v>
      </x:c>
      <x:c r="H2510" s="11" t="n">
        <x:v>0</x:v>
      </x:c>
      <x:c r="I2510" s="17" t="n">
        <x:f>INDEX('Costing'!$P$9:$P$492,MATCH(D2510,'Costing'!$A$9:$A$492,0))</x:f>
        <x:v>30000</x:v>
      </x:c>
      <x:c r="J2510" s="17" t="n">
        <x:f>ROUND(I2510*'Costing'!$C$4,2)</x:f>
        <x:v>5400</x:v>
      </x:c>
      <x:c r="K2510" s="17" t="n">
        <x:f>I2510+J2510</x:f>
        <x:v>35400</x:v>
      </x:c>
    </x:row>
    <x:row r="2511" ht="46" customHeight="1">
      <x:c r="A2511" s="2" t="str">
        <x:v>Sector</x:v>
      </x:c>
      <x:c r="B2511" s="2" t="str">
        <x:v>Unresolved</x:v>
      </x:c>
      <x:c r="C2511" s="12" t="str">
        <x:v>Kolkata</x:v>
      </x:c>
      <x:c r="D2511" s="12" t="str">
        <x:v>MAIN-285</x:v>
      </x:c>
      <x:c r="E2511" s="12" t="str">
        <x:v>Awfis - Technopolis</x:v>
      </x:c>
      <x:c r="F2511" s="11" t="n">
        <x:v>1</x:v>
      </x:c>
      <x:c r="G2511" s="11" t="n">
        <x:v>1</x:v>
      </x:c>
      <x:c r="H2511" s="11" t="n">
        <x:v>0</x:v>
      </x:c>
      <x:c r="I2511" s="17" t="n">
        <x:f>INDEX('Costing'!$P$9:$P$492,MATCH(D2511,'Costing'!$A$9:$A$492,0))</x:f>
        <x:v>15000</x:v>
      </x:c>
      <x:c r="J2511" s="17" t="n">
        <x:f>ROUND(I2511*'Costing'!$C$4,2)</x:f>
        <x:v>2700</x:v>
      </x:c>
      <x:c r="K2511" s="17" t="n">
        <x:f>I2511+J2511</x:f>
        <x:v>17700</x:v>
      </x:c>
    </x:row>
    <x:row r="2512" ht="46" customHeight="1">
      <x:c r="A2512" s="2" t="str">
        <x:v>Sector</x:v>
      </x:c>
      <x:c r="B2512" s="2" t="str">
        <x:v>Unresolved</x:v>
      </x:c>
      <x:c r="C2512" s="12" t="str">
        <x:v>Kolkata</x:v>
      </x:c>
      <x:c r="D2512" s="12" t="str">
        <x:v>MAIN-287</x:v>
      </x:c>
      <x:c r="E2512" s="12" t="str">
        <x:v>DLF Galleria</x:v>
      </x:c>
      <x:c r="F2512" s="11" t="n">
        <x:v>5</x:v>
      </x:c>
      <x:c r="G2512" s="11" t="n">
        <x:v>5</x:v>
      </x:c>
      <x:c r="H2512" s="11" t="n">
        <x:v>0</x:v>
      </x:c>
      <x:c r="I2512" s="17" t="n">
        <x:f>INDEX('Costing'!$P$9:$P$492,MATCH(D2512,'Costing'!$A$9:$A$492,0))</x:f>
        <x:v>75000</x:v>
      </x:c>
      <x:c r="J2512" s="17" t="n">
        <x:f>ROUND(I2512*'Costing'!$C$4,2)</x:f>
        <x:v>13500</x:v>
      </x:c>
      <x:c r="K2512" s="17" t="n">
        <x:f>I2512+J2512</x:f>
        <x:v>88500</x:v>
      </x:c>
    </x:row>
    <x:row r="2513" ht="46" customHeight="1">
      <x:c r="A2513" s="2" t="str">
        <x:v>Sector</x:v>
      </x:c>
      <x:c r="B2513" s="2" t="str">
        <x:v>Unresolved</x:v>
      </x:c>
      <x:c r="C2513" s="12" t="str">
        <x:v>Lucknow</x:v>
      </x:c>
      <x:c r="D2513" s="12" t="str">
        <x:v>MAIN-288</x:v>
      </x:c>
      <x:c r="E2513" s="12" t="str">
        <x:v>Bhavya Corporate Tower</x:v>
      </x:c>
      <x:c r="F2513" s="11" t="n">
        <x:v>2</x:v>
      </x:c>
      <x:c r="G2513" s="11" t="n">
        <x:v>2</x:v>
      </x:c>
      <x:c r="H2513" s="11" t="n">
        <x:v>0</x:v>
      </x:c>
      <x:c r="I2513" s="17" t="n">
        <x:f>INDEX('Costing'!$P$9:$P$492,MATCH(D2513,'Costing'!$A$9:$A$492,0))</x:f>
        <x:v>40000</x:v>
      </x:c>
      <x:c r="J2513" s="17" t="n">
        <x:f>ROUND(I2513*'Costing'!$C$4,2)</x:f>
        <x:v>7200</x:v>
      </x:c>
      <x:c r="K2513" s="17" t="n">
        <x:f>I2513+J2513</x:f>
        <x:v>47200</x:v>
      </x:c>
    </x:row>
    <x:row r="2514" ht="46" customHeight="1">
      <x:c r="A2514" s="2" t="str">
        <x:v>Sector</x:v>
      </x:c>
      <x:c r="B2514" s="2" t="str">
        <x:v>Unresolved</x:v>
      </x:c>
      <x:c r="C2514" s="12" t="str">
        <x:v>Lucknow</x:v>
      </x:c>
      <x:c r="D2514" s="12" t="str">
        <x:v>MAIN-290</x:v>
      </x:c>
      <x:c r="E2514" s="12" t="str">
        <x:v>Eldeco Elegente</x:v>
      </x:c>
      <x:c r="F2514" s="11" t="n">
        <x:v>1</x:v>
      </x:c>
      <x:c r="G2514" s="11" t="n">
        <x:v>1</x:v>
      </x:c>
      <x:c r="H2514" s="11" t="n">
        <x:v>0</x:v>
      </x:c>
      <x:c r="I2514" s="17" t="n">
        <x:f>INDEX('Costing'!$P$9:$P$492,MATCH(D2514,'Costing'!$A$9:$A$492,0))</x:f>
        <x:v>40000</x:v>
      </x:c>
      <x:c r="J2514" s="17" t="n">
        <x:f>ROUND(I2514*'Costing'!$C$4,2)</x:f>
        <x:v>7200</x:v>
      </x:c>
      <x:c r="K2514" s="17" t="n">
        <x:f>I2514+J2514</x:f>
        <x:v>47200</x:v>
      </x:c>
    </x:row>
    <x:row r="2515" ht="46" customHeight="1">
      <x:c r="A2515" s="2" t="str">
        <x:v>Sector</x:v>
      </x:c>
      <x:c r="B2515" s="2" t="str">
        <x:v>Unresolved</x:v>
      </x:c>
      <x:c r="C2515" s="12" t="str">
        <x:v>Lucknow</x:v>
      </x:c>
      <x:c r="D2515" s="12" t="str">
        <x:v>MAIN-291</x:v>
      </x:c>
      <x:c r="E2515" s="12" t="str">
        <x:v>Levana Cyber Heights</x:v>
      </x:c>
      <x:c r="F2515" s="11" t="n">
        <x:v>4</x:v>
      </x:c>
      <x:c r="G2515" s="11" t="n">
        <x:v>4</x:v>
      </x:c>
      <x:c r="H2515" s="11" t="n">
        <x:v>0</x:v>
      </x:c>
      <x:c r="I2515" s="17" t="n">
        <x:f>INDEX('Costing'!$P$9:$P$492,MATCH(D2515,'Costing'!$A$9:$A$492,0))</x:f>
        <x:v>160000</x:v>
      </x:c>
      <x:c r="J2515" s="17" t="n">
        <x:f>ROUND(I2515*'Costing'!$C$4,2)</x:f>
        <x:v>28800</x:v>
      </x:c>
      <x:c r="K2515" s="17" t="n">
        <x:f>I2515+J2515</x:f>
        <x:v>188800</x:v>
      </x:c>
    </x:row>
    <x:row r="2516" ht="46" customHeight="1">
      <x:c r="A2516" s="2" t="str">
        <x:v>Sector</x:v>
      </x:c>
      <x:c r="B2516" s="2" t="str">
        <x:v>Unresolved</x:v>
      </x:c>
      <x:c r="C2516" s="12" t="str">
        <x:v>Lucknow</x:v>
      </x:c>
      <x:c r="D2516" s="12" t="str">
        <x:v>MAIN-292</x:v>
      </x:c>
      <x:c r="E2516" s="12" t="str">
        <x:v>Levana Cyber Tower</x:v>
      </x:c>
      <x:c r="F2516" s="11" t="n">
        <x:v>3</x:v>
      </x:c>
      <x:c r="G2516" s="11" t="n">
        <x:v>3</x:v>
      </x:c>
      <x:c r="H2516" s="11" t="n">
        <x:v>0</x:v>
      </x:c>
      <x:c r="I2516" s="17" t="n">
        <x:f>INDEX('Costing'!$P$9:$P$492,MATCH(D2516,'Costing'!$A$9:$A$492,0))</x:f>
        <x:v>120000</x:v>
      </x:c>
      <x:c r="J2516" s="17" t="n">
        <x:f>ROUND(I2516*'Costing'!$C$4,2)</x:f>
        <x:v>21600</x:v>
      </x:c>
      <x:c r="K2516" s="17" t="n">
        <x:f>I2516+J2516</x:f>
        <x:v>141600</x:v>
      </x:c>
    </x:row>
    <x:row r="2517" ht="46" customHeight="1">
      <x:c r="A2517" s="2" t="str">
        <x:v>Sector</x:v>
      </x:c>
      <x:c r="B2517" s="2" t="str">
        <x:v>Unresolved</x:v>
      </x:c>
      <x:c r="C2517" s="12" t="str">
        <x:v>Mumbai</x:v>
      </x:c>
      <x:c r="D2517" s="12" t="str">
        <x:v>MAIN-294</x:v>
      </x:c>
      <x:c r="E2517" s="12" t="str">
        <x:v>Avior Corporate Park</x:v>
      </x:c>
      <x:c r="F2517" s="11" t="n">
        <x:v>39</x:v>
      </x:c>
      <x:c r="G2517" s="11" t="n">
        <x:v>39</x:v>
      </x:c>
      <x:c r="H2517" s="11" t="n">
        <x:v>0</x:v>
      </x:c>
      <x:c r="I2517" s="17" t="n">
        <x:f>INDEX('Costing'!$P$9:$P$492,MATCH(D2517,'Costing'!$A$9:$A$492,0))</x:f>
        <x:v>585000</x:v>
      </x:c>
      <x:c r="J2517" s="17" t="n">
        <x:f>ROUND(I2517*'Costing'!$C$4,2)</x:f>
        <x:v>105300</x:v>
      </x:c>
      <x:c r="K2517" s="17" t="n">
        <x:f>I2517+J2517</x:f>
        <x:v>690300</x:v>
      </x:c>
    </x:row>
    <x:row r="2518" ht="46" customHeight="1">
      <x:c r="A2518" s="2" t="str">
        <x:v>Sector</x:v>
      </x:c>
      <x:c r="B2518" s="2" t="str">
        <x:v>Unresolved</x:v>
      </x:c>
      <x:c r="C2518" s="12" t="str">
        <x:v>Mumbai</x:v>
      </x:c>
      <x:c r="D2518" s="12" t="str">
        <x:v>MAIN-295</x:v>
      </x:c>
      <x:c r="E2518" s="12" t="str">
        <x:v>Awfis - Adani Inspire, BKC</x:v>
      </x:c>
      <x:c r="F2518" s="11" t="n">
        <x:v>1</x:v>
      </x:c>
      <x:c r="G2518" s="11" t="n">
        <x:v>1</x:v>
      </x:c>
      <x:c r="H2518" s="11" t="n">
        <x:v>0</x:v>
      </x:c>
      <x:c r="I2518" s="17" t="n">
        <x:f>INDEX('Costing'!$P$9:$P$492,MATCH(D2518,'Costing'!$A$9:$A$492,0))</x:f>
        <x:v>15000</x:v>
      </x:c>
      <x:c r="J2518" s="17" t="n">
        <x:f>ROUND(I2518*'Costing'!$C$4,2)</x:f>
        <x:v>2700</x:v>
      </x:c>
      <x:c r="K2518" s="17" t="n">
        <x:f>I2518+J2518</x:f>
        <x:v>17700</x:v>
      </x:c>
    </x:row>
    <x:row r="2519" ht="46" customHeight="1">
      <x:c r="A2519" s="2" t="str">
        <x:v>Sector</x:v>
      </x:c>
      <x:c r="B2519" s="2" t="str">
        <x:v>Unresolved</x:v>
      </x:c>
      <x:c r="C2519" s="12" t="str">
        <x:v>Mumbai</x:v>
      </x:c>
      <x:c r="D2519" s="12" t="str">
        <x:v>MAIN-296</x:v>
      </x:c>
      <x:c r="E2519" s="12" t="str">
        <x:v>Awfis - Cyber One</x:v>
      </x:c>
      <x:c r="F2519" s="11" t="n">
        <x:v>1</x:v>
      </x:c>
      <x:c r="G2519" s="11" t="n">
        <x:v>1</x:v>
      </x:c>
      <x:c r="H2519" s="11" t="n">
        <x:v>0</x:v>
      </x:c>
      <x:c r="I2519" s="17" t="n">
        <x:f>INDEX('Costing'!$P$9:$P$492,MATCH(D2519,'Costing'!$A$9:$A$492,0))</x:f>
        <x:v>15000</x:v>
      </x:c>
      <x:c r="J2519" s="17" t="n">
        <x:f>ROUND(I2519*'Costing'!$C$4,2)</x:f>
        <x:v>2700</x:v>
      </x:c>
      <x:c r="K2519" s="17" t="n">
        <x:f>I2519+J2519</x:f>
        <x:v>17700</x:v>
      </x:c>
    </x:row>
    <x:row r="2520" ht="46" customHeight="1">
      <x:c r="A2520" s="2" t="str">
        <x:v>Sector</x:v>
      </x:c>
      <x:c r="B2520" s="2" t="str">
        <x:v>Unresolved</x:v>
      </x:c>
      <x:c r="C2520" s="12" t="str">
        <x:v>Mumbai</x:v>
      </x:c>
      <x:c r="D2520" s="12" t="str">
        <x:v>MAIN-298</x:v>
      </x:c>
      <x:c r="E2520" s="12" t="str">
        <x:v>Awfis - Kalpataru Prime</x:v>
      </x:c>
      <x:c r="F2520" s="11" t="n">
        <x:v>2</x:v>
      </x:c>
      <x:c r="G2520" s="11" t="n">
        <x:v>2</x:v>
      </x:c>
      <x:c r="H2520" s="11" t="n">
        <x:v>0</x:v>
      </x:c>
      <x:c r="I2520" s="17" t="n">
        <x:f>INDEX('Costing'!$P$9:$P$492,MATCH(D2520,'Costing'!$A$9:$A$492,0))</x:f>
        <x:v>30000</x:v>
      </x:c>
      <x:c r="J2520" s="17" t="n">
        <x:f>ROUND(I2520*'Costing'!$C$4,2)</x:f>
        <x:v>5400</x:v>
      </x:c>
      <x:c r="K2520" s="17" t="n">
        <x:f>I2520+J2520</x:f>
        <x:v>35400</x:v>
      </x:c>
    </x:row>
    <x:row r="2521" ht="46" customHeight="1">
      <x:c r="A2521" s="2" t="str">
        <x:v>Sector</x:v>
      </x:c>
      <x:c r="B2521" s="2" t="str">
        <x:v>Unresolved</x:v>
      </x:c>
      <x:c r="C2521" s="12" t="str">
        <x:v>Mumbai</x:v>
      </x:c>
      <x:c r="D2521" s="12" t="str">
        <x:v>MAIN-299</x:v>
      </x:c>
      <x:c r="E2521" s="12" t="str">
        <x:v>Awfis - Lodha IThink</x:v>
      </x:c>
      <x:c r="F2521" s="11" t="n">
        <x:v>1</x:v>
      </x:c>
      <x:c r="G2521" s="11" t="n">
        <x:v>1</x:v>
      </x:c>
      <x:c r="H2521" s="11" t="n">
        <x:v>0</x:v>
      </x:c>
      <x:c r="I2521" s="17" t="n">
        <x:f>INDEX('Costing'!$P$9:$P$492,MATCH(D2521,'Costing'!$A$9:$A$492,0))</x:f>
        <x:v>15000</x:v>
      </x:c>
      <x:c r="J2521" s="17" t="n">
        <x:f>ROUND(I2521*'Costing'!$C$4,2)</x:f>
        <x:v>2700</x:v>
      </x:c>
      <x:c r="K2521" s="17" t="n">
        <x:f>I2521+J2521</x:f>
        <x:v>17700</x:v>
      </x:c>
    </x:row>
    <x:row r="2522" ht="46" customHeight="1">
      <x:c r="A2522" s="2" t="str">
        <x:v>Sector</x:v>
      </x:c>
      <x:c r="B2522" s="2" t="str">
        <x:v>Unresolved</x:v>
      </x:c>
      <x:c r="C2522" s="12" t="str">
        <x:v>Mumbai</x:v>
      </x:c>
      <x:c r="D2522" s="12" t="str">
        <x:v>MAIN-300</x:v>
      </x:c>
      <x:c r="E2522" s="12" t="str">
        <x:v>Awfis - Lokhandwala Aston Building</x:v>
      </x:c>
      <x:c r="F2522" s="11" t="n">
        <x:v>1</x:v>
      </x:c>
      <x:c r="G2522" s="11" t="n">
        <x:v>1</x:v>
      </x:c>
      <x:c r="H2522" s="11" t="n">
        <x:v>0</x:v>
      </x:c>
      <x:c r="I2522" s="17" t="n">
        <x:f>INDEX('Costing'!$P$9:$P$492,MATCH(D2522,'Costing'!$A$9:$A$492,0))</x:f>
        <x:v>15000</x:v>
      </x:c>
      <x:c r="J2522" s="17" t="n">
        <x:f>ROUND(I2522*'Costing'!$C$4,2)</x:f>
        <x:v>2700</x:v>
      </x:c>
      <x:c r="K2522" s="17" t="n">
        <x:f>I2522+J2522</x:f>
        <x:v>17700</x:v>
      </x:c>
    </x:row>
    <x:row r="2523" ht="46" customHeight="1">
      <x:c r="A2523" s="2" t="str">
        <x:v>Sector</x:v>
      </x:c>
      <x:c r="B2523" s="2" t="str">
        <x:v>Unresolved</x:v>
      </x:c>
      <x:c r="C2523" s="12" t="str">
        <x:v>Mumbai</x:v>
      </x:c>
      <x:c r="D2523" s="12" t="str">
        <x:v>MAIN-303</x:v>
      </x:c>
      <x:c r="E2523" s="12" t="str">
        <x:v>Awfis - Schindler House</x:v>
      </x:c>
      <x:c r="F2523" s="11" t="n">
        <x:v>1</x:v>
      </x:c>
      <x:c r="G2523" s="11" t="n">
        <x:v>1</x:v>
      </x:c>
      <x:c r="H2523" s="11" t="n">
        <x:v>0</x:v>
      </x:c>
      <x:c r="I2523" s="17" t="n">
        <x:f>INDEX('Costing'!$P$9:$P$492,MATCH(D2523,'Costing'!$A$9:$A$492,0))</x:f>
        <x:v>15000</x:v>
      </x:c>
      <x:c r="J2523" s="17" t="n">
        <x:f>ROUND(I2523*'Costing'!$C$4,2)</x:f>
        <x:v>2700</x:v>
      </x:c>
      <x:c r="K2523" s="17" t="n">
        <x:f>I2523+J2523</x:f>
        <x:v>17700</x:v>
      </x:c>
    </x:row>
    <x:row r="2524" ht="46" customHeight="1">
      <x:c r="A2524" s="2" t="str">
        <x:v>Sector</x:v>
      </x:c>
      <x:c r="B2524" s="2" t="str">
        <x:v>Unresolved</x:v>
      </x:c>
      <x:c r="C2524" s="12" t="str">
        <x:v>Mumbai</x:v>
      </x:c>
      <x:c r="D2524" s="12" t="str">
        <x:v>MAIN-304</x:v>
      </x:c>
      <x:c r="E2524" s="12" t="str">
        <x:v>Awfis - Skyline Icon</x:v>
      </x:c>
      <x:c r="F2524" s="11" t="n">
        <x:v>2</x:v>
      </x:c>
      <x:c r="G2524" s="11" t="n">
        <x:v>2</x:v>
      </x:c>
      <x:c r="H2524" s="11" t="n">
        <x:v>0</x:v>
      </x:c>
      <x:c r="I2524" s="17" t="n">
        <x:f>INDEX('Costing'!$P$9:$P$492,MATCH(D2524,'Costing'!$A$9:$A$492,0))</x:f>
        <x:v>30000</x:v>
      </x:c>
      <x:c r="J2524" s="17" t="n">
        <x:f>ROUND(I2524*'Costing'!$C$4,2)</x:f>
        <x:v>5400</x:v>
      </x:c>
      <x:c r="K2524" s="17" t="n">
        <x:f>I2524+J2524</x:f>
        <x:v>35400</x:v>
      </x:c>
    </x:row>
    <x:row r="2525" ht="46" customHeight="1">
      <x:c r="A2525" s="2" t="str">
        <x:v>Sector</x:v>
      </x:c>
      <x:c r="B2525" s="2" t="str">
        <x:v>Unresolved</x:v>
      </x:c>
      <x:c r="C2525" s="12" t="str">
        <x:v>Mumbai</x:v>
      </x:c>
      <x:c r="D2525" s="12" t="str">
        <x:v>MAIN-305</x:v>
      </x:c>
      <x:c r="E2525" s="12" t="str">
        <x:v>Awfis - Vaman Techno Center</x:v>
      </x:c>
      <x:c r="F2525" s="11" t="n">
        <x:v>2</x:v>
      </x:c>
      <x:c r="G2525" s="11" t="n">
        <x:v>2</x:v>
      </x:c>
      <x:c r="H2525" s="11" t="n">
        <x:v>0</x:v>
      </x:c>
      <x:c r="I2525" s="17" t="n">
        <x:f>INDEX('Costing'!$P$9:$P$492,MATCH(D2525,'Costing'!$A$9:$A$492,0))</x:f>
        <x:v>30000</x:v>
      </x:c>
      <x:c r="J2525" s="17" t="n">
        <x:f>ROUND(I2525*'Costing'!$C$4,2)</x:f>
        <x:v>5400</x:v>
      </x:c>
      <x:c r="K2525" s="17" t="n">
        <x:f>I2525+J2525</x:f>
        <x:v>35400</x:v>
      </x:c>
    </x:row>
    <x:row r="2526" ht="46" customHeight="1">
      <x:c r="A2526" s="2" t="str">
        <x:v>Sector</x:v>
      </x:c>
      <x:c r="B2526" s="2" t="str">
        <x:v>Unresolved</x:v>
      </x:c>
      <x:c r="C2526" s="12" t="str">
        <x:v>Mumbai</x:v>
      </x:c>
      <x:c r="D2526" s="12" t="str">
        <x:v>MAIN-307</x:v>
      </x:c>
      <x:c r="E2526" s="12" t="str">
        <x:v>Blue Rose IND</x:v>
      </x:c>
      <x:c r="F2526" s="11" t="n">
        <x:v>22</x:v>
      </x:c>
      <x:c r="G2526" s="11" t="n">
        <x:v>22</x:v>
      </x:c>
      <x:c r="H2526" s="11" t="n">
        <x:v>0</x:v>
      </x:c>
      <x:c r="I2526" s="17" t="n">
        <x:f>INDEX('Costing'!$P$9:$P$492,MATCH(D2526,'Costing'!$A$9:$A$492,0))</x:f>
        <x:v>330000</x:v>
      </x:c>
      <x:c r="J2526" s="17" t="n">
        <x:f>ROUND(I2526*'Costing'!$C$4,2)</x:f>
        <x:v>59400</x:v>
      </x:c>
      <x:c r="K2526" s="17" t="n">
        <x:f>I2526+J2526</x:f>
        <x:v>389400</x:v>
      </x:c>
    </x:row>
    <x:row r="2527" ht="46" customHeight="1">
      <x:c r="A2527" s="2" t="str">
        <x:v>Sector</x:v>
      </x:c>
      <x:c r="B2527" s="2" t="str">
        <x:v>Unresolved</x:v>
      </x:c>
      <x:c r="C2527" s="12" t="str">
        <x:v>Mumbai</x:v>
      </x:c>
      <x:c r="D2527" s="12" t="str">
        <x:v>MAIN-308</x:v>
      </x:c>
      <x:c r="E2527" s="12" t="str">
        <x:v>Bsel Tech Park</x:v>
      </x:c>
      <x:c r="F2527" s="11" t="n">
        <x:v>47</x:v>
      </x:c>
      <x:c r="G2527" s="11" t="n">
        <x:v>47</x:v>
      </x:c>
      <x:c r="H2527" s="11" t="n">
        <x:v>0</x:v>
      </x:c>
      <x:c r="I2527" s="17" t="n">
        <x:f>INDEX('Costing'!$P$9:$P$492,MATCH(D2527,'Costing'!$A$9:$A$492,0))</x:f>
        <x:v>705000</x:v>
      </x:c>
      <x:c r="J2527" s="17" t="n">
        <x:f>ROUND(I2527*'Costing'!$C$4,2)</x:f>
        <x:v>126900</x:v>
      </x:c>
      <x:c r="K2527" s="17" t="n">
        <x:f>I2527+J2527</x:f>
        <x:v>831900</x:v>
      </x:c>
    </x:row>
    <x:row r="2528" ht="46" customHeight="1">
      <x:c r="A2528" s="2" t="str">
        <x:v>Sector</x:v>
      </x:c>
      <x:c r="B2528" s="2" t="str">
        <x:v>Unresolved</x:v>
      </x:c>
      <x:c r="C2528" s="12" t="str">
        <x:v>Mumbai</x:v>
      </x:c>
      <x:c r="D2528" s="12" t="str">
        <x:v>MAIN-312</x:v>
      </x:c>
      <x:c r="E2528" s="12" t="str">
        <x:v>Deekay Tech Park</x:v>
      </x:c>
      <x:c r="F2528" s="11" t="n">
        <x:v>6</x:v>
      </x:c>
      <x:c r="G2528" s="11" t="n">
        <x:v>6</x:v>
      </x:c>
      <x:c r="H2528" s="11" t="n">
        <x:v>0</x:v>
      </x:c>
      <x:c r="I2528" s="17" t="n">
        <x:f>INDEX('Costing'!$P$9:$P$492,MATCH(D2528,'Costing'!$A$9:$A$492,0))</x:f>
        <x:v>90000</x:v>
      </x:c>
      <x:c r="J2528" s="17" t="n">
        <x:f>ROUND(I2528*'Costing'!$C$4,2)</x:f>
        <x:v>16200</x:v>
      </x:c>
      <x:c r="K2528" s="17" t="n">
        <x:f>I2528+J2528</x:f>
        <x:v>106200</x:v>
      </x:c>
    </x:row>
    <x:row r="2529" ht="46" customHeight="1">
      <x:c r="A2529" s="2" t="str">
        <x:v>Sector</x:v>
      </x:c>
      <x:c r="B2529" s="2" t="str">
        <x:v>Unresolved</x:v>
      </x:c>
      <x:c r="C2529" s="12" t="str">
        <x:v>Mumbai</x:v>
      </x:c>
      <x:c r="D2529" s="12" t="str">
        <x:v>MAIN-313</x:v>
      </x:c>
      <x:c r="E2529" s="12" t="str">
        <x:v>Everest Nirwana</x:v>
      </x:c>
      <x:c r="F2529" s="11" t="n">
        <x:v>21</x:v>
      </x:c>
      <x:c r="G2529" s="11" t="n">
        <x:v>21</x:v>
      </x:c>
      <x:c r="H2529" s="11" t="n">
        <x:v>0</x:v>
      </x:c>
      <x:c r="I2529" s="17" t="n">
        <x:f>INDEX('Costing'!$P$9:$P$492,MATCH(D2529,'Costing'!$A$9:$A$492,0))</x:f>
        <x:v>315000</x:v>
      </x:c>
      <x:c r="J2529" s="17" t="n">
        <x:f>ROUND(I2529*'Costing'!$C$4,2)</x:f>
        <x:v>56700</x:v>
      </x:c>
      <x:c r="K2529" s="17" t="n">
        <x:f>I2529+J2529</x:f>
        <x:v>371700</x:v>
      </x:c>
    </x:row>
    <x:row r="2530" ht="46" customHeight="1">
      <x:c r="A2530" s="2" t="str">
        <x:v>Sector</x:v>
      </x:c>
      <x:c r="B2530" s="2" t="str">
        <x:v>Unresolved</x:v>
      </x:c>
      <x:c r="C2530" s="12" t="str">
        <x:v>Mumbai</x:v>
      </x:c>
      <x:c r="D2530" s="12" t="str">
        <x:v>MAIN-318</x:v>
      </x:c>
      <x:c r="E2530" s="12" t="str">
        <x:v>Kaledonia (Redbrick Offices)</x:v>
      </x:c>
      <x:c r="F2530" s="11" t="n">
        <x:v>2</x:v>
      </x:c>
      <x:c r="G2530" s="11" t="n">
        <x:v>2</x:v>
      </x:c>
      <x:c r="H2530" s="11" t="n">
        <x:v>0</x:v>
      </x:c>
      <x:c r="I2530" s="17" t="n">
        <x:f>INDEX('Costing'!$P$9:$P$492,MATCH(D2530,'Costing'!$A$9:$A$492,0))</x:f>
        <x:v>30000</x:v>
      </x:c>
      <x:c r="J2530" s="17" t="n">
        <x:f>ROUND(I2530*'Costing'!$C$4,2)</x:f>
        <x:v>5400</x:v>
      </x:c>
      <x:c r="K2530" s="17" t="n">
        <x:f>I2530+J2530</x:f>
        <x:v>35400</x:v>
      </x:c>
    </x:row>
    <x:row r="2531" ht="46" customHeight="1">
      <x:c r="A2531" s="2" t="str">
        <x:v>Sector</x:v>
      </x:c>
      <x:c r="B2531" s="2" t="str">
        <x:v>Unresolved</x:v>
      </x:c>
      <x:c r="C2531" s="12" t="str">
        <x:v>Mumbai</x:v>
      </x:c>
      <x:c r="D2531" s="12" t="str">
        <x:v>MAIN-319</x:v>
      </x:c>
      <x:c r="E2531" s="12" t="str">
        <x:v>Kalpataru Prime (Redbrick Offices)</x:v>
      </x:c>
      <x:c r="F2531" s="11" t="n">
        <x:v>1</x:v>
      </x:c>
      <x:c r="G2531" s="11" t="n">
        <x:v>1</x:v>
      </x:c>
      <x:c r="H2531" s="11" t="n">
        <x:v>0</x:v>
      </x:c>
      <x:c r="I2531" s="17" t="n">
        <x:f>INDEX('Costing'!$P$9:$P$492,MATCH(D2531,'Costing'!$A$9:$A$492,0))</x:f>
        <x:v>15000</x:v>
      </x:c>
      <x:c r="J2531" s="17" t="n">
        <x:f>ROUND(I2531*'Costing'!$C$4,2)</x:f>
        <x:v>2700</x:v>
      </x:c>
      <x:c r="K2531" s="17" t="n">
        <x:f>I2531+J2531</x:f>
        <x:v>17700</x:v>
      </x:c>
    </x:row>
    <x:row r="2532" ht="46" customHeight="1">
      <x:c r="A2532" s="2" t="str">
        <x:v>Sector</x:v>
      </x:c>
      <x:c r="B2532" s="2" t="str">
        <x:v>Unresolved</x:v>
      </x:c>
      <x:c r="C2532" s="12" t="str">
        <x:v>Mumbai</x:v>
      </x:c>
      <x:c r="D2532" s="12" t="str">
        <x:v>MAIN-325</x:v>
      </x:c>
      <x:c r="E2532" s="12" t="str">
        <x:v>Nucleus - One BKC</x:v>
      </x:c>
      <x:c r="F2532" s="11" t="n">
        <x:v>2</x:v>
      </x:c>
      <x:c r="G2532" s="11" t="n">
        <x:v>2</x:v>
      </x:c>
      <x:c r="H2532" s="11" t="n">
        <x:v>0</x:v>
      </x:c>
      <x:c r="I2532" s="17" t="n">
        <x:f>INDEX('Costing'!$P$9:$P$492,MATCH(D2532,'Costing'!$A$9:$A$492,0))</x:f>
        <x:v>80000</x:v>
      </x:c>
      <x:c r="J2532" s="17" t="n">
        <x:f>ROUND(I2532*'Costing'!$C$4,2)</x:f>
        <x:v>14400</x:v>
      </x:c>
      <x:c r="K2532" s="17" t="n">
        <x:f>I2532+J2532</x:f>
        <x:v>94400</x:v>
      </x:c>
    </x:row>
    <x:row r="2533" ht="46" customHeight="1">
      <x:c r="A2533" s="2" t="str">
        <x:v>Sector</x:v>
      </x:c>
      <x:c r="B2533" s="2" t="str">
        <x:v>Unresolved</x:v>
      </x:c>
      <x:c r="C2533" s="12" t="str">
        <x:v>Mumbai</x:v>
      </x:c>
      <x:c r="D2533" s="12" t="str">
        <x:v>MAIN-326</x:v>
      </x:c>
      <x:c r="E2533" s="12" t="str">
        <x:v>Nucleus - One International Center</x:v>
      </x:c>
      <x:c r="F2533" s="11" t="n">
        <x:v>9</x:v>
      </x:c>
      <x:c r="G2533" s="11" t="n">
        <x:v>9</x:v>
      </x:c>
      <x:c r="H2533" s="11" t="n">
        <x:v>0</x:v>
      </x:c>
      <x:c r="I2533" s="17" t="n">
        <x:f>INDEX('Costing'!$P$9:$P$492,MATCH(D2533,'Costing'!$A$9:$A$492,0))</x:f>
        <x:v>360000</x:v>
      </x:c>
      <x:c r="J2533" s="17" t="n">
        <x:f>ROUND(I2533*'Costing'!$C$4,2)</x:f>
        <x:v>64800</x:v>
      </x:c>
      <x:c r="K2533" s="17" t="n">
        <x:f>I2533+J2533</x:f>
        <x:v>424800</x:v>
      </x:c>
    </x:row>
    <x:row r="2534" ht="46" customHeight="1">
      <x:c r="A2534" s="2" t="str">
        <x:v>Sector</x:v>
      </x:c>
      <x:c r="B2534" s="2" t="str">
        <x:v>Unresolved</x:v>
      </x:c>
      <x:c r="C2534" s="12" t="str">
        <x:v>Mumbai</x:v>
      </x:c>
      <x:c r="D2534" s="12" t="str">
        <x:v>MAIN-327</x:v>
      </x:c>
      <x:c r="E2534" s="12" t="str">
        <x:v>Nucleus - One World Center</x:v>
      </x:c>
      <x:c r="F2534" s="11" t="n">
        <x:v>8</x:v>
      </x:c>
      <x:c r="G2534" s="11" t="n">
        <x:v>8</x:v>
      </x:c>
      <x:c r="H2534" s="11" t="n">
        <x:v>0</x:v>
      </x:c>
      <x:c r="I2534" s="17" t="n">
        <x:f>INDEX('Costing'!$P$9:$P$492,MATCH(D2534,'Costing'!$A$9:$A$492,0))</x:f>
        <x:v>320000</x:v>
      </x:c>
      <x:c r="J2534" s="17" t="n">
        <x:f>ROUND(I2534*'Costing'!$C$4,2)</x:f>
        <x:v>57600</x:v>
      </x:c>
      <x:c r="K2534" s="17" t="n">
        <x:f>I2534+J2534</x:f>
        <x:v>377600</x:v>
      </x:c>
    </x:row>
    <x:row r="2535" ht="46" customHeight="1">
      <x:c r="A2535" s="2" t="str">
        <x:v>Sector</x:v>
      </x:c>
      <x:c r="B2535" s="2" t="str">
        <x:v>Unresolved</x:v>
      </x:c>
      <x:c r="C2535" s="12" t="str">
        <x:v>Mumbai</x:v>
      </x:c>
      <x:c r="D2535" s="12" t="str">
        <x:v>MAIN-331</x:v>
      </x:c>
      <x:c r="E2535" s="12" t="str">
        <x:v>One World Centre (Redbrick Offices)</x:v>
      </x:c>
      <x:c r="F2535" s="11" t="n">
        <x:v>1</x:v>
      </x:c>
      <x:c r="G2535" s="11" t="n">
        <x:v>1</x:v>
      </x:c>
      <x:c r="H2535" s="11" t="n">
        <x:v>0</x:v>
      </x:c>
      <x:c r="I2535" s="17" t="n">
        <x:f>INDEX('Costing'!$P$9:$P$492,MATCH(D2535,'Costing'!$A$9:$A$492,0))</x:f>
        <x:v>15000</x:v>
      </x:c>
      <x:c r="J2535" s="17" t="n">
        <x:f>ROUND(I2535*'Costing'!$C$4,2)</x:f>
        <x:v>2700</x:v>
      </x:c>
      <x:c r="K2535" s="17" t="n">
        <x:f>I2535+J2535</x:f>
        <x:v>17700</x:v>
      </x:c>
    </x:row>
    <x:row r="2536" ht="46" customHeight="1">
      <x:c r="A2536" s="2" t="str">
        <x:v>Sector</x:v>
      </x:c>
      <x:c r="B2536" s="2" t="str">
        <x:v>Unresolved</x:v>
      </x:c>
      <x:c r="C2536" s="12" t="str">
        <x:v>Mumbai</x:v>
      </x:c>
      <x:c r="D2536" s="12" t="str">
        <x:v>MAIN-333</x:v>
      </x:c>
      <x:c r="E2536" s="12" t="str">
        <x:v>Oyo Workspace - Time Square</x:v>
      </x:c>
      <x:c r="F2536" s="11" t="n">
        <x:v>1</x:v>
      </x:c>
      <x:c r="G2536" s="11" t="n">
        <x:v>1</x:v>
      </x:c>
      <x:c r="H2536" s="11" t="n">
        <x:v>0</x:v>
      </x:c>
      <x:c r="I2536" s="17" t="n">
        <x:f>INDEX('Costing'!$P$9:$P$492,MATCH(D2536,'Costing'!$A$9:$A$492,0))</x:f>
        <x:v>15000</x:v>
      </x:c>
      <x:c r="J2536" s="17" t="n">
        <x:f>ROUND(I2536*'Costing'!$C$4,2)</x:f>
        <x:v>2700</x:v>
      </x:c>
      <x:c r="K2536" s="17" t="n">
        <x:f>I2536+J2536</x:f>
        <x:v>17700</x:v>
      </x:c>
    </x:row>
    <x:row r="2537" ht="46" customHeight="1">
      <x:c r="A2537" s="2" t="str">
        <x:v>Sector</x:v>
      </x:c>
      <x:c r="B2537" s="2" t="str">
        <x:v>Unresolved</x:v>
      </x:c>
      <x:c r="C2537" s="12" t="str">
        <x:v>Mumbai</x:v>
      </x:c>
      <x:c r="D2537" s="12" t="str">
        <x:v>MAIN-337</x:v>
      </x:c>
      <x:c r="E2537" s="12" t="str">
        <x:v>Raheja Mindspace IT Park - Airoli East</x:v>
      </x:c>
      <x:c r="F2537" s="11" t="n">
        <x:v>12</x:v>
      </x:c>
      <x:c r="G2537" s="11" t="n">
        <x:v>12</x:v>
      </x:c>
      <x:c r="H2537" s="11" t="n">
        <x:v>0</x:v>
      </x:c>
      <x:c r="I2537" s="17" t="n">
        <x:f>INDEX('Costing'!$P$9:$P$492,MATCH(D2537,'Costing'!$A$9:$A$492,0))</x:f>
        <x:v>390000</x:v>
      </x:c>
      <x:c r="J2537" s="17" t="n">
        <x:f>ROUND(I2537*'Costing'!$C$4,2)</x:f>
        <x:v>70200</x:v>
      </x:c>
      <x:c r="K2537" s="17" t="n">
        <x:f>I2537+J2537</x:f>
        <x:v>460200</x:v>
      </x:c>
    </x:row>
    <x:row r="2538" ht="46" customHeight="1">
      <x:c r="A2538" s="2" t="str">
        <x:v>Sector</x:v>
      </x:c>
      <x:c r="B2538" s="2" t="str">
        <x:v>Unresolved</x:v>
      </x:c>
      <x:c r="C2538" s="12" t="str">
        <x:v>Mumbai</x:v>
      </x:c>
      <x:c r="D2538" s="12" t="str">
        <x:v>MAIN-338</x:v>
      </x:c>
      <x:c r="E2538" s="12" t="str">
        <x:v>Raheja Mindspaces - Airoli West</x:v>
      </x:c>
      <x:c r="F2538" s="11" t="n">
        <x:v>5</x:v>
      </x:c>
      <x:c r="G2538" s="11" t="n">
        <x:v>5</x:v>
      </x:c>
      <x:c r="H2538" s="11" t="n">
        <x:v>0</x:v>
      </x:c>
      <x:c r="I2538" s="17" t="n">
        <x:f>INDEX('Costing'!$P$9:$P$492,MATCH(D2538,'Costing'!$A$9:$A$492,0))</x:f>
        <x:v>200000</x:v>
      </x:c>
      <x:c r="J2538" s="17" t="n">
        <x:f>ROUND(I2538*'Costing'!$C$4,2)</x:f>
        <x:v>36000</x:v>
      </x:c>
      <x:c r="K2538" s="17" t="n">
        <x:f>I2538+J2538</x:f>
        <x:v>236000</x:v>
      </x:c>
    </x:row>
    <x:row r="2539" ht="46" customHeight="1">
      <x:c r="A2539" s="2" t="str">
        <x:v>Sector</x:v>
      </x:c>
      <x:c r="B2539" s="2" t="str">
        <x:v>Unresolved</x:v>
      </x:c>
      <x:c r="C2539" s="12" t="str">
        <x:v>Mumbai</x:v>
      </x:c>
      <x:c r="D2539" s="12" t="str">
        <x:v>MAIN-342</x:v>
      </x:c>
      <x:c r="E2539" s="12" t="str">
        <x:v>Rustomjee Eaze Zone Mall</x:v>
      </x:c>
      <x:c r="F2539" s="11" t="n">
        <x:v>26</x:v>
      </x:c>
      <x:c r="G2539" s="11" t="n">
        <x:v>26</x:v>
      </x:c>
      <x:c r="H2539" s="11" t="n">
        <x:v>0</x:v>
      </x:c>
      <x:c r="I2539" s="17" t="n">
        <x:f>INDEX('Costing'!$P$9:$P$492,MATCH(D2539,'Costing'!$A$9:$A$492,0))</x:f>
        <x:v>390000</x:v>
      </x:c>
      <x:c r="J2539" s="17" t="n">
        <x:f>ROUND(I2539*'Costing'!$C$4,2)</x:f>
        <x:v>70200</x:v>
      </x:c>
      <x:c r="K2539" s="17" t="n">
        <x:f>I2539+J2539</x:f>
        <x:v>460200</x:v>
      </x:c>
    </x:row>
    <x:row r="2540" ht="46" customHeight="1">
      <x:c r="A2540" s="2" t="str">
        <x:v>Sector</x:v>
      </x:c>
      <x:c r="B2540" s="2" t="str">
        <x:v>Unresolved</x:v>
      </x:c>
      <x:c r="C2540" s="12" t="str">
        <x:v>Mumbai</x:v>
      </x:c>
      <x:c r="D2540" s="12" t="str">
        <x:v>MAIN-349</x:v>
      </x:c>
      <x:c r="E2540" s="12" t="str">
        <x:v>The Landmark - Kharghar</x:v>
      </x:c>
      <x:c r="F2540" s="11" t="n">
        <x:v>10</x:v>
      </x:c>
      <x:c r="G2540" s="11" t="n">
        <x:v>10</x:v>
      </x:c>
      <x:c r="H2540" s="11" t="n">
        <x:v>0</x:v>
      </x:c>
      <x:c r="I2540" s="17" t="n">
        <x:f>INDEX('Costing'!$P$9:$P$492,MATCH(D2540,'Costing'!$A$9:$A$492,0))</x:f>
        <x:v>150000</x:v>
      </x:c>
      <x:c r="J2540" s="17" t="n">
        <x:f>ROUND(I2540*'Costing'!$C$4,2)</x:f>
        <x:v>27000</x:v>
      </x:c>
      <x:c r="K2540" s="17" t="n">
        <x:f>I2540+J2540</x:f>
        <x:v>177000</x:v>
      </x:c>
    </x:row>
    <x:row r="2541" ht="46" customHeight="1">
      <x:c r="A2541" s="2" t="str">
        <x:v>Sector</x:v>
      </x:c>
      <x:c r="B2541" s="2" t="str">
        <x:v>Unresolved</x:v>
      </x:c>
      <x:c r="C2541" s="12" t="str">
        <x:v>Mumbai</x:v>
      </x:c>
      <x:c r="D2541" s="12" t="str">
        <x:v>MAIN-350</x:v>
      </x:c>
      <x:c r="E2541" s="12" t="str">
        <x:v>The Summit Business Park Premises</x:v>
      </x:c>
      <x:c r="F2541" s="11" t="n">
        <x:v>70</x:v>
      </x:c>
      <x:c r="G2541" s="11" t="n">
        <x:v>70</x:v>
      </x:c>
      <x:c r="H2541" s="11" t="n">
        <x:v>0</x:v>
      </x:c>
      <x:c r="I2541" s="17" t="n">
        <x:f>INDEX('Costing'!$P$9:$P$492,MATCH(D2541,'Costing'!$A$9:$A$492,0))</x:f>
        <x:v>1050000</x:v>
      </x:c>
      <x:c r="J2541" s="17" t="n">
        <x:f>ROUND(I2541*'Costing'!$C$4,2)</x:f>
        <x:v>189000</x:v>
      </x:c>
      <x:c r="K2541" s="17" t="n">
        <x:f>I2541+J2541</x:f>
        <x:v>1239000</x:v>
      </x:c>
    </x:row>
    <x:row r="2542" ht="46" customHeight="1">
      <x:c r="A2542" s="2" t="str">
        <x:v>Sector</x:v>
      </x:c>
      <x:c r="B2542" s="2" t="str">
        <x:v>Unresolved</x:v>
      </x:c>
      <x:c r="C2542" s="12" t="str">
        <x:v>Mumbai</x:v>
      </x:c>
      <x:c r="D2542" s="12" t="str">
        <x:v>MAIN-351</x:v>
      </x:c>
      <x:c r="E2542" s="12" t="str">
        <x:v>The Western Edge 2</x:v>
      </x:c>
      <x:c r="F2542" s="11" t="n">
        <x:v>39</x:v>
      </x:c>
      <x:c r="G2542" s="11" t="n">
        <x:v>39</x:v>
      </x:c>
      <x:c r="H2542" s="11" t="n">
        <x:v>0</x:v>
      </x:c>
      <x:c r="I2542" s="17" t="n">
        <x:f>INDEX('Costing'!$P$9:$P$492,MATCH(D2542,'Costing'!$A$9:$A$492,0))</x:f>
        <x:v>585000</x:v>
      </x:c>
      <x:c r="J2542" s="17" t="n">
        <x:f>ROUND(I2542*'Costing'!$C$4,2)</x:f>
        <x:v>105300</x:v>
      </x:c>
      <x:c r="K2542" s="17" t="n">
        <x:f>I2542+J2542</x:f>
        <x:v>690300</x:v>
      </x:c>
    </x:row>
    <x:row r="2543" ht="46" customHeight="1">
      <x:c r="A2543" s="2" t="str">
        <x:v>Sector</x:v>
      </x:c>
      <x:c r="B2543" s="2" t="str">
        <x:v>Unresolved</x:v>
      </x:c>
      <x:c r="C2543" s="12" t="str">
        <x:v>Mumbai</x:v>
      </x:c>
      <x:c r="D2543" s="12" t="str">
        <x:v>MAIN-353</x:v>
      </x:c>
      <x:c r="E2543" s="12" t="str">
        <x:v>WeWork - BKC</x:v>
      </x:c>
      <x:c r="F2543" s="11" t="n">
        <x:v>17</x:v>
      </x:c>
      <x:c r="G2543" s="11" t="n">
        <x:v>17</x:v>
      </x:c>
      <x:c r="H2543" s="11" t="n">
        <x:v>0</x:v>
      </x:c>
      <x:c r="I2543" s="17" t="n">
        <x:f>INDEX('Costing'!$P$9:$P$492,MATCH(D2543,'Costing'!$A$9:$A$492,0))</x:f>
        <x:v>425000</x:v>
      </x:c>
      <x:c r="J2543" s="17" t="n">
        <x:f>ROUND(I2543*'Costing'!$C$4,2)</x:f>
        <x:v>76500</x:v>
      </x:c>
      <x:c r="K2543" s="17" t="n">
        <x:f>I2543+J2543</x:f>
        <x:v>501500</x:v>
      </x:c>
    </x:row>
    <x:row r="2544" ht="46" customHeight="1">
      <x:c r="A2544" s="2" t="str">
        <x:v>Sector</x:v>
      </x:c>
      <x:c r="B2544" s="2" t="str">
        <x:v>Unresolved</x:v>
      </x:c>
      <x:c r="C2544" s="12" t="str">
        <x:v>Mumbai</x:v>
      </x:c>
      <x:c r="D2544" s="12" t="str">
        <x:v>MAIN-356</x:v>
      </x:c>
      <x:c r="E2544" s="12" t="str">
        <x:v>WeWork - Oberoi Commerz</x:v>
      </x:c>
      <x:c r="F2544" s="11" t="n">
        <x:v>8</x:v>
      </x:c>
      <x:c r="G2544" s="11" t="n">
        <x:v>8</x:v>
      </x:c>
      <x:c r="H2544" s="11" t="n">
        <x:v>0</x:v>
      </x:c>
      <x:c r="I2544" s="17" t="n">
        <x:f>INDEX('Costing'!$P$9:$P$492,MATCH(D2544,'Costing'!$A$9:$A$492,0))</x:f>
        <x:v>200000</x:v>
      </x:c>
      <x:c r="J2544" s="17" t="n">
        <x:f>ROUND(I2544*'Costing'!$C$4,2)</x:f>
        <x:v>36000</x:v>
      </x:c>
      <x:c r="K2544" s="17" t="n">
        <x:f>I2544+J2544</x:f>
        <x:v>236000</x:v>
      </x:c>
    </x:row>
    <x:row r="2545" ht="46" customHeight="1">
      <x:c r="A2545" s="2" t="str">
        <x:v>Sector</x:v>
      </x:c>
      <x:c r="B2545" s="2" t="str">
        <x:v>Unresolved</x:v>
      </x:c>
      <x:c r="C2545" s="12" t="str">
        <x:v>Mumbai</x:v>
      </x:c>
      <x:c r="D2545" s="12" t="str">
        <x:v>MAIN-359</x:v>
      </x:c>
      <x:c r="E2545" s="12" t="str">
        <x:v>Wework - Vaswani Chambers</x:v>
      </x:c>
      <x:c r="F2545" s="11" t="n">
        <x:v>3</x:v>
      </x:c>
      <x:c r="G2545" s="11" t="n">
        <x:v>3</x:v>
      </x:c>
      <x:c r="H2545" s="11" t="n">
        <x:v>0</x:v>
      </x:c>
      <x:c r="I2545" s="17" t="n">
        <x:f>INDEX('Costing'!$P$9:$P$492,MATCH(D2545,'Costing'!$A$9:$A$492,0))</x:f>
        <x:v>75000</x:v>
      </x:c>
      <x:c r="J2545" s="17" t="n">
        <x:f>ROUND(I2545*'Costing'!$C$4,2)</x:f>
        <x:v>13500</x:v>
      </x:c>
      <x:c r="K2545" s="17" t="n">
        <x:f>I2545+J2545</x:f>
        <x:v>88500</x:v>
      </x:c>
    </x:row>
    <x:row r="2546" ht="46" customHeight="1">
      <x:c r="A2546" s="2" t="str">
        <x:v>Sector</x:v>
      </x:c>
      <x:c r="B2546" s="2" t="str">
        <x:v>Unresolved</x:v>
      </x:c>
      <x:c r="C2546" s="12" t="str">
        <x:v>Mumbai</x:v>
      </x:c>
      <x:c r="D2546" s="12" t="str">
        <x:v>MAIN-362</x:v>
      </x:c>
      <x:c r="E2546" s="12" t="str">
        <x:v>WeWork - Zenia</x:v>
      </x:c>
      <x:c r="F2546" s="11" t="n">
        <x:v>12</x:v>
      </x:c>
      <x:c r="G2546" s="11" t="n">
        <x:v>12</x:v>
      </x:c>
      <x:c r="H2546" s="11" t="n">
        <x:v>0</x:v>
      </x:c>
      <x:c r="I2546" s="17" t="n">
        <x:f>INDEX('Costing'!$P$9:$P$492,MATCH(D2546,'Costing'!$A$9:$A$492,0))</x:f>
        <x:v>300000</x:v>
      </x:c>
      <x:c r="J2546" s="17" t="n">
        <x:f>ROUND(I2546*'Costing'!$C$4,2)</x:f>
        <x:v>54000</x:v>
      </x:c>
      <x:c r="K2546" s="17" t="n">
        <x:f>I2546+J2546</x:f>
        <x:v>354000</x:v>
      </x:c>
    </x:row>
    <x:row r="2547" ht="46" customHeight="1">
      <x:c r="A2547" s="2" t="str">
        <x:v>Sector</x:v>
      </x:c>
      <x:c r="B2547" s="2" t="str">
        <x:v>Unresolved</x:v>
      </x:c>
      <x:c r="C2547" s="12" t="str">
        <x:v>Pune</x:v>
      </x:c>
      <x:c r="D2547" s="12" t="str">
        <x:v>MAIN-379</x:v>
      </x:c>
      <x:c r="E2547" s="12" t="str">
        <x:v>11 Cowork</x:v>
      </x:c>
      <x:c r="F2547" s="11" t="n">
        <x:v>1</x:v>
      </x:c>
      <x:c r="G2547" s="11" t="n">
        <x:v>1</x:v>
      </x:c>
      <x:c r="H2547" s="11" t="n">
        <x:v>0</x:v>
      </x:c>
      <x:c r="I2547" s="17" t="n">
        <x:f>INDEX('Costing'!$P$9:$P$492,MATCH(D2547,'Costing'!$A$9:$A$492,0))</x:f>
        <x:v>15000</x:v>
      </x:c>
      <x:c r="J2547" s="17" t="n">
        <x:f>ROUND(I2547*'Costing'!$C$4,2)</x:f>
        <x:v>2700</x:v>
      </x:c>
      <x:c r="K2547" s="17" t="n">
        <x:f>I2547+J2547</x:f>
        <x:v>17700</x:v>
      </x:c>
    </x:row>
    <x:row r="2548" ht="46" customHeight="1">
      <x:c r="A2548" s="2" t="str">
        <x:v>Sector</x:v>
      </x:c>
      <x:c r="B2548" s="2" t="str">
        <x:v>Unresolved</x:v>
      </x:c>
      <x:c r="C2548" s="12" t="str">
        <x:v>Pune</x:v>
      </x:c>
      <x:c r="D2548" s="12" t="str">
        <x:v>MAIN-385</x:v>
      </x:c>
      <x:c r="E2548" s="12" t="str">
        <x:v>Anchors Coworking</x:v>
      </x:c>
      <x:c r="F2548" s="11" t="n">
        <x:v>1</x:v>
      </x:c>
      <x:c r="G2548" s="11" t="n">
        <x:v>1</x:v>
      </x:c>
      <x:c r="H2548" s="11" t="n">
        <x:v>0</x:v>
      </x:c>
      <x:c r="I2548" s="17" t="n">
        <x:f>INDEX('Costing'!$P$9:$P$492,MATCH(D2548,'Costing'!$A$9:$A$492,0))</x:f>
        <x:v>15000</x:v>
      </x:c>
      <x:c r="J2548" s="17" t="n">
        <x:f>ROUND(I2548*'Costing'!$C$4,2)</x:f>
        <x:v>2700</x:v>
      </x:c>
      <x:c r="K2548" s="17" t="n">
        <x:f>I2548+J2548</x:f>
        <x:v>17700</x:v>
      </x:c>
    </x:row>
    <x:row r="2549" ht="46" customHeight="1">
      <x:c r="A2549" s="2" t="str">
        <x:v>Sector</x:v>
      </x:c>
      <x:c r="B2549" s="2" t="str">
        <x:v>Unresolved</x:v>
      </x:c>
      <x:c r="C2549" s="12" t="str">
        <x:v>Pune</x:v>
      </x:c>
      <x:c r="D2549" s="12" t="str">
        <x:v>MAIN-386</x:v>
      </x:c>
      <x:c r="E2549" s="12" t="str">
        <x:v>Awfis - Amanora Mall</x:v>
      </x:c>
      <x:c r="F2549" s="11" t="n">
        <x:v>1</x:v>
      </x:c>
      <x:c r="G2549" s="11" t="n">
        <x:v>1</x:v>
      </x:c>
      <x:c r="H2549" s="11" t="n">
        <x:v>0</x:v>
      </x:c>
      <x:c r="I2549" s="17" t="n">
        <x:f>INDEX('Costing'!$P$9:$P$492,MATCH(D2549,'Costing'!$A$9:$A$492,0))</x:f>
        <x:v>15000</x:v>
      </x:c>
      <x:c r="J2549" s="17" t="n">
        <x:f>ROUND(I2549*'Costing'!$C$4,2)</x:f>
        <x:v>2700</x:v>
      </x:c>
      <x:c r="K2549" s="17" t="n">
        <x:f>I2549+J2549</x:f>
        <x:v>17700</x:v>
      </x:c>
    </x:row>
    <x:row r="2550" ht="46" customHeight="1">
      <x:c r="A2550" s="2" t="str">
        <x:v>Sector</x:v>
      </x:c>
      <x:c r="B2550" s="2" t="str">
        <x:v>Unresolved</x:v>
      </x:c>
      <x:c r="C2550" s="12" t="str">
        <x:v>Pune</x:v>
      </x:c>
      <x:c r="D2550" s="12" t="str">
        <x:v>MAIN-389</x:v>
      </x:c>
      <x:c r="E2550" s="12" t="str">
        <x:v>Awfis - Nyati Empress</x:v>
      </x:c>
      <x:c r="F2550" s="11" t="n">
        <x:v>2</x:v>
      </x:c>
      <x:c r="G2550" s="11" t="n">
        <x:v>2</x:v>
      </x:c>
      <x:c r="H2550" s="11" t="n">
        <x:v>0</x:v>
      </x:c>
      <x:c r="I2550" s="17" t="n">
        <x:f>INDEX('Costing'!$P$9:$P$492,MATCH(D2550,'Costing'!$A$9:$A$492,0))</x:f>
        <x:v>30000</x:v>
      </x:c>
      <x:c r="J2550" s="17" t="n">
        <x:f>ROUND(I2550*'Costing'!$C$4,2)</x:f>
        <x:v>5400</x:v>
      </x:c>
      <x:c r="K2550" s="17" t="n">
        <x:f>I2550+J2550</x:f>
        <x:v>35400</x:v>
      </x:c>
    </x:row>
    <x:row r="2551" ht="46" customHeight="1">
      <x:c r="A2551" s="2" t="str">
        <x:v>Sector</x:v>
      </x:c>
      <x:c r="B2551" s="2" t="str">
        <x:v>Unresolved</x:v>
      </x:c>
      <x:c r="C2551" s="12" t="str">
        <x:v>Pune</x:v>
      </x:c>
      <x:c r="D2551" s="12" t="str">
        <x:v>MAIN-390</x:v>
      </x:c>
      <x:c r="E2551" s="12" t="str">
        <x:v>Awfis - Que Spaces</x:v>
      </x:c>
      <x:c r="F2551" s="11" t="n">
        <x:v>1</x:v>
      </x:c>
      <x:c r="G2551" s="11" t="n">
        <x:v>1</x:v>
      </x:c>
      <x:c r="H2551" s="11" t="n">
        <x:v>0</x:v>
      </x:c>
      <x:c r="I2551" s="17" t="n">
        <x:f>INDEX('Costing'!$P$9:$P$492,MATCH(D2551,'Costing'!$A$9:$A$492,0))</x:f>
        <x:v>15000</x:v>
      </x:c>
      <x:c r="J2551" s="17" t="n">
        <x:f>ROUND(I2551*'Costing'!$C$4,2)</x:f>
        <x:v>2700</x:v>
      </x:c>
      <x:c r="K2551" s="17" t="n">
        <x:f>I2551+J2551</x:f>
        <x:v>17700</x:v>
      </x:c>
    </x:row>
    <x:row r="2552" ht="46" customHeight="1">
      <x:c r="A2552" s="2" t="str">
        <x:v>Sector</x:v>
      </x:c>
      <x:c r="B2552" s="2" t="str">
        <x:v>Unresolved</x:v>
      </x:c>
      <x:c r="C2552" s="12" t="str">
        <x:v>Pune</x:v>
      </x:c>
      <x:c r="D2552" s="12" t="str">
        <x:v>MAIN-395</x:v>
      </x:c>
      <x:c r="E2552" s="12" t="str">
        <x:v>Bootstart Arcadian</x:v>
      </x:c>
      <x:c r="F2552" s="11" t="n">
        <x:v>1</x:v>
      </x:c>
      <x:c r="G2552" s="11" t="n">
        <x:v>1</x:v>
      </x:c>
      <x:c r="H2552" s="11" t="n">
        <x:v>0</x:v>
      </x:c>
      <x:c r="I2552" s="17" t="n">
        <x:f>INDEX('Costing'!$P$9:$P$492,MATCH(D2552,'Costing'!$A$9:$A$492,0))</x:f>
        <x:v>15000</x:v>
      </x:c>
      <x:c r="J2552" s="17" t="n">
        <x:f>ROUND(I2552*'Costing'!$C$4,2)</x:f>
        <x:v>2700</x:v>
      </x:c>
      <x:c r="K2552" s="17" t="n">
        <x:f>I2552+J2552</x:f>
        <x:v>17700</x:v>
      </x:c>
    </x:row>
    <x:row r="2553" ht="46" customHeight="1">
      <x:c r="A2553" s="2" t="str">
        <x:v>Sector</x:v>
      </x:c>
      <x:c r="B2553" s="2" t="str">
        <x:v>Unresolved</x:v>
      </x:c>
      <x:c r="C2553" s="12" t="str">
        <x:v>Pune</x:v>
      </x:c>
      <x:c r="D2553" s="12" t="str">
        <x:v>MAIN-397</x:v>
      </x:c>
      <x:c r="E2553" s="12" t="str">
        <x:v>BSB Capital (Redbrick Offices)</x:v>
      </x:c>
      <x:c r="F2553" s="11" t="n">
        <x:v>1</x:v>
      </x:c>
      <x:c r="G2553" s="11" t="n">
        <x:v>1</x:v>
      </x:c>
      <x:c r="H2553" s="11" t="n">
        <x:v>0</x:v>
      </x:c>
      <x:c r="I2553" s="17" t="n">
        <x:f>INDEX('Costing'!$P$9:$P$492,MATCH(D2553,'Costing'!$A$9:$A$492,0))</x:f>
        <x:v>15000</x:v>
      </x:c>
      <x:c r="J2553" s="17" t="n">
        <x:f>ROUND(I2553*'Costing'!$C$4,2)</x:f>
        <x:v>2700</x:v>
      </x:c>
      <x:c r="K2553" s="17" t="n">
        <x:f>I2553+J2553</x:f>
        <x:v>17700</x:v>
      </x:c>
    </x:row>
    <x:row r="2554" ht="46" customHeight="1">
      <x:c r="A2554" s="2" t="str">
        <x:v>Sector</x:v>
      </x:c>
      <x:c r="B2554" s="2" t="str">
        <x:v>Unresolved</x:v>
      </x:c>
      <x:c r="C2554" s="12" t="str">
        <x:v>Pune</x:v>
      </x:c>
      <x:c r="D2554" s="12" t="str">
        <x:v>MAIN-398</x:v>
      </x:c>
      <x:c r="E2554" s="12" t="str">
        <x:v>Credence Global Solutions</x:v>
      </x:c>
      <x:c r="F2554" s="11" t="n">
        <x:v>7</x:v>
      </x:c>
      <x:c r="G2554" s="11" t="n">
        <x:v>7</x:v>
      </x:c>
      <x:c r="H2554" s="11" t="n">
        <x:v>0</x:v>
      </x:c>
      <x:c r="I2554" s="17" t="n">
        <x:f>INDEX('Costing'!$P$9:$P$492,MATCH(D2554,'Costing'!$A$9:$A$492,0))</x:f>
        <x:v>105000</x:v>
      </x:c>
      <x:c r="J2554" s="17" t="n">
        <x:f>ROUND(I2554*'Costing'!$C$4,2)</x:f>
        <x:v>18900</x:v>
      </x:c>
      <x:c r="K2554" s="17" t="n">
        <x:f>I2554+J2554</x:f>
        <x:v>123900</x:v>
      </x:c>
    </x:row>
    <x:row r="2555" ht="46" customHeight="1">
      <x:c r="A2555" s="2" t="str">
        <x:v>Sector</x:v>
      </x:c>
      <x:c r="B2555" s="2" t="str">
        <x:v>Unresolved</x:v>
      </x:c>
      <x:c r="C2555" s="12" t="str">
        <x:v>Pune</x:v>
      </x:c>
      <x:c r="D2555" s="12" t="str">
        <x:v>MAIN-405</x:v>
      </x:c>
      <x:c r="E2555" s="12" t="str">
        <x:v>Olympia B Premises</x:v>
      </x:c>
      <x:c r="F2555" s="11" t="n">
        <x:v>1</x:v>
      </x:c>
      <x:c r="G2555" s="11" t="n">
        <x:v>1</x:v>
      </x:c>
      <x:c r="H2555" s="11" t="n">
        <x:v>0</x:v>
      </x:c>
      <x:c r="I2555" s="17" t="n">
        <x:f>INDEX('Costing'!$P$9:$P$492,MATCH(D2555,'Costing'!$A$9:$A$492,0))</x:f>
        <x:v>15000</x:v>
      </x:c>
      <x:c r="J2555" s="17" t="n">
        <x:f>ROUND(I2555*'Costing'!$C$4,2)</x:f>
        <x:v>2700</x:v>
      </x:c>
      <x:c r="K2555" s="17" t="n">
        <x:f>I2555+J2555</x:f>
        <x:v>17700</x:v>
      </x:c>
    </x:row>
    <x:row r="2556" ht="46" customHeight="1">
      <x:c r="A2556" s="2" t="str">
        <x:v>Sector</x:v>
      </x:c>
      <x:c r="B2556" s="2" t="str">
        <x:v>Unresolved</x:v>
      </x:c>
      <x:c r="C2556" s="12" t="str">
        <x:v>Pune</x:v>
      </x:c>
      <x:c r="D2556" s="12" t="str">
        <x:v>MAIN-406</x:v>
      </x:c>
      <x:c r="E2556" s="12" t="str">
        <x:v>OLYMPIA B PREMISES Inside Elevator</x:v>
      </x:c>
      <x:c r="F2556" s="11" t="n">
        <x:v>1</x:v>
      </x:c>
      <x:c r="G2556" s="11" t="n">
        <x:v>1</x:v>
      </x:c>
      <x:c r="H2556" s="11" t="n">
        <x:v>0</x:v>
      </x:c>
      <x:c r="I2556" s="17" t="n">
        <x:f>INDEX('Costing'!$P$9:$P$492,MATCH(D2556,'Costing'!$A$9:$A$492,0))</x:f>
        <x:v>15000</x:v>
      </x:c>
      <x:c r="J2556" s="17" t="n">
        <x:f>ROUND(I2556*'Costing'!$C$4,2)</x:f>
        <x:v>2700</x:v>
      </x:c>
      <x:c r="K2556" s="17" t="n">
        <x:f>I2556+J2556</x:f>
        <x:v>17700</x:v>
      </x:c>
    </x:row>
    <x:row r="2557" ht="46" customHeight="1">
      <x:c r="A2557" s="2" t="str">
        <x:v>Sector</x:v>
      </x:c>
      <x:c r="B2557" s="2" t="str">
        <x:v>Unresolved</x:v>
      </x:c>
      <x:c r="C2557" s="12" t="str">
        <x:v>Pune</x:v>
      </x:c>
      <x:c r="D2557" s="12" t="str">
        <x:v>MAIN-407</x:v>
      </x:c>
      <x:c r="E2557" s="12" t="str">
        <x:v>Oyo Workspace - Innov8 Suman Business Park</x:v>
      </x:c>
      <x:c r="F2557" s="11" t="n">
        <x:v>2</x:v>
      </x:c>
      <x:c r="G2557" s="11" t="n">
        <x:v>2</x:v>
      </x:c>
      <x:c r="H2557" s="11" t="n">
        <x:v>0</x:v>
      </x:c>
      <x:c r="I2557" s="17" t="n">
        <x:f>INDEX('Costing'!$P$9:$P$492,MATCH(D2557,'Costing'!$A$9:$A$492,0))</x:f>
        <x:v>30000</x:v>
      </x:c>
      <x:c r="J2557" s="17" t="n">
        <x:f>ROUND(I2557*'Costing'!$C$4,2)</x:f>
        <x:v>5400</x:v>
      </x:c>
      <x:c r="K2557" s="17" t="n">
        <x:f>I2557+J2557</x:f>
        <x:v>35400</x:v>
      </x:c>
    </x:row>
    <x:row r="2558" ht="46" customHeight="1">
      <x:c r="A2558" s="2" t="str">
        <x:v>Sector</x:v>
      </x:c>
      <x:c r="B2558" s="2" t="str">
        <x:v>Unresolved</x:v>
      </x:c>
      <x:c r="C2558" s="12" t="str">
        <x:v>Pune</x:v>
      </x:c>
      <x:c r="D2558" s="12" t="str">
        <x:v>MAIN-410</x:v>
      </x:c>
      <x:c r="E2558" s="12" t="str">
        <x:v>PBP Balewadi High Street (Redbrick Offices)</x:v>
      </x:c>
      <x:c r="F2558" s="11" t="n">
        <x:v>1</x:v>
      </x:c>
      <x:c r="G2558" s="11" t="n">
        <x:v>1</x:v>
      </x:c>
      <x:c r="H2558" s="11" t="n">
        <x:v>0</x:v>
      </x:c>
      <x:c r="I2558" s="17" t="n">
        <x:f>INDEX('Costing'!$P$9:$P$492,MATCH(D2558,'Costing'!$A$9:$A$492,0))</x:f>
        <x:v>15000</x:v>
      </x:c>
      <x:c r="J2558" s="17" t="n">
        <x:f>ROUND(I2558*'Costing'!$C$4,2)</x:f>
        <x:v>2700</x:v>
      </x:c>
      <x:c r="K2558" s="17" t="n">
        <x:f>I2558+J2558</x:f>
        <x:v>17700</x:v>
      </x:c>
    </x:row>
    <x:row r="2559" ht="46" customHeight="1">
      <x:c r="A2559" s="2" t="str">
        <x:v>Sector</x:v>
      </x:c>
      <x:c r="B2559" s="2" t="str">
        <x:v>Unresolved</x:v>
      </x:c>
      <x:c r="C2559" s="12" t="str">
        <x:v>Pune</x:v>
      </x:c>
      <x:c r="D2559" s="12" t="str">
        <x:v>MAIN-413</x:v>
      </x:c>
      <x:c r="E2559" s="12" t="str">
        <x:v>Raheja Mindspaces - Yerawada</x:v>
      </x:c>
      <x:c r="F2559" s="11" t="n">
        <x:v>2</x:v>
      </x:c>
      <x:c r="G2559" s="11" t="n">
        <x:v>2</x:v>
      </x:c>
      <x:c r="H2559" s="11" t="n">
        <x:v>0</x:v>
      </x:c>
      <x:c r="I2559" s="17" t="n">
        <x:f>INDEX('Costing'!$P$9:$P$492,MATCH(D2559,'Costing'!$A$9:$A$492,0))</x:f>
        <x:v>80000</x:v>
      </x:c>
      <x:c r="J2559" s="17" t="n">
        <x:f>ROUND(I2559*'Costing'!$C$4,2)</x:f>
        <x:v>14400</x:v>
      </x:c>
      <x:c r="K2559" s="17" t="n">
        <x:f>I2559+J2559</x:f>
        <x:v>94400</x:v>
      </x:c>
    </x:row>
    <x:row r="2560" ht="46" customHeight="1">
      <x:c r="A2560" s="2" t="str">
        <x:v>Sector</x:v>
      </x:c>
      <x:c r="B2560" s="2" t="str">
        <x:v>Unresolved</x:v>
      </x:c>
      <x:c r="C2560" s="12" t="str">
        <x:v>Pune</x:v>
      </x:c>
      <x:c r="D2560" s="12" t="str">
        <x:v>MAIN-415</x:v>
      </x:c>
      <x:c r="E2560" s="12" t="str">
        <x:v>The Powerpoint Coworking Space</x:v>
      </x:c>
      <x:c r="F2560" s="11" t="n">
        <x:v>1</x:v>
      </x:c>
      <x:c r="G2560" s="11" t="n">
        <x:v>1</x:v>
      </x:c>
      <x:c r="H2560" s="11" t="n">
        <x:v>0</x:v>
      </x:c>
      <x:c r="I2560" s="17" t="n">
        <x:f>INDEX('Costing'!$P$9:$P$492,MATCH(D2560,'Costing'!$A$9:$A$492,0))</x:f>
        <x:v>15000</x:v>
      </x:c>
      <x:c r="J2560" s="17" t="n">
        <x:f>ROUND(I2560*'Costing'!$C$4,2)</x:f>
        <x:v>2700</x:v>
      </x:c>
      <x:c r="K2560" s="17" t="n">
        <x:f>I2560+J2560</x:f>
        <x:v>17700</x:v>
      </x:c>
    </x:row>
    <x:row r="2561" ht="46" customHeight="1">
      <x:c r="A2561" s="2" t="str">
        <x:v>Sector</x:v>
      </x:c>
      <x:c r="B2561" s="2" t="str">
        <x:v>Unresolved</x:v>
      </x:c>
      <x:c r="C2561" s="12" t="str">
        <x:v>Pune</x:v>
      </x:c>
      <x:c r="D2561" s="12" t="str">
        <x:v>MAIN-419</x:v>
      </x:c>
      <x:c r="E2561" s="12" t="str">
        <x:v>WeWork - Futura</x:v>
      </x:c>
      <x:c r="F2561" s="11" t="n">
        <x:v>2</x:v>
      </x:c>
      <x:c r="G2561" s="11" t="n">
        <x:v>2</x:v>
      </x:c>
      <x:c r="H2561" s="11" t="n">
        <x:v>0</x:v>
      </x:c>
      <x:c r="I2561" s="17" t="n">
        <x:f>INDEX('Costing'!$P$9:$P$492,MATCH(D2561,'Costing'!$A$9:$A$492,0))</x:f>
        <x:v>50000</x:v>
      </x:c>
      <x:c r="J2561" s="17" t="n">
        <x:f>ROUND(I2561*'Costing'!$C$4,2)</x:f>
        <x:v>9000</x:v>
      </x:c>
      <x:c r="K2561" s="17" t="n">
        <x:f>I2561+J2561</x:f>
        <x:v>59000</x:v>
      </x:c>
    </x:row>
    <x:row r="2562" ht="46" customHeight="1">
      <x:c r="A2562" s="2" t="str">
        <x:v>Sector</x:v>
      </x:c>
      <x:c r="B2562" s="2" t="str">
        <x:v>Unresolved</x:v>
      </x:c>
      <x:c r="C2562" s="12" t="str">
        <x:v>Pune</x:v>
      </x:c>
      <x:c r="D2562" s="12" t="str">
        <x:v>MAIN-422</x:v>
      </x:c>
      <x:c r="E2562" s="12" t="str">
        <x:v>Workflow by Oyo - Icon Tower</x:v>
      </x:c>
      <x:c r="F2562" s="11" t="n">
        <x:v>3</x:v>
      </x:c>
      <x:c r="G2562" s="11" t="n">
        <x:v>3</x:v>
      </x:c>
      <x:c r="H2562" s="11" t="n">
        <x:v>0</x:v>
      </x:c>
      <x:c r="I2562" s="17" t="n">
        <x:f>INDEX('Costing'!$P$9:$P$492,MATCH(D2562,'Costing'!$A$9:$A$492,0))</x:f>
        <x:v>45000</x:v>
      </x:c>
      <x:c r="J2562" s="17" t="n">
        <x:f>ROUND(I2562*'Costing'!$C$4,2)</x:f>
        <x:v>8100</x:v>
      </x:c>
      <x:c r="K2562" s="17" t="n">
        <x:f>I2562+J2562</x:f>
        <x:v>53100</x:v>
      </x:c>
    </x:row>
    <x:row r="2563" ht="46" customHeight="1">
      <x:c r="A2563" s="2" t="str">
        <x:v>Sector</x:v>
      </x:c>
      <x:c r="B2563" s="2" t="str">
        <x:v>Unresolved</x:v>
      </x:c>
      <x:c r="C2563" s="12" t="str">
        <x:v>Bengaluru</x:v>
      </x:c>
      <x:c r="D2563" s="12" t="str">
        <x:v>PARTNER-M130</x:v>
      </x:c>
      <x:c r="E2563" s="12" t="str">
        <x:v>Bagmane Constellation </x:v>
      </x:c>
      <x:c r="F2563" s="11" t="n">
        <x:v>8</x:v>
      </x:c>
      <x:c r="G2563" s="11" t="n">
        <x:v>8</x:v>
      </x:c>
      <x:c r="H2563" s="11" t="n">
        <x:v>0</x:v>
      </x:c>
      <x:c r="I2563" s="17" t="n">
        <x:f>INDEX('Costing'!$P$9:$P$492,MATCH(D2563,'Costing'!$A$9:$A$492,0))</x:f>
        <x:v>320000</x:v>
      </x:c>
      <x:c r="J2563" s="17" t="n">
        <x:f>ROUND(I2563*'Costing'!$C$4,2)</x:f>
        <x:v>57600</x:v>
      </x:c>
      <x:c r="K2563" s="17" t="n">
        <x:f>I2563+J2563</x:f>
        <x:v>377600</x:v>
      </x:c>
    </x:row>
    <x:row r="2564" ht="46" customHeight="1">
      <x:c r="A2564" s="2" t="str">
        <x:v>Sector</x:v>
      </x:c>
      <x:c r="B2564" s="2" t="str">
        <x:v>Unresolved</x:v>
      </x:c>
      <x:c r="C2564" s="12" t="str">
        <x:v>Bengaluru</x:v>
      </x:c>
      <x:c r="D2564" s="12" t="str">
        <x:v>PARTNER-M108</x:v>
      </x:c>
      <x:c r="E2564" s="12" t="str">
        <x:v>Bagmane Tech Park</x:v>
      </x:c>
      <x:c r="F2564" s="11" t="n">
        <x:v>12</x:v>
      </x:c>
      <x:c r="G2564" s="11" t="n">
        <x:v>12</x:v>
      </x:c>
      <x:c r="H2564" s="11" t="n">
        <x:v>0</x:v>
      </x:c>
      <x:c r="I2564" s="17" t="n">
        <x:f>INDEX('Costing'!$P$9:$P$492,MATCH(D2564,'Costing'!$A$9:$A$492,0))</x:f>
        <x:v>480000</x:v>
      </x:c>
      <x:c r="J2564" s="17" t="n">
        <x:f>ROUND(I2564*'Costing'!$C$4,2)</x:f>
        <x:v>86400</x:v>
      </x:c>
      <x:c r="K2564" s="17" t="n">
        <x:f>I2564+J2564</x:f>
        <x:v>566400</x:v>
      </x:c>
    </x:row>
    <x:row r="2565" ht="46" customHeight="1">
      <x:c r="A2565" s="2" t="str">
        <x:v>Sector</x:v>
      </x:c>
      <x:c r="B2565" s="2" t="str">
        <x:v>Unresolved</x:v>
      </x:c>
      <x:c r="C2565" s="12" t="str">
        <x:v>Bengaluru</x:v>
      </x:c>
      <x:c r="D2565" s="12" t="str">
        <x:v>PARTNER-M120</x:v>
      </x:c>
      <x:c r="E2565" s="12" t="str">
        <x:v>Bagmane World Technology Centre</x:v>
      </x:c>
      <x:c r="F2565" s="11" t="n">
        <x:v>10</x:v>
      </x:c>
      <x:c r="G2565" s="11" t="n">
        <x:v>10</x:v>
      </x:c>
      <x:c r="H2565" s="11" t="n">
        <x:v>0</x:v>
      </x:c>
      <x:c r="I2565" s="17" t="n">
        <x:f>INDEX('Costing'!$P$9:$P$492,MATCH(D2565,'Costing'!$A$9:$A$492,0))</x:f>
        <x:v>400000</x:v>
      </x:c>
      <x:c r="J2565" s="17" t="n">
        <x:f>ROUND(I2565*'Costing'!$C$4,2)</x:f>
        <x:v>72000</x:v>
      </x:c>
      <x:c r="K2565" s="17" t="n">
        <x:f>I2565+J2565</x:f>
        <x:v>472000</x:v>
      </x:c>
    </x:row>
    <x:row r="2566" ht="46" customHeight="1">
      <x:c r="A2566" s="2" t="str">
        <x:v>Sector</x:v>
      </x:c>
      <x:c r="B2566" s="2" t="str">
        <x:v>Unresolved</x:v>
      </x:c>
      <x:c r="C2566" s="12" t="str">
        <x:v>Bengaluru</x:v>
      </x:c>
      <x:c r="D2566" s="12" t="str">
        <x:v>PARTNER-M056</x:v>
      </x:c>
      <x:c r="E2566" s="12" t="str">
        <x:v>Brigade IRV</x:v>
      </x:c>
      <x:c r="F2566" s="11" t="n">
        <x:v>4</x:v>
      </x:c>
      <x:c r="G2566" s="11" t="n">
        <x:v>4</x:v>
      </x:c>
      <x:c r="H2566" s="11" t="n">
        <x:v>0</x:v>
      </x:c>
      <x:c r="I2566" s="17" t="n">
        <x:f>INDEX('Costing'!$P$9:$P$492,MATCH(D2566,'Costing'!$A$9:$A$492,0))</x:f>
        <x:v>160000</x:v>
      </x:c>
      <x:c r="J2566" s="17" t="n">
        <x:f>ROUND(I2566*'Costing'!$C$4,2)</x:f>
        <x:v>28800</x:v>
      </x:c>
      <x:c r="K2566" s="17" t="n">
        <x:f>I2566+J2566</x:f>
        <x:v>188800</x:v>
      </x:c>
    </x:row>
    <x:row r="2567" ht="46" customHeight="1">
      <x:c r="A2567" s="2" t="str">
        <x:v>Sector</x:v>
      </x:c>
      <x:c r="B2567" s="2" t="str">
        <x:v>Unresolved</x:v>
      </x:c>
      <x:c r="C2567" s="12" t="str">
        <x:v>Bengaluru</x:v>
      </x:c>
      <x:c r="D2567" s="12" t="str">
        <x:v>PARTNER-M067</x:v>
      </x:c>
      <x:c r="E2567" s="12" t="str">
        <x:v>Cessna - Embassy Tech Square</x:v>
      </x:c>
      <x:c r="F2567" s="11" t="n">
        <x:v>3</x:v>
      </x:c>
      <x:c r="G2567" s="11" t="n">
        <x:v>3</x:v>
      </x:c>
      <x:c r="H2567" s="11" t="n">
        <x:v>0</x:v>
      </x:c>
      <x:c r="I2567" s="17" t="n">
        <x:f>INDEX('Costing'!$P$9:$P$492,MATCH(D2567,'Costing'!$A$9:$A$492,0))</x:f>
        <x:v>120000</x:v>
      </x:c>
      <x:c r="J2567" s="17" t="n">
        <x:f>ROUND(I2567*'Costing'!$C$4,2)</x:f>
        <x:v>21600</x:v>
      </x:c>
      <x:c r="K2567" s="17" t="n">
        <x:f>I2567+J2567</x:f>
        <x:v>141600</x:v>
      </x:c>
    </x:row>
    <x:row r="2568" ht="46" customHeight="1">
      <x:c r="A2568" s="2" t="str">
        <x:v>Sector</x:v>
      </x:c>
      <x:c r="B2568" s="2" t="str">
        <x:v>Unresolved</x:v>
      </x:c>
      <x:c r="C2568" s="12" t="str">
        <x:v>Bengaluru</x:v>
      </x:c>
      <x:c r="D2568" s="12" t="str">
        <x:v>PARTNER-M166</x:v>
      </x:c>
      <x:c r="E2568" s="12" t="str">
        <x:v>Cessna Business Park</x:v>
      </x:c>
      <x:c r="F2568" s="11" t="n">
        <x:v>3</x:v>
      </x:c>
      <x:c r="G2568" s="11" t="n">
        <x:v>3</x:v>
      </x:c>
      <x:c r="H2568" s="11" t="n">
        <x:v>0</x:v>
      </x:c>
      <x:c r="I2568" s="17" t="n">
        <x:f>INDEX('Costing'!$P$9:$P$492,MATCH(D2568,'Costing'!$A$9:$A$492,0))</x:f>
        <x:v>120000</x:v>
      </x:c>
      <x:c r="J2568" s="17" t="n">
        <x:f>ROUND(I2568*'Costing'!$C$4,2)</x:f>
        <x:v>21600</x:v>
      </x:c>
      <x:c r="K2568" s="17" t="n">
        <x:f>I2568+J2568</x:f>
        <x:v>141600</x:v>
      </x:c>
    </x:row>
    <x:row r="2569" ht="46" customHeight="1">
      <x:c r="A2569" s="2" t="str">
        <x:v>Sector</x:v>
      </x:c>
      <x:c r="B2569" s="2" t="str">
        <x:v>Unresolved</x:v>
      </x:c>
      <x:c r="C2569" s="12" t="str">
        <x:v>Bengaluru</x:v>
      </x:c>
      <x:c r="D2569" s="12" t="str">
        <x:v>PARTNER-M162</x:v>
      </x:c>
      <x:c r="E2569" s="12" t="str">
        <x:v>Fincity Corproate Park </x:v>
      </x:c>
      <x:c r="F2569" s="11" t="n">
        <x:v>4</x:v>
      </x:c>
      <x:c r="G2569" s="11" t="n">
        <x:v>4</x:v>
      </x:c>
      <x:c r="H2569" s="11" t="n">
        <x:v>0</x:v>
      </x:c>
      <x:c r="I2569" s="17" t="n">
        <x:f>INDEX('Costing'!$P$9:$P$492,MATCH(D2569,'Costing'!$A$9:$A$492,0))</x:f>
        <x:v>160000</x:v>
      </x:c>
      <x:c r="J2569" s="17" t="n">
        <x:f>ROUND(I2569*'Costing'!$C$4,2)</x:f>
        <x:v>28800</x:v>
      </x:c>
      <x:c r="K2569" s="17" t="n">
        <x:f>I2569+J2569</x:f>
        <x:v>188800</x:v>
      </x:c>
    </x:row>
    <x:row r="2570" ht="46" customHeight="1">
      <x:c r="A2570" s="2" t="str">
        <x:v>Sector</x:v>
      </x:c>
      <x:c r="B2570" s="2" t="str">
        <x:v>Unresolved</x:v>
      </x:c>
      <x:c r="C2570" s="12" t="str">
        <x:v>Bengaluru</x:v>
      </x:c>
      <x:c r="D2570" s="12" t="str">
        <x:v>PARTNER-M065</x:v>
      </x:c>
      <x:c r="E2570" s="12" t="str">
        <x:v>First Technology Park</x:v>
      </x:c>
      <x:c r="F2570" s="11" t="n">
        <x:v>2</x:v>
      </x:c>
      <x:c r="G2570" s="11" t="n">
        <x:v>2</x:v>
      </x:c>
      <x:c r="H2570" s="11" t="n">
        <x:v>0</x:v>
      </x:c>
      <x:c r="I2570" s="17" t="n">
        <x:f>INDEX('Costing'!$P$9:$P$492,MATCH(D2570,'Costing'!$A$9:$A$492,0))</x:f>
        <x:v>80000</x:v>
      </x:c>
      <x:c r="J2570" s="17" t="n">
        <x:f>ROUND(I2570*'Costing'!$C$4,2)</x:f>
        <x:v>14400</x:v>
      </x:c>
      <x:c r="K2570" s="17" t="n">
        <x:f>I2570+J2570</x:f>
        <x:v>94400</x:v>
      </x:c>
    </x:row>
    <x:row r="2571" ht="46" customHeight="1">
      <x:c r="A2571" s="2" t="str">
        <x:v>Sector</x:v>
      </x:c>
      <x:c r="B2571" s="2" t="str">
        <x:v>Unresolved</x:v>
      </x:c>
      <x:c r="C2571" s="12" t="str">
        <x:v>Bengaluru</x:v>
      </x:c>
      <x:c r="D2571" s="12" t="str">
        <x:v>PARTNER-M060</x:v>
      </x:c>
      <x:c r="E2571" s="12" t="str">
        <x:v>Global Tech Park</x:v>
      </x:c>
      <x:c r="F2571" s="11" t="n">
        <x:v>5</x:v>
      </x:c>
      <x:c r="G2571" s="11" t="n">
        <x:v>5</x:v>
      </x:c>
      <x:c r="H2571" s="11" t="n">
        <x:v>0</x:v>
      </x:c>
      <x:c r="I2571" s="17" t="n">
        <x:f>INDEX('Costing'!$P$9:$P$492,MATCH(D2571,'Costing'!$A$9:$A$492,0))</x:f>
        <x:v>200000</x:v>
      </x:c>
      <x:c r="J2571" s="17" t="n">
        <x:f>ROUND(I2571*'Costing'!$C$4,2)</x:f>
        <x:v>36000</x:v>
      </x:c>
      <x:c r="K2571" s="17" t="n">
        <x:f>I2571+J2571</x:f>
        <x:v>236000</x:v>
      </x:c>
    </x:row>
    <x:row r="2572" ht="46" customHeight="1">
      <x:c r="A2572" s="2" t="str">
        <x:v>Sector</x:v>
      </x:c>
      <x:c r="B2572" s="2" t="str">
        <x:v>Unresolved</x:v>
      </x:c>
      <x:c r="C2572" s="12" t="str">
        <x:v>Bengaluru</x:v>
      </x:c>
      <x:c r="D2572" s="12" t="str">
        <x:v>PARTNER-M011</x:v>
      </x:c>
      <x:c r="E2572" s="12" t="str">
        <x:v>International Tech Park (ITPB - SEZ)</x:v>
      </x:c>
      <x:c r="F2572" s="11" t="n">
        <x:v>3</x:v>
      </x:c>
      <x:c r="G2572" s="11" t="n">
        <x:v>3</x:v>
      </x:c>
      <x:c r="H2572" s="11" t="n">
        <x:v>0</x:v>
      </x:c>
      <x:c r="I2572" s="17" t="n">
        <x:f>INDEX('Costing'!$P$9:$P$492,MATCH(D2572,'Costing'!$A$9:$A$492,0))</x:f>
        <x:v>120000</x:v>
      </x:c>
      <x:c r="J2572" s="17" t="n">
        <x:f>ROUND(I2572*'Costing'!$C$4,2)</x:f>
        <x:v>21600</x:v>
      </x:c>
      <x:c r="K2572" s="17" t="n">
        <x:f>I2572+J2572</x:f>
        <x:v>141600</x:v>
      </x:c>
    </x:row>
    <x:row r="2573" ht="46" customHeight="1">
      <x:c r="A2573" s="2" t="str">
        <x:v>Sector</x:v>
      </x:c>
      <x:c r="B2573" s="2" t="str">
        <x:v>Unresolved</x:v>
      </x:c>
      <x:c r="C2573" s="12" t="str">
        <x:v>Bengaluru</x:v>
      </x:c>
      <x:c r="D2573" s="12" t="str">
        <x:v>PARTNER-M002</x:v>
      </x:c>
      <x:c r="E2573" s="12" t="str">
        <x:v>International Tech Park (ITPB)</x:v>
      </x:c>
      <x:c r="F2573" s="11" t="n">
        <x:v>9</x:v>
      </x:c>
      <x:c r="G2573" s="11" t="n">
        <x:v>9</x:v>
      </x:c>
      <x:c r="H2573" s="11" t="n">
        <x:v>0</x:v>
      </x:c>
      <x:c r="I2573" s="17" t="n">
        <x:f>INDEX('Costing'!$P$9:$P$492,MATCH(D2573,'Costing'!$A$9:$A$492,0))</x:f>
        <x:v>360000</x:v>
      </x:c>
      <x:c r="J2573" s="17" t="n">
        <x:f>ROUND(I2573*'Costing'!$C$4,2)</x:f>
        <x:v>64800</x:v>
      </x:c>
      <x:c r="K2573" s="17" t="n">
        <x:f>I2573+J2573</x:f>
        <x:v>424800</x:v>
      </x:c>
    </x:row>
    <x:row r="2574" ht="46" customHeight="1">
      <x:c r="A2574" s="2" t="str">
        <x:v>Sector</x:v>
      </x:c>
      <x:c r="B2574" s="2" t="str">
        <x:v>Unresolved</x:v>
      </x:c>
      <x:c r="C2574" s="12" t="str">
        <x:v>Bengaluru</x:v>
      </x:c>
      <x:c r="D2574" s="12" t="str">
        <x:v>PARTNER-M051</x:v>
      </x:c>
      <x:c r="E2574" s="12" t="str">
        <x:v>Manyata Tech park - Mfar</x:v>
      </x:c>
      <x:c r="F2574" s="11" t="n">
        <x:v>5</x:v>
      </x:c>
      <x:c r="G2574" s="11" t="n">
        <x:v>5</x:v>
      </x:c>
      <x:c r="H2574" s="11" t="n">
        <x:v>0</x:v>
      </x:c>
      <x:c r="I2574" s="17" t="n">
        <x:f>INDEX('Costing'!$P$9:$P$492,MATCH(D2574,'Costing'!$A$9:$A$492,0))</x:f>
        <x:v>200000</x:v>
      </x:c>
      <x:c r="J2574" s="17" t="n">
        <x:f>ROUND(I2574*'Costing'!$C$4,2)</x:f>
        <x:v>36000</x:v>
      </x:c>
      <x:c r="K2574" s="17" t="n">
        <x:f>I2574+J2574</x:f>
        <x:v>236000</x:v>
      </x:c>
    </x:row>
    <x:row r="2575" ht="46" customHeight="1">
      <x:c r="A2575" s="2" t="str">
        <x:v>Sector</x:v>
      </x:c>
      <x:c r="B2575" s="2" t="str">
        <x:v>Unresolved</x:v>
      </x:c>
      <x:c r="C2575" s="12" t="str">
        <x:v>Bengaluru</x:v>
      </x:c>
      <x:c r="D2575" s="12" t="str">
        <x:v>PARTNER-M154</x:v>
      </x:c>
      <x:c r="E2575" s="12" t="str">
        <x:v>Maruthi Infotech Center</x:v>
      </x:c>
      <x:c r="F2575" s="11" t="n">
        <x:v>8</x:v>
      </x:c>
      <x:c r="G2575" s="11" t="n">
        <x:v>8</x:v>
      </x:c>
      <x:c r="H2575" s="11" t="n">
        <x:v>0</x:v>
      </x:c>
      <x:c r="I2575" s="17" t="n">
        <x:f>INDEX('Costing'!$P$9:$P$492,MATCH(D2575,'Costing'!$A$9:$A$492,0))</x:f>
        <x:v>320000</x:v>
      </x:c>
      <x:c r="J2575" s="17" t="n">
        <x:f>ROUND(I2575*'Costing'!$C$4,2)</x:f>
        <x:v>57600</x:v>
      </x:c>
      <x:c r="K2575" s="17" t="n">
        <x:f>I2575+J2575</x:f>
        <x:v>377600</x:v>
      </x:c>
    </x:row>
    <x:row r="2576" ht="46" customHeight="1">
      <x:c r="A2576" s="2" t="str">
        <x:v>Sector</x:v>
      </x:c>
      <x:c r="B2576" s="2" t="str">
        <x:v>Unresolved</x:v>
      </x:c>
      <x:c r="C2576" s="12" t="str">
        <x:v>Bengaluru</x:v>
      </x:c>
      <x:c r="D2576" s="12" t="str">
        <x:v>PARTNER-M100</x:v>
      </x:c>
      <x:c r="E2576" s="12" t="str">
        <x:v>Prestige Obelisk + Prestige Atrium + Prestige Sapphire + Prestige Al Kareem + Prestige Delta</x:v>
      </x:c>
      <x:c r="F2576" s="11" t="n">
        <x:v>8</x:v>
      </x:c>
      <x:c r="G2576" s="11" t="n">
        <x:v>8</x:v>
      </x:c>
      <x:c r="H2576" s="11" t="n">
        <x:v>0</x:v>
      </x:c>
      <x:c r="I2576" s="17" t="n">
        <x:f>INDEX('Costing'!$P$9:$P$492,MATCH(D2576,'Costing'!$A$9:$A$492,0))</x:f>
        <x:v>320000</x:v>
      </x:c>
      <x:c r="J2576" s="17" t="n">
        <x:f>ROUND(I2576*'Costing'!$C$4,2)</x:f>
        <x:v>57600</x:v>
      </x:c>
      <x:c r="K2576" s="17" t="n">
        <x:f>I2576+J2576</x:f>
        <x:v>377600</x:v>
      </x:c>
    </x:row>
    <x:row r="2577" ht="46" customHeight="1">
      <x:c r="A2577" s="2" t="str">
        <x:v>Sector</x:v>
      </x:c>
      <x:c r="B2577" s="2" t="str">
        <x:v>Unresolved</x:v>
      </x:c>
      <x:c r="C2577" s="12" t="str">
        <x:v>Bengaluru</x:v>
      </x:c>
      <x:c r="D2577" s="12" t="str">
        <x:v>PARTNER-M027</x:v>
      </x:c>
      <x:c r="E2577" s="12" t="str">
        <x:v>Prestige Shantiniketan</x:v>
      </x:c>
      <x:c r="F2577" s="11" t="n">
        <x:v>7</x:v>
      </x:c>
      <x:c r="G2577" s="11" t="n">
        <x:v>7</x:v>
      </x:c>
      <x:c r="H2577" s="11" t="n">
        <x:v>0</x:v>
      </x:c>
      <x:c r="I2577" s="17" t="n">
        <x:f>INDEX('Costing'!$P$9:$P$492,MATCH(D2577,'Costing'!$A$9:$A$492,0))</x:f>
        <x:v>280000</x:v>
      </x:c>
      <x:c r="J2577" s="17" t="n">
        <x:f>ROUND(I2577*'Costing'!$C$4,2)</x:f>
        <x:v>50400</x:v>
      </x:c>
      <x:c r="K2577" s="17" t="n">
        <x:f>I2577+J2577</x:f>
        <x:v>330400</x:v>
      </x:c>
    </x:row>
    <x:row r="2578" ht="46" customHeight="1">
      <x:c r="A2578" s="2" t="str">
        <x:v>Sector</x:v>
      </x:c>
      <x:c r="B2578" s="2" t="str">
        <x:v>Unresolved</x:v>
      </x:c>
      <x:c r="C2578" s="12" t="str">
        <x:v>Bengaluru</x:v>
      </x:c>
      <x:c r="D2578" s="12" t="str">
        <x:v>PARTNER-M093</x:v>
      </x:c>
      <x:c r="E2578" s="12" t="str">
        <x:v>Prestige Summit</x:v>
      </x:c>
      <x:c r="F2578" s="11" t="n">
        <x:v>4</x:v>
      </x:c>
      <x:c r="G2578" s="11" t="n">
        <x:v>4</x:v>
      </x:c>
      <x:c r="H2578" s="11" t="n">
        <x:v>0</x:v>
      </x:c>
      <x:c r="I2578" s="17" t="n">
        <x:f>INDEX('Costing'!$P$9:$P$492,MATCH(D2578,'Costing'!$A$9:$A$492,0))</x:f>
        <x:v>160000</x:v>
      </x:c>
      <x:c r="J2578" s="17" t="n">
        <x:f>ROUND(I2578*'Costing'!$C$4,2)</x:f>
        <x:v>28800</x:v>
      </x:c>
      <x:c r="K2578" s="17" t="n">
        <x:f>I2578+J2578</x:f>
        <x:v>188800</x:v>
      </x:c>
    </x:row>
    <x:row r="2579" ht="46" customHeight="1">
      <x:c r="A2579" s="2" t="str">
        <x:v>Sector</x:v>
      </x:c>
      <x:c r="B2579" s="2" t="str">
        <x:v>Unresolved</x:v>
      </x:c>
      <x:c r="C2579" s="12" t="str">
        <x:v>Bengaluru</x:v>
      </x:c>
      <x:c r="D2579" s="12" t="str">
        <x:v>PARTNER-M039</x:v>
      </x:c>
      <x:c r="E2579" s="12" t="str">
        <x:v>Prestige Tech Cloud</x:v>
      </x:c>
      <x:c r="F2579" s="11" t="n">
        <x:v>6</x:v>
      </x:c>
      <x:c r="G2579" s="11" t="n">
        <x:v>6</x:v>
      </x:c>
      <x:c r="H2579" s="11" t="n">
        <x:v>0</x:v>
      </x:c>
      <x:c r="I2579" s="17" t="n">
        <x:f>INDEX('Costing'!$P$9:$P$492,MATCH(D2579,'Costing'!$A$9:$A$492,0))</x:f>
        <x:v>240000</x:v>
      </x:c>
      <x:c r="J2579" s="17" t="n">
        <x:f>ROUND(I2579*'Costing'!$C$4,2)</x:f>
        <x:v>43200</x:v>
      </x:c>
      <x:c r="K2579" s="17" t="n">
        <x:f>I2579+J2579</x:f>
        <x:v>283200</x:v>
      </x:c>
    </x:row>
    <x:row r="2580" ht="46" customHeight="1">
      <x:c r="A2580" s="2" t="str">
        <x:v>Sector</x:v>
      </x:c>
      <x:c r="B2580" s="2" t="str">
        <x:v>Unresolved</x:v>
      </x:c>
      <x:c r="C2580" s="12" t="str">
        <x:v>Bengaluru</x:v>
      </x:c>
      <x:c r="D2580" s="12" t="str">
        <x:v>PARTNER-M014</x:v>
      </x:c>
      <x:c r="E2580" s="12" t="str">
        <x:v>Prestige Tech Park</x:v>
      </x:c>
      <x:c r="F2580" s="11" t="n">
        <x:v>10</x:v>
      </x:c>
      <x:c r="G2580" s="11" t="n">
        <x:v>10</x:v>
      </x:c>
      <x:c r="H2580" s="11" t="n">
        <x:v>0</x:v>
      </x:c>
      <x:c r="I2580" s="17" t="n">
        <x:f>INDEX('Costing'!$P$9:$P$492,MATCH(D2580,'Costing'!$A$9:$A$492,0))</x:f>
        <x:v>400000</x:v>
      </x:c>
      <x:c r="J2580" s="17" t="n">
        <x:f>ROUND(I2580*'Costing'!$C$4,2)</x:f>
        <x:v>72000</x:v>
      </x:c>
      <x:c r="K2580" s="17" t="n">
        <x:f>I2580+J2580</x:f>
        <x:v>472000</x:v>
      </x:c>
    </x:row>
    <x:row r="2581" ht="46" customHeight="1">
      <x:c r="A2581" s="2" t="str">
        <x:v>Sector</x:v>
      </x:c>
      <x:c r="B2581" s="2" t="str">
        <x:v>Unresolved</x:v>
      </x:c>
      <x:c r="C2581" s="12" t="str">
        <x:v>Bengaluru</x:v>
      </x:c>
      <x:c r="D2581" s="12" t="str">
        <x:v>PARTNER-M034</x:v>
      </x:c>
      <x:c r="E2581" s="12" t="str">
        <x:v>Prestige Technostar</x:v>
      </x:c>
      <x:c r="F2581" s="11" t="n">
        <x:v>5</x:v>
      </x:c>
      <x:c r="G2581" s="11" t="n">
        <x:v>5</x:v>
      </x:c>
      <x:c r="H2581" s="11" t="n">
        <x:v>0</x:v>
      </x:c>
      <x:c r="I2581" s="17" t="n">
        <x:f>INDEX('Costing'!$P$9:$P$492,MATCH(D2581,'Costing'!$A$9:$A$492,0))</x:f>
        <x:v>200000</x:v>
      </x:c>
      <x:c r="J2581" s="17" t="n">
        <x:f>ROUND(I2581*'Costing'!$C$4,2)</x:f>
        <x:v>36000</x:v>
      </x:c>
      <x:c r="K2581" s="17" t="n">
        <x:f>I2581+J2581</x:f>
        <x:v>236000</x:v>
      </x:c>
    </x:row>
    <x:row r="2582" ht="46" customHeight="1">
      <x:c r="A2582" s="2" t="str">
        <x:v>Sector</x:v>
      </x:c>
      <x:c r="B2582" s="2" t="str">
        <x:v>Unresolved</x:v>
      </x:c>
      <x:c r="C2582" s="12" t="str">
        <x:v>Chennai</x:v>
      </x:c>
      <x:c r="D2582" s="12" t="str">
        <x:v>PARTNER-M349</x:v>
      </x:c>
      <x:c r="E2582" s="12" t="str">
        <x:v>Kushal Towers</x:v>
      </x:c>
      <x:c r="F2582" s="11" t="n">
        <x:v>1</x:v>
      </x:c>
      <x:c r="G2582" s="11" t="n">
        <x:v>1</x:v>
      </x:c>
      <x:c r="H2582" s="11" t="n">
        <x:v>0</x:v>
      </x:c>
      <x:c r="I2582" s="17" t="n">
        <x:f>INDEX('Costing'!$P$9:$P$492,MATCH(D2582,'Costing'!$A$9:$A$492,0))</x:f>
        <x:v>40000</x:v>
      </x:c>
      <x:c r="J2582" s="17" t="n">
        <x:f>ROUND(I2582*'Costing'!$C$4,2)</x:f>
        <x:v>7200</x:v>
      </x:c>
      <x:c r="K2582" s="17" t="n">
        <x:f>I2582+J2582</x:f>
        <x:v>47200</x:v>
      </x:c>
    </x:row>
    <x:row r="2583" ht="46" customHeight="1">
      <x:c r="A2583" s="2" t="str">
        <x:v>Sector</x:v>
      </x:c>
      <x:c r="B2583" s="2" t="str">
        <x:v>Unresolved</x:v>
      </x:c>
      <x:c r="C2583" s="12" t="str">
        <x:v>Chennai</x:v>
      </x:c>
      <x:c r="D2583" s="12" t="str">
        <x:v>PARTNER-M336</x:v>
      </x:c>
      <x:c r="E2583" s="12" t="str">
        <x:v>Prestige Cyber Tower</x:v>
      </x:c>
      <x:c r="F2583" s="11" t="n">
        <x:v>2</x:v>
      </x:c>
      <x:c r="G2583" s="11" t="n">
        <x:v>2</x:v>
      </x:c>
      <x:c r="H2583" s="11" t="n">
        <x:v>0</x:v>
      </x:c>
      <x:c r="I2583" s="17" t="n">
        <x:f>INDEX('Costing'!$P$9:$P$492,MATCH(D2583,'Costing'!$A$9:$A$492,0))</x:f>
        <x:v>80000</x:v>
      </x:c>
      <x:c r="J2583" s="17" t="n">
        <x:f>ROUND(I2583*'Costing'!$C$4,2)</x:f>
        <x:v>14400</x:v>
      </x:c>
      <x:c r="K2583" s="17" t="n">
        <x:f>I2583+J2583</x:f>
        <x:v>94400</x:v>
      </x:c>
    </x:row>
    <x:row r="2584" ht="46" customHeight="1">
      <x:c r="A2584" s="2" t="str">
        <x:v>Sector</x:v>
      </x:c>
      <x:c r="B2584" s="2" t="str">
        <x:v>Unresolved</x:v>
      </x:c>
      <x:c r="C2584" s="12" t="str">
        <x:v>Chennai</x:v>
      </x:c>
      <x:c r="D2584" s="12" t="str">
        <x:v>PARTNER-M332</x:v>
      </x:c>
      <x:c r="E2584" s="12" t="str">
        <x:v>Prestige Polygon</x:v>
      </x:c>
      <x:c r="F2584" s="11" t="n">
        <x:v>2</x:v>
      </x:c>
      <x:c r="G2584" s="11" t="n">
        <x:v>2</x:v>
      </x:c>
      <x:c r="H2584" s="11" t="n">
        <x:v>0</x:v>
      </x:c>
      <x:c r="I2584" s="17" t="n">
        <x:f>INDEX('Costing'!$P$9:$P$492,MATCH(D2584,'Costing'!$A$9:$A$492,0))</x:f>
        <x:v>80000</x:v>
      </x:c>
      <x:c r="J2584" s="17" t="n">
        <x:f>ROUND(I2584*'Costing'!$C$4,2)</x:f>
        <x:v>14400</x:v>
      </x:c>
      <x:c r="K2584" s="17" t="n">
        <x:f>I2584+J2584</x:f>
        <x:v>94400</x:v>
      </x:c>
    </x:row>
    <x:row r="2585" ht="46" customHeight="1">
      <x:c r="A2585" s="2" t="str">
        <x:v>Sector</x:v>
      </x:c>
      <x:c r="B2585" s="2" t="str">
        <x:v>Unresolved</x:v>
      </x:c>
      <x:c r="C2585" s="12" t="str">
        <x:v>Chennai</x:v>
      </x:c>
      <x:c r="D2585" s="12" t="str">
        <x:v>PARTNER-M342</x:v>
      </x:c>
      <x:c r="E2585" s="12" t="str">
        <x:v>Prince Infocity 2</x:v>
      </x:c>
      <x:c r="F2585" s="11" t="n">
        <x:v>5</x:v>
      </x:c>
      <x:c r="G2585" s="11" t="n">
        <x:v>5</x:v>
      </x:c>
      <x:c r="H2585" s="11" t="n">
        <x:v>0</x:v>
      </x:c>
      <x:c r="I2585" s="17" t="n">
        <x:f>INDEX('Costing'!$P$9:$P$492,MATCH(D2585,'Costing'!$A$9:$A$492,0))</x:f>
        <x:v>200000</x:v>
      </x:c>
      <x:c r="J2585" s="17" t="n">
        <x:f>ROUND(I2585*'Costing'!$C$4,2)</x:f>
        <x:v>36000</x:v>
      </x:c>
      <x:c r="K2585" s="17" t="n">
        <x:f>I2585+J2585</x:f>
        <x:v>236000</x:v>
      </x:c>
    </x:row>
    <x:row r="2586" ht="46" customHeight="1">
      <x:c r="A2586" s="2" t="str">
        <x:v>Sector</x:v>
      </x:c>
      <x:c r="B2586" s="2" t="str">
        <x:v>Unresolved</x:v>
      </x:c>
      <x:c r="C2586" s="12" t="str">
        <x:v>Chennai</x:v>
      </x:c>
      <x:c r="D2586" s="12" t="str">
        <x:v>PARTNER-M350</x:v>
      </x:c>
      <x:c r="E2586" s="12" t="str">
        <x:v>Prince Infopark</x:v>
      </x:c>
      <x:c r="F2586" s="11" t="n">
        <x:v>2</x:v>
      </x:c>
      <x:c r="G2586" s="11" t="n">
        <x:v>2</x:v>
      </x:c>
      <x:c r="H2586" s="11" t="n">
        <x:v>0</x:v>
      </x:c>
      <x:c r="I2586" s="17" t="n">
        <x:f>INDEX('Costing'!$P$9:$P$492,MATCH(D2586,'Costing'!$A$9:$A$492,0))</x:f>
        <x:v>80000</x:v>
      </x:c>
      <x:c r="J2586" s="17" t="n">
        <x:f>ROUND(I2586*'Costing'!$C$4,2)</x:f>
        <x:v>14400</x:v>
      </x:c>
      <x:c r="K2586" s="17" t="n">
        <x:f>I2586+J2586</x:f>
        <x:v>94400</x:v>
      </x:c>
    </x:row>
    <x:row r="2587" ht="46" customHeight="1">
      <x:c r="A2587" s="2" t="str">
        <x:v>Sector</x:v>
      </x:c>
      <x:c r="B2587" s="2" t="str">
        <x:v>Unresolved</x:v>
      </x:c>
      <x:c r="C2587" s="12" t="str">
        <x:v>Chennai</x:v>
      </x:c>
      <x:c r="D2587" s="12" t="str">
        <x:v>PARTNER-M325</x:v>
      </x:c>
      <x:c r="E2587" s="12" t="str">
        <x:v>WTC Chennai</x:v>
      </x:c>
      <x:c r="F2587" s="11" t="n">
        <x:v>6</x:v>
      </x:c>
      <x:c r="G2587" s="11" t="n">
        <x:v>6</x:v>
      </x:c>
      <x:c r="H2587" s="11" t="n">
        <x:v>0</x:v>
      </x:c>
      <x:c r="I2587" s="17" t="n">
        <x:f>INDEX('Costing'!$P$9:$P$492,MATCH(D2587,'Costing'!$A$9:$A$492,0))</x:f>
        <x:v>240000</x:v>
      </x:c>
      <x:c r="J2587" s="17" t="n">
        <x:f>ROUND(I2587*'Costing'!$C$4,2)</x:f>
        <x:v>43200</x:v>
      </x:c>
      <x:c r="K2587" s="17" t="n">
        <x:f>I2587+J2587</x:f>
        <x:v>283200</x:v>
      </x:c>
    </x:row>
    <x:row r="2588" ht="46" customHeight="1">
      <x:c r="A2588" s="2" t="str">
        <x:v>Sector</x:v>
      </x:c>
      <x:c r="B2588" s="2" t="str">
        <x:v>Unresolved</x:v>
      </x:c>
      <x:c r="C2588" s="12" t="str">
        <x:v>Delhi NCR</x:v>
      </x:c>
      <x:c r="D2588" s="12" t="str">
        <x:v>PARTNER-M375</x:v>
      </x:c>
      <x:c r="E2588" s="12" t="str">
        <x:v>Add India Height</x:v>
      </x:c>
      <x:c r="F2588" s="11" t="n">
        <x:v>4</x:v>
      </x:c>
      <x:c r="G2588" s="11" t="n">
        <x:v>4</x:v>
      </x:c>
      <x:c r="H2588" s="11" t="n">
        <x:v>0</x:v>
      </x:c>
      <x:c r="I2588" s="17" t="n">
        <x:f>INDEX('Costing'!$P$9:$P$492,MATCH(D2588,'Costing'!$A$9:$A$492,0))</x:f>
        <x:v>160000</x:v>
      </x:c>
      <x:c r="J2588" s="17" t="n">
        <x:f>ROUND(I2588*'Costing'!$C$4,2)</x:f>
        <x:v>28800</x:v>
      </x:c>
      <x:c r="K2588" s="17" t="n">
        <x:f>I2588+J2588</x:f>
        <x:v>188800</x:v>
      </x:c>
    </x:row>
    <x:row r="2589" ht="46" customHeight="1">
      <x:c r="A2589" s="2" t="str">
        <x:v>Sector</x:v>
      </x:c>
      <x:c r="B2589" s="2" t="str">
        <x:v>Unresolved</x:v>
      </x:c>
      <x:c r="C2589" s="12" t="str">
        <x:v>Delhi NCR</x:v>
      </x:c>
      <x:c r="D2589" s="12" t="str">
        <x:v>PARTNER-M358</x:v>
      </x:c>
      <x:c r="E2589" s="12" t="str">
        <x:v>IHDP Business Park</x:v>
      </x:c>
      <x:c r="F2589" s="11" t="n">
        <x:v>7</x:v>
      </x:c>
      <x:c r="G2589" s="11" t="n">
        <x:v>7</x:v>
      </x:c>
      <x:c r="H2589" s="11" t="n">
        <x:v>0</x:v>
      </x:c>
      <x:c r="I2589" s="17" t="n">
        <x:f>INDEX('Costing'!$P$9:$P$492,MATCH(D2589,'Costing'!$A$9:$A$492,0))</x:f>
        <x:v>280000</x:v>
      </x:c>
      <x:c r="J2589" s="17" t="n">
        <x:f>ROUND(I2589*'Costing'!$C$4,2)</x:f>
        <x:v>50400</x:v>
      </x:c>
      <x:c r="K2589" s="17" t="n">
        <x:f>I2589+J2589</x:f>
        <x:v>330400</x:v>
      </x:c>
    </x:row>
    <x:row r="2590" ht="46" customHeight="1">
      <x:c r="A2590" s="2" t="str">
        <x:v>Sector</x:v>
      </x:c>
      <x:c r="B2590" s="2" t="str">
        <x:v>Unresolved</x:v>
      </x:c>
      <x:c r="C2590" s="12" t="str">
        <x:v>Delhi NCR</x:v>
      </x:c>
      <x:c r="D2590" s="12" t="str">
        <x:v>PARTNER-M384</x:v>
      </x:c>
      <x:c r="E2590" s="12" t="str">
        <x:v>NPX Tower</x:v>
      </x:c>
      <x:c r="F2590" s="11" t="n">
        <x:v>5</x:v>
      </x:c>
      <x:c r="G2590" s="11" t="n">
        <x:v>5</x:v>
      </x:c>
      <x:c r="H2590" s="11" t="n">
        <x:v>0</x:v>
      </x:c>
      <x:c r="I2590" s="17" t="n">
        <x:f>INDEX('Costing'!$P$9:$P$492,MATCH(D2590,'Costing'!$A$9:$A$492,0))</x:f>
        <x:v>200000</x:v>
      </x:c>
      <x:c r="J2590" s="17" t="n">
        <x:f>ROUND(I2590*'Costing'!$C$4,2)</x:f>
        <x:v>36000</x:v>
      </x:c>
      <x:c r="K2590" s="17" t="n">
        <x:f>I2590+J2590</x:f>
        <x:v>236000</x:v>
      </x:c>
    </x:row>
    <x:row r="2591" ht="46" customHeight="1">
      <x:c r="A2591" s="2" t="str">
        <x:v>Sector</x:v>
      </x:c>
      <x:c r="B2591" s="2" t="str">
        <x:v>Unresolved</x:v>
      </x:c>
      <x:c r="C2591" s="12" t="str">
        <x:v>Delhi NCR</x:v>
      </x:c>
      <x:c r="D2591" s="12" t="str">
        <x:v>PARTNER-M365</x:v>
      </x:c>
      <x:c r="E2591" s="12" t="str">
        <x:v>Urbtech Trade Centre</x:v>
      </x:c>
      <x:c r="F2591" s="11" t="n">
        <x:v>10</x:v>
      </x:c>
      <x:c r="G2591" s="11" t="n">
        <x:v>10</x:v>
      </x:c>
      <x:c r="H2591" s="11" t="n">
        <x:v>0</x:v>
      </x:c>
      <x:c r="I2591" s="17" t="n">
        <x:f>INDEX('Costing'!$P$9:$P$492,MATCH(D2591,'Costing'!$A$9:$A$492,0))</x:f>
        <x:v>400000</x:v>
      </x:c>
      <x:c r="J2591" s="17" t="n">
        <x:f>ROUND(I2591*'Costing'!$C$4,2)</x:f>
        <x:v>72000</x:v>
      </x:c>
      <x:c r="K2591" s="17" t="n">
        <x:f>I2591+J2591</x:f>
        <x:v>472000</x:v>
      </x:c>
    </x:row>
    <x:row r="2592" ht="46" customHeight="1">
      <x:c r="A2592" s="2" t="str">
        <x:v>Sector</x:v>
      </x:c>
      <x:c r="B2592" s="2" t="str">
        <x:v>Unresolved</x:v>
      </x:c>
      <x:c r="C2592" s="12" t="str">
        <x:v>Hyderabad</x:v>
      </x:c>
      <x:c r="D2592" s="12" t="str">
        <x:v>PARTNER-M289</x:v>
      </x:c>
      <x:c r="E2592" s="12" t="str">
        <x:v>Cyber Gateway</x:v>
      </x:c>
      <x:c r="F2592" s="11" t="n">
        <x:v>6</x:v>
      </x:c>
      <x:c r="G2592" s="11" t="n">
        <x:v>6</x:v>
      </x:c>
      <x:c r="H2592" s="11" t="n">
        <x:v>0</x:v>
      </x:c>
      <x:c r="I2592" s="17" t="n">
        <x:f>INDEX('Costing'!$P$9:$P$492,MATCH(D2592,'Costing'!$A$9:$A$492,0))</x:f>
        <x:v>240000</x:v>
      </x:c>
      <x:c r="J2592" s="17" t="n">
        <x:f>ROUND(I2592*'Costing'!$C$4,2)</x:f>
        <x:v>43200</x:v>
      </x:c>
      <x:c r="K2592" s="17" t="n">
        <x:f>I2592+J2592</x:f>
        <x:v>283200</x:v>
      </x:c>
    </x:row>
    <x:row r="2593" ht="46" customHeight="1">
      <x:c r="A2593" s="2" t="str">
        <x:v>Sector</x:v>
      </x:c>
      <x:c r="B2593" s="2" t="str">
        <x:v>Unresolved</x:v>
      </x:c>
      <x:c r="C2593" s="12" t="str">
        <x:v>Hyderabad</x:v>
      </x:c>
      <x:c r="D2593" s="12" t="str">
        <x:v>PARTNER-M295</x:v>
      </x:c>
      <x:c r="E2593" s="12" t="str">
        <x:v>Cyber Tower</x:v>
      </x:c>
      <x:c r="F2593" s="11" t="n">
        <x:v>5</x:v>
      </x:c>
      <x:c r="G2593" s="11" t="n">
        <x:v>5</x:v>
      </x:c>
      <x:c r="H2593" s="11" t="n">
        <x:v>0</x:v>
      </x:c>
      <x:c r="I2593" s="17" t="n">
        <x:f>INDEX('Costing'!$P$9:$P$492,MATCH(D2593,'Costing'!$A$9:$A$492,0))</x:f>
        <x:v>200000</x:v>
      </x:c>
      <x:c r="J2593" s="17" t="n">
        <x:f>ROUND(I2593*'Costing'!$C$4,2)</x:f>
        <x:v>36000</x:v>
      </x:c>
      <x:c r="K2593" s="17" t="n">
        <x:f>I2593+J2593</x:f>
        <x:v>236000</x:v>
      </x:c>
    </x:row>
    <x:row r="2594" ht="46" customHeight="1">
      <x:c r="A2594" s="2" t="str">
        <x:v>Sector</x:v>
      </x:c>
      <x:c r="B2594" s="2" t="str">
        <x:v>Unresolved</x:v>
      </x:c>
      <x:c r="C2594" s="12" t="str">
        <x:v>Hyderabad</x:v>
      </x:c>
      <x:c r="D2594" s="12" t="str">
        <x:v>PARTNER-M283</x:v>
      </x:c>
      <x:c r="E2594" s="12" t="str">
        <x:v>iLabs Tech Park</x:v>
      </x:c>
      <x:c r="F2594" s="11" t="n">
        <x:v>6</x:v>
      </x:c>
      <x:c r="G2594" s="11" t="n">
        <x:v>6</x:v>
      </x:c>
      <x:c r="H2594" s="11" t="n">
        <x:v>0</x:v>
      </x:c>
      <x:c r="I2594" s="17" t="n">
        <x:f>INDEX('Costing'!$P$9:$P$492,MATCH(D2594,'Costing'!$A$9:$A$492,0))</x:f>
        <x:v>240000</x:v>
      </x:c>
      <x:c r="J2594" s="17" t="n">
        <x:f>ROUND(I2594*'Costing'!$C$4,2)</x:f>
        <x:v>43200</x:v>
      </x:c>
      <x:c r="K2594" s="17" t="n">
        <x:f>I2594+J2594</x:f>
        <x:v>283200</x:v>
      </x:c>
    </x:row>
    <x:row r="2595" ht="46" customHeight="1">
      <x:c r="A2595" s="2" t="str">
        <x:v>Sector</x:v>
      </x:c>
      <x:c r="B2595" s="2" t="str">
        <x:v>Unresolved</x:v>
      </x:c>
      <x:c r="C2595" s="12" t="str">
        <x:v>Hyderabad</x:v>
      </x:c>
      <x:c r="D2595" s="12" t="str">
        <x:v>PARTNER-M317</x:v>
      </x:c>
      <x:c r="E2595" s="12" t="str">
        <x:v>Kapil Towers</x:v>
      </x:c>
      <x:c r="F2595" s="11" t="n">
        <x:v>7</x:v>
      </x:c>
      <x:c r="G2595" s="11" t="n">
        <x:v>7</x:v>
      </x:c>
      <x:c r="H2595" s="11" t="n">
        <x:v>0</x:v>
      </x:c>
      <x:c r="I2595" s="17" t="n">
        <x:f>INDEX('Costing'!$P$9:$P$492,MATCH(D2595,'Costing'!$A$9:$A$492,0))</x:f>
        <x:v>280000</x:v>
      </x:c>
      <x:c r="J2595" s="17" t="n">
        <x:f>ROUND(I2595*'Costing'!$C$4,2)</x:f>
        <x:v>50400</x:v>
      </x:c>
      <x:c r="K2595" s="17" t="n">
        <x:f>I2595+J2595</x:f>
        <x:v>330400</x:v>
      </x:c>
    </x:row>
    <x:row r="2596" ht="46" customHeight="1">
      <x:c r="A2596" s="2" t="str">
        <x:v>Sector</x:v>
      </x:c>
      <x:c r="B2596" s="2" t="str">
        <x:v>Unresolved</x:v>
      </x:c>
      <x:c r="C2596" s="12" t="str">
        <x:v>Hyderabad</x:v>
      </x:c>
      <x:c r="D2596" s="12" t="str">
        <x:v>PARTNER-M300</x:v>
      </x:c>
      <x:c r="E2596" s="12" t="str">
        <x:v>Waverock IT Park</x:v>
      </x:c>
      <x:c r="F2596" s="11" t="n">
        <x:v>8</x:v>
      </x:c>
      <x:c r="G2596" s="11" t="n">
        <x:v>8</x:v>
      </x:c>
      <x:c r="H2596" s="11" t="n">
        <x:v>0</x:v>
      </x:c>
      <x:c r="I2596" s="17" t="n">
        <x:f>INDEX('Costing'!$P$9:$P$492,MATCH(D2596,'Costing'!$A$9:$A$492,0))</x:f>
        <x:v>320000</x:v>
      </x:c>
      <x:c r="J2596" s="17" t="n">
        <x:f>ROUND(I2596*'Costing'!$C$4,2)</x:f>
        <x:v>57600</x:v>
      </x:c>
      <x:c r="K2596" s="17" t="n">
        <x:f>I2596+J2596</x:f>
        <x:v>377600</x:v>
      </x:c>
    </x:row>
    <x:row r="2597" ht="46" customHeight="1">
      <x:c r="A2597" s="2" t="str">
        <x:v>Sector</x:v>
      </x:c>
      <x:c r="B2597" s="2" t="str">
        <x:v>Unresolved</x:v>
      </x:c>
      <x:c r="C2597" s="12" t="str">
        <x:v>Mumbai</x:v>
      </x:c>
      <x:c r="D2597" s="12" t="str">
        <x:v>PARTNER-M241</x:v>
      </x:c>
      <x:c r="E2597" s="12" t="str">
        <x:v>Dynasty Business Park</x:v>
      </x:c>
      <x:c r="F2597" s="11" t="n">
        <x:v>2</x:v>
      </x:c>
      <x:c r="G2597" s="11" t="n">
        <x:v>2</x:v>
      </x:c>
      <x:c r="H2597" s="11" t="n">
        <x:v>0</x:v>
      </x:c>
      <x:c r="I2597" s="17" t="n">
        <x:f>INDEX('Costing'!$P$9:$P$492,MATCH(D2597,'Costing'!$A$9:$A$492,0))</x:f>
        <x:v>80000</x:v>
      </x:c>
      <x:c r="J2597" s="17" t="n">
        <x:f>ROUND(I2597*'Costing'!$C$4,2)</x:f>
        <x:v>14400</x:v>
      </x:c>
      <x:c r="K2597" s="17" t="n">
        <x:f>I2597+J2597</x:f>
        <x:v>94400</x:v>
      </x:c>
    </x:row>
    <x:row r="2598" ht="46" customHeight="1">
      <x:c r="A2598" s="2" t="str">
        <x:v>Sector</x:v>
      </x:c>
      <x:c r="B2598" s="2" t="str">
        <x:v>Unresolved</x:v>
      </x:c>
      <x:c r="C2598" s="12" t="str">
        <x:v>Mumbai</x:v>
      </x:c>
      <x:c r="D2598" s="12" t="str">
        <x:v>PARTNER-M193</x:v>
      </x:c>
      <x:c r="E2598" s="12" t="str">
        <x:v>Empire Tower</x:v>
      </x:c>
      <x:c r="F2598" s="11" t="n">
        <x:v>4</x:v>
      </x:c>
      <x:c r="G2598" s="11" t="n">
        <x:v>4</x:v>
      </x:c>
      <x:c r="H2598" s="11" t="n">
        <x:v>0</x:v>
      </x:c>
      <x:c r="I2598" s="17" t="n">
        <x:f>INDEX('Costing'!$P$9:$P$492,MATCH(D2598,'Costing'!$A$9:$A$492,0))</x:f>
        <x:v>160000</x:v>
      </x:c>
      <x:c r="J2598" s="17" t="n">
        <x:f>ROUND(I2598*'Costing'!$C$4,2)</x:f>
        <x:v>28800</x:v>
      </x:c>
      <x:c r="K2598" s="17" t="n">
        <x:f>I2598+J2598</x:f>
        <x:v>188800</x:v>
      </x:c>
    </x:row>
    <x:row r="2599" ht="46" customHeight="1">
      <x:c r="A2599" s="2" t="str">
        <x:v>Sector</x:v>
      </x:c>
      <x:c r="B2599" s="2" t="str">
        <x:v>Unresolved</x:v>
      </x:c>
      <x:c r="C2599" s="12" t="str">
        <x:v>Mumbai</x:v>
      </x:c>
      <x:c r="D2599" s="12" t="str">
        <x:v>PARTNER-M235</x:v>
      </x:c>
      <x:c r="E2599" s="12" t="str">
        <x:v>Kanakia 215 Atrium</x:v>
      </x:c>
      <x:c r="F2599" s="11" t="n">
        <x:v>4</x:v>
      </x:c>
      <x:c r="G2599" s="11" t="n">
        <x:v>4</x:v>
      </x:c>
      <x:c r="H2599" s="11" t="n">
        <x:v>0</x:v>
      </x:c>
      <x:c r="I2599" s="17" t="n">
        <x:f>INDEX('Costing'!$P$9:$P$492,MATCH(D2599,'Costing'!$A$9:$A$492,0))</x:f>
        <x:v>160000</x:v>
      </x:c>
      <x:c r="J2599" s="17" t="n">
        <x:f>ROUND(I2599*'Costing'!$C$4,2)</x:f>
        <x:v>28800</x:v>
      </x:c>
      <x:c r="K2599" s="17" t="n">
        <x:f>I2599+J2599</x:f>
        <x:v>188800</x:v>
      </x:c>
    </x:row>
    <x:row r="2600" ht="46" customHeight="1">
      <x:c r="A2600" s="2" t="str">
        <x:v>Sector</x:v>
      </x:c>
      <x:c r="B2600" s="2" t="str">
        <x:v>Unresolved</x:v>
      </x:c>
      <x:c r="C2600" s="12" t="str">
        <x:v>Mumbai</x:v>
      </x:c>
      <x:c r="D2600" s="12" t="str">
        <x:v>PARTNER-M239</x:v>
      </x:c>
      <x:c r="E2600" s="12" t="str">
        <x:v>Kanakia Atrium 2</x:v>
      </x:c>
      <x:c r="F2600" s="11" t="n">
        <x:v>2</x:v>
      </x:c>
      <x:c r="G2600" s="11" t="n">
        <x:v>2</x:v>
      </x:c>
      <x:c r="H2600" s="11" t="n">
        <x:v>0</x:v>
      </x:c>
      <x:c r="I2600" s="17" t="n">
        <x:f>INDEX('Costing'!$P$9:$P$492,MATCH(D2600,'Costing'!$A$9:$A$492,0))</x:f>
        <x:v>80000</x:v>
      </x:c>
      <x:c r="J2600" s="17" t="n">
        <x:f>ROUND(I2600*'Costing'!$C$4,2)</x:f>
        <x:v>14400</x:v>
      </x:c>
      <x:c r="K2600" s="17" t="n">
        <x:f>I2600+J2600</x:f>
        <x:v>94400</x:v>
      </x:c>
    </x:row>
    <x:row r="2601" ht="46" customHeight="1">
      <x:c r="A2601" s="2" t="str">
        <x:v>Sector</x:v>
      </x:c>
      <x:c r="B2601" s="2" t="str">
        <x:v>Unresolved</x:v>
      </x:c>
      <x:c r="C2601" s="12" t="str">
        <x:v>Mumbai</x:v>
      </x:c>
      <x:c r="D2601" s="12" t="str">
        <x:v>PARTNER-M179</x:v>
      </x:c>
      <x:c r="E2601" s="12" t="str">
        <x:v>Kanakia Boomerang</x:v>
      </x:c>
      <x:c r="F2601" s="11" t="n">
        <x:v>6</x:v>
      </x:c>
      <x:c r="G2601" s="11" t="n">
        <x:v>6</x:v>
      </x:c>
      <x:c r="H2601" s="11" t="n">
        <x:v>0</x:v>
      </x:c>
      <x:c r="I2601" s="17" t="n">
        <x:f>INDEX('Costing'!$P$9:$P$492,MATCH(D2601,'Costing'!$A$9:$A$492,0))</x:f>
        <x:v>240000</x:v>
      </x:c>
      <x:c r="J2601" s="17" t="n">
        <x:f>ROUND(I2601*'Costing'!$C$4,2)</x:f>
        <x:v>43200</x:v>
      </x:c>
      <x:c r="K2601" s="17" t="n">
        <x:f>I2601+J2601</x:f>
        <x:v>283200</x:v>
      </x:c>
    </x:row>
    <x:row r="2602" ht="46" customHeight="1">
      <x:c r="A2602" s="2" t="str">
        <x:v>Sector</x:v>
      </x:c>
      <x:c r="B2602" s="2" t="str">
        <x:v>Unresolved</x:v>
      </x:c>
      <x:c r="C2602" s="12" t="str">
        <x:v>Mumbai</x:v>
      </x:c>
      <x:c r="D2602" s="12" t="str">
        <x:v>PARTNER-M201</x:v>
      </x:c>
      <x:c r="E2602" s="12" t="str">
        <x:v>Liberty tower</x:v>
      </x:c>
      <x:c r="F2602" s="11" t="n">
        <x:v>2</x:v>
      </x:c>
      <x:c r="G2602" s="11" t="n">
        <x:v>2</x:v>
      </x:c>
      <x:c r="H2602" s="11" t="n">
        <x:v>0</x:v>
      </x:c>
      <x:c r="I2602" s="17" t="n">
        <x:f>INDEX('Costing'!$P$9:$P$492,MATCH(D2602,'Costing'!$A$9:$A$492,0))</x:f>
        <x:v>80000</x:v>
      </x:c>
      <x:c r="J2602" s="17" t="n">
        <x:f>ROUND(I2602*'Costing'!$C$4,2)</x:f>
        <x:v>14400</x:v>
      </x:c>
      <x:c r="K2602" s="17" t="n">
        <x:f>I2602+J2602</x:f>
        <x:v>94400</x:v>
      </x:c>
    </x:row>
    <x:row r="2603" ht="46" customHeight="1">
      <x:c r="A2603" s="2" t="str">
        <x:v>Sector</x:v>
      </x:c>
      <x:c r="B2603" s="2" t="str">
        <x:v>Unresolved</x:v>
      </x:c>
      <x:c r="C2603" s="12" t="str">
        <x:v>Mumbai</x:v>
      </x:c>
      <x:c r="D2603" s="12" t="str">
        <x:v>PARTNER-M245</x:v>
      </x:c>
      <x:c r="E2603" s="12" t="str">
        <x:v>Lodha iThink</x:v>
      </x:c>
      <x:c r="F2603" s="11" t="n">
        <x:v>2</x:v>
      </x:c>
      <x:c r="G2603" s="11" t="n">
        <x:v>2</x:v>
      </x:c>
      <x:c r="H2603" s="11" t="n">
        <x:v>0</x:v>
      </x:c>
      <x:c r="I2603" s="17" t="n">
        <x:f>INDEX('Costing'!$P$9:$P$492,MATCH(D2603,'Costing'!$A$9:$A$492,0))</x:f>
        <x:v>80000</x:v>
      </x:c>
      <x:c r="J2603" s="17" t="n">
        <x:f>ROUND(I2603*'Costing'!$C$4,2)</x:f>
        <x:v>14400</x:v>
      </x:c>
      <x:c r="K2603" s="17" t="n">
        <x:f>I2603+J2603</x:f>
        <x:v>94400</x:v>
      </x:c>
    </x:row>
    <x:row r="2604" ht="46" customHeight="1">
      <x:c r="A2604" s="2" t="str">
        <x:v>Sector</x:v>
      </x:c>
      <x:c r="B2604" s="2" t="str">
        <x:v>Unresolved</x:v>
      </x:c>
      <x:c r="C2604" s="12" t="str">
        <x:v>Mumbai</x:v>
      </x:c>
      <x:c r="D2604" s="12" t="str">
        <x:v>PARTNER-M247</x:v>
      </x:c>
      <x:c r="E2604" s="12" t="str">
        <x:v>Lodha Supremus</x:v>
      </x:c>
      <x:c r="F2604" s="11" t="n">
        <x:v>4</x:v>
      </x:c>
      <x:c r="G2604" s="11" t="n">
        <x:v>4</x:v>
      </x:c>
      <x:c r="H2604" s="11" t="n">
        <x:v>0</x:v>
      </x:c>
      <x:c r="I2604" s="17" t="n">
        <x:f>INDEX('Costing'!$P$9:$P$492,MATCH(D2604,'Costing'!$A$9:$A$492,0))</x:f>
        <x:v>160000</x:v>
      </x:c>
      <x:c r="J2604" s="17" t="n">
        <x:f>ROUND(I2604*'Costing'!$C$4,2)</x:f>
        <x:v>28800</x:v>
      </x:c>
      <x:c r="K2604" s="17" t="n">
        <x:f>I2604+J2604</x:f>
        <x:v>188800</x:v>
      </x:c>
    </x:row>
    <x:row r="2605" ht="46" customHeight="1">
      <x:c r="A2605" s="2" t="str">
        <x:v>Sector</x:v>
      </x:c>
      <x:c r="B2605" s="2" t="str">
        <x:v>Unresolved</x:v>
      </x:c>
      <x:c r="C2605" s="12" t="str">
        <x:v>Mumbai</x:v>
      </x:c>
      <x:c r="D2605" s="12" t="str">
        <x:v>PARTNER-M203</x:v>
      </x:c>
      <x:c r="E2605" s="12" t="str">
        <x:v>Reliable Plaza</x:v>
      </x:c>
      <x:c r="F2605" s="11" t="n">
        <x:v>2</x:v>
      </x:c>
      <x:c r="G2605" s="11" t="n">
        <x:v>2</x:v>
      </x:c>
      <x:c r="H2605" s="11" t="n">
        <x:v>0</x:v>
      </x:c>
      <x:c r="I2605" s="17" t="n">
        <x:f>INDEX('Costing'!$P$9:$P$492,MATCH(D2605,'Costing'!$A$9:$A$492,0))</x:f>
        <x:v>80000</x:v>
      </x:c>
      <x:c r="J2605" s="17" t="n">
        <x:f>ROUND(I2605*'Costing'!$C$4,2)</x:f>
        <x:v>14400</x:v>
      </x:c>
      <x:c r="K2605" s="17" t="n">
        <x:f>I2605+J2605</x:f>
        <x:v>94400</x:v>
      </x:c>
    </x:row>
    <x:row r="2606" ht="46" customHeight="1">
      <x:c r="A2606" s="2" t="str">
        <x:v>Sector</x:v>
      </x:c>
      <x:c r="B2606" s="2" t="str">
        <x:v>Unresolved</x:v>
      </x:c>
      <x:c r="C2606" s="12" t="str">
        <x:v>Mumbai</x:v>
      </x:c>
      <x:c r="D2606" s="12" t="str">
        <x:v>PARTNER-M197</x:v>
      </x:c>
      <x:c r="E2606" s="12" t="str">
        <x:v>Reliable Tech Park</x:v>
      </x:c>
      <x:c r="F2606" s="11" t="n">
        <x:v>4</x:v>
      </x:c>
      <x:c r="G2606" s="11" t="n">
        <x:v>4</x:v>
      </x:c>
      <x:c r="H2606" s="11" t="n">
        <x:v>0</x:v>
      </x:c>
      <x:c r="I2606" s="17" t="n">
        <x:f>INDEX('Costing'!$P$9:$P$492,MATCH(D2606,'Costing'!$A$9:$A$492,0))</x:f>
        <x:v>160000</x:v>
      </x:c>
      <x:c r="J2606" s="17" t="n">
        <x:f>ROUND(I2606*'Costing'!$C$4,2)</x:f>
        <x:v>28800</x:v>
      </x:c>
      <x:c r="K2606" s="17" t="n">
        <x:f>I2606+J2606</x:f>
        <x:v>188800</x:v>
      </x:c>
    </x:row>
    <x:row r="2607" ht="46" customHeight="1">
      <x:c r="A2607" s="2" t="str">
        <x:v>Sector</x:v>
      </x:c>
      <x:c r="B2607" s="2" t="str">
        <x:v>Unresolved</x:v>
      </x:c>
      <x:c r="C2607" s="12" t="str">
        <x:v>Mumbai</x:v>
      </x:c>
      <x:c r="D2607" s="12" t="str">
        <x:v>PARTNER-M205</x:v>
      </x:c>
      <x:c r="E2607" s="12" t="str">
        <x:v>Rupa Solitaire</x:v>
      </x:c>
      <x:c r="F2607" s="11" t="n">
        <x:v>10</x:v>
      </x:c>
      <x:c r="G2607" s="11" t="n">
        <x:v>10</x:v>
      </x:c>
      <x:c r="H2607" s="11" t="n">
        <x:v>0</x:v>
      </x:c>
      <x:c r="I2607" s="17" t="n">
        <x:f>INDEX('Costing'!$P$9:$P$492,MATCH(D2607,'Costing'!$A$9:$A$492,0))</x:f>
        <x:v>400000</x:v>
      </x:c>
      <x:c r="J2607" s="17" t="n">
        <x:f>ROUND(I2607*'Costing'!$C$4,2)</x:f>
        <x:v>72000</x:v>
      </x:c>
      <x:c r="K2607" s="17" t="n">
        <x:f>I2607+J2607</x:f>
        <x:v>472000</x:v>
      </x:c>
    </x:row>
    <x:row r="2608" ht="46" customHeight="1">
      <x:c r="A2608" s="2" t="str">
        <x:v>Sector</x:v>
      </x:c>
      <x:c r="B2608" s="2" t="str">
        <x:v>Unresolved</x:v>
      </x:c>
      <x:c r="C2608" s="12" t="str">
        <x:v>Mumbai</x:v>
      </x:c>
      <x:c r="D2608" s="12" t="str">
        <x:v>PARTNER-M175</x:v>
      </x:c>
      <x:c r="E2608" s="12" t="str">
        <x:v>The Capital</x:v>
      </x:c>
      <x:c r="F2608" s="11" t="n">
        <x:v>3</x:v>
      </x:c>
      <x:c r="G2608" s="11" t="n">
        <x:v>3</x:v>
      </x:c>
      <x:c r="H2608" s="11" t="n">
        <x:v>0</x:v>
      </x:c>
      <x:c r="I2608" s="17" t="n">
        <x:f>INDEX('Costing'!$P$9:$P$492,MATCH(D2608,'Costing'!$A$9:$A$492,0))</x:f>
        <x:v>120000</x:v>
      </x:c>
      <x:c r="J2608" s="17" t="n">
        <x:f>ROUND(I2608*'Costing'!$C$4,2)</x:f>
        <x:v>21600</x:v>
      </x:c>
      <x:c r="K2608" s="17" t="n">
        <x:f>I2608+J2608</x:f>
        <x:v>141600</x:v>
      </x:c>
    </x:row>
    <x:row r="2609" ht="46" customHeight="1">
      <x:c r="A2609" s="2" t="str">
        <x:v>Sector</x:v>
      </x:c>
      <x:c r="B2609" s="2" t="str">
        <x:v>Unresolved</x:v>
      </x:c>
      <x:c r="C2609" s="12" t="str">
        <x:v>Mumbai</x:v>
      </x:c>
      <x:c r="D2609" s="12" t="str">
        <x:v>PARTNER-M188</x:v>
      </x:c>
      <x:c r="E2609" s="12" t="str">
        <x:v>Urmi Estate</x:v>
      </x:c>
      <x:c r="F2609" s="11" t="n">
        <x:v>4</x:v>
      </x:c>
      <x:c r="G2609" s="11" t="n">
        <x:v>4</x:v>
      </x:c>
      <x:c r="H2609" s="11" t="n">
        <x:v>0</x:v>
      </x:c>
      <x:c r="I2609" s="17" t="n">
        <x:f>INDEX('Costing'!$P$9:$P$492,MATCH(D2609,'Costing'!$A$9:$A$492,0))</x:f>
        <x:v>160000</x:v>
      </x:c>
      <x:c r="J2609" s="17" t="n">
        <x:f>ROUND(I2609*'Costing'!$C$4,2)</x:f>
        <x:v>28800</x:v>
      </x:c>
      <x:c r="K2609" s="17" t="n">
        <x:f>I2609+J2609</x:f>
        <x:v>188800</x:v>
      </x:c>
    </x:row>
    <x:row r="2610" ht="46" customHeight="1">
      <x:c r="A2610" s="2" t="str">
        <x:v>Sector</x:v>
      </x:c>
      <x:c r="B2610" s="2" t="str">
        <x:v>Unresolved</x:v>
      </x:c>
      <x:c r="C2610" s="12" t="str">
        <x:v>Mumbai</x:v>
      </x:c>
      <x:c r="D2610" s="12" t="str">
        <x:v>PARTNER-M227</x:v>
      </x:c>
      <x:c r="E2610" s="12" t="str">
        <x:v>Windsor House</x:v>
      </x:c>
      <x:c r="F2610" s="11" t="n">
        <x:v>6</x:v>
      </x:c>
      <x:c r="G2610" s="11" t="n">
        <x:v>6</x:v>
      </x:c>
      <x:c r="H2610" s="11" t="n">
        <x:v>0</x:v>
      </x:c>
      <x:c r="I2610" s="17" t="n">
        <x:f>INDEX('Costing'!$P$9:$P$492,MATCH(D2610,'Costing'!$A$9:$A$492,0))</x:f>
        <x:v>240000</x:v>
      </x:c>
      <x:c r="J2610" s="17" t="n">
        <x:f>ROUND(I2610*'Costing'!$C$4,2)</x:f>
        <x:v>43200</x:v>
      </x:c>
      <x:c r="K2610" s="17" t="n">
        <x:f>I2610+J2610</x:f>
        <x:v>283200</x:v>
      </x:c>
    </x:row>
    <x:row r="2611" ht="46" customHeight="1">
      <x:c r="A2611" s="2" t="str">
        <x:v>Sector</x:v>
      </x:c>
      <x:c r="B2611" s="2" t="str">
        <x:v>Unresolved</x:v>
      </x:c>
      <x:c r="C2611" s="12" t="str">
        <x:v>Pune</x:v>
      </x:c>
      <x:c r="D2611" s="12" t="str">
        <x:v>PARTNER-M268</x:v>
      </x:c>
      <x:c r="E2611" s="12" t="str">
        <x:v>ICC Tech Park</x:v>
      </x:c>
      <x:c r="F2611" s="11" t="n">
        <x:v>5</x:v>
      </x:c>
      <x:c r="G2611" s="11" t="n">
        <x:v>5</x:v>
      </x:c>
      <x:c r="H2611" s="11" t="n">
        <x:v>0</x:v>
      </x:c>
      <x:c r="I2611" s="17" t="n">
        <x:f>INDEX('Costing'!$P$9:$P$492,MATCH(D2611,'Costing'!$A$9:$A$492,0))</x:f>
        <x:v>200000</x:v>
      </x:c>
      <x:c r="J2611" s="17" t="n">
        <x:f>ROUND(I2611*'Costing'!$C$4,2)</x:f>
        <x:v>36000</x:v>
      </x:c>
      <x:c r="K2611" s="17" t="n">
        <x:f>I2611+J2611</x:f>
        <x:v>236000</x:v>
      </x:c>
    </x:row>
    <x:row r="2612" ht="46" customHeight="1">
      <x:c r="A2612" s="2" t="str">
        <x:v>Sector</x:v>
      </x:c>
      <x:c r="B2612" s="2" t="str">
        <x:v>Unresolved</x:v>
      </x:c>
      <x:c r="C2612" s="12" t="str">
        <x:v>Pune</x:v>
      </x:c>
      <x:c r="D2612" s="12" t="str">
        <x:v>PARTNER-M277</x:v>
      </x:c>
      <x:c r="E2612" s="12" t="str">
        <x:v>Nyati Enthral</x:v>
      </x:c>
      <x:c r="F2612" s="11" t="n">
        <x:v>5</x:v>
      </x:c>
      <x:c r="G2612" s="11" t="n">
        <x:v>5</x:v>
      </x:c>
      <x:c r="H2612" s="11" t="n">
        <x:v>0</x:v>
      </x:c>
      <x:c r="I2612" s="17" t="n">
        <x:f>INDEX('Costing'!$P$9:$P$492,MATCH(D2612,'Costing'!$A$9:$A$492,0))</x:f>
        <x:v>200000</x:v>
      </x:c>
      <x:c r="J2612" s="17" t="n">
        <x:f>ROUND(I2612*'Costing'!$C$4,2)</x:f>
        <x:v>36000</x:v>
      </x:c>
      <x:c r="K2612" s="17" t="n">
        <x:f>I2612+J2612</x:f>
        <x:v>236000</x:v>
      </x:c>
    </x:row>
    <x:row r="2613" ht="46" customHeight="1">
      <x:c r="A2613" s="2" t="str">
        <x:v>Sector</x:v>
      </x:c>
      <x:c r="B2613" s="2" t="str">
        <x:v>Unresolved</x:v>
      </x:c>
      <x:c r="C2613" s="12" t="str">
        <x:v>Pune</x:v>
      </x:c>
      <x:c r="D2613" s="12" t="str">
        <x:v>PARTNER-M273</x:v>
      </x:c>
      <x:c r="E2613" s="12" t="str">
        <x:v>Nyati Tech Park</x:v>
      </x:c>
      <x:c r="F2613" s="11" t="n">
        <x:v>4</x:v>
      </x:c>
      <x:c r="G2613" s="11" t="n">
        <x:v>4</x:v>
      </x:c>
      <x:c r="H2613" s="11" t="n">
        <x:v>0</x:v>
      </x:c>
      <x:c r="I2613" s="17" t="n">
        <x:f>INDEX('Costing'!$P$9:$P$492,MATCH(D2613,'Costing'!$A$9:$A$492,0))</x:f>
        <x:v>160000</x:v>
      </x:c>
      <x:c r="J2613" s="17" t="n">
        <x:f>ROUND(I2613*'Costing'!$C$4,2)</x:f>
        <x:v>28800</x:v>
      </x:c>
      <x:c r="K2613" s="17" t="n">
        <x:f>I2613+J2613</x:f>
        <x:v>188800</x:v>
      </x:c>
    </x:row>
    <x:row r="2614" ht="46" customHeight="1">
      <x:c r="A2614" s="2" t="str">
        <x:v>Sector</x:v>
      </x:c>
      <x:c r="B2614" s="2" t="str">
        <x:v>Unresolved</x:v>
      </x:c>
      <x:c r="C2614" s="12" t="str">
        <x:v>Pune</x:v>
      </x:c>
      <x:c r="D2614" s="12" t="str">
        <x:v>PARTNER-M261</x:v>
      </x:c>
      <x:c r="E2614" s="12" t="str">
        <x:v>Pentagon Towers</x:v>
      </x:c>
      <x:c r="F2614" s="11" t="n">
        <x:v>4</x:v>
      </x:c>
      <x:c r="G2614" s="11" t="n">
        <x:v>4</x:v>
      </x:c>
      <x:c r="H2614" s="11" t="n">
        <x:v>0</x:v>
      </x:c>
      <x:c r="I2614" s="17" t="n">
        <x:f>INDEX('Costing'!$P$9:$P$492,MATCH(D2614,'Costing'!$A$9:$A$492,0))</x:f>
        <x:v>160000</x:v>
      </x:c>
      <x:c r="J2614" s="17" t="n">
        <x:f>ROUND(I2614*'Costing'!$C$4,2)</x:f>
        <x:v>28800</x:v>
      </x:c>
      <x:c r="K2614" s="17" t="n">
        <x:f>I2614+J2614</x:f>
        <x:v>188800</x:v>
      </x:c>
    </x:row>
    <x:row r="2615" ht="46" customHeight="1">
      <x:c r="A2615" s="2" t="str">
        <x:v>Sector</x:v>
      </x:c>
      <x:c r="B2615" s="2" t="str">
        <x:v>Unresolved</x:v>
      </x:c>
      <x:c r="C2615" s="12" t="str">
        <x:v>Pune</x:v>
      </x:c>
      <x:c r="D2615" s="12" t="str">
        <x:v>PARTNER-M265</x:v>
      </x:c>
      <x:c r="E2615" s="12" t="str">
        <x:v>Symphony IT Park</x:v>
      </x:c>
      <x:c r="F2615" s="11" t="n">
        <x:v>3</x:v>
      </x:c>
      <x:c r="G2615" s="11" t="n">
        <x:v>3</x:v>
      </x:c>
      <x:c r="H2615" s="11" t="n">
        <x:v>0</x:v>
      </x:c>
      <x:c r="I2615" s="17" t="n">
        <x:f>INDEX('Costing'!$P$9:$P$492,MATCH(D2615,'Costing'!$A$9:$A$492,0))</x:f>
        <x:v>120000</x:v>
      </x:c>
      <x:c r="J2615" s="17" t="n">
        <x:f>ROUND(I2615*'Costing'!$C$4,2)</x:f>
        <x:v>21600</x:v>
      </x:c>
      <x:c r="K2615" s="17" t="n">
        <x:f>I2615+J2615</x:f>
        <x:v>141600</x:v>
      </x:c>
    </x:row>
    <x:row r="2616" ht="46" customHeight="1">
      <x:c r="A2616" s="2" t="str">
        <x:v>Sector</x:v>
      </x:c>
      <x:c r="B2616" s="2" t="str">
        <x:v>Workspace &amp; property operations</x:v>
      </x:c>
      <x:c r="C2616" s="12" t="str">
        <x:v>Bengaluru</x:v>
      </x:c>
      <x:c r="D2616" s="12" t="str">
        <x:v>MAIN-009</x:v>
      </x:c>
      <x:c r="E2616" s="12" t="str">
        <x:v>Akshay Tech Park</x:v>
      </x:c>
      <x:c r="F2616" s="11" t="n">
        <x:v>8</x:v>
      </x:c>
      <x:c r="G2616" s="11" t="n">
        <x:v>8</x:v>
      </x:c>
      <x:c r="H2616" s="11" t="n">
        <x:v>0</x:v>
      </x:c>
      <x:c r="I2616" s="17" t="n">
        <x:f>INDEX('Costing'!$P$9:$P$492,MATCH(D2616,'Costing'!$A$9:$A$492,0))</x:f>
        <x:v>120000</x:v>
      </x:c>
      <x:c r="J2616" s="17" t="n">
        <x:f>ROUND(I2616*'Costing'!$C$4,2)</x:f>
        <x:v>21600</x:v>
      </x:c>
      <x:c r="K2616" s="17" t="n">
        <x:f>I2616+J2616</x:f>
        <x:v>141600</x:v>
      </x:c>
    </x:row>
    <x:row r="2617" ht="46" customHeight="1">
      <x:c r="A2617" s="2" t="str">
        <x:v>Sector</x:v>
      </x:c>
      <x:c r="B2617" s="2" t="str">
        <x:v>Workspace &amp; property operations</x:v>
      </x:c>
      <x:c r="C2617" s="12" t="str">
        <x:v>Bengaluru</x:v>
      </x:c>
      <x:c r="D2617" s="12" t="str">
        <x:v>MAIN-029</x:v>
      </x:c>
      <x:c r="E2617" s="12" t="str">
        <x:v>Bhive Workspace - HSR Sector 6 Service Road Unit A</x:v>
      </x:c>
      <x:c r="F2617" s="11" t="n">
        <x:v>3</x:v>
      </x:c>
      <x:c r="G2617" s="11" t="n">
        <x:v>3</x:v>
      </x:c>
      <x:c r="H2617" s="11" t="n">
        <x:v>0</x:v>
      </x:c>
      <x:c r="I2617" s="17" t="n">
        <x:f>INDEX('Costing'!$P$9:$P$492,MATCH(D2617,'Costing'!$A$9:$A$492,0))</x:f>
        <x:v>45000</x:v>
      </x:c>
      <x:c r="J2617" s="17" t="n">
        <x:f>ROUND(I2617*'Costing'!$C$4,2)</x:f>
        <x:v>8100</x:v>
      </x:c>
      <x:c r="K2617" s="17" t="n">
        <x:f>I2617+J2617</x:f>
        <x:v>53100</x:v>
      </x:c>
    </x:row>
    <x:row r="2618" ht="46" customHeight="1">
      <x:c r="A2618" s="2" t="str">
        <x:v>Sector</x:v>
      </x:c>
      <x:c r="B2618" s="2" t="str">
        <x:v>Workspace &amp; property operations</x:v>
      </x:c>
      <x:c r="C2618" s="12" t="str">
        <x:v>Bengaluru</x:v>
      </x:c>
      <x:c r="D2618" s="12" t="str">
        <x:v>MAIN-039</x:v>
      </x:c>
      <x:c r="E2618" s="12" t="str">
        <x:v>Brookfield - EcoWorld</x:v>
      </x:c>
      <x:c r="F2618" s="11" t="n">
        <x:v>16</x:v>
      </x:c>
      <x:c r="G2618" s="11" t="n">
        <x:v>16</x:v>
      </x:c>
      <x:c r="H2618" s="11" t="n">
        <x:v>0</x:v>
      </x:c>
      <x:c r="I2618" s="17" t="n">
        <x:f>INDEX('Costing'!$P$9:$P$492,MATCH(D2618,'Costing'!$A$9:$A$492,0))</x:f>
        <x:v>640000</x:v>
      </x:c>
      <x:c r="J2618" s="17" t="n">
        <x:f>ROUND(I2618*'Costing'!$C$4,2)</x:f>
        <x:v>115200</x:v>
      </x:c>
      <x:c r="K2618" s="17" t="n">
        <x:f>I2618+J2618</x:f>
        <x:v>755200</x:v>
      </x:c>
    </x:row>
    <x:row r="2619" ht="46" customHeight="1">
      <x:c r="A2619" s="2" t="str">
        <x:v>Sector</x:v>
      </x:c>
      <x:c r="B2619" s="2" t="str">
        <x:v>Workspace &amp; property operations</x:v>
      </x:c>
      <x:c r="C2619" s="12" t="str">
        <x:v>Bengaluru</x:v>
      </x:c>
      <x:c r="D2619" s="12" t="str">
        <x:v>MAIN-057</x:v>
      </x:c>
      <x:c r="E2619" s="12" t="str">
        <x:v>Novel Offices - Queens Road</x:v>
      </x:c>
      <x:c r="F2619" s="11" t="n">
        <x:v>3</x:v>
      </x:c>
      <x:c r="G2619" s="11" t="n">
        <x:v>3</x:v>
      </x:c>
      <x:c r="H2619" s="11" t="n">
        <x:v>0</x:v>
      </x:c>
      <x:c r="I2619" s="17" t="n">
        <x:f>INDEX('Costing'!$P$9:$P$492,MATCH(D2619,'Costing'!$A$9:$A$492,0))</x:f>
        <x:v>45000</x:v>
      </x:c>
      <x:c r="J2619" s="17" t="n">
        <x:f>ROUND(I2619*'Costing'!$C$4,2)</x:f>
        <x:v>8100</x:v>
      </x:c>
      <x:c r="K2619" s="17" t="n">
        <x:f>I2619+J2619</x:f>
        <x:v>53100</x:v>
      </x:c>
    </x:row>
    <x:row r="2620" ht="46" customHeight="1">
      <x:c r="A2620" s="2" t="str">
        <x:v>Sector</x:v>
      </x:c>
      <x:c r="B2620" s="2" t="str">
        <x:v>Workspace &amp; property operations</x:v>
      </x:c>
      <x:c r="C2620" s="12" t="str">
        <x:v>Bengaluru</x:v>
      </x:c>
      <x:c r="D2620" s="12" t="str">
        <x:v>MAIN-058</x:v>
      </x:c>
      <x:c r="E2620" s="12" t="str">
        <x:v>Novel Offices - WorkHub</x:v>
      </x:c>
      <x:c r="F2620" s="11" t="n">
        <x:v>4</x:v>
      </x:c>
      <x:c r="G2620" s="11" t="n">
        <x:v>4</x:v>
      </x:c>
      <x:c r="H2620" s="11" t="n">
        <x:v>0</x:v>
      </x:c>
      <x:c r="I2620" s="17" t="n">
        <x:f>INDEX('Costing'!$P$9:$P$492,MATCH(D2620,'Costing'!$A$9:$A$492,0))</x:f>
        <x:v>80000</x:v>
      </x:c>
      <x:c r="J2620" s="17" t="n">
        <x:f>ROUND(I2620*'Costing'!$C$4,2)</x:f>
        <x:v>14400</x:v>
      </x:c>
      <x:c r="K2620" s="17" t="n">
        <x:f>I2620+J2620</x:f>
        <x:v>94400</x:v>
      </x:c>
    </x:row>
    <x:row r="2621" ht="46" customHeight="1">
      <x:c r="A2621" s="2" t="str">
        <x:v>Sector</x:v>
      </x:c>
      <x:c r="B2621" s="2" t="str">
        <x:v>Workspace &amp; property operations</x:v>
      </x:c>
      <x:c r="C2621" s="12" t="str">
        <x:v>Bengaluru</x:v>
      </x:c>
      <x:c r="D2621" s="12" t="str">
        <x:v>MAIN-063</x:v>
      </x:c>
      <x:c r="E2621" s="12" t="str">
        <x:v>Nucleus - Prestige One Trade Tower</x:v>
      </x:c>
      <x:c r="F2621" s="11" t="n">
        <x:v>2</x:v>
      </x:c>
      <x:c r="G2621" s="11" t="n">
        <x:v>2</x:v>
      </x:c>
      <x:c r="H2621" s="11" t="n">
        <x:v>0</x:v>
      </x:c>
      <x:c r="I2621" s="17" t="n">
        <x:f>INDEX('Costing'!$P$9:$P$492,MATCH(D2621,'Costing'!$A$9:$A$492,0))</x:f>
        <x:v>80000</x:v>
      </x:c>
      <x:c r="J2621" s="17" t="n">
        <x:f>ROUND(I2621*'Costing'!$C$4,2)</x:f>
        <x:v>14400</x:v>
      </x:c>
      <x:c r="K2621" s="17" t="n">
        <x:f>I2621+J2621</x:f>
        <x:v>94400</x:v>
      </x:c>
    </x:row>
    <x:row r="2622" ht="46" customHeight="1">
      <x:c r="A2622" s="2" t="str">
        <x:v>Sector</x:v>
      </x:c>
      <x:c r="B2622" s="2" t="str">
        <x:v>Workspace &amp; property operations</x:v>
      </x:c>
      <x:c r="C2622" s="12" t="str">
        <x:v>Bengaluru</x:v>
      </x:c>
      <x:c r="D2622" s="12" t="str">
        <x:v>MAIN-073</x:v>
      </x:c>
      <x:c r="E2622" s="12" t="str">
        <x:v>Prestige Obelisk</x:v>
      </x:c>
      <x:c r="F2622" s="11" t="n">
        <x:v>1</x:v>
      </x:c>
      <x:c r="G2622" s="11" t="n">
        <x:v>1</x:v>
      </x:c>
      <x:c r="H2622" s="11" t="n">
        <x:v>0</x:v>
      </x:c>
      <x:c r="I2622" s="17" t="n">
        <x:f>INDEX('Costing'!$P$9:$P$492,MATCH(D2622,'Costing'!$A$9:$A$492,0))</x:f>
        <x:v>40000</x:v>
      </x:c>
      <x:c r="J2622" s="17" t="n">
        <x:f>ROUND(I2622*'Costing'!$C$4,2)</x:f>
        <x:v>7200</x:v>
      </x:c>
      <x:c r="K2622" s="17" t="n">
        <x:f>I2622+J2622</x:f>
        <x:v>47200</x:v>
      </x:c>
    </x:row>
    <x:row r="2623" ht="46" customHeight="1">
      <x:c r="A2623" s="2" t="str">
        <x:v>Sector</x:v>
      </x:c>
      <x:c r="B2623" s="2" t="str">
        <x:v>Workspace &amp; property operations</x:v>
      </x:c>
      <x:c r="C2623" s="12" t="str">
        <x:v>Bengaluru</x:v>
      </x:c>
      <x:c r="D2623" s="12" t="str">
        <x:v>MAIN-076</x:v>
      </x:c>
      <x:c r="E2623" s="12" t="str">
        <x:v>Quest Office</x:v>
      </x:c>
      <x:c r="F2623" s="11" t="n">
        <x:v>1</x:v>
      </x:c>
      <x:c r="G2623" s="11" t="n">
        <x:v>1</x:v>
      </x:c>
      <x:c r="H2623" s="11" t="n">
        <x:v>0</x:v>
      </x:c>
      <x:c r="I2623" s="17" t="n">
        <x:f>INDEX('Costing'!$P$9:$P$492,MATCH(D2623,'Costing'!$A$9:$A$492,0))</x:f>
        <x:v>15000</x:v>
      </x:c>
      <x:c r="J2623" s="17" t="n">
        <x:f>ROUND(I2623*'Costing'!$C$4,2)</x:f>
        <x:v>2700</x:v>
      </x:c>
      <x:c r="K2623" s="17" t="n">
        <x:f>I2623+J2623</x:f>
        <x:v>17700</x:v>
      </x:c>
    </x:row>
    <x:row r="2624" ht="46" customHeight="1">
      <x:c r="A2624" s="2" t="str">
        <x:v>Sector</x:v>
      </x:c>
      <x:c r="B2624" s="2" t="str">
        <x:v>Workspace &amp; property operations</x:v>
      </x:c>
      <x:c r="C2624" s="12" t="str">
        <x:v>Bengaluru</x:v>
      </x:c>
      <x:c r="D2624" s="12" t="str">
        <x:v>MAIN-077</x:v>
      </x:c>
      <x:c r="E2624" s="12" t="str">
        <x:v>Raheja Towers</x:v>
      </x:c>
      <x:c r="F2624" s="11" t="n">
        <x:v>11</x:v>
      </x:c>
      <x:c r="G2624" s="11" t="n">
        <x:v>11</x:v>
      </x:c>
      <x:c r="H2624" s="11" t="n">
        <x:v>0</x:v>
      </x:c>
      <x:c r="I2624" s="17" t="n">
        <x:f>INDEX('Costing'!$P$9:$P$492,MATCH(D2624,'Costing'!$A$9:$A$492,0))</x:f>
        <x:v>165000</x:v>
      </x:c>
      <x:c r="J2624" s="17" t="n">
        <x:f>ROUND(I2624*'Costing'!$C$4,2)</x:f>
        <x:v>29700</x:v>
      </x:c>
      <x:c r="K2624" s="17" t="n">
        <x:f>I2624+J2624</x:f>
        <x:v>194700</x:v>
      </x:c>
    </x:row>
    <x:row r="2625" ht="46" customHeight="1">
      <x:c r="A2625" s="2" t="str">
        <x:v>Sector</x:v>
      </x:c>
      <x:c r="B2625" s="2" t="str">
        <x:v>Workspace &amp; property operations</x:v>
      </x:c>
      <x:c r="C2625" s="12" t="str">
        <x:v>Bengaluru</x:v>
      </x:c>
      <x:c r="D2625" s="12" t="str">
        <x:v>MAIN-120</x:v>
      </x:c>
      <x:c r="E2625" s="12" t="str">
        <x:v>WeWork - Prestige Central</x:v>
      </x:c>
      <x:c r="F2625" s="11" t="n">
        <x:v>8</x:v>
      </x:c>
      <x:c r="G2625" s="11" t="n">
        <x:v>8</x:v>
      </x:c>
      <x:c r="H2625" s="11" t="n">
        <x:v>0</x:v>
      </x:c>
      <x:c r="I2625" s="17" t="n">
        <x:f>INDEX('Costing'!$P$9:$P$492,MATCH(D2625,'Costing'!$A$9:$A$492,0))</x:f>
        <x:v>200000</x:v>
      </x:c>
      <x:c r="J2625" s="17" t="n">
        <x:f>ROUND(I2625*'Costing'!$C$4,2)</x:f>
        <x:v>36000</x:v>
      </x:c>
      <x:c r="K2625" s="17" t="n">
        <x:f>I2625+J2625</x:f>
        <x:v>236000</x:v>
      </x:c>
    </x:row>
    <x:row r="2626" ht="46" customHeight="1">
      <x:c r="A2626" s="2" t="str">
        <x:v>Sector</x:v>
      </x:c>
      <x:c r="B2626" s="2" t="str">
        <x:v>Workspace &amp; property operations</x:v>
      </x:c>
      <x:c r="C2626" s="12" t="str">
        <x:v>Bengaluru</x:v>
      </x:c>
      <x:c r="D2626" s="12" t="str">
        <x:v>MAIN-123</x:v>
      </x:c>
      <x:c r="E2626" s="12" t="str">
        <x:v>WeWork - Redwood</x:v>
      </x:c>
      <x:c r="F2626" s="11" t="n">
        <x:v>2</x:v>
      </x:c>
      <x:c r="G2626" s="11" t="n">
        <x:v>2</x:v>
      </x:c>
      <x:c r="H2626" s="11" t="n">
        <x:v>0</x:v>
      </x:c>
      <x:c r="I2626" s="17" t="n">
        <x:f>INDEX('Costing'!$P$9:$P$492,MATCH(D2626,'Costing'!$A$9:$A$492,0))</x:f>
        <x:v>50000</x:v>
      </x:c>
      <x:c r="J2626" s="17" t="n">
        <x:f>ROUND(I2626*'Costing'!$C$4,2)</x:f>
        <x:v>9000</x:v>
      </x:c>
      <x:c r="K2626" s="17" t="n">
        <x:f>I2626+J2626</x:f>
        <x:v>59000</x:v>
      </x:c>
    </x:row>
    <x:row r="2627" ht="46" customHeight="1">
      <x:c r="A2627" s="2" t="str">
        <x:v>Sector</x:v>
      </x:c>
      <x:c r="B2627" s="2" t="str">
        <x:v>Workspace &amp; property operations</x:v>
      </x:c>
      <x:c r="C2627" s="12" t="str">
        <x:v>Bengaluru</x:v>
      </x:c>
      <x:c r="D2627" s="12" t="str">
        <x:v>MAIN-125</x:v>
      </x:c>
      <x:c r="E2627" s="12" t="str">
        <x:v>WeWork - Roshni TH</x:v>
      </x:c>
      <x:c r="F2627" s="11" t="n">
        <x:v>2</x:v>
      </x:c>
      <x:c r="G2627" s="11" t="n">
        <x:v>2</x:v>
      </x:c>
      <x:c r="H2627" s="11" t="n">
        <x:v>0</x:v>
      </x:c>
      <x:c r="I2627" s="17" t="n">
        <x:f>INDEX('Costing'!$P$9:$P$492,MATCH(D2627,'Costing'!$A$9:$A$492,0))</x:f>
        <x:v>50000</x:v>
      </x:c>
      <x:c r="J2627" s="17" t="n">
        <x:f>ROUND(I2627*'Costing'!$C$4,2)</x:f>
        <x:v>9000</x:v>
      </x:c>
      <x:c r="K2627" s="17" t="n">
        <x:f>I2627+J2627</x:f>
        <x:v>59000</x:v>
      </x:c>
    </x:row>
    <x:row r="2628" ht="46" customHeight="1">
      <x:c r="A2628" s="2" t="str">
        <x:v>Sector</x:v>
      </x:c>
      <x:c r="B2628" s="2" t="str">
        <x:v>Workspace &amp; property operations</x:v>
      </x:c>
      <x:c r="C2628" s="12" t="str">
        <x:v>Bengaluru</x:v>
      </x:c>
      <x:c r="D2628" s="12" t="str">
        <x:v>MAIN-132</x:v>
      </x:c>
      <x:c r="E2628" s="12" t="str">
        <x:v>WeWork-Iwf Campus</x:v>
      </x:c>
      <x:c r="F2628" s="11" t="n">
        <x:v>3</x:v>
      </x:c>
      <x:c r="G2628" s="11" t="n">
        <x:v>3</x:v>
      </x:c>
      <x:c r="H2628" s="11" t="n">
        <x:v>0</x:v>
      </x:c>
      <x:c r="I2628" s="17" t="n">
        <x:f>INDEX('Costing'!$P$9:$P$492,MATCH(D2628,'Costing'!$A$9:$A$492,0))</x:f>
        <x:v>75000</x:v>
      </x:c>
      <x:c r="J2628" s="17" t="n">
        <x:f>ROUND(I2628*'Costing'!$C$4,2)</x:f>
        <x:v>13500</x:v>
      </x:c>
      <x:c r="K2628" s="17" t="n">
        <x:f>I2628+J2628</x:f>
        <x:v>88500</x:v>
      </x:c>
    </x:row>
    <x:row r="2629" ht="46" customHeight="1">
      <x:c r="A2629" s="2" t="str">
        <x:v>Sector</x:v>
      </x:c>
      <x:c r="B2629" s="2" t="str">
        <x:v>Workspace &amp; property operations</x:v>
      </x:c>
      <x:c r="C2629" s="12" t="str">
        <x:v>Delhi NCR</x:v>
      </x:c>
      <x:c r="D2629" s="12" t="str">
        <x:v>MAIN-364</x:v>
      </x:c>
      <x:c r="E2629" s="12" t="str">
        <x:v>Awfis - Bhutani Technopark</x:v>
      </x:c>
      <x:c r="F2629" s="11" t="n">
        <x:v>1</x:v>
      </x:c>
      <x:c r="G2629" s="11" t="n">
        <x:v>1</x:v>
      </x:c>
      <x:c r="H2629" s="11" t="n">
        <x:v>0</x:v>
      </x:c>
      <x:c r="I2629" s="17" t="n">
        <x:f>INDEX('Costing'!$P$9:$P$492,MATCH(D2629,'Costing'!$A$9:$A$492,0))</x:f>
        <x:v>15000</x:v>
      </x:c>
      <x:c r="J2629" s="17" t="n">
        <x:f>ROUND(I2629*'Costing'!$C$4,2)</x:f>
        <x:v>2700</x:v>
      </x:c>
      <x:c r="K2629" s="17" t="n">
        <x:f>I2629+J2629</x:f>
        <x:v>17700</x:v>
      </x:c>
    </x:row>
    <x:row r="2630" ht="46" customHeight="1">
      <x:c r="A2630" s="2" t="str">
        <x:v>Sector</x:v>
      </x:c>
      <x:c r="B2630" s="2" t="str">
        <x:v>Workspace &amp; property operations</x:v>
      </x:c>
      <x:c r="C2630" s="12" t="str">
        <x:v>Delhi NCR</x:v>
      </x:c>
      <x:c r="D2630" s="12" t="str">
        <x:v>MAIN-365</x:v>
      </x:c>
      <x:c r="E2630" s="12" t="str">
        <x:v>Awfis - Connaught Place</x:v>
      </x:c>
      <x:c r="F2630" s="11" t="n">
        <x:v>1</x:v>
      </x:c>
      <x:c r="G2630" s="11" t="n">
        <x:v>1</x:v>
      </x:c>
      <x:c r="H2630" s="11" t="n">
        <x:v>0</x:v>
      </x:c>
      <x:c r="I2630" s="17" t="n">
        <x:f>INDEX('Costing'!$P$9:$P$492,MATCH(D2630,'Costing'!$A$9:$A$492,0))</x:f>
        <x:v>15000</x:v>
      </x:c>
      <x:c r="J2630" s="17" t="n">
        <x:f>ROUND(I2630*'Costing'!$C$4,2)</x:f>
        <x:v>2700</x:v>
      </x:c>
      <x:c r="K2630" s="17" t="n">
        <x:f>I2630+J2630</x:f>
        <x:v>17700</x:v>
      </x:c>
    </x:row>
    <x:row r="2631" ht="46" customHeight="1">
      <x:c r="A2631" s="2" t="str">
        <x:v>Sector</x:v>
      </x:c>
      <x:c r="B2631" s="2" t="str">
        <x:v>Workspace &amp; property operations</x:v>
      </x:c>
      <x:c r="C2631" s="12" t="str">
        <x:v>Delhi NCR</x:v>
      </x:c>
      <x:c r="D2631" s="12" t="str">
        <x:v>MAIN-165</x:v>
      </x:c>
      <x:c r="E2631" s="12" t="str">
        <x:v>Awfis - Qutab 2</x:v>
      </x:c>
      <x:c r="F2631" s="11" t="n">
        <x:v>1</x:v>
      </x:c>
      <x:c r="G2631" s="11" t="n">
        <x:v>1</x:v>
      </x:c>
      <x:c r="H2631" s="11" t="n">
        <x:v>0</x:v>
      </x:c>
      <x:c r="I2631" s="17" t="n">
        <x:f>INDEX('Costing'!$P$9:$P$492,MATCH(D2631,'Costing'!$A$9:$A$492,0))</x:f>
        <x:v>15000</x:v>
      </x:c>
      <x:c r="J2631" s="17" t="n">
        <x:f>ROUND(I2631*'Costing'!$C$4,2)</x:f>
        <x:v>2700</x:v>
      </x:c>
      <x:c r="K2631" s="17" t="n">
        <x:f>I2631+J2631</x:f>
        <x:v>17700</x:v>
      </x:c>
    </x:row>
    <x:row r="2632" ht="46" customHeight="1">
      <x:c r="A2632" s="2" t="str">
        <x:v>Sector</x:v>
      </x:c>
      <x:c r="B2632" s="2" t="str">
        <x:v>Workspace &amp; property operations</x:v>
      </x:c>
      <x:c r="C2632" s="12" t="str">
        <x:v>Delhi NCR</x:v>
      </x:c>
      <x:c r="D2632" s="12" t="str">
        <x:v>MAIN-182</x:v>
      </x:c>
      <x:c r="E2632" s="12" t="str">
        <x:v>Awfis - Unitech Cyber Park - 2</x:v>
      </x:c>
      <x:c r="F2632" s="11" t="n">
        <x:v>2</x:v>
      </x:c>
      <x:c r="G2632" s="11" t="n">
        <x:v>2</x:v>
      </x:c>
      <x:c r="H2632" s="11" t="n">
        <x:v>0</x:v>
      </x:c>
      <x:c r="I2632" s="17" t="n">
        <x:f>INDEX('Costing'!$P$9:$P$492,MATCH(D2632,'Costing'!$A$9:$A$492,0))</x:f>
        <x:v>30000</x:v>
      </x:c>
      <x:c r="J2632" s="17" t="n">
        <x:f>ROUND(I2632*'Costing'!$C$4,2)</x:f>
        <x:v>5400</x:v>
      </x:c>
      <x:c r="K2632" s="17" t="n">
        <x:f>I2632+J2632</x:f>
        <x:v>35400</x:v>
      </x:c>
    </x:row>
    <x:row r="2633" ht="46" customHeight="1">
      <x:c r="A2633" s="2" t="str">
        <x:v>Sector</x:v>
      </x:c>
      <x:c r="B2633" s="2" t="str">
        <x:v>Workspace &amp; property operations</x:v>
      </x:c>
      <x:c r="C2633" s="12" t="str">
        <x:v>Delhi NCR</x:v>
      </x:c>
      <x:c r="D2633" s="12" t="str">
        <x:v>MAIN-192</x:v>
      </x:c>
      <x:c r="E2633" s="12" t="str">
        <x:v>India Accelerator Coworking - IA Udyog Vihar</x:v>
      </x:c>
      <x:c r="F2633" s="11" t="n">
        <x:v>1</x:v>
      </x:c>
      <x:c r="G2633" s="11" t="n">
        <x:v>1</x:v>
      </x:c>
      <x:c r="H2633" s="11" t="n">
        <x:v>0</x:v>
      </x:c>
      <x:c r="I2633" s="17" t="n">
        <x:f>INDEX('Costing'!$P$9:$P$492,MATCH(D2633,'Costing'!$A$9:$A$492,0))</x:f>
        <x:v>40000</x:v>
      </x:c>
      <x:c r="J2633" s="17" t="n">
        <x:f>ROUND(I2633*'Costing'!$C$4,2)</x:f>
        <x:v>7200</x:v>
      </x:c>
      <x:c r="K2633" s="17" t="n">
        <x:f>I2633+J2633</x:f>
        <x:v>47200</x:v>
      </x:c>
    </x:row>
    <x:row r="2634" ht="46" customHeight="1">
      <x:c r="A2634" s="2" t="str">
        <x:v>Sector</x:v>
      </x:c>
      <x:c r="B2634" s="2" t="str">
        <x:v>Workspace &amp; property operations</x:v>
      </x:c>
      <x:c r="C2634" s="12" t="str">
        <x:v>Delhi NCR</x:v>
      </x:c>
      <x:c r="D2634" s="12" t="str">
        <x:v>MAIN-193</x:v>
      </x:c>
      <x:c r="E2634" s="12" t="str">
        <x:v>India Accelerator Coworking - IA Udyog Vihar</x:v>
      </x:c>
      <x:c r="F2634" s="11" t="n">
        <x:v>3</x:v>
      </x:c>
      <x:c r="G2634" s="11" t="n">
        <x:v>3</x:v>
      </x:c>
      <x:c r="H2634" s="11" t="n">
        <x:v>0</x:v>
      </x:c>
      <x:c r="I2634" s="17" t="n">
        <x:f>INDEX('Costing'!$P$9:$P$492,MATCH(D2634,'Costing'!$A$9:$A$492,0))</x:f>
        <x:v>45000</x:v>
      </x:c>
      <x:c r="J2634" s="17" t="n">
        <x:f>ROUND(I2634*'Costing'!$C$4,2)</x:f>
        <x:v>8100</x:v>
      </x:c>
      <x:c r="K2634" s="17" t="n">
        <x:f>I2634+J2634</x:f>
        <x:v>53100</x:v>
      </x:c>
    </x:row>
    <x:row r="2635" ht="46" customHeight="1">
      <x:c r="A2635" s="2" t="str">
        <x:v>Sector</x:v>
      </x:c>
      <x:c r="B2635" s="2" t="str">
        <x:v>Workspace &amp; property operations</x:v>
      </x:c>
      <x:c r="C2635" s="12" t="str">
        <x:v>Delhi NCR</x:v>
      </x:c>
      <x:c r="D2635" s="12" t="str">
        <x:v>MAIN-202</x:v>
      </x:c>
      <x:c r="E2635" s="12" t="str">
        <x:v>Unitech - Business Zone</x:v>
      </x:c>
      <x:c r="F2635" s="11" t="n">
        <x:v>4</x:v>
      </x:c>
      <x:c r="G2635" s="11" t="n">
        <x:v>4</x:v>
      </x:c>
      <x:c r="H2635" s="11" t="n">
        <x:v>0</x:v>
      </x:c>
      <x:c r="I2635" s="17" t="n">
        <x:f>INDEX('Costing'!$P$9:$P$492,MATCH(D2635,'Costing'!$A$9:$A$492,0))</x:f>
        <x:v>160000</x:v>
      </x:c>
      <x:c r="J2635" s="17" t="n">
        <x:f>ROUND(I2635*'Costing'!$C$4,2)</x:f>
        <x:v>28800</x:v>
      </x:c>
      <x:c r="K2635" s="17" t="n">
        <x:f>I2635+J2635</x:f>
        <x:v>188800</x:v>
      </x:c>
    </x:row>
    <x:row r="2636" ht="46" customHeight="1">
      <x:c r="A2636" s="2" t="str">
        <x:v>Sector</x:v>
      </x:c>
      <x:c r="B2636" s="2" t="str">
        <x:v>Workspace &amp; property operations</x:v>
      </x:c>
      <x:c r="C2636" s="12" t="str">
        <x:v>Delhi NCR</x:v>
      </x:c>
      <x:c r="D2636" s="12" t="str">
        <x:v>MAIN-207</x:v>
      </x:c>
      <x:c r="E2636" s="12" t="str">
        <x:v>Unitech - Signature Tower</x:v>
      </x:c>
      <x:c r="F2636" s="11" t="n">
        <x:v>2</x:v>
      </x:c>
      <x:c r="G2636" s="11" t="n">
        <x:v>2</x:v>
      </x:c>
      <x:c r="H2636" s="11" t="n">
        <x:v>0</x:v>
      </x:c>
      <x:c r="I2636" s="17" t="n">
        <x:f>INDEX('Costing'!$P$9:$P$492,MATCH(D2636,'Costing'!$A$9:$A$492,0))</x:f>
        <x:v>80000</x:v>
      </x:c>
      <x:c r="J2636" s="17" t="n">
        <x:f>ROUND(I2636*'Costing'!$C$4,2)</x:f>
        <x:v>14400</x:v>
      </x:c>
      <x:c r="K2636" s="17" t="n">
        <x:f>I2636+J2636</x:f>
        <x:v>94400</x:v>
      </x:c>
    </x:row>
    <x:row r="2637" ht="46" customHeight="1">
      <x:c r="A2637" s="2" t="str">
        <x:v>Sector</x:v>
      </x:c>
      <x:c r="B2637" s="2" t="str">
        <x:v>Workspace &amp; property operations</x:v>
      </x:c>
      <x:c r="C2637" s="12" t="str">
        <x:v>Delhi NCR</x:v>
      </x:c>
      <x:c r="D2637" s="12" t="str">
        <x:v>MAIN-377</x:v>
      </x:c>
      <x:c r="E2637" s="12" t="str">
        <x:v>WeWork - Berger One</x:v>
      </x:c>
      <x:c r="F2637" s="11" t="n">
        <x:v>6</x:v>
      </x:c>
      <x:c r="G2637" s="11" t="n">
        <x:v>6</x:v>
      </x:c>
      <x:c r="H2637" s="11" t="n">
        <x:v>0</x:v>
      </x:c>
      <x:c r="I2637" s="17" t="n">
        <x:f>INDEX('Costing'!$P$9:$P$492,MATCH(D2637,'Costing'!$A$9:$A$492,0))</x:f>
        <x:v>150000</x:v>
      </x:c>
      <x:c r="J2637" s="17" t="n">
        <x:f>ROUND(I2637*'Costing'!$C$4,2)</x:f>
        <x:v>27000</x:v>
      </x:c>
      <x:c r="K2637" s="17" t="n">
        <x:f>I2637+J2637</x:f>
        <x:v>177000</x:v>
      </x:c>
    </x:row>
    <x:row r="2638" ht="46" customHeight="1">
      <x:c r="A2638" s="2" t="str">
        <x:v>Sector</x:v>
      </x:c>
      <x:c r="B2638" s="2" t="str">
        <x:v>Workspace &amp; property operations</x:v>
      </x:c>
      <x:c r="C2638" s="12" t="str">
        <x:v>Delhi NCR</x:v>
      </x:c>
      <x:c r="D2638" s="12" t="str">
        <x:v>MAIN-174</x:v>
      </x:c>
      <x:c r="E2638" s="12" t="str">
        <x:v>Workflow by Oyo - CP2</x:v>
      </x:c>
      <x:c r="F2638" s="11" t="n">
        <x:v>2</x:v>
      </x:c>
      <x:c r="G2638" s="11" t="n">
        <x:v>2</x:v>
      </x:c>
      <x:c r="H2638" s="11" t="n">
        <x:v>0</x:v>
      </x:c>
      <x:c r="I2638" s="17" t="n">
        <x:f>INDEX('Costing'!$P$9:$P$492,MATCH(D2638,'Costing'!$A$9:$A$492,0))</x:f>
        <x:v>30000</x:v>
      </x:c>
      <x:c r="J2638" s="17" t="n">
        <x:f>ROUND(I2638*'Costing'!$C$4,2)</x:f>
        <x:v>5400</x:v>
      </x:c>
      <x:c r="K2638" s="17" t="n">
        <x:f>I2638+J2638</x:f>
        <x:v>35400</x:v>
      </x:c>
    </x:row>
    <x:row r="2639" ht="46" customHeight="1">
      <x:c r="A2639" s="2" t="str">
        <x:v>Sector</x:v>
      </x:c>
      <x:c r="B2639" s="2" t="str">
        <x:v>Workspace &amp; property operations</x:v>
      </x:c>
      <x:c r="C2639" s="12" t="str">
        <x:v>Delhi NCR</x:v>
      </x:c>
      <x:c r="D2639" s="12" t="str">
        <x:v>MAIN-176</x:v>
      </x:c>
      <x:c r="E2639" s="12" t="str">
        <x:v>Workflow by Oyo - RV Saket</x:v>
      </x:c>
      <x:c r="F2639" s="11" t="n">
        <x:v>1</x:v>
      </x:c>
      <x:c r="G2639" s="11" t="n">
        <x:v>1</x:v>
      </x:c>
      <x:c r="H2639" s="11" t="n">
        <x:v>0</x:v>
      </x:c>
      <x:c r="I2639" s="17" t="n">
        <x:f>INDEX('Costing'!$P$9:$P$492,MATCH(D2639,'Costing'!$A$9:$A$492,0))</x:f>
        <x:v>15000</x:v>
      </x:c>
      <x:c r="J2639" s="17" t="n">
        <x:f>ROUND(I2639*'Costing'!$C$4,2)</x:f>
        <x:v>2700</x:v>
      </x:c>
      <x:c r="K2639" s="17" t="n">
        <x:f>I2639+J2639</x:f>
        <x:v>17700</x:v>
      </x:c>
    </x:row>
    <x:row r="2640" ht="46" customHeight="1">
      <x:c r="A2640" s="2" t="str">
        <x:v>Sector</x:v>
      </x:c>
      <x:c r="B2640" s="2" t="str">
        <x:v>Workspace &amp; property operations</x:v>
      </x:c>
      <x:c r="C2640" s="12" t="str">
        <x:v>Hyderabad</x:v>
      </x:c>
      <x:c r="D2640" s="12" t="str">
        <x:v>MAIN-224</x:v>
      </x:c>
      <x:c r="E2640" s="12" t="str">
        <x:v>Awfis - Rajapushpa Summit</x:v>
      </x:c>
      <x:c r="F2640" s="11" t="n">
        <x:v>3</x:v>
      </x:c>
      <x:c r="G2640" s="11" t="n">
        <x:v>3</x:v>
      </x:c>
      <x:c r="H2640" s="11" t="n">
        <x:v>0</x:v>
      </x:c>
      <x:c r="I2640" s="17" t="n">
        <x:f>INDEX('Costing'!$P$9:$P$492,MATCH(D2640,'Costing'!$A$9:$A$492,0))</x:f>
        <x:v>45000</x:v>
      </x:c>
      <x:c r="J2640" s="17" t="n">
        <x:f>ROUND(I2640*'Costing'!$C$4,2)</x:f>
        <x:v>8100</x:v>
      </x:c>
      <x:c r="K2640" s="17" t="n">
        <x:f>I2640+J2640</x:f>
        <x:v>53100</x:v>
      </x:c>
    </x:row>
    <x:row r="2641" ht="46" customHeight="1">
      <x:c r="A2641" s="2" t="str">
        <x:v>Sector</x:v>
      </x:c>
      <x:c r="B2641" s="2" t="str">
        <x:v>Workspace &amp; property operations</x:v>
      </x:c>
      <x:c r="C2641" s="12" t="str">
        <x:v>Indore</x:v>
      </x:c>
      <x:c r="D2641" s="12" t="str">
        <x:v>MAIN-267</x:v>
      </x:c>
      <x:c r="E2641" s="12" t="str">
        <x:v>Apollo Gold Plaza</x:v>
      </x:c>
      <x:c r="F2641" s="11" t="n">
        <x:v>2</x:v>
      </x:c>
      <x:c r="G2641" s="11" t="n">
        <x:v>2</x:v>
      </x:c>
      <x:c r="H2641" s="11" t="n">
        <x:v>0</x:v>
      </x:c>
      <x:c r="I2641" s="17" t="n">
        <x:f>INDEX('Costing'!$P$9:$P$492,MATCH(D2641,'Costing'!$A$9:$A$492,0))</x:f>
        <x:v>40000</x:v>
      </x:c>
      <x:c r="J2641" s="17" t="n">
        <x:f>ROUND(I2641*'Costing'!$C$4,2)</x:f>
        <x:v>7200</x:v>
      </x:c>
      <x:c r="K2641" s="17" t="n">
        <x:f>I2641+J2641</x:f>
        <x:v>47200</x:v>
      </x:c>
    </x:row>
    <x:row r="2642" ht="46" customHeight="1">
      <x:c r="A2642" s="2" t="str">
        <x:v>Sector</x:v>
      </x:c>
      <x:c r="B2642" s="2" t="str">
        <x:v>Workspace &amp; property operations</x:v>
      </x:c>
      <x:c r="C2642" s="12" t="str">
        <x:v>Indore</x:v>
      </x:c>
      <x:c r="D2642" s="12" t="str">
        <x:v>MAIN-270</x:v>
      </x:c>
      <x:c r="E2642" s="12" t="str">
        <x:v>Cliffton Corporate</x:v>
      </x:c>
      <x:c r="F2642" s="11" t="n">
        <x:v>1</x:v>
      </x:c>
      <x:c r="G2642" s="11" t="n">
        <x:v>1</x:v>
      </x:c>
      <x:c r="H2642" s="11" t="n">
        <x:v>0</x:v>
      </x:c>
      <x:c r="I2642" s="17" t="n">
        <x:f>INDEX('Costing'!$P$9:$P$492,MATCH(D2642,'Costing'!$A$9:$A$492,0))</x:f>
        <x:v>20000</x:v>
      </x:c>
      <x:c r="J2642" s="17" t="n">
        <x:f>ROUND(I2642*'Costing'!$C$4,2)</x:f>
        <x:v>3600</x:v>
      </x:c>
      <x:c r="K2642" s="17" t="n">
        <x:f>I2642+J2642</x:f>
        <x:v>23600</x:v>
      </x:c>
    </x:row>
    <x:row r="2643" ht="46" customHeight="1">
      <x:c r="A2643" s="2" t="str">
        <x:v>Sector</x:v>
      </x:c>
      <x:c r="B2643" s="2" t="str">
        <x:v>Workspace &amp; property operations</x:v>
      </x:c>
      <x:c r="C2643" s="12" t="str">
        <x:v>Indore</x:v>
      </x:c>
      <x:c r="D2643" s="12" t="str">
        <x:v>MAIN-272</x:v>
      </x:c>
      <x:c r="E2643" s="12" t="str">
        <x:v>Maloo - 01</x:v>
      </x:c>
      <x:c r="F2643" s="11" t="n">
        <x:v>1</x:v>
      </x:c>
      <x:c r="G2643" s="11" t="n">
        <x:v>1</x:v>
      </x:c>
      <x:c r="H2643" s="11" t="n">
        <x:v>0</x:v>
      </x:c>
      <x:c r="I2643" s="17" t="n">
        <x:f>INDEX('Costing'!$P$9:$P$492,MATCH(D2643,'Costing'!$A$9:$A$492,0))</x:f>
        <x:v>20000</x:v>
      </x:c>
      <x:c r="J2643" s="17" t="n">
        <x:f>ROUND(I2643*'Costing'!$C$4,2)</x:f>
        <x:v>3600</x:v>
      </x:c>
      <x:c r="K2643" s="17" t="n">
        <x:f>I2643+J2643</x:f>
        <x:v>23600</x:v>
      </x:c>
    </x:row>
    <x:row r="2644" ht="46" customHeight="1">
      <x:c r="A2644" s="2" t="str">
        <x:v>Sector</x:v>
      </x:c>
      <x:c r="B2644" s="2" t="str">
        <x:v>Workspace &amp; property operations</x:v>
      </x:c>
      <x:c r="C2644" s="12" t="str">
        <x:v>Indore</x:v>
      </x:c>
      <x:c r="D2644" s="12" t="str">
        <x:v>MAIN-274</x:v>
      </x:c>
      <x:c r="E2644" s="12" t="str">
        <x:v>Princess Sky Line</x:v>
      </x:c>
      <x:c r="F2644" s="11" t="n">
        <x:v>1</x:v>
      </x:c>
      <x:c r="G2644" s="11" t="n">
        <x:v>1</x:v>
      </x:c>
      <x:c r="H2644" s="11" t="n">
        <x:v>0</x:v>
      </x:c>
      <x:c r="I2644" s="17" t="n">
        <x:f>INDEX('Costing'!$P$9:$P$492,MATCH(D2644,'Costing'!$A$9:$A$492,0))</x:f>
        <x:v>40000</x:v>
      </x:c>
      <x:c r="J2644" s="17" t="n">
        <x:f>ROUND(I2644*'Costing'!$C$4,2)</x:f>
        <x:v>7200</x:v>
      </x:c>
      <x:c r="K2644" s="17" t="n">
        <x:f>I2644+J2644</x:f>
        <x:v>47200</x:v>
      </x:c>
    </x:row>
    <x:row r="2645" ht="46" customHeight="1">
      <x:c r="A2645" s="2" t="str">
        <x:v>Sector</x:v>
      </x:c>
      <x:c r="B2645" s="2" t="str">
        <x:v>Workspace &amp; property operations</x:v>
      </x:c>
      <x:c r="C2645" s="12" t="str">
        <x:v>Mumbai</x:v>
      </x:c>
      <x:c r="D2645" s="12" t="str">
        <x:v>MAIN-301</x:v>
      </x:c>
      <x:c r="E2645" s="12" t="str">
        <x:v>Awfis - Raheja Titanium</x:v>
      </x:c>
      <x:c r="F2645" s="11" t="n">
        <x:v>1</x:v>
      </x:c>
      <x:c r="G2645" s="11" t="n">
        <x:v>1</x:v>
      </x:c>
      <x:c r="H2645" s="11" t="n">
        <x:v>0</x:v>
      </x:c>
      <x:c r="I2645" s="17" t="n">
        <x:f>INDEX('Costing'!$P$9:$P$492,MATCH(D2645,'Costing'!$A$9:$A$492,0))</x:f>
        <x:v>15000</x:v>
      </x:c>
      <x:c r="J2645" s="17" t="n">
        <x:f>ROUND(I2645*'Costing'!$C$4,2)</x:f>
        <x:v>2700</x:v>
      </x:c>
      <x:c r="K2645" s="17" t="n">
        <x:f>I2645+J2645</x:f>
        <x:v>17700</x:v>
      </x:c>
    </x:row>
    <x:row r="2646" ht="46" customHeight="1">
      <x:c r="A2646" s="2" t="str">
        <x:v>Sector</x:v>
      </x:c>
      <x:c r="B2646" s="2" t="str">
        <x:v>Workspace &amp; property operations</x:v>
      </x:c>
      <x:c r="C2646" s="12" t="str">
        <x:v>Mumbai</x:v>
      </x:c>
      <x:c r="D2646" s="12" t="str">
        <x:v>MAIN-332</x:v>
      </x:c>
      <x:c r="E2646" s="12" t="str">
        <x:v>Oyo Workspace - Solitaire</x:v>
      </x:c>
      <x:c r="F2646" s="11" t="n">
        <x:v>3</x:v>
      </x:c>
      <x:c r="G2646" s="11" t="n">
        <x:v>3</x:v>
      </x:c>
      <x:c r="H2646" s="11" t="n">
        <x:v>0</x:v>
      </x:c>
      <x:c r="I2646" s="17" t="n">
        <x:f>INDEX('Costing'!$P$9:$P$492,MATCH(D2646,'Costing'!$A$9:$A$492,0))</x:f>
        <x:v>45000</x:v>
      </x:c>
      <x:c r="J2646" s="17" t="n">
        <x:f>ROUND(I2646*'Costing'!$C$4,2)</x:f>
        <x:v>8100</x:v>
      </x:c>
      <x:c r="K2646" s="17" t="n">
        <x:f>I2646+J2646</x:f>
        <x:v>53100</x:v>
      </x:c>
    </x:row>
    <x:row r="2647" ht="46" customHeight="1">
      <x:c r="A2647" s="2" t="str">
        <x:v>Sector</x:v>
      </x:c>
      <x:c r="B2647" s="2" t="str">
        <x:v>Workspace &amp; property operations</x:v>
      </x:c>
      <x:c r="C2647" s="12" t="str">
        <x:v>Mumbai</x:v>
      </x:c>
      <x:c r="D2647" s="12" t="str">
        <x:v>MAIN-341</x:v>
      </x:c>
      <x:c r="E2647" s="12" t="str">
        <x:v>Rupa Renaissance (Redbrick Offices)</x:v>
      </x:c>
      <x:c r="F2647" s="11" t="n">
        <x:v>1</x:v>
      </x:c>
      <x:c r="G2647" s="11" t="n">
        <x:v>1</x:v>
      </x:c>
      <x:c r="H2647" s="11" t="n">
        <x:v>0</x:v>
      </x:c>
      <x:c r="I2647" s="17" t="n">
        <x:f>INDEX('Costing'!$P$9:$P$492,MATCH(D2647,'Costing'!$A$9:$A$492,0))</x:f>
        <x:v>15000</x:v>
      </x:c>
      <x:c r="J2647" s="17" t="n">
        <x:f>ROUND(I2647*'Costing'!$C$4,2)</x:f>
        <x:v>2700</x:v>
      </x:c>
      <x:c r="K2647" s="17" t="n">
        <x:f>I2647+J2647</x:f>
        <x:v>17700</x:v>
      </x:c>
    </x:row>
    <x:row r="2648" ht="46" customHeight="1">
      <x:c r="A2648" s="2" t="str">
        <x:v>Sector</x:v>
      </x:c>
      <x:c r="B2648" s="2" t="str">
        <x:v>Workspace &amp; property operations</x:v>
      </x:c>
      <x:c r="C2648" s="12" t="str">
        <x:v>Pune</x:v>
      </x:c>
      <x:c r="D2648" s="12" t="str">
        <x:v>MAIN-387</x:v>
      </x:c>
      <x:c r="E2648" s="12" t="str">
        <x:v>Awfis - Baner Business Bay</x:v>
      </x:c>
      <x:c r="F2648" s="11" t="n">
        <x:v>1</x:v>
      </x:c>
      <x:c r="G2648" s="11" t="n">
        <x:v>1</x:v>
      </x:c>
      <x:c r="H2648" s="11" t="n">
        <x:v>0</x:v>
      </x:c>
      <x:c r="I2648" s="17" t="n">
        <x:f>INDEX('Costing'!$P$9:$P$492,MATCH(D2648,'Costing'!$A$9:$A$492,0))</x:f>
        <x:v>15000</x:v>
      </x:c>
      <x:c r="J2648" s="17" t="n">
        <x:f>ROUND(I2648*'Costing'!$C$4,2)</x:f>
        <x:v>2700</x:v>
      </x:c>
      <x:c r="K2648" s="17" t="n">
        <x:f>I2648+J2648</x:f>
        <x:v>17700</x:v>
      </x:c>
    </x:row>
    <x:row r="2649" ht="46" customHeight="1">
      <x:c r="A2649" s="2" t="str">
        <x:v>Sector</x:v>
      </x:c>
      <x:c r="B2649" s="2" t="str">
        <x:v>Workspace &amp; property operations</x:v>
      </x:c>
      <x:c r="C2649" s="12" t="str">
        <x:v>Pune</x:v>
      </x:c>
      <x:c r="D2649" s="12" t="str">
        <x:v>MAIN-390</x:v>
      </x:c>
      <x:c r="E2649" s="12" t="str">
        <x:v>Awfis - Que Spaces</x:v>
      </x:c>
      <x:c r="F2649" s="11" t="n">
        <x:v>1</x:v>
      </x:c>
      <x:c r="G2649" s="11" t="n">
        <x:v>1</x:v>
      </x:c>
      <x:c r="H2649" s="11" t="n">
        <x:v>0</x:v>
      </x:c>
      <x:c r="I2649" s="17" t="n">
        <x:f>INDEX('Costing'!$P$9:$P$492,MATCH(D2649,'Costing'!$A$9:$A$492,0))</x:f>
        <x:v>15000</x:v>
      </x:c>
      <x:c r="J2649" s="17" t="n">
        <x:f>ROUND(I2649*'Costing'!$C$4,2)</x:f>
        <x:v>2700</x:v>
      </x:c>
      <x:c r="K2649" s="17" t="n">
        <x:f>I2649+J2649</x:f>
        <x:v>17700</x:v>
      </x:c>
    </x:row>
    <x:row r="2650" ht="46" customHeight="1">
      <x:c r="A2650" s="2" t="str">
        <x:v>Sector</x:v>
      </x:c>
      <x:c r="B2650" s="2" t="str">
        <x:v>Workspace &amp; property operations</x:v>
      </x:c>
      <x:c r="C2650" s="12" t="str">
        <x:v>Pune</x:v>
      </x:c>
      <x:c r="D2650" s="12" t="str">
        <x:v>MAIN-415</x:v>
      </x:c>
      <x:c r="E2650" s="12" t="str">
        <x:v>The Powerpoint Coworking Space</x:v>
      </x:c>
      <x:c r="F2650" s="11" t="n">
        <x:v>1</x:v>
      </x:c>
      <x:c r="G2650" s="11" t="n">
        <x:v>1</x:v>
      </x:c>
      <x:c r="H2650" s="11" t="n">
        <x:v>0</x:v>
      </x:c>
      <x:c r="I2650" s="17" t="n">
        <x:f>INDEX('Costing'!$P$9:$P$492,MATCH(D2650,'Costing'!$A$9:$A$492,0))</x:f>
        <x:v>15000</x:v>
      </x:c>
      <x:c r="J2650" s="17" t="n">
        <x:f>ROUND(I2650*'Costing'!$C$4,2)</x:f>
        <x:v>2700</x:v>
      </x:c>
      <x:c r="K2650" s="17" t="n">
        <x:f>I2650+J2650</x:f>
        <x:v>17700</x:v>
      </x:c>
    </x:row>
    <x:row r="2651" ht="46" customHeight="1">
      <x:c r="A2651" s="2" t="str">
        <x:v>Sector</x:v>
      </x:c>
      <x:c r="B2651" s="2" t="str">
        <x:v>Workspace &amp; property operations</x:v>
      </x:c>
      <x:c r="C2651" s="12" t="str">
        <x:v>Pune</x:v>
      </x:c>
      <x:c r="D2651" s="12" t="str">
        <x:v>MAIN-416</x:v>
      </x:c>
      <x:c r="E2651" s="12" t="str">
        <x:v>WeWork - Amanora</x:v>
      </x:c>
      <x:c r="F2651" s="11" t="n">
        <x:v>2</x:v>
      </x:c>
      <x:c r="G2651" s="11" t="n">
        <x:v>2</x:v>
      </x:c>
      <x:c r="H2651" s="11" t="n">
        <x:v>0</x:v>
      </x:c>
      <x:c r="I2651" s="17" t="n">
        <x:f>INDEX('Costing'!$P$9:$P$492,MATCH(D2651,'Costing'!$A$9:$A$492,0))</x:f>
        <x:v>50000</x:v>
      </x:c>
      <x:c r="J2651" s="17" t="n">
        <x:f>ROUND(I2651*'Costing'!$C$4,2)</x:f>
        <x:v>9000</x:v>
      </x:c>
      <x:c r="K2651" s="17" t="n">
        <x:f>I2651+J2651</x:f>
        <x:v>59000</x:v>
      </x:c>
    </x:row>
    <x:row r="2652" ht="46" customHeight="1">
      <x:c r="A2652" s="2" t="str">
        <x:v>Sector</x:v>
      </x:c>
      <x:c r="B2652" s="2" t="str">
        <x:v>Workspace &amp; property operations</x:v>
      </x:c>
      <x:c r="C2652" s="12" t="str">
        <x:v>Pune</x:v>
      </x:c>
      <x:c r="D2652" s="12" t="str">
        <x:v>MAIN-418</x:v>
      </x:c>
      <x:c r="E2652" s="12" t="str">
        <x:v>WeWork - EON IT Park</x:v>
      </x:c>
      <x:c r="F2652" s="11" t="n">
        <x:v>1</x:v>
      </x:c>
      <x:c r="G2652" s="11" t="n">
        <x:v>1</x:v>
      </x:c>
      <x:c r="H2652" s="11" t="n">
        <x:v>0</x:v>
      </x:c>
      <x:c r="I2652" s="17" t="n">
        <x:f>INDEX('Costing'!$P$9:$P$492,MATCH(D2652,'Costing'!$A$9:$A$492,0))</x:f>
        <x:v>25000</x:v>
      </x:c>
      <x:c r="J2652" s="17" t="n">
        <x:f>ROUND(I2652*'Costing'!$C$4,2)</x:f>
        <x:v>4500</x:v>
      </x:c>
      <x:c r="K2652" s="17" t="n">
        <x:f>I2652+J2652</x:f>
        <x:v>29500</x:v>
      </x:c>
    </x:row>
    <x:row r="2653" ht="46" customHeight="1">
      <x:c r="A2653" s="2" t="str">
        <x:v>Sector</x:v>
      </x:c>
      <x:c r="B2653" s="2" t="str">
        <x:v>Workspace &amp; property operations</x:v>
      </x:c>
      <x:c r="C2653" s="12" t="str">
        <x:v>Bengaluru</x:v>
      </x:c>
      <x:c r="D2653" s="12" t="str">
        <x:v>PARTNER-M056</x:v>
      </x:c>
      <x:c r="E2653" s="12" t="str">
        <x:v>Brigade IRV</x:v>
      </x:c>
      <x:c r="F2653" s="11" t="n">
        <x:v>4</x:v>
      </x:c>
      <x:c r="G2653" s="11" t="n">
        <x:v>4</x:v>
      </x:c>
      <x:c r="H2653" s="11" t="n">
        <x:v>0</x:v>
      </x:c>
      <x:c r="I2653" s="17" t="n">
        <x:f>INDEX('Costing'!$P$9:$P$492,MATCH(D2653,'Costing'!$A$9:$A$492,0))</x:f>
        <x:v>160000</x:v>
      </x:c>
      <x:c r="J2653" s="17" t="n">
        <x:f>ROUND(I2653*'Costing'!$C$4,2)</x:f>
        <x:v>28800</x:v>
      </x:c>
      <x:c r="K2653" s="17" t="n">
        <x:f>I2653+J2653</x:f>
        <x:v>188800</x:v>
      </x:c>
    </x:row>
    <x:row r="2654" ht="46" customHeight="1">
      <x:c r="A2654" s="2" t="str">
        <x:v>Sector</x:v>
      </x:c>
      <x:c r="B2654" s="2" t="str">
        <x:v>Workspace &amp; property operations</x:v>
      </x:c>
      <x:c r="C2654" s="12" t="str">
        <x:v>Bengaluru</x:v>
      </x:c>
      <x:c r="D2654" s="12" t="str">
        <x:v>PARTNER-M051</x:v>
      </x:c>
      <x:c r="E2654" s="12" t="str">
        <x:v>Manyata Tech park - Mfar</x:v>
      </x:c>
      <x:c r="F2654" s="11" t="n">
        <x:v>5</x:v>
      </x:c>
      <x:c r="G2654" s="11" t="n">
        <x:v>5</x:v>
      </x:c>
      <x:c r="H2654" s="11" t="n">
        <x:v>0</x:v>
      </x:c>
      <x:c r="I2654" s="17" t="n">
        <x:f>INDEX('Costing'!$P$9:$P$492,MATCH(D2654,'Costing'!$A$9:$A$492,0))</x:f>
        <x:v>200000</x:v>
      </x:c>
      <x:c r="J2654" s="17" t="n">
        <x:f>ROUND(I2654*'Costing'!$C$4,2)</x:f>
        <x:v>36000</x:v>
      </x:c>
      <x:c r="K2654" s="17" t="n">
        <x:f>I2654+J2654</x:f>
        <x:v>236000</x:v>
      </x:c>
    </x:row>
    <x:row r="2655" ht="46" customHeight="1">
      <x:c r="A2655" s="2" t="str">
        <x:v>Sector</x:v>
      </x:c>
      <x:c r="B2655" s="2" t="str">
        <x:v>Workspace &amp; property operations</x:v>
      </x:c>
      <x:c r="C2655" s="12" t="str">
        <x:v>Bengaluru</x:v>
      </x:c>
      <x:c r="D2655" s="12" t="str">
        <x:v>PARTNER-M100</x:v>
      </x:c>
      <x:c r="E2655" s="12" t="str">
        <x:v>Prestige Obelisk + Prestige Atrium + Prestige Sapphire + Prestige Al Kareem + Prestige Delta</x:v>
      </x:c>
      <x:c r="F2655" s="11" t="n">
        <x:v>8</x:v>
      </x:c>
      <x:c r="G2655" s="11" t="n">
        <x:v>8</x:v>
      </x:c>
      <x:c r="H2655" s="11" t="n">
        <x:v>0</x:v>
      </x:c>
      <x:c r="I2655" s="17" t="n">
        <x:f>INDEX('Costing'!$P$9:$P$492,MATCH(D2655,'Costing'!$A$9:$A$492,0))</x:f>
        <x:v>320000</x:v>
      </x:c>
      <x:c r="J2655" s="17" t="n">
        <x:f>ROUND(I2655*'Costing'!$C$4,2)</x:f>
        <x:v>57600</x:v>
      </x:c>
      <x:c r="K2655" s="17" t="n">
        <x:f>I2655+J2655</x:f>
        <x:v>377600</x:v>
      </x:c>
    </x:row>
    <x:row r="2656" ht="46" customHeight="1">
      <x:c r="A2656" s="2" t="str">
        <x:v>Sector</x:v>
      </x:c>
      <x:c r="B2656" s="2" t="str">
        <x:v>Workspace &amp; property operations</x:v>
      </x:c>
      <x:c r="C2656" s="12" t="str">
        <x:v>Bengaluru</x:v>
      </x:c>
      <x:c r="D2656" s="12" t="str">
        <x:v>PARTNER-M082</x:v>
      </x:c>
      <x:c r="E2656" s="12" t="str">
        <x:v>Prestige Sterling Square + Prestige Solitaire + Prestige Sigma + Prestige Loka + Prestige Emerald + Prestige Towers</x:v>
      </x:c>
      <x:c r="F2656" s="11" t="n">
        <x:v>11</x:v>
      </x:c>
      <x:c r="G2656" s="11" t="n">
        <x:v>11</x:v>
      </x:c>
      <x:c r="H2656" s="11" t="n">
        <x:v>0</x:v>
      </x:c>
      <x:c r="I2656" s="17" t="n">
        <x:f>INDEX('Costing'!$P$9:$P$492,MATCH(D2656,'Costing'!$A$9:$A$492,0))</x:f>
        <x:v>440000</x:v>
      </x:c>
      <x:c r="J2656" s="17" t="n">
        <x:f>ROUND(I2656*'Costing'!$C$4,2)</x:f>
        <x:v>79200</x:v>
      </x:c>
      <x:c r="K2656" s="17" t="n">
        <x:f>I2656+J2656</x:f>
        <x:v>519200</x:v>
      </x:c>
    </x:row>
    <x:row r="2657" ht="46" customHeight="1">
      <x:c r="A2657" s="2" t="str">
        <x:v>Sector</x:v>
      </x:c>
      <x:c r="B2657" s="2" t="str">
        <x:v>Workspace &amp; property operations</x:v>
      </x:c>
      <x:c r="C2657" s="12" t="str">
        <x:v>Bengaluru</x:v>
      </x:c>
      <x:c r="D2657" s="12" t="str">
        <x:v>PARTNER-M072</x:v>
      </x:c>
      <x:c r="E2657" s="12" t="str">
        <x:v>Umiya Business Bay</x:v>
      </x:c>
      <x:c r="F2657" s="11" t="n">
        <x:v>6</x:v>
      </x:c>
      <x:c r="G2657" s="11" t="n">
        <x:v>6</x:v>
      </x:c>
      <x:c r="H2657" s="11" t="n">
        <x:v>0</x:v>
      </x:c>
      <x:c r="I2657" s="17" t="n">
        <x:f>INDEX('Costing'!$P$9:$P$492,MATCH(D2657,'Costing'!$A$9:$A$492,0))</x:f>
        <x:v>240000</x:v>
      </x:c>
      <x:c r="J2657" s="17" t="n">
        <x:f>ROUND(I2657*'Costing'!$C$4,2)</x:f>
        <x:v>43200</x:v>
      </x:c>
      <x:c r="K2657" s="17" t="n">
        <x:f>I2657+J2657</x:f>
        <x:v>283200</x:v>
      </x:c>
    </x:row>
    <x:row r="2658" ht="46" customHeight="1">
      <x:c r="A2658" s="2" t="str">
        <x:v>Sector</x:v>
      </x:c>
      <x:c r="B2658" s="2" t="str">
        <x:v>Workspace &amp; property operations</x:v>
      </x:c>
      <x:c r="C2658" s="12" t="str">
        <x:v>Chennai</x:v>
      </x:c>
      <x:c r="D2658" s="12" t="str">
        <x:v>PARTNER-M340</x:v>
      </x:c>
      <x:c r="E2658" s="12" t="str">
        <x:v>Prestige Cosmopolitan</x:v>
      </x:c>
      <x:c r="F2658" s="11" t="n">
        <x:v>2</x:v>
      </x:c>
      <x:c r="G2658" s="11" t="n">
        <x:v>2</x:v>
      </x:c>
      <x:c r="H2658" s="11" t="n">
        <x:v>0</x:v>
      </x:c>
      <x:c r="I2658" s="17" t="n">
        <x:f>INDEX('Costing'!$P$9:$P$492,MATCH(D2658,'Costing'!$A$9:$A$492,0))</x:f>
        <x:v>80000</x:v>
      </x:c>
      <x:c r="J2658" s="17" t="n">
        <x:f>ROUND(I2658*'Costing'!$C$4,2)</x:f>
        <x:v>14400</x:v>
      </x:c>
      <x:c r="K2658" s="17" t="n">
        <x:f>I2658+J2658</x:f>
        <x:v>94400</x:v>
      </x:c>
    </x:row>
    <x:row r="2659" ht="46" customHeight="1">
      <x:c r="A2659" s="2" t="str">
        <x:v>Sector</x:v>
      </x:c>
      <x:c r="B2659" s="2" t="str">
        <x:v>Workspace &amp; property operations</x:v>
      </x:c>
      <x:c r="C2659" s="12" t="str">
        <x:v>Chennai</x:v>
      </x:c>
      <x:c r="D2659" s="12" t="str">
        <x:v>PARTNER-M338</x:v>
      </x:c>
      <x:c r="E2659" s="12" t="str">
        <x:v>Prestige Palladium Bayan</x:v>
      </x:c>
      <x:c r="F2659" s="11" t="n">
        <x:v>2</x:v>
      </x:c>
      <x:c r="G2659" s="11" t="n">
        <x:v>2</x:v>
      </x:c>
      <x:c r="H2659" s="11" t="n">
        <x:v>0</x:v>
      </x:c>
      <x:c r="I2659" s="17" t="n">
        <x:f>INDEX('Costing'!$P$9:$P$492,MATCH(D2659,'Costing'!$A$9:$A$492,0))</x:f>
        <x:v>80000</x:v>
      </x:c>
      <x:c r="J2659" s="17" t="n">
        <x:f>ROUND(I2659*'Costing'!$C$4,2)</x:f>
        <x:v>14400</x:v>
      </x:c>
      <x:c r="K2659" s="17" t="n">
        <x:f>I2659+J2659</x:f>
        <x:v>94400</x:v>
      </x:c>
    </x:row>
    <x:row r="2660" ht="46" customHeight="1">
      <x:c r="A2660" s="2" t="str">
        <x:v>Sector</x:v>
      </x:c>
      <x:c r="B2660" s="2" t="str">
        <x:v>Workspace &amp; property operations</x:v>
      </x:c>
      <x:c r="C2660" s="12" t="str">
        <x:v>Chennai</x:v>
      </x:c>
      <x:c r="D2660" s="12" t="str">
        <x:v>PARTNER-M332</x:v>
      </x:c>
      <x:c r="E2660" s="12" t="str">
        <x:v>Prestige Polygon</x:v>
      </x:c>
      <x:c r="F2660" s="11" t="n">
        <x:v>2</x:v>
      </x:c>
      <x:c r="G2660" s="11" t="n">
        <x:v>2</x:v>
      </x:c>
      <x:c r="H2660" s="11" t="n">
        <x:v>0</x:v>
      </x:c>
      <x:c r="I2660" s="17" t="n">
        <x:f>INDEX('Costing'!$P$9:$P$492,MATCH(D2660,'Costing'!$A$9:$A$492,0))</x:f>
        <x:v>80000</x:v>
      </x:c>
      <x:c r="J2660" s="17" t="n">
        <x:f>ROUND(I2660*'Costing'!$C$4,2)</x:f>
        <x:v>14400</x:v>
      </x:c>
      <x:c r="K2660" s="17" t="n">
        <x:f>I2660+J2660</x:f>
        <x:v>94400</x:v>
      </x:c>
    </x:row>
    <x:row r="2661" ht="46" customHeight="1">
      <x:c r="A2661" s="2" t="str">
        <x:v>Sector</x:v>
      </x:c>
      <x:c r="B2661" s="2" t="str">
        <x:v>Workspace &amp; property operations</x:v>
      </x:c>
      <x:c r="C2661" s="12" t="str">
        <x:v>Chennai</x:v>
      </x:c>
      <x:c r="D2661" s="12" t="str">
        <x:v>PARTNER-M334</x:v>
      </x:c>
      <x:c r="E2661" s="12" t="str">
        <x:v>Prestige Zakria Metropolitan</x:v>
      </x:c>
      <x:c r="F2661" s="11" t="n">
        <x:v>2</x:v>
      </x:c>
      <x:c r="G2661" s="11" t="n">
        <x:v>2</x:v>
      </x:c>
      <x:c r="H2661" s="11" t="n">
        <x:v>0</x:v>
      </x:c>
      <x:c r="I2661" s="17" t="n">
        <x:f>INDEX('Costing'!$P$9:$P$492,MATCH(D2661,'Costing'!$A$9:$A$492,0))</x:f>
        <x:v>80000</x:v>
      </x:c>
      <x:c r="J2661" s="17" t="n">
        <x:f>ROUND(I2661*'Costing'!$C$4,2)</x:f>
        <x:v>14400</x:v>
      </x:c>
      <x:c r="K2661" s="17" t="n">
        <x:f>I2661+J2661</x:f>
        <x:v>94400</x:v>
      </x:c>
    </x:row>
    <x:row r="2662" ht="46" customHeight="1">
      <x:c r="A2662" s="2" t="str">
        <x:v>Sector</x:v>
      </x:c>
      <x:c r="B2662" s="2" t="str">
        <x:v>Workspace &amp; property operations</x:v>
      </x:c>
      <x:c r="C2662" s="12" t="str">
        <x:v>Chennai</x:v>
      </x:c>
      <x:c r="D2662" s="12" t="str">
        <x:v>PARTNER-M347</x:v>
      </x:c>
      <x:c r="E2662" s="12" t="str">
        <x:v>Prince Infocity 1</x:v>
      </x:c>
      <x:c r="F2662" s="11" t="n">
        <x:v>2</x:v>
      </x:c>
      <x:c r="G2662" s="11" t="n">
        <x:v>2</x:v>
      </x:c>
      <x:c r="H2662" s="11" t="n">
        <x:v>0</x:v>
      </x:c>
      <x:c r="I2662" s="17" t="n">
        <x:f>INDEX('Costing'!$P$9:$P$492,MATCH(D2662,'Costing'!$A$9:$A$492,0))</x:f>
        <x:v>80000</x:v>
      </x:c>
      <x:c r="J2662" s="17" t="n">
        <x:f>ROUND(I2662*'Costing'!$C$4,2)</x:f>
        <x:v>14400</x:v>
      </x:c>
      <x:c r="K2662" s="17" t="n">
        <x:f>I2662+J2662</x:f>
        <x:v>94400</x:v>
      </x:c>
    </x:row>
    <x:row r="2663" ht="46" customHeight="1">
      <x:c r="A2663" s="2" t="str">
        <x:v>Sector</x:v>
      </x:c>
      <x:c r="B2663" s="2" t="str">
        <x:v>Workspace &amp; property operations</x:v>
      </x:c>
      <x:c r="C2663" s="12" t="str">
        <x:v>Delhi NCR</x:v>
      </x:c>
      <x:c r="D2663" s="12" t="str">
        <x:v>PARTNER-M384</x:v>
      </x:c>
      <x:c r="E2663" s="12" t="str">
        <x:v>NPX Tower</x:v>
      </x:c>
      <x:c r="F2663" s="11" t="n">
        <x:v>5</x:v>
      </x:c>
      <x:c r="G2663" s="11" t="n">
        <x:v>5</x:v>
      </x:c>
      <x:c r="H2663" s="11" t="n">
        <x:v>0</x:v>
      </x:c>
      <x:c r="I2663" s="17" t="n">
        <x:f>INDEX('Costing'!$P$9:$P$492,MATCH(D2663,'Costing'!$A$9:$A$492,0))</x:f>
        <x:v>200000</x:v>
      </x:c>
      <x:c r="J2663" s="17" t="n">
        <x:f>ROUND(I2663*'Costing'!$C$4,2)</x:f>
        <x:v>36000</x:v>
      </x:c>
      <x:c r="K2663" s="17" t="n">
        <x:f>I2663+J2663</x:f>
        <x:v>236000</x:v>
      </x:c>
    </x:row>
    <x:row r="2664" ht="46" customHeight="1">
      <x:c r="A2664" s="2" t="str">
        <x:v>Sector</x:v>
      </x:c>
      <x:c r="B2664" s="2" t="str">
        <x:v>Workspace &amp; property operations</x:v>
      </x:c>
      <x:c r="C2664" s="12" t="str">
        <x:v>Delhi NCR</x:v>
      </x:c>
      <x:c r="D2664" s="12" t="str">
        <x:v>PARTNER-M365</x:v>
      </x:c>
      <x:c r="E2664" s="12" t="str">
        <x:v>Urbtech Trade Centre</x:v>
      </x:c>
      <x:c r="F2664" s="11" t="n">
        <x:v>10</x:v>
      </x:c>
      <x:c r="G2664" s="11" t="n">
        <x:v>10</x:v>
      </x:c>
      <x:c r="H2664" s="11" t="n">
        <x:v>0</x:v>
      </x:c>
      <x:c r="I2664" s="17" t="n">
        <x:f>INDEX('Costing'!$P$9:$P$492,MATCH(D2664,'Costing'!$A$9:$A$492,0))</x:f>
        <x:v>400000</x:v>
      </x:c>
      <x:c r="J2664" s="17" t="n">
        <x:f>ROUND(I2664*'Costing'!$C$4,2)</x:f>
        <x:v>72000</x:v>
      </x:c>
      <x:c r="K2664" s="17" t="n">
        <x:f>I2664+J2664</x:f>
        <x:v>472000</x:v>
      </x:c>
    </x:row>
    <x:row r="2665" ht="46" customHeight="1">
      <x:c r="A2665" s="2" t="str">
        <x:v>Sector</x:v>
      </x:c>
      <x:c r="B2665" s="2" t="str">
        <x:v>Workspace &amp; property operations</x:v>
      </x:c>
      <x:c r="C2665" s="12" t="str">
        <x:v>Hyderabad</x:v>
      </x:c>
      <x:c r="D2665" s="12" t="str">
        <x:v>PARTNER-M308</x:v>
      </x:c>
      <x:c r="E2665" s="12" t="str">
        <x:v>Aurobindo Galaxy</x:v>
      </x:c>
      <x:c r="F2665" s="11" t="n">
        <x:v>4</x:v>
      </x:c>
      <x:c r="G2665" s="11" t="n">
        <x:v>4</x:v>
      </x:c>
      <x:c r="H2665" s="11" t="n">
        <x:v>0</x:v>
      </x:c>
      <x:c r="I2665" s="17" t="n">
        <x:f>INDEX('Costing'!$P$9:$P$492,MATCH(D2665,'Costing'!$A$9:$A$492,0))</x:f>
        <x:v>160000</x:v>
      </x:c>
      <x:c r="J2665" s="17" t="n">
        <x:f>ROUND(I2665*'Costing'!$C$4,2)</x:f>
        <x:v>28800</x:v>
      </x:c>
      <x:c r="K2665" s="17" t="n">
        <x:f>I2665+J2665</x:f>
        <x:v>188800</x:v>
      </x:c>
    </x:row>
    <x:row r="2666" ht="46" customHeight="1">
      <x:c r="A2666" s="2" t="str">
        <x:v>Sector</x:v>
      </x:c>
      <x:c r="B2666" s="2" t="str">
        <x:v>Workspace &amp; property operations</x:v>
      </x:c>
      <x:c r="C2666" s="12" t="str">
        <x:v>Hyderabad</x:v>
      </x:c>
      <x:c r="D2666" s="12" t="str">
        <x:v>PARTNER-M283</x:v>
      </x:c>
      <x:c r="E2666" s="12" t="str">
        <x:v>iLabs Tech Park</x:v>
      </x:c>
      <x:c r="F2666" s="11" t="n">
        <x:v>6</x:v>
      </x:c>
      <x:c r="G2666" s="11" t="n">
        <x:v>6</x:v>
      </x:c>
      <x:c r="H2666" s="11" t="n">
        <x:v>0</x:v>
      </x:c>
      <x:c r="I2666" s="17" t="n">
        <x:f>INDEX('Costing'!$P$9:$P$492,MATCH(D2666,'Costing'!$A$9:$A$492,0))</x:f>
        <x:v>240000</x:v>
      </x:c>
      <x:c r="J2666" s="17" t="n">
        <x:f>ROUND(I2666*'Costing'!$C$4,2)</x:f>
        <x:v>43200</x:v>
      </x:c>
      <x:c r="K2666" s="17" t="n">
        <x:f>I2666+J2666</x:f>
        <x:v>283200</x:v>
      </x:c>
    </x:row>
    <x:row r="2667" ht="46" customHeight="1">
      <x:c r="A2667" s="2" t="str">
        <x:v>Sector</x:v>
      </x:c>
      <x:c r="B2667" s="2" t="str">
        <x:v>Workspace &amp; property operations</x:v>
      </x:c>
      <x:c r="C2667" s="12" t="str">
        <x:v>Mumbai</x:v>
      </x:c>
      <x:c r="D2667" s="12" t="str">
        <x:v>PARTNER-M241</x:v>
      </x:c>
      <x:c r="E2667" s="12" t="str">
        <x:v>Dynasty Business Park</x:v>
      </x:c>
      <x:c r="F2667" s="11" t="n">
        <x:v>2</x:v>
      </x:c>
      <x:c r="G2667" s="11" t="n">
        <x:v>2</x:v>
      </x:c>
      <x:c r="H2667" s="11" t="n">
        <x:v>0</x:v>
      </x:c>
      <x:c r="I2667" s="17" t="n">
        <x:f>INDEX('Costing'!$P$9:$P$492,MATCH(D2667,'Costing'!$A$9:$A$492,0))</x:f>
        <x:v>80000</x:v>
      </x:c>
      <x:c r="J2667" s="17" t="n">
        <x:f>ROUND(I2667*'Costing'!$C$4,2)</x:f>
        <x:v>14400</x:v>
      </x:c>
      <x:c r="K2667" s="17" t="n">
        <x:f>I2667+J2667</x:f>
        <x:v>94400</x:v>
      </x:c>
    </x:row>
    <x:row r="2668" ht="46" customHeight="1">
      <x:c r="A2668" s="2" t="str">
        <x:v>Sector</x:v>
      </x:c>
      <x:c r="B2668" s="2" t="str">
        <x:v>Workspace &amp; property operations</x:v>
      </x:c>
      <x:c r="C2668" s="12" t="str">
        <x:v>Mumbai</x:v>
      </x:c>
      <x:c r="D2668" s="12" t="str">
        <x:v>PARTNER-M193</x:v>
      </x:c>
      <x:c r="E2668" s="12" t="str">
        <x:v>Empire Tower</x:v>
      </x:c>
      <x:c r="F2668" s="11" t="n">
        <x:v>4</x:v>
      </x:c>
      <x:c r="G2668" s="11" t="n">
        <x:v>4</x:v>
      </x:c>
      <x:c r="H2668" s="11" t="n">
        <x:v>0</x:v>
      </x:c>
      <x:c r="I2668" s="17" t="n">
        <x:f>INDEX('Costing'!$P$9:$P$492,MATCH(D2668,'Costing'!$A$9:$A$492,0))</x:f>
        <x:v>160000</x:v>
      </x:c>
      <x:c r="J2668" s="17" t="n">
        <x:f>ROUND(I2668*'Costing'!$C$4,2)</x:f>
        <x:v>28800</x:v>
      </x:c>
      <x:c r="K2668" s="17" t="n">
        <x:f>I2668+J2668</x:f>
        <x:v>188800</x:v>
      </x:c>
    </x:row>
    <x:row r="2669" ht="46" customHeight="1">
      <x:c r="A2669" s="2" t="str">
        <x:v>Sector</x:v>
      </x:c>
      <x:c r="B2669" s="2" t="str">
        <x:v>Workspace &amp; property operations</x:v>
      </x:c>
      <x:c r="C2669" s="12" t="str">
        <x:v>Mumbai</x:v>
      </x:c>
      <x:c r="D2669" s="12" t="str">
        <x:v>PARTNER-M197</x:v>
      </x:c>
      <x:c r="E2669" s="12" t="str">
        <x:v>Reliable Tech Park</x:v>
      </x:c>
      <x:c r="F2669" s="11" t="n">
        <x:v>4</x:v>
      </x:c>
      <x:c r="G2669" s="11" t="n">
        <x:v>4</x:v>
      </x:c>
      <x:c r="H2669" s="11" t="n">
        <x:v>0</x:v>
      </x:c>
      <x:c r="I2669" s="17" t="n">
        <x:f>INDEX('Costing'!$P$9:$P$492,MATCH(D2669,'Costing'!$A$9:$A$492,0))</x:f>
        <x:v>160000</x:v>
      </x:c>
      <x:c r="J2669" s="17" t="n">
        <x:f>ROUND(I2669*'Costing'!$C$4,2)</x:f>
        <x:v>28800</x:v>
      </x:c>
      <x:c r="K2669" s="17" t="n">
        <x:f>I2669+J2669</x:f>
        <x:v>188800</x:v>
      </x:c>
    </x:row>
  </x:sheetData>
  <x:pageMargins left="0.7" right="0.7" top="0.75" bottom="0.75" header="0.3" footer="0.3"/>
  <x:tableParts count="1">
    <x:tablePart xmlns:r="http://schemas.openxmlformats.org/officeDocument/2006/relationships" r:id="Re9ca56ca5af14a53"/>
  </x:tableParts>
</x:worksheet>
</file>

<file path=xl/worksheets/sheet8.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2" hidden="0" customWidth="1"/>
    <x:col min="2" max="2" width="18" hidden="0" customWidth="1"/>
    <x:col min="3" max="3" width="19" hidden="0" customWidth="1"/>
    <x:col min="4" max="4" width="45" hidden="0" customWidth="1"/>
    <x:col min="5" max="5" width="30" hidden="0" customWidth="1"/>
    <x:col min="6" max="6" width="12" hidden="0" customWidth="1"/>
    <x:col min="7" max="7" width="14" hidden="0" customWidth="1"/>
    <x:col min="8" max="8" width="24" hidden="0" customWidth="1"/>
    <x:col min="9" max="9" width="19" hidden="0" customWidth="1"/>
    <x:col min="10" max="10" width="25" hidden="0" customWidth="1"/>
    <x:col min="11" max="11" width="21" hidden="0" customWidth="1"/>
    <x:col min="12" max="12" width="26" hidden="0" customWidth="1"/>
    <x:col min="13" max="13" width="16" hidden="0" customWidth="1"/>
    <x:col min="14" max="14" width="16" hidden="0" customWidth="1"/>
    <x:col min="15" max="15" width="48" hidden="0" customWidth="1"/>
    <x:col min="16" max="16" width="65" hidden="0" customWidth="1"/>
  </x:cols>
  <x:sheetData>
    <x:row r="1">
      <x:c r="A1" s="2"/>
      <x:c r="B1" s="2"/>
      <x:c r="C1" s="2"/>
      <x:c r="D1" s="2"/>
      <x:c r="E1" s="2"/>
      <x:c r="F1" s="2"/>
      <x:c r="G1" s="2"/>
      <x:c r="H1" s="2"/>
      <x:c r="I1" s="2"/>
      <x:c r="J1" s="2"/>
      <x:c r="K1" s="2"/>
      <x:c r="L1" s="2"/>
      <x:c r="M1" s="2"/>
      <x:c r="N1" s="2"/>
      <x:c r="O1" s="2"/>
      <x:c r="P1" s="2"/>
    </x:row>
    <x:row r="2">
      <x:c r="A2" s="3" t="str">
        <x:v>Optional nearby apartment inventory</x:v>
      </x:c>
      <x:c r="B2" s="2"/>
      <x:c r="C2" s="2"/>
      <x:c r="D2" s="2"/>
      <x:c r="E2" s="2"/>
      <x:c r="F2" s="2"/>
      <x:c r="G2" s="2"/>
      <x:c r="H2" s="2"/>
      <x:c r="I2" s="2"/>
      <x:c r="J2" s="2"/>
      <x:c r="K2" s="2"/>
      <x:c r="L2" s="2"/>
      <x:c r="M2" s="2"/>
      <x:c r="N2" s="2"/>
      <x:c r="O2" s="2"/>
      <x:c r="P2" s="2"/>
    </x:row>
    <x:row r="3">
      <x:c r="A3" s="4"/>
      <x:c r="B3" s="4"/>
      <x:c r="C3" s="4"/>
      <x:c r="D3" s="4"/>
      <x:c r="E3" s="4"/>
      <x:c r="F3" s="4"/>
      <x:c r="G3" s="4"/>
      <x:c r="H3" s="4"/>
      <x:c r="I3" s="4"/>
      <x:c r="J3" s="4"/>
      <x:c r="K3" s="4"/>
      <x:c r="L3" s="4"/>
      <x:c r="M3" s="4"/>
      <x:c r="N3" s="4"/>
      <x:c r="O3" s="4"/>
      <x:c r="P3" s="4"/>
    </x:row>
    <x:row r="4">
      <x:c r="A4" s="2" t="str">
        <x:v>Optional geographic and property-price contexts. These are not verified employee homes, income or commute data.</x:v>
      </x:c>
      <x:c r="B4" s="2"/>
      <x:c r="C4" s="2"/>
      <x:c r="D4" s="2"/>
      <x:c r="E4" s="2"/>
      <x:c r="F4" s="2"/>
      <x:c r="G4" s="2"/>
      <x:c r="H4" s="2"/>
      <x:c r="I4" s="2"/>
      <x:c r="J4" s="2"/>
      <x:c r="K4" s="2"/>
      <x:c r="L4" s="2"/>
      <x:c r="M4" s="2"/>
      <x:c r="N4" s="2"/>
      <x:c r="O4" s="2"/>
      <x:c r="P4" s="2"/>
    </x:row>
    <x:row r="5">
      <x:c r="A5" s="2"/>
      <x:c r="B5" s="2"/>
      <x:c r="C5" s="2"/>
      <x:c r="D5" s="2"/>
      <x:c r="E5" s="2"/>
      <x:c r="F5" s="2"/>
      <x:c r="G5" s="2"/>
      <x:c r="H5" s="2"/>
      <x:c r="I5" s="2"/>
      <x:c r="J5" s="2"/>
      <x:c r="K5" s="2"/>
      <x:c r="L5" s="2"/>
      <x:c r="M5" s="2"/>
      <x:c r="N5" s="2"/>
      <x:c r="O5" s="2"/>
      <x:c r="P5" s="2"/>
    </x:row>
    <x:row r="6" ht="42" customHeight="1">
      <x:c r="A6" s="8" t="str">
        <x:v>Include 1 / 0</x:v>
      </x:c>
      <x:c r="B6" s="8" t="str">
        <x:v>Media site ID</x:v>
      </x:c>
      <x:c r="C6" s="8" t="str">
        <x:v>Market</x:v>
      </x:c>
      <x:c r="D6" s="8" t="str">
        <x:v>Apartment community</x:v>
      </x:c>
      <x:c r="E6" s="8" t="str">
        <x:v>Locality</x:v>
      </x:c>
      <x:c r="F6" s="8" t="str">
        <x:v>Screens</x:v>
      </x:c>
      <x:c r="G6" s="8" t="str">
        <x:v>Households</x:v>
      </x:c>
      <x:c r="H6" s="8" t="str">
        <x:v>Indicative price band up to ₹ crore</x:v>
      </x:c>
      <x:c r="I6" s="8" t="str">
        <x:v>Nearest anchor km</x:v>
      </x:c>
      <x:c r="J6" s="8" t="str">
        <x:v>30-day budget ex GST</x:v>
      </x:c>
      <x:c r="K6" s="8" t="str">
        <x:v>GST</x:v>
      </x:c>
      <x:c r="L6" s="8" t="str">
        <x:v>30-day budget incl GST</x:v>
      </x:c>
      <x:c r="M6" s="8" t="str">
        <x:v>Latitude</x:v>
      </x:c>
      <x:c r="N6" s="8" t="str">
        <x:v>Longitude</x:v>
      </x:c>
      <x:c r="O6" s="8" t="str">
        <x:v>Map location</x:v>
      </x:c>
      <x:c r="P6" s="8" t="str">
        <x:v>Nearby corporate references</x:v>
      </x:c>
    </x:row>
    <x:row r="7" ht="42" customHeight="1">
      <x:c r="A7" s="10" t="n">
        <x:v>0</x:v>
      </x:c>
      <x:c r="B7" s="12" t="str">
        <x:v>MSWFYKYP</x:v>
      </x:c>
      <x:c r="C7" s="2" t="str">
        <x:v>Ahmedabad</x:v>
      </x:c>
      <x:c r="D7" s="12" t="str">
        <x:v>Aalay</x:v>
      </x:c>
      <x:c r="E7" s="12" t="str">
        <x:v>Bodakdev</x:v>
      </x:c>
      <x:c r="F7" s="2" t="n">
        <x:v>5</x:v>
      </x:c>
      <x:c r="G7" s="2" t="n">
        <x:v>204</x:v>
      </x:c>
      <x:c r="H7" s="21" t="n">
        <x:v>2.17</x:v>
      </x:c>
      <x:c r="I7" s="21" t="n">
        <x:v>0.921</x:v>
      </x:c>
      <x:c r="J7" s="17" t="n">
        <x:f>F7*'Costing'!$H$4</x:f>
        <x:v>7560</x:v>
      </x:c>
      <x:c r="K7" s="17" t="n">
        <x:f>ROUND(J7*'Costing'!$C$4,2)</x:f>
        <x:v>1360.8</x:v>
      </x:c>
      <x:c r="L7" s="17" t="n">
        <x:f>J7+K7</x:f>
        <x:v>8920.8</x:v>
      </x:c>
      <x:c r="M7" s="13" t="n">
        <x:v>23.04375</x:v>
      </x:c>
      <x:c r="N7" s="13" t="n">
        <x:v>72.51577</x:v>
      </x:c>
      <x:c r="O7" s="2" t="str">
        <x:v>https://www.google.com/maps?q=23.04375,72.51577</x:v>
      </x:c>
      <x:c r="P7" s="2" t="str">
        <x:v>CORP-0001, CORP-0002, CORP-0004</x:v>
      </x:c>
    </x:row>
    <x:row r="8" ht="42" customHeight="1">
      <x:c r="A8" s="10" t="n">
        <x:v>0</x:v>
      </x:c>
      <x:c r="B8" s="12" t="str">
        <x:v>MS75B278</x:v>
      </x:c>
      <x:c r="C8" s="2" t="str">
        <x:v>Ahmedabad</x:v>
      </x:c>
      <x:c r="D8" s="12" t="str">
        <x:v>Arjun Paradise Co. Op Housing Service Society LTD</x:v>
      </x:c>
      <x:c r="E8" s="12" t="str">
        <x:v>Narapura</x:v>
      </x:c>
      <x:c r="F8" s="2" t="n">
        <x:v>6</x:v>
      </x:c>
      <x:c r="G8" s="2" t="n">
        <x:v>180</x:v>
      </x:c>
      <x:c r="H8" s="21" t="n">
        <x:v>1.5</x:v>
      </x:c>
      <x:c r="I8" s="21" t="n">
        <x:v>1.863</x:v>
      </x:c>
      <x:c r="J8" s="17" t="n">
        <x:f>F8*'Costing'!$H$4</x:f>
        <x:v>9072</x:v>
      </x:c>
      <x:c r="K8" s="17" t="n">
        <x:f>ROUND(J8*'Costing'!$C$4,2)</x:f>
        <x:v>1632.96</x:v>
      </x:c>
      <x:c r="L8" s="17" t="n">
        <x:f>J8+K8</x:f>
        <x:v>10704.96</x:v>
      </x:c>
      <x:c r="M8" s="13" t="n">
        <x:v>23.06861686706543</x:v>
      </x:c>
      <x:c r="N8" s="13" t="n">
        <x:v>72.5538101196289</x:v>
      </x:c>
      <x:c r="O8" s="2" t="str">
        <x:v>https://www.google.com/maps?q=23.06861686706543,72.5538101196289</x:v>
      </x:c>
      <x:c r="P8" s="2" t="str">
        <x:v>CORP-0004</x:v>
      </x:c>
    </x:row>
    <x:row r="9" ht="42" customHeight="1">
      <x:c r="A9" s="10" t="n">
        <x:v>0</x:v>
      </x:c>
      <x:c r="B9" s="12" t="str">
        <x:v>MSAWV9QG</x:v>
      </x:c>
      <x:c r="C9" s="2" t="str">
        <x:v>Ahmedabad</x:v>
      </x:c>
      <x:c r="D9" s="12" t="str">
        <x:v>Nayankunj</x:v>
      </x:c>
      <x:c r="E9" s="12" t="str">
        <x:v>Jodhpur-Ahmedabad</x:v>
      </x:c>
      <x:c r="F9" s="2" t="n">
        <x:v>5</x:v>
      </x:c>
      <x:c r="G9" s="2" t="n">
        <x:v>99</x:v>
      </x:c>
      <x:c r="H9" s="21" t="n">
        <x:v>1.2</x:v>
      </x:c>
      <x:c r="I9" s="21" t="n">
        <x:v>1.334</x:v>
      </x:c>
      <x:c r="J9" s="17" t="n">
        <x:f>F9*'Costing'!$H$4</x:f>
        <x:v>7560</x:v>
      </x:c>
      <x:c r="K9" s="17" t="n">
        <x:f>ROUND(J9*'Costing'!$C$4,2)</x:f>
        <x:v>1360.8</x:v>
      </x:c>
      <x:c r="L9" s="17" t="n">
        <x:f>J9+K9</x:f>
        <x:v>8920.8</x:v>
      </x:c>
      <x:c r="M9" s="13" t="n">
        <x:v>23.01886</x:v>
      </x:c>
      <x:c r="N9" s="13" t="n">
        <x:v>72.51845</x:v>
      </x:c>
      <x:c r="O9" s="2" t="str">
        <x:v>https://www.google.com/maps?q=23.01886,72.51845</x:v>
      </x:c>
      <x:c r="P9" s="2" t="str">
        <x:v>CORP-0002, CORP-0003</x:v>
      </x:c>
    </x:row>
    <x:row r="10" ht="42" customHeight="1">
      <x:c r="A10" s="10" t="n">
        <x:v>0</x:v>
      </x:c>
      <x:c r="B10" s="12" t="str">
        <x:v>MSF3086Y</x:v>
      </x:c>
      <x:c r="C10" s="2" t="str">
        <x:v>Ahmedabad</x:v>
      </x:c>
      <x:c r="D10" s="12" t="str">
        <x:v>Rajyash Reeva</x:v>
      </x:c>
      <x:c r="E10" s="12" t="str">
        <x:v>Vishala</x:v>
      </x:c>
      <x:c r="F10" s="2" t="n">
        <x:v>4</x:v>
      </x:c>
      <x:c r="G10" s="2" t="n">
        <x:v>214</x:v>
      </x:c>
      <x:c r="H10" s="21" t="n">
        <x:v>1.26</x:v>
      </x:c>
      <x:c r="I10" s="21" t="n">
        <x:v>2.928</x:v>
      </x:c>
      <x:c r="J10" s="17" t="n">
        <x:f>F10*'Costing'!$H$4</x:f>
        <x:v>6048</x:v>
      </x:c>
      <x:c r="K10" s="17" t="n">
        <x:f>ROUND(J10*'Costing'!$C$4,2)</x:f>
        <x:v>1088.64</x:v>
      </x:c>
      <x:c r="L10" s="17" t="n">
        <x:f>J10+K10</x:f>
        <x:v>7136.64</x:v>
      </x:c>
      <x:c r="M10" s="13" t="n">
        <x:v>22.992982864379883</x:v>
      </x:c>
      <x:c r="N10" s="13" t="n">
        <x:v>72.54845428466797</x:v>
      </x:c>
      <x:c r="O10" s="2" t="str">
        <x:v>https://www.google.com/maps?q=22.992982864379883,72.54845428466797</x:v>
      </x:c>
      <x:c r="P10" s="2" t="str">
        <x:v>CORP-0003</x:v>
      </x:c>
    </x:row>
    <x:row r="11" ht="42" customHeight="1">
      <x:c r="A11" s="10" t="n">
        <x:v>0</x:v>
      </x:c>
      <x:c r="B11" s="12" t="str">
        <x:v>MSQJ7PJ8</x:v>
      </x:c>
      <x:c r="C11" s="2" t="str">
        <x:v>Ahmedabad</x:v>
      </x:c>
      <x:c r="D11" s="12" t="str">
        <x:v>Swati Gardenia</x:v>
      </x:c>
      <x:c r="E11" s="12" t="str">
        <x:v>Prahlad Nagar</x:v>
      </x:c>
      <x:c r="F11" s="2" t="n">
        <x:v>8</x:v>
      </x:c>
      <x:c r="G11" s="2" t="n">
        <x:v>196</x:v>
      </x:c>
      <x:c r="H11" s="21" t="n">
        <x:v>1.9</x:v>
      </x:c>
      <x:c r="I11" s="21" t="n">
        <x:v>2.505</x:v>
      </x:c>
      <x:c r="J11" s="17" t="n">
        <x:f>F11*'Costing'!$H$4</x:f>
        <x:v>12096</x:v>
      </x:c>
      <x:c r="K11" s="17" t="n">
        <x:f>ROUND(J11*'Costing'!$C$4,2)</x:f>
        <x:v>2177.28</x:v>
      </x:c>
      <x:c r="L11" s="17" t="n">
        <x:f>J11+K11</x:f>
        <x:v>14273.28</x:v>
      </x:c>
      <x:c r="M11" s="13" t="n">
        <x:v>22.99938</x:v>
      </x:c>
      <x:c r="N11" s="13" t="n">
        <x:v>72.51023</x:v>
      </x:c>
      <x:c r="O11" s="2" t="str">
        <x:v>https://www.google.com/maps?q=22.99938,72.51023</x:v>
      </x:c>
      <x:c r="P11" s="2" t="str">
        <x:v>CORP-0002, CORP-0003</x:v>
      </x:c>
    </x:row>
    <x:row r="12" ht="42" customHeight="1">
      <x:c r="A12" s="10" t="n">
        <x:v>0</x:v>
      </x:c>
      <x:c r="B12" s="12" t="str">
        <x:v>MSW57XE2</x:v>
      </x:c>
      <x:c r="C12" s="2" t="str">
        <x:v>Ahmedabad</x:v>
      </x:c>
      <x:c r="D12" s="12" t="str">
        <x:v>The Enigma</x:v>
      </x:c>
      <x:c r="E12" s="12" t="str">
        <x:v>Thaltej</x:v>
      </x:c>
      <x:c r="F12" s="2" t="n">
        <x:v>4</x:v>
      </x:c>
      <x:c r="G12" s="2" t="n">
        <x:v>140</x:v>
      </x:c>
      <x:c r="H12" s="21" t="n">
        <x:v>2.18</x:v>
      </x:c>
      <x:c r="I12" s="21" t="n">
        <x:v>1.69</x:v>
      </x:c>
      <x:c r="J12" s="17" t="n">
        <x:f>F12*'Costing'!$H$4</x:f>
        <x:v>6048</x:v>
      </x:c>
      <x:c r="K12" s="17" t="n">
        <x:f>ROUND(J12*'Costing'!$C$4,2)</x:f>
        <x:v>1088.64</x:v>
      </x:c>
      <x:c r="L12" s="17" t="n">
        <x:f>J12+K12</x:f>
        <x:v>7136.64</x:v>
      </x:c>
      <x:c r="M12" s="13" t="n">
        <x:v>23.058585</x:v>
      </x:c>
      <x:c r="N12" s="13" t="n">
        <x:v>72.522605</x:v>
      </x:c>
      <x:c r="O12" s="2" t="str">
        <x:v>https://www.google.com/maps?q=23.058585,72.522605</x:v>
      </x:c>
      <x:c r="P12" s="2" t="str">
        <x:v>CORP-0001, CORP-0004</x:v>
      </x:c>
    </x:row>
    <x:row r="13" ht="42" customHeight="1">
      <x:c r="A13" s="10" t="n">
        <x:v>0</x:v>
      </x:c>
      <x:c r="B13" s="12" t="str">
        <x:v>MS5N3QSP</x:v>
      </x:c>
      <x:c r="C13" s="2" t="str">
        <x:v>Ahmedabad</x:v>
      </x:c>
      <x:c r="D13" s="12" t="str">
        <x:v>Yash Arian</x:v>
      </x:c>
      <x:c r="E13" s="12" t="str">
        <x:v>Memnagar</x:v>
      </x:c>
      <x:c r="F13" s="2" t="n">
        <x:v>4</x:v>
      </x:c>
      <x:c r="G13" s="2" t="n">
        <x:v>238</x:v>
      </x:c>
      <x:c r="H13" s="21" t="n">
        <x:v>1.1</x:v>
      </x:c>
      <x:c r="I13" s="21" t="n">
        <x:v>3.052</x:v>
      </x:c>
      <x:c r="J13" s="17" t="n">
        <x:f>F13*'Costing'!$H$4</x:f>
        <x:v>6048</x:v>
      </x:c>
      <x:c r="K13" s="17" t="n">
        <x:f>ROUND(J13*'Costing'!$C$4,2)</x:f>
        <x:v>1088.64</x:v>
      </x:c>
      <x:c r="L13" s="17" t="n">
        <x:f>J13+K13</x:f>
        <x:v>7136.64</x:v>
      </x:c>
      <x:c r="M13" s="13" t="n">
        <x:v>23.052701</x:v>
      </x:c>
      <x:c r="N13" s="13" t="n">
        <x:v>72.538219</x:v>
      </x:c>
      <x:c r="O13" s="2" t="str">
        <x:v>https://www.google.com/maps?q=23.052701,72.538219</x:v>
      </x:c>
      <x:c r="P13" s="2" t="str">
        <x:v>CORP-0001</x:v>
      </x:c>
    </x:row>
    <x:row r="14" ht="42" customHeight="1">
      <x:c r="A14" s="10" t="n">
        <x:v>0</x:v>
      </x:c>
      <x:c r="B14" s="12" t="str">
        <x:v>MSP5S5G8</x:v>
      </x:c>
      <x:c r="C14" s="2" t="str">
        <x:v>Bengaluru</x:v>
      </x:c>
      <x:c r="D14" s="12" t="str">
        <x:v>Adarsh Palm Retreat Condominiums Phase 3</x:v>
      </x:c>
      <x:c r="E14" s="12" t="str">
        <x:v>Bellandur</x:v>
      </x:c>
      <x:c r="F14" s="2" t="n">
        <x:v>32</x:v>
      </x:c>
      <x:c r="G14" s="2" t="n">
        <x:v>1500</x:v>
      </x:c>
      <x:c r="H14" s="21" t="n">
        <x:v>6.6</x:v>
      </x:c>
      <x:c r="I14" s="21" t="n">
        <x:v>0.332</x:v>
      </x:c>
      <x:c r="J14" s="17" t="n">
        <x:f>F14*'Costing'!$H$4</x:f>
        <x:v>48384</x:v>
      </x:c>
      <x:c r="K14" s="17" t="n">
        <x:f>ROUND(J14*'Costing'!$C$4,2)</x:f>
        <x:v>8709.12</x:v>
      </x:c>
      <x:c r="L14" s="17" t="n">
        <x:f>J14+K14</x:f>
        <x:v>57093.12</x:v>
      </x:c>
      <x:c r="M14" s="13" t="n">
        <x:v>12.923456</x:v>
      </x:c>
      <x:c r="N14" s="13" t="n">
        <x:v>77.685116</x:v>
      </x:c>
      <x:c r="O14" s="2" t="str">
        <x:v>https://www.google.com/maps?q=12.923456,77.685116</x:v>
      </x:c>
      <x:c r="P14" s="2" t="str">
        <x:v>CORP-0022, CORP-0034, CORP-0035, CORP-0042, CORP-0043, CORP-0048</x:v>
      </x:c>
    </x:row>
    <x:row r="15" ht="42" customHeight="1">
      <x:c r="A15" s="10" t="n">
        <x:v>0</x:v>
      </x:c>
      <x:c r="B15" s="12" t="str">
        <x:v>MSAQ3B0T</x:v>
      </x:c>
      <x:c r="C15" s="2" t="str">
        <x:v>Bengaluru</x:v>
      </x:c>
      <x:c r="D15" s="12" t="str">
        <x:v>Adarsh Rhythm</x:v>
      </x:c>
      <x:c r="E15" s="12" t="str">
        <x:v>Bannerghatta Main Road</x:v>
      </x:c>
      <x:c r="F15" s="2" t="n">
        <x:v>10</x:v>
      </x:c>
      <x:c r="G15" s="2" t="n">
        <x:v>316</x:v>
      </x:c>
      <x:c r="H15" s="21" t="n">
        <x:v>2.75</x:v>
      </x:c>
      <x:c r="I15" s="21" t="n">
        <x:v>0.809</x:v>
      </x:c>
      <x:c r="J15" s="17" t="n">
        <x:f>F15*'Costing'!$H$4</x:f>
        <x:v>15120</x:v>
      </x:c>
      <x:c r="K15" s="17" t="n">
        <x:f>ROUND(J15*'Costing'!$C$4,2)</x:f>
        <x:v>2721.6</x:v>
      </x:c>
      <x:c r="L15" s="17" t="n">
        <x:f>J15+K15</x:f>
        <x:v>17841.6</x:v>
      </x:c>
      <x:c r="M15" s="13" t="n">
        <x:v>12.894346237182617</x:v>
      </x:c>
      <x:c r="N15" s="13" t="n">
        <x:v>77.59719848632812</x:v>
      </x:c>
      <x:c r="O15" s="2" t="str">
        <x:v>https://www.google.com/maps?q=12.894346237182617,77.59719848632812</x:v>
      </x:c>
      <x:c r="P15" s="2" t="str">
        <x:v>CORP-0123</x:v>
      </x:c>
    </x:row>
    <x:row r="16" ht="42" customHeight="1">
      <x:c r="A16" s="10" t="n">
        <x:v>0</x:v>
      </x:c>
      <x:c r="B16" s="12" t="str">
        <x:v>MSVRBJDH</x:v>
      </x:c>
      <x:c r="C16" s="2" t="str">
        <x:v>Bengaluru</x:v>
      </x:c>
      <x:c r="D16" s="12" t="str">
        <x:v>Advaitha Aksha</x:v>
      </x:c>
      <x:c r="E16" s="12" t="str">
        <x:v>Marathahalli</x:v>
      </x:c>
      <x:c r="F16" s="2" t="n">
        <x:v>5</x:v>
      </x:c>
      <x:c r="G16" s="2" t="n">
        <x:v>170</x:v>
      </x:c>
      <x:c r="H16" s="21" t="n">
        <x:v>4</x:v>
      </x:c>
      <x:c r="I16" s="21" t="n">
        <x:v>0.588</x:v>
      </x:c>
      <x:c r="J16" s="17" t="n">
        <x:f>F16*'Costing'!$H$4</x:f>
        <x:v>7560</x:v>
      </x:c>
      <x:c r="K16" s="17" t="n">
        <x:f>ROUND(J16*'Costing'!$C$4,2)</x:f>
        <x:v>1360.8</x:v>
      </x:c>
      <x:c r="L16" s="17" t="n">
        <x:f>J16+K16</x:f>
        <x:v>8920.8</x:v>
      </x:c>
      <x:c r="M16" s="13" t="n">
        <x:v>12.926556587219238</x:v>
      </x:c>
      <x:c r="N16" s="13" t="n">
        <x:v>77.64076232910156</x:v>
      </x:c>
      <x:c r="O16" s="2" t="str">
        <x:v>https://www.google.com/maps?q=12.926556587219238,77.64076232910156</x:v>
      </x:c>
      <x:c r="P16" s="2" t="str">
        <x:v>CORP-0006, CORP-0011, CORP-0515, CORP-0516, CORP-0517, CORP-0025, CORP-0027, CORP-0060, CORP-0061, CORP-0062, CORP-0067, CORP-0084, CORP-0086, CORP-0087, CORP-0092, CORP-0093, CORP-0097, CORP-0098, CORP-0100, CORP-0101, CORP-0102, CORP-0103, CORP-0104, CORP-0105, CORP-0106, CORP-0107, CORP-0108, CORP-0109, CORP-0115, CORP-0117, CORP-0118, CORP-0124, CORP-0130</x:v>
      </x:c>
    </x:row>
    <x:row r="17" ht="42" customHeight="1">
      <x:c r="A17" s="10" t="n">
        <x:v>0</x:v>
      </x:c>
      <x:c r="B17" s="12" t="str">
        <x:v>MS8YQ8P5, MSV081A7</x:v>
      </x:c>
      <x:c r="C17" s="2" t="str">
        <x:v>Bengaluru</x:v>
      </x:c>
      <x:c r="D17" s="12" t="str">
        <x:v>Alpine ECO</x:v>
      </x:c>
      <x:c r="E17" s="12" t="str">
        <x:v>Marathahalli</x:v>
      </x:c>
      <x:c r="F17" s="2" t="n">
        <x:v>51</x:v>
      </x:c>
      <x:c r="G17" s="2" t="n">
        <x:v>936</x:v>
      </x:c>
      <x:c r="H17" s="21" t="n">
        <x:v>3.6</x:v>
      </x:c>
      <x:c r="I17" s="21" t="n">
        <x:v>0.517</x:v>
      </x:c>
      <x:c r="J17" s="17" t="n">
        <x:f>F17*'Costing'!$H$4</x:f>
        <x:v>77112</x:v>
      </x:c>
      <x:c r="K17" s="17" t="n">
        <x:f>ROUND(J17*'Costing'!$C$4,2)</x:f>
        <x:v>13880.16</x:v>
      </x:c>
      <x:c r="L17" s="17" t="n">
        <x:f>J17+K17</x:f>
        <x:v>90992.16</x:v>
      </x:c>
      <x:c r="M17" s="13" t="n">
        <x:v>12.97387981414795</x:v>
      </x:c>
      <x:c r="N17" s="13" t="n">
        <x:v>77.70073699951172</x:v>
      </x:c>
      <x:c r="O17" s="2" t="str">
        <x:v>https://www.google.com/maps?q=12.97387981414795,77.70073699951172</x:v>
      </x:c>
      <x:c r="P17" s="2" t="str">
        <x:v>CORP-0051, CORP-0052, CORP-0121, CORP-0131</x:v>
      </x:c>
    </x:row>
    <x:row r="18" ht="42" customHeight="1">
      <x:c r="A18" s="10" t="n">
        <x:v>0</x:v>
      </x:c>
      <x:c r="B18" s="12" t="str">
        <x:v>MSZM9D3D</x:v>
      </x:c>
      <x:c r="C18" s="2" t="str">
        <x:v>Bengaluru</x:v>
      </x:c>
      <x:c r="D18" s="12" t="str">
        <x:v>Aparna Elina</x:v>
      </x:c>
      <x:c r="E18" s="12" t="str">
        <x:v>Yeshwanthpur</x:v>
      </x:c>
      <x:c r="F18" s="2" t="n">
        <x:v>5</x:v>
      </x:c>
      <x:c r="G18" s="2" t="n">
        <x:v>264</x:v>
      </x:c>
      <x:c r="H18" s="21" t="n">
        <x:v>7.1</x:v>
      </x:c>
      <x:c r="I18" s="21" t="n">
        <x:v>3.495</x:v>
      </x:c>
      <x:c r="J18" s="17" t="n">
        <x:f>F18*'Costing'!$H$4</x:f>
        <x:v>7560</x:v>
      </x:c>
      <x:c r="K18" s="17" t="n">
        <x:f>ROUND(J18*'Costing'!$C$4,2)</x:f>
        <x:v>1360.8</x:v>
      </x:c>
      <x:c r="L18" s="17" t="n">
        <x:f>J18+K18</x:f>
        <x:v>8920.8</x:v>
      </x:c>
      <x:c r="M18" s="13" t="n">
        <x:v>13.020445</x:v>
      </x:c>
      <x:c r="N18" s="13" t="n">
        <x:v>77.552041</x:v>
      </x:c>
      <x:c r="O18" s="2" t="str">
        <x:v>https://www.google.com/maps?q=13.020445,77.552041</x:v>
      </x:c>
      <x:c r="P18" s="2" t="str">
        <x:v>CORP-0110</x:v>
      </x:c>
    </x:row>
    <x:row r="19" ht="42" customHeight="1">
      <x:c r="A19" s="10" t="n">
        <x:v>0</x:v>
      </x:c>
      <x:c r="B19" s="12" t="str">
        <x:v>MSEA6HH3</x:v>
      </x:c>
      <x:c r="C19" s="2" t="str">
        <x:v>Bengaluru</x:v>
      </x:c>
      <x:c r="D19" s="12" t="str">
        <x:v>Aratt Premier Apartments</x:v>
      </x:c>
      <x:c r="E19" s="12" t="str">
        <x:v>Seetharampalya</x:v>
      </x:c>
      <x:c r="F19" s="2" t="n">
        <x:v>6</x:v>
      </x:c>
      <x:c r="G19" s="2" t="n">
        <x:v>190</x:v>
      </x:c>
      <x:c r="H19" s="21" t="n">
        <x:v>2.9</x:v>
      </x:c>
      <x:c r="I19" s="21" t="n">
        <x:v>0.47</x:v>
      </x:c>
      <x:c r="J19" s="17" t="n">
        <x:f>F19*'Costing'!$H$4</x:f>
        <x:v>9072</x:v>
      </x:c>
      <x:c r="K19" s="17" t="n">
        <x:f>ROUND(J19*'Costing'!$C$4,2)</x:f>
        <x:v>1632.96</x:v>
      </x:c>
      <x:c r="L19" s="17" t="n">
        <x:f>J19+K19</x:f>
        <x:v>10704.96</x:v>
      </x:c>
      <x:c r="M19" s="13" t="n">
        <x:v>12.980998992919922</x:v>
      </x:c>
      <x:c r="N19" s="13" t="n">
        <x:v>77.70978546142578</x:v>
      </x:c>
      <x:c r="O19" s="2" t="str">
        <x:v>https://www.google.com/maps?q=12.980998992919922,77.70978546142578</x:v>
      </x:c>
      <x:c r="P19" s="2" t="str">
        <x:v>CORP-0033, CORP-0037, CORP-0131</x:v>
      </x:c>
    </x:row>
    <x:row r="20" ht="42" customHeight="1">
      <x:c r="A20" s="10" t="n">
        <x:v>0</x:v>
      </x:c>
      <x:c r="B20" s="12" t="str">
        <x:v>MSKQDWA0</x:v>
      </x:c>
      <x:c r="C20" s="2" t="str">
        <x:v>Bengaluru</x:v>
      </x:c>
      <x:c r="D20" s="12" t="str">
        <x:v>Bollineni Astra</x:v>
      </x:c>
      <x:c r="E20" s="12" t="str">
        <x:v>Kogilu</x:v>
      </x:c>
      <x:c r="F20" s="2" t="n">
        <x:v>5</x:v>
      </x:c>
      <x:c r="G20" s="2" t="n">
        <x:v>186</x:v>
      </x:c>
      <x:c r="H20" s="21" t="n">
        <x:v>2.42</x:v>
      </x:c>
      <x:c r="I20" s="21" t="n">
        <x:v>1.853</x:v>
      </x:c>
      <x:c r="J20" s="17" t="n">
        <x:f>F20*'Costing'!$H$4</x:f>
        <x:v>7560</x:v>
      </x:c>
      <x:c r="K20" s="17" t="n">
        <x:f>ROUND(J20*'Costing'!$C$4,2)</x:f>
        <x:v>1360.8</x:v>
      </x:c>
      <x:c r="L20" s="17" t="n">
        <x:f>J20+K20</x:f>
        <x:v>8920.8</x:v>
      </x:c>
      <x:c r="M20" s="13" t="n">
        <x:v>13.098397</x:v>
      </x:c>
      <x:c r="N20" s="13" t="n">
        <x:v>77.612627</x:v>
      </x:c>
      <x:c r="O20" s="2" t="str">
        <x:v>https://www.google.com/maps?q=13.098397,77.612627</x:v>
      </x:c>
      <x:c r="P20" s="2" t="str">
        <x:v>CORP-0036</x:v>
      </x:c>
    </x:row>
    <x:row r="21" ht="42" customHeight="1">
      <x:c r="A21" s="10" t="n">
        <x:v>0</x:v>
      </x:c>
      <x:c r="B21" s="12" t="str">
        <x:v>MSR0FGZ9</x:v>
      </x:c>
      <x:c r="C21" s="2" t="str">
        <x:v>Bengaluru</x:v>
      </x:c>
      <x:c r="D21" s="12" t="str">
        <x:v>Candeur Carlisle</x:v>
      </x:c>
      <x:c r="E21" s="12" t="str">
        <x:v>Mahadevapura</x:v>
      </x:c>
      <x:c r="F21" s="2" t="n">
        <x:v>10</x:v>
      </x:c>
      <x:c r="G21" s="2" t="n">
        <x:v>304</x:v>
      </x:c>
      <x:c r="H21" s="21" t="n">
        <x:v>2.6</x:v>
      </x:c>
      <x:c r="I21" s="21" t="n">
        <x:v>0.185</x:v>
      </x:c>
      <x:c r="J21" s="17" t="n">
        <x:f>F21*'Costing'!$H$4</x:f>
        <x:v>15120</x:v>
      </x:c>
      <x:c r="K21" s="17" t="n">
        <x:f>ROUND(J21*'Costing'!$C$4,2)</x:f>
        <x:v>2721.6</x:v>
      </x:c>
      <x:c r="L21" s="17" t="n">
        <x:f>J21+K21</x:f>
        <x:v>17841.6</x:v>
      </x:c>
      <x:c r="M21" s="13" t="n">
        <x:v>12.997507</x:v>
      </x:c>
      <x:c r="N21" s="13" t="n">
        <x:v>77.690158</x:v>
      </x:c>
      <x:c r="O21" s="2" t="str">
        <x:v>https://www.google.com/maps?q=12.997507,77.690158</x:v>
      </x:c>
      <x:c r="P21" s="2" t="str">
        <x:v>CORP-0128</x:v>
      </x:c>
    </x:row>
    <x:row r="22" ht="42" customHeight="1">
      <x:c r="A22" s="10" t="n">
        <x:v>0</x:v>
      </x:c>
      <x:c r="B22" s="12" t="str">
        <x:v>MS0B2FN3</x:v>
      </x:c>
      <x:c r="C22" s="2" t="str">
        <x:v>Bengaluru</x:v>
      </x:c>
      <x:c r="D22" s="12" t="str">
        <x:v>DNR Casablanca</x:v>
      </x:c>
      <x:c r="E22" s="12" t="str">
        <x:v>B-Narayanapura</x:v>
      </x:c>
      <x:c r="F22" s="2" t="n">
        <x:v>5</x:v>
      </x:c>
      <x:c r="G22" s="2" t="n">
        <x:v>196</x:v>
      </x:c>
      <x:c r="H22" s="21" t="n">
        <x:v>2.97</x:v>
      </x:c>
      <x:c r="I22" s="21" t="n">
        <x:v>0.387</x:v>
      </x:c>
      <x:c r="J22" s="17" t="n">
        <x:f>F22*'Costing'!$H$4</x:f>
        <x:v>7560</x:v>
      </x:c>
      <x:c r="K22" s="17" t="n">
        <x:f>ROUND(J22*'Costing'!$C$4,2)</x:f>
        <x:v>1360.8</x:v>
      </x:c>
      <x:c r="L22" s="17" t="n">
        <x:f>J22+K22</x:f>
        <x:v>8920.8</x:v>
      </x:c>
      <x:c r="M22" s="13" t="n">
        <x:v>12.994658</x:v>
      </x:c>
      <x:c r="N22" s="13" t="n">
        <x:v>77.689279</x:v>
      </x:c>
      <x:c r="O22" s="2" t="str">
        <x:v>https://www.google.com/maps?q=12.994658,77.689279</x:v>
      </x:c>
      <x:c r="P22" s="2" t="str">
        <x:v>CORP-0128</x:v>
      </x:c>
    </x:row>
    <x:row r="23" ht="42" customHeight="1">
      <x:c r="A23" s="10" t="n">
        <x:v>0</x:v>
      </x:c>
      <x:c r="B23" s="12" t="str">
        <x:v>MS5N4HKX</x:v>
      </x:c>
      <x:c r="C23" s="2" t="str">
        <x:v>Bengaluru</x:v>
      </x:c>
      <x:c r="D23" s="12" t="str">
        <x:v>DSR Lotus Towers</x:v>
      </x:c>
      <x:c r="E23" s="12" t="str">
        <x:v>Hoodi</x:v>
      </x:c>
      <x:c r="F23" s="2" t="n">
        <x:v>5</x:v>
      </x:c>
      <x:c r="G23" s="2" t="n">
        <x:v>176</x:v>
      </x:c>
      <x:c r="H23" s="21" t="n">
        <x:v>2.66</x:v>
      </x:c>
      <x:c r="I23" s="21" t="n">
        <x:v>0.749</x:v>
      </x:c>
      <x:c r="J23" s="17" t="n">
        <x:f>F23*'Costing'!$H$4</x:f>
        <x:v>7560</x:v>
      </x:c>
      <x:c r="K23" s="17" t="n">
        <x:f>ROUND(J23*'Costing'!$C$4,2)</x:f>
        <x:v>1360.8</x:v>
      </x:c>
      <x:c r="L23" s="17" t="n">
        <x:f>J23+K23</x:f>
        <x:v>8920.8</x:v>
      </x:c>
      <x:c r="M23" s="13" t="n">
        <x:v>12.991311</x:v>
      </x:c>
      <x:c r="N23" s="13" t="n">
        <x:v>77.72258</x:v>
      </x:c>
      <x:c r="O23" s="2" t="str">
        <x:v>https://www.google.com/maps?q=12.991311,77.72258</x:v>
      </x:c>
      <x:c r="P23" s="2" t="str">
        <x:v>CORP-0005, CORP-0013, CORP-0445, CORP-0446, CORP-0447, CORP-0448, CORP-0449, CORP-0450, CORP-0451, CORP-0080</x:v>
      </x:c>
    </x:row>
    <x:row r="24" ht="42" customHeight="1">
      <x:c r="A24" s="10" t="n">
        <x:v>0</x:v>
      </x:c>
      <x:c r="B24" s="12" t="str">
        <x:v>MSZQYHPZ</x:v>
      </x:c>
      <x:c r="C24" s="2" t="str">
        <x:v>Bengaluru</x:v>
      </x:c>
      <x:c r="D24" s="12" t="str">
        <x:v>Embassy Pristine</x:v>
      </x:c>
      <x:c r="E24" s="12" t="str">
        <x:v>Bellandur</x:v>
      </x:c>
      <x:c r="F24" s="2" t="n">
        <x:v>16</x:v>
      </x:c>
      <x:c r="G24" s="2" t="n">
        <x:v>424</x:v>
      </x:c>
      <x:c r="H24" s="21" t="n">
        <x:v>10</x:v>
      </x:c>
      <x:c r="I24" s="21" t="n">
        <x:v>1.936</x:v>
      </x:c>
      <x:c r="J24" s="17" t="n">
        <x:f>F24*'Costing'!$H$4</x:f>
        <x:v>24192</x:v>
      </x:c>
      <x:c r="K24" s="17" t="n">
        <x:f>ROUND(J24*'Costing'!$C$4,2)</x:f>
        <x:v>4354.56</x:v>
      </x:c>
      <x:c r="L24" s="17" t="n">
        <x:f>J24+K24</x:f>
        <x:v>28546.56</x:v>
      </x:c>
      <x:c r="M24" s="13" t="n">
        <x:v>12.927971839904785</x:v>
      </x:c>
      <x:c r="N24" s="13" t="n">
        <x:v>77.66104888916016</x:v>
      </x:c>
      <x:c r="O24" s="2" t="str">
        <x:v>https://www.google.com/maps?q=12.927971839904785,77.66104888916016</x:v>
      </x:c>
      <x:c r="P24" s="2" t="str">
        <x:v>CORP-0060, CORP-0086, CORP-0101, CORP-0103, CORP-0108, CORP-0109, CORP-0118, CORP-0124</x:v>
      </x:c>
    </x:row>
    <x:row r="25" ht="42" customHeight="1">
      <x:c r="A25" s="10" t="n">
        <x:v>0</x:v>
      </x:c>
      <x:c r="B25" s="12" t="str">
        <x:v>MS1CT8JA</x:v>
      </x:c>
      <x:c r="C25" s="2" t="str">
        <x:v>Bengaluru</x:v>
      </x:c>
      <x:c r="D25" s="12" t="str">
        <x:v>ETA The Gardens</x:v>
      </x:c>
      <x:c r="E25" s="12" t="str">
        <x:v>Binnipete</x:v>
      </x:c>
      <x:c r="F25" s="2" t="n">
        <x:v>41</x:v>
      </x:c>
      <x:c r="G25" s="2" t="n">
        <x:v>936</x:v>
      </x:c>
      <x:c r="H25" s="21" t="n">
        <x:v>3.38</x:v>
      </x:c>
      <x:c r="I25" s="21" t="n">
        <x:v>4.452</x:v>
      </x:c>
      <x:c r="J25" s="17" t="n">
        <x:f>F25*'Costing'!$H$4</x:f>
        <x:v>61992</x:v>
      </x:c>
      <x:c r="K25" s="17" t="n">
        <x:f>ROUND(J25*'Costing'!$C$4,2)</x:f>
        <x:v>11158.56</x:v>
      </x:c>
      <x:c r="L25" s="17" t="n">
        <x:f>J25+K25</x:f>
        <x:v>73150.56</x:v>
      </x:c>
      <x:c r="M25" s="13" t="n">
        <x:v>12.971411</x:v>
      </x:c>
      <x:c r="N25" s="13" t="n">
        <x:v>77.564592</x:v>
      </x:c>
      <x:c r="O25" s="2" t="str">
        <x:v>https://www.google.com/maps?q=12.971411,77.564592</x:v>
      </x:c>
      <x:c r="P25" s="2" t="str">
        <x:v>CORP-0018, CORP-0074, CORP-0126</x:v>
      </x:c>
    </x:row>
    <x:row r="26" ht="42" customHeight="1">
      <x:c r="A26" s="10" t="n">
        <x:v>0</x:v>
      </x:c>
      <x:c r="B26" s="12" t="str">
        <x:v>MS2QDZA4</x:v>
      </x:c>
      <x:c r="C26" s="2" t="str">
        <x:v>Bengaluru</x:v>
      </x:c>
      <x:c r="D26" s="12" t="str">
        <x:v>G Corp The Icon North</x:v>
      </x:c>
      <x:c r="E26" s="12" t="str">
        <x:v>Thanisandra</x:v>
      </x:c>
      <x:c r="F26" s="2" t="n">
        <x:v>17</x:v>
      </x:c>
      <x:c r="G26" s="2" t="n">
        <x:v>1140</x:v>
      </x:c>
      <x:c r="H26" s="21" t="n">
        <x:v>3.68</x:v>
      </x:c>
      <x:c r="I26" s="21" t="n">
        <x:v>0.561</x:v>
      </x:c>
      <x:c r="J26" s="17" t="n">
        <x:f>F26*'Costing'!$H$4</x:f>
        <x:v>25704</x:v>
      </x:c>
      <x:c r="K26" s="17" t="n">
        <x:f>ROUND(J26*'Costing'!$C$4,2)</x:f>
        <x:v>4626.72</x:v>
      </x:c>
      <x:c r="L26" s="17" t="n">
        <x:f>J26+K26</x:f>
        <x:v>30330.72</x:v>
      </x:c>
      <x:c r="M26" s="13" t="n">
        <x:v>13.047184944152832</x:v>
      </x:c>
      <x:c r="N26" s="13" t="n">
        <x:v>77.62696075439453</x:v>
      </x:c>
      <x:c r="O26" s="2" t="str">
        <x:v>https://www.google.com/maps?q=13.047184944152832,77.62696075439453</x:v>
      </x:c>
      <x:c r="P26" s="2" t="str">
        <x:v>CORP-0081, CORP-0088, CORP-0114, CORP-0119</x:v>
      </x:c>
    </x:row>
    <x:row r="27" ht="42" customHeight="1">
      <x:c r="A27" s="10" t="n">
        <x:v>0</x:v>
      </x:c>
      <x:c r="B27" s="12" t="str">
        <x:v>MSW93ARD</x:v>
      </x:c>
      <x:c r="C27" s="2" t="str">
        <x:v>Bengaluru</x:v>
      </x:c>
      <x:c r="D27" s="12" t="str">
        <x:v>Godrej Air Nxt</x:v>
      </x:c>
      <x:c r="E27" s="12" t="str">
        <x:v>Seetharampalya</x:v>
      </x:c>
      <x:c r="F27" s="2" t="n">
        <x:v>23</x:v>
      </x:c>
      <x:c r="G27" s="2" t="n">
        <x:v>487</x:v>
      </x:c>
      <x:c r="H27" s="21" t="n">
        <x:v>3.5</x:v>
      </x:c>
      <x:c r="I27" s="21" t="n">
        <x:v>0.53</x:v>
      </x:c>
      <x:c r="J27" s="17" t="n">
        <x:f>F27*'Costing'!$H$4</x:f>
        <x:v>34776</x:v>
      </x:c>
      <x:c r="K27" s="17" t="n">
        <x:f>ROUND(J27*'Costing'!$C$4,2)</x:f>
        <x:v>6259.68</x:v>
      </x:c>
      <x:c r="L27" s="17" t="n">
        <x:f>J27+K27</x:f>
        <x:v>41035.68</x:v>
      </x:c>
      <x:c r="M27" s="13" t="n">
        <x:v>12.98748</x:v>
      </x:c>
      <x:c r="N27" s="13" t="n">
        <x:v>77.71177</x:v>
      </x:c>
      <x:c r="O27" s="2" t="str">
        <x:v>https://www.google.com/maps?q=12.98748,77.71177</x:v>
      </x:c>
      <x:c r="P27" s="2" t="str">
        <x:v>CORP-0007, CORP-0054</x:v>
      </x:c>
    </x:row>
    <x:row r="28" ht="42" customHeight="1">
      <x:c r="A28" s="10" t="n">
        <x:v>0</x:v>
      </x:c>
      <x:c r="B28" s="12" t="str">
        <x:v>MSKH4JTM</x:v>
      </x:c>
      <x:c r="C28" s="2" t="str">
        <x:v>Bengaluru</x:v>
      </x:c>
      <x:c r="D28" s="12" t="str">
        <x:v>Goyal Orchid Lakeview</x:v>
      </x:c>
      <x:c r="E28" s="12" t="str">
        <x:v>Sarjapur Road</x:v>
      </x:c>
      <x:c r="F28" s="2" t="n">
        <x:v>9</x:v>
      </x:c>
      <x:c r="G28" s="2" t="n">
        <x:v>336</x:v>
      </x:c>
      <x:c r="H28" s="21" t="n">
        <x:v>3</x:v>
      </x:c>
      <x:c r="I28" s="21" t="n">
        <x:v>0.552</x:v>
      </x:c>
      <x:c r="J28" s="17" t="n">
        <x:f>F28*'Costing'!$H$4</x:f>
        <x:v>13608</x:v>
      </x:c>
      <x:c r="K28" s="17" t="n">
        <x:f>ROUND(J28*'Costing'!$C$4,2)</x:f>
        <x:v>2449.44</x:v>
      </x:c>
      <x:c r="L28" s="17" t="n">
        <x:f>J28+K28</x:f>
        <x:v>16057.44</x:v>
      </x:c>
      <x:c r="M28" s="13" t="n">
        <x:v>12.93176</x:v>
      </x:c>
      <x:c r="N28" s="13" t="n">
        <x:v>77.67769</x:v>
      </x:c>
      <x:c r="O28" s="2" t="str">
        <x:v>https://www.google.com/maps?q=12.93176,77.67769</x:v>
      </x:c>
      <x:c r="P28" s="2" t="str">
        <x:v>CORP-0022, CORP-0034, CORP-0042, CORP-0043, CORP-0048, CORP-0127</x:v>
      </x:c>
    </x:row>
    <x:row r="29" ht="42" customHeight="1">
      <x:c r="A29" s="10" t="n">
        <x:v>0</x:v>
      </x:c>
      <x:c r="B29" s="12" t="str">
        <x:v>MS2SXE3M</x:v>
      </x:c>
      <x:c r="C29" s="2" t="str">
        <x:v>Bengaluru</x:v>
      </x:c>
      <x:c r="D29" s="12" t="str">
        <x:v>Jain Heights East Parade</x:v>
      </x:c>
      <x:c r="E29" s="12" t="str">
        <x:v>Basavanagar</x:v>
      </x:c>
      <x:c r="F29" s="2" t="n">
        <x:v>10</x:v>
      </x:c>
      <x:c r="G29" s="2" t="n">
        <x:v>380</x:v>
      </x:c>
      <x:c r="H29" s="21" t="n">
        <x:v>4.11</x:v>
      </x:c>
      <x:c r="I29" s="21" t="n">
        <x:v>1.483</x:v>
      </x:c>
      <x:c r="J29" s="17" t="n">
        <x:f>F29*'Costing'!$H$4</x:f>
        <x:v>15120</x:v>
      </x:c>
      <x:c r="K29" s="17" t="n">
        <x:f>ROUND(J29*'Costing'!$C$4,2)</x:f>
        <x:v>2721.6</x:v>
      </x:c>
      <x:c r="L29" s="17" t="n">
        <x:f>J29+K29</x:f>
        <x:v>17841.6</x:v>
      </x:c>
      <x:c r="M29" s="13" t="n">
        <x:v>12.97334</x:v>
      </x:c>
      <x:c r="N29" s="13" t="n">
        <x:v>77.68273</x:v>
      </x:c>
      <x:c r="O29" s="2" t="str">
        <x:v>https://www.google.com/maps?q=12.97334,77.68273</x:v>
      </x:c>
      <x:c r="P29" s="2" t="str">
        <x:v>CORP-0131</x:v>
      </x:c>
    </x:row>
    <x:row r="30" ht="42" customHeight="1">
      <x:c r="A30" s="10" t="n">
        <x:v>0</x:v>
      </x:c>
      <x:c r="B30" s="12" t="str">
        <x:v>MS12WQYM</x:v>
      </x:c>
      <x:c r="C30" s="2" t="str">
        <x:v>Bengaluru</x:v>
      </x:c>
      <x:c r="D30" s="12" t="str">
        <x:v>Knights Bridge</x:v>
      </x:c>
      <x:c r="E30" s="12" t="str">
        <x:v>Brookefield</x:v>
      </x:c>
      <x:c r="F30" s="2" t="n">
        <x:v>10</x:v>
      </x:c>
      <x:c r="G30" s="2" t="n">
        <x:v>308</x:v>
      </x:c>
      <x:c r="H30" s="21" t="n">
        <x:v>3.5</x:v>
      </x:c>
      <x:c r="I30" s="21" t="n">
        <x:v>0.985</x:v>
      </x:c>
      <x:c r="J30" s="17" t="n">
        <x:f>F30*'Costing'!$H$4</x:f>
        <x:v>15120</x:v>
      </x:c>
      <x:c r="K30" s="17" t="n">
        <x:f>ROUND(J30*'Costing'!$C$4,2)</x:f>
        <x:v>2721.6</x:v>
      </x:c>
      <x:c r="L30" s="17" t="n">
        <x:f>J30+K30</x:f>
        <x:v>17841.6</x:v>
      </x:c>
      <x:c r="M30" s="13" t="n">
        <x:v>12.9683238</x:v>
      </x:c>
      <x:c r="N30" s="13" t="n">
        <x:v>77.7162649</x:v>
      </x:c>
      <x:c r="O30" s="2" t="str">
        <x:v>https://www.google.com/maps?q=12.9683238,77.7162649</x:v>
      </x:c>
      <x:c r="P30" s="2" t="str">
        <x:v>CORP-0050, CORP-0121</x:v>
      </x:c>
    </x:row>
    <x:row r="31" ht="42" customHeight="1">
      <x:c r="A31" s="10" t="n">
        <x:v>0</x:v>
      </x:c>
      <x:c r="B31" s="12" t="str">
        <x:v>MSWN7TKN</x:v>
      </x:c>
      <x:c r="C31" s="2" t="str">
        <x:v>Bengaluru</x:v>
      </x:c>
      <x:c r="D31" s="12" t="str">
        <x:v>L&amp;T Raintree Boulevard</x:v>
      </x:c>
      <x:c r="E31" s="12" t="str">
        <x:v>Sahakar Nagar</x:v>
      </x:c>
      <x:c r="F31" s="2" t="n">
        <x:v>59</x:v>
      </x:c>
      <x:c r="G31" s="2" t="n">
        <x:v>5142</x:v>
      </x:c>
      <x:c r="H31" s="21" t="n">
        <x:v>4.82</x:v>
      </x:c>
      <x:c r="I31" s="21" t="n">
        <x:v>1.488</x:v>
      </x:c>
      <x:c r="J31" s="17" t="n">
        <x:f>F31*'Costing'!$H$4</x:f>
        <x:v>89208</x:v>
      </x:c>
      <x:c r="K31" s="17" t="n">
        <x:f>ROUND(J31*'Costing'!$C$4,2)</x:f>
        <x:v>16057.44</x:v>
      </x:c>
      <x:c r="L31" s="17" t="n">
        <x:f>J31+K31</x:f>
        <x:v>105265.44</x:v>
      </x:c>
      <x:c r="M31" s="13" t="n">
        <x:v>13.069296836853027</x:v>
      </x:c>
      <x:c r="N31" s="13" t="n">
        <x:v>77.59065246582031</x:v>
      </x:c>
      <x:c r="O31" s="2" t="str">
        <x:v>https://www.google.com/maps?q=13.069296836853027,77.59065246582031</x:v>
      </x:c>
      <x:c r="P31" s="2" t="str">
        <x:v>CORP-0032, CORP-0120</x:v>
      </x:c>
    </x:row>
    <x:row r="32" ht="42" customHeight="1">
      <x:c r="A32" s="10" t="n">
        <x:v>0</x:v>
      </x:c>
      <x:c r="B32" s="12" t="str">
        <x:v>MSWF257H</x:v>
      </x:c>
      <x:c r="C32" s="2" t="str">
        <x:v>Bengaluru</x:v>
      </x:c>
      <x:c r="D32" s="12" t="str">
        <x:v>Lake Verandahs</x:v>
      </x:c>
      <x:c r="E32" s="12" t="str">
        <x:v>Akshayanagar</x:v>
      </x:c>
      <x:c r="F32" s="2" t="n">
        <x:v>10</x:v>
      </x:c>
      <x:c r="G32" s="2" t="n">
        <x:v>216</x:v>
      </x:c>
      <x:c r="H32" s="21" t="n">
        <x:v>2.95</x:v>
      </x:c>
      <x:c r="I32" s="21" t="n">
        <x:v>1.978</x:v>
      </x:c>
      <x:c r="J32" s="17" t="n">
        <x:f>F32*'Costing'!$H$4</x:f>
        <x:v>15120</x:v>
      </x:c>
      <x:c r="K32" s="17" t="n">
        <x:f>ROUND(J32*'Costing'!$C$4,2)</x:f>
        <x:v>2721.6</x:v>
      </x:c>
      <x:c r="L32" s="17" t="n">
        <x:f>J32+K32</x:f>
        <x:v>17841.6</x:v>
      </x:c>
      <x:c r="M32" s="13" t="n">
        <x:v>12.874001502990723</x:v>
      </x:c>
      <x:c r="N32" s="13" t="n">
        <x:v>77.60993194580078</x:v>
      </x:c>
      <x:c r="O32" s="2" t="str">
        <x:v>https://www.google.com/maps?q=12.874001502990723,77.60993194580078</x:v>
      </x:c>
      <x:c r="P32" s="2" t="str">
        <x:v>CORP-0123</x:v>
      </x:c>
    </x:row>
    <x:row r="33" ht="42" customHeight="1">
      <x:c r="A33" s="10" t="n">
        <x:v>0</x:v>
      </x:c>
      <x:c r="B33" s="12" t="str">
        <x:v>MS00DWAF</x:v>
      </x:c>
      <x:c r="C33" s="2" t="str">
        <x:v>Bengaluru</x:v>
      </x:c>
      <x:c r="D33" s="12" t="str">
        <x:v>Mantri Elite</x:v>
      </x:c>
      <x:c r="E33" s="12" t="str">
        <x:v>JP Nagar</x:v>
      </x:c>
      <x:c r="F33" s="2" t="n">
        <x:v>8</x:v>
      </x:c>
      <x:c r="G33" s="2" t="n">
        <x:v>230</x:v>
      </x:c>
      <x:c r="H33" s="21" t="n">
        <x:v>4.5</x:v>
      </x:c>
      <x:c r="I33" s="21" t="n">
        <x:v>3.544</x:v>
      </x:c>
      <x:c r="J33" s="17" t="n">
        <x:f>F33*'Costing'!$H$4</x:f>
        <x:v>12096</x:v>
      </x:c>
      <x:c r="K33" s="17" t="n">
        <x:f>ROUND(J33*'Costing'!$C$4,2)</x:f>
        <x:v>2177.28</x:v>
      </x:c>
      <x:c r="L33" s="17" t="n">
        <x:f>J33+K33</x:f>
        <x:v>14273.28</x:v>
      </x:c>
      <x:c r="M33" s="13" t="n">
        <x:v>12.90507984161377</x:v>
      </x:c>
      <x:c r="N33" s="13" t="n">
        <x:v>77.60034942626953</x:v>
      </x:c>
      <x:c r="O33" s="2" t="str">
        <x:v>https://www.google.com/maps?q=12.90507984161377,77.60034942626953</x:v>
      </x:c>
      <x:c r="P33" s="2" t="str">
        <x:v>CORP-0011, CORP-0515, CORP-0516, CORP-0517, CORP-0027, CORP-0117</x:v>
      </x:c>
    </x:row>
    <x:row r="34" ht="42" customHeight="1">
      <x:c r="A34" s="10" t="n">
        <x:v>0</x:v>
      </x:c>
      <x:c r="B34" s="12" t="str">
        <x:v>MSVP35VM</x:v>
      </x:c>
      <x:c r="C34" s="2" t="str">
        <x:v>Bengaluru</x:v>
      </x:c>
      <x:c r="D34" s="12" t="str">
        <x:v>Mantri Greens</x:v>
      </x:c>
      <x:c r="E34" s="12" t="str">
        <x:v>Malleswaram</x:v>
      </x:c>
      <x:c r="F34" s="2" t="n">
        <x:v>13</x:v>
      </x:c>
      <x:c r="G34" s="2" t="n">
        <x:v>425</x:v>
      </x:c>
      <x:c r="H34" s="21" t="n">
        <x:v>3.47</x:v>
      </x:c>
      <x:c r="I34" s="21" t="n">
        <x:v>3.136</x:v>
      </x:c>
      <x:c r="J34" s="17" t="n">
        <x:f>F34*'Costing'!$H$4</x:f>
        <x:v>19656</x:v>
      </x:c>
      <x:c r="K34" s="17" t="n">
        <x:f>ROUND(J34*'Costing'!$C$4,2)</x:f>
        <x:v>3538.08</x:v>
      </x:c>
      <x:c r="L34" s="17" t="n">
        <x:f>J34+K34</x:f>
        <x:v>23194.08</x:v>
      </x:c>
      <x:c r="M34" s="13" t="n">
        <x:v>12.992825508117676</x:v>
      </x:c>
      <x:c r="N34" s="13" t="n">
        <x:v>77.5704574584961</x:v>
      </x:c>
      <x:c r="O34" s="2" t="str">
        <x:v>https://www.google.com/maps?q=12.992825508117676,77.5704574584961</x:v>
      </x:c>
      <x:c r="P34" s="2" t="str">
        <x:v>CORP-0010, CORP-0012, CORP-0018, CORP-0019, CORP-0021, CORP-0039, CORP-0046, CORP-0053, CORP-0069, CORP-0518, CORP-0519, CORP-0520, CORP-0074, CORP-0090, CORP-0125, CORP-0126</x:v>
      </x:c>
    </x:row>
    <x:row r="35" ht="42" customHeight="1">
      <x:c r="A35" s="10" t="n">
        <x:v>0</x:v>
      </x:c>
      <x:c r="B35" s="12" t="str">
        <x:v>MSMRH9ZX</x:v>
      </x:c>
      <x:c r="C35" s="2" t="str">
        <x:v>Bengaluru</x:v>
      </x:c>
      <x:c r="D35" s="12" t="str">
        <x:v>Mathrushree Orchid Homes</x:v>
      </x:c>
      <x:c r="E35" s="12" t="str">
        <x:v>Bellandur</x:v>
      </x:c>
      <x:c r="F35" s="2" t="n">
        <x:v>6</x:v>
      </x:c>
      <x:c r="G35" s="2" t="n">
        <x:v>104</x:v>
      </x:c>
      <x:c r="H35" s="21" t="n">
        <x:v>2.8</x:v>
      </x:c>
      <x:c r="I35" s="21" t="n">
        <x:v>1.205</x:v>
      </x:c>
      <x:c r="J35" s="17" t="n">
        <x:f>F35*'Costing'!$H$4</x:f>
        <x:v>9072</x:v>
      </x:c>
      <x:c r="K35" s="17" t="n">
        <x:f>ROUND(J35*'Costing'!$C$4,2)</x:f>
        <x:v>1632.96</x:v>
      </x:c>
      <x:c r="L35" s="17" t="n">
        <x:f>J35+K35</x:f>
        <x:v>10704.96</x:v>
      </x:c>
      <x:c r="M35" s="13" t="n">
        <x:v>12.94518</x:v>
      </x:c>
      <x:c r="N35" s="13" t="n">
        <x:v>77.67804</x:v>
      </x:c>
      <x:c r="O35" s="2" t="str">
        <x:v>https://www.google.com/maps?q=12.94518,77.67804</x:v>
      </x:c>
      <x:c r="P35" s="2" t="str">
        <x:v>CORP-0014, CORP-0017, CORP-0058, CORP-0068</x:v>
      </x:c>
    </x:row>
    <x:row r="36" ht="42" customHeight="1">
      <x:c r="A36" s="10" t="n">
        <x:v>0</x:v>
      </x:c>
      <x:c r="B36" s="12" t="str">
        <x:v>MS9C85V9</x:v>
      </x:c>
      <x:c r="C36" s="2" t="str">
        <x:v>Bengaluru</x:v>
      </x:c>
      <x:c r="D36" s="12" t="str">
        <x:v>Millenium Habitate Apartments</x:v>
      </x:c>
      <x:c r="E36" s="12" t="str">
        <x:v>Brookefield</x:v>
      </x:c>
      <x:c r="F36" s="2" t="n">
        <x:v>8</x:v>
      </x:c>
      <x:c r="G36" s="2" t="n">
        <x:v>288</x:v>
      </x:c>
      <x:c r="H36" s="21" t="n">
        <x:v>2.75</x:v>
      </x:c>
      <x:c r="I36" s="21" t="n">
        <x:v>0.905</x:v>
      </x:c>
      <x:c r="J36" s="17" t="n">
        <x:f>F36*'Costing'!$H$4</x:f>
        <x:v>12096</x:v>
      </x:c>
      <x:c r="K36" s="17" t="n">
        <x:f>ROUND(J36*'Costing'!$C$4,2)</x:f>
        <x:v>2177.28</x:v>
      </x:c>
      <x:c r="L36" s="17" t="n">
        <x:f>J36+K36</x:f>
        <x:v>14273.28</x:v>
      </x:c>
      <x:c r="M36" s="13" t="n">
        <x:v>12.967855453491211</x:v>
      </x:c>
      <x:c r="N36" s="13" t="n">
        <x:v>77.71232604980469</x:v>
      </x:c>
      <x:c r="O36" s="2" t="str">
        <x:v>https://www.google.com/maps?q=12.967855453491211,77.71232604980469</x:v>
      </x:c>
      <x:c r="P36" s="2" t="str">
        <x:v>CORP-0033</x:v>
      </x:c>
    </x:row>
    <x:row r="37" ht="42" customHeight="1">
      <x:c r="A37" s="10" t="n">
        <x:v>0</x:v>
      </x:c>
      <x:c r="B37" s="12" t="str">
        <x:v>MSS83H91</x:v>
      </x:c>
      <x:c r="C37" s="2" t="str">
        <x:v>Bengaluru</x:v>
      </x:c>
      <x:c r="D37" s="12" t="str">
        <x:v>Natasha Golf View</x:v>
      </x:c>
      <x:c r="E37" s="12" t="str">
        <x:v>Domlur</x:v>
      </x:c>
      <x:c r="F37" s="2" t="n">
        <x:v>7</x:v>
      </x:c>
      <x:c r="G37" s="2" t="n">
        <x:v>305</x:v>
      </x:c>
      <x:c r="H37" s="21" t="n">
        <x:v>2.2</x:v>
      </x:c>
      <x:c r="I37" s="21" t="n">
        <x:v>1.488</x:v>
      </x:c>
      <x:c r="J37" s="17" t="n">
        <x:f>F37*'Costing'!$H$4</x:f>
        <x:v>10584</x:v>
      </x:c>
      <x:c r="K37" s="17" t="n">
        <x:f>ROUND(J37*'Costing'!$C$4,2)</x:f>
        <x:v>1905.12</x:v>
      </x:c>
      <x:c r="L37" s="17" t="n">
        <x:f>J37+K37</x:f>
        <x:v>12489.119999999999</x:v>
      </x:c>
      <x:c r="M37" s="13" t="n">
        <x:v>12.95842</x:v>
      </x:c>
      <x:c r="N37" s="13" t="n">
        <x:v>77.64271</x:v>
      </x:c>
      <x:c r="O37" s="2" t="str">
        <x:v>https://www.google.com/maps?q=12.95842,77.64271</x:v>
      </x:c>
      <x:c r="P37" s="2" t="str">
        <x:v>CORP-0026, CORP-0028, CORP-0029, CORP-0031, CORP-0063, CORP-0071, CORP-0072, CORP-0073, CORP-0075, CORP-0111</x:v>
      </x:c>
    </x:row>
    <x:row r="38" ht="42" customHeight="1">
      <x:c r="A38" s="10" t="n">
        <x:v>0</x:v>
      </x:c>
      <x:c r="B38" s="12" t="str">
        <x:v>MS1PB5A1</x:v>
      </x:c>
      <x:c r="C38" s="2" t="str">
        <x:v>Bengaluru</x:v>
      </x:c>
      <x:c r="D38" s="12" t="str">
        <x:v>NCC Ivory Heights</x:v>
      </x:c>
      <x:c r="E38" s="12" t="str">
        <x:v>Mahadevapura</x:v>
      </x:c>
      <x:c r="F38" s="2" t="n">
        <x:v>9</x:v>
      </x:c>
      <x:c r="G38" s="2" t="n">
        <x:v>286</x:v>
      </x:c>
      <x:c r="H38" s="21" t="n">
        <x:v>3.23</x:v>
      </x:c>
      <x:c r="I38" s="21" t="n">
        <x:v>0.627</x:v>
      </x:c>
      <x:c r="J38" s="17" t="n">
        <x:f>F38*'Costing'!$H$4</x:f>
        <x:v>13608</x:v>
      </x:c>
      <x:c r="K38" s="17" t="n">
        <x:f>ROUND(J38*'Costing'!$C$4,2)</x:f>
        <x:v>2449.44</x:v>
      </x:c>
      <x:c r="L38" s="17" t="n">
        <x:f>J38+K38</x:f>
        <x:v>16057.44</x:v>
      </x:c>
      <x:c r="M38" s="13" t="n">
        <x:v>12.994055853088843</x:v>
      </x:c>
      <x:c r="N38" s="13" t="n">
        <x:v>77.6844702953671</x:v>
      </x:c>
      <x:c r="O38" s="2" t="str">
        <x:v>https://www.google.com/maps?q=12.994055853088843,77.6844702953671</x:v>
      </x:c>
      <x:c r="P38" s="2" t="str">
        <x:v>CORP-0128</x:v>
      </x:c>
    </x:row>
    <x:row r="39" ht="42" customHeight="1">
      <x:c r="A39" s="10" t="n">
        <x:v>0</x:v>
      </x:c>
      <x:c r="B39" s="12" t="str">
        <x:v>MS8W70Q2</x:v>
      </x:c>
      <x:c r="C39" s="2" t="str">
        <x:v>Bengaluru</x:v>
      </x:c>
      <x:c r="D39" s="12" t="str">
        <x:v>NCC Maple Heights</x:v>
      </x:c>
      <x:c r="E39" s="12" t="str">
        <x:v>B-Narayanapura</x:v>
      </x:c>
      <x:c r="F39" s="2" t="n">
        <x:v>8</x:v>
      </x:c>
      <x:c r="G39" s="2" t="n">
        <x:v>350</x:v>
      </x:c>
      <x:c r="H39" s="21" t="n">
        <x:v>2.6</x:v>
      </x:c>
      <x:c r="I39" s="21" t="n">
        <x:v>1.372</x:v>
      </x:c>
      <x:c r="J39" s="17" t="n">
        <x:f>F39*'Costing'!$H$4</x:f>
        <x:v>12096</x:v>
      </x:c>
      <x:c r="K39" s="17" t="n">
        <x:f>ROUND(J39*'Costing'!$C$4,2)</x:f>
        <x:v>2177.28</x:v>
      </x:c>
      <x:c r="L39" s="17" t="n">
        <x:f>J39+K39</x:f>
        <x:v>14273.28</x:v>
      </x:c>
      <x:c r="M39" s="13" t="n">
        <x:v>12.993729</x:v>
      </x:c>
      <x:c r="N39" s="13" t="n">
        <x:v>77.68138</x:v>
      </x:c>
      <x:c r="O39" s="2" t="str">
        <x:v>https://www.google.com/maps?q=12.993729,77.68138</x:v>
      </x:c>
      <x:c r="P39" s="2" t="str">
        <x:v>CORP-0122, CORP-0129</x:v>
      </x:c>
    </x:row>
    <x:row r="40" ht="42" customHeight="1">
      <x:c r="A40" s="10" t="n">
        <x:v>0</x:v>
      </x:c>
      <x:c r="B40" s="12" t="str">
        <x:v>MST435KV</x:v>
      </x:c>
      <x:c r="C40" s="2" t="str">
        <x:v>Bengaluru</x:v>
      </x:c>
      <x:c r="D40" s="12" t="str">
        <x:v>Prestige Ferns Residency</x:v>
      </x:c>
      <x:c r="E40" s="12" t="str">
        <x:v>Harlur</x:v>
      </x:c>
      <x:c r="F40" s="2" t="n">
        <x:v>50</x:v>
      </x:c>
      <x:c r="G40" s="2" t="n">
        <x:v>1485</x:v>
      </x:c>
      <x:c r="H40" s="21" t="n">
        <x:v>4.9</x:v>
      </x:c>
      <x:c r="I40" s="21" t="n">
        <x:v>1.445</x:v>
      </x:c>
      <x:c r="J40" s="17" t="n">
        <x:f>F40*'Costing'!$H$4</x:f>
        <x:v>75600</x:v>
      </x:c>
      <x:c r="K40" s="17" t="n">
        <x:f>ROUND(J40*'Costing'!$C$4,2)</x:f>
        <x:v>13608</x:v>
      </x:c>
      <x:c r="L40" s="17" t="n">
        <x:f>J40+K40</x:f>
        <x:v>89208</x:v>
      </x:c>
      <x:c r="M40" s="13" t="n">
        <x:v>12.90329</x:v>
      </x:c>
      <x:c r="N40" s="13" t="n">
        <x:v>77.66202</x:v>
      </x:c>
      <x:c r="O40" s="2" t="str">
        <x:v>https://www.google.com/maps?q=12.90329,77.66202</x:v>
      </x:c>
      <x:c r="P40" s="2" t="str">
        <x:v>CORP-0024, CORP-0082, CORP-0083, CORP-0084, CORP-0085, CORP-0086, CORP-0091</x:v>
      </x:c>
    </x:row>
    <x:row r="41" ht="42" customHeight="1">
      <x:c r="A41" s="10" t="n">
        <x:v>0</x:v>
      </x:c>
      <x:c r="B41" s="12" t="str">
        <x:v>MSJW24PY</x:v>
      </x:c>
      <x:c r="C41" s="2" t="str">
        <x:v>Bengaluru</x:v>
      </x:c>
      <x:c r="D41" s="12" t="str">
        <x:v>Prestige Greenwoods</x:v>
      </x:c>
      <x:c r="E41" s="12" t="str">
        <x:v>Old Madras Road</x:v>
      </x:c>
      <x:c r="F41" s="2" t="n">
        <x:v>7</x:v>
      </x:c>
      <x:c r="G41" s="2" t="n">
        <x:v>168</x:v>
      </x:c>
      <x:c r="H41" s="21" t="n">
        <x:v>4.62</x:v>
      </x:c>
      <x:c r="I41" s="21" t="n">
        <x:v>0.936</x:v>
      </x:c>
      <x:c r="J41" s="17" t="n">
        <x:f>F41*'Costing'!$H$4</x:f>
        <x:v>10584</x:v>
      </x:c>
      <x:c r="K41" s="17" t="n">
        <x:f>ROUND(J41*'Costing'!$C$4,2)</x:f>
        <x:v>1905.12</x:v>
      </x:c>
      <x:c r="L41" s="17" t="n">
        <x:f>J41+K41</x:f>
        <x:v>12489.119999999999</x:v>
      </x:c>
      <x:c r="M41" s="13" t="n">
        <x:v>12.990399</x:v>
      </x:c>
      <x:c r="N41" s="13" t="n">
        <x:v>77.662626</x:v>
      </x:c>
      <x:c r="O41" s="2" t="str">
        <x:v>https://www.google.com/maps?q=12.990399,77.662626</x:v>
      </x:c>
      <x:c r="P41" s="2" t="str">
        <x:v>CORP-0026, CORP-0029, CORP-0030, CORP-0031, CORP-0122, CORP-0129</x:v>
      </x:c>
    </x:row>
    <x:row r="42" ht="42" customHeight="1">
      <x:c r="A42" s="10" t="n">
        <x:v>0</x:v>
      </x:c>
      <x:c r="B42" s="12" t="str">
        <x:v>MSSZDYDS</x:v>
      </x:c>
      <x:c r="C42" s="2" t="str">
        <x:v>Bengaluru</x:v>
      </x:c>
      <x:c r="D42" s="12" t="str">
        <x:v>Prestige IVY Terraces</x:v>
      </x:c>
      <x:c r="E42" s="12" t="str">
        <x:v>Kadubeesanahalli</x:v>
      </x:c>
      <x:c r="F42" s="2" t="n">
        <x:v>13</x:v>
      </x:c>
      <x:c r="G42" s="2" t="n">
        <x:v>320</x:v>
      </x:c>
      <x:c r="H42" s="21" t="n">
        <x:v>3.02</x:v>
      </x:c>
      <x:c r="I42" s="21" t="n">
        <x:v>0.324</x:v>
      </x:c>
      <x:c r="J42" s="17" t="n">
        <x:f>F42*'Costing'!$H$4</x:f>
        <x:v>19656</x:v>
      </x:c>
      <x:c r="K42" s="17" t="n">
        <x:f>ROUND(J42*'Costing'!$C$4,2)</x:f>
        <x:v>3538.08</x:v>
      </x:c>
      <x:c r="L42" s="17" t="n">
        <x:f>J42+K42</x:f>
        <x:v>23194.08</x:v>
      </x:c>
      <x:c r="M42" s="13" t="n">
        <x:v>12.9329356</x:v>
      </x:c>
      <x:c r="N42" s="13" t="n">
        <x:v>77.6960928</x:v>
      </x:c>
      <x:c r="O42" s="2" t="str">
        <x:v>https://www.google.com/maps?q=12.9329356,77.6960928</x:v>
      </x:c>
      <x:c r="P42" s="2" t="str">
        <x:v>CORP-0014, CORP-0015, CORP-0016, CORP-0017, CORP-0020, CORP-0056, CORP-0584, CORP-0585, CORP-0586, CORP-0065, CORP-0068, CORP-0112, CORP-0113</x:v>
      </x:c>
    </x:row>
    <x:row r="43" ht="42" customHeight="1">
      <x:c r="A43" s="10" t="n">
        <x:v>0</x:v>
      </x:c>
      <x:c r="B43" s="12" t="str">
        <x:v>MS2RXA5T</x:v>
      </x:c>
      <x:c r="C43" s="2" t="str">
        <x:v>Bengaluru</x:v>
      </x:c>
      <x:c r="D43" s="12" t="str">
        <x:v>Prestige KEW Gardens</x:v>
      </x:c>
      <x:c r="E43" s="12" t="str">
        <x:v>Bellandur</x:v>
      </x:c>
      <x:c r="F43" s="2" t="n">
        <x:v>48</x:v>
      </x:c>
      <x:c r="G43" s="2" t="n">
        <x:v>979</x:v>
      </x:c>
      <x:c r="H43" s="21" t="n">
        <x:v>4.04</x:v>
      </x:c>
      <x:c r="I43" s="21" t="n">
        <x:v>1.288</x:v>
      </x:c>
      <x:c r="J43" s="17" t="n">
        <x:f>F43*'Costing'!$H$4</x:f>
        <x:v>72576</x:v>
      </x:c>
      <x:c r="K43" s="17" t="n">
        <x:f>ROUND(J43*'Costing'!$C$4,2)</x:f>
        <x:v>13063.68</x:v>
      </x:c>
      <x:c r="L43" s="17" t="n">
        <x:f>J43+K43</x:f>
        <x:v>85639.68</x:v>
      </x:c>
      <x:c r="M43" s="13" t="n">
        <x:v>12.947686</x:v>
      </x:c>
      <x:c r="N43" s="13" t="n">
        <x:v>77.678255</x:v>
      </x:c>
      <x:c r="O43" s="2" t="str">
        <x:v>https://www.google.com/maps?q=12.947686,77.678255</x:v>
      </x:c>
      <x:c r="P43" s="2" t="str">
        <x:v>CORP-0058</x:v>
      </x:c>
    </x:row>
    <x:row r="44" ht="42" customHeight="1">
      <x:c r="A44" s="10" t="n">
        <x:v>0</x:v>
      </x:c>
      <x:c r="B44" s="12" t="str">
        <x:v>GMSZTMPQY</x:v>
      </x:c>
      <x:c r="C44" s="2" t="str">
        <x:v>Bengaluru</x:v>
      </x:c>
      <x:c r="D44" s="12" t="str">
        <x:v>Prestige Misty Waters</x:v>
      </x:c>
      <x:c r="E44" s="12" t="str">
        <x:v>Hebbal</x:v>
      </x:c>
      <x:c r="F44" s="2" t="n">
        <x:v>25</x:v>
      </x:c>
      <x:c r="G44" s="2" t="n">
        <x:v>0</x:v>
      </x:c>
      <x:c r="H44" s="21" t="n">
        <x:v>3.75</x:v>
      </x:c>
      <x:c r="I44" s="21" t="n">
        <x:v>0.933</x:v>
      </x:c>
      <x:c r="J44" s="17" t="n">
        <x:f>F44*'Costing'!$H$4</x:f>
        <x:v>37800</x:v>
      </x:c>
      <x:c r="K44" s="17" t="n">
        <x:f>ROUND(J44*'Costing'!$C$4,2)</x:f>
        <x:v>6804</x:v>
      </x:c>
      <x:c r="L44" s="17" t="n">
        <x:f>J44+K44</x:f>
        <x:v>44604</x:v>
      </x:c>
      <x:c r="M44" s="13" t="n">
        <x:v>13.046364784240723</x:v>
      </x:c>
      <x:c r="N44" s="13" t="n">
        <x:v>77.60198211669922</x:v>
      </x:c>
      <x:c r="O44" s="2" t="str">
        <x:v>https://www.google.com/maps?q=13.046364784240723,77.60198211669922</x:v>
      </x:c>
      <x:c r="P44" s="2" t="str">
        <x:v>CORP-0008, CORP-0032, CORP-0081, CORP-0088, CORP-0114, CORP-0119, CORP-0120</x:v>
      </x:c>
    </x:row>
    <x:row r="45" ht="42" customHeight="1">
      <x:c r="A45" s="10" t="n">
        <x:v>0</x:v>
      </x:c>
      <x:c r="B45" s="12" t="str">
        <x:v>MSSPCKWQ</x:v>
      </x:c>
      <x:c r="C45" s="2" t="str">
        <x:v>Bengaluru</x:v>
      </x:c>
      <x:c r="D45" s="12" t="str">
        <x:v>Prestige Shantiniketan</x:v>
      </x:c>
      <x:c r="E45" s="12" t="str">
        <x:v>KR Puram</x:v>
      </x:c>
      <x:c r="F45" s="2" t="n">
        <x:v>57</x:v>
      </x:c>
      <x:c r="G45" s="2" t="n">
        <x:v>3002</x:v>
      </x:c>
      <x:c r="H45" s="21" t="n">
        <x:v>7.5</x:v>
      </x:c>
      <x:c r="I45" s="21" t="n">
        <x:v>0.598</x:v>
      </x:c>
      <x:c r="J45" s="17" t="n">
        <x:f>F45*'Costing'!$H$4</x:f>
        <x:v>86184</x:v>
      </x:c>
      <x:c r="K45" s="17" t="n">
        <x:f>ROUND(J45*'Costing'!$C$4,2)</x:f>
        <x:v>15513.12</x:v>
      </x:c>
      <x:c r="L45" s="17" t="n">
        <x:f>J45+K45</x:f>
        <x:v>101697.12</x:v>
      </x:c>
      <x:c r="M45" s="13" t="n">
        <x:v>12.994268417358398</x:v>
      </x:c>
      <x:c r="N45" s="13" t="n">
        <x:v>77.72872924804688</x:v>
      </x:c>
      <x:c r="O45" s="2" t="str">
        <x:v>https://www.google.com/maps?q=12.994268417358398,77.72872924804688</x:v>
      </x:c>
      <x:c r="P45" s="2" t="str">
        <x:v>CORP-0013, CORP-0445, CORP-0446, CORP-0447, CORP-0448, CORP-0449, CORP-0450, CORP-0451, CORP-0080</x:v>
      </x:c>
    </x:row>
    <x:row r="46" ht="42" customHeight="1">
      <x:c r="A46" s="10" t="n">
        <x:v>0</x:v>
      </x:c>
      <x:c r="B46" s="12" t="str">
        <x:v>MS86S225</x:v>
      </x:c>
      <x:c r="C46" s="2" t="str">
        <x:v>Bengaluru</x:v>
      </x:c>
      <x:c r="D46" s="12" t="str">
        <x:v>Prestige West Woods</x:v>
      </x:c>
      <x:c r="E46" s="12" t="str">
        <x:v>Binnipete</x:v>
      </x:c>
      <x:c r="F46" s="2" t="n">
        <x:v>17</x:v>
      </x:c>
      <x:c r="G46" s="2" t="n">
        <x:v>567</x:v>
      </x:c>
      <x:c r="H46" s="21" t="n">
        <x:v>6.72</x:v>
      </x:c>
      <x:c r="I46" s="21" t="n">
        <x:v>2.802</x:v>
      </x:c>
      <x:c r="J46" s="17" t="n">
        <x:f>F46*'Costing'!$H$4</x:f>
        <x:v>25704</x:v>
      </x:c>
      <x:c r="K46" s="17" t="n">
        <x:f>ROUND(J46*'Costing'!$C$4,2)</x:f>
        <x:v>4626.72</x:v>
      </x:c>
      <x:c r="L46" s="17" t="n">
        <x:f>J46+K46</x:f>
        <x:v>30330.72</x:v>
      </x:c>
      <x:c r="M46" s="13" t="n">
        <x:v>12.977646</x:v>
      </x:c>
      <x:c r="N46" s="13" t="n">
        <x:v>77.563201</x:v>
      </x:c>
      <x:c r="O46" s="2" t="str">
        <x:v>https://www.google.com/maps?q=12.977646,77.563201</x:v>
      </x:c>
      <x:c r="P46" s="2" t="str">
        <x:v>CORP-0010, CORP-0012, CORP-0018, CORP-0019, CORP-0021, CORP-0039, CORP-0044, CORP-0045, CORP-0046, CORP-0049, CORP-0053, CORP-0059, CORP-0069, CORP-0518, CORP-0519, CORP-0520, CORP-0070, CORP-0074, CORP-0078, CORP-0079, CORP-0090, CORP-0116, CORP-0125, CORP-0126</x:v>
      </x:c>
    </x:row>
    <x:row r="47" ht="42" customHeight="1">
      <x:c r="A47" s="10" t="n">
        <x:v>0</x:v>
      </x:c>
      <x:c r="B47" s="12" t="str">
        <x:v>MS0JFND9</x:v>
      </x:c>
      <x:c r="C47" s="2" t="str">
        <x:v>Bengaluru</x:v>
      </x:c>
      <x:c r="D47" s="12" t="str">
        <x:v>Purva Riviera</x:v>
      </x:c>
      <x:c r="E47" s="12" t="str">
        <x:v>Marathahalli</x:v>
      </x:c>
      <x:c r="F47" s="2" t="n">
        <x:v>31</x:v>
      </x:c>
      <x:c r="G47" s="2" t="n">
        <x:v>949</x:v>
      </x:c>
      <x:c r="H47" s="21" t="n">
        <x:v>4.7</x:v>
      </x:c>
      <x:c r="I47" s="21" t="n">
        <x:v>0.77</x:v>
      </x:c>
      <x:c r="J47" s="17" t="n">
        <x:f>F47*'Costing'!$H$4</x:f>
        <x:v>46872</x:v>
      </x:c>
      <x:c r="K47" s="17" t="n">
        <x:f>ROUND(J47*'Costing'!$C$4,2)</x:f>
        <x:v>8436.96</x:v>
      </x:c>
      <x:c r="L47" s="17" t="n">
        <x:f>J47+K47</x:f>
        <x:v>55308.96</x:v>
      </x:c>
      <x:c r="M47" s="13" t="n">
        <x:v>12.959382057189941</x:v>
      </x:c>
      <x:c r="N47" s="13" t="n">
        <x:v>77.70758056640625</x:v>
      </x:c>
      <x:c r="O47" s="2" t="str">
        <x:v>https://www.google.com/maps?q=12.959382057189941,77.70758056640625</x:v>
      </x:c>
      <x:c r="P47" s="2" t="str">
        <x:v>CORP-0020, CORP-0040, CORP-0050, CORP-0051, CORP-0052, CORP-0121</x:v>
      </x:c>
    </x:row>
    <x:row r="48" ht="42" customHeight="1">
      <x:c r="A48" s="10" t="n">
        <x:v>0</x:v>
      </x:c>
      <x:c r="B48" s="12" t="str">
        <x:v>MSH46B0Y</x:v>
      </x:c>
      <x:c r="C48" s="2" t="str">
        <x:v>Bengaluru</x:v>
      </x:c>
      <x:c r="D48" s="12" t="str">
        <x:v>Purva Seasons</x:v>
      </x:c>
      <x:c r="E48" s="12" t="str">
        <x:v>CV Raman Nagar</x:v>
      </x:c>
      <x:c r="F48" s="2" t="n">
        <x:v>18</x:v>
      </x:c>
      <x:c r="G48" s="2" t="n">
        <x:v>660</x:v>
      </x:c>
      <x:c r="H48" s="21" t="n">
        <x:v>3.94</x:v>
      </x:c>
      <x:c r="I48" s="21" t="n">
        <x:v>0.903</x:v>
      </x:c>
      <x:c r="J48" s="17" t="n">
        <x:f>F48*'Costing'!$H$4</x:f>
        <x:v>27216</x:v>
      </x:c>
      <x:c r="K48" s="17" t="n">
        <x:f>ROUND(J48*'Costing'!$C$4,2)</x:f>
        <x:v>4898.88</x:v>
      </x:c>
      <x:c r="L48" s="17" t="n">
        <x:f>J48+K48</x:f>
        <x:v>32114.88</x:v>
      </x:c>
      <x:c r="M48" s="13" t="n">
        <x:v>12.988283157348633</x:v>
      </x:c>
      <x:c r="N48" s="13" t="n">
        <x:v>77.66727447509766</x:v>
      </x:c>
      <x:c r="O48" s="2" t="str">
        <x:v>https://www.google.com/maps?q=12.988283157348633,77.66727447509766</x:v>
      </x:c>
      <x:c r="P48" s="2" t="str">
        <x:v>CORP-0026, CORP-0030, CORP-0031, CORP-0122, CORP-0129</x:v>
      </x:c>
    </x:row>
    <x:row r="49" ht="42" customHeight="1">
      <x:c r="A49" s="10" t="n">
        <x:v>0</x:v>
      </x:c>
      <x:c r="B49" s="12" t="str">
        <x:v>MSKNKFA8</x:v>
      </x:c>
      <x:c r="C49" s="2" t="str">
        <x:v>Bengaluru</x:v>
      </x:c>
      <x:c r="D49" s="12" t="str">
        <x:v>Purva Skydale</x:v>
      </x:c>
      <x:c r="E49" s="12" t="str">
        <x:v>HSR Layout</x:v>
      </x:c>
      <x:c r="F49" s="2" t="n">
        <x:v>8</x:v>
      </x:c>
      <x:c r="G49" s="2" t="n">
        <x:v>314</x:v>
      </x:c>
      <x:c r="H49" s="21" t="n">
        <x:v>3.2</x:v>
      </x:c>
      <x:c r="I49" s="21" t="n">
        <x:v>1.678</x:v>
      </x:c>
      <x:c r="J49" s="17" t="n">
        <x:f>F49*'Costing'!$H$4</x:f>
        <x:v>12096</x:v>
      </x:c>
      <x:c r="K49" s="17" t="n">
        <x:f>ROUND(J49*'Costing'!$C$4,2)</x:f>
        <x:v>2177.28</x:v>
      </x:c>
      <x:c r="L49" s="17" t="n">
        <x:f>J49+K49</x:f>
        <x:v>14273.28</x:v>
      </x:c>
      <x:c r="M49" s="13" t="n">
        <x:v>12.894430160522461</x:v>
      </x:c>
      <x:c r="N49" s="13" t="n">
        <x:v>77.66227722167969</x:v>
      </x:c>
      <x:c r="O49" s="2" t="str">
        <x:v>https://www.google.com/maps?q=12.894430160522461,77.66227722167969</x:v>
      </x:c>
      <x:c r="P49" s="2" t="str">
        <x:v>CORP-0024</x:v>
      </x:c>
    </x:row>
    <x:row r="50" ht="42" customHeight="1">
      <x:c r="A50" s="10" t="n">
        <x:v>0</x:v>
      </x:c>
      <x:c r="B50" s="12" t="str">
        <x:v>MSBWY7SG</x:v>
      </x:c>
      <x:c r="C50" s="2" t="str">
        <x:v>Bengaluru</x:v>
      </x:c>
      <x:c r="D50" s="12" t="str">
        <x:v>Purva Westend</x:v>
      </x:c>
      <x:c r="E50" s="12" t="str">
        <x:v>Kudlu</x:v>
      </x:c>
      <x:c r="F50" s="2" t="n">
        <x:v>19</x:v>
      </x:c>
      <x:c r="G50" s="2" t="n">
        <x:v>735</x:v>
      </x:c>
      <x:c r="H50" s="21" t="n">
        <x:v>2.97</x:v>
      </x:c>
      <x:c r="I50" s="21" t="n">
        <x:v>0.215</x:v>
      </x:c>
      <x:c r="J50" s="17" t="n">
        <x:f>F50*'Costing'!$H$4</x:f>
        <x:v>28728</x:v>
      </x:c>
      <x:c r="K50" s="17" t="n">
        <x:f>ROUND(J50*'Costing'!$C$4,2)</x:f>
        <x:v>5171.04</x:v>
      </x:c>
      <x:c r="L50" s="17" t="n">
        <x:f>J50+K50</x:f>
        <x:v>33899.04</x:v>
      </x:c>
      <x:c r="M50" s="13" t="n">
        <x:v>12.890315782283619</x:v>
      </x:c>
      <x:c r="N50" s="13" t="n">
        <x:v>77.63731178779418</x:v>
      </x:c>
      <x:c r="O50" s="2" t="str">
        <x:v>https://www.google.com/maps?q=12.890315782283619,77.63731178779418</x:v>
      </x:c>
      <x:c r="P50" s="2" t="str">
        <x:v>CORP-0023, CORP-0055</x:v>
      </x:c>
    </x:row>
    <x:row r="51" ht="42" customHeight="1">
      <x:c r="A51" s="10" t="n">
        <x:v>0</x:v>
      </x:c>
      <x:c r="B51" s="12" t="str">
        <x:v>GMS13PS3S</x:v>
      </x:c>
      <x:c r="C51" s="2" t="str">
        <x:v>Bengaluru</x:v>
      </x:c>
      <x:c r="D51" s="12" t="str">
        <x:v>Ranka Colony</x:v>
      </x:c>
      <x:c r="E51" s="12" t="str">
        <x:v>Bilekahalli</x:v>
      </x:c>
      <x:c r="F51" s="2" t="n">
        <x:v>24</x:v>
      </x:c>
      <x:c r="G51" s="2" t="n">
        <x:v>0</x:v>
      </x:c>
      <x:c r="H51" s="21" t="n">
        <x:v>3.15</x:v>
      </x:c>
      <x:c r="I51" s="21" t="n">
        <x:v>1.792</x:v>
      </x:c>
      <x:c r="J51" s="17" t="n">
        <x:f>F51*'Costing'!$H$4</x:f>
        <x:v>36288</x:v>
      </x:c>
      <x:c r="K51" s="17" t="n">
        <x:f>ROUND(J51*'Costing'!$C$4,2)</x:f>
        <x:v>6531.84</x:v>
      </x:c>
      <x:c r="L51" s="17" t="n">
        <x:f>J51+K51</x:f>
        <x:v>42819.84</x:v>
      </x:c>
      <x:c r="M51" s="13" t="n">
        <x:v>12.901947975158691</x:v>
      </x:c>
      <x:c r="N51" s="13" t="n">
        <x:v>77.60395812988281</x:v>
      </x:c>
      <x:c r="O51" s="2" t="str">
        <x:v>https://www.google.com/maps?q=12.901947975158691,77.60395812988281</x:v>
      </x:c>
      <x:c r="P51" s="2" t="str">
        <x:v>CORP-0123</x:v>
      </x:c>
    </x:row>
    <x:row r="52" ht="42" customHeight="1">
      <x:c r="A52" s="10" t="n">
        <x:v>0</x:v>
      </x:c>
      <x:c r="B52" s="12" t="str">
        <x:v>MSPJXC3V</x:v>
      </x:c>
      <x:c r="C52" s="2" t="str">
        <x:v>Bengaluru</x:v>
      </x:c>
      <x:c r="D52" s="12" t="str">
        <x:v>RMZ Galleria</x:v>
      </x:c>
      <x:c r="E52" s="12" t="str">
        <x:v>Yelahanka</x:v>
      </x:c>
      <x:c r="F52" s="2" t="n">
        <x:v>9</x:v>
      </x:c>
      <x:c r="G52" s="2" t="n">
        <x:v>322</x:v>
      </x:c>
      <x:c r="H52" s="21" t="n">
        <x:v>3.37</x:v>
      </x:c>
      <x:c r="I52" s="21" t="n">
        <x:v>0.513</x:v>
      </x:c>
      <x:c r="J52" s="17" t="n">
        <x:f>F52*'Costing'!$H$4</x:f>
        <x:v>13608</x:v>
      </x:c>
      <x:c r="K52" s="17" t="n">
        <x:f>ROUND(J52*'Costing'!$C$4,2)</x:f>
        <x:v>2449.44</x:v>
      </x:c>
      <x:c r="L52" s="17" t="n">
        <x:f>J52+K52</x:f>
        <x:v>16057.44</x:v>
      </x:c>
      <x:c r="M52" s="13" t="n">
        <x:v>13.093695640563965</x:v>
      </x:c>
      <x:c r="N52" s="13" t="n">
        <x:v>77.59510803222656</x:v>
      </x:c>
      <x:c r="O52" s="2" t="str">
        <x:v>https://www.google.com/maps?q=13.093695640563965,77.59510803222656</x:v>
      </x:c>
      <x:c r="P52" s="2" t="str">
        <x:v>CORP-0036</x:v>
      </x:c>
    </x:row>
    <x:row r="53" ht="42" customHeight="1">
      <x:c r="A53" s="10" t="n">
        <x:v>0</x:v>
      </x:c>
      <x:c r="B53" s="12" t="str">
        <x:v>MS0J0Q7G</x:v>
      </x:c>
      <x:c r="C53" s="2" t="str">
        <x:v>Bengaluru</x:v>
      </x:c>
      <x:c r="D53" s="12" t="str">
        <x:v>Rohan Avriti</x:v>
      </x:c>
      <x:c r="E53" s="12" t="str">
        <x:v>Whitefield</x:v>
      </x:c>
      <x:c r="F53" s="2" t="n">
        <x:v>7</x:v>
      </x:c>
      <x:c r="G53" s="2" t="n">
        <x:v>221</x:v>
      </x:c>
      <x:c r="H53" s="21" t="n">
        <x:v>6.5</x:v>
      </x:c>
      <x:c r="I53" s="21" t="n">
        <x:v>0.086</x:v>
      </x:c>
      <x:c r="J53" s="17" t="n">
        <x:f>F53*'Costing'!$H$4</x:f>
        <x:v>10584</x:v>
      </x:c>
      <x:c r="K53" s="17" t="n">
        <x:f>ROUND(J53*'Costing'!$C$4,2)</x:f>
        <x:v>1905.12</x:v>
      </x:c>
      <x:c r="L53" s="17" t="n">
        <x:f>J53+K53</x:f>
        <x:v>12489.119999999999</x:v>
      </x:c>
      <x:c r="M53" s="13" t="n">
        <x:v>12.99606</x:v>
      </x:c>
      <x:c r="N53" s="13" t="n">
        <x:v>77.70199</x:v>
      </x:c>
      <x:c r="O53" s="2" t="str">
        <x:v>https://www.google.com/maps?q=12.99606,77.70199</x:v>
      </x:c>
      <x:c r="P53" s="2" t="str">
        <x:v>CORP-0007, CORP-0047</x:v>
      </x:c>
    </x:row>
    <x:row r="54" ht="42" customHeight="1">
      <x:c r="A54" s="10" t="n">
        <x:v>0</x:v>
      </x:c>
      <x:c r="B54" s="12" t="str">
        <x:v>MSPA4XC1</x:v>
      </x:c>
      <x:c r="C54" s="2" t="str">
        <x:v>Bengaluru</x:v>
      </x:c>
      <x:c r="D54" s="12" t="str">
        <x:v>Rohan Iksha</x:v>
      </x:c>
      <x:c r="E54" s="12" t="str">
        <x:v>Bhoganhalli</x:v>
      </x:c>
      <x:c r="F54" s="2" t="n">
        <x:v>15</x:v>
      </x:c>
      <x:c r="G54" s="2" t="n">
        <x:v>550</x:v>
      </x:c>
      <x:c r="H54" s="21" t="n">
        <x:v>3.75</x:v>
      </x:c>
      <x:c r="I54" s="21" t="n">
        <x:v>0.804</x:v>
      </x:c>
      <x:c r="J54" s="17" t="n">
        <x:f>F54*'Costing'!$H$4</x:f>
        <x:v>22680</x:v>
      </x:c>
      <x:c r="K54" s="17" t="n">
        <x:f>ROUND(J54*'Costing'!$C$4,2)</x:f>
        <x:v>4082.4</x:v>
      </x:c>
      <x:c r="L54" s="17" t="n">
        <x:f>J54+K54</x:f>
        <x:v>26762.4</x:v>
      </x:c>
      <x:c r="M54" s="13" t="n">
        <x:v>12.92778</x:v>
      </x:c>
      <x:c r="N54" s="13" t="n">
        <x:v>77.69852</x:v>
      </x:c>
      <x:c r="O54" s="2" t="str">
        <x:v>https://www.google.com/maps?q=12.92778,77.69852</x:v>
      </x:c>
      <x:c r="P54" s="2" t="str">
        <x:v>CORP-0015, CORP-0016, CORP-0056, CORP-0584, CORP-0585, CORP-0586, CORP-0065, CORP-0112, CORP-0113</x:v>
      </x:c>
    </x:row>
    <x:row r="55" ht="42" customHeight="1">
      <x:c r="A55" s="10" t="n">
        <x:v>0</x:v>
      </x:c>
      <x:c r="B55" s="12" t="str">
        <x:v>MSQ675D1</x:v>
      </x:c>
      <x:c r="C55" s="2" t="str">
        <x:v>Bengaluru</x:v>
      </x:c>
      <x:c r="D55" s="12" t="str">
        <x:v>Salarpuria Sattva Greenage</x:v>
      </x:c>
      <x:c r="E55" s="12" t="str">
        <x:v>Bommanahalli</x:v>
      </x:c>
      <x:c r="F55" s="2" t="n">
        <x:v>43</x:v>
      </x:c>
      <x:c r="G55" s="2" t="n">
        <x:v>1676</x:v>
      </x:c>
      <x:c r="H55" s="21" t="n">
        <x:v>4.31</x:v>
      </x:c>
      <x:c r="I55" s="21" t="n">
        <x:v>0.867</x:v>
      </x:c>
      <x:c r="J55" s="17" t="n">
        <x:f>F55*'Costing'!$H$4</x:f>
        <x:v>65016</x:v>
      </x:c>
      <x:c r="K55" s="17" t="n">
        <x:f>ROUND(J55*'Costing'!$C$4,2)</x:f>
        <x:v>11702.88</x:v>
      </x:c>
      <x:c r="L55" s="17" t="n">
        <x:f>J55+K55</x:f>
        <x:v>76718.88</x:v>
      </x:c>
      <x:c r="M55" s="13" t="n">
        <x:v>12.90248966217041</x:v>
      </x:c>
      <x:c r="N55" s="13" t="n">
        <x:v>77.63005065917969</x:v>
      </x:c>
      <x:c r="O55" s="2" t="str">
        <x:v>https://www.google.com/maps?q=12.90248966217041,77.63005065917969</x:v>
      </x:c>
      <x:c r="P55" s="2" t="str">
        <x:v>CORP-0023, CORP-0025, CORP-0041, CORP-0055, CORP-0062, CORP-0064, CORP-0066, CORP-0067, CORP-0077, CORP-0087, CORP-0089, CORP-0091, CORP-0092, CORP-0093, CORP-0094, CORP-0095, CORP-0096, CORP-0097, CORP-0098, CORP-0099, CORP-0100, CORP-0102, CORP-0104, CORP-0105, CORP-0106, CORP-0107, CORP-0115</x:v>
      </x:c>
    </x:row>
    <x:row r="56" ht="42" customHeight="1">
      <x:c r="A56" s="10" t="n">
        <x:v>0</x:v>
      </x:c>
      <x:c r="B56" s="12" t="str">
        <x:v>MSNE56EJ</x:v>
      </x:c>
      <x:c r="C56" s="2" t="str">
        <x:v>Bengaluru</x:v>
      </x:c>
      <x:c r="D56" s="12" t="str">
        <x:v>Salarpuria Sattva Senorita</x:v>
      </x:c>
      <x:c r="E56" s="12" t="str">
        <x:v>Sarjapur Road</x:v>
      </x:c>
      <x:c r="F56" s="2" t="n">
        <x:v>8</x:v>
      </x:c>
      <x:c r="G56" s="2" t="n">
        <x:v>423</x:v>
      </x:c>
      <x:c r="H56" s="21" t="n">
        <x:v>5.95</x:v>
      </x:c>
      <x:c r="I56" s="21" t="n">
        <x:v>1.022</x:v>
      </x:c>
      <x:c r="J56" s="17" t="n">
        <x:f>F56*'Costing'!$H$4</x:f>
        <x:v>12096</x:v>
      </x:c>
      <x:c r="K56" s="17" t="n">
        <x:f>ROUND(J56*'Costing'!$C$4,2)</x:f>
        <x:v>2177.28</x:v>
      </x:c>
      <x:c r="L56" s="17" t="n">
        <x:f>J56+K56</x:f>
        <x:v>14273.28</x:v>
      </x:c>
      <x:c r="M56" s="13" t="n">
        <x:v>12.91181</x:v>
      </x:c>
      <x:c r="N56" s="13" t="n">
        <x:v>77.681785</x:v>
      </x:c>
      <x:c r="O56" s="2" t="str">
        <x:v>https://www.google.com/maps?q=12.91181,77.681785</x:v>
      </x:c>
      <x:c r="P56" s="2" t="str">
        <x:v>CORP-0035</x:v>
      </x:c>
    </x:row>
    <x:row r="57" ht="42" customHeight="1">
      <x:c r="A57" s="10" t="n">
        <x:v>0</x:v>
      </x:c>
      <x:c r="B57" s="12" t="str">
        <x:v>MSCAFXG7</x:v>
      </x:c>
      <x:c r="C57" s="2" t="str">
        <x:v>Bengaluru</x:v>
      </x:c>
      <x:c r="D57" s="12" t="str">
        <x:v>Salarpuria Sattva Serenity</x:v>
      </x:c>
      <x:c r="E57" s="12" t="str">
        <x:v>HSR Layout</x:v>
      </x:c>
      <x:c r="F57" s="2" t="n">
        <x:v>6</x:v>
      </x:c>
      <x:c r="G57" s="2" t="n">
        <x:v>200</x:v>
      </x:c>
      <x:c r="H57" s="21" t="n">
        <x:v>3.5</x:v>
      </x:c>
      <x:c r="I57" s="21" t="n">
        <x:v>0.297</x:v>
      </x:c>
      <x:c r="J57" s="17" t="n">
        <x:f>F57*'Costing'!$H$4</x:f>
        <x:v>9072</x:v>
      </x:c>
      <x:c r="K57" s="17" t="n">
        <x:f>ROUND(J57*'Costing'!$C$4,2)</x:f>
        <x:v>1632.96</x:v>
      </x:c>
      <x:c r="L57" s="17" t="n">
        <x:f>J57+K57</x:f>
        <x:v>10704.96</x:v>
      </x:c>
      <x:c r="M57" s="13" t="n">
        <x:v>12.907215</x:v>
      </x:c>
      <x:c r="N57" s="13" t="n">
        <x:v>77.632956</x:v>
      </x:c>
      <x:c r="O57" s="2" t="str">
        <x:v>https://www.google.com/maps?q=12.907215,77.632956</x:v>
      </x:c>
      <x:c r="P57" s="2" t="str">
        <x:v>CORP-0006, CORP-0023, CORP-0025, CORP-0041, CORP-0055, CORP-0060, CORP-0061, CORP-0062, CORP-0064, CORP-0066, CORP-0067, CORP-0077, CORP-0082, CORP-0083, CORP-0085, CORP-0087, CORP-0089, CORP-0091, CORP-0092, CORP-0093, CORP-0094, CORP-0095, CORP-0096, CORP-0097, CORP-0098, CORP-0099, CORP-0100, CORP-0101, CORP-0102, CORP-0103, CORP-0104, CORP-0105, CORP-0106, CORP-0107, CORP-0115, CORP-0130</x:v>
      </x:c>
    </x:row>
    <x:row r="58" ht="42" customHeight="1">
      <x:c r="A58" s="10" t="n">
        <x:v>0</x:v>
      </x:c>
      <x:c r="B58" s="12" t="str">
        <x:v>MS3XCTTV</x:v>
      </x:c>
      <x:c r="C58" s="2" t="str">
        <x:v>Bengaluru</x:v>
      </x:c>
      <x:c r="D58" s="12" t="str">
        <x:v>Shapoorji Pallonji Olive Parkwest</x:v>
      </x:c>
      <x:c r="E58" s="12" t="str">
        <x:v>Rajajinagar</x:v>
      </x:c>
      <x:c r="F58" s="2" t="n">
        <x:v>9</x:v>
      </x:c>
      <x:c r="G58" s="2" t="n">
        <x:v>279</x:v>
      </x:c>
      <x:c r="H58" s="21" t="n">
        <x:v>4.36</x:v>
      </x:c>
      <x:c r="I58" s="21" t="n">
        <x:v>3.35</x:v>
      </x:c>
      <x:c r="J58" s="17" t="n">
        <x:f>F58*'Costing'!$H$4</x:f>
        <x:v>13608</x:v>
      </x:c>
      <x:c r="K58" s="17" t="n">
        <x:f>ROUND(J58*'Costing'!$C$4,2)</x:f>
        <x:v>2449.44</x:v>
      </x:c>
      <x:c r="L58" s="17" t="n">
        <x:f>J58+K58</x:f>
        <x:v>16057.44</x:v>
      </x:c>
      <x:c r="M58" s="13" t="n">
        <x:v>12.965738296508789</x:v>
      </x:c>
      <x:c r="N58" s="13" t="n">
        <x:v>77.55980682373047</x:v>
      </x:c>
      <x:c r="O58" s="2" t="str">
        <x:v>https://www.google.com/maps?q=12.965738296508789,77.55980682373047</x:v>
      </x:c>
      <x:c r="P58" s="2" t="str">
        <x:v>CORP-0010, CORP-0012, CORP-0019, CORP-0021, CORP-0039, CORP-0044, CORP-0045, CORP-0046, CORP-0049, CORP-0059, CORP-0069, CORP-0518, CORP-0519, CORP-0520, CORP-0070, CORP-0078, CORP-0079, CORP-0090, CORP-0116, CORP-0125</x:v>
      </x:c>
    </x:row>
    <x:row r="59" ht="42" customHeight="1">
      <x:c r="A59" s="10" t="n">
        <x:v>0</x:v>
      </x:c>
      <x:c r="B59" s="12" t="str">
        <x:v>MSB1RBWA</x:v>
      </x:c>
      <x:c r="C59" s="2" t="str">
        <x:v>Bengaluru</x:v>
      </x:c>
      <x:c r="D59" s="12" t="str">
        <x:v>Shri RAM Spandhana</x:v>
      </x:c>
      <x:c r="E59" s="12" t="str">
        <x:v>Bellandur</x:v>
      </x:c>
      <x:c r="F59" s="2" t="n">
        <x:v>34</x:v>
      </x:c>
      <x:c r="G59" s="2" t="n">
        <x:v>504</x:v>
      </x:c>
      <x:c r="H59" s="21" t="n">
        <x:v>3.18</x:v>
      </x:c>
      <x:c r="I59" s="21" t="n">
        <x:v>1.153</x:v>
      </x:c>
      <x:c r="J59" s="17" t="n">
        <x:f>F59*'Costing'!$H$4</x:f>
        <x:v>51408</x:v>
      </x:c>
      <x:c r="K59" s="17" t="n">
        <x:f>ROUND(J59*'Costing'!$C$4,2)</x:f>
        <x:v>9253.44</x:v>
      </x:c>
      <x:c r="L59" s="17" t="n">
        <x:f>J59+K59</x:f>
        <x:v>60661.44</x:v>
      </x:c>
      <x:c r="M59" s="13" t="n">
        <x:v>12.94503</x:v>
      </x:c>
      <x:c r="N59" s="13" t="n">
        <x:v>77.65282</x:v>
      </x:c>
      <x:c r="O59" s="2" t="str">
        <x:v>https://www.google.com/maps?q=12.94503,77.65282</x:v>
      </x:c>
      <x:c r="P59" s="2" t="str">
        <x:v>CORP-0029, CORP-0030, CORP-0061, CORP-0108, CORP-0109, CORP-0111, CORP-0118, CORP-0124, CORP-0130</x:v>
      </x:c>
    </x:row>
    <x:row r="60" ht="42" customHeight="1">
      <x:c r="A60" s="10" t="n">
        <x:v>0</x:v>
      </x:c>
      <x:c r="B60" s="12" t="str">
        <x:v>MSCENKVP</x:v>
      </x:c>
      <x:c r="C60" s="2" t="str">
        <x:v>Bengaluru</x:v>
      </x:c>
      <x:c r="D60" s="12" t="str">
        <x:v>Shriram Chirping Woods</x:v>
      </x:c>
      <x:c r="E60" s="12" t="str">
        <x:v>Harlur</x:v>
      </x:c>
      <x:c r="F60" s="2" t="n">
        <x:v>9</x:v>
      </x:c>
      <x:c r="G60" s="2" t="n">
        <x:v>608</x:v>
      </x:c>
      <x:c r="H60" s="21" t="n">
        <x:v>5.46</x:v>
      </x:c>
      <x:c r="I60" s="21" t="n">
        <x:v>2.003</x:v>
      </x:c>
      <x:c r="J60" s="17" t="n">
        <x:f>F60*'Costing'!$H$4</x:f>
        <x:v>13608</x:v>
      </x:c>
      <x:c r="K60" s="17" t="n">
        <x:f>ROUND(J60*'Costing'!$C$4,2)</x:f>
        <x:v>2449.44</x:v>
      </x:c>
      <x:c r="L60" s="17" t="n">
        <x:f>J60+K60</x:f>
        <x:v>16057.44</x:v>
      </x:c>
      <x:c r="M60" s="13" t="n">
        <x:v>12.908478</x:v>
      </x:c>
      <x:c r="N60" s="13" t="n">
        <x:v>77.669785</x:v>
      </x:c>
      <x:c r="O60" s="2" t="str">
        <x:v>https://www.google.com/maps?q=12.908478,77.669785</x:v>
      </x:c>
      <x:c r="P60" s="2" t="str">
        <x:v>CORP-0084</x:v>
      </x:c>
    </x:row>
    <x:row r="61" ht="42" customHeight="1">
      <x:c r="A61" s="10" t="n">
        <x:v>0</x:v>
      </x:c>
      <x:c r="B61" s="12" t="str">
        <x:v>MS26GS9W</x:v>
      </x:c>
      <x:c r="C61" s="2" t="str">
        <x:v>Bengaluru</x:v>
      </x:c>
      <x:c r="D61" s="12" t="str">
        <x:v>Siroya Environ</x:v>
      </x:c>
      <x:c r="E61" s="12" t="str">
        <x:v>Hebbal</x:v>
      </x:c>
      <x:c r="F61" s="2" t="n">
        <x:v>7</x:v>
      </x:c>
      <x:c r="G61" s="2" t="n">
        <x:v>212</x:v>
      </x:c>
      <x:c r="H61" s="21" t="n">
        <x:v>3.66</x:v>
      </x:c>
      <x:c r="I61" s="21" t="n">
        <x:v>1.839</x:v>
      </x:c>
      <x:c r="J61" s="17" t="n">
        <x:f>F61*'Costing'!$H$4</x:f>
        <x:v>10584</x:v>
      </x:c>
      <x:c r="K61" s="17" t="n">
        <x:f>ROUND(J61*'Costing'!$C$4,2)</x:f>
        <x:v>1905.12</x:v>
      </x:c>
      <x:c r="L61" s="17" t="n">
        <x:f>J61+K61</x:f>
        <x:v>12489.119999999999</x:v>
      </x:c>
      <x:c r="M61" s="13" t="n">
        <x:v>13.035419</x:v>
      </x:c>
      <x:c r="N61" s="13" t="n">
        <x:v>77.592498</x:v>
      </x:c>
      <x:c r="O61" s="2" t="str">
        <x:v>https://www.google.com/maps?q=13.035419,77.592498</x:v>
      </x:c>
      <x:c r="P61" s="2" t="str">
        <x:v>CORP-0008, CORP-0081, CORP-0088, CORP-0110</x:v>
      </x:c>
    </x:row>
    <x:row r="62" ht="42" customHeight="1">
      <x:c r="A62" s="10" t="n">
        <x:v>0</x:v>
      </x:c>
      <x:c r="B62" s="12" t="str">
        <x:v>MST2142C</x:v>
      </x:c>
      <x:c r="C62" s="2" t="str">
        <x:v>Bengaluru</x:v>
      </x:c>
      <x:c r="D62" s="12" t="str">
        <x:v>SJR Vogue</x:v>
      </x:c>
      <x:c r="E62" s="12" t="str">
        <x:v>Gunjur Road</x:v>
      </x:c>
      <x:c r="F62" s="2" t="n">
        <x:v>4</x:v>
      </x:c>
      <x:c r="G62" s="2" t="n">
        <x:v>140</x:v>
      </x:c>
      <x:c r="H62" s="21" t="n">
        <x:v>5.49</x:v>
      </x:c>
      <x:c r="I62" s="21" t="n">
        <x:v>0.537</x:v>
      </x:c>
      <x:c r="J62" s="17" t="n">
        <x:f>F62*'Costing'!$H$4</x:f>
        <x:v>6048</x:v>
      </x:c>
      <x:c r="K62" s="17" t="n">
        <x:f>ROUND(J62*'Costing'!$C$4,2)</x:f>
        <x:v>1088.64</x:v>
      </x:c>
      <x:c r="L62" s="17" t="n">
        <x:f>J62+K62</x:f>
        <x:v>7136.64</x:v>
      </x:c>
      <x:c r="M62" s="13" t="n">
        <x:v>12.981101</x:v>
      </x:c>
      <x:c r="N62" s="13" t="n">
        <x:v>77.717441</x:v>
      </x:c>
      <x:c r="O62" s="2" t="str">
        <x:v>https://www.google.com/maps?q=12.981101,77.717441</x:v>
      </x:c>
      <x:c r="P62" s="2" t="str">
        <x:v>CORP-0005, CORP-0033, CORP-0037</x:v>
      </x:c>
    </x:row>
    <x:row r="63" ht="42" customHeight="1">
      <x:c r="A63" s="10" t="n">
        <x:v>0</x:v>
      </x:c>
      <x:c r="B63" s="12" t="str">
        <x:v>MS4DBNGA</x:v>
      </x:c>
      <x:c r="C63" s="2" t="str">
        <x:v>Bengaluru</x:v>
      </x:c>
      <x:c r="D63" s="12" t="str">
        <x:v>Skylark Esta</x:v>
      </x:c>
      <x:c r="E63" s="12" t="str">
        <x:v>Hoodi</x:v>
      </x:c>
      <x:c r="F63" s="2" t="n">
        <x:v>11</x:v>
      </x:c>
      <x:c r="G63" s="2" t="n">
        <x:v>210</x:v>
      </x:c>
      <x:c r="H63" s="21" t="n">
        <x:v>3.29</x:v>
      </x:c>
      <x:c r="I63" s="21" t="n">
        <x:v>0.401</x:v>
      </x:c>
      <x:c r="J63" s="17" t="n">
        <x:f>F63*'Costing'!$H$4</x:f>
        <x:v>16632</x:v>
      </x:c>
      <x:c r="K63" s="17" t="n">
        <x:f>ROUND(J63*'Costing'!$C$4,2)</x:f>
        <x:v>2993.76</x:v>
      </x:c>
      <x:c r="L63" s="17" t="n">
        <x:f>J63+K63</x:f>
        <x:v>19625.760000000002</x:v>
      </x:c>
      <x:c r="M63" s="13" t="n">
        <x:v>12.98804</x:v>
      </x:c>
      <x:c r="N63" s="13" t="n">
        <x:v>77.710712</x:v>
      </x:c>
      <x:c r="O63" s="2" t="str">
        <x:v>https://www.google.com/maps?q=12.98804,77.710712</x:v>
      </x:c>
      <x:c r="P63" s="2" t="str">
        <x:v>CORP-0007, CORP-0047, CORP-0054</x:v>
      </x:c>
    </x:row>
    <x:row r="64" ht="42" customHeight="1">
      <x:c r="A64" s="10" t="n">
        <x:v>0</x:v>
      </x:c>
      <x:c r="B64" s="12" t="str">
        <x:v>MSTDVA6H</x:v>
      </x:c>
      <x:c r="C64" s="2" t="str">
        <x:v>Bengaluru</x:v>
      </x:c>
      <x:c r="D64" s="12" t="str">
        <x:v>SMR Vinay Endeavour</x:v>
      </x:c>
      <x:c r="E64" s="12" t="str">
        <x:v>Hoodi</x:v>
      </x:c>
      <x:c r="F64" s="2" t="n">
        <x:v>6</x:v>
      </x:c>
      <x:c r="G64" s="2" t="n">
        <x:v>189</x:v>
      </x:c>
      <x:c r="H64" s="21" t="n">
        <x:v>3</x:v>
      </x:c>
      <x:c r="I64" s="21" t="n">
        <x:v>1.39</x:v>
      </x:c>
      <x:c r="J64" s="17" t="n">
        <x:f>F64*'Costing'!$H$4</x:f>
        <x:v>9072</x:v>
      </x:c>
      <x:c r="K64" s="17" t="n">
        <x:f>ROUND(J64*'Costing'!$C$4,2)</x:f>
        <x:v>1632.96</x:v>
      </x:c>
      <x:c r="L64" s="17" t="n">
        <x:f>J64+K64</x:f>
        <x:v>10704.96</x:v>
      </x:c>
      <x:c r="M64" s="13" t="n">
        <x:v>12.99347163779157</x:v>
      </x:c>
      <x:c r="N64" s="13" t="n">
        <x:v>77.71466381553134</x:v>
      </x:c>
      <x:c r="O64" s="2" t="str">
        <x:v>https://www.google.com/maps?q=12.99347163779157,77.71466381553134</x:v>
      </x:c>
      <x:c r="P64" s="2" t="str">
        <x:v>CORP-0047</x:v>
      </x:c>
    </x:row>
    <x:row r="65" ht="42" customHeight="1">
      <x:c r="A65" s="10" t="n">
        <x:v>0</x:v>
      </x:c>
      <x:c r="B65" s="12" t="str">
        <x:v>MS5KQS4V</x:v>
      </x:c>
      <x:c r="C65" s="2" t="str">
        <x:v>Bengaluru</x:v>
      </x:c>
      <x:c r="D65" s="12" t="str">
        <x:v>SNN Raj Grandeur</x:v>
      </x:c>
      <x:c r="E65" s="12" t="str">
        <x:v>Bommanahalli</x:v>
      </x:c>
      <x:c r="F65" s="2" t="n">
        <x:v>12</x:v>
      </x:c>
      <x:c r="G65" s="2" t="n">
        <x:v>372</x:v>
      </x:c>
      <x:c r="H65" s="21" t="n">
        <x:v>3.1</x:v>
      </x:c>
      <x:c r="I65" s="21" t="n">
        <x:v>0.962</x:v>
      </x:c>
      <x:c r="J65" s="17" t="n">
        <x:f>F65*'Costing'!$H$4</x:f>
        <x:v>18144</x:v>
      </x:c>
      <x:c r="K65" s="17" t="n">
        <x:f>ROUND(J65*'Costing'!$C$4,2)</x:f>
        <x:v>3265.92</x:v>
      </x:c>
      <x:c r="L65" s="17" t="n">
        <x:f>J65+K65</x:f>
        <x:v>21409.92</x:v>
      </x:c>
      <x:c r="M65" s="13" t="n">
        <x:v>12.90330982208252</x:v>
      </x:c>
      <x:c r="N65" s="13" t="n">
        <x:v>77.6249771118164</x:v>
      </x:c>
      <x:c r="O65" s="2" t="str">
        <x:v>https://www.google.com/maps?q=12.90330982208252,77.6249771118164</x:v>
      </x:c>
      <x:c r="P65" s="2" t="str">
        <x:v>CORP-0041, CORP-0064, CORP-0066, CORP-0077, CORP-0089, CORP-0094, CORP-0095, CORP-0096, CORP-0099</x:v>
      </x:c>
    </x:row>
    <x:row r="66" ht="42" customHeight="1">
      <x:c r="A66" s="10" t="n">
        <x:v>0</x:v>
      </x:c>
      <x:c r="B66" s="12" t="str">
        <x:v>MSJ5DW2Q</x:v>
      </x:c>
      <x:c r="C66" s="2" t="str">
        <x:v>Bengaluru</x:v>
      </x:c>
      <x:c r="D66" s="12" t="str">
        <x:v>SNN Raj Lake View</x:v>
      </x:c>
      <x:c r="E66" s="12" t="str">
        <x:v>Bilekahalli</x:v>
      </x:c>
      <x:c r="F66" s="2" t="n">
        <x:v>17</x:v>
      </x:c>
      <x:c r="G66" s="2" t="n">
        <x:v>434</x:v>
      </x:c>
      <x:c r="H66" s="21" t="n">
        <x:v>8.61</x:v>
      </x:c>
      <x:c r="I66" s="21" t="n">
        <x:v>3.458</x:v>
      </x:c>
      <x:c r="J66" s="17" t="n">
        <x:f>F66*'Costing'!$H$4</x:f>
        <x:v>25704</x:v>
      </x:c>
      <x:c r="K66" s="17" t="n">
        <x:f>ROUND(J66*'Costing'!$C$4,2)</x:f>
        <x:v>4626.72</x:v>
      </x:c>
      <x:c r="L66" s="17" t="n">
        <x:f>J66+K66</x:f>
        <x:v>30330.72</x:v>
      </x:c>
      <x:c r="M66" s="13" t="n">
        <x:v>12.904248237609863</x:v>
      </x:c>
      <x:c r="N66" s="13" t="n">
        <x:v>77.60609436035156</x:v>
      </x:c>
      <x:c r="O66" s="2" t="str">
        <x:v>https://www.google.com/maps?q=12.904248237609863,77.60609436035156</x:v>
      </x:c>
      <x:c r="P66" s="2" t="str">
        <x:v>CORP-0006, CORP-0011, CORP-0515, CORP-0516, CORP-0517, CORP-0027, CORP-0117</x:v>
      </x:c>
    </x:row>
    <x:row r="67" ht="42" customHeight="1">
      <x:c r="A67" s="10" t="n">
        <x:v>0</x:v>
      </x:c>
      <x:c r="B67" s="12" t="str">
        <x:v>MSEZ9GDF</x:v>
      </x:c>
      <x:c r="C67" s="2" t="str">
        <x:v>Bengaluru</x:v>
      </x:c>
      <x:c r="D67" s="12" t="str">
        <x:v>Sobha Cinnamon and Saffron</x:v>
      </x:c>
      <x:c r="E67" s="12" t="str">
        <x:v>Harlur</x:v>
      </x:c>
      <x:c r="F67" s="2" t="n">
        <x:v>7</x:v>
      </x:c>
      <x:c r="G67" s="2" t="n">
        <x:v>259</x:v>
      </x:c>
      <x:c r="H67" s="21" t="n">
        <x:v>4.37</x:v>
      </x:c>
      <x:c r="I67" s="21" t="n">
        <x:v>1.359</x:v>
      </x:c>
      <x:c r="J67" s="17" t="n">
        <x:f>F67*'Costing'!$H$4</x:f>
        <x:v>10584</x:v>
      </x:c>
      <x:c r="K67" s="17" t="n">
        <x:f>ROUND(J67*'Costing'!$C$4,2)</x:f>
        <x:v>1905.12</x:v>
      </x:c>
      <x:c r="L67" s="17" t="n">
        <x:f>J67+K67</x:f>
        <x:v>12489.119999999999</x:v>
      </x:c>
      <x:c r="M67" s="13" t="n">
        <x:v>12.89406</x:v>
      </x:c>
      <x:c r="N67" s="13" t="n">
        <x:v>77.65869</x:v>
      </x:c>
      <x:c r="O67" s="2" t="str">
        <x:v>https://www.google.com/maps?q=12.89406,77.65869</x:v>
      </x:c>
      <x:c r="P67" s="2" t="str">
        <x:v>CORP-0024, CORP-0082, CORP-0083, CORP-0085</x:v>
      </x:c>
    </x:row>
    <x:row r="68" ht="42" customHeight="1">
      <x:c r="A68" s="10" t="n">
        <x:v>0</x:v>
      </x:c>
      <x:c r="B68" s="12" t="str">
        <x:v>MSF0B7NB</x:v>
      </x:c>
      <x:c r="C68" s="2" t="str">
        <x:v>Bengaluru</x:v>
      </x:c>
      <x:c r="D68" s="12" t="str">
        <x:v>Sobha City Santorini</x:v>
      </x:c>
      <x:c r="E68" s="12" t="str">
        <x:v>Thanisandra</x:v>
      </x:c>
      <x:c r="F68" s="2" t="n">
        <x:v>18</x:v>
      </x:c>
      <x:c r="G68" s="2" t="n">
        <x:v>455</x:v>
      </x:c>
      <x:c r="H68" s="21" t="n">
        <x:v>2.5</x:v>
      </x:c>
      <x:c r="I68" s="21" t="n">
        <x:v>3.249</x:v>
      </x:c>
      <x:c r="J68" s="17" t="n">
        <x:f>F68*'Costing'!$H$4</x:f>
        <x:v>27216</x:v>
      </x:c>
      <x:c r="K68" s="17" t="n">
        <x:f>ROUND(J68*'Costing'!$C$4,2)</x:f>
        <x:v>4898.88</x:v>
      </x:c>
      <x:c r="L68" s="17" t="n">
        <x:f>J68+K68</x:f>
        <x:v>32114.88</x:v>
      </x:c>
      <x:c r="M68" s="13" t="n">
        <x:v>13.07633</x:v>
      </x:c>
      <x:c r="N68" s="13" t="n">
        <x:v>77.63632</x:v>
      </x:c>
      <x:c r="O68" s="2" t="str">
        <x:v>https://www.google.com/maps?q=13.07633,77.63632</x:v>
      </x:c>
      <x:c r="P68" s="2" t="str">
        <x:v>CORP-0114</x:v>
      </x:c>
    </x:row>
    <x:row r="69" ht="42" customHeight="1">
      <x:c r="A69" s="10" t="n">
        <x:v>0</x:v>
      </x:c>
      <x:c r="B69" s="12" t="str">
        <x:v>MSFPNCE3</x:v>
      </x:c>
      <x:c r="C69" s="2" t="str">
        <x:v>Bengaluru</x:v>
      </x:c>
      <x:c r="D69" s="12" t="str">
        <x:v>Sobha Daisy</x:v>
      </x:c>
      <x:c r="E69" s="12" t="str">
        <x:v>Bellandur</x:v>
      </x:c>
      <x:c r="F69" s="2" t="n">
        <x:v>4</x:v>
      </x:c>
      <x:c r="G69" s="2" t="n">
        <x:v>183</x:v>
      </x:c>
      <x:c r="H69" s="21" t="n">
        <x:v>3</x:v>
      </x:c>
      <x:c r="I69" s="21" t="n">
        <x:v>0.783</x:v>
      </x:c>
      <x:c r="J69" s="17" t="n">
        <x:f>F69*'Costing'!$H$4</x:f>
        <x:v>6048</x:v>
      </x:c>
      <x:c r="K69" s="17" t="n">
        <x:f>ROUND(J69*'Costing'!$C$4,2)</x:f>
        <x:v>1088.64</x:v>
      </x:c>
      <x:c r="L69" s="17" t="n">
        <x:f>J69+K69</x:f>
        <x:v>7136.64</x:v>
      </x:c>
      <x:c r="M69" s="13" t="n">
        <x:v>12.928464</x:v>
      </x:c>
      <x:c r="N69" s="13" t="n">
        <x:v>77.668299</x:v>
      </x:c>
      <x:c r="O69" s="2" t="str">
        <x:v>https://www.google.com/maps?q=12.928464,77.668299</x:v>
      </x:c>
      <x:c r="P69" s="2" t="str">
        <x:v>CORP-0127</x:v>
      </x:c>
    </x:row>
    <x:row r="70" ht="42" customHeight="1">
      <x:c r="A70" s="10" t="n">
        <x:v>0</x:v>
      </x:c>
      <x:c r="B70" s="12" t="str">
        <x:v>MSS06M67</x:v>
      </x:c>
      <x:c r="C70" s="2" t="str">
        <x:v>Bengaluru</x:v>
      </x:c>
      <x:c r="D70" s="12" t="str">
        <x:v>Sobha Iris Con</x:v>
      </x:c>
      <x:c r="E70" s="12" t="str">
        <x:v>Bellandur</x:v>
      </x:c>
      <x:c r="F70" s="2" t="n">
        <x:v>13</x:v>
      </x:c>
      <x:c r="G70" s="2" t="n">
        <x:v>336</x:v>
      </x:c>
      <x:c r="H70" s="21" t="n">
        <x:v>2.95</x:v>
      </x:c>
      <x:c r="I70" s="21" t="n">
        <x:v>0.761</x:v>
      </x:c>
      <x:c r="J70" s="17" t="n">
        <x:f>F70*'Costing'!$H$4</x:f>
        <x:v>19656</x:v>
      </x:c>
      <x:c r="K70" s="17" t="n">
        <x:f>ROUND(J70*'Costing'!$C$4,2)</x:f>
        <x:v>3538.08</x:v>
      </x:c>
      <x:c r="L70" s="17" t="n">
        <x:f>J70+K70</x:f>
        <x:v>23194.08</x:v>
      </x:c>
      <x:c r="M70" s="13" t="n">
        <x:v>12.933329582214355</x:v>
      </x:c>
      <x:c r="N70" s="13" t="n">
        <x:v>77.68489074707031</x:v>
      </x:c>
      <x:c r="O70" s="2" t="str">
        <x:v>https://www.google.com/maps?q=12.933329582214355,77.68489074707031</x:v>
      </x:c>
      <x:c r="P70" s="2" t="str">
        <x:v>CORP-0014, CORP-0015, CORP-0016, CORP-0017, CORP-0056, CORP-0584, CORP-0585, CORP-0586, CORP-0058, CORP-0065, CORP-0068, CORP-0112, CORP-0113</x:v>
      </x:c>
    </x:row>
    <x:row r="71" ht="42" customHeight="1">
      <x:c r="A71" s="10" t="n">
        <x:v>0</x:v>
      </x:c>
      <x:c r="B71" s="12" t="str">
        <x:v>MSAVD8Y2</x:v>
      </x:c>
      <x:c r="C71" s="2" t="str">
        <x:v>Bengaluru</x:v>
      </x:c>
      <x:c r="D71" s="12" t="str">
        <x:v>Sobha Palm Court</x:v>
      </x:c>
      <x:c r="E71" s="12" t="str">
        <x:v>Maruthi Nagar</x:v>
      </x:c>
      <x:c r="F71" s="2" t="n">
        <x:v>10</x:v>
      </x:c>
      <x:c r="G71" s="2" t="n">
        <x:v>294</x:v>
      </x:c>
      <x:c r="H71" s="21" t="n">
        <x:v>2.52</x:v>
      </x:c>
      <x:c r="I71" s="21" t="n">
        <x:v>1.406</x:v>
      </x:c>
      <x:c r="J71" s="17" t="n">
        <x:f>F71*'Costing'!$H$4</x:f>
        <x:v>15120</x:v>
      </x:c>
      <x:c r="K71" s="17" t="n">
        <x:f>ROUND(J71*'Costing'!$C$4,2)</x:f>
        <x:v>2721.6</x:v>
      </x:c>
      <x:c r="L71" s="17" t="n">
        <x:f>J71+K71</x:f>
        <x:v>17841.6</x:v>
      </x:c>
      <x:c r="M71" s="13" t="n">
        <x:v>13.104452</x:v>
      </x:c>
      <x:c r="N71" s="13" t="n">
        <x:v>77.606856</x:v>
      </x:c>
      <x:c r="O71" s="2" t="str">
        <x:v>https://www.google.com/maps?q=13.104452,77.606856</x:v>
      </x:c>
      <x:c r="P71" s="2" t="str">
        <x:v>CORP-0036</x:v>
      </x:c>
    </x:row>
    <x:row r="72" ht="42" customHeight="1">
      <x:c r="A72" s="10" t="n">
        <x:v>0</x:v>
      </x:c>
      <x:c r="B72" s="12" t="str">
        <x:v>MS8DEDH2</x:v>
      </x:c>
      <x:c r="C72" s="2" t="str">
        <x:v>Bengaluru</x:v>
      </x:c>
      <x:c r="D72" s="12" t="str">
        <x:v>Sobha Quartz</x:v>
      </x:c>
      <x:c r="E72" s="12" t="str">
        <x:v>Bellandur</x:v>
      </x:c>
      <x:c r="F72" s="2" t="n">
        <x:v>5</x:v>
      </x:c>
      <x:c r="G72" s="2" t="n">
        <x:v>146</x:v>
      </x:c>
      <x:c r="H72" s="21" t="n">
        <x:v>4.56</x:v>
      </x:c>
      <x:c r="I72" s="21" t="n">
        <x:v>0.655</x:v>
      </x:c>
      <x:c r="J72" s="17" t="n">
        <x:f>F72*'Costing'!$H$4</x:f>
        <x:v>7560</x:v>
      </x:c>
      <x:c r="K72" s="17" t="n">
        <x:f>ROUND(J72*'Costing'!$C$4,2)</x:f>
        <x:v>1360.8</x:v>
      </x:c>
      <x:c r="L72" s="17" t="n">
        <x:f>J72+K72</x:f>
        <x:v>8920.8</x:v>
      </x:c>
      <x:c r="M72" s="13" t="n">
        <x:v>12.925175</x:v>
      </x:c>
      <x:c r="N72" s="13" t="n">
        <x:v>77.668817</x:v>
      </x:c>
      <x:c r="O72" s="2" t="str">
        <x:v>https://www.google.com/maps?q=12.925175,77.668817</x:v>
      </x:c>
      <x:c r="P72" s="2" t="str">
        <x:v>CORP-0127</x:v>
      </x:c>
    </x:row>
    <x:row r="73" ht="42" customHeight="1">
      <x:c r="A73" s="10" t="n">
        <x:v>0</x:v>
      </x:c>
      <x:c r="B73" s="12" t="str">
        <x:v>MS6HF7YF</x:v>
      </x:c>
      <x:c r="C73" s="2" t="str">
        <x:v>Bengaluru</x:v>
      </x:c>
      <x:c r="D73" s="12" t="str">
        <x:v>Sterling Ascentia</x:v>
      </x:c>
      <x:c r="E73" s="12" t="str">
        <x:v>Sarjapur Road</x:v>
      </x:c>
      <x:c r="F73" s="2" t="n">
        <x:v>7</x:v>
      </x:c>
      <x:c r="G73" s="2" t="n">
        <x:v>172</x:v>
      </x:c>
      <x:c r="H73" s="21" t="n">
        <x:v>2.99</x:v>
      </x:c>
      <x:c r="I73" s="21" t="n">
        <x:v>0.117</x:v>
      </x:c>
      <x:c r="J73" s="17" t="n">
        <x:f>F73*'Costing'!$H$4</x:f>
        <x:v>10584</x:v>
      </x:c>
      <x:c r="K73" s="17" t="n">
        <x:f>ROUND(J73*'Costing'!$C$4,2)</x:f>
        <x:v>1905.12</x:v>
      </x:c>
      <x:c r="L73" s="17" t="n">
        <x:f>J73+K73</x:f>
        <x:v>12489.119999999999</x:v>
      </x:c>
      <x:c r="M73" s="13" t="n">
        <x:v>12.928946553025146</x:v>
      </x:c>
      <x:c r="N73" s="13" t="n">
        <x:v>77.68163091228392</x:v>
      </x:c>
      <x:c r="O73" s="2" t="str">
        <x:v>https://www.google.com/maps?q=12.928946553025146,77.68163091228392</x:v>
      </x:c>
      <x:c r="P73" s="2" t="str">
        <x:v>CORP-0022, CORP-0034, CORP-0035, CORP-0042, CORP-0043, CORP-0048</x:v>
      </x:c>
    </x:row>
    <x:row r="74" ht="42" customHeight="1">
      <x:c r="A74" s="10" t="n">
        <x:v>0</x:v>
      </x:c>
      <x:c r="B74" s="12" t="str">
        <x:v>MS85Z15R</x:v>
      </x:c>
      <x:c r="C74" s="2" t="str">
        <x:v>Bengaluru</x:v>
      </x:c>
      <x:c r="D74" s="12" t="str">
        <x:v>Sumadhuras Srinivasam</x:v>
      </x:c>
      <x:c r="E74" s="12" t="str">
        <x:v>Hoodi</x:v>
      </x:c>
      <x:c r="F74" s="2" t="n">
        <x:v>7</x:v>
      </x:c>
      <x:c r="G74" s="2" t="n">
        <x:v>231</x:v>
      </x:c>
      <x:c r="H74" s="21" t="n">
        <x:v>2.7</x:v>
      </x:c>
      <x:c r="I74" s="21" t="n">
        <x:v>0.621</x:v>
      </x:c>
      <x:c r="J74" s="17" t="n">
        <x:f>F74*'Costing'!$H$4</x:f>
        <x:v>10584</x:v>
      </x:c>
      <x:c r="K74" s="17" t="n">
        <x:f>ROUND(J74*'Costing'!$C$4,2)</x:f>
        <x:v>1905.12</x:v>
      </x:c>
      <x:c r="L74" s="17" t="n">
        <x:f>J74+K74</x:f>
        <x:v>12489.119999999999</x:v>
      </x:c>
      <x:c r="M74" s="13" t="n">
        <x:v>12.984474</x:v>
      </x:c>
      <x:c r="N74" s="13" t="n">
        <x:v>77.710238</x:v>
      </x:c>
      <x:c r="O74" s="2" t="str">
        <x:v>https://www.google.com/maps?q=12.984474,77.710238</x:v>
      </x:c>
      <x:c r="P74" s="2" t="str">
        <x:v>CORP-0037, CORP-0054</x:v>
      </x:c>
    </x:row>
    <x:row r="75" ht="42" customHeight="1">
      <x:c r="A75" s="10" t="n">
        <x:v>0</x:v>
      </x:c>
      <x:c r="B75" s="12" t="str">
        <x:v>MSBKDVWQ</x:v>
      </x:c>
      <x:c r="C75" s="2" t="str">
        <x:v>Bengaluru</x:v>
      </x:c>
      <x:c r="D75" s="12" t="str">
        <x:v>SVS Patel's Callisto</x:v>
      </x:c>
      <x:c r="E75" s="12" t="str">
        <x:v>Amruthahalli</x:v>
      </x:c>
      <x:c r="F75" s="2" t="n">
        <x:v>9</x:v>
      </x:c>
      <x:c r="G75" s="2" t="n">
        <x:v>312</x:v>
      </x:c>
      <x:c r="H75" s="21" t="n">
        <x:v>2.76</x:v>
      </x:c>
      <x:c r="I75" s="21" t="n">
        <x:v>3.179</x:v>
      </x:c>
      <x:c r="J75" s="17" t="n">
        <x:f>F75*'Costing'!$H$4</x:f>
        <x:v>13608</x:v>
      </x:c>
      <x:c r="K75" s="17" t="n">
        <x:f>ROUND(J75*'Costing'!$C$4,2)</x:f>
        <x:v>2449.44</x:v>
      </x:c>
      <x:c r="L75" s="17" t="n">
        <x:f>J75+K75</x:f>
        <x:v>16057.44</x:v>
      </x:c>
      <x:c r="M75" s="13" t="n">
        <x:v>13.068971633911133</x:v>
      </x:c>
      <x:c r="N75" s="13" t="n">
        <x:v>77.59937286376953</x:v>
      </x:c>
      <x:c r="O75" s="2" t="str">
        <x:v>https://www.google.com/maps?q=13.068971633911133,77.59937286376953</x:v>
      </x:c>
      <x:c r="P75" s="2" t="str">
        <x:v>CORP-0119</x:v>
      </x:c>
    </x:row>
    <x:row r="76" ht="42" customHeight="1">
      <x:c r="A76" s="10" t="n">
        <x:v>0</x:v>
      </x:c>
      <x:c r="B76" s="12" t="str">
        <x:v>MS7V4ZZ2</x:v>
      </x:c>
      <x:c r="C76" s="2" t="str">
        <x:v>Bengaluru</x:v>
      </x:c>
      <x:c r="D76" s="12" t="str">
        <x:v>The Hoylasa ACE 1</x:v>
      </x:c>
      <x:c r="E76" s="12" t="str">
        <x:v>Sahakar Nagar</x:v>
      </x:c>
      <x:c r="F76" s="2" t="n">
        <x:v>6</x:v>
      </x:c>
      <x:c r="G76" s="2" t="n">
        <x:v>192</x:v>
      </x:c>
      <x:c r="H76" s="21" t="n">
        <x:v>3.5</x:v>
      </x:c>
      <x:c r="I76" s="21" t="n">
        <x:v>1.411</x:v>
      </x:c>
      <x:c r="J76" s="17" t="n">
        <x:f>F76*'Costing'!$H$4</x:f>
        <x:v>9072</x:v>
      </x:c>
      <x:c r="K76" s="17" t="n">
        <x:f>ROUND(J76*'Costing'!$C$4,2)</x:f>
        <x:v>1632.96</x:v>
      </x:c>
      <x:c r="L76" s="17" t="n">
        <x:f>J76+K76</x:f>
        <x:v>10704.96</x:v>
      </x:c>
      <x:c r="M76" s="13" t="n">
        <x:v>13.06628481</x:v>
      </x:c>
      <x:c r="N76" s="13" t="n">
        <x:v>77.58613781</x:v>
      </x:c>
      <x:c r="O76" s="2" t="str">
        <x:v>https://www.google.com/maps?q=13.06628481,77.58613781</x:v>
      </x:c>
      <x:c r="P76" s="2" t="str">
        <x:v>CORP-0008, CORP-0032, CORP-0120</x:v>
      </x:c>
    </x:row>
    <x:row r="77" ht="42" customHeight="1">
      <x:c r="A77" s="10" t="n">
        <x:v>0</x:v>
      </x:c>
      <x:c r="B77" s="12" t="str">
        <x:v>MSNSPQNY</x:v>
      </x:c>
      <x:c r="C77" s="2" t="str">
        <x:v>Bengaluru</x:v>
      </x:c>
      <x:c r="D77" s="12" t="str">
        <x:v>UKN Esperanza</x:v>
      </x:c>
      <x:c r="E77" s="12" t="str">
        <x:v>Gunjur Road</x:v>
      </x:c>
      <x:c r="F77" s="2" t="n">
        <x:v>8</x:v>
      </x:c>
      <x:c r="G77" s="2" t="n">
        <x:v>307</x:v>
      </x:c>
      <x:c r="H77" s="21" t="n">
        <x:v>5.35</x:v>
      </x:c>
      <x:c r="I77" s="21" t="n">
        <x:v>0.623</x:v>
      </x:c>
      <x:c r="J77" s="17" t="n">
        <x:f>F77*'Costing'!$H$4</x:f>
        <x:v>12096</x:v>
      </x:c>
      <x:c r="K77" s="17" t="n">
        <x:f>ROUND(J77*'Costing'!$C$4,2)</x:f>
        <x:v>2177.28</x:v>
      </x:c>
      <x:c r="L77" s="17" t="n">
        <x:f>J77+K77</x:f>
        <x:v>14273.28</x:v>
      </x:c>
      <x:c r="M77" s="13" t="n">
        <x:v>12.952058</x:v>
      </x:c>
      <x:c r="N77" s="13" t="n">
        <x:v>77.720766</x:v>
      </x:c>
      <x:c r="O77" s="2" t="str">
        <x:v>https://www.google.com/maps?q=12.952058,77.720766</x:v>
      </x:c>
      <x:c r="P77" s="2" t="str">
        <x:v>CORP-0040</x:v>
      </x:c>
    </x:row>
    <x:row r="78" ht="42" customHeight="1">
      <x:c r="A78" s="10" t="n">
        <x:v>0</x:v>
      </x:c>
      <x:c r="B78" s="12" t="str">
        <x:v>MSRDRWRA</x:v>
      </x:c>
      <x:c r="C78" s="2" t="str">
        <x:v>Bengaluru</x:v>
      </x:c>
      <x:c r="D78" s="12" t="str">
        <x:v>Vaswani Exquisite</x:v>
      </x:c>
      <x:c r="E78" s="12" t="str">
        <x:v>Whitefield</x:v>
      </x:c>
      <x:c r="F78" s="2" t="n">
        <x:v>14</x:v>
      </x:c>
      <x:c r="G78" s="2" t="n">
        <x:v>374</x:v>
      </x:c>
      <x:c r="H78" s="21" t="n">
        <x:v>4.3</x:v>
      </x:c>
      <x:c r="I78" s="21" t="n">
        <x:v>0.552</x:v>
      </x:c>
      <x:c r="J78" s="17" t="n">
        <x:f>F78*'Costing'!$H$4</x:f>
        <x:v>21168</x:v>
      </x:c>
      <x:c r="K78" s="17" t="n">
        <x:f>ROUND(J78*'Costing'!$C$4,2)</x:f>
        <x:v>3810.24</x:v>
      </x:c>
      <x:c r="L78" s="17" t="n">
        <x:f>J78+K78</x:f>
        <x:v>24978.239999999998</x:v>
      </x:c>
      <x:c r="M78" s="13" t="n">
        <x:v>12.990186</x:v>
      </x:c>
      <x:c r="N78" s="13" t="n">
        <x:v>77.724115</x:v>
      </x:c>
      <x:c r="O78" s="2" t="str">
        <x:v>https://www.google.com/maps?q=12.990186,77.724115</x:v>
      </x:c>
      <x:c r="P78" s="2" t="str">
        <x:v>CORP-0005, CORP-0013, CORP-0445, CORP-0446, CORP-0447, CORP-0448, CORP-0449, CORP-0450, CORP-0451, CORP-0080</x:v>
      </x:c>
    </x:row>
    <x:row r="79" ht="42" customHeight="1">
      <x:c r="A79" s="10" t="n">
        <x:v>0</x:v>
      </x:c>
      <x:c r="B79" s="12" t="str">
        <x:v>MS8SW1KN</x:v>
      </x:c>
      <x:c r="C79" s="2" t="str">
        <x:v>Bengaluru</x:v>
      </x:c>
      <x:c r="D79" s="12" t="str">
        <x:v>Vaswani Menlo Park</x:v>
      </x:c>
      <x:c r="E79" s="12" t="str">
        <x:v>Whitefield</x:v>
      </x:c>
      <x:c r="F79" s="2" t="n">
        <x:v>13</x:v>
      </x:c>
      <x:c r="G79" s="2" t="n">
        <x:v>363</x:v>
      </x:c>
      <x:c r="H79" s="21" t="n">
        <x:v>3.76</x:v>
      </x:c>
      <x:c r="I79" s="21" t="n">
        <x:v>0.497</x:v>
      </x:c>
      <x:c r="J79" s="17" t="n">
        <x:f>F79*'Costing'!$H$4</x:f>
        <x:v>19656</x:v>
      </x:c>
      <x:c r="K79" s="17" t="n">
        <x:f>ROUND(J79*'Costing'!$C$4,2)</x:f>
        <x:v>3538.08</x:v>
      </x:c>
      <x:c r="L79" s="17" t="n">
        <x:f>J79+K79</x:f>
        <x:v>23194.08</x:v>
      </x:c>
      <x:c r="M79" s="13" t="n">
        <x:v>12.951129</x:v>
      </x:c>
      <x:c r="N79" s="13" t="n">
        <x:v>77.717117</x:v>
      </x:c>
      <x:c r="O79" s="2" t="str">
        <x:v>https://www.google.com/maps?q=12.951129,77.717117</x:v>
      </x:c>
      <x:c r="P79" s="2" t="str">
        <x:v>CORP-0020, CORP-0040, CORP-0050, CORP-0051, CORP-0052</x:v>
      </x:c>
    </x:row>
    <x:row r="80" ht="42" customHeight="1">
      <x:c r="A80" s="10" t="n">
        <x:v>0</x:v>
      </x:c>
      <x:c r="B80" s="12" t="str">
        <x:v>MS9FMYTK</x:v>
      </x:c>
      <x:c r="C80" s="2" t="str">
        <x:v>Bengaluru</x:v>
      </x:c>
      <x:c r="D80" s="12" t="str">
        <x:v>Whitehouse Apartments</x:v>
      </x:c>
      <x:c r="E80" s="12" t="str">
        <x:v>Hebbal</x:v>
      </x:c>
      <x:c r="F80" s="2" t="n">
        <x:v>15</x:v>
      </x:c>
      <x:c r="G80" s="2" t="n">
        <x:v>623</x:v>
      </x:c>
      <x:c r="H80" s="21" t="n">
        <x:v>3.75</x:v>
      </x:c>
      <x:c r="I80" s="21" t="n">
        <x:v>1.396</x:v>
      </x:c>
      <x:c r="J80" s="17" t="n">
        <x:f>F80*'Costing'!$H$4</x:f>
        <x:v>22680</x:v>
      </x:c>
      <x:c r="K80" s="17" t="n">
        <x:f>ROUND(J80*'Costing'!$C$4,2)</x:f>
        <x:v>4082.4</x:v>
      </x:c>
      <x:c r="L80" s="17" t="n">
        <x:f>J80+K80</x:f>
        <x:v>26762.4</x:v>
      </x:c>
      <x:c r="M80" s="13" t="n">
        <x:v>13.022498</x:v>
      </x:c>
      <x:c r="N80" s="13" t="n">
        <x:v>77.596787</x:v>
      </x:c>
      <x:c r="O80" s="2" t="str">
        <x:v>https://www.google.com/maps?q=13.022498,77.596787</x:v>
      </x:c>
      <x:c r="P80" s="2" t="str">
        <x:v>CORP-0044, CORP-0045, CORP-0049, CORP-0053, CORP-0059, CORP-0070, CORP-0078, CORP-0079, CORP-0110, CORP-0116</x:v>
      </x:c>
    </x:row>
    <x:row r="81" ht="42" customHeight="1">
      <x:c r="A81" s="10" t="n">
        <x:v>0</x:v>
      </x:c>
      <x:c r="B81" s="12" t="str">
        <x:v>MS07WMPR</x:v>
      </x:c>
      <x:c r="C81" s="2" t="str">
        <x:v>Bengaluru</x:v>
      </x:c>
      <x:c r="D81" s="12" t="str">
        <x:v>Wilson Vintage</x:v>
      </x:c>
      <x:c r="E81" s="12" t="str">
        <x:v>Wilson Garden</x:v>
      </x:c>
      <x:c r="F81" s="2" t="n">
        <x:v>7</x:v>
      </x:c>
      <x:c r="G81" s="2" t="n">
        <x:v>280</x:v>
      </x:c>
      <x:c r="H81" s="21" t="n">
        <x:v>1.8</x:v>
      </x:c>
      <x:c r="I81" s="21" t="n">
        <x:v>2.586</x:v>
      </x:c>
      <x:c r="J81" s="17" t="n">
        <x:f>F81*'Costing'!$H$4</x:f>
        <x:v>10584</x:v>
      </x:c>
      <x:c r="K81" s="17" t="n">
        <x:f>ROUND(J81*'Costing'!$C$4,2)</x:f>
        <x:v>1905.12</x:v>
      </x:c>
      <x:c r="L81" s="17" t="n">
        <x:f>J81+K81</x:f>
        <x:v>12489.119999999999</x:v>
      </x:c>
      <x:c r="M81" s="13" t="n">
        <x:v>12.94888973236084</x:v>
      </x:c>
      <x:c r="N81" s="13" t="n">
        <x:v>77.60150909423828</x:v>
      </x:c>
      <x:c r="O81" s="2" t="str">
        <x:v>https://www.google.com/maps?q=12.94888973236084,77.60150909423828</x:v>
      </x:c>
      <x:c r="P81" s="2" t="str">
        <x:v>CORP-0028, CORP-0063, CORP-0071, CORP-0072, CORP-0073, CORP-0075, CORP-0111</x:v>
      </x:c>
    </x:row>
    <x:row r="82" ht="42" customHeight="1">
      <x:c r="A82" s="10" t="n">
        <x:v>0</x:v>
      </x:c>
      <x:c r="B82" s="12" t="str">
        <x:v>MSQHP9DY</x:v>
      </x:c>
      <x:c r="C82" s="2" t="str">
        <x:v>Bhubaneswar</x:v>
      </x:c>
      <x:c r="D82" s="12" t="str">
        <x:v>6 Avenue</x:v>
      </x:c>
      <x:c r="E82" s="12" t="str">
        <x:v>chandrasekharpur</x:v>
      </x:c>
      <x:c r="F82" s="2" t="n">
        <x:v>7</x:v>
      </x:c>
      <x:c r="G82" s="2" t="n">
        <x:v>176</x:v>
      </x:c>
      <x:c r="H82" s="21" t="n">
        <x:v>1.9</x:v>
      </x:c>
      <x:c r="I82" s="21" t="n">
        <x:v>3.601</x:v>
      </x:c>
      <x:c r="J82" s="17" t="n">
        <x:f>F82*'Costing'!$H$4</x:f>
        <x:v>10584</x:v>
      </x:c>
      <x:c r="K82" s="17" t="n">
        <x:f>ROUND(J82*'Costing'!$C$4,2)</x:f>
        <x:v>1905.12</x:v>
      </x:c>
      <x:c r="L82" s="17" t="n">
        <x:f>J82+K82</x:f>
        <x:v>12489.119999999999</x:v>
      </x:c>
      <x:c r="M82" s="13" t="n">
        <x:v>20.335447311401367</x:v>
      </x:c>
      <x:c r="N82" s="13" t="n">
        <x:v>85.82841491699219</x:v>
      </x:c>
      <x:c r="O82" s="2" t="str">
        <x:v>https://www.google.com/maps?q=20.335447311401367,85.82841491699219</x:v>
      </x:c>
      <x:c r="P82" s="2" t="str">
        <x:v>CORP-0132</x:v>
      </x:c>
    </x:row>
    <x:row r="83" ht="42" customHeight="1">
      <x:c r="A83" s="10" t="n">
        <x:v>0</x:v>
      </x:c>
      <x:c r="B83" s="12" t="str">
        <x:v>MSW6TR8P</x:v>
      </x:c>
      <x:c r="C83" s="2" t="str">
        <x:v>Bhubaneswar</x:v>
      </x:c>
      <x:c r="D83" s="12" t="str">
        <x:v>Esha Residency</x:v>
      </x:c>
      <x:c r="E83" s="12" t="str">
        <x:v>Nayapalli</x:v>
      </x:c>
      <x:c r="F83" s="2" t="n">
        <x:v>5</x:v>
      </x:c>
      <x:c r="G83" s="2" t="n">
        <x:v>110</x:v>
      </x:c>
      <x:c r="H83" s="21" t="n">
        <x:v>1.6</x:v>
      </x:c>
      <x:c r="I83" s="21" t="n">
        <x:v>2.246</x:v>
      </x:c>
      <x:c r="J83" s="17" t="n">
        <x:f>F83*'Costing'!$H$4</x:f>
        <x:v>7560</x:v>
      </x:c>
      <x:c r="K83" s="17" t="n">
        <x:f>ROUND(J83*'Costing'!$C$4,2)</x:f>
        <x:v>1360.8</x:v>
      </x:c>
      <x:c r="L83" s="17" t="n">
        <x:f>J83+K83</x:f>
        <x:v>8920.8</x:v>
      </x:c>
      <x:c r="M83" s="13" t="n">
        <x:v>20.28357</x:v>
      </x:c>
      <x:c r="N83" s="13" t="n">
        <x:v>85.81924</x:v>
      </x:c>
      <x:c r="O83" s="2" t="str">
        <x:v>https://www.google.com/maps?q=20.28357,85.81924</x:v>
      </x:c>
      <x:c r="P83" s="2" t="str">
        <x:v>CORP-0132</x:v>
      </x:c>
    </x:row>
    <x:row r="84" ht="42" customHeight="1">
      <x:c r="A84" s="10" t="n">
        <x:v>0</x:v>
      </x:c>
      <x:c r="B84" s="12" t="str">
        <x:v>MST3NB07</x:v>
      </x:c>
      <x:c r="C84" s="2" t="str">
        <x:v>Bhubaneswar</x:v>
      </x:c>
      <x:c r="D84" s="12" t="str">
        <x:v>Nageswar Residency</x:v>
      </x:c>
      <x:c r="E84" s="12" t="str">
        <x:v>Patia</x:v>
      </x:c>
      <x:c r="F84" s="2" t="n">
        <x:v>16</x:v>
      </x:c>
      <x:c r="G84" s="2" t="n">
        <x:v>262</x:v>
      </x:c>
      <x:c r="H84" s="21" t="n">
        <x:v>1.98</x:v>
      </x:c>
      <x:c r="I84" s="21" t="n">
        <x:v>3.603</x:v>
      </x:c>
      <x:c r="J84" s="17" t="n">
        <x:f>F84*'Costing'!$H$4</x:f>
        <x:v>24192</x:v>
      </x:c>
      <x:c r="K84" s="17" t="n">
        <x:f>ROUND(J84*'Costing'!$C$4,2)</x:f>
        <x:v>4354.56</x:v>
      </x:c>
      <x:c r="L84" s="17" t="n">
        <x:f>J84+K84</x:f>
        <x:v>28546.56</x:v>
      </x:c>
      <x:c r="M84" s="13" t="n">
        <x:v>20.36458</x:v>
      </x:c>
      <x:c r="N84" s="13" t="n">
        <x:v>85.83661</x:v>
      </x:c>
      <x:c r="O84" s="2" t="str">
        <x:v>https://www.google.com/maps?q=20.36458,85.83661</x:v>
      </x:c>
      <x:c r="P84" s="2" t="str">
        <x:v>CORP-0133</x:v>
      </x:c>
    </x:row>
    <x:row r="85" ht="42" customHeight="1">
      <x:c r="A85" s="10" t="n">
        <x:v>0</x:v>
      </x:c>
      <x:c r="B85" s="12" t="str">
        <x:v>MSYFZH3T, MSZC0P76</x:v>
      </x:c>
      <x:c r="C85" s="2" t="str">
        <x:v>Bhubaneswar</x:v>
      </x:c>
      <x:c r="D85" s="12" t="str">
        <x:v>NBCC Imperia</x:v>
      </x:c>
      <x:c r="E85" s="12" t="str">
        <x:v>Patia</x:v>
      </x:c>
      <x:c r="F85" s="2" t="n">
        <x:v>9</x:v>
      </x:c>
      <x:c r="G85" s="2" t="n">
        <x:v>120</x:v>
      </x:c>
      <x:c r="H85" s="21" t="n">
        <x:v>3.25</x:v>
      </x:c>
      <x:c r="I85" s="21" t="n">
        <x:v>1.658</x:v>
      </x:c>
      <x:c r="J85" s="17" t="n">
        <x:f>F85*'Costing'!$H$4</x:f>
        <x:v>13608</x:v>
      </x:c>
      <x:c r="K85" s="17" t="n">
        <x:f>ROUND(J85*'Costing'!$C$4,2)</x:f>
        <x:v>2449.44</x:v>
      </x:c>
      <x:c r="L85" s="17" t="n">
        <x:f>J85+K85</x:f>
        <x:v>16057.44</x:v>
      </x:c>
      <x:c r="M85" s="13" t="n">
        <x:v>20.31754</x:v>
      </x:c>
      <x:c r="N85" s="13" t="n">
        <x:v>85.82827</x:v>
      </x:c>
      <x:c r="O85" s="2" t="str">
        <x:v>https://www.google.com/maps?q=20.31754,85.82827</x:v>
      </x:c>
      <x:c r="P85" s="2" t="str">
        <x:v>CORP-0132, CORP-0133</x:v>
      </x:c>
    </x:row>
    <x:row r="86" ht="42" customHeight="1">
      <x:c r="A86" s="10" t="n">
        <x:v>0</x:v>
      </x:c>
      <x:c r="B86" s="12" t="str">
        <x:v>MSH0F5FE</x:v>
      </x:c>
      <x:c r="C86" s="2" t="str">
        <x:v>Bhubaneswar</x:v>
      </x:c>
      <x:c r="D86" s="12" t="str">
        <x:v>Z1 Apartments</x:v>
      </x:c>
      <x:c r="E86" s="12" t="str">
        <x:v>Patia</x:v>
      </x:c>
      <x:c r="F86" s="2" t="n">
        <x:v>16</x:v>
      </x:c>
      <x:c r="G86" s="2" t="n">
        <x:v>750</x:v>
      </x:c>
      <x:c r="H86" s="21" t="n">
        <x:v>6.46</x:v>
      </x:c>
      <x:c r="I86" s="21" t="n">
        <x:v>3.581</x:v>
      </x:c>
      <x:c r="J86" s="17" t="n">
        <x:f>F86*'Costing'!$H$4</x:f>
        <x:v>24192</x:v>
      </x:c>
      <x:c r="K86" s="17" t="n">
        <x:f>ROUND(J86*'Costing'!$C$4,2)</x:f>
        <x:v>4354.56</x:v>
      </x:c>
      <x:c r="L86" s="17" t="n">
        <x:f>J86+K86</x:f>
        <x:v>28546.56</x:v>
      </x:c>
      <x:c r="M86" s="13" t="n">
        <x:v>20.366670608520508</x:v>
      </x:c>
      <x:c r="N86" s="13" t="n">
        <x:v>85.83415985107422</x:v>
      </x:c>
      <x:c r="O86" s="2" t="str">
        <x:v>https://www.google.com/maps?q=20.366670608520508,85.83415985107422</x:v>
      </x:c>
      <x:c r="P86" s="2" t="str">
        <x:v>CORP-0133</x:v>
      </x:c>
    </x:row>
    <x:row r="87" ht="42" customHeight="1">
      <x:c r="A87" s="10" t="n">
        <x:v>0</x:v>
      </x:c>
      <x:c r="B87" s="12" t="str">
        <x:v>MSTG7W1R</x:v>
      </x:c>
      <x:c r="C87" s="2" t="str">
        <x:v>Chennai</x:v>
      </x:c>
      <x:c r="D87" s="12" t="str">
        <x:v>Akshaya Tango</x:v>
      </x:c>
      <x:c r="E87" s="12" t="str">
        <x:v>Thoraipakkam</x:v>
      </x:c>
      <x:c r="F87" s="2" t="n">
        <x:v>8</x:v>
      </x:c>
      <x:c r="G87" s="2" t="n">
        <x:v>250</x:v>
      </x:c>
      <x:c r="H87" s="21" t="n">
        <x:v>2.48</x:v>
      </x:c>
      <x:c r="I87" s="21" t="n">
        <x:v>0.019</x:v>
      </x:c>
      <x:c r="J87" s="17" t="n">
        <x:f>F87*'Costing'!$H$4</x:f>
        <x:v>12096</x:v>
      </x:c>
      <x:c r="K87" s="17" t="n">
        <x:f>ROUND(J87*'Costing'!$C$4,2)</x:f>
        <x:v>2177.28</x:v>
      </x:c>
      <x:c r="L87" s="17" t="n">
        <x:f>J87+K87</x:f>
        <x:v>14273.28</x:v>
      </x:c>
      <x:c r="M87" s="13" t="n">
        <x:v>12.950694626365543</x:v>
      </x:c>
      <x:c r="N87" s="13" t="n">
        <x:v>80.24082280987467</x:v>
      </x:c>
      <x:c r="O87" s="2" t="str">
        <x:v>https://www.google.com/maps?q=12.950694626365543,80.24082280987467</x:v>
      </x:c>
      <x:c r="P87" s="2" t="str">
        <x:v>CORP-0138, CORP-0151, CORP-0155</x:v>
      </x:c>
    </x:row>
    <x:row r="88" ht="42" customHeight="1">
      <x:c r="A88" s="10" t="n">
        <x:v>0</x:v>
      </x:c>
      <x:c r="B88" s="12" t="str">
        <x:v>MSGDTKDM</x:v>
      </x:c>
      <x:c r="C88" s="2" t="str">
        <x:v>Chennai</x:v>
      </x:c>
      <x:c r="D88" s="12" t="str">
        <x:v>Appaswamy Capella</x:v>
      </x:c>
      <x:c r="E88" s="12" t="str">
        <x:v>Valasaravakkam</x:v>
      </x:c>
      <x:c r="F88" s="2" t="n">
        <x:v>8</x:v>
      </x:c>
      <x:c r="G88" s="2" t="n">
        <x:v>284</x:v>
      </x:c>
      <x:c r="H88" s="21" t="n">
        <x:v>3.77</x:v>
      </x:c>
      <x:c r="I88" s="21" t="n">
        <x:v>2.561</x:v>
      </x:c>
      <x:c r="J88" s="17" t="n">
        <x:f>F88*'Costing'!$H$4</x:f>
        <x:v>12096</x:v>
      </x:c>
      <x:c r="K88" s="17" t="n">
        <x:f>ROUND(J88*'Costing'!$C$4,2)</x:f>
        <x:v>2177.28</x:v>
      </x:c>
      <x:c r="L88" s="17" t="n">
        <x:f>J88+K88</x:f>
        <x:v>14273.28</x:v>
      </x:c>
      <x:c r="M88" s="13" t="n">
        <x:v>13.047752</x:v>
      </x:c>
      <x:c r="N88" s="13" t="n">
        <x:v>80.203357</x:v>
      </x:c>
      <x:c r="O88" s="2" t="str">
        <x:v>https://www.google.com/maps?q=13.047752,80.203357</x:v>
      </x:c>
      <x:c r="P88" s="2" t="str">
        <x:v>CORP-0139, CORP-0140, CORP-0148</x:v>
      </x:c>
    </x:row>
    <x:row r="89" ht="42" customHeight="1">
      <x:c r="A89" s="10" t="n">
        <x:v>0</x:v>
      </x:c>
      <x:c r="B89" s="12" t="str">
        <x:v>MSSPW22P</x:v>
      </x:c>
      <x:c r="C89" s="2" t="str">
        <x:v>Chennai</x:v>
      </x:c>
      <x:c r="D89" s="12" t="str">
        <x:v>Appaswamy Citysquare</x:v>
      </x:c>
      <x:c r="E89" s="12" t="str">
        <x:v>Kandanchavadi</x:v>
      </x:c>
      <x:c r="F89" s="2" t="n">
        <x:v>4</x:v>
      </x:c>
      <x:c r="G89" s="2" t="n">
        <x:v>70</x:v>
      </x:c>
      <x:c r="H89" s="21" t="n">
        <x:v>2.67</x:v>
      </x:c>
      <x:c r="I89" s="21" t="n">
        <x:v>0.206</x:v>
      </x:c>
      <x:c r="J89" s="17" t="n">
        <x:f>F89*'Costing'!$H$4</x:f>
        <x:v>6048</x:v>
      </x:c>
      <x:c r="K89" s="17" t="n">
        <x:f>ROUND(J89*'Costing'!$C$4,2)</x:f>
        <x:v>1088.64</x:v>
      </x:c>
      <x:c r="L89" s="17" t="n">
        <x:f>J89+K89</x:f>
        <x:v>7136.64</x:v>
      </x:c>
      <x:c r="M89" s="13" t="n">
        <x:v>12.97134</x:v>
      </x:c>
      <x:c r="N89" s="13" t="n">
        <x:v>80.24855</x:v>
      </x:c>
      <x:c r="O89" s="2" t="str">
        <x:v>https://www.google.com/maps?q=12.97134,80.24855</x:v>
      </x:c>
      <x:c r="P89" s="2" t="str">
        <x:v>CORP-0134, CORP-0136, CORP-0138, CORP-0142, CORP-0155, CORP-0156</x:v>
      </x:c>
    </x:row>
    <x:row r="90" ht="42" customHeight="1">
      <x:c r="A90" s="10" t="n">
        <x:v>0</x:v>
      </x:c>
      <x:c r="B90" s="12" t="str">
        <x:v>MSH65Z86</x:v>
      </x:c>
      <x:c r="C90" s="2" t="str">
        <x:v>Chennai</x:v>
      </x:c>
      <x:c r="D90" s="12" t="str">
        <x:v>Appaswamy Springs</x:v>
      </x:c>
      <x:c r="E90" s="12" t="str">
        <x:v>Adyar</x:v>
      </x:c>
      <x:c r="F90" s="2" t="n">
        <x:v>4</x:v>
      </x:c>
      <x:c r="G90" s="2" t="n">
        <x:v>147</x:v>
      </x:c>
      <x:c r="H90" s="21" t="n">
        <x:v>3.09</x:v>
      </x:c>
      <x:c r="I90" s="21" t="n">
        <x:v>1.305</x:v>
      </x:c>
      <x:c r="J90" s="17" t="n">
        <x:f>F90*'Costing'!$H$4</x:f>
        <x:v>6048</x:v>
      </x:c>
      <x:c r="K90" s="17" t="n">
        <x:f>ROUND(J90*'Costing'!$C$4,2)</x:f>
        <x:v>1088.64</x:v>
      </x:c>
      <x:c r="L90" s="17" t="n">
        <x:f>J90+K90</x:f>
        <x:v>7136.64</x:v>
      </x:c>
      <x:c r="M90" s="13" t="n">
        <x:v>12.979801</x:v>
      </x:c>
      <x:c r="N90" s="13" t="n">
        <x:v>80.25566</x:v>
      </x:c>
      <x:c r="O90" s="2" t="str">
        <x:v>https://www.google.com/maps?q=12.979801,80.25566</x:v>
      </x:c>
      <x:c r="P90" s="2" t="str">
        <x:v>CORP-0134, CORP-0136, CORP-0142, CORP-0156</x:v>
      </x:c>
    </x:row>
    <x:row r="91" ht="42" customHeight="1">
      <x:c r="A91" s="10" t="n">
        <x:v>0</x:v>
      </x:c>
      <x:c r="B91" s="12" t="str">
        <x:v>MSZXPT37</x:v>
      </x:c>
      <x:c r="C91" s="2" t="str">
        <x:v>Chennai</x:v>
      </x:c>
      <x:c r="D91" s="12" t="str">
        <x:v>Asta AVM</x:v>
      </x:c>
      <x:c r="E91" s="12" t="str">
        <x:v>Vadapalani</x:v>
      </x:c>
      <x:c r="F91" s="2" t="n">
        <x:v>11</x:v>
      </x:c>
      <x:c r="G91" s="2" t="n">
        <x:v>660</x:v>
      </x:c>
      <x:c r="H91" s="21" t="n">
        <x:v>3.87</x:v>
      </x:c>
      <x:c r="I91" s="21" t="n">
        <x:v>2.215</x:v>
      </x:c>
      <x:c r="J91" s="17" t="n">
        <x:f>F91*'Costing'!$H$4</x:f>
        <x:v>16632</x:v>
      </x:c>
      <x:c r="K91" s="17" t="n">
        <x:f>ROUND(J91*'Costing'!$C$4,2)</x:f>
        <x:v>2993.76</x:v>
      </x:c>
      <x:c r="L91" s="17" t="n">
        <x:f>J91+K91</x:f>
        <x:v>19625.760000000002</x:v>
      </x:c>
      <x:c r="M91" s="13" t="n">
        <x:v>13.04475</x:v>
      </x:c>
      <x:c r="N91" s="13" t="n">
        <x:v>80.20434</x:v>
      </x:c>
      <x:c r="O91" s="2" t="str">
        <x:v>https://www.google.com/maps?q=13.04475,80.20434</x:v>
      </x:c>
      <x:c r="P91" s="2" t="str">
        <x:v>CORP-0139, CORP-0140, CORP-0144, CORP-0145, CORP-0148, CORP-0157</x:v>
      </x:c>
    </x:row>
    <x:row r="92" ht="42" customHeight="1">
      <x:c r="A92" s="10" t="n">
        <x:v>0</x:v>
      </x:c>
      <x:c r="B92" s="12" t="str">
        <x:v>MS8S9ACR</x:v>
      </x:c>
      <x:c r="C92" s="2" t="str">
        <x:v>Chennai</x:v>
      </x:c>
      <x:c r="D92" s="12" t="str">
        <x:v>Asvini Amarisa</x:v>
      </x:c>
      <x:c r="E92" s="12" t="str">
        <x:v>Ramapuram</x:v>
      </x:c>
      <x:c r="F92" s="2" t="n">
        <x:v>11</x:v>
      </x:c>
      <x:c r="G92" s="2" t="n">
        <x:v>302</x:v>
      </x:c>
      <x:c r="H92" s="21" t="n">
        <x:v>1.97</x:v>
      </x:c>
      <x:c r="I92" s="21" t="n">
        <x:v>2.052</x:v>
      </x:c>
      <x:c r="J92" s="17" t="n">
        <x:f>F92*'Costing'!$H$4</x:f>
        <x:v>16632</x:v>
      </x:c>
      <x:c r="K92" s="17" t="n">
        <x:f>ROUND(J92*'Costing'!$C$4,2)</x:f>
        <x:v>2993.76</x:v>
      </x:c>
      <x:c r="L92" s="17" t="n">
        <x:f>J92+K92</x:f>
        <x:v>19625.760000000002</x:v>
      </x:c>
      <x:c r="M92" s="13" t="n">
        <x:v>13.02489</x:v>
      </x:c>
      <x:c r="N92" s="13" t="n">
        <x:v>80.18751</x:v>
      </x:c>
      <x:c r="O92" s="2" t="str">
        <x:v>https://www.google.com/maps?q=13.02489,80.18751</x:v>
      </x:c>
      <x:c r="P92" s="2" t="str">
        <x:v>CORP-0143</x:v>
      </x:c>
    </x:row>
    <x:row r="93" ht="42" customHeight="1">
      <x:c r="A93" s="10" t="n">
        <x:v>0</x:v>
      </x:c>
      <x:c r="B93" s="12" t="str">
        <x:v>MS1DKJ7Z</x:v>
      </x:c>
      <x:c r="C93" s="2" t="str">
        <x:v>Chennai</x:v>
      </x:c>
      <x:c r="D93" s="12" t="str">
        <x:v>Banyan House</x:v>
      </x:c>
      <x:c r="E93" s="12" t="str">
        <x:v>Alandur</x:v>
      </x:c>
      <x:c r="F93" s="2" t="n">
        <x:v>10</x:v>
      </x:c>
      <x:c r="G93" s="2" t="n">
        <x:v>170</x:v>
      </x:c>
      <x:c r="H93" s="21" t="n">
        <x:v>2.55</x:v>
      </x:c>
      <x:c r="I93" s="21" t="n">
        <x:v>2.185</x:v>
      </x:c>
      <x:c r="J93" s="17" t="n">
        <x:f>F93*'Costing'!$H$4</x:f>
        <x:v>15120</x:v>
      </x:c>
      <x:c r="K93" s="17" t="n">
        <x:f>ROUND(J93*'Costing'!$C$4,2)</x:f>
        <x:v>2721.6</x:v>
      </x:c>
      <x:c r="L93" s="17" t="n">
        <x:f>J93+K93</x:f>
        <x:v>17841.6</x:v>
      </x:c>
      <x:c r="M93" s="13" t="n">
        <x:v>12.995938</x:v>
      </x:c>
      <x:c r="N93" s="13" t="n">
        <x:v>80.194664</x:v>
      </x:c>
      <x:c r="O93" s="2" t="str">
        <x:v>https://www.google.com/maps?q=12.995938,80.194664</x:v>
      </x:c>
      <x:c r="P93" s="2" t="str">
        <x:v>CORP-0144, CORP-0145, CORP-0149, CORP-0150, CORP-0157</x:v>
      </x:c>
    </x:row>
    <x:row r="94" ht="42" customHeight="1">
      <x:c r="A94" s="10" t="n">
        <x:v>0</x:v>
      </x:c>
      <x:c r="B94" s="12" t="str">
        <x:v>MSFZJH0B</x:v>
      </x:c>
      <x:c r="C94" s="2" t="str">
        <x:v>Chennai</x:v>
      </x:c>
      <x:c r="D94" s="12" t="str">
        <x:v>Brigade Xanadu</x:v>
      </x:c>
      <x:c r="E94" s="12" t="str">
        <x:v>Ambattur</x:v>
      </x:c>
      <x:c r="F94" s="2" t="n">
        <x:v>15</x:v>
      </x:c>
      <x:c r="G94" s="2" t="n">
        <x:v>262</x:v>
      </x:c>
      <x:c r="H94" s="21" t="n">
        <x:v>2.19</x:v>
      </x:c>
      <x:c r="I94" s="21" t="n">
        <x:v>2.777</x:v>
      </x:c>
      <x:c r="J94" s="17" t="n">
        <x:f>F94*'Costing'!$H$4</x:f>
        <x:v>22680</x:v>
      </x:c>
      <x:c r="K94" s="17" t="n">
        <x:f>ROUND(J94*'Costing'!$C$4,2)</x:f>
        <x:v>4082.4</x:v>
      </x:c>
      <x:c r="L94" s="17" t="n">
        <x:f>J94+K94</x:f>
        <x:v>26762.4</x:v>
      </x:c>
      <x:c r="M94" s="13" t="n">
        <x:v>13.068753562944037</x:v>
      </x:c>
      <x:c r="N94" s="13" t="n">
        <x:v>80.1715965364786</x:v>
      </x:c>
      <x:c r="O94" s="2" t="str">
        <x:v>https://www.google.com/maps?q=13.068753562944037,80.1715965364786</x:v>
      </x:c>
      <x:c r="P94" s="2" t="str">
        <x:v>CORP-0147</x:v>
      </x:c>
    </x:row>
    <x:row r="95" ht="42" customHeight="1">
      <x:c r="A95" s="10" t="n">
        <x:v>0</x:v>
      </x:c>
      <x:c r="B95" s="12" t="str">
        <x:v>MSH2CHXK</x:v>
      </x:c>
      <x:c r="C95" s="2" t="str">
        <x:v>Chennai</x:v>
      </x:c>
      <x:c r="D95" s="12" t="str">
        <x:v>Casa Grand Asta</x:v>
      </x:c>
      <x:c r="E95" s="12" t="str">
        <x:v>Korattur</x:v>
      </x:c>
      <x:c r="F95" s="2" t="n">
        <x:v>13</x:v>
      </x:c>
      <x:c r="G95" s="2" t="n">
        <x:v>325</x:v>
      </x:c>
      <x:c r="H95" s="21" t="n">
        <x:v>2.38</x:v>
      </x:c>
      <x:c r="I95" s="21" t="n">
        <x:v>2.916</x:v>
      </x:c>
      <x:c r="J95" s="17" t="n">
        <x:f>F95*'Costing'!$H$4</x:f>
        <x:v>19656</x:v>
      </x:c>
      <x:c r="K95" s="17" t="n">
        <x:f>ROUND(J95*'Costing'!$C$4,2)</x:f>
        <x:v>3538.08</x:v>
      </x:c>
      <x:c r="L95" s="17" t="n">
        <x:f>J95+K95</x:f>
        <x:v>23194.08</x:v>
      </x:c>
      <x:c r="M95" s="13" t="n">
        <x:v>13.11724016</x:v>
      </x:c>
      <x:c r="N95" s="13" t="n">
        <x:v>80.17164444</x:v>
      </x:c>
      <x:c r="O95" s="2" t="str">
        <x:v>https://www.google.com/maps?q=13.11724016,80.17164444</x:v>
      </x:c>
      <x:c r="P95" s="2" t="str">
        <x:v>CORP-0147</x:v>
      </x:c>
    </x:row>
    <x:row r="96" ht="42" customHeight="1">
      <x:c r="A96" s="10" t="n">
        <x:v>0</x:v>
      </x:c>
      <x:c r="B96" s="12" t="str">
        <x:v>MS1NSW5Q</x:v>
      </x:c>
      <x:c r="C96" s="2" t="str">
        <x:v>Chennai</x:v>
      </x:c>
      <x:c r="D96" s="12" t="str">
        <x:v>Casagrand Primera</x:v>
      </x:c>
      <x:c r="E96" s="12" t="str">
        <x:v>Mugalivakkam</x:v>
      </x:c>
      <x:c r="F96" s="2" t="n">
        <x:v>11</x:v>
      </x:c>
      <x:c r="G96" s="2" t="n">
        <x:v>188</x:v>
      </x:c>
      <x:c r="H96" s="21" t="n">
        <x:v>2.12</x:v>
      </x:c>
      <x:c r="I96" s="21" t="n">
        <x:v>1.486</x:v>
      </x:c>
      <x:c r="J96" s="17" t="n">
        <x:f>F96*'Costing'!$H$4</x:f>
        <x:v>16632</x:v>
      </x:c>
      <x:c r="K96" s="17" t="n">
        <x:f>ROUND(J96*'Costing'!$C$4,2)</x:f>
        <x:v>2993.76</x:v>
      </x:c>
      <x:c r="L96" s="17" t="n">
        <x:f>J96+K96</x:f>
        <x:v>19625.760000000002</x:v>
      </x:c>
      <x:c r="M96" s="13" t="n">
        <x:v>13.01635</x:v>
      </x:c>
      <x:c r="N96" s="13" t="n">
        <x:v>80.16778</x:v>
      </x:c>
      <x:c r="O96" s="2" t="str">
        <x:v>https://www.google.com/maps?q=13.01635,80.16778</x:v>
      </x:c>
      <x:c r="P96" s="2" t="str">
        <x:v>CORP-0143</x:v>
      </x:c>
    </x:row>
    <x:row r="97" ht="42" customHeight="1">
      <x:c r="A97" s="10" t="n">
        <x:v>0</x:v>
      </x:c>
      <x:c r="B97" s="12" t="str">
        <x:v>MSCMW9P6</x:v>
      </x:c>
      <x:c r="C97" s="2" t="str">
        <x:v>Chennai</x:v>
      </x:c>
      <x:c r="D97" s="12" t="str">
        <x:v>Ceebros Greyshot</x:v>
      </x:c>
      <x:c r="E97" s="12" t="str">
        <x:v>R A Puram</x:v>
      </x:c>
      <x:c r="F97" s="2" t="n">
        <x:v>6</x:v>
      </x:c>
      <x:c r="G97" s="2" t="n">
        <x:v>110</x:v>
      </x:c>
      <x:c r="H97" s="21" t="n">
        <x:v>4.55</x:v>
      </x:c>
      <x:c r="I97" s="21" t="n">
        <x:v>1.828</x:v>
      </x:c>
      <x:c r="J97" s="17" t="n">
        <x:f>F97*'Costing'!$H$4</x:f>
        <x:v>9072</x:v>
      </x:c>
      <x:c r="K97" s="17" t="n">
        <x:f>ROUND(J97*'Costing'!$C$4,2)</x:f>
        <x:v>1632.96</x:v>
      </x:c>
      <x:c r="L97" s="17" t="n">
        <x:f>J97+K97</x:f>
        <x:v>10704.96</x:v>
      </x:c>
      <x:c r="M97" s="13" t="n">
        <x:v>13.022963</x:v>
      </x:c>
      <x:c r="N97" s="13" t="n">
        <x:v>80.257709</x:v>
      </x:c>
      <x:c r="O97" s="2" t="str">
        <x:v>https://www.google.com/maps?q=13.022963,80.257709</x:v>
      </x:c>
      <x:c r="P97" s="2" t="str">
        <x:v>CORP-0135, CORP-0146, CORP-0152, CORP-0153, CORP-0154</x:v>
      </x:c>
    </x:row>
    <x:row r="98" ht="42" customHeight="1">
      <x:c r="A98" s="10" t="n">
        <x:v>0</x:v>
      </x:c>
      <x:c r="B98" s="12" t="str">
        <x:v>MSGQ0TW0</x:v>
      </x:c>
      <x:c r="C98" s="2" t="str">
        <x:v>Chennai</x:v>
      </x:c>
      <x:c r="D98" s="12" t="str">
        <x:v>Ceebros Orchids</x:v>
      </x:c>
      <x:c r="E98" s="12" t="str">
        <x:v>Velachery</x:v>
      </x:c>
      <x:c r="F98" s="2" t="n">
        <x:v>10</x:v>
      </x:c>
      <x:c r="G98" s="2" t="n">
        <x:v>192</x:v>
      </x:c>
      <x:c r="H98" s="21" t="n">
        <x:v>4.5</x:v>
      </x:c>
      <x:c r="I98" s="21" t="n">
        <x:v>3.384</x:v>
      </x:c>
      <x:c r="J98" s="17" t="n">
        <x:f>F98*'Costing'!$H$4</x:f>
        <x:v>15120</x:v>
      </x:c>
      <x:c r="K98" s="17" t="n">
        <x:f>ROUND(J98*'Costing'!$C$4,2)</x:f>
        <x:v>2721.6</x:v>
      </x:c>
      <x:c r="L98" s="17" t="n">
        <x:f>J98+K98</x:f>
        <x:v>17841.6</x:v>
      </x:c>
      <x:c r="M98" s="13" t="n">
        <x:v>12.981471061706543</x:v>
      </x:c>
      <x:c r="N98" s="13" t="n">
        <x:v>80.22126007080078</x:v>
      </x:c>
      <x:c r="O98" s="2" t="str">
        <x:v>https://www.google.com/maps?q=12.981471061706543,80.22126007080078</x:v>
      </x:c>
      <x:c r="P98" s="2" t="str">
        <x:v>CORP-0137, CORP-0754, CORP-0755, CORP-0149, CORP-0150</x:v>
      </x:c>
    </x:row>
    <x:row r="99" ht="42" customHeight="1">
      <x:c r="A99" s="10" t="n">
        <x:v>0</x:v>
      </x:c>
      <x:c r="B99" s="12" t="str">
        <x:v>MS1H0PFC, MS8TB7N5</x:v>
      </x:c>
      <x:c r="C99" s="2" t="str">
        <x:v>Chennai</x:v>
      </x:c>
      <x:c r="D99" s="12" t="str">
        <x:v>Doshi Etopia Phase 1</x:v>
      </x:c>
      <x:c r="E99" s="12" t="str">
        <x:v>Perungudi</x:v>
      </x:c>
      <x:c r="F99" s="2" t="n">
        <x:v>16</x:v>
      </x:c>
      <x:c r="G99" s="2" t="n">
        <x:v>170</x:v>
      </x:c>
      <x:c r="H99" s="21" t="n">
        <x:v>2.28</x:v>
      </x:c>
      <x:c r="I99" s="21" t="n">
        <x:v>0.826</x:v>
      </x:c>
      <x:c r="J99" s="17" t="n">
        <x:f>F99*'Costing'!$H$4</x:f>
        <x:v>24192</x:v>
      </x:c>
      <x:c r="K99" s="17" t="n">
        <x:f>ROUND(J99*'Costing'!$C$4,2)</x:f>
        <x:v>4354.56</x:v>
      </x:c>
      <x:c r="L99" s="17" t="n">
        <x:f>J99+K99</x:f>
        <x:v>28546.56</x:v>
      </x:c>
      <x:c r="M99" s="13" t="n">
        <x:v>12.95795</x:v>
      </x:c>
      <x:c r="N99" s="13" t="n">
        <x:v>80.23913</x:v>
      </x:c>
      <x:c r="O99" s="2" t="str">
        <x:v>https://www.google.com/maps?q=12.95795,80.23913</x:v>
      </x:c>
      <x:c r="P99" s="2" t="str">
        <x:v>CORP-0151</x:v>
      </x:c>
    </x:row>
    <x:row r="100" ht="42" customHeight="1">
      <x:c r="A100" s="10" t="n">
        <x:v>0</x:v>
      </x:c>
      <x:c r="B100" s="12" t="str">
        <x:v>MSFE967W</x:v>
      </x:c>
      <x:c r="C100" s="2" t="str">
        <x:v>Chennai</x:v>
      </x:c>
      <x:c r="D100" s="12" t="str">
        <x:v>ETA Star Verde</x:v>
      </x:c>
      <x:c r="E100" s="12" t="str">
        <x:v>Porur</x:v>
      </x:c>
      <x:c r="F100" s="2" t="n">
        <x:v>7</x:v>
      </x:c>
      <x:c r="G100" s="2" t="n">
        <x:v>128</x:v>
      </x:c>
      <x:c r="H100" s="21" t="n">
        <x:v>4.44</x:v>
      </x:c>
      <x:c r="I100" s="21" t="n">
        <x:v>1.064</x:v>
      </x:c>
      <x:c r="J100" s="17" t="n">
        <x:f>F100*'Costing'!$H$4</x:f>
        <x:v>10584</x:v>
      </x:c>
      <x:c r="K100" s="17" t="n">
        <x:f>ROUND(J100*'Costing'!$C$4,2)</x:f>
        <x:v>1905.12</x:v>
      </x:c>
      <x:c r="L100" s="17" t="n">
        <x:f>J100+K100</x:f>
        <x:v>12489.119999999999</x:v>
      </x:c>
      <x:c r="M100" s="13" t="n">
        <x:v>13.03792</x:v>
      </x:c>
      <x:c r="N100" s="13" t="n">
        <x:v>80.16428</x:v>
      </x:c>
      <x:c r="O100" s="2" t="str">
        <x:v>https://www.google.com/maps?q=13.03792,80.16428</x:v>
      </x:c>
      <x:c r="P100" s="2" t="str">
        <x:v>CORP-0143</x:v>
      </x:c>
    </x:row>
    <x:row r="101" ht="42" customHeight="1">
      <x:c r="A101" s="10" t="n">
        <x:v>0</x:v>
      </x:c>
      <x:c r="B101" s="12" t="str">
        <x:v>MSBHR31X</x:v>
      </x:c>
      <x:c r="C101" s="2" t="str">
        <x:v>Chennai</x:v>
      </x:c>
      <x:c r="D101" s="12" t="str">
        <x:v>Falling Waters</x:v>
      </x:c>
      <x:c r="E101" s="12" t="str">
        <x:v>Perungudi</x:v>
      </x:c>
      <x:c r="F101" s="2" t="n">
        <x:v>4</x:v>
      </x:c>
      <x:c r="G101" s="2" t="n">
        <x:v>100</x:v>
      </x:c>
      <x:c r="H101" s="21" t="n">
        <x:v>4.33</x:v>
      </x:c>
      <x:c r="I101" s="21" t="n">
        <x:v>1.053</x:v>
      </x:c>
      <x:c r="J101" s="17" t="n">
        <x:f>F101*'Costing'!$H$4</x:f>
        <x:v>6048</x:v>
      </x:c>
      <x:c r="K101" s="17" t="n">
        <x:f>ROUND(J101*'Costing'!$C$4,2)</x:f>
        <x:v>1088.64</x:v>
      </x:c>
      <x:c r="L101" s="17" t="n">
        <x:f>J101+K101</x:f>
        <x:v>7136.64</x:v>
      </x:c>
      <x:c r="M101" s="13" t="n">
        <x:v>12.967072</x:v>
      </x:c>
      <x:c r="N101" s="13" t="n">
        <x:v>80.23419</x:v>
      </x:c>
      <x:c r="O101" s="2" t="str">
        <x:v>https://www.google.com/maps?q=12.967072,80.23419</x:v>
      </x:c>
      <x:c r="P101" s="2" t="str">
        <x:v>CORP-0134, CORP-0136, CORP-0138, CORP-0142, CORP-0155, CORP-0156</x:v>
      </x:c>
    </x:row>
    <x:row r="102" ht="42" customHeight="1">
      <x:c r="A102" s="10" t="n">
        <x:v>0</x:v>
      </x:c>
      <x:c r="B102" s="12" t="str">
        <x:v>MS9FKZ0M</x:v>
      </x:c>
      <x:c r="C102" s="2" t="str">
        <x:v>Chennai</x:v>
      </x:c>
      <x:c r="D102" s="12" t="str">
        <x:v>Khushal Gardens</x:v>
      </x:c>
      <x:c r="E102" s="12" t="str">
        <x:v>Tondiarpet</x:v>
      </x:c>
      <x:c r="F102" s="2" t="n">
        <x:v>6</x:v>
      </x:c>
      <x:c r="G102" s="2" t="n">
        <x:v>192</x:v>
      </x:c>
      <x:c r="H102" s="21" t="n">
        <x:v>4.62</x:v>
      </x:c>
      <x:c r="I102" s="21" t="n">
        <x:v>3.02</x:v>
      </x:c>
      <x:c r="J102" s="17" t="n">
        <x:f>F102*'Costing'!$H$4</x:f>
        <x:v>9072</x:v>
      </x:c>
      <x:c r="K102" s="17" t="n">
        <x:f>ROUND(J102*'Costing'!$C$4,2)</x:f>
        <x:v>1632.96</x:v>
      </x:c>
      <x:c r="L102" s="17" t="n">
        <x:f>J102+K102</x:f>
        <x:v>10704.96</x:v>
      </x:c>
      <x:c r="M102" s="13" t="n">
        <x:v>13.07622</x:v>
      </x:c>
      <x:c r="N102" s="13" t="n">
        <x:v>80.23453</x:v>
      </x:c>
      <x:c r="O102" s="2" t="str">
        <x:v>https://www.google.com/maps?q=13.07622,80.23453</x:v>
      </x:c>
      <x:c r="P102" s="2" t="str">
        <x:v>CORP-0135, CORP-0146, CORP-0154</x:v>
      </x:c>
    </x:row>
    <x:row r="103" ht="42" customHeight="1">
      <x:c r="A103" s="10" t="n">
        <x:v>0</x:v>
      </x:c>
      <x:c r="B103" s="12" t="str">
        <x:v>MS5S442P</x:v>
      </x:c>
      <x:c r="C103" s="2" t="str">
        <x:v>Chennai</x:v>
      </x:c>
      <x:c r="D103" s="12" t="str">
        <x:v>Navins Septem</x:v>
      </x:c>
      <x:c r="E103" s="12" t="str">
        <x:v>Adyar</x:v>
      </x:c>
      <x:c r="F103" s="2" t="n">
        <x:v>7</x:v>
      </x:c>
      <x:c r="G103" s="2" t="n">
        <x:v>54</x:v>
      </x:c>
      <x:c r="H103" s="21" t="n">
        <x:v>3.61</x:v>
      </x:c>
      <x:c r="I103" s="21" t="n">
        <x:v>3.866</x:v>
      </x:c>
      <x:c r="J103" s="17" t="n">
        <x:f>F103*'Costing'!$H$4</x:f>
        <x:v>10584</x:v>
      </x:c>
      <x:c r="K103" s="17" t="n">
        <x:f>ROUND(J103*'Costing'!$C$4,2)</x:f>
        <x:v>1905.12</x:v>
      </x:c>
      <x:c r="L103" s="17" t="n">
        <x:f>J103+K103</x:f>
        <x:v>12489.119999999999</x:v>
      </x:c>
      <x:c r="M103" s="13" t="n">
        <x:v>12.99678</x:v>
      </x:c>
      <x:c r="N103" s="13" t="n">
        <x:v>80.254875</x:v>
      </x:c>
      <x:c r="O103" s="2" t="str">
        <x:v>https://www.google.com/maps?q=12.99678,80.254875</x:v>
      </x:c>
      <x:c r="P103" s="2" t="str">
        <x:v>CORP-0137, CORP-0754, CORP-0755</x:v>
      </x:c>
    </x:row>
    <x:row r="104" ht="42" customHeight="1">
      <x:c r="A104" s="10" t="n">
        <x:v>0</x:v>
      </x:c>
      <x:c r="B104" s="12" t="str">
        <x:v>MS7XPK4M</x:v>
      </x:c>
      <x:c r="C104" s="2" t="str">
        <x:v>Chennai</x:v>
      </x:c>
      <x:c r="D104" s="12" t="str">
        <x:v>Prestige Downtown</x:v>
      </x:c>
      <x:c r="E104" s="12" t="str">
        <x:v>K K Nagar</x:v>
      </x:c>
      <x:c r="F104" s="2" t="n">
        <x:v>6</x:v>
      </x:c>
      <x:c r="G104" s="2" t="n">
        <x:v>84</x:v>
      </x:c>
      <x:c r="H104" s="21" t="n">
        <x:v>3.3</x:v>
      </x:c>
      <x:c r="I104" s="21" t="n">
        <x:v>2.745</x:v>
      </x:c>
      <x:c r="J104" s="17" t="n">
        <x:f>F104*'Costing'!$H$4</x:f>
        <x:v>9072</x:v>
      </x:c>
      <x:c r="K104" s="17" t="n">
        <x:f>ROUND(J104*'Costing'!$C$4,2)</x:f>
        <x:v>1632.96</x:v>
      </x:c>
      <x:c r="L104" s="17" t="n">
        <x:f>J104+K104</x:f>
        <x:v>10704.96</x:v>
      </x:c>
      <x:c r="M104" s="13" t="n">
        <x:v>13.043294</x:v>
      </x:c>
      <x:c r="N104" s="13" t="n">
        <x:v>80.190166</x:v>
      </x:c>
      <x:c r="O104" s="2" t="str">
        <x:v>https://www.google.com/maps?q=13.043294,80.190166</x:v>
      </x:c>
      <x:c r="P104" s="2" t="str">
        <x:v>CORP-0139, CORP-0140, CORP-0144, CORP-0145, CORP-0157</x:v>
      </x:c>
    </x:row>
    <x:row r="105" ht="42" customHeight="1">
      <x:c r="A105" s="10" t="n">
        <x:v>0</x:v>
      </x:c>
      <x:c r="B105" s="12" t="str">
        <x:v>MS7MYJHY</x:v>
      </x:c>
      <x:c r="C105" s="2" t="str">
        <x:v>Chennai</x:v>
      </x:c>
      <x:c r="D105" s="12" t="str">
        <x:v>Radiance Mandarin</x:v>
      </x:c>
      <x:c r="E105" s="12" t="str">
        <x:v>Thoraipakkam</x:v>
      </x:c>
      <x:c r="F105" s="2" t="n">
        <x:v>9</x:v>
      </x:c>
      <x:c r="G105" s="2" t="n">
        <x:v>360</x:v>
      </x:c>
      <x:c r="H105" s="21" t="n">
        <x:v>2.43</x:v>
      </x:c>
      <x:c r="I105" s="21" t="n">
        <x:v>0.299</x:v>
      </x:c>
      <x:c r="J105" s="17" t="n">
        <x:f>F105*'Costing'!$H$4</x:f>
        <x:v>13608</x:v>
      </x:c>
      <x:c r="K105" s="17" t="n">
        <x:f>ROUND(J105*'Costing'!$C$4,2)</x:f>
        <x:v>2449.44</x:v>
      </x:c>
      <x:c r="L105" s="17" t="n">
        <x:f>J105+K105</x:f>
        <x:v>16057.44</x:v>
      </x:c>
      <x:c r="M105" s="13" t="n">
        <x:v>12.948636054992676</x:v>
      </x:c>
      <x:c r="N105" s="13" t="n">
        <x:v>80.2392807006836</x:v>
      </x:c>
      <x:c r="O105" s="2" t="str">
        <x:v>https://www.google.com/maps?q=12.948636054992676,80.2392807006836</x:v>
      </x:c>
      <x:c r="P105" s="2" t="str">
        <x:v>CORP-0151</x:v>
      </x:c>
    </x:row>
    <x:row r="106" ht="42" customHeight="1">
      <x:c r="A106" s="10" t="n">
        <x:v>0</x:v>
      </x:c>
      <x:c r="B106" s="12" t="str">
        <x:v>MS71ZDHS</x:v>
      </x:c>
      <x:c r="C106" s="2" t="str">
        <x:v>Chennai</x:v>
      </x:c>
      <x:c r="D106" s="12" t="str">
        <x:v>Raheja Residency</x:v>
      </x:c>
      <x:c r="E106" s="12" t="str">
        <x:v>R A Puram</x:v>
      </x:c>
      <x:c r="F106" s="2" t="n">
        <x:v>4</x:v>
      </x:c>
      <x:c r="G106" s="2" t="n">
        <x:v>128</x:v>
      </x:c>
      <x:c r="H106" s="21" t="n">
        <x:v>4.96</x:v>
      </x:c>
      <x:c r="I106" s="21" t="n">
        <x:v>2.909</x:v>
      </x:c>
      <x:c r="J106" s="17" t="n">
        <x:f>F106*'Costing'!$H$4</x:f>
        <x:v>6048</x:v>
      </x:c>
      <x:c r="K106" s="17" t="n">
        <x:f>ROUND(J106*'Costing'!$C$4,2)</x:f>
        <x:v>1088.64</x:v>
      </x:c>
      <x:c r="L106" s="17" t="n">
        <x:f>J106+K106</x:f>
        <x:v>7136.64</x:v>
      </x:c>
      <x:c r="M106" s="13" t="n">
        <x:v>13.020001</x:v>
      </x:c>
      <x:c r="N106" s="13" t="n">
        <x:v>80.267602</x:v>
      </x:c>
      <x:c r="O106" s="2" t="str">
        <x:v>https://www.google.com/maps?q=13.020001,80.267602</x:v>
      </x:c>
      <x:c r="P106" s="2" t="str">
        <x:v>CORP-0135, CORP-0146, CORP-0152, CORP-0153, CORP-0154</x:v>
      </x:c>
    </x:row>
    <x:row r="107" ht="42" customHeight="1">
      <x:c r="A107" s="10" t="n">
        <x:v>0</x:v>
      </x:c>
      <x:c r="B107" s="12" t="str">
        <x:v>MSM1V7HF</x:v>
      </x:c>
      <x:c r="C107" s="2" t="str">
        <x:v>Chennai</x:v>
      </x:c>
      <x:c r="D107" s="12" t="str">
        <x:v>Residency Regency Regalia</x:v>
      </x:c>
      <x:c r="E107" s="12" t="str">
        <x:v>Guindy</x:v>
      </x:c>
      <x:c r="F107" s="2" t="n">
        <x:v>6</x:v>
      </x:c>
      <x:c r="G107" s="2" t="n">
        <x:v>86</x:v>
      </x:c>
      <x:c r="H107" s="21" t="n">
        <x:v>4.95</x:v>
      </x:c>
      <x:c r="I107" s="21" t="n">
        <x:v>2.463</x:v>
      </x:c>
      <x:c r="J107" s="17" t="n">
        <x:f>F107*'Costing'!$H$4</x:f>
        <x:v>9072</x:v>
      </x:c>
      <x:c r="K107" s="17" t="n">
        <x:f>ROUND(J107*'Costing'!$C$4,2)</x:f>
        <x:v>1632.96</x:v>
      </x:c>
      <x:c r="L107" s="17" t="n">
        <x:f>J107+K107</x:f>
        <x:v>10704.96</x:v>
      </x:c>
      <x:c r="M107" s="13" t="n">
        <x:v>13.005668347985544</x:v>
      </x:c>
      <x:c r="N107" s="13" t="n">
        <x:v>80.24459485753279</x:v>
      </x:c>
      <x:c r="O107" s="2" t="str">
        <x:v>https://www.google.com/maps?q=13.005668347985544,80.24459485753279</x:v>
      </x:c>
      <x:c r="P107" s="2" t="str">
        <x:v>CORP-0137, CORP-0754, CORP-0755, CORP-0148, CORP-0149, CORP-0150, CORP-0152, CORP-0153</x:v>
      </x:c>
    </x:row>
    <x:row r="108" ht="42" customHeight="1">
      <x:c r="A108" s="10" t="n">
        <x:v>0</x:v>
      </x:c>
      <x:c r="B108" s="12" t="str">
        <x:v>MSHB4P09</x:v>
      </x:c>
      <x:c r="C108" s="2" t="str">
        <x:v>Chennai</x:v>
      </x:c>
      <x:c r="D108" s="12" t="str">
        <x:v>VGN Ferndale</x:v>
      </x:c>
      <x:c r="E108" s="12" t="str">
        <x:v>Mogappair West</x:v>
      </x:c>
      <x:c r="F108" s="2" t="n">
        <x:v>13</x:v>
      </x:c>
      <x:c r="G108" s="2" t="n">
        <x:v>143</x:v>
      </x:c>
      <x:c r="H108" s="21" t="n">
        <x:v>2.11</x:v>
      </x:c>
      <x:c r="I108" s="21" t="n">
        <x:v>2.45</x:v>
      </x:c>
      <x:c r="J108" s="17" t="n">
        <x:f>F108*'Costing'!$H$4</x:f>
        <x:v>19656</x:v>
      </x:c>
      <x:c r="K108" s="17" t="n">
        <x:f>ROUND(J108*'Costing'!$C$4,2)</x:f>
        <x:v>3538.08</x:v>
      </x:c>
      <x:c r="L108" s="17" t="n">
        <x:f>J108+K108</x:f>
        <x:v>23194.08</x:v>
      </x:c>
      <x:c r="M108" s="13" t="n">
        <x:v>13.074279</x:v>
      </x:c>
      <x:c r="N108" s="13" t="n">
        <x:v>80.176124</x:v>
      </x:c>
      <x:c r="O108" s="2" t="str">
        <x:v>https://www.google.com/maps?q=13.074279,80.176124</x:v>
      </x:c>
      <x:c r="P108" s="2" t="str">
        <x:v>CORP-0147</x:v>
      </x:c>
    </x:row>
    <x:row r="109" ht="42" customHeight="1">
      <x:c r="A109" s="10" t="n">
        <x:v>0</x:v>
      </x:c>
      <x:c r="B109" s="12" t="str">
        <x:v>MSJV9TJS, MSQJNSFM</x:v>
      </x:c>
      <x:c r="C109" s="2" t="str">
        <x:v>Delhi NCR</x:v>
      </x:c>
      <x:c r="D109" s="12" t="str">
        <x:v>Aditya Mega City</x:v>
      </x:c>
      <x:c r="E109" s="12" t="str">
        <x:v>Indirapuram</x:v>
      </x:c>
      <x:c r="F109" s="2" t="n">
        <x:v>61</x:v>
      </x:c>
      <x:c r="G109" s="2" t="n">
        <x:v>1200</x:v>
      </x:c>
      <x:c r="H109" s="21" t="n">
        <x:v>4.41</x:v>
      </x:c>
      <x:c r="I109" s="21" t="n">
        <x:v>1.025</x:v>
      </x:c>
      <x:c r="J109" s="17" t="n">
        <x:f>F109*'Costing'!$H$4</x:f>
        <x:v>92232</x:v>
      </x:c>
      <x:c r="K109" s="17" t="n">
        <x:f>ROUND(J109*'Costing'!$C$4,2)</x:f>
        <x:v>16601.76</x:v>
      </x:c>
      <x:c r="L109" s="17" t="n">
        <x:f>J109+K109</x:f>
        <x:v>108833.76</x:v>
      </x:c>
      <x:c r="M109" s="13" t="n">
        <x:v>28.637361</x:v>
      </x:c>
      <x:c r="N109" s="13" t="n">
        <x:v>77.361531</x:v>
      </x:c>
      <x:c r="O109" s="2" t="str">
        <x:v>https://www.google.com/maps?q=28.637361,77.361531</x:v>
      </x:c>
      <x:c r="P109" s="2" t="str">
        <x:v>CORP-0362, CORP-0363</x:v>
      </x:c>
    </x:row>
    <x:row r="110" ht="42" customHeight="1">
      <x:c r="A110" s="10" t="n">
        <x:v>0</x:v>
      </x:c>
      <x:c r="B110" s="12" t="str">
        <x:v>MSJ43CYP</x:v>
      </x:c>
      <x:c r="C110" s="2" t="str">
        <x:v>Delhi NCR</x:v>
      </x:c>
      <x:c r="D110" s="12" t="str">
        <x:v>Amarpali Sapphire</x:v>
      </x:c>
      <x:c r="E110" s="12" t="str">
        <x:v>Sector 45</x:v>
      </x:c>
      <x:c r="F110" s="2" t="n">
        <x:v>22</x:v>
      </x:c>
      <x:c r="G110" s="2" t="n">
        <x:v>1033</x:v>
      </x:c>
      <x:c r="H110" s="21" t="n">
        <x:v>4.14</x:v>
      </x:c>
      <x:c r="I110" s="21" t="n">
        <x:v>1.491</x:v>
      </x:c>
      <x:c r="J110" s="17" t="n">
        <x:f>F110*'Costing'!$H$4</x:f>
        <x:v>33264</x:v>
      </x:c>
      <x:c r="K110" s="17" t="n">
        <x:f>ROUND(J110*'Costing'!$C$4,2)</x:f>
        <x:v>5987.52</x:v>
      </x:c>
      <x:c r="L110" s="17" t="n">
        <x:f>J110+K110</x:f>
        <x:v>39251.520000000004</x:v>
      </x:c>
      <x:c r="M110" s="13" t="n">
        <x:v>28.5544943</x:v>
      </x:c>
      <x:c r="N110" s="13" t="n">
        <x:v>77.33998788</x:v>
      </x:c>
      <x:c r="O110" s="2" t="str">
        <x:v>https://www.google.com/maps?q=28.5544943,77.33998788</x:v>
      </x:c>
      <x:c r="P110" s="2" t="str">
        <x:v>CORP-0159, CORP-0160, CORP-0364, CORP-0374</x:v>
      </x:c>
    </x:row>
    <x:row r="111" ht="42" customHeight="1">
      <x:c r="A111" s="10" t="n">
        <x:v>0</x:v>
      </x:c>
      <x:c r="B111" s="12" t="str">
        <x:v>MS9XTX6W</x:v>
      </x:c>
      <x:c r="C111" s="2" t="str">
        <x:v>Delhi NCR</x:v>
      </x:c>
      <x:c r="D111" s="12" t="str">
        <x:v>Amrapali Sapphire Phase 2</x:v>
      </x:c>
      <x:c r="E111" s="12" t="str">
        <x:v>Sector 45</x:v>
      </x:c>
      <x:c r="F111" s="2" t="n">
        <x:v>23</x:v>
      </x:c>
      <x:c r="G111" s="2" t="n">
        <x:v>1300</x:v>
      </x:c>
      <x:c r="H111" s="21" t="n">
        <x:v>3.75</x:v>
      </x:c>
      <x:c r="I111" s="21" t="n">
        <x:v>2.088</x:v>
      </x:c>
      <x:c r="J111" s="17" t="n">
        <x:f>F111*'Costing'!$H$4</x:f>
        <x:v>34776</x:v>
      </x:c>
      <x:c r="K111" s="17" t="n">
        <x:f>ROUND(J111*'Costing'!$C$4,2)</x:f>
        <x:v>6259.68</x:v>
      </x:c>
      <x:c r="L111" s="17" t="n">
        <x:f>J111+K111</x:f>
        <x:v>41035.68</x:v>
      </x:c>
      <x:c r="M111" s="13" t="n">
        <x:v>28.549401</x:v>
      </x:c>
      <x:c r="N111" s="13" t="n">
        <x:v>77.346115</x:v>
      </x:c>
      <x:c r="O111" s="2" t="str">
        <x:v>https://www.google.com/maps?q=28.549401,77.346115</x:v>
      </x:c>
      <x:c r="P111" s="2" t="str">
        <x:v>CORP-0159, CORP-0160, CORP-0364, CORP-0374</x:v>
      </x:c>
    </x:row>
    <x:row r="112" ht="42" customHeight="1">
      <x:c r="A112" s="10" t="n">
        <x:v>0</x:v>
      </x:c>
      <x:c r="B112" s="12" t="str">
        <x:v>MSRQG27M</x:v>
      </x:c>
      <x:c r="C112" s="2" t="str">
        <x:v>Delhi NCR</x:v>
      </x:c>
      <x:c r="D112" s="12" t="str">
        <x:v>Ansal Celebrity Homes</x:v>
      </x:c>
      <x:c r="E112" s="12" t="str">
        <x:v>Palam Vihar</x:v>
      </x:c>
      <x:c r="F112" s="2" t="n">
        <x:v>7</x:v>
      </x:c>
      <x:c r="G112" s="2" t="n">
        <x:v>305</x:v>
      </x:c>
      <x:c r="H112" s="21" t="n">
        <x:v>6.48</x:v>
      </x:c>
      <x:c r="I112" s="21" t="n">
        <x:v>4.662</x:v>
      </x:c>
      <x:c r="J112" s="17" t="n">
        <x:f>F112*'Costing'!$H$4</x:f>
        <x:v>10584</x:v>
      </x:c>
      <x:c r="K112" s="17" t="n">
        <x:f>ROUND(J112*'Costing'!$C$4,2)</x:f>
        <x:v>1905.12</x:v>
      </x:c>
      <x:c r="L112" s="17" t="n">
        <x:f>J112+K112</x:f>
        <x:v>12489.119999999999</x:v>
      </x:c>
      <x:c r="M112" s="13" t="n">
        <x:v>28.514943</x:v>
      </x:c>
      <x:c r="N112" s="13" t="n">
        <x:v>77.035546</x:v>
      </x:c>
      <x:c r="O112" s="2" t="str">
        <x:v>https://www.google.com/maps?q=28.514943,77.035546</x:v>
      </x:c>
      <x:c r="P112" s="2" t="str">
        <x:v>CORP-0188, CORP-0189</x:v>
      </x:c>
    </x:row>
    <x:row r="113" ht="42" customHeight="1">
      <x:c r="A113" s="10" t="n">
        <x:v>0</x:v>
      </x:c>
      <x:c r="B113" s="12" t="str">
        <x:v>MSQEVRNQ</x:v>
      </x:c>
      <x:c r="C113" s="2" t="str">
        <x:v>Delhi NCR</x:v>
      </x:c>
      <x:c r="D113" s="12" t="str">
        <x:v>Ansal Sushant Apartments</x:v>
      </x:c>
      <x:c r="E113" s="12" t="str">
        <x:v>Sushant Lok Phase I,Sec 43</x:v>
      </x:c>
      <x:c r="F113" s="2" t="n">
        <x:v>4</x:v>
      </x:c>
      <x:c r="G113" s="2" t="n">
        <x:v>202</x:v>
      </x:c>
      <x:c r="H113" s="21" t="n">
        <x:v>5.7</x:v>
      </x:c>
      <x:c r="I113" s="21" t="n">
        <x:v>0.932</x:v>
      </x:c>
      <x:c r="J113" s="17" t="n">
        <x:f>F113*'Costing'!$H$4</x:f>
        <x:v>6048</x:v>
      </x:c>
      <x:c r="K113" s="17" t="n">
        <x:f>ROUND(J113*'Costing'!$C$4,2)</x:f>
        <x:v>1088.64</x:v>
      </x:c>
      <x:c r="L113" s="17" t="n">
        <x:f>J113+K113</x:f>
        <x:v>7136.64</x:v>
      </x:c>
      <x:c r="M113" s="13" t="n">
        <x:v>28.45094606</x:v>
      </x:c>
      <x:c r="N113" s="13" t="n">
        <x:v>77.08001421</x:v>
      </x:c>
      <x:c r="O113" s="2" t="str">
        <x:v>https://www.google.com/maps?q=28.45094606,77.08001421</x:v>
      </x:c>
      <x:c r="P113" s="2" t="str">
        <x:v>CORP-0181, CORP-0184, CORP-0190, CORP-0191, CORP-0193, CORP-0197, CORP-0204, CORP-0205</x:v>
      </x:c>
    </x:row>
    <x:row r="114" ht="42" customHeight="1">
      <x:c r="A114" s="10" t="n">
        <x:v>0</x:v>
      </x:c>
      <x:c r="B114" s="12" t="str">
        <x:v>MSB43AG7</x:v>
      </x:c>
      <x:c r="C114" s="2" t="str">
        <x:v>Delhi NCR</x:v>
      </x:c>
      <x:c r="D114" s="12" t="str">
        <x:v>ATS Triumph</x:v>
      </x:c>
      <x:c r="E114" s="12" t="str">
        <x:v>Sector 104</x:v>
      </x:c>
      <x:c r="F114" s="2" t="n">
        <x:v>8</x:v>
      </x:c>
      <x:c r="G114" s="2" t="n">
        <x:v>424</x:v>
      </x:c>
      <x:c r="H114" s="21" t="n">
        <x:v>5.61</x:v>
      </x:c>
      <x:c r="I114" s="21" t="n">
        <x:v>2.437</x:v>
      </x:c>
      <x:c r="J114" s="17" t="n">
        <x:f>F114*'Costing'!$H$4</x:f>
        <x:v>12096</x:v>
      </x:c>
      <x:c r="K114" s="17" t="n">
        <x:f>ROUND(J114*'Costing'!$C$4,2)</x:f>
        <x:v>2177.28</x:v>
      </x:c>
      <x:c r="L114" s="17" t="n">
        <x:f>J114+K114</x:f>
        <x:v>14273.28</x:v>
      </x:c>
      <x:c r="M114" s="13" t="n">
        <x:v>28.477911</x:v>
      </x:c>
      <x:c r="N114" s="13" t="n">
        <x:v>76.986278</x:v>
      </x:c>
      <x:c r="O114" s="2" t="str">
        <x:v>https://www.google.com/maps?q=28.477911,76.986278</x:v>
      </x:c>
      <x:c r="P114" s="2" t="str">
        <x:v>CORP-0195, CORP-0196</x:v>
      </x:c>
    </x:row>
    <x:row r="115" ht="42" customHeight="1">
      <x:c r="A115" s="10" t="n">
        <x:v>0</x:v>
      </x:c>
      <x:c r="B115" s="12" t="str">
        <x:v>MSTTYJPC</x:v>
      </x:c>
      <x:c r="C115" s="2" t="str">
        <x:v>Delhi NCR</x:v>
      </x:c>
      <x:c r="D115" s="12" t="str">
        <x:v>Central Government Hospital</x:v>
      </x:c>
      <x:c r="E115" s="12" t="str">
        <x:v>Sri Niwaspuri</x:v>
      </x:c>
      <x:c r="F115" s="2" t="n">
        <x:v>20</x:v>
      </x:c>
      <x:c r="G115" s="2" t="n">
        <x:v>413</x:v>
      </x:c>
      <x:c r="H115" s="21" t="n">
        <x:v>5</x:v>
      </x:c>
      <x:c r="I115" s="21" t="n">
        <x:v>2.413</x:v>
      </x:c>
      <x:c r="J115" s="17" t="n">
        <x:f>F115*'Costing'!$H$4</x:f>
        <x:v>30240</x:v>
      </x:c>
      <x:c r="K115" s="17" t="n">
        <x:f>ROUND(J115*'Costing'!$C$4,2)</x:f>
        <x:v>5443.2</x:v>
      </x:c>
      <x:c r="L115" s="17" t="n">
        <x:f>J115+K115</x:f>
        <x:v>35683.2</x:v>
      </x:c>
      <x:c r="M115" s="13" t="n">
        <x:v>28.567689</x:v>
      </x:c>
      <x:c r="N115" s="13" t="n">
        <x:v>77.254412</x:v>
      </x:c>
      <x:c r="O115" s="2" t="str">
        <x:v>https://www.google.com/maps?q=28.567689,77.254412</x:v>
      </x:c>
      <x:c r="P115" s="2" t="str">
        <x:v>CORP-0158, CORP-0159, CORP-0160, CORP-0167, CORP-0169, CORP-0170, CORP-0171, CORP-0172, CORP-0360, CORP-0361</x:v>
      </x:c>
    </x:row>
    <x:row r="116" ht="42" customHeight="1">
      <x:c r="A116" s="10" t="n">
        <x:v>0</x:v>
      </x:c>
      <x:c r="B116" s="12" t="str">
        <x:v>MSQDZQ8Q</x:v>
      </x:c>
      <x:c r="C116" s="2" t="str">
        <x:v>Delhi NCR</x:v>
      </x:c>
      <x:c r="D116" s="12" t="str">
        <x:v>Central Park Resorts</x:v>
      </x:c>
      <x:c r="E116" s="12" t="str">
        <x:v>Sector 48</x:v>
      </x:c>
      <x:c r="F116" s="2" t="n">
        <x:v>32</x:v>
      </x:c>
      <x:c r="G116" s="2" t="n">
        <x:v>1445</x:v>
      </x:c>
      <x:c r="H116" s="21" t="n">
        <x:v>25.56</x:v>
      </x:c>
      <x:c r="I116" s="21" t="n">
        <x:v>1.875</x:v>
      </x:c>
      <x:c r="J116" s="17" t="n">
        <x:f>F116*'Costing'!$H$4</x:f>
        <x:v>48384</x:v>
      </x:c>
      <x:c r="K116" s="17" t="n">
        <x:f>ROUND(J116*'Costing'!$C$4,2)</x:f>
        <x:v>8709.12</x:v>
      </x:c>
      <x:c r="L116" s="17" t="n">
        <x:f>J116+K116</x:f>
        <x:v>57093.12</x:v>
      </x:c>
      <x:c r="M116" s="13" t="n">
        <x:v>28.427303</x:v>
      </x:c>
      <x:c r="N116" s="13" t="n">
        <x:v>77.03348</x:v>
      </x:c>
      <x:c r="O116" s="2" t="str">
        <x:v>https://www.google.com/maps?q=28.427303,77.03348</x:v>
      </x:c>
      <x:c r="P116" s="2" t="str">
        <x:v>CORP-0178, CORP-0187, CORP-0194, CORP-0199, CORP-0200</x:v>
      </x:c>
    </x:row>
    <x:row r="117" ht="42" customHeight="1">
      <x:c r="A117" s="10" t="n">
        <x:v>0</x:v>
      </x:c>
      <x:c r="B117" s="12" t="str">
        <x:v>MSCEGZ65</x:v>
      </x:c>
      <x:c r="C117" s="2" t="str">
        <x:v>Delhi NCR</x:v>
      </x:c>
      <x:c r="D117" s="12" t="str">
        <x:v>Delhi Punjabi ( Gobind Apartments)</x:v>
      </x:c>
      <x:c r="E117" s="12" t="str">
        <x:v>Vasundhra Enclave</x:v>
      </x:c>
      <x:c r="F117" s="2" t="n">
        <x:v>5</x:v>
      </x:c>
      <x:c r="G117" s="2" t="n">
        <x:v>102</x:v>
      </x:c>
      <x:c r="H117" s="21" t="n">
        <x:v>2.5</x:v>
      </x:c>
      <x:c r="I117" s="21" t="n">
        <x:v>2.984</x:v>
      </x:c>
      <x:c r="J117" s="17" t="n">
        <x:f>F117*'Costing'!$H$4</x:f>
        <x:v>7560</x:v>
      </x:c>
      <x:c r="K117" s="17" t="n">
        <x:f>ROUND(J117*'Costing'!$C$4,2)</x:f>
        <x:v>1360.8</x:v>
      </x:c>
      <x:c r="L117" s="17" t="n">
        <x:f>J117+K117</x:f>
        <x:v>8920.8</x:v>
      </x:c>
      <x:c r="M117" s="13" t="n">
        <x:v>28.600818634033203</x:v>
      </x:c>
      <x:c r="N117" s="13" t="n">
        <x:v>77.31193542480469</x:v>
      </x:c>
      <x:c r="O117" s="2" t="str">
        <x:v>https://www.google.com/maps?q=28.600818634033203,77.31193542480469</x:v>
      </x:c>
      <x:c r="P117" s="2" t="str">
        <x:v>CORP-0373</x:v>
      </x:c>
    </x:row>
    <x:row r="118" ht="42" customHeight="1">
      <x:c r="A118" s="10" t="n">
        <x:v>0</x:v>
      </x:c>
      <x:c r="B118" s="12" t="str">
        <x:v>MSRAN9RS</x:v>
      </x:c>
      <x:c r="C118" s="2" t="str">
        <x:v>Delhi NCR</x:v>
      </x:c>
      <x:c r="D118" s="12" t="str">
        <x:v>DLF Carlton Estate</x:v>
      </x:c>
      <x:c r="E118" s="12" t="str">
        <x:v>Sector 53</x:v>
      </x:c>
      <x:c r="F118" s="2" t="n">
        <x:v>13</x:v>
      </x:c>
      <x:c r="G118" s="2" t="n">
        <x:v>485</x:v>
      </x:c>
      <x:c r="H118" s="21" t="n">
        <x:v>6</x:v>
      </x:c>
      <x:c r="I118" s="21" t="n">
        <x:v>1.881</x:v>
      </x:c>
      <x:c r="J118" s="17" t="n">
        <x:f>F118*'Costing'!$H$4</x:f>
        <x:v>19656</x:v>
      </x:c>
      <x:c r="K118" s="17" t="n">
        <x:f>ROUND(J118*'Costing'!$C$4,2)</x:f>
        <x:v>3538.08</x:v>
      </x:c>
      <x:c r="L118" s="17" t="n">
        <x:f>J118+K118</x:f>
        <x:v>23194.08</x:v>
      </x:c>
      <x:c r="M118" s="13" t="n">
        <x:v>28.448697</x:v>
      </x:c>
      <x:c r="N118" s="13" t="n">
        <x:v>77.094434</x:v>
      </x:c>
      <x:c r="O118" s="2" t="str">
        <x:v>https://www.google.com/maps?q=28.448697,77.094434</x:v>
      </x:c>
      <x:c r="P118" s="2" t="str">
        <x:v>CORP-0184, CORP-0185, CORP-0190, CORP-0191, CORP-0197, CORP-0201, CORP-0202, CORP-0203, CORP-0208</x:v>
      </x:c>
    </x:row>
    <x:row r="119" ht="42" customHeight="1">
      <x:c r="A119" s="10" t="n">
        <x:v>0</x:v>
      </x:c>
      <x:c r="B119" s="12" t="str">
        <x:v>MSFX48VZ</x:v>
      </x:c>
      <x:c r="C119" s="2" t="str">
        <x:v>Delhi NCR</x:v>
      </x:c>
      <x:c r="D119" s="12" t="str">
        <x:v>DLF Regency Park - 1</x:v>
      </x:c>
      <x:c r="E119" s="12" t="str">
        <x:v>Sector 43</x:v>
      </x:c>
      <x:c r="F119" s="2" t="n">
        <x:v>9</x:v>
      </x:c>
      <x:c r="G119" s="2" t="n">
        <x:v>320</x:v>
      </x:c>
      <x:c r="H119" s="21" t="n">
        <x:v>4.62</x:v>
      </x:c>
      <x:c r="I119" s="21" t="n">
        <x:v>4.094</x:v>
      </x:c>
      <x:c r="J119" s="17" t="n">
        <x:f>F119*'Costing'!$H$4</x:f>
        <x:v>13608</x:v>
      </x:c>
      <x:c r="K119" s="17" t="n">
        <x:f>ROUND(J119*'Costing'!$C$4,2)</x:f>
        <x:v>2449.44</x:v>
      </x:c>
      <x:c r="L119" s="17" t="n">
        <x:f>J119+K119</x:f>
        <x:v>16057.44</x:v>
      </x:c>
      <x:c r="M119" s="13" t="n">
        <x:v>28.46018</x:v>
      </x:c>
      <x:c r="N119" s="13" t="n">
        <x:v>77.088577</x:v>
      </x:c>
      <x:c r="O119" s="2" t="str">
        <x:v>https://www.google.com/maps?q=28.46018,77.088577</x:v>
      </x:c>
      <x:c r="P119" s="2" t="str">
        <x:v>CORP-0174, CORP-0182, CORP-0206</x:v>
      </x:c>
    </x:row>
    <x:row r="120" ht="42" customHeight="1">
      <x:c r="A120" s="10" t="n">
        <x:v>0</x:v>
      </x:c>
      <x:c r="B120" s="12" t="str">
        <x:v>MSB4FZK9</x:v>
      </x:c>
      <x:c r="C120" s="2" t="str">
        <x:v>Delhi NCR</x:v>
      </x:c>
      <x:c r="D120" s="12" t="str">
        <x:v>DLF Silver Oak</x:v>
      </x:c>
      <x:c r="E120" s="12" t="str">
        <x:v>Sector 26</x:v>
      </x:c>
      <x:c r="F120" s="2" t="n">
        <x:v>18</x:v>
      </x:c>
      <x:c r="G120" s="2" t="n">
        <x:v>749</x:v>
      </x:c>
      <x:c r="H120" s="21" t="n">
        <x:v>4.95</x:v>
      </x:c>
      <x:c r="I120" s="21" t="n">
        <x:v>2.573</x:v>
      </x:c>
      <x:c r="J120" s="17" t="n">
        <x:f>F120*'Costing'!$H$4</x:f>
        <x:v>27216</x:v>
      </x:c>
      <x:c r="K120" s="17" t="n">
        <x:f>ROUND(J120*'Costing'!$C$4,2)</x:f>
        <x:v>4898.88</x:v>
      </x:c>
      <x:c r="L120" s="17" t="n">
        <x:f>J120+K120</x:f>
        <x:v>32114.88</x:v>
      </x:c>
      <x:c r="M120" s="13" t="n">
        <x:v>28.471558</x:v>
      </x:c>
      <x:c r="N120" s="13" t="n">
        <x:v>77.104278</x:v>
      </x:c>
      <x:c r="O120" s="2" t="str">
        <x:v>https://www.google.com/maps?q=28.471558,77.104278</x:v>
      </x:c>
      <x:c r="P120" s="2" t="str">
        <x:v>CORP-0174, CORP-0175, CORP-0182, CORP-0183, CORP-0188, CORP-0189, CORP-0192, CORP-0205, CORP-0206, CORP-0207</x:v>
      </x:c>
    </x:row>
    <x:row r="121" ht="42" customHeight="1">
      <x:c r="A121" s="10" t="n">
        <x:v>0</x:v>
      </x:c>
      <x:c r="B121" s="12" t="str">
        <x:v>MSQG98NW</x:v>
      </x:c>
      <x:c r="C121" s="2" t="str">
        <x:v>Delhi NCR</x:v>
      </x:c>
      <x:c r="D121" s="12" t="str">
        <x:v>DLF The Icon</x:v>
      </x:c>
      <x:c r="E121" s="12" t="str">
        <x:v>DLF Phase 5</x:v>
      </x:c>
      <x:c r="F121" s="2" t="n">
        <x:v>13</x:v>
      </x:c>
      <x:c r="G121" s="2" t="n">
        <x:v>364</x:v>
      </x:c>
      <x:c r="H121" s="21" t="n">
        <x:v>10</x:v>
      </x:c>
      <x:c r="I121" s="21" t="n">
        <x:v>1.996</x:v>
      </x:c>
      <x:c r="J121" s="17" t="n">
        <x:f>F121*'Costing'!$H$4</x:f>
        <x:v>19656</x:v>
      </x:c>
      <x:c r="K121" s="17" t="n">
        <x:f>ROUND(J121*'Costing'!$C$4,2)</x:f>
        <x:v>3538.08</x:v>
      </x:c>
      <x:c r="L121" s="17" t="n">
        <x:f>J121+K121</x:f>
        <x:v>23194.08</x:v>
      </x:c>
      <x:c r="M121" s="13" t="n">
        <x:v>28.451237</x:v>
      </x:c>
      <x:c r="N121" s="13" t="n">
        <x:v>77.095431</x:v>
      </x:c>
      <x:c r="O121" s="2" t="str">
        <x:v>https://www.google.com/maps?q=28.451237,77.095431</x:v>
      </x:c>
      <x:c r="P121" s="2" t="str">
        <x:v>CORP-0181, CORP-0183, CORP-0184, CORP-0185, CORP-0190, CORP-0191, CORP-0193, CORP-0197, CORP-0201, CORP-0202, CORP-0203, CORP-0204, CORP-0208</x:v>
      </x:c>
    </x:row>
    <x:row r="122" ht="42" customHeight="1">
      <x:c r="A122" s="10" t="n">
        <x:v>0</x:v>
      </x:c>
      <x:c r="B122" s="12" t="str">
        <x:v>MSNG5QCS</x:v>
      </x:c>
      <x:c r="C122" s="2" t="str">
        <x:v>Delhi NCR</x:v>
      </x:c>
      <x:c r="D122" s="12" t="str">
        <x:v>Ekta Vihar</x:v>
      </x:c>
      <x:c r="E122" s="12" t="str">
        <x:v>I.P Extension</x:v>
      </x:c>
      <x:c r="F122" s="2" t="n">
        <x:v>7</x:v>
      </x:c>
      <x:c r="G122" s="2" t="n">
        <x:v>256</x:v>
      </x:c>
      <x:c r="H122" s="21" t="n">
        <x:v>3.5</x:v>
      </x:c>
      <x:c r="I122" s="21" t="n">
        <x:v>7.096</x:v>
      </x:c>
      <x:c r="J122" s="17" t="n">
        <x:f>F122*'Costing'!$H$4</x:f>
        <x:v>10584</x:v>
      </x:c>
      <x:c r="K122" s="17" t="n">
        <x:f>ROUND(J122*'Costing'!$C$4,2)</x:f>
        <x:v>1905.12</x:v>
      </x:c>
      <x:c r="L122" s="17" t="n">
        <x:f>J122+K122</x:f>
        <x:v>12489.119999999999</x:v>
      </x:c>
      <x:c r="M122" s="13" t="n">
        <x:v>28.620441436767578</x:v>
      </x:c>
      <x:c r="N122" s="13" t="n">
        <x:v>77.2930908203125</x:v>
      </x:c>
      <x:c r="O122" s="2" t="str">
        <x:v>https://www.google.com/maps?q=28.620441436767578,77.2930908203125</x:v>
      </x:c>
      <x:c r="P122" s="2" t="str">
        <x:v>CORP-0158, CORP-0169, CORP-0170, CORP-0361</x:v>
      </x:c>
    </x:row>
    <x:row r="123" ht="42" customHeight="1">
      <x:c r="A123" s="10" t="n">
        <x:v>0</x:v>
      </x:c>
      <x:c r="B123" s="12" t="str">
        <x:v>MSDCF4PD</x:v>
      </x:c>
      <x:c r="C123" s="2" t="str">
        <x:v>Delhi NCR</x:v>
      </x:c>
      <x:c r="D123" s="12" t="str">
        <x:v>Emaar Gurgaon Greens</x:v>
      </x:c>
      <x:c r="E123" s="12" t="str">
        <x:v>Sector 102</x:v>
      </x:c>
      <x:c r="F123" s="2" t="n">
        <x:v>28</x:v>
      </x:c>
      <x:c r="G123" s="2" t="n">
        <x:v>672</x:v>
      </x:c>
      <x:c r="H123" s="21" t="n">
        <x:v>4</x:v>
      </x:c>
      <x:c r="I123" s="21" t="n">
        <x:v>0.358</x:v>
      </x:c>
      <x:c r="J123" s="17" t="n">
        <x:f>F123*'Costing'!$H$4</x:f>
        <x:v>42336</x:v>
      </x:c>
      <x:c r="K123" s="17" t="n">
        <x:f>ROUND(J123*'Costing'!$C$4,2)</x:f>
        <x:v>7620.48</x:v>
      </x:c>
      <x:c r="L123" s="17" t="n">
        <x:f>J123+K123</x:f>
        <x:v>49956.479999999996</x:v>
      </x:c>
      <x:c r="M123" s="13" t="n">
        <x:v>28.472795486450195</x:v>
      </x:c>
      <x:c r="N123" s="13" t="n">
        <x:v>76.9656753540039</x:v>
      </x:c>
      <x:c r="O123" s="2" t="str">
        <x:v>https://www.google.com/maps?q=28.472795486450195,76.9656753540039</x:v>
      </x:c>
      <x:c r="P123" s="2" t="str">
        <x:v>CORP-0195, CORP-0196</x:v>
      </x:c>
    </x:row>
    <x:row r="124" ht="42" customHeight="1">
      <x:c r="A124" s="10" t="n">
        <x:v>0</x:v>
      </x:c>
      <x:c r="B124" s="12" t="str">
        <x:v>MS0JSPSZ</x:v>
      </x:c>
      <x:c r="C124" s="2" t="str">
        <x:v>Delhi NCR</x:v>
      </x:c>
      <x:c r="D124" s="12" t="str">
        <x:v>Emaar Palm Drive</x:v>
      </x:c>
      <x:c r="E124" s="12" t="str">
        <x:v>Sector 66</x:v>
      </x:c>
      <x:c r="F124" s="2" t="n">
        <x:v>50</x:v>
      </x:c>
      <x:c r="G124" s="2" t="n">
        <x:v>1510</x:v>
      </x:c>
      <x:c r="H124" s="21" t="n">
        <x:v>9.98</x:v>
      </x:c>
      <x:c r="I124" s="21" t="n">
        <x:v>0.703</x:v>
      </x:c>
      <x:c r="J124" s="17" t="n">
        <x:f>F124*'Costing'!$H$4</x:f>
        <x:v>75600</x:v>
      </x:c>
      <x:c r="K124" s="17" t="n">
        <x:f>ROUND(J124*'Costing'!$C$4,2)</x:f>
        <x:v>13608</x:v>
      </x:c>
      <x:c r="L124" s="17" t="n">
        <x:f>J124+K124</x:f>
        <x:v>89208</x:v>
      </x:c>
      <x:c r="M124" s="13" t="n">
        <x:v>28.401812</x:v>
      </x:c>
      <x:c r="N124" s="13" t="n">
        <x:v>77.051429</x:v>
      </x:c>
      <x:c r="O124" s="2" t="str">
        <x:v>https://www.google.com/maps?q=28.401812,77.051429</x:v>
      </x:c>
      <x:c r="P124" s="2" t="str">
        <x:v>CORP-0163, CORP-0177, CORP-0194, CORP-0198</x:v>
      </x:c>
    </x:row>
    <x:row r="125" ht="42" customHeight="1">
      <x:c r="A125" s="10" t="n">
        <x:v>0</x:v>
      </x:c>
      <x:c r="B125" s="12" t="str">
        <x:v>MSR5GPAS</x:v>
      </x:c>
      <x:c r="C125" s="2" t="str">
        <x:v>Delhi NCR</x:v>
      </x:c>
      <x:c r="D125" s="12" t="str">
        <x:v>Ganga APT Apartments</x:v>
      </x:c>
      <x:c r="E125" s="12" t="str">
        <x:v>Vasant Kunj</x:v>
      </x:c>
      <x:c r="F125" s="2" t="n">
        <x:v>17</x:v>
      </x:c>
      <x:c r="G125" s="2" t="n">
        <x:v>476</x:v>
      </x:c>
      <x:c r="H125" s="21" t="n">
        <x:v>3.9</x:v>
      </x:c>
      <x:c r="I125" s="21" t="n">
        <x:v>3.721</x:v>
      </x:c>
      <x:c r="J125" s="17" t="n">
        <x:f>F125*'Costing'!$H$4</x:f>
        <x:v>25704</x:v>
      </x:c>
      <x:c r="K125" s="17" t="n">
        <x:f>ROUND(J125*'Costing'!$C$4,2)</x:f>
        <x:v>4626.72</x:v>
      </x:c>
      <x:c r="L125" s="17" t="n">
        <x:f>J125+K125</x:f>
        <x:v>30330.72</x:v>
      </x:c>
      <x:c r="M125" s="13" t="n">
        <x:v>28.523417</x:v>
      </x:c>
      <x:c r="N125" s="13" t="n">
        <x:v>77.147881</x:v>
      </x:c>
      <x:c r="O125" s="2" t="str">
        <x:v>https://www.google.com/maps?q=28.523417,77.147881</x:v>
      </x:c>
      <x:c r="P125" s="2" t="str">
        <x:v>CORP-0168, CORP-0173</x:v>
      </x:c>
    </x:row>
    <x:row r="126" ht="42" customHeight="1">
      <x:c r="A126" s="10" t="n">
        <x:v>0</x:v>
      </x:c>
      <x:c r="B126" s="12" t="str">
        <x:v>MS5YNXWY</x:v>
      </x:c>
      <x:c r="C126" s="2" t="str">
        <x:v>Delhi NCR</x:v>
      </x:c>
      <x:c r="D126" s="12" t="str">
        <x:v>Gardenia Glory</x:v>
      </x:c>
      <x:c r="E126" s="12" t="str">
        <x:v>Sector 46</x:v>
      </x:c>
      <x:c r="F126" s="2" t="n">
        <x:v>41</x:v>
      </x:c>
      <x:c r="G126" s="2" t="n">
        <x:v>3200</x:v>
      </x:c>
      <x:c r="H126" s="21" t="n">
        <x:v>3.75</x:v>
      </x:c>
      <x:c r="I126" s="21" t="n">
        <x:v>3.613</x:v>
      </x:c>
      <x:c r="J126" s="17" t="n">
        <x:f>F126*'Costing'!$H$4</x:f>
        <x:v>61992</x:v>
      </x:c>
      <x:c r="K126" s="17" t="n">
        <x:f>ROUND(J126*'Costing'!$C$4,2)</x:f>
        <x:v>11158.56</x:v>
      </x:c>
      <x:c r="L126" s="17" t="n">
        <x:f>J126+K126</x:f>
        <x:v>73150.56</x:v>
      </x:c>
      <x:c r="M126" s="13" t="n">
        <x:v>28.551119</x:v>
      </x:c>
      <x:c r="N126" s="13" t="n">
        <x:v>77.361937</x:v>
      </x:c>
      <x:c r="O126" s="2" t="str">
        <x:v>https://www.google.com/maps?q=28.551119,77.361937</x:v>
      </x:c>
      <x:c r="P126" s="2" t="str">
        <x:v>CORP-0364</x:v>
      </x:c>
    </x:row>
    <x:row r="127" ht="42" customHeight="1">
      <x:c r="A127" s="10" t="n">
        <x:v>0</x:v>
      </x:c>
      <x:c r="B127" s="12" t="str">
        <x:v>MS2F509X</x:v>
      </x:c>
      <x:c r="C127" s="2" t="str">
        <x:v>Delhi NCR</x:v>
      </x:c>
      <x:c r="D127" s="12" t="str">
        <x:v>Great Value Sharnam</x:v>
      </x:c>
      <x:c r="E127" s="12" t="str">
        <x:v>Sector 107</x:v>
      </x:c>
      <x:c r="F127" s="2" t="n">
        <x:v>36</x:v>
      </x:c>
      <x:c r="G127" s="2" t="n">
        <x:v>2880</x:v>
      </x:c>
      <x:c r="H127" s="21" t="n">
        <x:v>4.3</x:v>
      </x:c>
      <x:c r="I127" s="21" t="n">
        <x:v>3.242</x:v>
      </x:c>
      <x:c r="J127" s="17" t="n">
        <x:f>F127*'Costing'!$H$4</x:f>
        <x:v>54432</x:v>
      </x:c>
      <x:c r="K127" s="17" t="n">
        <x:f>ROUND(J127*'Costing'!$C$4,2)</x:f>
        <x:v>9797.76</x:v>
      </x:c>
      <x:c r="L127" s="17" t="n">
        <x:f>J127+K127</x:f>
        <x:v>64229.76</x:v>
      </x:c>
      <x:c r="M127" s="13" t="n">
        <x:v>28.543409</x:v>
      </x:c>
      <x:c r="N127" s="13" t="n">
        <x:v>77.372194</x:v>
      </x:c>
      <x:c r="O127" s="2" t="str">
        <x:v>https://www.google.com/maps?q=28.543409,77.372194</x:v>
      </x:c>
      <x:c r="P127" s="2" t="str">
        <x:v>CORP-0359, CORP-0367, CORP-0368</x:v>
      </x:c>
    </x:row>
    <x:row r="128" ht="42" customHeight="1">
      <x:c r="A128" s="10" t="n">
        <x:v>0</x:v>
      </x:c>
      <x:c r="B128" s="12" t="str">
        <x:v>MS5DVRXF</x:v>
      </x:c>
      <x:c r="C128" s="2" t="str">
        <x:v>Delhi NCR</x:v>
      </x:c>
      <x:c r="D128" s="12" t="str">
        <x:v>HRC Professional</x:v>
      </x:c>
      <x:c r="E128" s="12" t="str">
        <x:v>Indirapuram</x:v>
      </x:c>
      <x:c r="F128" s="2" t="n">
        <x:v>14</x:v>
      </x:c>
      <x:c r="G128" s="2" t="n">
        <x:v>310</x:v>
      </x:c>
      <x:c r="H128" s="21" t="n">
        <x:v>2.93</x:v>
      </x:c>
      <x:c r="I128" s="21" t="n">
        <x:v>0.675</x:v>
      </x:c>
      <x:c r="J128" s="17" t="n">
        <x:f>F128*'Costing'!$H$4</x:f>
        <x:v>21168</x:v>
      </x:c>
      <x:c r="K128" s="17" t="n">
        <x:f>ROUND(J128*'Costing'!$C$4,2)</x:f>
        <x:v>3810.24</x:v>
      </x:c>
      <x:c r="L128" s="17" t="n">
        <x:f>J128+K128</x:f>
        <x:v>24978.239999999998</x:v>
      </x:c>
      <x:c r="M128" s="13" t="n">
        <x:v>28.63557919</x:v>
      </x:c>
      <x:c r="N128" s="13" t="n">
        <x:v>77.3651147</x:v>
      </x:c>
      <x:c r="O128" s="2" t="str">
        <x:v>https://www.google.com/maps?q=28.63557919,77.3651147</x:v>
      </x:c>
      <x:c r="P128" s="2" t="str">
        <x:v>CORP-0165, CORP-0362, CORP-0363, CORP-0369, CORP-0372</x:v>
      </x:c>
    </x:row>
    <x:row r="129" ht="42" customHeight="1">
      <x:c r="A129" s="10" t="n">
        <x:v>0</x:v>
      </x:c>
      <x:c r="B129" s="12" t="str">
        <x:v>MS4T3B0K</x:v>
      </x:c>
      <x:c r="C129" s="2" t="str">
        <x:v>Delhi NCR</x:v>
      </x:c>
      <x:c r="D129" s="12" t="str">
        <x:v>Indiabulls Centrum Park</x:v>
      </x:c>
      <x:c r="E129" s="12" t="str">
        <x:v>Sector 103</x:v>
      </x:c>
      <x:c r="F129" s="2" t="n">
        <x:v>46</x:v>
      </x:c>
      <x:c r="G129" s="2" t="n">
        <x:v>2018</x:v>
      </x:c>
      <x:c r="H129" s="21" t="n">
        <x:v>5.3</x:v>
      </x:c>
      <x:c r="I129" s="21" t="n">
        <x:v>3.634</x:v>
      </x:c>
      <x:c r="J129" s="17" t="n">
        <x:f>F129*'Costing'!$H$4</x:f>
        <x:v>69552</x:v>
      </x:c>
      <x:c r="K129" s="17" t="n">
        <x:f>ROUND(J129*'Costing'!$C$4,2)</x:f>
        <x:v>12519.36</x:v>
      </x:c>
      <x:c r="L129" s="17" t="n">
        <x:f>J129+K129</x:f>
        <x:v>82071.36</x:v>
      </x:c>
      <x:c r="M129" s="13" t="n">
        <x:v>28.498693</x:v>
      </x:c>
      <x:c r="N129" s="13" t="n">
        <x:v>76.982404</x:v>
      </x:c>
      <x:c r="O129" s="2" t="str">
        <x:v>https://www.google.com/maps?q=28.498693,76.982404</x:v>
      </x:c>
      <x:c r="P129" s="2" t="str">
        <x:v>CORP-0195, CORP-0196</x:v>
      </x:c>
    </x:row>
    <x:row r="130" ht="42" customHeight="1">
      <x:c r="A130" s="10" t="n">
        <x:v>0</x:v>
      </x:c>
      <x:c r="B130" s="12" t="str">
        <x:v>MS2PT07F, MSJHTPAK</x:v>
      </x:c>
      <x:c r="C130" s="2" t="str">
        <x:v>Delhi NCR</x:v>
      </x:c>
      <x:c r="D130" s="12" t="str">
        <x:v>Ireo Victory Valley</x:v>
      </x:c>
      <x:c r="E130" s="12" t="str">
        <x:v>Sector 67</x:v>
      </x:c>
      <x:c r="F130" s="2" t="n">
        <x:v>79</x:v>
      </x:c>
      <x:c r="G130" s="2" t="n">
        <x:v>830</x:v>
      </x:c>
      <x:c r="H130" s="21" t="n">
        <x:v>12.81</x:v>
      </x:c>
      <x:c r="I130" s="21" t="n">
        <x:v>1.698</x:v>
      </x:c>
      <x:c r="J130" s="17" t="n">
        <x:f>F130*'Costing'!$H$4</x:f>
        <x:v>119448</x:v>
      </x:c>
      <x:c r="K130" s="17" t="n">
        <x:f>ROUND(J130*'Costing'!$C$4,2)</x:f>
        <x:v>21500.64</x:v>
      </x:c>
      <x:c r="L130" s="17" t="n">
        <x:f>J130+K130</x:f>
        <x:v>140948.64</x:v>
      </x:c>
      <x:c r="M130" s="13" t="n">
        <x:v>28.392934</x:v>
      </x:c>
      <x:c r="N130" s="13" t="n">
        <x:v>77.065182</x:v>
      </x:c>
      <x:c r="O130" s="2" t="str">
        <x:v>https://www.google.com/maps?q=28.392934,77.065182</x:v>
      </x:c>
      <x:c r="P130" s="2" t="str">
        <x:v>CORP-0163, CORP-0176, CORP-0177, CORP-0198</x:v>
      </x:c>
    </x:row>
    <x:row r="131" ht="42" customHeight="1">
      <x:c r="A131" s="10" t="n">
        <x:v>0</x:v>
      </x:c>
      <x:c r="B131" s="12" t="str">
        <x:v>MSTPK541</x:v>
      </x:c>
      <x:c r="C131" s="2" t="str">
        <x:v>Delhi NCR</x:v>
      </x:c>
      <x:c r="D131" s="12" t="str">
        <x:v>Janpratinidhi Apartments</x:v>
      </x:c>
      <x:c r="E131" s="12" t="str">
        <x:v>Sector 28</x:v>
      </x:c>
      <x:c r="F131" s="2" t="n">
        <x:v>7</x:v>
      </x:c>
      <x:c r="G131" s="2" t="n">
        <x:v>95</x:v>
      </x:c>
      <x:c r="H131" s="21" t="n">
        <x:v>5</x:v>
      </x:c>
      <x:c r="I131" s="21" t="n">
        <x:v>1.899</x:v>
      </x:c>
      <x:c r="J131" s="17" t="n">
        <x:f>F131*'Costing'!$H$4</x:f>
        <x:v>10584</x:v>
      </x:c>
      <x:c r="K131" s="17" t="n">
        <x:f>ROUND(J131*'Costing'!$C$4,2)</x:f>
        <x:v>1905.12</x:v>
      </x:c>
      <x:c r="L131" s="17" t="n">
        <x:f>J131+K131</x:f>
        <x:v>12489.119999999999</x:v>
      </x:c>
      <x:c r="M131" s="13" t="n">
        <x:v>28.468671</x:v>
      </x:c>
      <x:c r="N131" s="13" t="n">
        <x:v>77.092885</x:v>
      </x:c>
      <x:c r="O131" s="2" t="str">
        <x:v>https://www.google.com/maps?q=28.468671,77.092885</x:v>
      </x:c>
      <x:c r="P131" s="2" t="str">
        <x:v>CORP-0174, CORP-0175, CORP-0181, CORP-0182, CORP-0183, CORP-0188, CORP-0189, CORP-0192, CORP-0193, CORP-0204, CORP-0205, CORP-0206, CORP-0207</x:v>
      </x:c>
    </x:row>
    <x:row r="132" ht="42" customHeight="1">
      <x:c r="A132" s="10" t="n">
        <x:v>0</x:v>
      </x:c>
      <x:c r="B132" s="12" t="str">
        <x:v>MS7HZAVC</x:v>
      </x:c>
      <x:c r="C132" s="2" t="str">
        <x:v>Delhi NCR</x:v>
      </x:c>
      <x:c r="D132" s="12" t="str">
        <x:v>JMD Gardens</x:v>
      </x:c>
      <x:c r="E132" s="12" t="str">
        <x:v>Sector 33</x:v>
      </x:c>
      <x:c r="F132" s="2" t="n">
        <x:v>19</x:v>
      </x:c>
      <x:c r="G132" s="2" t="n">
        <x:v>565</x:v>
      </x:c>
      <x:c r="H132" s="21" t="n">
        <x:v>7.16</x:v>
      </x:c>
      <x:c r="I132" s="21" t="n">
        <x:v>2.348</x:v>
      </x:c>
      <x:c r="J132" s="17" t="n">
        <x:f>F132*'Costing'!$H$4</x:f>
        <x:v>28728</x:v>
      </x:c>
      <x:c r="K132" s="17" t="n">
        <x:f>ROUND(J132*'Costing'!$C$4,2)</x:f>
        <x:v>5171.04</x:v>
      </x:c>
      <x:c r="L132" s="17" t="n">
        <x:f>J132+K132</x:f>
        <x:v>33899.04</x:v>
      </x:c>
      <x:c r="M132" s="13" t="n">
        <x:v>28.430103</x:v>
      </x:c>
      <x:c r="N132" s="13" t="n">
        <x:v>77.032142</x:v>
      </x:c>
      <x:c r="O132" s="2" t="str">
        <x:v>https://www.google.com/maps?q=28.430103,77.032142</x:v>
      </x:c>
      <x:c r="P132" s="2" t="str">
        <x:v>CORP-0178, CORP-0187, CORP-0199, CORP-0200</x:v>
      </x:c>
    </x:row>
    <x:row r="133" ht="42" customHeight="1">
      <x:c r="A133" s="10" t="n">
        <x:v>0</x:v>
      </x:c>
      <x:c r="B133" s="12" t="str">
        <x:v>MSTN7C3P</x:v>
      </x:c>
      <x:c r="C133" s="2" t="str">
        <x:v>Delhi NCR</x:v>
      </x:c>
      <x:c r="D133" s="12" t="str">
        <x:v>Lotus Boulevard Espacia</x:v>
      </x:c>
      <x:c r="E133" s="12" t="str">
        <x:v>Sector 100</x:v>
      </x:c>
      <x:c r="F133" s="2" t="n">
        <x:v>23</x:v>
      </x:c>
      <x:c r="G133" s="2" t="n">
        <x:v>534</x:v>
      </x:c>
      <x:c r="H133" s="21" t="n">
        <x:v>4.5</x:v>
      </x:c>
      <x:c r="I133" s="21" t="n">
        <x:v>3.371</x:v>
      </x:c>
      <x:c r="J133" s="17" t="n">
        <x:f>F133*'Costing'!$H$4</x:f>
        <x:v>34776</x:v>
      </x:c>
      <x:c r="K133" s="17" t="n">
        <x:f>ROUND(J133*'Costing'!$C$4,2)</x:f>
        <x:v>6259.68</x:v>
      </x:c>
      <x:c r="L133" s="17" t="n">
        <x:f>J133+K133</x:f>
        <x:v>41035.68</x:v>
      </x:c>
      <x:c r="M133" s="13" t="n">
        <x:v>28.54358469</x:v>
      </x:c>
      <x:c r="N133" s="13" t="n">
        <x:v>77.36805937</x:v>
      </x:c>
      <x:c r="O133" s="2" t="str">
        <x:v>https://www.google.com/maps?q=28.54358469,77.36805937</x:v>
      </x:c>
      <x:c r="P133" s="2" t="str">
        <x:v>CORP-0368</x:v>
      </x:c>
    </x:row>
    <x:row r="134" ht="42" customHeight="1">
      <x:c r="A134" s="10" t="n">
        <x:v>0</x:v>
      </x:c>
      <x:c r="B134" s="12" t="str">
        <x:v>MS5ZYKEG, MS7W6V7F</x:v>
      </x:c>
      <x:c r="C134" s="2" t="str">
        <x:v>Delhi NCR</x:v>
      </x:c>
      <x:c r="D134" s="12" t="str">
        <x:v>Ourania Apartments</x:v>
      </x:c>
      <x:c r="E134" s="12" t="str">
        <x:v>Sector 53</x:v>
      </x:c>
      <x:c r="F134" s="2" t="n">
        <x:v>9</x:v>
      </x:c>
      <x:c r="G134" s="2" t="n">
        <x:v>256</x:v>
      </x:c>
      <x:c r="H134" s="21" t="n">
        <x:v>8</x:v>
      </x:c>
      <x:c r="I134" s="21" t="n">
        <x:v>1.461</x:v>
      </x:c>
      <x:c r="J134" s="17" t="n">
        <x:f>F134*'Costing'!$H$4</x:f>
        <x:v>13608</x:v>
      </x:c>
      <x:c r="K134" s="17" t="n">
        <x:f>ROUND(J134*'Costing'!$C$4,2)</x:f>
        <x:v>2449.44</x:v>
      </x:c>
      <x:c r="L134" s="17" t="n">
        <x:f>J134+K134</x:f>
        <x:v>16057.44</x:v>
      </x:c>
      <x:c r="M134" s="13" t="n">
        <x:v>28.445692</x:v>
      </x:c>
      <x:c r="N134" s="13" t="n">
        <x:v>77.097848</x:v>
      </x:c>
      <x:c r="O134" s="2" t="str">
        <x:v>https://www.google.com/maps?q=28.445692,77.097848</x:v>
      </x:c>
      <x:c r="P134" s="2" t="str">
        <x:v>CORP-0164, CORP-0185, CORP-0186, CORP-0201, CORP-0202, CORP-0203, CORP-0208</x:v>
      </x:c>
    </x:row>
    <x:row r="135" ht="42" customHeight="1">
      <x:c r="A135" s="10" t="n">
        <x:v>0</x:v>
      </x:c>
      <x:c r="B135" s="12" t="str">
        <x:v>MSSM5M5T</x:v>
      </x:c>
      <x:c r="C135" s="2" t="str">
        <x:v>Delhi NCR</x:v>
      </x:c>
      <x:c r="D135" s="12" t="str">
        <x:v>Prateek Fedora</x:v>
      </x:c>
      <x:c r="E135" s="12" t="str">
        <x:v>Sector 61</x:v>
      </x:c>
      <x:c r="F135" s="2" t="n">
        <x:v>10</x:v>
      </x:c>
      <x:c r="G135" s="2" t="n">
        <x:v>256</x:v>
      </x:c>
      <x:c r="H135" s="21" t="n">
        <x:v>3.93</x:v>
      </x:c>
      <x:c r="I135" s="21" t="n">
        <x:v>1.602</x:v>
      </x:c>
      <x:c r="J135" s="17" t="n">
        <x:f>F135*'Costing'!$H$4</x:f>
        <x:v>15120</x:v>
      </x:c>
      <x:c r="K135" s="17" t="n">
        <x:f>ROUND(J135*'Costing'!$C$4,2)</x:f>
        <x:v>2721.6</x:v>
      </x:c>
      <x:c r="L135" s="17" t="n">
        <x:f>J135+K135</x:f>
        <x:v>17841.6</x:v>
      </x:c>
      <x:c r="M135" s="13" t="n">
        <x:v>28.598575</x:v>
      </x:c>
      <x:c r="N135" s="13" t="n">
        <x:v>77.37005</x:v>
      </x:c>
      <x:c r="O135" s="2" t="str">
        <x:v>https://www.google.com/maps?q=28.598575,77.37005</x:v>
      </x:c>
      <x:c r="P135" s="2" t="str">
        <x:v>CORP-0165</x:v>
      </x:c>
    </x:row>
    <x:row r="136" ht="42" customHeight="1">
      <x:c r="A136" s="10" t="n">
        <x:v>0</x:v>
      </x:c>
      <x:c r="B136" s="12" t="str">
        <x:v>MSQ2W63T</x:v>
      </x:c>
      <x:c r="C136" s="2" t="str">
        <x:v>Delhi NCR</x:v>
      </x:c>
      <x:c r="D136" s="12" t="str">
        <x:v>Purvanchal Silver City</x:v>
      </x:c>
      <x:c r="E136" s="12" t="str">
        <x:v>Sector 93</x:v>
      </x:c>
      <x:c r="F136" s="2" t="n">
        <x:v>25</x:v>
      </x:c>
      <x:c r="G136" s="2" t="n">
        <x:v>644</x:v>
      </x:c>
      <x:c r="H136" s="21" t="n">
        <x:v>4.21</x:v>
      </x:c>
      <x:c r="I136" s="21" t="n">
        <x:v>1.025</x:v>
      </x:c>
      <x:c r="J136" s="17" t="n">
        <x:f>F136*'Costing'!$H$4</x:f>
        <x:v>37800</x:v>
      </x:c>
      <x:c r="K136" s="17" t="n">
        <x:f>ROUND(J136*'Costing'!$C$4,2)</x:f>
        <x:v>6804</x:v>
      </x:c>
      <x:c r="L136" s="17" t="n">
        <x:f>J136+K136</x:f>
        <x:v>44604</x:v>
      </x:c>
      <x:c r="M136" s="13" t="n">
        <x:v>28.520056</x:v>
      </x:c>
      <x:c r="N136" s="13" t="n">
        <x:v>77.388092</x:v>
      </x:c>
      <x:c r="O136" s="2" t="str">
        <x:v>https://www.google.com/maps?q=28.520056,77.388092</x:v>
      </x:c>
      <x:c r="P136" s="2" t="str">
        <x:v>CORP-0359, CORP-0366, CORP-0367, CORP-0368</x:v>
      </x:c>
    </x:row>
    <x:row r="137" ht="42" customHeight="1">
      <x:c r="A137" s="10" t="n">
        <x:v>0</x:v>
      </x:c>
      <x:c r="B137" s="12" t="str">
        <x:v>MSR8WVZA</x:v>
      </x:c>
      <x:c r="C137" s="2" t="str">
        <x:v>Delhi NCR</x:v>
      </x:c>
      <x:c r="D137" s="12" t="str">
        <x:v>Saraswati apartment RESIDENTS WELFARE ASSOCIATION</x:v>
      </x:c>
      <x:c r="E137" s="12" t="str">
        <x:v>Vasant Kunj</x:v>
      </x:c>
      <x:c r="F137" s="2" t="n">
        <x:v>15</x:v>
      </x:c>
      <x:c r="G137" s="2" t="n">
        <x:v>476</x:v>
      </x:c>
      <x:c r="H137" s="21" t="n">
        <x:v>4.25</x:v>
      </x:c>
      <x:c r="I137" s="21" t="n">
        <x:v>3.43</x:v>
      </x:c>
      <x:c r="J137" s="17" t="n">
        <x:f>F137*'Costing'!$H$4</x:f>
        <x:v>22680</x:v>
      </x:c>
      <x:c r="K137" s="17" t="n">
        <x:f>ROUND(J137*'Costing'!$C$4,2)</x:f>
        <x:v>4082.4</x:v>
      </x:c>
      <x:c r="L137" s="17" t="n">
        <x:f>J137+K137</x:f>
        <x:v>26762.4</x:v>
      </x:c>
      <x:c r="M137" s="13" t="n">
        <x:v>28.524028778076172</x:v>
      </x:c>
      <x:c r="N137" s="13" t="n">
        <x:v>77.1439437866211</x:v>
      </x:c>
      <x:c r="O137" s="2" t="str">
        <x:v>https://www.google.com/maps?q=28.524028778076172,77.1439437866211</x:v>
      </x:c>
      <x:c r="P137" s="2" t="str">
        <x:v>CORP-0161, CORP-0167, CORP-0168, CORP-0171, CORP-0172, CORP-0173</x:v>
      </x:c>
    </x:row>
    <x:row r="138" ht="42" customHeight="1">
      <x:c r="A138" s="10" t="n">
        <x:v>0</x:v>
      </x:c>
      <x:c r="B138" s="12" t="str">
        <x:v>MSKNPTB6</x:v>
      </x:c>
      <x:c r="C138" s="2" t="str">
        <x:v>Delhi NCR</x:v>
      </x:c>
      <x:c r="D138" s="12" t="str">
        <x:v>Satya The Legend Apartments</x:v>
      </x:c>
      <x:c r="E138" s="12" t="str">
        <x:v>Sector 57</x:v>
      </x:c>
      <x:c r="F138" s="2" t="n">
        <x:v>22</x:v>
      </x:c>
      <x:c r="G138" s="2" t="n">
        <x:v>530</x:v>
      </x:c>
      <x:c r="H138" s="21" t="n">
        <x:v>7.45</x:v>
      </x:c>
      <x:c r="I138" s="21" t="n">
        <x:v>0.655</x:v>
      </x:c>
      <x:c r="J138" s="17" t="n">
        <x:f>F138*'Costing'!$H$4</x:f>
        <x:v>33264</x:v>
      </x:c>
      <x:c r="K138" s="17" t="n">
        <x:f>ROUND(J138*'Costing'!$C$4,2)</x:f>
        <x:v>5987.52</x:v>
      </x:c>
      <x:c r="L138" s="17" t="n">
        <x:f>J138+K138</x:f>
        <x:v>39251.520000000004</x:v>
      </x:c>
      <x:c r="M138" s="13" t="n">
        <x:v>28.41866576</x:v>
      </x:c>
      <x:c r="N138" s="13" t="n">
        <x:v>77.07576493</x:v>
      </x:c>
      <x:c r="O138" s="2" t="str">
        <x:v>https://www.google.com/maps?q=28.41866576,77.07576493</x:v>
      </x:c>
      <x:c r="P138" s="2" t="str">
        <x:v>CORP-0164, CORP-0176, CORP-0177, CORP-0178, CORP-0186, CORP-0198, CORP-0199, CORP-0200</x:v>
      </x:c>
    </x:row>
    <x:row r="139" ht="42" customHeight="1">
      <x:c r="A139" s="10" t="n">
        <x:v>0</x:v>
      </x:c>
      <x:c r="B139" s="12" t="str">
        <x:v>MS2GRMXM, MSK92TDZ</x:v>
      </x:c>
      <x:c r="C139" s="2" t="str">
        <x:v>Delhi NCR</x:v>
      </x:c>
      <x:c r="D139" s="12" t="str">
        <x:v>Saya Gold Avenue</x:v>
      </x:c>
      <x:c r="E139" s="12" t="str">
        <x:v>Indirapuram</x:v>
      </x:c>
      <x:c r="F139" s="2" t="n">
        <x:v>51</x:v>
      </x:c>
      <x:c r="G139" s="2" t="n">
        <x:v>3240</x:v>
      </x:c>
      <x:c r="H139" s="21" t="n">
        <x:v>3.6</x:v>
      </x:c>
      <x:c r="I139" s="21" t="n">
        <x:v>0.665</x:v>
      </x:c>
      <x:c r="J139" s="17" t="n">
        <x:f>F139*'Costing'!$H$4</x:f>
        <x:v>77112</x:v>
      </x:c>
      <x:c r="K139" s="17" t="n">
        <x:f>ROUND(J139*'Costing'!$C$4,2)</x:f>
        <x:v>13880.16</x:v>
      </x:c>
      <x:c r="L139" s="17" t="n">
        <x:f>J139+K139</x:f>
        <x:v>90992.16</x:v>
      </x:c>
      <x:c r="M139" s="13" t="n">
        <x:v>28.635824</x:v>
      </x:c>
      <x:c r="N139" s="13" t="n">
        <x:v>77.369472</x:v>
      </x:c>
      <x:c r="O139" s="2" t="str">
        <x:v>https://www.google.com/maps?q=28.635824,77.369472</x:v>
      </x:c>
      <x:c r="P139" s="2" t="str">
        <x:v>CORP-0165, CORP-0362, CORP-0363, CORP-0369, CORP-0372</x:v>
      </x:c>
    </x:row>
    <x:row r="140" ht="42" customHeight="1">
      <x:c r="A140" s="10" t="n">
        <x:v>0</x:v>
      </x:c>
      <x:c r="B140" s="12" t="str">
        <x:v>MSE52Y33</x:v>
      </x:c>
      <x:c r="C140" s="2" t="str">
        <x:v>Delhi NCR</x:v>
      </x:c>
      <x:c r="D140" s="12" t="str">
        <x:v>Shipra Krishna Vista</x:v>
      </x:c>
      <x:c r="E140" s="12" t="str">
        <x:v>Indirapuram</x:v>
      </x:c>
      <x:c r="F140" s="2" t="n">
        <x:v>53</x:v>
      </x:c>
      <x:c r="G140" s="2" t="n">
        <x:v>320</x:v>
      </x:c>
      <x:c r="H140" s="21" t="n">
        <x:v>4.95</x:v>
      </x:c>
      <x:c r="I140" s="21" t="n">
        <x:v>1.357</x:v>
      </x:c>
      <x:c r="J140" s="17" t="n">
        <x:f>F140*'Costing'!$H$4</x:f>
        <x:v>80136</x:v>
      </x:c>
      <x:c r="K140" s="17" t="n">
        <x:f>ROUND(J140*'Costing'!$C$4,2)</x:f>
        <x:v>14424.48</x:v>
      </x:c>
      <x:c r="L140" s="17" t="n">
        <x:f>J140+K140</x:f>
        <x:v>94560.48</x:v>
      </x:c>
      <x:c r="M140" s="13" t="n">
        <x:v>28.63979721069336</x:v>
      </x:c>
      <x:c r="N140" s="13" t="n">
        <x:v>77.3744125366211</x:v>
      </x:c>
      <x:c r="O140" s="2" t="str">
        <x:v>https://www.google.com/maps?q=28.63979721069336,77.3744125366211</x:v>
      </x:c>
      <x:c r="P140" s="2" t="str">
        <x:v>CORP-0369, CORP-0372</x:v>
      </x:c>
    </x:row>
    <x:row r="141" ht="42" customHeight="1">
      <x:c r="A141" s="10" t="n">
        <x:v>0</x:v>
      </x:c>
      <x:c r="B141" s="12" t="str">
        <x:v>MSK6GY9R</x:v>
      </x:c>
      <x:c r="C141" s="2" t="str">
        <x:v>Delhi NCR</x:v>
      </x:c>
      <x:c r="D141" s="12" t="str">
        <x:v>Som Vihar Apartments</x:v>
      </x:c>
      <x:c r="E141" s="12" t="str">
        <x:v>Rk Puram</x:v>
      </x:c>
      <x:c r="F141" s="2" t="n">
        <x:v>11</x:v>
      </x:c>
      <x:c r="G141" s="2" t="n">
        <x:v>422</x:v>
      </x:c>
      <x:c r="H141" s="21" t="n">
        <x:v>4.16</x:v>
      </x:c>
      <x:c r="I141" s="21" t="n">
        <x:v>4.109</x:v>
      </x:c>
      <x:c r="J141" s="17" t="n">
        <x:f>F141*'Costing'!$H$4</x:f>
        <x:v>16632</x:v>
      </x:c>
      <x:c r="K141" s="17" t="n">
        <x:f>ROUND(J141*'Costing'!$C$4,2)</x:f>
        <x:v>2993.76</x:v>
      </x:c>
      <x:c r="L141" s="17" t="n">
        <x:f>J141+K141</x:f>
        <x:v>19625.760000000002</x:v>
      </x:c>
      <x:c r="M141" s="13" t="n">
        <x:v>28.572271</x:v>
      </x:c>
      <x:c r="N141" s="13" t="n">
        <x:v>77.175153</x:v>
      </x:c>
      <x:c r="O141" s="2" t="str">
        <x:v>https://www.google.com/maps?q=28.572271,77.175153</x:v>
      </x:c>
      <x:c r="P141" s="2" t="str">
        <x:v>CORP-0158, CORP-0161, CORP-0167, CORP-0169, CORP-0170, CORP-0171, CORP-0172, CORP-0361</x:v>
      </x:c>
    </x:row>
    <x:row r="142" ht="42" customHeight="1">
      <x:c r="A142" s="10" t="n">
        <x:v>0</x:v>
      </x:c>
      <x:c r="B142" s="12" t="str">
        <x:v>MSQSE7D8</x:v>
      </x:c>
      <x:c r="C142" s="2" t="str">
        <x:v>Delhi NCR</x:v>
      </x:c>
      <x:c r="D142" s="12" t="str">
        <x:v>Tata Primanti</x:v>
      </x:c>
      <x:c r="E142" s="12" t="str">
        <x:v>Sector 72</x:v>
      </x:c>
      <x:c r="F142" s="2" t="n">
        <x:v>31</x:v>
      </x:c>
      <x:c r="G142" s="2" t="n">
        <x:v>1049</x:v>
      </x:c>
      <x:c r="H142" s="21" t="n">
        <x:v>15.85</x:v>
      </x:c>
      <x:c r="I142" s="21" t="n">
        <x:v>2.027</x:v>
      </x:c>
      <x:c r="J142" s="17" t="n">
        <x:f>F142*'Costing'!$H$4</x:f>
        <x:v>46872</x:v>
      </x:c>
      <x:c r="K142" s="17" t="n">
        <x:f>ROUND(J142*'Costing'!$C$4,2)</x:f>
        <x:v>8436.96</x:v>
      </x:c>
      <x:c r="L142" s="17" t="n">
        <x:f>J142+K142</x:f>
        <x:v>55308.96</x:v>
      </x:c>
      <x:c r="M142" s="13" t="n">
        <x:v>28.406871795654297</x:v>
      </x:c>
      <x:c r="N142" s="13" t="n">
        <x:v>77.03589630126953</x:v>
      </x:c>
      <x:c r="O142" s="2" t="str">
        <x:v>https://www.google.com/maps?q=28.406871795654297,77.03589630126953</x:v>
      </x:c>
      <x:c r="P142" s="2" t="str">
        <x:v>CORP-0163</x:v>
      </x:c>
    </x:row>
    <x:row r="143" ht="42" customHeight="1">
      <x:c r="A143" s="10" t="n">
        <x:v>0</x:v>
      </x:c>
      <x:c r="B143" s="12" t="str">
        <x:v>MSH5BKXT</x:v>
      </x:c>
      <x:c r="C143" s="2" t="str">
        <x:v>Delhi NCR</x:v>
      </x:c>
      <x:c r="D143" s="12" t="str">
        <x:v>Tata Primanti POD</x:v>
      </x:c>
      <x:c r="E143" s="12" t="str">
        <x:v>Sector 72</x:v>
      </x:c>
      <x:c r="F143" s="2" t="n">
        <x:v>16</x:v>
      </x:c>
      <x:c r="G143" s="2" t="n">
        <x:v>1049</x:v>
      </x:c>
      <x:c r="H143" s="21" t="n">
        <x:v>15.85</x:v>
      </x:c>
      <x:c r="I143" s="21" t="n">
        <x:v>4.778</x:v>
      </x:c>
      <x:c r="J143" s="17" t="n">
        <x:f>F143*'Costing'!$H$4</x:f>
        <x:v>24192</x:v>
      </x:c>
      <x:c r="K143" s="17" t="n">
        <x:f>ROUND(J143*'Costing'!$C$4,2)</x:f>
        <x:v>4354.56</x:v>
      </x:c>
      <x:c r="L143" s="17" t="n">
        <x:f>J143+K143</x:f>
        <x:v>28546.56</x:v>
      </x:c>
      <x:c r="M143" s="13" t="n">
        <x:v>28.406919479370117</x:v>
      </x:c>
      <x:c r="N143" s="13" t="n">
        <x:v>77.03581237792969</x:v>
      </x:c>
      <x:c r="O143" s="2" t="str">
        <x:v>https://www.google.com/maps?q=28.406919479370117,77.03581237792969</x:v>
      </x:c>
      <x:c r="P143" s="2" t="str">
        <x:v>CORP-0187</x:v>
      </x:c>
    </x:row>
    <x:row r="144" ht="42" customHeight="1">
      <x:c r="A144" s="10" t="n">
        <x:v>0</x:v>
      </x:c>
      <x:c r="B144" s="12" t="str">
        <x:v>MSSTMGQP</x:v>
      </x:c>
      <x:c r="C144" s="2" t="str">
        <x:v>Delhi NCR</x:v>
      </x:c>
      <x:c r="D144" s="12" t="str">
        <x:v>Tata Raisina Residency</x:v>
      </x:c>
      <x:c r="E144" s="12" t="str">
        <x:v>Sector 59</x:v>
      </x:c>
      <x:c r="F144" s="2" t="n">
        <x:v>20</x:v>
      </x:c>
      <x:c r="G144" s="2" t="n">
        <x:v>413</x:v>
      </x:c>
      <x:c r="H144" s="21" t="n">
        <x:v>6.89</x:v>
      </x:c>
      <x:c r="I144" s="21" t="n">
        <x:v>1.344</x:v>
      </x:c>
      <x:c r="J144" s="17" t="n">
        <x:f>F144*'Costing'!$H$4</x:f>
        <x:v>30240</x:v>
      </x:c>
      <x:c r="K144" s="17" t="n">
        <x:f>ROUND(J144*'Costing'!$C$4,2)</x:f>
        <x:v>5443.2</x:v>
      </x:c>
      <x:c r="L144" s="17" t="n">
        <x:f>J144+K144</x:f>
        <x:v>35683.2</x:v>
      </x:c>
      <x:c r="M144" s="13" t="n">
        <x:v>28.402364</x:v>
      </x:c>
      <x:c r="N144" s="13" t="n">
        <x:v>77.106361</x:v>
      </x:c>
      <x:c r="O144" s="2" t="str">
        <x:v>https://www.google.com/maps?q=28.402364,77.106361</x:v>
      </x:c>
      <x:c r="P144" s="2" t="str">
        <x:v>CORP-0164, CORP-0176, CORP-0186</x:v>
      </x:c>
    </x:row>
    <x:row r="145" ht="42" customHeight="1">
      <x:c r="A145" s="10" t="n">
        <x:v>0</x:v>
      </x:c>
      <x:c r="B145" s="12" t="str">
        <x:v>MSXZCYRX</x:v>
      </x:c>
      <x:c r="C145" s="2" t="str">
        <x:v>Delhi NCR</x:v>
      </x:c>
      <x:c r="D145" s="12" t="str">
        <x:v>The Golden Palm</x:v>
      </x:c>
      <x:c r="E145" s="12" t="str">
        <x:v>Sector 168</x:v>
      </x:c>
      <x:c r="F145" s="2" t="n">
        <x:v>41</x:v>
      </x:c>
      <x:c r="G145" s="2" t="n">
        <x:v>2806</x:v>
      </x:c>
      <x:c r="H145" s="21" t="n">
        <x:v>3.55</x:v>
      </x:c>
      <x:c r="I145" s="21" t="n">
        <x:v>1.288</x:v>
      </x:c>
      <x:c r="J145" s="17" t="n">
        <x:f>F145*'Costing'!$H$4</x:f>
        <x:v>61992</x:v>
      </x:c>
      <x:c r="K145" s="17" t="n">
        <x:f>ROUND(J145*'Costing'!$C$4,2)</x:f>
        <x:v>11158.56</x:v>
      </x:c>
      <x:c r="L145" s="17" t="n">
        <x:f>J145+K145</x:f>
        <x:v>73150.56</x:v>
      </x:c>
      <x:c r="M145" s="13" t="n">
        <x:v>28.497489</x:v>
      </x:c>
      <x:c r="N145" s="13" t="n">
        <x:v>77.408859</x:v>
      </x:c>
      <x:c r="O145" s="2" t="str">
        <x:v>https://www.google.com/maps?q=28.497489,77.408859</x:v>
      </x:c>
      <x:c r="P145" s="2" t="str">
        <x:v>CORP-0366</x:v>
      </x:c>
    </x:row>
    <x:row r="146" ht="42" customHeight="1">
      <x:c r="A146" s="10" t="n">
        <x:v>0</x:v>
      </x:c>
      <x:c r="B146" s="12" t="str">
        <x:v>MSYB4YF0</x:v>
      </x:c>
      <x:c r="C146" s="2" t="str">
        <x:v>Delhi NCR</x:v>
      </x:c>
      <x:c r="D146" s="12" t="str">
        <x:v>The Grand Arista</x:v>
      </x:c>
      <x:c r="E146" s="12" t="str">
        <x:v>Sector 168</x:v>
      </x:c>
      <x:c r="F146" s="2" t="n">
        <x:v>12</x:v>
      </x:c>
      <x:c r="G146" s="2" t="n">
        <x:v>600</x:v>
      </x:c>
      <x:c r="H146" s="21" t="n">
        <x:v>5.54</x:v>
      </x:c>
      <x:c r="I146" s="21" t="n">
        <x:v>1.48</x:v>
      </x:c>
      <x:c r="J146" s="17" t="n">
        <x:f>F146*'Costing'!$H$4</x:f>
        <x:v>18144</x:v>
      </x:c>
      <x:c r="K146" s="17" t="n">
        <x:f>ROUND(J146*'Costing'!$C$4,2)</x:f>
        <x:v>3265.92</x:v>
      </x:c>
      <x:c r="L146" s="17" t="n">
        <x:f>J146+K146</x:f>
        <x:v>21409.92</x:v>
      </x:c>
      <x:c r="M146" s="13" t="n">
        <x:v>28.49415</x:v>
      </x:c>
      <x:c r="N146" s="13" t="n">
        <x:v>77.408274</x:v>
      </x:c>
      <x:c r="O146" s="2" t="str">
        <x:v>https://www.google.com/maps?q=28.49415,77.408274</x:v>
      </x:c>
      <x:c r="P146" s="2" t="str">
        <x:v>CORP-0359, CORP-0366, CORP-0367</x:v>
      </x:c>
    </x:row>
    <x:row r="147" ht="42" customHeight="1">
      <x:c r="A147" s="10" t="n">
        <x:v>0</x:v>
      </x:c>
      <x:c r="B147" s="12" t="str">
        <x:v>MS37X5DP</x:v>
      </x:c>
      <x:c r="C147" s="2" t="str">
        <x:v>Delhi NCR</x:v>
      </x:c>
      <x:c r="D147" s="12" t="str">
        <x:v>Vardhaman Apartments</x:v>
      </x:c>
      <x:c r="E147" s="12" t="str">
        <x:v>Mayur Vihar</x:v>
      </x:c>
      <x:c r="F147" s="2" t="n">
        <x:v>4</x:v>
      </x:c>
      <x:c r="G147" s="2" t="n">
        <x:v>110</x:v>
      </x:c>
      <x:c r="H147" s="21" t="n">
        <x:v>2.83</x:v>
      </x:c>
      <x:c r="I147" s="21" t="n">
        <x:v>2.84</x:v>
      </x:c>
      <x:c r="J147" s="17" t="n">
        <x:f>F147*'Costing'!$H$4</x:f>
        <x:v>6048</x:v>
      </x:c>
      <x:c r="K147" s="17" t="n">
        <x:f>ROUND(J147*'Costing'!$C$4,2)</x:f>
        <x:v>1088.64</x:v>
      </x:c>
      <x:c r="L147" s="17" t="n">
        <x:f>J147+K147</x:f>
        <x:v>7136.64</x:v>
      </x:c>
      <x:c r="M147" s="13" t="n">
        <x:v>28.597159</x:v>
      </x:c>
      <x:c r="N147" s="13" t="n">
        <x:v>77.296216</x:v>
      </x:c>
      <x:c r="O147" s="2" t="str">
        <x:v>https://www.google.com/maps?q=28.597159,77.296216</x:v>
      </x:c>
      <x:c r="P147" s="2" t="str">
        <x:v>CORP-0360, CORP-0373</x:v>
      </x:c>
    </x:row>
    <x:row r="148" ht="42" customHeight="1">
      <x:c r="A148" s="10" t="n">
        <x:v>0</x:v>
      </x:c>
      <x:c r="B148" s="12" t="str">
        <x:v>MSBFTZE5, MSG3H5EC</x:v>
      </x:c>
      <x:c r="C148" s="2" t="str">
        <x:v>Delhi NCR</x:v>
      </x:c>
      <x:c r="D148" s="12" t="str">
        <x:v>Vatika City</x:v>
      </x:c>
      <x:c r="E148" s="12" t="str">
        <x:v>Sector 49</x:v>
      </x:c>
      <x:c r="F148" s="2" t="n">
        <x:v>153</x:v>
      </x:c>
      <x:c r="G148" s="2" t="n">
        <x:v>1610</x:v>
      </x:c>
      <x:c r="H148" s="21" t="n">
        <x:v>6.5</x:v>
      </x:c>
      <x:c r="I148" s="21" t="n">
        <x:v>1.785</x:v>
      </x:c>
      <x:c r="J148" s="17" t="n">
        <x:f>F148*'Costing'!$H$4</x:f>
        <x:v>231336</x:v>
      </x:c>
      <x:c r="K148" s="17" t="n">
        <x:f>ROUND(J148*'Costing'!$C$4,2)</x:f>
        <x:v>41640.48</x:v>
      </x:c>
      <x:c r="L148" s="17" t="n">
        <x:f>J148+K148</x:f>
        <x:v>272976.48</x:v>
      </x:c>
      <x:c r="M148" s="13" t="n">
        <x:v>28.404424</x:v>
      </x:c>
      <x:c r="N148" s="13" t="n">
        <x:v>77.048543</x:v>
      </x:c>
      <x:c r="O148" s="2" t="str">
        <x:v>https://www.google.com/maps?q=28.404424,77.048543</x:v>
      </x:c>
      <x:c r="P148" s="2" t="str">
        <x:v>CORP-0194</x:v>
      </x:c>
    </x:row>
    <x:row r="149" ht="42" customHeight="1">
      <x:c r="A149" s="10" t="n">
        <x:v>0</x:v>
      </x:c>
      <x:c r="B149" s="12" t="str">
        <x:v>MS4CZCSN</x:v>
      </x:c>
      <x:c r="C149" s="2" t="str">
        <x:v>Delhi NCR</x:v>
      </x:c>
      <x:c r="D149" s="12" t="str">
        <x:v>Vigyapan Lok Apartments</x:v>
      </x:c>
      <x:c r="E149" s="12" t="str">
        <x:v>Mayur Vihar</x:v>
      </x:c>
      <x:c r="F149" s="2" t="n">
        <x:v>4</x:v>
      </x:c>
      <x:c r="G149" s="2" t="n">
        <x:v>80</x:v>
      </x:c>
      <x:c r="H149" s="21" t="n">
        <x:v>3.51</x:v>
      </x:c>
      <x:c r="I149" s="21" t="n">
        <x:v>2.613</x:v>
      </x:c>
      <x:c r="J149" s="17" t="n">
        <x:f>F149*'Costing'!$H$4</x:f>
        <x:v>6048</x:v>
      </x:c>
      <x:c r="K149" s="17" t="n">
        <x:f>ROUND(J149*'Costing'!$C$4,2)</x:f>
        <x:v>1088.64</x:v>
      </x:c>
      <x:c r="L149" s="17" t="n">
        <x:f>J149+K149</x:f>
        <x:v>7136.64</x:v>
      </x:c>
      <x:c r="M149" s="13" t="n">
        <x:v>28.594494</x:v>
      </x:c>
      <x:c r="N149" s="13" t="n">
        <x:v>77.295418</x:v>
      </x:c>
      <x:c r="O149" s="2" t="str">
        <x:v>https://www.google.com/maps?q=28.594494,77.295418</x:v>
      </x:c>
      <x:c r="P149" s="2" t="str">
        <x:v>CORP-0360, CORP-0373, CORP-0374</x:v>
      </x:c>
    </x:row>
    <x:row r="150" ht="42" customHeight="1">
      <x:c r="A150" s="10" t="n">
        <x:v>0</x:v>
      </x:c>
      <x:c r="B150" s="12" t="str">
        <x:v>MSGCXPK4</x:v>
      </x:c>
      <x:c r="C150" s="2" t="str">
        <x:v>Hyderabad</x:v>
      </x:c>
      <x:c r="D150" s="12" t="str">
        <x:v>Adithya Hill Top</x:v>
      </x:c>
      <x:c r="E150" s="12" t="str">
        <x:v>MLA colony</x:v>
      </x:c>
      <x:c r="F150" s="2" t="n">
        <x:v>8</x:v>
      </x:c>
      <x:c r="G150" s="2" t="n">
        <x:v>99</x:v>
      </x:c>
      <x:c r="H150" s="21" t="n">
        <x:v>3.62</x:v>
      </x:c>
      <x:c r="I150" s="21" t="n">
        <x:v>1.536</x:v>
      </x:c>
      <x:c r="J150" s="17" t="n">
        <x:f>F150*'Costing'!$H$4</x:f>
        <x:v>12096</x:v>
      </x:c>
      <x:c r="K150" s="17" t="n">
        <x:f>ROUND(J150*'Costing'!$C$4,2)</x:f>
        <x:v>2177.28</x:v>
      </x:c>
      <x:c r="L150" s="17" t="n">
        <x:f>J150+K150</x:f>
        <x:v>14273.28</x:v>
      </x:c>
      <x:c r="M150" s="13" t="n">
        <x:v>17.410584</x:v>
      </x:c>
      <x:c r="N150" s="13" t="n">
        <x:v>78.400974</x:v>
      </x:c>
      <x:c r="O150" s="2" t="str">
        <x:v>https://www.google.com/maps?q=17.410584,78.400974</x:v>
      </x:c>
      <x:c r="P150" s="2" t="str">
        <x:v>CORP-0241</x:v>
      </x:c>
    </x:row>
    <x:row r="151" ht="42" customHeight="1">
      <x:c r="A151" s="10" t="n">
        <x:v>0</x:v>
      </x:c>
      <x:c r="B151" s="12" t="str">
        <x:v>MS1N3F9Z</x:v>
      </x:c>
      <x:c r="C151" s="2" t="str">
        <x:v>Hyderabad</x:v>
      </x:c>
      <x:c r="D151" s="12" t="str">
        <x:v>ADITYA EMPRESS TOWERS</x:v>
      </x:c>
      <x:c r="E151" s="12" t="str">
        <x:v>Shaikpet</x:v>
      </x:c>
      <x:c r="F151" s="2" t="n">
        <x:v>16</x:v>
      </x:c>
      <x:c r="G151" s="2" t="n">
        <x:v>792</x:v>
      </x:c>
      <x:c r="H151" s="21" t="n">
        <x:v>2.5</x:v>
      </x:c>
      <x:c r="I151" s="21" t="n">
        <x:v>3.614</x:v>
      </x:c>
      <x:c r="J151" s="17" t="n">
        <x:f>F151*'Costing'!$H$4</x:f>
        <x:v>24192</x:v>
      </x:c>
      <x:c r="K151" s="17" t="n">
        <x:f>ROUND(J151*'Costing'!$C$4,2)</x:f>
        <x:v>4354.56</x:v>
      </x:c>
      <x:c r="L151" s="17" t="n">
        <x:f>J151+K151</x:f>
        <x:v>28546.56</x:v>
      </x:c>
      <x:c r="M151" s="13" t="n">
        <x:v>17.40448760986328</x:v>
      </x:c>
      <x:c r="N151" s="13" t="n">
        <x:v>78.40287017822266</x:v>
      </x:c>
      <x:c r="O151" s="2" t="str">
        <x:v>https://www.google.com/maps?q=17.40448760986328,78.40287017822266</x:v>
      </x:c>
      <x:c r="P151" s="2" t="str">
        <x:v>CORP-0239</x:v>
      </x:c>
    </x:row>
    <x:row r="152" ht="42" customHeight="1">
      <x:c r="A152" s="10" t="n">
        <x:v>0</x:v>
      </x:c>
      <x:c r="B152" s="12" t="str">
        <x:v>MSB9VZ2H</x:v>
      </x:c>
      <x:c r="C152" s="2" t="str">
        <x:v>Hyderabad</x:v>
      </x:c>
      <x:c r="D152" s="12" t="str">
        <x:v>Aparna Aura</x:v>
      </x:c>
      <x:c r="E152" s="12" t="str">
        <x:v>Shaikpet</x:v>
      </x:c>
      <x:c r="F152" s="2" t="n">
        <x:v>4</x:v>
      </x:c>
      <x:c r="G152" s="2" t="n">
        <x:v>135</x:v>
      </x:c>
      <x:c r="H152" s="21" t="n">
        <x:v>4</x:v>
      </x:c>
      <x:c r="I152" s="21" t="n">
        <x:v>1.549</x:v>
      </x:c>
      <x:c r="J152" s="17" t="n">
        <x:f>F152*'Costing'!$H$4</x:f>
        <x:v>6048</x:v>
      </x:c>
      <x:c r="K152" s="17" t="n">
        <x:f>ROUND(J152*'Costing'!$C$4,2)</x:f>
        <x:v>1088.64</x:v>
      </x:c>
      <x:c r="L152" s="17" t="n">
        <x:f>J152+K152</x:f>
        <x:v>7136.64</x:v>
      </x:c>
      <x:c r="M152" s="13" t="n">
        <x:v>17.409596</x:v>
      </x:c>
      <x:c r="N152" s="13" t="n">
        <x:v>78.401975</x:v>
      </x:c>
      <x:c r="O152" s="2" t="str">
        <x:v>https://www.google.com/maps?q=17.409596,78.401975</x:v>
      </x:c>
      <x:c r="P152" s="2" t="str">
        <x:v>CORP-0241</x:v>
      </x:c>
    </x:row>
    <x:row r="153" ht="42" customHeight="1">
      <x:c r="A153" s="10" t="n">
        <x:v>0</x:v>
      </x:c>
      <x:c r="B153" s="12" t="str">
        <x:v>MSB6MCN1</x:v>
      </x:c>
      <x:c r="C153" s="2" t="str">
        <x:v>Hyderabad</x:v>
      </x:c>
      <x:c r="D153" s="12" t="str">
        <x:v>Apila</x:v>
      </x:c>
      <x:c r="E153" s="12" t="str">
        <x:v>Gandipet</x:v>
      </x:c>
      <x:c r="F153" s="2" t="n">
        <x:v>20</x:v>
      </x:c>
      <x:c r="G153" s="2" t="n">
        <x:v>470</x:v>
      </x:c>
      <x:c r="H153" s="21" t="n">
        <x:v>3.7</x:v>
      </x:c>
      <x:c r="I153" s="21" t="n">
        <x:v>0.521</x:v>
      </x:c>
      <x:c r="J153" s="17" t="n">
        <x:f>F153*'Costing'!$H$4</x:f>
        <x:v>30240</x:v>
      </x:c>
      <x:c r="K153" s="17" t="n">
        <x:f>ROUND(J153*'Costing'!$C$4,2)</x:f>
        <x:v>5443.2</x:v>
      </x:c>
      <x:c r="L153" s="17" t="n">
        <x:f>J153+K153</x:f>
        <x:v>35683.2</x:v>
      </x:c>
      <x:c r="M153" s="13" t="n">
        <x:v>17.384199</x:v>
      </x:c>
      <x:c r="N153" s="13" t="n">
        <x:v>78.327995</x:v>
      </x:c>
      <x:c r="O153" s="2" t="str">
        <x:v>https://www.google.com/maps?q=17.384199,78.327995</x:v>
      </x:c>
      <x:c r="P153" s="2" t="str">
        <x:v>CORP-0228, CORP-0231, CORP-0232</x:v>
      </x:c>
    </x:row>
    <x:row r="154" ht="42" customHeight="1">
      <x:c r="A154" s="10" t="n">
        <x:v>0</x:v>
      </x:c>
      <x:c r="B154" s="12" t="str">
        <x:v>MS9N0V4X</x:v>
      </x:c>
      <x:c r="C154" s="2" t="str">
        <x:v>Hyderabad</x:v>
      </x:c>
      <x:c r="D154" s="12" t="str">
        <x:v>Bollineni Bion</x:v>
      </x:c>
      <x:c r="E154" s="12" t="str">
        <x:v>Kondapur</x:v>
      </x:c>
      <x:c r="F154" s="2" t="n">
        <x:v>10</x:v>
      </x:c>
      <x:c r="G154" s="2" t="n">
        <x:v>450</x:v>
      </x:c>
      <x:c r="H154" s="21" t="n">
        <x:v>4.4</x:v>
      </x:c>
      <x:c r="I154" s="21" t="n">
        <x:v>1.763</x:v>
      </x:c>
      <x:c r="J154" s="17" t="n">
        <x:f>F154*'Costing'!$H$4</x:f>
        <x:v>15120</x:v>
      </x:c>
      <x:c r="K154" s="17" t="n">
        <x:f>ROUND(J154*'Costing'!$C$4,2)</x:f>
        <x:v>2721.6</x:v>
      </x:c>
      <x:c r="L154" s="17" t="n">
        <x:f>J154+K154</x:f>
        <x:v>17841.6</x:v>
      </x:c>
      <x:c r="M154" s="13" t="n">
        <x:v>17.45688819885254</x:v>
      </x:c>
      <x:c r="N154" s="13" t="n">
        <x:v>78.36222839355469</x:v>
      </x:c>
      <x:c r="O154" s="2" t="str">
        <x:v>https://www.google.com/maps?q=17.45688819885254,78.36222839355469</x:v>
      </x:c>
      <x:c r="P154" s="2" t="str">
        <x:v>CORP-0222</x:v>
      </x:c>
    </x:row>
    <x:row r="155" ht="42" customHeight="1">
      <x:c r="A155" s="10" t="n">
        <x:v>0</x:v>
      </x:c>
      <x:c r="B155" s="12" t="str">
        <x:v>MSCN1G32</x:v>
      </x:c>
      <x:c r="C155" s="2" t="str">
        <x:v>Hyderabad</x:v>
      </x:c>
      <x:c r="D155" s="12" t="str">
        <x:v>Casa Rouge</x:v>
      </x:c>
      <x:c r="E155" s="12" t="str">
        <x:v>Kondapur</x:v>
      </x:c>
      <x:c r="F155" s="2" t="n">
        <x:v>8</x:v>
      </x:c>
      <x:c r="G155" s="2" t="n">
        <x:v>156</x:v>
      </x:c>
      <x:c r="H155" s="21" t="n">
        <x:v>3.68</x:v>
      </x:c>
      <x:c r="I155" s="21" t="n">
        <x:v>0.751</x:v>
      </x:c>
      <x:c r="J155" s="17" t="n">
        <x:f>F155*'Costing'!$H$4</x:f>
        <x:v>12096</x:v>
      </x:c>
      <x:c r="K155" s="17" t="n">
        <x:f>ROUND(J155*'Costing'!$C$4,2)</x:f>
        <x:v>2177.28</x:v>
      </x:c>
      <x:c r="L155" s="17" t="n">
        <x:f>J155+K155</x:f>
        <x:v>14273.28</x:v>
      </x:c>
      <x:c r="M155" s="13" t="n">
        <x:v>17.462858200073242</x:v>
      </x:c>
      <x:c r="N155" s="13" t="n">
        <x:v>78.37053680419922</x:v>
      </x:c>
      <x:c r="O155" s="2" t="str">
        <x:v>https://www.google.com/maps?q=17.462858200073242,78.37053680419922</x:v>
      </x:c>
      <x:c r="P155" s="2" t="str">
        <x:v>CORP-0240</x:v>
      </x:c>
    </x:row>
    <x:row r="156" ht="42" customHeight="1">
      <x:c r="A156" s="10" t="n">
        <x:v>0</x:v>
      </x:c>
      <x:c r="B156" s="12" t="str">
        <x:v>MSSAQ48J</x:v>
      </x:c>
      <x:c r="C156" s="2" t="str">
        <x:v>Hyderabad</x:v>
      </x:c>
      <x:c r="D156" s="12" t="str">
        <x:v>Chippandale Apartments</x:v>
      </x:c>
      <x:c r="E156" s="12" t="str">
        <x:v>Secunderabad</x:v>
      </x:c>
      <x:c r="F156" s="2" t="n">
        <x:v>5</x:v>
      </x:c>
      <x:c r="G156" s="2" t="n">
        <x:v>129</x:v>
      </x:c>
      <x:c r="H156" s="21" t="n">
        <x:v>2.5</x:v>
      </x:c>
      <x:c r="I156" s="21" t="n">
        <x:v>2.438</x:v>
      </x:c>
      <x:c r="J156" s="17" t="n">
        <x:f>F156*'Costing'!$H$4</x:f>
        <x:v>7560</x:v>
      </x:c>
      <x:c r="K156" s="17" t="n">
        <x:f>ROUND(J156*'Costing'!$C$4,2)</x:f>
        <x:v>1360.8</x:v>
      </x:c>
      <x:c r="L156" s="17" t="n">
        <x:f>J156+K156</x:f>
        <x:v>8920.8</x:v>
      </x:c>
      <x:c r="M156" s="13" t="n">
        <x:v>17.44205665588379</x:v>
      </x:c>
      <x:c r="N156" s="13" t="n">
        <x:v>78.47949981689453</x:v>
      </x:c>
      <x:c r="O156" s="2" t="str">
        <x:v>https://www.google.com/maps?q=17.44205665588379,78.47949981689453</x:v>
      </x:c>
      <x:c r="P156" s="2" t="str">
        <x:v>CORP-0217, CORP-0218</x:v>
      </x:c>
    </x:row>
    <x:row r="157" ht="42" customHeight="1">
      <x:c r="A157" s="10" t="n">
        <x:v>0</x:v>
      </x:c>
      <x:c r="B157" s="12" t="str">
        <x:v>MSHGZP8C, MSY1SPHH</x:v>
      </x:c>
      <x:c r="C157" s="2" t="str">
        <x:v>Hyderabad</x:v>
      </x:c>
      <x:c r="D157" s="12" t="str">
        <x:v>Dsr Fortune Prime</x:v>
      </x:c>
      <x:c r="E157" s="12" t="str">
        <x:v>Madhapur</x:v>
      </x:c>
      <x:c r="F157" s="2" t="n">
        <x:v>31</x:v>
      </x:c>
      <x:c r="G157" s="2" t="n">
        <x:v>298</x:v>
      </x:c>
      <x:c r="H157" s="21" t="n">
        <x:v>9.96</x:v>
      </x:c>
      <x:c r="I157" s="21" t="n">
        <x:v>0.515</x:v>
      </x:c>
      <x:c r="J157" s="17" t="n">
        <x:f>F157*'Costing'!$H$4</x:f>
        <x:v>46872</x:v>
      </x:c>
      <x:c r="K157" s="17" t="n">
        <x:f>ROUND(J157*'Costing'!$C$4,2)</x:f>
        <x:v>8436.96</x:v>
      </x:c>
      <x:c r="L157" s="17" t="n">
        <x:f>J157+K157</x:f>
        <x:v>55308.96</x:v>
      </x:c>
      <x:c r="M157" s="13" t="n">
        <x:v>17.44068145751953</x:v>
      </x:c>
      <x:c r="N157" s="13" t="n">
        <x:v>78.38890838623047</x:v>
      </x:c>
      <x:c r="O157" s="2" t="str">
        <x:v>https://www.google.com/maps?q=17.44068145751953,78.38890838623047</x:v>
      </x:c>
      <x:c r="P157" s="2" t="str">
        <x:v>CORP-0244, CORP-0246, CORP-0247, CORP-0248, CORP-0249, CORP-0250, CORP-0259, CORP-0261</x:v>
      </x:c>
    </x:row>
    <x:row r="158" ht="42" customHeight="1">
      <x:c r="A158" s="10" t="n">
        <x:v>0</x:v>
      </x:c>
      <x:c r="B158" s="12" t="str">
        <x:v>MSP6BD0T</x:v>
      </x:c>
      <x:c r="C158" s="2" t="str">
        <x:v>Hyderabad</x:v>
      </x:c>
      <x:c r="D158" s="12" t="str">
        <x:v>Golf Edge</x:v>
      </x:c>
      <x:c r="E158" s="12" t="str">
        <x:v>Gachibowli</x:v>
      </x:c>
      <x:c r="F158" s="2" t="n">
        <x:v>7</x:v>
      </x:c>
      <x:c r="G158" s="2" t="n">
        <x:v>497</x:v>
      </x:c>
      <x:c r="H158" s="21" t="n">
        <x:v>3.62</x:v>
      </x:c>
      <x:c r="I158" s="21" t="n">
        <x:v>0.253</x:v>
      </x:c>
      <x:c r="J158" s="17" t="n">
        <x:f>F158*'Costing'!$H$4</x:f>
        <x:v>10584</x:v>
      </x:c>
      <x:c r="K158" s="17" t="n">
        <x:f>ROUND(J158*'Costing'!$C$4,2)</x:f>
        <x:v>1905.12</x:v>
      </x:c>
      <x:c r="L158" s="17" t="n">
        <x:f>J158+K158</x:f>
        <x:v>12489.119999999999</x:v>
      </x:c>
      <x:c r="M158" s="13" t="n">
        <x:v>17.425275802612305</x:v>
      </x:c>
      <x:c r="N158" s="13" t="n">
        <x:v>78.34713745117188</x:v>
      </x:c>
      <x:c r="O158" s="2" t="str">
        <x:v>https://www.google.com/maps?q=17.425275802612305,78.34713745117188</x:v>
      </x:c>
      <x:c r="P158" s="2" t="str">
        <x:v>CORP-0220, CORP-0252, CORP-0255, CORP-0260</x:v>
      </x:c>
    </x:row>
    <x:row r="159" ht="42" customHeight="1">
      <x:c r="A159" s="10" t="n">
        <x:v>0</x:v>
      </x:c>
      <x:c r="B159" s="12" t="str">
        <x:v>MSQN51EF</x:v>
      </x:c>
      <x:c r="C159" s="2" t="str">
        <x:v>Hyderabad</x:v>
      </x:c>
      <x:c r="D159" s="12" t="str">
        <x:v>Indis One City</x:v>
      </x:c>
      <x:c r="E159" s="12" t="str">
        <x:v>Kukatpally</x:v>
      </x:c>
      <x:c r="F159" s="2" t="n">
        <x:v>24</x:v>
      </x:c>
      <x:c r="G159" s="2" t="n">
        <x:v>1361</x:v>
      </x:c>
      <x:c r="H159" s="21" t="n">
        <x:v>3</x:v>
      </x:c>
      <x:c r="I159" s="21" t="n">
        <x:v>0.757</x:v>
      </x:c>
      <x:c r="J159" s="17" t="n">
        <x:f>F159*'Costing'!$H$4</x:f>
        <x:v>36288</x:v>
      </x:c>
      <x:c r="K159" s="17" t="n">
        <x:f>ROUND(J159*'Costing'!$C$4,2)</x:f>
        <x:v>6531.84</x:v>
      </x:c>
      <x:c r="L159" s="17" t="n">
        <x:f>J159+K159</x:f>
        <x:v>42819.84</x:v>
      </x:c>
      <x:c r="M159" s="13" t="n">
        <x:v>17.476858139038086</x:v>
      </x:c>
      <x:c r="N159" s="13" t="n">
        <x:v>78.39144134521484</x:v>
      </x:c>
      <x:c r="O159" s="2" t="str">
        <x:v>https://www.google.com/maps?q=17.476858139038086,78.39144134521484</x:v>
      </x:c>
      <x:c r="P159" s="2" t="str">
        <x:v>CORP-0238</x:v>
      </x:c>
    </x:row>
    <x:row r="160" ht="42" customHeight="1">
      <x:c r="A160" s="10" t="n">
        <x:v>0</x:v>
      </x:c>
      <x:c r="B160" s="12" t="str">
        <x:v>MS5SKY3T</x:v>
      </x:c>
      <x:c r="C160" s="2" t="str">
        <x:v>Hyderabad</x:v>
      </x:c>
      <x:c r="D160" s="12" t="str">
        <x:v>Jayabheri Nirvana</x:v>
      </x:c>
      <x:c r="E160" s="12" t="str">
        <x:v>Financial District</x:v>
      </x:c>
      <x:c r="F160" s="2" t="n">
        <x:v>20</x:v>
      </x:c>
      <x:c r="G160" s="2" t="n">
        <x:v>693</x:v>
      </x:c>
      <x:c r="H160" s="21" t="n">
        <x:v>4</x:v>
      </x:c>
      <x:c r="I160" s="21" t="n">
        <x:v>0.93</x:v>
      </x:c>
      <x:c r="J160" s="17" t="n">
        <x:f>F160*'Costing'!$H$4</x:f>
        <x:v>30240</x:v>
      </x:c>
      <x:c r="K160" s="17" t="n">
        <x:f>ROUND(J160*'Costing'!$C$4,2)</x:f>
        <x:v>5443.2</x:v>
      </x:c>
      <x:c r="L160" s="17" t="n">
        <x:f>J160+K160</x:f>
        <x:v>35683.2</x:v>
      </x:c>
      <x:c r="M160" s="13" t="n">
        <x:v>17.430734634399414</x:v>
      </x:c>
      <x:c r="N160" s="13" t="n">
        <x:v>78.32391357421875</x:v>
      </x:c>
      <x:c r="O160" s="2" t="str">
        <x:v>https://www.google.com/maps?q=17.430734634399414,78.32391357421875</x:v>
      </x:c>
      <x:c r="P160" s="2" t="str">
        <x:v>CORP-0253</x:v>
      </x:c>
    </x:row>
    <x:row r="161" ht="42" customHeight="1">
      <x:c r="A161" s="10" t="n">
        <x:v>0</x:v>
      </x:c>
      <x:c r="B161" s="12" t="str">
        <x:v>MSXPZQRW</x:v>
      </x:c>
      <x:c r="C161" s="2" t="str">
        <x:v>Hyderabad</x:v>
      </x:c>
      <x:c r="D161" s="12" t="str">
        <x:v>Jayabheri Orange County</x:v>
      </x:c>
      <x:c r="E161" s="12" t="str">
        <x:v>Nanakramguda</x:v>
      </x:c>
      <x:c r="F161" s="2" t="n">
        <x:v>13</x:v>
      </x:c>
      <x:c r="G161" s="2" t="n">
        <x:v>256</x:v>
      </x:c>
      <x:c r="H161" s="21" t="n">
        <x:v>4.5</x:v>
      </x:c>
      <x:c r="I161" s="21" t="n">
        <x:v>0.142</x:v>
      </x:c>
      <x:c r="J161" s="17" t="n">
        <x:f>F161*'Costing'!$H$4</x:f>
        <x:v>19656</x:v>
      </x:c>
      <x:c r="K161" s="17" t="n">
        <x:f>ROUND(J161*'Costing'!$C$4,2)</x:f>
        <x:v>3538.08</x:v>
      </x:c>
      <x:c r="L161" s="17" t="n">
        <x:f>J161+K161</x:f>
        <x:v>23194.08</x:v>
      </x:c>
      <x:c r="M161" s="13" t="n">
        <x:v>17.42266845703125</x:v>
      </x:c>
      <x:c r="N161" s="13" t="n">
        <x:v>78.34075927734375</x:v>
      </x:c>
      <x:c r="O161" s="2" t="str">
        <x:v>https://www.google.com/maps?q=17.42266845703125,78.34075927734375</x:v>
      </x:c>
      <x:c r="P161" s="2" t="str">
        <x:v>CORP-0216, CORP-0219, CORP-0220, CORP-0226, CORP-0252, CORP-0255, CORP-0260</x:v>
      </x:c>
    </x:row>
    <x:row r="162" ht="42" customHeight="1">
      <x:c r="A162" s="10" t="n">
        <x:v>0</x:v>
      </x:c>
      <x:c r="B162" s="12" t="str">
        <x:v>MS66EAAY</x:v>
      </x:c>
      <x:c r="C162" s="2" t="str">
        <x:v>Hyderabad</x:v>
      </x:c>
      <x:c r="D162" s="12" t="str">
        <x:v>Lodha Bellezza</x:v>
      </x:c>
      <x:c r="E162" s="12" t="str">
        <x:v>Kukatpally</x:v>
      </x:c>
      <x:c r="F162" s="2" t="n">
        <x:v>29</x:v>
      </x:c>
      <x:c r="G162" s="2" t="n">
        <x:v>362</x:v>
      </x:c>
      <x:c r="H162" s="21" t="n">
        <x:v>6</x:v>
      </x:c>
      <x:c r="I162" s="21" t="n">
        <x:v>0.847</x:v>
      </x:c>
      <x:c r="J162" s="17" t="n">
        <x:f>F162*'Costing'!$H$4</x:f>
        <x:v>43848</x:v>
      </x:c>
      <x:c r="K162" s="17" t="n">
        <x:f>ROUND(J162*'Costing'!$C$4,2)</x:f>
        <x:v>7892.64</x:v>
      </x:c>
      <x:c r="L162" s="17" t="n">
        <x:f>J162+K162</x:f>
        <x:v>51740.64</x:v>
      </x:c>
      <x:c r="M162" s="13" t="n">
        <x:v>17.47585105895996</x:v>
      </x:c>
      <x:c r="N162" s="13" t="n">
        <x:v>78.3926010131836</x:v>
      </x:c>
      <x:c r="O162" s="2" t="str">
        <x:v>https://www.google.com/maps?q=17.47585105895996,78.3926010131836</x:v>
      </x:c>
      <x:c r="P162" s="2" t="str">
        <x:v>CORP-0238</x:v>
      </x:c>
    </x:row>
    <x:row r="163" ht="42" customHeight="1">
      <x:c r="A163" s="10" t="n">
        <x:v>0</x:v>
      </x:c>
      <x:c r="B163" s="12" t="str">
        <x:v>MSD7MS2J</x:v>
      </x:c>
      <x:c r="C163" s="2" t="str">
        <x:v>Hyderabad</x:v>
      </x:c>
      <x:c r="D163" s="12" t="str">
        <x:v>Lodha Casa Paradiso</x:v>
      </x:c>
      <x:c r="E163" s="12" t="str">
        <x:v>Sanathnagar</x:v>
      </x:c>
      <x:c r="F163" s="2" t="n">
        <x:v>24</x:v>
      </x:c>
      <x:c r="G163" s="2" t="n">
        <x:v>719</x:v>
      </x:c>
      <x:c r="H163" s="21" t="n">
        <x:v>2.41</x:v>
      </x:c>
      <x:c r="I163" s="21" t="n">
        <x:v>2.345</x:v>
      </x:c>
      <x:c r="J163" s="17" t="n">
        <x:f>F163*'Costing'!$H$4</x:f>
        <x:v>36288</x:v>
      </x:c>
      <x:c r="K163" s="17" t="n">
        <x:f>ROUND(J163*'Costing'!$C$4,2)</x:f>
        <x:v>6531.84</x:v>
      </x:c>
      <x:c r="L163" s="17" t="n">
        <x:f>J163+K163</x:f>
        <x:v>42819.84</x:v>
      </x:c>
      <x:c r="M163" s="13" t="n">
        <x:v>17.456617</x:v>
      </x:c>
      <x:c r="N163" s="13" t="n">
        <x:v>78.448467</x:v>
      </x:c>
      <x:c r="O163" s="2" t="str">
        <x:v>https://www.google.com/maps?q=17.456617,78.448467</x:v>
      </x:c>
      <x:c r="P163" s="2" t="str">
        <x:v>CORP-0217, CORP-0218, CORP-0221</x:v>
      </x:c>
    </x:row>
    <x:row r="164" ht="42" customHeight="1">
      <x:c r="A164" s="10" t="n">
        <x:v>0</x:v>
      </x:c>
      <x:c r="B164" s="12" t="str">
        <x:v>MSABV00Q</x:v>
      </x:c>
      <x:c r="C164" s="2" t="str">
        <x:v>Hyderabad</x:v>
      </x:c>
      <x:c r="D164" s="12" t="str">
        <x:v>Lodha Meridien</x:v>
      </x:c>
      <x:c r="E164" s="12" t="str">
        <x:v>KPHB</x:v>
      </x:c>
      <x:c r="F164" s="2" t="n">
        <x:v>16</x:v>
      </x:c>
      <x:c r="G164" s="2" t="n">
        <x:v>748</x:v>
      </x:c>
      <x:c r="H164" s="21" t="n">
        <x:v>2.37</x:v>
      </x:c>
      <x:c r="I164" s="21" t="n">
        <x:v>0.978</x:v>
      </x:c>
      <x:c r="J164" s="17" t="n">
        <x:f>F164*'Costing'!$H$4</x:f>
        <x:v>24192</x:v>
      </x:c>
      <x:c r="K164" s="17" t="n">
        <x:f>ROUND(J164*'Costing'!$C$4,2)</x:f>
        <x:v>4354.56</x:v>
      </x:c>
      <x:c r="L164" s="17" t="n">
        <x:f>J164+K164</x:f>
        <x:v>28546.56</x:v>
      </x:c>
      <x:c r="M164" s="13" t="n">
        <x:v>17.474679946899414</x:v>
      </x:c>
      <x:c r="N164" s="13" t="n">
        <x:v>78.39244079589844</x:v>
      </x:c>
      <x:c r="O164" s="2" t="str">
        <x:v>https://www.google.com/maps?q=17.474679946899414,78.39244079589844</x:v>
      </x:c>
      <x:c r="P164" s="2" t="str">
        <x:v>CORP-0238</x:v>
      </x:c>
    </x:row>
    <x:row r="165" ht="42" customHeight="1">
      <x:c r="A165" s="10" t="n">
        <x:v>0</x:v>
      </x:c>
      <x:c r="B165" s="12" t="str">
        <x:v>MSHDY9QM</x:v>
      </x:c>
      <x:c r="C165" s="2" t="str">
        <x:v>Hyderabad</x:v>
      </x:c>
      <x:c r="D165" s="12" t="str">
        <x:v>Manboom Around The Grove</x:v>
      </x:c>
      <x:c r="E165" s="12" t="str">
        <x:v>Kokapet</x:v>
      </x:c>
      <x:c r="F165" s="2" t="n">
        <x:v>5</x:v>
      </x:c>
      <x:c r="G165" s="2" t="n">
        <x:v>202</x:v>
      </x:c>
      <x:c r="H165" s="21" t="n">
        <x:v>3.12</x:v>
      </x:c>
      <x:c r="I165" s="21" t="n">
        <x:v>0.784</x:v>
      </x:c>
      <x:c r="J165" s="17" t="n">
        <x:f>F165*'Costing'!$H$4</x:f>
        <x:v>7560</x:v>
      </x:c>
      <x:c r="K165" s="17" t="n">
        <x:f>ROUND(J165*'Costing'!$C$4,2)</x:f>
        <x:v>1360.8</x:v>
      </x:c>
      <x:c r="L165" s="17" t="n">
        <x:f>J165+K165</x:f>
        <x:v>8920.8</x:v>
      </x:c>
      <x:c r="M165" s="13" t="n">
        <x:v>17.4532413482666</x:v>
      </x:c>
      <x:c r="N165" s="13" t="n">
        <x:v>78.3670883178711</x:v>
      </x:c>
      <x:c r="O165" s="2" t="str">
        <x:v>https://www.google.com/maps?q=17.4532413482666,78.3670883178711</x:v>
      </x:c>
      <x:c r="P165" s="2" t="str">
        <x:v>CORP-0240</x:v>
      </x:c>
    </x:row>
    <x:row r="166" ht="42" customHeight="1">
      <x:c r="A166" s="10" t="n">
        <x:v>0</x:v>
      </x:c>
      <x:c r="B166" s="12" t="str">
        <x:v>MSPS7QJD</x:v>
      </x:c>
      <x:c r="C166" s="2" t="str">
        <x:v>Hyderabad</x:v>
      </x:c>
      <x:c r="D166" s="12" t="str">
        <x:v>Meenakshi Trident Towers</x:v>
      </x:c>
      <x:c r="E166" s="12" t="str">
        <x:v>Gachibowli</x:v>
      </x:c>
      <x:c r="F166" s="2" t="n">
        <x:v>10</x:v>
      </x:c>
      <x:c r="G166" s="2" t="n">
        <x:v>135</x:v>
      </x:c>
      <x:c r="H166" s="21" t="n">
        <x:v>5.5</x:v>
      </x:c>
      <x:c r="I166" s="21" t="n">
        <x:v>0.258</x:v>
      </x:c>
      <x:c r="J166" s="17" t="n">
        <x:f>F166*'Costing'!$H$4</x:f>
        <x:v>15120</x:v>
      </x:c>
      <x:c r="K166" s="17" t="n">
        <x:f>ROUND(J166*'Costing'!$C$4,2)</x:f>
        <x:v>2721.6</x:v>
      </x:c>
      <x:c r="L166" s="17" t="n">
        <x:f>J166+K166</x:f>
        <x:v>17841.6</x:v>
      </x:c>
      <x:c r="M166" s="13" t="n">
        <x:v>17.445043563842773</x:v>
      </x:c>
      <x:c r="N166" s="13" t="n">
        <x:v>78.36759948730469</x:v>
      </x:c>
      <x:c r="O166" s="2" t="str">
        <x:v>https://www.google.com/maps?q=17.445043563842773,78.36759948730469</x:v>
      </x:c>
      <x:c r="P166" s="2" t="str">
        <x:v>CORP-0209, CORP-0213, CORP-0214, CORP-0215, CORP-0222, CORP-0223, CORP-0233, CORP-0234, CORP-0235, CORP-0243, CORP-0245, CORP-0257</x:v>
      </x:c>
    </x:row>
    <x:row r="167" ht="42" customHeight="1">
      <x:c r="A167" s="10" t="n">
        <x:v>0</x:v>
      </x:c>
      <x:c r="B167" s="12" t="str">
        <x:v>MS7H2W0F, MSNQR6PN</x:v>
      </x:c>
      <x:c r="C167" s="2" t="str">
        <x:v>Hyderabad</x:v>
      </x:c>
      <x:c r="D167" s="12" t="str">
        <x:v>My Home Bhooja</x:v>
      </x:c>
      <x:c r="E167" s="12" t="str">
        <x:v>Raidurg</x:v>
      </x:c>
      <x:c r="F167" s="2" t="n">
        <x:v>109</x:v>
      </x:c>
      <x:c r="G167" s="2" t="n">
        <x:v>1544</x:v>
      </x:c>
      <x:c r="H167" s="21" t="n">
        <x:v>11.5</x:v>
      </x:c>
      <x:c r="I167" s="21" t="n">
        <x:v>0.202</x:v>
      </x:c>
      <x:c r="J167" s="17" t="n">
        <x:f>F167*'Costing'!$H$4</x:f>
        <x:v>164808</x:v>
      </x:c>
      <x:c r="K167" s="17" t="n">
        <x:f>ROUND(J167*'Costing'!$C$4,2)</x:f>
        <x:v>29665.44</x:v>
      </x:c>
      <x:c r="L167" s="17" t="n">
        <x:f>J167+K167</x:f>
        <x:v>194473.44</x:v>
      </x:c>
      <x:c r="M167" s="13" t="n">
        <x:v>17.431640625</x:v>
      </x:c>
      <x:c r="N167" s="13" t="n">
        <x:v>78.37767028808594</x:v>
      </x:c>
      <x:c r="O167" s="2" t="str">
        <x:v>https://www.google.com/maps?q=17.431640625,78.37767028808594</x:v>
      </x:c>
      <x:c r="P167" s="2" t="str">
        <x:v>CORP-0249, CORP-0250, CORP-0251, CORP-0254, CORP-0256, CORP-0261</x:v>
      </x:c>
    </x:row>
    <x:row r="168" ht="42" customHeight="1">
      <x:c r="A168" s="10" t="n">
        <x:v>0</x:v>
      </x:c>
      <x:c r="B168" s="12" t="str">
        <x:v>MSXFNQ1C</x:v>
      </x:c>
      <x:c r="C168" s="2" t="str">
        <x:v>Hyderabad</x:v>
      </x:c>
      <x:c r="D168" s="12" t="str">
        <x:v>My Home Krishe</x:v>
      </x:c>
      <x:c r="E168" s="12" t="str">
        <x:v>Gachibowli</x:v>
      </x:c>
      <x:c r="F168" s="2" t="n">
        <x:v>18</x:v>
      </x:c>
      <x:c r="G168" s="2" t="n">
        <x:v>650</x:v>
      </x:c>
      <x:c r="H168" s="21" t="n">
        <x:v>3.57</x:v>
      </x:c>
      <x:c r="I168" s="21" t="n">
        <x:v>1.415</x:v>
      </x:c>
      <x:c r="J168" s="17" t="n">
        <x:f>F168*'Costing'!$H$4</x:f>
        <x:v>27216</x:v>
      </x:c>
      <x:c r="K168" s="17" t="n">
        <x:f>ROUND(J168*'Costing'!$C$4,2)</x:f>
        <x:v>4898.88</x:v>
      </x:c>
      <x:c r="L168" s="17" t="n">
        <x:f>J168+K168</x:f>
        <x:v>32114.88</x:v>
      </x:c>
      <x:c r="M168" s="13" t="n">
        <x:v>17.432809829711914</x:v>
      </x:c>
      <x:c r="N168" s="13" t="n">
        <x:v>78.32942199707031</x:v>
      </x:c>
      <x:c r="O168" s="2" t="str">
        <x:v>https://www.google.com/maps?q=17.432809829711914,78.32942199707031</x:v>
      </x:c>
      <x:c r="P168" s="2" t="str">
        <x:v>CORP-0253</x:v>
      </x:c>
    </x:row>
    <x:row r="169" ht="42" customHeight="1">
      <x:c r="A169" s="10" t="n">
        <x:v>0</x:v>
      </x:c>
      <x:c r="B169" s="12" t="str">
        <x:v>MSMDMFMY</x:v>
      </x:c>
      <x:c r="C169" s="2" t="str">
        <x:v>Hyderabad</x:v>
      </x:c>
      <x:c r="D169" s="12" t="str">
        <x:v>My Home Tarkshya</x:v>
      </x:c>
      <x:c r="E169" s="12" t="str">
        <x:v>Kokapet</x:v>
      </x:c>
      <x:c r="F169" s="2" t="n">
        <x:v>14</x:v>
      </x:c>
      <x:c r="G169" s="2" t="n">
        <x:v>660</x:v>
      </x:c>
      <x:c r="H169" s="21" t="n">
        <x:v>3.2</x:v>
      </x:c>
      <x:c r="I169" s="21" t="n">
        <x:v>0.622</x:v>
      </x:c>
      <x:c r="J169" s="17" t="n">
        <x:f>F169*'Costing'!$H$4</x:f>
        <x:v>21168</x:v>
      </x:c>
      <x:c r="K169" s="17" t="n">
        <x:f>ROUND(J169*'Costing'!$C$4,2)</x:f>
        <x:v>3810.24</x:v>
      </x:c>
      <x:c r="L169" s="17" t="n">
        <x:f>J169+K169</x:f>
        <x:v>24978.239999999998</x:v>
      </x:c>
      <x:c r="M169" s="13" t="n">
        <x:v>17.42382049560547</x:v>
      </x:c>
      <x:c r="N169" s="13" t="n">
        <x:v>78.33370971679688</x:v>
      </x:c>
      <x:c r="O169" s="2" t="str">
        <x:v>https://www.google.com/maps?q=17.42382049560547,78.33370971679688</x:v>
      </x:c>
      <x:c r="P169" s="2" t="str">
        <x:v>CORP-0220, CORP-0253</x:v>
      </x:c>
    </x:row>
    <x:row r="170" ht="42" customHeight="1">
      <x:c r="A170" s="10" t="n">
        <x:v>0</x:v>
      </x:c>
      <x:c r="B170" s="12" t="str">
        <x:v>MS4YVPZ6</x:v>
      </x:c>
      <x:c r="C170" s="2" t="str">
        <x:v>Hyderabad</x:v>
      </x:c>
      <x:c r="D170" s="12" t="str">
        <x:v>My Home Tarkshya</x:v>
      </x:c>
      <x:c r="E170" s="12" t="str">
        <x:v>Kokapet</x:v>
      </x:c>
      <x:c r="F170" s="2" t="n">
        <x:v>16</x:v>
      </x:c>
      <x:c r="G170" s="2" t="n">
        <x:v>660</x:v>
      </x:c>
      <x:c r="H170" s="21" t="n">
        <x:v>3.2</x:v>
      </x:c>
      <x:c r="I170" s="21" t="n">
        <x:v>1.579</x:v>
      </x:c>
      <x:c r="J170" s="17" t="n">
        <x:f>F170*'Costing'!$H$4</x:f>
        <x:v>24192</x:v>
      </x:c>
      <x:c r="K170" s="17" t="n">
        <x:f>ROUND(J170*'Costing'!$C$4,2)</x:f>
        <x:v>4354.56</x:v>
      </x:c>
      <x:c r="L170" s="17" t="n">
        <x:f>J170+K170</x:f>
        <x:v>28546.56</x:v>
      </x:c>
      <x:c r="M170" s="13" t="n">
        <x:v>17.391765594482422</x:v>
      </x:c>
      <x:c r="N170" s="13" t="n">
        <x:v>78.33883666992188</x:v>
      </x:c>
      <x:c r="O170" s="2" t="str">
        <x:v>https://www.google.com/maps?q=17.391765594482422,78.33883666992188</x:v>
      </x:c>
      <x:c r="P170" s="2" t="str">
        <x:v>CORP-0228, CORP-0231, CORP-0232, CORP-0230</x:v>
      </x:c>
    </x:row>
    <x:row r="171" ht="42" customHeight="1">
      <x:c r="A171" s="10" t="n">
        <x:v>0</x:v>
      </x:c>
      <x:c r="B171" s="12" t="str">
        <x:v>MSK245JZ</x:v>
      </x:c>
      <x:c r="C171" s="2" t="str">
        <x:v>Hyderabad</x:v>
      </x:c>
      <x:c r="D171" s="12" t="str">
        <x:v>Ncc Nagarjuna Residency</x:v>
      </x:c>
      <x:c r="E171" s="12" t="str">
        <x:v>Gachibowli</x:v>
      </x:c>
      <x:c r="F171" s="2" t="n">
        <x:v>51</x:v>
      </x:c>
      <x:c r="G171" s="2" t="n">
        <x:v>460</x:v>
      </x:c>
      <x:c r="H171" s="21" t="n">
        <x:v>3.77</x:v>
      </x:c>
      <x:c r="I171" s="21" t="n">
        <x:v>0.533</x:v>
      </x:c>
      <x:c r="J171" s="17" t="n">
        <x:f>F171*'Costing'!$H$4</x:f>
        <x:v>77112</x:v>
      </x:c>
      <x:c r="K171" s="17" t="n">
        <x:f>ROUND(J171*'Costing'!$C$4,2)</x:f>
        <x:v>13880.16</x:v>
      </x:c>
      <x:c r="L171" s="17" t="n">
        <x:f>J171+K171</x:f>
        <x:v>90992.16</x:v>
      </x:c>
      <x:c r="M171" s="13" t="n">
        <x:v>17.436634063720703</x:v>
      </x:c>
      <x:c r="N171" s="13" t="n">
        <x:v>78.37187957763672</x:v>
      </x:c>
      <x:c r="O171" s="2" t="str">
        <x:v>https://www.google.com/maps?q=17.436634063720703,78.37187957763672</x:v>
      </x:c>
      <x:c r="P171" s="2" t="str">
        <x:v>CORP-0209, CORP-0223, CORP-0233, CORP-0234, CORP-0235, CORP-0243, CORP-0244, CORP-0245, CORP-0246, CORP-0247, CORP-0248, CORP-0251, CORP-0254, CORP-0256, CORP-0257, CORP-0259</x:v>
      </x:c>
    </x:row>
    <x:row r="172" ht="42" customHeight="1">
      <x:c r="A172" s="10" t="n">
        <x:v>0</x:v>
      </x:c>
      <x:c r="B172" s="12" t="str">
        <x:v>MSX4MK76</x:v>
      </x:c>
      <x:c r="C172" s="2" t="str">
        <x:v>Hyderabad</x:v>
      </x:c>
      <x:c r="D172" s="12" t="str">
        <x:v>Ncc Urban Gardenia</x:v>
      </x:c>
      <x:c r="E172" s="12" t="str">
        <x:v>Gachibowli</x:v>
      </x:c>
      <x:c r="F172" s="2" t="n">
        <x:v>7</x:v>
      </x:c>
      <x:c r="G172" s="2" t="n">
        <x:v>184</x:v>
      </x:c>
      <x:c r="H172" s="21" t="n">
        <x:v>6.5</x:v>
      </x:c>
      <x:c r="I172" s="21" t="n">
        <x:v>0.292</x:v>
      </x:c>
      <x:c r="J172" s="17" t="n">
        <x:f>F172*'Costing'!$H$4</x:f>
        <x:v>10584</x:v>
      </x:c>
      <x:c r="K172" s="17" t="n">
        <x:f>ROUND(J172*'Costing'!$C$4,2)</x:f>
        <x:v>1905.12</x:v>
      </x:c>
      <x:c r="L172" s="17" t="n">
        <x:f>J172+K172</x:f>
        <x:v>12489.119999999999</x:v>
      </x:c>
      <x:c r="M172" s="13" t="n">
        <x:v>17.435742</x:v>
      </x:c>
      <x:c r="N172" s="13" t="n">
        <x:v>78.374077</x:v>
      </x:c>
      <x:c r="O172" s="2" t="str">
        <x:v>https://www.google.com/maps?q=17.435742,78.374077</x:v>
      </x:c>
      <x:c r="P172" s="2" t="str">
        <x:v>CORP-0209, CORP-0243, CORP-0244, CORP-0246, CORP-0247, CORP-0248, CORP-0249, CORP-0250, CORP-0251, CORP-0254, CORP-0256, CORP-0259, CORP-0261</x:v>
      </x:c>
    </x:row>
    <x:row r="173" ht="42" customHeight="1">
      <x:c r="A173" s="10" t="n">
        <x:v>0</x:v>
      </x:c>
      <x:c r="B173" s="12" t="str">
        <x:v>MS1ZTXY3</x:v>
      </x:c>
      <x:c r="C173" s="2" t="str">
        <x:v>Hyderabad</x:v>
      </x:c>
      <x:c r="D173" s="12" t="str">
        <x:v>Nsl East County</x:v>
      </x:c>
      <x:c r="E173" s="12" t="str">
        <x:v>Uppal</x:v>
      </x:c>
      <x:c r="F173" s="2" t="n">
        <x:v>10</x:v>
      </x:c>
      <x:c r="G173" s="2" t="n">
        <x:v>456</x:v>
      </x:c>
      <x:c r="H173" s="21" t="n">
        <x:v>3.1</x:v>
      </x:c>
      <x:c r="I173" s="21" t="n">
        <x:v>1.107</x:v>
      </x:c>
      <x:c r="J173" s="17" t="n">
        <x:f>F173*'Costing'!$H$4</x:f>
        <x:v>15120</x:v>
      </x:c>
      <x:c r="K173" s="17" t="n">
        <x:f>ROUND(J173*'Costing'!$C$4,2)</x:f>
        <x:v>2721.6</x:v>
      </x:c>
      <x:c r="L173" s="17" t="n">
        <x:f>J173+K173</x:f>
        <x:v>17841.6</x:v>
      </x:c>
      <x:c r="M173" s="13" t="n">
        <x:v>17.41259</x:v>
      </x:c>
      <x:c r="N173" s="13" t="n">
        <x:v>78.54766</x:v>
      </x:c>
      <x:c r="O173" s="2" t="str">
        <x:v>https://www.google.com/maps?q=17.41259,78.54766</x:v>
      </x:c>
      <x:c r="P173" s="2" t="str">
        <x:v>CORP-0212, CORP-0224, CORP-0236</x:v>
      </x:c>
    </x:row>
    <x:row r="174" ht="42" customHeight="1">
      <x:c r="A174" s="10" t="n">
        <x:v>0</x:v>
      </x:c>
      <x:c r="B174" s="12" t="str">
        <x:v>MSA6DRWM</x:v>
      </x:c>
      <x:c r="C174" s="2" t="str">
        <x:v>Hyderabad</x:v>
      </x:c>
      <x:c r="D174" s="12" t="str">
        <x:v>NSL East County Tower - 2</x:v>
      </x:c>
      <x:c r="E174" s="12" t="str">
        <x:v>Uppal</x:v>
      </x:c>
      <x:c r="F174" s="2" t="n">
        <x:v>14</x:v>
      </x:c>
      <x:c r="G174" s="2" t="n">
        <x:v>432</x:v>
      </x:c>
      <x:c r="H174" s="21" t="n">
        <x:v>2.85</x:v>
      </x:c>
      <x:c r="I174" s="21" t="n">
        <x:v>0.299</x:v>
      </x:c>
      <x:c r="J174" s="17" t="n">
        <x:f>F174*'Costing'!$H$4</x:f>
        <x:v>21168</x:v>
      </x:c>
      <x:c r="K174" s="17" t="n">
        <x:f>ROUND(J174*'Costing'!$C$4,2)</x:f>
        <x:v>3810.24</x:v>
      </x:c>
      <x:c r="L174" s="17" t="n">
        <x:f>J174+K174</x:f>
        <x:v>24978.239999999998</x:v>
      </x:c>
      <x:c r="M174" s="13" t="n">
        <x:v>17.403575897216797</x:v>
      </x:c>
      <x:c r="N174" s="13" t="n">
        <x:v>78.5490951538086</x:v>
      </x:c>
      <x:c r="O174" s="2" t="str">
        <x:v>https://www.google.com/maps?q=17.403575897216797,78.5490951538086</x:v>
      </x:c>
      <x:c r="P174" s="2" t="str">
        <x:v>CORP-0212, CORP-0224, CORP-0236</x:v>
      </x:c>
    </x:row>
    <x:row r="175" ht="42" customHeight="1">
      <x:c r="A175" s="10" t="n">
        <x:v>0</x:v>
      </x:c>
      <x:c r="B175" s="12" t="str">
        <x:v>MS8H6GGR</x:v>
      </x:c>
      <x:c r="C175" s="2" t="str">
        <x:v>Hyderabad</x:v>
      </x:c>
      <x:c r="D175" s="12" t="str">
        <x:v>Prestige High Fields</x:v>
      </x:c>
      <x:c r="E175" s="12" t="str">
        <x:v>Financial District</x:v>
      </x:c>
      <x:c r="F175" s="2" t="n">
        <x:v>52</x:v>
      </x:c>
      <x:c r="G175" s="2" t="n">
        <x:v>2660</x:v>
      </x:c>
      <x:c r="H175" s="21" t="n">
        <x:v>5.69</x:v>
      </x:c>
      <x:c r="I175" s="21" t="n">
        <x:v>0.026</x:v>
      </x:c>
      <x:c r="J175" s="17" t="n">
        <x:f>F175*'Costing'!$H$4</x:f>
        <x:v>78624</x:v>
      </x:c>
      <x:c r="K175" s="17" t="n">
        <x:f>ROUND(J175*'Costing'!$C$4,2)</x:f>
        <x:v>14152.32</x:v>
      </x:c>
      <x:c r="L175" s="17" t="n">
        <x:f>J175+K175</x:f>
        <x:v>92776.32</x:v>
      </x:c>
      <x:c r="M175" s="13" t="n">
        <x:v>17.41438865661621</x:v>
      </x:c>
      <x:c r="N175" s="13" t="n">
        <x:v>78.33894348144531</x:v>
      </x:c>
      <x:c r="O175" s="2" t="str">
        <x:v>https://www.google.com/maps?q=17.41438865661621,78.33894348144531</x:v>
      </x:c>
      <x:c r="P175" s="2" t="str">
        <x:v>CORP-0216, CORP-0219, CORP-0226, CORP-0230, CORP-0255, CORP-0260</x:v>
      </x:c>
    </x:row>
    <x:row r="176" ht="42" customHeight="1">
      <x:c r="A176" s="10" t="n">
        <x:v>0</x:v>
      </x:c>
      <x:c r="B176" s="12" t="str">
        <x:v>MSBTCP5T</x:v>
      </x:c>
      <x:c r="C176" s="2" t="str">
        <x:v>Hyderabad</x:v>
      </x:c>
      <x:c r="D176" s="12" t="str">
        <x:v>Prestige Ivy League</x:v>
      </x:c>
      <x:c r="E176" s="12" t="str">
        <x:v>Kondapur</x:v>
      </x:c>
      <x:c r="F176" s="2" t="n">
        <x:v>9</x:v>
      </x:c>
      <x:c r="G176" s="2" t="n">
        <x:v>349</x:v>
      </x:c>
      <x:c r="H176" s="21" t="n">
        <x:v>3</x:v>
      </x:c>
      <x:c r="I176" s="21" t="n">
        <x:v>0.078</x:v>
      </x:c>
      <x:c r="J176" s="17" t="n">
        <x:f>F176*'Costing'!$H$4</x:f>
        <x:v>13608</x:v>
      </x:c>
      <x:c r="K176" s="17" t="n">
        <x:f>ROUND(J176*'Costing'!$C$4,2)</x:f>
        <x:v>2449.44</x:v>
      </x:c>
      <x:c r="L176" s="17" t="n">
        <x:f>J176+K176</x:f>
        <x:v>16057.44</x:v>
      </x:c>
      <x:c r="M176" s="13" t="n">
        <x:v>17.45861053466797</x:v>
      </x:c>
      <x:c r="N176" s="13" t="n">
        <x:v>78.36904907226562</x:v>
      </x:c>
      <x:c r="O176" s="2" t="str">
        <x:v>https://www.google.com/maps?q=17.45861053466797,78.36904907226562</x:v>
      </x:c>
      <x:c r="P176" s="2" t="str">
        <x:v>CORP-0211, CORP-0258</x:v>
      </x:c>
    </x:row>
    <x:row r="177" ht="42" customHeight="1">
      <x:c r="A177" s="10" t="n">
        <x:v>0</x:v>
      </x:c>
      <x:c r="B177" s="12" t="str">
        <x:v>MSXJEE82</x:v>
      </x:c>
      <x:c r="C177" s="2" t="str">
        <x:v>Hyderabad</x:v>
      </x:c>
      <x:c r="D177" s="12" t="str">
        <x:v>Rajapushpa Atria</x:v>
      </x:c>
      <x:c r="E177" s="12" t="str">
        <x:v>Kokapet</x:v>
      </x:c>
      <x:c r="F177" s="2" t="n">
        <x:v>34</x:v>
      </x:c>
      <x:c r="G177" s="2" t="n">
        <x:v>1105</x:v>
      </x:c>
      <x:c r="H177" s="21" t="n">
        <x:v>3.97</x:v>
      </x:c>
      <x:c r="I177" s="21" t="n">
        <x:v>1.639</x:v>
      </x:c>
      <x:c r="J177" s="17" t="n">
        <x:f>F177*'Costing'!$H$4</x:f>
        <x:v>51408</x:v>
      </x:c>
      <x:c r="K177" s="17" t="n">
        <x:f>ROUND(J177*'Costing'!$C$4,2)</x:f>
        <x:v>9253.44</x:v>
      </x:c>
      <x:c r="L177" s="17" t="n">
        <x:f>J177+K177</x:f>
        <x:v>60661.44</x:v>
      </x:c>
      <x:c r="M177" s="13" t="n">
        <x:v>17.391334533691406</x:v>
      </x:c>
      <x:c r="N177" s="13" t="n">
        <x:v>78.33917236328125</x:v>
      </x:c>
      <x:c r="O177" s="2" t="str">
        <x:v>https://www.google.com/maps?q=17.391334533691406,78.33917236328125</x:v>
      </x:c>
      <x:c r="P177" s="2" t="str">
        <x:v>CORP-0228, CORP-0231, CORP-0232, CORP-0230</x:v>
      </x:c>
    </x:row>
    <x:row r="178" ht="42" customHeight="1">
      <x:c r="A178" s="10" t="n">
        <x:v>0</x:v>
      </x:c>
      <x:c r="B178" s="12" t="str">
        <x:v>MS0WYXK1</x:v>
      </x:c>
      <x:c r="C178" s="2" t="str">
        <x:v>Hyderabad</x:v>
      </x:c>
      <x:c r="D178" s="12" t="str">
        <x:v>Rajapushpa Eterna</x:v>
      </x:c>
      <x:c r="E178" s="12" t="str">
        <x:v>Gachibowli</x:v>
      </x:c>
      <x:c r="F178" s="2" t="n">
        <x:v>13</x:v>
      </x:c>
      <x:c r="G178" s="2" t="n">
        <x:v>290</x:v>
      </x:c>
      <x:c r="H178" s="21" t="n">
        <x:v>6.5</x:v>
      </x:c>
      <x:c r="I178" s="21" t="n">
        <x:v>0.122</x:v>
      </x:c>
      <x:c r="J178" s="17" t="n">
        <x:f>F178*'Costing'!$H$4</x:f>
        <x:v>19656</x:v>
      </x:c>
      <x:c r="K178" s="17" t="n">
        <x:f>ROUND(J178*'Costing'!$C$4,2)</x:f>
        <x:v>3538.08</x:v>
      </x:c>
      <x:c r="L178" s="17" t="n">
        <x:f>J178+K178</x:f>
        <x:v>23194.08</x:v>
      </x:c>
      <x:c r="M178" s="13" t="n">
        <x:v>17.414537</x:v>
      </x:c>
      <x:c r="N178" s="13" t="n">
        <x:v>78.343586</x:v>
      </x:c>
      <x:c r="O178" s="2" t="str">
        <x:v>https://www.google.com/maps?q=17.414537,78.343586</x:v>
      </x:c>
      <x:c r="P178" s="2" t="str">
        <x:v>CORP-0216, CORP-0219, CORP-0226</x:v>
      </x:c>
    </x:row>
    <x:row r="179" ht="42" customHeight="1">
      <x:c r="A179" s="10" t="n">
        <x:v>0</x:v>
      </x:c>
      <x:c r="B179" s="12" t="str">
        <x:v>MSAXVH6Y</x:v>
      </x:c>
      <x:c r="C179" s="2" t="str">
        <x:v>Hyderabad</x:v>
      </x:c>
      <x:c r="D179" s="12" t="str">
        <x:v>RAMKY TOWERS</x:v>
      </x:c>
      <x:c r="E179" s="12" t="str">
        <x:v>Gachibowli</x:v>
      </x:c>
      <x:c r="F179" s="2" t="n">
        <x:v>22</x:v>
      </x:c>
      <x:c r="G179" s="2" t="n">
        <x:v>600</x:v>
      </x:c>
      <x:c r="H179" s="21" t="n">
        <x:v>3.25</x:v>
      </x:c>
      <x:c r="I179" s="21" t="n">
        <x:v>0.151</x:v>
      </x:c>
      <x:c r="J179" s="17" t="n">
        <x:f>F179*'Costing'!$H$4</x:f>
        <x:v>33264</x:v>
      </x:c>
      <x:c r="K179" s="17" t="n">
        <x:f>ROUND(J179*'Costing'!$C$4,2)</x:f>
        <x:v>5987.52</x:v>
      </x:c>
      <x:c r="L179" s="17" t="n">
        <x:f>J179+K179</x:f>
        <x:v>39251.520000000004</x:v>
      </x:c>
      <x:c r="M179" s="13" t="n">
        <x:v>17.445009231567383</x:v>
      </x:c>
      <x:c r="N179" s="13" t="n">
        <x:v>78.3660888671875</x:v>
      </x:c>
      <x:c r="O179" s="2" t="str">
        <x:v>https://www.google.com/maps?q=17.445009231567383,78.3660888671875</x:v>
      </x:c>
      <x:c r="P179" s="2" t="str">
        <x:v>CORP-0213, CORP-0214, CORP-0215, CORP-0223, CORP-0233, CORP-0234, CORP-0235, CORP-0245, CORP-0257</x:v>
      </x:c>
    </x:row>
    <x:row r="180" ht="42" customHeight="1">
      <x:c r="A180" s="10" t="n">
        <x:v>0</x:v>
      </x:c>
      <x:c r="B180" s="12" t="str">
        <x:v>MSAYW0TK</x:v>
      </x:c>
      <x:c r="C180" s="2" t="str">
        <x:v>Hyderabad</x:v>
      </x:c>
      <x:c r="D180" s="12" t="str">
        <x:v>Sai Sukha Vistas Pearl Block</x:v>
      </x:c>
      <x:c r="E180" s="12" t="str">
        <x:v>Habsiguda</x:v>
      </x:c>
      <x:c r="F180" s="2" t="n">
        <x:v>6</x:v>
      </x:c>
      <x:c r="G180" s="2" t="n">
        <x:v>192</x:v>
      </x:c>
      <x:c r="H180" s="21" t="n">
        <x:v>2.3</x:v>
      </x:c>
      <x:c r="I180" s="21" t="n">
        <x:v>0.521</x:v>
      </x:c>
      <x:c r="J180" s="17" t="n">
        <x:f>F180*'Costing'!$H$4</x:f>
        <x:v>9072</x:v>
      </x:c>
      <x:c r="K180" s="17" t="n">
        <x:f>ROUND(J180*'Costing'!$C$4,2)</x:f>
        <x:v>1632.96</x:v>
      </x:c>
      <x:c r="L180" s="17" t="n">
        <x:f>J180+K180</x:f>
        <x:v>10704.96</x:v>
      </x:c>
      <x:c r="M180" s="13" t="n">
        <x:v>17.40622</x:v>
      </x:c>
      <x:c r="N180" s="13" t="n">
        <x:v>78.54318</x:v>
      </x:c>
      <x:c r="O180" s="2" t="str">
        <x:v>https://www.google.com/maps?q=17.40622,78.54318</x:v>
      </x:c>
      <x:c r="P180" s="2" t="str">
        <x:v>CORP-0212, CORP-0224, CORP-0236</x:v>
      </x:c>
    </x:row>
    <x:row r="181" ht="42" customHeight="1">
      <x:c r="A181" s="10" t="n">
        <x:v>0</x:v>
      </x:c>
      <x:c r="B181" s="12" t="str">
        <x:v>MS2BS3AF</x:v>
      </x:c>
      <x:c r="C181" s="2" t="str">
        <x:v>Hyderabad</x:v>
      </x:c>
      <x:c r="D181" s="12" t="str">
        <x:v>Sattva Magnus</x:v>
      </x:c>
      <x:c r="E181" s="12" t="str">
        <x:v>Tolichowki</x:v>
      </x:c>
      <x:c r="F181" s="2" t="n">
        <x:v>13</x:v>
      </x:c>
      <x:c r="G181" s="2" t="n">
        <x:v>506</x:v>
      </x:c>
      <x:c r="H181" s="21" t="n">
        <x:v>3.48</x:v>
      </x:c>
      <x:c r="I181" s="21" t="n">
        <x:v>1.686</x:v>
      </x:c>
      <x:c r="J181" s="17" t="n">
        <x:f>F181*'Costing'!$H$4</x:f>
        <x:v>19656</x:v>
      </x:c>
      <x:c r="K181" s="17" t="n">
        <x:f>ROUND(J181*'Costing'!$C$4,2)</x:f>
        <x:v>3538.08</x:v>
      </x:c>
      <x:c r="L181" s="17" t="n">
        <x:f>J181+K181</x:f>
        <x:v>23194.08</x:v>
      </x:c>
      <x:c r="M181" s="13" t="n">
        <x:v>17.406373</x:v>
      </x:c>
      <x:c r="N181" s="13" t="n">
        <x:v>78.405354</x:v>
      </x:c>
      <x:c r="O181" s="2" t="str">
        <x:v>https://www.google.com/maps?q=17.406373,78.405354</x:v>
      </x:c>
      <x:c r="P181" s="2" t="str">
        <x:v>CORP-0239, CORP-0241</x:v>
      </x:c>
    </x:row>
    <x:row r="182" ht="42" customHeight="1">
      <x:c r="A182" s="10" t="n">
        <x:v>0</x:v>
      </x:c>
      <x:c r="B182" s="12" t="str">
        <x:v>MSEFZ3N0</x:v>
      </x:c>
      <x:c r="C182" s="2" t="str">
        <x:v>Hyderabad</x:v>
      </x:c>
      <x:c r="D182" s="12" t="str">
        <x:v>Shanthi Bagh</x:v>
      </x:c>
      <x:c r="E182" s="12" t="str">
        <x:v>Begumpet</x:v>
      </x:c>
      <x:c r="F182" s="2" t="n">
        <x:v>4</x:v>
      </x:c>
      <x:c r="G182" s="2" t="n">
        <x:v>280</x:v>
      </x:c>
      <x:c r="H182" s="21" t="n">
        <x:v>2.46</x:v>
      </x:c>
      <x:c r="I182" s="21" t="n">
        <x:v>0.19</x:v>
      </x:c>
      <x:c r="J182" s="17" t="n">
        <x:f>F182*'Costing'!$H$4</x:f>
        <x:v>6048</x:v>
      </x:c>
      <x:c r="K182" s="17" t="n">
        <x:f>ROUND(J182*'Costing'!$C$4,2)</x:f>
        <x:v>1088.64</x:v>
      </x:c>
      <x:c r="L182" s="17" t="n">
        <x:f>J182+K182</x:f>
        <x:v>7136.64</x:v>
      </x:c>
      <x:c r="M182" s="13" t="n">
        <x:v>17.43841</x:v>
      </x:c>
      <x:c r="N182" s="13" t="n">
        <x:v>78.45582</x:v>
      </x:c>
      <x:c r="O182" s="2" t="str">
        <x:v>https://www.google.com/maps?q=17.43841,78.45582</x:v>
      </x:c>
      <x:c r="P182" s="2" t="str">
        <x:v>CORP-0217, CORP-0218, CORP-0221, CORP-0239</x:v>
      </x:c>
    </x:row>
    <x:row r="183" ht="42" customHeight="1">
      <x:c r="A183" s="10" t="n">
        <x:v>0</x:v>
      </x:c>
      <x:c r="B183" s="12" t="str">
        <x:v>MSAXCZ1A</x:v>
      </x:c>
      <x:c r="C183" s="2" t="str">
        <x:v>Hyderabad</x:v>
      </x:c>
      <x:c r="D183" s="12" t="str">
        <x:v>Solankis Gulmohar Apartments</x:v>
      </x:c>
      <x:c r="E183" s="12" t="str">
        <x:v>Begumpet</x:v>
      </x:c>
      <x:c r="F183" s="2" t="n">
        <x:v>4</x:v>
      </x:c>
      <x:c r="G183" s="2" t="n">
        <x:v>118</x:v>
      </x:c>
      <x:c r="H183" s="21" t="n">
        <x:v>2.2</x:v>
      </x:c>
      <x:c r="I183" s="21" t="n">
        <x:v>1.73</x:v>
      </x:c>
      <x:c r="J183" s="17" t="n">
        <x:f>F183*'Costing'!$H$4</x:f>
        <x:v>6048</x:v>
      </x:c>
      <x:c r="K183" s="17" t="n">
        <x:f>ROUND(J183*'Costing'!$C$4,2)</x:f>
        <x:v>1088.64</x:v>
      </x:c>
      <x:c r="L183" s="17" t="n">
        <x:f>J183+K183</x:f>
        <x:v>7136.64</x:v>
      </x:c>
      <x:c r="M183" s="13" t="n">
        <x:v>17.43760907</x:v>
      </x:c>
      <x:c r="N183" s="13" t="n">
        <x:v>78.46423899</x:v>
      </x:c>
      <x:c r="O183" s="2" t="str">
        <x:v>https://www.google.com/maps?q=17.43760907,78.46423899</x:v>
      </x:c>
      <x:c r="P183" s="2" t="str">
        <x:v>CORP-0221</x:v>
      </x:c>
    </x:row>
    <x:row r="184" ht="42" customHeight="1">
      <x:c r="A184" s="10" t="n">
        <x:v>0</x:v>
      </x:c>
      <x:c r="B184" s="12" t="str">
        <x:v>MS58SZN2</x:v>
      </x:c>
      <x:c r="C184" s="2" t="str">
        <x:v>Hyderabad</x:v>
      </x:c>
      <x:c r="D184" s="12" t="str">
        <x:v>Sumadhura Acropolis</x:v>
      </x:c>
      <x:c r="E184" s="12" t="str">
        <x:v>Nanakramguda</x:v>
      </x:c>
      <x:c r="F184" s="2" t="n">
        <x:v>16</x:v>
      </x:c>
      <x:c r="G184" s="2" t="n">
        <x:v>562</x:v>
      </x:c>
      <x:c r="H184" s="21" t="n">
        <x:v>4</x:v>
      </x:c>
      <x:c r="I184" s="21" t="n">
        <x:v>0.45</x:v>
      </x:c>
      <x:c r="J184" s="17" t="n">
        <x:f>F184*'Costing'!$H$4</x:f>
        <x:v>24192</x:v>
      </x:c>
      <x:c r="K184" s="17" t="n">
        <x:f>ROUND(J184*'Costing'!$C$4,2)</x:f>
        <x:v>4354.56</x:v>
      </x:c>
      <x:c r="L184" s="17" t="n">
        <x:f>J184+K184</x:f>
        <x:v>28546.56</x:v>
      </x:c>
      <x:c r="M184" s="13" t="n">
        <x:v>17.42272186279297</x:v>
      </x:c>
      <x:c r="N184" s="13" t="n">
        <x:v>78.35140991210938</x:v>
      </x:c>
      <x:c r="O184" s="2" t="str">
        <x:v>https://www.google.com/maps?q=17.42272186279297,78.35140991210938</x:v>
      </x:c>
      <x:c r="P184" s="2" t="str">
        <x:v>CORP-0252</x:v>
      </x:c>
    </x:row>
    <x:row r="185" ht="42" customHeight="1">
      <x:c r="A185" s="10" t="n">
        <x:v>0</x:v>
      </x:c>
      <x:c r="B185" s="12" t="str">
        <x:v>MSF4EYED</x:v>
      </x:c>
      <x:c r="C185" s="2" t="str">
        <x:v>Hyderabad</x:v>
      </x:c>
      <x:c r="D185" s="12" t="str">
        <x:v>Trendset Jayabheri</x:v>
      </x:c>
      <x:c r="E185" s="12" t="str">
        <x:v>Kondapur</x:v>
      </x:c>
      <x:c r="F185" s="2" t="n">
        <x:v>17</x:v>
      </x:c>
      <x:c r="G185" s="2" t="n">
        <x:v>526</x:v>
      </x:c>
      <x:c r="H185" s="21" t="n">
        <x:v>5.76</x:v>
      </x:c>
      <x:c r="I185" s="21" t="n">
        <x:v>0.313</x:v>
      </x:c>
      <x:c r="J185" s="17" t="n">
        <x:f>F185*'Costing'!$H$4</x:f>
        <x:v>25704</x:v>
      </x:c>
      <x:c r="K185" s="17" t="n">
        <x:f>ROUND(J185*'Costing'!$C$4,2)</x:f>
        <x:v>4626.72</x:v>
      </x:c>
      <x:c r="L185" s="17" t="n">
        <x:f>J185+K185</x:f>
        <x:v>30330.72</x:v>
      </x:c>
      <x:c r="M185" s="13" t="n">
        <x:v>17.456857681274414</x:v>
      </x:c>
      <x:c r="N185" s="13" t="n">
        <x:v>78.36454772949219</x:v>
      </x:c>
      <x:c r="O185" s="2" t="str">
        <x:v>https://www.google.com/maps?q=17.456857681274414,78.36454772949219</x:v>
      </x:c>
      <x:c r="P185" s="2" t="str">
        <x:v>CORP-0211, CORP-0213, CORP-0214, CORP-0215, CORP-0222, CORP-0258</x:v>
      </x:c>
    </x:row>
    <x:row r="186" ht="42" customHeight="1">
      <x:c r="A186" s="10" t="n">
        <x:v>0</x:v>
      </x:c>
      <x:c r="B186" s="12" t="str">
        <x:v>MS7BAAS9</x:v>
      </x:c>
      <x:c r="C186" s="2" t="str">
        <x:v>Hyderabad</x:v>
      </x:c>
      <x:c r="D186" s="12" t="str">
        <x:v>Trendset Rythme</x:v>
      </x:c>
      <x:c r="E186" s="12" t="str">
        <x:v>Gachibowli</x:v>
      </x:c>
      <x:c r="F186" s="2" t="n">
        <x:v>8</x:v>
      </x:c>
      <x:c r="G186" s="2" t="n">
        <x:v>140</x:v>
      </x:c>
      <x:c r="H186" s="21" t="n">
        <x:v>3.72</x:v>
      </x:c>
      <x:c r="I186" s="21" t="n">
        <x:v>0.295</x:v>
      </x:c>
      <x:c r="J186" s="17" t="n">
        <x:f>F186*'Costing'!$H$4</x:f>
        <x:v>12096</x:v>
      </x:c>
      <x:c r="K186" s="17" t="n">
        <x:f>ROUND(J186*'Costing'!$C$4,2)</x:f>
        <x:v>2177.28</x:v>
      </x:c>
      <x:c r="L186" s="17" t="n">
        <x:f>J186+K186</x:f>
        <x:v>14273.28</x:v>
      </x:c>
      <x:c r="M186" s="13" t="n">
        <x:v>17.461048126220703</x:v>
      </x:c>
      <x:c r="N186" s="13" t="n">
        <x:v>78.36839294433594</x:v>
      </x:c>
      <x:c r="O186" s="2" t="str">
        <x:v>https://www.google.com/maps?q=17.461048126220703,78.36839294433594</x:v>
      </x:c>
      <x:c r="P186" s="2" t="str">
        <x:v>CORP-0211, CORP-0240, CORP-0258</x:v>
      </x:c>
    </x:row>
    <x:row r="187" ht="42" customHeight="1">
      <x:c r="A187" s="10" t="n">
        <x:v>0</x:v>
      </x:c>
      <x:c r="B187" s="12" t="str">
        <x:v>MS5B0SN9</x:v>
      </x:c>
      <x:c r="C187" s="2" t="str">
        <x:v>Indore</x:v>
      </x:c>
      <x:c r="D187" s="12" t="str">
        <x:v>Elite Apex Rahwasi Sangh</x:v>
      </x:c>
      <x:c r="E187" s="12" t="str">
        <x:v>Mahalaxmi Nager</x:v>
      </x:c>
      <x:c r="F187" s="2" t="n">
        <x:v>9</x:v>
      </x:c>
      <x:c r="G187" s="2" t="n">
        <x:v>303</x:v>
      </x:c>
      <x:c r="H187" s="21" t="n">
        <x:v>2</x:v>
      </x:c>
      <x:c r="I187" s="21" t="n">
        <x:v>1.135</x:v>
      </x:c>
      <x:c r="J187" s="17" t="n">
        <x:f>F187*'Costing'!$H$4</x:f>
        <x:v>13608</x:v>
      </x:c>
      <x:c r="K187" s="17" t="n">
        <x:f>ROUND(J187*'Costing'!$C$4,2)</x:f>
        <x:v>2449.44</x:v>
      </x:c>
      <x:c r="L187" s="17" t="n">
        <x:f>J187+K187</x:f>
        <x:v>16057.44</x:v>
      </x:c>
      <x:c r="M187" s="13" t="n">
        <x:v>22.762662</x:v>
      </x:c>
      <x:c r="N187" s="13" t="n">
        <x:v>75.911632</x:v>
      </x:c>
      <x:c r="O187" s="2" t="str">
        <x:v>https://www.google.com/maps?q=22.762662,75.911632</x:v>
      </x:c>
      <x:c r="P187" s="2" t="str">
        <x:v>CORP-0262, CORP-0263, CORP-0264, CORP-0265, CORP-0266, CORP-0267, CORP-0268, CORP-0269, CORP-0270, CORP-0271, CORP-0272</x:v>
      </x:c>
    </x:row>
    <x:row r="188" ht="42" customHeight="1">
      <x:c r="A188" s="10" t="n">
        <x:v>0</x:v>
      </x:c>
      <x:c r="B188" s="12" t="str">
        <x:v>MSCN8P8V</x:v>
      </x:c>
      <x:c r="C188" s="2" t="str">
        <x:v>Indore</x:v>
      </x:c>
      <x:c r="D188" s="12" t="str">
        <x:v>Maple Woods</x:v>
      </x:c>
      <x:c r="E188" s="12" t="str">
        <x:v>Nipania Road</x:v>
      </x:c>
      <x:c r="F188" s="2" t="n">
        <x:v>12</x:v>
      </x:c>
      <x:c r="G188" s="2" t="n">
        <x:v>300</x:v>
      </x:c>
      <x:c r="H188" s="21" t="n">
        <x:v>1.54</x:v>
      </x:c>
      <x:c r="I188" s="21" t="n">
        <x:v>1.42</x:v>
      </x:c>
      <x:c r="J188" s="17" t="n">
        <x:f>F188*'Costing'!$H$4</x:f>
        <x:v>18144</x:v>
      </x:c>
      <x:c r="K188" s="17" t="n">
        <x:f>ROUND(J188*'Costing'!$C$4,2)</x:f>
        <x:v>3265.92</x:v>
      </x:c>
      <x:c r="L188" s="17" t="n">
        <x:f>J188+K188</x:f>
        <x:v>21409.92</x:v>
      </x:c>
      <x:c r="M188" s="13" t="n">
        <x:v>22.769856</x:v>
      </x:c>
      <x:c r="N188" s="13" t="n">
        <x:v>75.914343</x:v>
      </x:c>
      <x:c r="O188" s="2" t="str">
        <x:v>https://www.google.com/maps?q=22.769856,75.914343</x:v>
      </x:c>
      <x:c r="P188" s="2" t="str">
        <x:v>CORP-0263, CORP-0264, CORP-0265, CORP-0266, CORP-0267, CORP-0268, CORP-0269, CORP-0270, CORP-0271</x:v>
      </x:c>
    </x:row>
    <x:row r="189" ht="42" customHeight="1">
      <x:c r="A189" s="10" t="n">
        <x:v>0</x:v>
      </x:c>
      <x:c r="B189" s="12" t="str">
        <x:v>MSG1KYVZ</x:v>
      </x:c>
      <x:c r="C189" s="2" t="str">
        <x:v>Indore</x:v>
      </x:c>
      <x:c r="D189" s="12" t="str">
        <x:v>Shehnai Residency Welfare Society</x:v>
      </x:c>
      <x:c r="E189" s="12" t="str">
        <x:v>Near Lotus Electronics, Opposite Hotel Amar Vilas</x:v>
      </x:c>
      <x:c r="F189" s="2" t="n">
        <x:v>6</x:v>
      </x:c>
      <x:c r="G189" s="2" t="n">
        <x:v>208</x:v>
      </x:c>
      <x:c r="H189" s="21" t="n">
        <x:v>1.5</x:v>
      </x:c>
      <x:c r="I189" s="21" t="n">
        <x:v>0.304</x:v>
      </x:c>
      <x:c r="J189" s="17" t="n">
        <x:f>F189*'Costing'!$H$4</x:f>
        <x:v>9072</x:v>
      </x:c>
      <x:c r="K189" s="17" t="n">
        <x:f>ROUND(J189*'Costing'!$C$4,2)</x:f>
        <x:v>1632.96</x:v>
      </x:c>
      <x:c r="L189" s="17" t="n">
        <x:f>J189+K189</x:f>
        <x:v>10704.96</x:v>
      </x:c>
      <x:c r="M189" s="13" t="n">
        <x:v>22.74261474609375</x:v>
      </x:c>
      <x:c r="N189" s="13" t="n">
        <x:v>75.89157104492188</x:v>
      </x:c>
      <x:c r="O189" s="2" t="str">
        <x:v>https://www.google.com/maps?q=22.74261474609375,75.89157104492188</x:v>
      </x:c>
      <x:c r="P189" s="2" t="str">
        <x:v>CORP-0262, CORP-0263, CORP-0264, CORP-0265, CORP-0267, CORP-0268, CORP-0269, CORP-0270, CORP-0271, CORP-0272</x:v>
      </x:c>
    </x:row>
    <x:row r="190" ht="42" customHeight="1">
      <x:c r="A190" s="10" t="n">
        <x:v>0</x:v>
      </x:c>
      <x:c r="B190" s="12" t="str">
        <x:v>MS6YPHWR</x:v>
      </x:c>
      <x:c r="C190" s="2" t="str">
        <x:v>Indore</x:v>
      </x:c>
      <x:c r="D190" s="12" t="str">
        <x:v>Shekhar park</x:v>
      </x:c>
      <x:c r="E190" s="12" t="str">
        <x:v>Mg Road</x:v>
      </x:c>
      <x:c r="F190" s="2" t="n">
        <x:v>5</x:v>
      </x:c>
      <x:c r="G190" s="2" t="n">
        <x:v>100</x:v>
      </x:c>
      <x:c r="H190" s="21" t="n">
        <x:v>1.38</x:v>
      </x:c>
      <x:c r="I190" s="21" t="n">
        <x:v>3.403</x:v>
      </x:c>
      <x:c r="J190" s="17" t="n">
        <x:f>F190*'Costing'!$H$4</x:f>
        <x:v>7560</x:v>
      </x:c>
      <x:c r="K190" s="17" t="n">
        <x:f>ROUND(J190*'Costing'!$C$4,2)</x:f>
        <x:v>1360.8</x:v>
      </x:c>
      <x:c r="L190" s="17" t="n">
        <x:f>J190+K190</x:f>
        <x:v>8920.8</x:v>
      </x:c>
      <x:c r="M190" s="13" t="n">
        <x:v>22.723302841186523</x:v>
      </x:c>
      <x:c r="N190" s="13" t="n">
        <x:v>75.86912536621094</x:v>
      </x:c>
      <x:c r="O190" s="2" t="str">
        <x:v>https://www.google.com/maps?q=22.723302841186523,75.86912536621094</x:v>
      </x:c>
      <x:c r="P190" s="2" t="str">
        <x:v>CORP-0262, CORP-0272</x:v>
      </x:c>
    </x:row>
    <x:row r="191" ht="42" customHeight="1">
      <x:c r="A191" s="10" t="n">
        <x:v>0</x:v>
      </x:c>
      <x:c r="B191" s="12" t="str">
        <x:v>MSJK736S</x:v>
      </x:c>
      <x:c r="C191" s="2" t="str">
        <x:v>Indore</x:v>
      </x:c>
      <x:c r="D191" s="12" t="str">
        <x:v>Shriram Enclave Rahawasi Sahakari Sanstha Maryadit</x:v>
      </x:c>
      <x:c r="E191" s="12" t="str">
        <x:v>Kumedi</x:v>
      </x:c>
      <x:c r="F191" s="2" t="n">
        <x:v>4</x:v>
      </x:c>
      <x:c r="G191" s="2" t="n">
        <x:v>250</x:v>
      </x:c>
      <x:c r="H191" s="21" t="n">
        <x:v>1.85</x:v>
      </x:c>
      <x:c r="I191" s="21" t="n">
        <x:v>4.386</x:v>
      </x:c>
      <x:c r="J191" s="17" t="n">
        <x:f>F191*'Costing'!$H$4</x:f>
        <x:v>6048</x:v>
      </x:c>
      <x:c r="K191" s="17" t="n">
        <x:f>ROUND(J191*'Costing'!$C$4,2)</x:f>
        <x:v>1088.64</x:v>
      </x:c>
      <x:c r="L191" s="17" t="n">
        <x:f>J191+K191</x:f>
        <x:v>7136.64</x:v>
      </x:c>
      <x:c r="M191" s="13" t="n">
        <x:v>22.779772</x:v>
      </x:c>
      <x:c r="N191" s="13" t="n">
        <x:v>75.86021</x:v>
      </x:c>
      <x:c r="O191" s="2" t="str">
        <x:v>https://www.google.com/maps?q=22.779772,75.86021</x:v>
      </x:c>
      <x:c r="P191" s="2" t="str">
        <x:v>CORP-0266</x:v>
      </x:c>
    </x:row>
    <x:row r="192" ht="42" customHeight="1">
      <x:c r="A192" s="10" t="n">
        <x:v>0</x:v>
      </x:c>
      <x:c r="B192" s="12" t="str">
        <x:v>MSTGRZR7</x:v>
      </x:c>
      <x:c r="C192" s="2" t="str">
        <x:v>Kochi</x:v>
      </x:c>
      <x:c r="D192" s="12" t="str">
        <x:v>Jewel Bay View Apartments</x:v>
      </x:c>
      <x:c r="E192" s="12" t="str">
        <x:v>Vyttila</x:v>
      </x:c>
      <x:c r="F192" s="2" t="n">
        <x:v>4</x:v>
      </x:c>
      <x:c r="G192" s="2" t="n">
        <x:v>100</x:v>
      </x:c>
      <x:c r="H192" s="21" t="n">
        <x:v>2.2</x:v>
      </x:c>
      <x:c r="I192" s="21" t="n">
        <x:v>3.893</x:v>
      </x:c>
      <x:c r="J192" s="17" t="n">
        <x:f>F192*'Costing'!$H$4</x:f>
        <x:v>6048</x:v>
      </x:c>
      <x:c r="K192" s="17" t="n">
        <x:f>ROUND(J192*'Costing'!$C$4,2)</x:f>
        <x:v>1088.64</x:v>
      </x:c>
      <x:c r="L192" s="17" t="n">
        <x:f>J192+K192</x:f>
        <x:v>7136.64</x:v>
      </x:c>
      <x:c r="M192" s="13" t="n">
        <x:v>9.957437993504875</x:v>
      </x:c>
      <x:c r="N192" s="13" t="n">
        <x:v>76.3145376423577</x:v>
      </x:c>
      <x:c r="O192" s="2" t="str">
        <x:v>https://www.google.com/maps?q=9.957437993504875,76.3145376423577</x:v>
      </x:c>
      <x:c r="P192" s="2" t="str">
        <x:v>CORP-0273</x:v>
      </x:c>
    </x:row>
    <x:row r="193" ht="42" customHeight="1">
      <x:c r="A193" s="10" t="n">
        <x:v>0</x:v>
      </x:c>
      <x:c r="B193" s="12" t="str">
        <x:v>MSE0BM01</x:v>
      </x:c>
      <x:c r="C193" s="2" t="str">
        <x:v>Kochi</x:v>
      </x:c>
      <x:c r="D193" s="12" t="str">
        <x:v>Skyline City Park</x:v>
      </x:c>
      <x:c r="E193" s="12" t="str">
        <x:v>Kadavanthara</x:v>
      </x:c>
      <x:c r="F193" s="2" t="n">
        <x:v>6</x:v>
      </x:c>
      <x:c r="G193" s="2" t="n">
        <x:v>169</x:v>
      </x:c>
      <x:c r="H193" s="21" t="n">
        <x:v>1.2</x:v>
      </x:c>
      <x:c r="I193" s="21" t="n">
        <x:v>1.769</x:v>
      </x:c>
      <x:c r="J193" s="17" t="n">
        <x:f>F193*'Costing'!$H$4</x:f>
        <x:v>9072</x:v>
      </x:c>
      <x:c r="K193" s="17" t="n">
        <x:f>ROUND(J193*'Costing'!$C$4,2)</x:f>
        <x:v>1632.96</x:v>
      </x:c>
      <x:c r="L193" s="17" t="n">
        <x:f>J193+K193</x:f>
        <x:v>10704.96</x:v>
      </x:c>
      <x:c r="M193" s="13" t="n">
        <x:v>9.974525451660156</x:v>
      </x:c>
      <x:c r="N193" s="13" t="n">
        <x:v>76.30086517333984</x:v>
      </x:c>
      <x:c r="O193" s="2" t="str">
        <x:v>https://www.google.com/maps?q=9.974525451660156,76.30086517333984</x:v>
      </x:c>
      <x:c r="P193" s="2" t="str">
        <x:v>CORP-0273</x:v>
      </x:c>
    </x:row>
    <x:row r="194" ht="42" customHeight="1">
      <x:c r="A194" s="10" t="n">
        <x:v>0</x:v>
      </x:c>
      <x:c r="B194" s="12" t="str">
        <x:v>MSFHVMZV</x:v>
      </x:c>
      <x:c r="C194" s="2" t="str">
        <x:v>Kolkata</x:v>
      </x:c>
      <x:c r="D194" s="12" t="str">
        <x:v>Greenfield Heights</x:v>
      </x:c>
      <x:c r="E194" s="12" t="str">
        <x:v>New Town</x:v>
      </x:c>
      <x:c r="F194" s="2" t="n">
        <x:v>7</x:v>
      </x:c>
      <x:c r="G194" s="2" t="n">
        <x:v>272</x:v>
      </x:c>
      <x:c r="H194" s="21" t="n">
        <x:v>2.51</x:v>
      </x:c>
      <x:c r="I194" s="21" t="n">
        <x:v>1.766</x:v>
      </x:c>
      <x:c r="J194" s="17" t="n">
        <x:f>F194*'Costing'!$H$4</x:f>
        <x:v>10584</x:v>
      </x:c>
      <x:c r="K194" s="17" t="n">
        <x:f>ROUND(J194*'Costing'!$C$4,2)</x:f>
        <x:v>1905.12</x:v>
      </x:c>
      <x:c r="L194" s="17" t="n">
        <x:f>J194+K194</x:f>
        <x:v>12489.119999999999</x:v>
      </x:c>
      <x:c r="M194" s="13" t="n">
        <x:v>22.567789</x:v>
      </x:c>
      <x:c r="N194" s="13" t="n">
        <x:v>88.468721</x:v>
      </x:c>
      <x:c r="O194" s="2" t="str">
        <x:v>https://www.google.com/maps?q=22.567789,88.468721</x:v>
      </x:c>
      <x:c r="P194" s="2" t="str">
        <x:v>CORP-0283</x:v>
      </x:c>
    </x:row>
    <x:row r="195" ht="42" customHeight="1">
      <x:c r="A195" s="10" t="n">
        <x:v>0</x:v>
      </x:c>
      <x:c r="B195" s="12" t="str">
        <x:v>MSNTP7QM</x:v>
      </x:c>
      <x:c r="C195" s="2" t="str">
        <x:v>Kolkata</x:v>
      </x:c>
      <x:c r="D195" s="12" t="str">
        <x:v>Jal Vayu - Towers</x:v>
      </x:c>
      <x:c r="E195" s="12" t="str">
        <x:v>New Town</x:v>
      </x:c>
      <x:c r="F195" s="2" t="n">
        <x:v>8</x:v>
      </x:c>
      <x:c r="G195" s="2" t="n">
        <x:v>452</x:v>
      </x:c>
      <x:c r="H195" s="21" t="n">
        <x:v>2.5</x:v>
      </x:c>
      <x:c r="I195" s="21" t="n">
        <x:v>2.739</x:v>
      </x:c>
      <x:c r="J195" s="17" t="n">
        <x:f>F195*'Costing'!$H$4</x:f>
        <x:v>12096</x:v>
      </x:c>
      <x:c r="K195" s="17" t="n">
        <x:f>ROUND(J195*'Costing'!$C$4,2)</x:f>
        <x:v>2177.28</x:v>
      </x:c>
      <x:c r="L195" s="17" t="n">
        <x:f>J195+K195</x:f>
        <x:v>14273.28</x:v>
      </x:c>
      <x:c r="M195" s="13" t="n">
        <x:v>22.568507</x:v>
      </x:c>
      <x:c r="N195" s="13" t="n">
        <x:v>88.470315</x:v>
      </x:c>
      <x:c r="O195" s="2" t="str">
        <x:v>https://www.google.com/maps?q=22.568507,88.470315</x:v>
      </x:c>
      <x:c r="P195" s="2" t="str">
        <x:v>CORP-0277, CORP-0278</x:v>
      </x:c>
    </x:row>
    <x:row r="196" ht="42" customHeight="1">
      <x:c r="A196" s="10" t="n">
        <x:v>0</x:v>
      </x:c>
      <x:c r="B196" s="12" t="str">
        <x:v>MSYBKGCM</x:v>
      </x:c>
      <x:c r="C196" s="2" t="str">
        <x:v>Kolkata</x:v>
      </x:c>
      <x:c r="D196" s="12" t="str">
        <x:v>Merlin 5TH Avenue</x:v>
      </x:c>
      <x:c r="E196" s="12" t="str">
        <x:v>New Town</x:v>
      </x:c>
      <x:c r="F196" s="2" t="n">
        <x:v>10</x:v>
      </x:c>
      <x:c r="G196" s="2" t="n">
        <x:v>462</x:v>
      </x:c>
      <x:c r="H196" s="21" t="n">
        <x:v>3.89</x:v>
      </x:c>
      <x:c r="I196" s="21" t="n">
        <x:v>1.08</x:v>
      </x:c>
      <x:c r="J196" s="17" t="n">
        <x:f>F196*'Costing'!$H$4</x:f>
        <x:v>15120</x:v>
      </x:c>
      <x:c r="K196" s="17" t="n">
        <x:f>ROUND(J196*'Costing'!$C$4,2)</x:f>
        <x:v>2721.6</x:v>
      </x:c>
      <x:c r="L196" s="17" t="n">
        <x:f>J196+K196</x:f>
        <x:v>17841.6</x:v>
      </x:c>
      <x:c r="M196" s="13" t="n">
        <x:v>22.568309783935547</x:v>
      </x:c>
      <x:c r="N196" s="13" t="n">
        <x:v>88.44609069824219</x:v>
      </x:c>
      <x:c r="O196" s="2" t="str">
        <x:v>https://www.google.com/maps?q=22.568309783935547,88.44609069824219</x:v>
      </x:c>
      <x:c r="P196" s="2" t="str">
        <x:v>CORP-0275, CORP-0276, CORP-0280, CORP-0281, CORP-0282</x:v>
      </x:c>
    </x:row>
    <x:row r="197" ht="42" customHeight="1">
      <x:c r="A197" s="10" t="n">
        <x:v>0</x:v>
      </x:c>
      <x:c r="B197" s="12" t="str">
        <x:v>MS1MBH2S</x:v>
      </x:c>
      <x:c r="C197" s="2" t="str">
        <x:v>Kolkata</x:v>
      </x:c>
      <x:c r="D197" s="12" t="str">
        <x:v>Merlin Legacy</x:v>
      </x:c>
      <x:c r="E197" s="12" t="str">
        <x:v>Topsia</x:v>
      </x:c>
      <x:c r="F197" s="2" t="n">
        <x:v>6</x:v>
      </x:c>
      <x:c r="G197" s="2" t="n">
        <x:v>233</x:v>
      </x:c>
      <x:c r="H197" s="21" t="n">
        <x:v>2.63</x:v>
      </x:c>
      <x:c r="I197" s="21" t="n">
        <x:v>2.503</x:v>
      </x:c>
      <x:c r="J197" s="17" t="n">
        <x:f>F197*'Costing'!$H$4</x:f>
        <x:v>9072</x:v>
      </x:c>
      <x:c r="K197" s="17" t="n">
        <x:f>ROUND(J197*'Costing'!$C$4,2)</x:f>
        <x:v>1632.96</x:v>
      </x:c>
      <x:c r="L197" s="17" t="n">
        <x:f>J197+K197</x:f>
        <x:v>10704.96</x:v>
      </x:c>
      <x:c r="M197" s="13" t="n">
        <x:v>22.55291748046875</x:v>
      </x:c>
      <x:c r="N197" s="13" t="n">
        <x:v>88.37279510498047</x:v>
      </x:c>
      <x:c r="O197" s="2" t="str">
        <x:v>https://www.google.com/maps?q=22.55291748046875,88.37279510498047</x:v>
      </x:c>
      <x:c r="P197" s="2" t="str">
        <x:v>CORP-0279</x:v>
      </x:c>
    </x:row>
    <x:row r="198" ht="42" customHeight="1">
      <x:c r="A198" s="10" t="n">
        <x:v>0</x:v>
      </x:c>
      <x:c r="B198" s="12" t="str">
        <x:v>MSPG2RTH</x:v>
      </x:c>
      <x:c r="C198" s="2" t="str">
        <x:v>Kolkata</x:v>
      </x:c>
      <x:c r="D198" s="12" t="str">
        <x:v>Rosedale Garden</x:v>
      </x:c>
      <x:c r="E198" s="12" t="str">
        <x:v>Rajarhat</x:v>
      </x:c>
      <x:c r="F198" s="2" t="n">
        <x:v>16</x:v>
      </x:c>
      <x:c r="G198" s="2" t="n">
        <x:v>614</x:v>
      </x:c>
      <x:c r="H198" s="21" t="n">
        <x:v>3.61</x:v>
      </x:c>
      <x:c r="I198" s="21" t="n">
        <x:v>2.727</x:v>
      </x:c>
      <x:c r="J198" s="17" t="n">
        <x:f>F198*'Costing'!$H$4</x:f>
        <x:v>24192</x:v>
      </x:c>
      <x:c r="K198" s="17" t="n">
        <x:f>ROUND(J198*'Costing'!$C$4,2)</x:f>
        <x:v>4354.56</x:v>
      </x:c>
      <x:c r="L198" s="17" t="n">
        <x:f>J198+K198</x:f>
        <x:v>28546.56</x:v>
      </x:c>
      <x:c r="M198" s="13" t="n">
        <x:v>22.562772</x:v>
      </x:c>
      <x:c r="N198" s="13" t="n">
        <x:v>88.491949</x:v>
      </x:c>
      <x:c r="O198" s="2" t="str">
        <x:v>https://www.google.com/maps?q=22.562772,88.491949</x:v>
      </x:c>
      <x:c r="P198" s="2" t="str">
        <x:v>CORP-0277, CORP-0278</x:v>
      </x:c>
    </x:row>
    <x:row r="199" ht="42" customHeight="1">
      <x:c r="A199" s="10" t="n">
        <x:v>0</x:v>
      </x:c>
      <x:c r="B199" s="12" t="str">
        <x:v>MSW6Q13B</x:v>
      </x:c>
      <x:c r="C199" s="2" t="str">
        <x:v>Kolkata</x:v>
      </x:c>
      <x:c r="D199" s="12" t="str">
        <x:v>Rukmani Parasmani</x:v>
      </x:c>
      <x:c r="E199" s="12" t="str">
        <x:v>Kankurgachi</x:v>
      </x:c>
      <x:c r="F199" s="2" t="n">
        <x:v>5</x:v>
      </x:c>
      <x:c r="G199" s="2" t="n">
        <x:v>170</x:v>
      </x:c>
      <x:c r="H199" s="21" t="n">
        <x:v>2.75</x:v>
      </x:c>
      <x:c r="I199" s="21" t="n">
        <x:v>2.938</x:v>
      </x:c>
      <x:c r="J199" s="17" t="n">
        <x:f>F199*'Costing'!$H$4</x:f>
        <x:v>7560</x:v>
      </x:c>
      <x:c r="K199" s="17" t="n">
        <x:f>ROUND(J199*'Costing'!$C$4,2)</x:f>
        <x:v>1360.8</x:v>
      </x:c>
      <x:c r="L199" s="17" t="n">
        <x:f>J199+K199</x:f>
        <x:v>8920.8</x:v>
      </x:c>
      <x:c r="M199" s="13" t="n">
        <x:v>22.57147789001465</x:v>
      </x:c>
      <x:c r="N199" s="13" t="n">
        <x:v>88.39927673339844</x:v>
      </x:c>
      <x:c r="O199" s="2" t="str">
        <x:v>https://www.google.com/maps?q=22.57147789001465,88.39927673339844</x:v>
      </x:c>
      <x:c r="P199" s="2" t="str">
        <x:v>CORP-0276</x:v>
      </x:c>
    </x:row>
    <x:row r="200" ht="42" customHeight="1">
      <x:c r="A200" s="10" t="n">
        <x:v>0</x:v>
      </x:c>
      <x:c r="B200" s="12" t="str">
        <x:v>MS033F6E</x:v>
      </x:c>
      <x:c r="C200" s="2" t="str">
        <x:v>Kolkata</x:v>
      </x:c>
      <x:c r="D200" s="12" t="str">
        <x:v>Sanjeeva Gardens</x:v>
      </x:c>
      <x:c r="E200" s="12" t="str">
        <x:v>New Town</x:v>
      </x:c>
      <x:c r="F200" s="2" t="n">
        <x:v>16</x:v>
      </x:c>
      <x:c r="G200" s="2" t="n">
        <x:v>402</x:v>
      </x:c>
      <x:c r="H200" s="21" t="n">
        <x:v>3.75</x:v>
      </x:c>
      <x:c r="I200" s="21" t="n">
        <x:v>1.577</x:v>
      </x:c>
      <x:c r="J200" s="17" t="n">
        <x:f>F200*'Costing'!$H$4</x:f>
        <x:v>24192</x:v>
      </x:c>
      <x:c r="K200" s="17" t="n">
        <x:f>ROUND(J200*'Costing'!$C$4,2)</x:f>
        <x:v>4354.56</x:v>
      </x:c>
      <x:c r="L200" s="17" t="n">
        <x:f>J200+K200</x:f>
        <x:v>28546.56</x:v>
      </x:c>
      <x:c r="M200" s="13" t="n">
        <x:v>22.56766700744629</x:v>
      </x:c>
      <x:c r="N200" s="13" t="n">
        <x:v>88.4586181640625</x:v>
      </x:c>
      <x:c r="O200" s="2" t="str">
        <x:v>https://www.google.com/maps?q=22.56766700744629,88.4586181640625</x:v>
      </x:c>
      <x:c r="P200" s="2" t="str">
        <x:v>CORP-0275, CORP-0280, CORP-0281, CORP-0282, CORP-0283</x:v>
      </x:c>
    </x:row>
    <x:row r="201" ht="42" customHeight="1">
      <x:c r="A201" s="10" t="n">
        <x:v>0</x:v>
      </x:c>
      <x:c r="B201" s="12" t="str">
        <x:v>MS1145TQ</x:v>
      </x:c>
      <x:c r="C201" s="2" t="str">
        <x:v>Kolkata</x:v>
      </x:c>
      <x:c r="D201" s="12" t="str">
        <x:v>Sanjeeva Town Duplex</x:v>
      </x:c>
      <x:c r="E201" s="12" t="str">
        <x:v>New Town</x:v>
      </x:c>
      <x:c r="F201" s="2" t="n">
        <x:v>29</x:v>
      </x:c>
      <x:c r="G201" s="2" t="n">
        <x:v>402</x:v>
      </x:c>
      <x:c r="H201" s="21" t="n">
        <x:v>2.45</x:v>
      </x:c>
      <x:c r="I201" s="21" t="n">
        <x:v>1.723</x:v>
      </x:c>
      <x:c r="J201" s="17" t="n">
        <x:f>F201*'Costing'!$H$4</x:f>
        <x:v>43848</x:v>
      </x:c>
      <x:c r="K201" s="17" t="n">
        <x:f>ROUND(J201*'Costing'!$C$4,2)</x:f>
        <x:v>7892.64</x:v>
      </x:c>
      <x:c r="L201" s="17" t="n">
        <x:f>J201+K201</x:f>
        <x:v>51740.64</x:v>
      </x:c>
      <x:c r="M201" s="13" t="n">
        <x:v>22.56651496887207</x:v>
      </x:c>
      <x:c r="N201" s="13" t="n">
        <x:v>88.45740509033203</x:v>
      </x:c>
      <x:c r="O201" s="2" t="str">
        <x:v>https://www.google.com/maps?q=22.56651496887207,88.45740509033203</x:v>
      </x:c>
      <x:c r="P201" s="2" t="str">
        <x:v>CORP-0275, CORP-0276, CORP-0280, CORP-0281, CORP-0282, CORP-0283</x:v>
      </x:c>
    </x:row>
    <x:row r="202" ht="42" customHeight="1">
      <x:c r="A202" s="10" t="n">
        <x:v>0</x:v>
      </x:c>
      <x:c r="B202" s="12" t="str">
        <x:v>MSRFKY08</x:v>
      </x:c>
      <x:c r="C202" s="2" t="str">
        <x:v>Kolkata</x:v>
      </x:c>
      <x:c r="D202" s="12" t="str">
        <x:v>Sankalpa 2</x:v>
      </x:c>
      <x:c r="E202" s="12" t="str">
        <x:v>New Town</x:v>
      </x:c>
      <x:c r="F202" s="2" t="n">
        <x:v>6</x:v>
      </x:c>
      <x:c r="G202" s="2" t="n">
        <x:v>228</x:v>
      </x:c>
      <x:c r="H202" s="21" t="n">
        <x:v>2.39</x:v>
      </x:c>
      <x:c r="I202" s="21" t="n">
        <x:v>2.358</x:v>
      </x:c>
      <x:c r="J202" s="17" t="n">
        <x:f>F202*'Costing'!$H$4</x:f>
        <x:v>9072</x:v>
      </x:c>
      <x:c r="K202" s="17" t="n">
        <x:f>ROUND(J202*'Costing'!$C$4,2)</x:f>
        <x:v>1632.96</x:v>
      </x:c>
      <x:c r="L202" s="17" t="n">
        <x:f>J202+K202</x:f>
        <x:v>10704.96</x:v>
      </x:c>
      <x:c r="M202" s="13" t="n">
        <x:v>22.580536</x:v>
      </x:c>
      <x:c r="N202" s="13" t="n">
        <x:v>88.465973</x:v>
      </x:c>
      <x:c r="O202" s="2" t="str">
        <x:v>https://www.google.com/maps?q=22.580536,88.465973</x:v>
      </x:c>
      <x:c r="P202" s="2" t="str">
        <x:v>CORP-0277, CORP-0278</x:v>
      </x:c>
    </x:row>
    <x:row r="203" ht="42" customHeight="1">
      <x:c r="A203" s="10" t="n">
        <x:v>0</x:v>
      </x:c>
      <x:c r="B203" s="12" t="str">
        <x:v>MSPDPTK5</x:v>
      </x:c>
      <x:c r="C203" s="2" t="str">
        <x:v>Kolkata</x:v>
      </x:c>
      <x:c r="D203" s="12" t="str">
        <x:v>Sunrise Heights</x:v>
      </x:c>
      <x:c r="E203" s="12" t="str">
        <x:v>Tangra</x:v>
      </x:c>
      <x:c r="F203" s="2" t="n">
        <x:v>4</x:v>
      </x:c>
      <x:c r="G203" s="2" t="n">
        <x:v>110</x:v>
      </x:c>
      <x:c r="H203" s="21" t="n">
        <x:v>5.5</x:v>
      </x:c>
      <x:c r="I203" s="21" t="n">
        <x:v>2.832</x:v>
      </x:c>
      <x:c r="J203" s="17" t="n">
        <x:f>F203*'Costing'!$H$4</x:f>
        <x:v>6048</x:v>
      </x:c>
      <x:c r="K203" s="17" t="n">
        <x:f>ROUND(J203*'Costing'!$C$4,2)</x:f>
        <x:v>1088.64</x:v>
      </x:c>
      <x:c r="L203" s="17" t="n">
        <x:f>J203+K203</x:f>
        <x:v>7136.64</x:v>
      </x:c>
      <x:c r="M203" s="13" t="n">
        <x:v>22.566567</x:v>
      </x:c>
      <x:c r="N203" s="13" t="n">
        <x:v>88.379218</x:v>
      </x:c>
      <x:c r="O203" s="2" t="str">
        <x:v>https://www.google.com/maps?q=22.566567,88.379218</x:v>
      </x:c>
      <x:c r="P203" s="2" t="str">
        <x:v>CORP-0279</x:v>
      </x:c>
    </x:row>
    <x:row r="204" ht="42" customHeight="1">
      <x:c r="A204" s="10" t="n">
        <x:v>0</x:v>
      </x:c>
      <x:c r="B204" s="12" t="str">
        <x:v>MS1SRGM8</x:v>
      </x:c>
      <x:c r="C204" s="2" t="str">
        <x:v>Kolkata</x:v>
      </x:c>
      <x:c r="D204" s="12" t="str">
        <x:v>Topsia Sunflower</x:v>
      </x:c>
      <x:c r="E204" s="12" t="str">
        <x:v>Tangra</x:v>
      </x:c>
      <x:c r="F204" s="2" t="n">
        <x:v>4</x:v>
      </x:c>
      <x:c r="G204" s="2" t="n">
        <x:v>182</x:v>
      </x:c>
      <x:c r="H204" s="21" t="n">
        <x:v>3</x:v>
      </x:c>
      <x:c r="I204" s="21" t="n">
        <x:v>2.931</x:v>
      </x:c>
      <x:c r="J204" s="17" t="n">
        <x:f>F204*'Costing'!$H$4</x:f>
        <x:v>6048</x:v>
      </x:c>
      <x:c r="K204" s="17" t="n">
        <x:f>ROUND(J204*'Costing'!$C$4,2)</x:f>
        <x:v>1088.64</x:v>
      </x:c>
      <x:c r="L204" s="17" t="n">
        <x:f>J204+K204</x:f>
        <x:v>7136.64</x:v>
      </x:c>
      <x:c r="M204" s="13" t="n">
        <x:v>22.540788650512695</x:v>
      </x:c>
      <x:c r="N204" s="13" t="n">
        <x:v>88.38634490966797</x:v>
      </x:c>
      <x:c r="O204" s="2" t="str">
        <x:v>https://www.google.com/maps?q=22.540788650512695,88.38634490966797</x:v>
      </x:c>
      <x:c r="P204" s="2" t="str">
        <x:v>CORP-0274</x:v>
      </x:c>
    </x:row>
    <x:row r="205" ht="42" customHeight="1">
      <x:c r="A205" s="10" t="n">
        <x:v>0</x:v>
      </x:c>
      <x:c r="B205" s="12" t="str">
        <x:v>MS72FDDG</x:v>
      </x:c>
      <x:c r="C205" s="2" t="str">
        <x:v>Kolkata</x:v>
      </x:c>
      <x:c r="D205" s="12" t="str">
        <x:v>Udita Homes</x:v>
      </x:c>
      <x:c r="E205" s="12" t="str">
        <x:v>Santoshpur</x:v>
      </x:c>
      <x:c r="F205" s="2" t="n">
        <x:v>21</x:v>
      </x:c>
      <x:c r="G205" s="2" t="n">
        <x:v>1600</x:v>
      </x:c>
      <x:c r="H205" s="21" t="n">
        <x:v>2.8</x:v>
      </x:c>
      <x:c r="I205" s="21" t="n">
        <x:v>2.943</x:v>
      </x:c>
      <x:c r="J205" s="17" t="n">
        <x:f>F205*'Costing'!$H$4</x:f>
        <x:v>31752</x:v>
      </x:c>
      <x:c r="K205" s="17" t="n">
        <x:f>ROUND(J205*'Costing'!$C$4,2)</x:f>
        <x:v>5715.36</x:v>
      </x:c>
      <x:c r="L205" s="17" t="n">
        <x:f>J205+K205</x:f>
        <x:v>37467.36</x:v>
      </x:c>
      <x:c r="M205" s="13" t="n">
        <x:v>22.48878288269043</x:v>
      </x:c>
      <x:c r="N205" s="13" t="n">
        <x:v>88.39383697509766</x:v>
      </x:c>
      <x:c r="O205" s="2" t="str">
        <x:v>https://www.google.com/maps?q=22.48878288269043,88.39383697509766</x:v>
      </x:c>
      <x:c r="P205" s="2" t="str">
        <x:v>CORP-0274</x:v>
      </x:c>
    </x:row>
    <x:row r="206" ht="42" customHeight="1">
      <x:c r="A206" s="10" t="n">
        <x:v>0</x:v>
      </x:c>
      <x:c r="B206" s="12" t="str">
        <x:v>MSPKVPQE</x:v>
      </x:c>
      <x:c r="C206" s="2" t="str">
        <x:v>Kolkata</x:v>
      </x:c>
      <x:c r="D206" s="12" t="str">
        <x:v>Vivek Vihar Phase 2</x:v>
      </x:c>
      <x:c r="E206" s="12" t="str">
        <x:v>Shibpur</x:v>
      </x:c>
      <x:c r="F206" s="2" t="n">
        <x:v>4</x:v>
      </x:c>
      <x:c r="G206" s="2" t="n">
        <x:v>125</x:v>
      </x:c>
      <x:c r="H206" s="21" t="n">
        <x:v>5.5</x:v>
      </x:c>
      <x:c r="I206" s="21" t="n">
        <x:v>2.577</x:v>
      </x:c>
      <x:c r="J206" s="17" t="n">
        <x:f>F206*'Costing'!$H$4</x:f>
        <x:v>6048</x:v>
      </x:c>
      <x:c r="K206" s="17" t="n">
        <x:f>ROUND(J206*'Costing'!$C$4,2)</x:f>
        <x:v>1088.64</x:v>
      </x:c>
      <x:c r="L206" s="17" t="n">
        <x:f>J206+K206</x:f>
        <x:v>7136.64</x:v>
      </x:c>
      <x:c r="M206" s="13" t="n">
        <x:v>22.57546043395996</x:v>
      </x:c>
      <x:c r="N206" s="13" t="n">
        <x:v>88.32976531982422</x:v>
      </x:c>
      <x:c r="O206" s="2" t="str">
        <x:v>https://www.google.com/maps?q=22.57546043395996,88.32976531982422</x:v>
      </x:c>
      <x:c r="P206" s="2" t="str">
        <x:v>CORP-0279</x:v>
      </x:c>
    </x:row>
    <x:row r="207" ht="42" customHeight="1">
      <x:c r="A207" s="10" t="n">
        <x:v>0</x:v>
      </x:c>
      <x:c r="B207" s="12" t="str">
        <x:v>MSHQWJRF</x:v>
      </x:c>
      <x:c r="C207" s="2" t="str">
        <x:v>Kolkata</x:v>
      </x:c>
      <x:c r="D207" s="12" t="str">
        <x:v>Zen Apartments</x:v>
      </x:c>
      <x:c r="E207" s="12" t="str">
        <x:v>Topsia</x:v>
      </x:c>
      <x:c r="F207" s="2" t="n">
        <x:v>8</x:v>
      </x:c>
      <x:c r="G207" s="2" t="n">
        <x:v>117</x:v>
      </x:c>
      <x:c r="H207" s="21" t="n">
        <x:v>5.79</x:v>
      </x:c>
      <x:c r="I207" s="21" t="n">
        <x:v>3.246</x:v>
      </x:c>
      <x:c r="J207" s="17" t="n">
        <x:f>F207*'Costing'!$H$4</x:f>
        <x:v>12096</x:v>
      </x:c>
      <x:c r="K207" s="17" t="n">
        <x:f>ROUND(J207*'Costing'!$C$4,2)</x:f>
        <x:v>2177.28</x:v>
      </x:c>
      <x:c r="L207" s="17" t="n">
        <x:f>J207+K207</x:f>
        <x:v>14273.28</x:v>
      </x:c>
      <x:c r="M207" s="13" t="n">
        <x:v>22.54387855529785</x:v>
      </x:c>
      <x:c r="N207" s="13" t="n">
        <x:v>88.3872299194336</x:v>
      </x:c>
      <x:c r="O207" s="2" t="str">
        <x:v>https://www.google.com/maps?q=22.54387855529785,88.3872299194336</x:v>
      </x:c>
      <x:c r="P207" s="2" t="str">
        <x:v>CORP-0274</x:v>
      </x:c>
    </x:row>
    <x:row r="208" ht="42" customHeight="1">
      <x:c r="A208" s="10" t="n">
        <x:v>0</x:v>
      </x:c>
      <x:c r="B208" s="12" t="str">
        <x:v>MSG3XY9P</x:v>
      </x:c>
      <x:c r="C208" s="2" t="str">
        <x:v>Lucknow</x:v>
      </x:c>
      <x:c r="D208" s="12" t="str">
        <x:v>Rohit Residency</x:v>
      </x:c>
      <x:c r="E208" s="12" t="str">
        <x:v>Gomti Nagar</x:v>
      </x:c>
      <x:c r="F208" s="2" t="n">
        <x:v>6</x:v>
      </x:c>
      <x:c r="G208" s="2" t="n">
        <x:v>112</x:v>
      </x:c>
      <x:c r="H208" s="21" t="n">
        <x:v>2.25</x:v>
      </x:c>
      <x:c r="I208" s="21" t="n">
        <x:v>1.985</x:v>
      </x:c>
      <x:c r="J208" s="17" t="n">
        <x:f>F208*'Costing'!$H$4</x:f>
        <x:v>9072</x:v>
      </x:c>
      <x:c r="K208" s="17" t="n">
        <x:f>ROUND(J208*'Costing'!$C$4,2)</x:f>
        <x:v>1632.96</x:v>
      </x:c>
      <x:c r="L208" s="17" t="n">
        <x:f>J208+K208</x:f>
        <x:v>10704.96</x:v>
      </x:c>
      <x:c r="M208" s="13" t="n">
        <x:v>26.859121322631836</x:v>
      </x:c>
      <x:c r="N208" s="13" t="n">
        <x:v>81.02826690673828</x:v>
      </x:c>
      <x:c r="O208" s="2" t="str">
        <x:v>https://www.google.com/maps?q=26.859121322631836,81.02826690673828</x:v>
      </x:c>
      <x:c r="P208" s="2" t="str">
        <x:v>CORP-0284, CORP-0285, CORP-0286, CORP-0287, CORP-0288</x:v>
      </x:c>
    </x:row>
    <x:row r="209" ht="42" customHeight="1">
      <x:c r="A209" s="10" t="n">
        <x:v>0</x:v>
      </x:c>
      <x:c r="B209" s="12" t="str">
        <x:v>MS4HCRG0</x:v>
      </x:c>
      <x:c r="C209" s="2" t="str">
        <x:v>Lucknow</x:v>
      </x:c>
      <x:c r="D209" s="12" t="str">
        <x:v>Rohtas Plumeria</x:v>
      </x:c>
      <x:c r="E209" s="12" t="str">
        <x:v>Gomti Nagar</x:v>
      </x:c>
      <x:c r="F209" s="2" t="n">
        <x:v>13</x:v>
      </x:c>
      <x:c r="G209" s="2" t="n">
        <x:v>600</x:v>
      </x:c>
      <x:c r="H209" s="21" t="n">
        <x:v>2.16</x:v>
      </x:c>
      <x:c r="I209" s="21" t="n">
        <x:v>0.186</x:v>
      </x:c>
      <x:c r="J209" s="17" t="n">
        <x:f>F209*'Costing'!$H$4</x:f>
        <x:v>19656</x:v>
      </x:c>
      <x:c r="K209" s="17" t="n">
        <x:f>ROUND(J209*'Costing'!$C$4,2)</x:f>
        <x:v>3538.08</x:v>
      </x:c>
      <x:c r="L209" s="17" t="n">
        <x:f>J209+K209</x:f>
        <x:v>23194.08</x:v>
      </x:c>
      <x:c r="M209" s="13" t="n">
        <x:v>26.86624</x:v>
      </x:c>
      <x:c r="N209" s="13" t="n">
        <x:v>81.01008</x:v>
      </x:c>
      <x:c r="O209" s="2" t="str">
        <x:v>https://www.google.com/maps?q=26.86624,81.01008</x:v>
      </x:c>
      <x:c r="P209" s="2" t="str">
        <x:v>CORP-0284, CORP-0285, CORP-0286, CORP-0287, CORP-0288</x:v>
      </x:c>
    </x:row>
    <x:row r="210" ht="42" customHeight="1">
      <x:c r="A210" s="10" t="n">
        <x:v>0</x:v>
      </x:c>
      <x:c r="B210" s="12" t="str">
        <x:v>MSB6DA1Y, MSPKF9W9</x:v>
      </x:c>
      <x:c r="C210" s="2" t="str">
        <x:v>Lucknow</x:v>
      </x:c>
      <x:c r="D210" s="12" t="str">
        <x:v>Rohtas Presidential Towers</x:v>
      </x:c>
      <x:c r="E210" s="12" t="str">
        <x:v>Vibhuti Khand</x:v>
      </x:c>
      <x:c r="F210" s="2" t="n">
        <x:v>10</x:v>
      </x:c>
      <x:c r="G210" s="2" t="n">
        <x:v>175</x:v>
      </x:c>
      <x:c r="H210" s="21" t="n">
        <x:v>3.15</x:v>
      </x:c>
      <x:c r="I210" s="21" t="n">
        <x:v>0.128</x:v>
      </x:c>
      <x:c r="J210" s="17" t="n">
        <x:f>F210*'Costing'!$H$4</x:f>
        <x:v>15120</x:v>
      </x:c>
      <x:c r="K210" s="17" t="n">
        <x:f>ROUND(J210*'Costing'!$C$4,2)</x:f>
        <x:v>2721.6</x:v>
      </x:c>
      <x:c r="L210" s="17" t="n">
        <x:f>J210+K210</x:f>
        <x:v>17841.6</x:v>
      </x:c>
      <x:c r="M210" s="13" t="n">
        <x:v>26.86787</x:v>
      </x:c>
      <x:c r="N210" s="13" t="n">
        <x:v>81.007477</x:v>
      </x:c>
      <x:c r="O210" s="2" t="str">
        <x:v>https://www.google.com/maps?q=26.86787,81.007477</x:v>
      </x:c>
      <x:c r="P210" s="2" t="str">
        <x:v>CORP-0284, CORP-0285, CORP-0286, CORP-0287, CORP-0288</x:v>
      </x:c>
    </x:row>
    <x:row r="211" ht="42" customHeight="1">
      <x:c r="A211" s="10" t="n">
        <x:v>0</x:v>
      </x:c>
      <x:c r="B211" s="12" t="str">
        <x:v>MSA5FGQH</x:v>
      </x:c>
      <x:c r="C211" s="2" t="str">
        <x:v>Mumbai</x:v>
      </x:c>
      <x:c r="D211" s="12" t="str">
        <x:v>Aafiyah Heights Chsl</x:v>
      </x:c>
      <x:c r="E211" s="12" t="str">
        <x:v>Byculla</x:v>
      </x:c>
      <x:c r="F211" s="2" t="n">
        <x:v>6</x:v>
      </x:c>
      <x:c r="G211" s="2" t="n">
        <x:v>306</x:v>
      </x:c>
      <x:c r="H211" s="21" t="n">
        <x:v>3.5</x:v>
      </x:c>
      <x:c r="I211" s="21" t="n">
        <x:v>4.306</x:v>
      </x:c>
      <x:c r="J211" s="17" t="n">
        <x:f>F211*'Costing'!$H$4</x:f>
        <x:v>9072</x:v>
      </x:c>
      <x:c r="K211" s="17" t="n">
        <x:f>ROUND(J211*'Costing'!$C$4,2)</x:f>
        <x:v>1632.96</x:v>
      </x:c>
      <x:c r="L211" s="17" t="n">
        <x:f>J211+K211</x:f>
        <x:v>10704.96</x:v>
      </x:c>
      <x:c r="M211" s="13" t="n">
        <x:v>18.965406</x:v>
      </x:c>
      <x:c r="N211" s="13" t="n">
        <x:v>72.831354</x:v>
      </x:c>
      <x:c r="O211" s="2" t="str">
        <x:v>https://www.google.com/maps?q=18.965406,72.831354</x:v>
      </x:c>
      <x:c r="P211" s="2" t="str">
        <x:v>CORP-0350</x:v>
      </x:c>
    </x:row>
    <x:row r="212" ht="42" customHeight="1">
      <x:c r="A212" s="10" t="n">
        <x:v>0</x:v>
      </x:c>
      <x:c r="B212" s="12" t="str">
        <x:v>MS5AVWTS</x:v>
      </x:c>
      <x:c r="C212" s="2" t="str">
        <x:v>Mumbai</x:v>
      </x:c>
      <x:c r="D212" s="12" t="str">
        <x:v>Aaradhya Nine</x:v>
      </x:c>
      <x:c r="E212" s="12" t="str">
        <x:v>Ghatkopar</x:v>
      </x:c>
      <x:c r="F212" s="2" t="n">
        <x:v>6</x:v>
      </x:c>
      <x:c r="G212" s="2" t="n">
        <x:v>133</x:v>
      </x:c>
      <x:c r="H212" s="21" t="n">
        <x:v>3.5</x:v>
      </x:c>
      <x:c r="I212" s="21" t="n">
        <x:v>1.814</x:v>
      </x:c>
      <x:c r="J212" s="17" t="n">
        <x:f>F212*'Costing'!$H$4</x:f>
        <x:v>9072</x:v>
      </x:c>
      <x:c r="K212" s="17" t="n">
        <x:f>ROUND(J212*'Costing'!$C$4,2)</x:f>
        <x:v>1632.96</x:v>
      </x:c>
      <x:c r="L212" s="17" t="n">
        <x:f>J212+K212</x:f>
        <x:v>10704.96</x:v>
      </x:c>
      <x:c r="M212" s="13" t="n">
        <x:v>19.08307</x:v>
      </x:c>
      <x:c r="N212" s="13" t="n">
        <x:v>72.915113</x:v>
      </x:c>
      <x:c r="O212" s="2" t="str">
        <x:v>https://www.google.com/maps?q=19.08307,72.915113</x:v>
      </x:c>
      <x:c r="P212" s="2" t="str">
        <x:v>CORP-0299</x:v>
      </x:c>
    </x:row>
    <x:row r="213" ht="42" customHeight="1">
      <x:c r="A213" s="10" t="n">
        <x:v>0</x:v>
      </x:c>
      <x:c r="B213" s="12" t="str">
        <x:v>MSEF9RR4</x:v>
      </x:c>
      <x:c r="C213" s="2" t="str">
        <x:v>Mumbai</x:v>
      </x:c>
      <x:c r="D213" s="12" t="str">
        <x:v>Ashok Nagar Bldg 1 Chsl</x:v>
      </x:c>
      <x:c r="E213" s="12" t="str">
        <x:v>Andheri</x:v>
      </x:c>
      <x:c r="F213" s="2" t="n">
        <x:v>5</x:v>
      </x:c>
      <x:c r="G213" s="2" t="n">
        <x:v>448</x:v>
      </x:c>
      <x:c r="H213" s="21" t="n">
        <x:v>3.5</x:v>
      </x:c>
      <x:c r="I213" s="21" t="n">
        <x:v>0.857</x:v>
      </x:c>
      <x:c r="J213" s="17" t="n">
        <x:f>F213*'Costing'!$H$4</x:f>
        <x:v>7560</x:v>
      </x:c>
      <x:c r="K213" s="17" t="n">
        <x:f>ROUND(J213*'Costing'!$C$4,2)</x:f>
        <x:v>1360.8</x:v>
      </x:c>
      <x:c r="L213" s="17" t="n">
        <x:f>J213+K213</x:f>
        <x:v>8920.8</x:v>
      </x:c>
      <x:c r="M213" s="13" t="n">
        <x:v>19.1178152</x:v>
      </x:c>
      <x:c r="N213" s="13" t="n">
        <x:v>72.88623507</x:v>
      </x:c>
      <x:c r="O213" s="2" t="str">
        <x:v>https://www.google.com/maps?q=19.1178152,72.88623507</x:v>
      </x:c>
      <x:c r="P213" s="2" t="str">
        <x:v>CORP-0312, CORP-0324, CORP-0348, CORP-0353</x:v>
      </x:c>
    </x:row>
    <x:row r="214" ht="42" customHeight="1">
      <x:c r="A214" s="10" t="n">
        <x:v>0</x:v>
      </x:c>
      <x:c r="B214" s="12" t="str">
        <x:v>MS2TVWAV</x:v>
      </x:c>
      <x:c r="C214" s="2" t="str">
        <x:v>Mumbai</x:v>
      </x:c>
      <x:c r="D214" s="12" t="str">
        <x:v>Ashwath Chsl</x:v>
      </x:c>
      <x:c r="E214" s="12" t="str">
        <x:v>Sion</x:v>
      </x:c>
      <x:c r="F214" s="2" t="n">
        <x:v>4</x:v>
      </x:c>
      <x:c r="G214" s="2" t="n">
        <x:v>170</x:v>
      </x:c>
      <x:c r="H214" s="21" t="n">
        <x:v>5.49</x:v>
      </x:c>
      <x:c r="I214" s="21" t="n">
        <x:v>1.853</x:v>
      </x:c>
      <x:c r="J214" s="17" t="n">
        <x:f>F214*'Costing'!$H$4</x:f>
        <x:v>6048</x:v>
      </x:c>
      <x:c r="K214" s="17" t="n">
        <x:f>ROUND(J214*'Costing'!$C$4,2)</x:f>
        <x:v>1088.64</x:v>
      </x:c>
      <x:c r="L214" s="17" t="n">
        <x:f>J214+K214</x:f>
        <x:v>7136.64</x:v>
      </x:c>
      <x:c r="M214" s="13" t="n">
        <x:v>19.04220325</x:v>
      </x:c>
      <x:c r="N214" s="13" t="n">
        <x:v>72.87003612</x:v>
      </x:c>
      <x:c r="O214" s="2" t="str">
        <x:v>https://www.google.com/maps?q=19.04220325,72.87003612</x:v>
      </x:c>
      <x:c r="P214" s="2" t="str">
        <x:v>CORP-0291, CORP-0319, CORP-0321, CORP-0349</x:v>
      </x:c>
    </x:row>
    <x:row r="215" ht="42" customHeight="1">
      <x:c r="A215" s="10" t="n">
        <x:v>0</x:v>
      </x:c>
      <x:c r="B215" s="12" t="str">
        <x:v>MSYV4QGB</x:v>
      </x:c>
      <x:c r="C215" s="2" t="str">
        <x:v>Mumbai</x:v>
      </x:c>
      <x:c r="D215" s="12" t="str">
        <x:v>Avanti Niketan Chsl</x:v>
      </x:c>
      <x:c r="E215" s="12" t="str">
        <x:v>Sion</x:v>
      </x:c>
      <x:c r="F215" s="2" t="n">
        <x:v>5</x:v>
      </x:c>
      <x:c r="G215" s="2" t="n">
        <x:v>144</x:v>
      </x:c>
      <x:c r="H215" s="21" t="n">
        <x:v>5.49</x:v>
      </x:c>
      <x:c r="I215" s="21" t="n">
        <x:v>1.973</x:v>
      </x:c>
      <x:c r="J215" s="17" t="n">
        <x:f>F215*'Costing'!$H$4</x:f>
        <x:v>7560</x:v>
      </x:c>
      <x:c r="K215" s="17" t="n">
        <x:f>ROUND(J215*'Costing'!$C$4,2)</x:f>
        <x:v>1360.8</x:v>
      </x:c>
      <x:c r="L215" s="17" t="n">
        <x:f>J215+K215</x:f>
        <x:v>8920.8</x:v>
      </x:c>
      <x:c r="M215" s="13" t="n">
        <x:v>19.03041</x:v>
      </x:c>
      <x:c r="N215" s="13" t="n">
        <x:v>72.85999</x:v>
      </x:c>
      <x:c r="O215" s="2" t="str">
        <x:v>https://www.google.com/maps?q=19.03041,72.85999</x:v>
      </x:c>
      <x:c r="P215" s="2" t="str">
        <x:v>CORP-0298</x:v>
      </x:c>
    </x:row>
    <x:row r="216" ht="42" customHeight="1">
      <x:c r="A216" s="10" t="n">
        <x:v>0</x:v>
      </x:c>
      <x:c r="B216" s="12" t="str">
        <x:v>MSQ298XD, MSTYJ5B6</x:v>
      </x:c>
      <x:c r="C216" s="2" t="str">
        <x:v>Mumbai</x:v>
      </x:c>
      <x:c r="D216" s="12" t="str">
        <x:v>Belair</x:v>
      </x:c>
      <x:c r="E216" s="12" t="str">
        <x:v>Andheri</x:v>
      </x:c>
      <x:c r="F216" s="2" t="n">
        <x:v>20</x:v>
      </x:c>
      <x:c r="G216" s="2" t="n">
        <x:v>635</x:v>
      </x:c>
      <x:c r="H216" s="21" t="n">
        <x:v>4.5</x:v>
      </x:c>
      <x:c r="I216" s="21" t="n">
        <x:v>1.075</x:v>
      </x:c>
      <x:c r="J216" s="17" t="n">
        <x:f>F216*'Costing'!$H$4</x:f>
        <x:v>30240</x:v>
      </x:c>
      <x:c r="K216" s="17" t="n">
        <x:f>ROUND(J216*'Costing'!$C$4,2)</x:f>
        <x:v>5443.2</x:v>
      </x:c>
      <x:c r="L216" s="17" t="n">
        <x:f>J216+K216</x:f>
        <x:v>35683.2</x:v>
      </x:c>
      <x:c r="M216" s="13" t="n">
        <x:v>19.14188</x:v>
      </x:c>
      <x:c r="N216" s="13" t="n">
        <x:v>72.84484</x:v>
      </x:c>
      <x:c r="O216" s="2" t="str">
        <x:v>https://www.google.com/maps?q=19.14188,72.84484</x:v>
      </x:c>
      <x:c r="P216" s="2" t="str">
        <x:v>CORP-0297, CORP-0305, CORP-0326, CORP-0351</x:v>
      </x:c>
    </x:row>
    <x:row r="217" ht="42" customHeight="1">
      <x:c r="A217" s="10" t="n">
        <x:v>0</x:v>
      </x:c>
      <x:c r="B217" s="12" t="str">
        <x:v>MSE7VCCJ</x:v>
      </x:c>
      <x:c r="C217" s="2" t="str">
        <x:v>Mumbai</x:v>
      </x:c>
      <x:c r="D217" s="12" t="str">
        <x:v>Bhagwati Eleganza</x:v>
      </x:c>
      <x:c r="E217" s="12" t="str">
        <x:v>Ghansoli</x:v>
      </x:c>
      <x:c r="F217" s="2" t="n">
        <x:v>16</x:v>
      </x:c>
      <x:c r="G217" s="2" t="n">
        <x:v>284</x:v>
      </x:c>
      <x:c r="H217" s="21" t="n">
        <x:v>3.4</x:v>
      </x:c>
      <x:c r="I217" s="21" t="n">
        <x:v>4.607</x:v>
      </x:c>
      <x:c r="J217" s="17" t="n">
        <x:f>F217*'Costing'!$H$4</x:f>
        <x:v>24192</x:v>
      </x:c>
      <x:c r="K217" s="17" t="n">
        <x:f>ROUND(J217*'Costing'!$C$4,2)</x:f>
        <x:v>4354.56</x:v>
      </x:c>
      <x:c r="L217" s="17" t="n">
        <x:f>J217+K217</x:f>
        <x:v>28546.56</x:v>
      </x:c>
      <x:c r="M217" s="13" t="n">
        <x:v>19.12154</x:v>
      </x:c>
      <x:c r="N217" s="13" t="n">
        <x:v>72.99209</x:v>
      </x:c>
      <x:c r="O217" s="2" t="str">
        <x:v>https://www.google.com/maps?q=19.12154,72.99209</x:v>
      </x:c>
      <x:c r="P217" s="2" t="str">
        <x:v>CORP-0333</x:v>
      </x:c>
    </x:row>
    <x:row r="218" ht="42" customHeight="1">
      <x:c r="A218" s="10" t="n">
        <x:v>0</x:v>
      </x:c>
      <x:c r="B218" s="12" t="str">
        <x:v>MSS293PA</x:v>
      </x:c>
      <x:c r="C218" s="2" t="str">
        <x:v>Mumbai</x:v>
      </x:c>
      <x:c r="D218" s="12" t="str">
        <x:v>Bismillah West View</x:v>
      </x:c>
      <x:c r="E218" s="12" t="str">
        <x:v>Byculla</x:v>
      </x:c>
      <x:c r="F218" s="2" t="n">
        <x:v>4</x:v>
      </x:c>
      <x:c r="G218" s="2" t="n">
        <x:v>131</x:v>
      </x:c>
      <x:c r="H218" s="21" t="n">
        <x:v>4.8</x:v>
      </x:c>
      <x:c r="I218" s="21" t="n">
        <x:v>4.18</x:v>
      </x:c>
      <x:c r="J218" s="17" t="n">
        <x:f>F218*'Costing'!$H$4</x:f>
        <x:v>6048</x:v>
      </x:c>
      <x:c r="K218" s="17" t="n">
        <x:f>ROUND(J218*'Costing'!$C$4,2)</x:f>
        <x:v>1088.64</x:v>
      </x:c>
      <x:c r="L218" s="17" t="n">
        <x:f>J218+K218</x:f>
        <x:v>7136.64</x:v>
      </x:c>
      <x:c r="M218" s="13" t="n">
        <x:v>18.96434</x:v>
      </x:c>
      <x:c r="N218" s="13" t="n">
        <x:v>72.83092</x:v>
      </x:c>
      <x:c r="O218" s="2" t="str">
        <x:v>https://www.google.com/maps?q=18.96434,72.83092</x:v>
      </x:c>
      <x:c r="P218" s="2" t="str">
        <x:v>CORP-0350</x:v>
      </x:c>
    </x:row>
    <x:row r="219" ht="42" customHeight="1">
      <x:c r="A219" s="10" t="n">
        <x:v>0</x:v>
      </x:c>
      <x:c r="B219" s="12" t="str">
        <x:v>MS3P2SBD</x:v>
      </x:c>
      <x:c r="C219" s="2" t="str">
        <x:v>Mumbai</x:v>
      </x:c>
      <x:c r="D219" s="12" t="str">
        <x:v>Chaurang Chsl</x:v>
      </x:c>
      <x:c r="E219" s="12" t="str">
        <x:v>Sanpada</x:v>
      </x:c>
      <x:c r="F219" s="2" t="n">
        <x:v>6</x:v>
      </x:c>
      <x:c r="G219" s="2" t="n">
        <x:v>129</x:v>
      </x:c>
      <x:c r="H219" s="21" t="n">
        <x:v>3.5</x:v>
      </x:c>
      <x:c r="I219" s="21" t="n">
        <x:v>0.657</x:v>
      </x:c>
      <x:c r="J219" s="17" t="n">
        <x:f>F219*'Costing'!$H$4</x:f>
        <x:v>9072</x:v>
      </x:c>
      <x:c r="K219" s="17" t="n">
        <x:f>ROUND(J219*'Costing'!$C$4,2)</x:f>
        <x:v>1632.96</x:v>
      </x:c>
      <x:c r="L219" s="17" t="n">
        <x:f>J219+K219</x:f>
        <x:v>10704.96</x:v>
      </x:c>
      <x:c r="M219" s="13" t="n">
        <x:v>19.06128</x:v>
      </x:c>
      <x:c r="N219" s="13" t="n">
        <x:v>73.0048</x:v>
      </x:c>
      <x:c r="O219" s="2" t="str">
        <x:v>https://www.google.com/maps?q=19.06128,73.0048</x:v>
      </x:c>
      <x:c r="P219" s="2" t="str">
        <x:v>CORP-0292, CORP-0304, CORP-0308, CORP-0309, CORP-0310, CORP-0337</x:v>
      </x:c>
    </x:row>
    <x:row r="220" ht="42" customHeight="1">
      <x:c r="A220" s="10" t="n">
        <x:v>0</x:v>
      </x:c>
      <x:c r="B220" s="12" t="str">
        <x:v>MSGGAWNY</x:v>
      </x:c>
      <x:c r="C220" s="2" t="str">
        <x:v>Mumbai</x:v>
      </x:c>
      <x:c r="D220" s="12" t="str">
        <x:v>City Of Joy - Delight Chsl</x:v>
      </x:c>
      <x:c r="E220" s="12" t="str">
        <x:v>Mulund</x:v>
      </x:c>
      <x:c r="F220" s="2" t="n">
        <x:v>6</x:v>
      </x:c>
      <x:c r="G220" s="2" t="n">
        <x:v>240</x:v>
      </x:c>
      <x:c r="H220" s="21" t="n">
        <x:v>3</x:v>
      </x:c>
      <x:c r="I220" s="21" t="n">
        <x:v>1.95</x:v>
      </x:c>
      <x:c r="J220" s="17" t="n">
        <x:f>F220*'Costing'!$H$4</x:f>
        <x:v>9072</x:v>
      </x:c>
      <x:c r="K220" s="17" t="n">
        <x:f>ROUND(J220*'Costing'!$C$4,2)</x:f>
        <x:v>1632.96</x:v>
      </x:c>
      <x:c r="L220" s="17" t="n">
        <x:f>J220+K220</x:f>
        <x:v>10704.96</x:v>
      </x:c>
      <x:c r="M220" s="13" t="n">
        <x:v>19.17943572998047</x:v>
      </x:c>
      <x:c r="N220" s="13" t="n">
        <x:v>72.95843505859375</x:v>
      </x:c>
      <x:c r="O220" s="2" t="str">
        <x:v>https://www.google.com/maps?q=19.17943572998047,72.95843505859375</x:v>
      </x:c>
      <x:c r="P220" s="2" t="str">
        <x:v>CORP-0293, CORP-0610, CORP-0611, CORP-0612, CORP-0613, CORP-0294, CORP-0315</x:v>
      </x:c>
    </x:row>
    <x:row r="221" ht="42" customHeight="1">
      <x:c r="A221" s="10" t="n">
        <x:v>0</x:v>
      </x:c>
      <x:c r="B221" s="12" t="str">
        <x:v>MSC1PFJ4</x:v>
      </x:c>
      <x:c r="C221" s="2" t="str">
        <x:v>Mumbai</x:v>
      </x:c>
      <x:c r="D221" s="12" t="str">
        <x:v>City Of Joy - Sparkle Chsl</x:v>
      </x:c>
      <x:c r="E221" s="12" t="str">
        <x:v>Mulund</x:v>
      </x:c>
      <x:c r="F221" s="2" t="n">
        <x:v>4</x:v>
      </x:c>
      <x:c r="G221" s="2" t="n">
        <x:v>240</x:v>
      </x:c>
      <x:c r="H221" s="21" t="n">
        <x:v>3.84</x:v>
      </x:c>
      <x:c r="I221" s="21" t="n">
        <x:v>1.194</x:v>
      </x:c>
      <x:c r="J221" s="17" t="n">
        <x:f>F221*'Costing'!$H$4</x:f>
        <x:v>6048</x:v>
      </x:c>
      <x:c r="K221" s="17" t="n">
        <x:f>ROUND(J221*'Costing'!$C$4,2)</x:f>
        <x:v>1088.64</x:v>
      </x:c>
      <x:c r="L221" s="17" t="n">
        <x:f>J221+K221</x:f>
        <x:v>7136.64</x:v>
      </x:c>
      <x:c r="M221" s="13" t="n">
        <x:v>19.178308486938477</x:v>
      </x:c>
      <x:c r="N221" s="13" t="n">
        <x:v>72.958251953125</x:v>
      </x:c>
      <x:c r="O221" s="2" t="str">
        <x:v>https://www.google.com/maps?q=19.178308486938477,72.958251953125</x:v>
      </x:c>
      <x:c r="P221" s="2" t="str">
        <x:v>CORP-0293, CORP-0610, CORP-0611, CORP-0612, CORP-0613, CORP-0294, CORP-0306, CORP-0307, CORP-0313, CORP-0315, CORP-0334</x:v>
      </x:c>
    </x:row>
    <x:row r="222" ht="42" customHeight="1">
      <x:c r="A222" s="10" t="n">
        <x:v>0</x:v>
      </x:c>
      <x:c r="B222" s="12" t="str">
        <x:v>MSJ94AJW</x:v>
      </x:c>
      <x:c r="C222" s="2" t="str">
        <x:v>Mumbai</x:v>
      </x:c>
      <x:c r="D222" s="12" t="str">
        <x:v>Courtyard Onyx</x:v>
      </x:c>
      <x:c r="E222" s="12" t="str">
        <x:v>Thane West</x:v>
      </x:c>
      <x:c r="F222" s="2" t="n">
        <x:v>4</x:v>
      </x:c>
      <x:c r="G222" s="2" t="n">
        <x:v>162</x:v>
      </x:c>
      <x:c r="H222" s="21" t="n">
        <x:v>4.29</x:v>
      </x:c>
      <x:c r="I222" s="21" t="n">
        <x:v>1.328</x:v>
      </x:c>
      <x:c r="J222" s="17" t="n">
        <x:f>F222*'Costing'!$H$4</x:f>
        <x:v>6048</x:v>
      </x:c>
      <x:c r="K222" s="17" t="n">
        <x:f>ROUND(J222*'Costing'!$C$4,2)</x:f>
        <x:v>1088.64</x:v>
      </x:c>
      <x:c r="L222" s="17" t="n">
        <x:f>J222+K222</x:f>
        <x:v>7136.64</x:v>
      </x:c>
      <x:c r="M222" s="13" t="n">
        <x:v>19.221696853637695</x:v>
      </x:c>
      <x:c r="N222" s="13" t="n">
        <x:v>72.96484375</x:v>
      </x:c>
      <x:c r="O222" s="2" t="str">
        <x:v>https://www.google.com/maps?q=19.221696853637695,72.96484375</x:v>
      </x:c>
      <x:c r="P222" s="2" t="str">
        <x:v>CORP-0295, CORP-0317</x:v>
      </x:c>
    </x:row>
    <x:row r="223" ht="42" customHeight="1">
      <x:c r="A223" s="10" t="n">
        <x:v>0</x:v>
      </x:c>
      <x:c r="B223" s="12" t="str">
        <x:v>MS1X88GS</x:v>
      </x:c>
      <x:c r="C223" s="2" t="str">
        <x:v>Mumbai</x:v>
      </x:c>
      <x:c r="D223" s="12" t="str">
        <x:v>Devdarshan Complex</x:v>
      </x:c>
      <x:c r="E223" s="12" t="str">
        <x:v>Kharghar</x:v>
      </x:c>
      <x:c r="F223" s="2" t="n">
        <x:v>6</x:v>
      </x:c>
      <x:c r="G223" s="2" t="n">
        <x:v>153</x:v>
      </x:c>
      <x:c r="H223" s="21" t="n">
        <x:v>2.54</x:v>
      </x:c>
      <x:c r="I223" s="21" t="n">
        <x:v>0.607</x:v>
      </x:c>
      <x:c r="J223" s="17" t="n">
        <x:f>F223*'Costing'!$H$4</x:f>
        <x:v>9072</x:v>
      </x:c>
      <x:c r="K223" s="17" t="n">
        <x:f>ROUND(J223*'Costing'!$C$4,2)</x:f>
        <x:v>1632.96</x:v>
      </x:c>
      <x:c r="L223" s="17" t="n">
        <x:f>J223+K223</x:f>
        <x:v>10704.96</x:v>
      </x:c>
      <x:c r="M223" s="13" t="n">
        <x:v>19.04768</x:v>
      </x:c>
      <x:c r="N223" s="13" t="n">
        <x:v>73.07568</x:v>
      </x:c>
      <x:c r="O223" s="2" t="str">
        <x:v>https://www.google.com/maps?q=19.04768,73.07568</x:v>
      </x:c>
      <x:c r="P223" s="2" t="str">
        <x:v>CORP-0311</x:v>
      </x:c>
    </x:row>
    <x:row r="224" ht="42" customHeight="1">
      <x:c r="A224" s="10" t="n">
        <x:v>0</x:v>
      </x:c>
      <x:c r="B224" s="12" t="str">
        <x:v>MSE67X6A</x:v>
      </x:c>
      <x:c r="C224" s="2" t="str">
        <x:v>Mumbai</x:v>
      </x:c>
      <x:c r="D224" s="12" t="str">
        <x:v>DSK Madhukosh B&amp;C</x:v>
      </x:c>
      <x:c r="E224" s="12" t="str">
        <x:v>Andheri</x:v>
      </x:c>
      <x:c r="F224" s="2" t="n">
        <x:v>4</x:v>
      </x:c>
      <x:c r="G224" s="2" t="n">
        <x:v>130</x:v>
      </x:c>
      <x:c r="H224" s="21" t="n">
        <x:v>5</x:v>
      </x:c>
      <x:c r="I224" s="21" t="n">
        <x:v>0.643</x:v>
      </x:c>
      <x:c r="J224" s="17" t="n">
        <x:f>F224*'Costing'!$H$4</x:f>
        <x:v>6048</x:v>
      </x:c>
      <x:c r="K224" s="17" t="n">
        <x:f>ROUND(J224*'Costing'!$C$4,2)</x:f>
        <x:v>1088.64</x:v>
      </x:c>
      <x:c r="L224" s="17" t="n">
        <x:f>J224+K224</x:f>
        <x:v>7136.64</x:v>
      </x:c>
      <x:c r="M224" s="13" t="n">
        <x:v>19.09766</x:v>
      </x:c>
      <x:c r="N224" s="13" t="n">
        <x:v>72.88564</x:v>
      </x:c>
      <x:c r="O224" s="2" t="str">
        <x:v>https://www.google.com/maps?q=19.09766,72.88564</x:v>
      </x:c>
      <x:c r="P224" s="2" t="str">
        <x:v>CORP-0300, CORP-0312, CORP-0329, CORP-0331, CORP-0339, CORP-0340, CORP-0341, CORP-0342, CORP-0348, CORP-0353</x:v>
      </x:c>
    </x:row>
    <x:row r="225" ht="42" customHeight="1">
      <x:c r="A225" s="10" t="n">
        <x:v>0</x:v>
      </x:c>
      <x:c r="B225" s="12" t="str">
        <x:v>MSSAYAPB</x:v>
      </x:c>
      <x:c r="C225" s="2" t="str">
        <x:v>Mumbai</x:v>
      </x:c>
      <x:c r="D225" s="12" t="str">
        <x:v>Dudhwala Complex</x:v>
      </x:c>
      <x:c r="E225" s="12" t="str">
        <x:v>Byculla</x:v>
      </x:c>
      <x:c r="F225" s="2" t="n">
        <x:v>5</x:v>
      </x:c>
      <x:c r="G225" s="2" t="n">
        <x:v>282</x:v>
      </x:c>
      <x:c r="H225" s="21" t="n">
        <x:v>4.81</x:v>
      </x:c>
      <x:c r="I225" s="21" t="n">
        <x:v>4.564</x:v>
      </x:c>
      <x:c r="J225" s="17" t="n">
        <x:f>F225*'Costing'!$H$4</x:f>
        <x:v>7560</x:v>
      </x:c>
      <x:c r="K225" s="17" t="n">
        <x:f>ROUND(J225*'Costing'!$C$4,2)</x:f>
        <x:v>1360.8</x:v>
      </x:c>
      <x:c r="L225" s="17" t="n">
        <x:f>J225+K225</x:f>
        <x:v>8920.8</x:v>
      </x:c>
      <x:c r="M225" s="13" t="n">
        <x:v>18.96910371447055</x:v>
      </x:c>
      <x:c r="N225" s="13" t="n">
        <x:v>72.82327209264186</x:v>
      </x:c>
      <x:c r="O225" s="2" t="str">
        <x:v>https://www.google.com/maps?q=18.96910371447055,72.82327209264186</x:v>
      </x:c>
      <x:c r="P225" s="2" t="str">
        <x:v>CORP-0350</x:v>
      </x:c>
    </x:row>
    <x:row r="226" ht="42" customHeight="1">
      <x:c r="A226" s="10" t="n">
        <x:v>0</x:v>
      </x:c>
      <x:c r="B226" s="12" t="str">
        <x:v>MS9YTD0A</x:v>
      </x:c>
      <x:c r="C226" s="2" t="str">
        <x:v>Mumbai</x:v>
      </x:c>
      <x:c r="D226" s="12" t="str">
        <x:v>Eden 2 Chsl</x:v>
      </x:c>
      <x:c r="E226" s="12" t="str">
        <x:v>Powai</x:v>
      </x:c>
      <x:c r="F226" s="2" t="n">
        <x:v>4</x:v>
      </x:c>
      <x:c r="G226" s="2" t="n">
        <x:v>144</x:v>
      </x:c>
      <x:c r="H226" s="21" t="n">
        <x:v>4.9</x:v>
      </x:c>
      <x:c r="I226" s="21" t="n">
        <x:v>1.822</x:v>
      </x:c>
      <x:c r="J226" s="17" t="n">
        <x:f>F226*'Costing'!$H$4</x:f>
        <x:v>6048</x:v>
      </x:c>
      <x:c r="K226" s="17" t="n">
        <x:f>ROUND(J226*'Costing'!$C$4,2)</x:f>
        <x:v>1088.64</x:v>
      </x:c>
      <x:c r="L226" s="17" t="n">
        <x:f>J226+K226</x:f>
        <x:v>7136.64</x:v>
      </x:c>
      <x:c r="M226" s="13" t="n">
        <x:v>19.11946694</x:v>
      </x:c>
      <x:c r="N226" s="13" t="n">
        <x:v>72.90939712</x:v>
      </x:c>
      <x:c r="O226" s="2" t="str">
        <x:v>https://www.google.com/maps?q=19.11946694,72.90939712</x:v>
      </x:c>
      <x:c r="P226" s="2" t="str">
        <x:v>CORP-0357</x:v>
      </x:c>
    </x:row>
    <x:row r="227" ht="42" customHeight="1">
      <x:c r="A227" s="10" t="n">
        <x:v>0</x:v>
      </x:c>
      <x:c r="B227" s="12" t="str">
        <x:v>MSVSBPB3</x:v>
      </x:c>
      <x:c r="C227" s="2" t="str">
        <x:v>Mumbai</x:v>
      </x:c>
      <x:c r="D227" s="12" t="str">
        <x:v>Evergreen Chsl</x:v>
      </x:c>
      <x:c r="E227" s="12" t="str">
        <x:v>Patlipada</x:v>
      </x:c>
      <x:c r="F227" s="2" t="n">
        <x:v>4</x:v>
      </x:c>
      <x:c r="G227" s="2" t="n">
        <x:v>130</x:v>
      </x:c>
      <x:c r="H227" s="21" t="n">
        <x:v>2.5</x:v>
      </x:c>
      <x:c r="I227" s="21" t="n">
        <x:v>0.72</x:v>
      </x:c>
      <x:c r="J227" s="17" t="n">
        <x:f>F227*'Costing'!$H$4</x:f>
        <x:v>6048</x:v>
      </x:c>
      <x:c r="K227" s="17" t="n">
        <x:f>ROUND(J227*'Costing'!$C$4,2)</x:f>
        <x:v>1088.64</x:v>
      </x:c>
      <x:c r="L227" s="17" t="n">
        <x:f>J227+K227</x:f>
        <x:v>7136.64</x:v>
      </x:c>
      <x:c r="M227" s="13" t="n">
        <x:v>19.257048</x:v>
      </x:c>
      <x:c r="N227" s="13" t="n">
        <x:v>72.988023</x:v>
      </x:c>
      <x:c r="O227" s="2" t="str">
        <x:v>https://www.google.com/maps?q=19.257048,72.988023</x:v>
      </x:c>
      <x:c r="P227" s="2" t="str">
        <x:v>CORP-0358</x:v>
      </x:c>
    </x:row>
    <x:row r="228" ht="42" customHeight="1">
      <x:c r="A228" s="10" t="n">
        <x:v>0</x:v>
      </x:c>
      <x:c r="B228" s="12" t="str">
        <x:v>MSC6736J</x:v>
      </x:c>
      <x:c r="C228" s="2" t="str">
        <x:v>Mumbai</x:v>
      </x:c>
      <x:c r="D228" s="12" t="str">
        <x:v>Flora CHS</x:v>
      </x:c>
      <x:c r="E228" s="12" t="str">
        <x:v>Kolshet</x:v>
      </x:c>
      <x:c r="F228" s="2" t="n">
        <x:v>9</x:v>
      </x:c>
      <x:c r="G228" s="2" t="n">
        <x:v>189</x:v>
      </x:c>
      <x:c r="H228" s="21" t="n">
        <x:v>2</x:v>
      </x:c>
      <x:c r="I228" s="21" t="n">
        <x:v>0.426</x:v>
      </x:c>
      <x:c r="J228" s="17" t="n">
        <x:f>F228*'Costing'!$H$4</x:f>
        <x:v>13608</x:v>
      </x:c>
      <x:c r="K228" s="17" t="n">
        <x:f>ROUND(J228*'Costing'!$C$4,2)</x:f>
        <x:v>2449.44</x:v>
      </x:c>
      <x:c r="L228" s="17" t="n">
        <x:f>J228+K228</x:f>
        <x:v>16057.44</x:v>
      </x:c>
      <x:c r="M228" s="13" t="n">
        <x:v>19.258258819580078</x:v>
      </x:c>
      <x:c r="N228" s="13" t="n">
        <x:v>72.97979736328125</x:v>
      </x:c>
      <x:c r="O228" s="2" t="str">
        <x:v>https://www.google.com/maps?q=19.258258819580078,72.97979736328125</x:v>
      </x:c>
      <x:c r="P228" s="2" t="str">
        <x:v>CORP-0358</x:v>
      </x:c>
    </x:row>
    <x:row r="229" ht="42" customHeight="1">
      <x:c r="A229" s="10" t="n">
        <x:v>0</x:v>
      </x:c>
      <x:c r="B229" s="12" t="str">
        <x:v>MSX1W9PD</x:v>
      </x:c>
      <x:c r="C229" s="2" t="str">
        <x:v>Mumbai</x:v>
      </x:c>
      <x:c r="D229" s="12" t="str">
        <x:v>JP Deck</x:v>
      </x:c>
      <x:c r="E229" s="12" t="str">
        <x:v>Malad</x:v>
      </x:c>
      <x:c r="F229" s="2" t="n">
        <x:v>13</x:v>
      </x:c>
      <x:c r="G229" s="2" t="n">
        <x:v>375</x:v>
      </x:c>
      <x:c r="H229" s="21" t="n">
        <x:v>7.23</x:v>
      </x:c>
      <x:c r="I229" s="21" t="n">
        <x:v>1.108</x:v>
      </x:c>
      <x:c r="J229" s="17" t="n">
        <x:f>F229*'Costing'!$H$4</x:f>
        <x:v>19656</x:v>
      </x:c>
      <x:c r="K229" s="17" t="n">
        <x:f>ROUND(J229*'Costing'!$C$4,2)</x:f>
        <x:v>3538.08</x:v>
      </x:c>
      <x:c r="L229" s="17" t="n">
        <x:f>J229+K229</x:f>
        <x:v>23194.08</x:v>
      </x:c>
      <x:c r="M229" s="13" t="n">
        <x:v>19.175962448120117</x:v>
      </x:c>
      <x:c r="N229" s="13" t="n">
        <x:v>72.86893463134766</x:v>
      </x:c>
      <x:c r="O229" s="2" t="str">
        <x:v>https://www.google.com/maps?q=19.175962448120117,72.86893463134766</x:v>
      </x:c>
      <x:c r="P229" s="2" t="str">
        <x:v>CORP-0352</x:v>
      </x:c>
    </x:row>
    <x:row r="230" ht="42" customHeight="1">
      <x:c r="A230" s="10" t="n">
        <x:v>0</x:v>
      </x:c>
      <x:c r="B230" s="12" t="str">
        <x:v>MSJFN6AP</x:v>
      </x:c>
      <x:c r="C230" s="2" t="str">
        <x:v>Mumbai</x:v>
      </x:c>
      <x:c r="D230" s="12" t="str">
        <x:v>Kabra Centroid BKC</x:v>
      </x:c>
      <x:c r="E230" s="12" t="str">
        <x:v>Santacruz</x:v>
      </x:c>
      <x:c r="F230" s="2" t="n">
        <x:v>6</x:v>
      </x:c>
      <x:c r="G230" s="2" t="n">
        <x:v>186</x:v>
      </x:c>
      <x:c r="H230" s="21" t="n">
        <x:v>4.5</x:v>
      </x:c>
      <x:c r="I230" s="21" t="n">
        <x:v>1.361</x:v>
      </x:c>
      <x:c r="J230" s="17" t="n">
        <x:f>F230*'Costing'!$H$4</x:f>
        <x:v>9072</x:v>
      </x:c>
      <x:c r="K230" s="17" t="n">
        <x:f>ROUND(J230*'Costing'!$C$4,2)</x:f>
        <x:v>1632.96</x:v>
      </x:c>
      <x:c r="L230" s="17" t="n">
        <x:f>J230+K230</x:f>
        <x:v>10704.96</x:v>
      </x:c>
      <x:c r="M230" s="13" t="n">
        <x:v>19.07479</x:v>
      </x:c>
      <x:c r="N230" s="13" t="n">
        <x:v>72.86749</x:v>
      </x:c>
      <x:c r="O230" s="2" t="str">
        <x:v>https://www.google.com/maps?q=19.07479,72.86749</x:v>
      </x:c>
      <x:c r="P230" s="2" t="str">
        <x:v>CORP-0291, CORP-0319, CORP-0321, CORP-0349</x:v>
      </x:c>
    </x:row>
    <x:row r="231" ht="42" customHeight="1">
      <x:c r="A231" s="10" t="n">
        <x:v>0</x:v>
      </x:c>
      <x:c r="B231" s="12" t="str">
        <x:v>MS21YVWR, MSNPR28V</x:v>
      </x:c>
      <x:c r="C231" s="2" t="str">
        <x:v>Mumbai</x:v>
      </x:c>
      <x:c r="D231" s="12" t="str">
        <x:v>KALPATARU RADIANCE “D” LUMINA</x:v>
      </x:c>
      <x:c r="E231" s="12" t="str">
        <x:v>Goregaon</x:v>
      </x:c>
      <x:c r="F231" s="2" t="n">
        <x:v>9</x:v>
      </x:c>
      <x:c r="G231" s="2" t="n">
        <x:v>185</x:v>
      </x:c>
      <x:c r="H231" s="21" t="n">
        <x:v>12</x:v>
      </x:c>
      <x:c r="I231" s="21" t="n">
        <x:v>1.597</x:v>
      </x:c>
      <x:c r="J231" s="17" t="n">
        <x:f>F231*'Costing'!$H$4</x:f>
        <x:v>13608</x:v>
      </x:c>
      <x:c r="K231" s="17" t="n">
        <x:f>ROUND(J231*'Costing'!$C$4,2)</x:f>
        <x:v>2449.44</x:v>
      </x:c>
      <x:c r="L231" s="17" t="n">
        <x:f>J231+K231</x:f>
        <x:v>16057.44</x:v>
      </x:c>
      <x:c r="M231" s="13" t="n">
        <x:v>19.157182693481445</x:v>
      </x:c>
      <x:c r="N231" s="13" t="n">
        <x:v>72.84122467041016</x:v>
      </x:c>
      <x:c r="O231" s="2" t="str">
        <x:v>https://www.google.com/maps?q=19.157182693481445,72.84122467041016</x:v>
      </x:c>
      <x:c r="P231" s="2" t="str">
        <x:v>CORP-0297, CORP-0305, CORP-0326, CORP-0351</x:v>
      </x:c>
    </x:row>
    <x:row r="232" ht="42" customHeight="1">
      <x:c r="A232" s="10" t="n">
        <x:v>0</x:v>
      </x:c>
      <x:c r="B232" s="12" t="str">
        <x:v>MSF982D7</x:v>
      </x:c>
      <x:c r="C232" s="2" t="str">
        <x:v>Mumbai</x:v>
      </x:c>
      <x:c r="D232" s="12" t="str">
        <x:v>Kalpataru Yashodhan Chsl</x:v>
      </x:c>
      <x:c r="E232" s="12" t="str">
        <x:v>Andheri</x:v>
      </x:c>
      <x:c r="F232" s="2" t="n">
        <x:v>10</x:v>
      </x:c>
      <x:c r="G232" s="2" t="n">
        <x:v>374</x:v>
      </x:c>
      <x:c r="H232" s="21" t="n">
        <x:v>9.36</x:v>
      </x:c>
      <x:c r="I232" s="21" t="n">
        <x:v>0.602</x:v>
      </x:c>
      <x:c r="J232" s="17" t="n">
        <x:f>F232*'Costing'!$H$4</x:f>
        <x:v>15120</x:v>
      </x:c>
      <x:c r="K232" s="17" t="n">
        <x:f>ROUND(J232*'Costing'!$C$4,2)</x:f>
        <x:v>2721.6</x:v>
      </x:c>
      <x:c r="L232" s="17" t="n">
        <x:f>J232+K232</x:f>
        <x:v>17841.6</x:v>
      </x:c>
      <x:c r="M232" s="13" t="n">
        <x:v>19.11219596862793</x:v>
      </x:c>
      <x:c r="N232" s="13" t="n">
        <x:v>72.84176635742188</x:v>
      </x:c>
      <x:c r="O232" s="2" t="str">
        <x:v>https://www.google.com/maps?q=19.11219596862793,72.84176635742188</x:v>
      </x:c>
      <x:c r="P232" s="2" t="str">
        <x:v>CORP-0314, CORP-0328, CORP-0346</x:v>
      </x:c>
    </x:row>
    <x:row r="233" ht="42" customHeight="1">
      <x:c r="A233" s="10" t="n">
        <x:v>0</x:v>
      </x:c>
      <x:c r="B233" s="12" t="str">
        <x:v>MSW8A4RM</x:v>
      </x:c>
      <x:c r="C233" s="2" t="str">
        <x:v>Mumbai</x:v>
      </x:c>
      <x:c r="D233" s="12" t="str">
        <x:v>Kanakia Paris</x:v>
      </x:c>
      <x:c r="E233" s="12" t="str">
        <x:v>Bandra</x:v>
      </x:c>
      <x:c r="F233" s="2" t="n">
        <x:v>13</x:v>
      </x:c>
      <x:c r="G233" s="2" t="n">
        <x:v>464</x:v>
      </x:c>
      <x:c r="H233" s="21" t="n">
        <x:v>5.5</x:v>
      </x:c>
      <x:c r="I233" s="21" t="n">
        <x:v>0.859</x:v>
      </x:c>
      <x:c r="J233" s="17" t="n">
        <x:f>F233*'Costing'!$H$4</x:f>
        <x:v>19656</x:v>
      </x:c>
      <x:c r="K233" s="17" t="n">
        <x:f>ROUND(J233*'Costing'!$C$4,2)</x:f>
        <x:v>3538.08</x:v>
      </x:c>
      <x:c r="L233" s="17" t="n">
        <x:f>J233+K233</x:f>
        <x:v>23194.08</x:v>
      </x:c>
      <x:c r="M233" s="13" t="n">
        <x:v>19.067110061645508</x:v>
      </x:c>
      <x:c r="N233" s="13" t="n">
        <x:v>72.8517074584961</x:v>
      </x:c>
      <x:c r="O233" s="2" t="str">
        <x:v>https://www.google.com/maps?q=19.067110061645508,72.8517074584961</x:v>
      </x:c>
      <x:c r="P233" s="2" t="str">
        <x:v>CORP-0291, CORP-0319, CORP-0321, CORP-0349</x:v>
      </x:c>
    </x:row>
    <x:row r="234" ht="42" customHeight="1">
      <x:c r="A234" s="10" t="n">
        <x:v>0</x:v>
      </x:c>
      <x:c r="B234" s="12" t="str">
        <x:v>MS43QPEE</x:v>
      </x:c>
      <x:c r="C234" s="2" t="str">
        <x:v>Mumbai</x:v>
      </x:c>
      <x:c r="D234" s="12" t="str">
        <x:v>Kanakia Rainforest Chsl</x:v>
      </x:c>
      <x:c r="E234" s="12" t="str">
        <x:v>Andheri</x:v>
      </x:c>
      <x:c r="F234" s="2" t="n">
        <x:v>11</x:v>
      </x:c>
      <x:c r="G234" s="2" t="n">
        <x:v>594</x:v>
      </x:c>
      <x:c r="H234" s="21" t="n">
        <x:v>5.25</x:v>
      </x:c>
      <x:c r="I234" s="21" t="n">
        <x:v>0.76</x:v>
      </x:c>
      <x:c r="J234" s="17" t="n">
        <x:f>F234*'Costing'!$H$4</x:f>
        <x:v>16632</x:v>
      </x:c>
      <x:c r="K234" s="17" t="n">
        <x:f>ROUND(J234*'Costing'!$C$4,2)</x:f>
        <x:v>2993.76</x:v>
      </x:c>
      <x:c r="L234" s="17" t="n">
        <x:f>J234+K234</x:f>
        <x:v>19625.760000000002</x:v>
      </x:c>
      <x:c r="M234" s="13" t="n">
        <x:v>19.12303185</x:v>
      </x:c>
      <x:c r="N234" s="13" t="n">
        <x:v>72.88394702</x:v>
      </x:c>
      <x:c r="O234" s="2" t="str">
        <x:v>https://www.google.com/maps?q=19.12303185,72.88394702</x:v>
      </x:c>
      <x:c r="P234" s="2" t="str">
        <x:v>CORP-0300, CORP-0301, CORP-0312, CORP-0324, CORP-0328, CORP-0329, CORP-0331, CORP-0346, CORP-0356</x:v>
      </x:c>
    </x:row>
    <x:row r="235" ht="42" customHeight="1">
      <x:c r="A235" s="10" t="n">
        <x:v>0</x:v>
      </x:c>
      <x:c r="B235" s="12" t="str">
        <x:v>MSV0DMFG</x:v>
      </x:c>
      <x:c r="C235" s="2" t="str">
        <x:v>Mumbai</x:v>
      </x:c>
      <x:c r="D235" s="12" t="str">
        <x:v>Kesar Exotica</x:v>
      </x:c>
      <x:c r="E235" s="12" t="str">
        <x:v>Kharghar</x:v>
      </x:c>
      <x:c r="F235" s="2" t="n">
        <x:v>10</x:v>
      </x:c>
      <x:c r="G235" s="2" t="n">
        <x:v>250</x:v>
      </x:c>
      <x:c r="H235" s="21" t="n">
        <x:v>4.5</x:v>
      </x:c>
      <x:c r="I235" s="21" t="n">
        <x:v>1.248</x:v>
      </x:c>
      <x:c r="J235" s="17" t="n">
        <x:f>F235*'Costing'!$H$4</x:f>
        <x:v>15120</x:v>
      </x:c>
      <x:c r="K235" s="17" t="n">
        <x:f>ROUND(J235*'Costing'!$C$4,2)</x:f>
        <x:v>2721.6</x:v>
      </x:c>
      <x:c r="L235" s="17" t="n">
        <x:f>J235+K235</x:f>
        <x:v>17841.6</x:v>
      </x:c>
      <x:c r="M235" s="13" t="n">
        <x:v>19.03546</x:v>
      </x:c>
      <x:c r="N235" s="13" t="n">
        <x:v>73.07793</x:v>
      </x:c>
      <x:c r="O235" s="2" t="str">
        <x:v>https://www.google.com/maps?q=19.03546,73.07793</x:v>
      </x:c>
      <x:c r="P235" s="2" t="str">
        <x:v>CORP-0345</x:v>
      </x:c>
    </x:row>
    <x:row r="236" ht="42" customHeight="1">
      <x:c r="A236" s="10" t="n">
        <x:v>0</x:v>
      </x:c>
      <x:c r="B236" s="12" t="str">
        <x:v>MS898JVN</x:v>
      </x:c>
      <x:c r="C236" s="2" t="str">
        <x:v>Mumbai</x:v>
      </x:c>
      <x:c r="D236" s="12" t="str">
        <x:v>Kesar Harmony</x:v>
      </x:c>
      <x:c r="E236" s="12" t="str">
        <x:v>Kharghar</x:v>
      </x:c>
      <x:c r="F236" s="2" t="n">
        <x:v>16</x:v>
      </x:c>
      <x:c r="G236" s="2" t="n">
        <x:v>234</x:v>
      </x:c>
      <x:c r="H236" s="21" t="n">
        <x:v>4.7</x:v>
      </x:c>
      <x:c r="I236" s="21" t="n">
        <x:v>0.736</x:v>
      </x:c>
      <x:c r="J236" s="17" t="n">
        <x:f>F236*'Costing'!$H$4</x:f>
        <x:v>24192</x:v>
      </x:c>
      <x:c r="K236" s="17" t="n">
        <x:f>ROUND(J236*'Costing'!$C$4,2)</x:f>
        <x:v>4354.56</x:v>
      </x:c>
      <x:c r="L236" s="17" t="n">
        <x:f>J236+K236</x:f>
        <x:v>28546.56</x:v>
      </x:c>
      <x:c r="M236" s="13" t="n">
        <x:v>19.04823</x:v>
      </x:c>
      <x:c r="N236" s="13" t="n">
        <x:v>73.06303</x:v>
      </x:c>
      <x:c r="O236" s="2" t="str">
        <x:v>https://www.google.com/maps?q=19.04823,73.06303</x:v>
      </x:c>
      <x:c r="P236" s="2" t="str">
        <x:v>CORP-0311</x:v>
      </x:c>
    </x:row>
    <x:row r="237" ht="42" customHeight="1">
      <x:c r="A237" s="10" t="n">
        <x:v>0</x:v>
      </x:c>
      <x:c r="B237" s="12" t="str">
        <x:v>MSZDRC24</x:v>
      </x:c>
      <x:c r="C237" s="2" t="str">
        <x:v>Mumbai</x:v>
      </x:c>
      <x:c r="D237" s="12" t="str">
        <x:v>L&amp;T EMERALD ISLE T10 CO-OPERATIVE HOUSING SOCIETY LTD [IE]</x:v>
      </x:c>
      <x:c r="E237" s="12" t="str">
        <x:v>Powai</x:v>
      </x:c>
      <x:c r="F237" s="2" t="n">
        <x:v>5</x:v>
      </x:c>
      <x:c r="G237" s="2" t="n">
        <x:v>140</x:v>
      </x:c>
      <x:c r="H237" s="21" t="n">
        <x:v>4</x:v>
      </x:c>
      <x:c r="I237" s="21" t="n">
        <x:v>0.274</x:v>
      </x:c>
      <x:c r="J237" s="17" t="n">
        <x:f>F237*'Costing'!$H$4</x:f>
        <x:v>7560</x:v>
      </x:c>
      <x:c r="K237" s="17" t="n">
        <x:f>ROUND(J237*'Costing'!$C$4,2)</x:f>
        <x:v>1360.8</x:v>
      </x:c>
      <x:c r="L237" s="17" t="n">
        <x:f>J237+K237</x:f>
        <x:v>8920.8</x:v>
      </x:c>
      <x:c r="M237" s="13" t="n">
        <x:v>19.123130798339844</x:v>
      </x:c>
      <x:c r="N237" s="13" t="n">
        <x:v>72.8935546875</x:v>
      </x:c>
      <x:c r="O237" s="2" t="str">
        <x:v>https://www.google.com/maps?q=19.123130798339844,72.8935546875</x:v>
      </x:c>
      <x:c r="P237" s="2" t="str">
        <x:v>CORP-0301, CORP-0324, CORP-0356</x:v>
      </x:c>
    </x:row>
    <x:row r="238" ht="42" customHeight="1">
      <x:c r="A238" s="10" t="n">
        <x:v>0</x:v>
      </x:c>
      <x:c r="B238" s="12" t="str">
        <x:v>MSV6X82Q, MSZ8HZTN</x:v>
      </x:c>
      <x:c r="C238" s="2" t="str">
        <x:v>Mumbai</x:v>
      </x:c>
      <x:c r="D238" s="12" t="str">
        <x:v>Lake Primrose Chsl</x:v>
      </x:c>
      <x:c r="E238" s="12" t="str">
        <x:v>Powai</x:v>
      </x:c>
      <x:c r="F238" s="2" t="n">
        <x:v>19</x:v>
      </x:c>
      <x:c r="G238" s="2" t="n">
        <x:v>431</x:v>
      </x:c>
      <x:c r="H238" s="21" t="n">
        <x:v>3.87</x:v>
      </x:c>
      <x:c r="I238" s="21" t="n">
        <x:v>0.796</x:v>
      </x:c>
      <x:c r="J238" s="17" t="n">
        <x:f>F238*'Costing'!$H$4</x:f>
        <x:v>28728</x:v>
      </x:c>
      <x:c r="K238" s="17" t="n">
        <x:f>ROUND(J238*'Costing'!$C$4,2)</x:f>
        <x:v>5171.04</x:v>
      </x:c>
      <x:c r="L238" s="17" t="n">
        <x:f>J238+K238</x:f>
        <x:v>33899.04</x:v>
      </x:c>
      <x:c r="M238" s="13" t="n">
        <x:v>19.115169525146484</x:v>
      </x:c>
      <x:c r="N238" s="13" t="n">
        <x:v>72.89928436279297</x:v>
      </x:c>
      <x:c r="O238" s="2" t="str">
        <x:v>https://www.google.com/maps?q=19.115169525146484,72.89928436279297</x:v>
      </x:c>
      <x:c r="P238" s="2" t="str">
        <x:v>CORP-0344</x:v>
      </x:c>
    </x:row>
    <x:row r="239" ht="42" customHeight="1">
      <x:c r="A239" s="10" t="n">
        <x:v>0</x:v>
      </x:c>
      <x:c r="B239" s="12" t="str">
        <x:v>MS3SD96Z, MSSG36AW</x:v>
      </x:c>
      <x:c r="C239" s="2" t="str">
        <x:v>Mumbai</x:v>
      </x:c>
      <x:c r="D239" s="12" t="str">
        <x:v>Lodha Vfva</x:v>
      </x:c>
      <x:c r="E239" s="12" t="str">
        <x:v>Kolshet</x:v>
      </x:c>
      <x:c r="F239" s="2" t="n">
        <x:v>9</x:v>
      </x:c>
      <x:c r="G239" s="2" t="n">
        <x:v>280</x:v>
      </x:c>
      <x:c r="H239" s="21" t="n">
        <x:v>3.5</x:v>
      </x:c>
      <x:c r="I239" s="21" t="n">
        <x:v>4.196</x:v>
      </x:c>
      <x:c r="J239" s="17" t="n">
        <x:f>F239*'Costing'!$H$4</x:f>
        <x:v>13608</x:v>
      </x:c>
      <x:c r="K239" s="17" t="n">
        <x:f>ROUND(J239*'Costing'!$C$4,2)</x:f>
        <x:v>2449.44</x:v>
      </x:c>
      <x:c r="L239" s="17" t="n">
        <x:f>J239+K239</x:f>
        <x:v>16057.44</x:v>
      </x:c>
      <x:c r="M239" s="13" t="n">
        <x:v>19.212306</x:v>
      </x:c>
      <x:c r="N239" s="13" t="n">
        <x:v>72.986963</x:v>
      </x:c>
      <x:c r="O239" s="2" t="str">
        <x:v>https://www.google.com/maps?q=19.212306,72.986963</x:v>
      </x:c>
      <x:c r="P239" s="2" t="str">
        <x:v>CORP-0313, CORP-0334</x:v>
      </x:c>
    </x:row>
    <x:row r="240" ht="42" customHeight="1">
      <x:c r="A240" s="10" t="n">
        <x:v>0</x:v>
      </x:c>
      <x:c r="B240" s="12" t="str">
        <x:v>MSD7KZ8B</x:v>
      </x:c>
      <x:c r="C240" s="2" t="str">
        <x:v>Mumbai</x:v>
      </x:c>
      <x:c r="D240" s="12" t="str">
        <x:v>Lotus Enpar</x:v>
      </x:c>
      <x:c r="E240" s="12" t="str">
        <x:v>Lower Parel</x:v>
      </x:c>
      <x:c r="F240" s="2" t="n">
        <x:v>4</x:v>
      </x:c>
      <x:c r="G240" s="2" t="n">
        <x:v>208</x:v>
      </x:c>
      <x:c r="H240" s="21" t="n">
        <x:v>13.76</x:v>
      </x:c>
      <x:c r="I240" s="21" t="n">
        <x:v>0.38</x:v>
      </x:c>
      <x:c r="J240" s="17" t="n">
        <x:f>F240*'Costing'!$H$4</x:f>
        <x:v>6048</x:v>
      </x:c>
      <x:c r="K240" s="17" t="n">
        <x:f>ROUND(J240*'Costing'!$C$4,2)</x:f>
        <x:v>1088.64</x:v>
      </x:c>
      <x:c r="L240" s="17" t="n">
        <x:f>J240+K240</x:f>
        <x:v>7136.64</x:v>
      </x:c>
      <x:c r="M240" s="13" t="n">
        <x:v>19.003829</x:v>
      </x:c>
      <x:c r="N240" s="13" t="n">
        <x:v>72.823913</x:v>
      </x:c>
      <x:c r="O240" s="2" t="str">
        <x:v>https://www.google.com/maps?q=19.003829,72.823913</x:v>
      </x:c>
      <x:c r="P240" s="2" t="str">
        <x:v>CORP-0289, CORP-0298, CORP-0322, CORP-0323, CORP-0327, CORP-0332, CORP-0335, CORP-0355</x:v>
      </x:c>
    </x:row>
    <x:row r="241" ht="42" customHeight="1">
      <x:c r="A241" s="10" t="n">
        <x:v>0</x:v>
      </x:c>
      <x:c r="B241" s="12" t="str">
        <x:v>MSFV3TY8</x:v>
      </x:c>
      <x:c r="C241" s="2" t="str">
        <x:v>Mumbai</x:v>
      </x:c>
      <x:c r="D241" s="12" t="str">
        <x:v>Mahindra Garden Orchid CHSL</x:v>
      </x:c>
      <x:c r="E241" s="12" t="str">
        <x:v>Goregaon</x:v>
      </x:c>
      <x:c r="F241" s="2" t="n">
        <x:v>4</x:v>
      </x:c>
      <x:c r="G241" s="2" t="n">
        <x:v>56</x:v>
      </x:c>
      <x:c r="H241" s="21" t="n">
        <x:v>7.07</x:v>
      </x:c>
      <x:c r="I241" s="21" t="n">
        <x:v>0.791</x:v>
      </x:c>
      <x:c r="J241" s="17" t="n">
        <x:f>F241*'Costing'!$H$4</x:f>
        <x:v>6048</x:v>
      </x:c>
      <x:c r="K241" s="17" t="n">
        <x:f>ROUND(J241*'Costing'!$C$4,2)</x:f>
        <x:v>1088.64</x:v>
      </x:c>
      <x:c r="L241" s="17" t="n">
        <x:f>J241+K241</x:f>
        <x:v>7136.64</x:v>
      </x:c>
      <x:c r="M241" s="13" t="n">
        <x:v>19.169069290161133</x:v>
      </x:c>
      <x:c r="N241" s="13" t="n">
        <x:v>72.84677124023438</x:v>
      </x:c>
      <x:c r="O241" s="2" t="str">
        <x:v>https://www.google.com/maps?q=19.169069290161133,72.84677124023438</x:v>
      </x:c>
      <x:c r="P241" s="2" t="str">
        <x:v>CORP-0316, CORP-0330, CORP-0338, CORP-0352, CORP-0354</x:v>
      </x:c>
    </x:row>
    <x:row r="242" ht="42" customHeight="1">
      <x:c r="A242" s="10" t="n">
        <x:v>0</x:v>
      </x:c>
      <x:c r="B242" s="12" t="str">
        <x:v>MS2VJTHS</x:v>
      </x:c>
      <x:c r="C242" s="2" t="str">
        <x:v>Mumbai</x:v>
      </x:c>
      <x:c r="D242" s="12" t="str">
        <x:v>Metropolis Chsl</x:v>
      </x:c>
      <x:c r="E242" s="12" t="str">
        <x:v>Andheri</x:v>
      </x:c>
      <x:c r="F242" s="2" t="n">
        <x:v>16</x:v>
      </x:c>
      <x:c r="G242" s="2" t="n">
        <x:v>472</x:v>
      </x:c>
      <x:c r="H242" s="21" t="n">
        <x:v>7</x:v>
      </x:c>
      <x:c r="I242" s="21" t="n">
        <x:v>0.922</x:v>
      </x:c>
      <x:c r="J242" s="17" t="n">
        <x:f>F242*'Costing'!$H$4</x:f>
        <x:v>24192</x:v>
      </x:c>
      <x:c r="K242" s="17" t="n">
        <x:f>ROUND(J242*'Costing'!$C$4,2)</x:f>
        <x:v>4354.56</x:v>
      </x:c>
      <x:c r="L242" s="17" t="n">
        <x:f>J242+K242</x:f>
        <x:v>28546.56</x:v>
      </x:c>
      <x:c r="M242" s="13" t="n">
        <x:v>19.130239486694336</x:v>
      </x:c>
      <x:c r="N242" s="13" t="n">
        <x:v>72.82821655273438</x:v>
      </x:c>
      <x:c r="O242" s="2" t="str">
        <x:v>https://www.google.com/maps?q=19.130239486694336,72.82821655273438</x:v>
      </x:c>
      <x:c r="P242" s="2" t="str">
        <x:v>CORP-0296, CORP-0314</x:v>
      </x:c>
    </x:row>
    <x:row r="243" ht="42" customHeight="1">
      <x:c r="A243" s="10" t="n">
        <x:v>0</x:v>
      </x:c>
      <x:c r="B243" s="12" t="str">
        <x:v>MSX86Z4K</x:v>
      </x:c>
      <x:c r="C243" s="2" t="str">
        <x:v>Mumbai</x:v>
      </x:c>
      <x:c r="D243" s="12" t="str">
        <x:v>Millennium Tower B Type Chsl</x:v>
      </x:c>
      <x:c r="E243" s="12" t="str">
        <x:v>Sanpada</x:v>
      </x:c>
      <x:c r="F243" s="2" t="n">
        <x:v>8</x:v>
      </x:c>
      <x:c r="G243" s="2" t="n">
        <x:v>1200</x:v>
      </x:c>
      <x:c r="H243" s="21" t="n">
        <x:v>3.6</x:v>
      </x:c>
      <x:c r="I243" s="21" t="n">
        <x:v>1.579</x:v>
      </x:c>
      <x:c r="J243" s="17" t="n">
        <x:f>F243*'Costing'!$H$4</x:f>
        <x:v>12096</x:v>
      </x:c>
      <x:c r="K243" s="17" t="n">
        <x:f>ROUND(J243*'Costing'!$C$4,2)</x:f>
        <x:v>2177.28</x:v>
      </x:c>
      <x:c r="L243" s="17" t="n">
        <x:f>J243+K243</x:f>
        <x:v>14273.28</x:v>
      </x:c>
      <x:c r="M243" s="13" t="n">
        <x:v>19.058135986328125</x:v>
      </x:c>
      <x:c r="N243" s="13" t="n">
        <x:v>73.01302337646484</x:v>
      </x:c>
      <x:c r="O243" s="2" t="str">
        <x:v>https://www.google.com/maps?q=19.058135986328125,73.01302337646484</x:v>
      </x:c>
      <x:c r="P243" s="2" t="str">
        <x:v>CORP-0292, CORP-0304, CORP-0308, CORP-0309, CORP-0336, CORP-0337</x:v>
      </x:c>
    </x:row>
    <x:row r="244" ht="42" customHeight="1">
      <x:c r="A244" s="10" t="n">
        <x:v>0</x:v>
      </x:c>
      <x:c r="B244" s="12" t="str">
        <x:v>MS6R3PS3</x:v>
      </x:c>
      <x:c r="C244" s="2" t="str">
        <x:v>Mumbai</x:v>
      </x:c>
      <x:c r="D244" s="12" t="str">
        <x:v>Millennium Tower D Chsl</x:v>
      </x:c>
      <x:c r="E244" s="12" t="str">
        <x:v>Sanpada</x:v>
      </x:c>
      <x:c r="F244" s="2" t="n">
        <x:v>5</x:v>
      </x:c>
      <x:c r="G244" s="2" t="n">
        <x:v>156</x:v>
      </x:c>
      <x:c r="H244" s="21" t="n">
        <x:v>3.6</x:v>
      </x:c>
      <x:c r="I244" s="21" t="n">
        <x:v>1.592</x:v>
      </x:c>
      <x:c r="J244" s="17" t="n">
        <x:f>F244*'Costing'!$H$4</x:f>
        <x:v>7560</x:v>
      </x:c>
      <x:c r="K244" s="17" t="n">
        <x:f>ROUND(J244*'Costing'!$C$4,2)</x:f>
        <x:v>1360.8</x:v>
      </x:c>
      <x:c r="L244" s="17" t="n">
        <x:f>J244+K244</x:f>
        <x:v>8920.8</x:v>
      </x:c>
      <x:c r="M244" s="13" t="n">
        <x:v>19.057654</x:v>
      </x:c>
      <x:c r="N244" s="13" t="n">
        <x:v>73.01289</x:v>
      </x:c>
      <x:c r="O244" s="2" t="str">
        <x:v>https://www.google.com/maps?q=19.057654,73.01289</x:v>
      </x:c>
      <x:c r="P244" s="2" t="str">
        <x:v>CORP-0292, CORP-0304, CORP-0308, CORP-0309, CORP-0336, CORP-0337</x:v>
      </x:c>
    </x:row>
    <x:row r="245" ht="42" customHeight="1">
      <x:c r="A245" s="10" t="n">
        <x:v>0</x:v>
      </x:c>
      <x:c r="B245" s="12" t="str">
        <x:v>MSC1QQPZ</x:v>
      </x:c>
      <x:c r="C245" s="2" t="str">
        <x:v>Mumbai</x:v>
      </x:c>
      <x:c r="D245" s="12" t="str">
        <x:v>Mmrda Employee Chsl</x:v>
      </x:c>
      <x:c r="E245" s="12" t="str">
        <x:v>Manpada</x:v>
      </x:c>
      <x:c r="F245" s="2" t="n">
        <x:v>10</x:v>
      </x:c>
      <x:c r="G245" s="2" t="n">
        <x:v>148</x:v>
      </x:c>
      <x:c r="H245" s="21" t="n">
        <x:v>2.62</x:v>
      </x:c>
      <x:c r="I245" s="21" t="n">
        <x:v>1.372</x:v>
      </x:c>
      <x:c r="J245" s="17" t="n">
        <x:f>F245*'Costing'!$H$4</x:f>
        <x:v>15120</x:v>
      </x:c>
      <x:c r="K245" s="17" t="n">
        <x:f>ROUND(J245*'Costing'!$C$4,2)</x:f>
        <x:v>2721.6</x:v>
      </x:c>
      <x:c r="L245" s="17" t="n">
        <x:f>J245+K245</x:f>
        <x:v>17841.6</x:v>
      </x:c>
      <x:c r="M245" s="13" t="n">
        <x:v>19.22368859</x:v>
      </x:c>
      <x:c r="N245" s="13" t="n">
        <x:v>72.97260639</x:v>
      </x:c>
      <x:c r="O245" s="2" t="str">
        <x:v>https://www.google.com/maps?q=19.22368859,72.97260639</x:v>
      </x:c>
      <x:c r="P245" s="2" t="str">
        <x:v>CORP-0295, CORP-0317</x:v>
      </x:c>
    </x:row>
    <x:row r="246" ht="42" customHeight="1">
      <x:c r="A246" s="10" t="n">
        <x:v>0</x:v>
      </x:c>
      <x:c r="B246" s="12" t="str">
        <x:v>MS7MRTAH</x:v>
      </x:c>
      <x:c r="C246" s="2" t="str">
        <x:v>Mumbai</x:v>
      </x:c>
      <x:c r="D246" s="12" t="str">
        <x:v>NRI Complex Phase 1 (Seawoods Estate)</x:v>
      </x:c>
      <x:c r="E246" s="12" t="str">
        <x:v>Seawoods</x:v>
      </x:c>
      <x:c r="F246" s="2" t="n">
        <x:v>45</x:v>
      </x:c>
      <x:c r="G246" s="2" t="n">
        <x:v>3072</x:v>
      </x:c>
      <x:c r="H246" s="21" t="n">
        <x:v>8.37</x:v>
      </x:c>
      <x:c r="I246" s="21" t="n">
        <x:v>2.182</x:v>
      </x:c>
      <x:c r="J246" s="17" t="n">
        <x:f>F246*'Costing'!$H$4</x:f>
        <x:v>68040</x:v>
      </x:c>
      <x:c r="K246" s="17" t="n">
        <x:f>ROUND(J246*'Costing'!$C$4,2)</x:f>
        <x:v>12247.2</x:v>
      </x:c>
      <x:c r="L246" s="17" t="n">
        <x:f>J246+K246</x:f>
        <x:v>80287.2</x:v>
      </x:c>
      <x:c r="M246" s="13" t="n">
        <x:v>19.00549</x:v>
      </x:c>
      <x:c r="N246" s="13" t="n">
        <x:v>73.01544</x:v>
      </x:c>
      <x:c r="O246" s="2" t="str">
        <x:v>https://www.google.com/maps?q=19.00549,73.01544</x:v>
      </x:c>
      <x:c r="P246" s="2" t="str">
        <x:v>CORP-0320</x:v>
      </x:c>
    </x:row>
    <x:row r="247" ht="42" customHeight="1">
      <x:c r="A247" s="10" t="n">
        <x:v>0</x:v>
      </x:c>
      <x:c r="B247" s="12" t="str">
        <x:v>MSFDZYQ2</x:v>
      </x:c>
      <x:c r="C247" s="2" t="str">
        <x:v>Mumbai</x:v>
      </x:c>
      <x:c r="D247" s="12" t="str">
        <x:v>Orchid Enclave</x:v>
      </x:c>
      <x:c r="E247" s="12" t="str">
        <x:v>Powai</x:v>
      </x:c>
      <x:c r="F247" s="2" t="n">
        <x:v>10</x:v>
      </x:c>
      <x:c r="G247" s="2" t="n">
        <x:v>226</x:v>
      </x:c>
      <x:c r="H247" s="21" t="n">
        <x:v>4.81</x:v>
      </x:c>
      <x:c r="I247" s="21" t="n">
        <x:v>0.612</x:v>
      </x:c>
      <x:c r="J247" s="17" t="n">
        <x:f>F247*'Costing'!$H$4</x:f>
        <x:v>15120</x:v>
      </x:c>
      <x:c r="K247" s="17" t="n">
        <x:f>ROUND(J247*'Costing'!$C$4,2)</x:f>
        <x:v>2721.6</x:v>
      </x:c>
      <x:c r="L247" s="17" t="n">
        <x:f>J247+K247</x:f>
        <x:v>17841.6</x:v>
      </x:c>
      <x:c r="M247" s="13" t="n">
        <x:v>19.10744</x:v>
      </x:c>
      <x:c r="N247" s="13" t="n">
        <x:v>72.896675</x:v>
      </x:c>
      <x:c r="O247" s="2" t="str">
        <x:v>https://www.google.com/maps?q=19.10744,72.896675</x:v>
      </x:c>
      <x:c r="P247" s="2" t="str">
        <x:v>CORP-0299, CORP-0300, CORP-0301, CORP-0329, CORP-0339, CORP-0340, CORP-0341, CORP-0342, CORP-0344, CORP-0348, CORP-0353</x:v>
      </x:c>
    </x:row>
    <x:row r="248" ht="42" customHeight="1">
      <x:c r="A248" s="10" t="n">
        <x:v>0</x:v>
      </x:c>
      <x:c r="B248" s="12" t="str">
        <x:v>MSK7Z0X3</x:v>
      </x:c>
      <x:c r="C248" s="2" t="str">
        <x:v>Mumbai</x:v>
      </x:c>
      <x:c r="D248" s="12" t="str">
        <x:v>Oshiwara Tarapore</x:v>
      </x:c>
      <x:c r="E248" s="12" t="str">
        <x:v>Andheri</x:v>
      </x:c>
      <x:c r="F248" s="2" t="n">
        <x:v>10</x:v>
      </x:c>
      <x:c r="G248" s="2" t="n">
        <x:v>294</x:v>
      </x:c>
      <x:c r="H248" s="21" t="n">
        <x:v>6</x:v>
      </x:c>
      <x:c r="I248" s="21" t="n">
        <x:v>1.321</x:v>
      </x:c>
      <x:c r="J248" s="17" t="n">
        <x:f>F248*'Costing'!$H$4</x:f>
        <x:v>15120</x:v>
      </x:c>
      <x:c r="K248" s="17" t="n">
        <x:f>ROUND(J248*'Costing'!$C$4,2)</x:f>
        <x:v>2721.6</x:v>
      </x:c>
      <x:c r="L248" s="17" t="n">
        <x:f>J248+K248</x:f>
        <x:v>17841.6</x:v>
      </x:c>
      <x:c r="M248" s="13" t="n">
        <x:v>19.14919090270996</x:v>
      </x:c>
      <x:c r="N248" s="13" t="n">
        <x:v>72.83075714111328</x:v>
      </x:c>
      <x:c r="O248" s="2" t="str">
        <x:v>https://www.google.com/maps?q=19.14919090270996,72.83075714111328</x:v>
      </x:c>
      <x:c r="P248" s="2" t="str">
        <x:v>CORP-0296</x:v>
      </x:c>
    </x:row>
    <x:row r="249" ht="42" customHeight="1">
      <x:c r="A249" s="10" t="n">
        <x:v>0</x:v>
      </x:c>
      <x:c r="B249" s="12" t="str">
        <x:v>GMS8ZN4TW</x:v>
      </x:c>
      <x:c r="C249" s="2" t="str">
        <x:v>Mumbai</x:v>
      </x:c>
      <x:c r="D249" s="12" t="str">
        <x:v>Pacific Enclave</x:v>
      </x:c>
      <x:c r="E249" s="12" t="str">
        <x:v>Powai</x:v>
      </x:c>
      <x:c r="F249" s="2" t="n">
        <x:v>4</x:v>
      </x:c>
      <x:c r="G249" s="2" t="n">
        <x:v>0</x:v>
      </x:c>
      <x:c r="H249" s="21" t="n">
        <x:v>3.73</x:v>
      </x:c>
      <x:c r="I249" s="21" t="n">
        <x:v>1.055</x:v>
      </x:c>
      <x:c r="J249" s="17" t="n">
        <x:f>F249*'Costing'!$H$4</x:f>
        <x:v>6048</x:v>
      </x:c>
      <x:c r="K249" s="17" t="n">
        <x:f>ROUND(J249*'Costing'!$C$4,2)</x:f>
        <x:v>1088.64</x:v>
      </x:c>
      <x:c r="L249" s="17" t="n">
        <x:f>J249+K249</x:f>
        <x:v>7136.64</x:v>
      </x:c>
      <x:c r="M249" s="13" t="n">
        <x:v>19.12134</x:v>
      </x:c>
      <x:c r="N249" s="13" t="n">
        <x:v>72.91673</x:v>
      </x:c>
      <x:c r="O249" s="2" t="str">
        <x:v>https://www.google.com/maps?q=19.12134,72.91673</x:v>
      </x:c>
      <x:c r="P249" s="2" t="str">
        <x:v>CORP-0357</x:v>
      </x:c>
    </x:row>
    <x:row r="250" ht="42" customHeight="1">
      <x:c r="A250" s="10" t="n">
        <x:v>0</x:v>
      </x:c>
      <x:c r="B250" s="12" t="str">
        <x:v>MSA4D33G</x:v>
      </x:c>
      <x:c r="C250" s="2" t="str">
        <x:v>Mumbai</x:v>
      </x:c>
      <x:c r="D250" s="12" t="str">
        <x:v>Patel Heritage</x:v>
      </x:c>
      <x:c r="E250" s="12" t="str">
        <x:v>Kharghar</x:v>
      </x:c>
      <x:c r="F250" s="2" t="n">
        <x:v>12</x:v>
      </x:c>
      <x:c r="G250" s="2" t="n">
        <x:v>313</x:v>
      </x:c>
      <x:c r="H250" s="21" t="n">
        <x:v>2.55</x:v>
      </x:c>
      <x:c r="I250" s="21" t="n">
        <x:v>0.235</x:v>
      </x:c>
      <x:c r="J250" s="17" t="n">
        <x:f>F250*'Costing'!$H$4</x:f>
        <x:v>18144</x:v>
      </x:c>
      <x:c r="K250" s="17" t="n">
        <x:f>ROUND(J250*'Costing'!$C$4,2)</x:f>
        <x:v>3265.92</x:v>
      </x:c>
      <x:c r="L250" s="17" t="n">
        <x:f>J250+K250</x:f>
        <x:v>21409.92</x:v>
      </x:c>
      <x:c r="M250" s="13" t="n">
        <x:v>19.035411</x:v>
      </x:c>
      <x:c r="N250" s="13" t="n">
        <x:v>73.06473</x:v>
      </x:c>
      <x:c r="O250" s="2" t="str">
        <x:v>https://www.google.com/maps?q=19.035411,73.06473</x:v>
      </x:c>
      <x:c r="P250" s="2" t="str">
        <x:v>CORP-0345</x:v>
      </x:c>
    </x:row>
    <x:row r="251" ht="42" customHeight="1">
      <x:c r="A251" s="10" t="n">
        <x:v>0</x:v>
      </x:c>
      <x:c r="B251" s="12" t="str">
        <x:v>MSV013CE</x:v>
      </x:c>
      <x:c r="C251" s="2" t="str">
        <x:v>Mumbai</x:v>
      </x:c>
      <x:c r="D251" s="12" t="str">
        <x:v>Periwinkle</x:v>
      </x:c>
      <x:c r="E251" s="12" t="str">
        <x:v>Waghbil</x:v>
      </x:c>
      <x:c r="F251" s="2" t="n">
        <x:v>4</x:v>
      </x:c>
      <x:c r="G251" s="2" t="n">
        <x:v>160</x:v>
      </x:c>
      <x:c r="H251" s="21" t="n">
        <x:v>3</x:v>
      </x:c>
      <x:c r="I251" s="21" t="n">
        <x:v>6.081</x:v>
      </x:c>
      <x:c r="J251" s="17" t="n">
        <x:f>F251*'Costing'!$H$4</x:f>
        <x:v>6048</x:v>
      </x:c>
      <x:c r="K251" s="17" t="n">
        <x:f>ROUND(J251*'Costing'!$C$4,2)</x:f>
        <x:v>1088.64</x:v>
      </x:c>
      <x:c r="L251" s="17" t="n">
        <x:f>J251+K251</x:f>
        <x:v>7136.64</x:v>
      </x:c>
      <x:c r="M251" s="13" t="n">
        <x:v>19.263466</x:v>
      </x:c>
      <x:c r="N251" s="13" t="n">
        <x:v>72.980109</x:v>
      </x:c>
      <x:c r="O251" s="2" t="str">
        <x:v>https://www.google.com/maps?q=19.263466,72.980109</x:v>
      </x:c>
      <x:c r="P251" s="2" t="str">
        <x:v>CORP-0302</x:v>
      </x:c>
    </x:row>
    <x:row r="252" ht="42" customHeight="1">
      <x:c r="A252" s="10" t="n">
        <x:v>0</x:v>
      </x:c>
      <x:c r="B252" s="12" t="str">
        <x:v>MSN2RS3M</x:v>
      </x:c>
      <x:c r="C252" s="2" t="str">
        <x:v>Mumbai</x:v>
      </x:c>
      <x:c r="D252" s="12" t="str">
        <x:v>Piramal Rivanta Rohin Chsl</x:v>
      </x:c>
      <x:c r="E252" s="12" t="str">
        <x:v>Mulund</x:v>
      </x:c>
      <x:c r="F252" s="2" t="n">
        <x:v>7</x:v>
      </x:c>
      <x:c r="G252" s="2" t="n">
        <x:v>290</x:v>
      </x:c>
      <x:c r="H252" s="21" t="n">
        <x:v>4.04</x:v>
      </x:c>
      <x:c r="I252" s="21" t="n">
        <x:v>0.909</x:v>
      </x:c>
      <x:c r="J252" s="17" t="n">
        <x:f>F252*'Costing'!$H$4</x:f>
        <x:v>10584</x:v>
      </x:c>
      <x:c r="K252" s="17" t="n">
        <x:f>ROUND(J252*'Costing'!$C$4,2)</x:f>
        <x:v>1905.12</x:v>
      </x:c>
      <x:c r="L252" s="17" t="n">
        <x:f>J252+K252</x:f>
        <x:v>12489.119999999999</x:v>
      </x:c>
      <x:c r="M252" s="13" t="n">
        <x:v>19.167589</x:v>
      </x:c>
      <x:c r="N252" s="13" t="n">
        <x:v>72.934607</x:v>
      </x:c>
      <x:c r="O252" s="2" t="str">
        <x:v>https://www.google.com/maps?q=19.167589,72.934607</x:v>
      </x:c>
      <x:c r="P252" s="2" t="str">
        <x:v>CORP-0290</x:v>
      </x:c>
    </x:row>
    <x:row r="253" ht="42" customHeight="1">
      <x:c r="A253" s="10" t="n">
        <x:v>0</x:v>
      </x:c>
      <x:c r="B253" s="12" t="str">
        <x:v>MSCGG8JG</x:v>
      </x:c>
      <x:c r="C253" s="2" t="str">
        <x:v>Mumbai</x:v>
      </x:c>
      <x:c r="D253" s="12" t="str">
        <x:v>Platino C, E, F &amp; G</x:v>
      </x:c>
      <x:c r="E253" s="12" t="str">
        <x:v>Ghodbunder Road</x:v>
      </x:c>
      <x:c r="F253" s="2" t="n">
        <x:v>8</x:v>
      </x:c>
      <x:c r="G253" s="2" t="n">
        <x:v>369</x:v>
      </x:c>
      <x:c r="H253" s="21" t="n">
        <x:v>2</x:v>
      </x:c>
      <x:c r="I253" s="21" t="n">
        <x:v>5.747</x:v>
      </x:c>
      <x:c r="J253" s="17" t="n">
        <x:f>F253*'Costing'!$H$4</x:f>
        <x:v>12096</x:v>
      </x:c>
      <x:c r="K253" s="17" t="n">
        <x:f>ROUND(J253*'Costing'!$C$4,2)</x:f>
        <x:v>2177.28</x:v>
      </x:c>
      <x:c r="L253" s="17" t="n">
        <x:f>J253+K253</x:f>
        <x:v>14273.28</x:v>
      </x:c>
      <x:c r="M253" s="13" t="n">
        <x:v>19.284644</x:v>
      </x:c>
      <x:c r="N253" s="13" t="n">
        <x:v>72.955559</x:v>
      </x:c>
      <x:c r="O253" s="2" t="str">
        <x:v>https://www.google.com/maps?q=19.284644,72.955559</x:v>
      </x:c>
      <x:c r="P253" s="2" t="str">
        <x:v>CORP-0302</x:v>
      </x:c>
    </x:row>
    <x:row r="254" ht="42" customHeight="1">
      <x:c r="A254" s="10" t="n">
        <x:v>0</x:v>
      </x:c>
      <x:c r="B254" s="12" t="str">
        <x:v>MSG040WS</x:v>
      </x:c>
      <x:c r="C254" s="2" t="str">
        <x:v>Mumbai</x:v>
      </x:c>
      <x:c r="D254" s="12" t="str">
        <x:v>Prakash Cotton Mills</x:v>
      </x:c>
      <x:c r="E254" s="12" t="str">
        <x:v>Lower Parel</x:v>
      </x:c>
      <x:c r="F254" s="2" t="n">
        <x:v>4</x:v>
      </x:c>
      <x:c r="G254" s="2" t="n">
        <x:v>545</x:v>
      </x:c>
      <x:c r="H254" s="21" t="n">
        <x:v>10.79</x:v>
      </x:c>
      <x:c r="I254" s="21" t="n">
        <x:v>0.523</x:v>
      </x:c>
      <x:c r="J254" s="17" t="n">
        <x:f>F254*'Costing'!$H$4</x:f>
        <x:v>6048</x:v>
      </x:c>
      <x:c r="K254" s="17" t="n">
        <x:f>ROUND(J254*'Costing'!$C$4,2)</x:f>
        <x:v>1088.64</x:v>
      </x:c>
      <x:c r="L254" s="17" t="n">
        <x:f>J254+K254</x:f>
        <x:v>7136.64</x:v>
      </x:c>
      <x:c r="M254" s="13" t="n">
        <x:v>19.00274</x:v>
      </x:c>
      <x:c r="N254" s="13" t="n">
        <x:v>72.8247</x:v>
      </x:c>
      <x:c r="O254" s="2" t="str">
        <x:v>https://www.google.com/maps?q=19.00274,72.8247</x:v>
      </x:c>
      <x:c r="P254" s="2" t="str">
        <x:v>CORP-0289, CORP-0322, CORP-0323, CORP-0327, CORP-0332, CORP-0335, CORP-0355</x:v>
      </x:c>
    </x:row>
    <x:row r="255" ht="42" customHeight="1">
      <x:c r="A255" s="10" t="n">
        <x:v>0</x:v>
      </x:c>
      <x:c r="B255" s="12" t="str">
        <x:v>MSDZGBTC</x:v>
      </x:c>
      <x:c r="C255" s="2" t="str">
        <x:v>Mumbai</x:v>
      </x:c>
      <x:c r="D255" s="12" t="str">
        <x:v>Q Residences R2</x:v>
      </x:c>
      <x:c r="E255" s="12" t="str">
        <x:v>Ghansoli</x:v>
      </x:c>
      <x:c r="F255" s="2" t="n">
        <x:v>4</x:v>
      </x:c>
      <x:c r="G255" s="2" t="n">
        <x:v>240</x:v>
      </x:c>
      <x:c r="H255" s="21" t="n">
        <x:v>4.25</x:v>
      </x:c>
      <x:c r="I255" s="21" t="n">
        <x:v>1.13</x:v>
      </x:c>
      <x:c r="J255" s="17" t="n">
        <x:f>F255*'Costing'!$H$4</x:f>
        <x:v>6048</x:v>
      </x:c>
      <x:c r="K255" s="17" t="n">
        <x:f>ROUND(J255*'Costing'!$C$4,2)</x:f>
        <x:v>1088.64</x:v>
      </x:c>
      <x:c r="L255" s="17" t="n">
        <x:f>J255+K255</x:f>
        <x:v>7136.64</x:v>
      </x:c>
      <x:c r="M255" s="13" t="n">
        <x:v>19.10299</x:v>
      </x:c>
      <x:c r="N255" s="13" t="n">
        <x:v>73.01242</x:v>
      </x:c>
      <x:c r="O255" s="2" t="str">
        <x:v>https://www.google.com/maps?q=19.10299,73.01242</x:v>
      </x:c>
      <x:c r="P255" s="2" t="str">
        <x:v>CORP-0310</x:v>
      </x:c>
    </x:row>
    <x:row r="256" ht="42" customHeight="1">
      <x:c r="A256" s="10" t="n">
        <x:v>0</x:v>
      </x:c>
      <x:c r="B256" s="12" t="str">
        <x:v>MSBZ8V6T</x:v>
      </x:c>
      <x:c r="C256" s="2" t="str">
        <x:v>Mumbai</x:v>
      </x:c>
      <x:c r="D256" s="12" t="str">
        <x:v>Q Residences R3</x:v>
      </x:c>
      <x:c r="E256" s="12" t="str">
        <x:v>Ghansoli</x:v>
      </x:c>
      <x:c r="F256" s="2" t="n">
        <x:v>4</x:v>
      </x:c>
      <x:c r="G256" s="2" t="n">
        <x:v>240</x:v>
      </x:c>
      <x:c r="H256" s="21" t="n">
        <x:v>4.25</x:v>
      </x:c>
      <x:c r="I256" s="21" t="n">
        <x:v>2.813</x:v>
      </x:c>
      <x:c r="J256" s="17" t="n">
        <x:f>F256*'Costing'!$H$4</x:f>
        <x:v>6048</x:v>
      </x:c>
      <x:c r="K256" s="17" t="n">
        <x:f>ROUND(J256*'Costing'!$C$4,2)</x:f>
        <x:v>1088.64</x:v>
      </x:c>
      <x:c r="L256" s="17" t="n">
        <x:f>J256+K256</x:f>
        <x:v>7136.64</x:v>
      </x:c>
      <x:c r="M256" s="13" t="n">
        <x:v>19.120227</x:v>
      </x:c>
      <x:c r="N256" s="13" t="n">
        <x:v>73.010409</x:v>
      </x:c>
      <x:c r="O256" s="2" t="str">
        <x:v>https://www.google.com/maps?q=19.120227,73.010409</x:v>
      </x:c>
      <x:c r="P256" s="2" t="str">
        <x:v>CORP-0310, CORP-0333</x:v>
      </x:c>
    </x:row>
    <x:row r="257" ht="42" customHeight="1">
      <x:c r="A257" s="10" t="n">
        <x:v>0</x:v>
      </x:c>
      <x:c r="B257" s="12" t="str">
        <x:v>MS4D4985</x:v>
      </x:c>
      <x:c r="C257" s="2" t="str">
        <x:v>Mumbai</x:v>
      </x:c>
      <x:c r="D257" s="12" t="str">
        <x:v>Raheja Nest</x:v>
      </x:c>
      <x:c r="E257" s="12" t="str">
        <x:v>Andheri</x:v>
      </x:c>
      <x:c r="F257" s="2" t="n">
        <x:v>5</x:v>
      </x:c>
      <x:c r="G257" s="2" t="n">
        <x:v>160</x:v>
      </x:c>
      <x:c r="H257" s="21" t="n">
        <x:v>4.32</x:v>
      </x:c>
      <x:c r="I257" s="21" t="n">
        <x:v>0.811</x:v>
      </x:c>
      <x:c r="J257" s="17" t="n">
        <x:f>F257*'Costing'!$H$4</x:f>
        <x:v>7560</x:v>
      </x:c>
      <x:c r="K257" s="17" t="n">
        <x:f>ROUND(J257*'Costing'!$C$4,2)</x:f>
        <x:v>1360.8</x:v>
      </x:c>
      <x:c r="L257" s="17" t="n">
        <x:f>J257+K257</x:f>
        <x:v>8920.8</x:v>
      </x:c>
      <x:c r="M257" s="13" t="n">
        <x:v>19.11465</x:v>
      </x:c>
      <x:c r="N257" s="13" t="n">
        <x:v>72.89974</x:v>
      </x:c>
      <x:c r="O257" s="2" t="str">
        <x:v>https://www.google.com/maps?q=19.11465,72.89974</x:v>
      </x:c>
      <x:c r="P257" s="2" t="str">
        <x:v>CORP-0344</x:v>
      </x:c>
    </x:row>
    <x:row r="258" ht="42" customHeight="1">
      <x:c r="A258" s="10" t="n">
        <x:v>0</x:v>
      </x:c>
      <x:c r="B258" s="12" t="str">
        <x:v>MSK3K3SX</x:v>
      </x:c>
      <x:c r="C258" s="2" t="str">
        <x:v>Mumbai</x:v>
      </x:c>
      <x:c r="D258" s="12" t="str">
        <x:v>Raheja Ridgewoods</x:v>
      </x:c>
      <x:c r="E258" s="12" t="str">
        <x:v>Goregaon</x:v>
      </x:c>
      <x:c r="F258" s="2" t="n">
        <x:v>7</x:v>
      </x:c>
      <x:c r="G258" s="2" t="n">
        <x:v>278</x:v>
      </x:c>
      <x:c r="H258" s="21" t="n">
        <x:v>6.27</x:v>
      </x:c>
      <x:c r="I258" s="21" t="n">
        <x:v>0.446</x:v>
      </x:c>
      <x:c r="J258" s="17" t="n">
        <x:f>F258*'Costing'!$H$4</x:f>
        <x:v>10584</x:v>
      </x:c>
      <x:c r="K258" s="17" t="n">
        <x:f>ROUND(J258*'Costing'!$C$4,2)</x:f>
        <x:v>1905.12</x:v>
      </x:c>
      <x:c r="L258" s="17" t="n">
        <x:f>J258+K258</x:f>
        <x:v>12489.119999999999</x:v>
      </x:c>
      <x:c r="M258" s="13" t="n">
        <x:v>19.14614</x:v>
      </x:c>
      <x:c r="N258" s="13" t="n">
        <x:v>72.85378</x:v>
      </x:c>
      <x:c r="O258" s="2" t="str">
        <x:v>https://www.google.com/maps?q=19.14614,72.85378</x:v>
      </x:c>
      <x:c r="P258" s="2" t="str">
        <x:v>CORP-0297, CORP-0305, CORP-0326, CORP-0351</x:v>
      </x:c>
    </x:row>
    <x:row r="259" ht="42" customHeight="1">
      <x:c r="A259" s="10" t="n">
        <x:v>0</x:v>
      </x:c>
      <x:c r="B259" s="12" t="str">
        <x:v>GMS7HSP1K</x:v>
      </x:c>
      <x:c r="C259" s="2" t="str">
        <x:v>Mumbai</x:v>
      </x:c>
      <x:c r="D259" s="12" t="str">
        <x:v>Raj Legacy</x:v>
      </x:c>
      <x:c r="E259" s="12" t="str">
        <x:v>Vikhroli</x:v>
      </x:c>
      <x:c r="F259" s="2" t="n">
        <x:v>24</x:v>
      </x:c>
      <x:c r="G259" s="2" t="n">
        <x:v>0</x:v>
      </x:c>
      <x:c r="H259" s="21" t="n">
        <x:v>5</x:v>
      </x:c>
      <x:c r="I259" s="21" t="n">
        <x:v>0.368</x:v>
      </x:c>
      <x:c r="J259" s="17" t="n">
        <x:f>F259*'Costing'!$H$4</x:f>
        <x:v>36288</x:v>
      </x:c>
      <x:c r="K259" s="17" t="n">
        <x:f>ROUND(J259*'Costing'!$C$4,2)</x:f>
        <x:v>6531.84</x:v>
      </x:c>
      <x:c r="L259" s="17" t="n">
        <x:f>J259+K259</x:f>
        <x:v>42819.84</x:v>
      </x:c>
      <x:c r="M259" s="13" t="n">
        <x:v>19.11704722</x:v>
      </x:c>
      <x:c r="N259" s="13" t="n">
        <x:v>72.92717635</x:v>
      </x:c>
      <x:c r="O259" s="2" t="str">
        <x:v>https://www.google.com/maps?q=19.11704722,72.92717635</x:v>
      </x:c>
      <x:c r="P259" s="2" t="str">
        <x:v>CORP-0357</x:v>
      </x:c>
    </x:row>
    <x:row r="260" ht="42" customHeight="1">
      <x:c r="A260" s="10" t="n">
        <x:v>0</x:v>
      </x:c>
      <x:c r="B260" s="12" t="str">
        <x:v>MS47R8D6</x:v>
      </x:c>
      <x:c r="C260" s="2" t="str">
        <x:v>Mumbai</x:v>
      </x:c>
      <x:c r="D260" s="12" t="str">
        <x:v>Rajendra Nagar Shree Ganesh Chsl( Kaustubh Platinum)</x:v>
      </x:c>
      <x:c r="E260" s="12" t="str">
        <x:v>Borivali</x:v>
      </x:c>
      <x:c r="F260" s="2" t="n">
        <x:v>5</x:v>
      </x:c>
      <x:c r="G260" s="2" t="n">
        <x:v>172</x:v>
      </x:c>
      <x:c r="H260" s="21" t="n">
        <x:v>4</x:v>
      </x:c>
      <x:c r="I260" s="21" t="n">
        <x:v>0.75</x:v>
      </x:c>
      <x:c r="J260" s="17" t="n">
        <x:f>F260*'Costing'!$H$4</x:f>
        <x:v>7560</x:v>
      </x:c>
      <x:c r="K260" s="17" t="n">
        <x:f>ROUND(J260*'Costing'!$C$4,2)</x:f>
        <x:v>1360.8</x:v>
      </x:c>
      <x:c r="L260" s="17" t="n">
        <x:f>J260+K260</x:f>
        <x:v>8920.8</x:v>
      </x:c>
      <x:c r="M260" s="13" t="n">
        <x:v>19.22139</x:v>
      </x:c>
      <x:c r="N260" s="13" t="n">
        <x:v>72.85708</x:v>
      </x:c>
      <x:c r="O260" s="2" t="str">
        <x:v>https://www.google.com/maps?q=19.22139,72.85708</x:v>
      </x:c>
      <x:c r="P260" s="2" t="str">
        <x:v>CORP-0303, CORP-0347</x:v>
      </x:c>
    </x:row>
    <x:row r="261" ht="42" customHeight="1">
      <x:c r="A261" s="10" t="n">
        <x:v>0</x:v>
      </x:c>
      <x:c r="B261" s="12" t="str">
        <x:v>MS1DTGDG</x:v>
      </x:c>
      <x:c r="C261" s="2" t="str">
        <x:v>Mumbai</x:v>
      </x:c>
      <x:c r="D261" s="12" t="str">
        <x:v>RAJKAMAL BAYSIDE CO-OP. HSG SOC LTD</x:v>
      </x:c>
      <x:c r="E261" s="12" t="str">
        <x:v>CBD Belapur</x:v>
      </x:c>
      <x:c r="F261" s="2" t="n">
        <x:v>5</x:v>
      </x:c>
      <x:c r="G261" s="2" t="n">
        <x:v>110</x:v>
      </x:c>
      <x:c r="H261" s="21" t="n">
        <x:v>29.99</x:v>
      </x:c>
      <x:c r="I261" s="21" t="n">
        <x:v>0.475</x:v>
      </x:c>
      <x:c r="J261" s="17" t="n">
        <x:f>F261*'Costing'!$H$4</x:f>
        <x:v>7560</x:v>
      </x:c>
      <x:c r="K261" s="17" t="n">
        <x:f>ROUND(J261*'Costing'!$C$4,2)</x:f>
        <x:v>1360.8</x:v>
      </x:c>
      <x:c r="L261" s="17" t="n">
        <x:f>J261+K261</x:f>
        <x:v>8920.8</x:v>
      </x:c>
      <x:c r="M261" s="13" t="n">
        <x:v>19.00680923461914</x:v>
      </x:c>
      <x:c r="N261" s="13" t="n">
        <x:v>73.0320816040039</x:v>
      </x:c>
      <x:c r="O261" s="2" t="str">
        <x:v>https://www.google.com/maps?q=19.00680923461914,73.0320816040039</x:v>
      </x:c>
      <x:c r="P261" s="2" t="str">
        <x:v>CORP-0320</x:v>
      </x:c>
    </x:row>
    <x:row r="262" ht="42" customHeight="1">
      <x:c r="A262" s="10" t="n">
        <x:v>0</x:v>
      </x:c>
      <x:c r="B262" s="12" t="str">
        <x:v>MS5MYFCA</x:v>
      </x:c>
      <x:c r="C262" s="2" t="str">
        <x:v>Mumbai</x:v>
      </x:c>
      <x:c r="D262" s="12" t="str">
        <x:v>Regency Crest Chsl</x:v>
      </x:c>
      <x:c r="E262" s="12" t="str">
        <x:v>Kharghar</x:v>
      </x:c>
      <x:c r="F262" s="2" t="n">
        <x:v>6</x:v>
      </x:c>
      <x:c r="G262" s="2" t="n">
        <x:v>149</x:v>
      </x:c>
      <x:c r="H262" s="21" t="n">
        <x:v>3.35</x:v>
      </x:c>
      <x:c r="I262" s="21" t="n">
        <x:v>0.718</x:v>
      </x:c>
      <x:c r="J262" s="17" t="n">
        <x:f>F262*'Costing'!$H$4</x:f>
        <x:v>9072</x:v>
      </x:c>
      <x:c r="K262" s="17" t="n">
        <x:f>ROUND(J262*'Costing'!$C$4,2)</x:f>
        <x:v>1632.96</x:v>
      </x:c>
      <x:c r="L262" s="17" t="n">
        <x:f>J262+K262</x:f>
        <x:v>10704.96</x:v>
      </x:c>
      <x:c r="M262" s="13" t="n">
        <x:v>19.04859</x:v>
      </x:c>
      <x:c r="N262" s="13" t="n">
        <x:v>73.07658</x:v>
      </x:c>
      <x:c r="O262" s="2" t="str">
        <x:v>https://www.google.com/maps?q=19.04859,73.07658</x:v>
      </x:c>
      <x:c r="P262" s="2" t="str">
        <x:v>CORP-0311</x:v>
      </x:c>
    </x:row>
    <x:row r="263" ht="42" customHeight="1">
      <x:c r="A263" s="10" t="n">
        <x:v>0</x:v>
      </x:c>
      <x:c r="B263" s="12" t="str">
        <x:v>MSDSA1BN</x:v>
      </x:c>
      <x:c r="C263" s="2" t="str">
        <x:v>Mumbai</x:v>
      </x:c>
      <x:c r="D263" s="12" t="str">
        <x:v>Riddhi Siddhi Apartments</x:v>
      </x:c>
      <x:c r="E263" s="12" t="str">
        <x:v>Matunga</x:v>
      </x:c>
      <x:c r="F263" s="2" t="n">
        <x:v>5</x:v>
      </x:c>
      <x:c r="G263" s="2" t="n">
        <x:v>125</x:v>
      </x:c>
      <x:c r="H263" s="21" t="n">
        <x:v>8.1</x:v>
      </x:c>
      <x:c r="I263" s="21" t="n">
        <x:v>1.86</x:v>
      </x:c>
      <x:c r="J263" s="17" t="n">
        <x:f>F263*'Costing'!$H$4</x:f>
        <x:v>7560</x:v>
      </x:c>
      <x:c r="K263" s="17" t="n">
        <x:f>ROUND(J263*'Costing'!$C$4,2)</x:f>
        <x:v>1360.8</x:v>
      </x:c>
      <x:c r="L263" s="17" t="n">
        <x:f>J263+K263</x:f>
        <x:v>8920.8</x:v>
      </x:c>
      <x:c r="M263" s="13" t="n">
        <x:v>19.027185440063477</x:v>
      </x:c>
      <x:c r="N263" s="13" t="n">
        <x:v>72.85980224609375</x:v>
      </x:c>
      <x:c r="O263" s="2" t="str">
        <x:v>https://www.google.com/maps?q=19.027185440063477,72.85980224609375</x:v>
      </x:c>
      <x:c r="P263" s="2" t="str">
        <x:v>CORP-0298</x:v>
      </x:c>
    </x:row>
    <x:row r="264" ht="42" customHeight="1">
      <x:c r="A264" s="10" t="n">
        <x:v>0</x:v>
      </x:c>
      <x:c r="B264" s="12" t="str">
        <x:v>MSTH5RAQ</x:v>
      </x:c>
      <x:c r="C264" s="2" t="str">
        <x:v>Mumbai</x:v>
      </x:c>
      <x:c r="D264" s="12" t="str">
        <x:v>Rosa Royale</x:v>
      </x:c>
      <x:c r="E264" s="12" t="str">
        <x:v>Kolshet</x:v>
      </x:c>
      <x:c r="F264" s="2" t="n">
        <x:v>6</x:v>
      </x:c>
      <x:c r="G264" s="2" t="n">
        <x:v>150</x:v>
      </x:c>
      <x:c r="H264" s="21" t="n">
        <x:v>2</x:v>
      </x:c>
      <x:c r="I264" s="21" t="n">
        <x:v>0.566</x:v>
      </x:c>
      <x:c r="J264" s="17" t="n">
        <x:f>F264*'Costing'!$H$4</x:f>
        <x:v>9072</x:v>
      </x:c>
      <x:c r="K264" s="17" t="n">
        <x:f>ROUND(J264*'Costing'!$C$4,2)</x:f>
        <x:v>1632.96</x:v>
      </x:c>
      <x:c r="L264" s="17" t="n">
        <x:f>J264+K264</x:f>
        <x:v>10704.96</x:v>
      </x:c>
      <x:c r="M264" s="13" t="n">
        <x:v>19.258882522583008</x:v>
      </x:c>
      <x:c r="N264" s="13" t="n">
        <x:v>72.97833251953125</x:v>
      </x:c>
      <x:c r="O264" s="2" t="str">
        <x:v>https://www.google.com/maps?q=19.258882522583008,72.97833251953125</x:v>
      </x:c>
      <x:c r="P264" s="2" t="str">
        <x:v>CORP-0358</x:v>
      </x:c>
    </x:row>
    <x:row r="265" ht="42" customHeight="1">
      <x:c r="A265" s="10" t="n">
        <x:v>0</x:v>
      </x:c>
      <x:c r="B265" s="12" t="str">
        <x:v>MSN5134P</x:v>
      </x:c>
      <x:c r="C265" s="2" t="str">
        <x:v>Mumbai</x:v>
      </x:c>
      <x:c r="D265" s="12" t="str">
        <x:v>Royal Classic Chsl</x:v>
      </x:c>
      <x:c r="E265" s="12" t="str">
        <x:v>Andheri</x:v>
      </x:c>
      <x:c r="F265" s="2" t="n">
        <x:v>9</x:v>
      </x:c>
      <x:c r="G265" s="2" t="n">
        <x:v>426</x:v>
      </x:c>
      <x:c r="H265" s="21" t="n">
        <x:v>5.8</x:v>
      </x:c>
      <x:c r="I265" s="21" t="n">
        <x:v>0.514</x:v>
      </x:c>
      <x:c r="J265" s="17" t="n">
        <x:f>F265*'Costing'!$H$4</x:f>
        <x:v>13608</x:v>
      </x:c>
      <x:c r="K265" s="17" t="n">
        <x:f>ROUND(J265*'Costing'!$C$4,2)</x:f>
        <x:v>2449.44</x:v>
      </x:c>
      <x:c r="L265" s="17" t="n">
        <x:f>J265+K265</x:f>
        <x:v>16057.44</x:v>
      </x:c>
      <x:c r="M265" s="13" t="n">
        <x:v>19.139755249023438</x:v>
      </x:c>
      <x:c r="N265" s="13" t="n">
        <x:v>72.83051300048828</x:v>
      </x:c>
      <x:c r="O265" s="2" t="str">
        <x:v>https://www.google.com/maps?q=19.139755249023438,72.83051300048828</x:v>
      </x:c>
      <x:c r="P265" s="2" t="str">
        <x:v>CORP-0296</x:v>
      </x:c>
    </x:row>
    <x:row r="266" ht="42" customHeight="1">
      <x:c r="A266" s="10" t="n">
        <x:v>0</x:v>
      </x:c>
      <x:c r="B266" s="12" t="str">
        <x:v>MS7XXH2D</x:v>
      </x:c>
      <x:c r="C266" s="2" t="str">
        <x:v>Mumbai</x:v>
      </x:c>
      <x:c r="D266" s="12" t="str">
        <x:v>Runwal Anthurium Chsl</x:v>
      </x:c>
      <x:c r="E266" s="12" t="str">
        <x:v>Mulund</x:v>
      </x:c>
      <x:c r="F266" s="2" t="n">
        <x:v>5</x:v>
      </x:c>
      <x:c r="G266" s="2" t="n">
        <x:v>724</x:v>
      </x:c>
      <x:c r="H266" s="21" t="n">
        <x:v>6.5</x:v>
      </x:c>
      <x:c r="I266" s="21" t="n">
        <x:v>1.119</x:v>
      </x:c>
      <x:c r="J266" s="17" t="n">
        <x:f>F266*'Costing'!$H$4</x:f>
        <x:v>7560</x:v>
      </x:c>
      <x:c r="K266" s="17" t="n">
        <x:f>ROUND(J266*'Costing'!$C$4,2)</x:f>
        <x:v>1360.8</x:v>
      </x:c>
      <x:c r="L266" s="17" t="n">
        <x:f>J266+K266</x:f>
        <x:v>8920.8</x:v>
      </x:c>
      <x:c r="M266" s="13" t="n">
        <x:v>19.18122673034668</x:v>
      </x:c>
      <x:c r="N266" s="13" t="n">
        <x:v>72.94688415527344</x:v>
      </x:c>
      <x:c r="O266" s="2" t="str">
        <x:v>https://www.google.com/maps?q=19.18122673034668,72.94688415527344</x:v>
      </x:c>
      <x:c r="P266" s="2" t="str">
        <x:v>CORP-0290, CORP-0294, CORP-0306, CORP-0307, CORP-0315</x:v>
      </x:c>
    </x:row>
    <x:row r="267" ht="42" customHeight="1">
      <x:c r="A267" s="10" t="n">
        <x:v>0</x:v>
      </x:c>
      <x:c r="B267" s="12" t="str">
        <x:v>GMS0TWWDA</x:v>
      </x:c>
      <x:c r="C267" s="2" t="str">
        <x:v>Mumbai</x:v>
      </x:c>
      <x:c r="D267" s="12" t="str">
        <x:v>Runwal Greens</x:v>
      </x:c>
      <x:c r="E267" s="12" t="str">
        <x:v>Mulund</x:v>
      </x:c>
      <x:c r="F267" s="2" t="n">
        <x:v>69</x:v>
      </x:c>
      <x:c r="G267" s="2" t="n">
        <x:v>0</x:v>
      </x:c>
      <x:c r="H267" s="21" t="n">
        <x:v>6.5</x:v>
      </x:c>
      <x:c r="I267" s="21" t="n">
        <x:v>1.263</x:v>
      </x:c>
      <x:c r="J267" s="17" t="n">
        <x:f>F267*'Costing'!$H$4</x:f>
        <x:v>104328</x:v>
      </x:c>
      <x:c r="K267" s="17" t="n">
        <x:f>ROUND(J267*'Costing'!$C$4,2)</x:f>
        <x:v>18779.04</x:v>
      </x:c>
      <x:c r="L267" s="17" t="n">
        <x:f>J267+K267</x:f>
        <x:v>123107.04000000001</x:v>
      </x:c>
      <x:c r="M267" s="13" t="n">
        <x:v>19.16145835</x:v>
      </x:c>
      <x:c r="N267" s="13" t="n">
        <x:v>72.94404477</x:v>
      </x:c>
      <x:c r="O267" s="2" t="str">
        <x:v>https://www.google.com/maps?q=19.16145835,72.94404477</x:v>
      </x:c>
      <x:c r="P267" s="2" t="str">
        <x:v>CORP-0290</x:v>
      </x:c>
    </x:row>
    <x:row r="268" ht="42" customHeight="1">
      <x:c r="A268" s="10" t="n">
        <x:v>0</x:v>
      </x:c>
      <x:c r="B268" s="12" t="str">
        <x:v>MS30KNJ1, MSZKWRMC</x:v>
      </x:c>
      <x:c r="C268" s="2" t="str">
        <x:v>Mumbai</x:v>
      </x:c>
      <x:c r="D268" s="12" t="str">
        <x:v>Rustomjee Central Park</x:v>
      </x:c>
      <x:c r="E268" s="12" t="str">
        <x:v>Andheri</x:v>
      </x:c>
      <x:c r="F268" s="2" t="n">
        <x:v>10</x:v>
      </x:c>
      <x:c r="G268" s="2" t="n">
        <x:v>133</x:v>
      </x:c>
      <x:c r="H268" s="21" t="n">
        <x:v>6</x:v>
      </x:c>
      <x:c r="I268" s="21" t="n">
        <x:v>0.412</x:v>
      </x:c>
      <x:c r="J268" s="17" t="n">
        <x:f>F268*'Costing'!$H$4</x:f>
        <x:v>15120</x:v>
      </x:c>
      <x:c r="K268" s="17" t="n">
        <x:f>ROUND(J268*'Costing'!$C$4,2)</x:f>
        <x:v>2721.6</x:v>
      </x:c>
      <x:c r="L268" s="17" t="n">
        <x:f>J268+K268</x:f>
        <x:v>17841.6</x:v>
      </x:c>
      <x:c r="M268" s="13" t="n">
        <x:v>19.11461</x:v>
      </x:c>
      <x:c r="N268" s="13" t="n">
        <x:v>72.860782</x:v>
      </x:c>
      <x:c r="O268" s="2" t="str">
        <x:v>https://www.google.com/maps?q=19.11461,72.860782</x:v>
      </x:c>
      <x:c r="P268" s="2" t="str">
        <x:v>CORP-0314, CORP-0328, CORP-0331, CORP-0346, CORP-0356</x:v>
      </x:c>
    </x:row>
    <x:row r="269" ht="42" customHeight="1">
      <x:c r="A269" s="10" t="n">
        <x:v>0</x:v>
      </x:c>
      <x:c r="B269" s="12" t="str">
        <x:v>MSVR9172</x:v>
      </x:c>
      <x:c r="C269" s="2" t="str">
        <x:v>Mumbai</x:v>
      </x:c>
      <x:c r="D269" s="12" t="str">
        <x:v>Rustomjee Ozone</x:v>
      </x:c>
      <x:c r="E269" s="12" t="str">
        <x:v>Goregaon</x:v>
      </x:c>
      <x:c r="F269" s="2" t="n">
        <x:v>12</x:v>
      </x:c>
      <x:c r="G269" s="2" t="n">
        <x:v>449</x:v>
      </x:c>
      <x:c r="H269" s="21" t="n">
        <x:v>11.77</x:v>
      </x:c>
      <x:c r="I269" s="21" t="n">
        <x:v>0.142</x:v>
      </x:c>
      <x:c r="J269" s="17" t="n">
        <x:f>F269*'Costing'!$H$4</x:f>
        <x:v>18144</x:v>
      </x:c>
      <x:c r="K269" s="17" t="n">
        <x:f>ROUND(J269*'Costing'!$C$4,2)</x:f>
        <x:v>3265.92</x:v>
      </x:c>
      <x:c r="L269" s="17" t="n">
        <x:f>J269+K269</x:f>
        <x:v>21409.92</x:v>
      </x:c>
      <x:c r="M269" s="13" t="n">
        <x:v>19.173307418823242</x:v>
      </x:c>
      <x:c r="N269" s="13" t="n">
        <x:v>72.8415756225586</x:v>
      </x:c>
      <x:c r="O269" s="2" t="str">
        <x:v>https://www.google.com/maps?q=19.173307418823242,72.8415756225586</x:v>
      </x:c>
      <x:c r="P269" s="2" t="str">
        <x:v>CORP-0316, CORP-0330, CORP-0338, CORP-0354</x:v>
      </x:c>
    </x:row>
    <x:row r="270" ht="42" customHeight="1">
      <x:c r="A270" s="10" t="n">
        <x:v>0</x:v>
      </x:c>
      <x:c r="B270" s="12" t="str">
        <x:v>MSES5DJ9</x:v>
      </x:c>
      <x:c r="C270" s="2" t="str">
        <x:v>Mumbai</x:v>
      </x:c>
      <x:c r="D270" s="12" t="str">
        <x:v>Sai Milan</x:v>
      </x:c>
      <x:c r="E270" s="12" t="str">
        <x:v>Lower Parel</x:v>
      </x:c>
      <x:c r="F270" s="2" t="n">
        <x:v>4</x:v>
      </x:c>
      <x:c r="G270" s="2" t="n">
        <x:v>234</x:v>
      </x:c>
      <x:c r="H270" s="21" t="n">
        <x:v>13.58</x:v>
      </x:c>
      <x:c r="I270" s="21" t="n">
        <x:v>0.895</x:v>
      </x:c>
      <x:c r="J270" s="17" t="n">
        <x:f>F270*'Costing'!$H$4</x:f>
        <x:v>6048</x:v>
      </x:c>
      <x:c r="K270" s="17" t="n">
        <x:f>ROUND(J270*'Costing'!$C$4,2)</x:f>
        <x:v>1088.64</x:v>
      </x:c>
      <x:c r="L270" s="17" t="n">
        <x:f>J270+K270</x:f>
        <x:v>7136.64</x:v>
      </x:c>
      <x:c r="M270" s="13" t="n">
        <x:v>18.99815</x:v>
      </x:c>
      <x:c r="N270" s="13" t="n">
        <x:v>72.81988</x:v>
      </x:c>
      <x:c r="O270" s="2" t="str">
        <x:v>https://www.google.com/maps?q=18.99815,72.81988</x:v>
      </x:c>
      <x:c r="P270" s="2" t="str">
        <x:v>CORP-0289, CORP-0322, CORP-0323, CORP-0327, CORP-0332, CORP-0335, CORP-0355</x:v>
      </x:c>
    </x:row>
    <x:row r="271" ht="42" customHeight="1">
      <x:c r="A271" s="10" t="n">
        <x:v>0</x:v>
      </x:c>
      <x:c r="B271" s="12" t="str">
        <x:v>MS3BNVPP</x:v>
      </x:c>
      <x:c r="C271" s="2" t="str">
        <x:v>Mumbai</x:v>
      </x:c>
      <x:c r="D271" s="12" t="str">
        <x:v>Sai Sthaan Chsl</x:v>
      </x:c>
      <x:c r="E271" s="12" t="str">
        <x:v>Nerul</x:v>
      </x:c>
      <x:c r="F271" s="2" t="n">
        <x:v>8</x:v>
      </x:c>
      <x:c r="G271" s="2" t="n">
        <x:v>128</x:v>
      </x:c>
      <x:c r="H271" s="21" t="n">
        <x:v>3.29</x:v>
      </x:c>
      <x:c r="I271" s="21" t="n">
        <x:v>1.489</x:v>
      </x:c>
      <x:c r="J271" s="17" t="n">
        <x:f>F271*'Costing'!$H$4</x:f>
        <x:v>12096</x:v>
      </x:c>
      <x:c r="K271" s="17" t="n">
        <x:f>ROUND(J271*'Costing'!$C$4,2)</x:f>
        <x:v>2177.28</x:v>
      </x:c>
      <x:c r="L271" s="17" t="n">
        <x:f>J271+K271</x:f>
        <x:v>14273.28</x:v>
      </x:c>
      <x:c r="M271" s="13" t="n">
        <x:v>19.04214</x:v>
      </x:c>
      <x:c r="N271" s="13" t="n">
        <x:v>73.01933</x:v>
      </x:c>
      <x:c r="O271" s="2" t="str">
        <x:v>https://www.google.com/maps?q=19.04214,73.01933</x:v>
      </x:c>
      <x:c r="P271" s="2" t="str">
        <x:v>CORP-0336</x:v>
      </x:c>
    </x:row>
    <x:row r="272" ht="42" customHeight="1">
      <x:c r="A272" s="10" t="n">
        <x:v>0</x:v>
      </x:c>
      <x:c r="B272" s="12" t="str">
        <x:v>MSTGVB6P</x:v>
      </x:c>
      <x:c r="C272" s="2" t="str">
        <x:v>Mumbai</x:v>
      </x:c>
      <x:c r="D272" s="12" t="str">
        <x:v>Samarpan Exotica Chsl</x:v>
      </x:c>
      <x:c r="E272" s="12" t="str">
        <x:v>Borivali</x:v>
      </x:c>
      <x:c r="F272" s="2" t="n">
        <x:v>4</x:v>
      </x:c>
      <x:c r="G272" s="2" t="n">
        <x:v>198</x:v>
      </x:c>
      <x:c r="H272" s="21" t="n">
        <x:v>6.44</x:v>
      </x:c>
      <x:c r="I272" s="21" t="n">
        <x:v>0.07</x:v>
      </x:c>
      <x:c r="J272" s="17" t="n">
        <x:f>F272*'Costing'!$H$4</x:f>
        <x:v>6048</x:v>
      </x:c>
      <x:c r="K272" s="17" t="n">
        <x:f>ROUND(J272*'Costing'!$C$4,2)</x:f>
        <x:v>1088.64</x:v>
      </x:c>
      <x:c r="L272" s="17" t="n">
        <x:f>J272+K272</x:f>
        <x:v>7136.64</x:v>
      </x:c>
      <x:c r="M272" s="13" t="n">
        <x:v>19.21923065185547</x:v>
      </x:c>
      <x:c r="N272" s="13" t="n">
        <x:v>72.86331176757812</x:v>
      </x:c>
      <x:c r="O272" s="2" t="str">
        <x:v>https://www.google.com/maps?q=19.21923065185547,72.86331176757812</x:v>
      </x:c>
      <x:c r="P272" s="2" t="str">
        <x:v>CORP-0303, CORP-0347</x:v>
      </x:c>
    </x:row>
    <x:row r="273" ht="42" customHeight="1">
      <x:c r="A273" s="10" t="n">
        <x:v>0</x:v>
      </x:c>
      <x:c r="B273" s="12" t="str">
        <x:v>MSS409Z6</x:v>
      </x:c>
      <x:c r="C273" s="2" t="str">
        <x:v>Mumbai</x:v>
      </x:c>
      <x:c r="D273" s="12" t="str">
        <x:v>Satellite Tower Chsl</x:v>
      </x:c>
      <x:c r="E273" s="12" t="str">
        <x:v>Goregaon</x:v>
      </x:c>
      <x:c r="F273" s="2" t="n">
        <x:v>8</x:v>
      </x:c>
      <x:c r="G273" s="2" t="n">
        <x:v>245</x:v>
      </x:c>
      <x:c r="H273" s="21" t="n">
        <x:v>4.5</x:v>
      </x:c>
      <x:c r="I273" s="21" t="n">
        <x:v>1.481</x:v>
      </x:c>
      <x:c r="J273" s="17" t="n">
        <x:f>F273*'Costing'!$H$4</x:f>
        <x:v>12096</x:v>
      </x:c>
      <x:c r="K273" s="17" t="n">
        <x:f>ROUND(J273*'Costing'!$C$4,2)</x:f>
        <x:v>2177.28</x:v>
      </x:c>
      <x:c r="L273" s="17" t="n">
        <x:f>J273+K273</x:f>
        <x:v>14273.28</x:v>
      </x:c>
      <x:c r="M273" s="13" t="n">
        <x:v>19.173902</x:v>
      </x:c>
      <x:c r="N273" s="13" t="n">
        <x:v>72.873816</x:v>
      </x:c>
      <x:c r="O273" s="2" t="str">
        <x:v>https://www.google.com/maps?q=19.173902,72.873816</x:v>
      </x:c>
      <x:c r="P273" s="2" t="str">
        <x:v>CORP-0352</x:v>
      </x:c>
    </x:row>
    <x:row r="274" ht="42" customHeight="1">
      <x:c r="A274" s="10" t="n">
        <x:v>0</x:v>
      </x:c>
      <x:c r="B274" s="12" t="str">
        <x:v>GMSES84VM</x:v>
      </x:c>
      <x:c r="C274" s="2" t="str">
        <x:v>Mumbai</x:v>
      </x:c>
      <x:c r="D274" s="12" t="str">
        <x:v>Sheth Avalon</x:v>
      </x:c>
      <x:c r="E274" s="12" t="str">
        <x:v>Thane West</x:v>
      </x:c>
      <x:c r="F274" s="2" t="n">
        <x:v>9</x:v>
      </x:c>
      <x:c r="G274" s="2" t="n">
        <x:v>0</x:v>
      </x:c>
      <x:c r="H274" s="21" t="n">
        <x:v>11.38</x:v>
      </x:c>
      <x:c r="I274" s="21" t="n">
        <x:v>0.262</x:v>
      </x:c>
      <x:c r="J274" s="17" t="n">
        <x:f>F274*'Costing'!$H$4</x:f>
        <x:v>13608</x:v>
      </x:c>
      <x:c r="K274" s="17" t="n">
        <x:f>ROUND(J274*'Costing'!$C$4,2)</x:f>
        <x:v>2449.44</x:v>
      </x:c>
      <x:c r="L274" s="17" t="n">
        <x:f>J274+K274</x:f>
        <x:v>16057.44</x:v>
      </x:c>
      <x:c r="M274" s="13" t="n">
        <x:v>19.20996</x:v>
      </x:c>
      <x:c r="N274" s="13" t="n">
        <x:v>72.973464</x:v>
      </x:c>
      <x:c r="O274" s="2" t="str">
        <x:v>https://www.google.com/maps?q=19.20996,72.973464</x:v>
      </x:c>
      <x:c r="P274" s="2" t="str">
        <x:v>CORP-0295, CORP-0306, CORP-0307, CORP-0317</x:v>
      </x:c>
    </x:row>
    <x:row r="275" ht="42" customHeight="1">
      <x:c r="A275" s="10" t="n">
        <x:v>0</x:v>
      </x:c>
      <x:c r="B275" s="12" t="str">
        <x:v>MS40VDWV</x:v>
      </x:c>
      <x:c r="C275" s="2" t="str">
        <x:v>Mumbai</x:v>
      </x:c>
      <x:c r="D275" s="12" t="str">
        <x:v>Signia Oceans Chsl</x:v>
      </x:c>
      <x:c r="E275" s="12" t="str">
        <x:v>Airoli</x:v>
      </x:c>
      <x:c r="F275" s="2" t="n">
        <x:v>4</x:v>
      </x:c>
      <x:c r="G275" s="2" t="n">
        <x:v>80</x:v>
      </x:c>
      <x:c r="H275" s="21" t="n">
        <x:v>6.11</x:v>
      </x:c>
      <x:c r="I275" s="21" t="n">
        <x:v>2.289</x:v>
      </x:c>
      <x:c r="J275" s="17" t="n">
        <x:f>F275*'Costing'!$H$4</x:f>
        <x:v>6048</x:v>
      </x:c>
      <x:c r="K275" s="17" t="n">
        <x:f>ROUND(J275*'Costing'!$C$4,2)</x:f>
        <x:v>1088.64</x:v>
      </x:c>
      <x:c r="L275" s="17" t="n">
        <x:f>J275+K275</x:f>
        <x:v>7136.64</x:v>
      </x:c>
      <x:c r="M275" s="13" t="n">
        <x:v>19.14385</x:v>
      </x:c>
      <x:c r="N275" s="13" t="n">
        <x:v>72.990759</x:v>
      </x:c>
      <x:c r="O275" s="2" t="str">
        <x:v>https://www.google.com/maps?q=19.14385,72.990759</x:v>
      </x:c>
      <x:c r="P275" s="2" t="str">
        <x:v>CORP-0293, CORP-0610, CORP-0611, CORP-0612, CORP-0613, CORP-0313, CORP-0333, CORP-0334</x:v>
      </x:c>
    </x:row>
    <x:row r="276" ht="42" customHeight="1">
      <x:c r="A276" s="10" t="n">
        <x:v>0</x:v>
      </x:c>
      <x:c r="B276" s="12" t="str">
        <x:v>MSK0QD45</x:v>
      </x:c>
      <x:c r="C276" s="2" t="str">
        <x:v>Mumbai</x:v>
      </x:c>
      <x:c r="D276" s="12" t="str">
        <x:v>The Om Harmony Chsl</x:v>
      </x:c>
      <x:c r="E276" s="12" t="str">
        <x:v>Kharghar</x:v>
      </x:c>
      <x:c r="F276" s="2" t="n">
        <x:v>10</x:v>
      </x:c>
      <x:c r="G276" s="2" t="n">
        <x:v>231</x:v>
      </x:c>
      <x:c r="H276" s="21" t="n">
        <x:v>3</x:v>
      </x:c>
      <x:c r="I276" s="21" t="n">
        <x:v>1.176</x:v>
      </x:c>
      <x:c r="J276" s="17" t="n">
        <x:f>F276*'Costing'!$H$4</x:f>
        <x:v>15120</x:v>
      </x:c>
      <x:c r="K276" s="17" t="n">
        <x:f>ROUND(J276*'Costing'!$C$4,2)</x:f>
        <x:v>2721.6</x:v>
      </x:c>
      <x:c r="L276" s="17" t="n">
        <x:f>J276+K276</x:f>
        <x:v>17841.6</x:v>
      </x:c>
      <x:c r="M276" s="13" t="n">
        <x:v>19.03525404</x:v>
      </x:c>
      <x:c r="N276" s="13" t="n">
        <x:v>73.07726741</x:v>
      </x:c>
      <x:c r="O276" s="2" t="str">
        <x:v>https://www.google.com/maps?q=19.03525404,73.07726741</x:v>
      </x:c>
      <x:c r="P276" s="2" t="str">
        <x:v>CORP-0345</x:v>
      </x:c>
    </x:row>
    <x:row r="277" ht="42" customHeight="1">
      <x:c r="A277" s="10" t="n">
        <x:v>0</x:v>
      </x:c>
      <x:c r="B277" s="12" t="str">
        <x:v>MSFKBRHC, MSWR4SYD</x:v>
      </x:c>
      <x:c r="C277" s="2" t="str">
        <x:v>Mumbai</x:v>
      </x:c>
      <x:c r="D277" s="12" t="str">
        <x:v>The Palm Complex C.H.S Federation Ltd</x:v>
      </x:c>
      <x:c r="E277" s="12" t="str">
        <x:v>Malad</x:v>
      </x:c>
      <x:c r="F277" s="2" t="n">
        <x:v>26</x:v>
      </x:c>
      <x:c r="G277" s="2" t="n">
        <x:v>1250</x:v>
      </x:c>
      <x:c r="H277" s="21" t="n">
        <x:v>4.5</x:v>
      </x:c>
      <x:c r="I277" s="21" t="n">
        <x:v>0.693</x:v>
      </x:c>
      <x:c r="J277" s="17" t="n">
        <x:f>F277*'Costing'!$H$4</x:f>
        <x:v>39312</x:v>
      </x:c>
      <x:c r="K277" s="17" t="n">
        <x:f>ROUND(J277*'Costing'!$C$4,2)</x:f>
        <x:v>7076.16</x:v>
      </x:c>
      <x:c r="L277" s="17" t="n">
        <x:f>J277+K277</x:f>
        <x:v>46388.16</x:v>
      </x:c>
      <x:c r="M277" s="13" t="n">
        <x:v>19.18678</x:v>
      </x:c>
      <x:c r="N277" s="13" t="n">
        <x:v>72.83368</x:v>
      </x:c>
      <x:c r="O277" s="2" t="str">
        <x:v>https://www.google.com/maps?q=19.18678,72.83368</x:v>
      </x:c>
      <x:c r="P277" s="2" t="str">
        <x:v>CORP-0316, CORP-0330, CORP-0338, CORP-0354</x:v>
      </x:c>
    </x:row>
    <x:row r="278" ht="42" customHeight="1">
      <x:c r="A278" s="10" t="n">
        <x:v>0</x:v>
      </x:c>
      <x:c r="B278" s="12" t="str">
        <x:v>MSMJCY8G, MSSJM8FY</x:v>
      </x:c>
      <x:c r="C278" s="2" t="str">
        <x:v>Mumbai</x:v>
      </x:c>
      <x:c r="D278" s="12" t="str">
        <x:v>The Palms Chs79</x:v>
      </x:c>
      <x:c r="E278" s="12" t="str">
        <x:v>Seawoods</x:v>
      </x:c>
      <x:c r="F278" s="2" t="n">
        <x:v>8</x:v>
      </x:c>
      <x:c r="G278" s="2" t="n">
        <x:v>79</x:v>
      </x:c>
      <x:c r="H278" s="21" t="n">
        <x:v>8.87</x:v>
      </x:c>
      <x:c r="I278" s="21" t="n">
        <x:v>2.094</x:v>
      </x:c>
      <x:c r="J278" s="17" t="n">
        <x:f>F278*'Costing'!$H$4</x:f>
        <x:v>12096</x:v>
      </x:c>
      <x:c r="K278" s="17" t="n">
        <x:f>ROUND(J278*'Costing'!$C$4,2)</x:f>
        <x:v>2177.28</x:v>
      </x:c>
      <x:c r="L278" s="17" t="n">
        <x:f>J278+K278</x:f>
        <x:v>14273.28</x:v>
      </x:c>
      <x:c r="M278" s="13" t="n">
        <x:v>19.01042</x:v>
      </x:c>
      <x:c r="N278" s="13" t="n">
        <x:v>73.01594</x:v>
      </x:c>
      <x:c r="O278" s="2" t="str">
        <x:v>https://www.google.com/maps?q=19.01042,73.01594</x:v>
      </x:c>
      <x:c r="P278" s="2" t="str">
        <x:v>CORP-0320</x:v>
      </x:c>
    </x:row>
    <x:row r="279" ht="42" customHeight="1">
      <x:c r="A279" s="10" t="n">
        <x:v>0</x:v>
      </x:c>
      <x:c r="B279" s="12" t="str">
        <x:v>MSAY27ED</x:v>
      </x:c>
      <x:c r="C279" s="2" t="str">
        <x:v>Mumbai</x:v>
      </x:c>
      <x:c r="D279" s="12" t="str">
        <x:v>Urban Park</x:v>
      </x:c>
      <x:c r="E279" s="12" t="str">
        <x:v>Chandivali</x:v>
      </x:c>
      <x:c r="F279" s="2" t="n">
        <x:v>9</x:v>
      </x:c>
      <x:c r="G279" s="2" t="n">
        <x:v>491</x:v>
      </x:c>
      <x:c r="H279" s="21" t="n">
        <x:v>3.5</x:v>
      </x:c>
      <x:c r="I279" s="21" t="n">
        <x:v>1.586</x:v>
      </x:c>
      <x:c r="J279" s="17" t="n">
        <x:f>F279*'Costing'!$H$4</x:f>
        <x:v>13608</x:v>
      </x:c>
      <x:c r="K279" s="17" t="n">
        <x:f>ROUND(J279*'Costing'!$C$4,2)</x:f>
        <x:v>2449.44</x:v>
      </x:c>
      <x:c r="L279" s="17" t="n">
        <x:f>J279+K279</x:f>
        <x:v>16057.44</x:v>
      </x:c>
      <x:c r="M279" s="13" t="n">
        <x:v>19.1064453125</x:v>
      </x:c>
      <x:c r="N279" s="13" t="n">
        <x:v>72.90105438232422</x:v>
      </x:c>
      <x:c r="O279" s="2" t="str">
        <x:v>https://www.google.com/maps?q=19.1064453125,72.90105438232422</x:v>
      </x:c>
      <x:c r="P279" s="2" t="str">
        <x:v>CORP-0299, CORP-0339, CORP-0340, CORP-0341, CORP-0342</x:v>
      </x:c>
    </x:row>
    <x:row r="280" ht="42" customHeight="1">
      <x:c r="A280" s="10" t="n">
        <x:v>0</x:v>
      </x:c>
      <x:c r="B280" s="12" t="str">
        <x:v>MSB3PG56</x:v>
      </x:c>
      <x:c r="C280" s="2" t="str">
        <x:v>Mumbai</x:v>
      </x:c>
      <x:c r="D280" s="12" t="str">
        <x:v>Vishnu Shivam Tower Chsl</x:v>
      </x:c>
      <x:c r="E280" s="12" t="str">
        <x:v>Kandivali</x:v>
      </x:c>
      <x:c r="F280" s="2" t="n">
        <x:v>9</x:v>
      </x:c>
      <x:c r="G280" s="2" t="n">
        <x:v>310</x:v>
      </x:c>
      <x:c r="H280" s="21" t="n">
        <x:v>4.7</x:v>
      </x:c>
      <x:c r="I280" s="21" t="n">
        <x:v>0.967</x:v>
      </x:c>
      <x:c r="J280" s="17" t="n">
        <x:f>F280*'Costing'!$H$4</x:f>
        <x:v>13608</x:v>
      </x:c>
      <x:c r="K280" s="17" t="n">
        <x:f>ROUND(J280*'Costing'!$C$4,2)</x:f>
        <x:v>2449.44</x:v>
      </x:c>
      <x:c r="L280" s="17" t="n">
        <x:f>J280+K280</x:f>
        <x:v>16057.44</x:v>
      </x:c>
      <x:c r="M280" s="13" t="n">
        <x:v>19.21239075</x:v>
      </x:c>
      <x:c r="N280" s="13" t="n">
        <x:v>72.87056624</x:v>
      </x:c>
      <x:c r="O280" s="2" t="str">
        <x:v>https://www.google.com/maps?q=19.21239075,72.87056624</x:v>
      </x:c>
      <x:c r="P280" s="2" t="str">
        <x:v>CORP-0303, CORP-0347</x:v>
      </x:c>
    </x:row>
    <x:row r="281" ht="42" customHeight="1">
      <x:c r="A281" s="10" t="n">
        <x:v>0</x:v>
      </x:c>
      <x:c r="B281" s="12" t="str">
        <x:v>MSR4JT62</x:v>
      </x:c>
      <x:c r="C281" s="2" t="str">
        <x:v>Mumbai</x:v>
      </x:c>
      <x:c r="D281" s="12" t="str">
        <x:v>Vivant DEF Chsl</x:v>
      </x:c>
      <x:c r="E281" s="12" t="str">
        <x:v>Bhayandarpada</x:v>
      </x:c>
      <x:c r="F281" s="2" t="n">
        <x:v>6</x:v>
      </x:c>
      <x:c r="G281" s="2" t="n">
        <x:v>369</x:v>
      </x:c>
      <x:c r="H281" s="21" t="n">
        <x:v>6</x:v>
      </x:c>
      <x:c r="I281" s="21" t="n">
        <x:v>5.795</x:v>
      </x:c>
      <x:c r="J281" s="17" t="n">
        <x:f>F281*'Costing'!$H$4</x:f>
        <x:v>9072</x:v>
      </x:c>
      <x:c r="K281" s="17" t="n">
        <x:f>ROUND(J281*'Costing'!$C$4,2)</x:f>
        <x:v>1632.96</x:v>
      </x:c>
      <x:c r="L281" s="17" t="n">
        <x:f>J281+K281</x:f>
        <x:v>10704.96</x:v>
      </x:c>
      <x:c r="M281" s="13" t="n">
        <x:v>19.28608</x:v>
      </x:c>
      <x:c r="N281" s="13" t="n">
        <x:v>72.95395</x:v>
      </x:c>
      <x:c r="O281" s="2" t="str">
        <x:v>https://www.google.com/maps?q=19.28608,72.95395</x:v>
      </x:c>
      <x:c r="P281" s="2" t="str">
        <x:v>CORP-0302</x:v>
      </x:c>
    </x:row>
    <x:row r="282" ht="42" customHeight="1">
      <x:c r="A282" s="10" t="n">
        <x:v>0</x:v>
      </x:c>
      <x:c r="B282" s="12" t="str">
        <x:v>MSDH52H6</x:v>
      </x:c>
      <x:c r="C282" s="2" t="str">
        <x:v>Pune</x:v>
      </x:c>
      <x:c r="D282" s="12" t="str">
        <x:v>Aditya Garden</x:v>
      </x:c>
      <x:c r="E282" s="12" t="str">
        <x:v>Warje</x:v>
      </x:c>
      <x:c r="F282" s="2" t="n">
        <x:v>9</x:v>
      </x:c>
      <x:c r="G282" s="2" t="n">
        <x:v>252</x:v>
      </x:c>
      <x:c r="H282" s="21" t="n">
        <x:v>1.95</x:v>
      </x:c>
      <x:c r="I282" s="21" t="n">
        <x:v>0.75</x:v>
      </x:c>
      <x:c r="J282" s="17" t="n">
        <x:f>F282*'Costing'!$H$4</x:f>
        <x:v>13608</x:v>
      </x:c>
      <x:c r="K282" s="17" t="n">
        <x:f>ROUND(J282*'Costing'!$C$4,2)</x:f>
        <x:v>2449.44</x:v>
      </x:c>
      <x:c r="L282" s="17" t="n">
        <x:f>J282+K282</x:f>
        <x:v>16057.44</x:v>
      </x:c>
      <x:c r="M282" s="13" t="n">
        <x:v>18.489265</x:v>
      </x:c>
      <x:c r="N282" s="13" t="n">
        <x:v>73.78627</x:v>
      </x:c>
      <x:c r="O282" s="2" t="str">
        <x:v>https://www.google.com/maps?q=18.489265,73.78627</x:v>
      </x:c>
      <x:c r="P282" s="2" t="str">
        <x:v>CORP-0395</x:v>
      </x:c>
    </x:row>
    <x:row r="283" ht="42" customHeight="1">
      <x:c r="A283" s="10" t="n">
        <x:v>0</x:v>
      </x:c>
      <x:c r="B283" s="12" t="str">
        <x:v>MS8WVFQR, MSENF8QR</x:v>
      </x:c>
      <x:c r="C283" s="2" t="str">
        <x:v>Pune</x:v>
      </x:c>
      <x:c r="D283" s="12" t="str">
        <x:v>Aditya Garden Phase IV</x:v>
      </x:c>
      <x:c r="E283" s="12" t="str">
        <x:v>Warje</x:v>
      </x:c>
      <x:c r="F283" s="2" t="n">
        <x:v>22</x:v>
      </x:c>
      <x:c r="G283" s="2" t="n">
        <x:v>252</x:v>
      </x:c>
      <x:c r="H283" s="21" t="n">
        <x:v>1.95</x:v>
      </x:c>
      <x:c r="I283" s="21" t="n">
        <x:v>0.305</x:v>
      </x:c>
      <x:c r="J283" s="17" t="n">
        <x:f>F283*'Costing'!$H$4</x:f>
        <x:v>33264</x:v>
      </x:c>
      <x:c r="K283" s="17" t="n">
        <x:f>ROUND(J283*'Costing'!$C$4,2)</x:f>
        <x:v>5987.52</x:v>
      </x:c>
      <x:c r="L283" s="17" t="n">
        <x:f>J283+K283</x:f>
        <x:v>39251.520000000004</x:v>
      </x:c>
      <x:c r="M283" s="13" t="n">
        <x:v>18.488208</x:v>
      </x:c>
      <x:c r="N283" s="13" t="n">
        <x:v>73.790377</x:v>
      </x:c>
      <x:c r="O283" s="2" t="str">
        <x:v>https://www.google.com/maps?q=18.488208,73.790377</x:v>
      </x:c>
      <x:c r="P283" s="2" t="str">
        <x:v>CORP-0395</x:v>
      </x:c>
    </x:row>
    <x:row r="284" ht="42" customHeight="1">
      <x:c r="A284" s="10" t="n">
        <x:v>0</x:v>
      </x:c>
      <x:c r="B284" s="12" t="str">
        <x:v>MSNRVJE2</x:v>
      </x:c>
      <x:c r="C284" s="2" t="str">
        <x:v>Pune</x:v>
      </x:c>
      <x:c r="D284" s="12" t="str">
        <x:v>Atur Park</x:v>
      </x:c>
      <x:c r="E284" s="12" t="str">
        <x:v>Koregaon Park</x:v>
      </x:c>
      <x:c r="F284" s="2" t="n">
        <x:v>14</x:v>
      </x:c>
      <x:c r="G284" s="2" t="n">
        <x:v>143</x:v>
      </x:c>
      <x:c r="H284" s="21" t="n">
        <x:v>2.46</x:v>
      </x:c>
      <x:c r="I284" s="21" t="n">
        <x:v>1.297</x:v>
      </x:c>
      <x:c r="J284" s="17" t="n">
        <x:f>F284*'Costing'!$H$4</x:f>
        <x:v>21168</x:v>
      </x:c>
      <x:c r="K284" s="17" t="n">
        <x:f>ROUND(J284*'Costing'!$C$4,2)</x:f>
        <x:v>3810.24</x:v>
      </x:c>
      <x:c r="L284" s="17" t="n">
        <x:f>J284+K284</x:f>
        <x:v>24978.239999999998</x:v>
      </x:c>
      <x:c r="M284" s="13" t="n">
        <x:v>18.533616</x:v>
      </x:c>
      <x:c r="N284" s="13" t="n">
        <x:v>73.884793</x:v>
      </x:c>
      <x:c r="O284" s="2" t="str">
        <x:v>https://www.google.com/maps?q=18.533616,73.884793</x:v>
      </x:c>
      <x:c r="P284" s="2" t="str">
        <x:v>CORP-0391</x:v>
      </x:c>
    </x:row>
    <x:row r="285" ht="42" customHeight="1">
      <x:c r="A285" s="10" t="n">
        <x:v>0</x:v>
      </x:c>
      <x:c r="B285" s="12" t="str">
        <x:v>MSMDD51B, MSQ6AWAC</x:v>
      </x:c>
      <x:c r="C285" s="2" t="str">
        <x:v>Pune</x:v>
      </x:c>
      <x:c r="D285" s="12" t="str">
        <x:v>Eden Garden</x:v>
      </x:c>
      <x:c r="E285" s="12" t="str">
        <x:v>Viman Nagar</x:v>
      </x:c>
      <x:c r="F285" s="2" t="n">
        <x:v>22</x:v>
      </x:c>
      <x:c r="G285" s="2" t="n">
        <x:v>315</x:v>
      </x:c>
      <x:c r="H285" s="21" t="n">
        <x:v>2.1</x:v>
      </x:c>
      <x:c r="I285" s="21" t="n">
        <x:v>0.495</x:v>
      </x:c>
      <x:c r="J285" s="17" t="n">
        <x:f>F285*'Costing'!$H$4</x:f>
        <x:v>33264</x:v>
      </x:c>
      <x:c r="K285" s="17" t="n">
        <x:f>ROUND(J285*'Costing'!$C$4,2)</x:f>
        <x:v>5987.52</x:v>
      </x:c>
      <x:c r="L285" s="17" t="n">
        <x:f>J285+K285</x:f>
        <x:v>39251.520000000004</x:v>
      </x:c>
      <x:c r="M285" s="13" t="n">
        <x:v>18.560759</x:v>
      </x:c>
      <x:c r="N285" s="13" t="n">
        <x:v>73.912308</x:v>
      </x:c>
      <x:c r="O285" s="2" t="str">
        <x:v>https://www.google.com/maps?q=18.560759,73.912308</x:v>
      </x:c>
      <x:c r="P285" s="2" t="str">
        <x:v>CORP-0385, CORP-0404, CORP-0407</x:v>
      </x:c>
    </x:row>
    <x:row r="286" ht="42" customHeight="1">
      <x:c r="A286" s="10" t="n">
        <x:v>0</x:v>
      </x:c>
      <x:c r="B286" s="12" t="str">
        <x:v>MS6GF3GX</x:v>
      </x:c>
      <x:c r="C286" s="2" t="str">
        <x:v>Pune</x:v>
      </x:c>
      <x:c r="D286" s="12" t="str">
        <x:v>Elite Garden Chsl</x:v>
      </x:c>
      <x:c r="E286" s="12" t="str">
        <x:v>Aundh</x:v>
      </x:c>
      <x:c r="F286" s="2" t="n">
        <x:v>6</x:v>
      </x:c>
      <x:c r="G286" s="2" t="n">
        <x:v>150</x:v>
      </x:c>
      <x:c r="H286" s="21" t="n">
        <x:v>2.05</x:v>
      </x:c>
      <x:c r="I286" s="21" t="n">
        <x:v>2.448</x:v>
      </x:c>
      <x:c r="J286" s="17" t="n">
        <x:f>F286*'Costing'!$H$4</x:f>
        <x:v>9072</x:v>
      </x:c>
      <x:c r="K286" s="17" t="n">
        <x:f>ROUND(J286*'Costing'!$C$4,2)</x:f>
        <x:v>1632.96</x:v>
      </x:c>
      <x:c r="L286" s="17" t="n">
        <x:f>J286+K286</x:f>
        <x:v>10704.96</x:v>
      </x:c>
      <x:c r="M286" s="13" t="n">
        <x:v>18.565361</x:v>
      </x:c>
      <x:c r="N286" s="13" t="n">
        <x:v>73.803581</x:v>
      </x:c>
      <x:c r="O286" s="2" t="str">
        <x:v>https://www.google.com/maps?q=18.565361,73.803581</x:v>
      </x:c>
      <x:c r="P286" s="2" t="str">
        <x:v>CORP-0393</x:v>
      </x:c>
    </x:row>
    <x:row r="287" ht="42" customHeight="1">
      <x:c r="A287" s="10" t="n">
        <x:v>0</x:v>
      </x:c>
      <x:c r="B287" s="12" t="str">
        <x:v>MSPY0VMT</x:v>
      </x:c>
      <x:c r="C287" s="2" t="str">
        <x:v>Pune</x:v>
      </x:c>
      <x:c r="D287" s="12" t="str">
        <x:v>F Residences Chsl</x:v>
      </x:c>
      <x:c r="E287" s="12" t="str">
        <x:v>Balewadi</x:v>
      </x:c>
      <x:c r="F287" s="2" t="n">
        <x:v>7</x:v>
      </x:c>
      <x:c r="G287" s="2" t="n">
        <x:v>368</x:v>
      </x:c>
      <x:c r="H287" s="21" t="n">
        <x:v>2.98</x:v>
      </x:c>
      <x:c r="I287" s="21" t="n">
        <x:v>0.383</x:v>
      </x:c>
      <x:c r="J287" s="17" t="n">
        <x:f>F287*'Costing'!$H$4</x:f>
        <x:v>10584</x:v>
      </x:c>
      <x:c r="K287" s="17" t="n">
        <x:f>ROUND(J287*'Costing'!$C$4,2)</x:f>
        <x:v>1905.12</x:v>
      </x:c>
      <x:c r="L287" s="17" t="n">
        <x:f>J287+K287</x:f>
        <x:v>12489.119999999999</x:v>
      </x:c>
      <x:c r="M287" s="13" t="n">
        <x:v>18.57786307</x:v>
      </x:c>
      <x:c r="N287" s="13" t="n">
        <x:v>73.7743817</x:v>
      </x:c>
      <x:c r="O287" s="2" t="str">
        <x:v>https://www.google.com/maps?q=18.57786307,73.7743817</x:v>
      </x:c>
      <x:c r="P287" s="2" t="str">
        <x:v>CORP-0376</x:v>
      </x:c>
    </x:row>
    <x:row r="288" ht="42" customHeight="1">
      <x:c r="A288" s="10" t="n">
        <x:v>0</x:v>
      </x:c>
      <x:c r="B288" s="12" t="str">
        <x:v>MS3PG049</x:v>
      </x:c>
      <x:c r="C288" s="2" t="str">
        <x:v>Pune</x:v>
      </x:c>
      <x:c r="D288" s="12" t="str">
        <x:v>Forest County</x:v>
      </x:c>
      <x:c r="E288" s="12" t="str">
        <x:v>Kharadi</x:v>
      </x:c>
      <x:c r="F288" s="2" t="n">
        <x:v>37</x:v>
      </x:c>
      <x:c r="G288" s="2" t="n">
        <x:v>1618</x:v>
      </x:c>
      <x:c r="H288" s="21" t="n">
        <x:v>4.34</x:v>
      </x:c>
      <x:c r="I288" s="21" t="n">
        <x:v>0.516</x:v>
      </x:c>
      <x:c r="J288" s="17" t="n">
        <x:f>F288*'Costing'!$H$4</x:f>
        <x:v>55944</x:v>
      </x:c>
      <x:c r="K288" s="17" t="n">
        <x:f>ROUND(J288*'Costing'!$C$4,2)</x:f>
        <x:v>10069.92</x:v>
      </x:c>
      <x:c r="L288" s="17" t="n">
        <x:f>J288+K288</x:f>
        <x:v>66013.92</x:v>
      </x:c>
      <x:c r="M288" s="13" t="n">
        <x:v>18.5576688</x:v>
      </x:c>
      <x:c r="N288" s="13" t="n">
        <x:v>73.9482411</x:v>
      </x:c>
      <x:c r="O288" s="2" t="str">
        <x:v>https://www.google.com/maps?q=18.5576688,73.9482411</x:v>
      </x:c>
      <x:c r="P288" s="2" t="str">
        <x:v>CORP-0398, CORP-0408, CORP-0414, CORP-0417, CORP-0419</x:v>
      </x:c>
    </x:row>
    <x:row r="289" ht="42" customHeight="1">
      <x:c r="A289" s="10" t="n">
        <x:v>0</x:v>
      </x:c>
      <x:c r="B289" s="12" t="str">
        <x:v>MSMZJSF2</x:v>
      </x:c>
      <x:c r="C289" s="2" t="str">
        <x:v>Pune</x:v>
      </x:c>
      <x:c r="D289" s="12" t="str">
        <x:v>Gagan Arena</x:v>
      </x:c>
      <x:c r="E289" s="12" t="str">
        <x:v>Undri</x:v>
      </x:c>
      <x:c r="F289" s="2" t="n">
        <x:v>4</x:v>
      </x:c>
      <x:c r="G289" s="2" t="n">
        <x:v>170</x:v>
      </x:c>
      <x:c r="H289" s="21" t="n">
        <x:v>2.12</x:v>
      </x:c>
      <x:c r="I289" s="21" t="n">
        <x:v>1.378</x:v>
      </x:c>
      <x:c r="J289" s="17" t="n">
        <x:f>F289*'Costing'!$H$4</x:f>
        <x:v>6048</x:v>
      </x:c>
      <x:c r="K289" s="17" t="n">
        <x:f>ROUND(J289*'Costing'!$C$4,2)</x:f>
        <x:v>1088.64</x:v>
      </x:c>
      <x:c r="L289" s="17" t="n">
        <x:f>J289+K289</x:f>
        <x:v>7136.64</x:v>
      </x:c>
      <x:c r="M289" s="13" t="n">
        <x:v>18.46245</x:v>
      </x:c>
      <x:c r="N289" s="13" t="n">
        <x:v>73.91369</x:v>
      </x:c>
      <x:c r="O289" s="2" t="str">
        <x:v>https://www.google.com/maps?q=18.46245,73.91369</x:v>
      </x:c>
      <x:c r="P289" s="2" t="str">
        <x:v>CORP-0390</x:v>
      </x:c>
    </x:row>
    <x:row r="290" ht="42" customHeight="1">
      <x:c r="A290" s="10" t="n">
        <x:v>0</x:v>
      </x:c>
      <x:c r="B290" s="12" t="str">
        <x:v>MSPNYHZC</x:v>
      </x:c>
      <x:c r="C290" s="2" t="str">
        <x:v>Pune</x:v>
      </x:c>
      <x:c r="D290" s="12" t="str">
        <x:v>Ganga Hamlet</x:v>
      </x:c>
      <x:c r="E290" s="12" t="str">
        <x:v>Viman Nagar</x:v>
      </x:c>
      <x:c r="F290" s="2" t="n">
        <x:v>9</x:v>
      </x:c>
      <x:c r="G290" s="2" t="n">
        <x:v>216</x:v>
      </x:c>
      <x:c r="H290" s="21" t="n">
        <x:v>2.1</x:v>
      </x:c>
      <x:c r="I290" s="21" t="n">
        <x:v>0.631</x:v>
      </x:c>
      <x:c r="J290" s="17" t="n">
        <x:f>F290*'Costing'!$H$4</x:f>
        <x:v>13608</x:v>
      </x:c>
      <x:c r="K290" s="17" t="n">
        <x:f>ROUND(J290*'Costing'!$C$4,2)</x:f>
        <x:v>2449.44</x:v>
      </x:c>
      <x:c r="L290" s="17" t="n">
        <x:f>J290+K290</x:f>
        <x:v>16057.44</x:v>
      </x:c>
      <x:c r="M290" s="13" t="n">
        <x:v>18.564147</x:v>
      </x:c>
      <x:c r="N290" s="13" t="n">
        <x:v>73.910919</x:v>
      </x:c>
      <x:c r="O290" s="2" t="str">
        <x:v>https://www.google.com/maps?q=18.564147,73.910919</x:v>
      </x:c>
      <x:c r="P290" s="2" t="str">
        <x:v>CORP-0385, CORP-0404, CORP-0407</x:v>
      </x:c>
    </x:row>
    <x:row r="291" ht="42" customHeight="1">
      <x:c r="A291" s="10" t="n">
        <x:v>0</x:v>
      </x:c>
      <x:c r="B291" s="12" t="str">
        <x:v>MS91PY8A</x:v>
      </x:c>
      <x:c r="C291" s="2" t="str">
        <x:v>Pune</x:v>
      </x:c>
      <x:c r="D291" s="12" t="str">
        <x:v>Ganga Melrose</x:v>
      </x:c>
      <x:c r="E291" s="12" t="str">
        <x:v>Ghorpadi</x:v>
      </x:c>
      <x:c r="F291" s="2" t="n">
        <x:v>6</x:v>
      </x:c>
      <x:c r="G291" s="2" t="n">
        <x:v>108</x:v>
      </x:c>
      <x:c r="H291" s="21" t="n">
        <x:v>5.5</x:v>
      </x:c>
      <x:c r="I291" s="21" t="n">
        <x:v>2.377</x:v>
      </x:c>
      <x:c r="J291" s="17" t="n">
        <x:f>F291*'Costing'!$H$4</x:f>
        <x:v>9072</x:v>
      </x:c>
      <x:c r="K291" s="17" t="n">
        <x:f>ROUND(J291*'Costing'!$C$4,2)</x:f>
        <x:v>1632.96</x:v>
      </x:c>
      <x:c r="L291" s="17" t="n">
        <x:f>J291+K291</x:f>
        <x:v>10704.96</x:v>
      </x:c>
      <x:c r="M291" s="13" t="n">
        <x:v>18.51607843</x:v>
      </x:c>
      <x:c r="N291" s="13" t="n">
        <x:v>73.90430655</x:v>
      </x:c>
      <x:c r="O291" s="2" t="str">
        <x:v>https://www.google.com/maps?q=18.51607843,73.90430655</x:v>
      </x:c>
      <x:c r="P291" s="2" t="str">
        <x:v>CORP-0377, CORP-0386, CORP-0396, CORP-0415</x:v>
      </x:c>
    </x:row>
    <x:row r="292" ht="42" customHeight="1">
      <x:c r="A292" s="10" t="n">
        <x:v>0</x:v>
      </x:c>
      <x:c r="B292" s="12" t="str">
        <x:v>GMSSWN80A</x:v>
      </x:c>
      <x:c r="C292" s="2" t="str">
        <x:v>Pune</x:v>
      </x:c>
      <x:c r="D292" s="12" t="str">
        <x:v>Ganga Platino</x:v>
      </x:c>
      <x:c r="E292" s="12" t="str">
        <x:v>Kharadi</x:v>
      </x:c>
      <x:c r="F292" s="2" t="n">
        <x:v>17</x:v>
      </x:c>
      <x:c r="G292" s="2" t="n">
        <x:v>0</x:v>
      </x:c>
      <x:c r="H292" s="21" t="n">
        <x:v>3.76</x:v>
      </x:c>
      <x:c r="I292" s="21" t="n">
        <x:v>0.27</x:v>
      </x:c>
      <x:c r="J292" s="17" t="n">
        <x:f>F292*'Costing'!$H$4</x:f>
        <x:v>25704</x:v>
      </x:c>
      <x:c r="K292" s="17" t="n">
        <x:f>ROUND(J292*'Costing'!$C$4,2)</x:f>
        <x:v>4626.72</x:v>
      </x:c>
      <x:c r="L292" s="17" t="n">
        <x:f>J292+K292</x:f>
        <x:v>30330.72</x:v>
      </x:c>
      <x:c r="M292" s="13" t="n">
        <x:v>18.55545866370078</x:v>
      </x:c>
      <x:c r="N292" s="13" t="n">
        <x:v>73.94864687652911</x:v>
      </x:c>
      <x:c r="O292" s="2" t="str">
        <x:v>https://www.google.com/maps?q=18.55545866370078,73.94864687652911</x:v>
      </x:c>
      <x:c r="P292" s="2" t="str">
        <x:v>CORP-0398, CORP-0408, CORP-0414, CORP-0417, CORP-0419</x:v>
      </x:c>
    </x:row>
    <x:row r="293" ht="42" customHeight="1">
      <x:c r="A293" s="10" t="n">
        <x:v>0</x:v>
      </x:c>
      <x:c r="B293" s="12" t="str">
        <x:v>MS8JTFKC</x:v>
      </x:c>
      <x:c r="C293" s="2" t="str">
        <x:v>Pune</x:v>
      </x:c>
      <x:c r="D293" s="12" t="str">
        <x:v>Gini Viviana</x:v>
      </x:c>
      <x:c r="E293" s="12" t="str">
        <x:v>Balewadi</x:v>
      </x:c>
      <x:c r="F293" s="2" t="n">
        <x:v>9</x:v>
      </x:c>
      <x:c r="G293" s="2" t="n">
        <x:v>234</x:v>
      </x:c>
      <x:c r="H293" s="21" t="n">
        <x:v>2.04</x:v>
      </x:c>
      <x:c r="I293" s="21" t="n">
        <x:v>0.377</x:v>
      </x:c>
      <x:c r="J293" s="17" t="n">
        <x:f>F293*'Costing'!$H$4</x:f>
        <x:v>13608</x:v>
      </x:c>
      <x:c r="K293" s="17" t="n">
        <x:f>ROUND(J293*'Costing'!$C$4,2)</x:f>
        <x:v>2449.44</x:v>
      </x:c>
      <x:c r="L293" s="17" t="n">
        <x:f>J293+K293</x:f>
        <x:v>16057.44</x:v>
      </x:c>
      <x:c r="M293" s="13" t="n">
        <x:v>18.579021</x:v>
      </x:c>
      <x:c r="N293" s="13" t="n">
        <x:v>73.765393</x:v>
      </x:c>
      <x:c r="O293" s="2" t="str">
        <x:v>https://www.google.com/maps?q=18.579021,73.765393</x:v>
      </x:c>
      <x:c r="P293" s="2" t="str">
        <x:v>CORP-0380</x:v>
      </x:c>
    </x:row>
    <x:row r="294" ht="42" customHeight="1">
      <x:c r="A294" s="10" t="n">
        <x:v>0</x:v>
      </x:c>
      <x:c r="B294" s="12" t="str">
        <x:v>MS2CNRET</x:v>
      </x:c>
      <x:c r="C294" s="2" t="str">
        <x:v>Pune</x:v>
      </x:c>
      <x:c r="D294" s="12" t="str">
        <x:v>Green Zone Ph-1</x:v>
      </x:c>
      <x:c r="E294" s="12" t="str">
        <x:v>Baner</x:v>
      </x:c>
      <x:c r="F294" s="2" t="n">
        <x:v>7</x:v>
      </x:c>
      <x:c r="G294" s="2" t="n">
        <x:v>146</x:v>
      </x:c>
      <x:c r="H294" s="21" t="n">
        <x:v>2.65</x:v>
      </x:c>
      <x:c r="I294" s="21" t="n">
        <x:v>0.555</x:v>
      </x:c>
      <x:c r="J294" s="17" t="n">
        <x:f>F294*'Costing'!$H$4</x:f>
        <x:v>10584</x:v>
      </x:c>
      <x:c r="K294" s="17" t="n">
        <x:f>ROUND(J294*'Costing'!$C$4,2)</x:f>
        <x:v>1905.12</x:v>
      </x:c>
      <x:c r="L294" s="17" t="n">
        <x:f>J294+K294</x:f>
        <x:v>12489.119999999999</x:v>
      </x:c>
      <x:c r="M294" s="13" t="n">
        <x:v>18.555297</x:v>
      </x:c>
      <x:c r="N294" s="13" t="n">
        <x:v>73.76581</x:v>
      </x:c>
      <x:c r="O294" s="2" t="str">
        <x:v>https://www.google.com/maps?q=18.555297,73.76581</x:v>
      </x:c>
      <x:c r="P294" s="2" t="str">
        <x:v>CORP-0383, CORP-0401, CORP-0402</x:v>
      </x:c>
    </x:row>
    <x:row r="295" ht="42" customHeight="1">
      <x:c r="A295" s="10" t="n">
        <x:v>0</x:v>
      </x:c>
      <x:c r="B295" s="12" t="str">
        <x:v>MSTV0006</x:v>
      </x:c>
      <x:c r="C295" s="2" t="str">
        <x:v>Pune</x:v>
      </x:c>
      <x:c r="D295" s="12" t="str">
        <x:v>Iris Chsl</x:v>
      </x:c>
      <x:c r="E295" s="12" t="str">
        <x:v>Balewadi</x:v>
      </x:c>
      <x:c r="F295" s="2" t="n">
        <x:v>4</x:v>
      </x:c>
      <x:c r="G295" s="2" t="n">
        <x:v>108</x:v>
      </x:c>
      <x:c r="H295" s="21" t="n">
        <x:v>2.02</x:v>
      </x:c>
      <x:c r="I295" s="21" t="n">
        <x:v>0.031</x:v>
      </x:c>
      <x:c r="J295" s="17" t="n">
        <x:f>F295*'Costing'!$H$4</x:f>
        <x:v>6048</x:v>
      </x:c>
      <x:c r="K295" s="17" t="n">
        <x:f>ROUND(J295*'Costing'!$C$4,2)</x:f>
        <x:v>1088.64</x:v>
      </x:c>
      <x:c r="L295" s="17" t="n">
        <x:f>J295+K295</x:f>
        <x:v>7136.64</x:v>
      </x:c>
      <x:c r="M295" s="13" t="n">
        <x:v>18.570367</x:v>
      </x:c>
      <x:c r="N295" s="13" t="n">
        <x:v>73.769975</x:v>
      </x:c>
      <x:c r="O295" s="2" t="str">
        <x:v>https://www.google.com/maps?q=18.570367,73.769975</x:v>
      </x:c>
      <x:c r="P295" s="2" t="str">
        <x:v>CORP-0378, CORP-0389, CORP-0406, CORP-0410, CORP-0411, CORP-0418</x:v>
      </x:c>
    </x:row>
    <x:row r="296" ht="42" customHeight="1">
      <x:c r="A296" s="10" t="n">
        <x:v>0</x:v>
      </x:c>
      <x:c r="B296" s="12" t="str">
        <x:v>GMS5ZSWN7</x:v>
      </x:c>
      <x:c r="C296" s="2" t="str">
        <x:v>Pune</x:v>
      </x:c>
      <x:c r="D296" s="12" t="str">
        <x:v>Kalpataru Jade</x:v>
      </x:c>
      <x:c r="E296" s="12" t="str">
        <x:v>Baner</x:v>
      </x:c>
      <x:c r="F296" s="2" t="n">
        <x:v>6</x:v>
      </x:c>
      <x:c r="G296" s="2" t="n">
        <x:v>0</x:v>
      </x:c>
      <x:c r="H296" s="21" t="n">
        <x:v>3.36</x:v>
      </x:c>
      <x:c r="I296" s="21" t="n">
        <x:v>0.375</x:v>
      </x:c>
      <x:c r="J296" s="17" t="n">
        <x:f>F296*'Costing'!$H$4</x:f>
        <x:v>9072</x:v>
      </x:c>
      <x:c r="K296" s="17" t="n">
        <x:f>ROUND(J296*'Costing'!$C$4,2)</x:f>
        <x:v>1632.96</x:v>
      </x:c>
      <x:c r="L296" s="17" t="n">
        <x:f>J296+K296</x:f>
        <x:v>10704.96</x:v>
      </x:c>
      <x:c r="M296" s="13" t="n">
        <x:v>18.554255</x:v>
      </x:c>
      <x:c r="N296" s="13" t="n">
        <x:v>73.786389</x:v>
      </x:c>
      <x:c r="O296" s="2" t="str">
        <x:v>https://www.google.com/maps?q=18.554255,73.786389</x:v>
      </x:c>
      <x:c r="P296" s="2" t="str">
        <x:v>CORP-0387, CORP-0392, CORP-0413</x:v>
      </x:c>
    </x:row>
    <x:row r="297" ht="42" customHeight="1">
      <x:c r="A297" s="10" t="n">
        <x:v>0</x:v>
      </x:c>
      <x:c r="B297" s="12" t="str">
        <x:v>MSE9HX3V</x:v>
      </x:c>
      <x:c r="C297" s="2" t="str">
        <x:v>Pune</x:v>
      </x:c>
      <x:c r="D297" s="12" t="str">
        <x:v>Kapil Akhila</x:v>
      </x:c>
      <x:c r="E297" s="12" t="str">
        <x:v>Baner</x:v>
      </x:c>
      <x:c r="F297" s="2" t="n">
        <x:v>4</x:v>
      </x:c>
      <x:c r="G297" s="2" t="n">
        <x:v>130</x:v>
      </x:c>
      <x:c r="H297" s="21" t="n">
        <x:v>2.09</x:v>
      </x:c>
      <x:c r="I297" s="21" t="n">
        <x:v>0.17</x:v>
      </x:c>
      <x:c r="J297" s="17" t="n">
        <x:f>F297*'Costing'!$H$4</x:f>
        <x:v>6048</x:v>
      </x:c>
      <x:c r="K297" s="17" t="n">
        <x:f>ROUND(J297*'Costing'!$C$4,2)</x:f>
        <x:v>1088.64</x:v>
      </x:c>
      <x:c r="L297" s="17" t="n">
        <x:f>J297+K297</x:f>
        <x:v>7136.64</x:v>
      </x:c>
      <x:c r="M297" s="13" t="n">
        <x:v>18.555188</x:v>
      </x:c>
      <x:c r="N297" s="13" t="n">
        <x:v>73.778346</x:v>
      </x:c>
      <x:c r="O297" s="2" t="str">
        <x:v>https://www.google.com/maps?q=18.555188,73.778346</x:v>
      </x:c>
      <x:c r="P297" s="2" t="str">
        <x:v>CORP-0381, CORP-0383, CORP-0387, CORP-0399, CORP-0413</x:v>
      </x:c>
    </x:row>
    <x:row r="298" ht="42" customHeight="1">
      <x:c r="A298" s="10" t="n">
        <x:v>0</x:v>
      </x:c>
      <x:c r="B298" s="12" t="str">
        <x:v>MSP1BH30</x:v>
      </x:c>
      <x:c r="C298" s="2" t="str">
        <x:v>Pune</x:v>
      </x:c>
      <x:c r="D298" s="12" t="str">
        <x:v>Kapil Malhar</x:v>
      </x:c>
      <x:c r="E298" s="12" t="str">
        <x:v>Baner</x:v>
      </x:c>
      <x:c r="F298" s="2" t="n">
        <x:v>6</x:v>
      </x:c>
      <x:c r="G298" s="2" t="n">
        <x:v>216</x:v>
      </x:c>
      <x:c r="H298" s="21" t="n">
        <x:v>2.5</x:v>
      </x:c>
      <x:c r="I298" s="21" t="n">
        <x:v>0.826</x:v>
      </x:c>
      <x:c r="J298" s="17" t="n">
        <x:f>F298*'Costing'!$H$4</x:f>
        <x:v>9072</x:v>
      </x:c>
      <x:c r="K298" s="17" t="n">
        <x:f>ROUND(J298*'Costing'!$C$4,2)</x:f>
        <x:v>1632.96</x:v>
      </x:c>
      <x:c r="L298" s="17" t="n">
        <x:f>J298+K298</x:f>
        <x:v>10704.96</x:v>
      </x:c>
      <x:c r="M298" s="13" t="n">
        <x:v>18.56008559</x:v>
      </x:c>
      <x:c r="N298" s="13" t="n">
        <x:v>73.79173468</x:v>
      </x:c>
      <x:c r="O298" s="2" t="str">
        <x:v>https://www.google.com/maps?q=18.56008559,73.79173468</x:v>
      </x:c>
      <x:c r="P298" s="2" t="str">
        <x:v>CORP-0392, CORP-0393</x:v>
      </x:c>
    </x:row>
    <x:row r="299" ht="42" customHeight="1">
      <x:c r="A299" s="10" t="n">
        <x:v>0</x:v>
      </x:c>
      <x:c r="B299" s="12" t="str">
        <x:v>MSJV0BEH</x:v>
      </x:c>
      <x:c r="C299" s="2" t="str">
        <x:v>Pune</x:v>
      </x:c>
      <x:c r="D299" s="12" t="str">
        <x:v>Kashikapadi Puram</x:v>
      </x:c>
      <x:c r="E299" s="12" t="str">
        <x:v>Kothrud</x:v>
      </x:c>
      <x:c r="F299" s="2" t="n">
        <x:v>4</x:v>
      </x:c>
      <x:c r="G299" s="2" t="n">
        <x:v>138</x:v>
      </x:c>
      <x:c r="H299" s="21" t="n">
        <x:v>2.4</x:v>
      </x:c>
      <x:c r="I299" s="21" t="n">
        <x:v>1.658</x:v>
      </x:c>
      <x:c r="J299" s="17" t="n">
        <x:f>F299*'Costing'!$H$4</x:f>
        <x:v>6048</x:v>
      </x:c>
      <x:c r="K299" s="17" t="n">
        <x:f>ROUND(J299*'Costing'!$C$4,2)</x:f>
        <x:v>1088.64</x:v>
      </x:c>
      <x:c r="L299" s="17" t="n">
        <x:f>J299+K299</x:f>
        <x:v>7136.64</x:v>
      </x:c>
      <x:c r="M299" s="13" t="n">
        <x:v>18.501607</x:v>
      </x:c>
      <x:c r="N299" s="13" t="n">
        <x:v>73.795698</x:v>
      </x:c>
      <x:c r="O299" s="2" t="str">
        <x:v>https://www.google.com/maps?q=18.501607,73.795698</x:v>
      </x:c>
      <x:c r="P299" s="2" t="str">
        <x:v>CORP-0395</x:v>
      </x:c>
    </x:row>
    <x:row r="300" ht="42" customHeight="1">
      <x:c r="A300" s="10" t="n">
        <x:v>0</x:v>
      </x:c>
      <x:c r="B300" s="12" t="str">
        <x:v>MSD5888T</x:v>
      </x:c>
      <x:c r="C300" s="2" t="str">
        <x:v>Pune</x:v>
      </x:c>
      <x:c r="D300" s="12" t="str">
        <x:v>Konark Campus</x:v>
      </x:c>
      <x:c r="E300" s="12" t="str">
        <x:v>Viman Nagar</x:v>
      </x:c>
      <x:c r="F300" s="2" t="n">
        <x:v>20</x:v>
      </x:c>
      <x:c r="G300" s="2" t="n">
        <x:v>544</x:v>
      </x:c>
      <x:c r="H300" s="21" t="n">
        <x:v>2.34</x:v>
      </x:c>
      <x:c r="I300" s="21" t="n">
        <x:v>0.461</x:v>
      </x:c>
      <x:c r="J300" s="17" t="n">
        <x:f>F300*'Costing'!$H$4</x:f>
        <x:v>30240</x:v>
      </x:c>
      <x:c r="K300" s="17" t="n">
        <x:f>ROUND(J300*'Costing'!$C$4,2)</x:f>
        <x:v>5443.2</x:v>
      </x:c>
      <x:c r="L300" s="17" t="n">
        <x:f>J300+K300</x:f>
        <x:v>35683.2</x:v>
      </x:c>
      <x:c r="M300" s="13" t="n">
        <x:v>18.571054</x:v>
      </x:c>
      <x:c r="N300" s="13" t="n">
        <x:v>73.90652</x:v>
      </x:c>
      <x:c r="O300" s="2" t="str">
        <x:v>https://www.google.com/maps?q=18.571054,73.90652</x:v>
      </x:c>
      <x:c r="P300" s="2" t="str">
        <x:v>CORP-0379, CORP-0409</x:v>
      </x:c>
    </x:row>
    <x:row r="301" ht="42" customHeight="1">
      <x:c r="A301" s="10" t="n">
        <x:v>0</x:v>
      </x:c>
      <x:c r="B301" s="12" t="str">
        <x:v>MS06NJ3N</x:v>
      </x:c>
      <x:c r="C301" s="2" t="str">
        <x:v>Pune</x:v>
      </x:c>
      <x:c r="D301" s="12" t="str">
        <x:v>Kumar Aangan</x:v>
      </x:c>
      <x:c r="E301" s="12" t="str">
        <x:v>Yerwada</x:v>
      </x:c>
      <x:c r="F301" s="2" t="n">
        <x:v>7</x:v>
      </x:c>
      <x:c r="G301" s="2" t="n">
        <x:v>190</x:v>
      </x:c>
      <x:c r="H301" s="21" t="n">
        <x:v>3.35</x:v>
      </x:c>
      <x:c r="I301" s="21" t="n">
        <x:v>0.722</x:v>
      </x:c>
      <x:c r="J301" s="17" t="n">
        <x:f>F301*'Costing'!$H$4</x:f>
        <x:v>10584</x:v>
      </x:c>
      <x:c r="K301" s="17" t="n">
        <x:f>ROUND(J301*'Costing'!$C$4,2)</x:f>
        <x:v>1905.12</x:v>
      </x:c>
      <x:c r="L301" s="17" t="n">
        <x:f>J301+K301</x:f>
        <x:v>12489.119999999999</x:v>
      </x:c>
      <x:c r="M301" s="13" t="n">
        <x:v>18.54827</x:v>
      </x:c>
      <x:c r="N301" s="13" t="n">
        <x:v>73.889227</x:v>
      </x:c>
      <x:c r="O301" s="2" t="str">
        <x:v>https://www.google.com/maps?q=18.54827,73.889227</x:v>
      </x:c>
      <x:c r="P301" s="2" t="str">
        <x:v>CORP-0391, CORP-0400, CORP-0403, CORP-0409, CORP-0416</x:v>
      </x:c>
    </x:row>
    <x:row r="302" ht="42" customHeight="1">
      <x:c r="A302" s="10" t="n">
        <x:v>0</x:v>
      </x:c>
      <x:c r="B302" s="12" t="str">
        <x:v>MSXRX55Y</x:v>
      </x:c>
      <x:c r="C302" s="2" t="str">
        <x:v>Pune</x:v>
      </x:c>
      <x:c r="D302" s="12" t="str">
        <x:v>Kumar Kruti</x:v>
      </x:c>
      <x:c r="E302" s="12" t="str">
        <x:v>Kalyani Nagar</x:v>
      </x:c>
      <x:c r="F302" s="2" t="n">
        <x:v>10</x:v>
      </x:c>
      <x:c r="G302" s="2" t="n">
        <x:v>400</x:v>
      </x:c>
      <x:c r="H302" s="21" t="n">
        <x:v>2.28</x:v>
      </x:c>
      <x:c r="I302" s="21" t="n">
        <x:v>0.48</x:v>
      </x:c>
      <x:c r="J302" s="17" t="n">
        <x:f>F302*'Costing'!$H$4</x:f>
        <x:v>15120</x:v>
      </x:c>
      <x:c r="K302" s="17" t="n">
        <x:f>ROUND(J302*'Costing'!$C$4,2)</x:f>
        <x:v>2721.6</x:v>
      </x:c>
      <x:c r="L302" s="17" t="n">
        <x:f>J302+K302</x:f>
        <x:v>17841.6</x:v>
      </x:c>
      <x:c r="M302" s="13" t="n">
        <x:v>18.547533</x:v>
      </x:c>
      <x:c r="N302" s="13" t="n">
        <x:v>73.910998</x:v>
      </x:c>
      <x:c r="O302" s="2" t="str">
        <x:v>https://www.google.com/maps?q=18.547533,73.910998</x:v>
      </x:c>
      <x:c r="P302" s="2" t="str">
        <x:v>CORP-0377, CORP-0396, CORP-0403, CORP-0416</x:v>
      </x:c>
    </x:row>
    <x:row r="303" ht="42" customHeight="1">
      <x:c r="A303" s="10" t="n">
        <x:v>0</x:v>
      </x:c>
      <x:c r="B303" s="12" t="str">
        <x:v>MSR5XBA3</x:v>
      </x:c>
      <x:c r="C303" s="2" t="str">
        <x:v>Pune</x:v>
      </x:c>
      <x:c r="D303" s="12" t="str">
        <x:v>Kumar Presidency</x:v>
      </x:c>
      <x:c r="E303" s="12" t="str">
        <x:v>Koregaon Park</x:v>
      </x:c>
      <x:c r="F303" s="2" t="n">
        <x:v>4</x:v>
      </x:c>
      <x:c r="G303" s="2" t="n">
        <x:v>83</x:v>
      </x:c>
      <x:c r="H303" s="21" t="n">
        <x:v>3.75</x:v>
      </x:c>
      <x:c r="I303" s="21" t="n">
        <x:v>0.588</x:v>
      </x:c>
      <x:c r="J303" s="17" t="n">
        <x:f>F303*'Costing'!$H$4</x:f>
        <x:v>6048</x:v>
      </x:c>
      <x:c r="K303" s="17" t="n">
        <x:f>ROUND(J303*'Costing'!$C$4,2)</x:f>
        <x:v>1088.64</x:v>
      </x:c>
      <x:c r="L303" s="17" t="n">
        <x:f>J303+K303</x:f>
        <x:v>7136.64</x:v>
      </x:c>
      <x:c r="M303" s="13" t="n">
        <x:v>18.534545</x:v>
      </x:c>
      <x:c r="N303" s="13" t="n">
        <x:v>73.898826</x:v>
      </x:c>
      <x:c r="O303" s="2" t="str">
        <x:v>https://www.google.com/maps?q=18.534545,73.898826</x:v>
      </x:c>
      <x:c r="P303" s="2" t="str">
        <x:v>CORP-0377, CORP-0391, CORP-0396, CORP-0403, CORP-0416</x:v>
      </x:c>
    </x:row>
    <x:row r="304" ht="42" customHeight="1">
      <x:c r="A304" s="10" t="n">
        <x:v>0</x:v>
      </x:c>
      <x:c r="B304" s="12" t="str">
        <x:v>MSETEF0F</x:v>
      </x:c>
      <x:c r="C304" s="2" t="str">
        <x:v>Pune</x:v>
      </x:c>
      <x:c r="D304" s="12" t="str">
        <x:v>Kumar Prospera</x:v>
      </x:c>
      <x:c r="E304" s="12" t="str">
        <x:v>Hadapsar</x:v>
      </x:c>
      <x:c r="F304" s="2" t="n">
        <x:v>7</x:v>
      </x:c>
      <x:c r="G304" s="2" t="n">
        <x:v>428</x:v>
      </x:c>
      <x:c r="H304" s="21" t="n">
        <x:v>2.66</x:v>
      </x:c>
      <x:c r="I304" s="21" t="n">
        <x:v>0.231</x:v>
      </x:c>
      <x:c r="J304" s="17" t="n">
        <x:f>F304*'Costing'!$H$4</x:f>
        <x:v>10584</x:v>
      </x:c>
      <x:c r="K304" s="17" t="n">
        <x:f>ROUND(J304*'Costing'!$C$4,2)</x:f>
        <x:v>1905.12</x:v>
      </x:c>
      <x:c r="L304" s="17" t="n">
        <x:f>J304+K304</x:f>
        <x:v>12489.119999999999</x:v>
      </x:c>
      <x:c r="M304" s="13" t="n">
        <x:v>18.516053</x:v>
      </x:c>
      <x:c r="N304" s="13" t="n">
        <x:v>73.934299</x:v>
      </x:c>
      <x:c r="O304" s="2" t="str">
        <x:v>https://www.google.com/maps?q=18.516053,73.934299</x:v>
      </x:c>
      <x:c r="P304" s="2" t="str">
        <x:v>CORP-0382, CORP-0386, CORP-0412, CORP-0415</x:v>
      </x:c>
    </x:row>
    <x:row r="305" ht="42" customHeight="1">
      <x:c r="A305" s="10" t="n">
        <x:v>0</x:v>
      </x:c>
      <x:c r="B305" s="12" t="str">
        <x:v>MSR2ZRYC</x:v>
      </x:c>
      <x:c r="C305" s="2" t="str">
        <x:v>Pune</x:v>
      </x:c>
      <x:c r="D305" s="12" t="str">
        <x:v>Laxmi Vilas</x:v>
      </x:c>
      <x:c r="E305" s="12" t="str">
        <x:v>Swargate</x:v>
      </x:c>
      <x:c r="F305" s="2" t="n">
        <x:v>8</x:v>
      </x:c>
      <x:c r="G305" s="2" t="n">
        <x:v>202</x:v>
      </x:c>
      <x:c r="H305" s="21" t="n">
        <x:v>3.07</x:v>
      </x:c>
      <x:c r="I305" s="21" t="n">
        <x:v>4.632</x:v>
      </x:c>
      <x:c r="J305" s="17" t="n">
        <x:f>F305*'Costing'!$H$4</x:f>
        <x:v>12096</x:v>
      </x:c>
      <x:c r="K305" s="17" t="n">
        <x:f>ROUND(J305*'Costing'!$C$4,2)</x:f>
        <x:v>2177.28</x:v>
      </x:c>
      <x:c r="L305" s="17" t="n">
        <x:f>J305+K305</x:f>
        <x:v>14273.28</x:v>
      </x:c>
      <x:c r="M305" s="13" t="n">
        <x:v>18.496599</x:v>
      </x:c>
      <x:c r="N305" s="13" t="n">
        <x:v>73.862341</x:v>
      </x:c>
      <x:c r="O305" s="2" t="str">
        <x:v>https://www.google.com/maps?q=18.496599,73.862341</x:v>
      </x:c>
      <x:c r="P305" s="2" t="str">
        <x:v>CORP-0400</x:v>
      </x:c>
    </x:row>
    <x:row r="306" ht="42" customHeight="1">
      <x:c r="A306" s="10" t="n">
        <x:v>0</x:v>
      </x:c>
      <x:c r="B306" s="12" t="str">
        <x:v>MS543TEH</x:v>
      </x:c>
      <x:c r="C306" s="2" t="str">
        <x:v>Pune</x:v>
      </x:c>
      <x:c r="D306" s="12" t="str">
        <x:v>Lunkad Colonnade</x:v>
      </x:c>
      <x:c r="E306" s="12" t="str">
        <x:v>Viman Nagar</x:v>
      </x:c>
      <x:c r="F306" s="2" t="n">
        <x:v>5</x:v>
      </x:c>
      <x:c r="G306" s="2" t="n">
        <x:v>200</x:v>
      </x:c>
      <x:c r="H306" s="21" t="n">
        <x:v>2.25</x:v>
      </x:c>
      <x:c r="I306" s="21" t="n">
        <x:v>0.617</x:v>
      </x:c>
      <x:c r="J306" s="17" t="n">
        <x:f>F306*'Costing'!$H$4</x:f>
        <x:v>7560</x:v>
      </x:c>
      <x:c r="K306" s="17" t="n">
        <x:f>ROUND(J306*'Costing'!$C$4,2)</x:f>
        <x:v>1360.8</x:v>
      </x:c>
      <x:c r="L306" s="17" t="n">
        <x:f>J306+K306</x:f>
        <x:v>8920.8</x:v>
      </x:c>
      <x:c r="M306" s="13" t="n">
        <x:v>18.566566596221374</x:v>
      </x:c>
      <x:c r="N306" s="13" t="n">
        <x:v>73.91268235351713</x:v>
      </x:c>
      <x:c r="O306" s="2" t="str">
        <x:v>https://www.google.com/maps?q=18.566566596221374,73.91268235351713</x:v>
      </x:c>
      <x:c r="P306" s="2" t="str">
        <x:v>CORP-0379, CORP-0385, CORP-0404, CORP-0407</x:v>
      </x:c>
    </x:row>
    <x:row r="307" ht="42" customHeight="1">
      <x:c r="A307" s="10" t="n">
        <x:v>0</x:v>
      </x:c>
      <x:c r="B307" s="12" t="str">
        <x:v>MSENNJV3</x:v>
      </x:c>
      <x:c r="C307" s="2" t="str">
        <x:v>Pune</x:v>
      </x:c>
      <x:c r="D307" s="12" t="str">
        <x:v>Lunkad Goldcoast</x:v>
      </x:c>
      <x:c r="E307" s="12" t="str">
        <x:v>Viman Nagar</x:v>
      </x:c>
      <x:c r="F307" s="2" t="n">
        <x:v>14</x:v>
      </x:c>
      <x:c r="G307" s="2" t="n">
        <x:v>274</x:v>
      </x:c>
      <x:c r="H307" s="21" t="n">
        <x:v>2.12</x:v>
      </x:c>
      <x:c r="I307" s="21" t="n">
        <x:v>0.105</x:v>
      </x:c>
      <x:c r="J307" s="17" t="n">
        <x:f>F307*'Costing'!$H$4</x:f>
        <x:v>21168</x:v>
      </x:c>
      <x:c r="K307" s="17" t="n">
        <x:f>ROUND(J307*'Costing'!$C$4,2)</x:f>
        <x:v>3810.24</x:v>
      </x:c>
      <x:c r="L307" s="17" t="n">
        <x:f>J307+K307</x:f>
        <x:v>24978.239999999998</x:v>
      </x:c>
      <x:c r="M307" s="13" t="n">
        <x:v>18.566097</x:v>
      </x:c>
      <x:c r="N307" s="13" t="n">
        <x:v>73.905601</x:v>
      </x:c>
      <x:c r="O307" s="2" t="str">
        <x:v>https://www.google.com/maps?q=18.566097,73.905601</x:v>
      </x:c>
      <x:c r="P307" s="2" t="str">
        <x:v>CORP-0379, CORP-0409</x:v>
      </x:c>
    </x:row>
    <x:row r="308" ht="42" customHeight="1">
      <x:c r="A308" s="10" t="n">
        <x:v>0</x:v>
      </x:c>
      <x:c r="B308" s="12" t="str">
        <x:v>MS8D1RHR</x:v>
      </x:c>
      <x:c r="C308" s="2" t="str">
        <x:v>Pune</x:v>
      </x:c>
      <x:c r="D308" s="12" t="str">
        <x:v>Marvel Brisa</x:v>
      </x:c>
      <x:c r="E308" s="12" t="str">
        <x:v>Baner</x:v>
      </x:c>
      <x:c r="F308" s="2" t="n">
        <x:v>6</x:v>
      </x:c>
      <x:c r="G308" s="2" t="n">
        <x:v>100</x:v>
      </x:c>
      <x:c r="H308" s="21" t="n">
        <x:v>3.75</x:v>
      </x:c>
      <x:c r="I308" s="21" t="n">
        <x:v>0.247</x:v>
      </x:c>
      <x:c r="J308" s="17" t="n">
        <x:f>F308*'Costing'!$H$4</x:f>
        <x:v>9072</x:v>
      </x:c>
      <x:c r="K308" s="17" t="n">
        <x:f>ROUND(J308*'Costing'!$C$4,2)</x:f>
        <x:v>1632.96</x:v>
      </x:c>
      <x:c r="L308" s="17" t="n">
        <x:f>J308+K308</x:f>
        <x:v>10704.96</x:v>
      </x:c>
      <x:c r="M308" s="13" t="n">
        <x:v>18.573486</x:v>
      </x:c>
      <x:c r="N308" s="13" t="n">
        <x:v>73.770815</x:v>
      </x:c>
      <x:c r="O308" s="2" t="str">
        <x:v>https://www.google.com/maps?q=18.573486,73.770815</x:v>
      </x:c>
      <x:c r="P308" s="2" t="str">
        <x:v>CORP-0376, CORP-0378, CORP-0380, CORP-0389, CORP-0406, CORP-0410, CORP-0411</x:v>
      </x:c>
    </x:row>
    <x:row r="309" ht="42" customHeight="1">
      <x:c r="A309" s="10" t="n">
        <x:v>0</x:v>
      </x:c>
      <x:c r="B309" s="12" t="str">
        <x:v>MS9YFHM4</x:v>
      </x:c>
      <x:c r="C309" s="2" t="str">
        <x:v>Pune</x:v>
      </x:c>
      <x:c r="D309" s="12" t="str">
        <x:v>Marvel Zephyre</x:v>
      </x:c>
      <x:c r="E309" s="12" t="str">
        <x:v>Kharadi</x:v>
      </x:c>
      <x:c r="F309" s="2" t="n">
        <x:v>15</x:v>
      </x:c>
      <x:c r="G309" s="2" t="n">
        <x:v>364</x:v>
      </x:c>
      <x:c r="H309" s="21" t="n">
        <x:v>7.07</x:v>
      </x:c>
      <x:c r="I309" s="21" t="n">
        <x:v>0.301</x:v>
      </x:c>
      <x:c r="J309" s="17" t="n">
        <x:f>F309*'Costing'!$H$4</x:f>
        <x:v>22680</x:v>
      </x:c>
      <x:c r="K309" s="17" t="n">
        <x:f>ROUND(J309*'Costing'!$C$4,2)</x:f>
        <x:v>4082.4</x:v>
      </x:c>
      <x:c r="L309" s="17" t="n">
        <x:f>J309+K309</x:f>
        <x:v>26762.4</x:v>
      </x:c>
      <x:c r="M309" s="13" t="n">
        <x:v>18.551896</x:v>
      </x:c>
      <x:c r="N309" s="13" t="n">
        <x:v>73.958811</x:v>
      </x:c>
      <x:c r="O309" s="2" t="str">
        <x:v>https://www.google.com/maps?q=18.551896,73.958811</x:v>
      </x:c>
      <x:c r="P309" s="2" t="str">
        <x:v>CORP-0408, CORP-0414</x:v>
      </x:c>
    </x:row>
    <x:row r="310" ht="42" customHeight="1">
      <x:c r="A310" s="10" t="n">
        <x:v>0</x:v>
      </x:c>
      <x:c r="B310" s="12" t="str">
        <x:v>MS59K6YQ, MSJY57YW</x:v>
      </x:c>
      <x:c r="C310" s="2" t="str">
        <x:v>Pune</x:v>
      </x:c>
      <x:c r="D310" s="12" t="str">
        <x:v>Nandan Prospera</x:v>
      </x:c>
      <x:c r="E310" s="12" t="str">
        <x:v>Balewadi</x:v>
      </x:c>
      <x:c r="F310" s="2" t="n">
        <x:v>12</x:v>
      </x:c>
      <x:c r="G310" s="2" t="n">
        <x:v>216</x:v>
      </x:c>
      <x:c r="H310" s="21" t="n">
        <x:v>4.13</x:v>
      </x:c>
      <x:c r="I310" s="21" t="n">
        <x:v>0.066</x:v>
      </x:c>
      <x:c r="J310" s="17" t="n">
        <x:f>F310*'Costing'!$H$4</x:f>
        <x:v>18144</x:v>
      </x:c>
      <x:c r="K310" s="17" t="n">
        <x:f>ROUND(J310*'Costing'!$C$4,2)</x:f>
        <x:v>3265.92</x:v>
      </x:c>
      <x:c r="L310" s="17" t="n">
        <x:f>J310+K310</x:f>
        <x:v>21409.92</x:v>
      </x:c>
      <x:c r="M310" s="13" t="n">
        <x:v>18.569995</x:v>
      </x:c>
      <x:c r="N310" s="13" t="n">
        <x:v>73.769245</x:v>
      </x:c>
      <x:c r="O310" s="2" t="str">
        <x:v>https://www.google.com/maps?q=18.569995,73.769245</x:v>
      </x:c>
      <x:c r="P310" s="2" t="str">
        <x:v>CORP-0378, CORP-0410, CORP-0411, CORP-0418</x:v>
      </x:c>
    </x:row>
    <x:row r="311" ht="42" customHeight="1">
      <x:c r="A311" s="10" t="n">
        <x:v>0</x:v>
      </x:c>
      <x:c r="B311" s="12" t="str">
        <x:v>MSPMESY7</x:v>
      </x:c>
      <x:c r="C311" s="2" t="str">
        <x:v>Pune</x:v>
      </x:c>
      <x:c r="D311" s="12" t="str">
        <x:v>Palace Orchard</x:v>
      </x:c>
      <x:c r="E311" s="12" t="str">
        <x:v>Nibm</x:v>
      </x:c>
      <x:c r="F311" s="2" t="n">
        <x:v>6</x:v>
      </x:c>
      <x:c r="G311" s="2" t="n">
        <x:v>214</x:v>
      </x:c>
      <x:c r="H311" s="21" t="n">
        <x:v>2.6</x:v>
      </x:c>
      <x:c r="I311" s="21" t="n">
        <x:v>0.468</x:v>
      </x:c>
      <x:c r="J311" s="17" t="n">
        <x:f>F311*'Costing'!$H$4</x:f>
        <x:v>9072</x:v>
      </x:c>
      <x:c r="K311" s="17" t="n">
        <x:f>ROUND(J311*'Costing'!$C$4,2)</x:f>
        <x:v>1632.96</x:v>
      </x:c>
      <x:c r="L311" s="17" t="n">
        <x:f>J311+K311</x:f>
        <x:v>10704.96</x:v>
      </x:c>
      <x:c r="M311" s="13" t="n">
        <x:v>18.463229</x:v>
      </x:c>
      <x:c r="N311" s="13" t="n">
        <x:v>73.902179</x:v>
      </x:c>
      <x:c r="O311" s="2" t="str">
        <x:v>https://www.google.com/maps?q=18.463229,73.902179</x:v>
      </x:c>
      <x:c r="P311" s="2" t="str">
        <x:v>CORP-0390</x:v>
      </x:c>
    </x:row>
    <x:row r="312" ht="42" customHeight="1">
      <x:c r="A312" s="10" t="n">
        <x:v>0</x:v>
      </x:c>
      <x:c r="B312" s="12" t="str">
        <x:v>GMS1YDGSW</x:v>
      </x:c>
      <x:c r="C312" s="2" t="str">
        <x:v>Pune</x:v>
      </x:c>
      <x:c r="D312" s="12" t="str">
        <x:v>Paritosh Chs</x:v>
      </x:c>
      <x:c r="E312" s="12" t="str">
        <x:v>Balewadi</x:v>
      </x:c>
      <x:c r="F312" s="2" t="n">
        <x:v>8</x:v>
      </x:c>
      <x:c r="G312" s="2" t="n">
        <x:v>0</x:v>
      </x:c>
      <x:c r="H312" s="21" t="n">
        <x:v>2.08</x:v>
      </x:c>
      <x:c r="I312" s="21" t="n">
        <x:v>0.705</x:v>
      </x:c>
      <x:c r="J312" s="17" t="n">
        <x:f>F312*'Costing'!$H$4</x:f>
        <x:v>12096</x:v>
      </x:c>
      <x:c r="K312" s="17" t="n">
        <x:f>ROUND(J312*'Costing'!$C$4,2)</x:f>
        <x:v>2177.28</x:v>
      </x:c>
      <x:c r="L312" s="17" t="n">
        <x:f>J312+K312</x:f>
        <x:v>14273.28</x:v>
      </x:c>
      <x:c r="M312" s="13" t="n">
        <x:v>18.58169</x:v>
      </x:c>
      <x:c r="N312" s="13" t="n">
        <x:v>73.762743</x:v>
      </x:c>
      <x:c r="O312" s="2" t="str">
        <x:v>https://www.google.com/maps?q=18.58169,73.762743</x:v>
      </x:c>
      <x:c r="P312" s="2" t="str">
        <x:v>CORP-0380</x:v>
      </x:c>
    </x:row>
    <x:row r="313" ht="42" customHeight="1">
      <x:c r="A313" s="10" t="n">
        <x:v>0</x:v>
      </x:c>
      <x:c r="B313" s="12" t="str">
        <x:v>MSVSJRYP</x:v>
      </x:c>
      <x:c r="C313" s="2" t="str">
        <x:v>Pune</x:v>
      </x:c>
      <x:c r="D313" s="12" t="str">
        <x:v>Park Royal</x:v>
      </x:c>
      <x:c r="E313" s="12" t="str">
        <x:v>Wakad</x:v>
      </x:c>
      <x:c r="F313" s="2" t="n">
        <x:v>18</x:v>
      </x:c>
      <x:c r="G313" s="2" t="n">
        <x:v>433</x:v>
      </x:c>
      <x:c r="H313" s="21" t="n">
        <x:v>2.22</x:v>
      </x:c>
      <x:c r="I313" s="21" t="n">
        <x:v>0.604</x:v>
      </x:c>
      <x:c r="J313" s="17" t="n">
        <x:f>F313*'Costing'!$H$4</x:f>
        <x:v>27216</x:v>
      </x:c>
      <x:c r="K313" s="17" t="n">
        <x:f>ROUND(J313*'Costing'!$C$4,2)</x:f>
        <x:v>4898.88</x:v>
      </x:c>
      <x:c r="L313" s="17" t="n">
        <x:f>J313+K313</x:f>
        <x:v>32114.88</x:v>
      </x:c>
      <x:c r="M313" s="13" t="n">
        <x:v>18.598905</x:v>
      </x:c>
      <x:c r="N313" s="13" t="n">
        <x:v>73.785326</x:v>
      </x:c>
      <x:c r="O313" s="2" t="str">
        <x:v>https://www.google.com/maps?q=18.598905,73.785326</x:v>
      </x:c>
      <x:c r="P313" s="2" t="str">
        <x:v>CORP-0375, CORP-0384</x:v>
      </x:c>
    </x:row>
    <x:row r="314" ht="42" customHeight="1">
      <x:c r="A314" s="10" t="n">
        <x:v>0</x:v>
      </x:c>
      <x:c r="B314" s="12" t="str">
        <x:v>MS7YJM1M</x:v>
      </x:c>
      <x:c r="C314" s="2" t="str">
        <x:v>Pune</x:v>
      </x:c>
      <x:c r="D314" s="12" t="str">
        <x:v>Pride Valencia</x:v>
      </x:c>
      <x:c r="E314" s="12" t="str">
        <x:v>Baner</x:v>
      </x:c>
      <x:c r="F314" s="2" t="n">
        <x:v>5</x:v>
      </x:c>
      <x:c r="G314" s="2" t="n">
        <x:v>110</x:v>
      </x:c>
      <x:c r="H314" s="21" t="n">
        <x:v>2.32</x:v>
      </x:c>
      <x:c r="I314" s="21" t="n">
        <x:v>0.453</x:v>
      </x:c>
      <x:c r="J314" s="17" t="n">
        <x:f>F314*'Costing'!$H$4</x:f>
        <x:v>7560</x:v>
      </x:c>
      <x:c r="K314" s="17" t="n">
        <x:f>ROUND(J314*'Costing'!$C$4,2)</x:f>
        <x:v>1360.8</x:v>
      </x:c>
      <x:c r="L314" s="17" t="n">
        <x:f>J314+K314</x:f>
        <x:v>8920.8</x:v>
      </x:c>
      <x:c r="M314" s="13" t="n">
        <x:v>18.559469</x:v>
      </x:c>
      <x:c r="N314" s="13" t="n">
        <x:v>73.780788</x:v>
      </x:c>
      <x:c r="O314" s="2" t="str">
        <x:v>https://www.google.com/maps?q=18.559469,73.780788</x:v>
      </x:c>
      <x:c r="P314" s="2" t="str">
        <x:v>CORP-0381, CORP-0387, CORP-0399, CORP-0413</x:v>
      </x:c>
    </x:row>
    <x:row r="315" ht="42" customHeight="1">
      <x:c r="A315" s="10" t="n">
        <x:v>0</x:v>
      </x:c>
      <x:c r="B315" s="12" t="str">
        <x:v>MSS5WTZN</x:v>
      </x:c>
      <x:c r="C315" s="2" t="str">
        <x:v>Pune</x:v>
      </x:c>
      <x:c r="D315" s="12" t="str">
        <x:v>Regulus</x:v>
      </x:c>
      <x:c r="E315" s="12" t="str">
        <x:v>Balewadi</x:v>
      </x:c>
      <x:c r="F315" s="2" t="n">
        <x:v>4</x:v>
      </x:c>
      <x:c r="G315" s="2" t="n">
        <x:v>160</x:v>
      </x:c>
      <x:c r="H315" s="21" t="n">
        <x:v>2</x:v>
      </x:c>
      <x:c r="I315" s="21" t="n">
        <x:v>0.268</x:v>
      </x:c>
      <x:c r="J315" s="17" t="n">
        <x:f>F315*'Costing'!$H$4</x:f>
        <x:v>6048</x:v>
      </x:c>
      <x:c r="K315" s="17" t="n">
        <x:f>ROUND(J315*'Costing'!$C$4,2)</x:f>
        <x:v>1088.64</x:v>
      </x:c>
      <x:c r="L315" s="17" t="n">
        <x:f>J315+K315</x:f>
        <x:v>7136.64</x:v>
      </x:c>
      <x:c r="M315" s="13" t="n">
        <x:v>18.575231</x:v>
      </x:c>
      <x:c r="N315" s="13" t="n">
        <x:v>73.775192</x:v>
      </x:c>
      <x:c r="O315" s="2" t="str">
        <x:v>https://www.google.com/maps?q=18.575231,73.775192</x:v>
      </x:c>
      <x:c r="P315" s="2" t="str">
        <x:v>CORP-0376, CORP-0389, CORP-0406</x:v>
      </x:c>
    </x:row>
    <x:row r="316" ht="42" customHeight="1">
      <x:c r="A316" s="10" t="n">
        <x:v>0</x:v>
      </x:c>
      <x:c r="B316" s="12" t="str">
        <x:v>MSE36DQ5</x:v>
      </x:c>
      <x:c r="C316" s="2" t="str">
        <x:v>Pune</x:v>
      </x:c>
      <x:c r="D316" s="12" t="str">
        <x:v>Riverdale</x:v>
      </x:c>
      <x:c r="E316" s="12" t="str">
        <x:v>Kharadi</x:v>
      </x:c>
      <x:c r="F316" s="2" t="n">
        <x:v>20</x:v>
      </x:c>
      <x:c r="G316" s="2" t="n">
        <x:v>557</x:v>
      </x:c>
      <x:c r="H316" s="21" t="n">
        <x:v>2.46</x:v>
      </x:c>
      <x:c r="I316" s="21" t="n">
        <x:v>0.501</x:v>
      </x:c>
      <x:c r="J316" s="17" t="n">
        <x:f>F316*'Costing'!$H$4</x:f>
        <x:v>30240</x:v>
      </x:c>
      <x:c r="K316" s="17" t="n">
        <x:f>ROUND(J316*'Costing'!$C$4,2)</x:f>
        <x:v>5443.2</x:v>
      </x:c>
      <x:c r="L316" s="17" t="n">
        <x:f>J316+K316</x:f>
        <x:v>35683.2</x:v>
      </x:c>
      <x:c r="M316" s="13" t="n">
        <x:v>18.542952</x:v>
      </x:c>
      <x:c r="N316" s="13" t="n">
        <x:v>73.939105</x:v>
      </x:c>
      <x:c r="O316" s="2" t="str">
        <x:v>https://www.google.com/maps?q=18.542952,73.939105</x:v>
      </x:c>
      <x:c r="P316" s="2" t="str">
        <x:v>CORP-0386, CORP-0394, CORP-0415</x:v>
      </x:c>
    </x:row>
    <x:row r="317" ht="42" customHeight="1">
      <x:c r="A317" s="10" t="n">
        <x:v>0</x:v>
      </x:c>
      <x:c r="B317" s="12" t="str">
        <x:v>MS1FDZXV</x:v>
      </x:c>
      <x:c r="C317" s="2" t="str">
        <x:v>Pune</x:v>
      </x:c>
      <x:c r="D317" s="12" t="str">
        <x:v>Rohan Ishita</x:v>
      </x:c>
      <x:c r="E317" s="12" t="str">
        <x:v>Mundhwa</x:v>
      </x:c>
      <x:c r="F317" s="2" t="n">
        <x:v>4</x:v>
      </x:c>
      <x:c r="G317" s="2" t="n">
        <x:v>68</x:v>
      </x:c>
      <x:c r="H317" s="21" t="n">
        <x:v>2.05</x:v>
      </x:c>
      <x:c r="I317" s="21" t="n">
        <x:v>2.634</x:v>
      </x:c>
      <x:c r="J317" s="17" t="n">
        <x:f>F317*'Costing'!$H$4</x:f>
        <x:v>6048</x:v>
      </x:c>
      <x:c r="K317" s="17" t="n">
        <x:f>ROUND(J317*'Costing'!$C$4,2)</x:f>
        <x:v>1088.64</x:v>
      </x:c>
      <x:c r="L317" s="17" t="n">
        <x:f>J317+K317</x:f>
        <x:v>7136.64</x:v>
      </x:c>
      <x:c r="M317" s="13" t="n">
        <x:v>18.52943</x:v>
      </x:c>
      <x:c r="N317" s="13" t="n">
        <x:v>73.912786</x:v>
      </x:c>
      <x:c r="O317" s="2" t="str">
        <x:v>https://www.google.com/maps?q=18.52943,73.912786</x:v>
      </x:c>
      <x:c r="P317" s="2" t="str">
        <x:v>CORP-0382, CORP-0412</x:v>
      </x:c>
    </x:row>
    <x:row r="318" ht="42" customHeight="1">
      <x:c r="A318" s="10" t="n">
        <x:v>0</x:v>
      </x:c>
      <x:c r="B318" s="12" t="str">
        <x:v>MSHYPGWW</x:v>
      </x:c>
      <x:c r="C318" s="2" t="str">
        <x:v>Pune</x:v>
      </x:c>
      <x:c r="D318" s="12" t="str">
        <x:v>Rohan Leher PH - 2</x:v>
      </x:c>
      <x:c r="E318" s="12" t="str">
        <x:v>Baner</x:v>
      </x:c>
      <x:c r="F318" s="2" t="n">
        <x:v>16</x:v>
      </x:c>
      <x:c r="G318" s="2" t="n">
        <x:v>190</x:v>
      </x:c>
      <x:c r="H318" s="21" t="n">
        <x:v>2.04</x:v>
      </x:c>
      <x:c r="I318" s="21" t="n">
        <x:v>0.217</x:v>
      </x:c>
      <x:c r="J318" s="17" t="n">
        <x:f>F318*'Costing'!$H$4</x:f>
        <x:v>24192</x:v>
      </x:c>
      <x:c r="K318" s="17" t="n">
        <x:f>ROUND(J318*'Costing'!$C$4,2)</x:f>
        <x:v>4354.56</x:v>
      </x:c>
      <x:c r="L318" s="17" t="n">
        <x:f>J318+K318</x:f>
        <x:v>28546.56</x:v>
      </x:c>
      <x:c r="M318" s="13" t="n">
        <x:v>18.553571</x:v>
      </x:c>
      <x:c r="N318" s="13" t="n">
        <x:v>73.768761</x:v>
      </x:c>
      <x:c r="O318" s="2" t="str">
        <x:v>https://www.google.com/maps?q=18.553571,73.768761</x:v>
      </x:c>
      <x:c r="P318" s="2" t="str">
        <x:v>CORP-0399, CORP-0401, CORP-0402</x:v>
      </x:c>
    </x:row>
    <x:row r="319" ht="42" customHeight="1">
      <x:c r="A319" s="10" t="n">
        <x:v>0</x:v>
      </x:c>
      <x:c r="B319" s="12" t="str">
        <x:v>MSR2M1H1</x:v>
      </x:c>
      <x:c r="C319" s="2" t="str">
        <x:v>Pune</x:v>
      </x:c>
      <x:c r="D319" s="12" t="str">
        <x:v>Rohan Leher PH 3</x:v>
      </x:c>
      <x:c r="E319" s="12" t="str">
        <x:v>Baner</x:v>
      </x:c>
      <x:c r="F319" s="2" t="n">
        <x:v>9</x:v>
      </x:c>
      <x:c r="G319" s="2" t="n">
        <x:v>206</x:v>
      </x:c>
      <x:c r="H319" s="21" t="n">
        <x:v>2.04</x:v>
      </x:c>
      <x:c r="I319" s="21" t="n">
        <x:v>0.388</x:v>
      </x:c>
      <x:c r="J319" s="17" t="n">
        <x:f>F319*'Costing'!$H$4</x:f>
        <x:v>13608</x:v>
      </x:c>
      <x:c r="K319" s="17" t="n">
        <x:f>ROUND(J319*'Costing'!$C$4,2)</x:f>
        <x:v>2449.44</x:v>
      </x:c>
      <x:c r="L319" s="17" t="n">
        <x:f>J319+K319</x:f>
        <x:v>16057.44</x:v>
      </x:c>
      <x:c r="M319" s="13" t="n">
        <x:v>18.556376</x:v>
      </x:c>
      <x:c r="N319" s="13" t="n">
        <x:v>73.768389</x:v>
      </x:c>
      <x:c r="O319" s="2" t="str">
        <x:v>https://www.google.com/maps?q=18.556376,73.768389</x:v>
      </x:c>
      <x:c r="P319" s="2" t="str">
        <x:v>CORP-0381, CORP-0401, CORP-0402</x:v>
      </x:c>
    </x:row>
    <x:row r="320" ht="42" customHeight="1">
      <x:c r="A320" s="10" t="n">
        <x:v>0</x:v>
      </x:c>
      <x:c r="B320" s="12" t="str">
        <x:v>MSWKWBSP</x:v>
      </x:c>
      <x:c r="C320" s="2" t="str">
        <x:v>Pune</x:v>
      </x:c>
      <x:c r="D320" s="12" t="str">
        <x:v>Rose Parade</x:v>
      </x:c>
      <x:c r="E320" s="12" t="str">
        <x:v>Kondhwa</x:v>
      </x:c>
      <x:c r="F320" s="2" t="n">
        <x:v>4</x:v>
      </x:c>
      <x:c r="G320" s="2" t="n">
        <x:v>220</x:v>
      </x:c>
      <x:c r="H320" s="21" t="n">
        <x:v>2</x:v>
      </x:c>
      <x:c r="I320" s="21" t="n">
        <x:v>1.225</x:v>
      </x:c>
      <x:c r="J320" s="17" t="n">
        <x:f>F320*'Costing'!$H$4</x:f>
        <x:v>6048</x:v>
      </x:c>
      <x:c r="K320" s="17" t="n">
        <x:f>ROUND(J320*'Costing'!$C$4,2)</x:f>
        <x:v>1088.64</x:v>
      </x:c>
      <x:c r="L320" s="17" t="n">
        <x:f>J320+K320</x:f>
        <x:v>7136.64</x:v>
      </x:c>
      <x:c r="M320" s="13" t="n">
        <x:v>18.478326</x:v>
      </x:c>
      <x:c r="N320" s="13" t="n">
        <x:v>73.900089</x:v>
      </x:c>
      <x:c r="O320" s="2" t="str">
        <x:v>https://www.google.com/maps?q=18.478326,73.900089</x:v>
      </x:c>
      <x:c r="P320" s="2" t="str">
        <x:v>CORP-0390</x:v>
      </x:c>
    </x:row>
    <x:row r="321" ht="42" customHeight="1">
      <x:c r="A321" s="10" t="n">
        <x:v>0</x:v>
      </x:c>
      <x:c r="B321" s="12" t="str">
        <x:v>MS042Z04</x:v>
      </x:c>
      <x:c r="C321" s="2" t="str">
        <x:v>Pune</x:v>
      </x:c>
      <x:c r="D321" s="12" t="str">
        <x:v>Ruby Park</x:v>
      </x:c>
      <x:c r="E321" s="12" t="str">
        <x:v>Wakad</x:v>
      </x:c>
      <x:c r="F321" s="2" t="n">
        <x:v>25</x:v>
      </x:c>
      <x:c r="G321" s="2" t="n">
        <x:v>377</x:v>
      </x:c>
      <x:c r="H321" s="21" t="n">
        <x:v>2.2</x:v>
      </x:c>
      <x:c r="I321" s="21" t="n">
        <x:v>0.489</x:v>
      </x:c>
      <x:c r="J321" s="17" t="n">
        <x:f>F321*'Costing'!$H$4</x:f>
        <x:v>37800</x:v>
      </x:c>
      <x:c r="K321" s="17" t="n">
        <x:f>ROUND(J321*'Costing'!$C$4,2)</x:f>
        <x:v>6804</x:v>
      </x:c>
      <x:c r="L321" s="17" t="n">
        <x:f>J321+K321</x:f>
        <x:v>44604</x:v>
      </x:c>
      <x:c r="M321" s="13" t="n">
        <x:v>18.595343</x:v>
      </x:c>
      <x:c r="N321" s="13" t="n">
        <x:v>73.779403</x:v>
      </x:c>
      <x:c r="O321" s="2" t="str">
        <x:v>https://www.google.com/maps?q=18.595343,73.779403</x:v>
      </x:c>
      <x:c r="P321" s="2" t="str">
        <x:v>CORP-0375, CORP-0384</x:v>
      </x:c>
    </x:row>
    <x:row r="322" ht="42" customHeight="1">
      <x:c r="A322" s="10" t="n">
        <x:v>0</x:v>
      </x:c>
      <x:c r="B322" s="12" t="str">
        <x:v>MSMF0499</x:v>
      </x:c>
      <x:c r="C322" s="2" t="str">
        <x:v>Pune</x:v>
      </x:c>
      <x:c r="D322" s="12" t="str">
        <x:v>Sankul Apartments</x:v>
      </x:c>
      <x:c r="E322" s="12" t="str">
        <x:v>Erandwane</x:v>
      </x:c>
      <x:c r="F322" s="2" t="n">
        <x:v>14</x:v>
      </x:c>
      <x:c r="G322" s="2" t="n">
        <x:v>300</x:v>
      </x:c>
      <x:c r="H322" s="21" t="n">
        <x:v>2.9</x:v>
      </x:c>
      <x:c r="I322" s="21" t="n">
        <x:v>3.597</x:v>
      </x:c>
      <x:c r="J322" s="17" t="n">
        <x:f>F322*'Costing'!$H$4</x:f>
        <x:v>21168</x:v>
      </x:c>
      <x:c r="K322" s="17" t="n">
        <x:f>ROUND(J322*'Costing'!$C$4,2)</x:f>
        <x:v>3810.24</x:v>
      </x:c>
      <x:c r="L322" s="17" t="n">
        <x:f>J322+K322</x:f>
        <x:v>24978.239999999998</x:v>
      </x:c>
      <x:c r="M322" s="13" t="n">
        <x:v>18.50163</x:v>
      </x:c>
      <x:c r="N322" s="13" t="n">
        <x:v>73.828908</x:v>
      </x:c>
      <x:c r="O322" s="2" t="str">
        <x:v>https://www.google.com/maps?q=18.50163,73.828908</x:v>
      </x:c>
      <x:c r="P322" s="2" t="str">
        <x:v>CORP-0400, CORP-0405</x:v>
      </x:c>
    </x:row>
    <x:row r="323" ht="42" customHeight="1">
      <x:c r="A323" s="10" t="n">
        <x:v>0</x:v>
      </x:c>
      <x:c r="B323" s="12" t="str">
        <x:v>MSR2F76H</x:v>
      </x:c>
      <x:c r="C323" s="2" t="str">
        <x:v>Pune</x:v>
      </x:c>
      <x:c r="D323" s="12" t="str">
        <x:v>Shivtara Gardens</x:v>
      </x:c>
      <x:c r="E323" s="12" t="str">
        <x:v>Kothrud</x:v>
      </x:c>
      <x:c r="F323" s="2" t="n">
        <x:v>8</x:v>
      </x:c>
      <x:c r="G323" s="2" t="n">
        <x:v>189</x:v>
      </x:c>
      <x:c r="H323" s="21" t="n">
        <x:v>2.35</x:v>
      </x:c>
      <x:c r="I323" s="21" t="n">
        <x:v>4.384</x:v>
      </x:c>
      <x:c r="J323" s="17" t="n">
        <x:f>F323*'Costing'!$H$4</x:f>
        <x:v>12096</x:v>
      </x:c>
      <x:c r="K323" s="17" t="n">
        <x:f>ROUND(J323*'Costing'!$C$4,2)</x:f>
        <x:v>2177.28</x:v>
      </x:c>
      <x:c r="L323" s="17" t="n">
        <x:f>J323+K323</x:f>
        <x:v>14273.28</x:v>
      </x:c>
      <x:c r="M323" s="13" t="n">
        <x:v>18.50156978</x:v>
      </x:c>
      <x:c r="N323" s="13" t="n">
        <x:v>73.80593218</x:v>
      </x:c>
      <x:c r="O323" s="2" t="str">
        <x:v>https://www.google.com/maps?q=18.50156978,73.80593218</x:v>
      </x:c>
      <x:c r="P323" s="2" t="str">
        <x:v>CORP-0405</x:v>
      </x:c>
    </x:row>
    <x:row r="324" ht="42" customHeight="1">
      <x:c r="A324" s="10" t="n">
        <x:v>0</x:v>
      </x:c>
      <x:c r="B324" s="12" t="str">
        <x:v>MSVG7FB2</x:v>
      </x:c>
      <x:c r="C324" s="2" t="str">
        <x:v>Pune</x:v>
      </x:c>
      <x:c r="D324" s="12" t="str">
        <x:v>Sylvan Heights</x:v>
      </x:c>
      <x:c r="E324" s="12" t="str">
        <x:v>Aundh</x:v>
      </x:c>
      <x:c r="F324" s="2" t="n">
        <x:v>14</x:v>
      </x:c>
      <x:c r="G324" s="2" t="n">
        <x:v>300</x:v>
      </x:c>
      <x:c r="H324" s="21" t="n">
        <x:v>4.01</x:v>
      </x:c>
      <x:c r="I324" s="21" t="n">
        <x:v>0.643</x:v>
      </x:c>
      <x:c r="J324" s="17" t="n">
        <x:f>F324*'Costing'!$H$4</x:f>
        <x:v>21168</x:v>
      </x:c>
      <x:c r="K324" s="17" t="n">
        <x:f>ROUND(J324*'Costing'!$C$4,2)</x:f>
        <x:v>3810.24</x:v>
      </x:c>
      <x:c r="L324" s="17" t="n">
        <x:f>J324+K324</x:f>
        <x:v>24978.239999999998</x:v>
      </x:c>
      <x:c r="M324" s="13" t="n">
        <x:v>18.554266</x:v>
      </x:c>
      <x:c r="N324" s="13" t="n">
        <x:v>73.803225</x:v>
      </x:c>
      <x:c r="O324" s="2" t="str">
        <x:v>https://www.google.com/maps?q=18.554266,73.803225</x:v>
      </x:c>
      <x:c r="P324" s="2" t="str">
        <x:v>CORP-0392, CORP-0393, CORP-0405</x:v>
      </x:c>
    </x:row>
    <x:row r="325" ht="42" customHeight="1">
      <x:c r="A325" s="10" t="n">
        <x:v>0</x:v>
      </x:c>
      <x:c r="B325" s="12" t="str">
        <x:v>MS1JPET6</x:v>
      </x:c>
      <x:c r="C325" s="2" t="str">
        <x:v>Pune</x:v>
      </x:c>
      <x:c r="D325" s="12" t="str">
        <x:v>Tuscan</x:v>
      </x:c>
      <x:c r="E325" s="12" t="str">
        <x:v>Kharadi</x:v>
      </x:c>
      <x:c r="F325" s="2" t="n">
        <x:v>6</x:v>
      </x:c>
      <x:c r="G325" s="2" t="n">
        <x:v>186</x:v>
      </x:c>
      <x:c r="H325" s="21" t="n">
        <x:v>3.39</x:v>
      </x:c>
      <x:c r="I325" s="21" t="n">
        <x:v>0.705</x:v>
      </x:c>
      <x:c r="J325" s="17" t="n">
        <x:f>F325*'Costing'!$H$4</x:f>
        <x:v>9072</x:v>
      </x:c>
      <x:c r="K325" s="17" t="n">
        <x:f>ROUND(J325*'Costing'!$C$4,2)</x:f>
        <x:v>1632.96</x:v>
      </x:c>
      <x:c r="L325" s="17" t="n">
        <x:f>J325+K325</x:f>
        <x:v>10704.96</x:v>
      </x:c>
      <x:c r="M325" s="13" t="n">
        <x:v>18.554813</x:v>
      </x:c>
      <x:c r="N325" s="13" t="n">
        <x:v>73.942025</x:v>
      </x:c>
      <x:c r="O325" s="2" t="str">
        <x:v>https://www.google.com/maps?q=18.554813,73.942025</x:v>
      </x:c>
      <x:c r="P325" s="2" t="str">
        <x:v>CORP-0394, CORP-0398, CORP-0417, CORP-0419</x:v>
      </x:c>
    </x:row>
    <x:row r="326" ht="42" customHeight="1">
      <x:c r="A326" s="10" t="n">
        <x:v>0</x:v>
      </x:c>
      <x:c r="B326" s="12" t="str">
        <x:v>MSRSC3PW</x:v>
      </x:c>
      <x:c r="C326" s="2" t="str">
        <x:v>Pune</x:v>
      </x:c>
      <x:c r="D326" s="12" t="str">
        <x:v>Tuscan Parkland</x:v>
      </x:c>
      <x:c r="E326" s="12" t="str">
        <x:v>Kharadi</x:v>
      </x:c>
      <x:c r="F326" s="2" t="n">
        <x:v>6</x:v>
      </x:c>
      <x:c r="G326" s="2" t="n">
        <x:v>120</x:v>
      </x:c>
      <x:c r="H326" s="21" t="n">
        <x:v>2.2</x:v>
      </x:c>
      <x:c r="I326" s="21" t="n">
        <x:v>0.922</x:v>
      </x:c>
      <x:c r="J326" s="17" t="n">
        <x:f>F326*'Costing'!$H$4</x:f>
        <x:v>9072</x:v>
      </x:c>
      <x:c r="K326" s="17" t="n">
        <x:f>ROUND(J326*'Costing'!$C$4,2)</x:f>
        <x:v>1632.96</x:v>
      </x:c>
      <x:c r="L326" s="17" t="n">
        <x:f>J326+K326</x:f>
        <x:v>10704.96</x:v>
      </x:c>
      <x:c r="M326" s="13" t="n">
        <x:v>18.555413</x:v>
      </x:c>
      <x:c r="N326" s="13" t="n">
        <x:v>73.940359</x:v>
      </x:c>
      <x:c r="O326" s="2" t="str">
        <x:v>https://www.google.com/maps?q=18.555413,73.940359</x:v>
      </x:c>
      <x:c r="P326" s="2" t="str">
        <x:v>CORP-0394</x:v>
      </x:c>
    </x:row>
    <x:row r="327" ht="42" customHeight="1">
      <x:c r="A327" s="10" t="n">
        <x:v>0</x:v>
      </x:c>
      <x:c r="B327" s="12" t="str">
        <x:v>MS0H4KTG, MS11X7WY</x:v>
      </x:c>
      <x:c r="C327" s="2" t="str">
        <x:v>Pune</x:v>
      </x:c>
      <x:c r="D327" s="12" t="str">
        <x:v>Vardhman Dreams PH 1</x:v>
      </x:c>
      <x:c r="E327" s="12" t="str">
        <x:v>Wakad</x:v>
      </x:c>
      <x:c r="F327" s="2" t="n">
        <x:v>14</x:v>
      </x:c>
      <x:c r="G327" s="2" t="n">
        <x:v>160</x:v>
      </x:c>
      <x:c r="H327" s="21" t="n">
        <x:v>2.85</x:v>
      </x:c>
      <x:c r="I327" s="21" t="n">
        <x:v>0.83</x:v>
      </x:c>
      <x:c r="J327" s="17" t="n">
        <x:f>F327*'Costing'!$H$4</x:f>
        <x:v>21168</x:v>
      </x:c>
      <x:c r="K327" s="17" t="n">
        <x:f>ROUND(J327*'Costing'!$C$4,2)</x:f>
        <x:v>3810.24</x:v>
      </x:c>
      <x:c r="L327" s="17" t="n">
        <x:f>J327+K327</x:f>
        <x:v>24978.239999999998</x:v>
      </x:c>
      <x:c r="M327" s="13" t="n">
        <x:v>18.598145</x:v>
      </x:c>
      <x:c r="N327" s="13" t="n">
        <x:v>73.777388</x:v>
      </x:c>
      <x:c r="O327" s="2" t="str">
        <x:v>https://www.google.com/maps?q=18.598145,73.777388</x:v>
      </x:c>
      <x:c r="P327" s="2" t="str">
        <x:v>CORP-0375, CORP-0384</x:v>
      </x:c>
    </x:row>
    <x:row r="328" ht="42" customHeight="1">
      <x:c r="A328" s="10" t="n">
        <x:v>0</x:v>
      </x:c>
      <x:c r="B328" s="12" t="str">
        <x:v>MS3696FK</x:v>
      </x:c>
      <x:c r="C328" s="2" t="str">
        <x:v>Pune</x:v>
      </x:c>
      <x:c r="D328" s="12" t="str">
        <x:v>Venkatesh Flora Ph-1</x:v>
      </x:c>
      <x:c r="E328" s="12" t="str">
        <x:v>Mundhwa</x:v>
      </x:c>
      <x:c r="F328" s="2" t="n">
        <x:v>5</x:v>
      </x:c>
      <x:c r="G328" s="2" t="n">
        <x:v>140</x:v>
      </x:c>
      <x:c r="H328" s="21" t="n">
        <x:v>2.05</x:v>
      </x:c>
      <x:c r="I328" s="21" t="n">
        <x:v>1.247</x:v>
      </x:c>
      <x:c r="J328" s="17" t="n">
        <x:f>F328*'Costing'!$H$4</x:f>
        <x:v>7560</x:v>
      </x:c>
      <x:c r="K328" s="17" t="n">
        <x:f>ROUND(J328*'Costing'!$C$4,2)</x:f>
        <x:v>1360.8</x:v>
      </x:c>
      <x:c r="L328" s="17" t="n">
        <x:f>J328+K328</x:f>
        <x:v>8920.8</x:v>
      </x:c>
      <x:c r="M328" s="13" t="n">
        <x:v>18.528437</x:v>
      </x:c>
      <x:c r="N328" s="13" t="n">
        <x:v>73.929553</x:v>
      </x:c>
      <x:c r="O328" s="2" t="str">
        <x:v>https://www.google.com/maps?q=18.528437,73.929553</x:v>
      </x:c>
      <x:c r="P328" s="2" t="str">
        <x:v>CORP-0382, CORP-0412</x:v>
      </x:c>
    </x:row>
    <x:row r="329" ht="42" customHeight="1">
      <x:c r="A329" s="10" t="n">
        <x:v>0</x:v>
      </x:c>
      <x:c r="B329" s="12" t="str">
        <x:v>MSW5HYTG</x:v>
      </x:c>
      <x:c r="C329" s="2" t="str">
        <x:v>Pune</x:v>
      </x:c>
      <x:c r="D329" s="12" t="str">
        <x:v>Western Hills PHA - 2</x:v>
      </x:c>
      <x:c r="E329" s="12" t="str">
        <x:v>Sus</x:v>
      </x:c>
      <x:c r="F329" s="2" t="n">
        <x:v>8</x:v>
      </x:c>
      <x:c r="G329" s="2" t="n">
        <x:v>312</x:v>
      </x:c>
      <x:c r="H329" s="21" t="n">
        <x:v>3.8</x:v>
      </x:c>
      <x:c r="I329" s="21" t="n">
        <x:v>1.194</x:v>
      </x:c>
      <x:c r="J329" s="17" t="n">
        <x:f>F329*'Costing'!$H$4</x:f>
        <x:v>12096</x:v>
      </x:c>
      <x:c r="K329" s="17" t="n">
        <x:f>ROUND(J329*'Costing'!$C$4,2)</x:f>
        <x:v>2177.28</x:v>
      </x:c>
      <x:c r="L329" s="17" t="n">
        <x:f>J329+K329</x:f>
        <x:v>14273.28</x:v>
      </x:c>
      <x:c r="M329" s="13" t="n">
        <x:v>18.554862</x:v>
      </x:c>
      <x:c r="N329" s="13" t="n">
        <x:v>73.760342</x:v>
      </x:c>
      <x:c r="O329" s="2" t="str">
        <x:v>https://www.google.com/maps?q=18.554862,73.760342</x:v>
      </x:c>
      <x:c r="P329" s="2" t="str">
        <x:v>CORP-0383</x:v>
      </x:c>
    </x:row>
    <x:row r="330" ht="42" customHeight="1">
      <x:c r="A330" s="10" t="n">
        <x:v>0</x:v>
      </x:c>
      <x:c r="B330" s="12" t="str">
        <x:v>MS1K62XH</x:v>
      </x:c>
      <x:c r="C330" s="2" t="str">
        <x:v>Pune</x:v>
      </x:c>
      <x:c r="D330" s="12" t="str">
        <x:v>Yuthika Apartments</x:v>
      </x:c>
      <x:c r="E330" s="12" t="str">
        <x:v>Baner</x:v>
      </x:c>
      <x:c r="F330" s="2" t="n">
        <x:v>16</x:v>
      </x:c>
      <x:c r="G330" s="2" t="n">
        <x:v>526</x:v>
      </x:c>
      <x:c r="H330" s="21" t="n">
        <x:v>3.52</x:v>
      </x:c>
      <x:c r="I330" s="21" t="n">
        <x:v>0.536</x:v>
      </x:c>
      <x:c r="J330" s="17" t="n">
        <x:f>F330*'Costing'!$H$4</x:f>
        <x:v>24192</x:v>
      </x:c>
      <x:c r="K330" s="17" t="n">
        <x:f>ROUND(J330*'Costing'!$C$4,2)</x:f>
        <x:v>4354.56</x:v>
      </x:c>
      <x:c r="L330" s="17" t="n">
        <x:f>J330+K330</x:f>
        <x:v>28546.56</x:v>
      </x:c>
      <x:c r="M330" s="13" t="n">
        <x:v>18.561893</x:v>
      </x:c>
      <x:c r="N330" s="13" t="n">
        <x:v>73.767993</x:v>
      </x:c>
      <x:c r="O330" s="2" t="str">
        <x:v>https://www.google.com/maps?q=18.561893,73.767993</x:v>
      </x:c>
      <x:c r="P330" s="2" t="str">
        <x:v>CORP-0418</x:v>
      </x:c>
    </x:row>
  </x:sheetData>
  <x:dataValidations count="1">
    <x:dataValidation type="list" sqref="A7:A330">
      <x:formula1>"1,0"</x:formula1>
    </x:dataValidation>
  </x:dataValidations>
  <x:pageMargins left="0.7" right="0.7" top="0.75" bottom="0.75" header="0.3" footer="0.3"/>
  <x:tableParts count="1">
    <x:tablePart xmlns:r="http://schemas.openxmlformats.org/officeDocument/2006/relationships" r:id="Ra830f87ff2e74ac3"/>
  </x:tableParts>
</x:worksheet>
</file>